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https://beisgov.sharepoint.com/sites/IDETDataAndDigital-Private-ETS_Free_AllocationsOS/Shared Documents/ETS_Free_Allocations OS/07 ALR 2026/Releases/R13/"/>
    </mc:Choice>
  </mc:AlternateContent>
  <xr:revisionPtr revIDLastSave="0" documentId="8_{B61FE24A-CE51-4116-AC2E-9DD089EE2949}" xr6:coauthVersionLast="47" xr6:coauthVersionMax="47" xr10:uidLastSave="{00000000-0000-0000-0000-000000000000}"/>
  <bookViews>
    <workbookView xWindow="-120" yWindow="-120" windowWidth="51840" windowHeight="21840" tabRatio="883" activeTab="3" xr2:uid="{00000000-000D-0000-FFFF-FFFF00000000}"/>
  </bookViews>
  <sheets>
    <sheet name="a_Contents" sheetId="9" r:id="rId1"/>
    <sheet name="b_Guidelines &amp; conditions" sheetId="10" r:id="rId2"/>
    <sheet name="Confidentiality Statement" sheetId="65" r:id="rId3"/>
    <sheet name="c_ALR2025" sheetId="66" r:id="rId4"/>
    <sheet name="A_InstallationData" sheetId="43" r:id="rId5"/>
    <sheet name="B+C_SubInstallations" sheetId="62" r:id="rId6"/>
    <sheet name="D_Emissions" sheetId="49" r:id="rId7"/>
    <sheet name="E_EnergyFlows" sheetId="41" r:id="rId8"/>
    <sheet name="F_ProductBM" sheetId="37" r:id="rId9"/>
    <sheet name="G_Fall-back" sheetId="42" r:id="rId10"/>
    <sheet name="H_SpecialBM" sheetId="47" r:id="rId11"/>
    <sheet name="I_MSspecific" sheetId="53" state="hidden" r:id="rId12"/>
    <sheet name="J_Comments" sheetId="51" r:id="rId13"/>
    <sheet name="K_Summary" sheetId="50" r:id="rId14"/>
    <sheet name="EUwideConstants" sheetId="34" state="hidden" r:id="rId15"/>
    <sheet name="MSParameters" sheetId="38" state="hidden" r:id="rId16"/>
    <sheet name="VersionDocumentation" sheetId="25" state="hidden" r:id="rId17"/>
  </sheets>
  <externalReferences>
    <externalReference r:id="rId18"/>
  </externalReferences>
  <definedNames>
    <definedName name="_xlnm._FilterDatabase" localSheetId="7" hidden="1">E_EnergyFlows!$C$6:$N$6</definedName>
    <definedName name="_xlnm._FilterDatabase" localSheetId="14" hidden="1">EUwideConstants!$A$1:$AF$311</definedName>
    <definedName name="CNTR_AnnexIActivities">A_InstallationData!$Q$227:$Q$232</definedName>
    <definedName name="CNTR_ApplyLinF">K_Summary!$I$52</definedName>
    <definedName name="CNTR_Cessation">A_InstallationData!$R$21</definedName>
    <definedName name="CNTR_ConfirmationOK">K_Summary!$P$54</definedName>
    <definedName name="CNTR_ConnectionEntityList">A_InstallationData!$H$426:$H$435</definedName>
    <definedName name="CNTR_ConnectionEntityListCITL_IDs">A_InstallationData!$J$426:$J$435</definedName>
    <definedName name="CNTR_ConnectionEntityListTypes">A_InstallationData!$K$426:$K$435</definedName>
    <definedName name="CNTR_ConnectionListAndWithinInst">A_InstallationData!$H$425:$H$435</definedName>
    <definedName name="CNTR_Eligible10a">K_Summary!$M$57</definedName>
    <definedName name="CNTR_ExistConnectionEntries">A_InstallationData!$G$438</definedName>
    <definedName name="CNTR_ExistProductSubEntries">'B+C_SubInstallations'!$J$201</definedName>
    <definedName name="CNTR_ExistSubInstEntries">'B+C_SubInstallations'!$G$201</definedName>
    <definedName name="CNTR_FallBackSubInstRelevant">'B+C_SubInstallations'!$T$55:$T$61</definedName>
    <definedName name="CNTR_HasEntries_A_I">A_InstallationData!$G$420</definedName>
    <definedName name="CNTR_HasErrors_A">A_InstallationData!$G$450</definedName>
    <definedName name="CNTR_Incumbent">A_InstallationData!$R$14</definedName>
    <definedName name="CNTR_NACEInstallation">A_InstallationData!$L$242</definedName>
    <definedName name="CNTR_OnlyCombustion">K_Summary!$R$22</definedName>
    <definedName name="CNTR_ProdElec">E_EnergyFlows!$M$358</definedName>
    <definedName name="CNTR_ReportingYear">A_InstallationData!$V$11</definedName>
    <definedName name="CNTR_SubInstCessationDate">'B+C_SubInstallations'!$K$182:$K$198</definedName>
    <definedName name="CNTR_SubInstListBMnumbers">'B+C_SubInstallations'!$I$182:$I$198</definedName>
    <definedName name="CNTR_SubInstListHALUnit">'B+C_SubInstallations'!$N$182:$N$198</definedName>
    <definedName name="CNTR_SubInstListIsProdBM">'B+C_SubInstallations'!$H$182:$H$198</definedName>
    <definedName name="CNTR_SubInstListNames">'B+C_SubInstallations'!$F$182:$F$198</definedName>
    <definedName name="CNTR_SubInstStartDate">'B+C_SubInstallations'!$J$182:$J$198</definedName>
    <definedName name="CNTR_SubPeriod">A_InstallationData!$R$11</definedName>
    <definedName name="CNTR_TemplateVersion">a_Contents!$H$59</definedName>
    <definedName name="CNTR_UniqueID">A_InstallationData!$J$65</definedName>
    <definedName name="CTRL_InputMethodFuelDistribution">E_EnergyFlows!$Q$18</definedName>
    <definedName name="CTRL_InputMethodHeatSubInstSplit">E_EnergyFlows!$Q$230</definedName>
    <definedName name="CTRL_InputMethodNIMsvalues">A_InstallationData!$Q$31</definedName>
    <definedName name="EUconst_AbsRel">EUwideConstants!$B$9:$C$9</definedName>
    <definedName name="EUconst_AllocInitial">EUwideConstants!$B$108</definedName>
    <definedName name="EUconst_AllocPrelim">EUwideConstants!$B$109</definedName>
    <definedName name="EUconst_Allowances">EUwideConstants!$B$70</definedName>
    <definedName name="EUconst_AllYears">EUwideConstants!$B$5:$L$5</definedName>
    <definedName name="EUconst_AnnexIActivities">EUwideConstants!$B$218:$B$245</definedName>
    <definedName name="EUconst_BaselinePeriods">EUwideConstants!$B$6:$C$6</definedName>
    <definedName name="EUconst_BM">EUwideConstants!$B$16</definedName>
    <definedName name="EUconst_BM_ARR_Range">EUwideConstants!$B$57:$C$57</definedName>
    <definedName name="EUconst_BMlist107">EUwideConstants!$E$305:$E$307</definedName>
    <definedName name="EUconst_BMlistARR">EUwideConstants!$P$249:$P$300</definedName>
    <definedName name="EUconst_BMlistBMARRvaluesMatrix">EUwideConstants!$N$249:$P$300</definedName>
    <definedName name="EUconst_BMlistBMmaxvalues">EUwideConstants!$Q$249:$Q$300</definedName>
    <definedName name="EUconst_BMlistBMminvalues">EUwideConstants!$R$249:$R$300</definedName>
    <definedName name="EUconst_BMlistBMvalues">EUwideConstants!$S$249:$S$300</definedName>
    <definedName name="EUconst_BMlistBMvaluesMatrix">EUwideConstants!$Q$249:$S$300</definedName>
    <definedName name="EUconst_BMlistCLstatus">EUwideConstants!$G$249:$G$300</definedName>
    <definedName name="EUconst_BMlistElExchangability">EUwideConstants!$H$249:$H$300</definedName>
    <definedName name="EUconst_BMlistMatrix">EUwideConstants!$E$249:$H$300</definedName>
    <definedName name="EUconst_BMlistNames">EUwideConstants!$E$249:$E$300</definedName>
    <definedName name="EUconst_BMlistNotCWT">EUwideConstants!$K$249:$K$300</definedName>
    <definedName name="EUconst_BMlistNumberOfActivity">EUwideConstants!$B$249:$B$300</definedName>
    <definedName name="EUconst_BMlistNumberOfBM">EUwideConstants!$C$249:$C$300</definedName>
    <definedName name="EUconst_BMlistPulp">EUwideConstants!$L$249:$L$300</definedName>
    <definedName name="EUconst_BMlistSpecialJumpTable">EUwideConstants!$J$249:$J$300</definedName>
    <definedName name="EUconst_BMlistSpecialReporting">EUwideConstants!$I$249:$I$300</definedName>
    <definedName name="EUconst_BMlistUnits">EUwideConstants!$F$249:$F$300</definedName>
    <definedName name="EUconst_BMSubinst">EUwideConstants!$B$17</definedName>
    <definedName name="EUconst_CessationReason">EUwideConstants!$B$197:$C$197</definedName>
    <definedName name="EUconst_CLEFDistrict">EUwideConstants!$B$186:$K$186</definedName>
    <definedName name="EUconst_CLEFYears">EUwideConstants!$B$185:$K$185</definedName>
    <definedName name="EUconst_CLnonCL">EUwideConstants!$B$61:$C$61</definedName>
    <definedName name="EUconst_CNTR_100EUA_ActivityLevel">EUwideConstants!$B$189</definedName>
    <definedName name="EUconst_CNTR_100EUA_ElExch">EUwideConstants!$B$190</definedName>
    <definedName name="EUconst_CNTR_100EUA_HEAT">EUwideConstants!$B$191</definedName>
    <definedName name="EUconst_CNTR_100EUA_HVC">EUwideConstants!$B$193</definedName>
    <definedName name="EUconst_CNTR_100EUA_VCM">EUwideConstants!$B$194</definedName>
    <definedName name="EUconst_CNTR_100EUA_WGFlare">EUwideConstants!$B$192</definedName>
    <definedName name="EUconst_CNTR_AttributedEmissions">EUwideConstants!$B$169</definedName>
    <definedName name="EUconst_CNTR_CARejection">EUwideConstants!$B$195</definedName>
    <definedName name="EUconst_CNTR_CARejectionRelevant">EUwideConstants!$B$196</definedName>
    <definedName name="EUconst_CNTR_CO2Feedstock">EUwideConstants!$B$180</definedName>
    <definedName name="EUconst_CNTR_ElectricityExported">EUwideConstants!$B$168</definedName>
    <definedName name="EUconst_CNTR_ELEXCH">EUwideConstants!$B$88</definedName>
    <definedName name="EUconst_CNTR_ELEXCHfinal">EUwideConstants!$B$90</definedName>
    <definedName name="EUconst_CNTR_ELEXCHInitial">EUwideConstants!$B$87</definedName>
    <definedName name="EUconst_CNTR_ELEXCHprelim">EUwideConstants!$B$89</definedName>
    <definedName name="EUconst_CNTR_Emissions">EUwideConstants!$B$170</definedName>
    <definedName name="EUconst_CNTR_EmissionsIntSource1">EUwideConstants!$B$176</definedName>
    <definedName name="EUconst_CNTR_EmissionsIntSource2">EUwideConstants!$B$177</definedName>
    <definedName name="EUconst_CNTR_EnEff">EUwideConstants!$B$105</definedName>
    <definedName name="EUconst_CNTR_EnEffInitial">EUwideConstants!$B$104</definedName>
    <definedName name="EUconst_CNTR_EnEffPct">EUwideConstants!$B$106</definedName>
    <definedName name="EUconst_CNTR_FuelEF">EUwideConstants!$B$150</definedName>
    <definedName name="EUconst_CNTR_FuelInput">EUwideConstants!$B$149</definedName>
    <definedName name="EUconst_CNTR_HAL">EUwideConstants!$B$82</definedName>
    <definedName name="EUconst_CNTR_HALAdjPct">EUwideConstants!$B$86</definedName>
    <definedName name="EUconst_CNTR_HALfinal">EUwideConstants!$B$84</definedName>
    <definedName name="EUconst_CNTR_HALinitial">EUwideConstants!$B$81</definedName>
    <definedName name="EUconst_CNTR_HALprelim">EUwideConstants!$B$83</definedName>
    <definedName name="EUconst_CNTR_HALPulpTotal">EUwideConstants!$B$181</definedName>
    <definedName name="EUconst_CNTR_HALspecial">EUwideConstants!$B$85</definedName>
    <definedName name="EUconst_CNTR_HEAT">EUwideConstants!$B$92</definedName>
    <definedName name="EUconst_CNTR_HeatExport">EUwideConstants!$B$152</definedName>
    <definedName name="EUconst_CNTR_HeatExportEF">EUwideConstants!$B$153</definedName>
    <definedName name="EUconst_CNTR_HEATfinal">EUwideConstants!$B$94</definedName>
    <definedName name="EUconst_CNTR_HeatImport">EUwideConstants!$B$164</definedName>
    <definedName name="EUconst_CNTR_HeatImportEF">EUwideConstants!$B$165</definedName>
    <definedName name="EUconst_CNTR_HeatImportFuel">EUwideConstants!$B$174</definedName>
    <definedName name="EUconst_CNTR_HeatImportFuelEF">EUwideConstants!$B$175</definedName>
    <definedName name="EUconst_CNTR_HeatImportNitric">EUwideConstants!$B$167</definedName>
    <definedName name="EUconst_CNTR_HeatImportProduct">EUwideConstants!$B$171</definedName>
    <definedName name="EUconst_CNTR_HeatImportProductEF">EUwideConstants!$B$172</definedName>
    <definedName name="EUconst_CNTR_HeatImportPulp">EUwideConstants!$B$166</definedName>
    <definedName name="EUconst_CNTR_HeatImportPulpEF">EUwideConstants!$B$173</definedName>
    <definedName name="EUconst_CNTR_HEATInitial">EUwideConstants!$B$91</definedName>
    <definedName name="EUconst_CNTR_HEATprelim">EUwideConstants!$B$93</definedName>
    <definedName name="EUconst_CNTR_HeatProduced">EUwideConstants!$B$151</definedName>
    <definedName name="EUconst_CNTR_HVC">EUwideConstants!$B$100</definedName>
    <definedName name="EUconst_CNTR_HVCfinal">EUwideConstants!$B$102</definedName>
    <definedName name="EUconst_CNTR_HVCInitial">EUwideConstants!$B$99</definedName>
    <definedName name="EUconst_CNTR_HVCprelim">EUwideConstants!$B$101</definedName>
    <definedName name="EUconst_CNTR_IntermediateExport">EUwideConstants!$B$179</definedName>
    <definedName name="EUconst_CNTR_IntermediateImport">EUwideConstants!$B$178</definedName>
    <definedName name="EUconst_CNTR_NIMsValue">EUwideConstants!$B$80</definedName>
    <definedName name="EUconst_CNTR_nonETSMeasHeat">EUwideConstants!$B$116</definedName>
    <definedName name="EUconst_CNTR_RelThreshold">EUwideConstants!$B$188</definedName>
    <definedName name="EUconst_CNTR_VCM">EUwideConstants!$B$96</definedName>
    <definedName name="EUconst_CNTR_VCMfinal">EUwideConstants!$B$98</definedName>
    <definedName name="EUconst_CNTR_VCMInitial">EUwideConstants!$B$95</definedName>
    <definedName name="EUconst_CNTR_VCMprelim">EUwideConstants!$B$97</definedName>
    <definedName name="EUconst_CNTR_WGConsumed">EUwideConstants!$B$156</definedName>
    <definedName name="EUconst_CNTR_WGConsumedEF">EUwideConstants!$B$157</definedName>
    <definedName name="EUconst_CNTR_WGExport">EUwideConstants!$B$162</definedName>
    <definedName name="EUconst_CNTR_WGExportEF">EUwideConstants!$B$163</definedName>
    <definedName name="EUconst_CNTR_WGFlared">EUwideConstants!$B$158</definedName>
    <definedName name="EUconst_CNTR_WGFlaredEF">EUwideConstants!$B$159</definedName>
    <definedName name="EUconst_CNTR_WGImport">EUwideConstants!$B$160</definedName>
    <definedName name="EUconst_CNTR_WGImportEF">EUwideConstants!$B$161</definedName>
    <definedName name="EUconst_CNTR_WGProduced">EUwideConstants!$B$154</definedName>
    <definedName name="EUconst_CNTR_WGProducedEF">EUwideConstants!$B$155</definedName>
    <definedName name="EUconst_CombustionActivity">EUwideConstants!$B$218</definedName>
    <definedName name="EUconst_ConfirmAllowUseOfData">EUwideConstants!$B$73</definedName>
    <definedName name="EUconst_ConfirmApplicationForAlloc">EUwideConstants!$B$72:$B$72</definedName>
    <definedName name="EUconst_ConfirmationNotEligible">EUwideConstants!$B$71:$B$71</definedName>
    <definedName name="EUconst_ConnectedEntityTypes">EUwideConstants!$B$46:$E$46</definedName>
    <definedName name="EUconst_ConnectionShortTypes">EUwideConstants!$B$48:$E$48</definedName>
    <definedName name="EUconst_ConnectionTransferTypes">EUwideConstants!$B$49:$C$49</definedName>
    <definedName name="EUconst_ConnectionTypes">EUwideConstants!$B$47:$E$47</definedName>
    <definedName name="EUconst_CWTpa">EUwideConstants!$B$69</definedName>
    <definedName name="EUconst_DateMissing">EUwideConstants!$B$114</definedName>
    <definedName name="EUconst_ElBM">EUwideConstants!$B$55</definedName>
    <definedName name="EUconst_ERR_ActivityMissing">EUwideConstants!$B$143</definedName>
    <definedName name="EUconst_ERR_AttrEmBMapplied">EUwideConstants!$B$131</definedName>
    <definedName name="EUconst_ERR_CADecision">EUwideConstants!$B$132</definedName>
    <definedName name="EUconst_ERR_DatesSorting">EUwideConstants!$B$142</definedName>
    <definedName name="EUconst_ERR_DoubleBMentry">EUwideConstants!$B$123</definedName>
    <definedName name="EUconst_ERR_Goto_DI2">EUwideConstants!$B$128</definedName>
    <definedName name="EUconst_ERR_LinkToNIMs">EUwideConstants!$B$133</definedName>
    <definedName name="EUconst_ERR_Mandatory_abd">EUwideConstants!$B$120</definedName>
    <definedName name="EUconst_ERR_Mandatory_Bbc">EUwideConstants!$B$126</definedName>
    <definedName name="EUconst_ERR_Mandatory_ef">EUwideConstants!$B$121</definedName>
    <definedName name="EUconst_ERR_Mandatory_g">EUwideConstants!$B$122</definedName>
    <definedName name="EUconst_ERR_MandatoryDII3a">EUwideConstants!$B$130</definedName>
    <definedName name="EUconst_ERR_MandatoryEII4">EUwideConstants!$B$129</definedName>
    <definedName name="EUconst_ERR_MissingFallBackEntry">EUwideConstants!$B$125</definedName>
    <definedName name="EUconst_ERR_MissingSubInstEntry">EUwideConstants!$B$124</definedName>
    <definedName name="EUconst_ERR_StartWithFuels">EUwideConstants!$B$127</definedName>
    <definedName name="EUconst_Error">EUwideConstants!$B$107</definedName>
    <definedName name="EUconst_EUA">EUwideConstants!$B$12</definedName>
    <definedName name="EUconst_EUApa">EUwideConstants!$B$31</definedName>
    <definedName name="EUconst_EUApt">EUwideConstants!$B$32</definedName>
    <definedName name="EUconst_FallBackARR">EUwideConstants!$P$304:$P$310</definedName>
    <definedName name="EUconst_FallBackListBMARRvaluesMatrix">EUwideConstants!$N$304:$P$310</definedName>
    <definedName name="EUconst_FallBackListBMvalues">EUwideConstants!$S$304:$S$310</definedName>
    <definedName name="EUconst_FallBackListBMvaluesMatrix">EUwideConstants!$Q$304:$S$310</definedName>
    <definedName name="EUconst_FallBackListCLstatus">EUwideConstants!$G$304:$G$310</definedName>
    <definedName name="EUconst_FallBackListMatrix">EUwideConstants!$E$304:$H$310</definedName>
    <definedName name="EUconst_FallbackListMissing">EUwideConstants!$I$304:$I$310</definedName>
    <definedName name="EUconst_FallBackListNames">EUwideConstants!$E$304:$E$310</definedName>
    <definedName name="EUconst_FallBackListNumber">EUwideConstants!$C$304:$C$310</definedName>
    <definedName name="EUconst_FallBackListUnits">EUwideConstants!$F$304:$F$310</definedName>
    <definedName name="Euconst_FallBackSub">EUwideConstants!$B$199</definedName>
    <definedName name="EUconst_FBSubinst">EUwideConstants!$B$18</definedName>
    <definedName name="EUconst_Fuel">EUwideConstants!$B$15</definedName>
    <definedName name="EUconst_FuelBMvalue">EUwideConstants!$B$56</definedName>
    <definedName name="EUconst_FuelUseTypes">EUwideConstants!$B$52:$E$52</definedName>
    <definedName name="EUconst_GJ">EUwideConstants!$B$22</definedName>
    <definedName name="EUconst_GJpa">EUwideConstants!$B$34</definedName>
    <definedName name="EUconst_GJperTorKNm3">EUwideConstants!$B$64:$C$64</definedName>
    <definedName name="EUconst_GJperUnit">EUwideConstants!$B$67</definedName>
    <definedName name="EUconst_GJpt">EUwideConstants!$B$33</definedName>
    <definedName name="EUconst_HALsum">EUwideConstants!$B$103</definedName>
    <definedName name="EUconst_HeatBMvalue">EUwideConstants!$B$54</definedName>
    <definedName name="EUconst_HeatUseTypes">EUwideConstants!$B$51:$F$51</definedName>
    <definedName name="EUconst_Incomplete">EUwideConstants!$B$110</definedName>
    <definedName name="EUconst_Inconsistent">EUwideConstants!$B$112</definedName>
    <definedName name="EUconst_kNm3pa">EUwideConstants!$B$62</definedName>
    <definedName name="EUconst_LinkManual">EUwideConstants!$B$10:$C$10</definedName>
    <definedName name="EUconst_MinOrMaxOrActual">EUwideConstants!$B$187:$D$187</definedName>
    <definedName name="EUconst_MNm3pa">EUwideConstants!$B$68</definedName>
    <definedName name="EUconst_Month">EUwideConstants!$B$14</definedName>
    <definedName name="EUconst_MsgAttrEm">EUwideConstants!$B$135</definedName>
    <definedName name="EUconst_MsgBackToSheetF">EUwideConstants!$B$146</definedName>
    <definedName name="EUconst_MsgEnterThisSection">EUwideConstants!$B$144</definedName>
    <definedName name="EUconst_MsgGoOn">EUwideConstants!$B$138</definedName>
    <definedName name="EUconst_MsgGoOn_cd">EUwideConstants!$B$147</definedName>
    <definedName name="EUconst_MsgGoOn_d">EUwideConstants!$B$140</definedName>
    <definedName name="EUconst_MsgGoOn_e">EUwideConstants!$B$148</definedName>
    <definedName name="EUconst_MsgGoOnIfNotRelevant">EUwideConstants!$B$141</definedName>
    <definedName name="EUconst_MsgGoToNextSubInst">EUwideConstants!$B$145</definedName>
    <definedName name="EUconst_MsgProceedEII2">EUwideConstants!$B$137</definedName>
    <definedName name="EUconst_MsgProceedF">EUwideConstants!$B$136</definedName>
    <definedName name="EUconst_MsgSeeFirst">EUwideConstants!$B$134</definedName>
    <definedName name="EUconst_MsgUseElExchTool">EUwideConstants!$B$139</definedName>
    <definedName name="EUconst_MSlist">EUwideConstants!$B$117:$B$117</definedName>
    <definedName name="EUconst_MSlistEUTLcodes">EUwideConstants!$B$119:$B$119</definedName>
    <definedName name="EUconst_MSlistISOcodes">EUwideConstants!$B$118:$B$118</definedName>
    <definedName name="EUconst_MWh">EUwideConstants!$B$27</definedName>
    <definedName name="EUconst_MWhpa">EUwideConstants!$B$28</definedName>
    <definedName name="EUconst_NA">EUwideConstants!$B$11</definedName>
    <definedName name="EUconst_Negative">EUwideConstants!$B$111</definedName>
    <definedName name="EUconst_NGEFvalue">EUwideConstants!$B$183</definedName>
    <definedName name="EUconst_NotEligible">EUwideConstants!$B$115</definedName>
    <definedName name="EUconst_NotRelevant">EUwideConstants!$B$59</definedName>
    <definedName name="EUconst_OK">EUwideConstants!$B$113</definedName>
    <definedName name="EUconst_Or">EUwideConstants!$B$42</definedName>
    <definedName name="EUconst_ProcessEmissionTypes">EUwideConstants!$B$53:$J$53</definedName>
    <definedName name="Euconst_ProdBMSub">EUwideConstants!$B$198</definedName>
    <definedName name="EUconst_Relevant">EUwideConstants!$B$58</definedName>
    <definedName name="EUconst_RelevantNotRelevant">EUwideConstants!$B$60:$C$60</definedName>
    <definedName name="EUconst_relOrMWhpa">EUwideConstants!$B$44</definedName>
    <definedName name="EUconst_relOrtCO2pa">EUwideConstants!$B$45</definedName>
    <definedName name="EUconst_relOrTJpa">EUwideConstants!$B$43</definedName>
    <definedName name="EUconst_ReportingYears">EUwideConstants!$B$3:$F$3</definedName>
    <definedName name="EUconst_ReportingYears2">EUwideConstants!$B$4:$F$4</definedName>
    <definedName name="EUconst_StatusOfDataCollection">EUwideConstants!$B$2</definedName>
    <definedName name="EUconst_SumBioCO2">EUwideConstants!$B$76</definedName>
    <definedName name="EUconst_SumCO2">EUwideConstants!$B$74</definedName>
    <definedName name="EUconst_SumEnergyIN">EUwideConstants!$B$77</definedName>
    <definedName name="EUconst_SumN2O">EUwideConstants!$B$78</definedName>
    <definedName name="EUconst_SumPFC">EUwideConstants!$B$79</definedName>
    <definedName name="EUconst_SumTransferCO2">EUwideConstants!$B$75</definedName>
    <definedName name="EUconst_t">EUwideConstants!$B$29</definedName>
    <definedName name="EUconst_tCO2">EUwideConstants!$B$24</definedName>
    <definedName name="EUconst_tCO2e">EUwideConstants!$B$23</definedName>
    <definedName name="EUconst_tCO2epa">EUwideConstants!$B$40</definedName>
    <definedName name="EUconst_tCO2ept">EUwideConstants!$B$41</definedName>
    <definedName name="EUconst_tCO2eptN2O">EUwideConstants!$B$39</definedName>
    <definedName name="EUconst_tCO2pa">EUwideConstants!$B$36</definedName>
    <definedName name="EUconst_tCO2pkNm3">EUwideConstants!$B$66</definedName>
    <definedName name="EUconst_tCO2pMWh">EUwideConstants!$B$182</definedName>
    <definedName name="EUconst_tCO2pt">EUwideConstants!$B$37</definedName>
    <definedName name="EUconst_tCO2pTJ">EUwideConstants!$B$35</definedName>
    <definedName name="EUconst_tCO2pTJorT">EUwideConstants!$B$65:$D$65</definedName>
    <definedName name="EUconst_TJ">EUwideConstants!$B$21</definedName>
    <definedName name="EUconst_TJpa">EUwideConstants!$B$26</definedName>
    <definedName name="EUconst_tN2O">EUwideConstants!$B$25</definedName>
    <definedName name="EUconst_tN2Opa">EUwideConstants!$B$38</definedName>
    <definedName name="EUconst_TonnesOrkNm3pa">EUwideConstants!$B$63:$C$63</definedName>
    <definedName name="EUconst_Tons">EUwideConstants!$B$20</definedName>
    <definedName name="EUconst_tpa">EUwideConstants!$B$30</definedName>
    <definedName name="Euconst_TrueFalse">EUwideConstants!$B$7:$C$7</definedName>
    <definedName name="Euconst_TrueFalseNA">EUwideConstants!$B$8:$D$8</definedName>
    <definedName name="EUconst_Unit">EUwideConstants!$B$13</definedName>
    <definedName name="EUconst_WasteGasCorrFactor">EUwideConstants!$B$184</definedName>
    <definedName name="EUconst_WithinInst">EUwideConstants!$B$50</definedName>
    <definedName name="EUconst_Year">EUwideConstants!$B$19</definedName>
    <definedName name="JUMP_A_Bottom">A_InstallationData!$D$407</definedName>
    <definedName name="JUMP_A_I">A_InstallationData!$D$9</definedName>
    <definedName name="JUMP_A_I1">A_InstallationData!$C$52</definedName>
    <definedName name="JUMP_A_I2">A_InstallationData!$C$163</definedName>
    <definedName name="JUMP_A_I3">A_InstallationData!$C$188</definedName>
    <definedName name="JUMP_A_I4">A_InstallationData!$C$209</definedName>
    <definedName name="JUMP_A_II">A_InstallationData!$D$25</definedName>
    <definedName name="JUMP_A_II1">A_InstallationData!$C$252</definedName>
    <definedName name="JUMP_A_II2">A_InstallationData!$C$10</definedName>
    <definedName name="JUMP_A_III">A_InstallationData!$D$51</definedName>
    <definedName name="JUMP_A_IV">A_InstallationData!$D$250</definedName>
    <definedName name="JUMP_A_IV1">A_InstallationData!$C$302</definedName>
    <definedName name="JUMP_A_V">A_InstallationData!$D$300</definedName>
    <definedName name="JUMP_B_Bottom">'B+C_SubInstallations'!$D$176</definedName>
    <definedName name="JUMP_B_I">'B+C_SubInstallations'!$C$8</definedName>
    <definedName name="JUMP_B_I1">'B+C_SubInstallations'!$C$10</definedName>
    <definedName name="JUMP_B_II" localSheetId="5">'B+C_SubInstallations'!$D$95:$N$95</definedName>
    <definedName name="JUMP_Coverpage_Bottom">a_Contents!$D$73</definedName>
    <definedName name="JUMP_Coverpage_Top">a_Contents!$C$6</definedName>
    <definedName name="JUMP_D_Bottom">D_Emissions!$D$269</definedName>
    <definedName name="JUMP_D_I">D_Emissions!$D$8</definedName>
    <definedName name="JUMP_D_II">D_Emissions!$D$30</definedName>
    <definedName name="JUMP_D_III">D_Emissions!$D$43</definedName>
    <definedName name="JUMP_D_III2">D_Emissions!$C$109</definedName>
    <definedName name="JUMP_D_IV">D_Emissions!$D$154</definedName>
    <definedName name="JUMP_D_IV2">D_Emissions!$C$222</definedName>
    <definedName name="JUMP_D_Top">D_Emissions!$C$6</definedName>
    <definedName name="JUMP_E_Bottom">E_EnergyFlows!$D$384</definedName>
    <definedName name="JUMP_E_HeatFinal">E_EnergyFlows!$E$234</definedName>
    <definedName name="JUMP_E_I">E_EnergyFlows!$D$8</definedName>
    <definedName name="JUMP_E_II">E_EnergyFlows!$D$61</definedName>
    <definedName name="JUMP_E_II_2">E_EnergyFlows!$C$63</definedName>
    <definedName name="JUMP_E_III">E_EnergyFlows!$D$248</definedName>
    <definedName name="JUMP_E_IV">E_EnergyFlows!$D$354</definedName>
    <definedName name="JUMP_E_Top">E_EnergyFlows!$C$6</definedName>
    <definedName name="JUMP_F_Bottom">F_ProductBM!$D$3234</definedName>
    <definedName name="JUMP_F_I">F_ProductBM!$D$11</definedName>
    <definedName name="JUMP_F_Top">F_ProductBM!$C$7</definedName>
    <definedName name="JUMP_F1">F_ProductBM!$C$13</definedName>
    <definedName name="JUMP_F10">F_ProductBM!$C$2911</definedName>
    <definedName name="JUMP_F2">F_ProductBM!$C$335</definedName>
    <definedName name="JUMP_F3">F_ProductBM!$C$657</definedName>
    <definedName name="JUMP_F4">F_ProductBM!$C$979</definedName>
    <definedName name="JUMP_F5">F_ProductBM!$C$1301</definedName>
    <definedName name="JUMP_F6">F_ProductBM!$C$1623</definedName>
    <definedName name="JUMP_F7">F_ProductBM!$C$1945</definedName>
    <definedName name="JUMP_F8">F_ProductBM!$C$2267</definedName>
    <definedName name="JUMP_F9">F_ProductBM!$C$2589</definedName>
    <definedName name="JUMP_G_Bottom">'G_Fall-back'!$D$1182</definedName>
    <definedName name="JUMP_G_I">'G_Fall-back'!$D$10</definedName>
    <definedName name="JUMP_G_Top">'G_Fall-back'!$C$6</definedName>
    <definedName name="JUMP_G1">'G_Fall-back'!$C$12</definedName>
    <definedName name="JUMP_G2">'G_Fall-back'!$C$249</definedName>
    <definedName name="JUMP_G3">'G_Fall-back'!$C$486</definedName>
    <definedName name="JUMP_G4">'G_Fall-back'!$C$609</definedName>
    <definedName name="JUMP_G5">'G_Fall-back'!$C$796</definedName>
    <definedName name="JUMP_G6">'G_Fall-back'!$C$983</definedName>
    <definedName name="JUMP_G7">'G_Fall-back'!$C$1083</definedName>
    <definedName name="JUMP_Guidelines_Bottom">'b_Guidelines &amp; conditions'!$D$92</definedName>
    <definedName name="JUMP_Guidelines_Home">'b_Guidelines &amp; conditions'!$D$16</definedName>
    <definedName name="JUMP_H_Bottom">H_SpecialBM!$D$412</definedName>
    <definedName name="JUMP_H_I">H_SpecialBM!$D$9</definedName>
    <definedName name="JUMP_H_II">H_SpecialBM!$D$99</definedName>
    <definedName name="JUMP_H_III">H_SpecialBM!$D$133</definedName>
    <definedName name="JUMP_H_IV">H_SpecialBM!$D$167</definedName>
    <definedName name="JUMP_H_IX">H_SpecialBM!$D$369</definedName>
    <definedName name="JUMP_H_Top">H_SpecialBM!$C$7</definedName>
    <definedName name="JUMP_H_V">H_SpecialBM!$D$234</definedName>
    <definedName name="JUMP_H_VI">H_SpecialBM!$D$274</definedName>
    <definedName name="JUMP_H_VII">H_SpecialBM!$D$307</definedName>
    <definedName name="JUMP_H_VIII">H_SpecialBM!$D$340</definedName>
    <definedName name="JUMP_I_Bottom">I_MSspecific!$C$30</definedName>
    <definedName name="JUMP_I_MSspecific">I_MSspecific!$C$7</definedName>
    <definedName name="JUMP_I_Top">I_MSspecific!$B$5</definedName>
    <definedName name="JUMP_J_I">J_Comments!$D$8</definedName>
    <definedName name="JUMP_J_II">J_Comments!$D$50</definedName>
    <definedName name="JUMP_J_Top">J_Comments!$C$6</definedName>
    <definedName name="JUMP_K_Bottom">K_Summary!$D$2729</definedName>
    <definedName name="JUMP_K_I">K_Summary!$D$8</definedName>
    <definedName name="JUMP_K_II">K_Summary!$C$47</definedName>
    <definedName name="JUMP_K_III">K_Summary!$C$59</definedName>
    <definedName name="JUMP_K_III2">K_Summary!$C$73</definedName>
    <definedName name="JUMP_K_IV">K_Summary!$C$450</definedName>
    <definedName name="JUMP_K_Top">K_Summary!$C$6</definedName>
    <definedName name="JUMP_K_V">K_Summary!$C$2502</definedName>
    <definedName name="JUMP_K_V_Disclaimer">K_Summary!$D$2509</definedName>
    <definedName name="JUMP_NIMsSummary">#REF!</definedName>
    <definedName name="JUMP_TOC_Home">a_Contents!$B$6</definedName>
    <definedName name="MSconst_RequireEmissionTotals">MSParameters!$B$3</definedName>
    <definedName name="MSconst_RequireEnEffDetails">MSParameters!$B$6</definedName>
    <definedName name="MSconst_RequireFuelEF">MSParameters!$B$5</definedName>
    <definedName name="MSconst_RequirePermitInfo">MSParameters!$B$2</definedName>
    <definedName name="MSconst_RequireSubAttrEmissions">MSParameters!$B$4</definedName>
    <definedName name="_xlnm.Print_Area" localSheetId="0">a_Contents!$B$5:$M$72</definedName>
    <definedName name="_xlnm.Print_Area" localSheetId="4">A_InstallationData!$C$5:$P$405</definedName>
    <definedName name="_xlnm.Print_Area" localSheetId="1">'b_Guidelines &amp; conditions'!$C$5:$M$91</definedName>
    <definedName name="_xlnm.Print_Area" localSheetId="5">'B+C_SubInstallations'!$C$5:$P$174</definedName>
    <definedName name="_xlnm.Print_Area" localSheetId="6">D_Emissions!$C$5:$P$268</definedName>
    <definedName name="_xlnm.Print_Area" localSheetId="7">E_EnergyFlows!$B$5:$P$383</definedName>
    <definedName name="_xlnm.Print_Area" localSheetId="8">INDIRECT(F_ProductBM!$S$2)</definedName>
    <definedName name="_xlnm.Print_Area" localSheetId="9">'G_Fall-back'!$B$5:$P$1081</definedName>
    <definedName name="_xlnm.Print_Area" localSheetId="10">H_SpecialBM!$B$6:$P$411</definedName>
    <definedName name="_xlnm.Print_Area" localSheetId="11">I_MSspecific!$A$4:$M$29</definedName>
    <definedName name="_xlnm.Print_Area" localSheetId="12">J_Comments!$B$5:$N$62</definedName>
    <definedName name="_xlnm.Print_Area" localSheetId="13">K_Summary!$C$5:$N$2728</definedName>
    <definedName name="_xlnm.Print_Area" localSheetId="16">VersionDocumentation!$A$1:$E$87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7074" i="66" l="1"/>
  <c r="M7074" i="66"/>
  <c r="L7074" i="66"/>
  <c r="K7074" i="66"/>
  <c r="J7074" i="66"/>
  <c r="I7074" i="66"/>
  <c r="N7073" i="66"/>
  <c r="M7073" i="66"/>
  <c r="L7073" i="66"/>
  <c r="K7073" i="66"/>
  <c r="J7073" i="66"/>
  <c r="N7071" i="66"/>
  <c r="M7071" i="66"/>
  <c r="L7071" i="66"/>
  <c r="K7071" i="66"/>
  <c r="J7071" i="66"/>
  <c r="N7068" i="66"/>
  <c r="M7068" i="66"/>
  <c r="L7068" i="66"/>
  <c r="K7068" i="66"/>
  <c r="J7068" i="66"/>
  <c r="I7068" i="66"/>
  <c r="N7067" i="66"/>
  <c r="M7067" i="66"/>
  <c r="L7067" i="66"/>
  <c r="K7067" i="66"/>
  <c r="J7067" i="66"/>
  <c r="N7066" i="66"/>
  <c r="M7066" i="66"/>
  <c r="L7066" i="66"/>
  <c r="K7066" i="66"/>
  <c r="J7066" i="66"/>
  <c r="N7065" i="66"/>
  <c r="M7065" i="66"/>
  <c r="L7065" i="66"/>
  <c r="K7065" i="66"/>
  <c r="J7065" i="66"/>
  <c r="I7065" i="66"/>
  <c r="N7060" i="66"/>
  <c r="M7060" i="66"/>
  <c r="L7060" i="66"/>
  <c r="K7060" i="66"/>
  <c r="J7060" i="66"/>
  <c r="I7060" i="66"/>
  <c r="H7060" i="66"/>
  <c r="N7058" i="66"/>
  <c r="M7058" i="66"/>
  <c r="L7058" i="66"/>
  <c r="K7058" i="66"/>
  <c r="J7058" i="66"/>
  <c r="I7058" i="66"/>
  <c r="H7058" i="66"/>
  <c r="N7057" i="66"/>
  <c r="M7057" i="66"/>
  <c r="L7057" i="66"/>
  <c r="K7057" i="66"/>
  <c r="J7057" i="66"/>
  <c r="I7057" i="66"/>
  <c r="H7057" i="66"/>
  <c r="N7056" i="66"/>
  <c r="M7056" i="66"/>
  <c r="L7056" i="66"/>
  <c r="K7056" i="66"/>
  <c r="J7056" i="66"/>
  <c r="I7056" i="66"/>
  <c r="H7056" i="66"/>
  <c r="N7055" i="66"/>
  <c r="M7055" i="66"/>
  <c r="L7055" i="66"/>
  <c r="K7055" i="66"/>
  <c r="J7055" i="66"/>
  <c r="I7055" i="66"/>
  <c r="H7055" i="66"/>
  <c r="N7054" i="66"/>
  <c r="M7054" i="66"/>
  <c r="L7054" i="66"/>
  <c r="K7054" i="66"/>
  <c r="J7054" i="66"/>
  <c r="I7054" i="66"/>
  <c r="H7054" i="66"/>
  <c r="L7047" i="66"/>
  <c r="N7032" i="66"/>
  <c r="M7032" i="66"/>
  <c r="L7032" i="66"/>
  <c r="K7032" i="66"/>
  <c r="J7032" i="66"/>
  <c r="I7032" i="66"/>
  <c r="H7032" i="66"/>
  <c r="N7026" i="66"/>
  <c r="M7026" i="66"/>
  <c r="L7026" i="66"/>
  <c r="K7026" i="66"/>
  <c r="J7026" i="66"/>
  <c r="I7026" i="66"/>
  <c r="H7026" i="66"/>
  <c r="N7025" i="66"/>
  <c r="M7025" i="66"/>
  <c r="L7025" i="66"/>
  <c r="K7025" i="66"/>
  <c r="J7025" i="66"/>
  <c r="I7025" i="66"/>
  <c r="H7025" i="66"/>
  <c r="N7024" i="66"/>
  <c r="M7024" i="66"/>
  <c r="L7024" i="66"/>
  <c r="K7024" i="66"/>
  <c r="J7024" i="66"/>
  <c r="I7024" i="66"/>
  <c r="H7024" i="66"/>
  <c r="N7023" i="66"/>
  <c r="M7023" i="66"/>
  <c r="L7023" i="66"/>
  <c r="K7023" i="66"/>
  <c r="J7023" i="66"/>
  <c r="I7023" i="66"/>
  <c r="H7023" i="66"/>
  <c r="N7022" i="66"/>
  <c r="M7022" i="66"/>
  <c r="L7022" i="66"/>
  <c r="K7022" i="66"/>
  <c r="J7022" i="66"/>
  <c r="I7022" i="66"/>
  <c r="H7022" i="66"/>
  <c r="L7014" i="66"/>
  <c r="N7003" i="66"/>
  <c r="M7003" i="66"/>
  <c r="L7003" i="66"/>
  <c r="K7003" i="66"/>
  <c r="J7003" i="66"/>
  <c r="I7003" i="66"/>
  <c r="H7003" i="66"/>
  <c r="N6996" i="66"/>
  <c r="M6996" i="66"/>
  <c r="L6996" i="66"/>
  <c r="K6996" i="66"/>
  <c r="J6996" i="66"/>
  <c r="I6996" i="66"/>
  <c r="H6996" i="66"/>
  <c r="N6990" i="66"/>
  <c r="M6990" i="66"/>
  <c r="L6990" i="66"/>
  <c r="K6990" i="66"/>
  <c r="J6990" i="66"/>
  <c r="I6990" i="66"/>
  <c r="H6990" i="66"/>
  <c r="L6982" i="66"/>
  <c r="N6970" i="66"/>
  <c r="M6970" i="66"/>
  <c r="L6970" i="66"/>
  <c r="K6970" i="66"/>
  <c r="J6970" i="66"/>
  <c r="I6970" i="66"/>
  <c r="H6970" i="66"/>
  <c r="N6963" i="66"/>
  <c r="M6963" i="66"/>
  <c r="L6963" i="66"/>
  <c r="K6963" i="66"/>
  <c r="J6963" i="66"/>
  <c r="I6963" i="66"/>
  <c r="H6963" i="66"/>
  <c r="N6957" i="66"/>
  <c r="M6957" i="66"/>
  <c r="L6957" i="66"/>
  <c r="K6957" i="66"/>
  <c r="J6957" i="66"/>
  <c r="I6957" i="66"/>
  <c r="H6957" i="66"/>
  <c r="L6949" i="66"/>
  <c r="N6937" i="66"/>
  <c r="M6937" i="66"/>
  <c r="L6937" i="66"/>
  <c r="K6937" i="66"/>
  <c r="J6937" i="66"/>
  <c r="I6937" i="66"/>
  <c r="H6937" i="66"/>
  <c r="N6929" i="66"/>
  <c r="M6929" i="66"/>
  <c r="L6929" i="66"/>
  <c r="K6929" i="66"/>
  <c r="J6929" i="66"/>
  <c r="I6929" i="66"/>
  <c r="H6929" i="66"/>
  <c r="N6928" i="66"/>
  <c r="M6928" i="66"/>
  <c r="L6928" i="66"/>
  <c r="K6928" i="66"/>
  <c r="J6928" i="66"/>
  <c r="I6928" i="66"/>
  <c r="H6928" i="66"/>
  <c r="N6927" i="66"/>
  <c r="M6927" i="66"/>
  <c r="L6927" i="66"/>
  <c r="K6927" i="66"/>
  <c r="J6927" i="66"/>
  <c r="I6927" i="66"/>
  <c r="H6927" i="66"/>
  <c r="N6926" i="66"/>
  <c r="M6926" i="66"/>
  <c r="L6926" i="66"/>
  <c r="K6926" i="66"/>
  <c r="J6926" i="66"/>
  <c r="I6926" i="66"/>
  <c r="H6926" i="66"/>
  <c r="N6925" i="66"/>
  <c r="M6925" i="66"/>
  <c r="L6925" i="66"/>
  <c r="K6925" i="66"/>
  <c r="J6925" i="66"/>
  <c r="I6925" i="66"/>
  <c r="H6925" i="66"/>
  <c r="N6924" i="66"/>
  <c r="M6924" i="66"/>
  <c r="L6924" i="66"/>
  <c r="K6924" i="66"/>
  <c r="J6924" i="66"/>
  <c r="I6924" i="66"/>
  <c r="H6924" i="66"/>
  <c r="N6923" i="66"/>
  <c r="M6923" i="66"/>
  <c r="L6923" i="66"/>
  <c r="K6923" i="66"/>
  <c r="J6923" i="66"/>
  <c r="I6923" i="66"/>
  <c r="H6923" i="66"/>
  <c r="N6922" i="66"/>
  <c r="M6922" i="66"/>
  <c r="L6922" i="66"/>
  <c r="K6922" i="66"/>
  <c r="J6922" i="66"/>
  <c r="I6922" i="66"/>
  <c r="H6922" i="66"/>
  <c r="L6909" i="66"/>
  <c r="N6896" i="66"/>
  <c r="M6896" i="66"/>
  <c r="L6896" i="66"/>
  <c r="K6896" i="66"/>
  <c r="J6896" i="66"/>
  <c r="I6896" i="66"/>
  <c r="N6895" i="66"/>
  <c r="M6895" i="66"/>
  <c r="L6895" i="66"/>
  <c r="K6895" i="66"/>
  <c r="J6895" i="66"/>
  <c r="N6893" i="66"/>
  <c r="M6893" i="66"/>
  <c r="L6893" i="66"/>
  <c r="K6893" i="66"/>
  <c r="J6893" i="66"/>
  <c r="N6890" i="66"/>
  <c r="M6890" i="66"/>
  <c r="L6890" i="66"/>
  <c r="K6890" i="66"/>
  <c r="J6890" i="66"/>
  <c r="I6890" i="66"/>
  <c r="N6889" i="66"/>
  <c r="M6889" i="66"/>
  <c r="L6889" i="66"/>
  <c r="K6889" i="66"/>
  <c r="J6889" i="66"/>
  <c r="N6888" i="66"/>
  <c r="M6888" i="66"/>
  <c r="L6888" i="66"/>
  <c r="K6888" i="66"/>
  <c r="J6888" i="66"/>
  <c r="N6887" i="66"/>
  <c r="M6887" i="66"/>
  <c r="L6887" i="66"/>
  <c r="K6887" i="66"/>
  <c r="J6887" i="66"/>
  <c r="I6887" i="66"/>
  <c r="N6884" i="66"/>
  <c r="M6884" i="66"/>
  <c r="L6884" i="66"/>
  <c r="K6884" i="66"/>
  <c r="J6884" i="66"/>
  <c r="I6884" i="66"/>
  <c r="H6884" i="66"/>
  <c r="N6877" i="66"/>
  <c r="M6877" i="66"/>
  <c r="L6877" i="66"/>
  <c r="K6877" i="66"/>
  <c r="J6877" i="66"/>
  <c r="I6877" i="66"/>
  <c r="H6877" i="66"/>
  <c r="N6876" i="66"/>
  <c r="M6876" i="66"/>
  <c r="L6876" i="66"/>
  <c r="K6876" i="66"/>
  <c r="J6876" i="66"/>
  <c r="I6876" i="66"/>
  <c r="H6876" i="66"/>
  <c r="N6875" i="66"/>
  <c r="M6875" i="66"/>
  <c r="L6875" i="66"/>
  <c r="K6875" i="66"/>
  <c r="J6875" i="66"/>
  <c r="I6875" i="66"/>
  <c r="H6875" i="66"/>
  <c r="N6864" i="66"/>
  <c r="M6864" i="66"/>
  <c r="L6864" i="66"/>
  <c r="K6864" i="66"/>
  <c r="J6864" i="66"/>
  <c r="I6864" i="66"/>
  <c r="H6864" i="66"/>
  <c r="N6858" i="66"/>
  <c r="M6858" i="66"/>
  <c r="L6858" i="66"/>
  <c r="K6858" i="66"/>
  <c r="J6858" i="66"/>
  <c r="I6858" i="66"/>
  <c r="H6858" i="66"/>
  <c r="N6857" i="66"/>
  <c r="M6857" i="66"/>
  <c r="L6857" i="66"/>
  <c r="K6857" i="66"/>
  <c r="J6857" i="66"/>
  <c r="I6857" i="66"/>
  <c r="H6857" i="66"/>
  <c r="N6856" i="66"/>
  <c r="M6856" i="66"/>
  <c r="L6856" i="66"/>
  <c r="K6856" i="66"/>
  <c r="J6856" i="66"/>
  <c r="I6856" i="66"/>
  <c r="H6856" i="66"/>
  <c r="N6848" i="66"/>
  <c r="M6848" i="66"/>
  <c r="L6848" i="66"/>
  <c r="K6848" i="66"/>
  <c r="J6848" i="66"/>
  <c r="I6848" i="66"/>
  <c r="H6848" i="66"/>
  <c r="L6841" i="66"/>
  <c r="N6830" i="66"/>
  <c r="M6830" i="66"/>
  <c r="L6830" i="66"/>
  <c r="K6830" i="66"/>
  <c r="J6830" i="66"/>
  <c r="I6830" i="66"/>
  <c r="H6830" i="66"/>
  <c r="N6824" i="66"/>
  <c r="M6824" i="66"/>
  <c r="L6824" i="66"/>
  <c r="K6824" i="66"/>
  <c r="J6824" i="66"/>
  <c r="I6824" i="66"/>
  <c r="H6824" i="66"/>
  <c r="N6823" i="66"/>
  <c r="M6823" i="66"/>
  <c r="L6823" i="66"/>
  <c r="K6823" i="66"/>
  <c r="J6823" i="66"/>
  <c r="I6823" i="66"/>
  <c r="H6823" i="66"/>
  <c r="N6814" i="66"/>
  <c r="M6814" i="66"/>
  <c r="L6814" i="66"/>
  <c r="K6814" i="66"/>
  <c r="J6814" i="66"/>
  <c r="I6814" i="66"/>
  <c r="H6814" i="66"/>
  <c r="L6807" i="66"/>
  <c r="N6796" i="66"/>
  <c r="M6796" i="66"/>
  <c r="L6796" i="66"/>
  <c r="K6796" i="66"/>
  <c r="J6796" i="66"/>
  <c r="I6796" i="66"/>
  <c r="H6796" i="66"/>
  <c r="N6790" i="66"/>
  <c r="M6790" i="66"/>
  <c r="L6790" i="66"/>
  <c r="K6790" i="66"/>
  <c r="J6790" i="66"/>
  <c r="I6790" i="66"/>
  <c r="H6790" i="66"/>
  <c r="N6789" i="66"/>
  <c r="M6789" i="66"/>
  <c r="L6789" i="66"/>
  <c r="K6789" i="66"/>
  <c r="J6789" i="66"/>
  <c r="I6789" i="66"/>
  <c r="H6789" i="66"/>
  <c r="N6780" i="66"/>
  <c r="M6780" i="66"/>
  <c r="L6780" i="66"/>
  <c r="K6780" i="66"/>
  <c r="J6780" i="66"/>
  <c r="I6780" i="66"/>
  <c r="H6780" i="66"/>
  <c r="L6773" i="66"/>
  <c r="N6762" i="66"/>
  <c r="M6762" i="66"/>
  <c r="L6762" i="66"/>
  <c r="K6762" i="66"/>
  <c r="J6762" i="66"/>
  <c r="I6762" i="66"/>
  <c r="H6762" i="66"/>
  <c r="N6754" i="66"/>
  <c r="M6754" i="66"/>
  <c r="L6754" i="66"/>
  <c r="K6754" i="66"/>
  <c r="J6754" i="66"/>
  <c r="I6754" i="66"/>
  <c r="H6754" i="66"/>
  <c r="N6753" i="66"/>
  <c r="M6753" i="66"/>
  <c r="L6753" i="66"/>
  <c r="K6753" i="66"/>
  <c r="J6753" i="66"/>
  <c r="I6753" i="66"/>
  <c r="H6753" i="66"/>
  <c r="N6752" i="66"/>
  <c r="M6752" i="66"/>
  <c r="L6752" i="66"/>
  <c r="K6752" i="66"/>
  <c r="J6752" i="66"/>
  <c r="I6752" i="66"/>
  <c r="H6752" i="66"/>
  <c r="N6751" i="66"/>
  <c r="M6751" i="66"/>
  <c r="L6751" i="66"/>
  <c r="K6751" i="66"/>
  <c r="J6751" i="66"/>
  <c r="I6751" i="66"/>
  <c r="H6751" i="66"/>
  <c r="N6750" i="66"/>
  <c r="M6750" i="66"/>
  <c r="L6750" i="66"/>
  <c r="K6750" i="66"/>
  <c r="J6750" i="66"/>
  <c r="I6750" i="66"/>
  <c r="H6750" i="66"/>
  <c r="N6749" i="66"/>
  <c r="M6749" i="66"/>
  <c r="L6749" i="66"/>
  <c r="K6749" i="66"/>
  <c r="J6749" i="66"/>
  <c r="I6749" i="66"/>
  <c r="H6749" i="66"/>
  <c r="N6748" i="66"/>
  <c r="M6748" i="66"/>
  <c r="L6748" i="66"/>
  <c r="K6748" i="66"/>
  <c r="J6748" i="66"/>
  <c r="I6748" i="66"/>
  <c r="H6748" i="66"/>
  <c r="N6747" i="66"/>
  <c r="M6747" i="66"/>
  <c r="L6747" i="66"/>
  <c r="K6747" i="66"/>
  <c r="J6747" i="66"/>
  <c r="I6747" i="66"/>
  <c r="H6747" i="66"/>
  <c r="N6746" i="66"/>
  <c r="M6746" i="66"/>
  <c r="L6746" i="66"/>
  <c r="K6746" i="66"/>
  <c r="J6746" i="66"/>
  <c r="I6746" i="66"/>
  <c r="H6746" i="66"/>
  <c r="N6745" i="66"/>
  <c r="M6745" i="66"/>
  <c r="L6745" i="66"/>
  <c r="K6745" i="66"/>
  <c r="J6745" i="66"/>
  <c r="I6745" i="66"/>
  <c r="H6745" i="66"/>
  <c r="N6744" i="66"/>
  <c r="M6744" i="66"/>
  <c r="L6744" i="66"/>
  <c r="K6744" i="66"/>
  <c r="J6744" i="66"/>
  <c r="I6744" i="66"/>
  <c r="H6744" i="66"/>
  <c r="N6743" i="66"/>
  <c r="M6743" i="66"/>
  <c r="L6743" i="66"/>
  <c r="K6743" i="66"/>
  <c r="J6743" i="66"/>
  <c r="I6743" i="66"/>
  <c r="H6743" i="66"/>
  <c r="N6742" i="66"/>
  <c r="M6742" i="66"/>
  <c r="L6742" i="66"/>
  <c r="K6742" i="66"/>
  <c r="J6742" i="66"/>
  <c r="I6742" i="66"/>
  <c r="H6742" i="66"/>
  <c r="N6741" i="66"/>
  <c r="M6741" i="66"/>
  <c r="L6741" i="66"/>
  <c r="K6741" i="66"/>
  <c r="J6741" i="66"/>
  <c r="I6741" i="66"/>
  <c r="H6741" i="66"/>
  <c r="N6740" i="66"/>
  <c r="M6740" i="66"/>
  <c r="L6740" i="66"/>
  <c r="K6740" i="66"/>
  <c r="J6740" i="66"/>
  <c r="I6740" i="66"/>
  <c r="H6740" i="66"/>
  <c r="N6739" i="66"/>
  <c r="M6739" i="66"/>
  <c r="L6739" i="66"/>
  <c r="K6739" i="66"/>
  <c r="J6739" i="66"/>
  <c r="I6739" i="66"/>
  <c r="H6739" i="66"/>
  <c r="N6738" i="66"/>
  <c r="M6738" i="66"/>
  <c r="L6738" i="66"/>
  <c r="K6738" i="66"/>
  <c r="J6738" i="66"/>
  <c r="I6738" i="66"/>
  <c r="H6738" i="66"/>
  <c r="N6737" i="66"/>
  <c r="M6737" i="66"/>
  <c r="L6737" i="66"/>
  <c r="K6737" i="66"/>
  <c r="J6737" i="66"/>
  <c r="I6737" i="66"/>
  <c r="H6737" i="66"/>
  <c r="N6736" i="66"/>
  <c r="M6736" i="66"/>
  <c r="L6736" i="66"/>
  <c r="K6736" i="66"/>
  <c r="J6736" i="66"/>
  <c r="I6736" i="66"/>
  <c r="H6736" i="66"/>
  <c r="N6735" i="66"/>
  <c r="M6735" i="66"/>
  <c r="L6735" i="66"/>
  <c r="K6735" i="66"/>
  <c r="J6735" i="66"/>
  <c r="I6735" i="66"/>
  <c r="H6735" i="66"/>
  <c r="N6734" i="66"/>
  <c r="M6734" i="66"/>
  <c r="L6734" i="66"/>
  <c r="K6734" i="66"/>
  <c r="J6734" i="66"/>
  <c r="I6734" i="66"/>
  <c r="H6734" i="66"/>
  <c r="N6733" i="66"/>
  <c r="M6733" i="66"/>
  <c r="L6733" i="66"/>
  <c r="K6733" i="66"/>
  <c r="J6733" i="66"/>
  <c r="I6733" i="66"/>
  <c r="H6733" i="66"/>
  <c r="N6732" i="66"/>
  <c r="M6732" i="66"/>
  <c r="L6732" i="66"/>
  <c r="K6732" i="66"/>
  <c r="J6732" i="66"/>
  <c r="I6732" i="66"/>
  <c r="H6732" i="66"/>
  <c r="N6731" i="66"/>
  <c r="M6731" i="66"/>
  <c r="L6731" i="66"/>
  <c r="K6731" i="66"/>
  <c r="J6731" i="66"/>
  <c r="I6731" i="66"/>
  <c r="H6731" i="66"/>
  <c r="N6730" i="66"/>
  <c r="M6730" i="66"/>
  <c r="L6730" i="66"/>
  <c r="K6730" i="66"/>
  <c r="J6730" i="66"/>
  <c r="I6730" i="66"/>
  <c r="H6730" i="66"/>
  <c r="N6729" i="66"/>
  <c r="M6729" i="66"/>
  <c r="L6729" i="66"/>
  <c r="K6729" i="66"/>
  <c r="J6729" i="66"/>
  <c r="I6729" i="66"/>
  <c r="H6729" i="66"/>
  <c r="N6728" i="66"/>
  <c r="M6728" i="66"/>
  <c r="L6728" i="66"/>
  <c r="K6728" i="66"/>
  <c r="J6728" i="66"/>
  <c r="I6728" i="66"/>
  <c r="H6728" i="66"/>
  <c r="N6727" i="66"/>
  <c r="M6727" i="66"/>
  <c r="L6727" i="66"/>
  <c r="K6727" i="66"/>
  <c r="J6727" i="66"/>
  <c r="I6727" i="66"/>
  <c r="H6727" i="66"/>
  <c r="N6726" i="66"/>
  <c r="M6726" i="66"/>
  <c r="L6726" i="66"/>
  <c r="K6726" i="66"/>
  <c r="J6726" i="66"/>
  <c r="I6726" i="66"/>
  <c r="H6726" i="66"/>
  <c r="N6725" i="66"/>
  <c r="M6725" i="66"/>
  <c r="L6725" i="66"/>
  <c r="K6725" i="66"/>
  <c r="J6725" i="66"/>
  <c r="I6725" i="66"/>
  <c r="H6725" i="66"/>
  <c r="N6724" i="66"/>
  <c r="M6724" i="66"/>
  <c r="L6724" i="66"/>
  <c r="K6724" i="66"/>
  <c r="J6724" i="66"/>
  <c r="I6724" i="66"/>
  <c r="H6724" i="66"/>
  <c r="N6723" i="66"/>
  <c r="M6723" i="66"/>
  <c r="L6723" i="66"/>
  <c r="K6723" i="66"/>
  <c r="J6723" i="66"/>
  <c r="I6723" i="66"/>
  <c r="H6723" i="66"/>
  <c r="N6722" i="66"/>
  <c r="M6722" i="66"/>
  <c r="L6722" i="66"/>
  <c r="K6722" i="66"/>
  <c r="J6722" i="66"/>
  <c r="I6722" i="66"/>
  <c r="H6722" i="66"/>
  <c r="N6721" i="66"/>
  <c r="M6721" i="66"/>
  <c r="L6721" i="66"/>
  <c r="K6721" i="66"/>
  <c r="J6721" i="66"/>
  <c r="I6721" i="66"/>
  <c r="H6721" i="66"/>
  <c r="N6720" i="66"/>
  <c r="M6720" i="66"/>
  <c r="L6720" i="66"/>
  <c r="K6720" i="66"/>
  <c r="J6720" i="66"/>
  <c r="I6720" i="66"/>
  <c r="H6720" i="66"/>
  <c r="N6719" i="66"/>
  <c r="M6719" i="66"/>
  <c r="L6719" i="66"/>
  <c r="K6719" i="66"/>
  <c r="J6719" i="66"/>
  <c r="I6719" i="66"/>
  <c r="H6719" i="66"/>
  <c r="N6718" i="66"/>
  <c r="M6718" i="66"/>
  <c r="L6718" i="66"/>
  <c r="K6718" i="66"/>
  <c r="J6718" i="66"/>
  <c r="I6718" i="66"/>
  <c r="H6718" i="66"/>
  <c r="N6717" i="66"/>
  <c r="M6717" i="66"/>
  <c r="L6717" i="66"/>
  <c r="K6717" i="66"/>
  <c r="J6717" i="66"/>
  <c r="I6717" i="66"/>
  <c r="H6717" i="66"/>
  <c r="N6716" i="66"/>
  <c r="M6716" i="66"/>
  <c r="L6716" i="66"/>
  <c r="K6716" i="66"/>
  <c r="J6716" i="66"/>
  <c r="I6716" i="66"/>
  <c r="H6716" i="66"/>
  <c r="N6715" i="66"/>
  <c r="M6715" i="66"/>
  <c r="L6715" i="66"/>
  <c r="K6715" i="66"/>
  <c r="J6715" i="66"/>
  <c r="I6715" i="66"/>
  <c r="H6715" i="66"/>
  <c r="N6714" i="66"/>
  <c r="M6714" i="66"/>
  <c r="L6714" i="66"/>
  <c r="K6714" i="66"/>
  <c r="J6714" i="66"/>
  <c r="I6714" i="66"/>
  <c r="H6714" i="66"/>
  <c r="N6713" i="66"/>
  <c r="M6713" i="66"/>
  <c r="L6713" i="66"/>
  <c r="K6713" i="66"/>
  <c r="J6713" i="66"/>
  <c r="I6713" i="66"/>
  <c r="H6713" i="66"/>
  <c r="N6712" i="66"/>
  <c r="M6712" i="66"/>
  <c r="L6712" i="66"/>
  <c r="K6712" i="66"/>
  <c r="J6712" i="66"/>
  <c r="I6712" i="66"/>
  <c r="H6712" i="66"/>
  <c r="N6711" i="66"/>
  <c r="M6711" i="66"/>
  <c r="L6711" i="66"/>
  <c r="K6711" i="66"/>
  <c r="J6711" i="66"/>
  <c r="I6711" i="66"/>
  <c r="H6711" i="66"/>
  <c r="N6710" i="66"/>
  <c r="M6710" i="66"/>
  <c r="L6710" i="66"/>
  <c r="K6710" i="66"/>
  <c r="J6710" i="66"/>
  <c r="I6710" i="66"/>
  <c r="H6710" i="66"/>
  <c r="N6709" i="66"/>
  <c r="M6709" i="66"/>
  <c r="L6709" i="66"/>
  <c r="K6709" i="66"/>
  <c r="J6709" i="66"/>
  <c r="I6709" i="66"/>
  <c r="H6709" i="66"/>
  <c r="N6708" i="66"/>
  <c r="M6708" i="66"/>
  <c r="L6708" i="66"/>
  <c r="K6708" i="66"/>
  <c r="J6708" i="66"/>
  <c r="I6708" i="66"/>
  <c r="H6708" i="66"/>
  <c r="N6707" i="66"/>
  <c r="M6707" i="66"/>
  <c r="L6707" i="66"/>
  <c r="K6707" i="66"/>
  <c r="J6707" i="66"/>
  <c r="I6707" i="66"/>
  <c r="H6707" i="66"/>
  <c r="N6706" i="66"/>
  <c r="M6706" i="66"/>
  <c r="L6706" i="66"/>
  <c r="K6706" i="66"/>
  <c r="J6706" i="66"/>
  <c r="I6706" i="66"/>
  <c r="H6706" i="66"/>
  <c r="N6705" i="66"/>
  <c r="M6705" i="66"/>
  <c r="L6705" i="66"/>
  <c r="K6705" i="66"/>
  <c r="J6705" i="66"/>
  <c r="I6705" i="66"/>
  <c r="H6705" i="66"/>
  <c r="N6704" i="66"/>
  <c r="M6704" i="66"/>
  <c r="L6704" i="66"/>
  <c r="K6704" i="66"/>
  <c r="J6704" i="66"/>
  <c r="I6704" i="66"/>
  <c r="H6704" i="66"/>
  <c r="N6703" i="66"/>
  <c r="M6703" i="66"/>
  <c r="L6703" i="66"/>
  <c r="K6703" i="66"/>
  <c r="J6703" i="66"/>
  <c r="I6703" i="66"/>
  <c r="H6703" i="66"/>
  <c r="N6702" i="66"/>
  <c r="M6702" i="66"/>
  <c r="L6702" i="66"/>
  <c r="K6702" i="66"/>
  <c r="J6702" i="66"/>
  <c r="I6702" i="66"/>
  <c r="H6702" i="66"/>
  <c r="N6701" i="66"/>
  <c r="M6701" i="66"/>
  <c r="L6701" i="66"/>
  <c r="K6701" i="66"/>
  <c r="J6701" i="66"/>
  <c r="I6701" i="66"/>
  <c r="H6701" i="66"/>
  <c r="N6700" i="66"/>
  <c r="M6700" i="66"/>
  <c r="L6700" i="66"/>
  <c r="K6700" i="66"/>
  <c r="J6700" i="66"/>
  <c r="I6700" i="66"/>
  <c r="H6700" i="66"/>
  <c r="N6699" i="66"/>
  <c r="M6699" i="66"/>
  <c r="L6699" i="66"/>
  <c r="K6699" i="66"/>
  <c r="J6699" i="66"/>
  <c r="I6699" i="66"/>
  <c r="H6699" i="66"/>
  <c r="L6684" i="66"/>
  <c r="N6671" i="66"/>
  <c r="M6671" i="66"/>
  <c r="L6671" i="66"/>
  <c r="K6671" i="66"/>
  <c r="J6671" i="66"/>
  <c r="I6671" i="66"/>
  <c r="H6671" i="66"/>
  <c r="G6671" i="66"/>
  <c r="N6670" i="66"/>
  <c r="M6670" i="66"/>
  <c r="L6670" i="66"/>
  <c r="K6670" i="66"/>
  <c r="J6670" i="66"/>
  <c r="I6670" i="66"/>
  <c r="H6670" i="66"/>
  <c r="G6670" i="66"/>
  <c r="E6670" i="66"/>
  <c r="N6669" i="66"/>
  <c r="M6669" i="66"/>
  <c r="L6669" i="66"/>
  <c r="K6669" i="66"/>
  <c r="J6669" i="66"/>
  <c r="I6669" i="66"/>
  <c r="H6669" i="66"/>
  <c r="G6669" i="66"/>
  <c r="E6669" i="66"/>
  <c r="N6668" i="66"/>
  <c r="M6668" i="66"/>
  <c r="L6668" i="66"/>
  <c r="K6668" i="66"/>
  <c r="J6668" i="66"/>
  <c r="I6668" i="66"/>
  <c r="H6668" i="66"/>
  <c r="G6668" i="66"/>
  <c r="E6668" i="66"/>
  <c r="N6667" i="66"/>
  <c r="M6667" i="66"/>
  <c r="L6667" i="66"/>
  <c r="K6667" i="66"/>
  <c r="J6667" i="66"/>
  <c r="I6667" i="66"/>
  <c r="H6667" i="66"/>
  <c r="G6667" i="66"/>
  <c r="E6667" i="66"/>
  <c r="N6666" i="66"/>
  <c r="M6666" i="66"/>
  <c r="L6666" i="66"/>
  <c r="K6666" i="66"/>
  <c r="J6666" i="66"/>
  <c r="I6666" i="66"/>
  <c r="H6666" i="66"/>
  <c r="G6666" i="66"/>
  <c r="E6666" i="66"/>
  <c r="N6665" i="66"/>
  <c r="M6665" i="66"/>
  <c r="L6665" i="66"/>
  <c r="K6665" i="66"/>
  <c r="J6665" i="66"/>
  <c r="I6665" i="66"/>
  <c r="H6665" i="66"/>
  <c r="G6665" i="66"/>
  <c r="E6665" i="66"/>
  <c r="N6664" i="66"/>
  <c r="M6664" i="66"/>
  <c r="L6664" i="66"/>
  <c r="K6664" i="66"/>
  <c r="J6664" i="66"/>
  <c r="I6664" i="66"/>
  <c r="H6664" i="66"/>
  <c r="G6664" i="66"/>
  <c r="E6664" i="66"/>
  <c r="N6663" i="66"/>
  <c r="M6663" i="66"/>
  <c r="L6663" i="66"/>
  <c r="K6663" i="66"/>
  <c r="J6663" i="66"/>
  <c r="I6663" i="66"/>
  <c r="H6663" i="66"/>
  <c r="G6663" i="66"/>
  <c r="E6663" i="66"/>
  <c r="N6662" i="66"/>
  <c r="M6662" i="66"/>
  <c r="L6662" i="66"/>
  <c r="K6662" i="66"/>
  <c r="J6662" i="66"/>
  <c r="I6662" i="66"/>
  <c r="H6662" i="66"/>
  <c r="G6662" i="66"/>
  <c r="E6662" i="66"/>
  <c r="N6661" i="66"/>
  <c r="M6661" i="66"/>
  <c r="L6661" i="66"/>
  <c r="K6661" i="66"/>
  <c r="J6661" i="66"/>
  <c r="I6661" i="66"/>
  <c r="H6661" i="66"/>
  <c r="G6661" i="66"/>
  <c r="E6661" i="66"/>
  <c r="M6656" i="66"/>
  <c r="M6655" i="66"/>
  <c r="M6654" i="66"/>
  <c r="M6653" i="66"/>
  <c r="M6652" i="66"/>
  <c r="M6651" i="66"/>
  <c r="M6650" i="66"/>
  <c r="M6649" i="66"/>
  <c r="M6648" i="66"/>
  <c r="M6647" i="66"/>
  <c r="H6656" i="66"/>
  <c r="E6656" i="66"/>
  <c r="H6655" i="66"/>
  <c r="E6655" i="66"/>
  <c r="H6654" i="66"/>
  <c r="E6654" i="66"/>
  <c r="H6653" i="66"/>
  <c r="E6653" i="66"/>
  <c r="H6652" i="66"/>
  <c r="E6652" i="66"/>
  <c r="H6651" i="66"/>
  <c r="E6651" i="66"/>
  <c r="H6650" i="66"/>
  <c r="E6650" i="66"/>
  <c r="H6649" i="66"/>
  <c r="E6649" i="66"/>
  <c r="H6648" i="66"/>
  <c r="E6648" i="66"/>
  <c r="H6647" i="66"/>
  <c r="E6647" i="66"/>
  <c r="N6638" i="66"/>
  <c r="M6638" i="66"/>
  <c r="L6638" i="66"/>
  <c r="K6638" i="66"/>
  <c r="J6638" i="66"/>
  <c r="I6638" i="66"/>
  <c r="H6638" i="66"/>
  <c r="N6637" i="66"/>
  <c r="M6637" i="66"/>
  <c r="L6637" i="66"/>
  <c r="K6637" i="66"/>
  <c r="J6637" i="66"/>
  <c r="N6635" i="66"/>
  <c r="M6635" i="66"/>
  <c r="L6635" i="66"/>
  <c r="K6635" i="66"/>
  <c r="J6635" i="66"/>
  <c r="N6632" i="66"/>
  <c r="M6632" i="66"/>
  <c r="L6632" i="66"/>
  <c r="K6632" i="66"/>
  <c r="J6632" i="66"/>
  <c r="I6632" i="66"/>
  <c r="N6631" i="66"/>
  <c r="M6631" i="66"/>
  <c r="L6631" i="66"/>
  <c r="K6631" i="66"/>
  <c r="J6631" i="66"/>
  <c r="N6630" i="66"/>
  <c r="M6630" i="66"/>
  <c r="L6630" i="66"/>
  <c r="K6630" i="66"/>
  <c r="J6630" i="66"/>
  <c r="N6629" i="66"/>
  <c r="M6629" i="66"/>
  <c r="L6629" i="66"/>
  <c r="K6629" i="66"/>
  <c r="J6629" i="66"/>
  <c r="I6629" i="66"/>
  <c r="N6621" i="66"/>
  <c r="M6621" i="66"/>
  <c r="L6621" i="66"/>
  <c r="K6621" i="66"/>
  <c r="J6621" i="66"/>
  <c r="I6621" i="66"/>
  <c r="H6621" i="66"/>
  <c r="G6621" i="66"/>
  <c r="E6621" i="66"/>
  <c r="M6614" i="66"/>
  <c r="I6614" i="66"/>
  <c r="N6611" i="66"/>
  <c r="M6611" i="66"/>
  <c r="L6611" i="66"/>
  <c r="K6611" i="66"/>
  <c r="J6611" i="66"/>
  <c r="I6611" i="66"/>
  <c r="H6611" i="66"/>
  <c r="G6611" i="66"/>
  <c r="N6610" i="66"/>
  <c r="M6610" i="66"/>
  <c r="L6610" i="66"/>
  <c r="K6610" i="66"/>
  <c r="J6610" i="66"/>
  <c r="I6610" i="66"/>
  <c r="H6610" i="66"/>
  <c r="G6610" i="66"/>
  <c r="E6610" i="66"/>
  <c r="N6609" i="66"/>
  <c r="M6609" i="66"/>
  <c r="L6609" i="66"/>
  <c r="K6609" i="66"/>
  <c r="J6609" i="66"/>
  <c r="I6609" i="66"/>
  <c r="H6609" i="66"/>
  <c r="G6609" i="66"/>
  <c r="E6609" i="66"/>
  <c r="N6608" i="66"/>
  <c r="M6608" i="66"/>
  <c r="L6608" i="66"/>
  <c r="K6608" i="66"/>
  <c r="J6608" i="66"/>
  <c r="I6608" i="66"/>
  <c r="H6608" i="66"/>
  <c r="G6608" i="66"/>
  <c r="E6608" i="66"/>
  <c r="N6607" i="66"/>
  <c r="M6607" i="66"/>
  <c r="L6607" i="66"/>
  <c r="K6607" i="66"/>
  <c r="J6607" i="66"/>
  <c r="I6607" i="66"/>
  <c r="H6607" i="66"/>
  <c r="G6607" i="66"/>
  <c r="E6607" i="66"/>
  <c r="N6606" i="66"/>
  <c r="M6606" i="66"/>
  <c r="L6606" i="66"/>
  <c r="K6606" i="66"/>
  <c r="J6606" i="66"/>
  <c r="I6606" i="66"/>
  <c r="H6606" i="66"/>
  <c r="G6606" i="66"/>
  <c r="E6606" i="66"/>
  <c r="N6605" i="66"/>
  <c r="M6605" i="66"/>
  <c r="L6605" i="66"/>
  <c r="K6605" i="66"/>
  <c r="J6605" i="66"/>
  <c r="I6605" i="66"/>
  <c r="H6605" i="66"/>
  <c r="G6605" i="66"/>
  <c r="E6605" i="66"/>
  <c r="N6604" i="66"/>
  <c r="M6604" i="66"/>
  <c r="L6604" i="66"/>
  <c r="K6604" i="66"/>
  <c r="J6604" i="66"/>
  <c r="I6604" i="66"/>
  <c r="H6604" i="66"/>
  <c r="G6604" i="66"/>
  <c r="E6604" i="66"/>
  <c r="N6603" i="66"/>
  <c r="M6603" i="66"/>
  <c r="L6603" i="66"/>
  <c r="K6603" i="66"/>
  <c r="J6603" i="66"/>
  <c r="I6603" i="66"/>
  <c r="H6603" i="66"/>
  <c r="G6603" i="66"/>
  <c r="E6603" i="66"/>
  <c r="N6602" i="66"/>
  <c r="M6602" i="66"/>
  <c r="L6602" i="66"/>
  <c r="K6602" i="66"/>
  <c r="J6602" i="66"/>
  <c r="I6602" i="66"/>
  <c r="H6602" i="66"/>
  <c r="G6602" i="66"/>
  <c r="E6602" i="66"/>
  <c r="N6601" i="66"/>
  <c r="M6601" i="66"/>
  <c r="L6601" i="66"/>
  <c r="K6601" i="66"/>
  <c r="J6601" i="66"/>
  <c r="I6601" i="66"/>
  <c r="H6601" i="66"/>
  <c r="G6601" i="66"/>
  <c r="E6601" i="66"/>
  <c r="M6596" i="66"/>
  <c r="M6595" i="66"/>
  <c r="M6594" i="66"/>
  <c r="M6593" i="66"/>
  <c r="M6592" i="66"/>
  <c r="M6591" i="66"/>
  <c r="M6590" i="66"/>
  <c r="M6589" i="66"/>
  <c r="M6588" i="66"/>
  <c r="M6587" i="66"/>
  <c r="H6596" i="66"/>
  <c r="E6596" i="66"/>
  <c r="H6595" i="66"/>
  <c r="E6595" i="66"/>
  <c r="H6594" i="66"/>
  <c r="E6594" i="66"/>
  <c r="H6593" i="66"/>
  <c r="E6593" i="66"/>
  <c r="H6592" i="66"/>
  <c r="E6592" i="66"/>
  <c r="H6591" i="66"/>
  <c r="E6591" i="66"/>
  <c r="H6590" i="66"/>
  <c r="E6590" i="66"/>
  <c r="H6589" i="66"/>
  <c r="E6589" i="66"/>
  <c r="H6588" i="66"/>
  <c r="E6588" i="66"/>
  <c r="H6587" i="66"/>
  <c r="E6587" i="66"/>
  <c r="N6578" i="66"/>
  <c r="M6578" i="66"/>
  <c r="L6578" i="66"/>
  <c r="K6578" i="66"/>
  <c r="J6578" i="66"/>
  <c r="I6578" i="66"/>
  <c r="H6578" i="66"/>
  <c r="N6577" i="66"/>
  <c r="M6577" i="66"/>
  <c r="L6577" i="66"/>
  <c r="K6577" i="66"/>
  <c r="J6577" i="66"/>
  <c r="N6575" i="66"/>
  <c r="M6575" i="66"/>
  <c r="L6575" i="66"/>
  <c r="K6575" i="66"/>
  <c r="J6575" i="66"/>
  <c r="N6572" i="66"/>
  <c r="M6572" i="66"/>
  <c r="L6572" i="66"/>
  <c r="K6572" i="66"/>
  <c r="J6572" i="66"/>
  <c r="I6572" i="66"/>
  <c r="N6571" i="66"/>
  <c r="M6571" i="66"/>
  <c r="L6571" i="66"/>
  <c r="K6571" i="66"/>
  <c r="J6571" i="66"/>
  <c r="N6570" i="66"/>
  <c r="M6570" i="66"/>
  <c r="L6570" i="66"/>
  <c r="K6570" i="66"/>
  <c r="J6570" i="66"/>
  <c r="N6569" i="66"/>
  <c r="M6569" i="66"/>
  <c r="L6569" i="66"/>
  <c r="K6569" i="66"/>
  <c r="J6569" i="66"/>
  <c r="I6569" i="66"/>
  <c r="N6561" i="66"/>
  <c r="M6561" i="66"/>
  <c r="L6561" i="66"/>
  <c r="K6561" i="66"/>
  <c r="J6561" i="66"/>
  <c r="I6561" i="66"/>
  <c r="H6561" i="66"/>
  <c r="G6561" i="66"/>
  <c r="E6561" i="66"/>
  <c r="M6554" i="66"/>
  <c r="I6554" i="66"/>
  <c r="N6548" i="66"/>
  <c r="M6548" i="66"/>
  <c r="L6548" i="66"/>
  <c r="K6548" i="66"/>
  <c r="J6548" i="66"/>
  <c r="I6548" i="66"/>
  <c r="H6548" i="66"/>
  <c r="N6547" i="66"/>
  <c r="M6547" i="66"/>
  <c r="L6547" i="66"/>
  <c r="K6547" i="66"/>
  <c r="J6547" i="66"/>
  <c r="I6547" i="66"/>
  <c r="H6547" i="66"/>
  <c r="N6545" i="66"/>
  <c r="M6545" i="66"/>
  <c r="L6545" i="66"/>
  <c r="K6545" i="66"/>
  <c r="J6545" i="66"/>
  <c r="I6545" i="66"/>
  <c r="H6545" i="66"/>
  <c r="N6544" i="66"/>
  <c r="M6544" i="66"/>
  <c r="L6544" i="66"/>
  <c r="K6544" i="66"/>
  <c r="J6544" i="66"/>
  <c r="I6544" i="66"/>
  <c r="H6544" i="66"/>
  <c r="N6542" i="66"/>
  <c r="M6542" i="66"/>
  <c r="L6542" i="66"/>
  <c r="K6542" i="66"/>
  <c r="J6542" i="66"/>
  <c r="I6542" i="66"/>
  <c r="H6542" i="66"/>
  <c r="N6541" i="66"/>
  <c r="M6541" i="66"/>
  <c r="L6541" i="66"/>
  <c r="K6541" i="66"/>
  <c r="J6541" i="66"/>
  <c r="I6541" i="66"/>
  <c r="H6541" i="66"/>
  <c r="N6535" i="66"/>
  <c r="M6535" i="66"/>
  <c r="L6535" i="66"/>
  <c r="K6535" i="66"/>
  <c r="J6535" i="66"/>
  <c r="I6535" i="66"/>
  <c r="H6535" i="66"/>
  <c r="E6535" i="66"/>
  <c r="I6528" i="66"/>
  <c r="N6522" i="66"/>
  <c r="M6522" i="66"/>
  <c r="L6522" i="66"/>
  <c r="K6522" i="66"/>
  <c r="J6522" i="66"/>
  <c r="I6522" i="66"/>
  <c r="H6522" i="66"/>
  <c r="N6521" i="66"/>
  <c r="M6521" i="66"/>
  <c r="L6521" i="66"/>
  <c r="K6521" i="66"/>
  <c r="J6521" i="66"/>
  <c r="N6514" i="66"/>
  <c r="M6514" i="66"/>
  <c r="L6514" i="66"/>
  <c r="K6514" i="66"/>
  <c r="J6514" i="66"/>
  <c r="N6510" i="66"/>
  <c r="M6510" i="66"/>
  <c r="L6510" i="66"/>
  <c r="K6510" i="66"/>
  <c r="J6510" i="66"/>
  <c r="N6506" i="66"/>
  <c r="M6506" i="66"/>
  <c r="L6506" i="66"/>
  <c r="K6506" i="66"/>
  <c r="J6506" i="66"/>
  <c r="N6502" i="66"/>
  <c r="M6502" i="66"/>
  <c r="L6502" i="66"/>
  <c r="K6502" i="66"/>
  <c r="J6502" i="66"/>
  <c r="N6501" i="66"/>
  <c r="M6501" i="66"/>
  <c r="L6501" i="66"/>
  <c r="K6501" i="66"/>
  <c r="J6501" i="66"/>
  <c r="I6501" i="66"/>
  <c r="H6501" i="66"/>
  <c r="N6497" i="66"/>
  <c r="M6497" i="66"/>
  <c r="L6497" i="66"/>
  <c r="K6497" i="66"/>
  <c r="J6497" i="66"/>
  <c r="I6497" i="66"/>
  <c r="H6497" i="66"/>
  <c r="G6497" i="66"/>
  <c r="F6497" i="66"/>
  <c r="N6492" i="66"/>
  <c r="M6492" i="66"/>
  <c r="L6492" i="66"/>
  <c r="K6492" i="66"/>
  <c r="J6492" i="66"/>
  <c r="I6492" i="66"/>
  <c r="H6492" i="66"/>
  <c r="G6492" i="66"/>
  <c r="N6491" i="66"/>
  <c r="M6491" i="66"/>
  <c r="L6491" i="66"/>
  <c r="K6491" i="66"/>
  <c r="J6491" i="66"/>
  <c r="I6491" i="66"/>
  <c r="H6491" i="66"/>
  <c r="G6491" i="66"/>
  <c r="N6490" i="66"/>
  <c r="M6490" i="66"/>
  <c r="L6490" i="66"/>
  <c r="K6490" i="66"/>
  <c r="J6490" i="66"/>
  <c r="I6490" i="66"/>
  <c r="H6490" i="66"/>
  <c r="G6490" i="66"/>
  <c r="E6490" i="66"/>
  <c r="N6489" i="66"/>
  <c r="M6489" i="66"/>
  <c r="L6489" i="66"/>
  <c r="K6489" i="66"/>
  <c r="J6489" i="66"/>
  <c r="I6489" i="66"/>
  <c r="H6489" i="66"/>
  <c r="G6489" i="66"/>
  <c r="E6489" i="66"/>
  <c r="N6488" i="66"/>
  <c r="M6488" i="66"/>
  <c r="L6488" i="66"/>
  <c r="K6488" i="66"/>
  <c r="J6488" i="66"/>
  <c r="I6488" i="66"/>
  <c r="H6488" i="66"/>
  <c r="G6488" i="66"/>
  <c r="E6488" i="66"/>
  <c r="N6487" i="66"/>
  <c r="M6487" i="66"/>
  <c r="L6487" i="66"/>
  <c r="K6487" i="66"/>
  <c r="J6487" i="66"/>
  <c r="I6487" i="66"/>
  <c r="H6487" i="66"/>
  <c r="G6487" i="66"/>
  <c r="E6487" i="66"/>
  <c r="N6486" i="66"/>
  <c r="M6486" i="66"/>
  <c r="L6486" i="66"/>
  <c r="K6486" i="66"/>
  <c r="J6486" i="66"/>
  <c r="I6486" i="66"/>
  <c r="H6486" i="66"/>
  <c r="G6486" i="66"/>
  <c r="E6486" i="66"/>
  <c r="N6485" i="66"/>
  <c r="M6485" i="66"/>
  <c r="L6485" i="66"/>
  <c r="K6485" i="66"/>
  <c r="J6485" i="66"/>
  <c r="I6485" i="66"/>
  <c r="H6485" i="66"/>
  <c r="G6485" i="66"/>
  <c r="E6485" i="66"/>
  <c r="N6484" i="66"/>
  <c r="M6484" i="66"/>
  <c r="L6484" i="66"/>
  <c r="K6484" i="66"/>
  <c r="J6484" i="66"/>
  <c r="I6484" i="66"/>
  <c r="H6484" i="66"/>
  <c r="G6484" i="66"/>
  <c r="E6484" i="66"/>
  <c r="N6483" i="66"/>
  <c r="M6483" i="66"/>
  <c r="L6483" i="66"/>
  <c r="K6483" i="66"/>
  <c r="J6483" i="66"/>
  <c r="I6483" i="66"/>
  <c r="H6483" i="66"/>
  <c r="G6483" i="66"/>
  <c r="E6483" i="66"/>
  <c r="N6482" i="66"/>
  <c r="M6482" i="66"/>
  <c r="L6482" i="66"/>
  <c r="K6482" i="66"/>
  <c r="J6482" i="66"/>
  <c r="I6482" i="66"/>
  <c r="H6482" i="66"/>
  <c r="G6482" i="66"/>
  <c r="E6482" i="66"/>
  <c r="N6481" i="66"/>
  <c r="M6481" i="66"/>
  <c r="L6481" i="66"/>
  <c r="K6481" i="66"/>
  <c r="J6481" i="66"/>
  <c r="I6481" i="66"/>
  <c r="H6481" i="66"/>
  <c r="G6481" i="66"/>
  <c r="E6481" i="66"/>
  <c r="N6468" i="66"/>
  <c r="M6468" i="66"/>
  <c r="L6468" i="66"/>
  <c r="K6468" i="66"/>
  <c r="J6468" i="66"/>
  <c r="I6468" i="66"/>
  <c r="H6468" i="66"/>
  <c r="G6468" i="66"/>
  <c r="F6468" i="66"/>
  <c r="N6467" i="66"/>
  <c r="M6467" i="66"/>
  <c r="L6467" i="66"/>
  <c r="K6467" i="66"/>
  <c r="J6467" i="66"/>
  <c r="I6467" i="66"/>
  <c r="H6467" i="66"/>
  <c r="G6467" i="66"/>
  <c r="F6467" i="66"/>
  <c r="E6467" i="66"/>
  <c r="N6466" i="66"/>
  <c r="M6466" i="66"/>
  <c r="L6466" i="66"/>
  <c r="K6466" i="66"/>
  <c r="J6466" i="66"/>
  <c r="I6466" i="66"/>
  <c r="H6466" i="66"/>
  <c r="G6466" i="66"/>
  <c r="F6466" i="66"/>
  <c r="E6466" i="66"/>
  <c r="N6465" i="66"/>
  <c r="M6465" i="66"/>
  <c r="L6465" i="66"/>
  <c r="K6465" i="66"/>
  <c r="J6465" i="66"/>
  <c r="I6465" i="66"/>
  <c r="H6465" i="66"/>
  <c r="G6465" i="66"/>
  <c r="F6465" i="66"/>
  <c r="E6465" i="66"/>
  <c r="N6464" i="66"/>
  <c r="M6464" i="66"/>
  <c r="L6464" i="66"/>
  <c r="K6464" i="66"/>
  <c r="J6464" i="66"/>
  <c r="I6464" i="66"/>
  <c r="H6464" i="66"/>
  <c r="G6464" i="66"/>
  <c r="F6464" i="66"/>
  <c r="E6464" i="66"/>
  <c r="N6463" i="66"/>
  <c r="M6463" i="66"/>
  <c r="L6463" i="66"/>
  <c r="K6463" i="66"/>
  <c r="J6463" i="66"/>
  <c r="I6463" i="66"/>
  <c r="H6463" i="66"/>
  <c r="G6463" i="66"/>
  <c r="F6463" i="66"/>
  <c r="E6463" i="66"/>
  <c r="N6462" i="66"/>
  <c r="M6462" i="66"/>
  <c r="L6462" i="66"/>
  <c r="K6462" i="66"/>
  <c r="J6462" i="66"/>
  <c r="I6462" i="66"/>
  <c r="H6462" i="66"/>
  <c r="G6462" i="66"/>
  <c r="F6462" i="66"/>
  <c r="E6462" i="66"/>
  <c r="N6461" i="66"/>
  <c r="M6461" i="66"/>
  <c r="L6461" i="66"/>
  <c r="K6461" i="66"/>
  <c r="J6461" i="66"/>
  <c r="I6461" i="66"/>
  <c r="H6461" i="66"/>
  <c r="G6461" i="66"/>
  <c r="F6461" i="66"/>
  <c r="E6461" i="66"/>
  <c r="N6460" i="66"/>
  <c r="M6460" i="66"/>
  <c r="L6460" i="66"/>
  <c r="K6460" i="66"/>
  <c r="J6460" i="66"/>
  <c r="I6460" i="66"/>
  <c r="H6460" i="66"/>
  <c r="G6460" i="66"/>
  <c r="F6460" i="66"/>
  <c r="E6460" i="66"/>
  <c r="N6459" i="66"/>
  <c r="M6459" i="66"/>
  <c r="L6459" i="66"/>
  <c r="K6459" i="66"/>
  <c r="J6459" i="66"/>
  <c r="I6459" i="66"/>
  <c r="H6459" i="66"/>
  <c r="G6459" i="66"/>
  <c r="F6459" i="66"/>
  <c r="E6459" i="66"/>
  <c r="N6458" i="66"/>
  <c r="M6458" i="66"/>
  <c r="L6458" i="66"/>
  <c r="K6458" i="66"/>
  <c r="J6458" i="66"/>
  <c r="I6458" i="66"/>
  <c r="H6458" i="66"/>
  <c r="G6458" i="66"/>
  <c r="F6458" i="66"/>
  <c r="E6458" i="66"/>
  <c r="M6450" i="66"/>
  <c r="M6449" i="66"/>
  <c r="M6448" i="66"/>
  <c r="M6447" i="66"/>
  <c r="M6446" i="66"/>
  <c r="M6445" i="66"/>
  <c r="M6444" i="66"/>
  <c r="M6443" i="66"/>
  <c r="M6442" i="66"/>
  <c r="M6441" i="66"/>
  <c r="G6450" i="66"/>
  <c r="E6450" i="66"/>
  <c r="G6449" i="66"/>
  <c r="E6449" i="66"/>
  <c r="G6448" i="66"/>
  <c r="E6448" i="66"/>
  <c r="G6447" i="66"/>
  <c r="E6447" i="66"/>
  <c r="G6446" i="66"/>
  <c r="E6446" i="66"/>
  <c r="G6445" i="66"/>
  <c r="E6445" i="66"/>
  <c r="G6444" i="66"/>
  <c r="E6444" i="66"/>
  <c r="G6443" i="66"/>
  <c r="E6443" i="66"/>
  <c r="G6442" i="66"/>
  <c r="E6442" i="66"/>
  <c r="G6441" i="66"/>
  <c r="E6441" i="66"/>
  <c r="N6426" i="66"/>
  <c r="M6426" i="66"/>
  <c r="L6426" i="66"/>
  <c r="K6426" i="66"/>
  <c r="J6426" i="66"/>
  <c r="I6426" i="66"/>
  <c r="N6425" i="66"/>
  <c r="M6425" i="66"/>
  <c r="L6425" i="66"/>
  <c r="K6425" i="66"/>
  <c r="J6425" i="66"/>
  <c r="N6424" i="66"/>
  <c r="M6424" i="66"/>
  <c r="L6424" i="66"/>
  <c r="K6424" i="66"/>
  <c r="J6424" i="66"/>
  <c r="N6423" i="66"/>
  <c r="M6423" i="66"/>
  <c r="L6423" i="66"/>
  <c r="K6423" i="66"/>
  <c r="J6423" i="66"/>
  <c r="I6423" i="66"/>
  <c r="N6415" i="66"/>
  <c r="M6415" i="66"/>
  <c r="L6415" i="66"/>
  <c r="K6415" i="66"/>
  <c r="J6415" i="66"/>
  <c r="I6415" i="66"/>
  <c r="H6415" i="66"/>
  <c r="G6415" i="66"/>
  <c r="E6415" i="66"/>
  <c r="M6407" i="66"/>
  <c r="I6407" i="66"/>
  <c r="N6401" i="66"/>
  <c r="M6401" i="66"/>
  <c r="L6401" i="66"/>
  <c r="K6401" i="66"/>
  <c r="J6401" i="66"/>
  <c r="I6401" i="66"/>
  <c r="H6401" i="66"/>
  <c r="N6400" i="66"/>
  <c r="M6400" i="66"/>
  <c r="L6400" i="66"/>
  <c r="K6400" i="66"/>
  <c r="J6400" i="66"/>
  <c r="I6400" i="66"/>
  <c r="H6400" i="66"/>
  <c r="N6398" i="66"/>
  <c r="M6398" i="66"/>
  <c r="L6398" i="66"/>
  <c r="K6398" i="66"/>
  <c r="J6398" i="66"/>
  <c r="I6398" i="66"/>
  <c r="H6398" i="66"/>
  <c r="N6397" i="66"/>
  <c r="M6397" i="66"/>
  <c r="L6397" i="66"/>
  <c r="K6397" i="66"/>
  <c r="J6397" i="66"/>
  <c r="I6397" i="66"/>
  <c r="H6397" i="66"/>
  <c r="N6395" i="66"/>
  <c r="M6395" i="66"/>
  <c r="L6395" i="66"/>
  <c r="K6395" i="66"/>
  <c r="J6395" i="66"/>
  <c r="I6395" i="66"/>
  <c r="H6395" i="66"/>
  <c r="N6394" i="66"/>
  <c r="M6394" i="66"/>
  <c r="L6394" i="66"/>
  <c r="K6394" i="66"/>
  <c r="J6394" i="66"/>
  <c r="I6394" i="66"/>
  <c r="H6394" i="66"/>
  <c r="N6388" i="66"/>
  <c r="M6388" i="66"/>
  <c r="L6388" i="66"/>
  <c r="K6388" i="66"/>
  <c r="J6388" i="66"/>
  <c r="I6388" i="66"/>
  <c r="H6388" i="66"/>
  <c r="E6388" i="66"/>
  <c r="I6381" i="66"/>
  <c r="N6375" i="66"/>
  <c r="M6375" i="66"/>
  <c r="L6375" i="66"/>
  <c r="K6375" i="66"/>
  <c r="J6375" i="66"/>
  <c r="I6375" i="66"/>
  <c r="H6375" i="66"/>
  <c r="N6374" i="66"/>
  <c r="M6374" i="66"/>
  <c r="L6374" i="66"/>
  <c r="K6374" i="66"/>
  <c r="J6374" i="66"/>
  <c r="N6367" i="66"/>
  <c r="M6367" i="66"/>
  <c r="L6367" i="66"/>
  <c r="K6367" i="66"/>
  <c r="J6367" i="66"/>
  <c r="N6363" i="66"/>
  <c r="M6363" i="66"/>
  <c r="L6363" i="66"/>
  <c r="K6363" i="66"/>
  <c r="J6363" i="66"/>
  <c r="N6359" i="66"/>
  <c r="M6359" i="66"/>
  <c r="L6359" i="66"/>
  <c r="K6359" i="66"/>
  <c r="J6359" i="66"/>
  <c r="N6355" i="66"/>
  <c r="M6355" i="66"/>
  <c r="L6355" i="66"/>
  <c r="K6355" i="66"/>
  <c r="J6355" i="66"/>
  <c r="N6354" i="66"/>
  <c r="M6354" i="66"/>
  <c r="L6354" i="66"/>
  <c r="K6354" i="66"/>
  <c r="J6354" i="66"/>
  <c r="I6354" i="66"/>
  <c r="H6354" i="66"/>
  <c r="N6350" i="66"/>
  <c r="M6350" i="66"/>
  <c r="L6350" i="66"/>
  <c r="K6350" i="66"/>
  <c r="J6350" i="66"/>
  <c r="I6350" i="66"/>
  <c r="H6350" i="66"/>
  <c r="G6350" i="66"/>
  <c r="F6350" i="66"/>
  <c r="N6345" i="66"/>
  <c r="M6345" i="66"/>
  <c r="L6345" i="66"/>
  <c r="K6345" i="66"/>
  <c r="J6345" i="66"/>
  <c r="I6345" i="66"/>
  <c r="H6345" i="66"/>
  <c r="G6345" i="66"/>
  <c r="N6344" i="66"/>
  <c r="M6344" i="66"/>
  <c r="L6344" i="66"/>
  <c r="K6344" i="66"/>
  <c r="J6344" i="66"/>
  <c r="I6344" i="66"/>
  <c r="H6344" i="66"/>
  <c r="G6344" i="66"/>
  <c r="N6343" i="66"/>
  <c r="M6343" i="66"/>
  <c r="L6343" i="66"/>
  <c r="K6343" i="66"/>
  <c r="J6343" i="66"/>
  <c r="I6343" i="66"/>
  <c r="H6343" i="66"/>
  <c r="G6343" i="66"/>
  <c r="E6343" i="66"/>
  <c r="N6342" i="66"/>
  <c r="M6342" i="66"/>
  <c r="L6342" i="66"/>
  <c r="K6342" i="66"/>
  <c r="J6342" i="66"/>
  <c r="I6342" i="66"/>
  <c r="H6342" i="66"/>
  <c r="G6342" i="66"/>
  <c r="E6342" i="66"/>
  <c r="N6341" i="66"/>
  <c r="M6341" i="66"/>
  <c r="L6341" i="66"/>
  <c r="K6341" i="66"/>
  <c r="J6341" i="66"/>
  <c r="I6341" i="66"/>
  <c r="H6341" i="66"/>
  <c r="G6341" i="66"/>
  <c r="E6341" i="66"/>
  <c r="N6340" i="66"/>
  <c r="M6340" i="66"/>
  <c r="L6340" i="66"/>
  <c r="K6340" i="66"/>
  <c r="J6340" i="66"/>
  <c r="I6340" i="66"/>
  <c r="H6340" i="66"/>
  <c r="G6340" i="66"/>
  <c r="E6340" i="66"/>
  <c r="N6339" i="66"/>
  <c r="M6339" i="66"/>
  <c r="L6339" i="66"/>
  <c r="K6339" i="66"/>
  <c r="J6339" i="66"/>
  <c r="I6339" i="66"/>
  <c r="H6339" i="66"/>
  <c r="G6339" i="66"/>
  <c r="E6339" i="66"/>
  <c r="N6338" i="66"/>
  <c r="M6338" i="66"/>
  <c r="L6338" i="66"/>
  <c r="K6338" i="66"/>
  <c r="J6338" i="66"/>
  <c r="I6338" i="66"/>
  <c r="H6338" i="66"/>
  <c r="G6338" i="66"/>
  <c r="E6338" i="66"/>
  <c r="N6337" i="66"/>
  <c r="M6337" i="66"/>
  <c r="L6337" i="66"/>
  <c r="K6337" i="66"/>
  <c r="J6337" i="66"/>
  <c r="I6337" i="66"/>
  <c r="H6337" i="66"/>
  <c r="G6337" i="66"/>
  <c r="E6337" i="66"/>
  <c r="N6336" i="66"/>
  <c r="M6336" i="66"/>
  <c r="L6336" i="66"/>
  <c r="K6336" i="66"/>
  <c r="J6336" i="66"/>
  <c r="I6336" i="66"/>
  <c r="H6336" i="66"/>
  <c r="G6336" i="66"/>
  <c r="E6336" i="66"/>
  <c r="N6335" i="66"/>
  <c r="M6335" i="66"/>
  <c r="L6335" i="66"/>
  <c r="K6335" i="66"/>
  <c r="J6335" i="66"/>
  <c r="I6335" i="66"/>
  <c r="H6335" i="66"/>
  <c r="G6335" i="66"/>
  <c r="E6335" i="66"/>
  <c r="N6334" i="66"/>
  <c r="M6334" i="66"/>
  <c r="L6334" i="66"/>
  <c r="K6334" i="66"/>
  <c r="J6334" i="66"/>
  <c r="I6334" i="66"/>
  <c r="H6334" i="66"/>
  <c r="G6334" i="66"/>
  <c r="E6334" i="66"/>
  <c r="N6321" i="66"/>
  <c r="M6321" i="66"/>
  <c r="L6321" i="66"/>
  <c r="K6321" i="66"/>
  <c r="J6321" i="66"/>
  <c r="I6321" i="66"/>
  <c r="H6321" i="66"/>
  <c r="G6321" i="66"/>
  <c r="F6321" i="66"/>
  <c r="N6320" i="66"/>
  <c r="M6320" i="66"/>
  <c r="L6320" i="66"/>
  <c r="K6320" i="66"/>
  <c r="J6320" i="66"/>
  <c r="I6320" i="66"/>
  <c r="H6320" i="66"/>
  <c r="G6320" i="66"/>
  <c r="F6320" i="66"/>
  <c r="E6320" i="66"/>
  <c r="N6319" i="66"/>
  <c r="M6319" i="66"/>
  <c r="L6319" i="66"/>
  <c r="K6319" i="66"/>
  <c r="J6319" i="66"/>
  <c r="I6319" i="66"/>
  <c r="H6319" i="66"/>
  <c r="G6319" i="66"/>
  <c r="F6319" i="66"/>
  <c r="E6319" i="66"/>
  <c r="N6318" i="66"/>
  <c r="M6318" i="66"/>
  <c r="L6318" i="66"/>
  <c r="K6318" i="66"/>
  <c r="J6318" i="66"/>
  <c r="I6318" i="66"/>
  <c r="H6318" i="66"/>
  <c r="G6318" i="66"/>
  <c r="F6318" i="66"/>
  <c r="E6318" i="66"/>
  <c r="N6317" i="66"/>
  <c r="M6317" i="66"/>
  <c r="L6317" i="66"/>
  <c r="K6317" i="66"/>
  <c r="J6317" i="66"/>
  <c r="I6317" i="66"/>
  <c r="H6317" i="66"/>
  <c r="G6317" i="66"/>
  <c r="F6317" i="66"/>
  <c r="E6317" i="66"/>
  <c r="N6316" i="66"/>
  <c r="M6316" i="66"/>
  <c r="L6316" i="66"/>
  <c r="K6316" i="66"/>
  <c r="J6316" i="66"/>
  <c r="I6316" i="66"/>
  <c r="H6316" i="66"/>
  <c r="G6316" i="66"/>
  <c r="F6316" i="66"/>
  <c r="E6316" i="66"/>
  <c r="N6315" i="66"/>
  <c r="M6315" i="66"/>
  <c r="L6315" i="66"/>
  <c r="K6315" i="66"/>
  <c r="J6315" i="66"/>
  <c r="I6315" i="66"/>
  <c r="H6315" i="66"/>
  <c r="G6315" i="66"/>
  <c r="F6315" i="66"/>
  <c r="E6315" i="66"/>
  <c r="N6314" i="66"/>
  <c r="M6314" i="66"/>
  <c r="L6314" i="66"/>
  <c r="K6314" i="66"/>
  <c r="J6314" i="66"/>
  <c r="I6314" i="66"/>
  <c r="H6314" i="66"/>
  <c r="G6314" i="66"/>
  <c r="F6314" i="66"/>
  <c r="E6314" i="66"/>
  <c r="N6313" i="66"/>
  <c r="M6313" i="66"/>
  <c r="L6313" i="66"/>
  <c r="K6313" i="66"/>
  <c r="J6313" i="66"/>
  <c r="I6313" i="66"/>
  <c r="H6313" i="66"/>
  <c r="G6313" i="66"/>
  <c r="F6313" i="66"/>
  <c r="E6313" i="66"/>
  <c r="N6312" i="66"/>
  <c r="M6312" i="66"/>
  <c r="L6312" i="66"/>
  <c r="K6312" i="66"/>
  <c r="J6312" i="66"/>
  <c r="I6312" i="66"/>
  <c r="H6312" i="66"/>
  <c r="G6312" i="66"/>
  <c r="F6312" i="66"/>
  <c r="E6312" i="66"/>
  <c r="N6311" i="66"/>
  <c r="M6311" i="66"/>
  <c r="L6311" i="66"/>
  <c r="K6311" i="66"/>
  <c r="J6311" i="66"/>
  <c r="I6311" i="66"/>
  <c r="H6311" i="66"/>
  <c r="G6311" i="66"/>
  <c r="F6311" i="66"/>
  <c r="E6311" i="66"/>
  <c r="M6303" i="66"/>
  <c r="M6302" i="66"/>
  <c r="M6301" i="66"/>
  <c r="M6300" i="66"/>
  <c r="M6299" i="66"/>
  <c r="M6298" i="66"/>
  <c r="M6297" i="66"/>
  <c r="M6296" i="66"/>
  <c r="M6295" i="66"/>
  <c r="M6294" i="66"/>
  <c r="G6303" i="66"/>
  <c r="E6303" i="66"/>
  <c r="G6302" i="66"/>
  <c r="E6302" i="66"/>
  <c r="G6301" i="66"/>
  <c r="E6301" i="66"/>
  <c r="G6300" i="66"/>
  <c r="E6300" i="66"/>
  <c r="G6299" i="66"/>
  <c r="E6299" i="66"/>
  <c r="G6298" i="66"/>
  <c r="E6298" i="66"/>
  <c r="G6297" i="66"/>
  <c r="E6297" i="66"/>
  <c r="G6296" i="66"/>
  <c r="E6296" i="66"/>
  <c r="G6295" i="66"/>
  <c r="E6295" i="66"/>
  <c r="G6294" i="66"/>
  <c r="E6294" i="66"/>
  <c r="N6279" i="66"/>
  <c r="M6279" i="66"/>
  <c r="L6279" i="66"/>
  <c r="K6279" i="66"/>
  <c r="J6279" i="66"/>
  <c r="I6279" i="66"/>
  <c r="N6278" i="66"/>
  <c r="M6278" i="66"/>
  <c r="L6278" i="66"/>
  <c r="K6278" i="66"/>
  <c r="J6278" i="66"/>
  <c r="N6277" i="66"/>
  <c r="M6277" i="66"/>
  <c r="L6277" i="66"/>
  <c r="K6277" i="66"/>
  <c r="J6277" i="66"/>
  <c r="N6276" i="66"/>
  <c r="M6276" i="66"/>
  <c r="L6276" i="66"/>
  <c r="K6276" i="66"/>
  <c r="J6276" i="66"/>
  <c r="I6276" i="66"/>
  <c r="N6268" i="66"/>
  <c r="M6268" i="66"/>
  <c r="L6268" i="66"/>
  <c r="K6268" i="66"/>
  <c r="J6268" i="66"/>
  <c r="I6268" i="66"/>
  <c r="H6268" i="66"/>
  <c r="G6268" i="66"/>
  <c r="E6268" i="66"/>
  <c r="M6260" i="66"/>
  <c r="I6260" i="66"/>
  <c r="N6256" i="66"/>
  <c r="M6256" i="66"/>
  <c r="L6256" i="66"/>
  <c r="K6256" i="66"/>
  <c r="J6256" i="66"/>
  <c r="I6256" i="66"/>
  <c r="H6256" i="66"/>
  <c r="N6254" i="66"/>
  <c r="M6254" i="66"/>
  <c r="L6254" i="66"/>
  <c r="K6254" i="66"/>
  <c r="J6254" i="66"/>
  <c r="I6254" i="66"/>
  <c r="H6254" i="66"/>
  <c r="N6253" i="66"/>
  <c r="M6253" i="66"/>
  <c r="L6253" i="66"/>
  <c r="K6253" i="66"/>
  <c r="J6253" i="66"/>
  <c r="I6253" i="66"/>
  <c r="H6253" i="66"/>
  <c r="N6250" i="66"/>
  <c r="M6250" i="66"/>
  <c r="L6250" i="66"/>
  <c r="K6250" i="66"/>
  <c r="J6250" i="66"/>
  <c r="I6250" i="66"/>
  <c r="H6250" i="66"/>
  <c r="N6249" i="66"/>
  <c r="M6249" i="66"/>
  <c r="L6249" i="66"/>
  <c r="K6249" i="66"/>
  <c r="J6249" i="66"/>
  <c r="I6249" i="66"/>
  <c r="H6249" i="66"/>
  <c r="N6246" i="66"/>
  <c r="M6246" i="66"/>
  <c r="L6246" i="66"/>
  <c r="K6246" i="66"/>
  <c r="J6246" i="66"/>
  <c r="I6246" i="66"/>
  <c r="H6246" i="66"/>
  <c r="N6245" i="66"/>
  <c r="M6245" i="66"/>
  <c r="L6245" i="66"/>
  <c r="K6245" i="66"/>
  <c r="J6245" i="66"/>
  <c r="I6245" i="66"/>
  <c r="H6245" i="66"/>
  <c r="N6242" i="66"/>
  <c r="M6242" i="66"/>
  <c r="L6242" i="66"/>
  <c r="K6242" i="66"/>
  <c r="J6242" i="66"/>
  <c r="I6242" i="66"/>
  <c r="H6242" i="66"/>
  <c r="N6241" i="66"/>
  <c r="M6241" i="66"/>
  <c r="L6241" i="66"/>
  <c r="K6241" i="66"/>
  <c r="J6241" i="66"/>
  <c r="I6241" i="66"/>
  <c r="H6241" i="66"/>
  <c r="N6238" i="66"/>
  <c r="M6238" i="66"/>
  <c r="L6238" i="66"/>
  <c r="K6238" i="66"/>
  <c r="J6238" i="66"/>
  <c r="I6238" i="66"/>
  <c r="H6238" i="66"/>
  <c r="N6237" i="66"/>
  <c r="M6237" i="66"/>
  <c r="L6237" i="66"/>
  <c r="K6237" i="66"/>
  <c r="J6237" i="66"/>
  <c r="I6237" i="66"/>
  <c r="H6237" i="66"/>
  <c r="N6223" i="66"/>
  <c r="M6223" i="66"/>
  <c r="L6223" i="66"/>
  <c r="K6223" i="66"/>
  <c r="J6223" i="66"/>
  <c r="I6223" i="66"/>
  <c r="H6223" i="66"/>
  <c r="E6223" i="66"/>
  <c r="N6217" i="66"/>
  <c r="M6217" i="66"/>
  <c r="L6217" i="66"/>
  <c r="K6217" i="66"/>
  <c r="J6217" i="66"/>
  <c r="I6217" i="66"/>
  <c r="H6217" i="66"/>
  <c r="N6216" i="66"/>
  <c r="M6216" i="66"/>
  <c r="L6216" i="66"/>
  <c r="K6216" i="66"/>
  <c r="J6216" i="66"/>
  <c r="I6216" i="66"/>
  <c r="H6216" i="66"/>
  <c r="N6214" i="66"/>
  <c r="M6214" i="66"/>
  <c r="L6214" i="66"/>
  <c r="K6214" i="66"/>
  <c r="J6214" i="66"/>
  <c r="I6214" i="66"/>
  <c r="H6214" i="66"/>
  <c r="N6213" i="66"/>
  <c r="M6213" i="66"/>
  <c r="L6213" i="66"/>
  <c r="K6213" i="66"/>
  <c r="J6213" i="66"/>
  <c r="I6213" i="66"/>
  <c r="H6213" i="66"/>
  <c r="N6203" i="66"/>
  <c r="M6203" i="66"/>
  <c r="L6203" i="66"/>
  <c r="K6203" i="66"/>
  <c r="J6203" i="66"/>
  <c r="I6203" i="66"/>
  <c r="H6203" i="66"/>
  <c r="E6203" i="66"/>
  <c r="I6186" i="66"/>
  <c r="G6180" i="66"/>
  <c r="G6179" i="66"/>
  <c r="G6178" i="66"/>
  <c r="G6177" i="66"/>
  <c r="G6176" i="66"/>
  <c r="G6175" i="66"/>
  <c r="G6174" i="66"/>
  <c r="G6173" i="66"/>
  <c r="G6172" i="66"/>
  <c r="G6171" i="66"/>
  <c r="N6162" i="66"/>
  <c r="M6162" i="66"/>
  <c r="L6162" i="66"/>
  <c r="K6162" i="66"/>
  <c r="J6162" i="66"/>
  <c r="I6162" i="66"/>
  <c r="H6162" i="66"/>
  <c r="N6161" i="66"/>
  <c r="M6161" i="66"/>
  <c r="L6161" i="66"/>
  <c r="K6161" i="66"/>
  <c r="J6161" i="66"/>
  <c r="N6159" i="66"/>
  <c r="M6159" i="66"/>
  <c r="L6159" i="66"/>
  <c r="K6159" i="66"/>
  <c r="J6159" i="66"/>
  <c r="N6156" i="66"/>
  <c r="M6156" i="66"/>
  <c r="L6156" i="66"/>
  <c r="K6156" i="66"/>
  <c r="J6156" i="66"/>
  <c r="I6156" i="66"/>
  <c r="N6155" i="66"/>
  <c r="M6155" i="66"/>
  <c r="L6155" i="66"/>
  <c r="K6155" i="66"/>
  <c r="J6155" i="66"/>
  <c r="N6154" i="66"/>
  <c r="M6154" i="66"/>
  <c r="L6154" i="66"/>
  <c r="K6154" i="66"/>
  <c r="J6154" i="66"/>
  <c r="N6153" i="66"/>
  <c r="M6153" i="66"/>
  <c r="L6153" i="66"/>
  <c r="K6153" i="66"/>
  <c r="J6153" i="66"/>
  <c r="I6153" i="66"/>
  <c r="N6145" i="66"/>
  <c r="M6145" i="66"/>
  <c r="L6145" i="66"/>
  <c r="K6145" i="66"/>
  <c r="J6145" i="66"/>
  <c r="I6145" i="66"/>
  <c r="H6145" i="66"/>
  <c r="G6145" i="66"/>
  <c r="E6145" i="66"/>
  <c r="M6137" i="66"/>
  <c r="I6137" i="66"/>
  <c r="N6133" i="66"/>
  <c r="M6133" i="66"/>
  <c r="L6133" i="66"/>
  <c r="K6133" i="66"/>
  <c r="J6133" i="66"/>
  <c r="I6133" i="66"/>
  <c r="H6133" i="66"/>
  <c r="N6131" i="66"/>
  <c r="M6131" i="66"/>
  <c r="L6131" i="66"/>
  <c r="K6131" i="66"/>
  <c r="J6131" i="66"/>
  <c r="I6131" i="66"/>
  <c r="H6131" i="66"/>
  <c r="N6130" i="66"/>
  <c r="M6130" i="66"/>
  <c r="L6130" i="66"/>
  <c r="K6130" i="66"/>
  <c r="J6130" i="66"/>
  <c r="I6130" i="66"/>
  <c r="H6130" i="66"/>
  <c r="N6127" i="66"/>
  <c r="M6127" i="66"/>
  <c r="L6127" i="66"/>
  <c r="K6127" i="66"/>
  <c r="J6127" i="66"/>
  <c r="I6127" i="66"/>
  <c r="H6127" i="66"/>
  <c r="N6126" i="66"/>
  <c r="M6126" i="66"/>
  <c r="L6126" i="66"/>
  <c r="K6126" i="66"/>
  <c r="J6126" i="66"/>
  <c r="I6126" i="66"/>
  <c r="H6126" i="66"/>
  <c r="N6123" i="66"/>
  <c r="M6123" i="66"/>
  <c r="L6123" i="66"/>
  <c r="K6123" i="66"/>
  <c r="J6123" i="66"/>
  <c r="I6123" i="66"/>
  <c r="H6123" i="66"/>
  <c r="N6122" i="66"/>
  <c r="M6122" i="66"/>
  <c r="L6122" i="66"/>
  <c r="K6122" i="66"/>
  <c r="J6122" i="66"/>
  <c r="I6122" i="66"/>
  <c r="H6122" i="66"/>
  <c r="N6119" i="66"/>
  <c r="M6119" i="66"/>
  <c r="L6119" i="66"/>
  <c r="K6119" i="66"/>
  <c r="J6119" i="66"/>
  <c r="I6119" i="66"/>
  <c r="H6119" i="66"/>
  <c r="N6118" i="66"/>
  <c r="M6118" i="66"/>
  <c r="L6118" i="66"/>
  <c r="K6118" i="66"/>
  <c r="J6118" i="66"/>
  <c r="I6118" i="66"/>
  <c r="H6118" i="66"/>
  <c r="N6115" i="66"/>
  <c r="M6115" i="66"/>
  <c r="L6115" i="66"/>
  <c r="K6115" i="66"/>
  <c r="J6115" i="66"/>
  <c r="I6115" i="66"/>
  <c r="H6115" i="66"/>
  <c r="N6114" i="66"/>
  <c r="M6114" i="66"/>
  <c r="L6114" i="66"/>
  <c r="K6114" i="66"/>
  <c r="J6114" i="66"/>
  <c r="I6114" i="66"/>
  <c r="H6114" i="66"/>
  <c r="N6100" i="66"/>
  <c r="M6100" i="66"/>
  <c r="L6100" i="66"/>
  <c r="K6100" i="66"/>
  <c r="J6100" i="66"/>
  <c r="I6100" i="66"/>
  <c r="H6100" i="66"/>
  <c r="E6100" i="66"/>
  <c r="N6094" i="66"/>
  <c r="M6094" i="66"/>
  <c r="L6094" i="66"/>
  <c r="K6094" i="66"/>
  <c r="J6094" i="66"/>
  <c r="I6094" i="66"/>
  <c r="H6094" i="66"/>
  <c r="N6093" i="66"/>
  <c r="M6093" i="66"/>
  <c r="L6093" i="66"/>
  <c r="K6093" i="66"/>
  <c r="J6093" i="66"/>
  <c r="I6093" i="66"/>
  <c r="H6093" i="66"/>
  <c r="N6091" i="66"/>
  <c r="M6091" i="66"/>
  <c r="L6091" i="66"/>
  <c r="K6091" i="66"/>
  <c r="J6091" i="66"/>
  <c r="I6091" i="66"/>
  <c r="H6091" i="66"/>
  <c r="N6090" i="66"/>
  <c r="M6090" i="66"/>
  <c r="L6090" i="66"/>
  <c r="K6090" i="66"/>
  <c r="J6090" i="66"/>
  <c r="I6090" i="66"/>
  <c r="H6090" i="66"/>
  <c r="N6080" i="66"/>
  <c r="M6080" i="66"/>
  <c r="L6080" i="66"/>
  <c r="K6080" i="66"/>
  <c r="J6080" i="66"/>
  <c r="I6080" i="66"/>
  <c r="H6080" i="66"/>
  <c r="E6080" i="66"/>
  <c r="I6063" i="66"/>
  <c r="N6057" i="66"/>
  <c r="M6057" i="66"/>
  <c r="L6057" i="66"/>
  <c r="K6057" i="66"/>
  <c r="J6057" i="66"/>
  <c r="I6057" i="66"/>
  <c r="H6057" i="66"/>
  <c r="N6056" i="66"/>
  <c r="M6056" i="66"/>
  <c r="L6056" i="66"/>
  <c r="K6056" i="66"/>
  <c r="J6056" i="66"/>
  <c r="N6049" i="66"/>
  <c r="M6049" i="66"/>
  <c r="L6049" i="66"/>
  <c r="K6049" i="66"/>
  <c r="J6049" i="66"/>
  <c r="N6045" i="66"/>
  <c r="M6045" i="66"/>
  <c r="L6045" i="66"/>
  <c r="K6045" i="66"/>
  <c r="J6045" i="66"/>
  <c r="N6041" i="66"/>
  <c r="M6041" i="66"/>
  <c r="L6041" i="66"/>
  <c r="K6041" i="66"/>
  <c r="J6041" i="66"/>
  <c r="N6037" i="66"/>
  <c r="M6037" i="66"/>
  <c r="L6037" i="66"/>
  <c r="K6037" i="66"/>
  <c r="J6037" i="66"/>
  <c r="N6036" i="66"/>
  <c r="M6036" i="66"/>
  <c r="L6036" i="66"/>
  <c r="K6036" i="66"/>
  <c r="J6036" i="66"/>
  <c r="I6036" i="66"/>
  <c r="H6036" i="66"/>
  <c r="N6032" i="66"/>
  <c r="M6032" i="66"/>
  <c r="L6032" i="66"/>
  <c r="K6032" i="66"/>
  <c r="J6032" i="66"/>
  <c r="I6032" i="66"/>
  <c r="H6032" i="66"/>
  <c r="G6032" i="66"/>
  <c r="F6032" i="66"/>
  <c r="N6027" i="66"/>
  <c r="M6027" i="66"/>
  <c r="L6027" i="66"/>
  <c r="K6027" i="66"/>
  <c r="J6027" i="66"/>
  <c r="I6027" i="66"/>
  <c r="H6027" i="66"/>
  <c r="G6027" i="66"/>
  <c r="N6026" i="66"/>
  <c r="M6026" i="66"/>
  <c r="L6026" i="66"/>
  <c r="K6026" i="66"/>
  <c r="J6026" i="66"/>
  <c r="I6026" i="66"/>
  <c r="H6026" i="66"/>
  <c r="G6026" i="66"/>
  <c r="N6025" i="66"/>
  <c r="M6025" i="66"/>
  <c r="L6025" i="66"/>
  <c r="K6025" i="66"/>
  <c r="J6025" i="66"/>
  <c r="I6025" i="66"/>
  <c r="H6025" i="66"/>
  <c r="G6025" i="66"/>
  <c r="E6025" i="66"/>
  <c r="N6024" i="66"/>
  <c r="M6024" i="66"/>
  <c r="L6024" i="66"/>
  <c r="K6024" i="66"/>
  <c r="J6024" i="66"/>
  <c r="I6024" i="66"/>
  <c r="H6024" i="66"/>
  <c r="G6024" i="66"/>
  <c r="E6024" i="66"/>
  <c r="N6023" i="66"/>
  <c r="M6023" i="66"/>
  <c r="L6023" i="66"/>
  <c r="K6023" i="66"/>
  <c r="J6023" i="66"/>
  <c r="I6023" i="66"/>
  <c r="H6023" i="66"/>
  <c r="G6023" i="66"/>
  <c r="E6023" i="66"/>
  <c r="N6022" i="66"/>
  <c r="M6022" i="66"/>
  <c r="L6022" i="66"/>
  <c r="K6022" i="66"/>
  <c r="J6022" i="66"/>
  <c r="I6022" i="66"/>
  <c r="H6022" i="66"/>
  <c r="G6022" i="66"/>
  <c r="E6022" i="66"/>
  <c r="N6021" i="66"/>
  <c r="M6021" i="66"/>
  <c r="L6021" i="66"/>
  <c r="K6021" i="66"/>
  <c r="J6021" i="66"/>
  <c r="I6021" i="66"/>
  <c r="H6021" i="66"/>
  <c r="G6021" i="66"/>
  <c r="E6021" i="66"/>
  <c r="N6020" i="66"/>
  <c r="M6020" i="66"/>
  <c r="L6020" i="66"/>
  <c r="K6020" i="66"/>
  <c r="J6020" i="66"/>
  <c r="I6020" i="66"/>
  <c r="H6020" i="66"/>
  <c r="G6020" i="66"/>
  <c r="E6020" i="66"/>
  <c r="N6019" i="66"/>
  <c r="M6019" i="66"/>
  <c r="L6019" i="66"/>
  <c r="K6019" i="66"/>
  <c r="J6019" i="66"/>
  <c r="I6019" i="66"/>
  <c r="H6019" i="66"/>
  <c r="G6019" i="66"/>
  <c r="E6019" i="66"/>
  <c r="N6018" i="66"/>
  <c r="M6018" i="66"/>
  <c r="L6018" i="66"/>
  <c r="K6018" i="66"/>
  <c r="J6018" i="66"/>
  <c r="I6018" i="66"/>
  <c r="H6018" i="66"/>
  <c r="G6018" i="66"/>
  <c r="E6018" i="66"/>
  <c r="N6017" i="66"/>
  <c r="M6017" i="66"/>
  <c r="L6017" i="66"/>
  <c r="K6017" i="66"/>
  <c r="J6017" i="66"/>
  <c r="I6017" i="66"/>
  <c r="H6017" i="66"/>
  <c r="G6017" i="66"/>
  <c r="E6017" i="66"/>
  <c r="N6016" i="66"/>
  <c r="M6016" i="66"/>
  <c r="L6016" i="66"/>
  <c r="K6016" i="66"/>
  <c r="J6016" i="66"/>
  <c r="I6016" i="66"/>
  <c r="H6016" i="66"/>
  <c r="G6016" i="66"/>
  <c r="E6016" i="66"/>
  <c r="N6003" i="66"/>
  <c r="M6003" i="66"/>
  <c r="L6003" i="66"/>
  <c r="K6003" i="66"/>
  <c r="J6003" i="66"/>
  <c r="I6003" i="66"/>
  <c r="H6003" i="66"/>
  <c r="G6003" i="66"/>
  <c r="F6003" i="66"/>
  <c r="N6002" i="66"/>
  <c r="M6002" i="66"/>
  <c r="L6002" i="66"/>
  <c r="K6002" i="66"/>
  <c r="J6002" i="66"/>
  <c r="I6002" i="66"/>
  <c r="H6002" i="66"/>
  <c r="G6002" i="66"/>
  <c r="F6002" i="66"/>
  <c r="E6002" i="66"/>
  <c r="N6001" i="66"/>
  <c r="M6001" i="66"/>
  <c r="L6001" i="66"/>
  <c r="K6001" i="66"/>
  <c r="J6001" i="66"/>
  <c r="I6001" i="66"/>
  <c r="H6001" i="66"/>
  <c r="G6001" i="66"/>
  <c r="F6001" i="66"/>
  <c r="E6001" i="66"/>
  <c r="N6000" i="66"/>
  <c r="M6000" i="66"/>
  <c r="L6000" i="66"/>
  <c r="K6000" i="66"/>
  <c r="J6000" i="66"/>
  <c r="I6000" i="66"/>
  <c r="H6000" i="66"/>
  <c r="G6000" i="66"/>
  <c r="F6000" i="66"/>
  <c r="E6000" i="66"/>
  <c r="N5999" i="66"/>
  <c r="M5999" i="66"/>
  <c r="L5999" i="66"/>
  <c r="K5999" i="66"/>
  <c r="J5999" i="66"/>
  <c r="I5999" i="66"/>
  <c r="H5999" i="66"/>
  <c r="G5999" i="66"/>
  <c r="F5999" i="66"/>
  <c r="E5999" i="66"/>
  <c r="N5998" i="66"/>
  <c r="M5998" i="66"/>
  <c r="L5998" i="66"/>
  <c r="K5998" i="66"/>
  <c r="J5998" i="66"/>
  <c r="I5998" i="66"/>
  <c r="H5998" i="66"/>
  <c r="G5998" i="66"/>
  <c r="F5998" i="66"/>
  <c r="E5998" i="66"/>
  <c r="N5997" i="66"/>
  <c r="M5997" i="66"/>
  <c r="L5997" i="66"/>
  <c r="K5997" i="66"/>
  <c r="J5997" i="66"/>
  <c r="I5997" i="66"/>
  <c r="H5997" i="66"/>
  <c r="G5997" i="66"/>
  <c r="F5997" i="66"/>
  <c r="E5997" i="66"/>
  <c r="N5996" i="66"/>
  <c r="M5996" i="66"/>
  <c r="L5996" i="66"/>
  <c r="K5996" i="66"/>
  <c r="J5996" i="66"/>
  <c r="I5996" i="66"/>
  <c r="H5996" i="66"/>
  <c r="G5996" i="66"/>
  <c r="F5996" i="66"/>
  <c r="E5996" i="66"/>
  <c r="N5995" i="66"/>
  <c r="M5995" i="66"/>
  <c r="L5995" i="66"/>
  <c r="K5995" i="66"/>
  <c r="J5995" i="66"/>
  <c r="I5995" i="66"/>
  <c r="H5995" i="66"/>
  <c r="G5995" i="66"/>
  <c r="F5995" i="66"/>
  <c r="E5995" i="66"/>
  <c r="N5994" i="66"/>
  <c r="M5994" i="66"/>
  <c r="L5994" i="66"/>
  <c r="K5994" i="66"/>
  <c r="J5994" i="66"/>
  <c r="I5994" i="66"/>
  <c r="H5994" i="66"/>
  <c r="G5994" i="66"/>
  <c r="F5994" i="66"/>
  <c r="E5994" i="66"/>
  <c r="N5993" i="66"/>
  <c r="M5993" i="66"/>
  <c r="L5993" i="66"/>
  <c r="K5993" i="66"/>
  <c r="J5993" i="66"/>
  <c r="I5993" i="66"/>
  <c r="H5993" i="66"/>
  <c r="G5993" i="66"/>
  <c r="F5993" i="66"/>
  <c r="E5993" i="66"/>
  <c r="M5985" i="66"/>
  <c r="M5984" i="66"/>
  <c r="M5983" i="66"/>
  <c r="M5982" i="66"/>
  <c r="M5981" i="66"/>
  <c r="M5980" i="66"/>
  <c r="M5979" i="66"/>
  <c r="M5978" i="66"/>
  <c r="M5977" i="66"/>
  <c r="M5976" i="66"/>
  <c r="I5985" i="66"/>
  <c r="G5985" i="66"/>
  <c r="E5985" i="66"/>
  <c r="I5984" i="66"/>
  <c r="G5984" i="66"/>
  <c r="E5984" i="66"/>
  <c r="I5983" i="66"/>
  <c r="G5983" i="66"/>
  <c r="E5983" i="66"/>
  <c r="I5982" i="66"/>
  <c r="G5982" i="66"/>
  <c r="E5982" i="66"/>
  <c r="I5981" i="66"/>
  <c r="G5981" i="66"/>
  <c r="E5981" i="66"/>
  <c r="I5980" i="66"/>
  <c r="G5980" i="66"/>
  <c r="E5980" i="66"/>
  <c r="I5979" i="66"/>
  <c r="G5979" i="66"/>
  <c r="E5979" i="66"/>
  <c r="I5978" i="66"/>
  <c r="G5978" i="66"/>
  <c r="E5978" i="66"/>
  <c r="I5977" i="66"/>
  <c r="G5977" i="66"/>
  <c r="E5977" i="66"/>
  <c r="I5976" i="66"/>
  <c r="G5976" i="66"/>
  <c r="E5976" i="66"/>
  <c r="N5959" i="66"/>
  <c r="M5959" i="66"/>
  <c r="L5959" i="66"/>
  <c r="K5959" i="66"/>
  <c r="J5959" i="66"/>
  <c r="I5959" i="66"/>
  <c r="N5958" i="66"/>
  <c r="M5958" i="66"/>
  <c r="L5958" i="66"/>
  <c r="K5958" i="66"/>
  <c r="J5958" i="66"/>
  <c r="N5957" i="66"/>
  <c r="M5957" i="66"/>
  <c r="L5957" i="66"/>
  <c r="K5957" i="66"/>
  <c r="J5957" i="66"/>
  <c r="N5956" i="66"/>
  <c r="M5956" i="66"/>
  <c r="L5956" i="66"/>
  <c r="K5956" i="66"/>
  <c r="J5956" i="66"/>
  <c r="I5956" i="66"/>
  <c r="N5948" i="66"/>
  <c r="M5948" i="66"/>
  <c r="L5948" i="66"/>
  <c r="K5948" i="66"/>
  <c r="J5948" i="66"/>
  <c r="I5948" i="66"/>
  <c r="H5948" i="66"/>
  <c r="G5948" i="66"/>
  <c r="E5948" i="66"/>
  <c r="M5940" i="66"/>
  <c r="I5940" i="66"/>
  <c r="N5936" i="66"/>
  <c r="M5936" i="66"/>
  <c r="L5936" i="66"/>
  <c r="K5936" i="66"/>
  <c r="J5936" i="66"/>
  <c r="I5936" i="66"/>
  <c r="H5936" i="66"/>
  <c r="N5934" i="66"/>
  <c r="M5934" i="66"/>
  <c r="L5934" i="66"/>
  <c r="K5934" i="66"/>
  <c r="J5934" i="66"/>
  <c r="I5934" i="66"/>
  <c r="H5934" i="66"/>
  <c r="N5933" i="66"/>
  <c r="M5933" i="66"/>
  <c r="L5933" i="66"/>
  <c r="K5933" i="66"/>
  <c r="J5933" i="66"/>
  <c r="I5933" i="66"/>
  <c r="H5933" i="66"/>
  <c r="N5930" i="66"/>
  <c r="M5930" i="66"/>
  <c r="L5930" i="66"/>
  <c r="K5930" i="66"/>
  <c r="J5930" i="66"/>
  <c r="I5930" i="66"/>
  <c r="H5930" i="66"/>
  <c r="N5929" i="66"/>
  <c r="M5929" i="66"/>
  <c r="L5929" i="66"/>
  <c r="K5929" i="66"/>
  <c r="J5929" i="66"/>
  <c r="I5929" i="66"/>
  <c r="H5929" i="66"/>
  <c r="N5926" i="66"/>
  <c r="M5926" i="66"/>
  <c r="L5926" i="66"/>
  <c r="K5926" i="66"/>
  <c r="J5926" i="66"/>
  <c r="I5926" i="66"/>
  <c r="H5926" i="66"/>
  <c r="N5925" i="66"/>
  <c r="M5925" i="66"/>
  <c r="L5925" i="66"/>
  <c r="K5925" i="66"/>
  <c r="J5925" i="66"/>
  <c r="I5925" i="66"/>
  <c r="H5925" i="66"/>
  <c r="N5922" i="66"/>
  <c r="M5922" i="66"/>
  <c r="L5922" i="66"/>
  <c r="K5922" i="66"/>
  <c r="J5922" i="66"/>
  <c r="I5922" i="66"/>
  <c r="H5922" i="66"/>
  <c r="N5921" i="66"/>
  <c r="M5921" i="66"/>
  <c r="L5921" i="66"/>
  <c r="K5921" i="66"/>
  <c r="J5921" i="66"/>
  <c r="I5921" i="66"/>
  <c r="H5921" i="66"/>
  <c r="N5918" i="66"/>
  <c r="M5918" i="66"/>
  <c r="L5918" i="66"/>
  <c r="K5918" i="66"/>
  <c r="J5918" i="66"/>
  <c r="I5918" i="66"/>
  <c r="H5918" i="66"/>
  <c r="N5917" i="66"/>
  <c r="M5917" i="66"/>
  <c r="L5917" i="66"/>
  <c r="K5917" i="66"/>
  <c r="J5917" i="66"/>
  <c r="I5917" i="66"/>
  <c r="H5917" i="66"/>
  <c r="N5903" i="66"/>
  <c r="M5903" i="66"/>
  <c r="L5903" i="66"/>
  <c r="K5903" i="66"/>
  <c r="J5903" i="66"/>
  <c r="I5903" i="66"/>
  <c r="H5903" i="66"/>
  <c r="E5903" i="66"/>
  <c r="N5897" i="66"/>
  <c r="M5897" i="66"/>
  <c r="L5897" i="66"/>
  <c r="K5897" i="66"/>
  <c r="J5897" i="66"/>
  <c r="I5897" i="66"/>
  <c r="H5897" i="66"/>
  <c r="N5896" i="66"/>
  <c r="M5896" i="66"/>
  <c r="L5896" i="66"/>
  <c r="K5896" i="66"/>
  <c r="J5896" i="66"/>
  <c r="I5896" i="66"/>
  <c r="H5896" i="66"/>
  <c r="N5894" i="66"/>
  <c r="M5894" i="66"/>
  <c r="L5894" i="66"/>
  <c r="K5894" i="66"/>
  <c r="J5894" i="66"/>
  <c r="I5894" i="66"/>
  <c r="H5894" i="66"/>
  <c r="N5893" i="66"/>
  <c r="M5893" i="66"/>
  <c r="L5893" i="66"/>
  <c r="K5893" i="66"/>
  <c r="J5893" i="66"/>
  <c r="I5893" i="66"/>
  <c r="H5893" i="66"/>
  <c r="N5883" i="66"/>
  <c r="M5883" i="66"/>
  <c r="L5883" i="66"/>
  <c r="K5883" i="66"/>
  <c r="J5883" i="66"/>
  <c r="I5883" i="66"/>
  <c r="H5883" i="66"/>
  <c r="E5883" i="66"/>
  <c r="I5866" i="66"/>
  <c r="N5860" i="66"/>
  <c r="M5860" i="66"/>
  <c r="L5860" i="66"/>
  <c r="K5860" i="66"/>
  <c r="J5860" i="66"/>
  <c r="I5860" i="66"/>
  <c r="H5860" i="66"/>
  <c r="N5859" i="66"/>
  <c r="M5859" i="66"/>
  <c r="L5859" i="66"/>
  <c r="K5859" i="66"/>
  <c r="J5859" i="66"/>
  <c r="N5852" i="66"/>
  <c r="M5852" i="66"/>
  <c r="L5852" i="66"/>
  <c r="K5852" i="66"/>
  <c r="J5852" i="66"/>
  <c r="N5848" i="66"/>
  <c r="M5848" i="66"/>
  <c r="L5848" i="66"/>
  <c r="K5848" i="66"/>
  <c r="J5848" i="66"/>
  <c r="N5844" i="66"/>
  <c r="M5844" i="66"/>
  <c r="L5844" i="66"/>
  <c r="K5844" i="66"/>
  <c r="J5844" i="66"/>
  <c r="N5840" i="66"/>
  <c r="M5840" i="66"/>
  <c r="L5840" i="66"/>
  <c r="K5840" i="66"/>
  <c r="J5840" i="66"/>
  <c r="N5839" i="66"/>
  <c r="M5839" i="66"/>
  <c r="L5839" i="66"/>
  <c r="K5839" i="66"/>
  <c r="J5839" i="66"/>
  <c r="I5839" i="66"/>
  <c r="H5839" i="66"/>
  <c r="N5835" i="66"/>
  <c r="M5835" i="66"/>
  <c r="L5835" i="66"/>
  <c r="K5835" i="66"/>
  <c r="J5835" i="66"/>
  <c r="I5835" i="66"/>
  <c r="H5835" i="66"/>
  <c r="G5835" i="66"/>
  <c r="F5835" i="66"/>
  <c r="N5830" i="66"/>
  <c r="M5830" i="66"/>
  <c r="L5830" i="66"/>
  <c r="K5830" i="66"/>
  <c r="J5830" i="66"/>
  <c r="I5830" i="66"/>
  <c r="H5830" i="66"/>
  <c r="G5830" i="66"/>
  <c r="N5829" i="66"/>
  <c r="M5829" i="66"/>
  <c r="L5829" i="66"/>
  <c r="K5829" i="66"/>
  <c r="J5829" i="66"/>
  <c r="I5829" i="66"/>
  <c r="H5829" i="66"/>
  <c r="G5829" i="66"/>
  <c r="N5828" i="66"/>
  <c r="M5828" i="66"/>
  <c r="L5828" i="66"/>
  <c r="K5828" i="66"/>
  <c r="J5828" i="66"/>
  <c r="I5828" i="66"/>
  <c r="H5828" i="66"/>
  <c r="G5828" i="66"/>
  <c r="E5828" i="66"/>
  <c r="N5827" i="66"/>
  <c r="M5827" i="66"/>
  <c r="L5827" i="66"/>
  <c r="K5827" i="66"/>
  <c r="J5827" i="66"/>
  <c r="I5827" i="66"/>
  <c r="H5827" i="66"/>
  <c r="G5827" i="66"/>
  <c r="E5827" i="66"/>
  <c r="N5826" i="66"/>
  <c r="M5826" i="66"/>
  <c r="L5826" i="66"/>
  <c r="K5826" i="66"/>
  <c r="J5826" i="66"/>
  <c r="I5826" i="66"/>
  <c r="H5826" i="66"/>
  <c r="G5826" i="66"/>
  <c r="E5826" i="66"/>
  <c r="N5825" i="66"/>
  <c r="M5825" i="66"/>
  <c r="L5825" i="66"/>
  <c r="K5825" i="66"/>
  <c r="J5825" i="66"/>
  <c r="I5825" i="66"/>
  <c r="H5825" i="66"/>
  <c r="G5825" i="66"/>
  <c r="E5825" i="66"/>
  <c r="N5824" i="66"/>
  <c r="M5824" i="66"/>
  <c r="L5824" i="66"/>
  <c r="K5824" i="66"/>
  <c r="J5824" i="66"/>
  <c r="I5824" i="66"/>
  <c r="H5824" i="66"/>
  <c r="G5824" i="66"/>
  <c r="E5824" i="66"/>
  <c r="N5823" i="66"/>
  <c r="M5823" i="66"/>
  <c r="L5823" i="66"/>
  <c r="K5823" i="66"/>
  <c r="J5823" i="66"/>
  <c r="I5823" i="66"/>
  <c r="H5823" i="66"/>
  <c r="G5823" i="66"/>
  <c r="E5823" i="66"/>
  <c r="N5822" i="66"/>
  <c r="M5822" i="66"/>
  <c r="L5822" i="66"/>
  <c r="K5822" i="66"/>
  <c r="J5822" i="66"/>
  <c r="I5822" i="66"/>
  <c r="H5822" i="66"/>
  <c r="G5822" i="66"/>
  <c r="E5822" i="66"/>
  <c r="N5821" i="66"/>
  <c r="M5821" i="66"/>
  <c r="L5821" i="66"/>
  <c r="K5821" i="66"/>
  <c r="J5821" i="66"/>
  <c r="I5821" i="66"/>
  <c r="H5821" i="66"/>
  <c r="G5821" i="66"/>
  <c r="E5821" i="66"/>
  <c r="N5820" i="66"/>
  <c r="M5820" i="66"/>
  <c r="L5820" i="66"/>
  <c r="K5820" i="66"/>
  <c r="J5820" i="66"/>
  <c r="I5820" i="66"/>
  <c r="H5820" i="66"/>
  <c r="G5820" i="66"/>
  <c r="E5820" i="66"/>
  <c r="N5819" i="66"/>
  <c r="M5819" i="66"/>
  <c r="L5819" i="66"/>
  <c r="K5819" i="66"/>
  <c r="J5819" i="66"/>
  <c r="I5819" i="66"/>
  <c r="H5819" i="66"/>
  <c r="G5819" i="66"/>
  <c r="E5819" i="66"/>
  <c r="N5806" i="66"/>
  <c r="M5806" i="66"/>
  <c r="L5806" i="66"/>
  <c r="K5806" i="66"/>
  <c r="J5806" i="66"/>
  <c r="I5806" i="66"/>
  <c r="H5806" i="66"/>
  <c r="G5806" i="66"/>
  <c r="F5806" i="66"/>
  <c r="N5805" i="66"/>
  <c r="M5805" i="66"/>
  <c r="L5805" i="66"/>
  <c r="K5805" i="66"/>
  <c r="J5805" i="66"/>
  <c r="I5805" i="66"/>
  <c r="H5805" i="66"/>
  <c r="G5805" i="66"/>
  <c r="F5805" i="66"/>
  <c r="E5805" i="66"/>
  <c r="N5804" i="66"/>
  <c r="M5804" i="66"/>
  <c r="L5804" i="66"/>
  <c r="K5804" i="66"/>
  <c r="J5804" i="66"/>
  <c r="I5804" i="66"/>
  <c r="H5804" i="66"/>
  <c r="G5804" i="66"/>
  <c r="F5804" i="66"/>
  <c r="E5804" i="66"/>
  <c r="N5803" i="66"/>
  <c r="M5803" i="66"/>
  <c r="L5803" i="66"/>
  <c r="K5803" i="66"/>
  <c r="J5803" i="66"/>
  <c r="I5803" i="66"/>
  <c r="H5803" i="66"/>
  <c r="G5803" i="66"/>
  <c r="F5803" i="66"/>
  <c r="E5803" i="66"/>
  <c r="N5802" i="66"/>
  <c r="M5802" i="66"/>
  <c r="L5802" i="66"/>
  <c r="K5802" i="66"/>
  <c r="J5802" i="66"/>
  <c r="I5802" i="66"/>
  <c r="H5802" i="66"/>
  <c r="G5802" i="66"/>
  <c r="F5802" i="66"/>
  <c r="E5802" i="66"/>
  <c r="N5801" i="66"/>
  <c r="M5801" i="66"/>
  <c r="L5801" i="66"/>
  <c r="K5801" i="66"/>
  <c r="J5801" i="66"/>
  <c r="I5801" i="66"/>
  <c r="H5801" i="66"/>
  <c r="G5801" i="66"/>
  <c r="F5801" i="66"/>
  <c r="E5801" i="66"/>
  <c r="N5800" i="66"/>
  <c r="M5800" i="66"/>
  <c r="L5800" i="66"/>
  <c r="K5800" i="66"/>
  <c r="J5800" i="66"/>
  <c r="I5800" i="66"/>
  <c r="H5800" i="66"/>
  <c r="G5800" i="66"/>
  <c r="F5800" i="66"/>
  <c r="E5800" i="66"/>
  <c r="N5799" i="66"/>
  <c r="M5799" i="66"/>
  <c r="L5799" i="66"/>
  <c r="K5799" i="66"/>
  <c r="J5799" i="66"/>
  <c r="I5799" i="66"/>
  <c r="H5799" i="66"/>
  <c r="G5799" i="66"/>
  <c r="F5799" i="66"/>
  <c r="E5799" i="66"/>
  <c r="N5798" i="66"/>
  <c r="M5798" i="66"/>
  <c r="L5798" i="66"/>
  <c r="K5798" i="66"/>
  <c r="J5798" i="66"/>
  <c r="I5798" i="66"/>
  <c r="H5798" i="66"/>
  <c r="G5798" i="66"/>
  <c r="F5798" i="66"/>
  <c r="E5798" i="66"/>
  <c r="N5797" i="66"/>
  <c r="M5797" i="66"/>
  <c r="L5797" i="66"/>
  <c r="K5797" i="66"/>
  <c r="J5797" i="66"/>
  <c r="I5797" i="66"/>
  <c r="H5797" i="66"/>
  <c r="G5797" i="66"/>
  <c r="F5797" i="66"/>
  <c r="E5797" i="66"/>
  <c r="N5796" i="66"/>
  <c r="M5796" i="66"/>
  <c r="L5796" i="66"/>
  <c r="K5796" i="66"/>
  <c r="J5796" i="66"/>
  <c r="I5796" i="66"/>
  <c r="H5796" i="66"/>
  <c r="G5796" i="66"/>
  <c r="F5796" i="66"/>
  <c r="E5796" i="66"/>
  <c r="M5788" i="66"/>
  <c r="M5787" i="66"/>
  <c r="M5786" i="66"/>
  <c r="M5785" i="66"/>
  <c r="M5784" i="66"/>
  <c r="M5783" i="66"/>
  <c r="M5782" i="66"/>
  <c r="M5781" i="66"/>
  <c r="M5780" i="66"/>
  <c r="M5779" i="66"/>
  <c r="I5788" i="66"/>
  <c r="G5788" i="66"/>
  <c r="E5788" i="66"/>
  <c r="I5787" i="66"/>
  <c r="G5787" i="66"/>
  <c r="E5787" i="66"/>
  <c r="I5786" i="66"/>
  <c r="G5786" i="66"/>
  <c r="E5786" i="66"/>
  <c r="I5785" i="66"/>
  <c r="G5785" i="66"/>
  <c r="E5785" i="66"/>
  <c r="I5784" i="66"/>
  <c r="G5784" i="66"/>
  <c r="E5784" i="66"/>
  <c r="I5783" i="66"/>
  <c r="G5783" i="66"/>
  <c r="E5783" i="66"/>
  <c r="I5782" i="66"/>
  <c r="G5782" i="66"/>
  <c r="E5782" i="66"/>
  <c r="I5781" i="66"/>
  <c r="G5781" i="66"/>
  <c r="E5781" i="66"/>
  <c r="I5780" i="66"/>
  <c r="G5780" i="66"/>
  <c r="E5780" i="66"/>
  <c r="I5779" i="66"/>
  <c r="G5779" i="66"/>
  <c r="E5779" i="66"/>
  <c r="N5762" i="66"/>
  <c r="M5762" i="66"/>
  <c r="L5762" i="66"/>
  <c r="K5762" i="66"/>
  <c r="J5762" i="66"/>
  <c r="I5762" i="66"/>
  <c r="N5761" i="66"/>
  <c r="M5761" i="66"/>
  <c r="L5761" i="66"/>
  <c r="K5761" i="66"/>
  <c r="J5761" i="66"/>
  <c r="N5760" i="66"/>
  <c r="M5760" i="66"/>
  <c r="L5760" i="66"/>
  <c r="K5760" i="66"/>
  <c r="J5760" i="66"/>
  <c r="N5759" i="66"/>
  <c r="M5759" i="66"/>
  <c r="L5759" i="66"/>
  <c r="K5759" i="66"/>
  <c r="J5759" i="66"/>
  <c r="I5759" i="66"/>
  <c r="N5751" i="66"/>
  <c r="M5751" i="66"/>
  <c r="L5751" i="66"/>
  <c r="K5751" i="66"/>
  <c r="J5751" i="66"/>
  <c r="I5751" i="66"/>
  <c r="H5751" i="66"/>
  <c r="G5751" i="66"/>
  <c r="E5751" i="66"/>
  <c r="M5743" i="66"/>
  <c r="I5743" i="66"/>
  <c r="E5734" i="66"/>
  <c r="N5730" i="66"/>
  <c r="M5730" i="66"/>
  <c r="L5730" i="66"/>
  <c r="K5730" i="66"/>
  <c r="J5730" i="66"/>
  <c r="I5730" i="66"/>
  <c r="H5730" i="66"/>
  <c r="G5730" i="66"/>
  <c r="E5730" i="66"/>
  <c r="N5729" i="66"/>
  <c r="M5729" i="66"/>
  <c r="L5729" i="66"/>
  <c r="K5729" i="66"/>
  <c r="J5729" i="66"/>
  <c r="I5729" i="66"/>
  <c r="H5729" i="66"/>
  <c r="G5729" i="66"/>
  <c r="E5729" i="66"/>
  <c r="N5726" i="66"/>
  <c r="M5726" i="66"/>
  <c r="L5726" i="66"/>
  <c r="K5726" i="66"/>
  <c r="J5726" i="66"/>
  <c r="I5726" i="66"/>
  <c r="H5726" i="66"/>
  <c r="G5726" i="66"/>
  <c r="E5726" i="66"/>
  <c r="N5725" i="66"/>
  <c r="M5725" i="66"/>
  <c r="L5725" i="66"/>
  <c r="K5725" i="66"/>
  <c r="J5725" i="66"/>
  <c r="I5725" i="66"/>
  <c r="H5725" i="66"/>
  <c r="G5725" i="66"/>
  <c r="E5725" i="66"/>
  <c r="L5722" i="66"/>
  <c r="N5717" i="66"/>
  <c r="M5717" i="66"/>
  <c r="L5717" i="66"/>
  <c r="K5717" i="66"/>
  <c r="J5717" i="66"/>
  <c r="I5717" i="66"/>
  <c r="H5717" i="66"/>
  <c r="E5717" i="66"/>
  <c r="N5711" i="66"/>
  <c r="M5711" i="66"/>
  <c r="L5711" i="66"/>
  <c r="K5711" i="66"/>
  <c r="J5711" i="66"/>
  <c r="I5711" i="66"/>
  <c r="H5711" i="66"/>
  <c r="N5705" i="66"/>
  <c r="M5705" i="66"/>
  <c r="L5705" i="66"/>
  <c r="K5705" i="66"/>
  <c r="J5705" i="66"/>
  <c r="I5705" i="66"/>
  <c r="H5705" i="66"/>
  <c r="N5704" i="66"/>
  <c r="M5704" i="66"/>
  <c r="L5704" i="66"/>
  <c r="K5704" i="66"/>
  <c r="J5704" i="66"/>
  <c r="I5704" i="66"/>
  <c r="H5704" i="66"/>
  <c r="N5703" i="66"/>
  <c r="M5703" i="66"/>
  <c r="L5703" i="66"/>
  <c r="K5703" i="66"/>
  <c r="J5703" i="66"/>
  <c r="I5703" i="66"/>
  <c r="H5703" i="66"/>
  <c r="G5703" i="66"/>
  <c r="N5702" i="66"/>
  <c r="M5702" i="66"/>
  <c r="L5702" i="66"/>
  <c r="K5702" i="66"/>
  <c r="J5702" i="66"/>
  <c r="I5702" i="66"/>
  <c r="H5702" i="66"/>
  <c r="G5702" i="66"/>
  <c r="I5698" i="66"/>
  <c r="N5696" i="66"/>
  <c r="M5696" i="66"/>
  <c r="L5696" i="66"/>
  <c r="K5696" i="66"/>
  <c r="J5696" i="66"/>
  <c r="I5696" i="66"/>
  <c r="H5696" i="66"/>
  <c r="N5695" i="66"/>
  <c r="M5695" i="66"/>
  <c r="L5695" i="66"/>
  <c r="K5695" i="66"/>
  <c r="J5695" i="66"/>
  <c r="I5695" i="66"/>
  <c r="H5695" i="66"/>
  <c r="N5694" i="66"/>
  <c r="M5694" i="66"/>
  <c r="L5694" i="66"/>
  <c r="K5694" i="66"/>
  <c r="J5694" i="66"/>
  <c r="I5694" i="66"/>
  <c r="H5694" i="66"/>
  <c r="G5694" i="66"/>
  <c r="N5693" i="66"/>
  <c r="M5693" i="66"/>
  <c r="L5693" i="66"/>
  <c r="K5693" i="66"/>
  <c r="J5693" i="66"/>
  <c r="I5693" i="66"/>
  <c r="H5693" i="66"/>
  <c r="G5693" i="66"/>
  <c r="I5689" i="66"/>
  <c r="N5686" i="66"/>
  <c r="M5686" i="66"/>
  <c r="L5686" i="66"/>
  <c r="K5686" i="66"/>
  <c r="J5686" i="66"/>
  <c r="I5686" i="66"/>
  <c r="N5685" i="66"/>
  <c r="M5685" i="66"/>
  <c r="L5685" i="66"/>
  <c r="K5685" i="66"/>
  <c r="J5685" i="66"/>
  <c r="N5683" i="66"/>
  <c r="M5683" i="66"/>
  <c r="L5683" i="66"/>
  <c r="K5683" i="66"/>
  <c r="J5683" i="66"/>
  <c r="N5680" i="66"/>
  <c r="M5680" i="66"/>
  <c r="L5680" i="66"/>
  <c r="K5680" i="66"/>
  <c r="J5680" i="66"/>
  <c r="I5680" i="66"/>
  <c r="N5679" i="66"/>
  <c r="M5679" i="66"/>
  <c r="L5679" i="66"/>
  <c r="K5679" i="66"/>
  <c r="J5679" i="66"/>
  <c r="N5678" i="66"/>
  <c r="M5678" i="66"/>
  <c r="L5678" i="66"/>
  <c r="K5678" i="66"/>
  <c r="J5678" i="66"/>
  <c r="N5677" i="66"/>
  <c r="M5677" i="66"/>
  <c r="L5677" i="66"/>
  <c r="K5677" i="66"/>
  <c r="J5677" i="66"/>
  <c r="I5677" i="66"/>
  <c r="N5673" i="66"/>
  <c r="M5673" i="66"/>
  <c r="L5673" i="66"/>
  <c r="K5673" i="66"/>
  <c r="J5673" i="66"/>
  <c r="I5673" i="66"/>
  <c r="H5673" i="66"/>
  <c r="N5671" i="66"/>
  <c r="M5671" i="66"/>
  <c r="L5671" i="66"/>
  <c r="K5671" i="66"/>
  <c r="J5671" i="66"/>
  <c r="I5671" i="66"/>
  <c r="H5671" i="66"/>
  <c r="N5670" i="66"/>
  <c r="M5670" i="66"/>
  <c r="L5670" i="66"/>
  <c r="K5670" i="66"/>
  <c r="J5670" i="66"/>
  <c r="I5670" i="66"/>
  <c r="H5670" i="66"/>
  <c r="N5669" i="66"/>
  <c r="M5669" i="66"/>
  <c r="L5669" i="66"/>
  <c r="K5669" i="66"/>
  <c r="J5669" i="66"/>
  <c r="I5669" i="66"/>
  <c r="H5669" i="66"/>
  <c r="G5669" i="66"/>
  <c r="N5668" i="66"/>
  <c r="M5668" i="66"/>
  <c r="L5668" i="66"/>
  <c r="K5668" i="66"/>
  <c r="J5668" i="66"/>
  <c r="I5668" i="66"/>
  <c r="H5668" i="66"/>
  <c r="G5668" i="66"/>
  <c r="I5663" i="66"/>
  <c r="N5661" i="66"/>
  <c r="M5661" i="66"/>
  <c r="L5661" i="66"/>
  <c r="K5661" i="66"/>
  <c r="J5661" i="66"/>
  <c r="I5661" i="66"/>
  <c r="H5661" i="66"/>
  <c r="N5660" i="66"/>
  <c r="M5660" i="66"/>
  <c r="L5660" i="66"/>
  <c r="K5660" i="66"/>
  <c r="J5660" i="66"/>
  <c r="I5660" i="66"/>
  <c r="H5660" i="66"/>
  <c r="N5659" i="66"/>
  <c r="M5659" i="66"/>
  <c r="L5659" i="66"/>
  <c r="K5659" i="66"/>
  <c r="J5659" i="66"/>
  <c r="I5659" i="66"/>
  <c r="H5659" i="66"/>
  <c r="G5659" i="66"/>
  <c r="N5658" i="66"/>
  <c r="M5658" i="66"/>
  <c r="L5658" i="66"/>
  <c r="K5658" i="66"/>
  <c r="J5658" i="66"/>
  <c r="I5658" i="66"/>
  <c r="H5658" i="66"/>
  <c r="G5658" i="66"/>
  <c r="I5654" i="66"/>
  <c r="N5652" i="66"/>
  <c r="M5652" i="66"/>
  <c r="L5652" i="66"/>
  <c r="K5652" i="66"/>
  <c r="J5652" i="66"/>
  <c r="I5652" i="66"/>
  <c r="H5652" i="66"/>
  <c r="N5651" i="66"/>
  <c r="M5651" i="66"/>
  <c r="L5651" i="66"/>
  <c r="K5651" i="66"/>
  <c r="J5651" i="66"/>
  <c r="I5651" i="66"/>
  <c r="H5651" i="66"/>
  <c r="N5650" i="66"/>
  <c r="M5650" i="66"/>
  <c r="L5650" i="66"/>
  <c r="K5650" i="66"/>
  <c r="J5650" i="66"/>
  <c r="I5650" i="66"/>
  <c r="H5650" i="66"/>
  <c r="G5650" i="66"/>
  <c r="N5649" i="66"/>
  <c r="M5649" i="66"/>
  <c r="L5649" i="66"/>
  <c r="K5649" i="66"/>
  <c r="J5649" i="66"/>
  <c r="I5649" i="66"/>
  <c r="H5649" i="66"/>
  <c r="G5649" i="66"/>
  <c r="I5645" i="66"/>
  <c r="L5643" i="66"/>
  <c r="N5639" i="66"/>
  <c r="M5639" i="66"/>
  <c r="L5639" i="66"/>
  <c r="K5639" i="66"/>
  <c r="J5639" i="66"/>
  <c r="I5639" i="66"/>
  <c r="H5639" i="66"/>
  <c r="N5638" i="66"/>
  <c r="M5638" i="66"/>
  <c r="L5638" i="66"/>
  <c r="K5638" i="66"/>
  <c r="J5638" i="66"/>
  <c r="I5638" i="66"/>
  <c r="H5638" i="66"/>
  <c r="N5635" i="66"/>
  <c r="M5635" i="66"/>
  <c r="L5635" i="66"/>
  <c r="K5635" i="66"/>
  <c r="J5635" i="66"/>
  <c r="I5635" i="66"/>
  <c r="H5635" i="66"/>
  <c r="N5634" i="66"/>
  <c r="M5634" i="66"/>
  <c r="L5634" i="66"/>
  <c r="K5634" i="66"/>
  <c r="J5634" i="66"/>
  <c r="I5634" i="66"/>
  <c r="H5634" i="66"/>
  <c r="N5631" i="66"/>
  <c r="M5631" i="66"/>
  <c r="L5631" i="66"/>
  <c r="K5631" i="66"/>
  <c r="J5631" i="66"/>
  <c r="I5631" i="66"/>
  <c r="H5631" i="66"/>
  <c r="N5630" i="66"/>
  <c r="M5630" i="66"/>
  <c r="L5630" i="66"/>
  <c r="K5630" i="66"/>
  <c r="J5630" i="66"/>
  <c r="I5630" i="66"/>
  <c r="H5630" i="66"/>
  <c r="N5621" i="66"/>
  <c r="M5621" i="66"/>
  <c r="L5621" i="66"/>
  <c r="K5621" i="66"/>
  <c r="J5621" i="66"/>
  <c r="I5621" i="66"/>
  <c r="H5621" i="66"/>
  <c r="N5614" i="66"/>
  <c r="M5614" i="66"/>
  <c r="L5614" i="66"/>
  <c r="K5614" i="66"/>
  <c r="J5614" i="66"/>
  <c r="I5614" i="66"/>
  <c r="H5614" i="66"/>
  <c r="N5613" i="66"/>
  <c r="M5613" i="66"/>
  <c r="L5613" i="66"/>
  <c r="K5613" i="66"/>
  <c r="J5613" i="66"/>
  <c r="I5613" i="66"/>
  <c r="H5613" i="66"/>
  <c r="N5612" i="66"/>
  <c r="M5612" i="66"/>
  <c r="L5612" i="66"/>
  <c r="K5612" i="66"/>
  <c r="J5612" i="66"/>
  <c r="I5612" i="66"/>
  <c r="H5612" i="66"/>
  <c r="N5611" i="66"/>
  <c r="M5611" i="66"/>
  <c r="L5611" i="66"/>
  <c r="K5611" i="66"/>
  <c r="J5611" i="66"/>
  <c r="I5611" i="66"/>
  <c r="H5611" i="66"/>
  <c r="N5610" i="66"/>
  <c r="M5610" i="66"/>
  <c r="L5610" i="66"/>
  <c r="K5610" i="66"/>
  <c r="J5610" i="66"/>
  <c r="I5610" i="66"/>
  <c r="H5610" i="66"/>
  <c r="N5609" i="66"/>
  <c r="M5609" i="66"/>
  <c r="L5609" i="66"/>
  <c r="K5609" i="66"/>
  <c r="J5609" i="66"/>
  <c r="I5609" i="66"/>
  <c r="H5609" i="66"/>
  <c r="N5608" i="66"/>
  <c r="M5608" i="66"/>
  <c r="L5608" i="66"/>
  <c r="K5608" i="66"/>
  <c r="J5608" i="66"/>
  <c r="I5608" i="66"/>
  <c r="H5608" i="66"/>
  <c r="N5607" i="66"/>
  <c r="M5607" i="66"/>
  <c r="L5607" i="66"/>
  <c r="K5607" i="66"/>
  <c r="J5607" i="66"/>
  <c r="I5607" i="66"/>
  <c r="H5607" i="66"/>
  <c r="I5604" i="66"/>
  <c r="N5602" i="66"/>
  <c r="M5602" i="66"/>
  <c r="L5602" i="66"/>
  <c r="K5602" i="66"/>
  <c r="J5602" i="66"/>
  <c r="I5602" i="66"/>
  <c r="H5602" i="66"/>
  <c r="N5601" i="66"/>
  <c r="M5601" i="66"/>
  <c r="L5601" i="66"/>
  <c r="K5601" i="66"/>
  <c r="J5601" i="66"/>
  <c r="I5601" i="66"/>
  <c r="H5601" i="66"/>
  <c r="N5600" i="66"/>
  <c r="M5600" i="66"/>
  <c r="L5600" i="66"/>
  <c r="K5600" i="66"/>
  <c r="J5600" i="66"/>
  <c r="I5600" i="66"/>
  <c r="H5600" i="66"/>
  <c r="N5599" i="66"/>
  <c r="M5599" i="66"/>
  <c r="L5599" i="66"/>
  <c r="K5599" i="66"/>
  <c r="J5599" i="66"/>
  <c r="I5599" i="66"/>
  <c r="H5599" i="66"/>
  <c r="N5598" i="66"/>
  <c r="M5598" i="66"/>
  <c r="L5598" i="66"/>
  <c r="K5598" i="66"/>
  <c r="J5598" i="66"/>
  <c r="I5598" i="66"/>
  <c r="H5598" i="66"/>
  <c r="N5597" i="66"/>
  <c r="M5597" i="66"/>
  <c r="L5597" i="66"/>
  <c r="K5597" i="66"/>
  <c r="J5597" i="66"/>
  <c r="I5597" i="66"/>
  <c r="H5597" i="66"/>
  <c r="N5596" i="66"/>
  <c r="M5596" i="66"/>
  <c r="L5596" i="66"/>
  <c r="K5596" i="66"/>
  <c r="J5596" i="66"/>
  <c r="I5596" i="66"/>
  <c r="H5596" i="66"/>
  <c r="N5595" i="66"/>
  <c r="M5595" i="66"/>
  <c r="L5595" i="66"/>
  <c r="K5595" i="66"/>
  <c r="J5595" i="66"/>
  <c r="I5595" i="66"/>
  <c r="H5595" i="66"/>
  <c r="I5592" i="66"/>
  <c r="L5590" i="66"/>
  <c r="N5581" i="66"/>
  <c r="M5581" i="66"/>
  <c r="L5581" i="66"/>
  <c r="K5581" i="66"/>
  <c r="J5581" i="66"/>
  <c r="I5581" i="66"/>
  <c r="H5581" i="66"/>
  <c r="N5580" i="66"/>
  <c r="M5580" i="66"/>
  <c r="L5580" i="66"/>
  <c r="K5580" i="66"/>
  <c r="J5580" i="66"/>
  <c r="I5580" i="66"/>
  <c r="H5580" i="66"/>
  <c r="N5572" i="66"/>
  <c r="M5572" i="66"/>
  <c r="L5572" i="66"/>
  <c r="K5572" i="66"/>
  <c r="J5572" i="66"/>
  <c r="I5572" i="66"/>
  <c r="H5572" i="66"/>
  <c r="E5572" i="66"/>
  <c r="I5552" i="66"/>
  <c r="N5547" i="66"/>
  <c r="M5547" i="66"/>
  <c r="L5547" i="66"/>
  <c r="K5547" i="66"/>
  <c r="J5547" i="66"/>
  <c r="I5547" i="66"/>
  <c r="H5547" i="66"/>
  <c r="G5547" i="66"/>
  <c r="N5546" i="66"/>
  <c r="M5546" i="66"/>
  <c r="L5546" i="66"/>
  <c r="K5546" i="66"/>
  <c r="J5546" i="66"/>
  <c r="I5546" i="66"/>
  <c r="H5546" i="66"/>
  <c r="G5546" i="66"/>
  <c r="F5546" i="66"/>
  <c r="E5546" i="66"/>
  <c r="N5545" i="66"/>
  <c r="M5545" i="66"/>
  <c r="L5545" i="66"/>
  <c r="K5545" i="66"/>
  <c r="J5545" i="66"/>
  <c r="I5545" i="66"/>
  <c r="H5545" i="66"/>
  <c r="G5545" i="66"/>
  <c r="F5545" i="66"/>
  <c r="E5545" i="66"/>
  <c r="N5544" i="66"/>
  <c r="M5544" i="66"/>
  <c r="L5544" i="66"/>
  <c r="K5544" i="66"/>
  <c r="J5544" i="66"/>
  <c r="I5544" i="66"/>
  <c r="H5544" i="66"/>
  <c r="G5544" i="66"/>
  <c r="F5544" i="66"/>
  <c r="E5544" i="66"/>
  <c r="N5543" i="66"/>
  <c r="M5543" i="66"/>
  <c r="L5543" i="66"/>
  <c r="K5543" i="66"/>
  <c r="J5543" i="66"/>
  <c r="I5543" i="66"/>
  <c r="H5543" i="66"/>
  <c r="G5543" i="66"/>
  <c r="F5543" i="66"/>
  <c r="E5543" i="66"/>
  <c r="N5542" i="66"/>
  <c r="M5542" i="66"/>
  <c r="L5542" i="66"/>
  <c r="K5542" i="66"/>
  <c r="J5542" i="66"/>
  <c r="I5542" i="66"/>
  <c r="H5542" i="66"/>
  <c r="G5542" i="66"/>
  <c r="F5542" i="66"/>
  <c r="E5542" i="66"/>
  <c r="N5541" i="66"/>
  <c r="M5541" i="66"/>
  <c r="L5541" i="66"/>
  <c r="K5541" i="66"/>
  <c r="J5541" i="66"/>
  <c r="I5541" i="66"/>
  <c r="H5541" i="66"/>
  <c r="G5541" i="66"/>
  <c r="F5541" i="66"/>
  <c r="E5541" i="66"/>
  <c r="N5540" i="66"/>
  <c r="M5540" i="66"/>
  <c r="L5540" i="66"/>
  <c r="K5540" i="66"/>
  <c r="J5540" i="66"/>
  <c r="I5540" i="66"/>
  <c r="H5540" i="66"/>
  <c r="G5540" i="66"/>
  <c r="F5540" i="66"/>
  <c r="E5540" i="66"/>
  <c r="N5539" i="66"/>
  <c r="M5539" i="66"/>
  <c r="L5539" i="66"/>
  <c r="K5539" i="66"/>
  <c r="J5539" i="66"/>
  <c r="I5539" i="66"/>
  <c r="H5539" i="66"/>
  <c r="G5539" i="66"/>
  <c r="F5539" i="66"/>
  <c r="E5539" i="66"/>
  <c r="N5538" i="66"/>
  <c r="M5538" i="66"/>
  <c r="L5538" i="66"/>
  <c r="K5538" i="66"/>
  <c r="J5538" i="66"/>
  <c r="I5538" i="66"/>
  <c r="H5538" i="66"/>
  <c r="G5538" i="66"/>
  <c r="F5538" i="66"/>
  <c r="E5538" i="66"/>
  <c r="N5537" i="66"/>
  <c r="M5537" i="66"/>
  <c r="L5537" i="66"/>
  <c r="K5537" i="66"/>
  <c r="J5537" i="66"/>
  <c r="I5537" i="66"/>
  <c r="H5537" i="66"/>
  <c r="G5537" i="66"/>
  <c r="F5537" i="66"/>
  <c r="E5537" i="66"/>
  <c r="N5523" i="66"/>
  <c r="M5523" i="66"/>
  <c r="L5523" i="66"/>
  <c r="K5523" i="66"/>
  <c r="J5523" i="66"/>
  <c r="I5523" i="66"/>
  <c r="N5522" i="66"/>
  <c r="M5522" i="66"/>
  <c r="L5522" i="66"/>
  <c r="K5522" i="66"/>
  <c r="J5522" i="66"/>
  <c r="N5520" i="66"/>
  <c r="M5520" i="66"/>
  <c r="L5520" i="66"/>
  <c r="K5520" i="66"/>
  <c r="J5520" i="66"/>
  <c r="N5517" i="66"/>
  <c r="M5517" i="66"/>
  <c r="L5517" i="66"/>
  <c r="K5517" i="66"/>
  <c r="J5517" i="66"/>
  <c r="I5517" i="66"/>
  <c r="N5516" i="66"/>
  <c r="M5516" i="66"/>
  <c r="L5516" i="66"/>
  <c r="K5516" i="66"/>
  <c r="J5516" i="66"/>
  <c r="N5515" i="66"/>
  <c r="M5515" i="66"/>
  <c r="L5515" i="66"/>
  <c r="K5515" i="66"/>
  <c r="J5515" i="66"/>
  <c r="N5514" i="66"/>
  <c r="M5514" i="66"/>
  <c r="L5514" i="66"/>
  <c r="K5514" i="66"/>
  <c r="J5514" i="66"/>
  <c r="I5514" i="66"/>
  <c r="N5509" i="66"/>
  <c r="M5509" i="66"/>
  <c r="L5509" i="66"/>
  <c r="K5509" i="66"/>
  <c r="J5509" i="66"/>
  <c r="I5509" i="66"/>
  <c r="H5509" i="66"/>
  <c r="N5508" i="66"/>
  <c r="M5508" i="66"/>
  <c r="L5508" i="66"/>
  <c r="K5508" i="66"/>
  <c r="J5508" i="66"/>
  <c r="I5508" i="66"/>
  <c r="H5508" i="66"/>
  <c r="N5507" i="66"/>
  <c r="M5507" i="66"/>
  <c r="L5507" i="66"/>
  <c r="K5507" i="66"/>
  <c r="J5507" i="66"/>
  <c r="I5507" i="66"/>
  <c r="H5507" i="66"/>
  <c r="N5498" i="66"/>
  <c r="M5498" i="66"/>
  <c r="L5498" i="66"/>
  <c r="K5498" i="66"/>
  <c r="J5498" i="66"/>
  <c r="I5498" i="66"/>
  <c r="N5497" i="66"/>
  <c r="M5497" i="66"/>
  <c r="L5497" i="66"/>
  <c r="K5497" i="66"/>
  <c r="J5497" i="66"/>
  <c r="N5495" i="66"/>
  <c r="M5495" i="66"/>
  <c r="L5495" i="66"/>
  <c r="K5495" i="66"/>
  <c r="J5495" i="66"/>
  <c r="N5492" i="66"/>
  <c r="M5492" i="66"/>
  <c r="L5492" i="66"/>
  <c r="K5492" i="66"/>
  <c r="J5492" i="66"/>
  <c r="I5492" i="66"/>
  <c r="N5491" i="66"/>
  <c r="M5491" i="66"/>
  <c r="L5491" i="66"/>
  <c r="K5491" i="66"/>
  <c r="J5491" i="66"/>
  <c r="N5490" i="66"/>
  <c r="M5490" i="66"/>
  <c r="L5490" i="66"/>
  <c r="K5490" i="66"/>
  <c r="J5490" i="66"/>
  <c r="N5489" i="66"/>
  <c r="M5489" i="66"/>
  <c r="L5489" i="66"/>
  <c r="K5489" i="66"/>
  <c r="J5489" i="66"/>
  <c r="I5489" i="66"/>
  <c r="N5484" i="66"/>
  <c r="M5484" i="66"/>
  <c r="L5484" i="66"/>
  <c r="K5484" i="66"/>
  <c r="J5484" i="66"/>
  <c r="I5484" i="66"/>
  <c r="H5484" i="66"/>
  <c r="N5482" i="66"/>
  <c r="M5482" i="66"/>
  <c r="L5482" i="66"/>
  <c r="K5482" i="66"/>
  <c r="J5482" i="66"/>
  <c r="I5482" i="66"/>
  <c r="H5482" i="66"/>
  <c r="N5481" i="66"/>
  <c r="M5481" i="66"/>
  <c r="L5481" i="66"/>
  <c r="K5481" i="66"/>
  <c r="J5481" i="66"/>
  <c r="I5481" i="66"/>
  <c r="H5481" i="66"/>
  <c r="N5480" i="66"/>
  <c r="M5480" i="66"/>
  <c r="L5480" i="66"/>
  <c r="K5480" i="66"/>
  <c r="J5480" i="66"/>
  <c r="I5480" i="66"/>
  <c r="H5480" i="66"/>
  <c r="N5479" i="66"/>
  <c r="M5479" i="66"/>
  <c r="L5479" i="66"/>
  <c r="K5479" i="66"/>
  <c r="J5479" i="66"/>
  <c r="I5479" i="66"/>
  <c r="H5479" i="66"/>
  <c r="N5478" i="66"/>
  <c r="M5478" i="66"/>
  <c r="L5478" i="66"/>
  <c r="K5478" i="66"/>
  <c r="J5478" i="66"/>
  <c r="I5478" i="66"/>
  <c r="H5478" i="66"/>
  <c r="N5468" i="66"/>
  <c r="M5468" i="66"/>
  <c r="L5468" i="66"/>
  <c r="K5468" i="66"/>
  <c r="J5468" i="66"/>
  <c r="I5468" i="66"/>
  <c r="H5468" i="66"/>
  <c r="N5467" i="66"/>
  <c r="M5467" i="66"/>
  <c r="L5467" i="66"/>
  <c r="K5467" i="66"/>
  <c r="J5467" i="66"/>
  <c r="N5465" i="66"/>
  <c r="M5465" i="66"/>
  <c r="L5465" i="66"/>
  <c r="K5465" i="66"/>
  <c r="J5465" i="66"/>
  <c r="N5462" i="66"/>
  <c r="M5462" i="66"/>
  <c r="L5462" i="66"/>
  <c r="K5462" i="66"/>
  <c r="J5462" i="66"/>
  <c r="I5462" i="66"/>
  <c r="H5462" i="66"/>
  <c r="N5461" i="66"/>
  <c r="M5461" i="66"/>
  <c r="L5461" i="66"/>
  <c r="K5461" i="66"/>
  <c r="J5461" i="66"/>
  <c r="N5460" i="66"/>
  <c r="M5460" i="66"/>
  <c r="L5460" i="66"/>
  <c r="K5460" i="66"/>
  <c r="J5460" i="66"/>
  <c r="N5459" i="66"/>
  <c r="M5459" i="66"/>
  <c r="L5459" i="66"/>
  <c r="K5459" i="66"/>
  <c r="J5459" i="66"/>
  <c r="I5459" i="66"/>
  <c r="H5459" i="66"/>
  <c r="N5447" i="66"/>
  <c r="M5447" i="66"/>
  <c r="L5447" i="66"/>
  <c r="K5447" i="66"/>
  <c r="J5447" i="66"/>
  <c r="I5447" i="66"/>
  <c r="H5447" i="66"/>
  <c r="G5447" i="66"/>
  <c r="E5447" i="66"/>
  <c r="N5446" i="66"/>
  <c r="M5446" i="66"/>
  <c r="L5446" i="66"/>
  <c r="K5446" i="66"/>
  <c r="J5446" i="66"/>
  <c r="I5446" i="66"/>
  <c r="H5446" i="66"/>
  <c r="G5446" i="66"/>
  <c r="E5446" i="66"/>
  <c r="N5445" i="66"/>
  <c r="M5445" i="66"/>
  <c r="L5445" i="66"/>
  <c r="K5445" i="66"/>
  <c r="J5445" i="66"/>
  <c r="I5445" i="66"/>
  <c r="H5445" i="66"/>
  <c r="G5445" i="66"/>
  <c r="E5445" i="66"/>
  <c r="I5437" i="66"/>
  <c r="E5432" i="66"/>
  <c r="N5428" i="66"/>
  <c r="M5428" i="66"/>
  <c r="L5428" i="66"/>
  <c r="K5428" i="66"/>
  <c r="J5428" i="66"/>
  <c r="I5428" i="66"/>
  <c r="H5428" i="66"/>
  <c r="G5428" i="66"/>
  <c r="E5428" i="66"/>
  <c r="N5427" i="66"/>
  <c r="M5427" i="66"/>
  <c r="L5427" i="66"/>
  <c r="K5427" i="66"/>
  <c r="J5427" i="66"/>
  <c r="I5427" i="66"/>
  <c r="H5427" i="66"/>
  <c r="G5427" i="66"/>
  <c r="E5427" i="66"/>
  <c r="N5424" i="66"/>
  <c r="M5424" i="66"/>
  <c r="L5424" i="66"/>
  <c r="K5424" i="66"/>
  <c r="J5424" i="66"/>
  <c r="I5424" i="66"/>
  <c r="H5424" i="66"/>
  <c r="G5424" i="66"/>
  <c r="E5424" i="66"/>
  <c r="N5423" i="66"/>
  <c r="M5423" i="66"/>
  <c r="L5423" i="66"/>
  <c r="K5423" i="66"/>
  <c r="J5423" i="66"/>
  <c r="I5423" i="66"/>
  <c r="H5423" i="66"/>
  <c r="G5423" i="66"/>
  <c r="E5423" i="66"/>
  <c r="L5420" i="66"/>
  <c r="N5415" i="66"/>
  <c r="M5415" i="66"/>
  <c r="L5415" i="66"/>
  <c r="K5415" i="66"/>
  <c r="J5415" i="66"/>
  <c r="I5415" i="66"/>
  <c r="H5415" i="66"/>
  <c r="E5415" i="66"/>
  <c r="N5409" i="66"/>
  <c r="M5409" i="66"/>
  <c r="L5409" i="66"/>
  <c r="K5409" i="66"/>
  <c r="J5409" i="66"/>
  <c r="I5409" i="66"/>
  <c r="H5409" i="66"/>
  <c r="N5403" i="66"/>
  <c r="M5403" i="66"/>
  <c r="L5403" i="66"/>
  <c r="K5403" i="66"/>
  <c r="J5403" i="66"/>
  <c r="I5403" i="66"/>
  <c r="H5403" i="66"/>
  <c r="N5402" i="66"/>
  <c r="M5402" i="66"/>
  <c r="L5402" i="66"/>
  <c r="K5402" i="66"/>
  <c r="J5402" i="66"/>
  <c r="I5402" i="66"/>
  <c r="H5402" i="66"/>
  <c r="N5401" i="66"/>
  <c r="M5401" i="66"/>
  <c r="L5401" i="66"/>
  <c r="K5401" i="66"/>
  <c r="J5401" i="66"/>
  <c r="I5401" i="66"/>
  <c r="H5401" i="66"/>
  <c r="G5401" i="66"/>
  <c r="N5400" i="66"/>
  <c r="M5400" i="66"/>
  <c r="L5400" i="66"/>
  <c r="K5400" i="66"/>
  <c r="J5400" i="66"/>
  <c r="I5400" i="66"/>
  <c r="H5400" i="66"/>
  <c r="G5400" i="66"/>
  <c r="I5396" i="66"/>
  <c r="N5394" i="66"/>
  <c r="M5394" i="66"/>
  <c r="L5394" i="66"/>
  <c r="K5394" i="66"/>
  <c r="J5394" i="66"/>
  <c r="I5394" i="66"/>
  <c r="H5394" i="66"/>
  <c r="N5393" i="66"/>
  <c r="M5393" i="66"/>
  <c r="L5393" i="66"/>
  <c r="K5393" i="66"/>
  <c r="J5393" i="66"/>
  <c r="I5393" i="66"/>
  <c r="H5393" i="66"/>
  <c r="N5392" i="66"/>
  <c r="M5392" i="66"/>
  <c r="L5392" i="66"/>
  <c r="K5392" i="66"/>
  <c r="J5392" i="66"/>
  <c r="I5392" i="66"/>
  <c r="H5392" i="66"/>
  <c r="G5392" i="66"/>
  <c r="N5391" i="66"/>
  <c r="M5391" i="66"/>
  <c r="L5391" i="66"/>
  <c r="K5391" i="66"/>
  <c r="J5391" i="66"/>
  <c r="I5391" i="66"/>
  <c r="H5391" i="66"/>
  <c r="G5391" i="66"/>
  <c r="I5387" i="66"/>
  <c r="N5384" i="66"/>
  <c r="M5384" i="66"/>
  <c r="L5384" i="66"/>
  <c r="K5384" i="66"/>
  <c r="J5384" i="66"/>
  <c r="I5384" i="66"/>
  <c r="N5383" i="66"/>
  <c r="M5383" i="66"/>
  <c r="L5383" i="66"/>
  <c r="K5383" i="66"/>
  <c r="J5383" i="66"/>
  <c r="N5381" i="66"/>
  <c r="M5381" i="66"/>
  <c r="L5381" i="66"/>
  <c r="K5381" i="66"/>
  <c r="J5381" i="66"/>
  <c r="N5378" i="66"/>
  <c r="M5378" i="66"/>
  <c r="L5378" i="66"/>
  <c r="K5378" i="66"/>
  <c r="J5378" i="66"/>
  <c r="I5378" i="66"/>
  <c r="N5377" i="66"/>
  <c r="M5377" i="66"/>
  <c r="L5377" i="66"/>
  <c r="K5377" i="66"/>
  <c r="J5377" i="66"/>
  <c r="N5376" i="66"/>
  <c r="M5376" i="66"/>
  <c r="L5376" i="66"/>
  <c r="K5376" i="66"/>
  <c r="J5376" i="66"/>
  <c r="N5375" i="66"/>
  <c r="M5375" i="66"/>
  <c r="L5375" i="66"/>
  <c r="K5375" i="66"/>
  <c r="J5375" i="66"/>
  <c r="I5375" i="66"/>
  <c r="N5371" i="66"/>
  <c r="M5371" i="66"/>
  <c r="L5371" i="66"/>
  <c r="K5371" i="66"/>
  <c r="J5371" i="66"/>
  <c r="I5371" i="66"/>
  <c r="H5371" i="66"/>
  <c r="N5369" i="66"/>
  <c r="M5369" i="66"/>
  <c r="L5369" i="66"/>
  <c r="K5369" i="66"/>
  <c r="J5369" i="66"/>
  <c r="I5369" i="66"/>
  <c r="H5369" i="66"/>
  <c r="N5368" i="66"/>
  <c r="M5368" i="66"/>
  <c r="L5368" i="66"/>
  <c r="K5368" i="66"/>
  <c r="J5368" i="66"/>
  <c r="I5368" i="66"/>
  <c r="H5368" i="66"/>
  <c r="N5367" i="66"/>
  <c r="M5367" i="66"/>
  <c r="L5367" i="66"/>
  <c r="K5367" i="66"/>
  <c r="J5367" i="66"/>
  <c r="I5367" i="66"/>
  <c r="H5367" i="66"/>
  <c r="G5367" i="66"/>
  <c r="N5366" i="66"/>
  <c r="M5366" i="66"/>
  <c r="L5366" i="66"/>
  <c r="K5366" i="66"/>
  <c r="J5366" i="66"/>
  <c r="I5366" i="66"/>
  <c r="H5366" i="66"/>
  <c r="G5366" i="66"/>
  <c r="I5361" i="66"/>
  <c r="N5359" i="66"/>
  <c r="M5359" i="66"/>
  <c r="L5359" i="66"/>
  <c r="K5359" i="66"/>
  <c r="J5359" i="66"/>
  <c r="I5359" i="66"/>
  <c r="H5359" i="66"/>
  <c r="N5358" i="66"/>
  <c r="M5358" i="66"/>
  <c r="L5358" i="66"/>
  <c r="K5358" i="66"/>
  <c r="J5358" i="66"/>
  <c r="I5358" i="66"/>
  <c r="H5358" i="66"/>
  <c r="N5357" i="66"/>
  <c r="M5357" i="66"/>
  <c r="L5357" i="66"/>
  <c r="K5357" i="66"/>
  <c r="J5357" i="66"/>
  <c r="I5357" i="66"/>
  <c r="H5357" i="66"/>
  <c r="G5357" i="66"/>
  <c r="N5356" i="66"/>
  <c r="M5356" i="66"/>
  <c r="L5356" i="66"/>
  <c r="K5356" i="66"/>
  <c r="J5356" i="66"/>
  <c r="I5356" i="66"/>
  <c r="H5356" i="66"/>
  <c r="G5356" i="66"/>
  <c r="I5352" i="66"/>
  <c r="N5350" i="66"/>
  <c r="M5350" i="66"/>
  <c r="L5350" i="66"/>
  <c r="K5350" i="66"/>
  <c r="J5350" i="66"/>
  <c r="I5350" i="66"/>
  <c r="H5350" i="66"/>
  <c r="N5349" i="66"/>
  <c r="M5349" i="66"/>
  <c r="L5349" i="66"/>
  <c r="K5349" i="66"/>
  <c r="J5349" i="66"/>
  <c r="I5349" i="66"/>
  <c r="H5349" i="66"/>
  <c r="N5348" i="66"/>
  <c r="M5348" i="66"/>
  <c r="L5348" i="66"/>
  <c r="K5348" i="66"/>
  <c r="J5348" i="66"/>
  <c r="I5348" i="66"/>
  <c r="H5348" i="66"/>
  <c r="G5348" i="66"/>
  <c r="N5347" i="66"/>
  <c r="M5347" i="66"/>
  <c r="L5347" i="66"/>
  <c r="K5347" i="66"/>
  <c r="J5347" i="66"/>
  <c r="I5347" i="66"/>
  <c r="H5347" i="66"/>
  <c r="G5347" i="66"/>
  <c r="I5343" i="66"/>
  <c r="L5341" i="66"/>
  <c r="N5337" i="66"/>
  <c r="M5337" i="66"/>
  <c r="L5337" i="66"/>
  <c r="K5337" i="66"/>
  <c r="J5337" i="66"/>
  <c r="I5337" i="66"/>
  <c r="H5337" i="66"/>
  <c r="N5336" i="66"/>
  <c r="M5336" i="66"/>
  <c r="L5336" i="66"/>
  <c r="K5336" i="66"/>
  <c r="J5336" i="66"/>
  <c r="I5336" i="66"/>
  <c r="H5336" i="66"/>
  <c r="N5333" i="66"/>
  <c r="M5333" i="66"/>
  <c r="L5333" i="66"/>
  <c r="K5333" i="66"/>
  <c r="J5333" i="66"/>
  <c r="I5333" i="66"/>
  <c r="H5333" i="66"/>
  <c r="N5332" i="66"/>
  <c r="M5332" i="66"/>
  <c r="L5332" i="66"/>
  <c r="K5332" i="66"/>
  <c r="J5332" i="66"/>
  <c r="I5332" i="66"/>
  <c r="H5332" i="66"/>
  <c r="N5329" i="66"/>
  <c r="M5329" i="66"/>
  <c r="L5329" i="66"/>
  <c r="K5329" i="66"/>
  <c r="J5329" i="66"/>
  <c r="I5329" i="66"/>
  <c r="H5329" i="66"/>
  <c r="N5328" i="66"/>
  <c r="M5328" i="66"/>
  <c r="L5328" i="66"/>
  <c r="K5328" i="66"/>
  <c r="J5328" i="66"/>
  <c r="I5328" i="66"/>
  <c r="H5328" i="66"/>
  <c r="N5319" i="66"/>
  <c r="M5319" i="66"/>
  <c r="L5319" i="66"/>
  <c r="K5319" i="66"/>
  <c r="J5319" i="66"/>
  <c r="I5319" i="66"/>
  <c r="H5319" i="66"/>
  <c r="N5312" i="66"/>
  <c r="M5312" i="66"/>
  <c r="L5312" i="66"/>
  <c r="K5312" i="66"/>
  <c r="J5312" i="66"/>
  <c r="I5312" i="66"/>
  <c r="H5312" i="66"/>
  <c r="N5311" i="66"/>
  <c r="M5311" i="66"/>
  <c r="L5311" i="66"/>
  <c r="K5311" i="66"/>
  <c r="J5311" i="66"/>
  <c r="I5311" i="66"/>
  <c r="H5311" i="66"/>
  <c r="N5310" i="66"/>
  <c r="M5310" i="66"/>
  <c r="L5310" i="66"/>
  <c r="K5310" i="66"/>
  <c r="J5310" i="66"/>
  <c r="I5310" i="66"/>
  <c r="H5310" i="66"/>
  <c r="N5309" i="66"/>
  <c r="M5309" i="66"/>
  <c r="L5309" i="66"/>
  <c r="K5309" i="66"/>
  <c r="J5309" i="66"/>
  <c r="I5309" i="66"/>
  <c r="H5309" i="66"/>
  <c r="N5308" i="66"/>
  <c r="M5308" i="66"/>
  <c r="L5308" i="66"/>
  <c r="K5308" i="66"/>
  <c r="J5308" i="66"/>
  <c r="I5308" i="66"/>
  <c r="H5308" i="66"/>
  <c r="N5307" i="66"/>
  <c r="M5307" i="66"/>
  <c r="L5307" i="66"/>
  <c r="K5307" i="66"/>
  <c r="J5307" i="66"/>
  <c r="I5307" i="66"/>
  <c r="H5307" i="66"/>
  <c r="N5306" i="66"/>
  <c r="M5306" i="66"/>
  <c r="L5306" i="66"/>
  <c r="K5306" i="66"/>
  <c r="J5306" i="66"/>
  <c r="I5306" i="66"/>
  <c r="H5306" i="66"/>
  <c r="N5305" i="66"/>
  <c r="M5305" i="66"/>
  <c r="L5305" i="66"/>
  <c r="K5305" i="66"/>
  <c r="J5305" i="66"/>
  <c r="I5305" i="66"/>
  <c r="H5305" i="66"/>
  <c r="I5302" i="66"/>
  <c r="N5300" i="66"/>
  <c r="M5300" i="66"/>
  <c r="L5300" i="66"/>
  <c r="K5300" i="66"/>
  <c r="J5300" i="66"/>
  <c r="I5300" i="66"/>
  <c r="H5300" i="66"/>
  <c r="N5299" i="66"/>
  <c r="M5299" i="66"/>
  <c r="L5299" i="66"/>
  <c r="K5299" i="66"/>
  <c r="J5299" i="66"/>
  <c r="I5299" i="66"/>
  <c r="H5299" i="66"/>
  <c r="N5298" i="66"/>
  <c r="M5298" i="66"/>
  <c r="L5298" i="66"/>
  <c r="K5298" i="66"/>
  <c r="J5298" i="66"/>
  <c r="I5298" i="66"/>
  <c r="H5298" i="66"/>
  <c r="N5297" i="66"/>
  <c r="M5297" i="66"/>
  <c r="L5297" i="66"/>
  <c r="K5297" i="66"/>
  <c r="J5297" i="66"/>
  <c r="I5297" i="66"/>
  <c r="H5297" i="66"/>
  <c r="N5296" i="66"/>
  <c r="M5296" i="66"/>
  <c r="L5296" i="66"/>
  <c r="K5296" i="66"/>
  <c r="J5296" i="66"/>
  <c r="I5296" i="66"/>
  <c r="H5296" i="66"/>
  <c r="N5295" i="66"/>
  <c r="M5295" i="66"/>
  <c r="L5295" i="66"/>
  <c r="K5295" i="66"/>
  <c r="J5295" i="66"/>
  <c r="I5295" i="66"/>
  <c r="H5295" i="66"/>
  <c r="N5294" i="66"/>
  <c r="M5294" i="66"/>
  <c r="L5294" i="66"/>
  <c r="K5294" i="66"/>
  <c r="J5294" i="66"/>
  <c r="I5294" i="66"/>
  <c r="H5294" i="66"/>
  <c r="N5293" i="66"/>
  <c r="M5293" i="66"/>
  <c r="L5293" i="66"/>
  <c r="K5293" i="66"/>
  <c r="J5293" i="66"/>
  <c r="I5293" i="66"/>
  <c r="H5293" i="66"/>
  <c r="I5290" i="66"/>
  <c r="L5288" i="66"/>
  <c r="N5279" i="66"/>
  <c r="M5279" i="66"/>
  <c r="L5279" i="66"/>
  <c r="K5279" i="66"/>
  <c r="J5279" i="66"/>
  <c r="I5279" i="66"/>
  <c r="H5279" i="66"/>
  <c r="N5278" i="66"/>
  <c r="M5278" i="66"/>
  <c r="L5278" i="66"/>
  <c r="K5278" i="66"/>
  <c r="J5278" i="66"/>
  <c r="I5278" i="66"/>
  <c r="H5278" i="66"/>
  <c r="N5270" i="66"/>
  <c r="M5270" i="66"/>
  <c r="L5270" i="66"/>
  <c r="K5270" i="66"/>
  <c r="J5270" i="66"/>
  <c r="I5270" i="66"/>
  <c r="H5270" i="66"/>
  <c r="E5270" i="66"/>
  <c r="I5250" i="66"/>
  <c r="N5245" i="66"/>
  <c r="M5245" i="66"/>
  <c r="L5245" i="66"/>
  <c r="K5245" i="66"/>
  <c r="J5245" i="66"/>
  <c r="I5245" i="66"/>
  <c r="H5245" i="66"/>
  <c r="G5245" i="66"/>
  <c r="N5244" i="66"/>
  <c r="M5244" i="66"/>
  <c r="L5244" i="66"/>
  <c r="K5244" i="66"/>
  <c r="J5244" i="66"/>
  <c r="I5244" i="66"/>
  <c r="H5244" i="66"/>
  <c r="G5244" i="66"/>
  <c r="F5244" i="66"/>
  <c r="E5244" i="66"/>
  <c r="N5243" i="66"/>
  <c r="M5243" i="66"/>
  <c r="L5243" i="66"/>
  <c r="K5243" i="66"/>
  <c r="J5243" i="66"/>
  <c r="I5243" i="66"/>
  <c r="H5243" i="66"/>
  <c r="G5243" i="66"/>
  <c r="F5243" i="66"/>
  <c r="E5243" i="66"/>
  <c r="N5242" i="66"/>
  <c r="M5242" i="66"/>
  <c r="L5242" i="66"/>
  <c r="K5242" i="66"/>
  <c r="J5242" i="66"/>
  <c r="I5242" i="66"/>
  <c r="H5242" i="66"/>
  <c r="G5242" i="66"/>
  <c r="F5242" i="66"/>
  <c r="E5242" i="66"/>
  <c r="N5241" i="66"/>
  <c r="M5241" i="66"/>
  <c r="L5241" i="66"/>
  <c r="K5241" i="66"/>
  <c r="J5241" i="66"/>
  <c r="I5241" i="66"/>
  <c r="H5241" i="66"/>
  <c r="G5241" i="66"/>
  <c r="F5241" i="66"/>
  <c r="E5241" i="66"/>
  <c r="N5240" i="66"/>
  <c r="M5240" i="66"/>
  <c r="L5240" i="66"/>
  <c r="K5240" i="66"/>
  <c r="J5240" i="66"/>
  <c r="I5240" i="66"/>
  <c r="H5240" i="66"/>
  <c r="G5240" i="66"/>
  <c r="F5240" i="66"/>
  <c r="E5240" i="66"/>
  <c r="N5239" i="66"/>
  <c r="M5239" i="66"/>
  <c r="L5239" i="66"/>
  <c r="K5239" i="66"/>
  <c r="J5239" i="66"/>
  <c r="I5239" i="66"/>
  <c r="H5239" i="66"/>
  <c r="G5239" i="66"/>
  <c r="F5239" i="66"/>
  <c r="E5239" i="66"/>
  <c r="N5238" i="66"/>
  <c r="M5238" i="66"/>
  <c r="L5238" i="66"/>
  <c r="K5238" i="66"/>
  <c r="J5238" i="66"/>
  <c r="I5238" i="66"/>
  <c r="H5238" i="66"/>
  <c r="G5238" i="66"/>
  <c r="F5238" i="66"/>
  <c r="E5238" i="66"/>
  <c r="N5237" i="66"/>
  <c r="M5237" i="66"/>
  <c r="L5237" i="66"/>
  <c r="K5237" i="66"/>
  <c r="J5237" i="66"/>
  <c r="I5237" i="66"/>
  <c r="H5237" i="66"/>
  <c r="G5237" i="66"/>
  <c r="F5237" i="66"/>
  <c r="E5237" i="66"/>
  <c r="N5236" i="66"/>
  <c r="M5236" i="66"/>
  <c r="L5236" i="66"/>
  <c r="K5236" i="66"/>
  <c r="J5236" i="66"/>
  <c r="I5236" i="66"/>
  <c r="H5236" i="66"/>
  <c r="G5236" i="66"/>
  <c r="F5236" i="66"/>
  <c r="E5236" i="66"/>
  <c r="N5235" i="66"/>
  <c r="M5235" i="66"/>
  <c r="L5235" i="66"/>
  <c r="K5235" i="66"/>
  <c r="J5235" i="66"/>
  <c r="I5235" i="66"/>
  <c r="H5235" i="66"/>
  <c r="G5235" i="66"/>
  <c r="F5235" i="66"/>
  <c r="E5235" i="66"/>
  <c r="N5221" i="66"/>
  <c r="M5221" i="66"/>
  <c r="L5221" i="66"/>
  <c r="K5221" i="66"/>
  <c r="J5221" i="66"/>
  <c r="I5221" i="66"/>
  <c r="N5220" i="66"/>
  <c r="M5220" i="66"/>
  <c r="L5220" i="66"/>
  <c r="K5220" i="66"/>
  <c r="J5220" i="66"/>
  <c r="N5218" i="66"/>
  <c r="M5218" i="66"/>
  <c r="L5218" i="66"/>
  <c r="K5218" i="66"/>
  <c r="J5218" i="66"/>
  <c r="N5215" i="66"/>
  <c r="M5215" i="66"/>
  <c r="L5215" i="66"/>
  <c r="K5215" i="66"/>
  <c r="J5215" i="66"/>
  <c r="I5215" i="66"/>
  <c r="N5214" i="66"/>
  <c r="M5214" i="66"/>
  <c r="L5214" i="66"/>
  <c r="K5214" i="66"/>
  <c r="J5214" i="66"/>
  <c r="N5213" i="66"/>
  <c r="M5213" i="66"/>
  <c r="L5213" i="66"/>
  <c r="K5213" i="66"/>
  <c r="J5213" i="66"/>
  <c r="N5212" i="66"/>
  <c r="M5212" i="66"/>
  <c r="L5212" i="66"/>
  <c r="K5212" i="66"/>
  <c r="J5212" i="66"/>
  <c r="I5212" i="66"/>
  <c r="N5207" i="66"/>
  <c r="M5207" i="66"/>
  <c r="L5207" i="66"/>
  <c r="K5207" i="66"/>
  <c r="J5207" i="66"/>
  <c r="I5207" i="66"/>
  <c r="H5207" i="66"/>
  <c r="N5206" i="66"/>
  <c r="M5206" i="66"/>
  <c r="L5206" i="66"/>
  <c r="K5206" i="66"/>
  <c r="J5206" i="66"/>
  <c r="I5206" i="66"/>
  <c r="H5206" i="66"/>
  <c r="N5205" i="66"/>
  <c r="M5205" i="66"/>
  <c r="L5205" i="66"/>
  <c r="K5205" i="66"/>
  <c r="J5205" i="66"/>
  <c r="I5205" i="66"/>
  <c r="H5205" i="66"/>
  <c r="N5196" i="66"/>
  <c r="M5196" i="66"/>
  <c r="L5196" i="66"/>
  <c r="K5196" i="66"/>
  <c r="J5196" i="66"/>
  <c r="I5196" i="66"/>
  <c r="N5195" i="66"/>
  <c r="M5195" i="66"/>
  <c r="L5195" i="66"/>
  <c r="K5195" i="66"/>
  <c r="J5195" i="66"/>
  <c r="N5193" i="66"/>
  <c r="M5193" i="66"/>
  <c r="L5193" i="66"/>
  <c r="K5193" i="66"/>
  <c r="J5193" i="66"/>
  <c r="N5190" i="66"/>
  <c r="M5190" i="66"/>
  <c r="L5190" i="66"/>
  <c r="K5190" i="66"/>
  <c r="J5190" i="66"/>
  <c r="I5190" i="66"/>
  <c r="N5189" i="66"/>
  <c r="M5189" i="66"/>
  <c r="L5189" i="66"/>
  <c r="K5189" i="66"/>
  <c r="J5189" i="66"/>
  <c r="N5188" i="66"/>
  <c r="M5188" i="66"/>
  <c r="L5188" i="66"/>
  <c r="K5188" i="66"/>
  <c r="J5188" i="66"/>
  <c r="N5187" i="66"/>
  <c r="M5187" i="66"/>
  <c r="L5187" i="66"/>
  <c r="K5187" i="66"/>
  <c r="J5187" i="66"/>
  <c r="I5187" i="66"/>
  <c r="N5182" i="66"/>
  <c r="M5182" i="66"/>
  <c r="L5182" i="66"/>
  <c r="K5182" i="66"/>
  <c r="J5182" i="66"/>
  <c r="I5182" i="66"/>
  <c r="H5182" i="66"/>
  <c r="N5180" i="66"/>
  <c r="M5180" i="66"/>
  <c r="L5180" i="66"/>
  <c r="K5180" i="66"/>
  <c r="J5180" i="66"/>
  <c r="I5180" i="66"/>
  <c r="H5180" i="66"/>
  <c r="N5179" i="66"/>
  <c r="M5179" i="66"/>
  <c r="L5179" i="66"/>
  <c r="K5179" i="66"/>
  <c r="J5179" i="66"/>
  <c r="I5179" i="66"/>
  <c r="H5179" i="66"/>
  <c r="N5178" i="66"/>
  <c r="M5178" i="66"/>
  <c r="L5178" i="66"/>
  <c r="K5178" i="66"/>
  <c r="J5178" i="66"/>
  <c r="I5178" i="66"/>
  <c r="H5178" i="66"/>
  <c r="N5177" i="66"/>
  <c r="M5177" i="66"/>
  <c r="L5177" i="66"/>
  <c r="K5177" i="66"/>
  <c r="J5177" i="66"/>
  <c r="I5177" i="66"/>
  <c r="H5177" i="66"/>
  <c r="N5176" i="66"/>
  <c r="M5176" i="66"/>
  <c r="L5176" i="66"/>
  <c r="K5176" i="66"/>
  <c r="J5176" i="66"/>
  <c r="I5176" i="66"/>
  <c r="H5176" i="66"/>
  <c r="N5166" i="66"/>
  <c r="M5166" i="66"/>
  <c r="L5166" i="66"/>
  <c r="K5166" i="66"/>
  <c r="J5166" i="66"/>
  <c r="I5166" i="66"/>
  <c r="H5166" i="66"/>
  <c r="N5165" i="66"/>
  <c r="M5165" i="66"/>
  <c r="L5165" i="66"/>
  <c r="K5165" i="66"/>
  <c r="J5165" i="66"/>
  <c r="N5163" i="66"/>
  <c r="M5163" i="66"/>
  <c r="L5163" i="66"/>
  <c r="K5163" i="66"/>
  <c r="J5163" i="66"/>
  <c r="N5160" i="66"/>
  <c r="M5160" i="66"/>
  <c r="L5160" i="66"/>
  <c r="K5160" i="66"/>
  <c r="J5160" i="66"/>
  <c r="I5160" i="66"/>
  <c r="H5160" i="66"/>
  <c r="N5159" i="66"/>
  <c r="M5159" i="66"/>
  <c r="L5159" i="66"/>
  <c r="K5159" i="66"/>
  <c r="J5159" i="66"/>
  <c r="N5158" i="66"/>
  <c r="M5158" i="66"/>
  <c r="L5158" i="66"/>
  <c r="K5158" i="66"/>
  <c r="J5158" i="66"/>
  <c r="N5157" i="66"/>
  <c r="M5157" i="66"/>
  <c r="L5157" i="66"/>
  <c r="K5157" i="66"/>
  <c r="J5157" i="66"/>
  <c r="I5157" i="66"/>
  <c r="H5157" i="66"/>
  <c r="N5145" i="66"/>
  <c r="M5145" i="66"/>
  <c r="L5145" i="66"/>
  <c r="K5145" i="66"/>
  <c r="J5145" i="66"/>
  <c r="I5145" i="66"/>
  <c r="H5145" i="66"/>
  <c r="G5145" i="66"/>
  <c r="E5145" i="66"/>
  <c r="N5144" i="66"/>
  <c r="M5144" i="66"/>
  <c r="L5144" i="66"/>
  <c r="K5144" i="66"/>
  <c r="J5144" i="66"/>
  <c r="I5144" i="66"/>
  <c r="H5144" i="66"/>
  <c r="G5144" i="66"/>
  <c r="E5144" i="66"/>
  <c r="N5143" i="66"/>
  <c r="M5143" i="66"/>
  <c r="L5143" i="66"/>
  <c r="K5143" i="66"/>
  <c r="J5143" i="66"/>
  <c r="I5143" i="66"/>
  <c r="H5143" i="66"/>
  <c r="G5143" i="66"/>
  <c r="E5143" i="66"/>
  <c r="I5135" i="66"/>
  <c r="E5130" i="66"/>
  <c r="N5126" i="66"/>
  <c r="M5126" i="66"/>
  <c r="L5126" i="66"/>
  <c r="K5126" i="66"/>
  <c r="J5126" i="66"/>
  <c r="I5126" i="66"/>
  <c r="H5126" i="66"/>
  <c r="G5126" i="66"/>
  <c r="E5126" i="66"/>
  <c r="N5125" i="66"/>
  <c r="M5125" i="66"/>
  <c r="L5125" i="66"/>
  <c r="K5125" i="66"/>
  <c r="J5125" i="66"/>
  <c r="I5125" i="66"/>
  <c r="H5125" i="66"/>
  <c r="G5125" i="66"/>
  <c r="E5125" i="66"/>
  <c r="N5122" i="66"/>
  <c r="M5122" i="66"/>
  <c r="L5122" i="66"/>
  <c r="K5122" i="66"/>
  <c r="J5122" i="66"/>
  <c r="I5122" i="66"/>
  <c r="H5122" i="66"/>
  <c r="G5122" i="66"/>
  <c r="E5122" i="66"/>
  <c r="N5121" i="66"/>
  <c r="M5121" i="66"/>
  <c r="L5121" i="66"/>
  <c r="K5121" i="66"/>
  <c r="J5121" i="66"/>
  <c r="I5121" i="66"/>
  <c r="H5121" i="66"/>
  <c r="G5121" i="66"/>
  <c r="E5121" i="66"/>
  <c r="L5118" i="66"/>
  <c r="N5113" i="66"/>
  <c r="M5113" i="66"/>
  <c r="L5113" i="66"/>
  <c r="K5113" i="66"/>
  <c r="J5113" i="66"/>
  <c r="I5113" i="66"/>
  <c r="H5113" i="66"/>
  <c r="E5113" i="66"/>
  <c r="N5107" i="66"/>
  <c r="M5107" i="66"/>
  <c r="L5107" i="66"/>
  <c r="K5107" i="66"/>
  <c r="J5107" i="66"/>
  <c r="I5107" i="66"/>
  <c r="H5107" i="66"/>
  <c r="N5101" i="66"/>
  <c r="M5101" i="66"/>
  <c r="L5101" i="66"/>
  <c r="K5101" i="66"/>
  <c r="J5101" i="66"/>
  <c r="I5101" i="66"/>
  <c r="H5101" i="66"/>
  <c r="N5100" i="66"/>
  <c r="M5100" i="66"/>
  <c r="L5100" i="66"/>
  <c r="K5100" i="66"/>
  <c r="J5100" i="66"/>
  <c r="I5100" i="66"/>
  <c r="H5100" i="66"/>
  <c r="N5099" i="66"/>
  <c r="M5099" i="66"/>
  <c r="L5099" i="66"/>
  <c r="K5099" i="66"/>
  <c r="J5099" i="66"/>
  <c r="I5099" i="66"/>
  <c r="H5099" i="66"/>
  <c r="G5099" i="66"/>
  <c r="N5098" i="66"/>
  <c r="M5098" i="66"/>
  <c r="L5098" i="66"/>
  <c r="K5098" i="66"/>
  <c r="J5098" i="66"/>
  <c r="I5098" i="66"/>
  <c r="H5098" i="66"/>
  <c r="G5098" i="66"/>
  <c r="I5094" i="66"/>
  <c r="N5092" i="66"/>
  <c r="M5092" i="66"/>
  <c r="L5092" i="66"/>
  <c r="K5092" i="66"/>
  <c r="J5092" i="66"/>
  <c r="I5092" i="66"/>
  <c r="H5092" i="66"/>
  <c r="N5091" i="66"/>
  <c r="M5091" i="66"/>
  <c r="L5091" i="66"/>
  <c r="K5091" i="66"/>
  <c r="J5091" i="66"/>
  <c r="I5091" i="66"/>
  <c r="H5091" i="66"/>
  <c r="N5090" i="66"/>
  <c r="M5090" i="66"/>
  <c r="L5090" i="66"/>
  <c r="K5090" i="66"/>
  <c r="J5090" i="66"/>
  <c r="I5090" i="66"/>
  <c r="H5090" i="66"/>
  <c r="G5090" i="66"/>
  <c r="N5089" i="66"/>
  <c r="M5089" i="66"/>
  <c r="L5089" i="66"/>
  <c r="K5089" i="66"/>
  <c r="J5089" i="66"/>
  <c r="I5089" i="66"/>
  <c r="H5089" i="66"/>
  <c r="G5089" i="66"/>
  <c r="I5085" i="66"/>
  <c r="N5082" i="66"/>
  <c r="M5082" i="66"/>
  <c r="L5082" i="66"/>
  <c r="K5082" i="66"/>
  <c r="J5082" i="66"/>
  <c r="I5082" i="66"/>
  <c r="N5081" i="66"/>
  <c r="M5081" i="66"/>
  <c r="L5081" i="66"/>
  <c r="K5081" i="66"/>
  <c r="J5081" i="66"/>
  <c r="N5079" i="66"/>
  <c r="M5079" i="66"/>
  <c r="L5079" i="66"/>
  <c r="K5079" i="66"/>
  <c r="J5079" i="66"/>
  <c r="N5076" i="66"/>
  <c r="M5076" i="66"/>
  <c r="L5076" i="66"/>
  <c r="K5076" i="66"/>
  <c r="J5076" i="66"/>
  <c r="I5076" i="66"/>
  <c r="N5075" i="66"/>
  <c r="M5075" i="66"/>
  <c r="L5075" i="66"/>
  <c r="K5075" i="66"/>
  <c r="J5075" i="66"/>
  <c r="N5074" i="66"/>
  <c r="M5074" i="66"/>
  <c r="L5074" i="66"/>
  <c r="K5074" i="66"/>
  <c r="J5074" i="66"/>
  <c r="N5073" i="66"/>
  <c r="M5073" i="66"/>
  <c r="L5073" i="66"/>
  <c r="K5073" i="66"/>
  <c r="J5073" i="66"/>
  <c r="I5073" i="66"/>
  <c r="N5069" i="66"/>
  <c r="M5069" i="66"/>
  <c r="L5069" i="66"/>
  <c r="K5069" i="66"/>
  <c r="J5069" i="66"/>
  <c r="I5069" i="66"/>
  <c r="H5069" i="66"/>
  <c r="N5067" i="66"/>
  <c r="M5067" i="66"/>
  <c r="L5067" i="66"/>
  <c r="K5067" i="66"/>
  <c r="J5067" i="66"/>
  <c r="I5067" i="66"/>
  <c r="H5067" i="66"/>
  <c r="N5066" i="66"/>
  <c r="M5066" i="66"/>
  <c r="L5066" i="66"/>
  <c r="K5066" i="66"/>
  <c r="J5066" i="66"/>
  <c r="I5066" i="66"/>
  <c r="H5066" i="66"/>
  <c r="N5065" i="66"/>
  <c r="M5065" i="66"/>
  <c r="L5065" i="66"/>
  <c r="K5065" i="66"/>
  <c r="J5065" i="66"/>
  <c r="I5065" i="66"/>
  <c r="H5065" i="66"/>
  <c r="G5065" i="66"/>
  <c r="N5064" i="66"/>
  <c r="M5064" i="66"/>
  <c r="L5064" i="66"/>
  <c r="K5064" i="66"/>
  <c r="J5064" i="66"/>
  <c r="I5064" i="66"/>
  <c r="H5064" i="66"/>
  <c r="G5064" i="66"/>
  <c r="I5059" i="66"/>
  <c r="N5057" i="66"/>
  <c r="M5057" i="66"/>
  <c r="L5057" i="66"/>
  <c r="K5057" i="66"/>
  <c r="J5057" i="66"/>
  <c r="I5057" i="66"/>
  <c r="H5057" i="66"/>
  <c r="N5056" i="66"/>
  <c r="M5056" i="66"/>
  <c r="L5056" i="66"/>
  <c r="K5056" i="66"/>
  <c r="J5056" i="66"/>
  <c r="I5056" i="66"/>
  <c r="H5056" i="66"/>
  <c r="N5055" i="66"/>
  <c r="M5055" i="66"/>
  <c r="L5055" i="66"/>
  <c r="K5055" i="66"/>
  <c r="J5055" i="66"/>
  <c r="I5055" i="66"/>
  <c r="H5055" i="66"/>
  <c r="G5055" i="66"/>
  <c r="N5054" i="66"/>
  <c r="M5054" i="66"/>
  <c r="L5054" i="66"/>
  <c r="K5054" i="66"/>
  <c r="J5054" i="66"/>
  <c r="I5054" i="66"/>
  <c r="H5054" i="66"/>
  <c r="G5054" i="66"/>
  <c r="I5050" i="66"/>
  <c r="N5048" i="66"/>
  <c r="M5048" i="66"/>
  <c r="L5048" i="66"/>
  <c r="K5048" i="66"/>
  <c r="J5048" i="66"/>
  <c r="I5048" i="66"/>
  <c r="H5048" i="66"/>
  <c r="N5047" i="66"/>
  <c r="M5047" i="66"/>
  <c r="L5047" i="66"/>
  <c r="K5047" i="66"/>
  <c r="J5047" i="66"/>
  <c r="I5047" i="66"/>
  <c r="H5047" i="66"/>
  <c r="N5046" i="66"/>
  <c r="M5046" i="66"/>
  <c r="L5046" i="66"/>
  <c r="K5046" i="66"/>
  <c r="J5046" i="66"/>
  <c r="I5046" i="66"/>
  <c r="H5046" i="66"/>
  <c r="G5046" i="66"/>
  <c r="N5045" i="66"/>
  <c r="M5045" i="66"/>
  <c r="L5045" i="66"/>
  <c r="K5045" i="66"/>
  <c r="J5045" i="66"/>
  <c r="I5045" i="66"/>
  <c r="H5045" i="66"/>
  <c r="G5045" i="66"/>
  <c r="I5041" i="66"/>
  <c r="L5039" i="66"/>
  <c r="N5035" i="66"/>
  <c r="M5035" i="66"/>
  <c r="L5035" i="66"/>
  <c r="K5035" i="66"/>
  <c r="J5035" i="66"/>
  <c r="I5035" i="66"/>
  <c r="H5035" i="66"/>
  <c r="N5034" i="66"/>
  <c r="M5034" i="66"/>
  <c r="L5034" i="66"/>
  <c r="K5034" i="66"/>
  <c r="J5034" i="66"/>
  <c r="I5034" i="66"/>
  <c r="H5034" i="66"/>
  <c r="N5031" i="66"/>
  <c r="M5031" i="66"/>
  <c r="L5031" i="66"/>
  <c r="K5031" i="66"/>
  <c r="J5031" i="66"/>
  <c r="I5031" i="66"/>
  <c r="H5031" i="66"/>
  <c r="N5030" i="66"/>
  <c r="M5030" i="66"/>
  <c r="L5030" i="66"/>
  <c r="K5030" i="66"/>
  <c r="J5030" i="66"/>
  <c r="I5030" i="66"/>
  <c r="H5030" i="66"/>
  <c r="N5027" i="66"/>
  <c r="M5027" i="66"/>
  <c r="L5027" i="66"/>
  <c r="K5027" i="66"/>
  <c r="J5027" i="66"/>
  <c r="I5027" i="66"/>
  <c r="H5027" i="66"/>
  <c r="N5026" i="66"/>
  <c r="M5026" i="66"/>
  <c r="L5026" i="66"/>
  <c r="K5026" i="66"/>
  <c r="J5026" i="66"/>
  <c r="I5026" i="66"/>
  <c r="H5026" i="66"/>
  <c r="N5017" i="66"/>
  <c r="M5017" i="66"/>
  <c r="L5017" i="66"/>
  <c r="K5017" i="66"/>
  <c r="J5017" i="66"/>
  <c r="I5017" i="66"/>
  <c r="H5017" i="66"/>
  <c r="N5010" i="66"/>
  <c r="M5010" i="66"/>
  <c r="L5010" i="66"/>
  <c r="K5010" i="66"/>
  <c r="J5010" i="66"/>
  <c r="I5010" i="66"/>
  <c r="H5010" i="66"/>
  <c r="N5009" i="66"/>
  <c r="M5009" i="66"/>
  <c r="L5009" i="66"/>
  <c r="K5009" i="66"/>
  <c r="J5009" i="66"/>
  <c r="I5009" i="66"/>
  <c r="H5009" i="66"/>
  <c r="N5008" i="66"/>
  <c r="M5008" i="66"/>
  <c r="L5008" i="66"/>
  <c r="K5008" i="66"/>
  <c r="J5008" i="66"/>
  <c r="I5008" i="66"/>
  <c r="H5008" i="66"/>
  <c r="N5007" i="66"/>
  <c r="M5007" i="66"/>
  <c r="L5007" i="66"/>
  <c r="K5007" i="66"/>
  <c r="J5007" i="66"/>
  <c r="I5007" i="66"/>
  <c r="H5007" i="66"/>
  <c r="N5006" i="66"/>
  <c r="M5006" i="66"/>
  <c r="L5006" i="66"/>
  <c r="K5006" i="66"/>
  <c r="J5006" i="66"/>
  <c r="I5006" i="66"/>
  <c r="H5006" i="66"/>
  <c r="N5005" i="66"/>
  <c r="M5005" i="66"/>
  <c r="L5005" i="66"/>
  <c r="K5005" i="66"/>
  <c r="J5005" i="66"/>
  <c r="I5005" i="66"/>
  <c r="H5005" i="66"/>
  <c r="N5004" i="66"/>
  <c r="M5004" i="66"/>
  <c r="L5004" i="66"/>
  <c r="K5004" i="66"/>
  <c r="J5004" i="66"/>
  <c r="I5004" i="66"/>
  <c r="H5004" i="66"/>
  <c r="N5003" i="66"/>
  <c r="M5003" i="66"/>
  <c r="L5003" i="66"/>
  <c r="K5003" i="66"/>
  <c r="J5003" i="66"/>
  <c r="I5003" i="66"/>
  <c r="H5003" i="66"/>
  <c r="I5000" i="66"/>
  <c r="N4998" i="66"/>
  <c r="M4998" i="66"/>
  <c r="L4998" i="66"/>
  <c r="K4998" i="66"/>
  <c r="J4998" i="66"/>
  <c r="I4998" i="66"/>
  <c r="H4998" i="66"/>
  <c r="N4997" i="66"/>
  <c r="M4997" i="66"/>
  <c r="L4997" i="66"/>
  <c r="K4997" i="66"/>
  <c r="J4997" i="66"/>
  <c r="I4997" i="66"/>
  <c r="H4997" i="66"/>
  <c r="N4996" i="66"/>
  <c r="M4996" i="66"/>
  <c r="L4996" i="66"/>
  <c r="K4996" i="66"/>
  <c r="J4996" i="66"/>
  <c r="I4996" i="66"/>
  <c r="H4996" i="66"/>
  <c r="N4995" i="66"/>
  <c r="M4995" i="66"/>
  <c r="L4995" i="66"/>
  <c r="K4995" i="66"/>
  <c r="J4995" i="66"/>
  <c r="I4995" i="66"/>
  <c r="H4995" i="66"/>
  <c r="N4994" i="66"/>
  <c r="M4994" i="66"/>
  <c r="L4994" i="66"/>
  <c r="K4994" i="66"/>
  <c r="J4994" i="66"/>
  <c r="I4994" i="66"/>
  <c r="H4994" i="66"/>
  <c r="N4993" i="66"/>
  <c r="M4993" i="66"/>
  <c r="L4993" i="66"/>
  <c r="K4993" i="66"/>
  <c r="J4993" i="66"/>
  <c r="I4993" i="66"/>
  <c r="H4993" i="66"/>
  <c r="N4992" i="66"/>
  <c r="M4992" i="66"/>
  <c r="L4992" i="66"/>
  <c r="K4992" i="66"/>
  <c r="J4992" i="66"/>
  <c r="I4992" i="66"/>
  <c r="H4992" i="66"/>
  <c r="N4991" i="66"/>
  <c r="M4991" i="66"/>
  <c r="L4991" i="66"/>
  <c r="K4991" i="66"/>
  <c r="J4991" i="66"/>
  <c r="I4991" i="66"/>
  <c r="H4991" i="66"/>
  <c r="I4988" i="66"/>
  <c r="L4986" i="66"/>
  <c r="N4977" i="66"/>
  <c r="M4977" i="66"/>
  <c r="L4977" i="66"/>
  <c r="K4977" i="66"/>
  <c r="J4977" i="66"/>
  <c r="I4977" i="66"/>
  <c r="H4977" i="66"/>
  <c r="N4976" i="66"/>
  <c r="M4976" i="66"/>
  <c r="L4976" i="66"/>
  <c r="K4976" i="66"/>
  <c r="J4976" i="66"/>
  <c r="I4976" i="66"/>
  <c r="H4976" i="66"/>
  <c r="N4968" i="66"/>
  <c r="M4968" i="66"/>
  <c r="L4968" i="66"/>
  <c r="K4968" i="66"/>
  <c r="J4968" i="66"/>
  <c r="I4968" i="66"/>
  <c r="H4968" i="66"/>
  <c r="E4968" i="66"/>
  <c r="I4948" i="66"/>
  <c r="N4943" i="66"/>
  <c r="M4943" i="66"/>
  <c r="L4943" i="66"/>
  <c r="K4943" i="66"/>
  <c r="J4943" i="66"/>
  <c r="I4943" i="66"/>
  <c r="H4943" i="66"/>
  <c r="G4943" i="66"/>
  <c r="N4942" i="66"/>
  <c r="M4942" i="66"/>
  <c r="L4942" i="66"/>
  <c r="K4942" i="66"/>
  <c r="J4942" i="66"/>
  <c r="I4942" i="66"/>
  <c r="H4942" i="66"/>
  <c r="G4942" i="66"/>
  <c r="F4942" i="66"/>
  <c r="E4942" i="66"/>
  <c r="N4941" i="66"/>
  <c r="M4941" i="66"/>
  <c r="L4941" i="66"/>
  <c r="K4941" i="66"/>
  <c r="J4941" i="66"/>
  <c r="I4941" i="66"/>
  <c r="H4941" i="66"/>
  <c r="G4941" i="66"/>
  <c r="F4941" i="66"/>
  <c r="E4941" i="66"/>
  <c r="N4940" i="66"/>
  <c r="M4940" i="66"/>
  <c r="L4940" i="66"/>
  <c r="K4940" i="66"/>
  <c r="J4940" i="66"/>
  <c r="I4940" i="66"/>
  <c r="H4940" i="66"/>
  <c r="G4940" i="66"/>
  <c r="F4940" i="66"/>
  <c r="E4940" i="66"/>
  <c r="N4939" i="66"/>
  <c r="M4939" i="66"/>
  <c r="L4939" i="66"/>
  <c r="K4939" i="66"/>
  <c r="J4939" i="66"/>
  <c r="I4939" i="66"/>
  <c r="H4939" i="66"/>
  <c r="G4939" i="66"/>
  <c r="F4939" i="66"/>
  <c r="E4939" i="66"/>
  <c r="N4938" i="66"/>
  <c r="M4938" i="66"/>
  <c r="L4938" i="66"/>
  <c r="K4938" i="66"/>
  <c r="J4938" i="66"/>
  <c r="I4938" i="66"/>
  <c r="H4938" i="66"/>
  <c r="G4938" i="66"/>
  <c r="F4938" i="66"/>
  <c r="E4938" i="66"/>
  <c r="N4937" i="66"/>
  <c r="M4937" i="66"/>
  <c r="L4937" i="66"/>
  <c r="K4937" i="66"/>
  <c r="J4937" i="66"/>
  <c r="I4937" i="66"/>
  <c r="H4937" i="66"/>
  <c r="G4937" i="66"/>
  <c r="F4937" i="66"/>
  <c r="E4937" i="66"/>
  <c r="N4936" i="66"/>
  <c r="M4936" i="66"/>
  <c r="L4936" i="66"/>
  <c r="K4936" i="66"/>
  <c r="J4936" i="66"/>
  <c r="I4936" i="66"/>
  <c r="H4936" i="66"/>
  <c r="G4936" i="66"/>
  <c r="F4936" i="66"/>
  <c r="E4936" i="66"/>
  <c r="N4935" i="66"/>
  <c r="M4935" i="66"/>
  <c r="L4935" i="66"/>
  <c r="K4935" i="66"/>
  <c r="J4935" i="66"/>
  <c r="I4935" i="66"/>
  <c r="H4935" i="66"/>
  <c r="G4935" i="66"/>
  <c r="F4935" i="66"/>
  <c r="E4935" i="66"/>
  <c r="N4934" i="66"/>
  <c r="M4934" i="66"/>
  <c r="L4934" i="66"/>
  <c r="K4934" i="66"/>
  <c r="J4934" i="66"/>
  <c r="I4934" i="66"/>
  <c r="H4934" i="66"/>
  <c r="G4934" i="66"/>
  <c r="F4934" i="66"/>
  <c r="E4934" i="66"/>
  <c r="N4933" i="66"/>
  <c r="M4933" i="66"/>
  <c r="L4933" i="66"/>
  <c r="K4933" i="66"/>
  <c r="J4933" i="66"/>
  <c r="I4933" i="66"/>
  <c r="H4933" i="66"/>
  <c r="G4933" i="66"/>
  <c r="F4933" i="66"/>
  <c r="E4933" i="66"/>
  <c r="N4919" i="66"/>
  <c r="M4919" i="66"/>
  <c r="L4919" i="66"/>
  <c r="K4919" i="66"/>
  <c r="J4919" i="66"/>
  <c r="I4919" i="66"/>
  <c r="N4918" i="66"/>
  <c r="M4918" i="66"/>
  <c r="L4918" i="66"/>
  <c r="K4918" i="66"/>
  <c r="J4918" i="66"/>
  <c r="N4916" i="66"/>
  <c r="M4916" i="66"/>
  <c r="L4916" i="66"/>
  <c r="K4916" i="66"/>
  <c r="J4916" i="66"/>
  <c r="N4913" i="66"/>
  <c r="M4913" i="66"/>
  <c r="L4913" i="66"/>
  <c r="K4913" i="66"/>
  <c r="J4913" i="66"/>
  <c r="I4913" i="66"/>
  <c r="N4912" i="66"/>
  <c r="M4912" i="66"/>
  <c r="L4912" i="66"/>
  <c r="K4912" i="66"/>
  <c r="J4912" i="66"/>
  <c r="N4911" i="66"/>
  <c r="M4911" i="66"/>
  <c r="L4911" i="66"/>
  <c r="K4911" i="66"/>
  <c r="J4911" i="66"/>
  <c r="N4910" i="66"/>
  <c r="M4910" i="66"/>
  <c r="L4910" i="66"/>
  <c r="K4910" i="66"/>
  <c r="J4910" i="66"/>
  <c r="I4910" i="66"/>
  <c r="N4905" i="66"/>
  <c r="M4905" i="66"/>
  <c r="L4905" i="66"/>
  <c r="K4905" i="66"/>
  <c r="J4905" i="66"/>
  <c r="I4905" i="66"/>
  <c r="H4905" i="66"/>
  <c r="N4904" i="66"/>
  <c r="M4904" i="66"/>
  <c r="L4904" i="66"/>
  <c r="K4904" i="66"/>
  <c r="J4904" i="66"/>
  <c r="I4904" i="66"/>
  <c r="H4904" i="66"/>
  <c r="N4903" i="66"/>
  <c r="M4903" i="66"/>
  <c r="L4903" i="66"/>
  <c r="K4903" i="66"/>
  <c r="J4903" i="66"/>
  <c r="I4903" i="66"/>
  <c r="H4903" i="66"/>
  <c r="N4894" i="66"/>
  <c r="M4894" i="66"/>
  <c r="L4894" i="66"/>
  <c r="K4894" i="66"/>
  <c r="J4894" i="66"/>
  <c r="I4894" i="66"/>
  <c r="N4893" i="66"/>
  <c r="M4893" i="66"/>
  <c r="L4893" i="66"/>
  <c r="K4893" i="66"/>
  <c r="J4893" i="66"/>
  <c r="N4891" i="66"/>
  <c r="M4891" i="66"/>
  <c r="L4891" i="66"/>
  <c r="K4891" i="66"/>
  <c r="J4891" i="66"/>
  <c r="N4888" i="66"/>
  <c r="M4888" i="66"/>
  <c r="L4888" i="66"/>
  <c r="K4888" i="66"/>
  <c r="J4888" i="66"/>
  <c r="I4888" i="66"/>
  <c r="N4887" i="66"/>
  <c r="M4887" i="66"/>
  <c r="L4887" i="66"/>
  <c r="K4887" i="66"/>
  <c r="J4887" i="66"/>
  <c r="N4886" i="66"/>
  <c r="M4886" i="66"/>
  <c r="L4886" i="66"/>
  <c r="K4886" i="66"/>
  <c r="J4886" i="66"/>
  <c r="N4885" i="66"/>
  <c r="M4885" i="66"/>
  <c r="L4885" i="66"/>
  <c r="K4885" i="66"/>
  <c r="J4885" i="66"/>
  <c r="I4885" i="66"/>
  <c r="N4880" i="66"/>
  <c r="M4880" i="66"/>
  <c r="L4880" i="66"/>
  <c r="K4880" i="66"/>
  <c r="J4880" i="66"/>
  <c r="I4880" i="66"/>
  <c r="H4880" i="66"/>
  <c r="N4878" i="66"/>
  <c r="M4878" i="66"/>
  <c r="L4878" i="66"/>
  <c r="K4878" i="66"/>
  <c r="J4878" i="66"/>
  <c r="I4878" i="66"/>
  <c r="H4878" i="66"/>
  <c r="N4877" i="66"/>
  <c r="M4877" i="66"/>
  <c r="L4877" i="66"/>
  <c r="K4877" i="66"/>
  <c r="J4877" i="66"/>
  <c r="I4877" i="66"/>
  <c r="H4877" i="66"/>
  <c r="N4876" i="66"/>
  <c r="M4876" i="66"/>
  <c r="L4876" i="66"/>
  <c r="K4876" i="66"/>
  <c r="J4876" i="66"/>
  <c r="I4876" i="66"/>
  <c r="H4876" i="66"/>
  <c r="N4875" i="66"/>
  <c r="M4875" i="66"/>
  <c r="L4875" i="66"/>
  <c r="K4875" i="66"/>
  <c r="J4875" i="66"/>
  <c r="I4875" i="66"/>
  <c r="H4875" i="66"/>
  <c r="N4874" i="66"/>
  <c r="M4874" i="66"/>
  <c r="L4874" i="66"/>
  <c r="K4874" i="66"/>
  <c r="J4874" i="66"/>
  <c r="I4874" i="66"/>
  <c r="H4874" i="66"/>
  <c r="N4864" i="66"/>
  <c r="M4864" i="66"/>
  <c r="L4864" i="66"/>
  <c r="K4864" i="66"/>
  <c r="J4864" i="66"/>
  <c r="I4864" i="66"/>
  <c r="H4864" i="66"/>
  <c r="N4863" i="66"/>
  <c r="M4863" i="66"/>
  <c r="L4863" i="66"/>
  <c r="K4863" i="66"/>
  <c r="J4863" i="66"/>
  <c r="N4861" i="66"/>
  <c r="M4861" i="66"/>
  <c r="L4861" i="66"/>
  <c r="K4861" i="66"/>
  <c r="J4861" i="66"/>
  <c r="N4858" i="66"/>
  <c r="M4858" i="66"/>
  <c r="L4858" i="66"/>
  <c r="K4858" i="66"/>
  <c r="J4858" i="66"/>
  <c r="I4858" i="66"/>
  <c r="H4858" i="66"/>
  <c r="N4857" i="66"/>
  <c r="M4857" i="66"/>
  <c r="L4857" i="66"/>
  <c r="K4857" i="66"/>
  <c r="J4857" i="66"/>
  <c r="N4856" i="66"/>
  <c r="M4856" i="66"/>
  <c r="L4856" i="66"/>
  <c r="K4856" i="66"/>
  <c r="J4856" i="66"/>
  <c r="N4855" i="66"/>
  <c r="M4855" i="66"/>
  <c r="L4855" i="66"/>
  <c r="K4855" i="66"/>
  <c r="J4855" i="66"/>
  <c r="I4855" i="66"/>
  <c r="H4855" i="66"/>
  <c r="N4843" i="66"/>
  <c r="M4843" i="66"/>
  <c r="L4843" i="66"/>
  <c r="K4843" i="66"/>
  <c r="J4843" i="66"/>
  <c r="I4843" i="66"/>
  <c r="H4843" i="66"/>
  <c r="G4843" i="66"/>
  <c r="E4843" i="66"/>
  <c r="N4842" i="66"/>
  <c r="M4842" i="66"/>
  <c r="L4842" i="66"/>
  <c r="K4842" i="66"/>
  <c r="J4842" i="66"/>
  <c r="I4842" i="66"/>
  <c r="H4842" i="66"/>
  <c r="G4842" i="66"/>
  <c r="E4842" i="66"/>
  <c r="N4841" i="66"/>
  <c r="M4841" i="66"/>
  <c r="L4841" i="66"/>
  <c r="K4841" i="66"/>
  <c r="J4841" i="66"/>
  <c r="I4841" i="66"/>
  <c r="H4841" i="66"/>
  <c r="G4841" i="66"/>
  <c r="E4841" i="66"/>
  <c r="I4833" i="66"/>
  <c r="E4828" i="66"/>
  <c r="N4824" i="66"/>
  <c r="M4824" i="66"/>
  <c r="L4824" i="66"/>
  <c r="K4824" i="66"/>
  <c r="J4824" i="66"/>
  <c r="I4824" i="66"/>
  <c r="H4824" i="66"/>
  <c r="G4824" i="66"/>
  <c r="E4824" i="66"/>
  <c r="N4823" i="66"/>
  <c r="M4823" i="66"/>
  <c r="L4823" i="66"/>
  <c r="K4823" i="66"/>
  <c r="J4823" i="66"/>
  <c r="I4823" i="66"/>
  <c r="H4823" i="66"/>
  <c r="G4823" i="66"/>
  <c r="E4823" i="66"/>
  <c r="N4820" i="66"/>
  <c r="M4820" i="66"/>
  <c r="L4820" i="66"/>
  <c r="K4820" i="66"/>
  <c r="J4820" i="66"/>
  <c r="I4820" i="66"/>
  <c r="H4820" i="66"/>
  <c r="G4820" i="66"/>
  <c r="E4820" i="66"/>
  <c r="N4819" i="66"/>
  <c r="M4819" i="66"/>
  <c r="L4819" i="66"/>
  <c r="K4819" i="66"/>
  <c r="J4819" i="66"/>
  <c r="I4819" i="66"/>
  <c r="H4819" i="66"/>
  <c r="G4819" i="66"/>
  <c r="E4819" i="66"/>
  <c r="L4816" i="66"/>
  <c r="N4811" i="66"/>
  <c r="M4811" i="66"/>
  <c r="L4811" i="66"/>
  <c r="K4811" i="66"/>
  <c r="J4811" i="66"/>
  <c r="I4811" i="66"/>
  <c r="H4811" i="66"/>
  <c r="E4811" i="66"/>
  <c r="N4805" i="66"/>
  <c r="M4805" i="66"/>
  <c r="L4805" i="66"/>
  <c r="K4805" i="66"/>
  <c r="J4805" i="66"/>
  <c r="I4805" i="66"/>
  <c r="H4805" i="66"/>
  <c r="N4799" i="66"/>
  <c r="M4799" i="66"/>
  <c r="L4799" i="66"/>
  <c r="K4799" i="66"/>
  <c r="J4799" i="66"/>
  <c r="I4799" i="66"/>
  <c r="H4799" i="66"/>
  <c r="N4798" i="66"/>
  <c r="M4798" i="66"/>
  <c r="L4798" i="66"/>
  <c r="K4798" i="66"/>
  <c r="J4798" i="66"/>
  <c r="I4798" i="66"/>
  <c r="H4798" i="66"/>
  <c r="N4797" i="66"/>
  <c r="M4797" i="66"/>
  <c r="L4797" i="66"/>
  <c r="K4797" i="66"/>
  <c r="J4797" i="66"/>
  <c r="I4797" i="66"/>
  <c r="H4797" i="66"/>
  <c r="G4797" i="66"/>
  <c r="N4796" i="66"/>
  <c r="M4796" i="66"/>
  <c r="L4796" i="66"/>
  <c r="K4796" i="66"/>
  <c r="J4796" i="66"/>
  <c r="I4796" i="66"/>
  <c r="H4796" i="66"/>
  <c r="G4796" i="66"/>
  <c r="I4792" i="66"/>
  <c r="N4790" i="66"/>
  <c r="M4790" i="66"/>
  <c r="L4790" i="66"/>
  <c r="K4790" i="66"/>
  <c r="J4790" i="66"/>
  <c r="I4790" i="66"/>
  <c r="H4790" i="66"/>
  <c r="N4789" i="66"/>
  <c r="M4789" i="66"/>
  <c r="L4789" i="66"/>
  <c r="K4789" i="66"/>
  <c r="J4789" i="66"/>
  <c r="I4789" i="66"/>
  <c r="H4789" i="66"/>
  <c r="N4788" i="66"/>
  <c r="M4788" i="66"/>
  <c r="L4788" i="66"/>
  <c r="K4788" i="66"/>
  <c r="J4788" i="66"/>
  <c r="I4788" i="66"/>
  <c r="H4788" i="66"/>
  <c r="G4788" i="66"/>
  <c r="N4787" i="66"/>
  <c r="M4787" i="66"/>
  <c r="L4787" i="66"/>
  <c r="K4787" i="66"/>
  <c r="J4787" i="66"/>
  <c r="I4787" i="66"/>
  <c r="H4787" i="66"/>
  <c r="G4787" i="66"/>
  <c r="I4783" i="66"/>
  <c r="N4780" i="66"/>
  <c r="M4780" i="66"/>
  <c r="L4780" i="66"/>
  <c r="K4780" i="66"/>
  <c r="J4780" i="66"/>
  <c r="I4780" i="66"/>
  <c r="N4779" i="66"/>
  <c r="M4779" i="66"/>
  <c r="L4779" i="66"/>
  <c r="K4779" i="66"/>
  <c r="J4779" i="66"/>
  <c r="N4777" i="66"/>
  <c r="M4777" i="66"/>
  <c r="L4777" i="66"/>
  <c r="K4777" i="66"/>
  <c r="J4777" i="66"/>
  <c r="N4774" i="66"/>
  <c r="M4774" i="66"/>
  <c r="L4774" i="66"/>
  <c r="K4774" i="66"/>
  <c r="J4774" i="66"/>
  <c r="I4774" i="66"/>
  <c r="N4773" i="66"/>
  <c r="M4773" i="66"/>
  <c r="L4773" i="66"/>
  <c r="K4773" i="66"/>
  <c r="J4773" i="66"/>
  <c r="N4772" i="66"/>
  <c r="M4772" i="66"/>
  <c r="L4772" i="66"/>
  <c r="K4772" i="66"/>
  <c r="J4772" i="66"/>
  <c r="N4771" i="66"/>
  <c r="M4771" i="66"/>
  <c r="L4771" i="66"/>
  <c r="K4771" i="66"/>
  <c r="J4771" i="66"/>
  <c r="I4771" i="66"/>
  <c r="N4767" i="66"/>
  <c r="M4767" i="66"/>
  <c r="L4767" i="66"/>
  <c r="K4767" i="66"/>
  <c r="J4767" i="66"/>
  <c r="I4767" i="66"/>
  <c r="H4767" i="66"/>
  <c r="N4765" i="66"/>
  <c r="M4765" i="66"/>
  <c r="L4765" i="66"/>
  <c r="K4765" i="66"/>
  <c r="J4765" i="66"/>
  <c r="I4765" i="66"/>
  <c r="H4765" i="66"/>
  <c r="N4764" i="66"/>
  <c r="M4764" i="66"/>
  <c r="L4764" i="66"/>
  <c r="K4764" i="66"/>
  <c r="J4764" i="66"/>
  <c r="I4764" i="66"/>
  <c r="H4764" i="66"/>
  <c r="N4763" i="66"/>
  <c r="M4763" i="66"/>
  <c r="L4763" i="66"/>
  <c r="K4763" i="66"/>
  <c r="J4763" i="66"/>
  <c r="I4763" i="66"/>
  <c r="H4763" i="66"/>
  <c r="G4763" i="66"/>
  <c r="N4762" i="66"/>
  <c r="M4762" i="66"/>
  <c r="L4762" i="66"/>
  <c r="K4762" i="66"/>
  <c r="J4762" i="66"/>
  <c r="I4762" i="66"/>
  <c r="H4762" i="66"/>
  <c r="G4762" i="66"/>
  <c r="I4757" i="66"/>
  <c r="N4755" i="66"/>
  <c r="M4755" i="66"/>
  <c r="L4755" i="66"/>
  <c r="K4755" i="66"/>
  <c r="J4755" i="66"/>
  <c r="I4755" i="66"/>
  <c r="H4755" i="66"/>
  <c r="N4754" i="66"/>
  <c r="M4754" i="66"/>
  <c r="L4754" i="66"/>
  <c r="K4754" i="66"/>
  <c r="J4754" i="66"/>
  <c r="I4754" i="66"/>
  <c r="H4754" i="66"/>
  <c r="N4753" i="66"/>
  <c r="M4753" i="66"/>
  <c r="L4753" i="66"/>
  <c r="K4753" i="66"/>
  <c r="J4753" i="66"/>
  <c r="I4753" i="66"/>
  <c r="H4753" i="66"/>
  <c r="G4753" i="66"/>
  <c r="N4752" i="66"/>
  <c r="M4752" i="66"/>
  <c r="L4752" i="66"/>
  <c r="K4752" i="66"/>
  <c r="J4752" i="66"/>
  <c r="I4752" i="66"/>
  <c r="H4752" i="66"/>
  <c r="G4752" i="66"/>
  <c r="I4748" i="66"/>
  <c r="N4746" i="66"/>
  <c r="M4746" i="66"/>
  <c r="L4746" i="66"/>
  <c r="K4746" i="66"/>
  <c r="J4746" i="66"/>
  <c r="I4746" i="66"/>
  <c r="H4746" i="66"/>
  <c r="N4745" i="66"/>
  <c r="M4745" i="66"/>
  <c r="L4745" i="66"/>
  <c r="K4745" i="66"/>
  <c r="J4745" i="66"/>
  <c r="I4745" i="66"/>
  <c r="H4745" i="66"/>
  <c r="N4744" i="66"/>
  <c r="M4744" i="66"/>
  <c r="L4744" i="66"/>
  <c r="K4744" i="66"/>
  <c r="J4744" i="66"/>
  <c r="I4744" i="66"/>
  <c r="H4744" i="66"/>
  <c r="G4744" i="66"/>
  <c r="N4743" i="66"/>
  <c r="M4743" i="66"/>
  <c r="L4743" i="66"/>
  <c r="K4743" i="66"/>
  <c r="J4743" i="66"/>
  <c r="I4743" i="66"/>
  <c r="H4743" i="66"/>
  <c r="G4743" i="66"/>
  <c r="I4739" i="66"/>
  <c r="L4737" i="66"/>
  <c r="N4733" i="66"/>
  <c r="M4733" i="66"/>
  <c r="L4733" i="66"/>
  <c r="K4733" i="66"/>
  <c r="J4733" i="66"/>
  <c r="I4733" i="66"/>
  <c r="H4733" i="66"/>
  <c r="N4732" i="66"/>
  <c r="M4732" i="66"/>
  <c r="L4732" i="66"/>
  <c r="K4732" i="66"/>
  <c r="J4732" i="66"/>
  <c r="I4732" i="66"/>
  <c r="H4732" i="66"/>
  <c r="N4729" i="66"/>
  <c r="M4729" i="66"/>
  <c r="L4729" i="66"/>
  <c r="K4729" i="66"/>
  <c r="J4729" i="66"/>
  <c r="I4729" i="66"/>
  <c r="H4729" i="66"/>
  <c r="N4728" i="66"/>
  <c r="M4728" i="66"/>
  <c r="L4728" i="66"/>
  <c r="K4728" i="66"/>
  <c r="J4728" i="66"/>
  <c r="I4728" i="66"/>
  <c r="H4728" i="66"/>
  <c r="N4725" i="66"/>
  <c r="M4725" i="66"/>
  <c r="L4725" i="66"/>
  <c r="K4725" i="66"/>
  <c r="J4725" i="66"/>
  <c r="I4725" i="66"/>
  <c r="H4725" i="66"/>
  <c r="N4724" i="66"/>
  <c r="M4724" i="66"/>
  <c r="L4724" i="66"/>
  <c r="K4724" i="66"/>
  <c r="J4724" i="66"/>
  <c r="I4724" i="66"/>
  <c r="H4724" i="66"/>
  <c r="N4715" i="66"/>
  <c r="M4715" i="66"/>
  <c r="L4715" i="66"/>
  <c r="K4715" i="66"/>
  <c r="J4715" i="66"/>
  <c r="I4715" i="66"/>
  <c r="H4715" i="66"/>
  <c r="N4708" i="66"/>
  <c r="M4708" i="66"/>
  <c r="L4708" i="66"/>
  <c r="K4708" i="66"/>
  <c r="J4708" i="66"/>
  <c r="I4708" i="66"/>
  <c r="H4708" i="66"/>
  <c r="N4707" i="66"/>
  <c r="M4707" i="66"/>
  <c r="L4707" i="66"/>
  <c r="K4707" i="66"/>
  <c r="J4707" i="66"/>
  <c r="I4707" i="66"/>
  <c r="H4707" i="66"/>
  <c r="N4706" i="66"/>
  <c r="M4706" i="66"/>
  <c r="L4706" i="66"/>
  <c r="K4706" i="66"/>
  <c r="J4706" i="66"/>
  <c r="I4706" i="66"/>
  <c r="H4706" i="66"/>
  <c r="N4705" i="66"/>
  <c r="M4705" i="66"/>
  <c r="L4705" i="66"/>
  <c r="K4705" i="66"/>
  <c r="J4705" i="66"/>
  <c r="I4705" i="66"/>
  <c r="H4705" i="66"/>
  <c r="N4704" i="66"/>
  <c r="M4704" i="66"/>
  <c r="L4704" i="66"/>
  <c r="K4704" i="66"/>
  <c r="J4704" i="66"/>
  <c r="I4704" i="66"/>
  <c r="H4704" i="66"/>
  <c r="N4703" i="66"/>
  <c r="M4703" i="66"/>
  <c r="L4703" i="66"/>
  <c r="K4703" i="66"/>
  <c r="J4703" i="66"/>
  <c r="I4703" i="66"/>
  <c r="H4703" i="66"/>
  <c r="N4702" i="66"/>
  <c r="M4702" i="66"/>
  <c r="L4702" i="66"/>
  <c r="K4702" i="66"/>
  <c r="J4702" i="66"/>
  <c r="I4702" i="66"/>
  <c r="H4702" i="66"/>
  <c r="N4701" i="66"/>
  <c r="M4701" i="66"/>
  <c r="L4701" i="66"/>
  <c r="K4701" i="66"/>
  <c r="J4701" i="66"/>
  <c r="I4701" i="66"/>
  <c r="H4701" i="66"/>
  <c r="I4698" i="66"/>
  <c r="N4696" i="66"/>
  <c r="M4696" i="66"/>
  <c r="L4696" i="66"/>
  <c r="K4696" i="66"/>
  <c r="J4696" i="66"/>
  <c r="I4696" i="66"/>
  <c r="H4696" i="66"/>
  <c r="N4695" i="66"/>
  <c r="M4695" i="66"/>
  <c r="L4695" i="66"/>
  <c r="K4695" i="66"/>
  <c r="J4695" i="66"/>
  <c r="I4695" i="66"/>
  <c r="H4695" i="66"/>
  <c r="N4694" i="66"/>
  <c r="M4694" i="66"/>
  <c r="L4694" i="66"/>
  <c r="K4694" i="66"/>
  <c r="J4694" i="66"/>
  <c r="I4694" i="66"/>
  <c r="H4694" i="66"/>
  <c r="N4693" i="66"/>
  <c r="M4693" i="66"/>
  <c r="L4693" i="66"/>
  <c r="K4693" i="66"/>
  <c r="J4693" i="66"/>
  <c r="I4693" i="66"/>
  <c r="H4693" i="66"/>
  <c r="N4692" i="66"/>
  <c r="M4692" i="66"/>
  <c r="L4692" i="66"/>
  <c r="K4692" i="66"/>
  <c r="J4692" i="66"/>
  <c r="I4692" i="66"/>
  <c r="H4692" i="66"/>
  <c r="N4691" i="66"/>
  <c r="M4691" i="66"/>
  <c r="L4691" i="66"/>
  <c r="K4691" i="66"/>
  <c r="J4691" i="66"/>
  <c r="I4691" i="66"/>
  <c r="H4691" i="66"/>
  <c r="N4690" i="66"/>
  <c r="M4690" i="66"/>
  <c r="L4690" i="66"/>
  <c r="K4690" i="66"/>
  <c r="J4690" i="66"/>
  <c r="I4690" i="66"/>
  <c r="H4690" i="66"/>
  <c r="N4689" i="66"/>
  <c r="M4689" i="66"/>
  <c r="L4689" i="66"/>
  <c r="K4689" i="66"/>
  <c r="J4689" i="66"/>
  <c r="I4689" i="66"/>
  <c r="H4689" i="66"/>
  <c r="I4686" i="66"/>
  <c r="L4684" i="66"/>
  <c r="N4675" i="66"/>
  <c r="M4675" i="66"/>
  <c r="L4675" i="66"/>
  <c r="K4675" i="66"/>
  <c r="J4675" i="66"/>
  <c r="I4675" i="66"/>
  <c r="H4675" i="66"/>
  <c r="N4674" i="66"/>
  <c r="M4674" i="66"/>
  <c r="L4674" i="66"/>
  <c r="K4674" i="66"/>
  <c r="J4674" i="66"/>
  <c r="I4674" i="66"/>
  <c r="H4674" i="66"/>
  <c r="N4666" i="66"/>
  <c r="M4666" i="66"/>
  <c r="L4666" i="66"/>
  <c r="K4666" i="66"/>
  <c r="J4666" i="66"/>
  <c r="I4666" i="66"/>
  <c r="H4666" i="66"/>
  <c r="E4666" i="66"/>
  <c r="I4646" i="66"/>
  <c r="N4641" i="66"/>
  <c r="M4641" i="66"/>
  <c r="L4641" i="66"/>
  <c r="K4641" i="66"/>
  <c r="J4641" i="66"/>
  <c r="I4641" i="66"/>
  <c r="H4641" i="66"/>
  <c r="G4641" i="66"/>
  <c r="N4640" i="66"/>
  <c r="M4640" i="66"/>
  <c r="L4640" i="66"/>
  <c r="K4640" i="66"/>
  <c r="J4640" i="66"/>
  <c r="I4640" i="66"/>
  <c r="H4640" i="66"/>
  <c r="G4640" i="66"/>
  <c r="F4640" i="66"/>
  <c r="E4640" i="66"/>
  <c r="N4639" i="66"/>
  <c r="M4639" i="66"/>
  <c r="L4639" i="66"/>
  <c r="K4639" i="66"/>
  <c r="J4639" i="66"/>
  <c r="I4639" i="66"/>
  <c r="H4639" i="66"/>
  <c r="G4639" i="66"/>
  <c r="F4639" i="66"/>
  <c r="E4639" i="66"/>
  <c r="N4638" i="66"/>
  <c r="M4638" i="66"/>
  <c r="L4638" i="66"/>
  <c r="K4638" i="66"/>
  <c r="J4638" i="66"/>
  <c r="I4638" i="66"/>
  <c r="H4638" i="66"/>
  <c r="G4638" i="66"/>
  <c r="F4638" i="66"/>
  <c r="E4638" i="66"/>
  <c r="N4637" i="66"/>
  <c r="M4637" i="66"/>
  <c r="L4637" i="66"/>
  <c r="K4637" i="66"/>
  <c r="J4637" i="66"/>
  <c r="I4637" i="66"/>
  <c r="H4637" i="66"/>
  <c r="G4637" i="66"/>
  <c r="F4637" i="66"/>
  <c r="E4637" i="66"/>
  <c r="N4636" i="66"/>
  <c r="M4636" i="66"/>
  <c r="L4636" i="66"/>
  <c r="K4636" i="66"/>
  <c r="J4636" i="66"/>
  <c r="I4636" i="66"/>
  <c r="H4636" i="66"/>
  <c r="G4636" i="66"/>
  <c r="F4636" i="66"/>
  <c r="E4636" i="66"/>
  <c r="N4635" i="66"/>
  <c r="M4635" i="66"/>
  <c r="L4635" i="66"/>
  <c r="K4635" i="66"/>
  <c r="J4635" i="66"/>
  <c r="I4635" i="66"/>
  <c r="H4635" i="66"/>
  <c r="G4635" i="66"/>
  <c r="F4635" i="66"/>
  <c r="E4635" i="66"/>
  <c r="N4634" i="66"/>
  <c r="M4634" i="66"/>
  <c r="L4634" i="66"/>
  <c r="K4634" i="66"/>
  <c r="J4634" i="66"/>
  <c r="I4634" i="66"/>
  <c r="H4634" i="66"/>
  <c r="G4634" i="66"/>
  <c r="F4634" i="66"/>
  <c r="E4634" i="66"/>
  <c r="N4633" i="66"/>
  <c r="M4633" i="66"/>
  <c r="L4633" i="66"/>
  <c r="K4633" i="66"/>
  <c r="J4633" i="66"/>
  <c r="I4633" i="66"/>
  <c r="H4633" i="66"/>
  <c r="G4633" i="66"/>
  <c r="F4633" i="66"/>
  <c r="E4633" i="66"/>
  <c r="N4632" i="66"/>
  <c r="M4632" i="66"/>
  <c r="L4632" i="66"/>
  <c r="K4632" i="66"/>
  <c r="J4632" i="66"/>
  <c r="I4632" i="66"/>
  <c r="H4632" i="66"/>
  <c r="G4632" i="66"/>
  <c r="F4632" i="66"/>
  <c r="E4632" i="66"/>
  <c r="N4631" i="66"/>
  <c r="M4631" i="66"/>
  <c r="L4631" i="66"/>
  <c r="K4631" i="66"/>
  <c r="J4631" i="66"/>
  <c r="I4631" i="66"/>
  <c r="H4631" i="66"/>
  <c r="G4631" i="66"/>
  <c r="F4631" i="66"/>
  <c r="E4631" i="66"/>
  <c r="N4617" i="66"/>
  <c r="M4617" i="66"/>
  <c r="L4617" i="66"/>
  <c r="K4617" i="66"/>
  <c r="J4617" i="66"/>
  <c r="I4617" i="66"/>
  <c r="N4616" i="66"/>
  <c r="M4616" i="66"/>
  <c r="L4616" i="66"/>
  <c r="K4616" i="66"/>
  <c r="J4616" i="66"/>
  <c r="N4614" i="66"/>
  <c r="M4614" i="66"/>
  <c r="L4614" i="66"/>
  <c r="K4614" i="66"/>
  <c r="J4614" i="66"/>
  <c r="N4611" i="66"/>
  <c r="M4611" i="66"/>
  <c r="L4611" i="66"/>
  <c r="K4611" i="66"/>
  <c r="J4611" i="66"/>
  <c r="I4611" i="66"/>
  <c r="N4610" i="66"/>
  <c r="M4610" i="66"/>
  <c r="L4610" i="66"/>
  <c r="K4610" i="66"/>
  <c r="J4610" i="66"/>
  <c r="N4609" i="66"/>
  <c r="M4609" i="66"/>
  <c r="L4609" i="66"/>
  <c r="K4609" i="66"/>
  <c r="J4609" i="66"/>
  <c r="N4608" i="66"/>
  <c r="M4608" i="66"/>
  <c r="L4608" i="66"/>
  <c r="K4608" i="66"/>
  <c r="J4608" i="66"/>
  <c r="I4608" i="66"/>
  <c r="N4603" i="66"/>
  <c r="M4603" i="66"/>
  <c r="L4603" i="66"/>
  <c r="K4603" i="66"/>
  <c r="J4603" i="66"/>
  <c r="I4603" i="66"/>
  <c r="H4603" i="66"/>
  <c r="N4602" i="66"/>
  <c r="M4602" i="66"/>
  <c r="L4602" i="66"/>
  <c r="K4602" i="66"/>
  <c r="J4602" i="66"/>
  <c r="I4602" i="66"/>
  <c r="H4602" i="66"/>
  <c r="N4601" i="66"/>
  <c r="M4601" i="66"/>
  <c r="L4601" i="66"/>
  <c r="K4601" i="66"/>
  <c r="J4601" i="66"/>
  <c r="I4601" i="66"/>
  <c r="H4601" i="66"/>
  <c r="N4592" i="66"/>
  <c r="M4592" i="66"/>
  <c r="L4592" i="66"/>
  <c r="K4592" i="66"/>
  <c r="J4592" i="66"/>
  <c r="I4592" i="66"/>
  <c r="N4591" i="66"/>
  <c r="M4591" i="66"/>
  <c r="L4591" i="66"/>
  <c r="K4591" i="66"/>
  <c r="J4591" i="66"/>
  <c r="N4589" i="66"/>
  <c r="M4589" i="66"/>
  <c r="L4589" i="66"/>
  <c r="K4589" i="66"/>
  <c r="J4589" i="66"/>
  <c r="N4586" i="66"/>
  <c r="M4586" i="66"/>
  <c r="L4586" i="66"/>
  <c r="K4586" i="66"/>
  <c r="J4586" i="66"/>
  <c r="I4586" i="66"/>
  <c r="N4585" i="66"/>
  <c r="M4585" i="66"/>
  <c r="L4585" i="66"/>
  <c r="K4585" i="66"/>
  <c r="J4585" i="66"/>
  <c r="N4584" i="66"/>
  <c r="M4584" i="66"/>
  <c r="L4584" i="66"/>
  <c r="K4584" i="66"/>
  <c r="J4584" i="66"/>
  <c r="N4583" i="66"/>
  <c r="M4583" i="66"/>
  <c r="L4583" i="66"/>
  <c r="K4583" i="66"/>
  <c r="J4583" i="66"/>
  <c r="I4583" i="66"/>
  <c r="N4578" i="66"/>
  <c r="M4578" i="66"/>
  <c r="L4578" i="66"/>
  <c r="K4578" i="66"/>
  <c r="J4578" i="66"/>
  <c r="I4578" i="66"/>
  <c r="H4578" i="66"/>
  <c r="N4576" i="66"/>
  <c r="M4576" i="66"/>
  <c r="L4576" i="66"/>
  <c r="K4576" i="66"/>
  <c r="J4576" i="66"/>
  <c r="I4576" i="66"/>
  <c r="H4576" i="66"/>
  <c r="N4575" i="66"/>
  <c r="M4575" i="66"/>
  <c r="L4575" i="66"/>
  <c r="K4575" i="66"/>
  <c r="J4575" i="66"/>
  <c r="I4575" i="66"/>
  <c r="H4575" i="66"/>
  <c r="N4574" i="66"/>
  <c r="M4574" i="66"/>
  <c r="L4574" i="66"/>
  <c r="K4574" i="66"/>
  <c r="J4574" i="66"/>
  <c r="I4574" i="66"/>
  <c r="H4574" i="66"/>
  <c r="N4573" i="66"/>
  <c r="M4573" i="66"/>
  <c r="L4573" i="66"/>
  <c r="K4573" i="66"/>
  <c r="J4573" i="66"/>
  <c r="I4573" i="66"/>
  <c r="H4573" i="66"/>
  <c r="N4572" i="66"/>
  <c r="M4572" i="66"/>
  <c r="L4572" i="66"/>
  <c r="K4572" i="66"/>
  <c r="J4572" i="66"/>
  <c r="I4572" i="66"/>
  <c r="H4572" i="66"/>
  <c r="N4562" i="66"/>
  <c r="M4562" i="66"/>
  <c r="L4562" i="66"/>
  <c r="K4562" i="66"/>
  <c r="J4562" i="66"/>
  <c r="I4562" i="66"/>
  <c r="H4562" i="66"/>
  <c r="N4561" i="66"/>
  <c r="M4561" i="66"/>
  <c r="L4561" i="66"/>
  <c r="K4561" i="66"/>
  <c r="J4561" i="66"/>
  <c r="N4559" i="66"/>
  <c r="M4559" i="66"/>
  <c r="L4559" i="66"/>
  <c r="K4559" i="66"/>
  <c r="J4559" i="66"/>
  <c r="N4556" i="66"/>
  <c r="M4556" i="66"/>
  <c r="L4556" i="66"/>
  <c r="K4556" i="66"/>
  <c r="J4556" i="66"/>
  <c r="I4556" i="66"/>
  <c r="H4556" i="66"/>
  <c r="N4555" i="66"/>
  <c r="M4555" i="66"/>
  <c r="L4555" i="66"/>
  <c r="K4555" i="66"/>
  <c r="J4555" i="66"/>
  <c r="N4554" i="66"/>
  <c r="M4554" i="66"/>
  <c r="L4554" i="66"/>
  <c r="K4554" i="66"/>
  <c r="J4554" i="66"/>
  <c r="N4553" i="66"/>
  <c r="M4553" i="66"/>
  <c r="L4553" i="66"/>
  <c r="K4553" i="66"/>
  <c r="J4553" i="66"/>
  <c r="I4553" i="66"/>
  <c r="H4553" i="66"/>
  <c r="N4541" i="66"/>
  <c r="M4541" i="66"/>
  <c r="L4541" i="66"/>
  <c r="K4541" i="66"/>
  <c r="J4541" i="66"/>
  <c r="I4541" i="66"/>
  <c r="H4541" i="66"/>
  <c r="G4541" i="66"/>
  <c r="E4541" i="66"/>
  <c r="N4540" i="66"/>
  <c r="M4540" i="66"/>
  <c r="L4540" i="66"/>
  <c r="K4540" i="66"/>
  <c r="J4540" i="66"/>
  <c r="I4540" i="66"/>
  <c r="H4540" i="66"/>
  <c r="G4540" i="66"/>
  <c r="E4540" i="66"/>
  <c r="N4539" i="66"/>
  <c r="M4539" i="66"/>
  <c r="L4539" i="66"/>
  <c r="K4539" i="66"/>
  <c r="J4539" i="66"/>
  <c r="I4539" i="66"/>
  <c r="H4539" i="66"/>
  <c r="G4539" i="66"/>
  <c r="E4539" i="66"/>
  <c r="I4531" i="66"/>
  <c r="E4526" i="66"/>
  <c r="N4522" i="66"/>
  <c r="M4522" i="66"/>
  <c r="L4522" i="66"/>
  <c r="K4522" i="66"/>
  <c r="J4522" i="66"/>
  <c r="I4522" i="66"/>
  <c r="H4522" i="66"/>
  <c r="G4522" i="66"/>
  <c r="E4522" i="66"/>
  <c r="N4521" i="66"/>
  <c r="M4521" i="66"/>
  <c r="L4521" i="66"/>
  <c r="K4521" i="66"/>
  <c r="J4521" i="66"/>
  <c r="I4521" i="66"/>
  <c r="H4521" i="66"/>
  <c r="G4521" i="66"/>
  <c r="E4521" i="66"/>
  <c r="N4518" i="66"/>
  <c r="M4518" i="66"/>
  <c r="L4518" i="66"/>
  <c r="K4518" i="66"/>
  <c r="J4518" i="66"/>
  <c r="I4518" i="66"/>
  <c r="H4518" i="66"/>
  <c r="G4518" i="66"/>
  <c r="E4518" i="66"/>
  <c r="N4517" i="66"/>
  <c r="M4517" i="66"/>
  <c r="L4517" i="66"/>
  <c r="K4517" i="66"/>
  <c r="J4517" i="66"/>
  <c r="I4517" i="66"/>
  <c r="H4517" i="66"/>
  <c r="G4517" i="66"/>
  <c r="E4517" i="66"/>
  <c r="L4514" i="66"/>
  <c r="N4509" i="66"/>
  <c r="M4509" i="66"/>
  <c r="L4509" i="66"/>
  <c r="K4509" i="66"/>
  <c r="J4509" i="66"/>
  <c r="I4509" i="66"/>
  <c r="H4509" i="66"/>
  <c r="E4509" i="66"/>
  <c r="N4503" i="66"/>
  <c r="M4503" i="66"/>
  <c r="L4503" i="66"/>
  <c r="K4503" i="66"/>
  <c r="J4503" i="66"/>
  <c r="I4503" i="66"/>
  <c r="H4503" i="66"/>
  <c r="N4497" i="66"/>
  <c r="M4497" i="66"/>
  <c r="L4497" i="66"/>
  <c r="K4497" i="66"/>
  <c r="J4497" i="66"/>
  <c r="I4497" i="66"/>
  <c r="H4497" i="66"/>
  <c r="N4496" i="66"/>
  <c r="M4496" i="66"/>
  <c r="L4496" i="66"/>
  <c r="K4496" i="66"/>
  <c r="J4496" i="66"/>
  <c r="I4496" i="66"/>
  <c r="H4496" i="66"/>
  <c r="N4495" i="66"/>
  <c r="M4495" i="66"/>
  <c r="L4495" i="66"/>
  <c r="K4495" i="66"/>
  <c r="J4495" i="66"/>
  <c r="I4495" i="66"/>
  <c r="H4495" i="66"/>
  <c r="G4495" i="66"/>
  <c r="N4494" i="66"/>
  <c r="M4494" i="66"/>
  <c r="L4494" i="66"/>
  <c r="K4494" i="66"/>
  <c r="J4494" i="66"/>
  <c r="I4494" i="66"/>
  <c r="H4494" i="66"/>
  <c r="G4494" i="66"/>
  <c r="I4490" i="66"/>
  <c r="N4488" i="66"/>
  <c r="M4488" i="66"/>
  <c r="L4488" i="66"/>
  <c r="K4488" i="66"/>
  <c r="J4488" i="66"/>
  <c r="I4488" i="66"/>
  <c r="H4488" i="66"/>
  <c r="N4487" i="66"/>
  <c r="M4487" i="66"/>
  <c r="L4487" i="66"/>
  <c r="K4487" i="66"/>
  <c r="J4487" i="66"/>
  <c r="I4487" i="66"/>
  <c r="H4487" i="66"/>
  <c r="N4486" i="66"/>
  <c r="M4486" i="66"/>
  <c r="L4486" i="66"/>
  <c r="K4486" i="66"/>
  <c r="J4486" i="66"/>
  <c r="I4486" i="66"/>
  <c r="H4486" i="66"/>
  <c r="G4486" i="66"/>
  <c r="N4485" i="66"/>
  <c r="M4485" i="66"/>
  <c r="L4485" i="66"/>
  <c r="K4485" i="66"/>
  <c r="J4485" i="66"/>
  <c r="I4485" i="66"/>
  <c r="H4485" i="66"/>
  <c r="G4485" i="66"/>
  <c r="I4481" i="66"/>
  <c r="N4478" i="66"/>
  <c r="M4478" i="66"/>
  <c r="L4478" i="66"/>
  <c r="K4478" i="66"/>
  <c r="J4478" i="66"/>
  <c r="I4478" i="66"/>
  <c r="N4477" i="66"/>
  <c r="M4477" i="66"/>
  <c r="L4477" i="66"/>
  <c r="K4477" i="66"/>
  <c r="J4477" i="66"/>
  <c r="N4475" i="66"/>
  <c r="M4475" i="66"/>
  <c r="L4475" i="66"/>
  <c r="K4475" i="66"/>
  <c r="J4475" i="66"/>
  <c r="N4472" i="66"/>
  <c r="M4472" i="66"/>
  <c r="L4472" i="66"/>
  <c r="K4472" i="66"/>
  <c r="J4472" i="66"/>
  <c r="I4472" i="66"/>
  <c r="N4471" i="66"/>
  <c r="M4471" i="66"/>
  <c r="L4471" i="66"/>
  <c r="K4471" i="66"/>
  <c r="J4471" i="66"/>
  <c r="N4470" i="66"/>
  <c r="M4470" i="66"/>
  <c r="L4470" i="66"/>
  <c r="K4470" i="66"/>
  <c r="J4470" i="66"/>
  <c r="N4469" i="66"/>
  <c r="M4469" i="66"/>
  <c r="L4469" i="66"/>
  <c r="K4469" i="66"/>
  <c r="J4469" i="66"/>
  <c r="I4469" i="66"/>
  <c r="N4465" i="66"/>
  <c r="M4465" i="66"/>
  <c r="L4465" i="66"/>
  <c r="K4465" i="66"/>
  <c r="J4465" i="66"/>
  <c r="I4465" i="66"/>
  <c r="H4465" i="66"/>
  <c r="N4463" i="66"/>
  <c r="M4463" i="66"/>
  <c r="L4463" i="66"/>
  <c r="K4463" i="66"/>
  <c r="J4463" i="66"/>
  <c r="I4463" i="66"/>
  <c r="H4463" i="66"/>
  <c r="N4462" i="66"/>
  <c r="M4462" i="66"/>
  <c r="L4462" i="66"/>
  <c r="K4462" i="66"/>
  <c r="J4462" i="66"/>
  <c r="I4462" i="66"/>
  <c r="H4462" i="66"/>
  <c r="N4461" i="66"/>
  <c r="M4461" i="66"/>
  <c r="L4461" i="66"/>
  <c r="K4461" i="66"/>
  <c r="J4461" i="66"/>
  <c r="I4461" i="66"/>
  <c r="H4461" i="66"/>
  <c r="G4461" i="66"/>
  <c r="N4460" i="66"/>
  <c r="M4460" i="66"/>
  <c r="L4460" i="66"/>
  <c r="K4460" i="66"/>
  <c r="J4460" i="66"/>
  <c r="I4460" i="66"/>
  <c r="H4460" i="66"/>
  <c r="G4460" i="66"/>
  <c r="I4455" i="66"/>
  <c r="N4453" i="66"/>
  <c r="M4453" i="66"/>
  <c r="L4453" i="66"/>
  <c r="K4453" i="66"/>
  <c r="J4453" i="66"/>
  <c r="I4453" i="66"/>
  <c r="H4453" i="66"/>
  <c r="N4452" i="66"/>
  <c r="M4452" i="66"/>
  <c r="L4452" i="66"/>
  <c r="K4452" i="66"/>
  <c r="J4452" i="66"/>
  <c r="I4452" i="66"/>
  <c r="H4452" i="66"/>
  <c r="N4451" i="66"/>
  <c r="M4451" i="66"/>
  <c r="L4451" i="66"/>
  <c r="K4451" i="66"/>
  <c r="J4451" i="66"/>
  <c r="I4451" i="66"/>
  <c r="H4451" i="66"/>
  <c r="G4451" i="66"/>
  <c r="N4450" i="66"/>
  <c r="M4450" i="66"/>
  <c r="L4450" i="66"/>
  <c r="K4450" i="66"/>
  <c r="J4450" i="66"/>
  <c r="I4450" i="66"/>
  <c r="H4450" i="66"/>
  <c r="G4450" i="66"/>
  <c r="I4446" i="66"/>
  <c r="N4444" i="66"/>
  <c r="M4444" i="66"/>
  <c r="L4444" i="66"/>
  <c r="K4444" i="66"/>
  <c r="J4444" i="66"/>
  <c r="I4444" i="66"/>
  <c r="H4444" i="66"/>
  <c r="N4443" i="66"/>
  <c r="M4443" i="66"/>
  <c r="L4443" i="66"/>
  <c r="K4443" i="66"/>
  <c r="J4443" i="66"/>
  <c r="I4443" i="66"/>
  <c r="H4443" i="66"/>
  <c r="N4442" i="66"/>
  <c r="M4442" i="66"/>
  <c r="L4442" i="66"/>
  <c r="K4442" i="66"/>
  <c r="J4442" i="66"/>
  <c r="I4442" i="66"/>
  <c r="H4442" i="66"/>
  <c r="G4442" i="66"/>
  <c r="N4441" i="66"/>
  <c r="M4441" i="66"/>
  <c r="L4441" i="66"/>
  <c r="K4441" i="66"/>
  <c r="J4441" i="66"/>
  <c r="I4441" i="66"/>
  <c r="H4441" i="66"/>
  <c r="G4441" i="66"/>
  <c r="I4437" i="66"/>
  <c r="L4435" i="66"/>
  <c r="N4431" i="66"/>
  <c r="M4431" i="66"/>
  <c r="L4431" i="66"/>
  <c r="K4431" i="66"/>
  <c r="J4431" i="66"/>
  <c r="I4431" i="66"/>
  <c r="H4431" i="66"/>
  <c r="N4430" i="66"/>
  <c r="M4430" i="66"/>
  <c r="L4430" i="66"/>
  <c r="K4430" i="66"/>
  <c r="J4430" i="66"/>
  <c r="I4430" i="66"/>
  <c r="H4430" i="66"/>
  <c r="N4427" i="66"/>
  <c r="M4427" i="66"/>
  <c r="L4427" i="66"/>
  <c r="K4427" i="66"/>
  <c r="J4427" i="66"/>
  <c r="I4427" i="66"/>
  <c r="H4427" i="66"/>
  <c r="N4426" i="66"/>
  <c r="M4426" i="66"/>
  <c r="L4426" i="66"/>
  <c r="K4426" i="66"/>
  <c r="J4426" i="66"/>
  <c r="I4426" i="66"/>
  <c r="H4426" i="66"/>
  <c r="N4423" i="66"/>
  <c r="M4423" i="66"/>
  <c r="L4423" i="66"/>
  <c r="K4423" i="66"/>
  <c r="J4423" i="66"/>
  <c r="I4423" i="66"/>
  <c r="H4423" i="66"/>
  <c r="N4422" i="66"/>
  <c r="M4422" i="66"/>
  <c r="L4422" i="66"/>
  <c r="K4422" i="66"/>
  <c r="J4422" i="66"/>
  <c r="I4422" i="66"/>
  <c r="H4422" i="66"/>
  <c r="N4413" i="66"/>
  <c r="M4413" i="66"/>
  <c r="L4413" i="66"/>
  <c r="K4413" i="66"/>
  <c r="J4413" i="66"/>
  <c r="I4413" i="66"/>
  <c r="H4413" i="66"/>
  <c r="N4406" i="66"/>
  <c r="M4406" i="66"/>
  <c r="L4406" i="66"/>
  <c r="K4406" i="66"/>
  <c r="J4406" i="66"/>
  <c r="I4406" i="66"/>
  <c r="H4406" i="66"/>
  <c r="N4405" i="66"/>
  <c r="M4405" i="66"/>
  <c r="L4405" i="66"/>
  <c r="K4405" i="66"/>
  <c r="J4405" i="66"/>
  <c r="I4405" i="66"/>
  <c r="H4405" i="66"/>
  <c r="N4404" i="66"/>
  <c r="M4404" i="66"/>
  <c r="L4404" i="66"/>
  <c r="K4404" i="66"/>
  <c r="J4404" i="66"/>
  <c r="I4404" i="66"/>
  <c r="H4404" i="66"/>
  <c r="N4403" i="66"/>
  <c r="M4403" i="66"/>
  <c r="L4403" i="66"/>
  <c r="K4403" i="66"/>
  <c r="J4403" i="66"/>
  <c r="I4403" i="66"/>
  <c r="H4403" i="66"/>
  <c r="N4402" i="66"/>
  <c r="M4402" i="66"/>
  <c r="L4402" i="66"/>
  <c r="K4402" i="66"/>
  <c r="J4402" i="66"/>
  <c r="I4402" i="66"/>
  <c r="H4402" i="66"/>
  <c r="N4401" i="66"/>
  <c r="M4401" i="66"/>
  <c r="L4401" i="66"/>
  <c r="K4401" i="66"/>
  <c r="J4401" i="66"/>
  <c r="I4401" i="66"/>
  <c r="H4401" i="66"/>
  <c r="N4400" i="66"/>
  <c r="M4400" i="66"/>
  <c r="L4400" i="66"/>
  <c r="K4400" i="66"/>
  <c r="J4400" i="66"/>
  <c r="I4400" i="66"/>
  <c r="H4400" i="66"/>
  <c r="N4399" i="66"/>
  <c r="M4399" i="66"/>
  <c r="L4399" i="66"/>
  <c r="K4399" i="66"/>
  <c r="J4399" i="66"/>
  <c r="I4399" i="66"/>
  <c r="H4399" i="66"/>
  <c r="I4396" i="66"/>
  <c r="N4394" i="66"/>
  <c r="M4394" i="66"/>
  <c r="L4394" i="66"/>
  <c r="K4394" i="66"/>
  <c r="J4394" i="66"/>
  <c r="I4394" i="66"/>
  <c r="H4394" i="66"/>
  <c r="N4393" i="66"/>
  <c r="M4393" i="66"/>
  <c r="L4393" i="66"/>
  <c r="K4393" i="66"/>
  <c r="J4393" i="66"/>
  <c r="I4393" i="66"/>
  <c r="H4393" i="66"/>
  <c r="N4392" i="66"/>
  <c r="M4392" i="66"/>
  <c r="L4392" i="66"/>
  <c r="K4392" i="66"/>
  <c r="J4392" i="66"/>
  <c r="I4392" i="66"/>
  <c r="H4392" i="66"/>
  <c r="N4391" i="66"/>
  <c r="M4391" i="66"/>
  <c r="L4391" i="66"/>
  <c r="K4391" i="66"/>
  <c r="J4391" i="66"/>
  <c r="I4391" i="66"/>
  <c r="H4391" i="66"/>
  <c r="N4390" i="66"/>
  <c r="M4390" i="66"/>
  <c r="L4390" i="66"/>
  <c r="K4390" i="66"/>
  <c r="J4390" i="66"/>
  <c r="I4390" i="66"/>
  <c r="H4390" i="66"/>
  <c r="N4389" i="66"/>
  <c r="M4389" i="66"/>
  <c r="L4389" i="66"/>
  <c r="K4389" i="66"/>
  <c r="J4389" i="66"/>
  <c r="I4389" i="66"/>
  <c r="H4389" i="66"/>
  <c r="N4388" i="66"/>
  <c r="M4388" i="66"/>
  <c r="L4388" i="66"/>
  <c r="K4388" i="66"/>
  <c r="J4388" i="66"/>
  <c r="I4388" i="66"/>
  <c r="H4388" i="66"/>
  <c r="N4387" i="66"/>
  <c r="M4387" i="66"/>
  <c r="L4387" i="66"/>
  <c r="K4387" i="66"/>
  <c r="J4387" i="66"/>
  <c r="I4387" i="66"/>
  <c r="H4387" i="66"/>
  <c r="I4384" i="66"/>
  <c r="L4382" i="66"/>
  <c r="N4373" i="66"/>
  <c r="M4373" i="66"/>
  <c r="L4373" i="66"/>
  <c r="K4373" i="66"/>
  <c r="J4373" i="66"/>
  <c r="I4373" i="66"/>
  <c r="H4373" i="66"/>
  <c r="N4372" i="66"/>
  <c r="M4372" i="66"/>
  <c r="L4372" i="66"/>
  <c r="K4372" i="66"/>
  <c r="J4372" i="66"/>
  <c r="I4372" i="66"/>
  <c r="H4372" i="66"/>
  <c r="N4364" i="66"/>
  <c r="M4364" i="66"/>
  <c r="L4364" i="66"/>
  <c r="K4364" i="66"/>
  <c r="J4364" i="66"/>
  <c r="I4364" i="66"/>
  <c r="H4364" i="66"/>
  <c r="E4364" i="66"/>
  <c r="I4344" i="66"/>
  <c r="N4339" i="66"/>
  <c r="M4339" i="66"/>
  <c r="L4339" i="66"/>
  <c r="K4339" i="66"/>
  <c r="J4339" i="66"/>
  <c r="I4339" i="66"/>
  <c r="H4339" i="66"/>
  <c r="G4339" i="66"/>
  <c r="N4338" i="66"/>
  <c r="M4338" i="66"/>
  <c r="L4338" i="66"/>
  <c r="K4338" i="66"/>
  <c r="J4338" i="66"/>
  <c r="I4338" i="66"/>
  <c r="H4338" i="66"/>
  <c r="G4338" i="66"/>
  <c r="F4338" i="66"/>
  <c r="E4338" i="66"/>
  <c r="N4337" i="66"/>
  <c r="M4337" i="66"/>
  <c r="L4337" i="66"/>
  <c r="K4337" i="66"/>
  <c r="J4337" i="66"/>
  <c r="I4337" i="66"/>
  <c r="H4337" i="66"/>
  <c r="G4337" i="66"/>
  <c r="F4337" i="66"/>
  <c r="E4337" i="66"/>
  <c r="N4336" i="66"/>
  <c r="M4336" i="66"/>
  <c r="L4336" i="66"/>
  <c r="K4336" i="66"/>
  <c r="J4336" i="66"/>
  <c r="I4336" i="66"/>
  <c r="H4336" i="66"/>
  <c r="G4336" i="66"/>
  <c r="F4336" i="66"/>
  <c r="E4336" i="66"/>
  <c r="N4335" i="66"/>
  <c r="M4335" i="66"/>
  <c r="L4335" i="66"/>
  <c r="K4335" i="66"/>
  <c r="J4335" i="66"/>
  <c r="I4335" i="66"/>
  <c r="H4335" i="66"/>
  <c r="G4335" i="66"/>
  <c r="F4335" i="66"/>
  <c r="E4335" i="66"/>
  <c r="N4334" i="66"/>
  <c r="M4334" i="66"/>
  <c r="L4334" i="66"/>
  <c r="K4334" i="66"/>
  <c r="J4334" i="66"/>
  <c r="I4334" i="66"/>
  <c r="H4334" i="66"/>
  <c r="G4334" i="66"/>
  <c r="F4334" i="66"/>
  <c r="E4334" i="66"/>
  <c r="N4333" i="66"/>
  <c r="M4333" i="66"/>
  <c r="L4333" i="66"/>
  <c r="K4333" i="66"/>
  <c r="J4333" i="66"/>
  <c r="I4333" i="66"/>
  <c r="H4333" i="66"/>
  <c r="G4333" i="66"/>
  <c r="F4333" i="66"/>
  <c r="E4333" i="66"/>
  <c r="N4332" i="66"/>
  <c r="M4332" i="66"/>
  <c r="L4332" i="66"/>
  <c r="K4332" i="66"/>
  <c r="J4332" i="66"/>
  <c r="I4332" i="66"/>
  <c r="H4332" i="66"/>
  <c r="G4332" i="66"/>
  <c r="F4332" i="66"/>
  <c r="E4332" i="66"/>
  <c r="N4331" i="66"/>
  <c r="M4331" i="66"/>
  <c r="L4331" i="66"/>
  <c r="K4331" i="66"/>
  <c r="J4331" i="66"/>
  <c r="I4331" i="66"/>
  <c r="H4331" i="66"/>
  <c r="G4331" i="66"/>
  <c r="F4331" i="66"/>
  <c r="E4331" i="66"/>
  <c r="N4330" i="66"/>
  <c r="M4330" i="66"/>
  <c r="L4330" i="66"/>
  <c r="K4330" i="66"/>
  <c r="J4330" i="66"/>
  <c r="I4330" i="66"/>
  <c r="H4330" i="66"/>
  <c r="G4330" i="66"/>
  <c r="F4330" i="66"/>
  <c r="E4330" i="66"/>
  <c r="N4329" i="66"/>
  <c r="M4329" i="66"/>
  <c r="L4329" i="66"/>
  <c r="K4329" i="66"/>
  <c r="J4329" i="66"/>
  <c r="I4329" i="66"/>
  <c r="H4329" i="66"/>
  <c r="G4329" i="66"/>
  <c r="F4329" i="66"/>
  <c r="E4329" i="66"/>
  <c r="N4315" i="66"/>
  <c r="M4315" i="66"/>
  <c r="L4315" i="66"/>
  <c r="K4315" i="66"/>
  <c r="J4315" i="66"/>
  <c r="I4315" i="66"/>
  <c r="N4314" i="66"/>
  <c r="M4314" i="66"/>
  <c r="L4314" i="66"/>
  <c r="K4314" i="66"/>
  <c r="J4314" i="66"/>
  <c r="N4312" i="66"/>
  <c r="M4312" i="66"/>
  <c r="L4312" i="66"/>
  <c r="K4312" i="66"/>
  <c r="J4312" i="66"/>
  <c r="N4309" i="66"/>
  <c r="M4309" i="66"/>
  <c r="L4309" i="66"/>
  <c r="K4309" i="66"/>
  <c r="J4309" i="66"/>
  <c r="I4309" i="66"/>
  <c r="N4308" i="66"/>
  <c r="M4308" i="66"/>
  <c r="L4308" i="66"/>
  <c r="K4308" i="66"/>
  <c r="J4308" i="66"/>
  <c r="N4307" i="66"/>
  <c r="M4307" i="66"/>
  <c r="L4307" i="66"/>
  <c r="K4307" i="66"/>
  <c r="J4307" i="66"/>
  <c r="N4306" i="66"/>
  <c r="M4306" i="66"/>
  <c r="L4306" i="66"/>
  <c r="K4306" i="66"/>
  <c r="J4306" i="66"/>
  <c r="I4306" i="66"/>
  <c r="N4301" i="66"/>
  <c r="M4301" i="66"/>
  <c r="L4301" i="66"/>
  <c r="K4301" i="66"/>
  <c r="J4301" i="66"/>
  <c r="I4301" i="66"/>
  <c r="H4301" i="66"/>
  <c r="N4300" i="66"/>
  <c r="M4300" i="66"/>
  <c r="L4300" i="66"/>
  <c r="K4300" i="66"/>
  <c r="J4300" i="66"/>
  <c r="I4300" i="66"/>
  <c r="H4300" i="66"/>
  <c r="N4299" i="66"/>
  <c r="M4299" i="66"/>
  <c r="L4299" i="66"/>
  <c r="K4299" i="66"/>
  <c r="J4299" i="66"/>
  <c r="I4299" i="66"/>
  <c r="H4299" i="66"/>
  <c r="N4290" i="66"/>
  <c r="M4290" i="66"/>
  <c r="L4290" i="66"/>
  <c r="K4290" i="66"/>
  <c r="J4290" i="66"/>
  <c r="I4290" i="66"/>
  <c r="N4289" i="66"/>
  <c r="M4289" i="66"/>
  <c r="L4289" i="66"/>
  <c r="K4289" i="66"/>
  <c r="J4289" i="66"/>
  <c r="N4287" i="66"/>
  <c r="M4287" i="66"/>
  <c r="L4287" i="66"/>
  <c r="K4287" i="66"/>
  <c r="J4287" i="66"/>
  <c r="N4284" i="66"/>
  <c r="M4284" i="66"/>
  <c r="L4284" i="66"/>
  <c r="K4284" i="66"/>
  <c r="J4284" i="66"/>
  <c r="I4284" i="66"/>
  <c r="N4283" i="66"/>
  <c r="M4283" i="66"/>
  <c r="L4283" i="66"/>
  <c r="K4283" i="66"/>
  <c r="J4283" i="66"/>
  <c r="N4282" i="66"/>
  <c r="M4282" i="66"/>
  <c r="L4282" i="66"/>
  <c r="K4282" i="66"/>
  <c r="J4282" i="66"/>
  <c r="N4281" i="66"/>
  <c r="M4281" i="66"/>
  <c r="L4281" i="66"/>
  <c r="K4281" i="66"/>
  <c r="J4281" i="66"/>
  <c r="I4281" i="66"/>
  <c r="N4276" i="66"/>
  <c r="M4276" i="66"/>
  <c r="L4276" i="66"/>
  <c r="K4276" i="66"/>
  <c r="J4276" i="66"/>
  <c r="I4276" i="66"/>
  <c r="H4276" i="66"/>
  <c r="N4274" i="66"/>
  <c r="M4274" i="66"/>
  <c r="L4274" i="66"/>
  <c r="K4274" i="66"/>
  <c r="J4274" i="66"/>
  <c r="I4274" i="66"/>
  <c r="H4274" i="66"/>
  <c r="N4273" i="66"/>
  <c r="M4273" i="66"/>
  <c r="L4273" i="66"/>
  <c r="K4273" i="66"/>
  <c r="J4273" i="66"/>
  <c r="I4273" i="66"/>
  <c r="H4273" i="66"/>
  <c r="N4272" i="66"/>
  <c r="M4272" i="66"/>
  <c r="L4272" i="66"/>
  <c r="K4272" i="66"/>
  <c r="J4272" i="66"/>
  <c r="I4272" i="66"/>
  <c r="H4272" i="66"/>
  <c r="N4271" i="66"/>
  <c r="M4271" i="66"/>
  <c r="L4271" i="66"/>
  <c r="K4271" i="66"/>
  <c r="J4271" i="66"/>
  <c r="I4271" i="66"/>
  <c r="H4271" i="66"/>
  <c r="N4270" i="66"/>
  <c r="M4270" i="66"/>
  <c r="L4270" i="66"/>
  <c r="K4270" i="66"/>
  <c r="J4270" i="66"/>
  <c r="I4270" i="66"/>
  <c r="H4270" i="66"/>
  <c r="N4260" i="66"/>
  <c r="M4260" i="66"/>
  <c r="L4260" i="66"/>
  <c r="K4260" i="66"/>
  <c r="J4260" i="66"/>
  <c r="I4260" i="66"/>
  <c r="H4260" i="66"/>
  <c r="N4259" i="66"/>
  <c r="M4259" i="66"/>
  <c r="L4259" i="66"/>
  <c r="K4259" i="66"/>
  <c r="J4259" i="66"/>
  <c r="N4257" i="66"/>
  <c r="M4257" i="66"/>
  <c r="L4257" i="66"/>
  <c r="K4257" i="66"/>
  <c r="J4257" i="66"/>
  <c r="N4254" i="66"/>
  <c r="M4254" i="66"/>
  <c r="L4254" i="66"/>
  <c r="K4254" i="66"/>
  <c r="J4254" i="66"/>
  <c r="I4254" i="66"/>
  <c r="H4254" i="66"/>
  <c r="N4253" i="66"/>
  <c r="M4253" i="66"/>
  <c r="L4253" i="66"/>
  <c r="K4253" i="66"/>
  <c r="J4253" i="66"/>
  <c r="N4252" i="66"/>
  <c r="M4252" i="66"/>
  <c r="L4252" i="66"/>
  <c r="K4252" i="66"/>
  <c r="J4252" i="66"/>
  <c r="N4251" i="66"/>
  <c r="M4251" i="66"/>
  <c r="L4251" i="66"/>
  <c r="K4251" i="66"/>
  <c r="J4251" i="66"/>
  <c r="I4251" i="66"/>
  <c r="H4251" i="66"/>
  <c r="N4239" i="66"/>
  <c r="M4239" i="66"/>
  <c r="L4239" i="66"/>
  <c r="K4239" i="66"/>
  <c r="J4239" i="66"/>
  <c r="I4239" i="66"/>
  <c r="H4239" i="66"/>
  <c r="G4239" i="66"/>
  <c r="E4239" i="66"/>
  <c r="N4238" i="66"/>
  <c r="M4238" i="66"/>
  <c r="L4238" i="66"/>
  <c r="K4238" i="66"/>
  <c r="J4238" i="66"/>
  <c r="I4238" i="66"/>
  <c r="H4238" i="66"/>
  <c r="G4238" i="66"/>
  <c r="E4238" i="66"/>
  <c r="N4237" i="66"/>
  <c r="M4237" i="66"/>
  <c r="L4237" i="66"/>
  <c r="K4237" i="66"/>
  <c r="J4237" i="66"/>
  <c r="I4237" i="66"/>
  <c r="H4237" i="66"/>
  <c r="G4237" i="66"/>
  <c r="E4237" i="66"/>
  <c r="I4229" i="66"/>
  <c r="E4224" i="66"/>
  <c r="N4220" i="66"/>
  <c r="M4220" i="66"/>
  <c r="L4220" i="66"/>
  <c r="K4220" i="66"/>
  <c r="J4220" i="66"/>
  <c r="I4220" i="66"/>
  <c r="H4220" i="66"/>
  <c r="G4220" i="66"/>
  <c r="E4220" i="66"/>
  <c r="N4219" i="66"/>
  <c r="M4219" i="66"/>
  <c r="L4219" i="66"/>
  <c r="K4219" i="66"/>
  <c r="J4219" i="66"/>
  <c r="I4219" i="66"/>
  <c r="H4219" i="66"/>
  <c r="G4219" i="66"/>
  <c r="E4219" i="66"/>
  <c r="N4216" i="66"/>
  <c r="M4216" i="66"/>
  <c r="L4216" i="66"/>
  <c r="K4216" i="66"/>
  <c r="J4216" i="66"/>
  <c r="I4216" i="66"/>
  <c r="H4216" i="66"/>
  <c r="G4216" i="66"/>
  <c r="E4216" i="66"/>
  <c r="N4215" i="66"/>
  <c r="M4215" i="66"/>
  <c r="L4215" i="66"/>
  <c r="K4215" i="66"/>
  <c r="J4215" i="66"/>
  <c r="I4215" i="66"/>
  <c r="H4215" i="66"/>
  <c r="G4215" i="66"/>
  <c r="E4215" i="66"/>
  <c r="L4212" i="66"/>
  <c r="N4207" i="66"/>
  <c r="M4207" i="66"/>
  <c r="L4207" i="66"/>
  <c r="K4207" i="66"/>
  <c r="J4207" i="66"/>
  <c r="I4207" i="66"/>
  <c r="H4207" i="66"/>
  <c r="E4207" i="66"/>
  <c r="N4201" i="66"/>
  <c r="M4201" i="66"/>
  <c r="L4201" i="66"/>
  <c r="K4201" i="66"/>
  <c r="J4201" i="66"/>
  <c r="I4201" i="66"/>
  <c r="H4201" i="66"/>
  <c r="N4195" i="66"/>
  <c r="M4195" i="66"/>
  <c r="L4195" i="66"/>
  <c r="K4195" i="66"/>
  <c r="J4195" i="66"/>
  <c r="I4195" i="66"/>
  <c r="H4195" i="66"/>
  <c r="N4194" i="66"/>
  <c r="M4194" i="66"/>
  <c r="L4194" i="66"/>
  <c r="K4194" i="66"/>
  <c r="J4194" i="66"/>
  <c r="I4194" i="66"/>
  <c r="H4194" i="66"/>
  <c r="N4193" i="66"/>
  <c r="M4193" i="66"/>
  <c r="L4193" i="66"/>
  <c r="K4193" i="66"/>
  <c r="J4193" i="66"/>
  <c r="I4193" i="66"/>
  <c r="H4193" i="66"/>
  <c r="G4193" i="66"/>
  <c r="N4192" i="66"/>
  <c r="M4192" i="66"/>
  <c r="L4192" i="66"/>
  <c r="K4192" i="66"/>
  <c r="J4192" i="66"/>
  <c r="I4192" i="66"/>
  <c r="H4192" i="66"/>
  <c r="G4192" i="66"/>
  <c r="I4188" i="66"/>
  <c r="N4186" i="66"/>
  <c r="M4186" i="66"/>
  <c r="L4186" i="66"/>
  <c r="K4186" i="66"/>
  <c r="J4186" i="66"/>
  <c r="I4186" i="66"/>
  <c r="H4186" i="66"/>
  <c r="N4185" i="66"/>
  <c r="M4185" i="66"/>
  <c r="L4185" i="66"/>
  <c r="K4185" i="66"/>
  <c r="J4185" i="66"/>
  <c r="I4185" i="66"/>
  <c r="H4185" i="66"/>
  <c r="N4184" i="66"/>
  <c r="M4184" i="66"/>
  <c r="L4184" i="66"/>
  <c r="K4184" i="66"/>
  <c r="J4184" i="66"/>
  <c r="I4184" i="66"/>
  <c r="H4184" i="66"/>
  <c r="G4184" i="66"/>
  <c r="N4183" i="66"/>
  <c r="M4183" i="66"/>
  <c r="L4183" i="66"/>
  <c r="K4183" i="66"/>
  <c r="J4183" i="66"/>
  <c r="I4183" i="66"/>
  <c r="H4183" i="66"/>
  <c r="G4183" i="66"/>
  <c r="I4179" i="66"/>
  <c r="N4176" i="66"/>
  <c r="M4176" i="66"/>
  <c r="L4176" i="66"/>
  <c r="K4176" i="66"/>
  <c r="J4176" i="66"/>
  <c r="I4176" i="66"/>
  <c r="N4175" i="66"/>
  <c r="M4175" i="66"/>
  <c r="L4175" i="66"/>
  <c r="K4175" i="66"/>
  <c r="J4175" i="66"/>
  <c r="N4173" i="66"/>
  <c r="M4173" i="66"/>
  <c r="L4173" i="66"/>
  <c r="K4173" i="66"/>
  <c r="J4173" i="66"/>
  <c r="N4170" i="66"/>
  <c r="M4170" i="66"/>
  <c r="L4170" i="66"/>
  <c r="K4170" i="66"/>
  <c r="J4170" i="66"/>
  <c r="I4170" i="66"/>
  <c r="N4169" i="66"/>
  <c r="M4169" i="66"/>
  <c r="L4169" i="66"/>
  <c r="K4169" i="66"/>
  <c r="J4169" i="66"/>
  <c r="N4168" i="66"/>
  <c r="M4168" i="66"/>
  <c r="L4168" i="66"/>
  <c r="K4168" i="66"/>
  <c r="J4168" i="66"/>
  <c r="N4167" i="66"/>
  <c r="M4167" i="66"/>
  <c r="L4167" i="66"/>
  <c r="K4167" i="66"/>
  <c r="J4167" i="66"/>
  <c r="I4167" i="66"/>
  <c r="N4163" i="66"/>
  <c r="M4163" i="66"/>
  <c r="L4163" i="66"/>
  <c r="K4163" i="66"/>
  <c r="J4163" i="66"/>
  <c r="I4163" i="66"/>
  <c r="H4163" i="66"/>
  <c r="N4161" i="66"/>
  <c r="M4161" i="66"/>
  <c r="L4161" i="66"/>
  <c r="K4161" i="66"/>
  <c r="J4161" i="66"/>
  <c r="I4161" i="66"/>
  <c r="H4161" i="66"/>
  <c r="N4160" i="66"/>
  <c r="M4160" i="66"/>
  <c r="L4160" i="66"/>
  <c r="K4160" i="66"/>
  <c r="J4160" i="66"/>
  <c r="I4160" i="66"/>
  <c r="H4160" i="66"/>
  <c r="N4159" i="66"/>
  <c r="M4159" i="66"/>
  <c r="L4159" i="66"/>
  <c r="K4159" i="66"/>
  <c r="J4159" i="66"/>
  <c r="I4159" i="66"/>
  <c r="H4159" i="66"/>
  <c r="G4159" i="66"/>
  <c r="N4158" i="66"/>
  <c r="M4158" i="66"/>
  <c r="L4158" i="66"/>
  <c r="K4158" i="66"/>
  <c r="J4158" i="66"/>
  <c r="I4158" i="66"/>
  <c r="H4158" i="66"/>
  <c r="G4158" i="66"/>
  <c r="I4153" i="66"/>
  <c r="N4151" i="66"/>
  <c r="M4151" i="66"/>
  <c r="L4151" i="66"/>
  <c r="K4151" i="66"/>
  <c r="J4151" i="66"/>
  <c r="I4151" i="66"/>
  <c r="H4151" i="66"/>
  <c r="N4150" i="66"/>
  <c r="M4150" i="66"/>
  <c r="L4150" i="66"/>
  <c r="K4150" i="66"/>
  <c r="J4150" i="66"/>
  <c r="I4150" i="66"/>
  <c r="H4150" i="66"/>
  <c r="N4149" i="66"/>
  <c r="M4149" i="66"/>
  <c r="L4149" i="66"/>
  <c r="K4149" i="66"/>
  <c r="J4149" i="66"/>
  <c r="I4149" i="66"/>
  <c r="H4149" i="66"/>
  <c r="G4149" i="66"/>
  <c r="N4148" i="66"/>
  <c r="M4148" i="66"/>
  <c r="L4148" i="66"/>
  <c r="K4148" i="66"/>
  <c r="J4148" i="66"/>
  <c r="I4148" i="66"/>
  <c r="H4148" i="66"/>
  <c r="G4148" i="66"/>
  <c r="I4144" i="66"/>
  <c r="N4142" i="66"/>
  <c r="M4142" i="66"/>
  <c r="L4142" i="66"/>
  <c r="K4142" i="66"/>
  <c r="J4142" i="66"/>
  <c r="I4142" i="66"/>
  <c r="H4142" i="66"/>
  <c r="N4141" i="66"/>
  <c r="M4141" i="66"/>
  <c r="L4141" i="66"/>
  <c r="K4141" i="66"/>
  <c r="J4141" i="66"/>
  <c r="I4141" i="66"/>
  <c r="H4141" i="66"/>
  <c r="N4140" i="66"/>
  <c r="M4140" i="66"/>
  <c r="L4140" i="66"/>
  <c r="K4140" i="66"/>
  <c r="J4140" i="66"/>
  <c r="I4140" i="66"/>
  <c r="H4140" i="66"/>
  <c r="G4140" i="66"/>
  <c r="N4139" i="66"/>
  <c r="M4139" i="66"/>
  <c r="L4139" i="66"/>
  <c r="K4139" i="66"/>
  <c r="J4139" i="66"/>
  <c r="I4139" i="66"/>
  <c r="H4139" i="66"/>
  <c r="G4139" i="66"/>
  <c r="I4135" i="66"/>
  <c r="L4133" i="66"/>
  <c r="N4129" i="66"/>
  <c r="M4129" i="66"/>
  <c r="L4129" i="66"/>
  <c r="K4129" i="66"/>
  <c r="J4129" i="66"/>
  <c r="I4129" i="66"/>
  <c r="H4129" i="66"/>
  <c r="N4128" i="66"/>
  <c r="M4128" i="66"/>
  <c r="L4128" i="66"/>
  <c r="K4128" i="66"/>
  <c r="J4128" i="66"/>
  <c r="I4128" i="66"/>
  <c r="H4128" i="66"/>
  <c r="N4125" i="66"/>
  <c r="M4125" i="66"/>
  <c r="L4125" i="66"/>
  <c r="K4125" i="66"/>
  <c r="J4125" i="66"/>
  <c r="I4125" i="66"/>
  <c r="H4125" i="66"/>
  <c r="N4124" i="66"/>
  <c r="M4124" i="66"/>
  <c r="L4124" i="66"/>
  <c r="K4124" i="66"/>
  <c r="J4124" i="66"/>
  <c r="I4124" i="66"/>
  <c r="H4124" i="66"/>
  <c r="N4121" i="66"/>
  <c r="M4121" i="66"/>
  <c r="L4121" i="66"/>
  <c r="K4121" i="66"/>
  <c r="J4121" i="66"/>
  <c r="I4121" i="66"/>
  <c r="H4121" i="66"/>
  <c r="N4120" i="66"/>
  <c r="M4120" i="66"/>
  <c r="L4120" i="66"/>
  <c r="K4120" i="66"/>
  <c r="J4120" i="66"/>
  <c r="I4120" i="66"/>
  <c r="H4120" i="66"/>
  <c r="N4111" i="66"/>
  <c r="M4111" i="66"/>
  <c r="L4111" i="66"/>
  <c r="K4111" i="66"/>
  <c r="J4111" i="66"/>
  <c r="I4111" i="66"/>
  <c r="H4111" i="66"/>
  <c r="N4104" i="66"/>
  <c r="M4104" i="66"/>
  <c r="L4104" i="66"/>
  <c r="K4104" i="66"/>
  <c r="J4104" i="66"/>
  <c r="I4104" i="66"/>
  <c r="H4104" i="66"/>
  <c r="N4103" i="66"/>
  <c r="M4103" i="66"/>
  <c r="L4103" i="66"/>
  <c r="K4103" i="66"/>
  <c r="J4103" i="66"/>
  <c r="I4103" i="66"/>
  <c r="H4103" i="66"/>
  <c r="N4102" i="66"/>
  <c r="M4102" i="66"/>
  <c r="L4102" i="66"/>
  <c r="K4102" i="66"/>
  <c r="J4102" i="66"/>
  <c r="I4102" i="66"/>
  <c r="H4102" i="66"/>
  <c r="N4101" i="66"/>
  <c r="M4101" i="66"/>
  <c r="L4101" i="66"/>
  <c r="K4101" i="66"/>
  <c r="J4101" i="66"/>
  <c r="I4101" i="66"/>
  <c r="H4101" i="66"/>
  <c r="N4100" i="66"/>
  <c r="M4100" i="66"/>
  <c r="L4100" i="66"/>
  <c r="K4100" i="66"/>
  <c r="J4100" i="66"/>
  <c r="I4100" i="66"/>
  <c r="H4100" i="66"/>
  <c r="N4099" i="66"/>
  <c r="M4099" i="66"/>
  <c r="L4099" i="66"/>
  <c r="K4099" i="66"/>
  <c r="J4099" i="66"/>
  <c r="I4099" i="66"/>
  <c r="H4099" i="66"/>
  <c r="N4098" i="66"/>
  <c r="M4098" i="66"/>
  <c r="L4098" i="66"/>
  <c r="K4098" i="66"/>
  <c r="J4098" i="66"/>
  <c r="I4098" i="66"/>
  <c r="H4098" i="66"/>
  <c r="N4097" i="66"/>
  <c r="M4097" i="66"/>
  <c r="L4097" i="66"/>
  <c r="K4097" i="66"/>
  <c r="J4097" i="66"/>
  <c r="I4097" i="66"/>
  <c r="H4097" i="66"/>
  <c r="I4094" i="66"/>
  <c r="N4092" i="66"/>
  <c r="M4092" i="66"/>
  <c r="L4092" i="66"/>
  <c r="K4092" i="66"/>
  <c r="J4092" i="66"/>
  <c r="I4092" i="66"/>
  <c r="H4092" i="66"/>
  <c r="N4091" i="66"/>
  <c r="M4091" i="66"/>
  <c r="L4091" i="66"/>
  <c r="K4091" i="66"/>
  <c r="J4091" i="66"/>
  <c r="I4091" i="66"/>
  <c r="H4091" i="66"/>
  <c r="N4090" i="66"/>
  <c r="M4090" i="66"/>
  <c r="L4090" i="66"/>
  <c r="K4090" i="66"/>
  <c r="J4090" i="66"/>
  <c r="I4090" i="66"/>
  <c r="H4090" i="66"/>
  <c r="N4089" i="66"/>
  <c r="M4089" i="66"/>
  <c r="L4089" i="66"/>
  <c r="K4089" i="66"/>
  <c r="J4089" i="66"/>
  <c r="I4089" i="66"/>
  <c r="H4089" i="66"/>
  <c r="N4088" i="66"/>
  <c r="M4088" i="66"/>
  <c r="L4088" i="66"/>
  <c r="K4088" i="66"/>
  <c r="J4088" i="66"/>
  <c r="I4088" i="66"/>
  <c r="H4088" i="66"/>
  <c r="N4087" i="66"/>
  <c r="M4087" i="66"/>
  <c r="L4087" i="66"/>
  <c r="K4087" i="66"/>
  <c r="J4087" i="66"/>
  <c r="I4087" i="66"/>
  <c r="H4087" i="66"/>
  <c r="N4086" i="66"/>
  <c r="M4086" i="66"/>
  <c r="L4086" i="66"/>
  <c r="K4086" i="66"/>
  <c r="J4086" i="66"/>
  <c r="I4086" i="66"/>
  <c r="H4086" i="66"/>
  <c r="N4085" i="66"/>
  <c r="M4085" i="66"/>
  <c r="L4085" i="66"/>
  <c r="K4085" i="66"/>
  <c r="J4085" i="66"/>
  <c r="I4085" i="66"/>
  <c r="H4085" i="66"/>
  <c r="I4082" i="66"/>
  <c r="L4080" i="66"/>
  <c r="N4071" i="66"/>
  <c r="M4071" i="66"/>
  <c r="L4071" i="66"/>
  <c r="K4071" i="66"/>
  <c r="J4071" i="66"/>
  <c r="I4071" i="66"/>
  <c r="H4071" i="66"/>
  <c r="N4070" i="66"/>
  <c r="M4070" i="66"/>
  <c r="L4070" i="66"/>
  <c r="K4070" i="66"/>
  <c r="J4070" i="66"/>
  <c r="I4070" i="66"/>
  <c r="H4070" i="66"/>
  <c r="N4062" i="66"/>
  <c r="M4062" i="66"/>
  <c r="L4062" i="66"/>
  <c r="K4062" i="66"/>
  <c r="J4062" i="66"/>
  <c r="I4062" i="66"/>
  <c r="H4062" i="66"/>
  <c r="E4062" i="66"/>
  <c r="I4042" i="66"/>
  <c r="N4037" i="66"/>
  <c r="M4037" i="66"/>
  <c r="L4037" i="66"/>
  <c r="K4037" i="66"/>
  <c r="J4037" i="66"/>
  <c r="I4037" i="66"/>
  <c r="H4037" i="66"/>
  <c r="G4037" i="66"/>
  <c r="N4036" i="66"/>
  <c r="M4036" i="66"/>
  <c r="L4036" i="66"/>
  <c r="K4036" i="66"/>
  <c r="J4036" i="66"/>
  <c r="I4036" i="66"/>
  <c r="H4036" i="66"/>
  <c r="G4036" i="66"/>
  <c r="F4036" i="66"/>
  <c r="E4036" i="66"/>
  <c r="N4035" i="66"/>
  <c r="M4035" i="66"/>
  <c r="L4035" i="66"/>
  <c r="K4035" i="66"/>
  <c r="J4035" i="66"/>
  <c r="I4035" i="66"/>
  <c r="H4035" i="66"/>
  <c r="G4035" i="66"/>
  <c r="F4035" i="66"/>
  <c r="E4035" i="66"/>
  <c r="N4034" i="66"/>
  <c r="M4034" i="66"/>
  <c r="L4034" i="66"/>
  <c r="K4034" i="66"/>
  <c r="J4034" i="66"/>
  <c r="I4034" i="66"/>
  <c r="H4034" i="66"/>
  <c r="G4034" i="66"/>
  <c r="F4034" i="66"/>
  <c r="E4034" i="66"/>
  <c r="N4033" i="66"/>
  <c r="M4033" i="66"/>
  <c r="L4033" i="66"/>
  <c r="K4033" i="66"/>
  <c r="J4033" i="66"/>
  <c r="I4033" i="66"/>
  <c r="H4033" i="66"/>
  <c r="G4033" i="66"/>
  <c r="F4033" i="66"/>
  <c r="E4033" i="66"/>
  <c r="N4032" i="66"/>
  <c r="M4032" i="66"/>
  <c r="L4032" i="66"/>
  <c r="K4032" i="66"/>
  <c r="J4032" i="66"/>
  <c r="I4032" i="66"/>
  <c r="H4032" i="66"/>
  <c r="G4032" i="66"/>
  <c r="F4032" i="66"/>
  <c r="E4032" i="66"/>
  <c r="N4031" i="66"/>
  <c r="M4031" i="66"/>
  <c r="L4031" i="66"/>
  <c r="K4031" i="66"/>
  <c r="J4031" i="66"/>
  <c r="I4031" i="66"/>
  <c r="H4031" i="66"/>
  <c r="G4031" i="66"/>
  <c r="F4031" i="66"/>
  <c r="E4031" i="66"/>
  <c r="N4030" i="66"/>
  <c r="M4030" i="66"/>
  <c r="L4030" i="66"/>
  <c r="K4030" i="66"/>
  <c r="J4030" i="66"/>
  <c r="I4030" i="66"/>
  <c r="H4030" i="66"/>
  <c r="G4030" i="66"/>
  <c r="F4030" i="66"/>
  <c r="E4030" i="66"/>
  <c r="N4029" i="66"/>
  <c r="M4029" i="66"/>
  <c r="L4029" i="66"/>
  <c r="K4029" i="66"/>
  <c r="J4029" i="66"/>
  <c r="I4029" i="66"/>
  <c r="H4029" i="66"/>
  <c r="G4029" i="66"/>
  <c r="F4029" i="66"/>
  <c r="E4029" i="66"/>
  <c r="N4028" i="66"/>
  <c r="M4028" i="66"/>
  <c r="L4028" i="66"/>
  <c r="K4028" i="66"/>
  <c r="J4028" i="66"/>
  <c r="I4028" i="66"/>
  <c r="H4028" i="66"/>
  <c r="G4028" i="66"/>
  <c r="F4028" i="66"/>
  <c r="E4028" i="66"/>
  <c r="N4027" i="66"/>
  <c r="M4027" i="66"/>
  <c r="L4027" i="66"/>
  <c r="K4027" i="66"/>
  <c r="J4027" i="66"/>
  <c r="I4027" i="66"/>
  <c r="H4027" i="66"/>
  <c r="G4027" i="66"/>
  <c r="F4027" i="66"/>
  <c r="E4027" i="66"/>
  <c r="N4013" i="66"/>
  <c r="M4013" i="66"/>
  <c r="L4013" i="66"/>
  <c r="K4013" i="66"/>
  <c r="J4013" i="66"/>
  <c r="I4013" i="66"/>
  <c r="N4012" i="66"/>
  <c r="M4012" i="66"/>
  <c r="L4012" i="66"/>
  <c r="K4012" i="66"/>
  <c r="J4012" i="66"/>
  <c r="N4010" i="66"/>
  <c r="M4010" i="66"/>
  <c r="L4010" i="66"/>
  <c r="K4010" i="66"/>
  <c r="J4010" i="66"/>
  <c r="N4007" i="66"/>
  <c r="M4007" i="66"/>
  <c r="L4007" i="66"/>
  <c r="K4007" i="66"/>
  <c r="J4007" i="66"/>
  <c r="I4007" i="66"/>
  <c r="N4006" i="66"/>
  <c r="M4006" i="66"/>
  <c r="L4006" i="66"/>
  <c r="K4006" i="66"/>
  <c r="J4006" i="66"/>
  <c r="N4005" i="66"/>
  <c r="M4005" i="66"/>
  <c r="L4005" i="66"/>
  <c r="K4005" i="66"/>
  <c r="J4005" i="66"/>
  <c r="N4004" i="66"/>
  <c r="M4004" i="66"/>
  <c r="L4004" i="66"/>
  <c r="K4004" i="66"/>
  <c r="J4004" i="66"/>
  <c r="I4004" i="66"/>
  <c r="N3999" i="66"/>
  <c r="M3999" i="66"/>
  <c r="L3999" i="66"/>
  <c r="K3999" i="66"/>
  <c r="J3999" i="66"/>
  <c r="I3999" i="66"/>
  <c r="H3999" i="66"/>
  <c r="N3998" i="66"/>
  <c r="M3998" i="66"/>
  <c r="L3998" i="66"/>
  <c r="K3998" i="66"/>
  <c r="J3998" i="66"/>
  <c r="I3998" i="66"/>
  <c r="H3998" i="66"/>
  <c r="N3997" i="66"/>
  <c r="M3997" i="66"/>
  <c r="L3997" i="66"/>
  <c r="K3997" i="66"/>
  <c r="J3997" i="66"/>
  <c r="I3997" i="66"/>
  <c r="H3997" i="66"/>
  <c r="N3988" i="66"/>
  <c r="M3988" i="66"/>
  <c r="L3988" i="66"/>
  <c r="K3988" i="66"/>
  <c r="J3988" i="66"/>
  <c r="I3988" i="66"/>
  <c r="N3987" i="66"/>
  <c r="M3987" i="66"/>
  <c r="L3987" i="66"/>
  <c r="K3987" i="66"/>
  <c r="J3987" i="66"/>
  <c r="N3985" i="66"/>
  <c r="M3985" i="66"/>
  <c r="L3985" i="66"/>
  <c r="K3985" i="66"/>
  <c r="J3985" i="66"/>
  <c r="N3982" i="66"/>
  <c r="M3982" i="66"/>
  <c r="L3982" i="66"/>
  <c r="K3982" i="66"/>
  <c r="J3982" i="66"/>
  <c r="I3982" i="66"/>
  <c r="N3981" i="66"/>
  <c r="M3981" i="66"/>
  <c r="L3981" i="66"/>
  <c r="K3981" i="66"/>
  <c r="J3981" i="66"/>
  <c r="N3980" i="66"/>
  <c r="M3980" i="66"/>
  <c r="L3980" i="66"/>
  <c r="K3980" i="66"/>
  <c r="J3980" i="66"/>
  <c r="N3979" i="66"/>
  <c r="M3979" i="66"/>
  <c r="L3979" i="66"/>
  <c r="K3979" i="66"/>
  <c r="J3979" i="66"/>
  <c r="I3979" i="66"/>
  <c r="N3974" i="66"/>
  <c r="M3974" i="66"/>
  <c r="L3974" i="66"/>
  <c r="K3974" i="66"/>
  <c r="J3974" i="66"/>
  <c r="I3974" i="66"/>
  <c r="H3974" i="66"/>
  <c r="N3972" i="66"/>
  <c r="M3972" i="66"/>
  <c r="L3972" i="66"/>
  <c r="K3972" i="66"/>
  <c r="J3972" i="66"/>
  <c r="I3972" i="66"/>
  <c r="H3972" i="66"/>
  <c r="N3971" i="66"/>
  <c r="M3971" i="66"/>
  <c r="L3971" i="66"/>
  <c r="K3971" i="66"/>
  <c r="J3971" i="66"/>
  <c r="I3971" i="66"/>
  <c r="H3971" i="66"/>
  <c r="N3970" i="66"/>
  <c r="M3970" i="66"/>
  <c r="L3970" i="66"/>
  <c r="K3970" i="66"/>
  <c r="J3970" i="66"/>
  <c r="I3970" i="66"/>
  <c r="H3970" i="66"/>
  <c r="N3969" i="66"/>
  <c r="M3969" i="66"/>
  <c r="L3969" i="66"/>
  <c r="K3969" i="66"/>
  <c r="J3969" i="66"/>
  <c r="I3969" i="66"/>
  <c r="H3969" i="66"/>
  <c r="N3968" i="66"/>
  <c r="M3968" i="66"/>
  <c r="L3968" i="66"/>
  <c r="K3968" i="66"/>
  <c r="J3968" i="66"/>
  <c r="I3968" i="66"/>
  <c r="H3968" i="66"/>
  <c r="N3958" i="66"/>
  <c r="M3958" i="66"/>
  <c r="L3958" i="66"/>
  <c r="K3958" i="66"/>
  <c r="J3958" i="66"/>
  <c r="I3958" i="66"/>
  <c r="H3958" i="66"/>
  <c r="N3957" i="66"/>
  <c r="M3957" i="66"/>
  <c r="L3957" i="66"/>
  <c r="K3957" i="66"/>
  <c r="J3957" i="66"/>
  <c r="N3955" i="66"/>
  <c r="M3955" i="66"/>
  <c r="L3955" i="66"/>
  <c r="K3955" i="66"/>
  <c r="J3955" i="66"/>
  <c r="N3952" i="66"/>
  <c r="M3952" i="66"/>
  <c r="L3952" i="66"/>
  <c r="K3952" i="66"/>
  <c r="J3952" i="66"/>
  <c r="I3952" i="66"/>
  <c r="H3952" i="66"/>
  <c r="N3951" i="66"/>
  <c r="M3951" i="66"/>
  <c r="L3951" i="66"/>
  <c r="K3951" i="66"/>
  <c r="J3951" i="66"/>
  <c r="N3950" i="66"/>
  <c r="M3950" i="66"/>
  <c r="L3950" i="66"/>
  <c r="K3950" i="66"/>
  <c r="J3950" i="66"/>
  <c r="N3949" i="66"/>
  <c r="M3949" i="66"/>
  <c r="L3949" i="66"/>
  <c r="K3949" i="66"/>
  <c r="J3949" i="66"/>
  <c r="I3949" i="66"/>
  <c r="H3949" i="66"/>
  <c r="N3937" i="66"/>
  <c r="M3937" i="66"/>
  <c r="L3937" i="66"/>
  <c r="K3937" i="66"/>
  <c r="J3937" i="66"/>
  <c r="I3937" i="66"/>
  <c r="H3937" i="66"/>
  <c r="G3937" i="66"/>
  <c r="E3937" i="66"/>
  <c r="N3936" i="66"/>
  <c r="M3936" i="66"/>
  <c r="L3936" i="66"/>
  <c r="K3936" i="66"/>
  <c r="J3936" i="66"/>
  <c r="I3936" i="66"/>
  <c r="H3936" i="66"/>
  <c r="G3936" i="66"/>
  <c r="E3936" i="66"/>
  <c r="N3935" i="66"/>
  <c r="M3935" i="66"/>
  <c r="L3935" i="66"/>
  <c r="K3935" i="66"/>
  <c r="J3935" i="66"/>
  <c r="I3935" i="66"/>
  <c r="H3935" i="66"/>
  <c r="G3935" i="66"/>
  <c r="E3935" i="66"/>
  <c r="I3927" i="66"/>
  <c r="E3922" i="66"/>
  <c r="N3918" i="66"/>
  <c r="M3918" i="66"/>
  <c r="L3918" i="66"/>
  <c r="K3918" i="66"/>
  <c r="J3918" i="66"/>
  <c r="I3918" i="66"/>
  <c r="H3918" i="66"/>
  <c r="G3918" i="66"/>
  <c r="E3918" i="66"/>
  <c r="N3917" i="66"/>
  <c r="M3917" i="66"/>
  <c r="L3917" i="66"/>
  <c r="K3917" i="66"/>
  <c r="J3917" i="66"/>
  <c r="I3917" i="66"/>
  <c r="H3917" i="66"/>
  <c r="G3917" i="66"/>
  <c r="E3917" i="66"/>
  <c r="N3914" i="66"/>
  <c r="M3914" i="66"/>
  <c r="L3914" i="66"/>
  <c r="K3914" i="66"/>
  <c r="J3914" i="66"/>
  <c r="I3914" i="66"/>
  <c r="H3914" i="66"/>
  <c r="G3914" i="66"/>
  <c r="E3914" i="66"/>
  <c r="N3913" i="66"/>
  <c r="M3913" i="66"/>
  <c r="L3913" i="66"/>
  <c r="K3913" i="66"/>
  <c r="J3913" i="66"/>
  <c r="I3913" i="66"/>
  <c r="H3913" i="66"/>
  <c r="G3913" i="66"/>
  <c r="E3913" i="66"/>
  <c r="L3910" i="66"/>
  <c r="N3905" i="66"/>
  <c r="M3905" i="66"/>
  <c r="L3905" i="66"/>
  <c r="K3905" i="66"/>
  <c r="J3905" i="66"/>
  <c r="I3905" i="66"/>
  <c r="H3905" i="66"/>
  <c r="E3905" i="66"/>
  <c r="N3899" i="66"/>
  <c r="M3899" i="66"/>
  <c r="L3899" i="66"/>
  <c r="K3899" i="66"/>
  <c r="J3899" i="66"/>
  <c r="I3899" i="66"/>
  <c r="H3899" i="66"/>
  <c r="N3893" i="66"/>
  <c r="M3893" i="66"/>
  <c r="L3893" i="66"/>
  <c r="K3893" i="66"/>
  <c r="J3893" i="66"/>
  <c r="I3893" i="66"/>
  <c r="H3893" i="66"/>
  <c r="N3892" i="66"/>
  <c r="M3892" i="66"/>
  <c r="L3892" i="66"/>
  <c r="K3892" i="66"/>
  <c r="J3892" i="66"/>
  <c r="I3892" i="66"/>
  <c r="H3892" i="66"/>
  <c r="N3891" i="66"/>
  <c r="M3891" i="66"/>
  <c r="L3891" i="66"/>
  <c r="K3891" i="66"/>
  <c r="J3891" i="66"/>
  <c r="I3891" i="66"/>
  <c r="H3891" i="66"/>
  <c r="G3891" i="66"/>
  <c r="N3890" i="66"/>
  <c r="M3890" i="66"/>
  <c r="L3890" i="66"/>
  <c r="K3890" i="66"/>
  <c r="J3890" i="66"/>
  <c r="I3890" i="66"/>
  <c r="H3890" i="66"/>
  <c r="G3890" i="66"/>
  <c r="I3886" i="66"/>
  <c r="N3884" i="66"/>
  <c r="M3884" i="66"/>
  <c r="L3884" i="66"/>
  <c r="K3884" i="66"/>
  <c r="J3884" i="66"/>
  <c r="I3884" i="66"/>
  <c r="H3884" i="66"/>
  <c r="N3883" i="66"/>
  <c r="M3883" i="66"/>
  <c r="L3883" i="66"/>
  <c r="K3883" i="66"/>
  <c r="J3883" i="66"/>
  <c r="I3883" i="66"/>
  <c r="H3883" i="66"/>
  <c r="N3882" i="66"/>
  <c r="M3882" i="66"/>
  <c r="L3882" i="66"/>
  <c r="K3882" i="66"/>
  <c r="J3882" i="66"/>
  <c r="I3882" i="66"/>
  <c r="H3882" i="66"/>
  <c r="G3882" i="66"/>
  <c r="N3881" i="66"/>
  <c r="M3881" i="66"/>
  <c r="L3881" i="66"/>
  <c r="K3881" i="66"/>
  <c r="J3881" i="66"/>
  <c r="I3881" i="66"/>
  <c r="H3881" i="66"/>
  <c r="G3881" i="66"/>
  <c r="I3877" i="66"/>
  <c r="N3874" i="66"/>
  <c r="M3874" i="66"/>
  <c r="L3874" i="66"/>
  <c r="K3874" i="66"/>
  <c r="J3874" i="66"/>
  <c r="I3874" i="66"/>
  <c r="N3873" i="66"/>
  <c r="M3873" i="66"/>
  <c r="L3873" i="66"/>
  <c r="K3873" i="66"/>
  <c r="J3873" i="66"/>
  <c r="N3871" i="66"/>
  <c r="M3871" i="66"/>
  <c r="L3871" i="66"/>
  <c r="K3871" i="66"/>
  <c r="J3871" i="66"/>
  <c r="N3868" i="66"/>
  <c r="M3868" i="66"/>
  <c r="L3868" i="66"/>
  <c r="K3868" i="66"/>
  <c r="J3868" i="66"/>
  <c r="I3868" i="66"/>
  <c r="N3867" i="66"/>
  <c r="M3867" i="66"/>
  <c r="L3867" i="66"/>
  <c r="K3867" i="66"/>
  <c r="J3867" i="66"/>
  <c r="N3866" i="66"/>
  <c r="M3866" i="66"/>
  <c r="L3866" i="66"/>
  <c r="K3866" i="66"/>
  <c r="J3866" i="66"/>
  <c r="N3865" i="66"/>
  <c r="M3865" i="66"/>
  <c r="L3865" i="66"/>
  <c r="K3865" i="66"/>
  <c r="J3865" i="66"/>
  <c r="I3865" i="66"/>
  <c r="N3861" i="66"/>
  <c r="M3861" i="66"/>
  <c r="L3861" i="66"/>
  <c r="K3861" i="66"/>
  <c r="J3861" i="66"/>
  <c r="I3861" i="66"/>
  <c r="H3861" i="66"/>
  <c r="N3859" i="66"/>
  <c r="M3859" i="66"/>
  <c r="L3859" i="66"/>
  <c r="K3859" i="66"/>
  <c r="J3859" i="66"/>
  <c r="I3859" i="66"/>
  <c r="H3859" i="66"/>
  <c r="N3858" i="66"/>
  <c r="M3858" i="66"/>
  <c r="L3858" i="66"/>
  <c r="K3858" i="66"/>
  <c r="J3858" i="66"/>
  <c r="I3858" i="66"/>
  <c r="H3858" i="66"/>
  <c r="N3857" i="66"/>
  <c r="M3857" i="66"/>
  <c r="L3857" i="66"/>
  <c r="K3857" i="66"/>
  <c r="J3857" i="66"/>
  <c r="I3857" i="66"/>
  <c r="H3857" i="66"/>
  <c r="G3857" i="66"/>
  <c r="N3856" i="66"/>
  <c r="M3856" i="66"/>
  <c r="L3856" i="66"/>
  <c r="K3856" i="66"/>
  <c r="J3856" i="66"/>
  <c r="I3856" i="66"/>
  <c r="H3856" i="66"/>
  <c r="G3856" i="66"/>
  <c r="I3851" i="66"/>
  <c r="N3849" i="66"/>
  <c r="M3849" i="66"/>
  <c r="L3849" i="66"/>
  <c r="K3849" i="66"/>
  <c r="J3849" i="66"/>
  <c r="I3849" i="66"/>
  <c r="H3849" i="66"/>
  <c r="N3848" i="66"/>
  <c r="M3848" i="66"/>
  <c r="L3848" i="66"/>
  <c r="K3848" i="66"/>
  <c r="J3848" i="66"/>
  <c r="I3848" i="66"/>
  <c r="H3848" i="66"/>
  <c r="N3847" i="66"/>
  <c r="M3847" i="66"/>
  <c r="L3847" i="66"/>
  <c r="K3847" i="66"/>
  <c r="J3847" i="66"/>
  <c r="I3847" i="66"/>
  <c r="H3847" i="66"/>
  <c r="G3847" i="66"/>
  <c r="N3846" i="66"/>
  <c r="M3846" i="66"/>
  <c r="L3846" i="66"/>
  <c r="K3846" i="66"/>
  <c r="J3846" i="66"/>
  <c r="I3846" i="66"/>
  <c r="H3846" i="66"/>
  <c r="G3846" i="66"/>
  <c r="I3842" i="66"/>
  <c r="N3840" i="66"/>
  <c r="M3840" i="66"/>
  <c r="L3840" i="66"/>
  <c r="K3840" i="66"/>
  <c r="J3840" i="66"/>
  <c r="I3840" i="66"/>
  <c r="H3840" i="66"/>
  <c r="N3839" i="66"/>
  <c r="M3839" i="66"/>
  <c r="L3839" i="66"/>
  <c r="K3839" i="66"/>
  <c r="J3839" i="66"/>
  <c r="I3839" i="66"/>
  <c r="H3839" i="66"/>
  <c r="N3838" i="66"/>
  <c r="M3838" i="66"/>
  <c r="L3838" i="66"/>
  <c r="K3838" i="66"/>
  <c r="J3838" i="66"/>
  <c r="I3838" i="66"/>
  <c r="H3838" i="66"/>
  <c r="G3838" i="66"/>
  <c r="N3837" i="66"/>
  <c r="M3837" i="66"/>
  <c r="L3837" i="66"/>
  <c r="K3837" i="66"/>
  <c r="J3837" i="66"/>
  <c r="I3837" i="66"/>
  <c r="H3837" i="66"/>
  <c r="G3837" i="66"/>
  <c r="I3833" i="66"/>
  <c r="L3831" i="66"/>
  <c r="N3827" i="66"/>
  <c r="M3827" i="66"/>
  <c r="L3827" i="66"/>
  <c r="K3827" i="66"/>
  <c r="J3827" i="66"/>
  <c r="I3827" i="66"/>
  <c r="H3827" i="66"/>
  <c r="N3826" i="66"/>
  <c r="M3826" i="66"/>
  <c r="L3826" i="66"/>
  <c r="K3826" i="66"/>
  <c r="J3826" i="66"/>
  <c r="I3826" i="66"/>
  <c r="H3826" i="66"/>
  <c r="N3823" i="66"/>
  <c r="M3823" i="66"/>
  <c r="L3823" i="66"/>
  <c r="K3823" i="66"/>
  <c r="J3823" i="66"/>
  <c r="I3823" i="66"/>
  <c r="H3823" i="66"/>
  <c r="N3822" i="66"/>
  <c r="M3822" i="66"/>
  <c r="L3822" i="66"/>
  <c r="K3822" i="66"/>
  <c r="J3822" i="66"/>
  <c r="I3822" i="66"/>
  <c r="H3822" i="66"/>
  <c r="N3819" i="66"/>
  <c r="M3819" i="66"/>
  <c r="L3819" i="66"/>
  <c r="K3819" i="66"/>
  <c r="J3819" i="66"/>
  <c r="I3819" i="66"/>
  <c r="H3819" i="66"/>
  <c r="N3818" i="66"/>
  <c r="M3818" i="66"/>
  <c r="L3818" i="66"/>
  <c r="K3818" i="66"/>
  <c r="J3818" i="66"/>
  <c r="I3818" i="66"/>
  <c r="H3818" i="66"/>
  <c r="N3809" i="66"/>
  <c r="M3809" i="66"/>
  <c r="L3809" i="66"/>
  <c r="K3809" i="66"/>
  <c r="J3809" i="66"/>
  <c r="I3809" i="66"/>
  <c r="H3809" i="66"/>
  <c r="N3802" i="66"/>
  <c r="M3802" i="66"/>
  <c r="L3802" i="66"/>
  <c r="K3802" i="66"/>
  <c r="J3802" i="66"/>
  <c r="I3802" i="66"/>
  <c r="H3802" i="66"/>
  <c r="N3801" i="66"/>
  <c r="M3801" i="66"/>
  <c r="L3801" i="66"/>
  <c r="K3801" i="66"/>
  <c r="J3801" i="66"/>
  <c r="I3801" i="66"/>
  <c r="H3801" i="66"/>
  <c r="N3800" i="66"/>
  <c r="M3800" i="66"/>
  <c r="L3800" i="66"/>
  <c r="K3800" i="66"/>
  <c r="J3800" i="66"/>
  <c r="I3800" i="66"/>
  <c r="H3800" i="66"/>
  <c r="N3799" i="66"/>
  <c r="M3799" i="66"/>
  <c r="L3799" i="66"/>
  <c r="K3799" i="66"/>
  <c r="J3799" i="66"/>
  <c r="I3799" i="66"/>
  <c r="H3799" i="66"/>
  <c r="N3798" i="66"/>
  <c r="M3798" i="66"/>
  <c r="L3798" i="66"/>
  <c r="K3798" i="66"/>
  <c r="J3798" i="66"/>
  <c r="I3798" i="66"/>
  <c r="H3798" i="66"/>
  <c r="N3797" i="66"/>
  <c r="M3797" i="66"/>
  <c r="L3797" i="66"/>
  <c r="K3797" i="66"/>
  <c r="J3797" i="66"/>
  <c r="I3797" i="66"/>
  <c r="H3797" i="66"/>
  <c r="N3796" i="66"/>
  <c r="M3796" i="66"/>
  <c r="L3796" i="66"/>
  <c r="K3796" i="66"/>
  <c r="J3796" i="66"/>
  <c r="I3796" i="66"/>
  <c r="H3796" i="66"/>
  <c r="N3795" i="66"/>
  <c r="M3795" i="66"/>
  <c r="L3795" i="66"/>
  <c r="K3795" i="66"/>
  <c r="J3795" i="66"/>
  <c r="I3795" i="66"/>
  <c r="H3795" i="66"/>
  <c r="I3792" i="66"/>
  <c r="N3790" i="66"/>
  <c r="M3790" i="66"/>
  <c r="L3790" i="66"/>
  <c r="K3790" i="66"/>
  <c r="J3790" i="66"/>
  <c r="I3790" i="66"/>
  <c r="H3790" i="66"/>
  <c r="N3789" i="66"/>
  <c r="M3789" i="66"/>
  <c r="L3789" i="66"/>
  <c r="K3789" i="66"/>
  <c r="J3789" i="66"/>
  <c r="I3789" i="66"/>
  <c r="H3789" i="66"/>
  <c r="N3788" i="66"/>
  <c r="M3788" i="66"/>
  <c r="L3788" i="66"/>
  <c r="K3788" i="66"/>
  <c r="J3788" i="66"/>
  <c r="I3788" i="66"/>
  <c r="H3788" i="66"/>
  <c r="N3787" i="66"/>
  <c r="M3787" i="66"/>
  <c r="L3787" i="66"/>
  <c r="K3787" i="66"/>
  <c r="J3787" i="66"/>
  <c r="I3787" i="66"/>
  <c r="H3787" i="66"/>
  <c r="N3786" i="66"/>
  <c r="M3786" i="66"/>
  <c r="L3786" i="66"/>
  <c r="K3786" i="66"/>
  <c r="J3786" i="66"/>
  <c r="I3786" i="66"/>
  <c r="H3786" i="66"/>
  <c r="N3785" i="66"/>
  <c r="M3785" i="66"/>
  <c r="L3785" i="66"/>
  <c r="K3785" i="66"/>
  <c r="J3785" i="66"/>
  <c r="I3785" i="66"/>
  <c r="H3785" i="66"/>
  <c r="N3784" i="66"/>
  <c r="M3784" i="66"/>
  <c r="L3784" i="66"/>
  <c r="K3784" i="66"/>
  <c r="J3784" i="66"/>
  <c r="I3784" i="66"/>
  <c r="H3784" i="66"/>
  <c r="N3783" i="66"/>
  <c r="M3783" i="66"/>
  <c r="L3783" i="66"/>
  <c r="K3783" i="66"/>
  <c r="J3783" i="66"/>
  <c r="I3783" i="66"/>
  <c r="H3783" i="66"/>
  <c r="I3780" i="66"/>
  <c r="L3778" i="66"/>
  <c r="N3769" i="66"/>
  <c r="M3769" i="66"/>
  <c r="L3769" i="66"/>
  <c r="K3769" i="66"/>
  <c r="J3769" i="66"/>
  <c r="I3769" i="66"/>
  <c r="H3769" i="66"/>
  <c r="N3768" i="66"/>
  <c r="M3768" i="66"/>
  <c r="L3768" i="66"/>
  <c r="K3768" i="66"/>
  <c r="J3768" i="66"/>
  <c r="I3768" i="66"/>
  <c r="H3768" i="66"/>
  <c r="N3760" i="66"/>
  <c r="M3760" i="66"/>
  <c r="L3760" i="66"/>
  <c r="K3760" i="66"/>
  <c r="J3760" i="66"/>
  <c r="I3760" i="66"/>
  <c r="H3760" i="66"/>
  <c r="E3760" i="66"/>
  <c r="I3740" i="66"/>
  <c r="N3735" i="66"/>
  <c r="M3735" i="66"/>
  <c r="L3735" i="66"/>
  <c r="K3735" i="66"/>
  <c r="J3735" i="66"/>
  <c r="I3735" i="66"/>
  <c r="H3735" i="66"/>
  <c r="G3735" i="66"/>
  <c r="N3734" i="66"/>
  <c r="M3734" i="66"/>
  <c r="L3734" i="66"/>
  <c r="K3734" i="66"/>
  <c r="J3734" i="66"/>
  <c r="I3734" i="66"/>
  <c r="H3734" i="66"/>
  <c r="G3734" i="66"/>
  <c r="F3734" i="66"/>
  <c r="E3734" i="66"/>
  <c r="N3733" i="66"/>
  <c r="M3733" i="66"/>
  <c r="L3733" i="66"/>
  <c r="K3733" i="66"/>
  <c r="J3733" i="66"/>
  <c r="I3733" i="66"/>
  <c r="H3733" i="66"/>
  <c r="G3733" i="66"/>
  <c r="F3733" i="66"/>
  <c r="E3733" i="66"/>
  <c r="N3732" i="66"/>
  <c r="M3732" i="66"/>
  <c r="L3732" i="66"/>
  <c r="K3732" i="66"/>
  <c r="J3732" i="66"/>
  <c r="I3732" i="66"/>
  <c r="H3732" i="66"/>
  <c r="G3732" i="66"/>
  <c r="F3732" i="66"/>
  <c r="E3732" i="66"/>
  <c r="N3731" i="66"/>
  <c r="M3731" i="66"/>
  <c r="L3731" i="66"/>
  <c r="K3731" i="66"/>
  <c r="J3731" i="66"/>
  <c r="I3731" i="66"/>
  <c r="H3731" i="66"/>
  <c r="G3731" i="66"/>
  <c r="F3731" i="66"/>
  <c r="E3731" i="66"/>
  <c r="N3730" i="66"/>
  <c r="M3730" i="66"/>
  <c r="L3730" i="66"/>
  <c r="K3730" i="66"/>
  <c r="J3730" i="66"/>
  <c r="I3730" i="66"/>
  <c r="H3730" i="66"/>
  <c r="G3730" i="66"/>
  <c r="F3730" i="66"/>
  <c r="E3730" i="66"/>
  <c r="N3729" i="66"/>
  <c r="M3729" i="66"/>
  <c r="L3729" i="66"/>
  <c r="K3729" i="66"/>
  <c r="J3729" i="66"/>
  <c r="I3729" i="66"/>
  <c r="H3729" i="66"/>
  <c r="G3729" i="66"/>
  <c r="F3729" i="66"/>
  <c r="E3729" i="66"/>
  <c r="N3728" i="66"/>
  <c r="M3728" i="66"/>
  <c r="L3728" i="66"/>
  <c r="K3728" i="66"/>
  <c r="J3728" i="66"/>
  <c r="I3728" i="66"/>
  <c r="H3728" i="66"/>
  <c r="G3728" i="66"/>
  <c r="F3728" i="66"/>
  <c r="E3728" i="66"/>
  <c r="N3727" i="66"/>
  <c r="M3727" i="66"/>
  <c r="L3727" i="66"/>
  <c r="K3727" i="66"/>
  <c r="J3727" i="66"/>
  <c r="I3727" i="66"/>
  <c r="H3727" i="66"/>
  <c r="G3727" i="66"/>
  <c r="F3727" i="66"/>
  <c r="E3727" i="66"/>
  <c r="N3726" i="66"/>
  <c r="M3726" i="66"/>
  <c r="L3726" i="66"/>
  <c r="K3726" i="66"/>
  <c r="J3726" i="66"/>
  <c r="I3726" i="66"/>
  <c r="H3726" i="66"/>
  <c r="G3726" i="66"/>
  <c r="F3726" i="66"/>
  <c r="E3726" i="66"/>
  <c r="N3725" i="66"/>
  <c r="M3725" i="66"/>
  <c r="L3725" i="66"/>
  <c r="K3725" i="66"/>
  <c r="J3725" i="66"/>
  <c r="I3725" i="66"/>
  <c r="H3725" i="66"/>
  <c r="G3725" i="66"/>
  <c r="F3725" i="66"/>
  <c r="E3725" i="66"/>
  <c r="N3711" i="66"/>
  <c r="M3711" i="66"/>
  <c r="L3711" i="66"/>
  <c r="K3711" i="66"/>
  <c r="J3711" i="66"/>
  <c r="I3711" i="66"/>
  <c r="N3710" i="66"/>
  <c r="M3710" i="66"/>
  <c r="L3710" i="66"/>
  <c r="K3710" i="66"/>
  <c r="J3710" i="66"/>
  <c r="N3708" i="66"/>
  <c r="M3708" i="66"/>
  <c r="L3708" i="66"/>
  <c r="K3708" i="66"/>
  <c r="J3708" i="66"/>
  <c r="N3705" i="66"/>
  <c r="M3705" i="66"/>
  <c r="L3705" i="66"/>
  <c r="K3705" i="66"/>
  <c r="J3705" i="66"/>
  <c r="I3705" i="66"/>
  <c r="N3704" i="66"/>
  <c r="M3704" i="66"/>
  <c r="L3704" i="66"/>
  <c r="K3704" i="66"/>
  <c r="J3704" i="66"/>
  <c r="N3703" i="66"/>
  <c r="M3703" i="66"/>
  <c r="L3703" i="66"/>
  <c r="K3703" i="66"/>
  <c r="J3703" i="66"/>
  <c r="N3702" i="66"/>
  <c r="M3702" i="66"/>
  <c r="L3702" i="66"/>
  <c r="K3702" i="66"/>
  <c r="J3702" i="66"/>
  <c r="I3702" i="66"/>
  <c r="N3697" i="66"/>
  <c r="M3697" i="66"/>
  <c r="L3697" i="66"/>
  <c r="K3697" i="66"/>
  <c r="J3697" i="66"/>
  <c r="I3697" i="66"/>
  <c r="H3697" i="66"/>
  <c r="N3696" i="66"/>
  <c r="M3696" i="66"/>
  <c r="L3696" i="66"/>
  <c r="K3696" i="66"/>
  <c r="J3696" i="66"/>
  <c r="I3696" i="66"/>
  <c r="H3696" i="66"/>
  <c r="N3695" i="66"/>
  <c r="M3695" i="66"/>
  <c r="L3695" i="66"/>
  <c r="K3695" i="66"/>
  <c r="J3695" i="66"/>
  <c r="I3695" i="66"/>
  <c r="H3695" i="66"/>
  <c r="N3686" i="66"/>
  <c r="M3686" i="66"/>
  <c r="L3686" i="66"/>
  <c r="K3686" i="66"/>
  <c r="J3686" i="66"/>
  <c r="I3686" i="66"/>
  <c r="N3685" i="66"/>
  <c r="M3685" i="66"/>
  <c r="L3685" i="66"/>
  <c r="K3685" i="66"/>
  <c r="J3685" i="66"/>
  <c r="N3683" i="66"/>
  <c r="M3683" i="66"/>
  <c r="L3683" i="66"/>
  <c r="K3683" i="66"/>
  <c r="J3683" i="66"/>
  <c r="N3680" i="66"/>
  <c r="M3680" i="66"/>
  <c r="L3680" i="66"/>
  <c r="K3680" i="66"/>
  <c r="J3680" i="66"/>
  <c r="I3680" i="66"/>
  <c r="N3679" i="66"/>
  <c r="M3679" i="66"/>
  <c r="L3679" i="66"/>
  <c r="K3679" i="66"/>
  <c r="J3679" i="66"/>
  <c r="N3678" i="66"/>
  <c r="M3678" i="66"/>
  <c r="L3678" i="66"/>
  <c r="K3678" i="66"/>
  <c r="J3678" i="66"/>
  <c r="N3677" i="66"/>
  <c r="M3677" i="66"/>
  <c r="L3677" i="66"/>
  <c r="K3677" i="66"/>
  <c r="J3677" i="66"/>
  <c r="I3677" i="66"/>
  <c r="N3672" i="66"/>
  <c r="M3672" i="66"/>
  <c r="L3672" i="66"/>
  <c r="K3672" i="66"/>
  <c r="J3672" i="66"/>
  <c r="I3672" i="66"/>
  <c r="H3672" i="66"/>
  <c r="N3670" i="66"/>
  <c r="M3670" i="66"/>
  <c r="L3670" i="66"/>
  <c r="K3670" i="66"/>
  <c r="J3670" i="66"/>
  <c r="I3670" i="66"/>
  <c r="H3670" i="66"/>
  <c r="N3669" i="66"/>
  <c r="M3669" i="66"/>
  <c r="L3669" i="66"/>
  <c r="K3669" i="66"/>
  <c r="J3669" i="66"/>
  <c r="I3669" i="66"/>
  <c r="H3669" i="66"/>
  <c r="N3668" i="66"/>
  <c r="M3668" i="66"/>
  <c r="L3668" i="66"/>
  <c r="K3668" i="66"/>
  <c r="J3668" i="66"/>
  <c r="I3668" i="66"/>
  <c r="H3668" i="66"/>
  <c r="N3667" i="66"/>
  <c r="M3667" i="66"/>
  <c r="L3667" i="66"/>
  <c r="K3667" i="66"/>
  <c r="J3667" i="66"/>
  <c r="I3667" i="66"/>
  <c r="H3667" i="66"/>
  <c r="N3666" i="66"/>
  <c r="M3666" i="66"/>
  <c r="L3666" i="66"/>
  <c r="K3666" i="66"/>
  <c r="J3666" i="66"/>
  <c r="I3666" i="66"/>
  <c r="H3666" i="66"/>
  <c r="N3656" i="66"/>
  <c r="M3656" i="66"/>
  <c r="L3656" i="66"/>
  <c r="K3656" i="66"/>
  <c r="J3656" i="66"/>
  <c r="I3656" i="66"/>
  <c r="H3656" i="66"/>
  <c r="N3655" i="66"/>
  <c r="M3655" i="66"/>
  <c r="L3655" i="66"/>
  <c r="K3655" i="66"/>
  <c r="J3655" i="66"/>
  <c r="N3653" i="66"/>
  <c r="M3653" i="66"/>
  <c r="L3653" i="66"/>
  <c r="K3653" i="66"/>
  <c r="J3653" i="66"/>
  <c r="N3650" i="66"/>
  <c r="M3650" i="66"/>
  <c r="L3650" i="66"/>
  <c r="K3650" i="66"/>
  <c r="J3650" i="66"/>
  <c r="I3650" i="66"/>
  <c r="H3650" i="66"/>
  <c r="N3649" i="66"/>
  <c r="M3649" i="66"/>
  <c r="L3649" i="66"/>
  <c r="K3649" i="66"/>
  <c r="J3649" i="66"/>
  <c r="N3648" i="66"/>
  <c r="M3648" i="66"/>
  <c r="L3648" i="66"/>
  <c r="K3648" i="66"/>
  <c r="J3648" i="66"/>
  <c r="N3647" i="66"/>
  <c r="M3647" i="66"/>
  <c r="L3647" i="66"/>
  <c r="K3647" i="66"/>
  <c r="J3647" i="66"/>
  <c r="I3647" i="66"/>
  <c r="H3647" i="66"/>
  <c r="N3635" i="66"/>
  <c r="M3635" i="66"/>
  <c r="L3635" i="66"/>
  <c r="K3635" i="66"/>
  <c r="J3635" i="66"/>
  <c r="I3635" i="66"/>
  <c r="H3635" i="66"/>
  <c r="G3635" i="66"/>
  <c r="E3635" i="66"/>
  <c r="N3634" i="66"/>
  <c r="M3634" i="66"/>
  <c r="L3634" i="66"/>
  <c r="K3634" i="66"/>
  <c r="J3634" i="66"/>
  <c r="I3634" i="66"/>
  <c r="H3634" i="66"/>
  <c r="G3634" i="66"/>
  <c r="E3634" i="66"/>
  <c r="N3633" i="66"/>
  <c r="M3633" i="66"/>
  <c r="L3633" i="66"/>
  <c r="K3633" i="66"/>
  <c r="J3633" i="66"/>
  <c r="I3633" i="66"/>
  <c r="H3633" i="66"/>
  <c r="G3633" i="66"/>
  <c r="E3633" i="66"/>
  <c r="I3625" i="66"/>
  <c r="E3620" i="66"/>
  <c r="N3616" i="66"/>
  <c r="M3616" i="66"/>
  <c r="L3616" i="66"/>
  <c r="K3616" i="66"/>
  <c r="J3616" i="66"/>
  <c r="I3616" i="66"/>
  <c r="H3616" i="66"/>
  <c r="G3616" i="66"/>
  <c r="E3616" i="66"/>
  <c r="N3615" i="66"/>
  <c r="M3615" i="66"/>
  <c r="L3615" i="66"/>
  <c r="K3615" i="66"/>
  <c r="J3615" i="66"/>
  <c r="I3615" i="66"/>
  <c r="H3615" i="66"/>
  <c r="G3615" i="66"/>
  <c r="E3615" i="66"/>
  <c r="N3612" i="66"/>
  <c r="M3612" i="66"/>
  <c r="L3612" i="66"/>
  <c r="K3612" i="66"/>
  <c r="J3612" i="66"/>
  <c r="I3612" i="66"/>
  <c r="H3612" i="66"/>
  <c r="G3612" i="66"/>
  <c r="E3612" i="66"/>
  <c r="N3611" i="66"/>
  <c r="M3611" i="66"/>
  <c r="L3611" i="66"/>
  <c r="K3611" i="66"/>
  <c r="J3611" i="66"/>
  <c r="I3611" i="66"/>
  <c r="H3611" i="66"/>
  <c r="G3611" i="66"/>
  <c r="E3611" i="66"/>
  <c r="L3608" i="66"/>
  <c r="N3603" i="66"/>
  <c r="M3603" i="66"/>
  <c r="L3603" i="66"/>
  <c r="K3603" i="66"/>
  <c r="J3603" i="66"/>
  <c r="I3603" i="66"/>
  <c r="H3603" i="66"/>
  <c r="E3603" i="66"/>
  <c r="N3597" i="66"/>
  <c r="M3597" i="66"/>
  <c r="L3597" i="66"/>
  <c r="K3597" i="66"/>
  <c r="J3597" i="66"/>
  <c r="I3597" i="66"/>
  <c r="H3597" i="66"/>
  <c r="N3591" i="66"/>
  <c r="M3591" i="66"/>
  <c r="L3591" i="66"/>
  <c r="K3591" i="66"/>
  <c r="J3591" i="66"/>
  <c r="I3591" i="66"/>
  <c r="H3591" i="66"/>
  <c r="N3590" i="66"/>
  <c r="M3590" i="66"/>
  <c r="L3590" i="66"/>
  <c r="K3590" i="66"/>
  <c r="J3590" i="66"/>
  <c r="I3590" i="66"/>
  <c r="H3590" i="66"/>
  <c r="N3589" i="66"/>
  <c r="M3589" i="66"/>
  <c r="L3589" i="66"/>
  <c r="K3589" i="66"/>
  <c r="J3589" i="66"/>
  <c r="I3589" i="66"/>
  <c r="H3589" i="66"/>
  <c r="G3589" i="66"/>
  <c r="N3588" i="66"/>
  <c r="M3588" i="66"/>
  <c r="L3588" i="66"/>
  <c r="K3588" i="66"/>
  <c r="J3588" i="66"/>
  <c r="I3588" i="66"/>
  <c r="H3588" i="66"/>
  <c r="G3588" i="66"/>
  <c r="I3584" i="66"/>
  <c r="N3582" i="66"/>
  <c r="M3582" i="66"/>
  <c r="L3582" i="66"/>
  <c r="K3582" i="66"/>
  <c r="J3582" i="66"/>
  <c r="I3582" i="66"/>
  <c r="H3582" i="66"/>
  <c r="N3581" i="66"/>
  <c r="M3581" i="66"/>
  <c r="L3581" i="66"/>
  <c r="K3581" i="66"/>
  <c r="J3581" i="66"/>
  <c r="I3581" i="66"/>
  <c r="H3581" i="66"/>
  <c r="N3580" i="66"/>
  <c r="M3580" i="66"/>
  <c r="L3580" i="66"/>
  <c r="K3580" i="66"/>
  <c r="J3580" i="66"/>
  <c r="I3580" i="66"/>
  <c r="H3580" i="66"/>
  <c r="G3580" i="66"/>
  <c r="N3579" i="66"/>
  <c r="M3579" i="66"/>
  <c r="L3579" i="66"/>
  <c r="K3579" i="66"/>
  <c r="J3579" i="66"/>
  <c r="I3579" i="66"/>
  <c r="H3579" i="66"/>
  <c r="G3579" i="66"/>
  <c r="I3575" i="66"/>
  <c r="N3572" i="66"/>
  <c r="M3572" i="66"/>
  <c r="L3572" i="66"/>
  <c r="K3572" i="66"/>
  <c r="J3572" i="66"/>
  <c r="I3572" i="66"/>
  <c r="N3571" i="66"/>
  <c r="M3571" i="66"/>
  <c r="L3571" i="66"/>
  <c r="K3571" i="66"/>
  <c r="J3571" i="66"/>
  <c r="N3569" i="66"/>
  <c r="M3569" i="66"/>
  <c r="L3569" i="66"/>
  <c r="K3569" i="66"/>
  <c r="J3569" i="66"/>
  <c r="N3566" i="66"/>
  <c r="M3566" i="66"/>
  <c r="L3566" i="66"/>
  <c r="K3566" i="66"/>
  <c r="J3566" i="66"/>
  <c r="I3566" i="66"/>
  <c r="N3565" i="66"/>
  <c r="M3565" i="66"/>
  <c r="L3565" i="66"/>
  <c r="K3565" i="66"/>
  <c r="J3565" i="66"/>
  <c r="N3564" i="66"/>
  <c r="M3564" i="66"/>
  <c r="L3564" i="66"/>
  <c r="K3564" i="66"/>
  <c r="J3564" i="66"/>
  <c r="N3563" i="66"/>
  <c r="M3563" i="66"/>
  <c r="L3563" i="66"/>
  <c r="K3563" i="66"/>
  <c r="J3563" i="66"/>
  <c r="I3563" i="66"/>
  <c r="N3559" i="66"/>
  <c r="M3559" i="66"/>
  <c r="L3559" i="66"/>
  <c r="K3559" i="66"/>
  <c r="J3559" i="66"/>
  <c r="I3559" i="66"/>
  <c r="H3559" i="66"/>
  <c r="N3557" i="66"/>
  <c r="M3557" i="66"/>
  <c r="L3557" i="66"/>
  <c r="K3557" i="66"/>
  <c r="J3557" i="66"/>
  <c r="I3557" i="66"/>
  <c r="H3557" i="66"/>
  <c r="N3556" i="66"/>
  <c r="M3556" i="66"/>
  <c r="L3556" i="66"/>
  <c r="K3556" i="66"/>
  <c r="J3556" i="66"/>
  <c r="I3556" i="66"/>
  <c r="H3556" i="66"/>
  <c r="N3555" i="66"/>
  <c r="M3555" i="66"/>
  <c r="L3555" i="66"/>
  <c r="K3555" i="66"/>
  <c r="J3555" i="66"/>
  <c r="I3555" i="66"/>
  <c r="H3555" i="66"/>
  <c r="G3555" i="66"/>
  <c r="N3554" i="66"/>
  <c r="M3554" i="66"/>
  <c r="L3554" i="66"/>
  <c r="K3554" i="66"/>
  <c r="J3554" i="66"/>
  <c r="I3554" i="66"/>
  <c r="H3554" i="66"/>
  <c r="G3554" i="66"/>
  <c r="I3549" i="66"/>
  <c r="N3547" i="66"/>
  <c r="M3547" i="66"/>
  <c r="L3547" i="66"/>
  <c r="K3547" i="66"/>
  <c r="J3547" i="66"/>
  <c r="I3547" i="66"/>
  <c r="H3547" i="66"/>
  <c r="N3546" i="66"/>
  <c r="M3546" i="66"/>
  <c r="L3546" i="66"/>
  <c r="K3546" i="66"/>
  <c r="J3546" i="66"/>
  <c r="I3546" i="66"/>
  <c r="H3546" i="66"/>
  <c r="N3545" i="66"/>
  <c r="M3545" i="66"/>
  <c r="L3545" i="66"/>
  <c r="K3545" i="66"/>
  <c r="J3545" i="66"/>
  <c r="I3545" i="66"/>
  <c r="H3545" i="66"/>
  <c r="G3545" i="66"/>
  <c r="N3544" i="66"/>
  <c r="M3544" i="66"/>
  <c r="L3544" i="66"/>
  <c r="K3544" i="66"/>
  <c r="J3544" i="66"/>
  <c r="I3544" i="66"/>
  <c r="H3544" i="66"/>
  <c r="G3544" i="66"/>
  <c r="I3540" i="66"/>
  <c r="N3538" i="66"/>
  <c r="M3538" i="66"/>
  <c r="L3538" i="66"/>
  <c r="K3538" i="66"/>
  <c r="J3538" i="66"/>
  <c r="I3538" i="66"/>
  <c r="H3538" i="66"/>
  <c r="N3537" i="66"/>
  <c r="M3537" i="66"/>
  <c r="L3537" i="66"/>
  <c r="K3537" i="66"/>
  <c r="J3537" i="66"/>
  <c r="I3537" i="66"/>
  <c r="H3537" i="66"/>
  <c r="N3536" i="66"/>
  <c r="M3536" i="66"/>
  <c r="L3536" i="66"/>
  <c r="K3536" i="66"/>
  <c r="J3536" i="66"/>
  <c r="I3536" i="66"/>
  <c r="H3536" i="66"/>
  <c r="G3536" i="66"/>
  <c r="N3535" i="66"/>
  <c r="M3535" i="66"/>
  <c r="L3535" i="66"/>
  <c r="K3535" i="66"/>
  <c r="J3535" i="66"/>
  <c r="I3535" i="66"/>
  <c r="H3535" i="66"/>
  <c r="G3535" i="66"/>
  <c r="I3531" i="66"/>
  <c r="L3529" i="66"/>
  <c r="N3525" i="66"/>
  <c r="M3525" i="66"/>
  <c r="L3525" i="66"/>
  <c r="K3525" i="66"/>
  <c r="J3525" i="66"/>
  <c r="I3525" i="66"/>
  <c r="H3525" i="66"/>
  <c r="N3524" i="66"/>
  <c r="M3524" i="66"/>
  <c r="L3524" i="66"/>
  <c r="K3524" i="66"/>
  <c r="J3524" i="66"/>
  <c r="I3524" i="66"/>
  <c r="H3524" i="66"/>
  <c r="N3521" i="66"/>
  <c r="M3521" i="66"/>
  <c r="L3521" i="66"/>
  <c r="K3521" i="66"/>
  <c r="J3521" i="66"/>
  <c r="I3521" i="66"/>
  <c r="H3521" i="66"/>
  <c r="N3520" i="66"/>
  <c r="M3520" i="66"/>
  <c r="L3520" i="66"/>
  <c r="K3520" i="66"/>
  <c r="J3520" i="66"/>
  <c r="I3520" i="66"/>
  <c r="H3520" i="66"/>
  <c r="N3517" i="66"/>
  <c r="M3517" i="66"/>
  <c r="L3517" i="66"/>
  <c r="K3517" i="66"/>
  <c r="J3517" i="66"/>
  <c r="I3517" i="66"/>
  <c r="H3517" i="66"/>
  <c r="N3516" i="66"/>
  <c r="M3516" i="66"/>
  <c r="L3516" i="66"/>
  <c r="K3516" i="66"/>
  <c r="J3516" i="66"/>
  <c r="I3516" i="66"/>
  <c r="H3516" i="66"/>
  <c r="N3507" i="66"/>
  <c r="M3507" i="66"/>
  <c r="L3507" i="66"/>
  <c r="K3507" i="66"/>
  <c r="J3507" i="66"/>
  <c r="I3507" i="66"/>
  <c r="H3507" i="66"/>
  <c r="N3500" i="66"/>
  <c r="M3500" i="66"/>
  <c r="L3500" i="66"/>
  <c r="K3500" i="66"/>
  <c r="J3500" i="66"/>
  <c r="I3500" i="66"/>
  <c r="H3500" i="66"/>
  <c r="N3499" i="66"/>
  <c r="M3499" i="66"/>
  <c r="L3499" i="66"/>
  <c r="K3499" i="66"/>
  <c r="J3499" i="66"/>
  <c r="I3499" i="66"/>
  <c r="H3499" i="66"/>
  <c r="N3498" i="66"/>
  <c r="M3498" i="66"/>
  <c r="L3498" i="66"/>
  <c r="K3498" i="66"/>
  <c r="J3498" i="66"/>
  <c r="I3498" i="66"/>
  <c r="H3498" i="66"/>
  <c r="N3497" i="66"/>
  <c r="M3497" i="66"/>
  <c r="L3497" i="66"/>
  <c r="K3497" i="66"/>
  <c r="J3497" i="66"/>
  <c r="I3497" i="66"/>
  <c r="H3497" i="66"/>
  <c r="N3496" i="66"/>
  <c r="M3496" i="66"/>
  <c r="L3496" i="66"/>
  <c r="K3496" i="66"/>
  <c r="J3496" i="66"/>
  <c r="I3496" i="66"/>
  <c r="H3496" i="66"/>
  <c r="N3495" i="66"/>
  <c r="M3495" i="66"/>
  <c r="L3495" i="66"/>
  <c r="K3495" i="66"/>
  <c r="J3495" i="66"/>
  <c r="I3495" i="66"/>
  <c r="H3495" i="66"/>
  <c r="N3494" i="66"/>
  <c r="M3494" i="66"/>
  <c r="L3494" i="66"/>
  <c r="K3494" i="66"/>
  <c r="J3494" i="66"/>
  <c r="I3494" i="66"/>
  <c r="H3494" i="66"/>
  <c r="N3493" i="66"/>
  <c r="M3493" i="66"/>
  <c r="L3493" i="66"/>
  <c r="K3493" i="66"/>
  <c r="J3493" i="66"/>
  <c r="I3493" i="66"/>
  <c r="H3493" i="66"/>
  <c r="I3490" i="66"/>
  <c r="N3488" i="66"/>
  <c r="M3488" i="66"/>
  <c r="L3488" i="66"/>
  <c r="K3488" i="66"/>
  <c r="J3488" i="66"/>
  <c r="I3488" i="66"/>
  <c r="H3488" i="66"/>
  <c r="N3487" i="66"/>
  <c r="M3487" i="66"/>
  <c r="L3487" i="66"/>
  <c r="K3487" i="66"/>
  <c r="J3487" i="66"/>
  <c r="I3487" i="66"/>
  <c r="H3487" i="66"/>
  <c r="N3486" i="66"/>
  <c r="M3486" i="66"/>
  <c r="L3486" i="66"/>
  <c r="K3486" i="66"/>
  <c r="J3486" i="66"/>
  <c r="I3486" i="66"/>
  <c r="H3486" i="66"/>
  <c r="N3485" i="66"/>
  <c r="M3485" i="66"/>
  <c r="L3485" i="66"/>
  <c r="K3485" i="66"/>
  <c r="J3485" i="66"/>
  <c r="I3485" i="66"/>
  <c r="H3485" i="66"/>
  <c r="N3484" i="66"/>
  <c r="M3484" i="66"/>
  <c r="L3484" i="66"/>
  <c r="K3484" i="66"/>
  <c r="J3484" i="66"/>
  <c r="I3484" i="66"/>
  <c r="H3484" i="66"/>
  <c r="N3483" i="66"/>
  <c r="M3483" i="66"/>
  <c r="L3483" i="66"/>
  <c r="K3483" i="66"/>
  <c r="J3483" i="66"/>
  <c r="I3483" i="66"/>
  <c r="H3483" i="66"/>
  <c r="N3482" i="66"/>
  <c r="M3482" i="66"/>
  <c r="L3482" i="66"/>
  <c r="K3482" i="66"/>
  <c r="J3482" i="66"/>
  <c r="I3482" i="66"/>
  <c r="H3482" i="66"/>
  <c r="N3481" i="66"/>
  <c r="M3481" i="66"/>
  <c r="L3481" i="66"/>
  <c r="K3481" i="66"/>
  <c r="J3481" i="66"/>
  <c r="I3481" i="66"/>
  <c r="H3481" i="66"/>
  <c r="I3478" i="66"/>
  <c r="L3476" i="66"/>
  <c r="N3467" i="66"/>
  <c r="M3467" i="66"/>
  <c r="L3467" i="66"/>
  <c r="K3467" i="66"/>
  <c r="J3467" i="66"/>
  <c r="I3467" i="66"/>
  <c r="H3467" i="66"/>
  <c r="N3466" i="66"/>
  <c r="M3466" i="66"/>
  <c r="L3466" i="66"/>
  <c r="K3466" i="66"/>
  <c r="J3466" i="66"/>
  <c r="I3466" i="66"/>
  <c r="H3466" i="66"/>
  <c r="N3458" i="66"/>
  <c r="M3458" i="66"/>
  <c r="L3458" i="66"/>
  <c r="K3458" i="66"/>
  <c r="J3458" i="66"/>
  <c r="I3458" i="66"/>
  <c r="H3458" i="66"/>
  <c r="E3458" i="66"/>
  <c r="I3438" i="66"/>
  <c r="N3433" i="66"/>
  <c r="M3433" i="66"/>
  <c r="L3433" i="66"/>
  <c r="K3433" i="66"/>
  <c r="J3433" i="66"/>
  <c r="I3433" i="66"/>
  <c r="H3433" i="66"/>
  <c r="G3433" i="66"/>
  <c r="N3432" i="66"/>
  <c r="M3432" i="66"/>
  <c r="L3432" i="66"/>
  <c r="K3432" i="66"/>
  <c r="J3432" i="66"/>
  <c r="I3432" i="66"/>
  <c r="H3432" i="66"/>
  <c r="G3432" i="66"/>
  <c r="F3432" i="66"/>
  <c r="E3432" i="66"/>
  <c r="N3431" i="66"/>
  <c r="M3431" i="66"/>
  <c r="L3431" i="66"/>
  <c r="K3431" i="66"/>
  <c r="J3431" i="66"/>
  <c r="I3431" i="66"/>
  <c r="H3431" i="66"/>
  <c r="G3431" i="66"/>
  <c r="F3431" i="66"/>
  <c r="E3431" i="66"/>
  <c r="N3430" i="66"/>
  <c r="M3430" i="66"/>
  <c r="L3430" i="66"/>
  <c r="K3430" i="66"/>
  <c r="J3430" i="66"/>
  <c r="I3430" i="66"/>
  <c r="H3430" i="66"/>
  <c r="G3430" i="66"/>
  <c r="F3430" i="66"/>
  <c r="E3430" i="66"/>
  <c r="N3429" i="66"/>
  <c r="M3429" i="66"/>
  <c r="L3429" i="66"/>
  <c r="K3429" i="66"/>
  <c r="J3429" i="66"/>
  <c r="I3429" i="66"/>
  <c r="H3429" i="66"/>
  <c r="G3429" i="66"/>
  <c r="F3429" i="66"/>
  <c r="E3429" i="66"/>
  <c r="N3428" i="66"/>
  <c r="M3428" i="66"/>
  <c r="L3428" i="66"/>
  <c r="K3428" i="66"/>
  <c r="J3428" i="66"/>
  <c r="I3428" i="66"/>
  <c r="H3428" i="66"/>
  <c r="G3428" i="66"/>
  <c r="F3428" i="66"/>
  <c r="E3428" i="66"/>
  <c r="N3427" i="66"/>
  <c r="M3427" i="66"/>
  <c r="L3427" i="66"/>
  <c r="K3427" i="66"/>
  <c r="J3427" i="66"/>
  <c r="I3427" i="66"/>
  <c r="H3427" i="66"/>
  <c r="G3427" i="66"/>
  <c r="F3427" i="66"/>
  <c r="E3427" i="66"/>
  <c r="N3426" i="66"/>
  <c r="M3426" i="66"/>
  <c r="L3426" i="66"/>
  <c r="K3426" i="66"/>
  <c r="J3426" i="66"/>
  <c r="I3426" i="66"/>
  <c r="H3426" i="66"/>
  <c r="G3426" i="66"/>
  <c r="F3426" i="66"/>
  <c r="E3426" i="66"/>
  <c r="N3425" i="66"/>
  <c r="M3425" i="66"/>
  <c r="L3425" i="66"/>
  <c r="K3425" i="66"/>
  <c r="J3425" i="66"/>
  <c r="I3425" i="66"/>
  <c r="H3425" i="66"/>
  <c r="G3425" i="66"/>
  <c r="F3425" i="66"/>
  <c r="E3425" i="66"/>
  <c r="N3424" i="66"/>
  <c r="M3424" i="66"/>
  <c r="L3424" i="66"/>
  <c r="K3424" i="66"/>
  <c r="J3424" i="66"/>
  <c r="I3424" i="66"/>
  <c r="H3424" i="66"/>
  <c r="G3424" i="66"/>
  <c r="F3424" i="66"/>
  <c r="E3424" i="66"/>
  <c r="N3423" i="66"/>
  <c r="M3423" i="66"/>
  <c r="L3423" i="66"/>
  <c r="K3423" i="66"/>
  <c r="J3423" i="66"/>
  <c r="I3423" i="66"/>
  <c r="H3423" i="66"/>
  <c r="G3423" i="66"/>
  <c r="F3423" i="66"/>
  <c r="E3423" i="66"/>
  <c r="N3409" i="66"/>
  <c r="M3409" i="66"/>
  <c r="L3409" i="66"/>
  <c r="K3409" i="66"/>
  <c r="J3409" i="66"/>
  <c r="I3409" i="66"/>
  <c r="N3408" i="66"/>
  <c r="M3408" i="66"/>
  <c r="L3408" i="66"/>
  <c r="K3408" i="66"/>
  <c r="J3408" i="66"/>
  <c r="N3406" i="66"/>
  <c r="M3406" i="66"/>
  <c r="L3406" i="66"/>
  <c r="K3406" i="66"/>
  <c r="J3406" i="66"/>
  <c r="N3403" i="66"/>
  <c r="M3403" i="66"/>
  <c r="L3403" i="66"/>
  <c r="K3403" i="66"/>
  <c r="J3403" i="66"/>
  <c r="I3403" i="66"/>
  <c r="N3402" i="66"/>
  <c r="M3402" i="66"/>
  <c r="L3402" i="66"/>
  <c r="K3402" i="66"/>
  <c r="J3402" i="66"/>
  <c r="N3401" i="66"/>
  <c r="M3401" i="66"/>
  <c r="L3401" i="66"/>
  <c r="K3401" i="66"/>
  <c r="J3401" i="66"/>
  <c r="N3400" i="66"/>
  <c r="M3400" i="66"/>
  <c r="L3400" i="66"/>
  <c r="K3400" i="66"/>
  <c r="J3400" i="66"/>
  <c r="I3400" i="66"/>
  <c r="N3395" i="66"/>
  <c r="M3395" i="66"/>
  <c r="L3395" i="66"/>
  <c r="K3395" i="66"/>
  <c r="J3395" i="66"/>
  <c r="I3395" i="66"/>
  <c r="H3395" i="66"/>
  <c r="N3394" i="66"/>
  <c r="M3394" i="66"/>
  <c r="L3394" i="66"/>
  <c r="K3394" i="66"/>
  <c r="J3394" i="66"/>
  <c r="I3394" i="66"/>
  <c r="H3394" i="66"/>
  <c r="N3393" i="66"/>
  <c r="M3393" i="66"/>
  <c r="L3393" i="66"/>
  <c r="K3393" i="66"/>
  <c r="J3393" i="66"/>
  <c r="I3393" i="66"/>
  <c r="H3393" i="66"/>
  <c r="N3384" i="66"/>
  <c r="M3384" i="66"/>
  <c r="L3384" i="66"/>
  <c r="K3384" i="66"/>
  <c r="J3384" i="66"/>
  <c r="I3384" i="66"/>
  <c r="N3383" i="66"/>
  <c r="M3383" i="66"/>
  <c r="L3383" i="66"/>
  <c r="K3383" i="66"/>
  <c r="J3383" i="66"/>
  <c r="N3381" i="66"/>
  <c r="M3381" i="66"/>
  <c r="L3381" i="66"/>
  <c r="K3381" i="66"/>
  <c r="J3381" i="66"/>
  <c r="N3378" i="66"/>
  <c r="M3378" i="66"/>
  <c r="L3378" i="66"/>
  <c r="K3378" i="66"/>
  <c r="J3378" i="66"/>
  <c r="I3378" i="66"/>
  <c r="N3377" i="66"/>
  <c r="M3377" i="66"/>
  <c r="L3377" i="66"/>
  <c r="K3377" i="66"/>
  <c r="J3377" i="66"/>
  <c r="N3376" i="66"/>
  <c r="M3376" i="66"/>
  <c r="L3376" i="66"/>
  <c r="K3376" i="66"/>
  <c r="J3376" i="66"/>
  <c r="N3375" i="66"/>
  <c r="M3375" i="66"/>
  <c r="L3375" i="66"/>
  <c r="K3375" i="66"/>
  <c r="J3375" i="66"/>
  <c r="I3375" i="66"/>
  <c r="N3370" i="66"/>
  <c r="M3370" i="66"/>
  <c r="L3370" i="66"/>
  <c r="K3370" i="66"/>
  <c r="J3370" i="66"/>
  <c r="I3370" i="66"/>
  <c r="H3370" i="66"/>
  <c r="N3368" i="66"/>
  <c r="M3368" i="66"/>
  <c r="L3368" i="66"/>
  <c r="K3368" i="66"/>
  <c r="J3368" i="66"/>
  <c r="I3368" i="66"/>
  <c r="H3368" i="66"/>
  <c r="N3367" i="66"/>
  <c r="M3367" i="66"/>
  <c r="L3367" i="66"/>
  <c r="K3367" i="66"/>
  <c r="J3367" i="66"/>
  <c r="I3367" i="66"/>
  <c r="H3367" i="66"/>
  <c r="N3366" i="66"/>
  <c r="M3366" i="66"/>
  <c r="L3366" i="66"/>
  <c r="K3366" i="66"/>
  <c r="J3366" i="66"/>
  <c r="I3366" i="66"/>
  <c r="H3366" i="66"/>
  <c r="N3365" i="66"/>
  <c r="M3365" i="66"/>
  <c r="L3365" i="66"/>
  <c r="K3365" i="66"/>
  <c r="J3365" i="66"/>
  <c r="I3365" i="66"/>
  <c r="H3365" i="66"/>
  <c r="N3364" i="66"/>
  <c r="M3364" i="66"/>
  <c r="L3364" i="66"/>
  <c r="K3364" i="66"/>
  <c r="J3364" i="66"/>
  <c r="I3364" i="66"/>
  <c r="H3364" i="66"/>
  <c r="N3354" i="66"/>
  <c r="M3354" i="66"/>
  <c r="L3354" i="66"/>
  <c r="K3354" i="66"/>
  <c r="J3354" i="66"/>
  <c r="I3354" i="66"/>
  <c r="H3354" i="66"/>
  <c r="N3353" i="66"/>
  <c r="M3353" i="66"/>
  <c r="L3353" i="66"/>
  <c r="K3353" i="66"/>
  <c r="J3353" i="66"/>
  <c r="N3351" i="66"/>
  <c r="M3351" i="66"/>
  <c r="L3351" i="66"/>
  <c r="K3351" i="66"/>
  <c r="J3351" i="66"/>
  <c r="N3348" i="66"/>
  <c r="M3348" i="66"/>
  <c r="L3348" i="66"/>
  <c r="K3348" i="66"/>
  <c r="J3348" i="66"/>
  <c r="I3348" i="66"/>
  <c r="H3348" i="66"/>
  <c r="N3347" i="66"/>
  <c r="M3347" i="66"/>
  <c r="L3347" i="66"/>
  <c r="K3347" i="66"/>
  <c r="J3347" i="66"/>
  <c r="N3346" i="66"/>
  <c r="M3346" i="66"/>
  <c r="L3346" i="66"/>
  <c r="K3346" i="66"/>
  <c r="J3346" i="66"/>
  <c r="N3345" i="66"/>
  <c r="M3345" i="66"/>
  <c r="L3345" i="66"/>
  <c r="K3345" i="66"/>
  <c r="J3345" i="66"/>
  <c r="I3345" i="66"/>
  <c r="H3345" i="66"/>
  <c r="N3333" i="66"/>
  <c r="M3333" i="66"/>
  <c r="L3333" i="66"/>
  <c r="K3333" i="66"/>
  <c r="J3333" i="66"/>
  <c r="I3333" i="66"/>
  <c r="H3333" i="66"/>
  <c r="G3333" i="66"/>
  <c r="E3333" i="66"/>
  <c r="N3332" i="66"/>
  <c r="M3332" i="66"/>
  <c r="L3332" i="66"/>
  <c r="K3332" i="66"/>
  <c r="J3332" i="66"/>
  <c r="I3332" i="66"/>
  <c r="H3332" i="66"/>
  <c r="G3332" i="66"/>
  <c r="E3332" i="66"/>
  <c r="N3331" i="66"/>
  <c r="M3331" i="66"/>
  <c r="L3331" i="66"/>
  <c r="K3331" i="66"/>
  <c r="J3331" i="66"/>
  <c r="I3331" i="66"/>
  <c r="H3331" i="66"/>
  <c r="G3331" i="66"/>
  <c r="E3331" i="66"/>
  <c r="I3323" i="66"/>
  <c r="E3318" i="66"/>
  <c r="N3314" i="66"/>
  <c r="M3314" i="66"/>
  <c r="L3314" i="66"/>
  <c r="K3314" i="66"/>
  <c r="J3314" i="66"/>
  <c r="I3314" i="66"/>
  <c r="H3314" i="66"/>
  <c r="G3314" i="66"/>
  <c r="E3314" i="66"/>
  <c r="N3313" i="66"/>
  <c r="M3313" i="66"/>
  <c r="L3313" i="66"/>
  <c r="K3313" i="66"/>
  <c r="J3313" i="66"/>
  <c r="I3313" i="66"/>
  <c r="H3313" i="66"/>
  <c r="G3313" i="66"/>
  <c r="E3313" i="66"/>
  <c r="N3310" i="66"/>
  <c r="M3310" i="66"/>
  <c r="L3310" i="66"/>
  <c r="K3310" i="66"/>
  <c r="J3310" i="66"/>
  <c r="I3310" i="66"/>
  <c r="H3310" i="66"/>
  <c r="G3310" i="66"/>
  <c r="E3310" i="66"/>
  <c r="N3309" i="66"/>
  <c r="M3309" i="66"/>
  <c r="L3309" i="66"/>
  <c r="K3309" i="66"/>
  <c r="J3309" i="66"/>
  <c r="I3309" i="66"/>
  <c r="H3309" i="66"/>
  <c r="G3309" i="66"/>
  <c r="E3309" i="66"/>
  <c r="L3306" i="66"/>
  <c r="N3301" i="66"/>
  <c r="M3301" i="66"/>
  <c r="L3301" i="66"/>
  <c r="K3301" i="66"/>
  <c r="J3301" i="66"/>
  <c r="I3301" i="66"/>
  <c r="H3301" i="66"/>
  <c r="E3301" i="66"/>
  <c r="N3295" i="66"/>
  <c r="M3295" i="66"/>
  <c r="L3295" i="66"/>
  <c r="K3295" i="66"/>
  <c r="J3295" i="66"/>
  <c r="I3295" i="66"/>
  <c r="H3295" i="66"/>
  <c r="N3289" i="66"/>
  <c r="M3289" i="66"/>
  <c r="L3289" i="66"/>
  <c r="K3289" i="66"/>
  <c r="J3289" i="66"/>
  <c r="I3289" i="66"/>
  <c r="H3289" i="66"/>
  <c r="N3288" i="66"/>
  <c r="M3288" i="66"/>
  <c r="L3288" i="66"/>
  <c r="K3288" i="66"/>
  <c r="J3288" i="66"/>
  <c r="I3288" i="66"/>
  <c r="H3288" i="66"/>
  <c r="N3287" i="66"/>
  <c r="M3287" i="66"/>
  <c r="L3287" i="66"/>
  <c r="K3287" i="66"/>
  <c r="J3287" i="66"/>
  <c r="I3287" i="66"/>
  <c r="H3287" i="66"/>
  <c r="G3287" i="66"/>
  <c r="N3286" i="66"/>
  <c r="M3286" i="66"/>
  <c r="L3286" i="66"/>
  <c r="K3286" i="66"/>
  <c r="J3286" i="66"/>
  <c r="I3286" i="66"/>
  <c r="H3286" i="66"/>
  <c r="G3286" i="66"/>
  <c r="I3282" i="66"/>
  <c r="N3280" i="66"/>
  <c r="M3280" i="66"/>
  <c r="L3280" i="66"/>
  <c r="K3280" i="66"/>
  <c r="J3280" i="66"/>
  <c r="I3280" i="66"/>
  <c r="H3280" i="66"/>
  <c r="N3279" i="66"/>
  <c r="M3279" i="66"/>
  <c r="L3279" i="66"/>
  <c r="K3279" i="66"/>
  <c r="J3279" i="66"/>
  <c r="I3279" i="66"/>
  <c r="H3279" i="66"/>
  <c r="N3278" i="66"/>
  <c r="M3278" i="66"/>
  <c r="L3278" i="66"/>
  <c r="K3278" i="66"/>
  <c r="J3278" i="66"/>
  <c r="I3278" i="66"/>
  <c r="H3278" i="66"/>
  <c r="G3278" i="66"/>
  <c r="N3277" i="66"/>
  <c r="M3277" i="66"/>
  <c r="L3277" i="66"/>
  <c r="K3277" i="66"/>
  <c r="J3277" i="66"/>
  <c r="I3277" i="66"/>
  <c r="H3277" i="66"/>
  <c r="G3277" i="66"/>
  <c r="I3273" i="66"/>
  <c r="N3270" i="66"/>
  <c r="M3270" i="66"/>
  <c r="L3270" i="66"/>
  <c r="K3270" i="66"/>
  <c r="J3270" i="66"/>
  <c r="I3270" i="66"/>
  <c r="N3269" i="66"/>
  <c r="M3269" i="66"/>
  <c r="L3269" i="66"/>
  <c r="K3269" i="66"/>
  <c r="J3269" i="66"/>
  <c r="N3267" i="66"/>
  <c r="M3267" i="66"/>
  <c r="L3267" i="66"/>
  <c r="K3267" i="66"/>
  <c r="J3267" i="66"/>
  <c r="N3264" i="66"/>
  <c r="M3264" i="66"/>
  <c r="L3264" i="66"/>
  <c r="K3264" i="66"/>
  <c r="J3264" i="66"/>
  <c r="I3264" i="66"/>
  <c r="N3263" i="66"/>
  <c r="M3263" i="66"/>
  <c r="L3263" i="66"/>
  <c r="K3263" i="66"/>
  <c r="J3263" i="66"/>
  <c r="N3262" i="66"/>
  <c r="M3262" i="66"/>
  <c r="L3262" i="66"/>
  <c r="K3262" i="66"/>
  <c r="J3262" i="66"/>
  <c r="N3261" i="66"/>
  <c r="M3261" i="66"/>
  <c r="L3261" i="66"/>
  <c r="K3261" i="66"/>
  <c r="J3261" i="66"/>
  <c r="I3261" i="66"/>
  <c r="N3257" i="66"/>
  <c r="M3257" i="66"/>
  <c r="L3257" i="66"/>
  <c r="K3257" i="66"/>
  <c r="J3257" i="66"/>
  <c r="I3257" i="66"/>
  <c r="H3257" i="66"/>
  <c r="N3255" i="66"/>
  <c r="M3255" i="66"/>
  <c r="L3255" i="66"/>
  <c r="K3255" i="66"/>
  <c r="J3255" i="66"/>
  <c r="I3255" i="66"/>
  <c r="H3255" i="66"/>
  <c r="N3254" i="66"/>
  <c r="M3254" i="66"/>
  <c r="L3254" i="66"/>
  <c r="K3254" i="66"/>
  <c r="J3254" i="66"/>
  <c r="I3254" i="66"/>
  <c r="H3254" i="66"/>
  <c r="N3253" i="66"/>
  <c r="M3253" i="66"/>
  <c r="L3253" i="66"/>
  <c r="K3253" i="66"/>
  <c r="J3253" i="66"/>
  <c r="I3253" i="66"/>
  <c r="H3253" i="66"/>
  <c r="G3253" i="66"/>
  <c r="N3252" i="66"/>
  <c r="M3252" i="66"/>
  <c r="L3252" i="66"/>
  <c r="K3252" i="66"/>
  <c r="J3252" i="66"/>
  <c r="I3252" i="66"/>
  <c r="H3252" i="66"/>
  <c r="G3252" i="66"/>
  <c r="I3247" i="66"/>
  <c r="N3245" i="66"/>
  <c r="M3245" i="66"/>
  <c r="L3245" i="66"/>
  <c r="K3245" i="66"/>
  <c r="J3245" i="66"/>
  <c r="I3245" i="66"/>
  <c r="H3245" i="66"/>
  <c r="N3244" i="66"/>
  <c r="M3244" i="66"/>
  <c r="L3244" i="66"/>
  <c r="K3244" i="66"/>
  <c r="J3244" i="66"/>
  <c r="I3244" i="66"/>
  <c r="H3244" i="66"/>
  <c r="N3243" i="66"/>
  <c r="M3243" i="66"/>
  <c r="L3243" i="66"/>
  <c r="K3243" i="66"/>
  <c r="J3243" i="66"/>
  <c r="I3243" i="66"/>
  <c r="H3243" i="66"/>
  <c r="G3243" i="66"/>
  <c r="N3242" i="66"/>
  <c r="M3242" i="66"/>
  <c r="L3242" i="66"/>
  <c r="K3242" i="66"/>
  <c r="J3242" i="66"/>
  <c r="I3242" i="66"/>
  <c r="H3242" i="66"/>
  <c r="G3242" i="66"/>
  <c r="I3238" i="66"/>
  <c r="N3236" i="66"/>
  <c r="M3236" i="66"/>
  <c r="L3236" i="66"/>
  <c r="K3236" i="66"/>
  <c r="J3236" i="66"/>
  <c r="I3236" i="66"/>
  <c r="H3236" i="66"/>
  <c r="N3235" i="66"/>
  <c r="M3235" i="66"/>
  <c r="L3235" i="66"/>
  <c r="K3235" i="66"/>
  <c r="J3235" i="66"/>
  <c r="I3235" i="66"/>
  <c r="H3235" i="66"/>
  <c r="N3234" i="66"/>
  <c r="M3234" i="66"/>
  <c r="L3234" i="66"/>
  <c r="K3234" i="66"/>
  <c r="J3234" i="66"/>
  <c r="I3234" i="66"/>
  <c r="H3234" i="66"/>
  <c r="G3234" i="66"/>
  <c r="N3233" i="66"/>
  <c r="M3233" i="66"/>
  <c r="L3233" i="66"/>
  <c r="K3233" i="66"/>
  <c r="J3233" i="66"/>
  <c r="I3233" i="66"/>
  <c r="H3233" i="66"/>
  <c r="G3233" i="66"/>
  <c r="I3229" i="66"/>
  <c r="L3227" i="66"/>
  <c r="N3223" i="66"/>
  <c r="M3223" i="66"/>
  <c r="L3223" i="66"/>
  <c r="K3223" i="66"/>
  <c r="J3223" i="66"/>
  <c r="I3223" i="66"/>
  <c r="H3223" i="66"/>
  <c r="N3222" i="66"/>
  <c r="M3222" i="66"/>
  <c r="L3222" i="66"/>
  <c r="K3222" i="66"/>
  <c r="J3222" i="66"/>
  <c r="I3222" i="66"/>
  <c r="H3222" i="66"/>
  <c r="N3219" i="66"/>
  <c r="M3219" i="66"/>
  <c r="L3219" i="66"/>
  <c r="K3219" i="66"/>
  <c r="J3219" i="66"/>
  <c r="I3219" i="66"/>
  <c r="H3219" i="66"/>
  <c r="N3218" i="66"/>
  <c r="M3218" i="66"/>
  <c r="L3218" i="66"/>
  <c r="K3218" i="66"/>
  <c r="J3218" i="66"/>
  <c r="I3218" i="66"/>
  <c r="H3218" i="66"/>
  <c r="N3215" i="66"/>
  <c r="M3215" i="66"/>
  <c r="L3215" i="66"/>
  <c r="K3215" i="66"/>
  <c r="J3215" i="66"/>
  <c r="I3215" i="66"/>
  <c r="H3215" i="66"/>
  <c r="N3214" i="66"/>
  <c r="M3214" i="66"/>
  <c r="L3214" i="66"/>
  <c r="K3214" i="66"/>
  <c r="J3214" i="66"/>
  <c r="I3214" i="66"/>
  <c r="H3214" i="66"/>
  <c r="N3205" i="66"/>
  <c r="M3205" i="66"/>
  <c r="L3205" i="66"/>
  <c r="K3205" i="66"/>
  <c r="J3205" i="66"/>
  <c r="I3205" i="66"/>
  <c r="H3205" i="66"/>
  <c r="N3198" i="66"/>
  <c r="M3198" i="66"/>
  <c r="L3198" i="66"/>
  <c r="K3198" i="66"/>
  <c r="J3198" i="66"/>
  <c r="I3198" i="66"/>
  <c r="H3198" i="66"/>
  <c r="N3197" i="66"/>
  <c r="M3197" i="66"/>
  <c r="L3197" i="66"/>
  <c r="K3197" i="66"/>
  <c r="J3197" i="66"/>
  <c r="I3197" i="66"/>
  <c r="H3197" i="66"/>
  <c r="N3196" i="66"/>
  <c r="M3196" i="66"/>
  <c r="L3196" i="66"/>
  <c r="K3196" i="66"/>
  <c r="J3196" i="66"/>
  <c r="I3196" i="66"/>
  <c r="H3196" i="66"/>
  <c r="N3195" i="66"/>
  <c r="M3195" i="66"/>
  <c r="L3195" i="66"/>
  <c r="K3195" i="66"/>
  <c r="J3195" i="66"/>
  <c r="I3195" i="66"/>
  <c r="H3195" i="66"/>
  <c r="N3194" i="66"/>
  <c r="M3194" i="66"/>
  <c r="L3194" i="66"/>
  <c r="K3194" i="66"/>
  <c r="J3194" i="66"/>
  <c r="I3194" i="66"/>
  <c r="H3194" i="66"/>
  <c r="N3193" i="66"/>
  <c r="M3193" i="66"/>
  <c r="L3193" i="66"/>
  <c r="K3193" i="66"/>
  <c r="J3193" i="66"/>
  <c r="I3193" i="66"/>
  <c r="H3193" i="66"/>
  <c r="N3192" i="66"/>
  <c r="M3192" i="66"/>
  <c r="L3192" i="66"/>
  <c r="K3192" i="66"/>
  <c r="J3192" i="66"/>
  <c r="I3192" i="66"/>
  <c r="H3192" i="66"/>
  <c r="N3191" i="66"/>
  <c r="M3191" i="66"/>
  <c r="L3191" i="66"/>
  <c r="K3191" i="66"/>
  <c r="J3191" i="66"/>
  <c r="I3191" i="66"/>
  <c r="H3191" i="66"/>
  <c r="I3188" i="66"/>
  <c r="N3186" i="66"/>
  <c r="M3186" i="66"/>
  <c r="L3186" i="66"/>
  <c r="K3186" i="66"/>
  <c r="J3186" i="66"/>
  <c r="I3186" i="66"/>
  <c r="H3186" i="66"/>
  <c r="N3185" i="66"/>
  <c r="M3185" i="66"/>
  <c r="L3185" i="66"/>
  <c r="K3185" i="66"/>
  <c r="J3185" i="66"/>
  <c r="I3185" i="66"/>
  <c r="H3185" i="66"/>
  <c r="N3184" i="66"/>
  <c r="M3184" i="66"/>
  <c r="L3184" i="66"/>
  <c r="K3184" i="66"/>
  <c r="J3184" i="66"/>
  <c r="I3184" i="66"/>
  <c r="H3184" i="66"/>
  <c r="N3183" i="66"/>
  <c r="M3183" i="66"/>
  <c r="L3183" i="66"/>
  <c r="K3183" i="66"/>
  <c r="J3183" i="66"/>
  <c r="I3183" i="66"/>
  <c r="H3183" i="66"/>
  <c r="N3182" i="66"/>
  <c r="M3182" i="66"/>
  <c r="L3182" i="66"/>
  <c r="K3182" i="66"/>
  <c r="J3182" i="66"/>
  <c r="I3182" i="66"/>
  <c r="H3182" i="66"/>
  <c r="N3181" i="66"/>
  <c r="M3181" i="66"/>
  <c r="L3181" i="66"/>
  <c r="K3181" i="66"/>
  <c r="J3181" i="66"/>
  <c r="I3181" i="66"/>
  <c r="H3181" i="66"/>
  <c r="N3180" i="66"/>
  <c r="M3180" i="66"/>
  <c r="L3180" i="66"/>
  <c r="K3180" i="66"/>
  <c r="J3180" i="66"/>
  <c r="I3180" i="66"/>
  <c r="H3180" i="66"/>
  <c r="N3179" i="66"/>
  <c r="M3179" i="66"/>
  <c r="L3179" i="66"/>
  <c r="K3179" i="66"/>
  <c r="J3179" i="66"/>
  <c r="I3179" i="66"/>
  <c r="H3179" i="66"/>
  <c r="I3176" i="66"/>
  <c r="L3174" i="66"/>
  <c r="N3165" i="66"/>
  <c r="M3165" i="66"/>
  <c r="L3165" i="66"/>
  <c r="K3165" i="66"/>
  <c r="J3165" i="66"/>
  <c r="I3165" i="66"/>
  <c r="H3165" i="66"/>
  <c r="N3164" i="66"/>
  <c r="M3164" i="66"/>
  <c r="L3164" i="66"/>
  <c r="K3164" i="66"/>
  <c r="J3164" i="66"/>
  <c r="I3164" i="66"/>
  <c r="H3164" i="66"/>
  <c r="N3156" i="66"/>
  <c r="M3156" i="66"/>
  <c r="L3156" i="66"/>
  <c r="K3156" i="66"/>
  <c r="J3156" i="66"/>
  <c r="I3156" i="66"/>
  <c r="H3156" i="66"/>
  <c r="E3156" i="66"/>
  <c r="I3136" i="66"/>
  <c r="N3131" i="66"/>
  <c r="M3131" i="66"/>
  <c r="L3131" i="66"/>
  <c r="K3131" i="66"/>
  <c r="J3131" i="66"/>
  <c r="I3131" i="66"/>
  <c r="H3131" i="66"/>
  <c r="G3131" i="66"/>
  <c r="N3130" i="66"/>
  <c r="M3130" i="66"/>
  <c r="L3130" i="66"/>
  <c r="K3130" i="66"/>
  <c r="J3130" i="66"/>
  <c r="I3130" i="66"/>
  <c r="H3130" i="66"/>
  <c r="G3130" i="66"/>
  <c r="F3130" i="66"/>
  <c r="E3130" i="66"/>
  <c r="N3129" i="66"/>
  <c r="M3129" i="66"/>
  <c r="L3129" i="66"/>
  <c r="K3129" i="66"/>
  <c r="J3129" i="66"/>
  <c r="I3129" i="66"/>
  <c r="H3129" i="66"/>
  <c r="G3129" i="66"/>
  <c r="F3129" i="66"/>
  <c r="E3129" i="66"/>
  <c r="N3128" i="66"/>
  <c r="M3128" i="66"/>
  <c r="L3128" i="66"/>
  <c r="K3128" i="66"/>
  <c r="J3128" i="66"/>
  <c r="I3128" i="66"/>
  <c r="H3128" i="66"/>
  <c r="G3128" i="66"/>
  <c r="F3128" i="66"/>
  <c r="E3128" i="66"/>
  <c r="N3127" i="66"/>
  <c r="M3127" i="66"/>
  <c r="L3127" i="66"/>
  <c r="K3127" i="66"/>
  <c r="J3127" i="66"/>
  <c r="I3127" i="66"/>
  <c r="H3127" i="66"/>
  <c r="G3127" i="66"/>
  <c r="F3127" i="66"/>
  <c r="E3127" i="66"/>
  <c r="N3126" i="66"/>
  <c r="M3126" i="66"/>
  <c r="L3126" i="66"/>
  <c r="K3126" i="66"/>
  <c r="J3126" i="66"/>
  <c r="I3126" i="66"/>
  <c r="H3126" i="66"/>
  <c r="G3126" i="66"/>
  <c r="F3126" i="66"/>
  <c r="E3126" i="66"/>
  <c r="N3125" i="66"/>
  <c r="M3125" i="66"/>
  <c r="L3125" i="66"/>
  <c r="K3125" i="66"/>
  <c r="J3125" i="66"/>
  <c r="I3125" i="66"/>
  <c r="H3125" i="66"/>
  <c r="G3125" i="66"/>
  <c r="F3125" i="66"/>
  <c r="E3125" i="66"/>
  <c r="N3124" i="66"/>
  <c r="M3124" i="66"/>
  <c r="L3124" i="66"/>
  <c r="K3124" i="66"/>
  <c r="J3124" i="66"/>
  <c r="I3124" i="66"/>
  <c r="H3124" i="66"/>
  <c r="G3124" i="66"/>
  <c r="F3124" i="66"/>
  <c r="E3124" i="66"/>
  <c r="N3123" i="66"/>
  <c r="M3123" i="66"/>
  <c r="L3123" i="66"/>
  <c r="K3123" i="66"/>
  <c r="J3123" i="66"/>
  <c r="I3123" i="66"/>
  <c r="H3123" i="66"/>
  <c r="G3123" i="66"/>
  <c r="F3123" i="66"/>
  <c r="E3123" i="66"/>
  <c r="N3122" i="66"/>
  <c r="M3122" i="66"/>
  <c r="L3122" i="66"/>
  <c r="K3122" i="66"/>
  <c r="J3122" i="66"/>
  <c r="I3122" i="66"/>
  <c r="H3122" i="66"/>
  <c r="G3122" i="66"/>
  <c r="F3122" i="66"/>
  <c r="E3122" i="66"/>
  <c r="N3121" i="66"/>
  <c r="M3121" i="66"/>
  <c r="L3121" i="66"/>
  <c r="K3121" i="66"/>
  <c r="J3121" i="66"/>
  <c r="I3121" i="66"/>
  <c r="H3121" i="66"/>
  <c r="G3121" i="66"/>
  <c r="F3121" i="66"/>
  <c r="E3121" i="66"/>
  <c r="N3107" i="66"/>
  <c r="M3107" i="66"/>
  <c r="L3107" i="66"/>
  <c r="K3107" i="66"/>
  <c r="J3107" i="66"/>
  <c r="I3107" i="66"/>
  <c r="N3106" i="66"/>
  <c r="M3106" i="66"/>
  <c r="L3106" i="66"/>
  <c r="K3106" i="66"/>
  <c r="J3106" i="66"/>
  <c r="N3104" i="66"/>
  <c r="M3104" i="66"/>
  <c r="L3104" i="66"/>
  <c r="K3104" i="66"/>
  <c r="J3104" i="66"/>
  <c r="N3101" i="66"/>
  <c r="M3101" i="66"/>
  <c r="L3101" i="66"/>
  <c r="K3101" i="66"/>
  <c r="J3101" i="66"/>
  <c r="I3101" i="66"/>
  <c r="N3100" i="66"/>
  <c r="M3100" i="66"/>
  <c r="L3100" i="66"/>
  <c r="K3100" i="66"/>
  <c r="J3100" i="66"/>
  <c r="N3099" i="66"/>
  <c r="M3099" i="66"/>
  <c r="L3099" i="66"/>
  <c r="K3099" i="66"/>
  <c r="J3099" i="66"/>
  <c r="N3098" i="66"/>
  <c r="M3098" i="66"/>
  <c r="L3098" i="66"/>
  <c r="K3098" i="66"/>
  <c r="J3098" i="66"/>
  <c r="I3098" i="66"/>
  <c r="N3093" i="66"/>
  <c r="M3093" i="66"/>
  <c r="L3093" i="66"/>
  <c r="K3093" i="66"/>
  <c r="J3093" i="66"/>
  <c r="I3093" i="66"/>
  <c r="H3093" i="66"/>
  <c r="N3092" i="66"/>
  <c r="M3092" i="66"/>
  <c r="L3092" i="66"/>
  <c r="K3092" i="66"/>
  <c r="J3092" i="66"/>
  <c r="I3092" i="66"/>
  <c r="H3092" i="66"/>
  <c r="N3091" i="66"/>
  <c r="M3091" i="66"/>
  <c r="L3091" i="66"/>
  <c r="K3091" i="66"/>
  <c r="J3091" i="66"/>
  <c r="I3091" i="66"/>
  <c r="H3091" i="66"/>
  <c r="N3082" i="66"/>
  <c r="M3082" i="66"/>
  <c r="L3082" i="66"/>
  <c r="K3082" i="66"/>
  <c r="J3082" i="66"/>
  <c r="I3082" i="66"/>
  <c r="N3081" i="66"/>
  <c r="M3081" i="66"/>
  <c r="L3081" i="66"/>
  <c r="K3081" i="66"/>
  <c r="J3081" i="66"/>
  <c r="N3079" i="66"/>
  <c r="M3079" i="66"/>
  <c r="L3079" i="66"/>
  <c r="K3079" i="66"/>
  <c r="J3079" i="66"/>
  <c r="N3076" i="66"/>
  <c r="M3076" i="66"/>
  <c r="L3076" i="66"/>
  <c r="K3076" i="66"/>
  <c r="J3076" i="66"/>
  <c r="I3076" i="66"/>
  <c r="N3075" i="66"/>
  <c r="M3075" i="66"/>
  <c r="L3075" i="66"/>
  <c r="K3075" i="66"/>
  <c r="J3075" i="66"/>
  <c r="N3074" i="66"/>
  <c r="M3074" i="66"/>
  <c r="L3074" i="66"/>
  <c r="K3074" i="66"/>
  <c r="J3074" i="66"/>
  <c r="N3073" i="66"/>
  <c r="M3073" i="66"/>
  <c r="L3073" i="66"/>
  <c r="K3073" i="66"/>
  <c r="J3073" i="66"/>
  <c r="I3073" i="66"/>
  <c r="N3068" i="66"/>
  <c r="M3068" i="66"/>
  <c r="L3068" i="66"/>
  <c r="K3068" i="66"/>
  <c r="J3068" i="66"/>
  <c r="I3068" i="66"/>
  <c r="H3068" i="66"/>
  <c r="N3066" i="66"/>
  <c r="M3066" i="66"/>
  <c r="L3066" i="66"/>
  <c r="K3066" i="66"/>
  <c r="J3066" i="66"/>
  <c r="I3066" i="66"/>
  <c r="H3066" i="66"/>
  <c r="N3065" i="66"/>
  <c r="M3065" i="66"/>
  <c r="L3065" i="66"/>
  <c r="K3065" i="66"/>
  <c r="J3065" i="66"/>
  <c r="I3065" i="66"/>
  <c r="H3065" i="66"/>
  <c r="N3064" i="66"/>
  <c r="M3064" i="66"/>
  <c r="L3064" i="66"/>
  <c r="K3064" i="66"/>
  <c r="J3064" i="66"/>
  <c r="I3064" i="66"/>
  <c r="H3064" i="66"/>
  <c r="N3063" i="66"/>
  <c r="M3063" i="66"/>
  <c r="L3063" i="66"/>
  <c r="K3063" i="66"/>
  <c r="J3063" i="66"/>
  <c r="I3063" i="66"/>
  <c r="H3063" i="66"/>
  <c r="N3062" i="66"/>
  <c r="M3062" i="66"/>
  <c r="L3062" i="66"/>
  <c r="K3062" i="66"/>
  <c r="J3062" i="66"/>
  <c r="I3062" i="66"/>
  <c r="H3062" i="66"/>
  <c r="N3052" i="66"/>
  <c r="M3052" i="66"/>
  <c r="L3052" i="66"/>
  <c r="K3052" i="66"/>
  <c r="J3052" i="66"/>
  <c r="I3052" i="66"/>
  <c r="H3052" i="66"/>
  <c r="N3051" i="66"/>
  <c r="M3051" i="66"/>
  <c r="L3051" i="66"/>
  <c r="K3051" i="66"/>
  <c r="J3051" i="66"/>
  <c r="N3049" i="66"/>
  <c r="M3049" i="66"/>
  <c r="L3049" i="66"/>
  <c r="K3049" i="66"/>
  <c r="J3049" i="66"/>
  <c r="N3046" i="66"/>
  <c r="M3046" i="66"/>
  <c r="L3046" i="66"/>
  <c r="K3046" i="66"/>
  <c r="J3046" i="66"/>
  <c r="I3046" i="66"/>
  <c r="H3046" i="66"/>
  <c r="N3045" i="66"/>
  <c r="M3045" i="66"/>
  <c r="L3045" i="66"/>
  <c r="K3045" i="66"/>
  <c r="J3045" i="66"/>
  <c r="N3044" i="66"/>
  <c r="M3044" i="66"/>
  <c r="L3044" i="66"/>
  <c r="K3044" i="66"/>
  <c r="J3044" i="66"/>
  <c r="N3043" i="66"/>
  <c r="M3043" i="66"/>
  <c r="L3043" i="66"/>
  <c r="K3043" i="66"/>
  <c r="J3043" i="66"/>
  <c r="I3043" i="66"/>
  <c r="H3043" i="66"/>
  <c r="N3031" i="66"/>
  <c r="M3031" i="66"/>
  <c r="L3031" i="66"/>
  <c r="K3031" i="66"/>
  <c r="J3031" i="66"/>
  <c r="I3031" i="66"/>
  <c r="H3031" i="66"/>
  <c r="G3031" i="66"/>
  <c r="E3031" i="66"/>
  <c r="N3030" i="66"/>
  <c r="M3030" i="66"/>
  <c r="L3030" i="66"/>
  <c r="K3030" i="66"/>
  <c r="J3030" i="66"/>
  <c r="I3030" i="66"/>
  <c r="H3030" i="66"/>
  <c r="G3030" i="66"/>
  <c r="E3030" i="66"/>
  <c r="N3029" i="66"/>
  <c r="M3029" i="66"/>
  <c r="L3029" i="66"/>
  <c r="K3029" i="66"/>
  <c r="J3029" i="66"/>
  <c r="I3029" i="66"/>
  <c r="H3029" i="66"/>
  <c r="G3029" i="66"/>
  <c r="E3029" i="66"/>
  <c r="I3021" i="66"/>
  <c r="E3016" i="66"/>
  <c r="N3012" i="66"/>
  <c r="M3012" i="66"/>
  <c r="L3012" i="66"/>
  <c r="K3012" i="66"/>
  <c r="J3012" i="66"/>
  <c r="I3012" i="66"/>
  <c r="H3012" i="66"/>
  <c r="G3012" i="66"/>
  <c r="E3012" i="66"/>
  <c r="N3011" i="66"/>
  <c r="M3011" i="66"/>
  <c r="L3011" i="66"/>
  <c r="K3011" i="66"/>
  <c r="J3011" i="66"/>
  <c r="I3011" i="66"/>
  <c r="H3011" i="66"/>
  <c r="G3011" i="66"/>
  <c r="E3011" i="66"/>
  <c r="N3008" i="66"/>
  <c r="M3008" i="66"/>
  <c r="L3008" i="66"/>
  <c r="K3008" i="66"/>
  <c r="J3008" i="66"/>
  <c r="I3008" i="66"/>
  <c r="H3008" i="66"/>
  <c r="G3008" i="66"/>
  <c r="E3008" i="66"/>
  <c r="N3007" i="66"/>
  <c r="M3007" i="66"/>
  <c r="L3007" i="66"/>
  <c r="K3007" i="66"/>
  <c r="J3007" i="66"/>
  <c r="I3007" i="66"/>
  <c r="H3007" i="66"/>
  <c r="G3007" i="66"/>
  <c r="E3007" i="66"/>
  <c r="L3004" i="66"/>
  <c r="N2999" i="66"/>
  <c r="M2999" i="66"/>
  <c r="L2999" i="66"/>
  <c r="K2999" i="66"/>
  <c r="J2999" i="66"/>
  <c r="I2999" i="66"/>
  <c r="H2999" i="66"/>
  <c r="E2999" i="66"/>
  <c r="N2993" i="66"/>
  <c r="M2993" i="66"/>
  <c r="L2993" i="66"/>
  <c r="K2993" i="66"/>
  <c r="J2993" i="66"/>
  <c r="I2993" i="66"/>
  <c r="H2993" i="66"/>
  <c r="N2987" i="66"/>
  <c r="M2987" i="66"/>
  <c r="L2987" i="66"/>
  <c r="K2987" i="66"/>
  <c r="J2987" i="66"/>
  <c r="I2987" i="66"/>
  <c r="H2987" i="66"/>
  <c r="N2986" i="66"/>
  <c r="M2986" i="66"/>
  <c r="L2986" i="66"/>
  <c r="K2986" i="66"/>
  <c r="J2986" i="66"/>
  <c r="I2986" i="66"/>
  <c r="H2986" i="66"/>
  <c r="N2985" i="66"/>
  <c r="M2985" i="66"/>
  <c r="L2985" i="66"/>
  <c r="K2985" i="66"/>
  <c r="J2985" i="66"/>
  <c r="I2985" i="66"/>
  <c r="H2985" i="66"/>
  <c r="G2985" i="66"/>
  <c r="N2984" i="66"/>
  <c r="M2984" i="66"/>
  <c r="L2984" i="66"/>
  <c r="K2984" i="66"/>
  <c r="J2984" i="66"/>
  <c r="I2984" i="66"/>
  <c r="H2984" i="66"/>
  <c r="G2984" i="66"/>
  <c r="I2980" i="66"/>
  <c r="N2978" i="66"/>
  <c r="M2978" i="66"/>
  <c r="L2978" i="66"/>
  <c r="K2978" i="66"/>
  <c r="J2978" i="66"/>
  <c r="I2978" i="66"/>
  <c r="H2978" i="66"/>
  <c r="N2977" i="66"/>
  <c r="M2977" i="66"/>
  <c r="L2977" i="66"/>
  <c r="K2977" i="66"/>
  <c r="J2977" i="66"/>
  <c r="I2977" i="66"/>
  <c r="H2977" i="66"/>
  <c r="N2976" i="66"/>
  <c r="M2976" i="66"/>
  <c r="L2976" i="66"/>
  <c r="K2976" i="66"/>
  <c r="J2976" i="66"/>
  <c r="I2976" i="66"/>
  <c r="H2976" i="66"/>
  <c r="G2976" i="66"/>
  <c r="N2975" i="66"/>
  <c r="M2975" i="66"/>
  <c r="L2975" i="66"/>
  <c r="K2975" i="66"/>
  <c r="J2975" i="66"/>
  <c r="I2975" i="66"/>
  <c r="H2975" i="66"/>
  <c r="G2975" i="66"/>
  <c r="I2971" i="66"/>
  <c r="N2968" i="66"/>
  <c r="M2968" i="66"/>
  <c r="L2968" i="66"/>
  <c r="K2968" i="66"/>
  <c r="J2968" i="66"/>
  <c r="I2968" i="66"/>
  <c r="N2967" i="66"/>
  <c r="M2967" i="66"/>
  <c r="L2967" i="66"/>
  <c r="K2967" i="66"/>
  <c r="J2967" i="66"/>
  <c r="N2965" i="66"/>
  <c r="M2965" i="66"/>
  <c r="L2965" i="66"/>
  <c r="K2965" i="66"/>
  <c r="J2965" i="66"/>
  <c r="N2962" i="66"/>
  <c r="M2962" i="66"/>
  <c r="L2962" i="66"/>
  <c r="K2962" i="66"/>
  <c r="J2962" i="66"/>
  <c r="I2962" i="66"/>
  <c r="N2961" i="66"/>
  <c r="M2961" i="66"/>
  <c r="L2961" i="66"/>
  <c r="K2961" i="66"/>
  <c r="J2961" i="66"/>
  <c r="N2960" i="66"/>
  <c r="M2960" i="66"/>
  <c r="L2960" i="66"/>
  <c r="K2960" i="66"/>
  <c r="J2960" i="66"/>
  <c r="N2959" i="66"/>
  <c r="M2959" i="66"/>
  <c r="L2959" i="66"/>
  <c r="K2959" i="66"/>
  <c r="J2959" i="66"/>
  <c r="I2959" i="66"/>
  <c r="N2955" i="66"/>
  <c r="M2955" i="66"/>
  <c r="L2955" i="66"/>
  <c r="K2955" i="66"/>
  <c r="J2955" i="66"/>
  <c r="I2955" i="66"/>
  <c r="H2955" i="66"/>
  <c r="N2953" i="66"/>
  <c r="M2953" i="66"/>
  <c r="L2953" i="66"/>
  <c r="K2953" i="66"/>
  <c r="J2953" i="66"/>
  <c r="I2953" i="66"/>
  <c r="H2953" i="66"/>
  <c r="N2952" i="66"/>
  <c r="M2952" i="66"/>
  <c r="L2952" i="66"/>
  <c r="K2952" i="66"/>
  <c r="J2952" i="66"/>
  <c r="I2952" i="66"/>
  <c r="H2952" i="66"/>
  <c r="N2951" i="66"/>
  <c r="M2951" i="66"/>
  <c r="L2951" i="66"/>
  <c r="K2951" i="66"/>
  <c r="J2951" i="66"/>
  <c r="I2951" i="66"/>
  <c r="H2951" i="66"/>
  <c r="G2951" i="66"/>
  <c r="N2950" i="66"/>
  <c r="M2950" i="66"/>
  <c r="L2950" i="66"/>
  <c r="K2950" i="66"/>
  <c r="J2950" i="66"/>
  <c r="I2950" i="66"/>
  <c r="H2950" i="66"/>
  <c r="G2950" i="66"/>
  <c r="I2945" i="66"/>
  <c r="N2943" i="66"/>
  <c r="M2943" i="66"/>
  <c r="L2943" i="66"/>
  <c r="K2943" i="66"/>
  <c r="J2943" i="66"/>
  <c r="I2943" i="66"/>
  <c r="H2943" i="66"/>
  <c r="N2942" i="66"/>
  <c r="M2942" i="66"/>
  <c r="L2942" i="66"/>
  <c r="K2942" i="66"/>
  <c r="J2942" i="66"/>
  <c r="I2942" i="66"/>
  <c r="H2942" i="66"/>
  <c r="N2941" i="66"/>
  <c r="M2941" i="66"/>
  <c r="L2941" i="66"/>
  <c r="K2941" i="66"/>
  <c r="J2941" i="66"/>
  <c r="I2941" i="66"/>
  <c r="H2941" i="66"/>
  <c r="G2941" i="66"/>
  <c r="N2940" i="66"/>
  <c r="M2940" i="66"/>
  <c r="L2940" i="66"/>
  <c r="K2940" i="66"/>
  <c r="J2940" i="66"/>
  <c r="I2940" i="66"/>
  <c r="H2940" i="66"/>
  <c r="G2940" i="66"/>
  <c r="I2936" i="66"/>
  <c r="N2934" i="66"/>
  <c r="M2934" i="66"/>
  <c r="L2934" i="66"/>
  <c r="K2934" i="66"/>
  <c r="J2934" i="66"/>
  <c r="I2934" i="66"/>
  <c r="H2934" i="66"/>
  <c r="N2933" i="66"/>
  <c r="M2933" i="66"/>
  <c r="L2933" i="66"/>
  <c r="K2933" i="66"/>
  <c r="J2933" i="66"/>
  <c r="I2933" i="66"/>
  <c r="H2933" i="66"/>
  <c r="N2932" i="66"/>
  <c r="M2932" i="66"/>
  <c r="L2932" i="66"/>
  <c r="K2932" i="66"/>
  <c r="J2932" i="66"/>
  <c r="I2932" i="66"/>
  <c r="H2932" i="66"/>
  <c r="G2932" i="66"/>
  <c r="N2931" i="66"/>
  <c r="M2931" i="66"/>
  <c r="L2931" i="66"/>
  <c r="K2931" i="66"/>
  <c r="J2931" i="66"/>
  <c r="I2931" i="66"/>
  <c r="H2931" i="66"/>
  <c r="G2931" i="66"/>
  <c r="I2927" i="66"/>
  <c r="L2925" i="66"/>
  <c r="N2921" i="66"/>
  <c r="M2921" i="66"/>
  <c r="L2921" i="66"/>
  <c r="K2921" i="66"/>
  <c r="J2921" i="66"/>
  <c r="I2921" i="66"/>
  <c r="H2921" i="66"/>
  <c r="N2920" i="66"/>
  <c r="M2920" i="66"/>
  <c r="L2920" i="66"/>
  <c r="K2920" i="66"/>
  <c r="J2920" i="66"/>
  <c r="I2920" i="66"/>
  <c r="H2920" i="66"/>
  <c r="N2917" i="66"/>
  <c r="M2917" i="66"/>
  <c r="L2917" i="66"/>
  <c r="K2917" i="66"/>
  <c r="J2917" i="66"/>
  <c r="I2917" i="66"/>
  <c r="H2917" i="66"/>
  <c r="N2916" i="66"/>
  <c r="M2916" i="66"/>
  <c r="L2916" i="66"/>
  <c r="K2916" i="66"/>
  <c r="J2916" i="66"/>
  <c r="I2916" i="66"/>
  <c r="H2916" i="66"/>
  <c r="N2913" i="66"/>
  <c r="M2913" i="66"/>
  <c r="L2913" i="66"/>
  <c r="K2913" i="66"/>
  <c r="J2913" i="66"/>
  <c r="I2913" i="66"/>
  <c r="H2913" i="66"/>
  <c r="N2912" i="66"/>
  <c r="M2912" i="66"/>
  <c r="L2912" i="66"/>
  <c r="K2912" i="66"/>
  <c r="J2912" i="66"/>
  <c r="I2912" i="66"/>
  <c r="H2912" i="66"/>
  <c r="N2903" i="66"/>
  <c r="M2903" i="66"/>
  <c r="L2903" i="66"/>
  <c r="K2903" i="66"/>
  <c r="J2903" i="66"/>
  <c r="I2903" i="66"/>
  <c r="H2903" i="66"/>
  <c r="N2896" i="66"/>
  <c r="M2896" i="66"/>
  <c r="L2896" i="66"/>
  <c r="K2896" i="66"/>
  <c r="J2896" i="66"/>
  <c r="I2896" i="66"/>
  <c r="H2896" i="66"/>
  <c r="N2895" i="66"/>
  <c r="M2895" i="66"/>
  <c r="L2895" i="66"/>
  <c r="K2895" i="66"/>
  <c r="J2895" i="66"/>
  <c r="I2895" i="66"/>
  <c r="H2895" i="66"/>
  <c r="N2894" i="66"/>
  <c r="M2894" i="66"/>
  <c r="L2894" i="66"/>
  <c r="K2894" i="66"/>
  <c r="J2894" i="66"/>
  <c r="I2894" i="66"/>
  <c r="H2894" i="66"/>
  <c r="N2893" i="66"/>
  <c r="M2893" i="66"/>
  <c r="L2893" i="66"/>
  <c r="K2893" i="66"/>
  <c r="J2893" i="66"/>
  <c r="I2893" i="66"/>
  <c r="H2893" i="66"/>
  <c r="N2892" i="66"/>
  <c r="M2892" i="66"/>
  <c r="L2892" i="66"/>
  <c r="K2892" i="66"/>
  <c r="J2892" i="66"/>
  <c r="I2892" i="66"/>
  <c r="H2892" i="66"/>
  <c r="N2891" i="66"/>
  <c r="M2891" i="66"/>
  <c r="L2891" i="66"/>
  <c r="K2891" i="66"/>
  <c r="J2891" i="66"/>
  <c r="I2891" i="66"/>
  <c r="H2891" i="66"/>
  <c r="N2890" i="66"/>
  <c r="M2890" i="66"/>
  <c r="L2890" i="66"/>
  <c r="K2890" i="66"/>
  <c r="J2890" i="66"/>
  <c r="I2890" i="66"/>
  <c r="H2890" i="66"/>
  <c r="N2889" i="66"/>
  <c r="M2889" i="66"/>
  <c r="L2889" i="66"/>
  <c r="K2889" i="66"/>
  <c r="J2889" i="66"/>
  <c r="I2889" i="66"/>
  <c r="H2889" i="66"/>
  <c r="I2886" i="66"/>
  <c r="N2884" i="66"/>
  <c r="M2884" i="66"/>
  <c r="L2884" i="66"/>
  <c r="K2884" i="66"/>
  <c r="J2884" i="66"/>
  <c r="I2884" i="66"/>
  <c r="H2884" i="66"/>
  <c r="N2883" i="66"/>
  <c r="M2883" i="66"/>
  <c r="L2883" i="66"/>
  <c r="K2883" i="66"/>
  <c r="J2883" i="66"/>
  <c r="I2883" i="66"/>
  <c r="H2883" i="66"/>
  <c r="N2882" i="66"/>
  <c r="M2882" i="66"/>
  <c r="L2882" i="66"/>
  <c r="K2882" i="66"/>
  <c r="J2882" i="66"/>
  <c r="I2882" i="66"/>
  <c r="H2882" i="66"/>
  <c r="N2881" i="66"/>
  <c r="M2881" i="66"/>
  <c r="L2881" i="66"/>
  <c r="K2881" i="66"/>
  <c r="J2881" i="66"/>
  <c r="I2881" i="66"/>
  <c r="H2881" i="66"/>
  <c r="N2880" i="66"/>
  <c r="M2880" i="66"/>
  <c r="L2880" i="66"/>
  <c r="K2880" i="66"/>
  <c r="J2880" i="66"/>
  <c r="I2880" i="66"/>
  <c r="H2880" i="66"/>
  <c r="N2879" i="66"/>
  <c r="M2879" i="66"/>
  <c r="L2879" i="66"/>
  <c r="K2879" i="66"/>
  <c r="J2879" i="66"/>
  <c r="I2879" i="66"/>
  <c r="H2879" i="66"/>
  <c r="N2878" i="66"/>
  <c r="M2878" i="66"/>
  <c r="L2878" i="66"/>
  <c r="K2878" i="66"/>
  <c r="J2878" i="66"/>
  <c r="I2878" i="66"/>
  <c r="H2878" i="66"/>
  <c r="N2877" i="66"/>
  <c r="M2877" i="66"/>
  <c r="L2877" i="66"/>
  <c r="K2877" i="66"/>
  <c r="J2877" i="66"/>
  <c r="I2877" i="66"/>
  <c r="H2877" i="66"/>
  <c r="I2874" i="66"/>
  <c r="L2872" i="66"/>
  <c r="N2863" i="66"/>
  <c r="M2863" i="66"/>
  <c r="L2863" i="66"/>
  <c r="K2863" i="66"/>
  <c r="J2863" i="66"/>
  <c r="I2863" i="66"/>
  <c r="H2863" i="66"/>
  <c r="N2862" i="66"/>
  <c r="M2862" i="66"/>
  <c r="L2862" i="66"/>
  <c r="K2862" i="66"/>
  <c r="J2862" i="66"/>
  <c r="I2862" i="66"/>
  <c r="H2862" i="66"/>
  <c r="N2854" i="66"/>
  <c r="M2854" i="66"/>
  <c r="L2854" i="66"/>
  <c r="K2854" i="66"/>
  <c r="J2854" i="66"/>
  <c r="I2854" i="66"/>
  <c r="H2854" i="66"/>
  <c r="E2854" i="66"/>
  <c r="I2834" i="66"/>
  <c r="N2829" i="66"/>
  <c r="M2829" i="66"/>
  <c r="L2829" i="66"/>
  <c r="K2829" i="66"/>
  <c r="J2829" i="66"/>
  <c r="I2829" i="66"/>
  <c r="H2829" i="66"/>
  <c r="G2829" i="66"/>
  <c r="N2828" i="66"/>
  <c r="M2828" i="66"/>
  <c r="L2828" i="66"/>
  <c r="K2828" i="66"/>
  <c r="J2828" i="66"/>
  <c r="I2828" i="66"/>
  <c r="H2828" i="66"/>
  <c r="G2828" i="66"/>
  <c r="F2828" i="66"/>
  <c r="E2828" i="66"/>
  <c r="N2827" i="66"/>
  <c r="M2827" i="66"/>
  <c r="L2827" i="66"/>
  <c r="K2827" i="66"/>
  <c r="J2827" i="66"/>
  <c r="I2827" i="66"/>
  <c r="H2827" i="66"/>
  <c r="G2827" i="66"/>
  <c r="F2827" i="66"/>
  <c r="E2827" i="66"/>
  <c r="N2826" i="66"/>
  <c r="M2826" i="66"/>
  <c r="L2826" i="66"/>
  <c r="K2826" i="66"/>
  <c r="J2826" i="66"/>
  <c r="I2826" i="66"/>
  <c r="H2826" i="66"/>
  <c r="G2826" i="66"/>
  <c r="F2826" i="66"/>
  <c r="E2826" i="66"/>
  <c r="N2825" i="66"/>
  <c r="M2825" i="66"/>
  <c r="L2825" i="66"/>
  <c r="K2825" i="66"/>
  <c r="J2825" i="66"/>
  <c r="I2825" i="66"/>
  <c r="H2825" i="66"/>
  <c r="G2825" i="66"/>
  <c r="F2825" i="66"/>
  <c r="E2825" i="66"/>
  <c r="N2824" i="66"/>
  <c r="M2824" i="66"/>
  <c r="L2824" i="66"/>
  <c r="K2824" i="66"/>
  <c r="J2824" i="66"/>
  <c r="I2824" i="66"/>
  <c r="H2824" i="66"/>
  <c r="G2824" i="66"/>
  <c r="F2824" i="66"/>
  <c r="E2824" i="66"/>
  <c r="N2823" i="66"/>
  <c r="M2823" i="66"/>
  <c r="L2823" i="66"/>
  <c r="K2823" i="66"/>
  <c r="J2823" i="66"/>
  <c r="I2823" i="66"/>
  <c r="H2823" i="66"/>
  <c r="G2823" i="66"/>
  <c r="F2823" i="66"/>
  <c r="E2823" i="66"/>
  <c r="N2822" i="66"/>
  <c r="M2822" i="66"/>
  <c r="L2822" i="66"/>
  <c r="K2822" i="66"/>
  <c r="J2822" i="66"/>
  <c r="I2822" i="66"/>
  <c r="H2822" i="66"/>
  <c r="G2822" i="66"/>
  <c r="F2822" i="66"/>
  <c r="E2822" i="66"/>
  <c r="N2821" i="66"/>
  <c r="M2821" i="66"/>
  <c r="L2821" i="66"/>
  <c r="K2821" i="66"/>
  <c r="J2821" i="66"/>
  <c r="I2821" i="66"/>
  <c r="H2821" i="66"/>
  <c r="G2821" i="66"/>
  <c r="F2821" i="66"/>
  <c r="E2821" i="66"/>
  <c r="N2820" i="66"/>
  <c r="M2820" i="66"/>
  <c r="L2820" i="66"/>
  <c r="K2820" i="66"/>
  <c r="J2820" i="66"/>
  <c r="I2820" i="66"/>
  <c r="H2820" i="66"/>
  <c r="G2820" i="66"/>
  <c r="F2820" i="66"/>
  <c r="E2820" i="66"/>
  <c r="N2819" i="66"/>
  <c r="M2819" i="66"/>
  <c r="L2819" i="66"/>
  <c r="K2819" i="66"/>
  <c r="J2819" i="66"/>
  <c r="I2819" i="66"/>
  <c r="H2819" i="66"/>
  <c r="G2819" i="66"/>
  <c r="F2819" i="66"/>
  <c r="E2819" i="66"/>
  <c r="N2805" i="66"/>
  <c r="M2805" i="66"/>
  <c r="L2805" i="66"/>
  <c r="K2805" i="66"/>
  <c r="J2805" i="66"/>
  <c r="I2805" i="66"/>
  <c r="N2804" i="66"/>
  <c r="M2804" i="66"/>
  <c r="L2804" i="66"/>
  <c r="K2804" i="66"/>
  <c r="J2804" i="66"/>
  <c r="N2802" i="66"/>
  <c r="M2802" i="66"/>
  <c r="L2802" i="66"/>
  <c r="K2802" i="66"/>
  <c r="J2802" i="66"/>
  <c r="N2799" i="66"/>
  <c r="M2799" i="66"/>
  <c r="L2799" i="66"/>
  <c r="K2799" i="66"/>
  <c r="J2799" i="66"/>
  <c r="I2799" i="66"/>
  <c r="N2798" i="66"/>
  <c r="M2798" i="66"/>
  <c r="L2798" i="66"/>
  <c r="K2798" i="66"/>
  <c r="J2798" i="66"/>
  <c r="N2797" i="66"/>
  <c r="M2797" i="66"/>
  <c r="L2797" i="66"/>
  <c r="K2797" i="66"/>
  <c r="J2797" i="66"/>
  <c r="N2796" i="66"/>
  <c r="M2796" i="66"/>
  <c r="L2796" i="66"/>
  <c r="K2796" i="66"/>
  <c r="J2796" i="66"/>
  <c r="I2796" i="66"/>
  <c r="N2791" i="66"/>
  <c r="M2791" i="66"/>
  <c r="L2791" i="66"/>
  <c r="K2791" i="66"/>
  <c r="J2791" i="66"/>
  <c r="I2791" i="66"/>
  <c r="H2791" i="66"/>
  <c r="N2790" i="66"/>
  <c r="M2790" i="66"/>
  <c r="L2790" i="66"/>
  <c r="K2790" i="66"/>
  <c r="J2790" i="66"/>
  <c r="I2790" i="66"/>
  <c r="H2790" i="66"/>
  <c r="N2789" i="66"/>
  <c r="M2789" i="66"/>
  <c r="L2789" i="66"/>
  <c r="K2789" i="66"/>
  <c r="J2789" i="66"/>
  <c r="I2789" i="66"/>
  <c r="H2789" i="66"/>
  <c r="N2780" i="66"/>
  <c r="M2780" i="66"/>
  <c r="L2780" i="66"/>
  <c r="K2780" i="66"/>
  <c r="J2780" i="66"/>
  <c r="I2780" i="66"/>
  <c r="N2779" i="66"/>
  <c r="M2779" i="66"/>
  <c r="L2779" i="66"/>
  <c r="K2779" i="66"/>
  <c r="J2779" i="66"/>
  <c r="N2777" i="66"/>
  <c r="M2777" i="66"/>
  <c r="L2777" i="66"/>
  <c r="K2777" i="66"/>
  <c r="J2777" i="66"/>
  <c r="N2774" i="66"/>
  <c r="M2774" i="66"/>
  <c r="L2774" i="66"/>
  <c r="K2774" i="66"/>
  <c r="J2774" i="66"/>
  <c r="I2774" i="66"/>
  <c r="N2773" i="66"/>
  <c r="M2773" i="66"/>
  <c r="L2773" i="66"/>
  <c r="K2773" i="66"/>
  <c r="J2773" i="66"/>
  <c r="N2772" i="66"/>
  <c r="M2772" i="66"/>
  <c r="L2772" i="66"/>
  <c r="K2772" i="66"/>
  <c r="J2772" i="66"/>
  <c r="N2771" i="66"/>
  <c r="M2771" i="66"/>
  <c r="L2771" i="66"/>
  <c r="K2771" i="66"/>
  <c r="J2771" i="66"/>
  <c r="I2771" i="66"/>
  <c r="N2766" i="66"/>
  <c r="M2766" i="66"/>
  <c r="L2766" i="66"/>
  <c r="K2766" i="66"/>
  <c r="J2766" i="66"/>
  <c r="I2766" i="66"/>
  <c r="H2766" i="66"/>
  <c r="N2764" i="66"/>
  <c r="M2764" i="66"/>
  <c r="L2764" i="66"/>
  <c r="K2764" i="66"/>
  <c r="J2764" i="66"/>
  <c r="I2764" i="66"/>
  <c r="H2764" i="66"/>
  <c r="N2763" i="66"/>
  <c r="M2763" i="66"/>
  <c r="L2763" i="66"/>
  <c r="K2763" i="66"/>
  <c r="J2763" i="66"/>
  <c r="I2763" i="66"/>
  <c r="H2763" i="66"/>
  <c r="N2762" i="66"/>
  <c r="M2762" i="66"/>
  <c r="L2762" i="66"/>
  <c r="K2762" i="66"/>
  <c r="J2762" i="66"/>
  <c r="I2762" i="66"/>
  <c r="H2762" i="66"/>
  <c r="N2761" i="66"/>
  <c r="M2761" i="66"/>
  <c r="L2761" i="66"/>
  <c r="K2761" i="66"/>
  <c r="J2761" i="66"/>
  <c r="I2761" i="66"/>
  <c r="H2761" i="66"/>
  <c r="N2760" i="66"/>
  <c r="M2760" i="66"/>
  <c r="L2760" i="66"/>
  <c r="K2760" i="66"/>
  <c r="J2760" i="66"/>
  <c r="I2760" i="66"/>
  <c r="H2760" i="66"/>
  <c r="N2750" i="66"/>
  <c r="M2750" i="66"/>
  <c r="L2750" i="66"/>
  <c r="K2750" i="66"/>
  <c r="J2750" i="66"/>
  <c r="I2750" i="66"/>
  <c r="H2750" i="66"/>
  <c r="N2749" i="66"/>
  <c r="M2749" i="66"/>
  <c r="L2749" i="66"/>
  <c r="K2749" i="66"/>
  <c r="J2749" i="66"/>
  <c r="N2747" i="66"/>
  <c r="M2747" i="66"/>
  <c r="L2747" i="66"/>
  <c r="K2747" i="66"/>
  <c r="J2747" i="66"/>
  <c r="N2744" i="66"/>
  <c r="M2744" i="66"/>
  <c r="L2744" i="66"/>
  <c r="K2744" i="66"/>
  <c r="J2744" i="66"/>
  <c r="I2744" i="66"/>
  <c r="H2744" i="66"/>
  <c r="N2743" i="66"/>
  <c r="M2743" i="66"/>
  <c r="L2743" i="66"/>
  <c r="K2743" i="66"/>
  <c r="J2743" i="66"/>
  <c r="N2742" i="66"/>
  <c r="M2742" i="66"/>
  <c r="L2742" i="66"/>
  <c r="K2742" i="66"/>
  <c r="J2742" i="66"/>
  <c r="N2741" i="66"/>
  <c r="M2741" i="66"/>
  <c r="L2741" i="66"/>
  <c r="K2741" i="66"/>
  <c r="J2741" i="66"/>
  <c r="I2741" i="66"/>
  <c r="H2741" i="66"/>
  <c r="N2729" i="66"/>
  <c r="M2729" i="66"/>
  <c r="L2729" i="66"/>
  <c r="K2729" i="66"/>
  <c r="J2729" i="66"/>
  <c r="I2729" i="66"/>
  <c r="H2729" i="66"/>
  <c r="G2729" i="66"/>
  <c r="E2729" i="66"/>
  <c r="N2728" i="66"/>
  <c r="M2728" i="66"/>
  <c r="L2728" i="66"/>
  <c r="K2728" i="66"/>
  <c r="J2728" i="66"/>
  <c r="I2728" i="66"/>
  <c r="H2728" i="66"/>
  <c r="G2728" i="66"/>
  <c r="E2728" i="66"/>
  <c r="N2727" i="66"/>
  <c r="M2727" i="66"/>
  <c r="L2727" i="66"/>
  <c r="K2727" i="66"/>
  <c r="J2727" i="66"/>
  <c r="I2727" i="66"/>
  <c r="H2727" i="66"/>
  <c r="G2727" i="66"/>
  <c r="E2727" i="66"/>
  <c r="I2719" i="66"/>
  <c r="N2712" i="66"/>
  <c r="M2712" i="66"/>
  <c r="L2712" i="66"/>
  <c r="K2712" i="66"/>
  <c r="J2712" i="66"/>
  <c r="I2712" i="66"/>
  <c r="H2712" i="66"/>
  <c r="G2712" i="66"/>
  <c r="N2711" i="66"/>
  <c r="M2711" i="66"/>
  <c r="L2711" i="66"/>
  <c r="K2711" i="66"/>
  <c r="J2711" i="66"/>
  <c r="I2711" i="66"/>
  <c r="H2711" i="66"/>
  <c r="G2711" i="66"/>
  <c r="N2710" i="66"/>
  <c r="M2710" i="66"/>
  <c r="L2710" i="66"/>
  <c r="K2710" i="66"/>
  <c r="J2710" i="66"/>
  <c r="I2710" i="66"/>
  <c r="H2710" i="66"/>
  <c r="G2710" i="66"/>
  <c r="I2705" i="66"/>
  <c r="N2701" i="66"/>
  <c r="M2701" i="66"/>
  <c r="L2701" i="66"/>
  <c r="K2701" i="66"/>
  <c r="J2701" i="66"/>
  <c r="I2701" i="66"/>
  <c r="H2701" i="66"/>
  <c r="G2701" i="66"/>
  <c r="N2700" i="66"/>
  <c r="M2700" i="66"/>
  <c r="L2700" i="66"/>
  <c r="K2700" i="66"/>
  <c r="J2700" i="66"/>
  <c r="I2700" i="66"/>
  <c r="H2700" i="66"/>
  <c r="G2700" i="66"/>
  <c r="N2699" i="66"/>
  <c r="M2699" i="66"/>
  <c r="L2699" i="66"/>
  <c r="K2699" i="66"/>
  <c r="J2699" i="66"/>
  <c r="I2699" i="66"/>
  <c r="H2699" i="66"/>
  <c r="G2699" i="66"/>
  <c r="N2698" i="66"/>
  <c r="M2698" i="66"/>
  <c r="L2698" i="66"/>
  <c r="K2698" i="66"/>
  <c r="J2698" i="66"/>
  <c r="I2698" i="66"/>
  <c r="H2698" i="66"/>
  <c r="G2698" i="66"/>
  <c r="N2697" i="66"/>
  <c r="M2697" i="66"/>
  <c r="L2697" i="66"/>
  <c r="K2697" i="66"/>
  <c r="J2697" i="66"/>
  <c r="I2697" i="66"/>
  <c r="H2697" i="66"/>
  <c r="G2697" i="66"/>
  <c r="I2693" i="66"/>
  <c r="I2686" i="66"/>
  <c r="I2685" i="66"/>
  <c r="I2684" i="66"/>
  <c r="I2683" i="66"/>
  <c r="I2682" i="66"/>
  <c r="I2681" i="66"/>
  <c r="I2680" i="66"/>
  <c r="N2679" i="66"/>
  <c r="M2679" i="66"/>
  <c r="L2679" i="66"/>
  <c r="K2679" i="66"/>
  <c r="J2679" i="66"/>
  <c r="I2679" i="66"/>
  <c r="N2678" i="66"/>
  <c r="M2678" i="66"/>
  <c r="L2678" i="66"/>
  <c r="K2678" i="66"/>
  <c r="J2678" i="66"/>
  <c r="I2678" i="66"/>
  <c r="N2677" i="66"/>
  <c r="M2677" i="66"/>
  <c r="L2677" i="66"/>
  <c r="K2677" i="66"/>
  <c r="J2677" i="66"/>
  <c r="I2677" i="66"/>
  <c r="N2676" i="66"/>
  <c r="M2676" i="66"/>
  <c r="L2676" i="66"/>
  <c r="K2676" i="66"/>
  <c r="J2676" i="66"/>
  <c r="I2676" i="66"/>
  <c r="N2675" i="66"/>
  <c r="M2675" i="66"/>
  <c r="L2675" i="66"/>
  <c r="K2675" i="66"/>
  <c r="J2675" i="66"/>
  <c r="I2675" i="66"/>
  <c r="N2674" i="66"/>
  <c r="M2674" i="66"/>
  <c r="L2674" i="66"/>
  <c r="K2674" i="66"/>
  <c r="J2674" i="66"/>
  <c r="I2674" i="66"/>
  <c r="N2673" i="66"/>
  <c r="M2673" i="66"/>
  <c r="L2673" i="66"/>
  <c r="K2673" i="66"/>
  <c r="J2673" i="66"/>
  <c r="I2673" i="66"/>
  <c r="N2672" i="66"/>
  <c r="M2672" i="66"/>
  <c r="L2672" i="66"/>
  <c r="K2672" i="66"/>
  <c r="J2672" i="66"/>
  <c r="I2672" i="66"/>
  <c r="N2671" i="66"/>
  <c r="M2671" i="66"/>
  <c r="L2671" i="66"/>
  <c r="K2671" i="66"/>
  <c r="J2671" i="66"/>
  <c r="I2671" i="66"/>
  <c r="N2670" i="66"/>
  <c r="M2670" i="66"/>
  <c r="L2670" i="66"/>
  <c r="K2670" i="66"/>
  <c r="J2670" i="66"/>
  <c r="I2670" i="66"/>
  <c r="E2679" i="66"/>
  <c r="E2678" i="66"/>
  <c r="E2677" i="66"/>
  <c r="E2676" i="66"/>
  <c r="E2675" i="66"/>
  <c r="E2674" i="66"/>
  <c r="E2673" i="66"/>
  <c r="E2672" i="66"/>
  <c r="E2671" i="66"/>
  <c r="E2670" i="66"/>
  <c r="M2661" i="66"/>
  <c r="J2661" i="66"/>
  <c r="H2661" i="66"/>
  <c r="F2661" i="66"/>
  <c r="M2660" i="66"/>
  <c r="J2660" i="66"/>
  <c r="H2660" i="66"/>
  <c r="F2660" i="66"/>
  <c r="M2659" i="66"/>
  <c r="J2659" i="66"/>
  <c r="H2659" i="66"/>
  <c r="F2659" i="66"/>
  <c r="M2658" i="66"/>
  <c r="J2658" i="66"/>
  <c r="H2658" i="66"/>
  <c r="F2658" i="66"/>
  <c r="M2657" i="66"/>
  <c r="J2657" i="66"/>
  <c r="H2657" i="66"/>
  <c r="F2657" i="66"/>
  <c r="M2656" i="66"/>
  <c r="J2656" i="66"/>
  <c r="H2656" i="66"/>
  <c r="F2656" i="66"/>
  <c r="M2655" i="66"/>
  <c r="J2655" i="66"/>
  <c r="H2655" i="66"/>
  <c r="F2655" i="66"/>
  <c r="M2654" i="66"/>
  <c r="J2654" i="66"/>
  <c r="H2654" i="66"/>
  <c r="F2654" i="66"/>
  <c r="M2653" i="66"/>
  <c r="J2653" i="66"/>
  <c r="H2653" i="66"/>
  <c r="F2653" i="66"/>
  <c r="M2652" i="66"/>
  <c r="J2652" i="66"/>
  <c r="H2652" i="66"/>
  <c r="F2652" i="66"/>
  <c r="M2648" i="66"/>
  <c r="K2648" i="66"/>
  <c r="I2648" i="66"/>
  <c r="F2648" i="66"/>
  <c r="M2647" i="66"/>
  <c r="K2647" i="66"/>
  <c r="I2647" i="66"/>
  <c r="F2647" i="66"/>
  <c r="M2646" i="66"/>
  <c r="K2646" i="66"/>
  <c r="I2646" i="66"/>
  <c r="F2646" i="66"/>
  <c r="M2645" i="66"/>
  <c r="K2645" i="66"/>
  <c r="I2645" i="66"/>
  <c r="F2645" i="66"/>
  <c r="M2644" i="66"/>
  <c r="K2644" i="66"/>
  <c r="I2644" i="66"/>
  <c r="F2644" i="66"/>
  <c r="M2643" i="66"/>
  <c r="K2643" i="66"/>
  <c r="I2643" i="66"/>
  <c r="F2643" i="66"/>
  <c r="M2642" i="66"/>
  <c r="K2642" i="66"/>
  <c r="I2642" i="66"/>
  <c r="F2642" i="66"/>
  <c r="M2641" i="66"/>
  <c r="K2641" i="66"/>
  <c r="I2641" i="66"/>
  <c r="F2641" i="66"/>
  <c r="M2640" i="66"/>
  <c r="K2640" i="66"/>
  <c r="I2640" i="66"/>
  <c r="F2640" i="66"/>
  <c r="M2639" i="66"/>
  <c r="K2639" i="66"/>
  <c r="I2639" i="66"/>
  <c r="F2639" i="66"/>
  <c r="J2633" i="66"/>
  <c r="J2632" i="66"/>
  <c r="J2631" i="66"/>
  <c r="J2630" i="66"/>
  <c r="J2627" i="66"/>
  <c r="J2626" i="66"/>
  <c r="J2625" i="66"/>
  <c r="J2624" i="66"/>
  <c r="J2621" i="66"/>
  <c r="J2620" i="66"/>
  <c r="J2619" i="66"/>
  <c r="J2618" i="66"/>
  <c r="J2617" i="66"/>
  <c r="J2616" i="66"/>
  <c r="J2615" i="66"/>
  <c r="J2614" i="66"/>
  <c r="J2613" i="66"/>
  <c r="J2611" i="66"/>
  <c r="J2608" i="66"/>
  <c r="J2606" i="66"/>
  <c r="N2599" i="66"/>
  <c r="M2599" i="66"/>
  <c r="L2599" i="66"/>
  <c r="K2599" i="66"/>
  <c r="J2599" i="66"/>
  <c r="N2598" i="66"/>
  <c r="M2598" i="66"/>
  <c r="L2598" i="66"/>
  <c r="K2598" i="66"/>
  <c r="J2598" i="66"/>
  <c r="N2597" i="66"/>
  <c r="M2597" i="66"/>
  <c r="L2597" i="66"/>
  <c r="K2597" i="66"/>
  <c r="J2597" i="66"/>
  <c r="N2596" i="66"/>
  <c r="M2596" i="66"/>
  <c r="L2596" i="66"/>
  <c r="K2596" i="66"/>
  <c r="J2596" i="66"/>
  <c r="N2595" i="66"/>
  <c r="M2595" i="66"/>
  <c r="L2595" i="66"/>
  <c r="K2595" i="66"/>
  <c r="J2595" i="66"/>
  <c r="N2594" i="66"/>
  <c r="M2594" i="66"/>
  <c r="L2594" i="66"/>
  <c r="K2594" i="66"/>
  <c r="J2594" i="66"/>
  <c r="N2593" i="66"/>
  <c r="M2593" i="66"/>
  <c r="L2593" i="66"/>
  <c r="K2593" i="66"/>
  <c r="J2593" i="66"/>
  <c r="N2592" i="66"/>
  <c r="M2592" i="66"/>
  <c r="L2592" i="66"/>
  <c r="K2592" i="66"/>
  <c r="J2592" i="66"/>
  <c r="N2591" i="66"/>
  <c r="M2591" i="66"/>
  <c r="L2591" i="66"/>
  <c r="K2591" i="66"/>
  <c r="J2591" i="66"/>
  <c r="N2590" i="66"/>
  <c r="M2590" i="66"/>
  <c r="L2590" i="66"/>
  <c r="K2590" i="66"/>
  <c r="J2590" i="66"/>
  <c r="N2589" i="66"/>
  <c r="M2589" i="66"/>
  <c r="L2589" i="66"/>
  <c r="K2589" i="66"/>
  <c r="J2589" i="66"/>
  <c r="N2588" i="66"/>
  <c r="M2588" i="66"/>
  <c r="L2588" i="66"/>
  <c r="K2588" i="66"/>
  <c r="J2588" i="66"/>
  <c r="N2587" i="66"/>
  <c r="M2587" i="66"/>
  <c r="L2587" i="66"/>
  <c r="K2587" i="66"/>
  <c r="J2587" i="66"/>
  <c r="N2586" i="66"/>
  <c r="M2586" i="66"/>
  <c r="L2586" i="66"/>
  <c r="K2586" i="66"/>
  <c r="J2586" i="66"/>
  <c r="N2585" i="66"/>
  <c r="M2585" i="66"/>
  <c r="L2585" i="66"/>
  <c r="K2585" i="66"/>
  <c r="J2585" i="66"/>
  <c r="N2584" i="66"/>
  <c r="M2584" i="66"/>
  <c r="L2584" i="66"/>
  <c r="K2584" i="66"/>
  <c r="J2584" i="66"/>
  <c r="N2583" i="66"/>
  <c r="M2583" i="66"/>
  <c r="L2583" i="66"/>
  <c r="K2583" i="66"/>
  <c r="J2583" i="66"/>
  <c r="N2582" i="66"/>
  <c r="M2582" i="66"/>
  <c r="L2582" i="66"/>
  <c r="K2582" i="66"/>
  <c r="J2582" i="66"/>
  <c r="N2576" i="66"/>
  <c r="M2576" i="66"/>
  <c r="L2576" i="66"/>
  <c r="K2576" i="66"/>
  <c r="J2576" i="66"/>
  <c r="N2556" i="66"/>
  <c r="M2556" i="66"/>
  <c r="L2556" i="66"/>
  <c r="K2556" i="66"/>
  <c r="J2556" i="66"/>
  <c r="N2555" i="66"/>
  <c r="M2555" i="66"/>
  <c r="L2555" i="66"/>
  <c r="K2555" i="66"/>
  <c r="J2555" i="66"/>
  <c r="N2554" i="66"/>
  <c r="M2554" i="66"/>
  <c r="L2554" i="66"/>
  <c r="K2554" i="66"/>
  <c r="J2554" i="66"/>
  <c r="N2553" i="66"/>
  <c r="M2553" i="66"/>
  <c r="L2553" i="66"/>
  <c r="K2553" i="66"/>
  <c r="J2553" i="66"/>
  <c r="N2552" i="66"/>
  <c r="M2552" i="66"/>
  <c r="L2552" i="66"/>
  <c r="K2552" i="66"/>
  <c r="J2552" i="66"/>
  <c r="N2551" i="66"/>
  <c r="M2551" i="66"/>
  <c r="L2551" i="66"/>
  <c r="K2551" i="66"/>
  <c r="J2551" i="66"/>
  <c r="N2550" i="66"/>
  <c r="M2550" i="66"/>
  <c r="L2550" i="66"/>
  <c r="K2550" i="66"/>
  <c r="J2550" i="66"/>
  <c r="N2549" i="66"/>
  <c r="M2549" i="66"/>
  <c r="L2549" i="66"/>
  <c r="K2549" i="66"/>
  <c r="J2549" i="66"/>
  <c r="N2548" i="66"/>
  <c r="M2548" i="66"/>
  <c r="L2548" i="66"/>
  <c r="K2548" i="66"/>
  <c r="J2548" i="66"/>
  <c r="N2547" i="66"/>
  <c r="M2547" i="66"/>
  <c r="L2547" i="66"/>
  <c r="K2547" i="66"/>
  <c r="J2547" i="66"/>
  <c r="N2546" i="66"/>
  <c r="M2546" i="66"/>
  <c r="L2546" i="66"/>
  <c r="K2546" i="66"/>
  <c r="J2546" i="66"/>
  <c r="N2545" i="66"/>
  <c r="M2545" i="66"/>
  <c r="L2545" i="66"/>
  <c r="K2545" i="66"/>
  <c r="J2545" i="66"/>
  <c r="N2544" i="66"/>
  <c r="M2544" i="66"/>
  <c r="L2544" i="66"/>
  <c r="K2544" i="66"/>
  <c r="J2544" i="66"/>
  <c r="N2543" i="66"/>
  <c r="M2543" i="66"/>
  <c r="L2543" i="66"/>
  <c r="K2543" i="66"/>
  <c r="J2543" i="66"/>
  <c r="N2542" i="66"/>
  <c r="M2542" i="66"/>
  <c r="L2542" i="66"/>
  <c r="K2542" i="66"/>
  <c r="J2542" i="66"/>
  <c r="N2541" i="66"/>
  <c r="M2541" i="66"/>
  <c r="L2541" i="66"/>
  <c r="K2541" i="66"/>
  <c r="J2541" i="66"/>
  <c r="N2540" i="66"/>
  <c r="M2540" i="66"/>
  <c r="L2540" i="66"/>
  <c r="K2540" i="66"/>
  <c r="J2540" i="66"/>
  <c r="N2539" i="66"/>
  <c r="M2539" i="66"/>
  <c r="L2539" i="66"/>
  <c r="K2539" i="66"/>
  <c r="J2539" i="66"/>
  <c r="N2514" i="66"/>
  <c r="M2514" i="66"/>
  <c r="L2514" i="66"/>
  <c r="K2514" i="66"/>
  <c r="J2514" i="66"/>
  <c r="I2514" i="66"/>
  <c r="H2514" i="66"/>
  <c r="N2509" i="66"/>
  <c r="M2509" i="66"/>
  <c r="L2509" i="66"/>
  <c r="K2509" i="66"/>
  <c r="J2509" i="66"/>
  <c r="I2509" i="66"/>
  <c r="N2508" i="66"/>
  <c r="M2508" i="66"/>
  <c r="L2508" i="66"/>
  <c r="K2508" i="66"/>
  <c r="J2508" i="66"/>
  <c r="I2508" i="66"/>
  <c r="H2508" i="66"/>
  <c r="N2503" i="66"/>
  <c r="M2503" i="66"/>
  <c r="L2503" i="66"/>
  <c r="K2503" i="66"/>
  <c r="J2503" i="66"/>
  <c r="N2502" i="66"/>
  <c r="M2502" i="66"/>
  <c r="L2502" i="66"/>
  <c r="K2502" i="66"/>
  <c r="J2502" i="66"/>
  <c r="N2501" i="66"/>
  <c r="M2501" i="66"/>
  <c r="L2501" i="66"/>
  <c r="K2501" i="66"/>
  <c r="J2501" i="66"/>
  <c r="N2500" i="66"/>
  <c r="M2500" i="66"/>
  <c r="L2500" i="66"/>
  <c r="K2500" i="66"/>
  <c r="J2500" i="66"/>
  <c r="H2500" i="66"/>
  <c r="N2499" i="66"/>
  <c r="M2499" i="66"/>
  <c r="L2499" i="66"/>
  <c r="K2499" i="66"/>
  <c r="J2499" i="66"/>
  <c r="N2498" i="66"/>
  <c r="M2498" i="66"/>
  <c r="L2498" i="66"/>
  <c r="K2498" i="66"/>
  <c r="J2498" i="66"/>
  <c r="N2497" i="66"/>
  <c r="M2497" i="66"/>
  <c r="L2497" i="66"/>
  <c r="K2497" i="66"/>
  <c r="J2497" i="66"/>
  <c r="H2497" i="66"/>
  <c r="N2494" i="66"/>
  <c r="M2494" i="66"/>
  <c r="L2494" i="66"/>
  <c r="K2494" i="66"/>
  <c r="J2494" i="66"/>
  <c r="N2493" i="66"/>
  <c r="M2493" i="66"/>
  <c r="L2493" i="66"/>
  <c r="K2493" i="66"/>
  <c r="J2493" i="66"/>
  <c r="H2493" i="66"/>
  <c r="N2490" i="66"/>
  <c r="M2490" i="66"/>
  <c r="L2490" i="66"/>
  <c r="K2490" i="66"/>
  <c r="J2490" i="66"/>
  <c r="N2489" i="66"/>
  <c r="M2489" i="66"/>
  <c r="L2489" i="66"/>
  <c r="K2489" i="66"/>
  <c r="J2489" i="66"/>
  <c r="N2485" i="66"/>
  <c r="M2485" i="66"/>
  <c r="L2485" i="66"/>
  <c r="K2485" i="66"/>
  <c r="J2485" i="66"/>
  <c r="I2485" i="66"/>
  <c r="H2485" i="66"/>
  <c r="G2485" i="66"/>
  <c r="F2485" i="66"/>
  <c r="N2482" i="66"/>
  <c r="M2482" i="66"/>
  <c r="L2482" i="66"/>
  <c r="K2482" i="66"/>
  <c r="J2482" i="66"/>
  <c r="H2482" i="66"/>
  <c r="E2482" i="66"/>
  <c r="M2479" i="66"/>
  <c r="I2479" i="66"/>
  <c r="N2475" i="66"/>
  <c r="M2475" i="66"/>
  <c r="L2475" i="66"/>
  <c r="K2475" i="66"/>
  <c r="J2475" i="66"/>
  <c r="I2475" i="66"/>
  <c r="H2475" i="66"/>
  <c r="N2470" i="66"/>
  <c r="M2470" i="66"/>
  <c r="L2470" i="66"/>
  <c r="K2470" i="66"/>
  <c r="J2470" i="66"/>
  <c r="I2470" i="66"/>
  <c r="N2469" i="66"/>
  <c r="M2469" i="66"/>
  <c r="L2469" i="66"/>
  <c r="K2469" i="66"/>
  <c r="J2469" i="66"/>
  <c r="I2469" i="66"/>
  <c r="H2469" i="66"/>
  <c r="N2464" i="66"/>
  <c r="M2464" i="66"/>
  <c r="L2464" i="66"/>
  <c r="K2464" i="66"/>
  <c r="J2464" i="66"/>
  <c r="N2463" i="66"/>
  <c r="M2463" i="66"/>
  <c r="L2463" i="66"/>
  <c r="K2463" i="66"/>
  <c r="J2463" i="66"/>
  <c r="N2462" i="66"/>
  <c r="M2462" i="66"/>
  <c r="L2462" i="66"/>
  <c r="K2462" i="66"/>
  <c r="J2462" i="66"/>
  <c r="N2461" i="66"/>
  <c r="M2461" i="66"/>
  <c r="L2461" i="66"/>
  <c r="K2461" i="66"/>
  <c r="J2461" i="66"/>
  <c r="H2461" i="66"/>
  <c r="N2460" i="66"/>
  <c r="M2460" i="66"/>
  <c r="L2460" i="66"/>
  <c r="K2460" i="66"/>
  <c r="J2460" i="66"/>
  <c r="N2459" i="66"/>
  <c r="M2459" i="66"/>
  <c r="L2459" i="66"/>
  <c r="K2459" i="66"/>
  <c r="J2459" i="66"/>
  <c r="N2458" i="66"/>
  <c r="M2458" i="66"/>
  <c r="L2458" i="66"/>
  <c r="K2458" i="66"/>
  <c r="J2458" i="66"/>
  <c r="H2458" i="66"/>
  <c r="N2455" i="66"/>
  <c r="M2455" i="66"/>
  <c r="L2455" i="66"/>
  <c r="K2455" i="66"/>
  <c r="J2455" i="66"/>
  <c r="N2454" i="66"/>
  <c r="M2454" i="66"/>
  <c r="L2454" i="66"/>
  <c r="K2454" i="66"/>
  <c r="J2454" i="66"/>
  <c r="H2454" i="66"/>
  <c r="N2451" i="66"/>
  <c r="M2451" i="66"/>
  <c r="L2451" i="66"/>
  <c r="K2451" i="66"/>
  <c r="J2451" i="66"/>
  <c r="N2450" i="66"/>
  <c r="M2450" i="66"/>
  <c r="L2450" i="66"/>
  <c r="K2450" i="66"/>
  <c r="J2450" i="66"/>
  <c r="N2446" i="66"/>
  <c r="M2446" i="66"/>
  <c r="L2446" i="66"/>
  <c r="K2446" i="66"/>
  <c r="J2446" i="66"/>
  <c r="I2446" i="66"/>
  <c r="H2446" i="66"/>
  <c r="G2446" i="66"/>
  <c r="F2446" i="66"/>
  <c r="N2443" i="66"/>
  <c r="M2443" i="66"/>
  <c r="L2443" i="66"/>
  <c r="K2443" i="66"/>
  <c r="J2443" i="66"/>
  <c r="H2443" i="66"/>
  <c r="E2443" i="66"/>
  <c r="M2440" i="66"/>
  <c r="I2440" i="66"/>
  <c r="N2436" i="66"/>
  <c r="M2436" i="66"/>
  <c r="L2436" i="66"/>
  <c r="K2436" i="66"/>
  <c r="J2436" i="66"/>
  <c r="I2436" i="66"/>
  <c r="H2436" i="66"/>
  <c r="N2435" i="66"/>
  <c r="M2435" i="66"/>
  <c r="L2435" i="66"/>
  <c r="K2435" i="66"/>
  <c r="J2435" i="66"/>
  <c r="I2435" i="66"/>
  <c r="H2435" i="66"/>
  <c r="N2433" i="66"/>
  <c r="M2433" i="66"/>
  <c r="L2433" i="66"/>
  <c r="K2433" i="66"/>
  <c r="J2433" i="66"/>
  <c r="I2433" i="66"/>
  <c r="H2433" i="66"/>
  <c r="N2431" i="66"/>
  <c r="M2431" i="66"/>
  <c r="L2431" i="66"/>
  <c r="K2431" i="66"/>
  <c r="J2431" i="66"/>
  <c r="I2431" i="66"/>
  <c r="H2431" i="66"/>
  <c r="N2430" i="66"/>
  <c r="M2430" i="66"/>
  <c r="L2430" i="66"/>
  <c r="K2430" i="66"/>
  <c r="J2430" i="66"/>
  <c r="I2430" i="66"/>
  <c r="H2430" i="66"/>
  <c r="N2429" i="66"/>
  <c r="M2429" i="66"/>
  <c r="L2429" i="66"/>
  <c r="K2429" i="66"/>
  <c r="J2429" i="66"/>
  <c r="I2429" i="66"/>
  <c r="H2429" i="66"/>
  <c r="N2428" i="66"/>
  <c r="M2428" i="66"/>
  <c r="L2428" i="66"/>
  <c r="K2428" i="66"/>
  <c r="J2428" i="66"/>
  <c r="I2428" i="66"/>
  <c r="H2428" i="66"/>
  <c r="N2426" i="66"/>
  <c r="M2426" i="66"/>
  <c r="L2426" i="66"/>
  <c r="K2426" i="66"/>
  <c r="J2426" i="66"/>
  <c r="I2426" i="66"/>
  <c r="H2426" i="66"/>
  <c r="N2421" i="66"/>
  <c r="M2421" i="66"/>
  <c r="L2421" i="66"/>
  <c r="K2421" i="66"/>
  <c r="J2421" i="66"/>
  <c r="I2421" i="66"/>
  <c r="N2420" i="66"/>
  <c r="M2420" i="66"/>
  <c r="L2420" i="66"/>
  <c r="K2420" i="66"/>
  <c r="J2420" i="66"/>
  <c r="I2420" i="66"/>
  <c r="H2420" i="66"/>
  <c r="N2415" i="66"/>
  <c r="M2415" i="66"/>
  <c r="L2415" i="66"/>
  <c r="K2415" i="66"/>
  <c r="J2415" i="66"/>
  <c r="N2414" i="66"/>
  <c r="M2414" i="66"/>
  <c r="L2414" i="66"/>
  <c r="K2414" i="66"/>
  <c r="J2414" i="66"/>
  <c r="N2413" i="66"/>
  <c r="M2413" i="66"/>
  <c r="L2413" i="66"/>
  <c r="K2413" i="66"/>
  <c r="J2413" i="66"/>
  <c r="N2412" i="66"/>
  <c r="M2412" i="66"/>
  <c r="L2412" i="66"/>
  <c r="K2412" i="66"/>
  <c r="J2412" i="66"/>
  <c r="N2411" i="66"/>
  <c r="M2411" i="66"/>
  <c r="L2411" i="66"/>
  <c r="K2411" i="66"/>
  <c r="J2411" i="66"/>
  <c r="N2408" i="66"/>
  <c r="M2408" i="66"/>
  <c r="L2408" i="66"/>
  <c r="K2408" i="66"/>
  <c r="J2408" i="66"/>
  <c r="N2407" i="66"/>
  <c r="M2407" i="66"/>
  <c r="L2407" i="66"/>
  <c r="K2407" i="66"/>
  <c r="J2407" i="66"/>
  <c r="N2406" i="66"/>
  <c r="M2406" i="66"/>
  <c r="L2406" i="66"/>
  <c r="K2406" i="66"/>
  <c r="J2406" i="66"/>
  <c r="N2405" i="66"/>
  <c r="M2405" i="66"/>
  <c r="L2405" i="66"/>
  <c r="K2405" i="66"/>
  <c r="J2405" i="66"/>
  <c r="H2405" i="66"/>
  <c r="N2404" i="66"/>
  <c r="M2404" i="66"/>
  <c r="L2404" i="66"/>
  <c r="K2404" i="66"/>
  <c r="J2404" i="66"/>
  <c r="N2403" i="66"/>
  <c r="M2403" i="66"/>
  <c r="L2403" i="66"/>
  <c r="K2403" i="66"/>
  <c r="J2403" i="66"/>
  <c r="N2402" i="66"/>
  <c r="M2402" i="66"/>
  <c r="L2402" i="66"/>
  <c r="K2402" i="66"/>
  <c r="J2402" i="66"/>
  <c r="H2402" i="66"/>
  <c r="N2399" i="66"/>
  <c r="M2399" i="66"/>
  <c r="L2399" i="66"/>
  <c r="K2399" i="66"/>
  <c r="J2399" i="66"/>
  <c r="N2398" i="66"/>
  <c r="M2398" i="66"/>
  <c r="L2398" i="66"/>
  <c r="K2398" i="66"/>
  <c r="J2398" i="66"/>
  <c r="H2398" i="66"/>
  <c r="N2395" i="66"/>
  <c r="M2395" i="66"/>
  <c r="L2395" i="66"/>
  <c r="K2395" i="66"/>
  <c r="J2395" i="66"/>
  <c r="N2394" i="66"/>
  <c r="M2394" i="66"/>
  <c r="L2394" i="66"/>
  <c r="K2394" i="66"/>
  <c r="J2394" i="66"/>
  <c r="N2390" i="66"/>
  <c r="M2390" i="66"/>
  <c r="L2390" i="66"/>
  <c r="K2390" i="66"/>
  <c r="J2390" i="66"/>
  <c r="I2390" i="66"/>
  <c r="H2390" i="66"/>
  <c r="G2390" i="66"/>
  <c r="F2390" i="66"/>
  <c r="N2389" i="66"/>
  <c r="M2389" i="66"/>
  <c r="L2389" i="66"/>
  <c r="K2389" i="66"/>
  <c r="J2389" i="66"/>
  <c r="I2389" i="66"/>
  <c r="H2389" i="66"/>
  <c r="G2389" i="66"/>
  <c r="F2389" i="66"/>
  <c r="N2386" i="66"/>
  <c r="M2386" i="66"/>
  <c r="L2386" i="66"/>
  <c r="K2386" i="66"/>
  <c r="J2386" i="66"/>
  <c r="H2386" i="66"/>
  <c r="E2386" i="66"/>
  <c r="M2383" i="66"/>
  <c r="I2383" i="66"/>
  <c r="N2379" i="66"/>
  <c r="M2379" i="66"/>
  <c r="L2379" i="66"/>
  <c r="K2379" i="66"/>
  <c r="J2379" i="66"/>
  <c r="I2379" i="66"/>
  <c r="H2379" i="66"/>
  <c r="N2378" i="66"/>
  <c r="M2378" i="66"/>
  <c r="L2378" i="66"/>
  <c r="K2378" i="66"/>
  <c r="J2378" i="66"/>
  <c r="I2378" i="66"/>
  <c r="H2378" i="66"/>
  <c r="N2376" i="66"/>
  <c r="M2376" i="66"/>
  <c r="L2376" i="66"/>
  <c r="K2376" i="66"/>
  <c r="J2376" i="66"/>
  <c r="I2376" i="66"/>
  <c r="H2376" i="66"/>
  <c r="N2374" i="66"/>
  <c r="M2374" i="66"/>
  <c r="L2374" i="66"/>
  <c r="K2374" i="66"/>
  <c r="J2374" i="66"/>
  <c r="I2374" i="66"/>
  <c r="H2374" i="66"/>
  <c r="N2373" i="66"/>
  <c r="M2373" i="66"/>
  <c r="L2373" i="66"/>
  <c r="K2373" i="66"/>
  <c r="J2373" i="66"/>
  <c r="I2373" i="66"/>
  <c r="H2373" i="66"/>
  <c r="N2372" i="66"/>
  <c r="M2372" i="66"/>
  <c r="L2372" i="66"/>
  <c r="K2372" i="66"/>
  <c r="J2372" i="66"/>
  <c r="I2372" i="66"/>
  <c r="H2372" i="66"/>
  <c r="N2371" i="66"/>
  <c r="M2371" i="66"/>
  <c r="L2371" i="66"/>
  <c r="K2371" i="66"/>
  <c r="J2371" i="66"/>
  <c r="I2371" i="66"/>
  <c r="H2371" i="66"/>
  <c r="N2369" i="66"/>
  <c r="M2369" i="66"/>
  <c r="L2369" i="66"/>
  <c r="K2369" i="66"/>
  <c r="J2369" i="66"/>
  <c r="I2369" i="66"/>
  <c r="H2369" i="66"/>
  <c r="N2364" i="66"/>
  <c r="M2364" i="66"/>
  <c r="L2364" i="66"/>
  <c r="K2364" i="66"/>
  <c r="J2364" i="66"/>
  <c r="I2364" i="66"/>
  <c r="N2363" i="66"/>
  <c r="M2363" i="66"/>
  <c r="L2363" i="66"/>
  <c r="K2363" i="66"/>
  <c r="J2363" i="66"/>
  <c r="I2363" i="66"/>
  <c r="H2363" i="66"/>
  <c r="N2358" i="66"/>
  <c r="M2358" i="66"/>
  <c r="L2358" i="66"/>
  <c r="K2358" i="66"/>
  <c r="J2358" i="66"/>
  <c r="N2357" i="66"/>
  <c r="M2357" i="66"/>
  <c r="L2357" i="66"/>
  <c r="K2357" i="66"/>
  <c r="J2357" i="66"/>
  <c r="N2356" i="66"/>
  <c r="M2356" i="66"/>
  <c r="L2356" i="66"/>
  <c r="K2356" i="66"/>
  <c r="J2356" i="66"/>
  <c r="N2355" i="66"/>
  <c r="M2355" i="66"/>
  <c r="L2355" i="66"/>
  <c r="K2355" i="66"/>
  <c r="J2355" i="66"/>
  <c r="N2354" i="66"/>
  <c r="M2354" i="66"/>
  <c r="L2354" i="66"/>
  <c r="K2354" i="66"/>
  <c r="J2354" i="66"/>
  <c r="N2351" i="66"/>
  <c r="M2351" i="66"/>
  <c r="L2351" i="66"/>
  <c r="K2351" i="66"/>
  <c r="J2351" i="66"/>
  <c r="N2350" i="66"/>
  <c r="M2350" i="66"/>
  <c r="L2350" i="66"/>
  <c r="K2350" i="66"/>
  <c r="J2350" i="66"/>
  <c r="N2349" i="66"/>
  <c r="M2349" i="66"/>
  <c r="L2349" i="66"/>
  <c r="K2349" i="66"/>
  <c r="J2349" i="66"/>
  <c r="N2348" i="66"/>
  <c r="M2348" i="66"/>
  <c r="L2348" i="66"/>
  <c r="K2348" i="66"/>
  <c r="J2348" i="66"/>
  <c r="H2348" i="66"/>
  <c r="N2347" i="66"/>
  <c r="M2347" i="66"/>
  <c r="L2347" i="66"/>
  <c r="K2347" i="66"/>
  <c r="J2347" i="66"/>
  <c r="N2346" i="66"/>
  <c r="M2346" i="66"/>
  <c r="L2346" i="66"/>
  <c r="K2346" i="66"/>
  <c r="J2346" i="66"/>
  <c r="N2345" i="66"/>
  <c r="M2345" i="66"/>
  <c r="L2345" i="66"/>
  <c r="K2345" i="66"/>
  <c r="J2345" i="66"/>
  <c r="H2345" i="66"/>
  <c r="N2342" i="66"/>
  <c r="M2342" i="66"/>
  <c r="L2342" i="66"/>
  <c r="K2342" i="66"/>
  <c r="J2342" i="66"/>
  <c r="N2341" i="66"/>
  <c r="M2341" i="66"/>
  <c r="L2341" i="66"/>
  <c r="K2341" i="66"/>
  <c r="J2341" i="66"/>
  <c r="H2341" i="66"/>
  <c r="N2338" i="66"/>
  <c r="M2338" i="66"/>
  <c r="L2338" i="66"/>
  <c r="K2338" i="66"/>
  <c r="J2338" i="66"/>
  <c r="N2337" i="66"/>
  <c r="M2337" i="66"/>
  <c r="L2337" i="66"/>
  <c r="K2337" i="66"/>
  <c r="J2337" i="66"/>
  <c r="N2333" i="66"/>
  <c r="M2333" i="66"/>
  <c r="L2333" i="66"/>
  <c r="K2333" i="66"/>
  <c r="J2333" i="66"/>
  <c r="I2333" i="66"/>
  <c r="H2333" i="66"/>
  <c r="G2333" i="66"/>
  <c r="F2333" i="66"/>
  <c r="N2332" i="66"/>
  <c r="M2332" i="66"/>
  <c r="L2332" i="66"/>
  <c r="K2332" i="66"/>
  <c r="J2332" i="66"/>
  <c r="I2332" i="66"/>
  <c r="H2332" i="66"/>
  <c r="G2332" i="66"/>
  <c r="F2332" i="66"/>
  <c r="N2329" i="66"/>
  <c r="M2329" i="66"/>
  <c r="L2329" i="66"/>
  <c r="K2329" i="66"/>
  <c r="J2329" i="66"/>
  <c r="H2329" i="66"/>
  <c r="E2329" i="66"/>
  <c r="M2326" i="66"/>
  <c r="I2326" i="66"/>
  <c r="N2322" i="66"/>
  <c r="M2322" i="66"/>
  <c r="L2322" i="66"/>
  <c r="K2322" i="66"/>
  <c r="J2322" i="66"/>
  <c r="I2322" i="66"/>
  <c r="H2322" i="66"/>
  <c r="N2321" i="66"/>
  <c r="M2321" i="66"/>
  <c r="L2321" i="66"/>
  <c r="K2321" i="66"/>
  <c r="J2321" i="66"/>
  <c r="I2321" i="66"/>
  <c r="H2321" i="66"/>
  <c r="N2320" i="66"/>
  <c r="M2320" i="66"/>
  <c r="L2320" i="66"/>
  <c r="K2320" i="66"/>
  <c r="J2320" i="66"/>
  <c r="I2320" i="66"/>
  <c r="H2320" i="66"/>
  <c r="N2319" i="66"/>
  <c r="M2319" i="66"/>
  <c r="L2319" i="66"/>
  <c r="K2319" i="66"/>
  <c r="J2319" i="66"/>
  <c r="I2319" i="66"/>
  <c r="H2319" i="66"/>
  <c r="N2318" i="66"/>
  <c r="M2318" i="66"/>
  <c r="L2318" i="66"/>
  <c r="K2318" i="66"/>
  <c r="J2318" i="66"/>
  <c r="I2318" i="66"/>
  <c r="H2318" i="66"/>
  <c r="N2317" i="66"/>
  <c r="M2317" i="66"/>
  <c r="L2317" i="66"/>
  <c r="K2317" i="66"/>
  <c r="J2317" i="66"/>
  <c r="I2317" i="66"/>
  <c r="H2317" i="66"/>
  <c r="N2316" i="66"/>
  <c r="M2316" i="66"/>
  <c r="L2316" i="66"/>
  <c r="K2316" i="66"/>
  <c r="J2316" i="66"/>
  <c r="I2316" i="66"/>
  <c r="H2316" i="66"/>
  <c r="N2315" i="66"/>
  <c r="M2315" i="66"/>
  <c r="L2315" i="66"/>
  <c r="K2315" i="66"/>
  <c r="J2315" i="66"/>
  <c r="I2315" i="66"/>
  <c r="H2315" i="66"/>
  <c r="N2314" i="66"/>
  <c r="M2314" i="66"/>
  <c r="L2314" i="66"/>
  <c r="K2314" i="66"/>
  <c r="J2314" i="66"/>
  <c r="I2314" i="66"/>
  <c r="H2314" i="66"/>
  <c r="N2313" i="66"/>
  <c r="M2313" i="66"/>
  <c r="L2313" i="66"/>
  <c r="K2313" i="66"/>
  <c r="J2313" i="66"/>
  <c r="I2313" i="66"/>
  <c r="H2313" i="66"/>
  <c r="N2311" i="66"/>
  <c r="M2311" i="66"/>
  <c r="L2311" i="66"/>
  <c r="K2311" i="66"/>
  <c r="J2311" i="66"/>
  <c r="I2311" i="66"/>
  <c r="H2311" i="66"/>
  <c r="N2309" i="66"/>
  <c r="M2309" i="66"/>
  <c r="L2309" i="66"/>
  <c r="K2309" i="66"/>
  <c r="J2309" i="66"/>
  <c r="I2309" i="66"/>
  <c r="H2309" i="66"/>
  <c r="N2308" i="66"/>
  <c r="M2308" i="66"/>
  <c r="L2308" i="66"/>
  <c r="K2308" i="66"/>
  <c r="J2308" i="66"/>
  <c r="I2308" i="66"/>
  <c r="H2308" i="66"/>
  <c r="N2307" i="66"/>
  <c r="M2307" i="66"/>
  <c r="L2307" i="66"/>
  <c r="K2307" i="66"/>
  <c r="J2307" i="66"/>
  <c r="I2307" i="66"/>
  <c r="H2307" i="66"/>
  <c r="N2306" i="66"/>
  <c r="M2306" i="66"/>
  <c r="L2306" i="66"/>
  <c r="K2306" i="66"/>
  <c r="J2306" i="66"/>
  <c r="I2306" i="66"/>
  <c r="H2306" i="66"/>
  <c r="N2304" i="66"/>
  <c r="M2304" i="66"/>
  <c r="L2304" i="66"/>
  <c r="K2304" i="66"/>
  <c r="J2304" i="66"/>
  <c r="I2304" i="66"/>
  <c r="H2304" i="66"/>
  <c r="N2302" i="66"/>
  <c r="M2302" i="66"/>
  <c r="L2302" i="66"/>
  <c r="K2302" i="66"/>
  <c r="J2302" i="66"/>
  <c r="I2302" i="66"/>
  <c r="H2302" i="66"/>
  <c r="N2297" i="66"/>
  <c r="M2297" i="66"/>
  <c r="L2297" i="66"/>
  <c r="K2297" i="66"/>
  <c r="J2297" i="66"/>
  <c r="I2297" i="66"/>
  <c r="N2296" i="66"/>
  <c r="M2296" i="66"/>
  <c r="L2296" i="66"/>
  <c r="K2296" i="66"/>
  <c r="J2296" i="66"/>
  <c r="I2296" i="66"/>
  <c r="H2296" i="66"/>
  <c r="N2291" i="66"/>
  <c r="M2291" i="66"/>
  <c r="L2291" i="66"/>
  <c r="K2291" i="66"/>
  <c r="J2291" i="66"/>
  <c r="N2290" i="66"/>
  <c r="M2290" i="66"/>
  <c r="L2290" i="66"/>
  <c r="K2290" i="66"/>
  <c r="J2290" i="66"/>
  <c r="N2289" i="66"/>
  <c r="M2289" i="66"/>
  <c r="L2289" i="66"/>
  <c r="K2289" i="66"/>
  <c r="J2289" i="66"/>
  <c r="N2288" i="66"/>
  <c r="M2288" i="66"/>
  <c r="L2288" i="66"/>
  <c r="K2288" i="66"/>
  <c r="J2288" i="66"/>
  <c r="H2288" i="66"/>
  <c r="N2287" i="66"/>
  <c r="M2287" i="66"/>
  <c r="L2287" i="66"/>
  <c r="K2287" i="66"/>
  <c r="J2287" i="66"/>
  <c r="N2286" i="66"/>
  <c r="M2286" i="66"/>
  <c r="L2286" i="66"/>
  <c r="K2286" i="66"/>
  <c r="J2286" i="66"/>
  <c r="N2285" i="66"/>
  <c r="M2285" i="66"/>
  <c r="L2285" i="66"/>
  <c r="K2285" i="66"/>
  <c r="J2285" i="66"/>
  <c r="H2285" i="66"/>
  <c r="N2282" i="66"/>
  <c r="M2282" i="66"/>
  <c r="L2282" i="66"/>
  <c r="K2282" i="66"/>
  <c r="J2282" i="66"/>
  <c r="N2281" i="66"/>
  <c r="M2281" i="66"/>
  <c r="L2281" i="66"/>
  <c r="K2281" i="66"/>
  <c r="J2281" i="66"/>
  <c r="H2281" i="66"/>
  <c r="N2278" i="66"/>
  <c r="M2278" i="66"/>
  <c r="L2278" i="66"/>
  <c r="K2278" i="66"/>
  <c r="J2278" i="66"/>
  <c r="N2277" i="66"/>
  <c r="M2277" i="66"/>
  <c r="L2277" i="66"/>
  <c r="K2277" i="66"/>
  <c r="J2277" i="66"/>
  <c r="N2273" i="66"/>
  <c r="M2273" i="66"/>
  <c r="L2273" i="66"/>
  <c r="K2273" i="66"/>
  <c r="J2273" i="66"/>
  <c r="I2273" i="66"/>
  <c r="H2273" i="66"/>
  <c r="G2273" i="66"/>
  <c r="F2273" i="66"/>
  <c r="N2270" i="66"/>
  <c r="M2270" i="66"/>
  <c r="L2270" i="66"/>
  <c r="K2270" i="66"/>
  <c r="J2270" i="66"/>
  <c r="H2270" i="66"/>
  <c r="E2270" i="66"/>
  <c r="M2267" i="66"/>
  <c r="I2267" i="66"/>
  <c r="N2263" i="66"/>
  <c r="M2263" i="66"/>
  <c r="L2263" i="66"/>
  <c r="K2263" i="66"/>
  <c r="J2263" i="66"/>
  <c r="I2263" i="66"/>
  <c r="H2263" i="66"/>
  <c r="N2262" i="66"/>
  <c r="M2262" i="66"/>
  <c r="L2262" i="66"/>
  <c r="K2262" i="66"/>
  <c r="J2262" i="66"/>
  <c r="I2262" i="66"/>
  <c r="H2262" i="66"/>
  <c r="N2261" i="66"/>
  <c r="M2261" i="66"/>
  <c r="L2261" i="66"/>
  <c r="K2261" i="66"/>
  <c r="J2261" i="66"/>
  <c r="I2261" i="66"/>
  <c r="H2261" i="66"/>
  <c r="N2260" i="66"/>
  <c r="M2260" i="66"/>
  <c r="L2260" i="66"/>
  <c r="K2260" i="66"/>
  <c r="J2260" i="66"/>
  <c r="I2260" i="66"/>
  <c r="H2260" i="66"/>
  <c r="N2259" i="66"/>
  <c r="M2259" i="66"/>
  <c r="L2259" i="66"/>
  <c r="K2259" i="66"/>
  <c r="J2259" i="66"/>
  <c r="I2259" i="66"/>
  <c r="H2259" i="66"/>
  <c r="N2258" i="66"/>
  <c r="M2258" i="66"/>
  <c r="L2258" i="66"/>
  <c r="K2258" i="66"/>
  <c r="J2258" i="66"/>
  <c r="I2258" i="66"/>
  <c r="H2258" i="66"/>
  <c r="N2257" i="66"/>
  <c r="M2257" i="66"/>
  <c r="L2257" i="66"/>
  <c r="K2257" i="66"/>
  <c r="J2257" i="66"/>
  <c r="I2257" i="66"/>
  <c r="H2257" i="66"/>
  <c r="N2256" i="66"/>
  <c r="M2256" i="66"/>
  <c r="L2256" i="66"/>
  <c r="K2256" i="66"/>
  <c r="J2256" i="66"/>
  <c r="I2256" i="66"/>
  <c r="H2256" i="66"/>
  <c r="N2255" i="66"/>
  <c r="M2255" i="66"/>
  <c r="L2255" i="66"/>
  <c r="K2255" i="66"/>
  <c r="J2255" i="66"/>
  <c r="I2255" i="66"/>
  <c r="H2255" i="66"/>
  <c r="N2254" i="66"/>
  <c r="M2254" i="66"/>
  <c r="L2254" i="66"/>
  <c r="K2254" i="66"/>
  <c r="J2254" i="66"/>
  <c r="I2254" i="66"/>
  <c r="H2254" i="66"/>
  <c r="N2252" i="66"/>
  <c r="M2252" i="66"/>
  <c r="L2252" i="66"/>
  <c r="K2252" i="66"/>
  <c r="J2252" i="66"/>
  <c r="I2252" i="66"/>
  <c r="H2252" i="66"/>
  <c r="N2250" i="66"/>
  <c r="M2250" i="66"/>
  <c r="L2250" i="66"/>
  <c r="K2250" i="66"/>
  <c r="J2250" i="66"/>
  <c r="I2250" i="66"/>
  <c r="H2250" i="66"/>
  <c r="N2249" i="66"/>
  <c r="M2249" i="66"/>
  <c r="L2249" i="66"/>
  <c r="K2249" i="66"/>
  <c r="J2249" i="66"/>
  <c r="I2249" i="66"/>
  <c r="H2249" i="66"/>
  <c r="N2248" i="66"/>
  <c r="M2248" i="66"/>
  <c r="L2248" i="66"/>
  <c r="K2248" i="66"/>
  <c r="J2248" i="66"/>
  <c r="I2248" i="66"/>
  <c r="H2248" i="66"/>
  <c r="N2247" i="66"/>
  <c r="M2247" i="66"/>
  <c r="L2247" i="66"/>
  <c r="K2247" i="66"/>
  <c r="J2247" i="66"/>
  <c r="I2247" i="66"/>
  <c r="H2247" i="66"/>
  <c r="N2245" i="66"/>
  <c r="M2245" i="66"/>
  <c r="L2245" i="66"/>
  <c r="K2245" i="66"/>
  <c r="J2245" i="66"/>
  <c r="I2245" i="66"/>
  <c r="H2245" i="66"/>
  <c r="N2243" i="66"/>
  <c r="M2243" i="66"/>
  <c r="L2243" i="66"/>
  <c r="K2243" i="66"/>
  <c r="J2243" i="66"/>
  <c r="I2243" i="66"/>
  <c r="H2243" i="66"/>
  <c r="N2238" i="66"/>
  <c r="M2238" i="66"/>
  <c r="L2238" i="66"/>
  <c r="K2238" i="66"/>
  <c r="J2238" i="66"/>
  <c r="I2238" i="66"/>
  <c r="N2237" i="66"/>
  <c r="M2237" i="66"/>
  <c r="L2237" i="66"/>
  <c r="K2237" i="66"/>
  <c r="J2237" i="66"/>
  <c r="I2237" i="66"/>
  <c r="H2237" i="66"/>
  <c r="N2232" i="66"/>
  <c r="M2232" i="66"/>
  <c r="L2232" i="66"/>
  <c r="K2232" i="66"/>
  <c r="J2232" i="66"/>
  <c r="N2231" i="66"/>
  <c r="M2231" i="66"/>
  <c r="L2231" i="66"/>
  <c r="K2231" i="66"/>
  <c r="J2231" i="66"/>
  <c r="N2230" i="66"/>
  <c r="M2230" i="66"/>
  <c r="L2230" i="66"/>
  <c r="K2230" i="66"/>
  <c r="J2230" i="66"/>
  <c r="N2229" i="66"/>
  <c r="M2229" i="66"/>
  <c r="L2229" i="66"/>
  <c r="K2229" i="66"/>
  <c r="J2229" i="66"/>
  <c r="N2228" i="66"/>
  <c r="M2228" i="66"/>
  <c r="L2228" i="66"/>
  <c r="K2228" i="66"/>
  <c r="J2228" i="66"/>
  <c r="N2225" i="66"/>
  <c r="M2225" i="66"/>
  <c r="L2225" i="66"/>
  <c r="K2225" i="66"/>
  <c r="J2225" i="66"/>
  <c r="N2224" i="66"/>
  <c r="M2224" i="66"/>
  <c r="L2224" i="66"/>
  <c r="K2224" i="66"/>
  <c r="J2224" i="66"/>
  <c r="N2223" i="66"/>
  <c r="M2223" i="66"/>
  <c r="L2223" i="66"/>
  <c r="K2223" i="66"/>
  <c r="J2223" i="66"/>
  <c r="N2222" i="66"/>
  <c r="M2222" i="66"/>
  <c r="L2222" i="66"/>
  <c r="K2222" i="66"/>
  <c r="J2222" i="66"/>
  <c r="H2222" i="66"/>
  <c r="N2221" i="66"/>
  <c r="M2221" i="66"/>
  <c r="L2221" i="66"/>
  <c r="K2221" i="66"/>
  <c r="J2221" i="66"/>
  <c r="N2220" i="66"/>
  <c r="M2220" i="66"/>
  <c r="L2220" i="66"/>
  <c r="K2220" i="66"/>
  <c r="J2220" i="66"/>
  <c r="N2219" i="66"/>
  <c r="M2219" i="66"/>
  <c r="L2219" i="66"/>
  <c r="K2219" i="66"/>
  <c r="J2219" i="66"/>
  <c r="H2219" i="66"/>
  <c r="N2216" i="66"/>
  <c r="M2216" i="66"/>
  <c r="L2216" i="66"/>
  <c r="K2216" i="66"/>
  <c r="J2216" i="66"/>
  <c r="N2215" i="66"/>
  <c r="M2215" i="66"/>
  <c r="L2215" i="66"/>
  <c r="K2215" i="66"/>
  <c r="J2215" i="66"/>
  <c r="H2215" i="66"/>
  <c r="N2212" i="66"/>
  <c r="M2212" i="66"/>
  <c r="L2212" i="66"/>
  <c r="K2212" i="66"/>
  <c r="J2212" i="66"/>
  <c r="N2211" i="66"/>
  <c r="M2211" i="66"/>
  <c r="L2211" i="66"/>
  <c r="K2211" i="66"/>
  <c r="J2211" i="66"/>
  <c r="N2207" i="66"/>
  <c r="M2207" i="66"/>
  <c r="L2207" i="66"/>
  <c r="K2207" i="66"/>
  <c r="J2207" i="66"/>
  <c r="I2207" i="66"/>
  <c r="H2207" i="66"/>
  <c r="G2207" i="66"/>
  <c r="F2207" i="66"/>
  <c r="N2206" i="66"/>
  <c r="M2206" i="66"/>
  <c r="L2206" i="66"/>
  <c r="K2206" i="66"/>
  <c r="J2206" i="66"/>
  <c r="I2206" i="66"/>
  <c r="H2206" i="66"/>
  <c r="G2206" i="66"/>
  <c r="F2206" i="66"/>
  <c r="N2203" i="66"/>
  <c r="M2203" i="66"/>
  <c r="L2203" i="66"/>
  <c r="K2203" i="66"/>
  <c r="J2203" i="66"/>
  <c r="H2203" i="66"/>
  <c r="E2203" i="66"/>
  <c r="M2200" i="66"/>
  <c r="I2200" i="66"/>
  <c r="N2196" i="66"/>
  <c r="M2196" i="66"/>
  <c r="L2196" i="66"/>
  <c r="K2196" i="66"/>
  <c r="J2196" i="66"/>
  <c r="I2196" i="66"/>
  <c r="H2196" i="66"/>
  <c r="N2195" i="66"/>
  <c r="M2195" i="66"/>
  <c r="L2195" i="66"/>
  <c r="K2195" i="66"/>
  <c r="J2195" i="66"/>
  <c r="I2195" i="66"/>
  <c r="H2195" i="66"/>
  <c r="N2194" i="66"/>
  <c r="M2194" i="66"/>
  <c r="L2194" i="66"/>
  <c r="K2194" i="66"/>
  <c r="J2194" i="66"/>
  <c r="I2194" i="66"/>
  <c r="H2194" i="66"/>
  <c r="N2193" i="66"/>
  <c r="M2193" i="66"/>
  <c r="L2193" i="66"/>
  <c r="K2193" i="66"/>
  <c r="J2193" i="66"/>
  <c r="I2193" i="66"/>
  <c r="H2193" i="66"/>
  <c r="N2192" i="66"/>
  <c r="M2192" i="66"/>
  <c r="L2192" i="66"/>
  <c r="K2192" i="66"/>
  <c r="J2192" i="66"/>
  <c r="I2192" i="66"/>
  <c r="H2192" i="66"/>
  <c r="N2191" i="66"/>
  <c r="M2191" i="66"/>
  <c r="L2191" i="66"/>
  <c r="K2191" i="66"/>
  <c r="J2191" i="66"/>
  <c r="I2191" i="66"/>
  <c r="H2191" i="66"/>
  <c r="N2190" i="66"/>
  <c r="M2190" i="66"/>
  <c r="L2190" i="66"/>
  <c r="K2190" i="66"/>
  <c r="J2190" i="66"/>
  <c r="I2190" i="66"/>
  <c r="H2190" i="66"/>
  <c r="N2189" i="66"/>
  <c r="M2189" i="66"/>
  <c r="L2189" i="66"/>
  <c r="K2189" i="66"/>
  <c r="J2189" i="66"/>
  <c r="I2189" i="66"/>
  <c r="H2189" i="66"/>
  <c r="N2188" i="66"/>
  <c r="M2188" i="66"/>
  <c r="L2188" i="66"/>
  <c r="K2188" i="66"/>
  <c r="J2188" i="66"/>
  <c r="I2188" i="66"/>
  <c r="H2188" i="66"/>
  <c r="N2187" i="66"/>
  <c r="M2187" i="66"/>
  <c r="L2187" i="66"/>
  <c r="K2187" i="66"/>
  <c r="J2187" i="66"/>
  <c r="I2187" i="66"/>
  <c r="H2187" i="66"/>
  <c r="N2185" i="66"/>
  <c r="M2185" i="66"/>
  <c r="L2185" i="66"/>
  <c r="K2185" i="66"/>
  <c r="J2185" i="66"/>
  <c r="I2185" i="66"/>
  <c r="H2185" i="66"/>
  <c r="N2183" i="66"/>
  <c r="M2183" i="66"/>
  <c r="L2183" i="66"/>
  <c r="K2183" i="66"/>
  <c r="J2183" i="66"/>
  <c r="I2183" i="66"/>
  <c r="H2183" i="66"/>
  <c r="N2182" i="66"/>
  <c r="M2182" i="66"/>
  <c r="L2182" i="66"/>
  <c r="K2182" i="66"/>
  <c r="J2182" i="66"/>
  <c r="I2182" i="66"/>
  <c r="H2182" i="66"/>
  <c r="N2181" i="66"/>
  <c r="M2181" i="66"/>
  <c r="L2181" i="66"/>
  <c r="K2181" i="66"/>
  <c r="J2181" i="66"/>
  <c r="I2181" i="66"/>
  <c r="H2181" i="66"/>
  <c r="N2180" i="66"/>
  <c r="M2180" i="66"/>
  <c r="L2180" i="66"/>
  <c r="K2180" i="66"/>
  <c r="J2180" i="66"/>
  <c r="I2180" i="66"/>
  <c r="H2180" i="66"/>
  <c r="N2178" i="66"/>
  <c r="M2178" i="66"/>
  <c r="L2178" i="66"/>
  <c r="K2178" i="66"/>
  <c r="J2178" i="66"/>
  <c r="I2178" i="66"/>
  <c r="H2178" i="66"/>
  <c r="N2176" i="66"/>
  <c r="M2176" i="66"/>
  <c r="L2176" i="66"/>
  <c r="K2176" i="66"/>
  <c r="J2176" i="66"/>
  <c r="I2176" i="66"/>
  <c r="H2176" i="66"/>
  <c r="N2171" i="66"/>
  <c r="M2171" i="66"/>
  <c r="L2171" i="66"/>
  <c r="K2171" i="66"/>
  <c r="J2171" i="66"/>
  <c r="I2171" i="66"/>
  <c r="N2170" i="66"/>
  <c r="M2170" i="66"/>
  <c r="L2170" i="66"/>
  <c r="K2170" i="66"/>
  <c r="J2170" i="66"/>
  <c r="I2170" i="66"/>
  <c r="H2170" i="66"/>
  <c r="N2165" i="66"/>
  <c r="M2165" i="66"/>
  <c r="L2165" i="66"/>
  <c r="K2165" i="66"/>
  <c r="J2165" i="66"/>
  <c r="N2164" i="66"/>
  <c r="M2164" i="66"/>
  <c r="L2164" i="66"/>
  <c r="K2164" i="66"/>
  <c r="J2164" i="66"/>
  <c r="N2163" i="66"/>
  <c r="M2163" i="66"/>
  <c r="L2163" i="66"/>
  <c r="K2163" i="66"/>
  <c r="J2163" i="66"/>
  <c r="N2162" i="66"/>
  <c r="M2162" i="66"/>
  <c r="L2162" i="66"/>
  <c r="K2162" i="66"/>
  <c r="J2162" i="66"/>
  <c r="N2161" i="66"/>
  <c r="M2161" i="66"/>
  <c r="L2161" i="66"/>
  <c r="K2161" i="66"/>
  <c r="J2161" i="66"/>
  <c r="N2158" i="66"/>
  <c r="M2158" i="66"/>
  <c r="L2158" i="66"/>
  <c r="K2158" i="66"/>
  <c r="J2158" i="66"/>
  <c r="N2157" i="66"/>
  <c r="M2157" i="66"/>
  <c r="L2157" i="66"/>
  <c r="K2157" i="66"/>
  <c r="J2157" i="66"/>
  <c r="N2156" i="66"/>
  <c r="M2156" i="66"/>
  <c r="L2156" i="66"/>
  <c r="K2156" i="66"/>
  <c r="J2156" i="66"/>
  <c r="N2155" i="66"/>
  <c r="M2155" i="66"/>
  <c r="L2155" i="66"/>
  <c r="K2155" i="66"/>
  <c r="J2155" i="66"/>
  <c r="H2155" i="66"/>
  <c r="N2154" i="66"/>
  <c r="M2154" i="66"/>
  <c r="L2154" i="66"/>
  <c r="K2154" i="66"/>
  <c r="J2154" i="66"/>
  <c r="N2153" i="66"/>
  <c r="M2153" i="66"/>
  <c r="L2153" i="66"/>
  <c r="K2153" i="66"/>
  <c r="J2153" i="66"/>
  <c r="N2152" i="66"/>
  <c r="M2152" i="66"/>
  <c r="L2152" i="66"/>
  <c r="K2152" i="66"/>
  <c r="J2152" i="66"/>
  <c r="H2152" i="66"/>
  <c r="N2149" i="66"/>
  <c r="M2149" i="66"/>
  <c r="L2149" i="66"/>
  <c r="K2149" i="66"/>
  <c r="J2149" i="66"/>
  <c r="N2148" i="66"/>
  <c r="M2148" i="66"/>
  <c r="L2148" i="66"/>
  <c r="K2148" i="66"/>
  <c r="J2148" i="66"/>
  <c r="H2148" i="66"/>
  <c r="N2145" i="66"/>
  <c r="M2145" i="66"/>
  <c r="L2145" i="66"/>
  <c r="K2145" i="66"/>
  <c r="J2145" i="66"/>
  <c r="N2144" i="66"/>
  <c r="M2144" i="66"/>
  <c r="L2144" i="66"/>
  <c r="K2144" i="66"/>
  <c r="J2144" i="66"/>
  <c r="N2140" i="66"/>
  <c r="M2140" i="66"/>
  <c r="L2140" i="66"/>
  <c r="K2140" i="66"/>
  <c r="J2140" i="66"/>
  <c r="I2140" i="66"/>
  <c r="H2140" i="66"/>
  <c r="G2140" i="66"/>
  <c r="F2140" i="66"/>
  <c r="N2139" i="66"/>
  <c r="M2139" i="66"/>
  <c r="L2139" i="66"/>
  <c r="K2139" i="66"/>
  <c r="J2139" i="66"/>
  <c r="I2139" i="66"/>
  <c r="H2139" i="66"/>
  <c r="G2139" i="66"/>
  <c r="F2139" i="66"/>
  <c r="N2136" i="66"/>
  <c r="M2136" i="66"/>
  <c r="L2136" i="66"/>
  <c r="K2136" i="66"/>
  <c r="J2136" i="66"/>
  <c r="H2136" i="66"/>
  <c r="E2136" i="66"/>
  <c r="M2133" i="66"/>
  <c r="I2133" i="66"/>
  <c r="N2128" i="66"/>
  <c r="M2128" i="66"/>
  <c r="L2128" i="66"/>
  <c r="K2128" i="66"/>
  <c r="J2128" i="66"/>
  <c r="I2128" i="66"/>
  <c r="H2128" i="66"/>
  <c r="E2128" i="66"/>
  <c r="N2127" i="66"/>
  <c r="M2127" i="66"/>
  <c r="L2127" i="66"/>
  <c r="K2127" i="66"/>
  <c r="J2127" i="66"/>
  <c r="I2127" i="66"/>
  <c r="H2127" i="66"/>
  <c r="E2127" i="66"/>
  <c r="N2125" i="66"/>
  <c r="M2125" i="66"/>
  <c r="L2125" i="66"/>
  <c r="K2125" i="66"/>
  <c r="J2125" i="66"/>
  <c r="I2125" i="66"/>
  <c r="H2125" i="66"/>
  <c r="E2125" i="66"/>
  <c r="N2124" i="66"/>
  <c r="M2124" i="66"/>
  <c r="L2124" i="66"/>
  <c r="K2124" i="66"/>
  <c r="J2124" i="66"/>
  <c r="I2124" i="66"/>
  <c r="H2124" i="66"/>
  <c r="E2124" i="66"/>
  <c r="N2121" i="66"/>
  <c r="M2121" i="66"/>
  <c r="L2121" i="66"/>
  <c r="K2121" i="66"/>
  <c r="J2121" i="66"/>
  <c r="I2121" i="66"/>
  <c r="H2121" i="66"/>
  <c r="N2119" i="66"/>
  <c r="M2119" i="66"/>
  <c r="L2119" i="66"/>
  <c r="K2119" i="66"/>
  <c r="J2119" i="66"/>
  <c r="I2119" i="66"/>
  <c r="H2119" i="66"/>
  <c r="N2118" i="66"/>
  <c r="M2118" i="66"/>
  <c r="L2118" i="66"/>
  <c r="K2118" i="66"/>
  <c r="J2118" i="66"/>
  <c r="I2118" i="66"/>
  <c r="H2118" i="66"/>
  <c r="N2116" i="66"/>
  <c r="M2116" i="66"/>
  <c r="L2116" i="66"/>
  <c r="K2116" i="66"/>
  <c r="J2116" i="66"/>
  <c r="I2116" i="66"/>
  <c r="H2116" i="66"/>
  <c r="N2115" i="66"/>
  <c r="M2115" i="66"/>
  <c r="L2115" i="66"/>
  <c r="K2115" i="66"/>
  <c r="J2115" i="66"/>
  <c r="I2115" i="66"/>
  <c r="H2115" i="66"/>
  <c r="N2114" i="66"/>
  <c r="M2114" i="66"/>
  <c r="L2114" i="66"/>
  <c r="K2114" i="66"/>
  <c r="J2114" i="66"/>
  <c r="I2114" i="66"/>
  <c r="H2114" i="66"/>
  <c r="N2113" i="66"/>
  <c r="M2113" i="66"/>
  <c r="L2113" i="66"/>
  <c r="K2113" i="66"/>
  <c r="J2113" i="66"/>
  <c r="I2113" i="66"/>
  <c r="H2113" i="66"/>
  <c r="N2112" i="66"/>
  <c r="M2112" i="66"/>
  <c r="L2112" i="66"/>
  <c r="K2112" i="66"/>
  <c r="J2112" i="66"/>
  <c r="I2112" i="66"/>
  <c r="H2112" i="66"/>
  <c r="N2111" i="66"/>
  <c r="M2111" i="66"/>
  <c r="L2111" i="66"/>
  <c r="K2111" i="66"/>
  <c r="J2111" i="66"/>
  <c r="I2111" i="66"/>
  <c r="H2111" i="66"/>
  <c r="N2110" i="66"/>
  <c r="M2110" i="66"/>
  <c r="L2110" i="66"/>
  <c r="K2110" i="66"/>
  <c r="J2110" i="66"/>
  <c r="I2110" i="66"/>
  <c r="H2110" i="66"/>
  <c r="N2109" i="66"/>
  <c r="M2109" i="66"/>
  <c r="L2109" i="66"/>
  <c r="K2109" i="66"/>
  <c r="J2109" i="66"/>
  <c r="I2109" i="66"/>
  <c r="H2109" i="66"/>
  <c r="N2108" i="66"/>
  <c r="M2108" i="66"/>
  <c r="L2108" i="66"/>
  <c r="K2108" i="66"/>
  <c r="J2108" i="66"/>
  <c r="I2108" i="66"/>
  <c r="H2108" i="66"/>
  <c r="N2107" i="66"/>
  <c r="M2107" i="66"/>
  <c r="L2107" i="66"/>
  <c r="K2107" i="66"/>
  <c r="J2107" i="66"/>
  <c r="I2107" i="66"/>
  <c r="H2107" i="66"/>
  <c r="N2105" i="66"/>
  <c r="M2105" i="66"/>
  <c r="L2105" i="66"/>
  <c r="K2105" i="66"/>
  <c r="J2105" i="66"/>
  <c r="I2105" i="66"/>
  <c r="H2105" i="66"/>
  <c r="N2104" i="66"/>
  <c r="M2104" i="66"/>
  <c r="L2104" i="66"/>
  <c r="K2104" i="66"/>
  <c r="J2104" i="66"/>
  <c r="I2104" i="66"/>
  <c r="H2104" i="66"/>
  <c r="N2102" i="66"/>
  <c r="M2102" i="66"/>
  <c r="L2102" i="66"/>
  <c r="K2102" i="66"/>
  <c r="J2102" i="66"/>
  <c r="I2102" i="66"/>
  <c r="H2102" i="66"/>
  <c r="N2101" i="66"/>
  <c r="M2101" i="66"/>
  <c r="L2101" i="66"/>
  <c r="K2101" i="66"/>
  <c r="J2101" i="66"/>
  <c r="I2101" i="66"/>
  <c r="H2101" i="66"/>
  <c r="N2099" i="66"/>
  <c r="M2099" i="66"/>
  <c r="L2099" i="66"/>
  <c r="K2099" i="66"/>
  <c r="J2099" i="66"/>
  <c r="I2099" i="66"/>
  <c r="H2099" i="66"/>
  <c r="N2098" i="66"/>
  <c r="M2098" i="66"/>
  <c r="L2098" i="66"/>
  <c r="K2098" i="66"/>
  <c r="J2098" i="66"/>
  <c r="I2098" i="66"/>
  <c r="H2098" i="66"/>
  <c r="N2096" i="66"/>
  <c r="M2096" i="66"/>
  <c r="L2096" i="66"/>
  <c r="K2096" i="66"/>
  <c r="J2096" i="66"/>
  <c r="I2096" i="66"/>
  <c r="H2096" i="66"/>
  <c r="N2095" i="66"/>
  <c r="M2095" i="66"/>
  <c r="L2095" i="66"/>
  <c r="K2095" i="66"/>
  <c r="J2095" i="66"/>
  <c r="I2095" i="66"/>
  <c r="H2095" i="66"/>
  <c r="N2094" i="66"/>
  <c r="M2094" i="66"/>
  <c r="L2094" i="66"/>
  <c r="K2094" i="66"/>
  <c r="J2094" i="66"/>
  <c r="I2094" i="66"/>
  <c r="H2094" i="66"/>
  <c r="N2093" i="66"/>
  <c r="M2093" i="66"/>
  <c r="L2093" i="66"/>
  <c r="K2093" i="66"/>
  <c r="J2093" i="66"/>
  <c r="I2093" i="66"/>
  <c r="H2093" i="66"/>
  <c r="N2091" i="66"/>
  <c r="M2091" i="66"/>
  <c r="L2091" i="66"/>
  <c r="K2091" i="66"/>
  <c r="J2091" i="66"/>
  <c r="I2091" i="66"/>
  <c r="H2091" i="66"/>
  <c r="N2090" i="66"/>
  <c r="M2090" i="66"/>
  <c r="L2090" i="66"/>
  <c r="K2090" i="66"/>
  <c r="J2090" i="66"/>
  <c r="I2090" i="66"/>
  <c r="H2090" i="66"/>
  <c r="N2088" i="66"/>
  <c r="M2088" i="66"/>
  <c r="L2088" i="66"/>
  <c r="K2088" i="66"/>
  <c r="J2088" i="66"/>
  <c r="I2088" i="66"/>
  <c r="H2088" i="66"/>
  <c r="N2083" i="66"/>
  <c r="M2083" i="66"/>
  <c r="L2083" i="66"/>
  <c r="K2083" i="66"/>
  <c r="J2083" i="66"/>
  <c r="I2083" i="66"/>
  <c r="N2082" i="66"/>
  <c r="M2082" i="66"/>
  <c r="L2082" i="66"/>
  <c r="K2082" i="66"/>
  <c r="J2082" i="66"/>
  <c r="I2082" i="66"/>
  <c r="N2081" i="66"/>
  <c r="M2081" i="66"/>
  <c r="L2081" i="66"/>
  <c r="K2081" i="66"/>
  <c r="J2081" i="66"/>
  <c r="I2081" i="66"/>
  <c r="N2080" i="66"/>
  <c r="M2080" i="66"/>
  <c r="L2080" i="66"/>
  <c r="K2080" i="66"/>
  <c r="J2080" i="66"/>
  <c r="I2080" i="66"/>
  <c r="N2079" i="66"/>
  <c r="M2079" i="66"/>
  <c r="L2079" i="66"/>
  <c r="K2079" i="66"/>
  <c r="J2079" i="66"/>
  <c r="I2079" i="66"/>
  <c r="N2078" i="66"/>
  <c r="M2078" i="66"/>
  <c r="L2078" i="66"/>
  <c r="K2078" i="66"/>
  <c r="J2078" i="66"/>
  <c r="I2078" i="66"/>
  <c r="N2077" i="66"/>
  <c r="M2077" i="66"/>
  <c r="L2077" i="66"/>
  <c r="K2077" i="66"/>
  <c r="J2077" i="66"/>
  <c r="I2077" i="66"/>
  <c r="H2077" i="66"/>
  <c r="N2072" i="66"/>
  <c r="M2072" i="66"/>
  <c r="L2072" i="66"/>
  <c r="K2072" i="66"/>
  <c r="J2072" i="66"/>
  <c r="N2071" i="66"/>
  <c r="M2071" i="66"/>
  <c r="L2071" i="66"/>
  <c r="K2071" i="66"/>
  <c r="J2071" i="66"/>
  <c r="N2070" i="66"/>
  <c r="M2070" i="66"/>
  <c r="L2070" i="66"/>
  <c r="K2070" i="66"/>
  <c r="J2070" i="66"/>
  <c r="N2069" i="66"/>
  <c r="M2069" i="66"/>
  <c r="L2069" i="66"/>
  <c r="K2069" i="66"/>
  <c r="J2069" i="66"/>
  <c r="N2068" i="66"/>
  <c r="M2068" i="66"/>
  <c r="L2068" i="66"/>
  <c r="K2068" i="66"/>
  <c r="J2068" i="66"/>
  <c r="N2067" i="66"/>
  <c r="M2067" i="66"/>
  <c r="L2067" i="66"/>
  <c r="K2067" i="66"/>
  <c r="J2067" i="66"/>
  <c r="N2066" i="66"/>
  <c r="M2066" i="66"/>
  <c r="L2066" i="66"/>
  <c r="K2066" i="66"/>
  <c r="J2066" i="66"/>
  <c r="N2065" i="66"/>
  <c r="M2065" i="66"/>
  <c r="L2065" i="66"/>
  <c r="K2065" i="66"/>
  <c r="J2065" i="66"/>
  <c r="N2064" i="66"/>
  <c r="M2064" i="66"/>
  <c r="L2064" i="66"/>
  <c r="K2064" i="66"/>
  <c r="J2064" i="66"/>
  <c r="N2063" i="66"/>
  <c r="M2063" i="66"/>
  <c r="L2063" i="66"/>
  <c r="K2063" i="66"/>
  <c r="J2063" i="66"/>
  <c r="N2062" i="66"/>
  <c r="M2062" i="66"/>
  <c r="L2062" i="66"/>
  <c r="K2062" i="66"/>
  <c r="J2062" i="66"/>
  <c r="N2061" i="66"/>
  <c r="M2061" i="66"/>
  <c r="L2061" i="66"/>
  <c r="K2061" i="66"/>
  <c r="J2061" i="66"/>
  <c r="H2061" i="66"/>
  <c r="N2058" i="66"/>
  <c r="M2058" i="66"/>
  <c r="L2058" i="66"/>
  <c r="K2058" i="66"/>
  <c r="J2058" i="66"/>
  <c r="N2057" i="66"/>
  <c r="M2057" i="66"/>
  <c r="L2057" i="66"/>
  <c r="K2057" i="66"/>
  <c r="J2057" i="66"/>
  <c r="N2056" i="66"/>
  <c r="M2056" i="66"/>
  <c r="L2056" i="66"/>
  <c r="K2056" i="66"/>
  <c r="J2056" i="66"/>
  <c r="N2055" i="66"/>
  <c r="M2055" i="66"/>
  <c r="L2055" i="66"/>
  <c r="K2055" i="66"/>
  <c r="J2055" i="66"/>
  <c r="N2054" i="66"/>
  <c r="M2054" i="66"/>
  <c r="L2054" i="66"/>
  <c r="K2054" i="66"/>
  <c r="J2054" i="66"/>
  <c r="N2053" i="66"/>
  <c r="M2053" i="66"/>
  <c r="L2053" i="66"/>
  <c r="K2053" i="66"/>
  <c r="J2053" i="66"/>
  <c r="N2052" i="66"/>
  <c r="M2052" i="66"/>
  <c r="L2052" i="66"/>
  <c r="K2052" i="66"/>
  <c r="J2052" i="66"/>
  <c r="N2051" i="66"/>
  <c r="M2051" i="66"/>
  <c r="L2051" i="66"/>
  <c r="K2051" i="66"/>
  <c r="J2051" i="66"/>
  <c r="N2050" i="66"/>
  <c r="M2050" i="66"/>
  <c r="L2050" i="66"/>
  <c r="K2050" i="66"/>
  <c r="J2050" i="66"/>
  <c r="N2049" i="66"/>
  <c r="M2049" i="66"/>
  <c r="L2049" i="66"/>
  <c r="K2049" i="66"/>
  <c r="J2049" i="66"/>
  <c r="N2048" i="66"/>
  <c r="M2048" i="66"/>
  <c r="L2048" i="66"/>
  <c r="K2048" i="66"/>
  <c r="J2048" i="66"/>
  <c r="N2047" i="66"/>
  <c r="M2047" i="66"/>
  <c r="L2047" i="66"/>
  <c r="K2047" i="66"/>
  <c r="J2047" i="66"/>
  <c r="H2047" i="66"/>
  <c r="N2044" i="66"/>
  <c r="M2044" i="66"/>
  <c r="L2044" i="66"/>
  <c r="K2044" i="66"/>
  <c r="J2044" i="66"/>
  <c r="N2043" i="66"/>
  <c r="M2043" i="66"/>
  <c r="L2043" i="66"/>
  <c r="K2043" i="66"/>
  <c r="J2043" i="66"/>
  <c r="N2042" i="66"/>
  <c r="M2042" i="66"/>
  <c r="L2042" i="66"/>
  <c r="K2042" i="66"/>
  <c r="J2042" i="66"/>
  <c r="N2041" i="66"/>
  <c r="M2041" i="66"/>
  <c r="L2041" i="66"/>
  <c r="K2041" i="66"/>
  <c r="J2041" i="66"/>
  <c r="N2040" i="66"/>
  <c r="M2040" i="66"/>
  <c r="L2040" i="66"/>
  <c r="K2040" i="66"/>
  <c r="J2040" i="66"/>
  <c r="N2039" i="66"/>
  <c r="M2039" i="66"/>
  <c r="L2039" i="66"/>
  <c r="K2039" i="66"/>
  <c r="J2039" i="66"/>
  <c r="N2038" i="66"/>
  <c r="M2038" i="66"/>
  <c r="L2038" i="66"/>
  <c r="K2038" i="66"/>
  <c r="J2038" i="66"/>
  <c r="N2037" i="66"/>
  <c r="M2037" i="66"/>
  <c r="L2037" i="66"/>
  <c r="K2037" i="66"/>
  <c r="J2037" i="66"/>
  <c r="N2036" i="66"/>
  <c r="M2036" i="66"/>
  <c r="L2036" i="66"/>
  <c r="K2036" i="66"/>
  <c r="J2036" i="66"/>
  <c r="N2035" i="66"/>
  <c r="M2035" i="66"/>
  <c r="L2035" i="66"/>
  <c r="K2035" i="66"/>
  <c r="J2035" i="66"/>
  <c r="N2034" i="66"/>
  <c r="M2034" i="66"/>
  <c r="L2034" i="66"/>
  <c r="K2034" i="66"/>
  <c r="J2034" i="66"/>
  <c r="N2033" i="66"/>
  <c r="M2033" i="66"/>
  <c r="L2033" i="66"/>
  <c r="K2033" i="66"/>
  <c r="J2033" i="66"/>
  <c r="H2033" i="66"/>
  <c r="N2030" i="66"/>
  <c r="M2030" i="66"/>
  <c r="L2030" i="66"/>
  <c r="K2030" i="66"/>
  <c r="J2030" i="66"/>
  <c r="N2029" i="66"/>
  <c r="M2029" i="66"/>
  <c r="L2029" i="66"/>
  <c r="K2029" i="66"/>
  <c r="J2029" i="66"/>
  <c r="N2028" i="66"/>
  <c r="M2028" i="66"/>
  <c r="L2028" i="66"/>
  <c r="K2028" i="66"/>
  <c r="J2028" i="66"/>
  <c r="N2027" i="66"/>
  <c r="M2027" i="66"/>
  <c r="L2027" i="66"/>
  <c r="K2027" i="66"/>
  <c r="J2027" i="66"/>
  <c r="N2026" i="66"/>
  <c r="M2026" i="66"/>
  <c r="L2026" i="66"/>
  <c r="K2026" i="66"/>
  <c r="J2026" i="66"/>
  <c r="N2025" i="66"/>
  <c r="M2025" i="66"/>
  <c r="L2025" i="66"/>
  <c r="K2025" i="66"/>
  <c r="J2025" i="66"/>
  <c r="N2024" i="66"/>
  <c r="M2024" i="66"/>
  <c r="L2024" i="66"/>
  <c r="K2024" i="66"/>
  <c r="J2024" i="66"/>
  <c r="N2023" i="66"/>
  <c r="M2023" i="66"/>
  <c r="L2023" i="66"/>
  <c r="K2023" i="66"/>
  <c r="J2023" i="66"/>
  <c r="N2022" i="66"/>
  <c r="M2022" i="66"/>
  <c r="L2022" i="66"/>
  <c r="K2022" i="66"/>
  <c r="J2022" i="66"/>
  <c r="N2021" i="66"/>
  <c r="M2021" i="66"/>
  <c r="L2021" i="66"/>
  <c r="K2021" i="66"/>
  <c r="J2021" i="66"/>
  <c r="N2020" i="66"/>
  <c r="M2020" i="66"/>
  <c r="L2020" i="66"/>
  <c r="K2020" i="66"/>
  <c r="J2020" i="66"/>
  <c r="N2019" i="66"/>
  <c r="M2019" i="66"/>
  <c r="L2019" i="66"/>
  <c r="K2019" i="66"/>
  <c r="J2019" i="66"/>
  <c r="H2019" i="66"/>
  <c r="N2016" i="66"/>
  <c r="M2016" i="66"/>
  <c r="L2016" i="66"/>
  <c r="K2016" i="66"/>
  <c r="J2016" i="66"/>
  <c r="N2015" i="66"/>
  <c r="M2015" i="66"/>
  <c r="L2015" i="66"/>
  <c r="K2015" i="66"/>
  <c r="J2015" i="66"/>
  <c r="N2014" i="66"/>
  <c r="M2014" i="66"/>
  <c r="L2014" i="66"/>
  <c r="K2014" i="66"/>
  <c r="J2014" i="66"/>
  <c r="N2013" i="66"/>
  <c r="M2013" i="66"/>
  <c r="L2013" i="66"/>
  <c r="K2013" i="66"/>
  <c r="J2013" i="66"/>
  <c r="N2012" i="66"/>
  <c r="M2012" i="66"/>
  <c r="L2012" i="66"/>
  <c r="K2012" i="66"/>
  <c r="J2012" i="66"/>
  <c r="N2011" i="66"/>
  <c r="M2011" i="66"/>
  <c r="L2011" i="66"/>
  <c r="K2011" i="66"/>
  <c r="J2011" i="66"/>
  <c r="N2010" i="66"/>
  <c r="M2010" i="66"/>
  <c r="L2010" i="66"/>
  <c r="K2010" i="66"/>
  <c r="J2010" i="66"/>
  <c r="N2009" i="66"/>
  <c r="M2009" i="66"/>
  <c r="L2009" i="66"/>
  <c r="K2009" i="66"/>
  <c r="J2009" i="66"/>
  <c r="N2008" i="66"/>
  <c r="M2008" i="66"/>
  <c r="L2008" i="66"/>
  <c r="K2008" i="66"/>
  <c r="J2008" i="66"/>
  <c r="N2007" i="66"/>
  <c r="M2007" i="66"/>
  <c r="L2007" i="66"/>
  <c r="K2007" i="66"/>
  <c r="J2007" i="66"/>
  <c r="N2006" i="66"/>
  <c r="M2006" i="66"/>
  <c r="L2006" i="66"/>
  <c r="K2006" i="66"/>
  <c r="J2006" i="66"/>
  <c r="N2005" i="66"/>
  <c r="M2005" i="66"/>
  <c r="L2005" i="66"/>
  <c r="K2005" i="66"/>
  <c r="J2005" i="66"/>
  <c r="H2005" i="66"/>
  <c r="N2002" i="66"/>
  <c r="M2002" i="66"/>
  <c r="L2002" i="66"/>
  <c r="K2002" i="66"/>
  <c r="J2002" i="66"/>
  <c r="N2001" i="66"/>
  <c r="M2001" i="66"/>
  <c r="L2001" i="66"/>
  <c r="K2001" i="66"/>
  <c r="J2001" i="66"/>
  <c r="N2000" i="66"/>
  <c r="M2000" i="66"/>
  <c r="L2000" i="66"/>
  <c r="K2000" i="66"/>
  <c r="J2000" i="66"/>
  <c r="N1999" i="66"/>
  <c r="M1999" i="66"/>
  <c r="L1999" i="66"/>
  <c r="K1999" i="66"/>
  <c r="J1999" i="66"/>
  <c r="N1998" i="66"/>
  <c r="M1998" i="66"/>
  <c r="L1998" i="66"/>
  <c r="K1998" i="66"/>
  <c r="J1998" i="66"/>
  <c r="N1997" i="66"/>
  <c r="M1997" i="66"/>
  <c r="L1997" i="66"/>
  <c r="K1997" i="66"/>
  <c r="J1997" i="66"/>
  <c r="N1996" i="66"/>
  <c r="M1996" i="66"/>
  <c r="L1996" i="66"/>
  <c r="K1996" i="66"/>
  <c r="J1996" i="66"/>
  <c r="N1995" i="66"/>
  <c r="M1995" i="66"/>
  <c r="L1995" i="66"/>
  <c r="K1995" i="66"/>
  <c r="J1995" i="66"/>
  <c r="N1994" i="66"/>
  <c r="M1994" i="66"/>
  <c r="L1994" i="66"/>
  <c r="K1994" i="66"/>
  <c r="J1994" i="66"/>
  <c r="H1994" i="66"/>
  <c r="N1993" i="66"/>
  <c r="M1993" i="66"/>
  <c r="L1993" i="66"/>
  <c r="K1993" i="66"/>
  <c r="J1993" i="66"/>
  <c r="N1992" i="66"/>
  <c r="M1992" i="66"/>
  <c r="L1992" i="66"/>
  <c r="K1992" i="66"/>
  <c r="J1992" i="66"/>
  <c r="N1991" i="66"/>
  <c r="M1991" i="66"/>
  <c r="L1991" i="66"/>
  <c r="K1991" i="66"/>
  <c r="J1991" i="66"/>
  <c r="H1991" i="66"/>
  <c r="N1988" i="66"/>
  <c r="M1988" i="66"/>
  <c r="L1988" i="66"/>
  <c r="K1988" i="66"/>
  <c r="J1988" i="66"/>
  <c r="N1987" i="66"/>
  <c r="M1987" i="66"/>
  <c r="L1987" i="66"/>
  <c r="K1987" i="66"/>
  <c r="J1987" i="66"/>
  <c r="N1986" i="66"/>
  <c r="M1986" i="66"/>
  <c r="L1986" i="66"/>
  <c r="K1986" i="66"/>
  <c r="J1986" i="66"/>
  <c r="N1985" i="66"/>
  <c r="M1985" i="66"/>
  <c r="L1985" i="66"/>
  <c r="K1985" i="66"/>
  <c r="J1985" i="66"/>
  <c r="N1984" i="66"/>
  <c r="M1984" i="66"/>
  <c r="L1984" i="66"/>
  <c r="K1984" i="66"/>
  <c r="J1984" i="66"/>
  <c r="N1983" i="66"/>
  <c r="M1983" i="66"/>
  <c r="L1983" i="66"/>
  <c r="K1983" i="66"/>
  <c r="J1983" i="66"/>
  <c r="N1982" i="66"/>
  <c r="M1982" i="66"/>
  <c r="L1982" i="66"/>
  <c r="K1982" i="66"/>
  <c r="J1982" i="66"/>
  <c r="H1982" i="66"/>
  <c r="N1979" i="66"/>
  <c r="M1979" i="66"/>
  <c r="L1979" i="66"/>
  <c r="K1979" i="66"/>
  <c r="J1979" i="66"/>
  <c r="N1978" i="66"/>
  <c r="M1978" i="66"/>
  <c r="L1978" i="66"/>
  <c r="K1978" i="66"/>
  <c r="J1978" i="66"/>
  <c r="N1974" i="66"/>
  <c r="M1974" i="66"/>
  <c r="L1974" i="66"/>
  <c r="K1974" i="66"/>
  <c r="J1974" i="66"/>
  <c r="I1974" i="66"/>
  <c r="H1974" i="66"/>
  <c r="G1974" i="66"/>
  <c r="F1974" i="66"/>
  <c r="N1971" i="66"/>
  <c r="M1971" i="66"/>
  <c r="L1971" i="66"/>
  <c r="K1971" i="66"/>
  <c r="J1971" i="66"/>
  <c r="I1971" i="66"/>
  <c r="H1971" i="66"/>
  <c r="E1971" i="66"/>
  <c r="I1968" i="66"/>
  <c r="N1964" i="66"/>
  <c r="M1964" i="66"/>
  <c r="L1964" i="66"/>
  <c r="K1964" i="66"/>
  <c r="J1964" i="66"/>
  <c r="I1964" i="66"/>
  <c r="H1964" i="66"/>
  <c r="E1964" i="66"/>
  <c r="N1963" i="66"/>
  <c r="M1963" i="66"/>
  <c r="L1963" i="66"/>
  <c r="K1963" i="66"/>
  <c r="J1963" i="66"/>
  <c r="I1963" i="66"/>
  <c r="H1963" i="66"/>
  <c r="E1963" i="66"/>
  <c r="N1961" i="66"/>
  <c r="M1961" i="66"/>
  <c r="L1961" i="66"/>
  <c r="K1961" i="66"/>
  <c r="J1961" i="66"/>
  <c r="I1961" i="66"/>
  <c r="H1961" i="66"/>
  <c r="E1961" i="66"/>
  <c r="N1960" i="66"/>
  <c r="M1960" i="66"/>
  <c r="L1960" i="66"/>
  <c r="K1960" i="66"/>
  <c r="J1960" i="66"/>
  <c r="I1960" i="66"/>
  <c r="H1960" i="66"/>
  <c r="E1960" i="66"/>
  <c r="N1957" i="66"/>
  <c r="M1957" i="66"/>
  <c r="L1957" i="66"/>
  <c r="K1957" i="66"/>
  <c r="J1957" i="66"/>
  <c r="I1957" i="66"/>
  <c r="H1957" i="66"/>
  <c r="N1955" i="66"/>
  <c r="M1955" i="66"/>
  <c r="L1955" i="66"/>
  <c r="K1955" i="66"/>
  <c r="J1955" i="66"/>
  <c r="I1955" i="66"/>
  <c r="H1955" i="66"/>
  <c r="N1954" i="66"/>
  <c r="M1954" i="66"/>
  <c r="L1954" i="66"/>
  <c r="K1954" i="66"/>
  <c r="J1954" i="66"/>
  <c r="I1954" i="66"/>
  <c r="H1954" i="66"/>
  <c r="N1952" i="66"/>
  <c r="M1952" i="66"/>
  <c r="L1952" i="66"/>
  <c r="K1952" i="66"/>
  <c r="J1952" i="66"/>
  <c r="I1952" i="66"/>
  <c r="H1952" i="66"/>
  <c r="N1951" i="66"/>
  <c r="M1951" i="66"/>
  <c r="L1951" i="66"/>
  <c r="K1951" i="66"/>
  <c r="J1951" i="66"/>
  <c r="I1951" i="66"/>
  <c r="H1951" i="66"/>
  <c r="N1950" i="66"/>
  <c r="M1950" i="66"/>
  <c r="L1950" i="66"/>
  <c r="K1950" i="66"/>
  <c r="J1950" i="66"/>
  <c r="I1950" i="66"/>
  <c r="H1950" i="66"/>
  <c r="N1949" i="66"/>
  <c r="M1949" i="66"/>
  <c r="L1949" i="66"/>
  <c r="K1949" i="66"/>
  <c r="J1949" i="66"/>
  <c r="I1949" i="66"/>
  <c r="H1949" i="66"/>
  <c r="N1948" i="66"/>
  <c r="M1948" i="66"/>
  <c r="L1948" i="66"/>
  <c r="K1948" i="66"/>
  <c r="J1948" i="66"/>
  <c r="I1948" i="66"/>
  <c r="H1948" i="66"/>
  <c r="N1947" i="66"/>
  <c r="M1947" i="66"/>
  <c r="L1947" i="66"/>
  <c r="K1947" i="66"/>
  <c r="J1947" i="66"/>
  <c r="I1947" i="66"/>
  <c r="H1947" i="66"/>
  <c r="N1946" i="66"/>
  <c r="M1946" i="66"/>
  <c r="L1946" i="66"/>
  <c r="K1946" i="66"/>
  <c r="J1946" i="66"/>
  <c r="I1946" i="66"/>
  <c r="H1946" i="66"/>
  <c r="N1945" i="66"/>
  <c r="M1945" i="66"/>
  <c r="L1945" i="66"/>
  <c r="K1945" i="66"/>
  <c r="J1945" i="66"/>
  <c r="I1945" i="66"/>
  <c r="H1945" i="66"/>
  <c r="N1944" i="66"/>
  <c r="M1944" i="66"/>
  <c r="L1944" i="66"/>
  <c r="K1944" i="66"/>
  <c r="J1944" i="66"/>
  <c r="I1944" i="66"/>
  <c r="H1944" i="66"/>
  <c r="N1943" i="66"/>
  <c r="M1943" i="66"/>
  <c r="L1943" i="66"/>
  <c r="K1943" i="66"/>
  <c r="J1943" i="66"/>
  <c r="I1943" i="66"/>
  <c r="H1943" i="66"/>
  <c r="N1941" i="66"/>
  <c r="M1941" i="66"/>
  <c r="L1941" i="66"/>
  <c r="K1941" i="66"/>
  <c r="J1941" i="66"/>
  <c r="I1941" i="66"/>
  <c r="H1941" i="66"/>
  <c r="N1940" i="66"/>
  <c r="M1940" i="66"/>
  <c r="L1940" i="66"/>
  <c r="K1940" i="66"/>
  <c r="J1940" i="66"/>
  <c r="I1940" i="66"/>
  <c r="H1940" i="66"/>
  <c r="N1938" i="66"/>
  <c r="M1938" i="66"/>
  <c r="L1938" i="66"/>
  <c r="K1938" i="66"/>
  <c r="J1938" i="66"/>
  <c r="I1938" i="66"/>
  <c r="H1938" i="66"/>
  <c r="N1937" i="66"/>
  <c r="M1937" i="66"/>
  <c r="L1937" i="66"/>
  <c r="K1937" i="66"/>
  <c r="J1937" i="66"/>
  <c r="I1937" i="66"/>
  <c r="H1937" i="66"/>
  <c r="N1935" i="66"/>
  <c r="M1935" i="66"/>
  <c r="L1935" i="66"/>
  <c r="K1935" i="66"/>
  <c r="J1935" i="66"/>
  <c r="I1935" i="66"/>
  <c r="H1935" i="66"/>
  <c r="N1934" i="66"/>
  <c r="M1934" i="66"/>
  <c r="L1934" i="66"/>
  <c r="K1934" i="66"/>
  <c r="J1934" i="66"/>
  <c r="I1934" i="66"/>
  <c r="H1934" i="66"/>
  <c r="N1932" i="66"/>
  <c r="M1932" i="66"/>
  <c r="L1932" i="66"/>
  <c r="K1932" i="66"/>
  <c r="J1932" i="66"/>
  <c r="I1932" i="66"/>
  <c r="H1932" i="66"/>
  <c r="N1931" i="66"/>
  <c r="M1931" i="66"/>
  <c r="L1931" i="66"/>
  <c r="K1931" i="66"/>
  <c r="J1931" i="66"/>
  <c r="I1931" i="66"/>
  <c r="H1931" i="66"/>
  <c r="N1930" i="66"/>
  <c r="M1930" i="66"/>
  <c r="L1930" i="66"/>
  <c r="K1930" i="66"/>
  <c r="J1930" i="66"/>
  <c r="I1930" i="66"/>
  <c r="H1930" i="66"/>
  <c r="N1929" i="66"/>
  <c r="M1929" i="66"/>
  <c r="L1929" i="66"/>
  <c r="K1929" i="66"/>
  <c r="J1929" i="66"/>
  <c r="I1929" i="66"/>
  <c r="H1929" i="66"/>
  <c r="N1927" i="66"/>
  <c r="M1927" i="66"/>
  <c r="L1927" i="66"/>
  <c r="K1927" i="66"/>
  <c r="J1927" i="66"/>
  <c r="I1927" i="66"/>
  <c r="H1927" i="66"/>
  <c r="N1926" i="66"/>
  <c r="M1926" i="66"/>
  <c r="L1926" i="66"/>
  <c r="K1926" i="66"/>
  <c r="J1926" i="66"/>
  <c r="I1926" i="66"/>
  <c r="H1926" i="66"/>
  <c r="N1924" i="66"/>
  <c r="M1924" i="66"/>
  <c r="L1924" i="66"/>
  <c r="K1924" i="66"/>
  <c r="J1924" i="66"/>
  <c r="I1924" i="66"/>
  <c r="H1924" i="66"/>
  <c r="N1919" i="66"/>
  <c r="M1919" i="66"/>
  <c r="L1919" i="66"/>
  <c r="K1919" i="66"/>
  <c r="J1919" i="66"/>
  <c r="I1919" i="66"/>
  <c r="N1918" i="66"/>
  <c r="M1918" i="66"/>
  <c r="L1918" i="66"/>
  <c r="K1918" i="66"/>
  <c r="J1918" i="66"/>
  <c r="I1918" i="66"/>
  <c r="N1917" i="66"/>
  <c r="M1917" i="66"/>
  <c r="L1917" i="66"/>
  <c r="K1917" i="66"/>
  <c r="J1917" i="66"/>
  <c r="I1917" i="66"/>
  <c r="N1916" i="66"/>
  <c r="M1916" i="66"/>
  <c r="L1916" i="66"/>
  <c r="K1916" i="66"/>
  <c r="J1916" i="66"/>
  <c r="I1916" i="66"/>
  <c r="N1915" i="66"/>
  <c r="M1915" i="66"/>
  <c r="L1915" i="66"/>
  <c r="K1915" i="66"/>
  <c r="J1915" i="66"/>
  <c r="I1915" i="66"/>
  <c r="N1914" i="66"/>
  <c r="M1914" i="66"/>
  <c r="L1914" i="66"/>
  <c r="K1914" i="66"/>
  <c r="J1914" i="66"/>
  <c r="I1914" i="66"/>
  <c r="N1913" i="66"/>
  <c r="M1913" i="66"/>
  <c r="L1913" i="66"/>
  <c r="K1913" i="66"/>
  <c r="J1913" i="66"/>
  <c r="I1913" i="66"/>
  <c r="H1913" i="66"/>
  <c r="N1908" i="66"/>
  <c r="M1908" i="66"/>
  <c r="L1908" i="66"/>
  <c r="K1908" i="66"/>
  <c r="J1908" i="66"/>
  <c r="N1907" i="66"/>
  <c r="M1907" i="66"/>
  <c r="L1907" i="66"/>
  <c r="K1907" i="66"/>
  <c r="J1907" i="66"/>
  <c r="N1906" i="66"/>
  <c r="M1906" i="66"/>
  <c r="L1906" i="66"/>
  <c r="K1906" i="66"/>
  <c r="J1906" i="66"/>
  <c r="N1905" i="66"/>
  <c r="M1905" i="66"/>
  <c r="L1905" i="66"/>
  <c r="K1905" i="66"/>
  <c r="J1905" i="66"/>
  <c r="N1904" i="66"/>
  <c r="M1904" i="66"/>
  <c r="L1904" i="66"/>
  <c r="K1904" i="66"/>
  <c r="J1904" i="66"/>
  <c r="N1903" i="66"/>
  <c r="M1903" i="66"/>
  <c r="L1903" i="66"/>
  <c r="K1903" i="66"/>
  <c r="J1903" i="66"/>
  <c r="N1902" i="66"/>
  <c r="M1902" i="66"/>
  <c r="L1902" i="66"/>
  <c r="K1902" i="66"/>
  <c r="J1902" i="66"/>
  <c r="N1901" i="66"/>
  <c r="M1901" i="66"/>
  <c r="L1901" i="66"/>
  <c r="K1901" i="66"/>
  <c r="J1901" i="66"/>
  <c r="N1900" i="66"/>
  <c r="M1900" i="66"/>
  <c r="L1900" i="66"/>
  <c r="K1900" i="66"/>
  <c r="J1900" i="66"/>
  <c r="N1899" i="66"/>
  <c r="M1899" i="66"/>
  <c r="L1899" i="66"/>
  <c r="K1899" i="66"/>
  <c r="J1899" i="66"/>
  <c r="N1898" i="66"/>
  <c r="M1898" i="66"/>
  <c r="L1898" i="66"/>
  <c r="K1898" i="66"/>
  <c r="J1898" i="66"/>
  <c r="N1897" i="66"/>
  <c r="M1897" i="66"/>
  <c r="L1897" i="66"/>
  <c r="K1897" i="66"/>
  <c r="J1897" i="66"/>
  <c r="H1897" i="66"/>
  <c r="N1894" i="66"/>
  <c r="M1894" i="66"/>
  <c r="L1894" i="66"/>
  <c r="K1894" i="66"/>
  <c r="J1894" i="66"/>
  <c r="N1893" i="66"/>
  <c r="M1893" i="66"/>
  <c r="L1893" i="66"/>
  <c r="K1893" i="66"/>
  <c r="J1893" i="66"/>
  <c r="N1892" i="66"/>
  <c r="M1892" i="66"/>
  <c r="L1892" i="66"/>
  <c r="K1892" i="66"/>
  <c r="J1892" i="66"/>
  <c r="N1891" i="66"/>
  <c r="M1891" i="66"/>
  <c r="L1891" i="66"/>
  <c r="K1891" i="66"/>
  <c r="J1891" i="66"/>
  <c r="N1890" i="66"/>
  <c r="M1890" i="66"/>
  <c r="L1890" i="66"/>
  <c r="K1890" i="66"/>
  <c r="J1890" i="66"/>
  <c r="N1889" i="66"/>
  <c r="M1889" i="66"/>
  <c r="L1889" i="66"/>
  <c r="K1889" i="66"/>
  <c r="J1889" i="66"/>
  <c r="N1888" i="66"/>
  <c r="M1888" i="66"/>
  <c r="L1888" i="66"/>
  <c r="K1888" i="66"/>
  <c r="J1888" i="66"/>
  <c r="N1887" i="66"/>
  <c r="M1887" i="66"/>
  <c r="L1887" i="66"/>
  <c r="K1887" i="66"/>
  <c r="J1887" i="66"/>
  <c r="N1886" i="66"/>
  <c r="M1886" i="66"/>
  <c r="L1886" i="66"/>
  <c r="K1886" i="66"/>
  <c r="J1886" i="66"/>
  <c r="N1885" i="66"/>
  <c r="M1885" i="66"/>
  <c r="L1885" i="66"/>
  <c r="K1885" i="66"/>
  <c r="J1885" i="66"/>
  <c r="N1884" i="66"/>
  <c r="M1884" i="66"/>
  <c r="L1884" i="66"/>
  <c r="K1884" i="66"/>
  <c r="J1884" i="66"/>
  <c r="N1883" i="66"/>
  <c r="M1883" i="66"/>
  <c r="L1883" i="66"/>
  <c r="K1883" i="66"/>
  <c r="J1883" i="66"/>
  <c r="H1883" i="66"/>
  <c r="N1880" i="66"/>
  <c r="M1880" i="66"/>
  <c r="L1880" i="66"/>
  <c r="K1880" i="66"/>
  <c r="J1880" i="66"/>
  <c r="N1879" i="66"/>
  <c r="M1879" i="66"/>
  <c r="L1879" i="66"/>
  <c r="K1879" i="66"/>
  <c r="J1879" i="66"/>
  <c r="N1878" i="66"/>
  <c r="M1878" i="66"/>
  <c r="L1878" i="66"/>
  <c r="K1878" i="66"/>
  <c r="J1878" i="66"/>
  <c r="N1877" i="66"/>
  <c r="M1877" i="66"/>
  <c r="L1877" i="66"/>
  <c r="K1877" i="66"/>
  <c r="J1877" i="66"/>
  <c r="N1876" i="66"/>
  <c r="M1876" i="66"/>
  <c r="L1876" i="66"/>
  <c r="K1876" i="66"/>
  <c r="J1876" i="66"/>
  <c r="N1875" i="66"/>
  <c r="M1875" i="66"/>
  <c r="L1875" i="66"/>
  <c r="K1875" i="66"/>
  <c r="J1875" i="66"/>
  <c r="N1874" i="66"/>
  <c r="M1874" i="66"/>
  <c r="L1874" i="66"/>
  <c r="K1874" i="66"/>
  <c r="J1874" i="66"/>
  <c r="N1873" i="66"/>
  <c r="M1873" i="66"/>
  <c r="L1873" i="66"/>
  <c r="K1873" i="66"/>
  <c r="J1873" i="66"/>
  <c r="N1872" i="66"/>
  <c r="M1872" i="66"/>
  <c r="L1872" i="66"/>
  <c r="K1872" i="66"/>
  <c r="J1872" i="66"/>
  <c r="N1871" i="66"/>
  <c r="M1871" i="66"/>
  <c r="L1871" i="66"/>
  <c r="K1871" i="66"/>
  <c r="J1871" i="66"/>
  <c r="N1870" i="66"/>
  <c r="M1870" i="66"/>
  <c r="L1870" i="66"/>
  <c r="K1870" i="66"/>
  <c r="J1870" i="66"/>
  <c r="N1869" i="66"/>
  <c r="M1869" i="66"/>
  <c r="L1869" i="66"/>
  <c r="K1869" i="66"/>
  <c r="J1869" i="66"/>
  <c r="H1869" i="66"/>
  <c r="N1866" i="66"/>
  <c r="M1866" i="66"/>
  <c r="L1866" i="66"/>
  <c r="K1866" i="66"/>
  <c r="J1866" i="66"/>
  <c r="N1865" i="66"/>
  <c r="M1865" i="66"/>
  <c r="L1865" i="66"/>
  <c r="K1865" i="66"/>
  <c r="J1865" i="66"/>
  <c r="N1864" i="66"/>
  <c r="M1864" i="66"/>
  <c r="L1864" i="66"/>
  <c r="K1864" i="66"/>
  <c r="J1864" i="66"/>
  <c r="N1863" i="66"/>
  <c r="M1863" i="66"/>
  <c r="L1863" i="66"/>
  <c r="K1863" i="66"/>
  <c r="J1863" i="66"/>
  <c r="N1862" i="66"/>
  <c r="M1862" i="66"/>
  <c r="L1862" i="66"/>
  <c r="K1862" i="66"/>
  <c r="J1862" i="66"/>
  <c r="N1861" i="66"/>
  <c r="M1861" i="66"/>
  <c r="L1861" i="66"/>
  <c r="K1861" i="66"/>
  <c r="J1861" i="66"/>
  <c r="N1860" i="66"/>
  <c r="M1860" i="66"/>
  <c r="L1860" i="66"/>
  <c r="K1860" i="66"/>
  <c r="J1860" i="66"/>
  <c r="N1859" i="66"/>
  <c r="M1859" i="66"/>
  <c r="L1859" i="66"/>
  <c r="K1859" i="66"/>
  <c r="J1859" i="66"/>
  <c r="N1858" i="66"/>
  <c r="M1858" i="66"/>
  <c r="L1858" i="66"/>
  <c r="K1858" i="66"/>
  <c r="J1858" i="66"/>
  <c r="N1857" i="66"/>
  <c r="M1857" i="66"/>
  <c r="L1857" i="66"/>
  <c r="K1857" i="66"/>
  <c r="J1857" i="66"/>
  <c r="N1856" i="66"/>
  <c r="M1856" i="66"/>
  <c r="L1856" i="66"/>
  <c r="K1856" i="66"/>
  <c r="J1856" i="66"/>
  <c r="N1855" i="66"/>
  <c r="M1855" i="66"/>
  <c r="L1855" i="66"/>
  <c r="K1855" i="66"/>
  <c r="J1855" i="66"/>
  <c r="H1855" i="66"/>
  <c r="N1852" i="66"/>
  <c r="M1852" i="66"/>
  <c r="L1852" i="66"/>
  <c r="K1852" i="66"/>
  <c r="J1852" i="66"/>
  <c r="N1851" i="66"/>
  <c r="M1851" i="66"/>
  <c r="L1851" i="66"/>
  <c r="K1851" i="66"/>
  <c r="J1851" i="66"/>
  <c r="N1850" i="66"/>
  <c r="M1850" i="66"/>
  <c r="L1850" i="66"/>
  <c r="K1850" i="66"/>
  <c r="J1850" i="66"/>
  <c r="N1849" i="66"/>
  <c r="M1849" i="66"/>
  <c r="L1849" i="66"/>
  <c r="K1849" i="66"/>
  <c r="J1849" i="66"/>
  <c r="N1848" i="66"/>
  <c r="M1848" i="66"/>
  <c r="L1848" i="66"/>
  <c r="K1848" i="66"/>
  <c r="J1848" i="66"/>
  <c r="N1847" i="66"/>
  <c r="M1847" i="66"/>
  <c r="L1847" i="66"/>
  <c r="K1847" i="66"/>
  <c r="J1847" i="66"/>
  <c r="N1846" i="66"/>
  <c r="M1846" i="66"/>
  <c r="L1846" i="66"/>
  <c r="K1846" i="66"/>
  <c r="J1846" i="66"/>
  <c r="N1845" i="66"/>
  <c r="M1845" i="66"/>
  <c r="L1845" i="66"/>
  <c r="K1845" i="66"/>
  <c r="J1845" i="66"/>
  <c r="N1844" i="66"/>
  <c r="M1844" i="66"/>
  <c r="L1844" i="66"/>
  <c r="K1844" i="66"/>
  <c r="J1844" i="66"/>
  <c r="N1843" i="66"/>
  <c r="M1843" i="66"/>
  <c r="L1843" i="66"/>
  <c r="K1843" i="66"/>
  <c r="J1843" i="66"/>
  <c r="N1842" i="66"/>
  <c r="M1842" i="66"/>
  <c r="L1842" i="66"/>
  <c r="K1842" i="66"/>
  <c r="J1842" i="66"/>
  <c r="N1841" i="66"/>
  <c r="M1841" i="66"/>
  <c r="L1841" i="66"/>
  <c r="K1841" i="66"/>
  <c r="J1841" i="66"/>
  <c r="H1841" i="66"/>
  <c r="N1838" i="66"/>
  <c r="M1838" i="66"/>
  <c r="L1838" i="66"/>
  <c r="K1838" i="66"/>
  <c r="J1838" i="66"/>
  <c r="N1837" i="66"/>
  <c r="M1837" i="66"/>
  <c r="L1837" i="66"/>
  <c r="K1837" i="66"/>
  <c r="J1837" i="66"/>
  <c r="N1836" i="66"/>
  <c r="M1836" i="66"/>
  <c r="L1836" i="66"/>
  <c r="K1836" i="66"/>
  <c r="J1836" i="66"/>
  <c r="N1835" i="66"/>
  <c r="M1835" i="66"/>
  <c r="L1835" i="66"/>
  <c r="K1835" i="66"/>
  <c r="J1835" i="66"/>
  <c r="N1834" i="66"/>
  <c r="M1834" i="66"/>
  <c r="L1834" i="66"/>
  <c r="K1834" i="66"/>
  <c r="J1834" i="66"/>
  <c r="N1833" i="66"/>
  <c r="M1833" i="66"/>
  <c r="L1833" i="66"/>
  <c r="K1833" i="66"/>
  <c r="J1833" i="66"/>
  <c r="N1832" i="66"/>
  <c r="M1832" i="66"/>
  <c r="L1832" i="66"/>
  <c r="K1832" i="66"/>
  <c r="J1832" i="66"/>
  <c r="N1831" i="66"/>
  <c r="M1831" i="66"/>
  <c r="L1831" i="66"/>
  <c r="K1831" i="66"/>
  <c r="J1831" i="66"/>
  <c r="N1830" i="66"/>
  <c r="M1830" i="66"/>
  <c r="L1830" i="66"/>
  <c r="K1830" i="66"/>
  <c r="J1830" i="66"/>
  <c r="H1830" i="66"/>
  <c r="N1829" i="66"/>
  <c r="M1829" i="66"/>
  <c r="L1829" i="66"/>
  <c r="K1829" i="66"/>
  <c r="J1829" i="66"/>
  <c r="N1828" i="66"/>
  <c r="M1828" i="66"/>
  <c r="L1828" i="66"/>
  <c r="K1828" i="66"/>
  <c r="J1828" i="66"/>
  <c r="N1827" i="66"/>
  <c r="M1827" i="66"/>
  <c r="L1827" i="66"/>
  <c r="K1827" i="66"/>
  <c r="J1827" i="66"/>
  <c r="H1827" i="66"/>
  <c r="N1824" i="66"/>
  <c r="M1824" i="66"/>
  <c r="L1824" i="66"/>
  <c r="K1824" i="66"/>
  <c r="J1824" i="66"/>
  <c r="N1823" i="66"/>
  <c r="M1823" i="66"/>
  <c r="L1823" i="66"/>
  <c r="K1823" i="66"/>
  <c r="J1823" i="66"/>
  <c r="N1822" i="66"/>
  <c r="M1822" i="66"/>
  <c r="L1822" i="66"/>
  <c r="K1822" i="66"/>
  <c r="J1822" i="66"/>
  <c r="N1821" i="66"/>
  <c r="M1821" i="66"/>
  <c r="L1821" i="66"/>
  <c r="K1821" i="66"/>
  <c r="J1821" i="66"/>
  <c r="N1820" i="66"/>
  <c r="M1820" i="66"/>
  <c r="L1820" i="66"/>
  <c r="K1820" i="66"/>
  <c r="J1820" i="66"/>
  <c r="N1819" i="66"/>
  <c r="M1819" i="66"/>
  <c r="L1819" i="66"/>
  <c r="K1819" i="66"/>
  <c r="J1819" i="66"/>
  <c r="N1818" i="66"/>
  <c r="M1818" i="66"/>
  <c r="L1818" i="66"/>
  <c r="K1818" i="66"/>
  <c r="J1818" i="66"/>
  <c r="H1818" i="66"/>
  <c r="N1815" i="66"/>
  <c r="M1815" i="66"/>
  <c r="L1815" i="66"/>
  <c r="K1815" i="66"/>
  <c r="J1815" i="66"/>
  <c r="N1814" i="66"/>
  <c r="M1814" i="66"/>
  <c r="L1814" i="66"/>
  <c r="K1814" i="66"/>
  <c r="J1814" i="66"/>
  <c r="N1810" i="66"/>
  <c r="M1810" i="66"/>
  <c r="L1810" i="66"/>
  <c r="K1810" i="66"/>
  <c r="J1810" i="66"/>
  <c r="I1810" i="66"/>
  <c r="H1810" i="66"/>
  <c r="G1810" i="66"/>
  <c r="F1810" i="66"/>
  <c r="N1807" i="66"/>
  <c r="M1807" i="66"/>
  <c r="L1807" i="66"/>
  <c r="K1807" i="66"/>
  <c r="J1807" i="66"/>
  <c r="I1807" i="66"/>
  <c r="H1807" i="66"/>
  <c r="E1807" i="66"/>
  <c r="I1804" i="66"/>
  <c r="N1800" i="66"/>
  <c r="M1800" i="66"/>
  <c r="L1800" i="66"/>
  <c r="K1800" i="66"/>
  <c r="J1800" i="66"/>
  <c r="I1800" i="66"/>
  <c r="H1800" i="66"/>
  <c r="E1800" i="66"/>
  <c r="N1799" i="66"/>
  <c r="M1799" i="66"/>
  <c r="L1799" i="66"/>
  <c r="K1799" i="66"/>
  <c r="J1799" i="66"/>
  <c r="I1799" i="66"/>
  <c r="H1799" i="66"/>
  <c r="E1799" i="66"/>
  <c r="N1797" i="66"/>
  <c r="M1797" i="66"/>
  <c r="L1797" i="66"/>
  <c r="K1797" i="66"/>
  <c r="J1797" i="66"/>
  <c r="I1797" i="66"/>
  <c r="H1797" i="66"/>
  <c r="E1797" i="66"/>
  <c r="N1796" i="66"/>
  <c r="M1796" i="66"/>
  <c r="L1796" i="66"/>
  <c r="K1796" i="66"/>
  <c r="J1796" i="66"/>
  <c r="I1796" i="66"/>
  <c r="H1796" i="66"/>
  <c r="E1796" i="66"/>
  <c r="N1793" i="66"/>
  <c r="M1793" i="66"/>
  <c r="L1793" i="66"/>
  <c r="K1793" i="66"/>
  <c r="J1793" i="66"/>
  <c r="I1793" i="66"/>
  <c r="H1793" i="66"/>
  <c r="N1791" i="66"/>
  <c r="M1791" i="66"/>
  <c r="L1791" i="66"/>
  <c r="K1791" i="66"/>
  <c r="J1791" i="66"/>
  <c r="I1791" i="66"/>
  <c r="H1791" i="66"/>
  <c r="N1790" i="66"/>
  <c r="M1790" i="66"/>
  <c r="L1790" i="66"/>
  <c r="K1790" i="66"/>
  <c r="J1790" i="66"/>
  <c r="I1790" i="66"/>
  <c r="H1790" i="66"/>
  <c r="N1788" i="66"/>
  <c r="M1788" i="66"/>
  <c r="L1788" i="66"/>
  <c r="K1788" i="66"/>
  <c r="J1788" i="66"/>
  <c r="I1788" i="66"/>
  <c r="H1788" i="66"/>
  <c r="N1787" i="66"/>
  <c r="M1787" i="66"/>
  <c r="L1787" i="66"/>
  <c r="K1787" i="66"/>
  <c r="J1787" i="66"/>
  <c r="I1787" i="66"/>
  <c r="H1787" i="66"/>
  <c r="N1786" i="66"/>
  <c r="M1786" i="66"/>
  <c r="L1786" i="66"/>
  <c r="K1786" i="66"/>
  <c r="J1786" i="66"/>
  <c r="I1786" i="66"/>
  <c r="H1786" i="66"/>
  <c r="N1785" i="66"/>
  <c r="M1785" i="66"/>
  <c r="L1785" i="66"/>
  <c r="K1785" i="66"/>
  <c r="J1785" i="66"/>
  <c r="I1785" i="66"/>
  <c r="H1785" i="66"/>
  <c r="N1784" i="66"/>
  <c r="M1784" i="66"/>
  <c r="L1784" i="66"/>
  <c r="K1784" i="66"/>
  <c r="J1784" i="66"/>
  <c r="I1784" i="66"/>
  <c r="H1784" i="66"/>
  <c r="N1783" i="66"/>
  <c r="M1783" i="66"/>
  <c r="L1783" i="66"/>
  <c r="K1783" i="66"/>
  <c r="J1783" i="66"/>
  <c r="I1783" i="66"/>
  <c r="H1783" i="66"/>
  <c r="N1782" i="66"/>
  <c r="M1782" i="66"/>
  <c r="L1782" i="66"/>
  <c r="K1782" i="66"/>
  <c r="J1782" i="66"/>
  <c r="I1782" i="66"/>
  <c r="H1782" i="66"/>
  <c r="N1781" i="66"/>
  <c r="M1781" i="66"/>
  <c r="L1781" i="66"/>
  <c r="K1781" i="66"/>
  <c r="J1781" i="66"/>
  <c r="I1781" i="66"/>
  <c r="H1781" i="66"/>
  <c r="N1780" i="66"/>
  <c r="M1780" i="66"/>
  <c r="L1780" i="66"/>
  <c r="K1780" i="66"/>
  <c r="J1780" i="66"/>
  <c r="I1780" i="66"/>
  <c r="H1780" i="66"/>
  <c r="N1779" i="66"/>
  <c r="M1779" i="66"/>
  <c r="L1779" i="66"/>
  <c r="K1779" i="66"/>
  <c r="J1779" i="66"/>
  <c r="I1779" i="66"/>
  <c r="H1779" i="66"/>
  <c r="N1777" i="66"/>
  <c r="M1777" i="66"/>
  <c r="L1777" i="66"/>
  <c r="K1777" i="66"/>
  <c r="J1777" i="66"/>
  <c r="I1777" i="66"/>
  <c r="H1777" i="66"/>
  <c r="N1776" i="66"/>
  <c r="M1776" i="66"/>
  <c r="L1776" i="66"/>
  <c r="K1776" i="66"/>
  <c r="J1776" i="66"/>
  <c r="I1776" i="66"/>
  <c r="H1776" i="66"/>
  <c r="N1774" i="66"/>
  <c r="M1774" i="66"/>
  <c r="L1774" i="66"/>
  <c r="K1774" i="66"/>
  <c r="J1774" i="66"/>
  <c r="I1774" i="66"/>
  <c r="H1774" i="66"/>
  <c r="N1773" i="66"/>
  <c r="M1773" i="66"/>
  <c r="L1773" i="66"/>
  <c r="K1773" i="66"/>
  <c r="J1773" i="66"/>
  <c r="I1773" i="66"/>
  <c r="H1773" i="66"/>
  <c r="N1771" i="66"/>
  <c r="M1771" i="66"/>
  <c r="L1771" i="66"/>
  <c r="K1771" i="66"/>
  <c r="J1771" i="66"/>
  <c r="I1771" i="66"/>
  <c r="H1771" i="66"/>
  <c r="N1770" i="66"/>
  <c r="M1770" i="66"/>
  <c r="L1770" i="66"/>
  <c r="K1770" i="66"/>
  <c r="J1770" i="66"/>
  <c r="I1770" i="66"/>
  <c r="H1770" i="66"/>
  <c r="N1768" i="66"/>
  <c r="M1768" i="66"/>
  <c r="L1768" i="66"/>
  <c r="K1768" i="66"/>
  <c r="J1768" i="66"/>
  <c r="I1768" i="66"/>
  <c r="H1768" i="66"/>
  <c r="N1767" i="66"/>
  <c r="M1767" i="66"/>
  <c r="L1767" i="66"/>
  <c r="K1767" i="66"/>
  <c r="J1767" i="66"/>
  <c r="I1767" i="66"/>
  <c r="H1767" i="66"/>
  <c r="N1766" i="66"/>
  <c r="M1766" i="66"/>
  <c r="L1766" i="66"/>
  <c r="K1766" i="66"/>
  <c r="J1766" i="66"/>
  <c r="I1766" i="66"/>
  <c r="H1766" i="66"/>
  <c r="N1765" i="66"/>
  <c r="M1765" i="66"/>
  <c r="L1765" i="66"/>
  <c r="K1765" i="66"/>
  <c r="J1765" i="66"/>
  <c r="I1765" i="66"/>
  <c r="H1765" i="66"/>
  <c r="N1763" i="66"/>
  <c r="M1763" i="66"/>
  <c r="L1763" i="66"/>
  <c r="K1763" i="66"/>
  <c r="J1763" i="66"/>
  <c r="I1763" i="66"/>
  <c r="H1763" i="66"/>
  <c r="N1762" i="66"/>
  <c r="M1762" i="66"/>
  <c r="L1762" i="66"/>
  <c r="K1762" i="66"/>
  <c r="J1762" i="66"/>
  <c r="I1762" i="66"/>
  <c r="H1762" i="66"/>
  <c r="N1760" i="66"/>
  <c r="M1760" i="66"/>
  <c r="L1760" i="66"/>
  <c r="K1760" i="66"/>
  <c r="J1760" i="66"/>
  <c r="I1760" i="66"/>
  <c r="H1760" i="66"/>
  <c r="N1755" i="66"/>
  <c r="M1755" i="66"/>
  <c r="L1755" i="66"/>
  <c r="K1755" i="66"/>
  <c r="J1755" i="66"/>
  <c r="I1755" i="66"/>
  <c r="N1754" i="66"/>
  <c r="M1754" i="66"/>
  <c r="L1754" i="66"/>
  <c r="K1754" i="66"/>
  <c r="J1754" i="66"/>
  <c r="I1754" i="66"/>
  <c r="N1753" i="66"/>
  <c r="M1753" i="66"/>
  <c r="L1753" i="66"/>
  <c r="K1753" i="66"/>
  <c r="J1753" i="66"/>
  <c r="I1753" i="66"/>
  <c r="N1752" i="66"/>
  <c r="M1752" i="66"/>
  <c r="L1752" i="66"/>
  <c r="K1752" i="66"/>
  <c r="J1752" i="66"/>
  <c r="I1752" i="66"/>
  <c r="N1751" i="66"/>
  <c r="M1751" i="66"/>
  <c r="L1751" i="66"/>
  <c r="K1751" i="66"/>
  <c r="J1751" i="66"/>
  <c r="I1751" i="66"/>
  <c r="N1750" i="66"/>
  <c r="M1750" i="66"/>
  <c r="L1750" i="66"/>
  <c r="K1750" i="66"/>
  <c r="J1750" i="66"/>
  <c r="I1750" i="66"/>
  <c r="N1749" i="66"/>
  <c r="M1749" i="66"/>
  <c r="L1749" i="66"/>
  <c r="K1749" i="66"/>
  <c r="J1749" i="66"/>
  <c r="I1749" i="66"/>
  <c r="H1749" i="66"/>
  <c r="N1744" i="66"/>
  <c r="M1744" i="66"/>
  <c r="L1744" i="66"/>
  <c r="K1744" i="66"/>
  <c r="J1744" i="66"/>
  <c r="N1743" i="66"/>
  <c r="M1743" i="66"/>
  <c r="L1743" i="66"/>
  <c r="K1743" i="66"/>
  <c r="J1743" i="66"/>
  <c r="N1742" i="66"/>
  <c r="M1742" i="66"/>
  <c r="L1742" i="66"/>
  <c r="K1742" i="66"/>
  <c r="J1742" i="66"/>
  <c r="N1741" i="66"/>
  <c r="M1741" i="66"/>
  <c r="L1741" i="66"/>
  <c r="K1741" i="66"/>
  <c r="J1741" i="66"/>
  <c r="N1740" i="66"/>
  <c r="M1740" i="66"/>
  <c r="L1740" i="66"/>
  <c r="K1740" i="66"/>
  <c r="J1740" i="66"/>
  <c r="N1739" i="66"/>
  <c r="M1739" i="66"/>
  <c r="L1739" i="66"/>
  <c r="K1739" i="66"/>
  <c r="J1739" i="66"/>
  <c r="N1738" i="66"/>
  <c r="M1738" i="66"/>
  <c r="L1738" i="66"/>
  <c r="K1738" i="66"/>
  <c r="J1738" i="66"/>
  <c r="N1737" i="66"/>
  <c r="M1737" i="66"/>
  <c r="L1737" i="66"/>
  <c r="K1737" i="66"/>
  <c r="J1737" i="66"/>
  <c r="N1736" i="66"/>
  <c r="M1736" i="66"/>
  <c r="L1736" i="66"/>
  <c r="K1736" i="66"/>
  <c r="J1736" i="66"/>
  <c r="N1735" i="66"/>
  <c r="M1735" i="66"/>
  <c r="L1735" i="66"/>
  <c r="K1735" i="66"/>
  <c r="J1735" i="66"/>
  <c r="N1734" i="66"/>
  <c r="M1734" i="66"/>
  <c r="L1734" i="66"/>
  <c r="K1734" i="66"/>
  <c r="J1734" i="66"/>
  <c r="N1733" i="66"/>
  <c r="M1733" i="66"/>
  <c r="L1733" i="66"/>
  <c r="K1733" i="66"/>
  <c r="J1733" i="66"/>
  <c r="H1733" i="66"/>
  <c r="N1730" i="66"/>
  <c r="M1730" i="66"/>
  <c r="L1730" i="66"/>
  <c r="K1730" i="66"/>
  <c r="J1730" i="66"/>
  <c r="N1729" i="66"/>
  <c r="M1729" i="66"/>
  <c r="L1729" i="66"/>
  <c r="K1729" i="66"/>
  <c r="J1729" i="66"/>
  <c r="N1728" i="66"/>
  <c r="M1728" i="66"/>
  <c r="L1728" i="66"/>
  <c r="K1728" i="66"/>
  <c r="J1728" i="66"/>
  <c r="N1727" i="66"/>
  <c r="M1727" i="66"/>
  <c r="L1727" i="66"/>
  <c r="K1727" i="66"/>
  <c r="J1727" i="66"/>
  <c r="N1726" i="66"/>
  <c r="M1726" i="66"/>
  <c r="L1726" i="66"/>
  <c r="K1726" i="66"/>
  <c r="J1726" i="66"/>
  <c r="N1725" i="66"/>
  <c r="M1725" i="66"/>
  <c r="L1725" i="66"/>
  <c r="K1725" i="66"/>
  <c r="J1725" i="66"/>
  <c r="N1724" i="66"/>
  <c r="M1724" i="66"/>
  <c r="L1724" i="66"/>
  <c r="K1724" i="66"/>
  <c r="J1724" i="66"/>
  <c r="N1723" i="66"/>
  <c r="M1723" i="66"/>
  <c r="L1723" i="66"/>
  <c r="K1723" i="66"/>
  <c r="J1723" i="66"/>
  <c r="N1722" i="66"/>
  <c r="M1722" i="66"/>
  <c r="L1722" i="66"/>
  <c r="K1722" i="66"/>
  <c r="J1722" i="66"/>
  <c r="N1721" i="66"/>
  <c r="M1721" i="66"/>
  <c r="L1721" i="66"/>
  <c r="K1721" i="66"/>
  <c r="J1721" i="66"/>
  <c r="N1720" i="66"/>
  <c r="M1720" i="66"/>
  <c r="L1720" i="66"/>
  <c r="K1720" i="66"/>
  <c r="J1720" i="66"/>
  <c r="N1719" i="66"/>
  <c r="M1719" i="66"/>
  <c r="L1719" i="66"/>
  <c r="K1719" i="66"/>
  <c r="J1719" i="66"/>
  <c r="H1719" i="66"/>
  <c r="N1716" i="66"/>
  <c r="M1716" i="66"/>
  <c r="L1716" i="66"/>
  <c r="K1716" i="66"/>
  <c r="J1716" i="66"/>
  <c r="N1715" i="66"/>
  <c r="M1715" i="66"/>
  <c r="L1715" i="66"/>
  <c r="K1715" i="66"/>
  <c r="J1715" i="66"/>
  <c r="N1714" i="66"/>
  <c r="M1714" i="66"/>
  <c r="L1714" i="66"/>
  <c r="K1714" i="66"/>
  <c r="J1714" i="66"/>
  <c r="N1713" i="66"/>
  <c r="M1713" i="66"/>
  <c r="L1713" i="66"/>
  <c r="K1713" i="66"/>
  <c r="J1713" i="66"/>
  <c r="N1712" i="66"/>
  <c r="M1712" i="66"/>
  <c r="L1712" i="66"/>
  <c r="K1712" i="66"/>
  <c r="J1712" i="66"/>
  <c r="N1711" i="66"/>
  <c r="M1711" i="66"/>
  <c r="L1711" i="66"/>
  <c r="K1711" i="66"/>
  <c r="J1711" i="66"/>
  <c r="N1710" i="66"/>
  <c r="M1710" i="66"/>
  <c r="L1710" i="66"/>
  <c r="K1710" i="66"/>
  <c r="J1710" i="66"/>
  <c r="N1709" i="66"/>
  <c r="M1709" i="66"/>
  <c r="L1709" i="66"/>
  <c r="K1709" i="66"/>
  <c r="J1709" i="66"/>
  <c r="N1708" i="66"/>
  <c r="M1708" i="66"/>
  <c r="L1708" i="66"/>
  <c r="K1708" i="66"/>
  <c r="J1708" i="66"/>
  <c r="N1707" i="66"/>
  <c r="M1707" i="66"/>
  <c r="L1707" i="66"/>
  <c r="K1707" i="66"/>
  <c r="J1707" i="66"/>
  <c r="N1706" i="66"/>
  <c r="M1706" i="66"/>
  <c r="L1706" i="66"/>
  <c r="K1706" i="66"/>
  <c r="J1706" i="66"/>
  <c r="N1705" i="66"/>
  <c r="M1705" i="66"/>
  <c r="L1705" i="66"/>
  <c r="K1705" i="66"/>
  <c r="J1705" i="66"/>
  <c r="H1705" i="66"/>
  <c r="N1702" i="66"/>
  <c r="M1702" i="66"/>
  <c r="L1702" i="66"/>
  <c r="K1702" i="66"/>
  <c r="J1702" i="66"/>
  <c r="N1701" i="66"/>
  <c r="M1701" i="66"/>
  <c r="L1701" i="66"/>
  <c r="K1701" i="66"/>
  <c r="J1701" i="66"/>
  <c r="N1700" i="66"/>
  <c r="M1700" i="66"/>
  <c r="L1700" i="66"/>
  <c r="K1700" i="66"/>
  <c r="J1700" i="66"/>
  <c r="N1699" i="66"/>
  <c r="M1699" i="66"/>
  <c r="L1699" i="66"/>
  <c r="K1699" i="66"/>
  <c r="J1699" i="66"/>
  <c r="N1698" i="66"/>
  <c r="M1698" i="66"/>
  <c r="L1698" i="66"/>
  <c r="K1698" i="66"/>
  <c r="J1698" i="66"/>
  <c r="N1697" i="66"/>
  <c r="M1697" i="66"/>
  <c r="L1697" i="66"/>
  <c r="K1697" i="66"/>
  <c r="J1697" i="66"/>
  <c r="N1696" i="66"/>
  <c r="M1696" i="66"/>
  <c r="L1696" i="66"/>
  <c r="K1696" i="66"/>
  <c r="J1696" i="66"/>
  <c r="N1695" i="66"/>
  <c r="M1695" i="66"/>
  <c r="L1695" i="66"/>
  <c r="K1695" i="66"/>
  <c r="J1695" i="66"/>
  <c r="N1694" i="66"/>
  <c r="M1694" i="66"/>
  <c r="L1694" i="66"/>
  <c r="K1694" i="66"/>
  <c r="J1694" i="66"/>
  <c r="N1693" i="66"/>
  <c r="M1693" i="66"/>
  <c r="L1693" i="66"/>
  <c r="K1693" i="66"/>
  <c r="J1693" i="66"/>
  <c r="N1692" i="66"/>
  <c r="M1692" i="66"/>
  <c r="L1692" i="66"/>
  <c r="K1692" i="66"/>
  <c r="J1692" i="66"/>
  <c r="N1691" i="66"/>
  <c r="M1691" i="66"/>
  <c r="L1691" i="66"/>
  <c r="K1691" i="66"/>
  <c r="J1691" i="66"/>
  <c r="H1691" i="66"/>
  <c r="N1688" i="66"/>
  <c r="M1688" i="66"/>
  <c r="L1688" i="66"/>
  <c r="K1688" i="66"/>
  <c r="J1688" i="66"/>
  <c r="N1687" i="66"/>
  <c r="M1687" i="66"/>
  <c r="L1687" i="66"/>
  <c r="K1687" i="66"/>
  <c r="J1687" i="66"/>
  <c r="N1686" i="66"/>
  <c r="M1686" i="66"/>
  <c r="L1686" i="66"/>
  <c r="K1686" i="66"/>
  <c r="J1686" i="66"/>
  <c r="N1685" i="66"/>
  <c r="M1685" i="66"/>
  <c r="L1685" i="66"/>
  <c r="K1685" i="66"/>
  <c r="J1685" i="66"/>
  <c r="N1684" i="66"/>
  <c r="M1684" i="66"/>
  <c r="L1684" i="66"/>
  <c r="K1684" i="66"/>
  <c r="J1684" i="66"/>
  <c r="N1683" i="66"/>
  <c r="M1683" i="66"/>
  <c r="L1683" i="66"/>
  <c r="K1683" i="66"/>
  <c r="J1683" i="66"/>
  <c r="N1682" i="66"/>
  <c r="M1682" i="66"/>
  <c r="L1682" i="66"/>
  <c r="K1682" i="66"/>
  <c r="J1682" i="66"/>
  <c r="N1681" i="66"/>
  <c r="M1681" i="66"/>
  <c r="L1681" i="66"/>
  <c r="K1681" i="66"/>
  <c r="J1681" i="66"/>
  <c r="N1680" i="66"/>
  <c r="M1680" i="66"/>
  <c r="L1680" i="66"/>
  <c r="K1680" i="66"/>
  <c r="J1680" i="66"/>
  <c r="N1679" i="66"/>
  <c r="M1679" i="66"/>
  <c r="L1679" i="66"/>
  <c r="K1679" i="66"/>
  <c r="J1679" i="66"/>
  <c r="N1678" i="66"/>
  <c r="M1678" i="66"/>
  <c r="L1678" i="66"/>
  <c r="K1678" i="66"/>
  <c r="J1678" i="66"/>
  <c r="N1677" i="66"/>
  <c r="M1677" i="66"/>
  <c r="L1677" i="66"/>
  <c r="K1677" i="66"/>
  <c r="J1677" i="66"/>
  <c r="H1677" i="66"/>
  <c r="N1674" i="66"/>
  <c r="M1674" i="66"/>
  <c r="L1674" i="66"/>
  <c r="K1674" i="66"/>
  <c r="J1674" i="66"/>
  <c r="N1673" i="66"/>
  <c r="M1673" i="66"/>
  <c r="L1673" i="66"/>
  <c r="K1673" i="66"/>
  <c r="J1673" i="66"/>
  <c r="N1672" i="66"/>
  <c r="M1672" i="66"/>
  <c r="L1672" i="66"/>
  <c r="K1672" i="66"/>
  <c r="J1672" i="66"/>
  <c r="N1671" i="66"/>
  <c r="M1671" i="66"/>
  <c r="L1671" i="66"/>
  <c r="K1671" i="66"/>
  <c r="J1671" i="66"/>
  <c r="N1670" i="66"/>
  <c r="M1670" i="66"/>
  <c r="L1670" i="66"/>
  <c r="K1670" i="66"/>
  <c r="J1670" i="66"/>
  <c r="N1669" i="66"/>
  <c r="M1669" i="66"/>
  <c r="L1669" i="66"/>
  <c r="K1669" i="66"/>
  <c r="J1669" i="66"/>
  <c r="N1668" i="66"/>
  <c r="M1668" i="66"/>
  <c r="L1668" i="66"/>
  <c r="K1668" i="66"/>
  <c r="J1668" i="66"/>
  <c r="N1667" i="66"/>
  <c r="M1667" i="66"/>
  <c r="L1667" i="66"/>
  <c r="K1667" i="66"/>
  <c r="J1667" i="66"/>
  <c r="N1666" i="66"/>
  <c r="M1666" i="66"/>
  <c r="L1666" i="66"/>
  <c r="K1666" i="66"/>
  <c r="J1666" i="66"/>
  <c r="H1666" i="66"/>
  <c r="N1665" i="66"/>
  <c r="M1665" i="66"/>
  <c r="L1665" i="66"/>
  <c r="K1665" i="66"/>
  <c r="J1665" i="66"/>
  <c r="N1664" i="66"/>
  <c r="M1664" i="66"/>
  <c r="L1664" i="66"/>
  <c r="K1664" i="66"/>
  <c r="J1664" i="66"/>
  <c r="N1663" i="66"/>
  <c r="M1663" i="66"/>
  <c r="L1663" i="66"/>
  <c r="K1663" i="66"/>
  <c r="J1663" i="66"/>
  <c r="H1663" i="66"/>
  <c r="N1660" i="66"/>
  <c r="M1660" i="66"/>
  <c r="L1660" i="66"/>
  <c r="K1660" i="66"/>
  <c r="J1660" i="66"/>
  <c r="N1659" i="66"/>
  <c r="M1659" i="66"/>
  <c r="L1659" i="66"/>
  <c r="K1659" i="66"/>
  <c r="J1659" i="66"/>
  <c r="N1658" i="66"/>
  <c r="M1658" i="66"/>
  <c r="L1658" i="66"/>
  <c r="K1658" i="66"/>
  <c r="J1658" i="66"/>
  <c r="N1657" i="66"/>
  <c r="M1657" i="66"/>
  <c r="L1657" i="66"/>
  <c r="K1657" i="66"/>
  <c r="J1657" i="66"/>
  <c r="N1656" i="66"/>
  <c r="M1656" i="66"/>
  <c r="L1656" i="66"/>
  <c r="K1656" i="66"/>
  <c r="J1656" i="66"/>
  <c r="N1655" i="66"/>
  <c r="M1655" i="66"/>
  <c r="L1655" i="66"/>
  <c r="K1655" i="66"/>
  <c r="J1655" i="66"/>
  <c r="N1654" i="66"/>
  <c r="M1654" i="66"/>
  <c r="L1654" i="66"/>
  <c r="K1654" i="66"/>
  <c r="J1654" i="66"/>
  <c r="H1654" i="66"/>
  <c r="N1651" i="66"/>
  <c r="M1651" i="66"/>
  <c r="L1651" i="66"/>
  <c r="K1651" i="66"/>
  <c r="J1651" i="66"/>
  <c r="N1650" i="66"/>
  <c r="M1650" i="66"/>
  <c r="L1650" i="66"/>
  <c r="K1650" i="66"/>
  <c r="J1650" i="66"/>
  <c r="N1646" i="66"/>
  <c r="M1646" i="66"/>
  <c r="L1646" i="66"/>
  <c r="K1646" i="66"/>
  <c r="J1646" i="66"/>
  <c r="I1646" i="66"/>
  <c r="H1646" i="66"/>
  <c r="G1646" i="66"/>
  <c r="F1646" i="66"/>
  <c r="N1643" i="66"/>
  <c r="M1643" i="66"/>
  <c r="L1643" i="66"/>
  <c r="K1643" i="66"/>
  <c r="J1643" i="66"/>
  <c r="I1643" i="66"/>
  <c r="H1643" i="66"/>
  <c r="E1643" i="66"/>
  <c r="I1640" i="66"/>
  <c r="N1636" i="66"/>
  <c r="M1636" i="66"/>
  <c r="L1636" i="66"/>
  <c r="K1636" i="66"/>
  <c r="J1636" i="66"/>
  <c r="I1636" i="66"/>
  <c r="H1636" i="66"/>
  <c r="E1636" i="66"/>
  <c r="N1635" i="66"/>
  <c r="M1635" i="66"/>
  <c r="L1635" i="66"/>
  <c r="K1635" i="66"/>
  <c r="J1635" i="66"/>
  <c r="I1635" i="66"/>
  <c r="H1635" i="66"/>
  <c r="E1635" i="66"/>
  <c r="N1633" i="66"/>
  <c r="M1633" i="66"/>
  <c r="L1633" i="66"/>
  <c r="K1633" i="66"/>
  <c r="J1633" i="66"/>
  <c r="I1633" i="66"/>
  <c r="H1633" i="66"/>
  <c r="E1633" i="66"/>
  <c r="N1632" i="66"/>
  <c r="M1632" i="66"/>
  <c r="L1632" i="66"/>
  <c r="K1632" i="66"/>
  <c r="J1632" i="66"/>
  <c r="I1632" i="66"/>
  <c r="H1632" i="66"/>
  <c r="E1632" i="66"/>
  <c r="N1629" i="66"/>
  <c r="M1629" i="66"/>
  <c r="L1629" i="66"/>
  <c r="K1629" i="66"/>
  <c r="J1629" i="66"/>
  <c r="I1629" i="66"/>
  <c r="H1629" i="66"/>
  <c r="N1627" i="66"/>
  <c r="M1627" i="66"/>
  <c r="L1627" i="66"/>
  <c r="K1627" i="66"/>
  <c r="J1627" i="66"/>
  <c r="I1627" i="66"/>
  <c r="H1627" i="66"/>
  <c r="N1626" i="66"/>
  <c r="M1626" i="66"/>
  <c r="L1626" i="66"/>
  <c r="K1626" i="66"/>
  <c r="J1626" i="66"/>
  <c r="I1626" i="66"/>
  <c r="H1626" i="66"/>
  <c r="N1624" i="66"/>
  <c r="M1624" i="66"/>
  <c r="L1624" i="66"/>
  <c r="K1624" i="66"/>
  <c r="J1624" i="66"/>
  <c r="I1624" i="66"/>
  <c r="H1624" i="66"/>
  <c r="N1623" i="66"/>
  <c r="M1623" i="66"/>
  <c r="L1623" i="66"/>
  <c r="K1623" i="66"/>
  <c r="J1623" i="66"/>
  <c r="I1623" i="66"/>
  <c r="H1623" i="66"/>
  <c r="N1622" i="66"/>
  <c r="M1622" i="66"/>
  <c r="L1622" i="66"/>
  <c r="K1622" i="66"/>
  <c r="J1622" i="66"/>
  <c r="I1622" i="66"/>
  <c r="H1622" i="66"/>
  <c r="N1621" i="66"/>
  <c r="M1621" i="66"/>
  <c r="L1621" i="66"/>
  <c r="K1621" i="66"/>
  <c r="J1621" i="66"/>
  <c r="I1621" i="66"/>
  <c r="H1621" i="66"/>
  <c r="N1620" i="66"/>
  <c r="M1620" i="66"/>
  <c r="L1620" i="66"/>
  <c r="K1620" i="66"/>
  <c r="J1620" i="66"/>
  <c r="I1620" i="66"/>
  <c r="H1620" i="66"/>
  <c r="N1619" i="66"/>
  <c r="M1619" i="66"/>
  <c r="L1619" i="66"/>
  <c r="K1619" i="66"/>
  <c r="J1619" i="66"/>
  <c r="I1619" i="66"/>
  <c r="H1619" i="66"/>
  <c r="N1618" i="66"/>
  <c r="M1618" i="66"/>
  <c r="L1618" i="66"/>
  <c r="K1618" i="66"/>
  <c r="J1618" i="66"/>
  <c r="I1618" i="66"/>
  <c r="H1618" i="66"/>
  <c r="N1617" i="66"/>
  <c r="M1617" i="66"/>
  <c r="L1617" i="66"/>
  <c r="K1617" i="66"/>
  <c r="J1617" i="66"/>
  <c r="I1617" i="66"/>
  <c r="H1617" i="66"/>
  <c r="N1616" i="66"/>
  <c r="M1616" i="66"/>
  <c r="L1616" i="66"/>
  <c r="K1616" i="66"/>
  <c r="J1616" i="66"/>
  <c r="I1616" i="66"/>
  <c r="H1616" i="66"/>
  <c r="N1615" i="66"/>
  <c r="M1615" i="66"/>
  <c r="L1615" i="66"/>
  <c r="K1615" i="66"/>
  <c r="J1615" i="66"/>
  <c r="I1615" i="66"/>
  <c r="H1615" i="66"/>
  <c r="N1613" i="66"/>
  <c r="M1613" i="66"/>
  <c r="L1613" i="66"/>
  <c r="K1613" i="66"/>
  <c r="J1613" i="66"/>
  <c r="I1613" i="66"/>
  <c r="H1613" i="66"/>
  <c r="N1612" i="66"/>
  <c r="M1612" i="66"/>
  <c r="L1612" i="66"/>
  <c r="K1612" i="66"/>
  <c r="J1612" i="66"/>
  <c r="I1612" i="66"/>
  <c r="H1612" i="66"/>
  <c r="N1610" i="66"/>
  <c r="M1610" i="66"/>
  <c r="L1610" i="66"/>
  <c r="K1610" i="66"/>
  <c r="J1610" i="66"/>
  <c r="I1610" i="66"/>
  <c r="H1610" i="66"/>
  <c r="N1609" i="66"/>
  <c r="M1609" i="66"/>
  <c r="L1609" i="66"/>
  <c r="K1609" i="66"/>
  <c r="J1609" i="66"/>
  <c r="I1609" i="66"/>
  <c r="H1609" i="66"/>
  <c r="N1607" i="66"/>
  <c r="M1607" i="66"/>
  <c r="L1607" i="66"/>
  <c r="K1607" i="66"/>
  <c r="J1607" i="66"/>
  <c r="I1607" i="66"/>
  <c r="H1607" i="66"/>
  <c r="N1606" i="66"/>
  <c r="M1606" i="66"/>
  <c r="L1606" i="66"/>
  <c r="K1606" i="66"/>
  <c r="J1606" i="66"/>
  <c r="I1606" i="66"/>
  <c r="H1606" i="66"/>
  <c r="N1604" i="66"/>
  <c r="M1604" i="66"/>
  <c r="L1604" i="66"/>
  <c r="K1604" i="66"/>
  <c r="J1604" i="66"/>
  <c r="I1604" i="66"/>
  <c r="H1604" i="66"/>
  <c r="N1603" i="66"/>
  <c r="M1603" i="66"/>
  <c r="L1603" i="66"/>
  <c r="K1603" i="66"/>
  <c r="J1603" i="66"/>
  <c r="I1603" i="66"/>
  <c r="H1603" i="66"/>
  <c r="N1602" i="66"/>
  <c r="M1602" i="66"/>
  <c r="L1602" i="66"/>
  <c r="K1602" i="66"/>
  <c r="J1602" i="66"/>
  <c r="I1602" i="66"/>
  <c r="H1602" i="66"/>
  <c r="N1601" i="66"/>
  <c r="M1601" i="66"/>
  <c r="L1601" i="66"/>
  <c r="K1601" i="66"/>
  <c r="J1601" i="66"/>
  <c r="I1601" i="66"/>
  <c r="H1601" i="66"/>
  <c r="N1599" i="66"/>
  <c r="M1599" i="66"/>
  <c r="L1599" i="66"/>
  <c r="K1599" i="66"/>
  <c r="J1599" i="66"/>
  <c r="I1599" i="66"/>
  <c r="H1599" i="66"/>
  <c r="N1598" i="66"/>
  <c r="M1598" i="66"/>
  <c r="L1598" i="66"/>
  <c r="K1598" i="66"/>
  <c r="J1598" i="66"/>
  <c r="I1598" i="66"/>
  <c r="H1598" i="66"/>
  <c r="N1596" i="66"/>
  <c r="M1596" i="66"/>
  <c r="L1596" i="66"/>
  <c r="K1596" i="66"/>
  <c r="J1596" i="66"/>
  <c r="I1596" i="66"/>
  <c r="H1596" i="66"/>
  <c r="N1591" i="66"/>
  <c r="M1591" i="66"/>
  <c r="L1591" i="66"/>
  <c r="K1591" i="66"/>
  <c r="J1591" i="66"/>
  <c r="I1591" i="66"/>
  <c r="N1590" i="66"/>
  <c r="M1590" i="66"/>
  <c r="L1590" i="66"/>
  <c r="K1590" i="66"/>
  <c r="J1590" i="66"/>
  <c r="I1590" i="66"/>
  <c r="N1589" i="66"/>
  <c r="M1589" i="66"/>
  <c r="L1589" i="66"/>
  <c r="K1589" i="66"/>
  <c r="J1589" i="66"/>
  <c r="I1589" i="66"/>
  <c r="N1588" i="66"/>
  <c r="M1588" i="66"/>
  <c r="L1588" i="66"/>
  <c r="K1588" i="66"/>
  <c r="J1588" i="66"/>
  <c r="I1588" i="66"/>
  <c r="N1587" i="66"/>
  <c r="M1587" i="66"/>
  <c r="L1587" i="66"/>
  <c r="K1587" i="66"/>
  <c r="J1587" i="66"/>
  <c r="I1587" i="66"/>
  <c r="N1586" i="66"/>
  <c r="M1586" i="66"/>
  <c r="L1586" i="66"/>
  <c r="K1586" i="66"/>
  <c r="J1586" i="66"/>
  <c r="I1586" i="66"/>
  <c r="N1585" i="66"/>
  <c r="M1585" i="66"/>
  <c r="L1585" i="66"/>
  <c r="K1585" i="66"/>
  <c r="J1585" i="66"/>
  <c r="I1585" i="66"/>
  <c r="H1585" i="66"/>
  <c r="N1580" i="66"/>
  <c r="M1580" i="66"/>
  <c r="L1580" i="66"/>
  <c r="K1580" i="66"/>
  <c r="J1580" i="66"/>
  <c r="N1579" i="66"/>
  <c r="M1579" i="66"/>
  <c r="L1579" i="66"/>
  <c r="K1579" i="66"/>
  <c r="J1579" i="66"/>
  <c r="N1578" i="66"/>
  <c r="M1578" i="66"/>
  <c r="L1578" i="66"/>
  <c r="K1578" i="66"/>
  <c r="J1578" i="66"/>
  <c r="N1577" i="66"/>
  <c r="M1577" i="66"/>
  <c r="L1577" i="66"/>
  <c r="K1577" i="66"/>
  <c r="J1577" i="66"/>
  <c r="N1576" i="66"/>
  <c r="M1576" i="66"/>
  <c r="L1576" i="66"/>
  <c r="K1576" i="66"/>
  <c r="J1576" i="66"/>
  <c r="N1575" i="66"/>
  <c r="M1575" i="66"/>
  <c r="L1575" i="66"/>
  <c r="K1575" i="66"/>
  <c r="J1575" i="66"/>
  <c r="N1574" i="66"/>
  <c r="M1574" i="66"/>
  <c r="L1574" i="66"/>
  <c r="K1574" i="66"/>
  <c r="J1574" i="66"/>
  <c r="N1573" i="66"/>
  <c r="M1573" i="66"/>
  <c r="L1573" i="66"/>
  <c r="K1573" i="66"/>
  <c r="J1573" i="66"/>
  <c r="N1572" i="66"/>
  <c r="M1572" i="66"/>
  <c r="L1572" i="66"/>
  <c r="K1572" i="66"/>
  <c r="J1572" i="66"/>
  <c r="N1571" i="66"/>
  <c r="M1571" i="66"/>
  <c r="L1571" i="66"/>
  <c r="K1571" i="66"/>
  <c r="J1571" i="66"/>
  <c r="N1570" i="66"/>
  <c r="M1570" i="66"/>
  <c r="L1570" i="66"/>
  <c r="K1570" i="66"/>
  <c r="J1570" i="66"/>
  <c r="N1569" i="66"/>
  <c r="M1569" i="66"/>
  <c r="L1569" i="66"/>
  <c r="K1569" i="66"/>
  <c r="J1569" i="66"/>
  <c r="H1569" i="66"/>
  <c r="N1566" i="66"/>
  <c r="M1566" i="66"/>
  <c r="L1566" i="66"/>
  <c r="K1566" i="66"/>
  <c r="J1566" i="66"/>
  <c r="N1565" i="66"/>
  <c r="M1565" i="66"/>
  <c r="L1565" i="66"/>
  <c r="K1565" i="66"/>
  <c r="J1565" i="66"/>
  <c r="N1564" i="66"/>
  <c r="M1564" i="66"/>
  <c r="L1564" i="66"/>
  <c r="K1564" i="66"/>
  <c r="J1564" i="66"/>
  <c r="N1563" i="66"/>
  <c r="M1563" i="66"/>
  <c r="L1563" i="66"/>
  <c r="K1563" i="66"/>
  <c r="J1563" i="66"/>
  <c r="N1562" i="66"/>
  <c r="M1562" i="66"/>
  <c r="L1562" i="66"/>
  <c r="K1562" i="66"/>
  <c r="J1562" i="66"/>
  <c r="N1561" i="66"/>
  <c r="M1561" i="66"/>
  <c r="L1561" i="66"/>
  <c r="K1561" i="66"/>
  <c r="J1561" i="66"/>
  <c r="N1560" i="66"/>
  <c r="M1560" i="66"/>
  <c r="L1560" i="66"/>
  <c r="K1560" i="66"/>
  <c r="J1560" i="66"/>
  <c r="N1559" i="66"/>
  <c r="M1559" i="66"/>
  <c r="L1559" i="66"/>
  <c r="K1559" i="66"/>
  <c r="J1559" i="66"/>
  <c r="N1558" i="66"/>
  <c r="M1558" i="66"/>
  <c r="L1558" i="66"/>
  <c r="K1558" i="66"/>
  <c r="J1558" i="66"/>
  <c r="N1557" i="66"/>
  <c r="M1557" i="66"/>
  <c r="L1557" i="66"/>
  <c r="K1557" i="66"/>
  <c r="J1557" i="66"/>
  <c r="N1556" i="66"/>
  <c r="M1556" i="66"/>
  <c r="L1556" i="66"/>
  <c r="K1556" i="66"/>
  <c r="J1556" i="66"/>
  <c r="N1555" i="66"/>
  <c r="M1555" i="66"/>
  <c r="L1555" i="66"/>
  <c r="K1555" i="66"/>
  <c r="J1555" i="66"/>
  <c r="H1555" i="66"/>
  <c r="N1552" i="66"/>
  <c r="M1552" i="66"/>
  <c r="L1552" i="66"/>
  <c r="K1552" i="66"/>
  <c r="J1552" i="66"/>
  <c r="N1551" i="66"/>
  <c r="M1551" i="66"/>
  <c r="L1551" i="66"/>
  <c r="K1551" i="66"/>
  <c r="J1551" i="66"/>
  <c r="N1550" i="66"/>
  <c r="M1550" i="66"/>
  <c r="L1550" i="66"/>
  <c r="K1550" i="66"/>
  <c r="J1550" i="66"/>
  <c r="N1549" i="66"/>
  <c r="M1549" i="66"/>
  <c r="L1549" i="66"/>
  <c r="K1549" i="66"/>
  <c r="J1549" i="66"/>
  <c r="N1548" i="66"/>
  <c r="M1548" i="66"/>
  <c r="L1548" i="66"/>
  <c r="K1548" i="66"/>
  <c r="J1548" i="66"/>
  <c r="N1547" i="66"/>
  <c r="M1547" i="66"/>
  <c r="L1547" i="66"/>
  <c r="K1547" i="66"/>
  <c r="J1547" i="66"/>
  <c r="N1546" i="66"/>
  <c r="M1546" i="66"/>
  <c r="L1546" i="66"/>
  <c r="K1546" i="66"/>
  <c r="J1546" i="66"/>
  <c r="N1545" i="66"/>
  <c r="M1545" i="66"/>
  <c r="L1545" i="66"/>
  <c r="K1545" i="66"/>
  <c r="J1545" i="66"/>
  <c r="N1544" i="66"/>
  <c r="M1544" i="66"/>
  <c r="L1544" i="66"/>
  <c r="K1544" i="66"/>
  <c r="J1544" i="66"/>
  <c r="N1543" i="66"/>
  <c r="M1543" i="66"/>
  <c r="L1543" i="66"/>
  <c r="K1543" i="66"/>
  <c r="J1543" i="66"/>
  <c r="N1542" i="66"/>
  <c r="M1542" i="66"/>
  <c r="L1542" i="66"/>
  <c r="K1542" i="66"/>
  <c r="J1542" i="66"/>
  <c r="N1541" i="66"/>
  <c r="M1541" i="66"/>
  <c r="L1541" i="66"/>
  <c r="K1541" i="66"/>
  <c r="J1541" i="66"/>
  <c r="H1541" i="66"/>
  <c r="N1538" i="66"/>
  <c r="M1538" i="66"/>
  <c r="L1538" i="66"/>
  <c r="K1538" i="66"/>
  <c r="J1538" i="66"/>
  <c r="N1537" i="66"/>
  <c r="M1537" i="66"/>
  <c r="L1537" i="66"/>
  <c r="K1537" i="66"/>
  <c r="J1537" i="66"/>
  <c r="N1536" i="66"/>
  <c r="M1536" i="66"/>
  <c r="L1536" i="66"/>
  <c r="K1536" i="66"/>
  <c r="J1536" i="66"/>
  <c r="N1535" i="66"/>
  <c r="M1535" i="66"/>
  <c r="L1535" i="66"/>
  <c r="K1535" i="66"/>
  <c r="J1535" i="66"/>
  <c r="N1534" i="66"/>
  <c r="M1534" i="66"/>
  <c r="L1534" i="66"/>
  <c r="K1534" i="66"/>
  <c r="J1534" i="66"/>
  <c r="N1533" i="66"/>
  <c r="M1533" i="66"/>
  <c r="L1533" i="66"/>
  <c r="K1533" i="66"/>
  <c r="J1533" i="66"/>
  <c r="N1532" i="66"/>
  <c r="M1532" i="66"/>
  <c r="L1532" i="66"/>
  <c r="K1532" i="66"/>
  <c r="J1532" i="66"/>
  <c r="N1531" i="66"/>
  <c r="M1531" i="66"/>
  <c r="L1531" i="66"/>
  <c r="K1531" i="66"/>
  <c r="J1531" i="66"/>
  <c r="N1530" i="66"/>
  <c r="M1530" i="66"/>
  <c r="L1530" i="66"/>
  <c r="K1530" i="66"/>
  <c r="J1530" i="66"/>
  <c r="N1529" i="66"/>
  <c r="M1529" i="66"/>
  <c r="L1529" i="66"/>
  <c r="K1529" i="66"/>
  <c r="J1529" i="66"/>
  <c r="N1528" i="66"/>
  <c r="M1528" i="66"/>
  <c r="L1528" i="66"/>
  <c r="K1528" i="66"/>
  <c r="J1528" i="66"/>
  <c r="N1527" i="66"/>
  <c r="M1527" i="66"/>
  <c r="L1527" i="66"/>
  <c r="K1527" i="66"/>
  <c r="J1527" i="66"/>
  <c r="H1527" i="66"/>
  <c r="N1524" i="66"/>
  <c r="M1524" i="66"/>
  <c r="L1524" i="66"/>
  <c r="K1524" i="66"/>
  <c r="J1524" i="66"/>
  <c r="N1523" i="66"/>
  <c r="M1523" i="66"/>
  <c r="L1523" i="66"/>
  <c r="K1523" i="66"/>
  <c r="J1523" i="66"/>
  <c r="N1522" i="66"/>
  <c r="M1522" i="66"/>
  <c r="L1522" i="66"/>
  <c r="K1522" i="66"/>
  <c r="J1522" i="66"/>
  <c r="N1521" i="66"/>
  <c r="M1521" i="66"/>
  <c r="L1521" i="66"/>
  <c r="K1521" i="66"/>
  <c r="J1521" i="66"/>
  <c r="N1520" i="66"/>
  <c r="M1520" i="66"/>
  <c r="L1520" i="66"/>
  <c r="K1520" i="66"/>
  <c r="J1520" i="66"/>
  <c r="N1519" i="66"/>
  <c r="M1519" i="66"/>
  <c r="L1519" i="66"/>
  <c r="K1519" i="66"/>
  <c r="J1519" i="66"/>
  <c r="N1518" i="66"/>
  <c r="M1518" i="66"/>
  <c r="L1518" i="66"/>
  <c r="K1518" i="66"/>
  <c r="J1518" i="66"/>
  <c r="N1517" i="66"/>
  <c r="M1517" i="66"/>
  <c r="L1517" i="66"/>
  <c r="K1517" i="66"/>
  <c r="J1517" i="66"/>
  <c r="N1516" i="66"/>
  <c r="M1516" i="66"/>
  <c r="L1516" i="66"/>
  <c r="K1516" i="66"/>
  <c r="J1516" i="66"/>
  <c r="N1515" i="66"/>
  <c r="M1515" i="66"/>
  <c r="L1515" i="66"/>
  <c r="K1515" i="66"/>
  <c r="J1515" i="66"/>
  <c r="N1514" i="66"/>
  <c r="M1514" i="66"/>
  <c r="L1514" i="66"/>
  <c r="K1514" i="66"/>
  <c r="J1514" i="66"/>
  <c r="N1513" i="66"/>
  <c r="M1513" i="66"/>
  <c r="L1513" i="66"/>
  <c r="K1513" i="66"/>
  <c r="J1513" i="66"/>
  <c r="H1513" i="66"/>
  <c r="N1510" i="66"/>
  <c r="M1510" i="66"/>
  <c r="L1510" i="66"/>
  <c r="K1510" i="66"/>
  <c r="J1510" i="66"/>
  <c r="N1509" i="66"/>
  <c r="M1509" i="66"/>
  <c r="L1509" i="66"/>
  <c r="K1509" i="66"/>
  <c r="J1509" i="66"/>
  <c r="N1508" i="66"/>
  <c r="M1508" i="66"/>
  <c r="L1508" i="66"/>
  <c r="K1508" i="66"/>
  <c r="J1508" i="66"/>
  <c r="N1507" i="66"/>
  <c r="M1507" i="66"/>
  <c r="L1507" i="66"/>
  <c r="K1507" i="66"/>
  <c r="J1507" i="66"/>
  <c r="N1506" i="66"/>
  <c r="M1506" i="66"/>
  <c r="L1506" i="66"/>
  <c r="K1506" i="66"/>
  <c r="J1506" i="66"/>
  <c r="N1505" i="66"/>
  <c r="M1505" i="66"/>
  <c r="L1505" i="66"/>
  <c r="K1505" i="66"/>
  <c r="J1505" i="66"/>
  <c r="N1504" i="66"/>
  <c r="M1504" i="66"/>
  <c r="L1504" i="66"/>
  <c r="K1504" i="66"/>
  <c r="J1504" i="66"/>
  <c r="N1503" i="66"/>
  <c r="M1503" i="66"/>
  <c r="L1503" i="66"/>
  <c r="K1503" i="66"/>
  <c r="J1503" i="66"/>
  <c r="N1502" i="66"/>
  <c r="M1502" i="66"/>
  <c r="L1502" i="66"/>
  <c r="K1502" i="66"/>
  <c r="J1502" i="66"/>
  <c r="H1502" i="66"/>
  <c r="N1501" i="66"/>
  <c r="M1501" i="66"/>
  <c r="L1501" i="66"/>
  <c r="K1501" i="66"/>
  <c r="J1501" i="66"/>
  <c r="N1500" i="66"/>
  <c r="M1500" i="66"/>
  <c r="L1500" i="66"/>
  <c r="K1500" i="66"/>
  <c r="J1500" i="66"/>
  <c r="N1499" i="66"/>
  <c r="M1499" i="66"/>
  <c r="L1499" i="66"/>
  <c r="K1499" i="66"/>
  <c r="J1499" i="66"/>
  <c r="H1499" i="66"/>
  <c r="N1496" i="66"/>
  <c r="M1496" i="66"/>
  <c r="L1496" i="66"/>
  <c r="K1496" i="66"/>
  <c r="J1496" i="66"/>
  <c r="N1495" i="66"/>
  <c r="M1495" i="66"/>
  <c r="L1495" i="66"/>
  <c r="K1495" i="66"/>
  <c r="J1495" i="66"/>
  <c r="N1494" i="66"/>
  <c r="M1494" i="66"/>
  <c r="L1494" i="66"/>
  <c r="K1494" i="66"/>
  <c r="J1494" i="66"/>
  <c r="N1493" i="66"/>
  <c r="M1493" i="66"/>
  <c r="L1493" i="66"/>
  <c r="K1493" i="66"/>
  <c r="J1493" i="66"/>
  <c r="N1492" i="66"/>
  <c r="M1492" i="66"/>
  <c r="L1492" i="66"/>
  <c r="K1492" i="66"/>
  <c r="J1492" i="66"/>
  <c r="N1491" i="66"/>
  <c r="M1491" i="66"/>
  <c r="L1491" i="66"/>
  <c r="K1491" i="66"/>
  <c r="J1491" i="66"/>
  <c r="N1490" i="66"/>
  <c r="M1490" i="66"/>
  <c r="L1490" i="66"/>
  <c r="K1490" i="66"/>
  <c r="J1490" i="66"/>
  <c r="H1490" i="66"/>
  <c r="N1487" i="66"/>
  <c r="M1487" i="66"/>
  <c r="L1487" i="66"/>
  <c r="K1487" i="66"/>
  <c r="J1487" i="66"/>
  <c r="N1486" i="66"/>
  <c r="M1486" i="66"/>
  <c r="L1486" i="66"/>
  <c r="K1486" i="66"/>
  <c r="J1486" i="66"/>
  <c r="N1482" i="66"/>
  <c r="M1482" i="66"/>
  <c r="L1482" i="66"/>
  <c r="K1482" i="66"/>
  <c r="J1482" i="66"/>
  <c r="I1482" i="66"/>
  <c r="H1482" i="66"/>
  <c r="G1482" i="66"/>
  <c r="F1482" i="66"/>
  <c r="N1479" i="66"/>
  <c r="M1479" i="66"/>
  <c r="L1479" i="66"/>
  <c r="K1479" i="66"/>
  <c r="J1479" i="66"/>
  <c r="I1479" i="66"/>
  <c r="H1479" i="66"/>
  <c r="E1479" i="66"/>
  <c r="I1476" i="66"/>
  <c r="N1472" i="66"/>
  <c r="M1472" i="66"/>
  <c r="L1472" i="66"/>
  <c r="K1472" i="66"/>
  <c r="J1472" i="66"/>
  <c r="I1472" i="66"/>
  <c r="H1472" i="66"/>
  <c r="E1472" i="66"/>
  <c r="N1471" i="66"/>
  <c r="M1471" i="66"/>
  <c r="L1471" i="66"/>
  <c r="K1471" i="66"/>
  <c r="J1471" i="66"/>
  <c r="I1471" i="66"/>
  <c r="H1471" i="66"/>
  <c r="E1471" i="66"/>
  <c r="N1469" i="66"/>
  <c r="M1469" i="66"/>
  <c r="L1469" i="66"/>
  <c r="K1469" i="66"/>
  <c r="J1469" i="66"/>
  <c r="I1469" i="66"/>
  <c r="H1469" i="66"/>
  <c r="E1469" i="66"/>
  <c r="N1468" i="66"/>
  <c r="M1468" i="66"/>
  <c r="L1468" i="66"/>
  <c r="K1468" i="66"/>
  <c r="J1468" i="66"/>
  <c r="I1468" i="66"/>
  <c r="H1468" i="66"/>
  <c r="E1468" i="66"/>
  <c r="N1465" i="66"/>
  <c r="M1465" i="66"/>
  <c r="L1465" i="66"/>
  <c r="K1465" i="66"/>
  <c r="J1465" i="66"/>
  <c r="I1465" i="66"/>
  <c r="H1465" i="66"/>
  <c r="N1463" i="66"/>
  <c r="M1463" i="66"/>
  <c r="L1463" i="66"/>
  <c r="K1463" i="66"/>
  <c r="J1463" i="66"/>
  <c r="I1463" i="66"/>
  <c r="H1463" i="66"/>
  <c r="N1462" i="66"/>
  <c r="M1462" i="66"/>
  <c r="L1462" i="66"/>
  <c r="K1462" i="66"/>
  <c r="J1462" i="66"/>
  <c r="I1462" i="66"/>
  <c r="H1462" i="66"/>
  <c r="N1460" i="66"/>
  <c r="M1460" i="66"/>
  <c r="L1460" i="66"/>
  <c r="K1460" i="66"/>
  <c r="J1460" i="66"/>
  <c r="I1460" i="66"/>
  <c r="H1460" i="66"/>
  <c r="N1459" i="66"/>
  <c r="M1459" i="66"/>
  <c r="L1459" i="66"/>
  <c r="K1459" i="66"/>
  <c r="J1459" i="66"/>
  <c r="I1459" i="66"/>
  <c r="H1459" i="66"/>
  <c r="N1458" i="66"/>
  <c r="M1458" i="66"/>
  <c r="L1458" i="66"/>
  <c r="K1458" i="66"/>
  <c r="J1458" i="66"/>
  <c r="I1458" i="66"/>
  <c r="H1458" i="66"/>
  <c r="N1457" i="66"/>
  <c r="M1457" i="66"/>
  <c r="L1457" i="66"/>
  <c r="K1457" i="66"/>
  <c r="J1457" i="66"/>
  <c r="I1457" i="66"/>
  <c r="H1457" i="66"/>
  <c r="N1456" i="66"/>
  <c r="M1456" i="66"/>
  <c r="L1456" i="66"/>
  <c r="K1456" i="66"/>
  <c r="J1456" i="66"/>
  <c r="I1456" i="66"/>
  <c r="H1456" i="66"/>
  <c r="N1455" i="66"/>
  <c r="M1455" i="66"/>
  <c r="L1455" i="66"/>
  <c r="K1455" i="66"/>
  <c r="J1455" i="66"/>
  <c r="I1455" i="66"/>
  <c r="H1455" i="66"/>
  <c r="N1454" i="66"/>
  <c r="M1454" i="66"/>
  <c r="L1454" i="66"/>
  <c r="K1454" i="66"/>
  <c r="J1454" i="66"/>
  <c r="I1454" i="66"/>
  <c r="H1454" i="66"/>
  <c r="N1453" i="66"/>
  <c r="M1453" i="66"/>
  <c r="L1453" i="66"/>
  <c r="K1453" i="66"/>
  <c r="J1453" i="66"/>
  <c r="I1453" i="66"/>
  <c r="H1453" i="66"/>
  <c r="N1452" i="66"/>
  <c r="M1452" i="66"/>
  <c r="L1452" i="66"/>
  <c r="K1452" i="66"/>
  <c r="J1452" i="66"/>
  <c r="I1452" i="66"/>
  <c r="H1452" i="66"/>
  <c r="N1451" i="66"/>
  <c r="M1451" i="66"/>
  <c r="L1451" i="66"/>
  <c r="K1451" i="66"/>
  <c r="J1451" i="66"/>
  <c r="I1451" i="66"/>
  <c r="H1451" i="66"/>
  <c r="N1449" i="66"/>
  <c r="M1449" i="66"/>
  <c r="L1449" i="66"/>
  <c r="K1449" i="66"/>
  <c r="J1449" i="66"/>
  <c r="I1449" i="66"/>
  <c r="H1449" i="66"/>
  <c r="N1448" i="66"/>
  <c r="M1448" i="66"/>
  <c r="L1448" i="66"/>
  <c r="K1448" i="66"/>
  <c r="J1448" i="66"/>
  <c r="I1448" i="66"/>
  <c r="H1448" i="66"/>
  <c r="N1446" i="66"/>
  <c r="M1446" i="66"/>
  <c r="L1446" i="66"/>
  <c r="K1446" i="66"/>
  <c r="J1446" i="66"/>
  <c r="I1446" i="66"/>
  <c r="H1446" i="66"/>
  <c r="N1445" i="66"/>
  <c r="M1445" i="66"/>
  <c r="L1445" i="66"/>
  <c r="K1445" i="66"/>
  <c r="J1445" i="66"/>
  <c r="I1445" i="66"/>
  <c r="H1445" i="66"/>
  <c r="N1443" i="66"/>
  <c r="M1443" i="66"/>
  <c r="L1443" i="66"/>
  <c r="K1443" i="66"/>
  <c r="J1443" i="66"/>
  <c r="I1443" i="66"/>
  <c r="H1443" i="66"/>
  <c r="N1442" i="66"/>
  <c r="M1442" i="66"/>
  <c r="L1442" i="66"/>
  <c r="K1442" i="66"/>
  <c r="J1442" i="66"/>
  <c r="I1442" i="66"/>
  <c r="H1442" i="66"/>
  <c r="N1440" i="66"/>
  <c r="M1440" i="66"/>
  <c r="L1440" i="66"/>
  <c r="K1440" i="66"/>
  <c r="J1440" i="66"/>
  <c r="I1440" i="66"/>
  <c r="H1440" i="66"/>
  <c r="N1439" i="66"/>
  <c r="M1439" i="66"/>
  <c r="L1439" i="66"/>
  <c r="K1439" i="66"/>
  <c r="J1439" i="66"/>
  <c r="I1439" i="66"/>
  <c r="H1439" i="66"/>
  <c r="N1438" i="66"/>
  <c r="M1438" i="66"/>
  <c r="L1438" i="66"/>
  <c r="K1438" i="66"/>
  <c r="J1438" i="66"/>
  <c r="I1438" i="66"/>
  <c r="H1438" i="66"/>
  <c r="N1437" i="66"/>
  <c r="M1437" i="66"/>
  <c r="L1437" i="66"/>
  <c r="K1437" i="66"/>
  <c r="J1437" i="66"/>
  <c r="I1437" i="66"/>
  <c r="H1437" i="66"/>
  <c r="N1435" i="66"/>
  <c r="M1435" i="66"/>
  <c r="L1435" i="66"/>
  <c r="K1435" i="66"/>
  <c r="J1435" i="66"/>
  <c r="I1435" i="66"/>
  <c r="H1435" i="66"/>
  <c r="N1434" i="66"/>
  <c r="M1434" i="66"/>
  <c r="L1434" i="66"/>
  <c r="K1434" i="66"/>
  <c r="J1434" i="66"/>
  <c r="I1434" i="66"/>
  <c r="H1434" i="66"/>
  <c r="N1432" i="66"/>
  <c r="M1432" i="66"/>
  <c r="L1432" i="66"/>
  <c r="K1432" i="66"/>
  <c r="J1432" i="66"/>
  <c r="I1432" i="66"/>
  <c r="H1432" i="66"/>
  <c r="N1427" i="66"/>
  <c r="M1427" i="66"/>
  <c r="L1427" i="66"/>
  <c r="K1427" i="66"/>
  <c r="J1427" i="66"/>
  <c r="I1427" i="66"/>
  <c r="N1426" i="66"/>
  <c r="M1426" i="66"/>
  <c r="L1426" i="66"/>
  <c r="K1426" i="66"/>
  <c r="J1426" i="66"/>
  <c r="I1426" i="66"/>
  <c r="N1425" i="66"/>
  <c r="M1425" i="66"/>
  <c r="L1425" i="66"/>
  <c r="K1425" i="66"/>
  <c r="J1425" i="66"/>
  <c r="I1425" i="66"/>
  <c r="N1424" i="66"/>
  <c r="M1424" i="66"/>
  <c r="L1424" i="66"/>
  <c r="K1424" i="66"/>
  <c r="J1424" i="66"/>
  <c r="I1424" i="66"/>
  <c r="N1423" i="66"/>
  <c r="M1423" i="66"/>
  <c r="L1423" i="66"/>
  <c r="K1423" i="66"/>
  <c r="J1423" i="66"/>
  <c r="I1423" i="66"/>
  <c r="N1422" i="66"/>
  <c r="M1422" i="66"/>
  <c r="L1422" i="66"/>
  <c r="K1422" i="66"/>
  <c r="J1422" i="66"/>
  <c r="I1422" i="66"/>
  <c r="N1421" i="66"/>
  <c r="M1421" i="66"/>
  <c r="L1421" i="66"/>
  <c r="K1421" i="66"/>
  <c r="J1421" i="66"/>
  <c r="I1421" i="66"/>
  <c r="H1421" i="66"/>
  <c r="N1416" i="66"/>
  <c r="M1416" i="66"/>
  <c r="L1416" i="66"/>
  <c r="K1416" i="66"/>
  <c r="J1416" i="66"/>
  <c r="N1415" i="66"/>
  <c r="M1415" i="66"/>
  <c r="L1415" i="66"/>
  <c r="K1415" i="66"/>
  <c r="J1415" i="66"/>
  <c r="N1414" i="66"/>
  <c r="M1414" i="66"/>
  <c r="L1414" i="66"/>
  <c r="K1414" i="66"/>
  <c r="J1414" i="66"/>
  <c r="N1413" i="66"/>
  <c r="M1413" i="66"/>
  <c r="L1413" i="66"/>
  <c r="K1413" i="66"/>
  <c r="J1413" i="66"/>
  <c r="N1412" i="66"/>
  <c r="M1412" i="66"/>
  <c r="L1412" i="66"/>
  <c r="K1412" i="66"/>
  <c r="J1412" i="66"/>
  <c r="N1411" i="66"/>
  <c r="M1411" i="66"/>
  <c r="L1411" i="66"/>
  <c r="K1411" i="66"/>
  <c r="J1411" i="66"/>
  <c r="N1410" i="66"/>
  <c r="M1410" i="66"/>
  <c r="L1410" i="66"/>
  <c r="K1410" i="66"/>
  <c r="J1410" i="66"/>
  <c r="N1409" i="66"/>
  <c r="M1409" i="66"/>
  <c r="L1409" i="66"/>
  <c r="K1409" i="66"/>
  <c r="J1409" i="66"/>
  <c r="N1408" i="66"/>
  <c r="M1408" i="66"/>
  <c r="L1408" i="66"/>
  <c r="K1408" i="66"/>
  <c r="J1408" i="66"/>
  <c r="N1407" i="66"/>
  <c r="M1407" i="66"/>
  <c r="L1407" i="66"/>
  <c r="K1407" i="66"/>
  <c r="J1407" i="66"/>
  <c r="N1406" i="66"/>
  <c r="M1406" i="66"/>
  <c r="L1406" i="66"/>
  <c r="K1406" i="66"/>
  <c r="J1406" i="66"/>
  <c r="N1405" i="66"/>
  <c r="M1405" i="66"/>
  <c r="L1405" i="66"/>
  <c r="K1405" i="66"/>
  <c r="J1405" i="66"/>
  <c r="H1405" i="66"/>
  <c r="N1402" i="66"/>
  <c r="M1402" i="66"/>
  <c r="L1402" i="66"/>
  <c r="K1402" i="66"/>
  <c r="J1402" i="66"/>
  <c r="N1401" i="66"/>
  <c r="M1401" i="66"/>
  <c r="L1401" i="66"/>
  <c r="K1401" i="66"/>
  <c r="J1401" i="66"/>
  <c r="N1400" i="66"/>
  <c r="M1400" i="66"/>
  <c r="L1400" i="66"/>
  <c r="K1400" i="66"/>
  <c r="J1400" i="66"/>
  <c r="N1399" i="66"/>
  <c r="M1399" i="66"/>
  <c r="L1399" i="66"/>
  <c r="K1399" i="66"/>
  <c r="J1399" i="66"/>
  <c r="N1398" i="66"/>
  <c r="M1398" i="66"/>
  <c r="L1398" i="66"/>
  <c r="K1398" i="66"/>
  <c r="J1398" i="66"/>
  <c r="N1397" i="66"/>
  <c r="M1397" i="66"/>
  <c r="L1397" i="66"/>
  <c r="K1397" i="66"/>
  <c r="J1397" i="66"/>
  <c r="N1396" i="66"/>
  <c r="M1396" i="66"/>
  <c r="L1396" i="66"/>
  <c r="K1396" i="66"/>
  <c r="J1396" i="66"/>
  <c r="N1395" i="66"/>
  <c r="M1395" i="66"/>
  <c r="L1395" i="66"/>
  <c r="K1395" i="66"/>
  <c r="J1395" i="66"/>
  <c r="N1394" i="66"/>
  <c r="M1394" i="66"/>
  <c r="L1394" i="66"/>
  <c r="K1394" i="66"/>
  <c r="J1394" i="66"/>
  <c r="N1393" i="66"/>
  <c r="M1393" i="66"/>
  <c r="L1393" i="66"/>
  <c r="K1393" i="66"/>
  <c r="J1393" i="66"/>
  <c r="N1392" i="66"/>
  <c r="M1392" i="66"/>
  <c r="L1392" i="66"/>
  <c r="K1392" i="66"/>
  <c r="J1392" i="66"/>
  <c r="N1391" i="66"/>
  <c r="M1391" i="66"/>
  <c r="L1391" i="66"/>
  <c r="K1391" i="66"/>
  <c r="J1391" i="66"/>
  <c r="H1391" i="66"/>
  <c r="N1388" i="66"/>
  <c r="M1388" i="66"/>
  <c r="L1388" i="66"/>
  <c r="K1388" i="66"/>
  <c r="J1388" i="66"/>
  <c r="N1387" i="66"/>
  <c r="M1387" i="66"/>
  <c r="L1387" i="66"/>
  <c r="K1387" i="66"/>
  <c r="J1387" i="66"/>
  <c r="N1386" i="66"/>
  <c r="M1386" i="66"/>
  <c r="L1386" i="66"/>
  <c r="K1386" i="66"/>
  <c r="J1386" i="66"/>
  <c r="N1385" i="66"/>
  <c r="M1385" i="66"/>
  <c r="L1385" i="66"/>
  <c r="K1385" i="66"/>
  <c r="J1385" i="66"/>
  <c r="N1384" i="66"/>
  <c r="M1384" i="66"/>
  <c r="L1384" i="66"/>
  <c r="K1384" i="66"/>
  <c r="J1384" i="66"/>
  <c r="N1383" i="66"/>
  <c r="M1383" i="66"/>
  <c r="L1383" i="66"/>
  <c r="K1383" i="66"/>
  <c r="J1383" i="66"/>
  <c r="N1382" i="66"/>
  <c r="M1382" i="66"/>
  <c r="L1382" i="66"/>
  <c r="K1382" i="66"/>
  <c r="J1382" i="66"/>
  <c r="N1381" i="66"/>
  <c r="M1381" i="66"/>
  <c r="L1381" i="66"/>
  <c r="K1381" i="66"/>
  <c r="J1381" i="66"/>
  <c r="N1380" i="66"/>
  <c r="M1380" i="66"/>
  <c r="L1380" i="66"/>
  <c r="K1380" i="66"/>
  <c r="J1380" i="66"/>
  <c r="N1379" i="66"/>
  <c r="M1379" i="66"/>
  <c r="L1379" i="66"/>
  <c r="K1379" i="66"/>
  <c r="J1379" i="66"/>
  <c r="N1378" i="66"/>
  <c r="M1378" i="66"/>
  <c r="L1378" i="66"/>
  <c r="K1378" i="66"/>
  <c r="J1378" i="66"/>
  <c r="N1377" i="66"/>
  <c r="M1377" i="66"/>
  <c r="L1377" i="66"/>
  <c r="K1377" i="66"/>
  <c r="J1377" i="66"/>
  <c r="H1377" i="66"/>
  <c r="N1374" i="66"/>
  <c r="M1374" i="66"/>
  <c r="L1374" i="66"/>
  <c r="K1374" i="66"/>
  <c r="J1374" i="66"/>
  <c r="N1373" i="66"/>
  <c r="M1373" i="66"/>
  <c r="L1373" i="66"/>
  <c r="K1373" i="66"/>
  <c r="J1373" i="66"/>
  <c r="N1372" i="66"/>
  <c r="M1372" i="66"/>
  <c r="L1372" i="66"/>
  <c r="K1372" i="66"/>
  <c r="J1372" i="66"/>
  <c r="N1371" i="66"/>
  <c r="M1371" i="66"/>
  <c r="L1371" i="66"/>
  <c r="K1371" i="66"/>
  <c r="J1371" i="66"/>
  <c r="N1370" i="66"/>
  <c r="M1370" i="66"/>
  <c r="L1370" i="66"/>
  <c r="K1370" i="66"/>
  <c r="J1370" i="66"/>
  <c r="N1369" i="66"/>
  <c r="M1369" i="66"/>
  <c r="L1369" i="66"/>
  <c r="K1369" i="66"/>
  <c r="J1369" i="66"/>
  <c r="N1368" i="66"/>
  <c r="M1368" i="66"/>
  <c r="L1368" i="66"/>
  <c r="K1368" i="66"/>
  <c r="J1368" i="66"/>
  <c r="N1367" i="66"/>
  <c r="M1367" i="66"/>
  <c r="L1367" i="66"/>
  <c r="K1367" i="66"/>
  <c r="J1367" i="66"/>
  <c r="N1366" i="66"/>
  <c r="M1366" i="66"/>
  <c r="L1366" i="66"/>
  <c r="K1366" i="66"/>
  <c r="J1366" i="66"/>
  <c r="N1365" i="66"/>
  <c r="M1365" i="66"/>
  <c r="L1365" i="66"/>
  <c r="K1365" i="66"/>
  <c r="J1365" i="66"/>
  <c r="N1364" i="66"/>
  <c r="M1364" i="66"/>
  <c r="L1364" i="66"/>
  <c r="K1364" i="66"/>
  <c r="J1364" i="66"/>
  <c r="N1363" i="66"/>
  <c r="M1363" i="66"/>
  <c r="L1363" i="66"/>
  <c r="K1363" i="66"/>
  <c r="J1363" i="66"/>
  <c r="H1363" i="66"/>
  <c r="N1360" i="66"/>
  <c r="M1360" i="66"/>
  <c r="L1360" i="66"/>
  <c r="K1360" i="66"/>
  <c r="J1360" i="66"/>
  <c r="N1359" i="66"/>
  <c r="M1359" i="66"/>
  <c r="L1359" i="66"/>
  <c r="K1359" i="66"/>
  <c r="J1359" i="66"/>
  <c r="N1358" i="66"/>
  <c r="M1358" i="66"/>
  <c r="L1358" i="66"/>
  <c r="K1358" i="66"/>
  <c r="J1358" i="66"/>
  <c r="N1357" i="66"/>
  <c r="M1357" i="66"/>
  <c r="L1357" i="66"/>
  <c r="K1357" i="66"/>
  <c r="J1357" i="66"/>
  <c r="N1356" i="66"/>
  <c r="M1356" i="66"/>
  <c r="L1356" i="66"/>
  <c r="K1356" i="66"/>
  <c r="J1356" i="66"/>
  <c r="N1355" i="66"/>
  <c r="M1355" i="66"/>
  <c r="L1355" i="66"/>
  <c r="K1355" i="66"/>
  <c r="J1355" i="66"/>
  <c r="N1354" i="66"/>
  <c r="M1354" i="66"/>
  <c r="L1354" i="66"/>
  <c r="K1354" i="66"/>
  <c r="J1354" i="66"/>
  <c r="N1353" i="66"/>
  <c r="M1353" i="66"/>
  <c r="L1353" i="66"/>
  <c r="K1353" i="66"/>
  <c r="J1353" i="66"/>
  <c r="N1352" i="66"/>
  <c r="M1352" i="66"/>
  <c r="L1352" i="66"/>
  <c r="K1352" i="66"/>
  <c r="J1352" i="66"/>
  <c r="N1351" i="66"/>
  <c r="M1351" i="66"/>
  <c r="L1351" i="66"/>
  <c r="K1351" i="66"/>
  <c r="J1351" i="66"/>
  <c r="N1350" i="66"/>
  <c r="M1350" i="66"/>
  <c r="L1350" i="66"/>
  <c r="K1350" i="66"/>
  <c r="J1350" i="66"/>
  <c r="N1349" i="66"/>
  <c r="M1349" i="66"/>
  <c r="L1349" i="66"/>
  <c r="K1349" i="66"/>
  <c r="J1349" i="66"/>
  <c r="H1349" i="66"/>
  <c r="N1346" i="66"/>
  <c r="M1346" i="66"/>
  <c r="L1346" i="66"/>
  <c r="K1346" i="66"/>
  <c r="J1346" i="66"/>
  <c r="N1345" i="66"/>
  <c r="M1345" i="66"/>
  <c r="L1345" i="66"/>
  <c r="K1345" i="66"/>
  <c r="J1345" i="66"/>
  <c r="N1344" i="66"/>
  <c r="M1344" i="66"/>
  <c r="L1344" i="66"/>
  <c r="K1344" i="66"/>
  <c r="J1344" i="66"/>
  <c r="N1343" i="66"/>
  <c r="M1343" i="66"/>
  <c r="L1343" i="66"/>
  <c r="K1343" i="66"/>
  <c r="J1343" i="66"/>
  <c r="N1342" i="66"/>
  <c r="M1342" i="66"/>
  <c r="L1342" i="66"/>
  <c r="K1342" i="66"/>
  <c r="J1342" i="66"/>
  <c r="N1341" i="66"/>
  <c r="M1341" i="66"/>
  <c r="L1341" i="66"/>
  <c r="K1341" i="66"/>
  <c r="J1341" i="66"/>
  <c r="N1340" i="66"/>
  <c r="M1340" i="66"/>
  <c r="L1340" i="66"/>
  <c r="K1340" i="66"/>
  <c r="J1340" i="66"/>
  <c r="N1339" i="66"/>
  <c r="M1339" i="66"/>
  <c r="L1339" i="66"/>
  <c r="K1339" i="66"/>
  <c r="J1339" i="66"/>
  <c r="N1338" i="66"/>
  <c r="M1338" i="66"/>
  <c r="L1338" i="66"/>
  <c r="K1338" i="66"/>
  <c r="J1338" i="66"/>
  <c r="H1338" i="66"/>
  <c r="N1337" i="66"/>
  <c r="M1337" i="66"/>
  <c r="L1337" i="66"/>
  <c r="K1337" i="66"/>
  <c r="J1337" i="66"/>
  <c r="N1336" i="66"/>
  <c r="M1336" i="66"/>
  <c r="L1336" i="66"/>
  <c r="K1336" i="66"/>
  <c r="J1336" i="66"/>
  <c r="N1335" i="66"/>
  <c r="M1335" i="66"/>
  <c r="L1335" i="66"/>
  <c r="K1335" i="66"/>
  <c r="J1335" i="66"/>
  <c r="H1335" i="66"/>
  <c r="N1332" i="66"/>
  <c r="M1332" i="66"/>
  <c r="L1332" i="66"/>
  <c r="K1332" i="66"/>
  <c r="J1332" i="66"/>
  <c r="N1331" i="66"/>
  <c r="M1331" i="66"/>
  <c r="L1331" i="66"/>
  <c r="K1331" i="66"/>
  <c r="J1331" i="66"/>
  <c r="N1330" i="66"/>
  <c r="M1330" i="66"/>
  <c r="L1330" i="66"/>
  <c r="K1330" i="66"/>
  <c r="J1330" i="66"/>
  <c r="N1329" i="66"/>
  <c r="M1329" i="66"/>
  <c r="L1329" i="66"/>
  <c r="K1329" i="66"/>
  <c r="J1329" i="66"/>
  <c r="N1328" i="66"/>
  <c r="M1328" i="66"/>
  <c r="L1328" i="66"/>
  <c r="K1328" i="66"/>
  <c r="J1328" i="66"/>
  <c r="N1327" i="66"/>
  <c r="M1327" i="66"/>
  <c r="L1327" i="66"/>
  <c r="K1327" i="66"/>
  <c r="J1327" i="66"/>
  <c r="N1326" i="66"/>
  <c r="M1326" i="66"/>
  <c r="L1326" i="66"/>
  <c r="K1326" i="66"/>
  <c r="J1326" i="66"/>
  <c r="H1326" i="66"/>
  <c r="N1323" i="66"/>
  <c r="M1323" i="66"/>
  <c r="L1323" i="66"/>
  <c r="K1323" i="66"/>
  <c r="J1323" i="66"/>
  <c r="N1322" i="66"/>
  <c r="M1322" i="66"/>
  <c r="L1322" i="66"/>
  <c r="K1322" i="66"/>
  <c r="J1322" i="66"/>
  <c r="N1318" i="66"/>
  <c r="M1318" i="66"/>
  <c r="L1318" i="66"/>
  <c r="K1318" i="66"/>
  <c r="J1318" i="66"/>
  <c r="I1318" i="66"/>
  <c r="H1318" i="66"/>
  <c r="G1318" i="66"/>
  <c r="F1318" i="66"/>
  <c r="N1315" i="66"/>
  <c r="M1315" i="66"/>
  <c r="L1315" i="66"/>
  <c r="K1315" i="66"/>
  <c r="J1315" i="66"/>
  <c r="I1315" i="66"/>
  <c r="H1315" i="66"/>
  <c r="E1315" i="66"/>
  <c r="I1312" i="66"/>
  <c r="N1308" i="66"/>
  <c r="M1308" i="66"/>
  <c r="L1308" i="66"/>
  <c r="K1308" i="66"/>
  <c r="J1308" i="66"/>
  <c r="I1308" i="66"/>
  <c r="H1308" i="66"/>
  <c r="E1308" i="66"/>
  <c r="N1307" i="66"/>
  <c r="M1307" i="66"/>
  <c r="L1307" i="66"/>
  <c r="K1307" i="66"/>
  <c r="J1307" i="66"/>
  <c r="I1307" i="66"/>
  <c r="H1307" i="66"/>
  <c r="E1307" i="66"/>
  <c r="N1305" i="66"/>
  <c r="M1305" i="66"/>
  <c r="L1305" i="66"/>
  <c r="K1305" i="66"/>
  <c r="J1305" i="66"/>
  <c r="I1305" i="66"/>
  <c r="H1305" i="66"/>
  <c r="E1305" i="66"/>
  <c r="N1304" i="66"/>
  <c r="M1304" i="66"/>
  <c r="L1304" i="66"/>
  <c r="K1304" i="66"/>
  <c r="J1304" i="66"/>
  <c r="I1304" i="66"/>
  <c r="H1304" i="66"/>
  <c r="E1304" i="66"/>
  <c r="N1301" i="66"/>
  <c r="M1301" i="66"/>
  <c r="L1301" i="66"/>
  <c r="K1301" i="66"/>
  <c r="J1301" i="66"/>
  <c r="I1301" i="66"/>
  <c r="H1301" i="66"/>
  <c r="N1299" i="66"/>
  <c r="M1299" i="66"/>
  <c r="L1299" i="66"/>
  <c r="K1299" i="66"/>
  <c r="J1299" i="66"/>
  <c r="I1299" i="66"/>
  <c r="H1299" i="66"/>
  <c r="N1298" i="66"/>
  <c r="M1298" i="66"/>
  <c r="L1298" i="66"/>
  <c r="K1298" i="66"/>
  <c r="J1298" i="66"/>
  <c r="I1298" i="66"/>
  <c r="H1298" i="66"/>
  <c r="N1296" i="66"/>
  <c r="M1296" i="66"/>
  <c r="L1296" i="66"/>
  <c r="K1296" i="66"/>
  <c r="J1296" i="66"/>
  <c r="I1296" i="66"/>
  <c r="H1296" i="66"/>
  <c r="N1295" i="66"/>
  <c r="M1295" i="66"/>
  <c r="L1295" i="66"/>
  <c r="K1295" i="66"/>
  <c r="J1295" i="66"/>
  <c r="I1295" i="66"/>
  <c r="H1295" i="66"/>
  <c r="N1294" i="66"/>
  <c r="M1294" i="66"/>
  <c r="L1294" i="66"/>
  <c r="K1294" i="66"/>
  <c r="J1294" i="66"/>
  <c r="I1294" i="66"/>
  <c r="H1294" i="66"/>
  <c r="N1293" i="66"/>
  <c r="M1293" i="66"/>
  <c r="L1293" i="66"/>
  <c r="K1293" i="66"/>
  <c r="J1293" i="66"/>
  <c r="I1293" i="66"/>
  <c r="H1293" i="66"/>
  <c r="N1292" i="66"/>
  <c r="M1292" i="66"/>
  <c r="L1292" i="66"/>
  <c r="K1292" i="66"/>
  <c r="J1292" i="66"/>
  <c r="I1292" i="66"/>
  <c r="H1292" i="66"/>
  <c r="N1291" i="66"/>
  <c r="M1291" i="66"/>
  <c r="L1291" i="66"/>
  <c r="K1291" i="66"/>
  <c r="J1291" i="66"/>
  <c r="I1291" i="66"/>
  <c r="H1291" i="66"/>
  <c r="N1290" i="66"/>
  <c r="M1290" i="66"/>
  <c r="L1290" i="66"/>
  <c r="K1290" i="66"/>
  <c r="J1290" i="66"/>
  <c r="I1290" i="66"/>
  <c r="H1290" i="66"/>
  <c r="N1289" i="66"/>
  <c r="M1289" i="66"/>
  <c r="L1289" i="66"/>
  <c r="K1289" i="66"/>
  <c r="J1289" i="66"/>
  <c r="I1289" i="66"/>
  <c r="H1289" i="66"/>
  <c r="N1288" i="66"/>
  <c r="M1288" i="66"/>
  <c r="L1288" i="66"/>
  <c r="K1288" i="66"/>
  <c r="J1288" i="66"/>
  <c r="I1288" i="66"/>
  <c r="H1288" i="66"/>
  <c r="N1287" i="66"/>
  <c r="M1287" i="66"/>
  <c r="L1287" i="66"/>
  <c r="K1287" i="66"/>
  <c r="J1287" i="66"/>
  <c r="I1287" i="66"/>
  <c r="H1287" i="66"/>
  <c r="N1285" i="66"/>
  <c r="M1285" i="66"/>
  <c r="L1285" i="66"/>
  <c r="K1285" i="66"/>
  <c r="J1285" i="66"/>
  <c r="I1285" i="66"/>
  <c r="H1285" i="66"/>
  <c r="N1284" i="66"/>
  <c r="M1284" i="66"/>
  <c r="L1284" i="66"/>
  <c r="K1284" i="66"/>
  <c r="J1284" i="66"/>
  <c r="I1284" i="66"/>
  <c r="H1284" i="66"/>
  <c r="N1282" i="66"/>
  <c r="M1282" i="66"/>
  <c r="L1282" i="66"/>
  <c r="K1282" i="66"/>
  <c r="J1282" i="66"/>
  <c r="I1282" i="66"/>
  <c r="H1282" i="66"/>
  <c r="N1281" i="66"/>
  <c r="M1281" i="66"/>
  <c r="L1281" i="66"/>
  <c r="K1281" i="66"/>
  <c r="J1281" i="66"/>
  <c r="I1281" i="66"/>
  <c r="H1281" i="66"/>
  <c r="N1279" i="66"/>
  <c r="M1279" i="66"/>
  <c r="L1279" i="66"/>
  <c r="K1279" i="66"/>
  <c r="J1279" i="66"/>
  <c r="I1279" i="66"/>
  <c r="H1279" i="66"/>
  <c r="N1278" i="66"/>
  <c r="M1278" i="66"/>
  <c r="L1278" i="66"/>
  <c r="K1278" i="66"/>
  <c r="J1278" i="66"/>
  <c r="I1278" i="66"/>
  <c r="H1278" i="66"/>
  <c r="N1276" i="66"/>
  <c r="M1276" i="66"/>
  <c r="L1276" i="66"/>
  <c r="K1276" i="66"/>
  <c r="J1276" i="66"/>
  <c r="I1276" i="66"/>
  <c r="H1276" i="66"/>
  <c r="N1275" i="66"/>
  <c r="M1275" i="66"/>
  <c r="L1275" i="66"/>
  <c r="K1275" i="66"/>
  <c r="J1275" i="66"/>
  <c r="I1275" i="66"/>
  <c r="H1275" i="66"/>
  <c r="N1274" i="66"/>
  <c r="M1274" i="66"/>
  <c r="L1274" i="66"/>
  <c r="K1274" i="66"/>
  <c r="J1274" i="66"/>
  <c r="I1274" i="66"/>
  <c r="H1274" i="66"/>
  <c r="N1273" i="66"/>
  <c r="M1273" i="66"/>
  <c r="L1273" i="66"/>
  <c r="K1273" i="66"/>
  <c r="J1273" i="66"/>
  <c r="I1273" i="66"/>
  <c r="H1273" i="66"/>
  <c r="N1271" i="66"/>
  <c r="M1271" i="66"/>
  <c r="L1271" i="66"/>
  <c r="K1271" i="66"/>
  <c r="J1271" i="66"/>
  <c r="I1271" i="66"/>
  <c r="H1271" i="66"/>
  <c r="N1270" i="66"/>
  <c r="M1270" i="66"/>
  <c r="L1270" i="66"/>
  <c r="K1270" i="66"/>
  <c r="J1270" i="66"/>
  <c r="I1270" i="66"/>
  <c r="H1270" i="66"/>
  <c r="N1268" i="66"/>
  <c r="M1268" i="66"/>
  <c r="L1268" i="66"/>
  <c r="K1268" i="66"/>
  <c r="J1268" i="66"/>
  <c r="I1268" i="66"/>
  <c r="H1268" i="66"/>
  <c r="N1263" i="66"/>
  <c r="M1263" i="66"/>
  <c r="L1263" i="66"/>
  <c r="K1263" i="66"/>
  <c r="J1263" i="66"/>
  <c r="I1263" i="66"/>
  <c r="N1262" i="66"/>
  <c r="M1262" i="66"/>
  <c r="L1262" i="66"/>
  <c r="K1262" i="66"/>
  <c r="J1262" i="66"/>
  <c r="I1262" i="66"/>
  <c r="N1261" i="66"/>
  <c r="M1261" i="66"/>
  <c r="L1261" i="66"/>
  <c r="K1261" i="66"/>
  <c r="J1261" i="66"/>
  <c r="I1261" i="66"/>
  <c r="N1260" i="66"/>
  <c r="M1260" i="66"/>
  <c r="L1260" i="66"/>
  <c r="K1260" i="66"/>
  <c r="J1260" i="66"/>
  <c r="I1260" i="66"/>
  <c r="N1259" i="66"/>
  <c r="M1259" i="66"/>
  <c r="L1259" i="66"/>
  <c r="K1259" i="66"/>
  <c r="J1259" i="66"/>
  <c r="I1259" i="66"/>
  <c r="N1258" i="66"/>
  <c r="M1258" i="66"/>
  <c r="L1258" i="66"/>
  <c r="K1258" i="66"/>
  <c r="J1258" i="66"/>
  <c r="I1258" i="66"/>
  <c r="N1257" i="66"/>
  <c r="M1257" i="66"/>
  <c r="L1257" i="66"/>
  <c r="K1257" i="66"/>
  <c r="J1257" i="66"/>
  <c r="I1257" i="66"/>
  <c r="H1257" i="66"/>
  <c r="N1252" i="66"/>
  <c r="M1252" i="66"/>
  <c r="L1252" i="66"/>
  <c r="K1252" i="66"/>
  <c r="J1252" i="66"/>
  <c r="N1251" i="66"/>
  <c r="M1251" i="66"/>
  <c r="L1251" i="66"/>
  <c r="K1251" i="66"/>
  <c r="J1251" i="66"/>
  <c r="N1250" i="66"/>
  <c r="M1250" i="66"/>
  <c r="L1250" i="66"/>
  <c r="K1250" i="66"/>
  <c r="J1250" i="66"/>
  <c r="N1249" i="66"/>
  <c r="M1249" i="66"/>
  <c r="L1249" i="66"/>
  <c r="K1249" i="66"/>
  <c r="J1249" i="66"/>
  <c r="N1248" i="66"/>
  <c r="M1248" i="66"/>
  <c r="L1248" i="66"/>
  <c r="K1248" i="66"/>
  <c r="J1248" i="66"/>
  <c r="N1247" i="66"/>
  <c r="M1247" i="66"/>
  <c r="L1247" i="66"/>
  <c r="K1247" i="66"/>
  <c r="J1247" i="66"/>
  <c r="N1246" i="66"/>
  <c r="M1246" i="66"/>
  <c r="L1246" i="66"/>
  <c r="K1246" i="66"/>
  <c r="J1246" i="66"/>
  <c r="N1245" i="66"/>
  <c r="M1245" i="66"/>
  <c r="L1245" i="66"/>
  <c r="K1245" i="66"/>
  <c r="J1245" i="66"/>
  <c r="N1244" i="66"/>
  <c r="M1244" i="66"/>
  <c r="L1244" i="66"/>
  <c r="K1244" i="66"/>
  <c r="J1244" i="66"/>
  <c r="N1243" i="66"/>
  <c r="M1243" i="66"/>
  <c r="L1243" i="66"/>
  <c r="K1243" i="66"/>
  <c r="J1243" i="66"/>
  <c r="N1242" i="66"/>
  <c r="M1242" i="66"/>
  <c r="L1242" i="66"/>
  <c r="K1242" i="66"/>
  <c r="J1242" i="66"/>
  <c r="N1241" i="66"/>
  <c r="M1241" i="66"/>
  <c r="L1241" i="66"/>
  <c r="K1241" i="66"/>
  <c r="J1241" i="66"/>
  <c r="H1241" i="66"/>
  <c r="N1238" i="66"/>
  <c r="M1238" i="66"/>
  <c r="L1238" i="66"/>
  <c r="K1238" i="66"/>
  <c r="J1238" i="66"/>
  <c r="N1237" i="66"/>
  <c r="M1237" i="66"/>
  <c r="L1237" i="66"/>
  <c r="K1237" i="66"/>
  <c r="J1237" i="66"/>
  <c r="N1236" i="66"/>
  <c r="M1236" i="66"/>
  <c r="L1236" i="66"/>
  <c r="K1236" i="66"/>
  <c r="J1236" i="66"/>
  <c r="N1235" i="66"/>
  <c r="M1235" i="66"/>
  <c r="L1235" i="66"/>
  <c r="K1235" i="66"/>
  <c r="J1235" i="66"/>
  <c r="N1234" i="66"/>
  <c r="M1234" i="66"/>
  <c r="L1234" i="66"/>
  <c r="K1234" i="66"/>
  <c r="J1234" i="66"/>
  <c r="N1233" i="66"/>
  <c r="M1233" i="66"/>
  <c r="L1233" i="66"/>
  <c r="K1233" i="66"/>
  <c r="J1233" i="66"/>
  <c r="N1232" i="66"/>
  <c r="M1232" i="66"/>
  <c r="L1232" i="66"/>
  <c r="K1232" i="66"/>
  <c r="J1232" i="66"/>
  <c r="N1231" i="66"/>
  <c r="M1231" i="66"/>
  <c r="L1231" i="66"/>
  <c r="K1231" i="66"/>
  <c r="J1231" i="66"/>
  <c r="N1230" i="66"/>
  <c r="M1230" i="66"/>
  <c r="L1230" i="66"/>
  <c r="K1230" i="66"/>
  <c r="J1230" i="66"/>
  <c r="N1229" i="66"/>
  <c r="M1229" i="66"/>
  <c r="L1229" i="66"/>
  <c r="K1229" i="66"/>
  <c r="J1229" i="66"/>
  <c r="N1228" i="66"/>
  <c r="M1228" i="66"/>
  <c r="L1228" i="66"/>
  <c r="K1228" i="66"/>
  <c r="J1228" i="66"/>
  <c r="N1227" i="66"/>
  <c r="M1227" i="66"/>
  <c r="L1227" i="66"/>
  <c r="K1227" i="66"/>
  <c r="J1227" i="66"/>
  <c r="H1227" i="66"/>
  <c r="N1224" i="66"/>
  <c r="M1224" i="66"/>
  <c r="L1224" i="66"/>
  <c r="K1224" i="66"/>
  <c r="J1224" i="66"/>
  <c r="N1223" i="66"/>
  <c r="M1223" i="66"/>
  <c r="L1223" i="66"/>
  <c r="K1223" i="66"/>
  <c r="J1223" i="66"/>
  <c r="N1222" i="66"/>
  <c r="M1222" i="66"/>
  <c r="L1222" i="66"/>
  <c r="K1222" i="66"/>
  <c r="J1222" i="66"/>
  <c r="N1221" i="66"/>
  <c r="M1221" i="66"/>
  <c r="L1221" i="66"/>
  <c r="K1221" i="66"/>
  <c r="J1221" i="66"/>
  <c r="N1220" i="66"/>
  <c r="M1220" i="66"/>
  <c r="L1220" i="66"/>
  <c r="K1220" i="66"/>
  <c r="J1220" i="66"/>
  <c r="N1219" i="66"/>
  <c r="M1219" i="66"/>
  <c r="L1219" i="66"/>
  <c r="K1219" i="66"/>
  <c r="J1219" i="66"/>
  <c r="N1218" i="66"/>
  <c r="M1218" i="66"/>
  <c r="L1218" i="66"/>
  <c r="K1218" i="66"/>
  <c r="J1218" i="66"/>
  <c r="N1217" i="66"/>
  <c r="M1217" i="66"/>
  <c r="L1217" i="66"/>
  <c r="K1217" i="66"/>
  <c r="J1217" i="66"/>
  <c r="N1216" i="66"/>
  <c r="M1216" i="66"/>
  <c r="L1216" i="66"/>
  <c r="K1216" i="66"/>
  <c r="J1216" i="66"/>
  <c r="N1215" i="66"/>
  <c r="M1215" i="66"/>
  <c r="L1215" i="66"/>
  <c r="K1215" i="66"/>
  <c r="J1215" i="66"/>
  <c r="N1214" i="66"/>
  <c r="M1214" i="66"/>
  <c r="L1214" i="66"/>
  <c r="K1214" i="66"/>
  <c r="J1214" i="66"/>
  <c r="N1213" i="66"/>
  <c r="M1213" i="66"/>
  <c r="L1213" i="66"/>
  <c r="K1213" i="66"/>
  <c r="J1213" i="66"/>
  <c r="H1213" i="66"/>
  <c r="N1210" i="66"/>
  <c r="M1210" i="66"/>
  <c r="L1210" i="66"/>
  <c r="K1210" i="66"/>
  <c r="J1210" i="66"/>
  <c r="N1209" i="66"/>
  <c r="M1209" i="66"/>
  <c r="L1209" i="66"/>
  <c r="K1209" i="66"/>
  <c r="J1209" i="66"/>
  <c r="N1208" i="66"/>
  <c r="M1208" i="66"/>
  <c r="L1208" i="66"/>
  <c r="K1208" i="66"/>
  <c r="J1208" i="66"/>
  <c r="N1207" i="66"/>
  <c r="M1207" i="66"/>
  <c r="L1207" i="66"/>
  <c r="K1207" i="66"/>
  <c r="J1207" i="66"/>
  <c r="N1206" i="66"/>
  <c r="M1206" i="66"/>
  <c r="L1206" i="66"/>
  <c r="K1206" i="66"/>
  <c r="J1206" i="66"/>
  <c r="N1205" i="66"/>
  <c r="M1205" i="66"/>
  <c r="L1205" i="66"/>
  <c r="K1205" i="66"/>
  <c r="J1205" i="66"/>
  <c r="N1204" i="66"/>
  <c r="M1204" i="66"/>
  <c r="L1204" i="66"/>
  <c r="K1204" i="66"/>
  <c r="J1204" i="66"/>
  <c r="N1203" i="66"/>
  <c r="M1203" i="66"/>
  <c r="L1203" i="66"/>
  <c r="K1203" i="66"/>
  <c r="J1203" i="66"/>
  <c r="N1202" i="66"/>
  <c r="M1202" i="66"/>
  <c r="L1202" i="66"/>
  <c r="K1202" i="66"/>
  <c r="J1202" i="66"/>
  <c r="N1201" i="66"/>
  <c r="M1201" i="66"/>
  <c r="L1201" i="66"/>
  <c r="K1201" i="66"/>
  <c r="J1201" i="66"/>
  <c r="N1200" i="66"/>
  <c r="M1200" i="66"/>
  <c r="L1200" i="66"/>
  <c r="K1200" i="66"/>
  <c r="J1200" i="66"/>
  <c r="N1199" i="66"/>
  <c r="M1199" i="66"/>
  <c r="L1199" i="66"/>
  <c r="K1199" i="66"/>
  <c r="J1199" i="66"/>
  <c r="H1199" i="66"/>
  <c r="N1196" i="66"/>
  <c r="M1196" i="66"/>
  <c r="L1196" i="66"/>
  <c r="K1196" i="66"/>
  <c r="J1196" i="66"/>
  <c r="N1195" i="66"/>
  <c r="M1195" i="66"/>
  <c r="L1195" i="66"/>
  <c r="K1195" i="66"/>
  <c r="J1195" i="66"/>
  <c r="N1194" i="66"/>
  <c r="M1194" i="66"/>
  <c r="L1194" i="66"/>
  <c r="K1194" i="66"/>
  <c r="J1194" i="66"/>
  <c r="N1193" i="66"/>
  <c r="M1193" i="66"/>
  <c r="L1193" i="66"/>
  <c r="K1193" i="66"/>
  <c r="J1193" i="66"/>
  <c r="N1192" i="66"/>
  <c r="M1192" i="66"/>
  <c r="L1192" i="66"/>
  <c r="K1192" i="66"/>
  <c r="J1192" i="66"/>
  <c r="N1191" i="66"/>
  <c r="M1191" i="66"/>
  <c r="L1191" i="66"/>
  <c r="K1191" i="66"/>
  <c r="J1191" i="66"/>
  <c r="N1190" i="66"/>
  <c r="M1190" i="66"/>
  <c r="L1190" i="66"/>
  <c r="K1190" i="66"/>
  <c r="J1190" i="66"/>
  <c r="N1189" i="66"/>
  <c r="M1189" i="66"/>
  <c r="L1189" i="66"/>
  <c r="K1189" i="66"/>
  <c r="J1189" i="66"/>
  <c r="N1188" i="66"/>
  <c r="M1188" i="66"/>
  <c r="L1188" i="66"/>
  <c r="K1188" i="66"/>
  <c r="J1188" i="66"/>
  <c r="N1187" i="66"/>
  <c r="M1187" i="66"/>
  <c r="L1187" i="66"/>
  <c r="K1187" i="66"/>
  <c r="J1187" i="66"/>
  <c r="N1186" i="66"/>
  <c r="M1186" i="66"/>
  <c r="L1186" i="66"/>
  <c r="K1186" i="66"/>
  <c r="J1186" i="66"/>
  <c r="N1185" i="66"/>
  <c r="M1185" i="66"/>
  <c r="L1185" i="66"/>
  <c r="K1185" i="66"/>
  <c r="J1185" i="66"/>
  <c r="H1185" i="66"/>
  <c r="N1182" i="66"/>
  <c r="M1182" i="66"/>
  <c r="L1182" i="66"/>
  <c r="K1182" i="66"/>
  <c r="J1182" i="66"/>
  <c r="N1181" i="66"/>
  <c r="M1181" i="66"/>
  <c r="L1181" i="66"/>
  <c r="K1181" i="66"/>
  <c r="J1181" i="66"/>
  <c r="N1180" i="66"/>
  <c r="M1180" i="66"/>
  <c r="L1180" i="66"/>
  <c r="K1180" i="66"/>
  <c r="J1180" i="66"/>
  <c r="N1179" i="66"/>
  <c r="M1179" i="66"/>
  <c r="L1179" i="66"/>
  <c r="K1179" i="66"/>
  <c r="J1179" i="66"/>
  <c r="N1178" i="66"/>
  <c r="M1178" i="66"/>
  <c r="L1178" i="66"/>
  <c r="K1178" i="66"/>
  <c r="J1178" i="66"/>
  <c r="N1177" i="66"/>
  <c r="M1177" i="66"/>
  <c r="L1177" i="66"/>
  <c r="K1177" i="66"/>
  <c r="J1177" i="66"/>
  <c r="N1176" i="66"/>
  <c r="M1176" i="66"/>
  <c r="L1176" i="66"/>
  <c r="K1176" i="66"/>
  <c r="J1176" i="66"/>
  <c r="N1175" i="66"/>
  <c r="M1175" i="66"/>
  <c r="L1175" i="66"/>
  <c r="K1175" i="66"/>
  <c r="J1175" i="66"/>
  <c r="N1174" i="66"/>
  <c r="M1174" i="66"/>
  <c r="L1174" i="66"/>
  <c r="K1174" i="66"/>
  <c r="J1174" i="66"/>
  <c r="H1174" i="66"/>
  <c r="N1173" i="66"/>
  <c r="M1173" i="66"/>
  <c r="L1173" i="66"/>
  <c r="K1173" i="66"/>
  <c r="J1173" i="66"/>
  <c r="N1172" i="66"/>
  <c r="M1172" i="66"/>
  <c r="L1172" i="66"/>
  <c r="K1172" i="66"/>
  <c r="J1172" i="66"/>
  <c r="N1171" i="66"/>
  <c r="M1171" i="66"/>
  <c r="L1171" i="66"/>
  <c r="K1171" i="66"/>
  <c r="J1171" i="66"/>
  <c r="H1171" i="66"/>
  <c r="N1168" i="66"/>
  <c r="M1168" i="66"/>
  <c r="L1168" i="66"/>
  <c r="K1168" i="66"/>
  <c r="J1168" i="66"/>
  <c r="N1167" i="66"/>
  <c r="M1167" i="66"/>
  <c r="L1167" i="66"/>
  <c r="K1167" i="66"/>
  <c r="J1167" i="66"/>
  <c r="N1166" i="66"/>
  <c r="M1166" i="66"/>
  <c r="L1166" i="66"/>
  <c r="K1166" i="66"/>
  <c r="J1166" i="66"/>
  <c r="N1165" i="66"/>
  <c r="M1165" i="66"/>
  <c r="L1165" i="66"/>
  <c r="K1165" i="66"/>
  <c r="J1165" i="66"/>
  <c r="N1164" i="66"/>
  <c r="M1164" i="66"/>
  <c r="L1164" i="66"/>
  <c r="K1164" i="66"/>
  <c r="J1164" i="66"/>
  <c r="N1163" i="66"/>
  <c r="M1163" i="66"/>
  <c r="L1163" i="66"/>
  <c r="K1163" i="66"/>
  <c r="J1163" i="66"/>
  <c r="N1162" i="66"/>
  <c r="M1162" i="66"/>
  <c r="L1162" i="66"/>
  <c r="K1162" i="66"/>
  <c r="J1162" i="66"/>
  <c r="H1162" i="66"/>
  <c r="N1159" i="66"/>
  <c r="M1159" i="66"/>
  <c r="L1159" i="66"/>
  <c r="K1159" i="66"/>
  <c r="J1159" i="66"/>
  <c r="N1158" i="66"/>
  <c r="M1158" i="66"/>
  <c r="L1158" i="66"/>
  <c r="K1158" i="66"/>
  <c r="J1158" i="66"/>
  <c r="N1154" i="66"/>
  <c r="M1154" i="66"/>
  <c r="L1154" i="66"/>
  <c r="K1154" i="66"/>
  <c r="J1154" i="66"/>
  <c r="I1154" i="66"/>
  <c r="H1154" i="66"/>
  <c r="G1154" i="66"/>
  <c r="F1154" i="66"/>
  <c r="N1151" i="66"/>
  <c r="M1151" i="66"/>
  <c r="L1151" i="66"/>
  <c r="K1151" i="66"/>
  <c r="J1151" i="66"/>
  <c r="I1151" i="66"/>
  <c r="H1151" i="66"/>
  <c r="E1151" i="66"/>
  <c r="I1148" i="66"/>
  <c r="N1144" i="66"/>
  <c r="M1144" i="66"/>
  <c r="L1144" i="66"/>
  <c r="K1144" i="66"/>
  <c r="J1144" i="66"/>
  <c r="I1144" i="66"/>
  <c r="H1144" i="66"/>
  <c r="E1144" i="66"/>
  <c r="N1143" i="66"/>
  <c r="M1143" i="66"/>
  <c r="L1143" i="66"/>
  <c r="K1143" i="66"/>
  <c r="J1143" i="66"/>
  <c r="I1143" i="66"/>
  <c r="H1143" i="66"/>
  <c r="E1143" i="66"/>
  <c r="N1141" i="66"/>
  <c r="M1141" i="66"/>
  <c r="L1141" i="66"/>
  <c r="K1141" i="66"/>
  <c r="J1141" i="66"/>
  <c r="I1141" i="66"/>
  <c r="H1141" i="66"/>
  <c r="E1141" i="66"/>
  <c r="N1140" i="66"/>
  <c r="M1140" i="66"/>
  <c r="L1140" i="66"/>
  <c r="K1140" i="66"/>
  <c r="J1140" i="66"/>
  <c r="I1140" i="66"/>
  <c r="H1140" i="66"/>
  <c r="E1140" i="66"/>
  <c r="N1137" i="66"/>
  <c r="M1137" i="66"/>
  <c r="L1137" i="66"/>
  <c r="K1137" i="66"/>
  <c r="J1137" i="66"/>
  <c r="I1137" i="66"/>
  <c r="H1137" i="66"/>
  <c r="N1135" i="66"/>
  <c r="M1135" i="66"/>
  <c r="L1135" i="66"/>
  <c r="K1135" i="66"/>
  <c r="J1135" i="66"/>
  <c r="I1135" i="66"/>
  <c r="H1135" i="66"/>
  <c r="N1134" i="66"/>
  <c r="M1134" i="66"/>
  <c r="L1134" i="66"/>
  <c r="K1134" i="66"/>
  <c r="J1134" i="66"/>
  <c r="I1134" i="66"/>
  <c r="H1134" i="66"/>
  <c r="N1132" i="66"/>
  <c r="M1132" i="66"/>
  <c r="L1132" i="66"/>
  <c r="K1132" i="66"/>
  <c r="J1132" i="66"/>
  <c r="I1132" i="66"/>
  <c r="H1132" i="66"/>
  <c r="N1131" i="66"/>
  <c r="M1131" i="66"/>
  <c r="L1131" i="66"/>
  <c r="K1131" i="66"/>
  <c r="J1131" i="66"/>
  <c r="I1131" i="66"/>
  <c r="H1131" i="66"/>
  <c r="N1130" i="66"/>
  <c r="M1130" i="66"/>
  <c r="L1130" i="66"/>
  <c r="K1130" i="66"/>
  <c r="J1130" i="66"/>
  <c r="I1130" i="66"/>
  <c r="H1130" i="66"/>
  <c r="N1129" i="66"/>
  <c r="M1129" i="66"/>
  <c r="L1129" i="66"/>
  <c r="K1129" i="66"/>
  <c r="J1129" i="66"/>
  <c r="I1129" i="66"/>
  <c r="H1129" i="66"/>
  <c r="N1128" i="66"/>
  <c r="M1128" i="66"/>
  <c r="L1128" i="66"/>
  <c r="K1128" i="66"/>
  <c r="J1128" i="66"/>
  <c r="I1128" i="66"/>
  <c r="H1128" i="66"/>
  <c r="N1127" i="66"/>
  <c r="M1127" i="66"/>
  <c r="L1127" i="66"/>
  <c r="K1127" i="66"/>
  <c r="J1127" i="66"/>
  <c r="I1127" i="66"/>
  <c r="H1127" i="66"/>
  <c r="N1126" i="66"/>
  <c r="M1126" i="66"/>
  <c r="L1126" i="66"/>
  <c r="K1126" i="66"/>
  <c r="J1126" i="66"/>
  <c r="I1126" i="66"/>
  <c r="H1126" i="66"/>
  <c r="N1125" i="66"/>
  <c r="M1125" i="66"/>
  <c r="L1125" i="66"/>
  <c r="K1125" i="66"/>
  <c r="J1125" i="66"/>
  <c r="I1125" i="66"/>
  <c r="H1125" i="66"/>
  <c r="N1124" i="66"/>
  <c r="M1124" i="66"/>
  <c r="L1124" i="66"/>
  <c r="K1124" i="66"/>
  <c r="J1124" i="66"/>
  <c r="I1124" i="66"/>
  <c r="H1124" i="66"/>
  <c r="N1123" i="66"/>
  <c r="M1123" i="66"/>
  <c r="L1123" i="66"/>
  <c r="K1123" i="66"/>
  <c r="J1123" i="66"/>
  <c r="I1123" i="66"/>
  <c r="H1123" i="66"/>
  <c r="N1121" i="66"/>
  <c r="M1121" i="66"/>
  <c r="L1121" i="66"/>
  <c r="K1121" i="66"/>
  <c r="J1121" i="66"/>
  <c r="I1121" i="66"/>
  <c r="H1121" i="66"/>
  <c r="N1120" i="66"/>
  <c r="M1120" i="66"/>
  <c r="L1120" i="66"/>
  <c r="K1120" i="66"/>
  <c r="J1120" i="66"/>
  <c r="I1120" i="66"/>
  <c r="H1120" i="66"/>
  <c r="N1118" i="66"/>
  <c r="M1118" i="66"/>
  <c r="L1118" i="66"/>
  <c r="K1118" i="66"/>
  <c r="J1118" i="66"/>
  <c r="I1118" i="66"/>
  <c r="H1118" i="66"/>
  <c r="N1117" i="66"/>
  <c r="M1117" i="66"/>
  <c r="L1117" i="66"/>
  <c r="K1117" i="66"/>
  <c r="J1117" i="66"/>
  <c r="I1117" i="66"/>
  <c r="H1117" i="66"/>
  <c r="N1115" i="66"/>
  <c r="M1115" i="66"/>
  <c r="L1115" i="66"/>
  <c r="K1115" i="66"/>
  <c r="J1115" i="66"/>
  <c r="I1115" i="66"/>
  <c r="H1115" i="66"/>
  <c r="N1114" i="66"/>
  <c r="M1114" i="66"/>
  <c r="L1114" i="66"/>
  <c r="K1114" i="66"/>
  <c r="J1114" i="66"/>
  <c r="I1114" i="66"/>
  <c r="H1114" i="66"/>
  <c r="N1112" i="66"/>
  <c r="M1112" i="66"/>
  <c r="L1112" i="66"/>
  <c r="K1112" i="66"/>
  <c r="J1112" i="66"/>
  <c r="I1112" i="66"/>
  <c r="H1112" i="66"/>
  <c r="N1111" i="66"/>
  <c r="M1111" i="66"/>
  <c r="L1111" i="66"/>
  <c r="K1111" i="66"/>
  <c r="J1111" i="66"/>
  <c r="I1111" i="66"/>
  <c r="H1111" i="66"/>
  <c r="N1110" i="66"/>
  <c r="M1110" i="66"/>
  <c r="L1110" i="66"/>
  <c r="K1110" i="66"/>
  <c r="J1110" i="66"/>
  <c r="I1110" i="66"/>
  <c r="H1110" i="66"/>
  <c r="N1109" i="66"/>
  <c r="M1109" i="66"/>
  <c r="L1109" i="66"/>
  <c r="K1109" i="66"/>
  <c r="J1109" i="66"/>
  <c r="I1109" i="66"/>
  <c r="H1109" i="66"/>
  <c r="N1107" i="66"/>
  <c r="M1107" i="66"/>
  <c r="L1107" i="66"/>
  <c r="K1107" i="66"/>
  <c r="J1107" i="66"/>
  <c r="I1107" i="66"/>
  <c r="H1107" i="66"/>
  <c r="N1106" i="66"/>
  <c r="M1106" i="66"/>
  <c r="L1106" i="66"/>
  <c r="K1106" i="66"/>
  <c r="J1106" i="66"/>
  <c r="I1106" i="66"/>
  <c r="H1106" i="66"/>
  <c r="N1104" i="66"/>
  <c r="M1104" i="66"/>
  <c r="L1104" i="66"/>
  <c r="K1104" i="66"/>
  <c r="J1104" i="66"/>
  <c r="I1104" i="66"/>
  <c r="H1104" i="66"/>
  <c r="N1099" i="66"/>
  <c r="M1099" i="66"/>
  <c r="L1099" i="66"/>
  <c r="K1099" i="66"/>
  <c r="J1099" i="66"/>
  <c r="I1099" i="66"/>
  <c r="N1098" i="66"/>
  <c r="M1098" i="66"/>
  <c r="L1098" i="66"/>
  <c r="K1098" i="66"/>
  <c r="J1098" i="66"/>
  <c r="I1098" i="66"/>
  <c r="N1097" i="66"/>
  <c r="M1097" i="66"/>
  <c r="L1097" i="66"/>
  <c r="K1097" i="66"/>
  <c r="J1097" i="66"/>
  <c r="I1097" i="66"/>
  <c r="N1096" i="66"/>
  <c r="M1096" i="66"/>
  <c r="L1096" i="66"/>
  <c r="K1096" i="66"/>
  <c r="J1096" i="66"/>
  <c r="I1096" i="66"/>
  <c r="N1095" i="66"/>
  <c r="M1095" i="66"/>
  <c r="L1095" i="66"/>
  <c r="K1095" i="66"/>
  <c r="J1095" i="66"/>
  <c r="I1095" i="66"/>
  <c r="N1094" i="66"/>
  <c r="M1094" i="66"/>
  <c r="L1094" i="66"/>
  <c r="K1094" i="66"/>
  <c r="J1094" i="66"/>
  <c r="I1094" i="66"/>
  <c r="N1093" i="66"/>
  <c r="M1093" i="66"/>
  <c r="L1093" i="66"/>
  <c r="K1093" i="66"/>
  <c r="J1093" i="66"/>
  <c r="I1093" i="66"/>
  <c r="H1093" i="66"/>
  <c r="N1088" i="66"/>
  <c r="M1088" i="66"/>
  <c r="L1088" i="66"/>
  <c r="K1088" i="66"/>
  <c r="J1088" i="66"/>
  <c r="N1087" i="66"/>
  <c r="M1087" i="66"/>
  <c r="L1087" i="66"/>
  <c r="K1087" i="66"/>
  <c r="J1087" i="66"/>
  <c r="N1086" i="66"/>
  <c r="M1086" i="66"/>
  <c r="L1086" i="66"/>
  <c r="K1086" i="66"/>
  <c r="J1086" i="66"/>
  <c r="N1085" i="66"/>
  <c r="M1085" i="66"/>
  <c r="L1085" i="66"/>
  <c r="K1085" i="66"/>
  <c r="J1085" i="66"/>
  <c r="N1084" i="66"/>
  <c r="M1084" i="66"/>
  <c r="L1084" i="66"/>
  <c r="K1084" i="66"/>
  <c r="J1084" i="66"/>
  <c r="N1083" i="66"/>
  <c r="M1083" i="66"/>
  <c r="L1083" i="66"/>
  <c r="K1083" i="66"/>
  <c r="J1083" i="66"/>
  <c r="N1082" i="66"/>
  <c r="M1082" i="66"/>
  <c r="L1082" i="66"/>
  <c r="K1082" i="66"/>
  <c r="J1082" i="66"/>
  <c r="N1081" i="66"/>
  <c r="M1081" i="66"/>
  <c r="L1081" i="66"/>
  <c r="K1081" i="66"/>
  <c r="J1081" i="66"/>
  <c r="N1080" i="66"/>
  <c r="M1080" i="66"/>
  <c r="L1080" i="66"/>
  <c r="K1080" i="66"/>
  <c r="J1080" i="66"/>
  <c r="N1079" i="66"/>
  <c r="M1079" i="66"/>
  <c r="L1079" i="66"/>
  <c r="K1079" i="66"/>
  <c r="J1079" i="66"/>
  <c r="N1078" i="66"/>
  <c r="M1078" i="66"/>
  <c r="L1078" i="66"/>
  <c r="K1078" i="66"/>
  <c r="J1078" i="66"/>
  <c r="N1077" i="66"/>
  <c r="M1077" i="66"/>
  <c r="L1077" i="66"/>
  <c r="K1077" i="66"/>
  <c r="J1077" i="66"/>
  <c r="H1077" i="66"/>
  <c r="N1074" i="66"/>
  <c r="M1074" i="66"/>
  <c r="L1074" i="66"/>
  <c r="K1074" i="66"/>
  <c r="J1074" i="66"/>
  <c r="N1073" i="66"/>
  <c r="M1073" i="66"/>
  <c r="L1073" i="66"/>
  <c r="K1073" i="66"/>
  <c r="J1073" i="66"/>
  <c r="N1072" i="66"/>
  <c r="M1072" i="66"/>
  <c r="L1072" i="66"/>
  <c r="K1072" i="66"/>
  <c r="J1072" i="66"/>
  <c r="N1071" i="66"/>
  <c r="M1071" i="66"/>
  <c r="L1071" i="66"/>
  <c r="K1071" i="66"/>
  <c r="J1071" i="66"/>
  <c r="N1070" i="66"/>
  <c r="M1070" i="66"/>
  <c r="L1070" i="66"/>
  <c r="K1070" i="66"/>
  <c r="J1070" i="66"/>
  <c r="N1069" i="66"/>
  <c r="M1069" i="66"/>
  <c r="L1069" i="66"/>
  <c r="K1069" i="66"/>
  <c r="J1069" i="66"/>
  <c r="N1068" i="66"/>
  <c r="M1068" i="66"/>
  <c r="L1068" i="66"/>
  <c r="K1068" i="66"/>
  <c r="J1068" i="66"/>
  <c r="N1067" i="66"/>
  <c r="M1067" i="66"/>
  <c r="L1067" i="66"/>
  <c r="K1067" i="66"/>
  <c r="J1067" i="66"/>
  <c r="N1066" i="66"/>
  <c r="M1066" i="66"/>
  <c r="L1066" i="66"/>
  <c r="K1066" i="66"/>
  <c r="J1066" i="66"/>
  <c r="N1065" i="66"/>
  <c r="M1065" i="66"/>
  <c r="L1065" i="66"/>
  <c r="K1065" i="66"/>
  <c r="J1065" i="66"/>
  <c r="N1064" i="66"/>
  <c r="M1064" i="66"/>
  <c r="L1064" i="66"/>
  <c r="K1064" i="66"/>
  <c r="J1064" i="66"/>
  <c r="N1063" i="66"/>
  <c r="M1063" i="66"/>
  <c r="L1063" i="66"/>
  <c r="K1063" i="66"/>
  <c r="J1063" i="66"/>
  <c r="H1063" i="66"/>
  <c r="N1060" i="66"/>
  <c r="M1060" i="66"/>
  <c r="L1060" i="66"/>
  <c r="K1060" i="66"/>
  <c r="J1060" i="66"/>
  <c r="N1059" i="66"/>
  <c r="M1059" i="66"/>
  <c r="L1059" i="66"/>
  <c r="K1059" i="66"/>
  <c r="J1059" i="66"/>
  <c r="N1058" i="66"/>
  <c r="M1058" i="66"/>
  <c r="L1058" i="66"/>
  <c r="K1058" i="66"/>
  <c r="J1058" i="66"/>
  <c r="N1057" i="66"/>
  <c r="M1057" i="66"/>
  <c r="L1057" i="66"/>
  <c r="K1057" i="66"/>
  <c r="J1057" i="66"/>
  <c r="N1056" i="66"/>
  <c r="M1056" i="66"/>
  <c r="L1056" i="66"/>
  <c r="K1056" i="66"/>
  <c r="J1056" i="66"/>
  <c r="N1055" i="66"/>
  <c r="M1055" i="66"/>
  <c r="L1055" i="66"/>
  <c r="K1055" i="66"/>
  <c r="J1055" i="66"/>
  <c r="N1054" i="66"/>
  <c r="M1054" i="66"/>
  <c r="L1054" i="66"/>
  <c r="K1054" i="66"/>
  <c r="J1054" i="66"/>
  <c r="N1053" i="66"/>
  <c r="M1053" i="66"/>
  <c r="L1053" i="66"/>
  <c r="K1053" i="66"/>
  <c r="J1053" i="66"/>
  <c r="N1052" i="66"/>
  <c r="M1052" i="66"/>
  <c r="L1052" i="66"/>
  <c r="K1052" i="66"/>
  <c r="J1052" i="66"/>
  <c r="N1051" i="66"/>
  <c r="M1051" i="66"/>
  <c r="L1051" i="66"/>
  <c r="K1051" i="66"/>
  <c r="J1051" i="66"/>
  <c r="N1050" i="66"/>
  <c r="M1050" i="66"/>
  <c r="L1050" i="66"/>
  <c r="K1050" i="66"/>
  <c r="J1050" i="66"/>
  <c r="N1049" i="66"/>
  <c r="M1049" i="66"/>
  <c r="L1049" i="66"/>
  <c r="K1049" i="66"/>
  <c r="J1049" i="66"/>
  <c r="H1049" i="66"/>
  <c r="N1046" i="66"/>
  <c r="M1046" i="66"/>
  <c r="L1046" i="66"/>
  <c r="K1046" i="66"/>
  <c r="J1046" i="66"/>
  <c r="N1045" i="66"/>
  <c r="M1045" i="66"/>
  <c r="L1045" i="66"/>
  <c r="K1045" i="66"/>
  <c r="J1045" i="66"/>
  <c r="N1044" i="66"/>
  <c r="M1044" i="66"/>
  <c r="L1044" i="66"/>
  <c r="K1044" i="66"/>
  <c r="J1044" i="66"/>
  <c r="N1043" i="66"/>
  <c r="M1043" i="66"/>
  <c r="L1043" i="66"/>
  <c r="K1043" i="66"/>
  <c r="J1043" i="66"/>
  <c r="N1042" i="66"/>
  <c r="M1042" i="66"/>
  <c r="L1042" i="66"/>
  <c r="K1042" i="66"/>
  <c r="J1042" i="66"/>
  <c r="N1041" i="66"/>
  <c r="M1041" i="66"/>
  <c r="L1041" i="66"/>
  <c r="K1041" i="66"/>
  <c r="J1041" i="66"/>
  <c r="N1040" i="66"/>
  <c r="M1040" i="66"/>
  <c r="L1040" i="66"/>
  <c r="K1040" i="66"/>
  <c r="J1040" i="66"/>
  <c r="N1039" i="66"/>
  <c r="M1039" i="66"/>
  <c r="L1039" i="66"/>
  <c r="K1039" i="66"/>
  <c r="J1039" i="66"/>
  <c r="N1038" i="66"/>
  <c r="M1038" i="66"/>
  <c r="L1038" i="66"/>
  <c r="K1038" i="66"/>
  <c r="J1038" i="66"/>
  <c r="N1037" i="66"/>
  <c r="M1037" i="66"/>
  <c r="L1037" i="66"/>
  <c r="K1037" i="66"/>
  <c r="J1037" i="66"/>
  <c r="N1036" i="66"/>
  <c r="M1036" i="66"/>
  <c r="L1036" i="66"/>
  <c r="K1036" i="66"/>
  <c r="J1036" i="66"/>
  <c r="N1035" i="66"/>
  <c r="M1035" i="66"/>
  <c r="L1035" i="66"/>
  <c r="K1035" i="66"/>
  <c r="J1035" i="66"/>
  <c r="H1035" i="66"/>
  <c r="N1032" i="66"/>
  <c r="M1032" i="66"/>
  <c r="L1032" i="66"/>
  <c r="K1032" i="66"/>
  <c r="J1032" i="66"/>
  <c r="N1031" i="66"/>
  <c r="M1031" i="66"/>
  <c r="L1031" i="66"/>
  <c r="K1031" i="66"/>
  <c r="J1031" i="66"/>
  <c r="N1030" i="66"/>
  <c r="M1030" i="66"/>
  <c r="L1030" i="66"/>
  <c r="K1030" i="66"/>
  <c r="J1030" i="66"/>
  <c r="N1029" i="66"/>
  <c r="M1029" i="66"/>
  <c r="L1029" i="66"/>
  <c r="K1029" i="66"/>
  <c r="J1029" i="66"/>
  <c r="N1028" i="66"/>
  <c r="M1028" i="66"/>
  <c r="L1028" i="66"/>
  <c r="K1028" i="66"/>
  <c r="J1028" i="66"/>
  <c r="N1027" i="66"/>
  <c r="M1027" i="66"/>
  <c r="L1027" i="66"/>
  <c r="K1027" i="66"/>
  <c r="J1027" i="66"/>
  <c r="N1026" i="66"/>
  <c r="M1026" i="66"/>
  <c r="L1026" i="66"/>
  <c r="K1026" i="66"/>
  <c r="J1026" i="66"/>
  <c r="N1025" i="66"/>
  <c r="M1025" i="66"/>
  <c r="L1025" i="66"/>
  <c r="K1025" i="66"/>
  <c r="J1025" i="66"/>
  <c r="N1024" i="66"/>
  <c r="M1024" i="66"/>
  <c r="L1024" i="66"/>
  <c r="K1024" i="66"/>
  <c r="J1024" i="66"/>
  <c r="N1023" i="66"/>
  <c r="M1023" i="66"/>
  <c r="L1023" i="66"/>
  <c r="K1023" i="66"/>
  <c r="J1023" i="66"/>
  <c r="N1022" i="66"/>
  <c r="M1022" i="66"/>
  <c r="L1022" i="66"/>
  <c r="K1022" i="66"/>
  <c r="J1022" i="66"/>
  <c r="N1021" i="66"/>
  <c r="M1021" i="66"/>
  <c r="L1021" i="66"/>
  <c r="K1021" i="66"/>
  <c r="J1021" i="66"/>
  <c r="H1021" i="66"/>
  <c r="N1018" i="66"/>
  <c r="M1018" i="66"/>
  <c r="L1018" i="66"/>
  <c r="K1018" i="66"/>
  <c r="J1018" i="66"/>
  <c r="N1017" i="66"/>
  <c r="M1017" i="66"/>
  <c r="L1017" i="66"/>
  <c r="K1017" i="66"/>
  <c r="J1017" i="66"/>
  <c r="N1016" i="66"/>
  <c r="M1016" i="66"/>
  <c r="L1016" i="66"/>
  <c r="K1016" i="66"/>
  <c r="J1016" i="66"/>
  <c r="N1015" i="66"/>
  <c r="M1015" i="66"/>
  <c r="L1015" i="66"/>
  <c r="K1015" i="66"/>
  <c r="J1015" i="66"/>
  <c r="N1014" i="66"/>
  <c r="M1014" i="66"/>
  <c r="L1014" i="66"/>
  <c r="K1014" i="66"/>
  <c r="J1014" i="66"/>
  <c r="N1013" i="66"/>
  <c r="M1013" i="66"/>
  <c r="L1013" i="66"/>
  <c r="K1013" i="66"/>
  <c r="J1013" i="66"/>
  <c r="N1012" i="66"/>
  <c r="M1012" i="66"/>
  <c r="L1012" i="66"/>
  <c r="K1012" i="66"/>
  <c r="J1012" i="66"/>
  <c r="N1011" i="66"/>
  <c r="M1011" i="66"/>
  <c r="L1011" i="66"/>
  <c r="K1011" i="66"/>
  <c r="J1011" i="66"/>
  <c r="N1010" i="66"/>
  <c r="M1010" i="66"/>
  <c r="L1010" i="66"/>
  <c r="K1010" i="66"/>
  <c r="J1010" i="66"/>
  <c r="H1010" i="66"/>
  <c r="N1009" i="66"/>
  <c r="M1009" i="66"/>
  <c r="L1009" i="66"/>
  <c r="K1009" i="66"/>
  <c r="J1009" i="66"/>
  <c r="N1008" i="66"/>
  <c r="M1008" i="66"/>
  <c r="L1008" i="66"/>
  <c r="K1008" i="66"/>
  <c r="J1008" i="66"/>
  <c r="N1007" i="66"/>
  <c r="M1007" i="66"/>
  <c r="L1007" i="66"/>
  <c r="K1007" i="66"/>
  <c r="J1007" i="66"/>
  <c r="H1007" i="66"/>
  <c r="N1004" i="66"/>
  <c r="M1004" i="66"/>
  <c r="L1004" i="66"/>
  <c r="K1004" i="66"/>
  <c r="J1004" i="66"/>
  <c r="N1003" i="66"/>
  <c r="M1003" i="66"/>
  <c r="L1003" i="66"/>
  <c r="K1003" i="66"/>
  <c r="J1003" i="66"/>
  <c r="N1002" i="66"/>
  <c r="M1002" i="66"/>
  <c r="L1002" i="66"/>
  <c r="K1002" i="66"/>
  <c r="J1002" i="66"/>
  <c r="N1001" i="66"/>
  <c r="M1001" i="66"/>
  <c r="L1001" i="66"/>
  <c r="K1001" i="66"/>
  <c r="J1001" i="66"/>
  <c r="N1000" i="66"/>
  <c r="M1000" i="66"/>
  <c r="L1000" i="66"/>
  <c r="K1000" i="66"/>
  <c r="J1000" i="66"/>
  <c r="N999" i="66"/>
  <c r="M999" i="66"/>
  <c r="L999" i="66"/>
  <c r="K999" i="66"/>
  <c r="J999" i="66"/>
  <c r="N998" i="66"/>
  <c r="M998" i="66"/>
  <c r="L998" i="66"/>
  <c r="K998" i="66"/>
  <c r="J998" i="66"/>
  <c r="H998" i="66"/>
  <c r="N995" i="66"/>
  <c r="M995" i="66"/>
  <c r="L995" i="66"/>
  <c r="K995" i="66"/>
  <c r="J995" i="66"/>
  <c r="N994" i="66"/>
  <c r="M994" i="66"/>
  <c r="L994" i="66"/>
  <c r="K994" i="66"/>
  <c r="J994" i="66"/>
  <c r="N990" i="66"/>
  <c r="M990" i="66"/>
  <c r="L990" i="66"/>
  <c r="K990" i="66"/>
  <c r="J990" i="66"/>
  <c r="I990" i="66"/>
  <c r="H990" i="66"/>
  <c r="G990" i="66"/>
  <c r="F990" i="66"/>
  <c r="N987" i="66"/>
  <c r="M987" i="66"/>
  <c r="L987" i="66"/>
  <c r="K987" i="66"/>
  <c r="J987" i="66"/>
  <c r="I987" i="66"/>
  <c r="H987" i="66"/>
  <c r="E987" i="66"/>
  <c r="I984" i="66"/>
  <c r="N980" i="66"/>
  <c r="M980" i="66"/>
  <c r="L980" i="66"/>
  <c r="K980" i="66"/>
  <c r="J980" i="66"/>
  <c r="I980" i="66"/>
  <c r="H980" i="66"/>
  <c r="E980" i="66"/>
  <c r="N979" i="66"/>
  <c r="M979" i="66"/>
  <c r="L979" i="66"/>
  <c r="K979" i="66"/>
  <c r="J979" i="66"/>
  <c r="I979" i="66"/>
  <c r="H979" i="66"/>
  <c r="E979" i="66"/>
  <c r="N977" i="66"/>
  <c r="M977" i="66"/>
  <c r="L977" i="66"/>
  <c r="K977" i="66"/>
  <c r="J977" i="66"/>
  <c r="I977" i="66"/>
  <c r="H977" i="66"/>
  <c r="E977" i="66"/>
  <c r="N976" i="66"/>
  <c r="M976" i="66"/>
  <c r="L976" i="66"/>
  <c r="K976" i="66"/>
  <c r="J976" i="66"/>
  <c r="I976" i="66"/>
  <c r="H976" i="66"/>
  <c r="E976" i="66"/>
  <c r="N973" i="66"/>
  <c r="M973" i="66"/>
  <c r="L973" i="66"/>
  <c r="K973" i="66"/>
  <c r="J973" i="66"/>
  <c r="I973" i="66"/>
  <c r="H973" i="66"/>
  <c r="N971" i="66"/>
  <c r="M971" i="66"/>
  <c r="L971" i="66"/>
  <c r="K971" i="66"/>
  <c r="J971" i="66"/>
  <c r="I971" i="66"/>
  <c r="H971" i="66"/>
  <c r="N970" i="66"/>
  <c r="M970" i="66"/>
  <c r="L970" i="66"/>
  <c r="K970" i="66"/>
  <c r="J970" i="66"/>
  <c r="I970" i="66"/>
  <c r="H970" i="66"/>
  <c r="N968" i="66"/>
  <c r="M968" i="66"/>
  <c r="L968" i="66"/>
  <c r="K968" i="66"/>
  <c r="J968" i="66"/>
  <c r="I968" i="66"/>
  <c r="H968" i="66"/>
  <c r="N967" i="66"/>
  <c r="M967" i="66"/>
  <c r="L967" i="66"/>
  <c r="K967" i="66"/>
  <c r="J967" i="66"/>
  <c r="I967" i="66"/>
  <c r="H967" i="66"/>
  <c r="N966" i="66"/>
  <c r="M966" i="66"/>
  <c r="L966" i="66"/>
  <c r="K966" i="66"/>
  <c r="J966" i="66"/>
  <c r="I966" i="66"/>
  <c r="H966" i="66"/>
  <c r="N965" i="66"/>
  <c r="M965" i="66"/>
  <c r="L965" i="66"/>
  <c r="K965" i="66"/>
  <c r="J965" i="66"/>
  <c r="I965" i="66"/>
  <c r="H965" i="66"/>
  <c r="N964" i="66"/>
  <c r="M964" i="66"/>
  <c r="L964" i="66"/>
  <c r="K964" i="66"/>
  <c r="J964" i="66"/>
  <c r="I964" i="66"/>
  <c r="H964" i="66"/>
  <c r="N963" i="66"/>
  <c r="M963" i="66"/>
  <c r="L963" i="66"/>
  <c r="K963" i="66"/>
  <c r="J963" i="66"/>
  <c r="I963" i="66"/>
  <c r="H963" i="66"/>
  <c r="N962" i="66"/>
  <c r="M962" i="66"/>
  <c r="L962" i="66"/>
  <c r="K962" i="66"/>
  <c r="J962" i="66"/>
  <c r="I962" i="66"/>
  <c r="H962" i="66"/>
  <c r="N961" i="66"/>
  <c r="M961" i="66"/>
  <c r="L961" i="66"/>
  <c r="K961" i="66"/>
  <c r="J961" i="66"/>
  <c r="I961" i="66"/>
  <c r="H961" i="66"/>
  <c r="N960" i="66"/>
  <c r="M960" i="66"/>
  <c r="L960" i="66"/>
  <c r="K960" i="66"/>
  <c r="J960" i="66"/>
  <c r="I960" i="66"/>
  <c r="H960" i="66"/>
  <c r="N959" i="66"/>
  <c r="M959" i="66"/>
  <c r="L959" i="66"/>
  <c r="K959" i="66"/>
  <c r="J959" i="66"/>
  <c r="I959" i="66"/>
  <c r="H959" i="66"/>
  <c r="N957" i="66"/>
  <c r="M957" i="66"/>
  <c r="L957" i="66"/>
  <c r="K957" i="66"/>
  <c r="J957" i="66"/>
  <c r="I957" i="66"/>
  <c r="H957" i="66"/>
  <c r="N956" i="66"/>
  <c r="M956" i="66"/>
  <c r="L956" i="66"/>
  <c r="K956" i="66"/>
  <c r="J956" i="66"/>
  <c r="I956" i="66"/>
  <c r="H956" i="66"/>
  <c r="N954" i="66"/>
  <c r="M954" i="66"/>
  <c r="L954" i="66"/>
  <c r="K954" i="66"/>
  <c r="J954" i="66"/>
  <c r="I954" i="66"/>
  <c r="H954" i="66"/>
  <c r="N953" i="66"/>
  <c r="M953" i="66"/>
  <c r="L953" i="66"/>
  <c r="K953" i="66"/>
  <c r="J953" i="66"/>
  <c r="I953" i="66"/>
  <c r="H953" i="66"/>
  <c r="N951" i="66"/>
  <c r="M951" i="66"/>
  <c r="L951" i="66"/>
  <c r="K951" i="66"/>
  <c r="J951" i="66"/>
  <c r="I951" i="66"/>
  <c r="H951" i="66"/>
  <c r="N950" i="66"/>
  <c r="M950" i="66"/>
  <c r="L950" i="66"/>
  <c r="K950" i="66"/>
  <c r="J950" i="66"/>
  <c r="I950" i="66"/>
  <c r="H950" i="66"/>
  <c r="N948" i="66"/>
  <c r="M948" i="66"/>
  <c r="L948" i="66"/>
  <c r="K948" i="66"/>
  <c r="J948" i="66"/>
  <c r="I948" i="66"/>
  <c r="H948" i="66"/>
  <c r="N947" i="66"/>
  <c r="M947" i="66"/>
  <c r="L947" i="66"/>
  <c r="K947" i="66"/>
  <c r="J947" i="66"/>
  <c r="I947" i="66"/>
  <c r="H947" i="66"/>
  <c r="N946" i="66"/>
  <c r="M946" i="66"/>
  <c r="L946" i="66"/>
  <c r="K946" i="66"/>
  <c r="J946" i="66"/>
  <c r="I946" i="66"/>
  <c r="H946" i="66"/>
  <c r="N945" i="66"/>
  <c r="M945" i="66"/>
  <c r="L945" i="66"/>
  <c r="K945" i="66"/>
  <c r="J945" i="66"/>
  <c r="I945" i="66"/>
  <c r="H945" i="66"/>
  <c r="N943" i="66"/>
  <c r="M943" i="66"/>
  <c r="L943" i="66"/>
  <c r="K943" i="66"/>
  <c r="J943" i="66"/>
  <c r="I943" i="66"/>
  <c r="H943" i="66"/>
  <c r="N942" i="66"/>
  <c r="M942" i="66"/>
  <c r="L942" i="66"/>
  <c r="K942" i="66"/>
  <c r="J942" i="66"/>
  <c r="I942" i="66"/>
  <c r="H942" i="66"/>
  <c r="N940" i="66"/>
  <c r="M940" i="66"/>
  <c r="L940" i="66"/>
  <c r="K940" i="66"/>
  <c r="J940" i="66"/>
  <c r="I940" i="66"/>
  <c r="H940" i="66"/>
  <c r="N935" i="66"/>
  <c r="M935" i="66"/>
  <c r="L935" i="66"/>
  <c r="K935" i="66"/>
  <c r="J935" i="66"/>
  <c r="I935" i="66"/>
  <c r="N934" i="66"/>
  <c r="M934" i="66"/>
  <c r="L934" i="66"/>
  <c r="K934" i="66"/>
  <c r="J934" i="66"/>
  <c r="I934" i="66"/>
  <c r="N933" i="66"/>
  <c r="M933" i="66"/>
  <c r="L933" i="66"/>
  <c r="K933" i="66"/>
  <c r="J933" i="66"/>
  <c r="I933" i="66"/>
  <c r="N932" i="66"/>
  <c r="M932" i="66"/>
  <c r="L932" i="66"/>
  <c r="K932" i="66"/>
  <c r="J932" i="66"/>
  <c r="I932" i="66"/>
  <c r="N931" i="66"/>
  <c r="M931" i="66"/>
  <c r="L931" i="66"/>
  <c r="K931" i="66"/>
  <c r="J931" i="66"/>
  <c r="I931" i="66"/>
  <c r="N930" i="66"/>
  <c r="M930" i="66"/>
  <c r="L930" i="66"/>
  <c r="K930" i="66"/>
  <c r="J930" i="66"/>
  <c r="I930" i="66"/>
  <c r="N929" i="66"/>
  <c r="M929" i="66"/>
  <c r="L929" i="66"/>
  <c r="K929" i="66"/>
  <c r="J929" i="66"/>
  <c r="I929" i="66"/>
  <c r="H929" i="66"/>
  <c r="N924" i="66"/>
  <c r="M924" i="66"/>
  <c r="L924" i="66"/>
  <c r="K924" i="66"/>
  <c r="J924" i="66"/>
  <c r="N923" i="66"/>
  <c r="M923" i="66"/>
  <c r="L923" i="66"/>
  <c r="K923" i="66"/>
  <c r="J923" i="66"/>
  <c r="N922" i="66"/>
  <c r="M922" i="66"/>
  <c r="L922" i="66"/>
  <c r="K922" i="66"/>
  <c r="J922" i="66"/>
  <c r="N921" i="66"/>
  <c r="M921" i="66"/>
  <c r="L921" i="66"/>
  <c r="K921" i="66"/>
  <c r="J921" i="66"/>
  <c r="N920" i="66"/>
  <c r="M920" i="66"/>
  <c r="L920" i="66"/>
  <c r="K920" i="66"/>
  <c r="J920" i="66"/>
  <c r="N919" i="66"/>
  <c r="M919" i="66"/>
  <c r="L919" i="66"/>
  <c r="K919" i="66"/>
  <c r="J919" i="66"/>
  <c r="N918" i="66"/>
  <c r="M918" i="66"/>
  <c r="L918" i="66"/>
  <c r="K918" i="66"/>
  <c r="J918" i="66"/>
  <c r="N917" i="66"/>
  <c r="M917" i="66"/>
  <c r="L917" i="66"/>
  <c r="K917" i="66"/>
  <c r="J917" i="66"/>
  <c r="N916" i="66"/>
  <c r="M916" i="66"/>
  <c r="L916" i="66"/>
  <c r="K916" i="66"/>
  <c r="J916" i="66"/>
  <c r="N915" i="66"/>
  <c r="M915" i="66"/>
  <c r="L915" i="66"/>
  <c r="K915" i="66"/>
  <c r="J915" i="66"/>
  <c r="N914" i="66"/>
  <c r="M914" i="66"/>
  <c r="L914" i="66"/>
  <c r="K914" i="66"/>
  <c r="J914" i="66"/>
  <c r="N913" i="66"/>
  <c r="M913" i="66"/>
  <c r="L913" i="66"/>
  <c r="K913" i="66"/>
  <c r="J913" i="66"/>
  <c r="H913" i="66"/>
  <c r="N910" i="66"/>
  <c r="M910" i="66"/>
  <c r="L910" i="66"/>
  <c r="K910" i="66"/>
  <c r="J910" i="66"/>
  <c r="N909" i="66"/>
  <c r="M909" i="66"/>
  <c r="L909" i="66"/>
  <c r="K909" i="66"/>
  <c r="J909" i="66"/>
  <c r="N908" i="66"/>
  <c r="M908" i="66"/>
  <c r="L908" i="66"/>
  <c r="K908" i="66"/>
  <c r="J908" i="66"/>
  <c r="N907" i="66"/>
  <c r="M907" i="66"/>
  <c r="L907" i="66"/>
  <c r="K907" i="66"/>
  <c r="J907" i="66"/>
  <c r="N906" i="66"/>
  <c r="M906" i="66"/>
  <c r="L906" i="66"/>
  <c r="K906" i="66"/>
  <c r="J906" i="66"/>
  <c r="N905" i="66"/>
  <c r="M905" i="66"/>
  <c r="L905" i="66"/>
  <c r="K905" i="66"/>
  <c r="J905" i="66"/>
  <c r="N904" i="66"/>
  <c r="M904" i="66"/>
  <c r="L904" i="66"/>
  <c r="K904" i="66"/>
  <c r="J904" i="66"/>
  <c r="N903" i="66"/>
  <c r="M903" i="66"/>
  <c r="L903" i="66"/>
  <c r="K903" i="66"/>
  <c r="J903" i="66"/>
  <c r="N902" i="66"/>
  <c r="M902" i="66"/>
  <c r="L902" i="66"/>
  <c r="K902" i="66"/>
  <c r="J902" i="66"/>
  <c r="N901" i="66"/>
  <c r="M901" i="66"/>
  <c r="L901" i="66"/>
  <c r="K901" i="66"/>
  <c r="J901" i="66"/>
  <c r="N900" i="66"/>
  <c r="M900" i="66"/>
  <c r="L900" i="66"/>
  <c r="K900" i="66"/>
  <c r="J900" i="66"/>
  <c r="N899" i="66"/>
  <c r="M899" i="66"/>
  <c r="L899" i="66"/>
  <c r="K899" i="66"/>
  <c r="J899" i="66"/>
  <c r="H899" i="66"/>
  <c r="N896" i="66"/>
  <c r="M896" i="66"/>
  <c r="L896" i="66"/>
  <c r="K896" i="66"/>
  <c r="J896" i="66"/>
  <c r="N895" i="66"/>
  <c r="M895" i="66"/>
  <c r="L895" i="66"/>
  <c r="K895" i="66"/>
  <c r="J895" i="66"/>
  <c r="N894" i="66"/>
  <c r="M894" i="66"/>
  <c r="L894" i="66"/>
  <c r="K894" i="66"/>
  <c r="J894" i="66"/>
  <c r="N893" i="66"/>
  <c r="M893" i="66"/>
  <c r="L893" i="66"/>
  <c r="K893" i="66"/>
  <c r="J893" i="66"/>
  <c r="N892" i="66"/>
  <c r="M892" i="66"/>
  <c r="L892" i="66"/>
  <c r="K892" i="66"/>
  <c r="J892" i="66"/>
  <c r="N891" i="66"/>
  <c r="M891" i="66"/>
  <c r="L891" i="66"/>
  <c r="K891" i="66"/>
  <c r="J891" i="66"/>
  <c r="N890" i="66"/>
  <c r="M890" i="66"/>
  <c r="L890" i="66"/>
  <c r="K890" i="66"/>
  <c r="J890" i="66"/>
  <c r="N889" i="66"/>
  <c r="M889" i="66"/>
  <c r="L889" i="66"/>
  <c r="K889" i="66"/>
  <c r="J889" i="66"/>
  <c r="N888" i="66"/>
  <c r="M888" i="66"/>
  <c r="L888" i="66"/>
  <c r="K888" i="66"/>
  <c r="J888" i="66"/>
  <c r="N887" i="66"/>
  <c r="M887" i="66"/>
  <c r="L887" i="66"/>
  <c r="K887" i="66"/>
  <c r="J887" i="66"/>
  <c r="N886" i="66"/>
  <c r="M886" i="66"/>
  <c r="L886" i="66"/>
  <c r="K886" i="66"/>
  <c r="J886" i="66"/>
  <c r="N885" i="66"/>
  <c r="M885" i="66"/>
  <c r="L885" i="66"/>
  <c r="K885" i="66"/>
  <c r="J885" i="66"/>
  <c r="H885" i="66"/>
  <c r="N882" i="66"/>
  <c r="M882" i="66"/>
  <c r="L882" i="66"/>
  <c r="K882" i="66"/>
  <c r="J882" i="66"/>
  <c r="N881" i="66"/>
  <c r="M881" i="66"/>
  <c r="L881" i="66"/>
  <c r="K881" i="66"/>
  <c r="J881" i="66"/>
  <c r="N880" i="66"/>
  <c r="M880" i="66"/>
  <c r="L880" i="66"/>
  <c r="K880" i="66"/>
  <c r="J880" i="66"/>
  <c r="N879" i="66"/>
  <c r="M879" i="66"/>
  <c r="L879" i="66"/>
  <c r="K879" i="66"/>
  <c r="J879" i="66"/>
  <c r="N878" i="66"/>
  <c r="M878" i="66"/>
  <c r="L878" i="66"/>
  <c r="K878" i="66"/>
  <c r="J878" i="66"/>
  <c r="N877" i="66"/>
  <c r="M877" i="66"/>
  <c r="L877" i="66"/>
  <c r="K877" i="66"/>
  <c r="J877" i="66"/>
  <c r="N876" i="66"/>
  <c r="M876" i="66"/>
  <c r="L876" i="66"/>
  <c r="K876" i="66"/>
  <c r="J876" i="66"/>
  <c r="N875" i="66"/>
  <c r="M875" i="66"/>
  <c r="L875" i="66"/>
  <c r="K875" i="66"/>
  <c r="J875" i="66"/>
  <c r="N874" i="66"/>
  <c r="M874" i="66"/>
  <c r="L874" i="66"/>
  <c r="K874" i="66"/>
  <c r="J874" i="66"/>
  <c r="N873" i="66"/>
  <c r="M873" i="66"/>
  <c r="L873" i="66"/>
  <c r="K873" i="66"/>
  <c r="J873" i="66"/>
  <c r="N872" i="66"/>
  <c r="M872" i="66"/>
  <c r="L872" i="66"/>
  <c r="K872" i="66"/>
  <c r="J872" i="66"/>
  <c r="N871" i="66"/>
  <c r="M871" i="66"/>
  <c r="L871" i="66"/>
  <c r="K871" i="66"/>
  <c r="J871" i="66"/>
  <c r="H871" i="66"/>
  <c r="N868" i="66"/>
  <c r="M868" i="66"/>
  <c r="L868" i="66"/>
  <c r="K868" i="66"/>
  <c r="J868" i="66"/>
  <c r="N867" i="66"/>
  <c r="M867" i="66"/>
  <c r="L867" i="66"/>
  <c r="K867" i="66"/>
  <c r="J867" i="66"/>
  <c r="N866" i="66"/>
  <c r="M866" i="66"/>
  <c r="L866" i="66"/>
  <c r="K866" i="66"/>
  <c r="J866" i="66"/>
  <c r="N865" i="66"/>
  <c r="M865" i="66"/>
  <c r="L865" i="66"/>
  <c r="K865" i="66"/>
  <c r="J865" i="66"/>
  <c r="N864" i="66"/>
  <c r="M864" i="66"/>
  <c r="L864" i="66"/>
  <c r="K864" i="66"/>
  <c r="J864" i="66"/>
  <c r="N863" i="66"/>
  <c r="M863" i="66"/>
  <c r="L863" i="66"/>
  <c r="K863" i="66"/>
  <c r="J863" i="66"/>
  <c r="N862" i="66"/>
  <c r="M862" i="66"/>
  <c r="L862" i="66"/>
  <c r="K862" i="66"/>
  <c r="J862" i="66"/>
  <c r="N861" i="66"/>
  <c r="M861" i="66"/>
  <c r="L861" i="66"/>
  <c r="K861" i="66"/>
  <c r="J861" i="66"/>
  <c r="N860" i="66"/>
  <c r="M860" i="66"/>
  <c r="L860" i="66"/>
  <c r="K860" i="66"/>
  <c r="J860" i="66"/>
  <c r="N859" i="66"/>
  <c r="M859" i="66"/>
  <c r="L859" i="66"/>
  <c r="K859" i="66"/>
  <c r="J859" i="66"/>
  <c r="N858" i="66"/>
  <c r="M858" i="66"/>
  <c r="L858" i="66"/>
  <c r="K858" i="66"/>
  <c r="J858" i="66"/>
  <c r="N857" i="66"/>
  <c r="M857" i="66"/>
  <c r="L857" i="66"/>
  <c r="K857" i="66"/>
  <c r="J857" i="66"/>
  <c r="H857" i="66"/>
  <c r="N854" i="66"/>
  <c r="M854" i="66"/>
  <c r="L854" i="66"/>
  <c r="K854" i="66"/>
  <c r="J854" i="66"/>
  <c r="N853" i="66"/>
  <c r="M853" i="66"/>
  <c r="L853" i="66"/>
  <c r="K853" i="66"/>
  <c r="J853" i="66"/>
  <c r="N852" i="66"/>
  <c r="M852" i="66"/>
  <c r="L852" i="66"/>
  <c r="K852" i="66"/>
  <c r="J852" i="66"/>
  <c r="N851" i="66"/>
  <c r="M851" i="66"/>
  <c r="L851" i="66"/>
  <c r="K851" i="66"/>
  <c r="J851" i="66"/>
  <c r="N850" i="66"/>
  <c r="M850" i="66"/>
  <c r="L850" i="66"/>
  <c r="K850" i="66"/>
  <c r="J850" i="66"/>
  <c r="N849" i="66"/>
  <c r="M849" i="66"/>
  <c r="L849" i="66"/>
  <c r="K849" i="66"/>
  <c r="J849" i="66"/>
  <c r="N848" i="66"/>
  <c r="M848" i="66"/>
  <c r="L848" i="66"/>
  <c r="K848" i="66"/>
  <c r="J848" i="66"/>
  <c r="N847" i="66"/>
  <c r="M847" i="66"/>
  <c r="L847" i="66"/>
  <c r="K847" i="66"/>
  <c r="J847" i="66"/>
  <c r="N846" i="66"/>
  <c r="M846" i="66"/>
  <c r="L846" i="66"/>
  <c r="K846" i="66"/>
  <c r="J846" i="66"/>
  <c r="H846" i="66"/>
  <c r="N845" i="66"/>
  <c r="M845" i="66"/>
  <c r="L845" i="66"/>
  <c r="K845" i="66"/>
  <c r="J845" i="66"/>
  <c r="N844" i="66"/>
  <c r="M844" i="66"/>
  <c r="L844" i="66"/>
  <c r="K844" i="66"/>
  <c r="J844" i="66"/>
  <c r="N843" i="66"/>
  <c r="M843" i="66"/>
  <c r="L843" i="66"/>
  <c r="K843" i="66"/>
  <c r="J843" i="66"/>
  <c r="H843" i="66"/>
  <c r="N840" i="66"/>
  <c r="M840" i="66"/>
  <c r="L840" i="66"/>
  <c r="K840" i="66"/>
  <c r="J840" i="66"/>
  <c r="N839" i="66"/>
  <c r="M839" i="66"/>
  <c r="L839" i="66"/>
  <c r="K839" i="66"/>
  <c r="J839" i="66"/>
  <c r="N838" i="66"/>
  <c r="M838" i="66"/>
  <c r="L838" i="66"/>
  <c r="K838" i="66"/>
  <c r="J838" i="66"/>
  <c r="N837" i="66"/>
  <c r="M837" i="66"/>
  <c r="L837" i="66"/>
  <c r="K837" i="66"/>
  <c r="J837" i="66"/>
  <c r="N836" i="66"/>
  <c r="M836" i="66"/>
  <c r="L836" i="66"/>
  <c r="K836" i="66"/>
  <c r="J836" i="66"/>
  <c r="N835" i="66"/>
  <c r="M835" i="66"/>
  <c r="L835" i="66"/>
  <c r="K835" i="66"/>
  <c r="J835" i="66"/>
  <c r="N834" i="66"/>
  <c r="M834" i="66"/>
  <c r="L834" i="66"/>
  <c r="K834" i="66"/>
  <c r="J834" i="66"/>
  <c r="H834" i="66"/>
  <c r="N831" i="66"/>
  <c r="M831" i="66"/>
  <c r="L831" i="66"/>
  <c r="K831" i="66"/>
  <c r="J831" i="66"/>
  <c r="N830" i="66"/>
  <c r="M830" i="66"/>
  <c r="L830" i="66"/>
  <c r="K830" i="66"/>
  <c r="J830" i="66"/>
  <c r="N826" i="66"/>
  <c r="M826" i="66"/>
  <c r="L826" i="66"/>
  <c r="K826" i="66"/>
  <c r="J826" i="66"/>
  <c r="I826" i="66"/>
  <c r="H826" i="66"/>
  <c r="G826" i="66"/>
  <c r="F826" i="66"/>
  <c r="N823" i="66"/>
  <c r="M823" i="66"/>
  <c r="L823" i="66"/>
  <c r="K823" i="66"/>
  <c r="J823" i="66"/>
  <c r="I823" i="66"/>
  <c r="H823" i="66"/>
  <c r="E823" i="66"/>
  <c r="I820" i="66"/>
  <c r="N816" i="66"/>
  <c r="M816" i="66"/>
  <c r="L816" i="66"/>
  <c r="K816" i="66"/>
  <c r="J816" i="66"/>
  <c r="I816" i="66"/>
  <c r="H816" i="66"/>
  <c r="E816" i="66"/>
  <c r="N815" i="66"/>
  <c r="M815" i="66"/>
  <c r="L815" i="66"/>
  <c r="K815" i="66"/>
  <c r="J815" i="66"/>
  <c r="I815" i="66"/>
  <c r="H815" i="66"/>
  <c r="E815" i="66"/>
  <c r="N813" i="66"/>
  <c r="M813" i="66"/>
  <c r="L813" i="66"/>
  <c r="K813" i="66"/>
  <c r="J813" i="66"/>
  <c r="I813" i="66"/>
  <c r="H813" i="66"/>
  <c r="E813" i="66"/>
  <c r="N812" i="66"/>
  <c r="M812" i="66"/>
  <c r="L812" i="66"/>
  <c r="K812" i="66"/>
  <c r="J812" i="66"/>
  <c r="I812" i="66"/>
  <c r="H812" i="66"/>
  <c r="E812" i="66"/>
  <c r="N809" i="66"/>
  <c r="M809" i="66"/>
  <c r="L809" i="66"/>
  <c r="K809" i="66"/>
  <c r="J809" i="66"/>
  <c r="I809" i="66"/>
  <c r="H809" i="66"/>
  <c r="N807" i="66"/>
  <c r="M807" i="66"/>
  <c r="L807" i="66"/>
  <c r="K807" i="66"/>
  <c r="J807" i="66"/>
  <c r="I807" i="66"/>
  <c r="H807" i="66"/>
  <c r="N806" i="66"/>
  <c r="M806" i="66"/>
  <c r="L806" i="66"/>
  <c r="K806" i="66"/>
  <c r="J806" i="66"/>
  <c r="I806" i="66"/>
  <c r="H806" i="66"/>
  <c r="N804" i="66"/>
  <c r="M804" i="66"/>
  <c r="L804" i="66"/>
  <c r="K804" i="66"/>
  <c r="J804" i="66"/>
  <c r="I804" i="66"/>
  <c r="H804" i="66"/>
  <c r="N803" i="66"/>
  <c r="M803" i="66"/>
  <c r="L803" i="66"/>
  <c r="K803" i="66"/>
  <c r="J803" i="66"/>
  <c r="I803" i="66"/>
  <c r="H803" i="66"/>
  <c r="N802" i="66"/>
  <c r="M802" i="66"/>
  <c r="L802" i="66"/>
  <c r="K802" i="66"/>
  <c r="J802" i="66"/>
  <c r="I802" i="66"/>
  <c r="H802" i="66"/>
  <c r="N801" i="66"/>
  <c r="M801" i="66"/>
  <c r="L801" i="66"/>
  <c r="K801" i="66"/>
  <c r="J801" i="66"/>
  <c r="I801" i="66"/>
  <c r="H801" i="66"/>
  <c r="N800" i="66"/>
  <c r="M800" i="66"/>
  <c r="L800" i="66"/>
  <c r="K800" i="66"/>
  <c r="J800" i="66"/>
  <c r="I800" i="66"/>
  <c r="H800" i="66"/>
  <c r="N799" i="66"/>
  <c r="M799" i="66"/>
  <c r="L799" i="66"/>
  <c r="K799" i="66"/>
  <c r="J799" i="66"/>
  <c r="I799" i="66"/>
  <c r="H799" i="66"/>
  <c r="N798" i="66"/>
  <c r="M798" i="66"/>
  <c r="L798" i="66"/>
  <c r="K798" i="66"/>
  <c r="J798" i="66"/>
  <c r="I798" i="66"/>
  <c r="H798" i="66"/>
  <c r="N797" i="66"/>
  <c r="M797" i="66"/>
  <c r="L797" i="66"/>
  <c r="K797" i="66"/>
  <c r="J797" i="66"/>
  <c r="I797" i="66"/>
  <c r="H797" i="66"/>
  <c r="N796" i="66"/>
  <c r="M796" i="66"/>
  <c r="L796" i="66"/>
  <c r="K796" i="66"/>
  <c r="J796" i="66"/>
  <c r="I796" i="66"/>
  <c r="H796" i="66"/>
  <c r="N795" i="66"/>
  <c r="M795" i="66"/>
  <c r="L795" i="66"/>
  <c r="K795" i="66"/>
  <c r="J795" i="66"/>
  <c r="I795" i="66"/>
  <c r="H795" i="66"/>
  <c r="N793" i="66"/>
  <c r="M793" i="66"/>
  <c r="L793" i="66"/>
  <c r="K793" i="66"/>
  <c r="J793" i="66"/>
  <c r="I793" i="66"/>
  <c r="H793" i="66"/>
  <c r="N792" i="66"/>
  <c r="M792" i="66"/>
  <c r="L792" i="66"/>
  <c r="K792" i="66"/>
  <c r="J792" i="66"/>
  <c r="I792" i="66"/>
  <c r="H792" i="66"/>
  <c r="N790" i="66"/>
  <c r="M790" i="66"/>
  <c r="L790" i="66"/>
  <c r="K790" i="66"/>
  <c r="J790" i="66"/>
  <c r="I790" i="66"/>
  <c r="H790" i="66"/>
  <c r="N789" i="66"/>
  <c r="M789" i="66"/>
  <c r="L789" i="66"/>
  <c r="K789" i="66"/>
  <c r="J789" i="66"/>
  <c r="I789" i="66"/>
  <c r="H789" i="66"/>
  <c r="N787" i="66"/>
  <c r="M787" i="66"/>
  <c r="L787" i="66"/>
  <c r="K787" i="66"/>
  <c r="J787" i="66"/>
  <c r="I787" i="66"/>
  <c r="H787" i="66"/>
  <c r="N786" i="66"/>
  <c r="M786" i="66"/>
  <c r="L786" i="66"/>
  <c r="K786" i="66"/>
  <c r="J786" i="66"/>
  <c r="I786" i="66"/>
  <c r="H786" i="66"/>
  <c r="N784" i="66"/>
  <c r="M784" i="66"/>
  <c r="L784" i="66"/>
  <c r="K784" i="66"/>
  <c r="J784" i="66"/>
  <c r="I784" i="66"/>
  <c r="H784" i="66"/>
  <c r="N783" i="66"/>
  <c r="M783" i="66"/>
  <c r="L783" i="66"/>
  <c r="K783" i="66"/>
  <c r="J783" i="66"/>
  <c r="I783" i="66"/>
  <c r="H783" i="66"/>
  <c r="N782" i="66"/>
  <c r="M782" i="66"/>
  <c r="L782" i="66"/>
  <c r="K782" i="66"/>
  <c r="J782" i="66"/>
  <c r="I782" i="66"/>
  <c r="H782" i="66"/>
  <c r="N781" i="66"/>
  <c r="M781" i="66"/>
  <c r="L781" i="66"/>
  <c r="K781" i="66"/>
  <c r="J781" i="66"/>
  <c r="I781" i="66"/>
  <c r="H781" i="66"/>
  <c r="N779" i="66"/>
  <c r="M779" i="66"/>
  <c r="L779" i="66"/>
  <c r="K779" i="66"/>
  <c r="J779" i="66"/>
  <c r="I779" i="66"/>
  <c r="H779" i="66"/>
  <c r="N778" i="66"/>
  <c r="M778" i="66"/>
  <c r="L778" i="66"/>
  <c r="K778" i="66"/>
  <c r="J778" i="66"/>
  <c r="I778" i="66"/>
  <c r="H778" i="66"/>
  <c r="N776" i="66"/>
  <c r="M776" i="66"/>
  <c r="L776" i="66"/>
  <c r="K776" i="66"/>
  <c r="J776" i="66"/>
  <c r="I776" i="66"/>
  <c r="H776" i="66"/>
  <c r="N771" i="66"/>
  <c r="M771" i="66"/>
  <c r="L771" i="66"/>
  <c r="K771" i="66"/>
  <c r="J771" i="66"/>
  <c r="I771" i="66"/>
  <c r="N770" i="66"/>
  <c r="M770" i="66"/>
  <c r="L770" i="66"/>
  <c r="K770" i="66"/>
  <c r="J770" i="66"/>
  <c r="I770" i="66"/>
  <c r="N769" i="66"/>
  <c r="M769" i="66"/>
  <c r="L769" i="66"/>
  <c r="K769" i="66"/>
  <c r="J769" i="66"/>
  <c r="I769" i="66"/>
  <c r="N768" i="66"/>
  <c r="M768" i="66"/>
  <c r="L768" i="66"/>
  <c r="K768" i="66"/>
  <c r="J768" i="66"/>
  <c r="I768" i="66"/>
  <c r="N767" i="66"/>
  <c r="M767" i="66"/>
  <c r="L767" i="66"/>
  <c r="K767" i="66"/>
  <c r="J767" i="66"/>
  <c r="I767" i="66"/>
  <c r="N766" i="66"/>
  <c r="M766" i="66"/>
  <c r="L766" i="66"/>
  <c r="K766" i="66"/>
  <c r="J766" i="66"/>
  <c r="I766" i="66"/>
  <c r="N765" i="66"/>
  <c r="M765" i="66"/>
  <c r="L765" i="66"/>
  <c r="K765" i="66"/>
  <c r="J765" i="66"/>
  <c r="I765" i="66"/>
  <c r="H765" i="66"/>
  <c r="N760" i="66"/>
  <c r="M760" i="66"/>
  <c r="L760" i="66"/>
  <c r="K760" i="66"/>
  <c r="J760" i="66"/>
  <c r="N759" i="66"/>
  <c r="M759" i="66"/>
  <c r="L759" i="66"/>
  <c r="K759" i="66"/>
  <c r="J759" i="66"/>
  <c r="N758" i="66"/>
  <c r="M758" i="66"/>
  <c r="L758" i="66"/>
  <c r="K758" i="66"/>
  <c r="J758" i="66"/>
  <c r="N757" i="66"/>
  <c r="M757" i="66"/>
  <c r="L757" i="66"/>
  <c r="K757" i="66"/>
  <c r="J757" i="66"/>
  <c r="N756" i="66"/>
  <c r="M756" i="66"/>
  <c r="L756" i="66"/>
  <c r="K756" i="66"/>
  <c r="J756" i="66"/>
  <c r="N755" i="66"/>
  <c r="M755" i="66"/>
  <c r="L755" i="66"/>
  <c r="K755" i="66"/>
  <c r="J755" i="66"/>
  <c r="N754" i="66"/>
  <c r="M754" i="66"/>
  <c r="L754" i="66"/>
  <c r="K754" i="66"/>
  <c r="J754" i="66"/>
  <c r="N753" i="66"/>
  <c r="M753" i="66"/>
  <c r="L753" i="66"/>
  <c r="K753" i="66"/>
  <c r="J753" i="66"/>
  <c r="N752" i="66"/>
  <c r="M752" i="66"/>
  <c r="L752" i="66"/>
  <c r="K752" i="66"/>
  <c r="J752" i="66"/>
  <c r="N751" i="66"/>
  <c r="M751" i="66"/>
  <c r="L751" i="66"/>
  <c r="K751" i="66"/>
  <c r="J751" i="66"/>
  <c r="N750" i="66"/>
  <c r="M750" i="66"/>
  <c r="L750" i="66"/>
  <c r="K750" i="66"/>
  <c r="J750" i="66"/>
  <c r="N749" i="66"/>
  <c r="M749" i="66"/>
  <c r="L749" i="66"/>
  <c r="K749" i="66"/>
  <c r="J749" i="66"/>
  <c r="H749" i="66"/>
  <c r="N746" i="66"/>
  <c r="M746" i="66"/>
  <c r="L746" i="66"/>
  <c r="K746" i="66"/>
  <c r="J746" i="66"/>
  <c r="N745" i="66"/>
  <c r="M745" i="66"/>
  <c r="L745" i="66"/>
  <c r="K745" i="66"/>
  <c r="J745" i="66"/>
  <c r="N744" i="66"/>
  <c r="M744" i="66"/>
  <c r="L744" i="66"/>
  <c r="K744" i="66"/>
  <c r="J744" i="66"/>
  <c r="N743" i="66"/>
  <c r="M743" i="66"/>
  <c r="L743" i="66"/>
  <c r="K743" i="66"/>
  <c r="J743" i="66"/>
  <c r="N742" i="66"/>
  <c r="M742" i="66"/>
  <c r="L742" i="66"/>
  <c r="K742" i="66"/>
  <c r="J742" i="66"/>
  <c r="N741" i="66"/>
  <c r="M741" i="66"/>
  <c r="L741" i="66"/>
  <c r="K741" i="66"/>
  <c r="J741" i="66"/>
  <c r="N740" i="66"/>
  <c r="M740" i="66"/>
  <c r="L740" i="66"/>
  <c r="K740" i="66"/>
  <c r="J740" i="66"/>
  <c r="N739" i="66"/>
  <c r="M739" i="66"/>
  <c r="L739" i="66"/>
  <c r="K739" i="66"/>
  <c r="J739" i="66"/>
  <c r="N738" i="66"/>
  <c r="M738" i="66"/>
  <c r="L738" i="66"/>
  <c r="K738" i="66"/>
  <c r="J738" i="66"/>
  <c r="N737" i="66"/>
  <c r="M737" i="66"/>
  <c r="L737" i="66"/>
  <c r="K737" i="66"/>
  <c r="J737" i="66"/>
  <c r="N736" i="66"/>
  <c r="M736" i="66"/>
  <c r="L736" i="66"/>
  <c r="K736" i="66"/>
  <c r="J736" i="66"/>
  <c r="N735" i="66"/>
  <c r="M735" i="66"/>
  <c r="L735" i="66"/>
  <c r="K735" i="66"/>
  <c r="J735" i="66"/>
  <c r="H735" i="66"/>
  <c r="N732" i="66"/>
  <c r="M732" i="66"/>
  <c r="L732" i="66"/>
  <c r="K732" i="66"/>
  <c r="J732" i="66"/>
  <c r="N731" i="66"/>
  <c r="M731" i="66"/>
  <c r="L731" i="66"/>
  <c r="K731" i="66"/>
  <c r="J731" i="66"/>
  <c r="N730" i="66"/>
  <c r="M730" i="66"/>
  <c r="L730" i="66"/>
  <c r="K730" i="66"/>
  <c r="J730" i="66"/>
  <c r="N729" i="66"/>
  <c r="M729" i="66"/>
  <c r="L729" i="66"/>
  <c r="K729" i="66"/>
  <c r="J729" i="66"/>
  <c r="N728" i="66"/>
  <c r="M728" i="66"/>
  <c r="L728" i="66"/>
  <c r="K728" i="66"/>
  <c r="J728" i="66"/>
  <c r="N727" i="66"/>
  <c r="M727" i="66"/>
  <c r="L727" i="66"/>
  <c r="K727" i="66"/>
  <c r="J727" i="66"/>
  <c r="N726" i="66"/>
  <c r="M726" i="66"/>
  <c r="L726" i="66"/>
  <c r="K726" i="66"/>
  <c r="J726" i="66"/>
  <c r="N725" i="66"/>
  <c r="M725" i="66"/>
  <c r="L725" i="66"/>
  <c r="K725" i="66"/>
  <c r="J725" i="66"/>
  <c r="N724" i="66"/>
  <c r="M724" i="66"/>
  <c r="L724" i="66"/>
  <c r="K724" i="66"/>
  <c r="J724" i="66"/>
  <c r="N723" i="66"/>
  <c r="M723" i="66"/>
  <c r="L723" i="66"/>
  <c r="K723" i="66"/>
  <c r="J723" i="66"/>
  <c r="N722" i="66"/>
  <c r="M722" i="66"/>
  <c r="L722" i="66"/>
  <c r="K722" i="66"/>
  <c r="J722" i="66"/>
  <c r="N721" i="66"/>
  <c r="M721" i="66"/>
  <c r="L721" i="66"/>
  <c r="K721" i="66"/>
  <c r="J721" i="66"/>
  <c r="H721" i="66"/>
  <c r="N718" i="66"/>
  <c r="M718" i="66"/>
  <c r="L718" i="66"/>
  <c r="K718" i="66"/>
  <c r="J718" i="66"/>
  <c r="N717" i="66"/>
  <c r="M717" i="66"/>
  <c r="L717" i="66"/>
  <c r="K717" i="66"/>
  <c r="J717" i="66"/>
  <c r="N716" i="66"/>
  <c r="M716" i="66"/>
  <c r="L716" i="66"/>
  <c r="K716" i="66"/>
  <c r="J716" i="66"/>
  <c r="N715" i="66"/>
  <c r="M715" i="66"/>
  <c r="L715" i="66"/>
  <c r="K715" i="66"/>
  <c r="J715" i="66"/>
  <c r="N714" i="66"/>
  <c r="M714" i="66"/>
  <c r="L714" i="66"/>
  <c r="K714" i="66"/>
  <c r="J714" i="66"/>
  <c r="N713" i="66"/>
  <c r="M713" i="66"/>
  <c r="L713" i="66"/>
  <c r="K713" i="66"/>
  <c r="J713" i="66"/>
  <c r="N712" i="66"/>
  <c r="M712" i="66"/>
  <c r="L712" i="66"/>
  <c r="K712" i="66"/>
  <c r="J712" i="66"/>
  <c r="N711" i="66"/>
  <c r="M711" i="66"/>
  <c r="L711" i="66"/>
  <c r="K711" i="66"/>
  <c r="J711" i="66"/>
  <c r="N710" i="66"/>
  <c r="M710" i="66"/>
  <c r="L710" i="66"/>
  <c r="K710" i="66"/>
  <c r="J710" i="66"/>
  <c r="N709" i="66"/>
  <c r="M709" i="66"/>
  <c r="L709" i="66"/>
  <c r="K709" i="66"/>
  <c r="J709" i="66"/>
  <c r="N708" i="66"/>
  <c r="M708" i="66"/>
  <c r="L708" i="66"/>
  <c r="K708" i="66"/>
  <c r="J708" i="66"/>
  <c r="N707" i="66"/>
  <c r="M707" i="66"/>
  <c r="L707" i="66"/>
  <c r="K707" i="66"/>
  <c r="J707" i="66"/>
  <c r="H707" i="66"/>
  <c r="N704" i="66"/>
  <c r="M704" i="66"/>
  <c r="L704" i="66"/>
  <c r="K704" i="66"/>
  <c r="J704" i="66"/>
  <c r="N703" i="66"/>
  <c r="M703" i="66"/>
  <c r="L703" i="66"/>
  <c r="K703" i="66"/>
  <c r="J703" i="66"/>
  <c r="N702" i="66"/>
  <c r="M702" i="66"/>
  <c r="L702" i="66"/>
  <c r="K702" i="66"/>
  <c r="J702" i="66"/>
  <c r="N701" i="66"/>
  <c r="M701" i="66"/>
  <c r="L701" i="66"/>
  <c r="K701" i="66"/>
  <c r="J701" i="66"/>
  <c r="N700" i="66"/>
  <c r="M700" i="66"/>
  <c r="L700" i="66"/>
  <c r="K700" i="66"/>
  <c r="J700" i="66"/>
  <c r="N699" i="66"/>
  <c r="M699" i="66"/>
  <c r="L699" i="66"/>
  <c r="K699" i="66"/>
  <c r="J699" i="66"/>
  <c r="N698" i="66"/>
  <c r="M698" i="66"/>
  <c r="L698" i="66"/>
  <c r="K698" i="66"/>
  <c r="J698" i="66"/>
  <c r="N697" i="66"/>
  <c r="M697" i="66"/>
  <c r="L697" i="66"/>
  <c r="K697" i="66"/>
  <c r="J697" i="66"/>
  <c r="N696" i="66"/>
  <c r="M696" i="66"/>
  <c r="L696" i="66"/>
  <c r="K696" i="66"/>
  <c r="J696" i="66"/>
  <c r="N695" i="66"/>
  <c r="M695" i="66"/>
  <c r="L695" i="66"/>
  <c r="K695" i="66"/>
  <c r="J695" i="66"/>
  <c r="N694" i="66"/>
  <c r="M694" i="66"/>
  <c r="L694" i="66"/>
  <c r="K694" i="66"/>
  <c r="J694" i="66"/>
  <c r="N693" i="66"/>
  <c r="M693" i="66"/>
  <c r="L693" i="66"/>
  <c r="K693" i="66"/>
  <c r="J693" i="66"/>
  <c r="H693" i="66"/>
  <c r="N690" i="66"/>
  <c r="M690" i="66"/>
  <c r="L690" i="66"/>
  <c r="K690" i="66"/>
  <c r="J690" i="66"/>
  <c r="N689" i="66"/>
  <c r="M689" i="66"/>
  <c r="L689" i="66"/>
  <c r="K689" i="66"/>
  <c r="J689" i="66"/>
  <c r="N688" i="66"/>
  <c r="M688" i="66"/>
  <c r="L688" i="66"/>
  <c r="K688" i="66"/>
  <c r="J688" i="66"/>
  <c r="N687" i="66"/>
  <c r="M687" i="66"/>
  <c r="L687" i="66"/>
  <c r="K687" i="66"/>
  <c r="J687" i="66"/>
  <c r="N686" i="66"/>
  <c r="M686" i="66"/>
  <c r="L686" i="66"/>
  <c r="K686" i="66"/>
  <c r="J686" i="66"/>
  <c r="N685" i="66"/>
  <c r="M685" i="66"/>
  <c r="L685" i="66"/>
  <c r="K685" i="66"/>
  <c r="J685" i="66"/>
  <c r="N684" i="66"/>
  <c r="M684" i="66"/>
  <c r="L684" i="66"/>
  <c r="K684" i="66"/>
  <c r="J684" i="66"/>
  <c r="N683" i="66"/>
  <c r="M683" i="66"/>
  <c r="L683" i="66"/>
  <c r="K683" i="66"/>
  <c r="J683" i="66"/>
  <c r="N682" i="66"/>
  <c r="M682" i="66"/>
  <c r="L682" i="66"/>
  <c r="K682" i="66"/>
  <c r="J682" i="66"/>
  <c r="H682" i="66"/>
  <c r="N681" i="66"/>
  <c r="M681" i="66"/>
  <c r="L681" i="66"/>
  <c r="K681" i="66"/>
  <c r="J681" i="66"/>
  <c r="N680" i="66"/>
  <c r="M680" i="66"/>
  <c r="L680" i="66"/>
  <c r="K680" i="66"/>
  <c r="J680" i="66"/>
  <c r="N679" i="66"/>
  <c r="M679" i="66"/>
  <c r="L679" i="66"/>
  <c r="K679" i="66"/>
  <c r="J679" i="66"/>
  <c r="H679" i="66"/>
  <c r="N676" i="66"/>
  <c r="M676" i="66"/>
  <c r="L676" i="66"/>
  <c r="K676" i="66"/>
  <c r="J676" i="66"/>
  <c r="N675" i="66"/>
  <c r="M675" i="66"/>
  <c r="L675" i="66"/>
  <c r="K675" i="66"/>
  <c r="J675" i="66"/>
  <c r="N674" i="66"/>
  <c r="M674" i="66"/>
  <c r="L674" i="66"/>
  <c r="K674" i="66"/>
  <c r="J674" i="66"/>
  <c r="N673" i="66"/>
  <c r="M673" i="66"/>
  <c r="L673" i="66"/>
  <c r="K673" i="66"/>
  <c r="J673" i="66"/>
  <c r="N672" i="66"/>
  <c r="M672" i="66"/>
  <c r="L672" i="66"/>
  <c r="K672" i="66"/>
  <c r="J672" i="66"/>
  <c r="N671" i="66"/>
  <c r="M671" i="66"/>
  <c r="L671" i="66"/>
  <c r="K671" i="66"/>
  <c r="J671" i="66"/>
  <c r="N670" i="66"/>
  <c r="M670" i="66"/>
  <c r="L670" i="66"/>
  <c r="K670" i="66"/>
  <c r="J670" i="66"/>
  <c r="H670" i="66"/>
  <c r="N667" i="66"/>
  <c r="M667" i="66"/>
  <c r="L667" i="66"/>
  <c r="K667" i="66"/>
  <c r="J667" i="66"/>
  <c r="N666" i="66"/>
  <c r="M666" i="66"/>
  <c r="L666" i="66"/>
  <c r="K666" i="66"/>
  <c r="J666" i="66"/>
  <c r="N662" i="66"/>
  <c r="M662" i="66"/>
  <c r="L662" i="66"/>
  <c r="K662" i="66"/>
  <c r="J662" i="66"/>
  <c r="I662" i="66"/>
  <c r="H662" i="66"/>
  <c r="G662" i="66"/>
  <c r="F662" i="66"/>
  <c r="N659" i="66"/>
  <c r="M659" i="66"/>
  <c r="L659" i="66"/>
  <c r="K659" i="66"/>
  <c r="J659" i="66"/>
  <c r="I659" i="66"/>
  <c r="H659" i="66"/>
  <c r="E659" i="66"/>
  <c r="I656" i="66"/>
  <c r="N652" i="66"/>
  <c r="M652" i="66"/>
  <c r="L652" i="66"/>
  <c r="K652" i="66"/>
  <c r="J652" i="66"/>
  <c r="I652" i="66"/>
  <c r="H652" i="66"/>
  <c r="E652" i="66"/>
  <c r="N651" i="66"/>
  <c r="M651" i="66"/>
  <c r="L651" i="66"/>
  <c r="K651" i="66"/>
  <c r="J651" i="66"/>
  <c r="I651" i="66"/>
  <c r="H651" i="66"/>
  <c r="E651" i="66"/>
  <c r="N649" i="66"/>
  <c r="M649" i="66"/>
  <c r="L649" i="66"/>
  <c r="K649" i="66"/>
  <c r="J649" i="66"/>
  <c r="I649" i="66"/>
  <c r="H649" i="66"/>
  <c r="E649" i="66"/>
  <c r="N648" i="66"/>
  <c r="M648" i="66"/>
  <c r="L648" i="66"/>
  <c r="K648" i="66"/>
  <c r="J648" i="66"/>
  <c r="I648" i="66"/>
  <c r="H648" i="66"/>
  <c r="E648" i="66"/>
  <c r="N645" i="66"/>
  <c r="M645" i="66"/>
  <c r="L645" i="66"/>
  <c r="K645" i="66"/>
  <c r="J645" i="66"/>
  <c r="I645" i="66"/>
  <c r="H645" i="66"/>
  <c r="N643" i="66"/>
  <c r="M643" i="66"/>
  <c r="L643" i="66"/>
  <c r="K643" i="66"/>
  <c r="J643" i="66"/>
  <c r="I643" i="66"/>
  <c r="H643" i="66"/>
  <c r="N642" i="66"/>
  <c r="M642" i="66"/>
  <c r="L642" i="66"/>
  <c r="K642" i="66"/>
  <c r="J642" i="66"/>
  <c r="I642" i="66"/>
  <c r="H642" i="66"/>
  <c r="N640" i="66"/>
  <c r="M640" i="66"/>
  <c r="L640" i="66"/>
  <c r="K640" i="66"/>
  <c r="J640" i="66"/>
  <c r="I640" i="66"/>
  <c r="H640" i="66"/>
  <c r="N639" i="66"/>
  <c r="M639" i="66"/>
  <c r="L639" i="66"/>
  <c r="K639" i="66"/>
  <c r="J639" i="66"/>
  <c r="I639" i="66"/>
  <c r="H639" i="66"/>
  <c r="N638" i="66"/>
  <c r="M638" i="66"/>
  <c r="L638" i="66"/>
  <c r="K638" i="66"/>
  <c r="J638" i="66"/>
  <c r="I638" i="66"/>
  <c r="H638" i="66"/>
  <c r="N637" i="66"/>
  <c r="M637" i="66"/>
  <c r="L637" i="66"/>
  <c r="K637" i="66"/>
  <c r="J637" i="66"/>
  <c r="I637" i="66"/>
  <c r="H637" i="66"/>
  <c r="N636" i="66"/>
  <c r="M636" i="66"/>
  <c r="L636" i="66"/>
  <c r="K636" i="66"/>
  <c r="J636" i="66"/>
  <c r="I636" i="66"/>
  <c r="H636" i="66"/>
  <c r="N635" i="66"/>
  <c r="M635" i="66"/>
  <c r="L635" i="66"/>
  <c r="K635" i="66"/>
  <c r="J635" i="66"/>
  <c r="I635" i="66"/>
  <c r="H635" i="66"/>
  <c r="N634" i="66"/>
  <c r="M634" i="66"/>
  <c r="L634" i="66"/>
  <c r="K634" i="66"/>
  <c r="J634" i="66"/>
  <c r="I634" i="66"/>
  <c r="H634" i="66"/>
  <c r="N633" i="66"/>
  <c r="M633" i="66"/>
  <c r="L633" i="66"/>
  <c r="K633" i="66"/>
  <c r="J633" i="66"/>
  <c r="I633" i="66"/>
  <c r="H633" i="66"/>
  <c r="N632" i="66"/>
  <c r="M632" i="66"/>
  <c r="L632" i="66"/>
  <c r="K632" i="66"/>
  <c r="J632" i="66"/>
  <c r="I632" i="66"/>
  <c r="H632" i="66"/>
  <c r="N631" i="66"/>
  <c r="M631" i="66"/>
  <c r="L631" i="66"/>
  <c r="K631" i="66"/>
  <c r="J631" i="66"/>
  <c r="I631" i="66"/>
  <c r="H631" i="66"/>
  <c r="N629" i="66"/>
  <c r="M629" i="66"/>
  <c r="L629" i="66"/>
  <c r="K629" i="66"/>
  <c r="J629" i="66"/>
  <c r="I629" i="66"/>
  <c r="H629" i="66"/>
  <c r="N628" i="66"/>
  <c r="M628" i="66"/>
  <c r="L628" i="66"/>
  <c r="K628" i="66"/>
  <c r="J628" i="66"/>
  <c r="I628" i="66"/>
  <c r="H628" i="66"/>
  <c r="N626" i="66"/>
  <c r="M626" i="66"/>
  <c r="L626" i="66"/>
  <c r="K626" i="66"/>
  <c r="J626" i="66"/>
  <c r="I626" i="66"/>
  <c r="H626" i="66"/>
  <c r="N625" i="66"/>
  <c r="M625" i="66"/>
  <c r="L625" i="66"/>
  <c r="K625" i="66"/>
  <c r="J625" i="66"/>
  <c r="I625" i="66"/>
  <c r="H625" i="66"/>
  <c r="N623" i="66"/>
  <c r="M623" i="66"/>
  <c r="L623" i="66"/>
  <c r="K623" i="66"/>
  <c r="J623" i="66"/>
  <c r="I623" i="66"/>
  <c r="H623" i="66"/>
  <c r="N622" i="66"/>
  <c r="M622" i="66"/>
  <c r="L622" i="66"/>
  <c r="K622" i="66"/>
  <c r="J622" i="66"/>
  <c r="I622" i="66"/>
  <c r="H622" i="66"/>
  <c r="N620" i="66"/>
  <c r="M620" i="66"/>
  <c r="L620" i="66"/>
  <c r="K620" i="66"/>
  <c r="J620" i="66"/>
  <c r="I620" i="66"/>
  <c r="H620" i="66"/>
  <c r="N619" i="66"/>
  <c r="M619" i="66"/>
  <c r="L619" i="66"/>
  <c r="K619" i="66"/>
  <c r="J619" i="66"/>
  <c r="I619" i="66"/>
  <c r="H619" i="66"/>
  <c r="N618" i="66"/>
  <c r="M618" i="66"/>
  <c r="L618" i="66"/>
  <c r="K618" i="66"/>
  <c r="J618" i="66"/>
  <c r="I618" i="66"/>
  <c r="H618" i="66"/>
  <c r="N617" i="66"/>
  <c r="M617" i="66"/>
  <c r="L617" i="66"/>
  <c r="K617" i="66"/>
  <c r="J617" i="66"/>
  <c r="I617" i="66"/>
  <c r="H617" i="66"/>
  <c r="N615" i="66"/>
  <c r="M615" i="66"/>
  <c r="L615" i="66"/>
  <c r="K615" i="66"/>
  <c r="J615" i="66"/>
  <c r="I615" i="66"/>
  <c r="H615" i="66"/>
  <c r="N614" i="66"/>
  <c r="M614" i="66"/>
  <c r="L614" i="66"/>
  <c r="K614" i="66"/>
  <c r="J614" i="66"/>
  <c r="I614" i="66"/>
  <c r="H614" i="66"/>
  <c r="N612" i="66"/>
  <c r="M612" i="66"/>
  <c r="L612" i="66"/>
  <c r="K612" i="66"/>
  <c r="J612" i="66"/>
  <c r="I612" i="66"/>
  <c r="H612" i="66"/>
  <c r="N607" i="66"/>
  <c r="M607" i="66"/>
  <c r="L607" i="66"/>
  <c r="K607" i="66"/>
  <c r="J607" i="66"/>
  <c r="I607" i="66"/>
  <c r="N606" i="66"/>
  <c r="M606" i="66"/>
  <c r="L606" i="66"/>
  <c r="K606" i="66"/>
  <c r="J606" i="66"/>
  <c r="I606" i="66"/>
  <c r="N605" i="66"/>
  <c r="M605" i="66"/>
  <c r="L605" i="66"/>
  <c r="K605" i="66"/>
  <c r="J605" i="66"/>
  <c r="I605" i="66"/>
  <c r="N604" i="66"/>
  <c r="M604" i="66"/>
  <c r="L604" i="66"/>
  <c r="K604" i="66"/>
  <c r="J604" i="66"/>
  <c r="I604" i="66"/>
  <c r="N603" i="66"/>
  <c r="M603" i="66"/>
  <c r="L603" i="66"/>
  <c r="K603" i="66"/>
  <c r="J603" i="66"/>
  <c r="I603" i="66"/>
  <c r="N602" i="66"/>
  <c r="M602" i="66"/>
  <c r="L602" i="66"/>
  <c r="K602" i="66"/>
  <c r="J602" i="66"/>
  <c r="I602" i="66"/>
  <c r="N601" i="66"/>
  <c r="M601" i="66"/>
  <c r="L601" i="66"/>
  <c r="K601" i="66"/>
  <c r="J601" i="66"/>
  <c r="I601" i="66"/>
  <c r="H601" i="66"/>
  <c r="N596" i="66"/>
  <c r="M596" i="66"/>
  <c r="L596" i="66"/>
  <c r="K596" i="66"/>
  <c r="J596" i="66"/>
  <c r="N595" i="66"/>
  <c r="M595" i="66"/>
  <c r="L595" i="66"/>
  <c r="K595" i="66"/>
  <c r="J595" i="66"/>
  <c r="N594" i="66"/>
  <c r="M594" i="66"/>
  <c r="L594" i="66"/>
  <c r="K594" i="66"/>
  <c r="J594" i="66"/>
  <c r="N593" i="66"/>
  <c r="M593" i="66"/>
  <c r="L593" i="66"/>
  <c r="K593" i="66"/>
  <c r="J593" i="66"/>
  <c r="N592" i="66"/>
  <c r="M592" i="66"/>
  <c r="L592" i="66"/>
  <c r="K592" i="66"/>
  <c r="J592" i="66"/>
  <c r="N591" i="66"/>
  <c r="M591" i="66"/>
  <c r="L591" i="66"/>
  <c r="K591" i="66"/>
  <c r="J591" i="66"/>
  <c r="N590" i="66"/>
  <c r="M590" i="66"/>
  <c r="L590" i="66"/>
  <c r="K590" i="66"/>
  <c r="J590" i="66"/>
  <c r="N589" i="66"/>
  <c r="M589" i="66"/>
  <c r="L589" i="66"/>
  <c r="K589" i="66"/>
  <c r="J589" i="66"/>
  <c r="N588" i="66"/>
  <c r="M588" i="66"/>
  <c r="L588" i="66"/>
  <c r="K588" i="66"/>
  <c r="J588" i="66"/>
  <c r="N587" i="66"/>
  <c r="M587" i="66"/>
  <c r="L587" i="66"/>
  <c r="K587" i="66"/>
  <c r="J587" i="66"/>
  <c r="N586" i="66"/>
  <c r="M586" i="66"/>
  <c r="L586" i="66"/>
  <c r="K586" i="66"/>
  <c r="J586" i="66"/>
  <c r="N585" i="66"/>
  <c r="M585" i="66"/>
  <c r="L585" i="66"/>
  <c r="K585" i="66"/>
  <c r="J585" i="66"/>
  <c r="H585" i="66"/>
  <c r="N582" i="66"/>
  <c r="M582" i="66"/>
  <c r="L582" i="66"/>
  <c r="K582" i="66"/>
  <c r="J582" i="66"/>
  <c r="N581" i="66"/>
  <c r="M581" i="66"/>
  <c r="L581" i="66"/>
  <c r="K581" i="66"/>
  <c r="J581" i="66"/>
  <c r="N580" i="66"/>
  <c r="M580" i="66"/>
  <c r="L580" i="66"/>
  <c r="K580" i="66"/>
  <c r="J580" i="66"/>
  <c r="N579" i="66"/>
  <c r="M579" i="66"/>
  <c r="L579" i="66"/>
  <c r="K579" i="66"/>
  <c r="J579" i="66"/>
  <c r="N578" i="66"/>
  <c r="M578" i="66"/>
  <c r="L578" i="66"/>
  <c r="K578" i="66"/>
  <c r="J578" i="66"/>
  <c r="N577" i="66"/>
  <c r="M577" i="66"/>
  <c r="L577" i="66"/>
  <c r="K577" i="66"/>
  <c r="J577" i="66"/>
  <c r="N576" i="66"/>
  <c r="M576" i="66"/>
  <c r="L576" i="66"/>
  <c r="K576" i="66"/>
  <c r="J576" i="66"/>
  <c r="N575" i="66"/>
  <c r="M575" i="66"/>
  <c r="L575" i="66"/>
  <c r="K575" i="66"/>
  <c r="J575" i="66"/>
  <c r="N574" i="66"/>
  <c r="M574" i="66"/>
  <c r="L574" i="66"/>
  <c r="K574" i="66"/>
  <c r="J574" i="66"/>
  <c r="N573" i="66"/>
  <c r="M573" i="66"/>
  <c r="L573" i="66"/>
  <c r="K573" i="66"/>
  <c r="J573" i="66"/>
  <c r="N572" i="66"/>
  <c r="M572" i="66"/>
  <c r="L572" i="66"/>
  <c r="K572" i="66"/>
  <c r="J572" i="66"/>
  <c r="N571" i="66"/>
  <c r="M571" i="66"/>
  <c r="L571" i="66"/>
  <c r="K571" i="66"/>
  <c r="J571" i="66"/>
  <c r="H571" i="66"/>
  <c r="N568" i="66"/>
  <c r="M568" i="66"/>
  <c r="L568" i="66"/>
  <c r="K568" i="66"/>
  <c r="J568" i="66"/>
  <c r="N567" i="66"/>
  <c r="M567" i="66"/>
  <c r="L567" i="66"/>
  <c r="K567" i="66"/>
  <c r="J567" i="66"/>
  <c r="N566" i="66"/>
  <c r="M566" i="66"/>
  <c r="L566" i="66"/>
  <c r="K566" i="66"/>
  <c r="J566" i="66"/>
  <c r="N565" i="66"/>
  <c r="M565" i="66"/>
  <c r="L565" i="66"/>
  <c r="K565" i="66"/>
  <c r="J565" i="66"/>
  <c r="N564" i="66"/>
  <c r="M564" i="66"/>
  <c r="L564" i="66"/>
  <c r="K564" i="66"/>
  <c r="J564" i="66"/>
  <c r="N563" i="66"/>
  <c r="M563" i="66"/>
  <c r="L563" i="66"/>
  <c r="K563" i="66"/>
  <c r="J563" i="66"/>
  <c r="N562" i="66"/>
  <c r="M562" i="66"/>
  <c r="L562" i="66"/>
  <c r="K562" i="66"/>
  <c r="J562" i="66"/>
  <c r="N561" i="66"/>
  <c r="M561" i="66"/>
  <c r="L561" i="66"/>
  <c r="K561" i="66"/>
  <c r="J561" i="66"/>
  <c r="N560" i="66"/>
  <c r="M560" i="66"/>
  <c r="L560" i="66"/>
  <c r="K560" i="66"/>
  <c r="J560" i="66"/>
  <c r="N559" i="66"/>
  <c r="M559" i="66"/>
  <c r="L559" i="66"/>
  <c r="K559" i="66"/>
  <c r="J559" i="66"/>
  <c r="N558" i="66"/>
  <c r="M558" i="66"/>
  <c r="L558" i="66"/>
  <c r="K558" i="66"/>
  <c r="J558" i="66"/>
  <c r="N557" i="66"/>
  <c r="M557" i="66"/>
  <c r="L557" i="66"/>
  <c r="K557" i="66"/>
  <c r="J557" i="66"/>
  <c r="H557" i="66"/>
  <c r="N554" i="66"/>
  <c r="M554" i="66"/>
  <c r="L554" i="66"/>
  <c r="K554" i="66"/>
  <c r="J554" i="66"/>
  <c r="N553" i="66"/>
  <c r="M553" i="66"/>
  <c r="L553" i="66"/>
  <c r="K553" i="66"/>
  <c r="J553" i="66"/>
  <c r="N552" i="66"/>
  <c r="M552" i="66"/>
  <c r="L552" i="66"/>
  <c r="K552" i="66"/>
  <c r="J552" i="66"/>
  <c r="N551" i="66"/>
  <c r="M551" i="66"/>
  <c r="L551" i="66"/>
  <c r="K551" i="66"/>
  <c r="J551" i="66"/>
  <c r="N550" i="66"/>
  <c r="M550" i="66"/>
  <c r="L550" i="66"/>
  <c r="K550" i="66"/>
  <c r="J550" i="66"/>
  <c r="N549" i="66"/>
  <c r="M549" i="66"/>
  <c r="L549" i="66"/>
  <c r="K549" i="66"/>
  <c r="J549" i="66"/>
  <c r="N548" i="66"/>
  <c r="M548" i="66"/>
  <c r="L548" i="66"/>
  <c r="K548" i="66"/>
  <c r="J548" i="66"/>
  <c r="N547" i="66"/>
  <c r="M547" i="66"/>
  <c r="L547" i="66"/>
  <c r="K547" i="66"/>
  <c r="J547" i="66"/>
  <c r="N546" i="66"/>
  <c r="M546" i="66"/>
  <c r="L546" i="66"/>
  <c r="K546" i="66"/>
  <c r="J546" i="66"/>
  <c r="N545" i="66"/>
  <c r="M545" i="66"/>
  <c r="L545" i="66"/>
  <c r="K545" i="66"/>
  <c r="J545" i="66"/>
  <c r="N544" i="66"/>
  <c r="M544" i="66"/>
  <c r="L544" i="66"/>
  <c r="K544" i="66"/>
  <c r="J544" i="66"/>
  <c r="N543" i="66"/>
  <c r="M543" i="66"/>
  <c r="L543" i="66"/>
  <c r="K543" i="66"/>
  <c r="J543" i="66"/>
  <c r="H543" i="66"/>
  <c r="N540" i="66"/>
  <c r="M540" i="66"/>
  <c r="L540" i="66"/>
  <c r="K540" i="66"/>
  <c r="J540" i="66"/>
  <c r="N539" i="66"/>
  <c r="M539" i="66"/>
  <c r="L539" i="66"/>
  <c r="K539" i="66"/>
  <c r="J539" i="66"/>
  <c r="N538" i="66"/>
  <c r="M538" i="66"/>
  <c r="L538" i="66"/>
  <c r="K538" i="66"/>
  <c r="J538" i="66"/>
  <c r="N537" i="66"/>
  <c r="M537" i="66"/>
  <c r="L537" i="66"/>
  <c r="K537" i="66"/>
  <c r="J537" i="66"/>
  <c r="N536" i="66"/>
  <c r="M536" i="66"/>
  <c r="L536" i="66"/>
  <c r="K536" i="66"/>
  <c r="J536" i="66"/>
  <c r="N535" i="66"/>
  <c r="M535" i="66"/>
  <c r="L535" i="66"/>
  <c r="K535" i="66"/>
  <c r="J535" i="66"/>
  <c r="N534" i="66"/>
  <c r="M534" i="66"/>
  <c r="L534" i="66"/>
  <c r="K534" i="66"/>
  <c r="J534" i="66"/>
  <c r="N533" i="66"/>
  <c r="M533" i="66"/>
  <c r="L533" i="66"/>
  <c r="K533" i="66"/>
  <c r="J533" i="66"/>
  <c r="N532" i="66"/>
  <c r="M532" i="66"/>
  <c r="L532" i="66"/>
  <c r="K532" i="66"/>
  <c r="J532" i="66"/>
  <c r="N531" i="66"/>
  <c r="M531" i="66"/>
  <c r="L531" i="66"/>
  <c r="K531" i="66"/>
  <c r="J531" i="66"/>
  <c r="N530" i="66"/>
  <c r="M530" i="66"/>
  <c r="L530" i="66"/>
  <c r="K530" i="66"/>
  <c r="J530" i="66"/>
  <c r="N529" i="66"/>
  <c r="M529" i="66"/>
  <c r="L529" i="66"/>
  <c r="K529" i="66"/>
  <c r="J529" i="66"/>
  <c r="H529" i="66"/>
  <c r="N526" i="66"/>
  <c r="M526" i="66"/>
  <c r="L526" i="66"/>
  <c r="K526" i="66"/>
  <c r="J526" i="66"/>
  <c r="N525" i="66"/>
  <c r="M525" i="66"/>
  <c r="L525" i="66"/>
  <c r="K525" i="66"/>
  <c r="J525" i="66"/>
  <c r="N524" i="66"/>
  <c r="M524" i="66"/>
  <c r="L524" i="66"/>
  <c r="K524" i="66"/>
  <c r="J524" i="66"/>
  <c r="N523" i="66"/>
  <c r="M523" i="66"/>
  <c r="L523" i="66"/>
  <c r="K523" i="66"/>
  <c r="J523" i="66"/>
  <c r="N522" i="66"/>
  <c r="M522" i="66"/>
  <c r="L522" i="66"/>
  <c r="K522" i="66"/>
  <c r="J522" i="66"/>
  <c r="N521" i="66"/>
  <c r="M521" i="66"/>
  <c r="L521" i="66"/>
  <c r="K521" i="66"/>
  <c r="J521" i="66"/>
  <c r="N520" i="66"/>
  <c r="M520" i="66"/>
  <c r="L520" i="66"/>
  <c r="K520" i="66"/>
  <c r="J520" i="66"/>
  <c r="N519" i="66"/>
  <c r="M519" i="66"/>
  <c r="L519" i="66"/>
  <c r="K519" i="66"/>
  <c r="J519" i="66"/>
  <c r="N518" i="66"/>
  <c r="M518" i="66"/>
  <c r="L518" i="66"/>
  <c r="K518" i="66"/>
  <c r="J518" i="66"/>
  <c r="H518" i="66"/>
  <c r="N517" i="66"/>
  <c r="M517" i="66"/>
  <c r="L517" i="66"/>
  <c r="K517" i="66"/>
  <c r="J517" i="66"/>
  <c r="N516" i="66"/>
  <c r="M516" i="66"/>
  <c r="L516" i="66"/>
  <c r="K516" i="66"/>
  <c r="J516" i="66"/>
  <c r="N515" i="66"/>
  <c r="M515" i="66"/>
  <c r="L515" i="66"/>
  <c r="K515" i="66"/>
  <c r="J515" i="66"/>
  <c r="H515" i="66"/>
  <c r="N512" i="66"/>
  <c r="M512" i="66"/>
  <c r="L512" i="66"/>
  <c r="K512" i="66"/>
  <c r="J512" i="66"/>
  <c r="N511" i="66"/>
  <c r="M511" i="66"/>
  <c r="L511" i="66"/>
  <c r="K511" i="66"/>
  <c r="J511" i="66"/>
  <c r="N510" i="66"/>
  <c r="M510" i="66"/>
  <c r="L510" i="66"/>
  <c r="K510" i="66"/>
  <c r="J510" i="66"/>
  <c r="N509" i="66"/>
  <c r="M509" i="66"/>
  <c r="L509" i="66"/>
  <c r="K509" i="66"/>
  <c r="J509" i="66"/>
  <c r="N508" i="66"/>
  <c r="M508" i="66"/>
  <c r="L508" i="66"/>
  <c r="K508" i="66"/>
  <c r="J508" i="66"/>
  <c r="N507" i="66"/>
  <c r="M507" i="66"/>
  <c r="L507" i="66"/>
  <c r="K507" i="66"/>
  <c r="J507" i="66"/>
  <c r="N506" i="66"/>
  <c r="M506" i="66"/>
  <c r="L506" i="66"/>
  <c r="K506" i="66"/>
  <c r="J506" i="66"/>
  <c r="H506" i="66"/>
  <c r="N503" i="66"/>
  <c r="M503" i="66"/>
  <c r="L503" i="66"/>
  <c r="K503" i="66"/>
  <c r="J503" i="66"/>
  <c r="N502" i="66"/>
  <c r="M502" i="66"/>
  <c r="L502" i="66"/>
  <c r="K502" i="66"/>
  <c r="J502" i="66"/>
  <c r="N498" i="66"/>
  <c r="M498" i="66"/>
  <c r="L498" i="66"/>
  <c r="K498" i="66"/>
  <c r="J498" i="66"/>
  <c r="I498" i="66"/>
  <c r="H498" i="66"/>
  <c r="G498" i="66"/>
  <c r="F498" i="66"/>
  <c r="N495" i="66"/>
  <c r="M495" i="66"/>
  <c r="L495" i="66"/>
  <c r="K495" i="66"/>
  <c r="J495" i="66"/>
  <c r="I495" i="66"/>
  <c r="H495" i="66"/>
  <c r="E495" i="66"/>
  <c r="I492" i="66"/>
  <c r="N463" i="66"/>
  <c r="M463" i="66"/>
  <c r="L463" i="66"/>
  <c r="K463" i="66"/>
  <c r="J463" i="66"/>
  <c r="I463" i="66"/>
  <c r="H463" i="66"/>
  <c r="N462" i="66"/>
  <c r="M462" i="66"/>
  <c r="L462" i="66"/>
  <c r="K462" i="66"/>
  <c r="J462" i="66"/>
  <c r="I462" i="66"/>
  <c r="H462" i="66"/>
  <c r="N461" i="66"/>
  <c r="M461" i="66"/>
  <c r="L461" i="66"/>
  <c r="K461" i="66"/>
  <c r="J461" i="66"/>
  <c r="I461" i="66"/>
  <c r="H461" i="66"/>
  <c r="N460" i="66"/>
  <c r="M460" i="66"/>
  <c r="L460" i="66"/>
  <c r="K460" i="66"/>
  <c r="J460" i="66"/>
  <c r="I460" i="66"/>
  <c r="H460" i="66"/>
  <c r="N459" i="66"/>
  <c r="M459" i="66"/>
  <c r="L459" i="66"/>
  <c r="K459" i="66"/>
  <c r="J459" i="66"/>
  <c r="I459" i="66"/>
  <c r="H459" i="66"/>
  <c r="N458" i="66"/>
  <c r="M458" i="66"/>
  <c r="L458" i="66"/>
  <c r="K458" i="66"/>
  <c r="J458" i="66"/>
  <c r="I458" i="66"/>
  <c r="H458" i="66"/>
  <c r="M455" i="66"/>
  <c r="N451" i="66"/>
  <c r="M451" i="66"/>
  <c r="L451" i="66"/>
  <c r="K451" i="66"/>
  <c r="J451" i="66"/>
  <c r="I451" i="66"/>
  <c r="H451" i="66"/>
  <c r="N450" i="66"/>
  <c r="M450" i="66"/>
  <c r="L450" i="66"/>
  <c r="K450" i="66"/>
  <c r="J450" i="66"/>
  <c r="I450" i="66"/>
  <c r="H450" i="66"/>
  <c r="N447" i="66"/>
  <c r="M447" i="66"/>
  <c r="L447" i="66"/>
  <c r="K447" i="66"/>
  <c r="J447" i="66"/>
  <c r="I447" i="66"/>
  <c r="H447" i="66"/>
  <c r="N446" i="66"/>
  <c r="M446" i="66"/>
  <c r="L446" i="66"/>
  <c r="K446" i="66"/>
  <c r="J446" i="66"/>
  <c r="I446" i="66"/>
  <c r="H446" i="66"/>
  <c r="N445" i="66"/>
  <c r="M445" i="66"/>
  <c r="L445" i="66"/>
  <c r="K445" i="66"/>
  <c r="J445" i="66"/>
  <c r="I445" i="66"/>
  <c r="H445" i="66"/>
  <c r="E445" i="66"/>
  <c r="N444" i="66"/>
  <c r="M444" i="66"/>
  <c r="L444" i="66"/>
  <c r="K444" i="66"/>
  <c r="J444" i="66"/>
  <c r="I444" i="66"/>
  <c r="H444" i="66"/>
  <c r="E444" i="66"/>
  <c r="N443" i="66"/>
  <c r="M443" i="66"/>
  <c r="L443" i="66"/>
  <c r="K443" i="66"/>
  <c r="J443" i="66"/>
  <c r="I443" i="66"/>
  <c r="H443" i="66"/>
  <c r="E443" i="66"/>
  <c r="N442" i="66"/>
  <c r="M442" i="66"/>
  <c r="L442" i="66"/>
  <c r="K442" i="66"/>
  <c r="J442" i="66"/>
  <c r="I442" i="66"/>
  <c r="H442" i="66"/>
  <c r="E442" i="66"/>
  <c r="N441" i="66"/>
  <c r="M441" i="66"/>
  <c r="L441" i="66"/>
  <c r="K441" i="66"/>
  <c r="J441" i="66"/>
  <c r="I441" i="66"/>
  <c r="H441" i="66"/>
  <c r="E441" i="66"/>
  <c r="N440" i="66"/>
  <c r="M440" i="66"/>
  <c r="L440" i="66"/>
  <c r="K440" i="66"/>
  <c r="J440" i="66"/>
  <c r="I440" i="66"/>
  <c r="H440" i="66"/>
  <c r="E440" i="66"/>
  <c r="N439" i="66"/>
  <c r="M439" i="66"/>
  <c r="L439" i="66"/>
  <c r="K439" i="66"/>
  <c r="J439" i="66"/>
  <c r="I439" i="66"/>
  <c r="H439" i="66"/>
  <c r="E439" i="66"/>
  <c r="N438" i="66"/>
  <c r="M438" i="66"/>
  <c r="L438" i="66"/>
  <c r="K438" i="66"/>
  <c r="J438" i="66"/>
  <c r="I438" i="66"/>
  <c r="H438" i="66"/>
  <c r="E438" i="66"/>
  <c r="N437" i="66"/>
  <c r="M437" i="66"/>
  <c r="L437" i="66"/>
  <c r="K437" i="66"/>
  <c r="J437" i="66"/>
  <c r="I437" i="66"/>
  <c r="H437" i="66"/>
  <c r="E437" i="66"/>
  <c r="N436" i="66"/>
  <c r="M436" i="66"/>
  <c r="L436" i="66"/>
  <c r="K436" i="66"/>
  <c r="J436" i="66"/>
  <c r="I436" i="66"/>
  <c r="H436" i="66"/>
  <c r="E436" i="66"/>
  <c r="N432" i="66"/>
  <c r="M432" i="66"/>
  <c r="L432" i="66"/>
  <c r="K432" i="66"/>
  <c r="J432" i="66"/>
  <c r="I432" i="66"/>
  <c r="H432" i="66"/>
  <c r="N429" i="66"/>
  <c r="M429" i="66"/>
  <c r="L429" i="66"/>
  <c r="K429" i="66"/>
  <c r="J429" i="66"/>
  <c r="I429" i="66"/>
  <c r="H429" i="66"/>
  <c r="N428" i="66"/>
  <c r="M428" i="66"/>
  <c r="L428" i="66"/>
  <c r="K428" i="66"/>
  <c r="J428" i="66"/>
  <c r="I428" i="66"/>
  <c r="H428" i="66"/>
  <c r="N427" i="66"/>
  <c r="M427" i="66"/>
  <c r="L427" i="66"/>
  <c r="K427" i="66"/>
  <c r="J427" i="66"/>
  <c r="I427" i="66"/>
  <c r="H427" i="66"/>
  <c r="N426" i="66"/>
  <c r="M426" i="66"/>
  <c r="L426" i="66"/>
  <c r="K426" i="66"/>
  <c r="J426" i="66"/>
  <c r="I426" i="66"/>
  <c r="H426" i="66"/>
  <c r="N425" i="66"/>
  <c r="M425" i="66"/>
  <c r="L425" i="66"/>
  <c r="K425" i="66"/>
  <c r="J425" i="66"/>
  <c r="I425" i="66"/>
  <c r="H425" i="66"/>
  <c r="N424" i="66"/>
  <c r="M424" i="66"/>
  <c r="L424" i="66"/>
  <c r="K424" i="66"/>
  <c r="J424" i="66"/>
  <c r="I424" i="66"/>
  <c r="H424" i="66"/>
  <c r="N420" i="66"/>
  <c r="M420" i="66"/>
  <c r="L420" i="66"/>
  <c r="K420" i="66"/>
  <c r="J420" i="66"/>
  <c r="I420" i="66"/>
  <c r="H420" i="66"/>
  <c r="N419" i="66"/>
  <c r="M419" i="66"/>
  <c r="L419" i="66"/>
  <c r="K419" i="66"/>
  <c r="J419" i="66"/>
  <c r="I419" i="66"/>
  <c r="H419" i="66"/>
  <c r="E419" i="66"/>
  <c r="N418" i="66"/>
  <c r="M418" i="66"/>
  <c r="L418" i="66"/>
  <c r="K418" i="66"/>
  <c r="J418" i="66"/>
  <c r="I418" i="66"/>
  <c r="H418" i="66"/>
  <c r="E418" i="66"/>
  <c r="N417" i="66"/>
  <c r="M417" i="66"/>
  <c r="L417" i="66"/>
  <c r="K417" i="66"/>
  <c r="J417" i="66"/>
  <c r="I417" i="66"/>
  <c r="H417" i="66"/>
  <c r="E417" i="66"/>
  <c r="N416" i="66"/>
  <c r="M416" i="66"/>
  <c r="L416" i="66"/>
  <c r="K416" i="66"/>
  <c r="J416" i="66"/>
  <c r="I416" i="66"/>
  <c r="H416" i="66"/>
  <c r="E416" i="66"/>
  <c r="N415" i="66"/>
  <c r="M415" i="66"/>
  <c r="L415" i="66"/>
  <c r="K415" i="66"/>
  <c r="J415" i="66"/>
  <c r="I415" i="66"/>
  <c r="H415" i="66"/>
  <c r="E415" i="66"/>
  <c r="N414" i="66"/>
  <c r="M414" i="66"/>
  <c r="L414" i="66"/>
  <c r="K414" i="66"/>
  <c r="J414" i="66"/>
  <c r="I414" i="66"/>
  <c r="H414" i="66"/>
  <c r="E414" i="66"/>
  <c r="N413" i="66"/>
  <c r="M413" i="66"/>
  <c r="L413" i="66"/>
  <c r="K413" i="66"/>
  <c r="J413" i="66"/>
  <c r="I413" i="66"/>
  <c r="H413" i="66"/>
  <c r="E413" i="66"/>
  <c r="N412" i="66"/>
  <c r="M412" i="66"/>
  <c r="L412" i="66"/>
  <c r="K412" i="66"/>
  <c r="J412" i="66"/>
  <c r="I412" i="66"/>
  <c r="H412" i="66"/>
  <c r="E412" i="66"/>
  <c r="N411" i="66"/>
  <c r="M411" i="66"/>
  <c r="L411" i="66"/>
  <c r="K411" i="66"/>
  <c r="J411" i="66"/>
  <c r="I411" i="66"/>
  <c r="H411" i="66"/>
  <c r="E411" i="66"/>
  <c r="N410" i="66"/>
  <c r="M410" i="66"/>
  <c r="L410" i="66"/>
  <c r="K410" i="66"/>
  <c r="J410" i="66"/>
  <c r="I410" i="66"/>
  <c r="H410" i="66"/>
  <c r="E410" i="66"/>
  <c r="N406" i="66"/>
  <c r="M406" i="66"/>
  <c r="L406" i="66"/>
  <c r="K406" i="66"/>
  <c r="J406" i="66"/>
  <c r="I406" i="66"/>
  <c r="H406" i="66"/>
  <c r="N403" i="66"/>
  <c r="M403" i="66"/>
  <c r="L403" i="66"/>
  <c r="K403" i="66"/>
  <c r="J403" i="66"/>
  <c r="I403" i="66"/>
  <c r="H403" i="66"/>
  <c r="N402" i="66"/>
  <c r="M402" i="66"/>
  <c r="L402" i="66"/>
  <c r="K402" i="66"/>
  <c r="J402" i="66"/>
  <c r="I402" i="66"/>
  <c r="H402" i="66"/>
  <c r="E402" i="66"/>
  <c r="N401" i="66"/>
  <c r="M401" i="66"/>
  <c r="L401" i="66"/>
  <c r="K401" i="66"/>
  <c r="J401" i="66"/>
  <c r="I401" i="66"/>
  <c r="H401" i="66"/>
  <c r="E401" i="66"/>
  <c r="N400" i="66"/>
  <c r="M400" i="66"/>
  <c r="L400" i="66"/>
  <c r="K400" i="66"/>
  <c r="J400" i="66"/>
  <c r="I400" i="66"/>
  <c r="H400" i="66"/>
  <c r="E400" i="66"/>
  <c r="N396" i="66"/>
  <c r="M396" i="66"/>
  <c r="L396" i="66"/>
  <c r="K396" i="66"/>
  <c r="J396" i="66"/>
  <c r="I396" i="66"/>
  <c r="H396" i="66"/>
  <c r="N395" i="66"/>
  <c r="M395" i="66"/>
  <c r="L395" i="66"/>
  <c r="K395" i="66"/>
  <c r="J395" i="66"/>
  <c r="I395" i="66"/>
  <c r="H395" i="66"/>
  <c r="E395" i="66"/>
  <c r="N394" i="66"/>
  <c r="M394" i="66"/>
  <c r="L394" i="66"/>
  <c r="K394" i="66"/>
  <c r="J394" i="66"/>
  <c r="I394" i="66"/>
  <c r="H394" i="66"/>
  <c r="E394" i="66"/>
  <c r="N393" i="66"/>
  <c r="M393" i="66"/>
  <c r="L393" i="66"/>
  <c r="K393" i="66"/>
  <c r="J393" i="66"/>
  <c r="I393" i="66"/>
  <c r="H393" i="66"/>
  <c r="E393" i="66"/>
  <c r="N389" i="66"/>
  <c r="M389" i="66"/>
  <c r="L389" i="66"/>
  <c r="K389" i="66"/>
  <c r="J389" i="66"/>
  <c r="I389" i="66"/>
  <c r="H389" i="66"/>
  <c r="N386" i="66"/>
  <c r="M386" i="66"/>
  <c r="L386" i="66"/>
  <c r="K386" i="66"/>
  <c r="J386" i="66"/>
  <c r="I386" i="66"/>
  <c r="H386" i="66"/>
  <c r="N385" i="66"/>
  <c r="M385" i="66"/>
  <c r="L385" i="66"/>
  <c r="K385" i="66"/>
  <c r="J385" i="66"/>
  <c r="I385" i="66"/>
  <c r="H385" i="66"/>
  <c r="N384" i="66"/>
  <c r="M384" i="66"/>
  <c r="L384" i="66"/>
  <c r="K384" i="66"/>
  <c r="J384" i="66"/>
  <c r="I384" i="66"/>
  <c r="H384" i="66"/>
  <c r="N380" i="66"/>
  <c r="M380" i="66"/>
  <c r="L380" i="66"/>
  <c r="K380" i="66"/>
  <c r="J380" i="66"/>
  <c r="I380" i="66"/>
  <c r="H380" i="66"/>
  <c r="N379" i="66"/>
  <c r="M379" i="66"/>
  <c r="L379" i="66"/>
  <c r="K379" i="66"/>
  <c r="J379" i="66"/>
  <c r="I379" i="66"/>
  <c r="H379" i="66"/>
  <c r="E379" i="66"/>
  <c r="N378" i="66"/>
  <c r="M378" i="66"/>
  <c r="L378" i="66"/>
  <c r="K378" i="66"/>
  <c r="J378" i="66"/>
  <c r="I378" i="66"/>
  <c r="H378" i="66"/>
  <c r="E378" i="66"/>
  <c r="N377" i="66"/>
  <c r="M377" i="66"/>
  <c r="L377" i="66"/>
  <c r="K377" i="66"/>
  <c r="J377" i="66"/>
  <c r="I377" i="66"/>
  <c r="H377" i="66"/>
  <c r="E377" i="66"/>
  <c r="N376" i="66"/>
  <c r="M376" i="66"/>
  <c r="L376" i="66"/>
  <c r="K376" i="66"/>
  <c r="J376" i="66"/>
  <c r="I376" i="66"/>
  <c r="H376" i="66"/>
  <c r="E376" i="66"/>
  <c r="N375" i="66"/>
  <c r="M375" i="66"/>
  <c r="L375" i="66"/>
  <c r="K375" i="66"/>
  <c r="J375" i="66"/>
  <c r="I375" i="66"/>
  <c r="H375" i="66"/>
  <c r="E375" i="66"/>
  <c r="N374" i="66"/>
  <c r="M374" i="66"/>
  <c r="L374" i="66"/>
  <c r="K374" i="66"/>
  <c r="J374" i="66"/>
  <c r="I374" i="66"/>
  <c r="H374" i="66"/>
  <c r="E374" i="66"/>
  <c r="N373" i="66"/>
  <c r="M373" i="66"/>
  <c r="L373" i="66"/>
  <c r="K373" i="66"/>
  <c r="J373" i="66"/>
  <c r="I373" i="66"/>
  <c r="H373" i="66"/>
  <c r="E373" i="66"/>
  <c r="N372" i="66"/>
  <c r="M372" i="66"/>
  <c r="L372" i="66"/>
  <c r="K372" i="66"/>
  <c r="J372" i="66"/>
  <c r="I372" i="66"/>
  <c r="H372" i="66"/>
  <c r="E372" i="66"/>
  <c r="N371" i="66"/>
  <c r="M371" i="66"/>
  <c r="L371" i="66"/>
  <c r="K371" i="66"/>
  <c r="J371" i="66"/>
  <c r="I371" i="66"/>
  <c r="H371" i="66"/>
  <c r="E371" i="66"/>
  <c r="N370" i="66"/>
  <c r="M370" i="66"/>
  <c r="L370" i="66"/>
  <c r="K370" i="66"/>
  <c r="J370" i="66"/>
  <c r="I370" i="66"/>
  <c r="H370" i="66"/>
  <c r="E370" i="66"/>
  <c r="N364" i="66"/>
  <c r="M364" i="66"/>
  <c r="L364" i="66"/>
  <c r="K364" i="66"/>
  <c r="J364" i="66"/>
  <c r="I364" i="66"/>
  <c r="H364" i="66"/>
  <c r="N363" i="66"/>
  <c r="M363" i="66"/>
  <c r="L363" i="66"/>
  <c r="K363" i="66"/>
  <c r="J363" i="66"/>
  <c r="I363" i="66"/>
  <c r="H363" i="66"/>
  <c r="N362" i="66"/>
  <c r="M362" i="66"/>
  <c r="L362" i="66"/>
  <c r="K362" i="66"/>
  <c r="J362" i="66"/>
  <c r="I362" i="66"/>
  <c r="H362" i="66"/>
  <c r="N358" i="66"/>
  <c r="M358" i="66"/>
  <c r="L358" i="66"/>
  <c r="K358" i="66"/>
  <c r="J358" i="66"/>
  <c r="I358" i="66"/>
  <c r="H358" i="66"/>
  <c r="N354" i="66"/>
  <c r="M354" i="66"/>
  <c r="L354" i="66"/>
  <c r="K354" i="66"/>
  <c r="J354" i="66"/>
  <c r="I354" i="66"/>
  <c r="H354" i="66"/>
  <c r="N351" i="66"/>
  <c r="M351" i="66"/>
  <c r="L351" i="66"/>
  <c r="K351" i="66"/>
  <c r="J351" i="66"/>
  <c r="I351" i="66"/>
  <c r="H351" i="66"/>
  <c r="N350" i="66"/>
  <c r="M350" i="66"/>
  <c r="L350" i="66"/>
  <c r="K350" i="66"/>
  <c r="J350" i="66"/>
  <c r="I350" i="66"/>
  <c r="H350" i="66"/>
  <c r="N346" i="66"/>
  <c r="M346" i="66"/>
  <c r="L346" i="66"/>
  <c r="K346" i="66"/>
  <c r="J346" i="66"/>
  <c r="I346" i="66"/>
  <c r="H346" i="66"/>
  <c r="N345" i="66"/>
  <c r="M345" i="66"/>
  <c r="L345" i="66"/>
  <c r="K345" i="66"/>
  <c r="J345" i="66"/>
  <c r="I345" i="66"/>
  <c r="H345" i="66"/>
  <c r="E345" i="66"/>
  <c r="N344" i="66"/>
  <c r="M344" i="66"/>
  <c r="L344" i="66"/>
  <c r="K344" i="66"/>
  <c r="J344" i="66"/>
  <c r="I344" i="66"/>
  <c r="H344" i="66"/>
  <c r="E344" i="66"/>
  <c r="N343" i="66"/>
  <c r="M343" i="66"/>
  <c r="L343" i="66"/>
  <c r="K343" i="66"/>
  <c r="J343" i="66"/>
  <c r="I343" i="66"/>
  <c r="H343" i="66"/>
  <c r="E343" i="66"/>
  <c r="N342" i="66"/>
  <c r="M342" i="66"/>
  <c r="L342" i="66"/>
  <c r="K342" i="66"/>
  <c r="J342" i="66"/>
  <c r="I342" i="66"/>
  <c r="H342" i="66"/>
  <c r="E342" i="66"/>
  <c r="N341" i="66"/>
  <c r="M341" i="66"/>
  <c r="L341" i="66"/>
  <c r="K341" i="66"/>
  <c r="J341" i="66"/>
  <c r="I341" i="66"/>
  <c r="H341" i="66"/>
  <c r="E341" i="66"/>
  <c r="N337" i="66"/>
  <c r="M337" i="66"/>
  <c r="L337" i="66"/>
  <c r="K337" i="66"/>
  <c r="J337" i="66"/>
  <c r="I337" i="66"/>
  <c r="H337" i="66"/>
  <c r="N334" i="66"/>
  <c r="M334" i="66"/>
  <c r="L334" i="66"/>
  <c r="K334" i="66"/>
  <c r="J334" i="66"/>
  <c r="I334" i="66"/>
  <c r="H334" i="66"/>
  <c r="N331" i="66"/>
  <c r="M331" i="66"/>
  <c r="L331" i="66"/>
  <c r="K331" i="66"/>
  <c r="J331" i="66"/>
  <c r="I331" i="66"/>
  <c r="H331" i="66"/>
  <c r="N330" i="66"/>
  <c r="M330" i="66"/>
  <c r="L330" i="66"/>
  <c r="K330" i="66"/>
  <c r="J330" i="66"/>
  <c r="I330" i="66"/>
  <c r="H330" i="66"/>
  <c r="N328" i="66"/>
  <c r="M328" i="66"/>
  <c r="L328" i="66"/>
  <c r="K328" i="66"/>
  <c r="J328" i="66"/>
  <c r="I328" i="66"/>
  <c r="H328" i="66"/>
  <c r="N323" i="66"/>
  <c r="M323" i="66"/>
  <c r="L323" i="66"/>
  <c r="K323" i="66"/>
  <c r="J323" i="66"/>
  <c r="I323" i="66"/>
  <c r="H323" i="66"/>
  <c r="N322" i="66"/>
  <c r="M322" i="66"/>
  <c r="L322" i="66"/>
  <c r="K322" i="66"/>
  <c r="J322" i="66"/>
  <c r="I322" i="66"/>
  <c r="H322" i="66"/>
  <c r="E322" i="66"/>
  <c r="N321" i="66"/>
  <c r="M321" i="66"/>
  <c r="L321" i="66"/>
  <c r="K321" i="66"/>
  <c r="J321" i="66"/>
  <c r="I321" i="66"/>
  <c r="H321" i="66"/>
  <c r="E321" i="66"/>
  <c r="N320" i="66"/>
  <c r="M320" i="66"/>
  <c r="L320" i="66"/>
  <c r="K320" i="66"/>
  <c r="J320" i="66"/>
  <c r="I320" i="66"/>
  <c r="H320" i="66"/>
  <c r="E320" i="66"/>
  <c r="N319" i="66"/>
  <c r="M319" i="66"/>
  <c r="L319" i="66"/>
  <c r="K319" i="66"/>
  <c r="J319" i="66"/>
  <c r="I319" i="66"/>
  <c r="H319" i="66"/>
  <c r="E319" i="66"/>
  <c r="N318" i="66"/>
  <c r="M318" i="66"/>
  <c r="L318" i="66"/>
  <c r="K318" i="66"/>
  <c r="J318" i="66"/>
  <c r="I318" i="66"/>
  <c r="H318" i="66"/>
  <c r="E318" i="66"/>
  <c r="N314" i="66"/>
  <c r="M314" i="66"/>
  <c r="L314" i="66"/>
  <c r="K314" i="66"/>
  <c r="J314" i="66"/>
  <c r="I314" i="66"/>
  <c r="H314" i="66"/>
  <c r="N311" i="66"/>
  <c r="M311" i="66"/>
  <c r="L311" i="66"/>
  <c r="K311" i="66"/>
  <c r="J311" i="66"/>
  <c r="I311" i="66"/>
  <c r="H311" i="66"/>
  <c r="N308" i="66"/>
  <c r="M308" i="66"/>
  <c r="L308" i="66"/>
  <c r="K308" i="66"/>
  <c r="J308" i="66"/>
  <c r="I308" i="66"/>
  <c r="H308" i="66"/>
  <c r="N305" i="66"/>
  <c r="M305" i="66"/>
  <c r="L305" i="66"/>
  <c r="K305" i="66"/>
  <c r="J305" i="66"/>
  <c r="I305" i="66"/>
  <c r="H305" i="66"/>
  <c r="N304" i="66"/>
  <c r="M304" i="66"/>
  <c r="L304" i="66"/>
  <c r="K304" i="66"/>
  <c r="J304" i="66"/>
  <c r="I304" i="66"/>
  <c r="H304" i="66"/>
  <c r="E304" i="66"/>
  <c r="N303" i="66"/>
  <c r="M303" i="66"/>
  <c r="L303" i="66"/>
  <c r="K303" i="66"/>
  <c r="J303" i="66"/>
  <c r="I303" i="66"/>
  <c r="H303" i="66"/>
  <c r="E303" i="66"/>
  <c r="N302" i="66"/>
  <c r="M302" i="66"/>
  <c r="L302" i="66"/>
  <c r="K302" i="66"/>
  <c r="J302" i="66"/>
  <c r="I302" i="66"/>
  <c r="H302" i="66"/>
  <c r="E302" i="66"/>
  <c r="N301" i="66"/>
  <c r="M301" i="66"/>
  <c r="L301" i="66"/>
  <c r="K301" i="66"/>
  <c r="J301" i="66"/>
  <c r="I301" i="66"/>
  <c r="H301" i="66"/>
  <c r="E301" i="66"/>
  <c r="N300" i="66"/>
  <c r="M300" i="66"/>
  <c r="L300" i="66"/>
  <c r="K300" i="66"/>
  <c r="J300" i="66"/>
  <c r="I300" i="66"/>
  <c r="H300" i="66"/>
  <c r="E300" i="66"/>
  <c r="N299" i="66"/>
  <c r="M299" i="66"/>
  <c r="L299" i="66"/>
  <c r="K299" i="66"/>
  <c r="J299" i="66"/>
  <c r="I299" i="66"/>
  <c r="H299" i="66"/>
  <c r="E299" i="66"/>
  <c r="N298" i="66"/>
  <c r="M298" i="66"/>
  <c r="L298" i="66"/>
  <c r="K298" i="66"/>
  <c r="J298" i="66"/>
  <c r="I298" i="66"/>
  <c r="H298" i="66"/>
  <c r="E298" i="66"/>
  <c r="N297" i="66"/>
  <c r="M297" i="66"/>
  <c r="L297" i="66"/>
  <c r="K297" i="66"/>
  <c r="J297" i="66"/>
  <c r="I297" i="66"/>
  <c r="H297" i="66"/>
  <c r="E297" i="66"/>
  <c r="N296" i="66"/>
  <c r="M296" i="66"/>
  <c r="L296" i="66"/>
  <c r="K296" i="66"/>
  <c r="J296" i="66"/>
  <c r="I296" i="66"/>
  <c r="H296" i="66"/>
  <c r="E296" i="66"/>
  <c r="N295" i="66"/>
  <c r="M295" i="66"/>
  <c r="L295" i="66"/>
  <c r="K295" i="66"/>
  <c r="J295" i="66"/>
  <c r="I295" i="66"/>
  <c r="H295" i="66"/>
  <c r="E295" i="66"/>
  <c r="N291" i="66"/>
  <c r="M291" i="66"/>
  <c r="L291" i="66"/>
  <c r="K291" i="66"/>
  <c r="J291" i="66"/>
  <c r="I291" i="66"/>
  <c r="H291" i="66"/>
  <c r="N290" i="66"/>
  <c r="M290" i="66"/>
  <c r="L290" i="66"/>
  <c r="K290" i="66"/>
  <c r="J290" i="66"/>
  <c r="I290" i="66"/>
  <c r="H290" i="66"/>
  <c r="N289" i="66"/>
  <c r="M289" i="66"/>
  <c r="L289" i="66"/>
  <c r="K289" i="66"/>
  <c r="J289" i="66"/>
  <c r="I289" i="66"/>
  <c r="H289" i="66"/>
  <c r="N285" i="66"/>
  <c r="M285" i="66"/>
  <c r="L285" i="66"/>
  <c r="K285" i="66"/>
  <c r="J285" i="66"/>
  <c r="I285" i="66"/>
  <c r="H285" i="66"/>
  <c r="N282" i="66"/>
  <c r="M282" i="66"/>
  <c r="L282" i="66"/>
  <c r="K282" i="66"/>
  <c r="J282" i="66"/>
  <c r="I282" i="66"/>
  <c r="H282" i="66"/>
  <c r="N279" i="66"/>
  <c r="M279" i="66"/>
  <c r="L279" i="66"/>
  <c r="K279" i="66"/>
  <c r="J279" i="66"/>
  <c r="I279" i="66"/>
  <c r="H279" i="66"/>
  <c r="N276" i="66"/>
  <c r="M276" i="66"/>
  <c r="L276" i="66"/>
  <c r="K276" i="66"/>
  <c r="J276" i="66"/>
  <c r="I276" i="66"/>
  <c r="H276" i="66"/>
  <c r="N275" i="66"/>
  <c r="M275" i="66"/>
  <c r="L275" i="66"/>
  <c r="K275" i="66"/>
  <c r="J275" i="66"/>
  <c r="I275" i="66"/>
  <c r="H275" i="66"/>
  <c r="E275" i="66"/>
  <c r="N274" i="66"/>
  <c r="M274" i="66"/>
  <c r="L274" i="66"/>
  <c r="K274" i="66"/>
  <c r="J274" i="66"/>
  <c r="I274" i="66"/>
  <c r="H274" i="66"/>
  <c r="E274" i="66"/>
  <c r="N273" i="66"/>
  <c r="M273" i="66"/>
  <c r="L273" i="66"/>
  <c r="K273" i="66"/>
  <c r="J273" i="66"/>
  <c r="I273" i="66"/>
  <c r="H273" i="66"/>
  <c r="E273" i="66"/>
  <c r="N269" i="66"/>
  <c r="M269" i="66"/>
  <c r="L269" i="66"/>
  <c r="K269" i="66"/>
  <c r="J269" i="66"/>
  <c r="I269" i="66"/>
  <c r="H269" i="66"/>
  <c r="N268" i="66"/>
  <c r="M268" i="66"/>
  <c r="L268" i="66"/>
  <c r="K268" i="66"/>
  <c r="J268" i="66"/>
  <c r="I268" i="66"/>
  <c r="H268" i="66"/>
  <c r="E268" i="66"/>
  <c r="N267" i="66"/>
  <c r="M267" i="66"/>
  <c r="L267" i="66"/>
  <c r="K267" i="66"/>
  <c r="J267" i="66"/>
  <c r="I267" i="66"/>
  <c r="H267" i="66"/>
  <c r="E267" i="66"/>
  <c r="N266" i="66"/>
  <c r="M266" i="66"/>
  <c r="L266" i="66"/>
  <c r="K266" i="66"/>
  <c r="J266" i="66"/>
  <c r="I266" i="66"/>
  <c r="H266" i="66"/>
  <c r="E266" i="66"/>
  <c r="N262" i="66"/>
  <c r="M262" i="66"/>
  <c r="L262" i="66"/>
  <c r="K262" i="66"/>
  <c r="J262" i="66"/>
  <c r="I262" i="66"/>
  <c r="H262" i="66"/>
  <c r="N256" i="66"/>
  <c r="M256" i="66"/>
  <c r="L256" i="66"/>
  <c r="K256" i="66"/>
  <c r="J256" i="66"/>
  <c r="I256" i="66"/>
  <c r="H256" i="66"/>
  <c r="N255" i="66"/>
  <c r="M255" i="66"/>
  <c r="L255" i="66"/>
  <c r="K255" i="66"/>
  <c r="J255" i="66"/>
  <c r="I255" i="66"/>
  <c r="H255" i="66"/>
  <c r="N254" i="66"/>
  <c r="M254" i="66"/>
  <c r="L254" i="66"/>
  <c r="K254" i="66"/>
  <c r="J254" i="66"/>
  <c r="I254" i="66"/>
  <c r="H254" i="66"/>
  <c r="N253" i="66"/>
  <c r="M253" i="66"/>
  <c r="L253" i="66"/>
  <c r="K253" i="66"/>
  <c r="J253" i="66"/>
  <c r="I253" i="66"/>
  <c r="H253" i="66"/>
  <c r="N252" i="66"/>
  <c r="M252" i="66"/>
  <c r="L252" i="66"/>
  <c r="K252" i="66"/>
  <c r="J252" i="66"/>
  <c r="I252" i="66"/>
  <c r="H252" i="66"/>
  <c r="N251" i="66"/>
  <c r="M251" i="66"/>
  <c r="L251" i="66"/>
  <c r="K251" i="66"/>
  <c r="J251" i="66"/>
  <c r="I251" i="66"/>
  <c r="H251" i="66"/>
  <c r="E251" i="66"/>
  <c r="N250" i="66"/>
  <c r="M250" i="66"/>
  <c r="L250" i="66"/>
  <c r="K250" i="66"/>
  <c r="J250" i="66"/>
  <c r="I250" i="66"/>
  <c r="H250" i="66"/>
  <c r="E250" i="66"/>
  <c r="N249" i="66"/>
  <c r="M249" i="66"/>
  <c r="L249" i="66"/>
  <c r="K249" i="66"/>
  <c r="J249" i="66"/>
  <c r="I249" i="66"/>
  <c r="H249" i="66"/>
  <c r="E249" i="66"/>
  <c r="N248" i="66"/>
  <c r="M248" i="66"/>
  <c r="L248" i="66"/>
  <c r="K248" i="66"/>
  <c r="J248" i="66"/>
  <c r="I248" i="66"/>
  <c r="H248" i="66"/>
  <c r="E248" i="66"/>
  <c r="N247" i="66"/>
  <c r="M247" i="66"/>
  <c r="L247" i="66"/>
  <c r="K247" i="66"/>
  <c r="J247" i="66"/>
  <c r="I247" i="66"/>
  <c r="H247" i="66"/>
  <c r="E247" i="66"/>
  <c r="N246" i="66"/>
  <c r="M246" i="66"/>
  <c r="L246" i="66"/>
  <c r="K246" i="66"/>
  <c r="J246" i="66"/>
  <c r="I246" i="66"/>
  <c r="H246" i="66"/>
  <c r="E246" i="66"/>
  <c r="N245" i="66"/>
  <c r="M245" i="66"/>
  <c r="L245" i="66"/>
  <c r="K245" i="66"/>
  <c r="J245" i="66"/>
  <c r="I245" i="66"/>
  <c r="H245" i="66"/>
  <c r="E245" i="66"/>
  <c r="N244" i="66"/>
  <c r="M244" i="66"/>
  <c r="L244" i="66"/>
  <c r="K244" i="66"/>
  <c r="J244" i="66"/>
  <c r="I244" i="66"/>
  <c r="H244" i="66"/>
  <c r="E244" i="66"/>
  <c r="N243" i="66"/>
  <c r="M243" i="66"/>
  <c r="L243" i="66"/>
  <c r="K243" i="66"/>
  <c r="J243" i="66"/>
  <c r="I243" i="66"/>
  <c r="H243" i="66"/>
  <c r="E243" i="66"/>
  <c r="N242" i="66"/>
  <c r="M242" i="66"/>
  <c r="L242" i="66"/>
  <c r="K242" i="66"/>
  <c r="J242" i="66"/>
  <c r="I242" i="66"/>
  <c r="H242" i="66"/>
  <c r="E242" i="66"/>
  <c r="N239" i="66"/>
  <c r="M239" i="66"/>
  <c r="L239" i="66"/>
  <c r="K239" i="66"/>
  <c r="J239" i="66"/>
  <c r="I239" i="66"/>
  <c r="H239" i="66"/>
  <c r="N238" i="66"/>
  <c r="M238" i="66"/>
  <c r="L238" i="66"/>
  <c r="K238" i="66"/>
  <c r="J238" i="66"/>
  <c r="I238" i="66"/>
  <c r="H238" i="66"/>
  <c r="N237" i="66"/>
  <c r="M237" i="66"/>
  <c r="L237" i="66"/>
  <c r="K237" i="66"/>
  <c r="J237" i="66"/>
  <c r="I237" i="66"/>
  <c r="H237" i="66"/>
  <c r="N232" i="66"/>
  <c r="M232" i="66"/>
  <c r="L232" i="66"/>
  <c r="K232" i="66"/>
  <c r="J232" i="66"/>
  <c r="I232" i="66"/>
  <c r="H232" i="66"/>
  <c r="N231" i="66"/>
  <c r="M231" i="66"/>
  <c r="L231" i="66"/>
  <c r="K231" i="66"/>
  <c r="J231" i="66"/>
  <c r="I231" i="66"/>
  <c r="H231" i="66"/>
  <c r="N230" i="66"/>
  <c r="M230" i="66"/>
  <c r="L230" i="66"/>
  <c r="K230" i="66"/>
  <c r="J230" i="66"/>
  <c r="I230" i="66"/>
  <c r="H230" i="66"/>
  <c r="N229" i="66"/>
  <c r="M229" i="66"/>
  <c r="L229" i="66"/>
  <c r="K229" i="66"/>
  <c r="J229" i="66"/>
  <c r="I229" i="66"/>
  <c r="H229" i="66"/>
  <c r="N228" i="66"/>
  <c r="M228" i="66"/>
  <c r="L228" i="66"/>
  <c r="K228" i="66"/>
  <c r="J228" i="66"/>
  <c r="I228" i="66"/>
  <c r="H228" i="66"/>
  <c r="N227" i="66"/>
  <c r="M227" i="66"/>
  <c r="L227" i="66"/>
  <c r="K227" i="66"/>
  <c r="J227" i="66"/>
  <c r="I227" i="66"/>
  <c r="H227" i="66"/>
  <c r="N222" i="66"/>
  <c r="K222" i="66"/>
  <c r="N220" i="66"/>
  <c r="M220" i="66"/>
  <c r="L220" i="66"/>
  <c r="K220" i="66"/>
  <c r="J220" i="66"/>
  <c r="I220" i="66"/>
  <c r="H220" i="66"/>
  <c r="N219" i="66"/>
  <c r="M219" i="66"/>
  <c r="L219" i="66"/>
  <c r="K219" i="66"/>
  <c r="J219" i="66"/>
  <c r="I219" i="66"/>
  <c r="H219" i="66"/>
  <c r="N218" i="66"/>
  <c r="M218" i="66"/>
  <c r="L218" i="66"/>
  <c r="K218" i="66"/>
  <c r="J218" i="66"/>
  <c r="I218" i="66"/>
  <c r="H218" i="66"/>
  <c r="N217" i="66"/>
  <c r="M217" i="66"/>
  <c r="L217" i="66"/>
  <c r="K217" i="66"/>
  <c r="J217" i="66"/>
  <c r="I217" i="66"/>
  <c r="H217" i="66"/>
  <c r="G217" i="66"/>
  <c r="N216" i="66"/>
  <c r="M216" i="66"/>
  <c r="L216" i="66"/>
  <c r="K216" i="66"/>
  <c r="J216" i="66"/>
  <c r="I216" i="66"/>
  <c r="H216" i="66"/>
  <c r="N215" i="66"/>
  <c r="M215" i="66"/>
  <c r="L215" i="66"/>
  <c r="K215" i="66"/>
  <c r="J215" i="66"/>
  <c r="I215" i="66"/>
  <c r="H215" i="66"/>
  <c r="H213" i="66"/>
  <c r="L212" i="66"/>
  <c r="N210" i="66"/>
  <c r="K210" i="66"/>
  <c r="N208" i="66"/>
  <c r="M208" i="66"/>
  <c r="L208" i="66"/>
  <c r="K208" i="66"/>
  <c r="J208" i="66"/>
  <c r="I208" i="66"/>
  <c r="H208" i="66"/>
  <c r="N207" i="66"/>
  <c r="M207" i="66"/>
  <c r="L207" i="66"/>
  <c r="K207" i="66"/>
  <c r="J207" i="66"/>
  <c r="I207" i="66"/>
  <c r="H207" i="66"/>
  <c r="N206" i="66"/>
  <c r="M206" i="66"/>
  <c r="L206" i="66"/>
  <c r="K206" i="66"/>
  <c r="J206" i="66"/>
  <c r="I206" i="66"/>
  <c r="H206" i="66"/>
  <c r="N205" i="66"/>
  <c r="M205" i="66"/>
  <c r="L205" i="66"/>
  <c r="K205" i="66"/>
  <c r="J205" i="66"/>
  <c r="I205" i="66"/>
  <c r="H205" i="66"/>
  <c r="G205" i="66"/>
  <c r="N204" i="66"/>
  <c r="M204" i="66"/>
  <c r="L204" i="66"/>
  <c r="K204" i="66"/>
  <c r="J204" i="66"/>
  <c r="I204" i="66"/>
  <c r="H204" i="66"/>
  <c r="N203" i="66"/>
  <c r="M203" i="66"/>
  <c r="L203" i="66"/>
  <c r="K203" i="66"/>
  <c r="J203" i="66"/>
  <c r="I203" i="66"/>
  <c r="H203" i="66"/>
  <c r="H201" i="66"/>
  <c r="L200" i="66"/>
  <c r="N196" i="66"/>
  <c r="M196" i="66"/>
  <c r="L196" i="66"/>
  <c r="K196" i="66"/>
  <c r="J196" i="66"/>
  <c r="I196" i="66"/>
  <c r="H196" i="66"/>
  <c r="N195" i="66"/>
  <c r="M195" i="66"/>
  <c r="L195" i="66"/>
  <c r="K195" i="66"/>
  <c r="J195" i="66"/>
  <c r="I195" i="66"/>
  <c r="H195" i="66"/>
  <c r="N193" i="66"/>
  <c r="M193" i="66"/>
  <c r="L193" i="66"/>
  <c r="K193" i="66"/>
  <c r="J193" i="66"/>
  <c r="I193" i="66"/>
  <c r="H193" i="66"/>
  <c r="N192" i="66"/>
  <c r="M192" i="66"/>
  <c r="L192" i="66"/>
  <c r="K192" i="66"/>
  <c r="J192" i="66"/>
  <c r="I192" i="66"/>
  <c r="H192" i="66"/>
  <c r="N189" i="66"/>
  <c r="M189" i="66"/>
  <c r="L189" i="66"/>
  <c r="K189" i="66"/>
  <c r="J189" i="66"/>
  <c r="I189" i="66"/>
  <c r="H189" i="66"/>
  <c r="N188" i="66"/>
  <c r="M188" i="66"/>
  <c r="L188" i="66"/>
  <c r="K188" i="66"/>
  <c r="J188" i="66"/>
  <c r="I188" i="66"/>
  <c r="H188" i="66"/>
  <c r="N187" i="66"/>
  <c r="M187" i="66"/>
  <c r="L187" i="66"/>
  <c r="K187" i="66"/>
  <c r="J187" i="66"/>
  <c r="I187" i="66"/>
  <c r="H187" i="66"/>
  <c r="N186" i="66"/>
  <c r="M186" i="66"/>
  <c r="L186" i="66"/>
  <c r="K186" i="66"/>
  <c r="J186" i="66"/>
  <c r="I186" i="66"/>
  <c r="H186" i="66"/>
  <c r="N183" i="66"/>
  <c r="M183" i="66"/>
  <c r="L183" i="66"/>
  <c r="K183" i="66"/>
  <c r="J183" i="66"/>
  <c r="I183" i="66"/>
  <c r="H183" i="66"/>
  <c r="N182" i="66"/>
  <c r="M182" i="66"/>
  <c r="L182" i="66"/>
  <c r="K182" i="66"/>
  <c r="J182" i="66"/>
  <c r="I182" i="66"/>
  <c r="H182" i="66"/>
  <c r="N181" i="66"/>
  <c r="M181" i="66"/>
  <c r="L181" i="66"/>
  <c r="K181" i="66"/>
  <c r="J181" i="66"/>
  <c r="I181" i="66"/>
  <c r="H181" i="66"/>
  <c r="N178" i="66"/>
  <c r="M178" i="66"/>
  <c r="L178" i="66"/>
  <c r="K178" i="66"/>
  <c r="J178" i="66"/>
  <c r="I178" i="66"/>
  <c r="H178" i="66"/>
  <c r="N177" i="66"/>
  <c r="M177" i="66"/>
  <c r="L177" i="66"/>
  <c r="K177" i="66"/>
  <c r="J177" i="66"/>
  <c r="I177" i="66"/>
  <c r="H177" i="66"/>
  <c r="N176" i="66"/>
  <c r="M176" i="66"/>
  <c r="L176" i="66"/>
  <c r="K176" i="66"/>
  <c r="J176" i="66"/>
  <c r="I176" i="66"/>
  <c r="H176" i="66"/>
  <c r="M173" i="66"/>
  <c r="N171" i="66"/>
  <c r="M171" i="66"/>
  <c r="L171" i="66"/>
  <c r="K171" i="66"/>
  <c r="J171" i="66"/>
  <c r="I171" i="66"/>
  <c r="H171" i="66"/>
  <c r="N170" i="66"/>
  <c r="M170" i="66"/>
  <c r="L170" i="66"/>
  <c r="K170" i="66"/>
  <c r="J170" i="66"/>
  <c r="I170" i="66"/>
  <c r="H170" i="66"/>
  <c r="N168" i="66"/>
  <c r="M168" i="66"/>
  <c r="L168" i="66"/>
  <c r="K168" i="66"/>
  <c r="J168" i="66"/>
  <c r="I168" i="66"/>
  <c r="H168" i="66"/>
  <c r="N167" i="66"/>
  <c r="M167" i="66"/>
  <c r="L167" i="66"/>
  <c r="K167" i="66"/>
  <c r="J167" i="66"/>
  <c r="I167" i="66"/>
  <c r="H167" i="66"/>
  <c r="N164" i="66"/>
  <c r="M164" i="66"/>
  <c r="L164" i="66"/>
  <c r="K164" i="66"/>
  <c r="J164" i="66"/>
  <c r="I164" i="66"/>
  <c r="H164" i="66"/>
  <c r="N163" i="66"/>
  <c r="M163" i="66"/>
  <c r="L163" i="66"/>
  <c r="K163" i="66"/>
  <c r="J163" i="66"/>
  <c r="I163" i="66"/>
  <c r="H163" i="66"/>
  <c r="N162" i="66"/>
  <c r="M162" i="66"/>
  <c r="L162" i="66"/>
  <c r="K162" i="66"/>
  <c r="J162" i="66"/>
  <c r="I162" i="66"/>
  <c r="H162" i="66"/>
  <c r="N161" i="66"/>
  <c r="M161" i="66"/>
  <c r="L161" i="66"/>
  <c r="K161" i="66"/>
  <c r="J161" i="66"/>
  <c r="I161" i="66"/>
  <c r="H161" i="66"/>
  <c r="N158" i="66"/>
  <c r="M158" i="66"/>
  <c r="L158" i="66"/>
  <c r="K158" i="66"/>
  <c r="J158" i="66"/>
  <c r="I158" i="66"/>
  <c r="H158" i="66"/>
  <c r="N157" i="66"/>
  <c r="M157" i="66"/>
  <c r="L157" i="66"/>
  <c r="K157" i="66"/>
  <c r="J157" i="66"/>
  <c r="I157" i="66"/>
  <c r="H157" i="66"/>
  <c r="N156" i="66"/>
  <c r="M156" i="66"/>
  <c r="L156" i="66"/>
  <c r="K156" i="66"/>
  <c r="J156" i="66"/>
  <c r="I156" i="66"/>
  <c r="H156" i="66"/>
  <c r="N153" i="66"/>
  <c r="M153" i="66"/>
  <c r="L153" i="66"/>
  <c r="K153" i="66"/>
  <c r="J153" i="66"/>
  <c r="I153" i="66"/>
  <c r="H153" i="66"/>
  <c r="N152" i="66"/>
  <c r="M152" i="66"/>
  <c r="L152" i="66"/>
  <c r="K152" i="66"/>
  <c r="J152" i="66"/>
  <c r="I152" i="66"/>
  <c r="H152" i="66"/>
  <c r="N151" i="66"/>
  <c r="M151" i="66"/>
  <c r="L151" i="66"/>
  <c r="K151" i="66"/>
  <c r="J151" i="66"/>
  <c r="I151" i="66"/>
  <c r="H151" i="66"/>
  <c r="M148" i="66"/>
  <c r="N144" i="66"/>
  <c r="M144" i="66"/>
  <c r="L144" i="66"/>
  <c r="K144" i="66"/>
  <c r="J144" i="66"/>
  <c r="I144" i="66"/>
  <c r="H144" i="66"/>
  <c r="N143" i="66"/>
  <c r="M143" i="66"/>
  <c r="L143" i="66"/>
  <c r="K143" i="66"/>
  <c r="J143" i="66"/>
  <c r="I143" i="66"/>
  <c r="H143" i="66"/>
  <c r="N142" i="66"/>
  <c r="M142" i="66"/>
  <c r="L142" i="66"/>
  <c r="K142" i="66"/>
  <c r="J142" i="66"/>
  <c r="I142" i="66"/>
  <c r="H142" i="66"/>
  <c r="N141" i="66"/>
  <c r="M141" i="66"/>
  <c r="L141" i="66"/>
  <c r="K141" i="66"/>
  <c r="J141" i="66"/>
  <c r="I141" i="66"/>
  <c r="H141" i="66"/>
  <c r="N140" i="66"/>
  <c r="M140" i="66"/>
  <c r="L140" i="66"/>
  <c r="K140" i="66"/>
  <c r="J140" i="66"/>
  <c r="I140" i="66"/>
  <c r="H140" i="66"/>
  <c r="N139" i="66"/>
  <c r="M139" i="66"/>
  <c r="L139" i="66"/>
  <c r="K139" i="66"/>
  <c r="J139" i="66"/>
  <c r="I139" i="66"/>
  <c r="H139" i="66"/>
  <c r="N138" i="66"/>
  <c r="M138" i="66"/>
  <c r="L138" i="66"/>
  <c r="K138" i="66"/>
  <c r="J138" i="66"/>
  <c r="I138" i="66"/>
  <c r="H138" i="66"/>
  <c r="N137" i="66"/>
  <c r="M137" i="66"/>
  <c r="L137" i="66"/>
  <c r="K137" i="66"/>
  <c r="J137" i="66"/>
  <c r="I137" i="66"/>
  <c r="H137" i="66"/>
  <c r="N136" i="66"/>
  <c r="M136" i="66"/>
  <c r="L136" i="66"/>
  <c r="K136" i="66"/>
  <c r="J136" i="66"/>
  <c r="I136" i="66"/>
  <c r="H136" i="66"/>
  <c r="E136" i="66"/>
  <c r="N135" i="66"/>
  <c r="M135" i="66"/>
  <c r="L135" i="66"/>
  <c r="K135" i="66"/>
  <c r="J135" i="66"/>
  <c r="I135" i="66"/>
  <c r="H135" i="66"/>
  <c r="E135" i="66"/>
  <c r="N134" i="66"/>
  <c r="M134" i="66"/>
  <c r="L134" i="66"/>
  <c r="K134" i="66"/>
  <c r="J134" i="66"/>
  <c r="I134" i="66"/>
  <c r="H134" i="66"/>
  <c r="E134" i="66"/>
  <c r="N133" i="66"/>
  <c r="M133" i="66"/>
  <c r="L133" i="66"/>
  <c r="K133" i="66"/>
  <c r="J133" i="66"/>
  <c r="I133" i="66"/>
  <c r="H133" i="66"/>
  <c r="E133" i="66"/>
  <c r="N132" i="66"/>
  <c r="M132" i="66"/>
  <c r="L132" i="66"/>
  <c r="K132" i="66"/>
  <c r="J132" i="66"/>
  <c r="I132" i="66"/>
  <c r="H132" i="66"/>
  <c r="E132" i="66"/>
  <c r="N131" i="66"/>
  <c r="M131" i="66"/>
  <c r="L131" i="66"/>
  <c r="K131" i="66"/>
  <c r="J131" i="66"/>
  <c r="I131" i="66"/>
  <c r="H131" i="66"/>
  <c r="E131" i="66"/>
  <c r="N130" i="66"/>
  <c r="M130" i="66"/>
  <c r="L130" i="66"/>
  <c r="K130" i="66"/>
  <c r="J130" i="66"/>
  <c r="I130" i="66"/>
  <c r="H130" i="66"/>
  <c r="E130" i="66"/>
  <c r="N129" i="66"/>
  <c r="M129" i="66"/>
  <c r="L129" i="66"/>
  <c r="K129" i="66"/>
  <c r="J129" i="66"/>
  <c r="I129" i="66"/>
  <c r="H129" i="66"/>
  <c r="E129" i="66"/>
  <c r="N128" i="66"/>
  <c r="M128" i="66"/>
  <c r="L128" i="66"/>
  <c r="K128" i="66"/>
  <c r="J128" i="66"/>
  <c r="I128" i="66"/>
  <c r="H128" i="66"/>
  <c r="E128" i="66"/>
  <c r="N127" i="66"/>
  <c r="M127" i="66"/>
  <c r="L127" i="66"/>
  <c r="K127" i="66"/>
  <c r="J127" i="66"/>
  <c r="I127" i="66"/>
  <c r="H127" i="66"/>
  <c r="E127" i="66"/>
  <c r="N124" i="66"/>
  <c r="M124" i="66"/>
  <c r="L124" i="66"/>
  <c r="K124" i="66"/>
  <c r="J124" i="66"/>
  <c r="I124" i="66"/>
  <c r="H124" i="66"/>
  <c r="N123" i="66"/>
  <c r="M123" i="66"/>
  <c r="L123" i="66"/>
  <c r="K123" i="66"/>
  <c r="J123" i="66"/>
  <c r="I123" i="66"/>
  <c r="H123" i="66"/>
  <c r="N122" i="66"/>
  <c r="M122" i="66"/>
  <c r="L122" i="66"/>
  <c r="K122" i="66"/>
  <c r="J122" i="66"/>
  <c r="I122" i="66"/>
  <c r="H122" i="66"/>
  <c r="N121" i="66"/>
  <c r="M121" i="66"/>
  <c r="L121" i="66"/>
  <c r="K121" i="66"/>
  <c r="J121" i="66"/>
  <c r="I121" i="66"/>
  <c r="H121" i="66"/>
  <c r="N120" i="66"/>
  <c r="M120" i="66"/>
  <c r="L120" i="66"/>
  <c r="K120" i="66"/>
  <c r="J120" i="66"/>
  <c r="I120" i="66"/>
  <c r="H120" i="66"/>
  <c r="N119" i="66"/>
  <c r="M119" i="66"/>
  <c r="L119" i="66"/>
  <c r="K119" i="66"/>
  <c r="J119" i="66"/>
  <c r="I119" i="66"/>
  <c r="H119" i="66"/>
  <c r="N118" i="66"/>
  <c r="M118" i="66"/>
  <c r="L118" i="66"/>
  <c r="K118" i="66"/>
  <c r="J118" i="66"/>
  <c r="I118" i="66"/>
  <c r="H118" i="66"/>
  <c r="N117" i="66"/>
  <c r="M117" i="66"/>
  <c r="L117" i="66"/>
  <c r="K117" i="66"/>
  <c r="J117" i="66"/>
  <c r="I117" i="66"/>
  <c r="H117" i="66"/>
  <c r="N116" i="66"/>
  <c r="M116" i="66"/>
  <c r="L116" i="66"/>
  <c r="K116" i="66"/>
  <c r="J116" i="66"/>
  <c r="I116" i="66"/>
  <c r="H116" i="66"/>
  <c r="E116" i="66"/>
  <c r="N115" i="66"/>
  <c r="M115" i="66"/>
  <c r="L115" i="66"/>
  <c r="K115" i="66"/>
  <c r="J115" i="66"/>
  <c r="I115" i="66"/>
  <c r="H115" i="66"/>
  <c r="E115" i="66"/>
  <c r="N114" i="66"/>
  <c r="M114" i="66"/>
  <c r="L114" i="66"/>
  <c r="K114" i="66"/>
  <c r="J114" i="66"/>
  <c r="I114" i="66"/>
  <c r="H114" i="66"/>
  <c r="E114" i="66"/>
  <c r="N113" i="66"/>
  <c r="M113" i="66"/>
  <c r="L113" i="66"/>
  <c r="K113" i="66"/>
  <c r="J113" i="66"/>
  <c r="I113" i="66"/>
  <c r="H113" i="66"/>
  <c r="E113" i="66"/>
  <c r="N112" i="66"/>
  <c r="M112" i="66"/>
  <c r="L112" i="66"/>
  <c r="K112" i="66"/>
  <c r="J112" i="66"/>
  <c r="I112" i="66"/>
  <c r="H112" i="66"/>
  <c r="E112" i="66"/>
  <c r="N111" i="66"/>
  <c r="M111" i="66"/>
  <c r="L111" i="66"/>
  <c r="K111" i="66"/>
  <c r="J111" i="66"/>
  <c r="I111" i="66"/>
  <c r="H111" i="66"/>
  <c r="E111" i="66"/>
  <c r="N110" i="66"/>
  <c r="M110" i="66"/>
  <c r="L110" i="66"/>
  <c r="K110" i="66"/>
  <c r="J110" i="66"/>
  <c r="I110" i="66"/>
  <c r="H110" i="66"/>
  <c r="E110" i="66"/>
  <c r="N109" i="66"/>
  <c r="M109" i="66"/>
  <c r="L109" i="66"/>
  <c r="K109" i="66"/>
  <c r="J109" i="66"/>
  <c r="I109" i="66"/>
  <c r="H109" i="66"/>
  <c r="E109" i="66"/>
  <c r="N108" i="66"/>
  <c r="M108" i="66"/>
  <c r="L108" i="66"/>
  <c r="K108" i="66"/>
  <c r="J108" i="66"/>
  <c r="I108" i="66"/>
  <c r="H108" i="66"/>
  <c r="E108" i="66"/>
  <c r="N107" i="66"/>
  <c r="M107" i="66"/>
  <c r="L107" i="66"/>
  <c r="K107" i="66"/>
  <c r="J107" i="66"/>
  <c r="I107" i="66"/>
  <c r="H107" i="66"/>
  <c r="E107" i="66"/>
  <c r="N86" i="66"/>
  <c r="M86" i="66"/>
  <c r="L86" i="66"/>
  <c r="K86" i="66"/>
  <c r="J86" i="66"/>
  <c r="I86" i="66"/>
  <c r="H86" i="66"/>
  <c r="N85" i="66"/>
  <c r="M85" i="66"/>
  <c r="L85" i="66"/>
  <c r="K85" i="66"/>
  <c r="J85" i="66"/>
  <c r="I85" i="66"/>
  <c r="H85" i="66"/>
  <c r="N84" i="66"/>
  <c r="M84" i="66"/>
  <c r="L84" i="66"/>
  <c r="K84" i="66"/>
  <c r="J84" i="66"/>
  <c r="I84" i="66"/>
  <c r="H84" i="66"/>
  <c r="N83" i="66"/>
  <c r="M83" i="66"/>
  <c r="L83" i="66"/>
  <c r="K83" i="66"/>
  <c r="J83" i="66"/>
  <c r="I83" i="66"/>
  <c r="H83" i="66"/>
  <c r="N82" i="66"/>
  <c r="M82" i="66"/>
  <c r="L82" i="66"/>
  <c r="K82" i="66"/>
  <c r="J82" i="66"/>
  <c r="I82" i="66"/>
  <c r="H82" i="66"/>
  <c r="N81" i="66"/>
  <c r="M81" i="66"/>
  <c r="L81" i="66"/>
  <c r="K81" i="66"/>
  <c r="J81" i="66"/>
  <c r="I81" i="66"/>
  <c r="H81" i="66"/>
  <c r="N80" i="66"/>
  <c r="M80" i="66"/>
  <c r="L80" i="66"/>
  <c r="K80" i="66"/>
  <c r="J80" i="66"/>
  <c r="I80" i="66"/>
  <c r="H80" i="66"/>
  <c r="N79" i="66"/>
  <c r="M79" i="66"/>
  <c r="L79" i="66"/>
  <c r="K79" i="66"/>
  <c r="J79" i="66"/>
  <c r="I79" i="66"/>
  <c r="H79" i="66"/>
  <c r="M72" i="66"/>
  <c r="E70" i="66"/>
  <c r="E69" i="66"/>
  <c r="M67" i="66"/>
  <c r="M66" i="66"/>
  <c r="I67" i="66"/>
  <c r="I66" i="66"/>
  <c r="L60" i="66"/>
  <c r="I60" i="66"/>
  <c r="L59" i="66"/>
  <c r="I59" i="66"/>
  <c r="L58" i="66"/>
  <c r="I58" i="66"/>
  <c r="L57" i="66"/>
  <c r="I57" i="66"/>
  <c r="L56" i="66"/>
  <c r="I56" i="66"/>
  <c r="L55" i="66"/>
  <c r="I55" i="66"/>
  <c r="L54" i="66"/>
  <c r="I54" i="66"/>
  <c r="L53" i="66"/>
  <c r="I53" i="66"/>
  <c r="L52" i="66"/>
  <c r="I52" i="66"/>
  <c r="L51" i="66"/>
  <c r="I51" i="66"/>
  <c r="E60" i="66"/>
  <c r="E59" i="66"/>
  <c r="E58" i="66"/>
  <c r="E57" i="66"/>
  <c r="E56" i="66"/>
  <c r="E55" i="66"/>
  <c r="E54" i="66"/>
  <c r="E53" i="66"/>
  <c r="E52" i="66"/>
  <c r="E51" i="66"/>
  <c r="J47" i="66"/>
  <c r="M46" i="66"/>
  <c r="J46" i="66"/>
  <c r="M45" i="66"/>
  <c r="J45" i="66"/>
  <c r="M44" i="66"/>
  <c r="J44" i="66"/>
  <c r="F42" i="66"/>
  <c r="F41" i="66"/>
  <c r="F40" i="66"/>
  <c r="F39" i="66"/>
  <c r="F38" i="66"/>
  <c r="F37" i="66"/>
  <c r="M34" i="66"/>
  <c r="M33" i="66"/>
  <c r="H34" i="66"/>
  <c r="H33" i="66"/>
  <c r="H31" i="66"/>
  <c r="H30" i="66"/>
  <c r="H29" i="66"/>
  <c r="H28" i="66"/>
  <c r="H27" i="66"/>
  <c r="J31" i="43" l="1"/>
  <c r="Z76" i="62" l="1"/>
  <c r="Z77" i="62"/>
  <c r="Z78" i="62"/>
  <c r="Z79" i="62"/>
  <c r="Z80" i="62"/>
  <c r="Z81" i="62"/>
  <c r="Z82" i="62"/>
  <c r="Z83" i="62"/>
  <c r="Z84" i="62"/>
  <c r="Z85" i="62"/>
  <c r="Z86" i="62"/>
  <c r="Z87" i="62"/>
  <c r="Z89" i="62"/>
  <c r="Z90" i="62"/>
  <c r="Z91" i="62"/>
  <c r="Y76" i="62" l="1"/>
  <c r="Y77" i="62"/>
  <c r="Y78" i="62"/>
  <c r="AD78" i="62" s="1"/>
  <c r="Y79" i="62"/>
  <c r="Y80" i="62"/>
  <c r="Y81" i="62"/>
  <c r="Y82" i="62"/>
  <c r="Y83" i="62"/>
  <c r="AD83" i="62" s="1"/>
  <c r="Y84" i="62"/>
  <c r="AD84" i="62" s="1"/>
  <c r="Y85" i="62"/>
  <c r="AD85" i="62" s="1"/>
  <c r="Y86" i="62"/>
  <c r="Y87" i="62"/>
  <c r="Y88" i="62"/>
  <c r="Y89" i="62"/>
  <c r="Y90" i="62"/>
  <c r="Y91" i="62"/>
  <c r="Y75" i="62"/>
  <c r="AD75" i="62" s="1"/>
  <c r="U82" i="62" l="1"/>
  <c r="AB82" i="62"/>
  <c r="AD82" i="62"/>
  <c r="U90" i="62"/>
  <c r="AB90" i="62"/>
  <c r="AD90" i="62"/>
  <c r="U89" i="62"/>
  <c r="AD89" i="62"/>
  <c r="AB89" i="62"/>
  <c r="U81" i="62"/>
  <c r="AB81" i="62"/>
  <c r="AD81" i="62"/>
  <c r="AB79" i="62"/>
  <c r="AD79" i="62"/>
  <c r="U91" i="62"/>
  <c r="AB91" i="62"/>
  <c r="AD91" i="62"/>
  <c r="U80" i="62"/>
  <c r="AB80" i="62"/>
  <c r="AD80" i="62"/>
  <c r="U86" i="62"/>
  <c r="AB86" i="62"/>
  <c r="AD86" i="62"/>
  <c r="U87" i="62"/>
  <c r="AB87" i="62"/>
  <c r="AD87" i="62"/>
  <c r="U77" i="62"/>
  <c r="AD77" i="62"/>
  <c r="AB77" i="62"/>
  <c r="U76" i="62"/>
  <c r="AD76" i="62"/>
  <c r="AB76" i="62"/>
  <c r="U88" i="62"/>
  <c r="AD88" i="62"/>
  <c r="Z88" i="62"/>
  <c r="U75" i="62"/>
  <c r="Z75" i="62"/>
  <c r="U85" i="62"/>
  <c r="AB85" i="62"/>
  <c r="U84" i="62"/>
  <c r="AB84" i="62"/>
  <c r="U78" i="62"/>
  <c r="U83" i="62"/>
  <c r="AA86" i="62"/>
  <c r="AA85" i="62"/>
  <c r="AA91" i="62"/>
  <c r="AA83" i="62"/>
  <c r="AB83" i="62" s="1"/>
  <c r="AA90" i="62"/>
  <c r="AA82" i="62"/>
  <c r="AA89" i="62"/>
  <c r="AA81" i="62"/>
  <c r="AA79" i="62"/>
  <c r="U79" i="62"/>
  <c r="AA88" i="62"/>
  <c r="AA80" i="62"/>
  <c r="AA87" i="62"/>
  <c r="AA78" i="62"/>
  <c r="AB78" i="62" s="1"/>
  <c r="AA77" i="62"/>
  <c r="AA76" i="62"/>
  <c r="AA75" i="62"/>
  <c r="AA84" i="62"/>
  <c r="Q6" i="42"/>
  <c r="AC6" i="42"/>
  <c r="R6" i="42"/>
  <c r="AB88" i="62" l="1"/>
  <c r="AB75" i="62"/>
  <c r="H242" i="41"/>
  <c r="H241" i="41"/>
  <c r="H240" i="41"/>
  <c r="H39" i="41"/>
  <c r="H38" i="41"/>
  <c r="H37" i="41"/>
  <c r="H36" i="41"/>
  <c r="H35" i="41"/>
  <c r="I18" i="41" l="1"/>
  <c r="I230" i="41"/>
  <c r="I831" i="42" l="1"/>
  <c r="K831" i="42"/>
  <c r="I832" i="42"/>
  <c r="K832" i="42"/>
  <c r="I833" i="42"/>
  <c r="K833" i="42"/>
  <c r="I834" i="42"/>
  <c r="K834" i="42"/>
  <c r="I835" i="42"/>
  <c r="K835" i="42"/>
  <c r="I836" i="42"/>
  <c r="K836" i="42"/>
  <c r="I837" i="42"/>
  <c r="K837" i="42"/>
  <c r="I838" i="42"/>
  <c r="K838" i="42"/>
  <c r="I839" i="42"/>
  <c r="K839" i="42"/>
  <c r="K286" i="42" l="1"/>
  <c r="K287" i="42"/>
  <c r="K288" i="42"/>
  <c r="K289" i="42"/>
  <c r="K290" i="42"/>
  <c r="K291" i="42"/>
  <c r="K292" i="42"/>
  <c r="K293" i="42"/>
  <c r="K294" i="42"/>
  <c r="H1159" i="42"/>
  <c r="G1159" i="42"/>
  <c r="E1159" i="42"/>
  <c r="H1158" i="42"/>
  <c r="G1158" i="42"/>
  <c r="E1158" i="42"/>
  <c r="H1157" i="42"/>
  <c r="G1157" i="42"/>
  <c r="E1157" i="42"/>
  <c r="H1156" i="42"/>
  <c r="G1156" i="42"/>
  <c r="E1156" i="42"/>
  <c r="H1155" i="42"/>
  <c r="G1155" i="42"/>
  <c r="E1155" i="42"/>
  <c r="H1154" i="42"/>
  <c r="G1154" i="42"/>
  <c r="E1154" i="42"/>
  <c r="H1153" i="42"/>
  <c r="G1153" i="42"/>
  <c r="E1153" i="42"/>
  <c r="H1152" i="42"/>
  <c r="G1152" i="42"/>
  <c r="E1152" i="42"/>
  <c r="H1151" i="42"/>
  <c r="G1151" i="42"/>
  <c r="E1151" i="42"/>
  <c r="H1150" i="42"/>
  <c r="G1150" i="42"/>
  <c r="E1150" i="42"/>
  <c r="M1125" i="42"/>
  <c r="H1125" i="42"/>
  <c r="E1125" i="42"/>
  <c r="M1124" i="42"/>
  <c r="H1124" i="42"/>
  <c r="E1124" i="42"/>
  <c r="M1123" i="42"/>
  <c r="H1123" i="42"/>
  <c r="E1123" i="42"/>
  <c r="M1122" i="42"/>
  <c r="H1122" i="42"/>
  <c r="E1122" i="42"/>
  <c r="M1121" i="42"/>
  <c r="H1121" i="42"/>
  <c r="E1121" i="42"/>
  <c r="M1120" i="42"/>
  <c r="H1120" i="42"/>
  <c r="E1120" i="42"/>
  <c r="M1119" i="42"/>
  <c r="H1119" i="42"/>
  <c r="E1119" i="42"/>
  <c r="M1118" i="42"/>
  <c r="H1118" i="42"/>
  <c r="E1118" i="42"/>
  <c r="M1117" i="42"/>
  <c r="H1117" i="42"/>
  <c r="E1117" i="42"/>
  <c r="M1116" i="42"/>
  <c r="H1116" i="42"/>
  <c r="E1116" i="42"/>
  <c r="H1059" i="42"/>
  <c r="G1059" i="42"/>
  <c r="E1059" i="42"/>
  <c r="H1058" i="42"/>
  <c r="G1058" i="42"/>
  <c r="E1058" i="42"/>
  <c r="H1057" i="42"/>
  <c r="G1057" i="42"/>
  <c r="E1057" i="42"/>
  <c r="H1056" i="42"/>
  <c r="G1056" i="42"/>
  <c r="E1056" i="42"/>
  <c r="H1055" i="42"/>
  <c r="G1055" i="42"/>
  <c r="E1055" i="42"/>
  <c r="H1054" i="42"/>
  <c r="G1054" i="42"/>
  <c r="E1054" i="42"/>
  <c r="H1053" i="42"/>
  <c r="G1053" i="42"/>
  <c r="E1053" i="42"/>
  <c r="H1052" i="42"/>
  <c r="G1052" i="42"/>
  <c r="E1052" i="42"/>
  <c r="H1051" i="42"/>
  <c r="G1051" i="42"/>
  <c r="E1051" i="42"/>
  <c r="H1050" i="42"/>
  <c r="G1050" i="42"/>
  <c r="E1050" i="42"/>
  <c r="M1025" i="42"/>
  <c r="H1025" i="42"/>
  <c r="E1025" i="42"/>
  <c r="M1024" i="42"/>
  <c r="H1024" i="42"/>
  <c r="E1024" i="42"/>
  <c r="M1023" i="42"/>
  <c r="H1023" i="42"/>
  <c r="E1023" i="42"/>
  <c r="M1022" i="42"/>
  <c r="H1022" i="42"/>
  <c r="E1022" i="42"/>
  <c r="M1021" i="42"/>
  <c r="H1021" i="42"/>
  <c r="E1021" i="42"/>
  <c r="M1020" i="42"/>
  <c r="H1020" i="42"/>
  <c r="E1020" i="42"/>
  <c r="M1019" i="42"/>
  <c r="H1019" i="42"/>
  <c r="E1019" i="42"/>
  <c r="M1018" i="42"/>
  <c r="H1018" i="42"/>
  <c r="E1018" i="42"/>
  <c r="M1017" i="42"/>
  <c r="H1017" i="42"/>
  <c r="E1017" i="42"/>
  <c r="M1016" i="42"/>
  <c r="H1016" i="42"/>
  <c r="E1016" i="42"/>
  <c r="H919" i="42"/>
  <c r="G919" i="42"/>
  <c r="H918" i="42"/>
  <c r="G918" i="42"/>
  <c r="H917" i="42"/>
  <c r="G917" i="42"/>
  <c r="H916" i="42"/>
  <c r="G916" i="42"/>
  <c r="H915" i="42"/>
  <c r="G915" i="42"/>
  <c r="H914" i="42"/>
  <c r="G914" i="42"/>
  <c r="H913" i="42"/>
  <c r="G913" i="42"/>
  <c r="H912" i="42"/>
  <c r="G912" i="42"/>
  <c r="H911" i="42"/>
  <c r="G911" i="42"/>
  <c r="H910" i="42"/>
  <c r="G910" i="42"/>
  <c r="H876" i="42"/>
  <c r="G876" i="42"/>
  <c r="F876" i="42"/>
  <c r="E876" i="42"/>
  <c r="H875" i="42"/>
  <c r="G875" i="42"/>
  <c r="F875" i="42"/>
  <c r="E875" i="42"/>
  <c r="H874" i="42"/>
  <c r="G874" i="42"/>
  <c r="F874" i="42"/>
  <c r="E874" i="42"/>
  <c r="H873" i="42"/>
  <c r="G873" i="42"/>
  <c r="F873" i="42"/>
  <c r="E873" i="42"/>
  <c r="H872" i="42"/>
  <c r="G872" i="42"/>
  <c r="F872" i="42"/>
  <c r="E872" i="42"/>
  <c r="H871" i="42"/>
  <c r="G871" i="42"/>
  <c r="F871" i="42"/>
  <c r="E871" i="42"/>
  <c r="H870" i="42"/>
  <c r="G870" i="42"/>
  <c r="F870" i="42"/>
  <c r="E870" i="42"/>
  <c r="H869" i="42"/>
  <c r="G869" i="42"/>
  <c r="F869" i="42"/>
  <c r="E869" i="42"/>
  <c r="H868" i="42"/>
  <c r="G868" i="42"/>
  <c r="F868" i="42"/>
  <c r="E868" i="42"/>
  <c r="H867" i="42"/>
  <c r="G867" i="42"/>
  <c r="F867" i="42"/>
  <c r="E867" i="42"/>
  <c r="M839" i="42"/>
  <c r="G839" i="42"/>
  <c r="E839" i="42"/>
  <c r="M838" i="42"/>
  <c r="G838" i="42"/>
  <c r="E838" i="42"/>
  <c r="M837" i="42"/>
  <c r="G837" i="42"/>
  <c r="E837" i="42"/>
  <c r="M836" i="42"/>
  <c r="G836" i="42"/>
  <c r="E836" i="42"/>
  <c r="M835" i="42"/>
  <c r="G835" i="42"/>
  <c r="E835" i="42"/>
  <c r="M834" i="42"/>
  <c r="G834" i="42"/>
  <c r="E834" i="42"/>
  <c r="M833" i="42"/>
  <c r="G833" i="42"/>
  <c r="E833" i="42"/>
  <c r="M832" i="42"/>
  <c r="G832" i="42"/>
  <c r="E832" i="42"/>
  <c r="M831" i="42"/>
  <c r="G831" i="42"/>
  <c r="E831" i="42"/>
  <c r="M830" i="42"/>
  <c r="G830" i="42"/>
  <c r="E830" i="42"/>
  <c r="H732" i="42"/>
  <c r="G732" i="42"/>
  <c r="H731" i="42"/>
  <c r="G731" i="42"/>
  <c r="H730" i="42"/>
  <c r="G730" i="42"/>
  <c r="H729" i="42"/>
  <c r="G729" i="42"/>
  <c r="H728" i="42"/>
  <c r="G728" i="42"/>
  <c r="H727" i="42"/>
  <c r="G727" i="42"/>
  <c r="H726" i="42"/>
  <c r="G726" i="42"/>
  <c r="H725" i="42"/>
  <c r="G725" i="42"/>
  <c r="H724" i="42"/>
  <c r="G724" i="42"/>
  <c r="H723" i="42"/>
  <c r="G723" i="42"/>
  <c r="H689" i="42"/>
  <c r="G689" i="42"/>
  <c r="F689" i="42"/>
  <c r="E689" i="42"/>
  <c r="H688" i="42"/>
  <c r="G688" i="42"/>
  <c r="F688" i="42"/>
  <c r="E688" i="42"/>
  <c r="H687" i="42"/>
  <c r="G687" i="42"/>
  <c r="F687" i="42"/>
  <c r="E687" i="42"/>
  <c r="H686" i="42"/>
  <c r="G686" i="42"/>
  <c r="F686" i="42"/>
  <c r="E686" i="42"/>
  <c r="H685" i="42"/>
  <c r="G685" i="42"/>
  <c r="F685" i="42"/>
  <c r="E685" i="42"/>
  <c r="H684" i="42"/>
  <c r="G684" i="42"/>
  <c r="F684" i="42"/>
  <c r="E684" i="42"/>
  <c r="H683" i="42"/>
  <c r="G683" i="42"/>
  <c r="F683" i="42"/>
  <c r="E683" i="42"/>
  <c r="H682" i="42"/>
  <c r="G682" i="42"/>
  <c r="F682" i="42"/>
  <c r="E682" i="42"/>
  <c r="H681" i="42"/>
  <c r="G681" i="42"/>
  <c r="F681" i="42"/>
  <c r="E681" i="42"/>
  <c r="H680" i="42"/>
  <c r="G680" i="42"/>
  <c r="F680" i="42"/>
  <c r="E680" i="42"/>
  <c r="M652" i="42"/>
  <c r="G652" i="42"/>
  <c r="E652" i="42"/>
  <c r="M651" i="42"/>
  <c r="G651" i="42"/>
  <c r="E651" i="42"/>
  <c r="M650" i="42"/>
  <c r="G650" i="42"/>
  <c r="E650" i="42"/>
  <c r="M649" i="42"/>
  <c r="G649" i="42"/>
  <c r="E649" i="42"/>
  <c r="M648" i="42"/>
  <c r="G648" i="42"/>
  <c r="E648" i="42"/>
  <c r="M647" i="42"/>
  <c r="G647" i="42"/>
  <c r="E647" i="42"/>
  <c r="M646" i="42"/>
  <c r="G646" i="42"/>
  <c r="E646" i="42"/>
  <c r="M645" i="42"/>
  <c r="G645" i="42"/>
  <c r="E645" i="42"/>
  <c r="M644" i="42"/>
  <c r="G644" i="42"/>
  <c r="E644" i="42"/>
  <c r="M643" i="42"/>
  <c r="G643" i="42"/>
  <c r="E643" i="42"/>
  <c r="H374" i="42"/>
  <c r="G374" i="42"/>
  <c r="H373" i="42"/>
  <c r="G373" i="42"/>
  <c r="H372" i="42"/>
  <c r="G372" i="42"/>
  <c r="H371" i="42"/>
  <c r="G371" i="42"/>
  <c r="H370" i="42"/>
  <c r="G370" i="42"/>
  <c r="H369" i="42"/>
  <c r="G369" i="42"/>
  <c r="H368" i="42"/>
  <c r="G368" i="42"/>
  <c r="H367" i="42"/>
  <c r="G367" i="42"/>
  <c r="H366" i="42"/>
  <c r="G366" i="42"/>
  <c r="H365" i="42"/>
  <c r="G365" i="42"/>
  <c r="H331" i="42"/>
  <c r="G331" i="42"/>
  <c r="F331" i="42"/>
  <c r="E331" i="42"/>
  <c r="H330" i="42"/>
  <c r="G330" i="42"/>
  <c r="F330" i="42"/>
  <c r="E330" i="42"/>
  <c r="H329" i="42"/>
  <c r="G329" i="42"/>
  <c r="F329" i="42"/>
  <c r="E329" i="42"/>
  <c r="H328" i="42"/>
  <c r="G328" i="42"/>
  <c r="F328" i="42"/>
  <c r="E328" i="42"/>
  <c r="H327" i="42"/>
  <c r="G327" i="42"/>
  <c r="F327" i="42"/>
  <c r="E327" i="42"/>
  <c r="H326" i="42"/>
  <c r="G326" i="42"/>
  <c r="F326" i="42"/>
  <c r="E326" i="42"/>
  <c r="H325" i="42"/>
  <c r="G325" i="42"/>
  <c r="F325" i="42"/>
  <c r="E325" i="42"/>
  <c r="H324" i="42"/>
  <c r="G324" i="42"/>
  <c r="F324" i="42"/>
  <c r="E324" i="42"/>
  <c r="H323" i="42"/>
  <c r="G323" i="42"/>
  <c r="F323" i="42"/>
  <c r="E323" i="42"/>
  <c r="H322" i="42"/>
  <c r="G322" i="42"/>
  <c r="F322" i="42"/>
  <c r="E322" i="42"/>
  <c r="M294" i="42"/>
  <c r="I294" i="42"/>
  <c r="G294" i="42"/>
  <c r="E294" i="42"/>
  <c r="M293" i="42"/>
  <c r="I293" i="42"/>
  <c r="G293" i="42"/>
  <c r="E293" i="42"/>
  <c r="M292" i="42"/>
  <c r="I292" i="42"/>
  <c r="G292" i="42"/>
  <c r="E292" i="42"/>
  <c r="M291" i="42"/>
  <c r="I291" i="42"/>
  <c r="G291" i="42"/>
  <c r="E291" i="42"/>
  <c r="M290" i="42"/>
  <c r="I290" i="42"/>
  <c r="G290" i="42"/>
  <c r="E290" i="42"/>
  <c r="M289" i="42"/>
  <c r="I289" i="42"/>
  <c r="G289" i="42"/>
  <c r="E289" i="42"/>
  <c r="M288" i="42"/>
  <c r="I288" i="42"/>
  <c r="G288" i="42"/>
  <c r="E288" i="42"/>
  <c r="M287" i="42"/>
  <c r="I287" i="42"/>
  <c r="G287" i="42"/>
  <c r="E287" i="42"/>
  <c r="M286" i="42"/>
  <c r="I286" i="42"/>
  <c r="G286" i="42"/>
  <c r="E286" i="42"/>
  <c r="M285" i="42"/>
  <c r="I285" i="42"/>
  <c r="G285" i="42"/>
  <c r="E285" i="42"/>
  <c r="H137" i="42"/>
  <c r="G137" i="42"/>
  <c r="H136" i="42"/>
  <c r="G136" i="42"/>
  <c r="H135" i="42"/>
  <c r="G135" i="42"/>
  <c r="H134" i="42"/>
  <c r="G134" i="42"/>
  <c r="H133" i="42"/>
  <c r="G133" i="42"/>
  <c r="H132" i="42"/>
  <c r="G132" i="42"/>
  <c r="H131" i="42"/>
  <c r="G131" i="42"/>
  <c r="H130" i="42"/>
  <c r="G130" i="42"/>
  <c r="H129" i="42"/>
  <c r="G129" i="42"/>
  <c r="H128" i="42"/>
  <c r="G128" i="42"/>
  <c r="H94" i="42"/>
  <c r="G94" i="42"/>
  <c r="F94" i="42"/>
  <c r="E94" i="42"/>
  <c r="H93" i="42"/>
  <c r="G93" i="42"/>
  <c r="F93" i="42"/>
  <c r="E93" i="42"/>
  <c r="H92" i="42"/>
  <c r="G92" i="42"/>
  <c r="F92" i="42"/>
  <c r="E92" i="42"/>
  <c r="H91" i="42"/>
  <c r="G91" i="42"/>
  <c r="F91" i="42"/>
  <c r="E91" i="42"/>
  <c r="H90" i="42"/>
  <c r="G90" i="42"/>
  <c r="F90" i="42"/>
  <c r="E90" i="42"/>
  <c r="H89" i="42"/>
  <c r="G89" i="42"/>
  <c r="F89" i="42"/>
  <c r="E89" i="42"/>
  <c r="H88" i="42"/>
  <c r="G88" i="42"/>
  <c r="F88" i="42"/>
  <c r="E88" i="42"/>
  <c r="H87" i="42"/>
  <c r="G87" i="42"/>
  <c r="F87" i="42"/>
  <c r="E87" i="42"/>
  <c r="H86" i="42"/>
  <c r="G86" i="42"/>
  <c r="F86" i="42"/>
  <c r="E86" i="42"/>
  <c r="H85" i="42"/>
  <c r="G85" i="42"/>
  <c r="F85" i="42"/>
  <c r="E85" i="42"/>
  <c r="M57" i="42"/>
  <c r="I57" i="42"/>
  <c r="G57" i="42"/>
  <c r="E57" i="42"/>
  <c r="M56" i="42"/>
  <c r="I56" i="42"/>
  <c r="G56" i="42"/>
  <c r="E56" i="42"/>
  <c r="M55" i="42"/>
  <c r="I55" i="42"/>
  <c r="G55" i="42"/>
  <c r="E55" i="42"/>
  <c r="M54" i="42"/>
  <c r="I54" i="42"/>
  <c r="G54" i="42"/>
  <c r="E54" i="42"/>
  <c r="M53" i="42"/>
  <c r="I53" i="42"/>
  <c r="G53" i="42"/>
  <c r="E53" i="42"/>
  <c r="M52" i="42"/>
  <c r="I52" i="42"/>
  <c r="G52" i="42"/>
  <c r="E52" i="42"/>
  <c r="M51" i="42"/>
  <c r="I51" i="42"/>
  <c r="G51" i="42"/>
  <c r="E51" i="42"/>
  <c r="M50" i="42"/>
  <c r="I50" i="42"/>
  <c r="G50" i="42"/>
  <c r="E50" i="42"/>
  <c r="M49" i="42"/>
  <c r="I49" i="42"/>
  <c r="G49" i="42"/>
  <c r="E49" i="42"/>
  <c r="M48" i="42"/>
  <c r="I48" i="42"/>
  <c r="G48" i="42"/>
  <c r="E48" i="42"/>
  <c r="H3020" i="37"/>
  <c r="G3020" i="37"/>
  <c r="F3020" i="37"/>
  <c r="E3020" i="37"/>
  <c r="E3040" i="37" s="1"/>
  <c r="H3019" i="37"/>
  <c r="G3019" i="37"/>
  <c r="F3019" i="37"/>
  <c r="E3019" i="37"/>
  <c r="E3039" i="37" s="1"/>
  <c r="H3018" i="37"/>
  <c r="G3018" i="37"/>
  <c r="F3018" i="37"/>
  <c r="E3018" i="37"/>
  <c r="E3038" i="37" s="1"/>
  <c r="H3017" i="37"/>
  <c r="G3017" i="37"/>
  <c r="F3017" i="37"/>
  <c r="E3017" i="37"/>
  <c r="E3037" i="37" s="1"/>
  <c r="H3016" i="37"/>
  <c r="G3016" i="37"/>
  <c r="F3016" i="37"/>
  <c r="E3016" i="37"/>
  <c r="E3036" i="37" s="1"/>
  <c r="H3015" i="37"/>
  <c r="G3015" i="37"/>
  <c r="F3015" i="37"/>
  <c r="E3015" i="37"/>
  <c r="E3035" i="37" s="1"/>
  <c r="H3014" i="37"/>
  <c r="G3014" i="37"/>
  <c r="F3014" i="37"/>
  <c r="E3014" i="37"/>
  <c r="E3034" i="37" s="1"/>
  <c r="H3013" i="37"/>
  <c r="G3013" i="37"/>
  <c r="F3013" i="37"/>
  <c r="E3013" i="37"/>
  <c r="E3033" i="37" s="1"/>
  <c r="H3012" i="37"/>
  <c r="G3012" i="37"/>
  <c r="F3012" i="37"/>
  <c r="E3012" i="37"/>
  <c r="E3032" i="37" s="1"/>
  <c r="H3011" i="37"/>
  <c r="G3011" i="37"/>
  <c r="F3011" i="37"/>
  <c r="E3011" i="37"/>
  <c r="E3031" i="37" s="1"/>
  <c r="H2698" i="37"/>
  <c r="G2698" i="37"/>
  <c r="F2698" i="37"/>
  <c r="E2698" i="37"/>
  <c r="E2718" i="37" s="1"/>
  <c r="H2697" i="37"/>
  <c r="G2697" i="37"/>
  <c r="F2697" i="37"/>
  <c r="E2697" i="37"/>
  <c r="E2717" i="37" s="1"/>
  <c r="H2696" i="37"/>
  <c r="G2696" i="37"/>
  <c r="F2696" i="37"/>
  <c r="E2696" i="37"/>
  <c r="E2716" i="37" s="1"/>
  <c r="H2695" i="37"/>
  <c r="G2695" i="37"/>
  <c r="F2695" i="37"/>
  <c r="E2695" i="37"/>
  <c r="E2715" i="37" s="1"/>
  <c r="H2694" i="37"/>
  <c r="G2694" i="37"/>
  <c r="F2694" i="37"/>
  <c r="E2694" i="37"/>
  <c r="E2714" i="37" s="1"/>
  <c r="H2693" i="37"/>
  <c r="G2693" i="37"/>
  <c r="F2693" i="37"/>
  <c r="E2693" i="37"/>
  <c r="E2713" i="37" s="1"/>
  <c r="H2692" i="37"/>
  <c r="G2692" i="37"/>
  <c r="F2692" i="37"/>
  <c r="E2692" i="37"/>
  <c r="E2712" i="37" s="1"/>
  <c r="H2691" i="37"/>
  <c r="G2691" i="37"/>
  <c r="F2691" i="37"/>
  <c r="E2691" i="37"/>
  <c r="E2711" i="37" s="1"/>
  <c r="H2690" i="37"/>
  <c r="G2690" i="37"/>
  <c r="F2690" i="37"/>
  <c r="E2690" i="37"/>
  <c r="E2710" i="37" s="1"/>
  <c r="H2689" i="37"/>
  <c r="G2689" i="37"/>
  <c r="F2689" i="37"/>
  <c r="E2689" i="37"/>
  <c r="E2709" i="37" s="1"/>
  <c r="H2376" i="37"/>
  <c r="G2376" i="37"/>
  <c r="F2376" i="37"/>
  <c r="E2376" i="37"/>
  <c r="E2396" i="37" s="1"/>
  <c r="H2375" i="37"/>
  <c r="G2375" i="37"/>
  <c r="F2375" i="37"/>
  <c r="E2375" i="37"/>
  <c r="E2395" i="37" s="1"/>
  <c r="H2374" i="37"/>
  <c r="G2374" i="37"/>
  <c r="F2374" i="37"/>
  <c r="E2374" i="37"/>
  <c r="E2394" i="37" s="1"/>
  <c r="H2373" i="37"/>
  <c r="G2373" i="37"/>
  <c r="F2373" i="37"/>
  <c r="E2373" i="37"/>
  <c r="E2393" i="37" s="1"/>
  <c r="H2372" i="37"/>
  <c r="G2372" i="37"/>
  <c r="F2372" i="37"/>
  <c r="E2372" i="37"/>
  <c r="E2392" i="37" s="1"/>
  <c r="H2371" i="37"/>
  <c r="G2371" i="37"/>
  <c r="F2371" i="37"/>
  <c r="E2371" i="37"/>
  <c r="E2391" i="37" s="1"/>
  <c r="H2370" i="37"/>
  <c r="G2370" i="37"/>
  <c r="F2370" i="37"/>
  <c r="E2370" i="37"/>
  <c r="E2390" i="37" s="1"/>
  <c r="H2369" i="37"/>
  <c r="G2369" i="37"/>
  <c r="F2369" i="37"/>
  <c r="E2369" i="37"/>
  <c r="E2389" i="37" s="1"/>
  <c r="H2368" i="37"/>
  <c r="G2368" i="37"/>
  <c r="F2368" i="37"/>
  <c r="E2368" i="37"/>
  <c r="E2388" i="37" s="1"/>
  <c r="H2367" i="37"/>
  <c r="G2367" i="37"/>
  <c r="F2367" i="37"/>
  <c r="E2367" i="37"/>
  <c r="E2387" i="37" s="1"/>
  <c r="H2054" i="37"/>
  <c r="G2054" i="37"/>
  <c r="F2054" i="37"/>
  <c r="E2054" i="37"/>
  <c r="E2074" i="37" s="1"/>
  <c r="H2053" i="37"/>
  <c r="G2053" i="37"/>
  <c r="F2053" i="37"/>
  <c r="E2053" i="37"/>
  <c r="E2073" i="37" s="1"/>
  <c r="H2052" i="37"/>
  <c r="G2052" i="37"/>
  <c r="F2052" i="37"/>
  <c r="E2052" i="37"/>
  <c r="E2072" i="37" s="1"/>
  <c r="H2051" i="37"/>
  <c r="G2051" i="37"/>
  <c r="F2051" i="37"/>
  <c r="E2051" i="37"/>
  <c r="E2071" i="37" s="1"/>
  <c r="H2050" i="37"/>
  <c r="G2050" i="37"/>
  <c r="F2050" i="37"/>
  <c r="E2050" i="37"/>
  <c r="E2070" i="37" s="1"/>
  <c r="H2049" i="37"/>
  <c r="G2049" i="37"/>
  <c r="F2049" i="37"/>
  <c r="E2049" i="37"/>
  <c r="E2069" i="37" s="1"/>
  <c r="H2048" i="37"/>
  <c r="G2048" i="37"/>
  <c r="F2048" i="37"/>
  <c r="E2048" i="37"/>
  <c r="E2068" i="37" s="1"/>
  <c r="H2047" i="37"/>
  <c r="G2047" i="37"/>
  <c r="F2047" i="37"/>
  <c r="E2047" i="37"/>
  <c r="E2067" i="37" s="1"/>
  <c r="H2046" i="37"/>
  <c r="G2046" i="37"/>
  <c r="F2046" i="37"/>
  <c r="E2046" i="37"/>
  <c r="E2066" i="37" s="1"/>
  <c r="H2045" i="37"/>
  <c r="G2045" i="37"/>
  <c r="F2045" i="37"/>
  <c r="E2045" i="37"/>
  <c r="E2065" i="37" s="1"/>
  <c r="H1732" i="37"/>
  <c r="G1732" i="37"/>
  <c r="F1732" i="37"/>
  <c r="E1732" i="37"/>
  <c r="E1752" i="37" s="1"/>
  <c r="H1731" i="37"/>
  <c r="G1731" i="37"/>
  <c r="F1731" i="37"/>
  <c r="E1731" i="37"/>
  <c r="E1751" i="37" s="1"/>
  <c r="H1730" i="37"/>
  <c r="G1730" i="37"/>
  <c r="F1730" i="37"/>
  <c r="E1730" i="37"/>
  <c r="E1750" i="37" s="1"/>
  <c r="H1729" i="37"/>
  <c r="G1729" i="37"/>
  <c r="F1729" i="37"/>
  <c r="E1729" i="37"/>
  <c r="E1749" i="37" s="1"/>
  <c r="H1728" i="37"/>
  <c r="G1728" i="37"/>
  <c r="F1728" i="37"/>
  <c r="E1728" i="37"/>
  <c r="E1748" i="37" s="1"/>
  <c r="H1727" i="37"/>
  <c r="G1727" i="37"/>
  <c r="F1727" i="37"/>
  <c r="E1727" i="37"/>
  <c r="E1747" i="37" s="1"/>
  <c r="H1726" i="37"/>
  <c r="G1726" i="37"/>
  <c r="F1726" i="37"/>
  <c r="E1726" i="37"/>
  <c r="E1746" i="37" s="1"/>
  <c r="H1725" i="37"/>
  <c r="G1725" i="37"/>
  <c r="F1725" i="37"/>
  <c r="E1725" i="37"/>
  <c r="E1745" i="37" s="1"/>
  <c r="H1724" i="37"/>
  <c r="G1724" i="37"/>
  <c r="F1724" i="37"/>
  <c r="E1724" i="37"/>
  <c r="E1744" i="37" s="1"/>
  <c r="H1723" i="37"/>
  <c r="G1723" i="37"/>
  <c r="F1723" i="37"/>
  <c r="E1723" i="37"/>
  <c r="E1743" i="37" s="1"/>
  <c r="H1410" i="37"/>
  <c r="G1410" i="37"/>
  <c r="F1410" i="37"/>
  <c r="E1410" i="37"/>
  <c r="E1430" i="37" s="1"/>
  <c r="H1409" i="37"/>
  <c r="G1409" i="37"/>
  <c r="F1409" i="37"/>
  <c r="E1409" i="37"/>
  <c r="E1429" i="37" s="1"/>
  <c r="H1408" i="37"/>
  <c r="G1408" i="37"/>
  <c r="F1408" i="37"/>
  <c r="E1408" i="37"/>
  <c r="E1428" i="37" s="1"/>
  <c r="H1407" i="37"/>
  <c r="G1407" i="37"/>
  <c r="F1407" i="37"/>
  <c r="E1407" i="37"/>
  <c r="E1427" i="37" s="1"/>
  <c r="H1406" i="37"/>
  <c r="G1406" i="37"/>
  <c r="F1406" i="37"/>
  <c r="E1406" i="37"/>
  <c r="E1426" i="37" s="1"/>
  <c r="H1405" i="37"/>
  <c r="G1405" i="37"/>
  <c r="F1405" i="37"/>
  <c r="E1405" i="37"/>
  <c r="E1425" i="37" s="1"/>
  <c r="H1404" i="37"/>
  <c r="G1404" i="37"/>
  <c r="F1404" i="37"/>
  <c r="E1404" i="37"/>
  <c r="E1424" i="37" s="1"/>
  <c r="H1403" i="37"/>
  <c r="G1403" i="37"/>
  <c r="F1403" i="37"/>
  <c r="E1403" i="37"/>
  <c r="E1423" i="37" s="1"/>
  <c r="H1402" i="37"/>
  <c r="G1402" i="37"/>
  <c r="F1402" i="37"/>
  <c r="E1402" i="37"/>
  <c r="E1422" i="37" s="1"/>
  <c r="H1401" i="37"/>
  <c r="G1401" i="37"/>
  <c r="F1401" i="37"/>
  <c r="E1401" i="37"/>
  <c r="E1421" i="37" s="1"/>
  <c r="H1088" i="37"/>
  <c r="G1088" i="37"/>
  <c r="F1088" i="37"/>
  <c r="E1088" i="37"/>
  <c r="E1108" i="37" s="1"/>
  <c r="H1087" i="37"/>
  <c r="G1087" i="37"/>
  <c r="F1087" i="37"/>
  <c r="E1087" i="37"/>
  <c r="E1107" i="37" s="1"/>
  <c r="H1086" i="37"/>
  <c r="G1086" i="37"/>
  <c r="F1086" i="37"/>
  <c r="E1086" i="37"/>
  <c r="E1106" i="37" s="1"/>
  <c r="H1085" i="37"/>
  <c r="G1085" i="37"/>
  <c r="F1085" i="37"/>
  <c r="E1085" i="37"/>
  <c r="E1105" i="37" s="1"/>
  <c r="H1084" i="37"/>
  <c r="G1084" i="37"/>
  <c r="F1084" i="37"/>
  <c r="E1084" i="37"/>
  <c r="E1104" i="37" s="1"/>
  <c r="H1083" i="37"/>
  <c r="G1083" i="37"/>
  <c r="F1083" i="37"/>
  <c r="E1083" i="37"/>
  <c r="E1103" i="37" s="1"/>
  <c r="H1082" i="37"/>
  <c r="G1082" i="37"/>
  <c r="F1082" i="37"/>
  <c r="E1082" i="37"/>
  <c r="E1102" i="37" s="1"/>
  <c r="H1081" i="37"/>
  <c r="G1081" i="37"/>
  <c r="F1081" i="37"/>
  <c r="E1081" i="37"/>
  <c r="E1101" i="37" s="1"/>
  <c r="H1080" i="37"/>
  <c r="G1080" i="37"/>
  <c r="F1080" i="37"/>
  <c r="E1080" i="37"/>
  <c r="E1100" i="37" s="1"/>
  <c r="H1079" i="37"/>
  <c r="G1079" i="37"/>
  <c r="F1079" i="37"/>
  <c r="E1079" i="37"/>
  <c r="E1099" i="37" s="1"/>
  <c r="H766" i="37"/>
  <c r="G766" i="37"/>
  <c r="F766" i="37"/>
  <c r="E766" i="37"/>
  <c r="E786" i="37" s="1"/>
  <c r="H765" i="37"/>
  <c r="G765" i="37"/>
  <c r="F765" i="37"/>
  <c r="E765" i="37"/>
  <c r="E785" i="37" s="1"/>
  <c r="H764" i="37"/>
  <c r="G764" i="37"/>
  <c r="F764" i="37"/>
  <c r="E764" i="37"/>
  <c r="E784" i="37" s="1"/>
  <c r="H763" i="37"/>
  <c r="G763" i="37"/>
  <c r="F763" i="37"/>
  <c r="E763" i="37"/>
  <c r="E783" i="37" s="1"/>
  <c r="H762" i="37"/>
  <c r="G762" i="37"/>
  <c r="F762" i="37"/>
  <c r="E762" i="37"/>
  <c r="E782" i="37" s="1"/>
  <c r="H761" i="37"/>
  <c r="G761" i="37"/>
  <c r="F761" i="37"/>
  <c r="E761" i="37"/>
  <c r="E781" i="37" s="1"/>
  <c r="H760" i="37"/>
  <c r="G760" i="37"/>
  <c r="F760" i="37"/>
  <c r="E760" i="37"/>
  <c r="E780" i="37" s="1"/>
  <c r="H759" i="37"/>
  <c r="G759" i="37"/>
  <c r="F759" i="37"/>
  <c r="E759" i="37"/>
  <c r="E779" i="37" s="1"/>
  <c r="H758" i="37"/>
  <c r="G758" i="37"/>
  <c r="F758" i="37"/>
  <c r="E758" i="37"/>
  <c r="E778" i="37" s="1"/>
  <c r="H757" i="37"/>
  <c r="G757" i="37"/>
  <c r="F757" i="37"/>
  <c r="E757" i="37"/>
  <c r="E777" i="37" s="1"/>
  <c r="H444" i="37"/>
  <c r="G444" i="37"/>
  <c r="F444" i="37"/>
  <c r="E444" i="37"/>
  <c r="E464" i="37" s="1"/>
  <c r="H443" i="37"/>
  <c r="G443" i="37"/>
  <c r="F443" i="37"/>
  <c r="E443" i="37"/>
  <c r="E463" i="37" s="1"/>
  <c r="H442" i="37"/>
  <c r="G442" i="37"/>
  <c r="F442" i="37"/>
  <c r="E442" i="37"/>
  <c r="E462" i="37" s="1"/>
  <c r="H441" i="37"/>
  <c r="G441" i="37"/>
  <c r="F441" i="37"/>
  <c r="E441" i="37"/>
  <c r="E461" i="37" s="1"/>
  <c r="H440" i="37"/>
  <c r="G440" i="37"/>
  <c r="F440" i="37"/>
  <c r="E440" i="37"/>
  <c r="E460" i="37" s="1"/>
  <c r="H439" i="37"/>
  <c r="G439" i="37"/>
  <c r="F439" i="37"/>
  <c r="E439" i="37"/>
  <c r="E459" i="37" s="1"/>
  <c r="H438" i="37"/>
  <c r="G438" i="37"/>
  <c r="F438" i="37"/>
  <c r="E438" i="37"/>
  <c r="E458" i="37" s="1"/>
  <c r="H437" i="37"/>
  <c r="G437" i="37"/>
  <c r="F437" i="37"/>
  <c r="E437" i="37"/>
  <c r="E457" i="37" s="1"/>
  <c r="H436" i="37"/>
  <c r="G436" i="37"/>
  <c r="F436" i="37"/>
  <c r="E436" i="37"/>
  <c r="E456" i="37" s="1"/>
  <c r="H435" i="37"/>
  <c r="G435" i="37"/>
  <c r="F435" i="37"/>
  <c r="E435" i="37"/>
  <c r="E455" i="37" s="1"/>
  <c r="H122" i="37"/>
  <c r="G122" i="37"/>
  <c r="F122" i="37"/>
  <c r="E122" i="37"/>
  <c r="H121" i="37"/>
  <c r="G121" i="37"/>
  <c r="F121" i="37"/>
  <c r="E121" i="37"/>
  <c r="H120" i="37"/>
  <c r="G120" i="37"/>
  <c r="F120" i="37"/>
  <c r="E120" i="37"/>
  <c r="H119" i="37"/>
  <c r="G119" i="37"/>
  <c r="F119" i="37"/>
  <c r="E119" i="37"/>
  <c r="H118" i="37"/>
  <c r="G118" i="37"/>
  <c r="F118" i="37"/>
  <c r="E118" i="37"/>
  <c r="H117" i="37"/>
  <c r="G117" i="37"/>
  <c r="F117" i="37"/>
  <c r="E117" i="37"/>
  <c r="H116" i="37"/>
  <c r="G116" i="37"/>
  <c r="F116" i="37"/>
  <c r="E116" i="37"/>
  <c r="H115" i="37"/>
  <c r="G115" i="37"/>
  <c r="F115" i="37"/>
  <c r="E115" i="37"/>
  <c r="H114" i="37"/>
  <c r="G114" i="37"/>
  <c r="F114" i="37"/>
  <c r="E114" i="37"/>
  <c r="H113" i="37"/>
  <c r="G113" i="37"/>
  <c r="F113" i="37"/>
  <c r="E113" i="37"/>
  <c r="H93" i="49"/>
  <c r="H92" i="49"/>
  <c r="N269" i="43" l="1"/>
  <c r="N261" i="43"/>
  <c r="D56" i="9"/>
  <c r="G420" i="43" l="1"/>
  <c r="H357" i="47" l="1"/>
  <c r="H261" i="47"/>
  <c r="H181" i="47"/>
  <c r="H86" i="47"/>
  <c r="H78" i="47"/>
  <c r="H70" i="47"/>
  <c r="H62" i="47"/>
  <c r="H54" i="47"/>
  <c r="H46" i="47"/>
  <c r="H38" i="47"/>
  <c r="H964" i="42"/>
  <c r="H787" i="42"/>
  <c r="H594" i="42"/>
  <c r="H562" i="42"/>
  <c r="H475" i="42"/>
  <c r="H442" i="42"/>
  <c r="H243" i="42"/>
  <c r="H227" i="42"/>
  <c r="M254" i="43"/>
  <c r="M256" i="43" s="1"/>
  <c r="F220" i="43"/>
  <c r="F219" i="43"/>
  <c r="L244" i="43"/>
  <c r="L246" i="43" s="1"/>
  <c r="J70" i="43"/>
  <c r="J72" i="43" s="1"/>
  <c r="H356" i="47"/>
  <c r="H157" i="47"/>
  <c r="H85" i="47"/>
  <c r="H77" i="47"/>
  <c r="H69" i="47"/>
  <c r="H61" i="47"/>
  <c r="H53" i="47"/>
  <c r="H45" i="47"/>
  <c r="H37" i="47"/>
  <c r="H786" i="42"/>
  <c r="H591" i="42"/>
  <c r="H552" i="42"/>
  <c r="H472" i="42"/>
  <c r="H440" i="42"/>
  <c r="H242" i="42"/>
  <c r="M259" i="43"/>
  <c r="M261" i="43" s="1"/>
  <c r="F218" i="43"/>
  <c r="F217" i="43"/>
  <c r="F216" i="43"/>
  <c r="L240" i="43"/>
  <c r="L242" i="43" s="1"/>
  <c r="I77" i="42"/>
  <c r="H260" i="47"/>
  <c r="H259" i="47"/>
  <c r="H156" i="47"/>
  <c r="H84" i="47"/>
  <c r="H68" i="47"/>
  <c r="H60" i="47"/>
  <c r="H52" i="47"/>
  <c r="H36" i="47"/>
  <c r="H1090" i="42"/>
  <c r="H977" i="42"/>
  <c r="H789" i="42"/>
  <c r="H595" i="42"/>
  <c r="H563" i="42"/>
  <c r="H476" i="42"/>
  <c r="H471" i="42"/>
  <c r="H449" i="42"/>
  <c r="H439" i="42"/>
  <c r="H230" i="42"/>
  <c r="H226" i="42"/>
  <c r="H212" i="42"/>
  <c r="H206" i="42"/>
  <c r="M267" i="43"/>
  <c r="M269" i="43" s="1"/>
  <c r="F215" i="43"/>
  <c r="H329" i="47"/>
  <c r="H258" i="47"/>
  <c r="H189" i="47"/>
  <c r="H87" i="47"/>
  <c r="H79" i="47"/>
  <c r="H71" i="47"/>
  <c r="H63" i="47"/>
  <c r="H55" i="47"/>
  <c r="H47" i="47"/>
  <c r="H39" i="47"/>
  <c r="H389" i="47"/>
  <c r="H387" i="47"/>
  <c r="H358" i="47"/>
  <c r="H355" i="47"/>
  <c r="H323" i="47"/>
  <c r="H296" i="47"/>
  <c r="H290" i="47"/>
  <c r="H262" i="47"/>
  <c r="H257" i="47"/>
  <c r="H256" i="47"/>
  <c r="H255" i="47"/>
  <c r="H191" i="47"/>
  <c r="H190" i="47"/>
  <c r="H147" i="47"/>
  <c r="H123" i="47"/>
  <c r="H122" i="47"/>
  <c r="H113" i="47"/>
  <c r="H83" i="47"/>
  <c r="H82" i="47"/>
  <c r="H81" i="47"/>
  <c r="H80" i="47"/>
  <c r="H76" i="47"/>
  <c r="H75" i="47"/>
  <c r="H74" i="47"/>
  <c r="H73" i="47"/>
  <c r="H72" i="47"/>
  <c r="H67" i="47"/>
  <c r="H66" i="47"/>
  <c r="H65" i="47"/>
  <c r="H64" i="47"/>
  <c r="H59" i="47"/>
  <c r="H58" i="47"/>
  <c r="H57" i="47"/>
  <c r="H56" i="47"/>
  <c r="H51" i="47"/>
  <c r="H50" i="47"/>
  <c r="H49" i="47"/>
  <c r="H48" i="47"/>
  <c r="H44" i="47"/>
  <c r="H43" i="47"/>
  <c r="H42" i="47"/>
  <c r="H41" i="47"/>
  <c r="H40" i="47"/>
  <c r="H35" i="47"/>
  <c r="H34" i="47"/>
  <c r="H33" i="47"/>
  <c r="H32" i="47"/>
  <c r="H990" i="42"/>
  <c r="H976" i="42"/>
  <c r="H777" i="42"/>
  <c r="H590" i="42"/>
  <c r="H467" i="42"/>
  <c r="H429" i="42"/>
  <c r="H203" i="42"/>
  <c r="H192" i="42"/>
  <c r="H974" i="42"/>
  <c r="H973" i="42"/>
  <c r="H790" i="42"/>
  <c r="H603" i="42"/>
  <c r="H602" i="42"/>
  <c r="H599" i="42"/>
  <c r="H598" i="42"/>
  <c r="H587" i="42"/>
  <c r="H586" i="42"/>
  <c r="H572" i="42"/>
  <c r="H566" i="42"/>
  <c r="H565" i="42"/>
  <c r="H480" i="42"/>
  <c r="H479" i="42"/>
  <c r="H468" i="42"/>
  <c r="H464" i="42"/>
  <c r="H463" i="42"/>
  <c r="H443" i="42"/>
  <c r="H239" i="42"/>
  <c r="H238" i="42"/>
  <c r="H235" i="42"/>
  <c r="H234" i="42"/>
  <c r="H231" i="42"/>
  <c r="H205" i="42"/>
  <c r="H202" i="42"/>
  <c r="H95" i="47" l="1"/>
  <c r="M263" i="43"/>
  <c r="H3220" i="37"/>
  <c r="H3219" i="37"/>
  <c r="L3216" i="37"/>
  <c r="H3199" i="37"/>
  <c r="H3196" i="37"/>
  <c r="H3190" i="37"/>
  <c r="G3162" i="37"/>
  <c r="I3157" i="37"/>
  <c r="H3153" i="37"/>
  <c r="H3152" i="37"/>
  <c r="G3152" i="37"/>
  <c r="I3148" i="37"/>
  <c r="H3144" i="37"/>
  <c r="H3143" i="37"/>
  <c r="L3137" i="37"/>
  <c r="H3132" i="37"/>
  <c r="H3129" i="37"/>
  <c r="H3104" i="37"/>
  <c r="H3092" i="37"/>
  <c r="H2954" i="37"/>
  <c r="H2919" i="37"/>
  <c r="H2883" i="37"/>
  <c r="G2865" i="37"/>
  <c r="H2843" i="37"/>
  <c r="H2840" i="37"/>
  <c r="H2833" i="37"/>
  <c r="H2824" i="37"/>
  <c r="H2811" i="37"/>
  <c r="H2793" i="37"/>
  <c r="H2779" i="37"/>
  <c r="I2776" i="37"/>
  <c r="I2764" i="37"/>
  <c r="L2762" i="37"/>
  <c r="H2744" i="37"/>
  <c r="H2579" i="37"/>
  <c r="H2576" i="37"/>
  <c r="H2553" i="37"/>
  <c r="H2552" i="37"/>
  <c r="G2552" i="37"/>
  <c r="I2548" i="37"/>
  <c r="H2544" i="37"/>
  <c r="H2543" i="37"/>
  <c r="G2508" i="37"/>
  <c r="G2499" i="37"/>
  <c r="I2495" i="37"/>
  <c r="H2484" i="37"/>
  <c r="H2481" i="37"/>
  <c r="H2480" i="37"/>
  <c r="H2460" i="37"/>
  <c r="H2459" i="37"/>
  <c r="H2447" i="37"/>
  <c r="H2446" i="37"/>
  <c r="H2445" i="37"/>
  <c r="H2431" i="37"/>
  <c r="H2430" i="37"/>
  <c r="H2310" i="37"/>
  <c r="H2308" i="37"/>
  <c r="H2275" i="37"/>
  <c r="H2253" i="37"/>
  <c r="L2250" i="37"/>
  <c r="H2239" i="37"/>
  <c r="H2233" i="37"/>
  <c r="H2197" i="37"/>
  <c r="H2196" i="37"/>
  <c r="G2196" i="37"/>
  <c r="I2191" i="37"/>
  <c r="H2187" i="37"/>
  <c r="H2186" i="37"/>
  <c r="I2182" i="37"/>
  <c r="H2180" i="37"/>
  <c r="H2177" i="37"/>
  <c r="L2171" i="37"/>
  <c r="H2167" i="37"/>
  <c r="H2166" i="37"/>
  <c r="H2163" i="37"/>
  <c r="I2132" i="37"/>
  <c r="H1936" i="37"/>
  <c r="G1908" i="37"/>
  <c r="G1899" i="37"/>
  <c r="I1895" i="37"/>
  <c r="H1877" i="37"/>
  <c r="H1867" i="37"/>
  <c r="H1836" i="37"/>
  <c r="H1827" i="37"/>
  <c r="H1814" i="37"/>
  <c r="H1813" i="37"/>
  <c r="H1801" i="37"/>
  <c r="I1798" i="37"/>
  <c r="L1796" i="37"/>
  <c r="H1786" i="37"/>
  <c r="H1778" i="37"/>
  <c r="H1693" i="37"/>
  <c r="H1664" i="37"/>
  <c r="H1610" i="37"/>
  <c r="H1609" i="37"/>
  <c r="L1606" i="37"/>
  <c r="H1587" i="37"/>
  <c r="H1586" i="37"/>
  <c r="I1582" i="37"/>
  <c r="H1580" i="37"/>
  <c r="H1578" i="37"/>
  <c r="H1577" i="37"/>
  <c r="G1552" i="37"/>
  <c r="G1542" i="37"/>
  <c r="I1538" i="37"/>
  <c r="H1534" i="37"/>
  <c r="H1533" i="37"/>
  <c r="G1533" i="37"/>
  <c r="I1529" i="37"/>
  <c r="L1527" i="37"/>
  <c r="H1519" i="37"/>
  <c r="H1518" i="37"/>
  <c r="H1494" i="37"/>
  <c r="H1493" i="37"/>
  <c r="H1482" i="37"/>
  <c r="H1481" i="37"/>
  <c r="H1465" i="37"/>
  <c r="H1344" i="37"/>
  <c r="H1309" i="37"/>
  <c r="H1273" i="37"/>
  <c r="H1267" i="37"/>
  <c r="H1231" i="37"/>
  <c r="H1230" i="37"/>
  <c r="I1225" i="37"/>
  <c r="H1223" i="37"/>
  <c r="H1220" i="37"/>
  <c r="H1214" i="37"/>
  <c r="H1201" i="37"/>
  <c r="H1200" i="37"/>
  <c r="I1166" i="37"/>
  <c r="I1154" i="37"/>
  <c r="H970" i="37"/>
  <c r="H969" i="37"/>
  <c r="G942" i="37"/>
  <c r="I938" i="37"/>
  <c r="H934" i="37"/>
  <c r="H933" i="37"/>
  <c r="G933" i="37"/>
  <c r="I929" i="37"/>
  <c r="G889" i="37"/>
  <c r="H871" i="37"/>
  <c r="H870" i="37"/>
  <c r="H849" i="37"/>
  <c r="H848" i="37"/>
  <c r="H836" i="37"/>
  <c r="H835" i="37"/>
  <c r="L830" i="37"/>
  <c r="H821" i="37"/>
  <c r="H820" i="37"/>
  <c r="H812" i="37"/>
  <c r="H727" i="37"/>
  <c r="H698" i="37"/>
  <c r="H644" i="37"/>
  <c r="H643" i="37"/>
  <c r="L640" i="37"/>
  <c r="H623" i="37"/>
  <c r="H621" i="37"/>
  <c r="H620" i="37"/>
  <c r="H614" i="37"/>
  <c r="G586" i="37"/>
  <c r="I581" i="37"/>
  <c r="H577" i="37"/>
  <c r="H576" i="37"/>
  <c r="G576" i="37"/>
  <c r="I572" i="37"/>
  <c r="H568" i="37"/>
  <c r="H567" i="37"/>
  <c r="I563" i="37"/>
  <c r="L561" i="37"/>
  <c r="H556" i="37"/>
  <c r="H553" i="37"/>
  <c r="H552" i="37"/>
  <c r="H528" i="37"/>
  <c r="H516" i="37"/>
  <c r="H515" i="37"/>
  <c r="H378" i="37"/>
  <c r="H343" i="37"/>
  <c r="H307" i="37"/>
  <c r="H267" i="37"/>
  <c r="H265" i="37"/>
  <c r="H264" i="37"/>
  <c r="H257" i="37"/>
  <c r="H235" i="37"/>
  <c r="H217" i="37"/>
  <c r="H203" i="37"/>
  <c r="I200" i="37"/>
  <c r="I188" i="37"/>
  <c r="L186" i="37"/>
  <c r="H168" i="37"/>
  <c r="M327" i="43"/>
  <c r="M404" i="43" s="1"/>
  <c r="J327" i="43"/>
  <c r="J404" i="43" s="1"/>
  <c r="H327" i="43"/>
  <c r="H404" i="43" s="1"/>
  <c r="F327" i="43"/>
  <c r="F404" i="43" s="1"/>
  <c r="M326" i="43"/>
  <c r="M403" i="43" s="1"/>
  <c r="J326" i="43"/>
  <c r="J403" i="43" s="1"/>
  <c r="H326" i="43"/>
  <c r="H403" i="43" s="1"/>
  <c r="F326" i="43"/>
  <c r="F403" i="43" s="1"/>
  <c r="M325" i="43"/>
  <c r="M402" i="43" s="1"/>
  <c r="J325" i="43"/>
  <c r="J402" i="43" s="1"/>
  <c r="H325" i="43"/>
  <c r="H402" i="43" s="1"/>
  <c r="F325" i="43"/>
  <c r="F402" i="43" s="1"/>
  <c r="M324" i="43"/>
  <c r="M401" i="43" s="1"/>
  <c r="J324" i="43"/>
  <c r="J401" i="43" s="1"/>
  <c r="H324" i="43"/>
  <c r="H401" i="43" s="1"/>
  <c r="F324" i="43"/>
  <c r="F401" i="43" s="1"/>
  <c r="M323" i="43"/>
  <c r="M400" i="43" s="1"/>
  <c r="J323" i="43"/>
  <c r="J400" i="43" s="1"/>
  <c r="H323" i="43"/>
  <c r="H400" i="43" s="1"/>
  <c r="F323" i="43"/>
  <c r="F400" i="43" s="1"/>
  <c r="M322" i="43"/>
  <c r="M399" i="43" s="1"/>
  <c r="J322" i="43"/>
  <c r="J399" i="43" s="1"/>
  <c r="H322" i="43"/>
  <c r="H399" i="43" s="1"/>
  <c r="F322" i="43"/>
  <c r="F399" i="43" s="1"/>
  <c r="M321" i="43"/>
  <c r="M398" i="43" s="1"/>
  <c r="J321" i="43"/>
  <c r="J398" i="43" s="1"/>
  <c r="H321" i="43"/>
  <c r="H398" i="43" s="1"/>
  <c r="F321" i="43"/>
  <c r="F398" i="43" s="1"/>
  <c r="M320" i="43"/>
  <c r="M397" i="43" s="1"/>
  <c r="J320" i="43"/>
  <c r="J397" i="43" s="1"/>
  <c r="H320" i="43"/>
  <c r="H397" i="43" s="1"/>
  <c r="F320" i="43"/>
  <c r="F397" i="43" s="1"/>
  <c r="M319" i="43"/>
  <c r="M396" i="43" s="1"/>
  <c r="J319" i="43"/>
  <c r="J396" i="43" s="1"/>
  <c r="H319" i="43"/>
  <c r="H396" i="43" s="1"/>
  <c r="F319" i="43"/>
  <c r="F396" i="43" s="1"/>
  <c r="M318" i="43"/>
  <c r="M395" i="43" s="1"/>
  <c r="J318" i="43"/>
  <c r="J395" i="43" s="1"/>
  <c r="H318" i="43"/>
  <c r="H395" i="43" s="1"/>
  <c r="F318" i="43"/>
  <c r="F395" i="43" s="1"/>
  <c r="M315" i="43"/>
  <c r="M392" i="43" s="1"/>
  <c r="K315" i="43"/>
  <c r="K392" i="43" s="1"/>
  <c r="I315" i="43"/>
  <c r="I392" i="43" s="1"/>
  <c r="F315" i="43"/>
  <c r="F392" i="43" s="1"/>
  <c r="M314" i="43"/>
  <c r="M391" i="43" s="1"/>
  <c r="K314" i="43"/>
  <c r="K391" i="43" s="1"/>
  <c r="I314" i="43"/>
  <c r="I391" i="43" s="1"/>
  <c r="F314" i="43"/>
  <c r="F391" i="43" s="1"/>
  <c r="M313" i="43"/>
  <c r="M390" i="43" s="1"/>
  <c r="K313" i="43"/>
  <c r="K390" i="43" s="1"/>
  <c r="I313" i="43"/>
  <c r="I390" i="43" s="1"/>
  <c r="F313" i="43"/>
  <c r="F390" i="43" s="1"/>
  <c r="M312" i="43"/>
  <c r="M389" i="43" s="1"/>
  <c r="K312" i="43"/>
  <c r="K389" i="43" s="1"/>
  <c r="I312" i="43"/>
  <c r="I389" i="43" s="1"/>
  <c r="F312" i="43"/>
  <c r="F389" i="43" s="1"/>
  <c r="M311" i="43"/>
  <c r="M388" i="43" s="1"/>
  <c r="K311" i="43"/>
  <c r="K388" i="43" s="1"/>
  <c r="I311" i="43"/>
  <c r="I388" i="43" s="1"/>
  <c r="F311" i="43"/>
  <c r="F388" i="43" s="1"/>
  <c r="M310" i="43"/>
  <c r="M387" i="43" s="1"/>
  <c r="K310" i="43"/>
  <c r="K387" i="43" s="1"/>
  <c r="I310" i="43"/>
  <c r="I387" i="43" s="1"/>
  <c r="F310" i="43"/>
  <c r="F387" i="43" s="1"/>
  <c r="M309" i="43"/>
  <c r="M386" i="43" s="1"/>
  <c r="K309" i="43"/>
  <c r="K386" i="43" s="1"/>
  <c r="I309" i="43"/>
  <c r="I386" i="43" s="1"/>
  <c r="F309" i="43"/>
  <c r="F386" i="43" s="1"/>
  <c r="M308" i="43"/>
  <c r="M385" i="43" s="1"/>
  <c r="K308" i="43"/>
  <c r="K385" i="43" s="1"/>
  <c r="I308" i="43"/>
  <c r="I385" i="43" s="1"/>
  <c r="F308" i="43"/>
  <c r="F385" i="43" s="1"/>
  <c r="M307" i="43"/>
  <c r="M384" i="43" s="1"/>
  <c r="K307" i="43"/>
  <c r="K384" i="43" s="1"/>
  <c r="I307" i="43"/>
  <c r="I384" i="43" s="1"/>
  <c r="F307" i="43"/>
  <c r="F384" i="43" s="1"/>
  <c r="M306" i="43"/>
  <c r="M383" i="43" s="1"/>
  <c r="K306" i="43"/>
  <c r="K383" i="43" s="1"/>
  <c r="I306" i="43"/>
  <c r="I383" i="43" s="1"/>
  <c r="F306" i="43"/>
  <c r="F383" i="43" s="1"/>
  <c r="J169" i="43"/>
  <c r="J179" i="43" s="1"/>
  <c r="J168" i="43"/>
  <c r="J178" i="43" s="1"/>
  <c r="J167" i="43"/>
  <c r="J177" i="43" s="1"/>
  <c r="J134" i="43"/>
  <c r="J144" i="43" s="1"/>
  <c r="J133" i="43"/>
  <c r="J143" i="43" s="1"/>
  <c r="J132" i="43"/>
  <c r="J142" i="43" s="1"/>
  <c r="J131" i="43"/>
  <c r="J141" i="43" s="1"/>
  <c r="J107" i="43"/>
  <c r="J127" i="43" s="1"/>
  <c r="J106" i="43"/>
  <c r="J126" i="43" s="1"/>
  <c r="J105" i="43"/>
  <c r="J125" i="43" s="1"/>
  <c r="J104" i="43"/>
  <c r="J124" i="43" s="1"/>
  <c r="J103" i="43"/>
  <c r="J123" i="43" s="1"/>
  <c r="J102" i="43"/>
  <c r="J122" i="43" s="1"/>
  <c r="J101" i="43"/>
  <c r="J121" i="43" s="1"/>
  <c r="J100" i="43"/>
  <c r="J120" i="43" s="1"/>
  <c r="J86" i="43"/>
  <c r="J88" i="43" s="1"/>
  <c r="J56" i="43"/>
  <c r="J58" i="43" s="1"/>
  <c r="J63" i="43"/>
  <c r="J65" i="43" s="1"/>
  <c r="G3187" i="37"/>
  <c r="H3115" i="37"/>
  <c r="H3090" i="37"/>
  <c r="H2866" i="37"/>
  <c r="I2835" i="37"/>
  <c r="H2821" i="37"/>
  <c r="H2803" i="37"/>
  <c r="H2770" i="37"/>
  <c r="H2575" i="37"/>
  <c r="H2518" i="37"/>
  <c r="H2502" i="37"/>
  <c r="H2485" i="37"/>
  <c r="H2457" i="37"/>
  <c r="H2230" i="37"/>
  <c r="H2199" i="37"/>
  <c r="G2186" i="37"/>
  <c r="I2120" i="37"/>
  <c r="H1953" i="37"/>
  <c r="H1911" i="37"/>
  <c r="H1865" i="37"/>
  <c r="I1851" i="37"/>
  <c r="H1802" i="37"/>
  <c r="H1666" i="37"/>
  <c r="I1547" i="37"/>
  <c r="H1515" i="37"/>
  <c r="H1456" i="37"/>
  <c r="H1287" i="37"/>
  <c r="I1260" i="37"/>
  <c r="H1197" i="37"/>
  <c r="H1169" i="37"/>
  <c r="H1143" i="37"/>
  <c r="H942" i="37"/>
  <c r="H911" i="37"/>
  <c r="G898" i="37"/>
  <c r="I832" i="37"/>
  <c r="H665" i="37"/>
  <c r="G611" i="37"/>
  <c r="H539" i="37"/>
  <c r="H514" i="37"/>
  <c r="H313" i="37"/>
  <c r="H289" i="37"/>
  <c r="H254" i="37"/>
  <c r="H205" i="37"/>
  <c r="H3224" i="37"/>
  <c r="H3223" i="37"/>
  <c r="H3211" i="37"/>
  <c r="H3205" i="37"/>
  <c r="H3197" i="37"/>
  <c r="G3196" i="37"/>
  <c r="I3192" i="37"/>
  <c r="H3188" i="37"/>
  <c r="H3187" i="37"/>
  <c r="I3183" i="37"/>
  <c r="H3165" i="37"/>
  <c r="H3163" i="37"/>
  <c r="H3162" i="37"/>
  <c r="H3155" i="37"/>
  <c r="H3146" i="37"/>
  <c r="G3143" i="37"/>
  <c r="I3139" i="37"/>
  <c r="H3133" i="37"/>
  <c r="H3128" i="37"/>
  <c r="H3125" i="37"/>
  <c r="H3124" i="37"/>
  <c r="H3103" i="37"/>
  <c r="H3102" i="37"/>
  <c r="H3101" i="37"/>
  <c r="I3098" i="37"/>
  <c r="H3091" i="37"/>
  <c r="H3089" i="37"/>
  <c r="I3086" i="37"/>
  <c r="L3084" i="37"/>
  <c r="H3075" i="37"/>
  <c r="H3074" i="37"/>
  <c r="H3066" i="37"/>
  <c r="H2981" i="37"/>
  <c r="H2952" i="37"/>
  <c r="H2902" i="37"/>
  <c r="H2901" i="37"/>
  <c r="H2898" i="37"/>
  <c r="H2897" i="37"/>
  <c r="L2894" i="37"/>
  <c r="H2877" i="37"/>
  <c r="H2875" i="37"/>
  <c r="H2874" i="37"/>
  <c r="G2874" i="37"/>
  <c r="I2870" i="37"/>
  <c r="H2868" i="37"/>
  <c r="H2865" i="37"/>
  <c r="I2861" i="37"/>
  <c r="H2841" i="37"/>
  <c r="G2840" i="37"/>
  <c r="H2831" i="37"/>
  <c r="H2830" i="37"/>
  <c r="G2830" i="37"/>
  <c r="I2826" i="37"/>
  <c r="H2822" i="37"/>
  <c r="G2821" i="37"/>
  <c r="I2817" i="37"/>
  <c r="L2815" i="37"/>
  <c r="H2810" i="37"/>
  <c r="H2807" i="37"/>
  <c r="H2806" i="37"/>
  <c r="H2802" i="37"/>
  <c r="H2782" i="37"/>
  <c r="H2781" i="37"/>
  <c r="H2780" i="37"/>
  <c r="H2769" i="37"/>
  <c r="H2768" i="37"/>
  <c r="H2767" i="37"/>
  <c r="H2753" i="37"/>
  <c r="H2752" i="37"/>
  <c r="H2659" i="37"/>
  <c r="H2632" i="37"/>
  <c r="H2630" i="37"/>
  <c r="H2597" i="37"/>
  <c r="H2580" i="37"/>
  <c r="L2572" i="37"/>
  <c r="H2561" i="37"/>
  <c r="H2555" i="37"/>
  <c r="H2546" i="37"/>
  <c r="G2543" i="37"/>
  <c r="I2539" i="37"/>
  <c r="H2521" i="37"/>
  <c r="H2519" i="37"/>
  <c r="G2518" i="37"/>
  <c r="I2513" i="37"/>
  <c r="H2511" i="37"/>
  <c r="H2509" i="37"/>
  <c r="H2508" i="37"/>
  <c r="I2504" i="37"/>
  <c r="H2500" i="37"/>
  <c r="H2499" i="37"/>
  <c r="L2493" i="37"/>
  <c r="H2489" i="37"/>
  <c r="H2488" i="37"/>
  <c r="H2471" i="37"/>
  <c r="H2458" i="37"/>
  <c r="I2454" i="37"/>
  <c r="H2448" i="37"/>
  <c r="I2442" i="37"/>
  <c r="L2440" i="37"/>
  <c r="H2422" i="37"/>
  <c r="H2337" i="37"/>
  <c r="H2258" i="37"/>
  <c r="H2257" i="37"/>
  <c r="H2254" i="37"/>
  <c r="H2231" i="37"/>
  <c r="G2230" i="37"/>
  <c r="I2226" i="37"/>
  <c r="H2224" i="37"/>
  <c r="H2222" i="37"/>
  <c r="H2221" i="37"/>
  <c r="G2221" i="37"/>
  <c r="I2217" i="37"/>
  <c r="H2189" i="37"/>
  <c r="H2178" i="37"/>
  <c r="G2177" i="37"/>
  <c r="I2173" i="37"/>
  <c r="H2162" i="37"/>
  <c r="H2159" i="37"/>
  <c r="H2158" i="37"/>
  <c r="H2149" i="37"/>
  <c r="H2138" i="37"/>
  <c r="H2137" i="37"/>
  <c r="H2136" i="37"/>
  <c r="H2135" i="37"/>
  <c r="H2126" i="37"/>
  <c r="H2125" i="37"/>
  <c r="H2124" i="37"/>
  <c r="H2123" i="37"/>
  <c r="L2118" i="37"/>
  <c r="H2109" i="37"/>
  <c r="H2108" i="37"/>
  <c r="H2100" i="37"/>
  <c r="H2015" i="37"/>
  <c r="H1988" i="37"/>
  <c r="H1986" i="37"/>
  <c r="H1935" i="37"/>
  <c r="H1932" i="37"/>
  <c r="H1931" i="37"/>
  <c r="L1928" i="37"/>
  <c r="H1917" i="37"/>
  <c r="H1909" i="37"/>
  <c r="H1908" i="37"/>
  <c r="I1904" i="37"/>
  <c r="H1902" i="37"/>
  <c r="H1900" i="37"/>
  <c r="H1899" i="37"/>
  <c r="H1875" i="37"/>
  <c r="H1874" i="37"/>
  <c r="G1874" i="37"/>
  <c r="I1869" i="37"/>
  <c r="H1864" i="37"/>
  <c r="G1864" i="37"/>
  <c r="I1860" i="37"/>
  <c r="H1858" i="37"/>
  <c r="H1856" i="37"/>
  <c r="H1855" i="37"/>
  <c r="G1855" i="37"/>
  <c r="L1849" i="37"/>
  <c r="H1845" i="37"/>
  <c r="H1844" i="37"/>
  <c r="H1841" i="37"/>
  <c r="H1840" i="37"/>
  <c r="H1837" i="37"/>
  <c r="H1816" i="37"/>
  <c r="H1815" i="37"/>
  <c r="I1810" i="37"/>
  <c r="H1804" i="37"/>
  <c r="H1803" i="37"/>
  <c r="H1787" i="37"/>
  <c r="H1631" i="37"/>
  <c r="H1614" i="37"/>
  <c r="H1613" i="37"/>
  <c r="H1595" i="37"/>
  <c r="H1589" i="37"/>
  <c r="G1586" i="37"/>
  <c r="G1577" i="37"/>
  <c r="I1573" i="37"/>
  <c r="H1555" i="37"/>
  <c r="H1553" i="37"/>
  <c r="H1552" i="37"/>
  <c r="H1545" i="37"/>
  <c r="H1543" i="37"/>
  <c r="H1542" i="37"/>
  <c r="H1536" i="37"/>
  <c r="H1523" i="37"/>
  <c r="H1522" i="37"/>
  <c r="H1514" i="37"/>
  <c r="H1505" i="37"/>
  <c r="H1492" i="37"/>
  <c r="H1491" i="37"/>
  <c r="I1488" i="37"/>
  <c r="H1480" i="37"/>
  <c r="H1479" i="37"/>
  <c r="I1476" i="37"/>
  <c r="L1474" i="37"/>
  <c r="H1464" i="37"/>
  <c r="H1371" i="37"/>
  <c r="H1342" i="37"/>
  <c r="H1292" i="37"/>
  <c r="H1291" i="37"/>
  <c r="H1288" i="37"/>
  <c r="L1284" i="37"/>
  <c r="H1265" i="37"/>
  <c r="H1264" i="37"/>
  <c r="G1264" i="37"/>
  <c r="H1258" i="37"/>
  <c r="H1256" i="37"/>
  <c r="H1255" i="37"/>
  <c r="G1255" i="37"/>
  <c r="I1251" i="37"/>
  <c r="H1233" i="37"/>
  <c r="G1230" i="37"/>
  <c r="H1221" i="37"/>
  <c r="G1220" i="37"/>
  <c r="I1216" i="37"/>
  <c r="H1212" i="37"/>
  <c r="H1211" i="37"/>
  <c r="G1211" i="37"/>
  <c r="I1207" i="37"/>
  <c r="L1205" i="37"/>
  <c r="H1196" i="37"/>
  <c r="H1193" i="37"/>
  <c r="H1192" i="37"/>
  <c r="H1183" i="37"/>
  <c r="H1172" i="37"/>
  <c r="H1171" i="37"/>
  <c r="H1170" i="37"/>
  <c r="H1160" i="37"/>
  <c r="H1159" i="37"/>
  <c r="H1158" i="37"/>
  <c r="H1157" i="37"/>
  <c r="L1152" i="37"/>
  <c r="H1142" i="37"/>
  <c r="H1134" i="37"/>
  <c r="H1049" i="37"/>
  <c r="H1022" i="37"/>
  <c r="H1020" i="37"/>
  <c r="H987" i="37"/>
  <c r="H966" i="37"/>
  <c r="H965" i="37"/>
  <c r="L962" i="37"/>
  <c r="H957" i="37"/>
  <c r="H951" i="37"/>
  <c r="H945" i="37"/>
  <c r="H943" i="37"/>
  <c r="H936" i="37"/>
  <c r="H909" i="37"/>
  <c r="H908" i="37"/>
  <c r="G908" i="37"/>
  <c r="I903" i="37"/>
  <c r="H901" i="37"/>
  <c r="H899" i="37"/>
  <c r="H898" i="37"/>
  <c r="I894" i="37"/>
  <c r="H892" i="37"/>
  <c r="H890" i="37"/>
  <c r="H889" i="37"/>
  <c r="I885" i="37"/>
  <c r="L883" i="37"/>
  <c r="H879" i="37"/>
  <c r="H878" i="37"/>
  <c r="H875" i="37"/>
  <c r="H874" i="37"/>
  <c r="H861" i="37"/>
  <c r="H850" i="37"/>
  <c r="H847" i="37"/>
  <c r="I844" i="37"/>
  <c r="H838" i="37"/>
  <c r="H837" i="37"/>
  <c r="H700" i="37"/>
  <c r="H648" i="37"/>
  <c r="H647" i="37"/>
  <c r="H635" i="37"/>
  <c r="H629" i="37"/>
  <c r="G620" i="37"/>
  <c r="I616" i="37"/>
  <c r="H612" i="37"/>
  <c r="H611" i="37"/>
  <c r="I607" i="37"/>
  <c r="H589" i="37"/>
  <c r="H587" i="37"/>
  <c r="H586" i="37"/>
  <c r="H579" i="37"/>
  <c r="H570" i="37"/>
  <c r="G567" i="37"/>
  <c r="H557" i="37"/>
  <c r="H549" i="37"/>
  <c r="H548" i="37"/>
  <c r="H527" i="37"/>
  <c r="H526" i="37"/>
  <c r="H525" i="37"/>
  <c r="I522" i="37"/>
  <c r="H513" i="37"/>
  <c r="I510" i="37"/>
  <c r="L508" i="37"/>
  <c r="H499" i="37"/>
  <c r="H498" i="37"/>
  <c r="H490" i="37"/>
  <c r="H405" i="37"/>
  <c r="H376" i="37"/>
  <c r="H326" i="37"/>
  <c r="H325" i="37"/>
  <c r="H322" i="37"/>
  <c r="H321" i="37"/>
  <c r="L318" i="37"/>
  <c r="H301" i="37"/>
  <c r="H299" i="37"/>
  <c r="H298" i="37"/>
  <c r="I294" i="37"/>
  <c r="H292" i="37"/>
  <c r="H290" i="37"/>
  <c r="I285" i="37"/>
  <c r="I259" i="37"/>
  <c r="H255" i="37"/>
  <c r="I250" i="37"/>
  <c r="H248" i="37"/>
  <c r="H246" i="37"/>
  <c r="H245" i="37"/>
  <c r="G245" i="37"/>
  <c r="I241" i="37"/>
  <c r="L239" i="37"/>
  <c r="H234" i="37"/>
  <c r="H231" i="37"/>
  <c r="H230" i="37"/>
  <c r="H227" i="37"/>
  <c r="H226" i="37"/>
  <c r="H206" i="37"/>
  <c r="H204" i="37"/>
  <c r="H194" i="37"/>
  <c r="H193" i="37"/>
  <c r="H192" i="37"/>
  <c r="H191" i="37"/>
  <c r="H177" i="37"/>
  <c r="H176" i="37"/>
  <c r="H83" i="37"/>
  <c r="H56" i="37"/>
  <c r="H54" i="37"/>
  <c r="H21" i="37"/>
  <c r="H407" i="37" l="1"/>
  <c r="H729" i="37"/>
  <c r="H85" i="37"/>
  <c r="H2017" i="37"/>
  <c r="H1051" i="37"/>
  <c r="H1695" i="37"/>
  <c r="H1373" i="37"/>
  <c r="H2661" i="37"/>
  <c r="H2983" i="37"/>
  <c r="H2339" i="37"/>
  <c r="H64" i="9"/>
  <c r="J53" i="43" l="1"/>
  <c r="J61" i="43" s="1"/>
  <c r="B18" i="25" l="1"/>
  <c r="Q441" i="43"/>
  <c r="N77" i="49" l="1"/>
  <c r="N132" i="49"/>
  <c r="K132" i="49"/>
  <c r="G248" i="49" l="1"/>
  <c r="G198" i="49"/>
  <c r="J11" i="43" l="1"/>
  <c r="AE76" i="62" l="1"/>
  <c r="AE77" i="62"/>
  <c r="AE78" i="62"/>
  <c r="AE79" i="62"/>
  <c r="AE80" i="62"/>
  <c r="AE81" i="62"/>
  <c r="AE82" i="62"/>
  <c r="AE83" i="62"/>
  <c r="AE84" i="62"/>
  <c r="AE85" i="62"/>
  <c r="AE86" i="62"/>
  <c r="AE87" i="62"/>
  <c r="AE88" i="62"/>
  <c r="AE89" i="62"/>
  <c r="AE90" i="62"/>
  <c r="AE91" i="62"/>
  <c r="AE75" i="62"/>
  <c r="I1179" i="42" l="1"/>
  <c r="F1179" i="42"/>
  <c r="I1178" i="42"/>
  <c r="F1178" i="42"/>
  <c r="I1177" i="42"/>
  <c r="F1177" i="42"/>
  <c r="I1176" i="42"/>
  <c r="F1176" i="42"/>
  <c r="I1175" i="42"/>
  <c r="F1175" i="42"/>
  <c r="I1174" i="42"/>
  <c r="F1174" i="42"/>
  <c r="I1173" i="42"/>
  <c r="F1173" i="42"/>
  <c r="I1172" i="42"/>
  <c r="F1172" i="42"/>
  <c r="I1171" i="42"/>
  <c r="F1171" i="42"/>
  <c r="D1171" i="42"/>
  <c r="D1172" i="42" s="1"/>
  <c r="D1173" i="42" s="1"/>
  <c r="D1174" i="42" s="1"/>
  <c r="D1175" i="42" s="1"/>
  <c r="D1176" i="42" s="1"/>
  <c r="D1177" i="42" s="1"/>
  <c r="D1178" i="42" s="1"/>
  <c r="D1179" i="42" s="1"/>
  <c r="I1170" i="42"/>
  <c r="F1170" i="42"/>
  <c r="D1161" i="42"/>
  <c r="D1162" i="42" s="1"/>
  <c r="D1163" i="42" s="1"/>
  <c r="D1164" i="42" s="1"/>
  <c r="D1165" i="42" s="1"/>
  <c r="D1166" i="42" s="1"/>
  <c r="D1167" i="42" s="1"/>
  <c r="D1168" i="42" s="1"/>
  <c r="D1169" i="42" s="1"/>
  <c r="D1151" i="42"/>
  <c r="D1152" i="42" s="1"/>
  <c r="D1153" i="42" s="1"/>
  <c r="D1154" i="42" s="1"/>
  <c r="D1155" i="42" s="1"/>
  <c r="D1156" i="42" s="1"/>
  <c r="D1157" i="42" s="1"/>
  <c r="D1158" i="42" s="1"/>
  <c r="D1159" i="42" s="1"/>
  <c r="D1061" i="42"/>
  <c r="D1062" i="42" s="1"/>
  <c r="D1063" i="42" s="1"/>
  <c r="D1064" i="42" s="1"/>
  <c r="D1065" i="42" s="1"/>
  <c r="D1066" i="42" s="1"/>
  <c r="D1067" i="42" s="1"/>
  <c r="D1068" i="42" s="1"/>
  <c r="D1069" i="42" s="1"/>
  <c r="D1051" i="42"/>
  <c r="D1052" i="42" s="1"/>
  <c r="D1053" i="42" s="1"/>
  <c r="D1054" i="42" s="1"/>
  <c r="D1055" i="42" s="1"/>
  <c r="D1056" i="42" s="1"/>
  <c r="D1057" i="42" s="1"/>
  <c r="D1058" i="42" s="1"/>
  <c r="D1059" i="42" s="1"/>
  <c r="I1079" i="42"/>
  <c r="F1079" i="42"/>
  <c r="I1078" i="42"/>
  <c r="F1078" i="42"/>
  <c r="I1077" i="42"/>
  <c r="F1077" i="42"/>
  <c r="I1076" i="42"/>
  <c r="F1076" i="42"/>
  <c r="I1075" i="42"/>
  <c r="F1075" i="42"/>
  <c r="I1074" i="42"/>
  <c r="F1074" i="42"/>
  <c r="I1073" i="42"/>
  <c r="F1073" i="42"/>
  <c r="I1072" i="42"/>
  <c r="F1072" i="42"/>
  <c r="I1071" i="42"/>
  <c r="F1071" i="42"/>
  <c r="I1070" i="42"/>
  <c r="F1070" i="42"/>
  <c r="G1145" i="42"/>
  <c r="F1145" i="42"/>
  <c r="G1144" i="42"/>
  <c r="F1144" i="42"/>
  <c r="G1143" i="42"/>
  <c r="F1143" i="42"/>
  <c r="G1142" i="42"/>
  <c r="F1142" i="42"/>
  <c r="G1141" i="42"/>
  <c r="F1141" i="42"/>
  <c r="G1140" i="42"/>
  <c r="F1140" i="42"/>
  <c r="G1139" i="42"/>
  <c r="F1139" i="42"/>
  <c r="G1138" i="42"/>
  <c r="F1138" i="42"/>
  <c r="G1137" i="42"/>
  <c r="F1137" i="42"/>
  <c r="G1136" i="42"/>
  <c r="F1136" i="42"/>
  <c r="D1127" i="42"/>
  <c r="D1128" i="42" s="1"/>
  <c r="D1129" i="42" s="1"/>
  <c r="D1130" i="42" s="1"/>
  <c r="D1131" i="42" s="1"/>
  <c r="D1132" i="42" s="1"/>
  <c r="D1133" i="42" s="1"/>
  <c r="D1134" i="42" s="1"/>
  <c r="D1135" i="42" s="1"/>
  <c r="D1117" i="42"/>
  <c r="D1118" i="42" s="1"/>
  <c r="D1119" i="42" s="1"/>
  <c r="D1120" i="42" s="1"/>
  <c r="D1121" i="42" s="1"/>
  <c r="D1122" i="42" s="1"/>
  <c r="D1123" i="42" s="1"/>
  <c r="D1124" i="42" s="1"/>
  <c r="D1125" i="42" s="1"/>
  <c r="G1045" i="42"/>
  <c r="F1045" i="42"/>
  <c r="G1044" i="42"/>
  <c r="F1044" i="42"/>
  <c r="G1043" i="42"/>
  <c r="F1043" i="42"/>
  <c r="G1042" i="42"/>
  <c r="F1042" i="42"/>
  <c r="G1041" i="42"/>
  <c r="F1041" i="42"/>
  <c r="G1040" i="42"/>
  <c r="F1040" i="42"/>
  <c r="G1039" i="42"/>
  <c r="F1039" i="42"/>
  <c r="G1038" i="42"/>
  <c r="F1038" i="42"/>
  <c r="G1037" i="42"/>
  <c r="F1037" i="42"/>
  <c r="G1036" i="42"/>
  <c r="F1036" i="42"/>
  <c r="D1027" i="42"/>
  <c r="D1028" i="42" s="1"/>
  <c r="D1029" i="42" s="1"/>
  <c r="D1030" i="42" s="1"/>
  <c r="D1031" i="42" s="1"/>
  <c r="D1032" i="42" s="1"/>
  <c r="D1033" i="42" s="1"/>
  <c r="D1034" i="42" s="1"/>
  <c r="D1035" i="42" s="1"/>
  <c r="D1017" i="42"/>
  <c r="D1018" i="42" s="1"/>
  <c r="D1019" i="42" s="1"/>
  <c r="D1020" i="42" s="1"/>
  <c r="D1021" i="42" s="1"/>
  <c r="D1022" i="42" s="1"/>
  <c r="D1023" i="42" s="1"/>
  <c r="D1024" i="42" s="1"/>
  <c r="D1025" i="42" s="1"/>
  <c r="H1179" i="42"/>
  <c r="G1179" i="42"/>
  <c r="S1159" i="42"/>
  <c r="H1178" i="42"/>
  <c r="G1178" i="42"/>
  <c r="S1158" i="42"/>
  <c r="H1177" i="42"/>
  <c r="G1177" i="42"/>
  <c r="S1157" i="42"/>
  <c r="H1176" i="42"/>
  <c r="G1176" i="42"/>
  <c r="S1156" i="42"/>
  <c r="H1175" i="42"/>
  <c r="G1175" i="42"/>
  <c r="S1155" i="42"/>
  <c r="H1174" i="42"/>
  <c r="G1174" i="42"/>
  <c r="S1154" i="42"/>
  <c r="H1173" i="42"/>
  <c r="G1173" i="42"/>
  <c r="S1153" i="42"/>
  <c r="H1172" i="42"/>
  <c r="G1172" i="42"/>
  <c r="S1152" i="42"/>
  <c r="H1171" i="42"/>
  <c r="G1171" i="42"/>
  <c r="S1151" i="42"/>
  <c r="M1145" i="42"/>
  <c r="H1145" i="42"/>
  <c r="E1169" i="42" s="1"/>
  <c r="E1179" i="42" s="1"/>
  <c r="E1145" i="42"/>
  <c r="M1144" i="42"/>
  <c r="H1144" i="42"/>
  <c r="E1168" i="42" s="1"/>
  <c r="E1144" i="42"/>
  <c r="M1143" i="42"/>
  <c r="H1143" i="42"/>
  <c r="E1167" i="42" s="1"/>
  <c r="E1143" i="42"/>
  <c r="M1142" i="42"/>
  <c r="H1142" i="42"/>
  <c r="E1166" i="42" s="1"/>
  <c r="E1142" i="42"/>
  <c r="M1141" i="42"/>
  <c r="H1141" i="42"/>
  <c r="E1165" i="42" s="1"/>
  <c r="E1175" i="42" s="1"/>
  <c r="E1141" i="42"/>
  <c r="M1140" i="42"/>
  <c r="H1140" i="42"/>
  <c r="E1164" i="42" s="1"/>
  <c r="S1130" i="42"/>
  <c r="M1139" i="42"/>
  <c r="H1139" i="42"/>
  <c r="E1163" i="42" s="1"/>
  <c r="E1139" i="42"/>
  <c r="M1138" i="42"/>
  <c r="H1138" i="42"/>
  <c r="E1162" i="42" s="1"/>
  <c r="E1172" i="42" s="1"/>
  <c r="E1138" i="42"/>
  <c r="M1137" i="42"/>
  <c r="H1137" i="42"/>
  <c r="E1161" i="42" s="1"/>
  <c r="E1137" i="42"/>
  <c r="M1136" i="42"/>
  <c r="H1136" i="42"/>
  <c r="E1160" i="42" s="1"/>
  <c r="E1136" i="42"/>
  <c r="M1045" i="42"/>
  <c r="H1045" i="42"/>
  <c r="E1069" i="42" s="1"/>
  <c r="E1079" i="42" s="1"/>
  <c r="E1045" i="42"/>
  <c r="M1044" i="42"/>
  <c r="H1044" i="42"/>
  <c r="E1068" i="42" s="1"/>
  <c r="E1044" i="42"/>
  <c r="M1043" i="42"/>
  <c r="H1043" i="42"/>
  <c r="E1067" i="42" s="1"/>
  <c r="E1043" i="42"/>
  <c r="M1042" i="42"/>
  <c r="H1042" i="42"/>
  <c r="E1066" i="42" s="1"/>
  <c r="E1042" i="42"/>
  <c r="M1041" i="42"/>
  <c r="H1041" i="42"/>
  <c r="E1065" i="42" s="1"/>
  <c r="E1075" i="42" s="1"/>
  <c r="E1041" i="42"/>
  <c r="M1040" i="42"/>
  <c r="H1040" i="42"/>
  <c r="E1064" i="42" s="1"/>
  <c r="E1040" i="42"/>
  <c r="M1039" i="42"/>
  <c r="H1039" i="42"/>
  <c r="E1063" i="42" s="1"/>
  <c r="E1039" i="42"/>
  <c r="M1038" i="42"/>
  <c r="H1038" i="42"/>
  <c r="E1062" i="42" s="1"/>
  <c r="E1038" i="42"/>
  <c r="M1037" i="42"/>
  <c r="H1037" i="42"/>
  <c r="E1061" i="42" s="1"/>
  <c r="E1037" i="42"/>
  <c r="M1036" i="42"/>
  <c r="H1036" i="42"/>
  <c r="E1060" i="42" s="1"/>
  <c r="E1070" i="42" s="1"/>
  <c r="E1036" i="42"/>
  <c r="E1072" i="42" l="1"/>
  <c r="E1078" i="42"/>
  <c r="E1177" i="42"/>
  <c r="E1176" i="42"/>
  <c r="E1071" i="42"/>
  <c r="E1076" i="42"/>
  <c r="E1171" i="42"/>
  <c r="E1074" i="42"/>
  <c r="E1178" i="42"/>
  <c r="E1073" i="42"/>
  <c r="E1077" i="42"/>
  <c r="E1173" i="42"/>
  <c r="S1164" i="42"/>
  <c r="S1050" i="42"/>
  <c r="S1060" i="42" s="1"/>
  <c r="G1070" i="42"/>
  <c r="H1070" i="42"/>
  <c r="H1071" i="42"/>
  <c r="G1074" i="42"/>
  <c r="S1057" i="42"/>
  <c r="S1067" i="42" s="1"/>
  <c r="H1079" i="42"/>
  <c r="S1052" i="42"/>
  <c r="S1062" i="42" s="1"/>
  <c r="H1074" i="42"/>
  <c r="G1077" i="42"/>
  <c r="S1150" i="42"/>
  <c r="S1160" i="42" s="1"/>
  <c r="G1072" i="42"/>
  <c r="S1055" i="42"/>
  <c r="S1065" i="42" s="1"/>
  <c r="H1077" i="42"/>
  <c r="G1170" i="42"/>
  <c r="H1072" i="42"/>
  <c r="G1075" i="42"/>
  <c r="S1058" i="42"/>
  <c r="S1068" i="42" s="1"/>
  <c r="H1170" i="42"/>
  <c r="S1053" i="42"/>
  <c r="S1063" i="42" s="1"/>
  <c r="H1075" i="42"/>
  <c r="G1078" i="42"/>
  <c r="G1073" i="42"/>
  <c r="S1056" i="42"/>
  <c r="S1066" i="42" s="1"/>
  <c r="H1078" i="42"/>
  <c r="S1051" i="42"/>
  <c r="S1061" i="42" s="1"/>
  <c r="H1073" i="42"/>
  <c r="G1076" i="42"/>
  <c r="S1059" i="42"/>
  <c r="S1069" i="42" s="1"/>
  <c r="G1071" i="42"/>
  <c r="S1054" i="42"/>
  <c r="S1064" i="42" s="1"/>
  <c r="H1076" i="42"/>
  <c r="G1079" i="42"/>
  <c r="S1161" i="42"/>
  <c r="S1169" i="42"/>
  <c r="E1140" i="42"/>
  <c r="S1126" i="42"/>
  <c r="S1167" i="42"/>
  <c r="S1128" i="42"/>
  <c r="S1133" i="42"/>
  <c r="S1162" i="42"/>
  <c r="S1165" i="42"/>
  <c r="S1129" i="42"/>
  <c r="S1168" i="42"/>
  <c r="S1131" i="42"/>
  <c r="S1166" i="42"/>
  <c r="S1132" i="42"/>
  <c r="S1134" i="42"/>
  <c r="S1127" i="42"/>
  <c r="S1135" i="42"/>
  <c r="S1163" i="42"/>
  <c r="E1174" i="42"/>
  <c r="S1034" i="42"/>
  <c r="S1033" i="42"/>
  <c r="S1032" i="42"/>
  <c r="S1031" i="42"/>
  <c r="S1030" i="42"/>
  <c r="S1029" i="42"/>
  <c r="S1026" i="42"/>
  <c r="S1028" i="42"/>
  <c r="S1035" i="42"/>
  <c r="S1027" i="42"/>
  <c r="E1170" i="42" l="1"/>
  <c r="I896" i="42"/>
  <c r="I895" i="42"/>
  <c r="I894" i="42"/>
  <c r="I893" i="42"/>
  <c r="I892" i="42"/>
  <c r="I891" i="42"/>
  <c r="I890" i="42"/>
  <c r="I889" i="42"/>
  <c r="I888" i="42"/>
  <c r="D888" i="42"/>
  <c r="D889" i="42" s="1"/>
  <c r="D890" i="42" s="1"/>
  <c r="D891" i="42" s="1"/>
  <c r="D892" i="42" s="1"/>
  <c r="D893" i="42" s="1"/>
  <c r="D894" i="42" s="1"/>
  <c r="D895" i="42" s="1"/>
  <c r="D896" i="42" s="1"/>
  <c r="I887" i="42"/>
  <c r="H887" i="42"/>
  <c r="F859" i="42"/>
  <c r="G858" i="42"/>
  <c r="E885" i="42" s="1"/>
  <c r="E895" i="42" s="1"/>
  <c r="F858" i="42"/>
  <c r="F857" i="42"/>
  <c r="F856" i="42"/>
  <c r="F855" i="42"/>
  <c r="F854" i="42"/>
  <c r="F853" i="42"/>
  <c r="F852" i="42"/>
  <c r="F851" i="42"/>
  <c r="D851" i="42"/>
  <c r="D852" i="42" s="1"/>
  <c r="D853" i="42" s="1"/>
  <c r="D854" i="42" s="1"/>
  <c r="D855" i="42" s="1"/>
  <c r="D856" i="42" s="1"/>
  <c r="D857" i="42" s="1"/>
  <c r="D858" i="42" s="1"/>
  <c r="D859" i="42" s="1"/>
  <c r="F850" i="42"/>
  <c r="D841" i="42"/>
  <c r="D842" i="42" s="1"/>
  <c r="D843" i="42" s="1"/>
  <c r="D844" i="42" s="1"/>
  <c r="D845" i="42" s="1"/>
  <c r="D846" i="42" s="1"/>
  <c r="D847" i="42" s="1"/>
  <c r="D848" i="42" s="1"/>
  <c r="D849" i="42" s="1"/>
  <c r="D831" i="42"/>
  <c r="D832" i="42" s="1"/>
  <c r="D833" i="42" s="1"/>
  <c r="D834" i="42" s="1"/>
  <c r="D835" i="42" s="1"/>
  <c r="D836" i="42" s="1"/>
  <c r="D837" i="42" s="1"/>
  <c r="D838" i="42" s="1"/>
  <c r="D839" i="42" s="1"/>
  <c r="G671" i="42"/>
  <c r="E698" i="42" s="1"/>
  <c r="E708" i="42" s="1"/>
  <c r="I700" i="42"/>
  <c r="I709" i="42"/>
  <c r="I708" i="42"/>
  <c r="I707" i="42"/>
  <c r="I706" i="42"/>
  <c r="I705" i="42"/>
  <c r="I704" i="42"/>
  <c r="I703" i="42"/>
  <c r="I702" i="42"/>
  <c r="I701" i="42"/>
  <c r="D701" i="42"/>
  <c r="D702" i="42" s="1"/>
  <c r="D703" i="42" s="1"/>
  <c r="D704" i="42" s="1"/>
  <c r="D705" i="42" s="1"/>
  <c r="D706" i="42" s="1"/>
  <c r="D707" i="42" s="1"/>
  <c r="D708" i="42" s="1"/>
  <c r="D709" i="42" s="1"/>
  <c r="H700" i="42"/>
  <c r="F672" i="42"/>
  <c r="F671" i="42"/>
  <c r="F670" i="42"/>
  <c r="F669" i="42"/>
  <c r="F668" i="42"/>
  <c r="F667" i="42"/>
  <c r="F666" i="42"/>
  <c r="F665" i="42"/>
  <c r="F664" i="42"/>
  <c r="F663" i="42"/>
  <c r="D654" i="42"/>
  <c r="D655" i="42" s="1"/>
  <c r="D656" i="42" s="1"/>
  <c r="D657" i="42" s="1"/>
  <c r="D658" i="42" s="1"/>
  <c r="D659" i="42" s="1"/>
  <c r="D660" i="42" s="1"/>
  <c r="D661" i="42" s="1"/>
  <c r="D662" i="42" s="1"/>
  <c r="D644" i="42"/>
  <c r="D645" i="42" s="1"/>
  <c r="D646" i="42" s="1"/>
  <c r="D647" i="42" s="1"/>
  <c r="D648" i="42" s="1"/>
  <c r="D649" i="42" s="1"/>
  <c r="D650" i="42" s="1"/>
  <c r="D651" i="42" s="1"/>
  <c r="D652" i="42" s="1"/>
  <c r="I351" i="42"/>
  <c r="I350" i="42"/>
  <c r="I349" i="42"/>
  <c r="I348" i="42"/>
  <c r="I347" i="42"/>
  <c r="I346" i="42"/>
  <c r="I345" i="42"/>
  <c r="I344" i="42"/>
  <c r="I343" i="42"/>
  <c r="I342" i="42"/>
  <c r="H342" i="42"/>
  <c r="J306" i="42"/>
  <c r="L306" i="42"/>
  <c r="J307" i="42"/>
  <c r="L307" i="42"/>
  <c r="J308" i="42"/>
  <c r="L308" i="42"/>
  <c r="J309" i="42"/>
  <c r="L309" i="42"/>
  <c r="J310" i="42"/>
  <c r="L310" i="42"/>
  <c r="J311" i="42"/>
  <c r="L311" i="42"/>
  <c r="J312" i="42"/>
  <c r="L312" i="42"/>
  <c r="J313" i="42"/>
  <c r="L313" i="42"/>
  <c r="J314" i="42"/>
  <c r="L314" i="42"/>
  <c r="H306" i="42"/>
  <c r="H307" i="42"/>
  <c r="H308" i="42"/>
  <c r="H309" i="42"/>
  <c r="H310" i="42"/>
  <c r="H311" i="42"/>
  <c r="H312" i="42"/>
  <c r="H313" i="42"/>
  <c r="H314" i="42"/>
  <c r="N305" i="42"/>
  <c r="L305" i="42"/>
  <c r="J305" i="42"/>
  <c r="H305" i="42"/>
  <c r="F306" i="42"/>
  <c r="F307" i="42"/>
  <c r="F308" i="42"/>
  <c r="F309" i="42"/>
  <c r="F310" i="42"/>
  <c r="F311" i="42"/>
  <c r="F312" i="42"/>
  <c r="F313" i="42"/>
  <c r="F314" i="42"/>
  <c r="F305" i="42"/>
  <c r="D296" i="42"/>
  <c r="D297" i="42" s="1"/>
  <c r="D298" i="42" s="1"/>
  <c r="D299" i="42" s="1"/>
  <c r="D300" i="42" s="1"/>
  <c r="D301" i="42" s="1"/>
  <c r="D302" i="42" s="1"/>
  <c r="D303" i="42" s="1"/>
  <c r="D304" i="42" s="1"/>
  <c r="D286" i="42"/>
  <c r="D287" i="42" s="1"/>
  <c r="D288" i="42" s="1"/>
  <c r="D289" i="42" s="1"/>
  <c r="D290" i="42" s="1"/>
  <c r="D291" i="42" s="1"/>
  <c r="D292" i="42" s="1"/>
  <c r="D293" i="42" s="1"/>
  <c r="D294" i="42" s="1"/>
  <c r="I114" i="42"/>
  <c r="I113" i="42"/>
  <c r="I112" i="42"/>
  <c r="I111" i="42"/>
  <c r="I110" i="42"/>
  <c r="I109" i="42"/>
  <c r="I108" i="42"/>
  <c r="I107" i="42"/>
  <c r="I106" i="42"/>
  <c r="I105" i="42"/>
  <c r="H105" i="42"/>
  <c r="L77" i="42" l="1"/>
  <c r="K77" i="42"/>
  <c r="J77" i="42"/>
  <c r="H77" i="42"/>
  <c r="F77" i="42"/>
  <c r="L76" i="42"/>
  <c r="K76" i="42"/>
  <c r="J76" i="42"/>
  <c r="H76" i="42"/>
  <c r="F76" i="42"/>
  <c r="L75" i="42"/>
  <c r="K75" i="42"/>
  <c r="J75" i="42"/>
  <c r="H75" i="42"/>
  <c r="F75" i="42"/>
  <c r="L74" i="42"/>
  <c r="K74" i="42"/>
  <c r="J74" i="42"/>
  <c r="H74" i="42"/>
  <c r="F74" i="42"/>
  <c r="L73" i="42"/>
  <c r="K73" i="42"/>
  <c r="J73" i="42"/>
  <c r="H73" i="42"/>
  <c r="F73" i="42"/>
  <c r="L72" i="42"/>
  <c r="K72" i="42"/>
  <c r="J72" i="42"/>
  <c r="H72" i="42"/>
  <c r="F72" i="42"/>
  <c r="L71" i="42"/>
  <c r="K71" i="42"/>
  <c r="J71" i="42"/>
  <c r="H71" i="42"/>
  <c r="F71" i="42"/>
  <c r="L70" i="42"/>
  <c r="K70" i="42"/>
  <c r="J70" i="42"/>
  <c r="H70" i="42"/>
  <c r="F70" i="42"/>
  <c r="L69" i="42"/>
  <c r="K69" i="42"/>
  <c r="J69" i="42"/>
  <c r="H69" i="42"/>
  <c r="F69" i="42"/>
  <c r="N68" i="42"/>
  <c r="L68" i="42"/>
  <c r="K68" i="42"/>
  <c r="J68" i="42"/>
  <c r="H68" i="42"/>
  <c r="F68" i="42"/>
  <c r="D59" i="42"/>
  <c r="D60" i="42" s="1"/>
  <c r="D61" i="42" s="1"/>
  <c r="D62" i="42" s="1"/>
  <c r="D63" i="42" s="1"/>
  <c r="D64" i="42" s="1"/>
  <c r="D65" i="42" s="1"/>
  <c r="D66" i="42" s="1"/>
  <c r="D67" i="42" s="1"/>
  <c r="D49" i="42"/>
  <c r="D50" i="42" s="1"/>
  <c r="D51" i="42" s="1"/>
  <c r="D52" i="42" s="1"/>
  <c r="D53" i="42" s="1"/>
  <c r="D54" i="42" s="1"/>
  <c r="D55" i="42" s="1"/>
  <c r="D56" i="42" s="1"/>
  <c r="D57" i="42" s="1"/>
  <c r="H896" i="42" l="1"/>
  <c r="G896" i="42"/>
  <c r="S876" i="42"/>
  <c r="H895" i="42"/>
  <c r="G895" i="42"/>
  <c r="S875" i="42"/>
  <c r="S885" i="42" s="1"/>
  <c r="H894" i="42"/>
  <c r="G894" i="42"/>
  <c r="S874" i="42"/>
  <c r="H893" i="42"/>
  <c r="G893" i="42"/>
  <c r="S873" i="42"/>
  <c r="H892" i="42"/>
  <c r="G892" i="42"/>
  <c r="S872" i="42"/>
  <c r="H891" i="42"/>
  <c r="G891" i="42"/>
  <c r="S871" i="42"/>
  <c r="H890" i="42"/>
  <c r="G890" i="42"/>
  <c r="S870" i="42"/>
  <c r="H889" i="42"/>
  <c r="G889" i="42"/>
  <c r="S869" i="42"/>
  <c r="H888" i="42"/>
  <c r="G888" i="42"/>
  <c r="S868" i="42"/>
  <c r="G887" i="42"/>
  <c r="F887" i="42"/>
  <c r="S867" i="42"/>
  <c r="M859" i="42"/>
  <c r="G859" i="42"/>
  <c r="E886" i="42" s="1"/>
  <c r="M858" i="42"/>
  <c r="M857" i="42"/>
  <c r="G857" i="42"/>
  <c r="E884" i="42" s="1"/>
  <c r="M856" i="42"/>
  <c r="G856" i="42"/>
  <c r="E883" i="42" s="1"/>
  <c r="M855" i="42"/>
  <c r="G855" i="42"/>
  <c r="E882" i="42" s="1"/>
  <c r="M854" i="42"/>
  <c r="G854" i="42"/>
  <c r="E881" i="42" s="1"/>
  <c r="M853" i="42"/>
  <c r="G853" i="42"/>
  <c r="E880" i="42" s="1"/>
  <c r="M852" i="42"/>
  <c r="G852" i="42"/>
  <c r="E879" i="42" s="1"/>
  <c r="M851" i="42"/>
  <c r="G851" i="42"/>
  <c r="E878" i="42" s="1"/>
  <c r="M850" i="42"/>
  <c r="K830" i="42"/>
  <c r="I830" i="42"/>
  <c r="G850" i="42"/>
  <c r="E877" i="42" s="1"/>
  <c r="H709" i="42"/>
  <c r="G709" i="42"/>
  <c r="S689" i="42"/>
  <c r="H708" i="42"/>
  <c r="G708" i="42"/>
  <c r="S688" i="42"/>
  <c r="S698" i="42" s="1"/>
  <c r="H707" i="42"/>
  <c r="G707" i="42"/>
  <c r="S687" i="42"/>
  <c r="H706" i="42"/>
  <c r="G706" i="42"/>
  <c r="S686" i="42"/>
  <c r="H705" i="42"/>
  <c r="G705" i="42"/>
  <c r="S685" i="42"/>
  <c r="H704" i="42"/>
  <c r="G704" i="42"/>
  <c r="S684" i="42"/>
  <c r="H703" i="42"/>
  <c r="G703" i="42"/>
  <c r="S683" i="42"/>
  <c r="H702" i="42"/>
  <c r="G702" i="42"/>
  <c r="S682" i="42"/>
  <c r="H701" i="42"/>
  <c r="G701" i="42"/>
  <c r="S681" i="42"/>
  <c r="G700" i="42"/>
  <c r="F700" i="42"/>
  <c r="S680" i="42"/>
  <c r="M672" i="42"/>
  <c r="G672" i="42"/>
  <c r="E699" i="42" s="1"/>
  <c r="M671" i="42"/>
  <c r="M670" i="42"/>
  <c r="G670" i="42"/>
  <c r="E697" i="42" s="1"/>
  <c r="M669" i="42"/>
  <c r="G669" i="42"/>
  <c r="E696" i="42" s="1"/>
  <c r="M668" i="42"/>
  <c r="G668" i="42"/>
  <c r="E695" i="42" s="1"/>
  <c r="M667" i="42"/>
  <c r="G667" i="42"/>
  <c r="E694" i="42" s="1"/>
  <c r="M666" i="42"/>
  <c r="G666" i="42"/>
  <c r="E693" i="42" s="1"/>
  <c r="M665" i="42"/>
  <c r="G665" i="42"/>
  <c r="E692" i="42" s="1"/>
  <c r="M664" i="42"/>
  <c r="G664" i="42"/>
  <c r="E691" i="42" s="1"/>
  <c r="M663" i="42"/>
  <c r="G663" i="42"/>
  <c r="E690" i="42" s="1"/>
  <c r="H343" i="42"/>
  <c r="H344" i="42"/>
  <c r="H345" i="42"/>
  <c r="H346" i="42"/>
  <c r="H347" i="42"/>
  <c r="H348" i="42"/>
  <c r="H349" i="42"/>
  <c r="H350" i="42"/>
  <c r="H351" i="42"/>
  <c r="H106" i="42"/>
  <c r="H107" i="42"/>
  <c r="H108" i="42"/>
  <c r="H109" i="42"/>
  <c r="H110" i="42"/>
  <c r="H111" i="42"/>
  <c r="H112" i="42"/>
  <c r="H113" i="42"/>
  <c r="H114" i="42"/>
  <c r="G351" i="42"/>
  <c r="S331" i="42"/>
  <c r="G350" i="42"/>
  <c r="S330" i="42"/>
  <c r="G349" i="42"/>
  <c r="S329" i="42"/>
  <c r="G348" i="42"/>
  <c r="S328" i="42"/>
  <c r="G347" i="42"/>
  <c r="S327" i="42"/>
  <c r="G346" i="42"/>
  <c r="S326" i="42"/>
  <c r="G345" i="42"/>
  <c r="S325" i="42"/>
  <c r="G344" i="42"/>
  <c r="S324" i="42"/>
  <c r="G343" i="42"/>
  <c r="S323" i="42"/>
  <c r="G342" i="42"/>
  <c r="F342" i="42"/>
  <c r="S322" i="42"/>
  <c r="M314" i="42"/>
  <c r="K314" i="42"/>
  <c r="G314" i="42"/>
  <c r="M313" i="42"/>
  <c r="K313" i="42"/>
  <c r="G313" i="42"/>
  <c r="M312" i="42"/>
  <c r="K312" i="42"/>
  <c r="G312" i="42"/>
  <c r="M311" i="42"/>
  <c r="K311" i="42"/>
  <c r="G311" i="42"/>
  <c r="M310" i="42"/>
  <c r="K310" i="42"/>
  <c r="G310" i="42"/>
  <c r="M309" i="42"/>
  <c r="K309" i="42"/>
  <c r="G309" i="42"/>
  <c r="M308" i="42"/>
  <c r="K308" i="42"/>
  <c r="G308" i="42"/>
  <c r="M307" i="42"/>
  <c r="K307" i="42"/>
  <c r="G307" i="42"/>
  <c r="M306" i="42"/>
  <c r="K306" i="42"/>
  <c r="G306" i="42"/>
  <c r="M305" i="42"/>
  <c r="K285" i="42"/>
  <c r="K305" i="42" s="1"/>
  <c r="G305" i="42"/>
  <c r="G114" i="42"/>
  <c r="G113" i="42"/>
  <c r="G112" i="42"/>
  <c r="G111" i="42"/>
  <c r="G110" i="42"/>
  <c r="G109" i="42"/>
  <c r="G108" i="42"/>
  <c r="G107" i="42"/>
  <c r="G106" i="42"/>
  <c r="G105" i="42"/>
  <c r="F105" i="42"/>
  <c r="G77" i="42"/>
  <c r="E104" i="42"/>
  <c r="M77" i="42"/>
  <c r="M76" i="42"/>
  <c r="G76" i="42"/>
  <c r="M75" i="42"/>
  <c r="G75" i="42"/>
  <c r="M74" i="42"/>
  <c r="G74" i="42"/>
  <c r="M73" i="42"/>
  <c r="G73" i="42"/>
  <c r="M72" i="42"/>
  <c r="G72" i="42"/>
  <c r="M71" i="42"/>
  <c r="G71" i="42"/>
  <c r="M70" i="42"/>
  <c r="G70" i="42"/>
  <c r="M69" i="42"/>
  <c r="G69" i="42"/>
  <c r="M68" i="42"/>
  <c r="G68" i="42"/>
  <c r="I72" i="42" l="1"/>
  <c r="E99" i="42" s="1"/>
  <c r="I74" i="42"/>
  <c r="E101" i="42" s="1"/>
  <c r="I308" i="42"/>
  <c r="E335" i="42" s="1"/>
  <c r="I305" i="42"/>
  <c r="E332" i="42" s="1"/>
  <c r="I313" i="42"/>
  <c r="E340" i="42" s="1"/>
  <c r="I314" i="42"/>
  <c r="E341" i="42" s="1"/>
  <c r="I69" i="42"/>
  <c r="E96" i="42" s="1"/>
  <c r="I71" i="42"/>
  <c r="E98" i="42" s="1"/>
  <c r="I73" i="42"/>
  <c r="E100" i="42" s="1"/>
  <c r="I75" i="42"/>
  <c r="E102" i="42" s="1"/>
  <c r="I310" i="42"/>
  <c r="E337" i="42" s="1"/>
  <c r="I68" i="42"/>
  <c r="E95" i="42" s="1"/>
  <c r="I311" i="42"/>
  <c r="E338" i="42" s="1"/>
  <c r="E348" i="42" s="1"/>
  <c r="I307" i="42"/>
  <c r="E334" i="42" s="1"/>
  <c r="I70" i="42"/>
  <c r="E97" i="42" s="1"/>
  <c r="I76" i="42"/>
  <c r="E103" i="42" s="1"/>
  <c r="I306" i="42"/>
  <c r="E333" i="42" s="1"/>
  <c r="I312" i="42"/>
  <c r="E339" i="42" s="1"/>
  <c r="I309" i="42"/>
  <c r="E336" i="42" s="1"/>
  <c r="E887" i="42"/>
  <c r="E700" i="42"/>
  <c r="E890" i="42"/>
  <c r="E702" i="42"/>
  <c r="E889" i="42"/>
  <c r="E703" i="42"/>
  <c r="E709" i="42"/>
  <c r="S690" i="42"/>
  <c r="S879" i="42"/>
  <c r="S881" i="42"/>
  <c r="S883" i="42"/>
  <c r="E309" i="42"/>
  <c r="S299" i="42"/>
  <c r="E670" i="42"/>
  <c r="S660" i="42"/>
  <c r="E852" i="42"/>
  <c r="S842" i="42"/>
  <c r="S877" i="42"/>
  <c r="E76" i="42"/>
  <c r="S66" i="42"/>
  <c r="E314" i="42"/>
  <c r="S304" i="42"/>
  <c r="E667" i="42"/>
  <c r="S657" i="42"/>
  <c r="E857" i="42"/>
  <c r="S847" i="42"/>
  <c r="E312" i="42"/>
  <c r="S302" i="42"/>
  <c r="E665" i="42"/>
  <c r="S655" i="42"/>
  <c r="E306" i="42"/>
  <c r="S296" i="42"/>
  <c r="E75" i="42"/>
  <c r="S65" i="42"/>
  <c r="E311" i="42"/>
  <c r="S301" i="42"/>
  <c r="E664" i="42"/>
  <c r="S654" i="42"/>
  <c r="E672" i="42"/>
  <c r="S662" i="42"/>
  <c r="S691" i="42"/>
  <c r="S693" i="42"/>
  <c r="S695" i="42"/>
  <c r="S697" i="42"/>
  <c r="S699" i="42"/>
  <c r="E854" i="42"/>
  <c r="S844" i="42"/>
  <c r="E70" i="42"/>
  <c r="S60" i="42"/>
  <c r="E72" i="42"/>
  <c r="S62" i="42"/>
  <c r="E308" i="42"/>
  <c r="S298" i="42"/>
  <c r="E669" i="42"/>
  <c r="S659" i="42"/>
  <c r="E851" i="42"/>
  <c r="S841" i="42"/>
  <c r="E859" i="42"/>
  <c r="S849" i="42"/>
  <c r="S878" i="42"/>
  <c r="S880" i="42"/>
  <c r="S882" i="42"/>
  <c r="S884" i="42"/>
  <c r="S886" i="42"/>
  <c r="E855" i="42"/>
  <c r="S845" i="42"/>
  <c r="E77" i="42"/>
  <c r="S67" i="42"/>
  <c r="E305" i="42"/>
  <c r="S295" i="42"/>
  <c r="E313" i="42"/>
  <c r="S303" i="42"/>
  <c r="E666" i="42"/>
  <c r="S656" i="42"/>
  <c r="E856" i="42"/>
  <c r="S846" i="42"/>
  <c r="E73" i="42"/>
  <c r="S63" i="42"/>
  <c r="E69" i="42"/>
  <c r="S59" i="42"/>
  <c r="E74" i="42"/>
  <c r="S64" i="42"/>
  <c r="E310" i="42"/>
  <c r="S300" i="42"/>
  <c r="E663" i="42"/>
  <c r="S653" i="42"/>
  <c r="E671" i="42"/>
  <c r="S661" i="42"/>
  <c r="E853" i="42"/>
  <c r="S843" i="42"/>
  <c r="E68" i="42"/>
  <c r="S58" i="42"/>
  <c r="E71" i="42"/>
  <c r="S61" i="42"/>
  <c r="E307" i="42"/>
  <c r="S297" i="42"/>
  <c r="E668" i="42"/>
  <c r="S658" i="42"/>
  <c r="S692" i="42"/>
  <c r="S694" i="42"/>
  <c r="S696" i="42"/>
  <c r="E850" i="42"/>
  <c r="S840" i="42"/>
  <c r="E858" i="42"/>
  <c r="S848" i="42"/>
  <c r="E892" i="42"/>
  <c r="E894" i="42"/>
  <c r="E896" i="42"/>
  <c r="E707" i="42"/>
  <c r="E705" i="42"/>
  <c r="E704" i="42"/>
  <c r="E706" i="42"/>
  <c r="E891" i="42"/>
  <c r="E701" i="42"/>
  <c r="E888" i="42"/>
  <c r="E893" i="42"/>
  <c r="S338" i="42" l="1"/>
  <c r="E350" i="42"/>
  <c r="S340" i="42"/>
  <c r="E343" i="42"/>
  <c r="S333" i="42"/>
  <c r="S337" i="42"/>
  <c r="E347" i="42"/>
  <c r="E346" i="42"/>
  <c r="S336" i="42"/>
  <c r="E342" i="42"/>
  <c r="S332" i="42"/>
  <c r="S341" i="42"/>
  <c r="E351" i="42"/>
  <c r="E349" i="42"/>
  <c r="S339" i="42"/>
  <c r="E345" i="42"/>
  <c r="S335" i="42"/>
  <c r="S334" i="42"/>
  <c r="E344" i="42"/>
  <c r="F701" i="42"/>
  <c r="F888" i="42"/>
  <c r="F889" i="42" l="1"/>
  <c r="F702" i="42"/>
  <c r="F703" i="42" l="1"/>
  <c r="F890" i="42"/>
  <c r="F891" i="42" l="1"/>
  <c r="F704" i="42"/>
  <c r="S89" i="42" l="1"/>
  <c r="S99" i="42" s="1"/>
  <c r="E109" i="42"/>
  <c r="S90" i="42"/>
  <c r="S100" i="42" s="1"/>
  <c r="E110" i="42"/>
  <c r="S91" i="42"/>
  <c r="S101" i="42" s="1"/>
  <c r="E111" i="42"/>
  <c r="S85" i="42"/>
  <c r="S95" i="42" s="1"/>
  <c r="E105" i="42"/>
  <c r="S92" i="42"/>
  <c r="S102" i="42" s="1"/>
  <c r="E112" i="42"/>
  <c r="S86" i="42"/>
  <c r="S96" i="42" s="1"/>
  <c r="E106" i="42"/>
  <c r="S87" i="42"/>
  <c r="S97" i="42" s="1"/>
  <c r="E107" i="42"/>
  <c r="S88" i="42"/>
  <c r="S98" i="42" s="1"/>
  <c r="E108" i="42"/>
  <c r="E114" i="42"/>
  <c r="S94" i="42"/>
  <c r="S104" i="42" s="1"/>
  <c r="E113" i="42"/>
  <c r="S93" i="42"/>
  <c r="S103" i="42" s="1"/>
  <c r="F705" i="42"/>
  <c r="F892" i="42"/>
  <c r="F344" i="42"/>
  <c r="F343" i="42"/>
  <c r="F106" i="42"/>
  <c r="F706" i="42" l="1"/>
  <c r="F893" i="42"/>
  <c r="F345" i="42"/>
  <c r="F107" i="42"/>
  <c r="F894" i="42" l="1"/>
  <c r="F707" i="42"/>
  <c r="F346" i="42"/>
  <c r="F108" i="42"/>
  <c r="F708" i="42" l="1"/>
  <c r="F709" i="42"/>
  <c r="F896" i="42"/>
  <c r="F895" i="42"/>
  <c r="F347" i="42"/>
  <c r="F109" i="42"/>
  <c r="F348" i="42" l="1"/>
  <c r="F110" i="42"/>
  <c r="F349" i="42" l="1"/>
  <c r="F111" i="42"/>
  <c r="F351" i="42" l="1"/>
  <c r="F350" i="42"/>
  <c r="F112" i="42"/>
  <c r="F114" i="42" l="1"/>
  <c r="F113" i="42"/>
  <c r="I3032" i="37" l="1"/>
  <c r="I3033" i="37"/>
  <c r="I3034" i="37"/>
  <c r="I3035" i="37"/>
  <c r="I3036" i="37"/>
  <c r="I3037" i="37"/>
  <c r="I3038" i="37"/>
  <c r="I3039" i="37"/>
  <c r="I3040" i="37"/>
  <c r="I3031" i="37"/>
  <c r="D3022" i="37"/>
  <c r="D3023" i="37" s="1"/>
  <c r="D3024" i="37" s="1"/>
  <c r="D3025" i="37" s="1"/>
  <c r="D3026" i="37" s="1"/>
  <c r="D3027" i="37" s="1"/>
  <c r="D3028" i="37" s="1"/>
  <c r="D3029" i="37" s="1"/>
  <c r="D3030" i="37" s="1"/>
  <c r="D3012" i="37"/>
  <c r="D3013" i="37" s="1"/>
  <c r="D3014" i="37" s="1"/>
  <c r="D3015" i="37" s="1"/>
  <c r="D3016" i="37" s="1"/>
  <c r="D3017" i="37" s="1"/>
  <c r="D3018" i="37" s="1"/>
  <c r="D3019" i="37" s="1"/>
  <c r="D3020" i="37" s="1"/>
  <c r="I2710" i="37"/>
  <c r="I2711" i="37"/>
  <c r="I2712" i="37"/>
  <c r="I2713" i="37"/>
  <c r="I2714" i="37"/>
  <c r="I2715" i="37"/>
  <c r="I2716" i="37"/>
  <c r="I2717" i="37"/>
  <c r="I2718" i="37"/>
  <c r="I2709" i="37"/>
  <c r="D2700" i="37"/>
  <c r="D2701" i="37" s="1"/>
  <c r="D2702" i="37" s="1"/>
  <c r="D2703" i="37" s="1"/>
  <c r="D2704" i="37" s="1"/>
  <c r="D2705" i="37" s="1"/>
  <c r="D2706" i="37" s="1"/>
  <c r="D2707" i="37" s="1"/>
  <c r="D2708" i="37" s="1"/>
  <c r="D2690" i="37"/>
  <c r="D2691" i="37" s="1"/>
  <c r="D2692" i="37" s="1"/>
  <c r="D2693" i="37" s="1"/>
  <c r="D2694" i="37" s="1"/>
  <c r="D2695" i="37" s="1"/>
  <c r="D2696" i="37" s="1"/>
  <c r="D2697" i="37" s="1"/>
  <c r="D2698" i="37" s="1"/>
  <c r="I2388" i="37"/>
  <c r="I2389" i="37"/>
  <c r="I2390" i="37"/>
  <c r="I2391" i="37"/>
  <c r="I2392" i="37"/>
  <c r="I2393" i="37"/>
  <c r="I2394" i="37"/>
  <c r="I2395" i="37"/>
  <c r="I2396" i="37"/>
  <c r="I2387" i="37"/>
  <c r="D2378" i="37"/>
  <c r="D2379" i="37" s="1"/>
  <c r="D2380" i="37" s="1"/>
  <c r="D2381" i="37" s="1"/>
  <c r="D2382" i="37" s="1"/>
  <c r="D2383" i="37" s="1"/>
  <c r="D2384" i="37" s="1"/>
  <c r="D2385" i="37" s="1"/>
  <c r="D2386" i="37" s="1"/>
  <c r="D2368" i="37"/>
  <c r="D2369" i="37" s="1"/>
  <c r="D2370" i="37" s="1"/>
  <c r="D2371" i="37" s="1"/>
  <c r="D2372" i="37" s="1"/>
  <c r="D2373" i="37" s="1"/>
  <c r="D2374" i="37" s="1"/>
  <c r="D2375" i="37" s="1"/>
  <c r="D2376" i="37" s="1"/>
  <c r="I2066" i="37"/>
  <c r="I2067" i="37"/>
  <c r="I2068" i="37"/>
  <c r="I2069" i="37"/>
  <c r="I2070" i="37"/>
  <c r="I2071" i="37"/>
  <c r="I2072" i="37"/>
  <c r="I2073" i="37"/>
  <c r="I2074" i="37"/>
  <c r="I2065" i="37"/>
  <c r="D2056" i="37"/>
  <c r="D2057" i="37" s="1"/>
  <c r="D2058" i="37" s="1"/>
  <c r="D2059" i="37" s="1"/>
  <c r="D2060" i="37" s="1"/>
  <c r="D2061" i="37" s="1"/>
  <c r="D2062" i="37" s="1"/>
  <c r="D2063" i="37" s="1"/>
  <c r="D2064" i="37" s="1"/>
  <c r="D2046" i="37"/>
  <c r="D2047" i="37" s="1"/>
  <c r="D2048" i="37" s="1"/>
  <c r="D2049" i="37" s="1"/>
  <c r="D2050" i="37" s="1"/>
  <c r="D2051" i="37" s="1"/>
  <c r="D2052" i="37" s="1"/>
  <c r="D2053" i="37" s="1"/>
  <c r="D2054" i="37" s="1"/>
  <c r="I1744" i="37" l="1"/>
  <c r="I1745" i="37"/>
  <c r="I1746" i="37"/>
  <c r="I1747" i="37"/>
  <c r="I1748" i="37"/>
  <c r="I1749" i="37"/>
  <c r="I1750" i="37"/>
  <c r="I1751" i="37"/>
  <c r="I1752" i="37"/>
  <c r="I1743" i="37"/>
  <c r="D1734" i="37"/>
  <c r="D1735" i="37" s="1"/>
  <c r="D1736" i="37" s="1"/>
  <c r="D1737" i="37" s="1"/>
  <c r="D1738" i="37" s="1"/>
  <c r="D1739" i="37" s="1"/>
  <c r="D1740" i="37" s="1"/>
  <c r="D1741" i="37" s="1"/>
  <c r="D1742" i="37" s="1"/>
  <c r="D1724" i="37"/>
  <c r="D1725" i="37" s="1"/>
  <c r="D1726" i="37" s="1"/>
  <c r="D1727" i="37" s="1"/>
  <c r="D1728" i="37" s="1"/>
  <c r="D1729" i="37" s="1"/>
  <c r="D1730" i="37" s="1"/>
  <c r="D1731" i="37" s="1"/>
  <c r="D1732" i="37" s="1"/>
  <c r="I1422" i="37"/>
  <c r="I1423" i="37"/>
  <c r="I1424" i="37"/>
  <c r="I1425" i="37"/>
  <c r="I1426" i="37"/>
  <c r="I1427" i="37"/>
  <c r="I1428" i="37"/>
  <c r="I1429" i="37"/>
  <c r="I1430" i="37"/>
  <c r="I1421" i="37"/>
  <c r="D1412" i="37"/>
  <c r="D1413" i="37" s="1"/>
  <c r="D1414" i="37" s="1"/>
  <c r="D1415" i="37" s="1"/>
  <c r="D1416" i="37" s="1"/>
  <c r="D1417" i="37" s="1"/>
  <c r="D1418" i="37" s="1"/>
  <c r="D1419" i="37" s="1"/>
  <c r="D1420" i="37" s="1"/>
  <c r="D1402" i="37"/>
  <c r="D1403" i="37" s="1"/>
  <c r="D1404" i="37" s="1"/>
  <c r="D1405" i="37" s="1"/>
  <c r="D1406" i="37" s="1"/>
  <c r="D1407" i="37" s="1"/>
  <c r="D1408" i="37" s="1"/>
  <c r="D1409" i="37" s="1"/>
  <c r="D1410" i="37" s="1"/>
  <c r="I1100" i="37"/>
  <c r="I1101" i="37"/>
  <c r="I1102" i="37"/>
  <c r="I1103" i="37"/>
  <c r="I1104" i="37"/>
  <c r="I1105" i="37"/>
  <c r="I1106" i="37"/>
  <c r="I1107" i="37"/>
  <c r="I1108" i="37"/>
  <c r="I1099" i="37"/>
  <c r="D1090" i="37"/>
  <c r="D1091" i="37" s="1"/>
  <c r="D1092" i="37" s="1"/>
  <c r="D1093" i="37" s="1"/>
  <c r="D1094" i="37" s="1"/>
  <c r="D1095" i="37" s="1"/>
  <c r="D1096" i="37" s="1"/>
  <c r="D1097" i="37" s="1"/>
  <c r="D1098" i="37" s="1"/>
  <c r="D1080" i="37"/>
  <c r="D1081" i="37" s="1"/>
  <c r="D1082" i="37" s="1"/>
  <c r="D1083" i="37" s="1"/>
  <c r="D1084" i="37" s="1"/>
  <c r="D1085" i="37" s="1"/>
  <c r="D1086" i="37" s="1"/>
  <c r="D1087" i="37" s="1"/>
  <c r="D1088" i="37" s="1"/>
  <c r="I778" i="37"/>
  <c r="I779" i="37"/>
  <c r="I780" i="37"/>
  <c r="I781" i="37"/>
  <c r="I782" i="37"/>
  <c r="I783" i="37"/>
  <c r="I784" i="37"/>
  <c r="I785" i="37"/>
  <c r="I786" i="37"/>
  <c r="I777" i="37"/>
  <c r="D768" i="37"/>
  <c r="D769" i="37" s="1"/>
  <c r="D770" i="37" s="1"/>
  <c r="D771" i="37" s="1"/>
  <c r="D772" i="37" s="1"/>
  <c r="D773" i="37" s="1"/>
  <c r="D774" i="37" s="1"/>
  <c r="D775" i="37" s="1"/>
  <c r="D776" i="37" s="1"/>
  <c r="D758" i="37"/>
  <c r="D759" i="37" s="1"/>
  <c r="D760" i="37" s="1"/>
  <c r="D761" i="37" s="1"/>
  <c r="D762" i="37" s="1"/>
  <c r="D763" i="37" s="1"/>
  <c r="D764" i="37" s="1"/>
  <c r="D765" i="37" s="1"/>
  <c r="D766" i="37" s="1"/>
  <c r="I456" i="37"/>
  <c r="I457" i="37"/>
  <c r="I458" i="37"/>
  <c r="I459" i="37"/>
  <c r="I460" i="37"/>
  <c r="I461" i="37"/>
  <c r="I462" i="37"/>
  <c r="I463" i="37"/>
  <c r="I464" i="37"/>
  <c r="I455" i="37"/>
  <c r="D446" i="37"/>
  <c r="D447" i="37" s="1"/>
  <c r="D448" i="37" s="1"/>
  <c r="D449" i="37" s="1"/>
  <c r="D450" i="37" s="1"/>
  <c r="D451" i="37" s="1"/>
  <c r="D452" i="37" s="1"/>
  <c r="D453" i="37" s="1"/>
  <c r="D454" i="37" s="1"/>
  <c r="D436" i="37"/>
  <c r="D437" i="37" s="1"/>
  <c r="D438" i="37" s="1"/>
  <c r="D439" i="37" s="1"/>
  <c r="D440" i="37" s="1"/>
  <c r="D441" i="37" s="1"/>
  <c r="D442" i="37" s="1"/>
  <c r="D443" i="37" s="1"/>
  <c r="D444" i="37" s="1"/>
  <c r="F3032" i="37" l="1"/>
  <c r="G3032" i="37"/>
  <c r="H3032" i="37"/>
  <c r="F3033" i="37"/>
  <c r="G3033" i="37"/>
  <c r="H3033" i="37"/>
  <c r="F3034" i="37"/>
  <c r="G3034" i="37"/>
  <c r="H3034" i="37"/>
  <c r="F3035" i="37"/>
  <c r="G3035" i="37"/>
  <c r="H3035" i="37"/>
  <c r="F3036" i="37"/>
  <c r="G3036" i="37"/>
  <c r="H3036" i="37"/>
  <c r="F3037" i="37"/>
  <c r="G3037" i="37"/>
  <c r="H3037" i="37"/>
  <c r="F3038" i="37"/>
  <c r="G3038" i="37"/>
  <c r="H3038" i="37"/>
  <c r="F3039" i="37"/>
  <c r="G3039" i="37"/>
  <c r="H3039" i="37"/>
  <c r="F3040" i="37"/>
  <c r="G3040" i="37"/>
  <c r="H3040" i="37"/>
  <c r="H3031" i="37"/>
  <c r="F3031" i="37"/>
  <c r="G3031" i="37"/>
  <c r="F2710" i="37"/>
  <c r="G2710" i="37"/>
  <c r="H2710" i="37"/>
  <c r="F2711" i="37"/>
  <c r="G2711" i="37"/>
  <c r="H2711" i="37"/>
  <c r="F2712" i="37"/>
  <c r="G2712" i="37"/>
  <c r="H2712" i="37"/>
  <c r="F2713" i="37"/>
  <c r="G2713" i="37"/>
  <c r="H2713" i="37"/>
  <c r="F2714" i="37"/>
  <c r="G2714" i="37"/>
  <c r="H2714" i="37"/>
  <c r="F2715" i="37"/>
  <c r="G2715" i="37"/>
  <c r="H2715" i="37"/>
  <c r="F2716" i="37"/>
  <c r="G2716" i="37"/>
  <c r="H2716" i="37"/>
  <c r="F2717" i="37"/>
  <c r="G2717" i="37"/>
  <c r="H2717" i="37"/>
  <c r="F2718" i="37"/>
  <c r="G2718" i="37"/>
  <c r="H2718" i="37"/>
  <c r="H2709" i="37"/>
  <c r="F2709" i="37"/>
  <c r="G2709" i="37"/>
  <c r="F2388" i="37"/>
  <c r="G2388" i="37"/>
  <c r="H2388" i="37"/>
  <c r="F2389" i="37"/>
  <c r="G2389" i="37"/>
  <c r="H2389" i="37"/>
  <c r="F2390" i="37"/>
  <c r="G2390" i="37"/>
  <c r="H2390" i="37"/>
  <c r="F2391" i="37"/>
  <c r="G2391" i="37"/>
  <c r="H2391" i="37"/>
  <c r="F2392" i="37"/>
  <c r="G2392" i="37"/>
  <c r="H2392" i="37"/>
  <c r="F2393" i="37"/>
  <c r="G2393" i="37"/>
  <c r="H2393" i="37"/>
  <c r="F2394" i="37"/>
  <c r="G2394" i="37"/>
  <c r="H2394" i="37"/>
  <c r="F2395" i="37"/>
  <c r="G2395" i="37"/>
  <c r="H2395" i="37"/>
  <c r="F2396" i="37"/>
  <c r="G2396" i="37"/>
  <c r="H2396" i="37"/>
  <c r="H2387" i="37"/>
  <c r="F2387" i="37"/>
  <c r="G2387" i="37"/>
  <c r="F2066" i="37"/>
  <c r="G2066" i="37"/>
  <c r="H2066" i="37"/>
  <c r="F2067" i="37"/>
  <c r="G2067" i="37"/>
  <c r="H2067" i="37"/>
  <c r="F2068" i="37"/>
  <c r="G2068" i="37"/>
  <c r="H2068" i="37"/>
  <c r="F2069" i="37"/>
  <c r="G2069" i="37"/>
  <c r="H2069" i="37"/>
  <c r="F2070" i="37"/>
  <c r="G2070" i="37"/>
  <c r="H2070" i="37"/>
  <c r="F2071" i="37"/>
  <c r="G2071" i="37"/>
  <c r="H2071" i="37"/>
  <c r="F2072" i="37"/>
  <c r="G2072" i="37"/>
  <c r="H2072" i="37"/>
  <c r="F2073" i="37"/>
  <c r="G2073" i="37"/>
  <c r="H2073" i="37"/>
  <c r="F2074" i="37"/>
  <c r="G2074" i="37"/>
  <c r="H2074" i="37"/>
  <c r="H2065" i="37"/>
  <c r="F2065" i="37"/>
  <c r="G2065" i="37"/>
  <c r="F1744" i="37"/>
  <c r="G1744" i="37"/>
  <c r="H1744" i="37"/>
  <c r="F1745" i="37"/>
  <c r="G1745" i="37"/>
  <c r="H1745" i="37"/>
  <c r="F1746" i="37"/>
  <c r="G1746" i="37"/>
  <c r="H1746" i="37"/>
  <c r="F1747" i="37"/>
  <c r="G1747" i="37"/>
  <c r="H1747" i="37"/>
  <c r="F1748" i="37"/>
  <c r="G1748" i="37"/>
  <c r="H1748" i="37"/>
  <c r="F1749" i="37"/>
  <c r="G1749" i="37"/>
  <c r="H1749" i="37"/>
  <c r="F1750" i="37"/>
  <c r="G1750" i="37"/>
  <c r="H1750" i="37"/>
  <c r="F1751" i="37"/>
  <c r="G1751" i="37"/>
  <c r="H1751" i="37"/>
  <c r="F1752" i="37"/>
  <c r="G1752" i="37"/>
  <c r="H1752" i="37"/>
  <c r="H1743" i="37"/>
  <c r="F1743" i="37"/>
  <c r="G1743" i="37"/>
  <c r="F1422" i="37"/>
  <c r="G1422" i="37"/>
  <c r="H1422" i="37"/>
  <c r="F1423" i="37"/>
  <c r="G1423" i="37"/>
  <c r="H1423" i="37"/>
  <c r="F1424" i="37"/>
  <c r="G1424" i="37"/>
  <c r="H1424" i="37"/>
  <c r="F1425" i="37"/>
  <c r="G1425" i="37"/>
  <c r="H1425" i="37"/>
  <c r="F1426" i="37"/>
  <c r="G1426" i="37"/>
  <c r="H1426" i="37"/>
  <c r="F1427" i="37"/>
  <c r="G1427" i="37"/>
  <c r="H1427" i="37"/>
  <c r="F1428" i="37"/>
  <c r="G1428" i="37"/>
  <c r="H1428" i="37"/>
  <c r="F1429" i="37"/>
  <c r="G1429" i="37"/>
  <c r="H1429" i="37"/>
  <c r="F1430" i="37"/>
  <c r="G1430" i="37"/>
  <c r="H1430" i="37"/>
  <c r="H1421" i="37"/>
  <c r="F1421" i="37"/>
  <c r="G1421" i="37"/>
  <c r="F1100" i="37"/>
  <c r="G1100" i="37"/>
  <c r="H1100" i="37"/>
  <c r="F1101" i="37"/>
  <c r="G1101" i="37"/>
  <c r="H1101" i="37"/>
  <c r="F1102" i="37"/>
  <c r="G1102" i="37"/>
  <c r="H1102" i="37"/>
  <c r="F1103" i="37"/>
  <c r="G1103" i="37"/>
  <c r="H1103" i="37"/>
  <c r="F1104" i="37"/>
  <c r="G1104" i="37"/>
  <c r="H1104" i="37"/>
  <c r="F1105" i="37"/>
  <c r="G1105" i="37"/>
  <c r="H1105" i="37"/>
  <c r="F1106" i="37"/>
  <c r="G1106" i="37"/>
  <c r="H1106" i="37"/>
  <c r="F1107" i="37"/>
  <c r="G1107" i="37"/>
  <c r="H1107" i="37"/>
  <c r="F1108" i="37"/>
  <c r="G1108" i="37"/>
  <c r="H1108" i="37"/>
  <c r="H1099" i="37"/>
  <c r="F1099" i="37"/>
  <c r="G1099" i="37"/>
  <c r="F778" i="37"/>
  <c r="G778" i="37"/>
  <c r="H778" i="37"/>
  <c r="F779" i="37"/>
  <c r="G779" i="37"/>
  <c r="H779" i="37"/>
  <c r="F780" i="37"/>
  <c r="G780" i="37"/>
  <c r="H780" i="37"/>
  <c r="F781" i="37"/>
  <c r="G781" i="37"/>
  <c r="H781" i="37"/>
  <c r="F782" i="37"/>
  <c r="G782" i="37"/>
  <c r="H782" i="37"/>
  <c r="F783" i="37"/>
  <c r="G783" i="37"/>
  <c r="H783" i="37"/>
  <c r="F784" i="37"/>
  <c r="G784" i="37"/>
  <c r="H784" i="37"/>
  <c r="F785" i="37"/>
  <c r="G785" i="37"/>
  <c r="H785" i="37"/>
  <c r="F786" i="37"/>
  <c r="G786" i="37"/>
  <c r="H786" i="37"/>
  <c r="H777" i="37"/>
  <c r="F777" i="37"/>
  <c r="G777" i="37"/>
  <c r="H464" i="37"/>
  <c r="G464" i="37"/>
  <c r="F464" i="37"/>
  <c r="H463" i="37"/>
  <c r="G463" i="37"/>
  <c r="F463" i="37"/>
  <c r="H462" i="37"/>
  <c r="G462" i="37"/>
  <c r="F462" i="37"/>
  <c r="H461" i="37"/>
  <c r="G461" i="37"/>
  <c r="F461" i="37"/>
  <c r="H460" i="37"/>
  <c r="G460" i="37"/>
  <c r="F460" i="37"/>
  <c r="H459" i="37"/>
  <c r="G459" i="37"/>
  <c r="F459" i="37"/>
  <c r="H458" i="37"/>
  <c r="G458" i="37"/>
  <c r="F458" i="37"/>
  <c r="H457" i="37"/>
  <c r="G457" i="37"/>
  <c r="F457" i="37"/>
  <c r="H456" i="37"/>
  <c r="G456" i="37"/>
  <c r="F456" i="37"/>
  <c r="H455" i="37"/>
  <c r="F455" i="37"/>
  <c r="G455" i="37"/>
  <c r="S114" i="37"/>
  <c r="S124" i="37" s="1"/>
  <c r="S115" i="37"/>
  <c r="S125" i="37" s="1"/>
  <c r="S116" i="37"/>
  <c r="S126" i="37" s="1"/>
  <c r="S117" i="37"/>
  <c r="S127" i="37" s="1"/>
  <c r="S118" i="37"/>
  <c r="S128" i="37" s="1"/>
  <c r="S119" i="37"/>
  <c r="S129" i="37" s="1"/>
  <c r="S120" i="37"/>
  <c r="S130" i="37" s="1"/>
  <c r="S121" i="37"/>
  <c r="S131" i="37" s="1"/>
  <c r="S122" i="37"/>
  <c r="S132" i="37" s="1"/>
  <c r="S113" i="37"/>
  <c r="S123" i="37" s="1"/>
  <c r="S2372" i="37" l="1"/>
  <c r="S2382" i="37" s="1"/>
  <c r="S2694" i="37"/>
  <c r="S2704" i="37" s="1"/>
  <c r="S3016" i="37"/>
  <c r="S3026" i="37" s="1"/>
  <c r="S440" i="37"/>
  <c r="S450" i="37" s="1"/>
  <c r="S765" i="37"/>
  <c r="S775" i="37" s="1"/>
  <c r="S1082" i="37"/>
  <c r="S1092" i="37" s="1"/>
  <c r="S1407" i="37"/>
  <c r="S1417" i="37" s="1"/>
  <c r="S1732" i="37"/>
  <c r="S1742" i="37" s="1"/>
  <c r="S1724" i="37"/>
  <c r="S1734" i="37" s="1"/>
  <c r="S2049" i="37"/>
  <c r="S2059" i="37" s="1"/>
  <c r="S2374" i="37"/>
  <c r="S2384" i="37" s="1"/>
  <c r="S2697" i="37"/>
  <c r="S2707" i="37" s="1"/>
  <c r="S3020" i="37"/>
  <c r="S3030" i="37" s="1"/>
  <c r="S3012" i="37"/>
  <c r="S3022" i="37" s="1"/>
  <c r="S441" i="37"/>
  <c r="S451" i="37" s="1"/>
  <c r="S764" i="37"/>
  <c r="S774" i="37" s="1"/>
  <c r="S1079" i="37"/>
  <c r="S1089" i="37" s="1"/>
  <c r="S1081" i="37"/>
  <c r="S1091" i="37" s="1"/>
  <c r="S1406" i="37"/>
  <c r="S1416" i="37" s="1"/>
  <c r="S1731" i="37"/>
  <c r="S1741" i="37" s="1"/>
  <c r="S2048" i="37"/>
  <c r="S2058" i="37" s="1"/>
  <c r="S2373" i="37"/>
  <c r="S2383" i="37" s="1"/>
  <c r="S2696" i="37"/>
  <c r="S2706" i="37" s="1"/>
  <c r="S3019" i="37"/>
  <c r="S3029" i="37" s="1"/>
  <c r="S442" i="37"/>
  <c r="S452" i="37" s="1"/>
  <c r="S763" i="37"/>
  <c r="S773" i="37" s="1"/>
  <c r="S1088" i="37"/>
  <c r="S1098" i="37" s="1"/>
  <c r="S1080" i="37"/>
  <c r="S1090" i="37" s="1"/>
  <c r="S1405" i="37"/>
  <c r="S1415" i="37" s="1"/>
  <c r="S1730" i="37"/>
  <c r="S1740" i="37" s="1"/>
  <c r="S2045" i="37"/>
  <c r="S2055" i="37" s="1"/>
  <c r="S2047" i="37"/>
  <c r="S2057" i="37" s="1"/>
  <c r="S2695" i="37"/>
  <c r="S2705" i="37" s="1"/>
  <c r="S3018" i="37"/>
  <c r="S3028" i="37" s="1"/>
  <c r="S435" i="37"/>
  <c r="S445" i="37" s="1"/>
  <c r="S443" i="37"/>
  <c r="S453" i="37" s="1"/>
  <c r="S762" i="37"/>
  <c r="S772" i="37" s="1"/>
  <c r="S1087" i="37"/>
  <c r="S1097" i="37" s="1"/>
  <c r="S1404" i="37"/>
  <c r="S1414" i="37" s="1"/>
  <c r="S1729" i="37"/>
  <c r="S1739" i="37" s="1"/>
  <c r="S2054" i="37"/>
  <c r="S2064" i="37" s="1"/>
  <c r="S2046" i="37"/>
  <c r="S2056" i="37" s="1"/>
  <c r="S2371" i="37"/>
  <c r="S2381" i="37" s="1"/>
  <c r="S3017" i="37"/>
  <c r="S3027" i="37" s="1"/>
  <c r="S436" i="37"/>
  <c r="S446" i="37" s="1"/>
  <c r="S444" i="37"/>
  <c r="S454" i="37" s="1"/>
  <c r="S761" i="37"/>
  <c r="S771" i="37" s="1"/>
  <c r="S1086" i="37"/>
  <c r="S1096" i="37" s="1"/>
  <c r="S1401" i="37"/>
  <c r="S1411" i="37" s="1"/>
  <c r="S1403" i="37"/>
  <c r="S1413" i="37" s="1"/>
  <c r="S1728" i="37"/>
  <c r="S1738" i="37" s="1"/>
  <c r="S2053" i="37"/>
  <c r="S2063" i="37" s="1"/>
  <c r="S2370" i="37"/>
  <c r="S2380" i="37" s="1"/>
  <c r="S2693" i="37"/>
  <c r="S2703" i="37" s="1"/>
  <c r="S437" i="37"/>
  <c r="S447" i="37" s="1"/>
  <c r="S760" i="37"/>
  <c r="S770" i="37" s="1"/>
  <c r="S1085" i="37"/>
  <c r="S1095" i="37" s="1"/>
  <c r="S1410" i="37"/>
  <c r="S1420" i="37" s="1"/>
  <c r="S1402" i="37"/>
  <c r="S1412" i="37" s="1"/>
  <c r="S1727" i="37"/>
  <c r="S1737" i="37" s="1"/>
  <c r="S2052" i="37"/>
  <c r="S2062" i="37" s="1"/>
  <c r="S2367" i="37"/>
  <c r="S2377" i="37" s="1"/>
  <c r="S2369" i="37"/>
  <c r="S2379" i="37" s="1"/>
  <c r="S2692" i="37"/>
  <c r="S2702" i="37" s="1"/>
  <c r="S3015" i="37"/>
  <c r="S3025" i="37" s="1"/>
  <c r="S438" i="37"/>
  <c r="S448" i="37" s="1"/>
  <c r="S757" i="37"/>
  <c r="S767" i="37" s="1"/>
  <c r="S759" i="37"/>
  <c r="S769" i="37" s="1"/>
  <c r="S1084" i="37"/>
  <c r="S1094" i="37" s="1"/>
  <c r="S1409" i="37"/>
  <c r="S1419" i="37" s="1"/>
  <c r="S1726" i="37"/>
  <c r="S1736" i="37" s="1"/>
  <c r="S2051" i="37"/>
  <c r="S2061" i="37" s="1"/>
  <c r="S2376" i="37"/>
  <c r="S2386" i="37" s="1"/>
  <c r="S2368" i="37"/>
  <c r="S2378" i="37" s="1"/>
  <c r="S2689" i="37"/>
  <c r="S2699" i="37" s="1"/>
  <c r="S2691" i="37"/>
  <c r="S2701" i="37" s="1"/>
  <c r="S3014" i="37"/>
  <c r="S3024" i="37" s="1"/>
  <c r="S439" i="37"/>
  <c r="S449" i="37" s="1"/>
  <c r="S766" i="37"/>
  <c r="S776" i="37" s="1"/>
  <c r="S758" i="37"/>
  <c r="S768" i="37" s="1"/>
  <c r="S1083" i="37"/>
  <c r="S1093" i="37" s="1"/>
  <c r="S1408" i="37"/>
  <c r="S1418" i="37" s="1"/>
  <c r="S1723" i="37"/>
  <c r="S1733" i="37" s="1"/>
  <c r="S1725" i="37"/>
  <c r="S1735" i="37" s="1"/>
  <c r="S2050" i="37"/>
  <c r="S2060" i="37" s="1"/>
  <c r="S2375" i="37"/>
  <c r="S2385" i="37" s="1"/>
  <c r="S2698" i="37"/>
  <c r="S2708" i="37" s="1"/>
  <c r="S2690" i="37"/>
  <c r="S2700" i="37" s="1"/>
  <c r="S3011" i="37"/>
  <c r="S3021" i="37" s="1"/>
  <c r="S3013" i="37"/>
  <c r="S3023" i="37" s="1"/>
  <c r="E134" i="37" l="1"/>
  <c r="F134" i="37"/>
  <c r="G134" i="37"/>
  <c r="H134" i="37"/>
  <c r="I134" i="37"/>
  <c r="E135" i="37"/>
  <c r="F135" i="37"/>
  <c r="G135" i="37"/>
  <c r="H135" i="37"/>
  <c r="I135" i="37"/>
  <c r="E136" i="37"/>
  <c r="F136" i="37"/>
  <c r="G136" i="37"/>
  <c r="H136" i="37"/>
  <c r="I136" i="37"/>
  <c r="E137" i="37"/>
  <c r="F137" i="37"/>
  <c r="G137" i="37"/>
  <c r="H137" i="37"/>
  <c r="I137" i="37"/>
  <c r="E138" i="37"/>
  <c r="F138" i="37"/>
  <c r="G138" i="37"/>
  <c r="H138" i="37"/>
  <c r="I138" i="37"/>
  <c r="E139" i="37"/>
  <c r="F139" i="37"/>
  <c r="G139" i="37"/>
  <c r="H139" i="37"/>
  <c r="I139" i="37"/>
  <c r="E140" i="37"/>
  <c r="F140" i="37"/>
  <c r="G140" i="37"/>
  <c r="H140" i="37"/>
  <c r="I140" i="37"/>
  <c r="E141" i="37"/>
  <c r="F141" i="37"/>
  <c r="G141" i="37"/>
  <c r="H141" i="37"/>
  <c r="I141" i="37"/>
  <c r="E142" i="37"/>
  <c r="F142" i="37"/>
  <c r="G142" i="37"/>
  <c r="H142" i="37"/>
  <c r="I142" i="37"/>
  <c r="F133" i="37"/>
  <c r="G133" i="37"/>
  <c r="H133" i="37"/>
  <c r="I133" i="37"/>
  <c r="E133" i="37"/>
  <c r="D124" i="37"/>
  <c r="D125" i="37" s="1"/>
  <c r="D126" i="37" s="1"/>
  <c r="D127" i="37" s="1"/>
  <c r="D128" i="37" s="1"/>
  <c r="D129" i="37" s="1"/>
  <c r="D130" i="37" s="1"/>
  <c r="D131" i="37" s="1"/>
  <c r="D132" i="37" s="1"/>
  <c r="D114" i="37"/>
  <c r="D115" i="37" s="1"/>
  <c r="D116" i="37" s="1"/>
  <c r="D117" i="37" s="1"/>
  <c r="D118" i="37" s="1"/>
  <c r="D119" i="37" s="1"/>
  <c r="D120" i="37" s="1"/>
  <c r="D121" i="37" s="1"/>
  <c r="D122" i="37" s="1"/>
  <c r="C2590" i="50"/>
  <c r="C2591" i="50" s="1"/>
  <c r="C2592" i="50" s="1"/>
  <c r="C2593" i="50" s="1"/>
  <c r="C2594" i="50" s="1"/>
  <c r="C2595" i="50" s="1"/>
  <c r="C2596" i="50" s="1"/>
  <c r="C2597" i="50" s="1"/>
  <c r="C2598" i="50" s="1"/>
  <c r="C2599" i="50" s="1"/>
  <c r="C2600" i="50" s="1"/>
  <c r="C2601" i="50" s="1"/>
  <c r="C2602" i="50" s="1"/>
  <c r="C2603" i="50" s="1"/>
  <c r="C2604" i="50" s="1"/>
  <c r="V76" i="62"/>
  <c r="V77" i="62"/>
  <c r="V78" i="62"/>
  <c r="V79" i="62"/>
  <c r="V80" i="62"/>
  <c r="V81" i="62"/>
  <c r="V82" i="62"/>
  <c r="V83" i="62"/>
  <c r="V84" i="62"/>
  <c r="V85" i="62"/>
  <c r="V86" i="62"/>
  <c r="V87" i="62"/>
  <c r="V88" i="62"/>
  <c r="V89" i="62"/>
  <c r="V90" i="62"/>
  <c r="V91" i="62"/>
  <c r="V75" i="62"/>
  <c r="P2629" i="50" l="1"/>
  <c r="I2629" i="50" s="1"/>
  <c r="I2652" i="50" s="1"/>
  <c r="S2629" i="50"/>
  <c r="T2629" i="50"/>
  <c r="Q2629" i="50"/>
  <c r="U2629" i="50"/>
  <c r="R2629" i="50"/>
  <c r="AC90" i="62"/>
  <c r="S2627" i="50"/>
  <c r="T2627" i="50"/>
  <c r="U2627" i="50"/>
  <c r="R2627" i="50"/>
  <c r="P2627" i="50"/>
  <c r="I2627" i="50" s="1"/>
  <c r="Q2627" i="50"/>
  <c r="AC88" i="62"/>
  <c r="P2619" i="50"/>
  <c r="I2619" i="50" s="1"/>
  <c r="T2619" i="50"/>
  <c r="Q2619" i="50"/>
  <c r="S2619" i="50"/>
  <c r="U2619" i="50"/>
  <c r="R2619" i="50"/>
  <c r="AC80" i="62"/>
  <c r="Q2626" i="50"/>
  <c r="R2626" i="50"/>
  <c r="S2626" i="50"/>
  <c r="T2626" i="50"/>
  <c r="U2626" i="50"/>
  <c r="P2626" i="50"/>
  <c r="I2626" i="50" s="1"/>
  <c r="I2649" i="50" s="1"/>
  <c r="AC87" i="62"/>
  <c r="P2625" i="50"/>
  <c r="I2625" i="50" s="1"/>
  <c r="I2648" i="50" s="1"/>
  <c r="T2625" i="50"/>
  <c r="Q2625" i="50"/>
  <c r="S2625" i="50"/>
  <c r="U2625" i="50"/>
  <c r="R2625" i="50"/>
  <c r="AC86" i="62"/>
  <c r="U2624" i="50"/>
  <c r="S2624" i="50"/>
  <c r="T2624" i="50"/>
  <c r="P2624" i="50"/>
  <c r="I2624" i="50" s="1"/>
  <c r="Q2624" i="50"/>
  <c r="R2624" i="50"/>
  <c r="AC85" i="62"/>
  <c r="U2616" i="50"/>
  <c r="S2616" i="50"/>
  <c r="Q2616" i="50"/>
  <c r="T2616" i="50"/>
  <c r="P2616" i="50"/>
  <c r="I2616" i="50" s="1"/>
  <c r="R2616" i="50"/>
  <c r="AC77" i="62"/>
  <c r="S2621" i="50"/>
  <c r="T2621" i="50"/>
  <c r="P2621" i="50"/>
  <c r="I2621" i="50" s="1"/>
  <c r="U2621" i="50"/>
  <c r="R2621" i="50"/>
  <c r="Q2621" i="50"/>
  <c r="AC82" i="62"/>
  <c r="U2628" i="50"/>
  <c r="R2628" i="50"/>
  <c r="S2628" i="50"/>
  <c r="T2628" i="50"/>
  <c r="Q2628" i="50"/>
  <c r="P2628" i="50"/>
  <c r="I2628" i="50" s="1"/>
  <c r="I2651" i="50" s="1"/>
  <c r="AC89" i="62"/>
  <c r="S2615" i="50"/>
  <c r="P2615" i="50"/>
  <c r="I2615" i="50" s="1"/>
  <c r="T2615" i="50"/>
  <c r="U2615" i="50"/>
  <c r="Q2615" i="50"/>
  <c r="R2615" i="50"/>
  <c r="AC76" i="62"/>
  <c r="Q2620" i="50"/>
  <c r="R2620" i="50"/>
  <c r="S2620" i="50"/>
  <c r="U2620" i="50"/>
  <c r="T2620" i="50"/>
  <c r="P2620" i="50"/>
  <c r="I2620" i="50" s="1"/>
  <c r="AC81" i="62"/>
  <c r="Q2630" i="50"/>
  <c r="R2630" i="50"/>
  <c r="S2630" i="50"/>
  <c r="P2630" i="50"/>
  <c r="I2630" i="50" s="1"/>
  <c r="I2653" i="50" s="1"/>
  <c r="T2630" i="50"/>
  <c r="U2630" i="50"/>
  <c r="AC91" i="62"/>
  <c r="Q2617" i="50"/>
  <c r="U2617" i="50"/>
  <c r="P2617" i="50"/>
  <c r="R2617" i="50"/>
  <c r="S2617" i="50"/>
  <c r="T2617" i="50"/>
  <c r="AC78" i="62"/>
  <c r="P2618" i="50"/>
  <c r="Q2618" i="50"/>
  <c r="R2618" i="50"/>
  <c r="S2618" i="50"/>
  <c r="T2618" i="50"/>
  <c r="U2618" i="50"/>
  <c r="AC79" i="62"/>
  <c r="Q2623" i="50"/>
  <c r="R2623" i="50"/>
  <c r="S2623" i="50"/>
  <c r="T2623" i="50"/>
  <c r="U2623" i="50"/>
  <c r="P2623" i="50"/>
  <c r="AC84" i="62"/>
  <c r="U2614" i="50"/>
  <c r="AC75" i="62"/>
  <c r="AC83" i="62"/>
  <c r="P2622" i="50"/>
  <c r="Q2622" i="50"/>
  <c r="R2622" i="50"/>
  <c r="S2622" i="50"/>
  <c r="T2622" i="50"/>
  <c r="U2622" i="50"/>
  <c r="I143" i="37"/>
  <c r="H143" i="37"/>
  <c r="P2614" i="50"/>
  <c r="Q2614" i="50"/>
  <c r="R2614" i="50"/>
  <c r="S2614" i="50"/>
  <c r="T2614" i="50"/>
  <c r="AD93" i="62"/>
  <c r="D93" i="62" s="1"/>
  <c r="H377" i="41"/>
  <c r="H371" i="41"/>
  <c r="H368" i="41"/>
  <c r="H365" i="41"/>
  <c r="H364" i="41"/>
  <c r="M358" i="41"/>
  <c r="H346" i="41"/>
  <c r="H330" i="41"/>
  <c r="H298" i="41"/>
  <c r="E298" i="41"/>
  <c r="H297" i="41"/>
  <c r="E297" i="41"/>
  <c r="H296" i="41"/>
  <c r="E296" i="41"/>
  <c r="H290" i="41"/>
  <c r="E290" i="41"/>
  <c r="H289" i="41"/>
  <c r="E289" i="41"/>
  <c r="H288" i="41"/>
  <c r="E288" i="41"/>
  <c r="H211" i="41"/>
  <c r="E211" i="41"/>
  <c r="H210" i="41"/>
  <c r="E210" i="41"/>
  <c r="H209" i="41"/>
  <c r="E209" i="41"/>
  <c r="H208" i="41"/>
  <c r="E208" i="41"/>
  <c r="H207" i="41"/>
  <c r="E207" i="41"/>
  <c r="H201" i="41"/>
  <c r="H181" i="41"/>
  <c r="E181" i="41"/>
  <c r="H180" i="41"/>
  <c r="E180" i="41"/>
  <c r="H179" i="41"/>
  <c r="E179" i="41"/>
  <c r="H178" i="41"/>
  <c r="E178" i="41"/>
  <c r="H177" i="41"/>
  <c r="E177" i="41"/>
  <c r="H156" i="41"/>
  <c r="H155" i="41"/>
  <c r="H154" i="41"/>
  <c r="H153" i="41"/>
  <c r="H152" i="41"/>
  <c r="H151" i="41"/>
  <c r="H150" i="41"/>
  <c r="H149" i="41"/>
  <c r="H148" i="41"/>
  <c r="H147" i="41"/>
  <c r="H141" i="41"/>
  <c r="H119" i="41"/>
  <c r="H113" i="41"/>
  <c r="E113" i="41"/>
  <c r="H112" i="41"/>
  <c r="E112" i="41"/>
  <c r="H111" i="41"/>
  <c r="E111" i="41"/>
  <c r="H102" i="41"/>
  <c r="E102" i="41"/>
  <c r="H101" i="41"/>
  <c r="E101" i="41"/>
  <c r="H100" i="41"/>
  <c r="E100" i="41"/>
  <c r="H94" i="41"/>
  <c r="H59" i="41"/>
  <c r="H58" i="41"/>
  <c r="H57" i="41"/>
  <c r="H252" i="49"/>
  <c r="H248" i="49"/>
  <c r="H243" i="49"/>
  <c r="H238" i="49"/>
  <c r="H230" i="49"/>
  <c r="L226" i="49"/>
  <c r="H203" i="49"/>
  <c r="H198" i="49"/>
  <c r="H191" i="49"/>
  <c r="H185" i="49"/>
  <c r="H176" i="49"/>
  <c r="L170" i="49"/>
  <c r="H142" i="49"/>
  <c r="H141" i="49"/>
  <c r="H129" i="49"/>
  <c r="H128" i="49"/>
  <c r="H124" i="49"/>
  <c r="H123" i="49" s="1"/>
  <c r="H119" i="49"/>
  <c r="H115" i="49"/>
  <c r="I2676" i="50" l="1"/>
  <c r="I2639" i="50"/>
  <c r="I2662" i="50"/>
  <c r="I2642" i="50"/>
  <c r="I2665" i="50"/>
  <c r="I2674" i="50"/>
  <c r="I2643" i="50"/>
  <c r="I2666" i="50"/>
  <c r="I2644" i="50"/>
  <c r="I2667" i="50"/>
  <c r="I2675" i="50"/>
  <c r="I2671" i="50"/>
  <c r="I2672" i="50"/>
  <c r="I2638" i="50"/>
  <c r="I2661" i="50"/>
  <c r="W76" i="62"/>
  <c r="X76" i="62" s="1"/>
  <c r="W77" i="62"/>
  <c r="X77" i="62" s="1"/>
  <c r="W78" i="62"/>
  <c r="X78" i="62" s="1"/>
  <c r="W79" i="62"/>
  <c r="X79" i="62" s="1"/>
  <c r="W80" i="62"/>
  <c r="X80" i="62" s="1"/>
  <c r="W81" i="62"/>
  <c r="X81" i="62" s="1"/>
  <c r="W82" i="62"/>
  <c r="X82" i="62" s="1"/>
  <c r="W83" i="62"/>
  <c r="X83" i="62" s="1"/>
  <c r="W84" i="62"/>
  <c r="X84" i="62" s="1"/>
  <c r="W85" i="62"/>
  <c r="X85" i="62" s="1"/>
  <c r="W86" i="62"/>
  <c r="X86" i="62" s="1"/>
  <c r="W87" i="62"/>
  <c r="X87" i="62" s="1"/>
  <c r="W88" i="62"/>
  <c r="X88" i="62" s="1"/>
  <c r="W89" i="62"/>
  <c r="X89" i="62" s="1"/>
  <c r="W90" i="62"/>
  <c r="X90" i="62" s="1"/>
  <c r="W91" i="62"/>
  <c r="X91" i="62" s="1"/>
  <c r="W75" i="62"/>
  <c r="X75" i="62" s="1"/>
  <c r="T76" i="62"/>
  <c r="T77" i="62"/>
  <c r="T78" i="62"/>
  <c r="T79" i="62"/>
  <c r="T80" i="62"/>
  <c r="T81" i="62"/>
  <c r="T82" i="62"/>
  <c r="T83" i="62"/>
  <c r="T84" i="62"/>
  <c r="T85" i="62"/>
  <c r="T86" i="62"/>
  <c r="T87" i="62"/>
  <c r="T88" i="62"/>
  <c r="T89" i="62"/>
  <c r="T90" i="62"/>
  <c r="T91" i="62"/>
  <c r="T75" i="62"/>
  <c r="H74" i="49" l="1"/>
  <c r="H73" i="49"/>
  <c r="H68" i="49"/>
  <c r="H67" i="49" s="1"/>
  <c r="H62" i="49"/>
  <c r="H57" i="49"/>
  <c r="M45" i="49"/>
  <c r="H28" i="49"/>
  <c r="H26" i="49"/>
  <c r="H24" i="49"/>
  <c r="H23" i="49"/>
  <c r="H22" i="49"/>
  <c r="H21" i="49"/>
  <c r="J75" i="43"/>
  <c r="J77" i="43" s="1"/>
  <c r="E91" i="62" l="1"/>
  <c r="D86" i="62"/>
  <c r="E86" i="62" s="1"/>
  <c r="E85" i="62"/>
  <c r="D76" i="62"/>
  <c r="D77" i="62" s="1"/>
  <c r="D78" i="62" s="1"/>
  <c r="D79" i="62" s="1"/>
  <c r="D80" i="62" s="1"/>
  <c r="D81" i="62" s="1"/>
  <c r="D82" i="62" s="1"/>
  <c r="D83" i="62" s="1"/>
  <c r="D84" i="62" s="1"/>
  <c r="D87" i="62" l="1"/>
  <c r="D88" i="62" l="1"/>
  <c r="E87" i="62"/>
  <c r="S859" i="42"/>
  <c r="S858" i="42"/>
  <c r="S857" i="42"/>
  <c r="S856" i="42"/>
  <c r="S855" i="42"/>
  <c r="S854" i="42"/>
  <c r="S853" i="42"/>
  <c r="S852" i="42"/>
  <c r="S851" i="42"/>
  <c r="S850" i="42"/>
  <c r="S672" i="42"/>
  <c r="S671" i="42"/>
  <c r="S670" i="42"/>
  <c r="S669" i="42"/>
  <c r="S668" i="42"/>
  <c r="S667" i="42"/>
  <c r="S666" i="42"/>
  <c r="S665" i="42"/>
  <c r="S664" i="42"/>
  <c r="S663" i="42"/>
  <c r="S314" i="42"/>
  <c r="S313" i="42"/>
  <c r="S312" i="42"/>
  <c r="S311" i="42"/>
  <c r="S310" i="42"/>
  <c r="S309" i="42"/>
  <c r="S308" i="42"/>
  <c r="S307" i="42"/>
  <c r="S306" i="42"/>
  <c r="S305" i="42"/>
  <c r="S77" i="42"/>
  <c r="S76" i="42"/>
  <c r="S75" i="42"/>
  <c r="S74" i="42"/>
  <c r="S73" i="42"/>
  <c r="S72" i="42"/>
  <c r="S71" i="42"/>
  <c r="S70" i="42"/>
  <c r="S69" i="42"/>
  <c r="S68" i="42"/>
  <c r="G2746" i="50"/>
  <c r="D89" i="62" l="1"/>
  <c r="E88" i="62"/>
  <c r="S308" i="34"/>
  <c r="S307" i="34"/>
  <c r="S306" i="34"/>
  <c r="S305" i="34"/>
  <c r="S304"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I2743" i="50"/>
  <c r="I2742" i="50"/>
  <c r="D90" i="62" l="1"/>
  <c r="E90" i="62" s="1"/>
  <c r="E89" i="62"/>
  <c r="B29" i="25" l="1"/>
  <c r="B28" i="25"/>
  <c r="B27" i="25"/>
  <c r="B26" i="25"/>
  <c r="B25" i="25"/>
  <c r="B24" i="25"/>
  <c r="B23" i="25"/>
  <c r="B22" i="25"/>
  <c r="B21" i="25"/>
  <c r="B20" i="25"/>
  <c r="B19" i="25"/>
  <c r="B17" i="25"/>
  <c r="B15" i="25"/>
  <c r="B16" i="25"/>
  <c r="R185" i="50"/>
  <c r="B245" i="34"/>
  <c r="B242" i="34"/>
  <c r="B240" i="34"/>
  <c r="B238" i="34"/>
  <c r="B236" i="34"/>
  <c r="A287" i="34" s="1"/>
  <c r="B234" i="34"/>
  <c r="B232" i="34"/>
  <c r="B229" i="34"/>
  <c r="A263" i="34" s="1"/>
  <c r="B228" i="34"/>
  <c r="A261" i="34" s="1"/>
  <c r="B226" i="34"/>
  <c r="B224" i="34"/>
  <c r="A256" i="34" s="1"/>
  <c r="B222" i="34"/>
  <c r="A254" i="34" s="1"/>
  <c r="B221" i="34"/>
  <c r="B220" i="34"/>
  <c r="A250" i="34" s="1"/>
  <c r="E35" i="10"/>
  <c r="E33" i="10"/>
  <c r="E297" i="43"/>
  <c r="E55" i="50" s="1"/>
  <c r="R55" i="50" s="1"/>
  <c r="R197" i="50"/>
  <c r="C60" i="34"/>
  <c r="D55" i="9"/>
  <c r="D54" i="9"/>
  <c r="E129" i="50"/>
  <c r="E111" i="50"/>
  <c r="D53" i="9"/>
  <c r="D52" i="9"/>
  <c r="D51" i="9"/>
  <c r="D50" i="9"/>
  <c r="D49" i="9"/>
  <c r="D48" i="9"/>
  <c r="D47" i="9"/>
  <c r="D46" i="9"/>
  <c r="I4" i="47"/>
  <c r="M3" i="47"/>
  <c r="E866" i="42"/>
  <c r="E909" i="42" s="1"/>
  <c r="E679" i="42"/>
  <c r="E722" i="42" s="1"/>
  <c r="E321" i="42"/>
  <c r="E364" i="42" s="1"/>
  <c r="E84" i="42"/>
  <c r="E127" i="42" s="1"/>
  <c r="D36" i="9"/>
  <c r="D35" i="9"/>
  <c r="D34" i="9"/>
  <c r="D33" i="9"/>
  <c r="E448" i="50"/>
  <c r="E447" i="50"/>
  <c r="E446" i="50"/>
  <c r="E445" i="50"/>
  <c r="E444" i="50"/>
  <c r="D438" i="50"/>
  <c r="D32" i="9"/>
  <c r="E436" i="50"/>
  <c r="E435" i="50"/>
  <c r="E434" i="50"/>
  <c r="E432" i="50"/>
  <c r="E420" i="50"/>
  <c r="E419" i="50"/>
  <c r="E417" i="50"/>
  <c r="E416" i="50"/>
  <c r="E414" i="50"/>
  <c r="E407" i="50"/>
  <c r="E405" i="50"/>
  <c r="E394" i="50"/>
  <c r="E393" i="50"/>
  <c r="E391" i="50"/>
  <c r="E390" i="50"/>
  <c r="E388" i="50"/>
  <c r="E384" i="50"/>
  <c r="E383" i="50"/>
  <c r="E381" i="50"/>
  <c r="E377" i="50"/>
  <c r="E376" i="50"/>
  <c r="E374" i="50"/>
  <c r="E373" i="50"/>
  <c r="E371" i="50"/>
  <c r="E370" i="50"/>
  <c r="E369" i="50"/>
  <c r="E368" i="50"/>
  <c r="E367" i="50"/>
  <c r="E365" i="50"/>
  <c r="E354" i="50"/>
  <c r="E353" i="50"/>
  <c r="D31" i="9"/>
  <c r="E343" i="50"/>
  <c r="E341" i="50"/>
  <c r="E339" i="50"/>
  <c r="E338" i="50"/>
  <c r="E336" i="50"/>
  <c r="E335" i="50"/>
  <c r="E333" i="50"/>
  <c r="E331" i="50"/>
  <c r="E325" i="50"/>
  <c r="E324" i="50"/>
  <c r="E322" i="50"/>
  <c r="E321" i="50"/>
  <c r="E319" i="50"/>
  <c r="E318" i="50"/>
  <c r="E316" i="50"/>
  <c r="E315" i="50"/>
  <c r="E310" i="50"/>
  <c r="E308" i="50"/>
  <c r="E302" i="50"/>
  <c r="E299" i="50"/>
  <c r="E298" i="50"/>
  <c r="E296" i="50"/>
  <c r="E295" i="50"/>
  <c r="E293" i="50"/>
  <c r="E292" i="50"/>
  <c r="E290" i="50"/>
  <c r="E276" i="50"/>
  <c r="E275" i="50"/>
  <c r="E274" i="50"/>
  <c r="E272" i="50"/>
  <c r="E269" i="50"/>
  <c r="E267" i="50"/>
  <c r="E266" i="50"/>
  <c r="E264" i="50"/>
  <c r="E263" i="50"/>
  <c r="E261" i="50"/>
  <c r="E257" i="50"/>
  <c r="E256" i="50"/>
  <c r="E249" i="50"/>
  <c r="E247" i="50"/>
  <c r="D30" i="9"/>
  <c r="E50" i="41"/>
  <c r="E217" i="50" s="1"/>
  <c r="E49" i="41"/>
  <c r="E213" i="50" s="1"/>
  <c r="E46" i="41"/>
  <c r="E212" i="50" s="1"/>
  <c r="E44" i="41"/>
  <c r="E211" i="50" s="1"/>
  <c r="D29" i="9"/>
  <c r="D28" i="9"/>
  <c r="M207" i="50"/>
  <c r="J207" i="50"/>
  <c r="E207" i="50"/>
  <c r="E203" i="50"/>
  <c r="E200" i="50"/>
  <c r="E197" i="50"/>
  <c r="M195" i="50"/>
  <c r="J195" i="50"/>
  <c r="E191" i="50"/>
  <c r="E186" i="50"/>
  <c r="E185" i="50"/>
  <c r="D27" i="9"/>
  <c r="E181" i="50"/>
  <c r="E178" i="50"/>
  <c r="E177" i="50"/>
  <c r="E172" i="50"/>
  <c r="E171" i="50"/>
  <c r="E168" i="50"/>
  <c r="E167" i="50"/>
  <c r="E166" i="50"/>
  <c r="E163" i="50"/>
  <c r="E162" i="50"/>
  <c r="E161" i="50"/>
  <c r="E156" i="50"/>
  <c r="E155" i="50"/>
  <c r="E153" i="50"/>
  <c r="E152" i="50"/>
  <c r="E147" i="50"/>
  <c r="E146" i="50"/>
  <c r="E143" i="50"/>
  <c r="E142" i="50"/>
  <c r="E141" i="50"/>
  <c r="E138" i="50"/>
  <c r="E137" i="50"/>
  <c r="E136" i="50"/>
  <c r="D26" i="9"/>
  <c r="D25" i="9"/>
  <c r="E71" i="50"/>
  <c r="E70" i="50"/>
  <c r="E69" i="50"/>
  <c r="E68" i="50"/>
  <c r="E67" i="50"/>
  <c r="E66" i="50"/>
  <c r="E65" i="50"/>
  <c r="E63" i="50"/>
  <c r="D24" i="9"/>
  <c r="I156" i="62"/>
  <c r="K134" i="62"/>
  <c r="K156" i="62" s="1"/>
  <c r="J134" i="62"/>
  <c r="J156" i="62" s="1"/>
  <c r="D22" i="9"/>
  <c r="D21" i="9"/>
  <c r="D20" i="9"/>
  <c r="D19" i="9"/>
  <c r="D18" i="9"/>
  <c r="D17" i="9"/>
  <c r="D16" i="9"/>
  <c r="D14" i="9"/>
  <c r="D15" i="9"/>
  <c r="D11" i="9"/>
  <c r="T43" i="50"/>
  <c r="T37" i="50"/>
  <c r="S37" i="50"/>
  <c r="R383" i="43"/>
  <c r="H63" i="9"/>
  <c r="I51" i="50"/>
  <c r="M19" i="50"/>
  <c r="H19" i="50"/>
  <c r="Z479" i="42"/>
  <c r="Y479" i="42"/>
  <c r="X479" i="42"/>
  <c r="W479" i="42"/>
  <c r="V479" i="42"/>
  <c r="U479" i="42"/>
  <c r="T479" i="42"/>
  <c r="Z475" i="42"/>
  <c r="Y475" i="42"/>
  <c r="X475" i="42"/>
  <c r="W475" i="42"/>
  <c r="V475" i="42"/>
  <c r="U475" i="42"/>
  <c r="T475" i="42"/>
  <c r="Z471" i="42"/>
  <c r="Y471" i="42"/>
  <c r="X471" i="42"/>
  <c r="W471" i="42"/>
  <c r="V471" i="42"/>
  <c r="U471" i="42"/>
  <c r="T471" i="42"/>
  <c r="Z467" i="42"/>
  <c r="Y467" i="42"/>
  <c r="X467" i="42"/>
  <c r="W467" i="42"/>
  <c r="V467" i="42"/>
  <c r="U467" i="42"/>
  <c r="T467" i="42"/>
  <c r="Z463" i="42"/>
  <c r="Y463" i="42"/>
  <c r="X463" i="42"/>
  <c r="W463" i="42"/>
  <c r="V463" i="42"/>
  <c r="U463" i="42"/>
  <c r="T463" i="42"/>
  <c r="Z3180" i="37"/>
  <c r="Y3180" i="37"/>
  <c r="X3180" i="37"/>
  <c r="W3180" i="37"/>
  <c r="V3180" i="37"/>
  <c r="Z3132" i="37"/>
  <c r="Y3132" i="37"/>
  <c r="X3132" i="37"/>
  <c r="W3132" i="37"/>
  <c r="V3132" i="37"/>
  <c r="U3132" i="37"/>
  <c r="T3132" i="37"/>
  <c r="Z3124" i="37"/>
  <c r="Y3124" i="37"/>
  <c r="X3124" i="37"/>
  <c r="W3124" i="37"/>
  <c r="V3124" i="37"/>
  <c r="U3124" i="37"/>
  <c r="T3124" i="37"/>
  <c r="Z2981" i="37"/>
  <c r="Y2981" i="37"/>
  <c r="X2981" i="37"/>
  <c r="W2981" i="37"/>
  <c r="V2981" i="37"/>
  <c r="R2975" i="37"/>
  <c r="Q2954" i="37"/>
  <c r="R2947" i="37"/>
  <c r="Z2858" i="37"/>
  <c r="Y2858" i="37"/>
  <c r="X2858" i="37"/>
  <c r="W2858" i="37"/>
  <c r="V2858" i="37"/>
  <c r="Z2810" i="37"/>
  <c r="Y2810" i="37"/>
  <c r="X2810" i="37"/>
  <c r="W2810" i="37"/>
  <c r="V2810" i="37"/>
  <c r="U2810" i="37"/>
  <c r="T2810" i="37"/>
  <c r="Z2802" i="37"/>
  <c r="Y2802" i="37"/>
  <c r="X2802" i="37"/>
  <c r="W2802" i="37"/>
  <c r="V2802" i="37"/>
  <c r="U2802" i="37"/>
  <c r="T2802" i="37"/>
  <c r="Z2659" i="37"/>
  <c r="Y2659" i="37"/>
  <c r="X2659" i="37"/>
  <c r="W2659" i="37"/>
  <c r="V2659" i="37"/>
  <c r="U2659" i="37"/>
  <c r="T2659" i="37"/>
  <c r="R2653" i="37"/>
  <c r="Q2632" i="37"/>
  <c r="R2625" i="37"/>
  <c r="Z2536" i="37"/>
  <c r="Y2536" i="37"/>
  <c r="X2536" i="37"/>
  <c r="W2536" i="37"/>
  <c r="V2536" i="37"/>
  <c r="Z2488" i="37"/>
  <c r="Y2488" i="37"/>
  <c r="X2488" i="37"/>
  <c r="W2488" i="37"/>
  <c r="V2488" i="37"/>
  <c r="U2488" i="37"/>
  <c r="T2488" i="37"/>
  <c r="Z2480" i="37"/>
  <c r="Y2480" i="37"/>
  <c r="X2480" i="37"/>
  <c r="W2480" i="37"/>
  <c r="V2480" i="37"/>
  <c r="U2480" i="37"/>
  <c r="T2480" i="37"/>
  <c r="Z2337" i="37"/>
  <c r="Y2337" i="37"/>
  <c r="X2337" i="37"/>
  <c r="W2337" i="37"/>
  <c r="V2337" i="37"/>
  <c r="U2337" i="37"/>
  <c r="T2337" i="37"/>
  <c r="R2331" i="37"/>
  <c r="Q2310" i="37"/>
  <c r="R2303" i="37"/>
  <c r="Z2214" i="37"/>
  <c r="Y2214" i="37"/>
  <c r="X2214" i="37"/>
  <c r="W2214" i="37"/>
  <c r="V2214" i="37"/>
  <c r="Z2166" i="37"/>
  <c r="Y2166" i="37"/>
  <c r="X2166" i="37"/>
  <c r="W2166" i="37"/>
  <c r="V2166" i="37"/>
  <c r="U2166" i="37"/>
  <c r="T2166" i="37"/>
  <c r="Z2158" i="37"/>
  <c r="Y2158" i="37"/>
  <c r="X2158" i="37"/>
  <c r="W2158" i="37"/>
  <c r="V2158" i="37"/>
  <c r="U2158" i="37"/>
  <c r="T2158" i="37"/>
  <c r="Z2015" i="37"/>
  <c r="Y2015" i="37"/>
  <c r="X2015" i="37"/>
  <c r="W2015" i="37"/>
  <c r="V2015" i="37"/>
  <c r="U2015" i="37"/>
  <c r="T2015" i="37"/>
  <c r="R2009" i="37"/>
  <c r="Q1988" i="37"/>
  <c r="R1981" i="37"/>
  <c r="Z1892" i="37"/>
  <c r="Y1892" i="37"/>
  <c r="X1892" i="37"/>
  <c r="W1892" i="37"/>
  <c r="V1892" i="37"/>
  <c r="Z1844" i="37"/>
  <c r="Y1844" i="37"/>
  <c r="X1844" i="37"/>
  <c r="W1844" i="37"/>
  <c r="V1844" i="37"/>
  <c r="U1844" i="37"/>
  <c r="T1844" i="37"/>
  <c r="Z1836" i="37"/>
  <c r="Y1836" i="37"/>
  <c r="X1836" i="37"/>
  <c r="W1836" i="37"/>
  <c r="V1836" i="37"/>
  <c r="U1836" i="37"/>
  <c r="T1836" i="37"/>
  <c r="Z1693" i="37"/>
  <c r="Y1693" i="37"/>
  <c r="X1693" i="37"/>
  <c r="W1693" i="37"/>
  <c r="V1693" i="37"/>
  <c r="U1693" i="37"/>
  <c r="T1693" i="37"/>
  <c r="R1687" i="37"/>
  <c r="Q1666" i="37"/>
  <c r="R1659" i="37"/>
  <c r="Z1570" i="37"/>
  <c r="Y1570" i="37"/>
  <c r="X1570" i="37"/>
  <c r="W1570" i="37"/>
  <c r="V1570" i="37"/>
  <c r="Z1522" i="37"/>
  <c r="Y1522" i="37"/>
  <c r="X1522" i="37"/>
  <c r="W1522" i="37"/>
  <c r="V1522" i="37"/>
  <c r="U1522" i="37"/>
  <c r="T1522" i="37"/>
  <c r="Z1514" i="37"/>
  <c r="Y1514" i="37"/>
  <c r="X1514" i="37"/>
  <c r="W1514" i="37"/>
  <c r="V1514" i="37"/>
  <c r="U1514" i="37"/>
  <c r="T1514" i="37"/>
  <c r="Z1371" i="37"/>
  <c r="Y1371" i="37"/>
  <c r="X1371" i="37"/>
  <c r="W1371" i="37"/>
  <c r="V1371" i="37"/>
  <c r="U1371" i="37"/>
  <c r="T1371" i="37"/>
  <c r="R1365" i="37"/>
  <c r="Q1344" i="37"/>
  <c r="R1337" i="37"/>
  <c r="Z1248" i="37"/>
  <c r="Y1248" i="37"/>
  <c r="X1248" i="37"/>
  <c r="W1248" i="37"/>
  <c r="V1248" i="37"/>
  <c r="Z1200" i="37"/>
  <c r="Y1200" i="37"/>
  <c r="X1200" i="37"/>
  <c r="W1200" i="37"/>
  <c r="V1200" i="37"/>
  <c r="U1200" i="37"/>
  <c r="T1200" i="37"/>
  <c r="Z1192" i="37"/>
  <c r="Y1192" i="37"/>
  <c r="X1192" i="37"/>
  <c r="W1192" i="37"/>
  <c r="V1192" i="37"/>
  <c r="U1192" i="37"/>
  <c r="T1192" i="37"/>
  <c r="Z1049" i="37"/>
  <c r="Y1049" i="37"/>
  <c r="X1049" i="37"/>
  <c r="W1049" i="37"/>
  <c r="V1049" i="37"/>
  <c r="U1049" i="37"/>
  <c r="T1049" i="37"/>
  <c r="R1043" i="37"/>
  <c r="Q1022" i="37"/>
  <c r="R1015" i="37"/>
  <c r="Z926" i="37"/>
  <c r="Y926" i="37"/>
  <c r="X926" i="37"/>
  <c r="W926" i="37"/>
  <c r="V926" i="37"/>
  <c r="Z878" i="37"/>
  <c r="Y878" i="37"/>
  <c r="X878" i="37"/>
  <c r="W878" i="37"/>
  <c r="V878" i="37"/>
  <c r="U878" i="37"/>
  <c r="T878" i="37"/>
  <c r="Z870" i="37"/>
  <c r="Y870" i="37"/>
  <c r="X870" i="37"/>
  <c r="W870" i="37"/>
  <c r="V870" i="37"/>
  <c r="U870" i="37"/>
  <c r="T870" i="37"/>
  <c r="Z727" i="37"/>
  <c r="Y727" i="37"/>
  <c r="X727" i="37"/>
  <c r="W727" i="37"/>
  <c r="V727" i="37"/>
  <c r="U727" i="37"/>
  <c r="T727" i="37"/>
  <c r="R721" i="37"/>
  <c r="Q700" i="37"/>
  <c r="R693" i="37"/>
  <c r="Z604" i="37"/>
  <c r="Y604" i="37"/>
  <c r="X604" i="37"/>
  <c r="W604" i="37"/>
  <c r="V604" i="37"/>
  <c r="Z556" i="37"/>
  <c r="Y556" i="37"/>
  <c r="X556" i="37"/>
  <c r="W556" i="37"/>
  <c r="V556" i="37"/>
  <c r="U556" i="37"/>
  <c r="T556" i="37"/>
  <c r="Z548" i="37"/>
  <c r="Y548" i="37"/>
  <c r="X548" i="37"/>
  <c r="W548" i="37"/>
  <c r="V548" i="37"/>
  <c r="U548" i="37"/>
  <c r="T548" i="37"/>
  <c r="Z405" i="37"/>
  <c r="Y405" i="37"/>
  <c r="X405" i="37"/>
  <c r="W405" i="37"/>
  <c r="V405" i="37"/>
  <c r="R399" i="37"/>
  <c r="Q378" i="37"/>
  <c r="R371" i="37"/>
  <c r="H1180" i="42"/>
  <c r="I1180" i="42"/>
  <c r="H1080" i="42"/>
  <c r="I1080" i="42"/>
  <c r="M52" i="50"/>
  <c r="N3198" i="37"/>
  <c r="M3198" i="37"/>
  <c r="L3198" i="37"/>
  <c r="K3198" i="37"/>
  <c r="J3198" i="37"/>
  <c r="I3198" i="37"/>
  <c r="H3198" i="37"/>
  <c r="N3189" i="37"/>
  <c r="Z3189" i="37" s="1"/>
  <c r="M3189" i="37"/>
  <c r="Y3189" i="37" s="1"/>
  <c r="L3189" i="37"/>
  <c r="X3189" i="37" s="1"/>
  <c r="K3189" i="37"/>
  <c r="W3189" i="37" s="1"/>
  <c r="J3189" i="37"/>
  <c r="V3189" i="37" s="1"/>
  <c r="I3189" i="37"/>
  <c r="U3189" i="37" s="1"/>
  <c r="H3189" i="37"/>
  <c r="T3189" i="37" s="1"/>
  <c r="G3167" i="37"/>
  <c r="H3171" i="37" s="1"/>
  <c r="N3164" i="37"/>
  <c r="M3164" i="37"/>
  <c r="L3164" i="37"/>
  <c r="K3164" i="37"/>
  <c r="J3164" i="37"/>
  <c r="I3164" i="37"/>
  <c r="H3164" i="37"/>
  <c r="N3154" i="37"/>
  <c r="M3154" i="37"/>
  <c r="L3154" i="37"/>
  <c r="K3154" i="37"/>
  <c r="J3154" i="37"/>
  <c r="I3154" i="37"/>
  <c r="H3154" i="37"/>
  <c r="N3145" i="37"/>
  <c r="M3145" i="37"/>
  <c r="L3145" i="37"/>
  <c r="K3145" i="37"/>
  <c r="J3145" i="37"/>
  <c r="I3145" i="37"/>
  <c r="H3145" i="37"/>
  <c r="N3108" i="37"/>
  <c r="N3105" i="37" s="1"/>
  <c r="N3106" i="37" s="1"/>
  <c r="M3108" i="37"/>
  <c r="M3105" i="37" s="1"/>
  <c r="M3106" i="37" s="1"/>
  <c r="L3108" i="37"/>
  <c r="L3105" i="37" s="1"/>
  <c r="L3106" i="37" s="1"/>
  <c r="K3108" i="37"/>
  <c r="K3105" i="37" s="1"/>
  <c r="K3106" i="37" s="1"/>
  <c r="J3108" i="37"/>
  <c r="J3105" i="37" s="1"/>
  <c r="J3106" i="37" s="1"/>
  <c r="I3108" i="37"/>
  <c r="I3105" i="37" s="1"/>
  <c r="I3106" i="37" s="1"/>
  <c r="H3108" i="37"/>
  <c r="H3105" i="37" s="1"/>
  <c r="H3106" i="37" s="1"/>
  <c r="N3107" i="37"/>
  <c r="M3107" i="37"/>
  <c r="L3107" i="37"/>
  <c r="K3107" i="37"/>
  <c r="J3107" i="37"/>
  <c r="I3107" i="37"/>
  <c r="H3107" i="37"/>
  <c r="N3096" i="37"/>
  <c r="N3093" i="37" s="1"/>
  <c r="N3094" i="37" s="1"/>
  <c r="M3096" i="37"/>
  <c r="M3093" i="37" s="1"/>
  <c r="M3094" i="37" s="1"/>
  <c r="L3096" i="37"/>
  <c r="L3093" i="37" s="1"/>
  <c r="L3094" i="37" s="1"/>
  <c r="K3096" i="37"/>
  <c r="K3093" i="37" s="1"/>
  <c r="K3094" i="37" s="1"/>
  <c r="J3096" i="37"/>
  <c r="J3093" i="37" s="1"/>
  <c r="J3094" i="37" s="1"/>
  <c r="I3096" i="37"/>
  <c r="I3093" i="37" s="1"/>
  <c r="I3094" i="37" s="1"/>
  <c r="H3096" i="37"/>
  <c r="H3093" i="37" s="1"/>
  <c r="H3094" i="37" s="1"/>
  <c r="N3095" i="37"/>
  <c r="M3095" i="37"/>
  <c r="L3095" i="37"/>
  <c r="K3095" i="37"/>
  <c r="J3095" i="37"/>
  <c r="I3095" i="37"/>
  <c r="H3095" i="37"/>
  <c r="I3041" i="37"/>
  <c r="H3041" i="37"/>
  <c r="D3032" i="37"/>
  <c r="D3033" i="37" s="1"/>
  <c r="D3034" i="37" s="1"/>
  <c r="D3035" i="37" s="1"/>
  <c r="D3036" i="37" s="1"/>
  <c r="D3037" i="37" s="1"/>
  <c r="D3038" i="37" s="1"/>
  <c r="D3039" i="37" s="1"/>
  <c r="D3040" i="37" s="1"/>
  <c r="H2988" i="37"/>
  <c r="H2991" i="37" s="1"/>
  <c r="N2983" i="37"/>
  <c r="M2983" i="37"/>
  <c r="L2983" i="37"/>
  <c r="K2983" i="37"/>
  <c r="J2983" i="37"/>
  <c r="I2983" i="37"/>
  <c r="H2963" i="37"/>
  <c r="H2972" i="37" s="1"/>
  <c r="N2956" i="37"/>
  <c r="M2956" i="37"/>
  <c r="L2956" i="37"/>
  <c r="K2956" i="37"/>
  <c r="J2956" i="37"/>
  <c r="I2956" i="37"/>
  <c r="H2956" i="37"/>
  <c r="N2955" i="37"/>
  <c r="M2955" i="37"/>
  <c r="L2955" i="37"/>
  <c r="K2955" i="37"/>
  <c r="J2955" i="37"/>
  <c r="I2955" i="37"/>
  <c r="N2876" i="37"/>
  <c r="M2876" i="37"/>
  <c r="L2876" i="37"/>
  <c r="K2876" i="37"/>
  <c r="J2876" i="37"/>
  <c r="I2876" i="37"/>
  <c r="H2876" i="37"/>
  <c r="N2867" i="37"/>
  <c r="Z2867" i="37" s="1"/>
  <c r="M2867" i="37"/>
  <c r="Y2867" i="37" s="1"/>
  <c r="L2867" i="37"/>
  <c r="X2867" i="37" s="1"/>
  <c r="K2867" i="37"/>
  <c r="W2867" i="37" s="1"/>
  <c r="J2867" i="37"/>
  <c r="V2867" i="37" s="1"/>
  <c r="I2867" i="37"/>
  <c r="U2867" i="37" s="1"/>
  <c r="H2867" i="37"/>
  <c r="T2867" i="37" s="1"/>
  <c r="G2845" i="37"/>
  <c r="H2849" i="37" s="1"/>
  <c r="H2858" i="37" s="1"/>
  <c r="N2842" i="37"/>
  <c r="M2842" i="37"/>
  <c r="L2842" i="37"/>
  <c r="K2842" i="37"/>
  <c r="J2842" i="37"/>
  <c r="I2842" i="37"/>
  <c r="H2842" i="37"/>
  <c r="N2832" i="37"/>
  <c r="M2832" i="37"/>
  <c r="L2832" i="37"/>
  <c r="K2832" i="37"/>
  <c r="J2832" i="37"/>
  <c r="I2832" i="37"/>
  <c r="H2832" i="37"/>
  <c r="N2823" i="37"/>
  <c r="M2823" i="37"/>
  <c r="L2823" i="37"/>
  <c r="K2823" i="37"/>
  <c r="J2823" i="37"/>
  <c r="I2823" i="37"/>
  <c r="H2823" i="37"/>
  <c r="N2786" i="37"/>
  <c r="N2783" i="37" s="1"/>
  <c r="N2784" i="37" s="1"/>
  <c r="M2786" i="37"/>
  <c r="M2783" i="37" s="1"/>
  <c r="M2784" i="37" s="1"/>
  <c r="L2786" i="37"/>
  <c r="L2783" i="37" s="1"/>
  <c r="L2784" i="37" s="1"/>
  <c r="K2786" i="37"/>
  <c r="K2783" i="37" s="1"/>
  <c r="K2784" i="37" s="1"/>
  <c r="J2786" i="37"/>
  <c r="J2783" i="37" s="1"/>
  <c r="J2784" i="37" s="1"/>
  <c r="I2786" i="37"/>
  <c r="I2783" i="37" s="1"/>
  <c r="I2784" i="37" s="1"/>
  <c r="H2786" i="37"/>
  <c r="H2783" i="37" s="1"/>
  <c r="H2784" i="37" s="1"/>
  <c r="N2785" i="37"/>
  <c r="M2785" i="37"/>
  <c r="L2785" i="37"/>
  <c r="K2785" i="37"/>
  <c r="J2785" i="37"/>
  <c r="I2785" i="37"/>
  <c r="H2785" i="37"/>
  <c r="N2774" i="37"/>
  <c r="N2771" i="37" s="1"/>
  <c r="N2772" i="37" s="1"/>
  <c r="M2774" i="37"/>
  <c r="M2771" i="37" s="1"/>
  <c r="M2772" i="37" s="1"/>
  <c r="L2774" i="37"/>
  <c r="L2771" i="37" s="1"/>
  <c r="L2772" i="37" s="1"/>
  <c r="K2774" i="37"/>
  <c r="K2771" i="37" s="1"/>
  <c r="K2772" i="37" s="1"/>
  <c r="J2774" i="37"/>
  <c r="J2771" i="37" s="1"/>
  <c r="J2772" i="37" s="1"/>
  <c r="I2774" i="37"/>
  <c r="I2771" i="37" s="1"/>
  <c r="I2772" i="37" s="1"/>
  <c r="H2774" i="37"/>
  <c r="H2771" i="37" s="1"/>
  <c r="H2772" i="37" s="1"/>
  <c r="N2773" i="37"/>
  <c r="M2773" i="37"/>
  <c r="L2773" i="37"/>
  <c r="K2773" i="37"/>
  <c r="J2773" i="37"/>
  <c r="I2773" i="37"/>
  <c r="H2773" i="37"/>
  <c r="I2719" i="37"/>
  <c r="H2719" i="37"/>
  <c r="D2710" i="37"/>
  <c r="D2711" i="37" s="1"/>
  <c r="D2712" i="37" s="1"/>
  <c r="D2713" i="37" s="1"/>
  <c r="D2714" i="37" s="1"/>
  <c r="D2715" i="37" s="1"/>
  <c r="D2716" i="37" s="1"/>
  <c r="D2717" i="37" s="1"/>
  <c r="D2718" i="37" s="1"/>
  <c r="H2666" i="37"/>
  <c r="N2661" i="37"/>
  <c r="M2661" i="37"/>
  <c r="L2661" i="37"/>
  <c r="K2661" i="37"/>
  <c r="J2661" i="37"/>
  <c r="I2661" i="37"/>
  <c r="H2641" i="37"/>
  <c r="H2650" i="37" s="1"/>
  <c r="N2634" i="37"/>
  <c r="M2634" i="37"/>
  <c r="L2634" i="37"/>
  <c r="K2634" i="37"/>
  <c r="J2634" i="37"/>
  <c r="I2634" i="37"/>
  <c r="H2634" i="37"/>
  <c r="N2633" i="37"/>
  <c r="M2633" i="37"/>
  <c r="L2633" i="37"/>
  <c r="K2633" i="37"/>
  <c r="J2633" i="37"/>
  <c r="N2554" i="37"/>
  <c r="M2554" i="37"/>
  <c r="L2554" i="37"/>
  <c r="K2554" i="37"/>
  <c r="J2554" i="37"/>
  <c r="I2554" i="37"/>
  <c r="H2554" i="37"/>
  <c r="N2545" i="37"/>
  <c r="Z2545" i="37" s="1"/>
  <c r="M2545" i="37"/>
  <c r="Y2545" i="37" s="1"/>
  <c r="L2545" i="37"/>
  <c r="X2545" i="37" s="1"/>
  <c r="K2545" i="37"/>
  <c r="W2545" i="37" s="1"/>
  <c r="J2545" i="37"/>
  <c r="V2545" i="37" s="1"/>
  <c r="I2545" i="37"/>
  <c r="U2545" i="37" s="1"/>
  <c r="H2545" i="37"/>
  <c r="T2545" i="37" s="1"/>
  <c r="G2523" i="37"/>
  <c r="H2527" i="37" s="1"/>
  <c r="H2530" i="37" s="1"/>
  <c r="N2520" i="37"/>
  <c r="M2520" i="37"/>
  <c r="L2520" i="37"/>
  <c r="K2520" i="37"/>
  <c r="J2520" i="37"/>
  <c r="I2520" i="37"/>
  <c r="H2520" i="37"/>
  <c r="N2510" i="37"/>
  <c r="M2510" i="37"/>
  <c r="L2510" i="37"/>
  <c r="K2510" i="37"/>
  <c r="J2510" i="37"/>
  <c r="I2510" i="37"/>
  <c r="H2510" i="37"/>
  <c r="N2501" i="37"/>
  <c r="M2501" i="37"/>
  <c r="L2501" i="37"/>
  <c r="K2501" i="37"/>
  <c r="J2501" i="37"/>
  <c r="I2501" i="37"/>
  <c r="H2501" i="37"/>
  <c r="N2464" i="37"/>
  <c r="N2461" i="37" s="1"/>
  <c r="N2462" i="37" s="1"/>
  <c r="M2464" i="37"/>
  <c r="M2461" i="37" s="1"/>
  <c r="M2462" i="37" s="1"/>
  <c r="L2464" i="37"/>
  <c r="L2461" i="37" s="1"/>
  <c r="L2462" i="37" s="1"/>
  <c r="K2464" i="37"/>
  <c r="K2461" i="37" s="1"/>
  <c r="K2462" i="37" s="1"/>
  <c r="J2464" i="37"/>
  <c r="J2461" i="37" s="1"/>
  <c r="J2462" i="37" s="1"/>
  <c r="I2464" i="37"/>
  <c r="I2461" i="37" s="1"/>
  <c r="I2462" i="37" s="1"/>
  <c r="H2464" i="37"/>
  <c r="H2461" i="37" s="1"/>
  <c r="H2462" i="37" s="1"/>
  <c r="N2463" i="37"/>
  <c r="M2463" i="37"/>
  <c r="L2463" i="37"/>
  <c r="K2463" i="37"/>
  <c r="J2463" i="37"/>
  <c r="I2463" i="37"/>
  <c r="H2463" i="37"/>
  <c r="N2452" i="37"/>
  <c r="N2449" i="37" s="1"/>
  <c r="N2450" i="37" s="1"/>
  <c r="M2452" i="37"/>
  <c r="M2449" i="37" s="1"/>
  <c r="M2450" i="37" s="1"/>
  <c r="L2452" i="37"/>
  <c r="L2449" i="37" s="1"/>
  <c r="L2450" i="37" s="1"/>
  <c r="K2452" i="37"/>
  <c r="K2449" i="37" s="1"/>
  <c r="K2450" i="37" s="1"/>
  <c r="J2452" i="37"/>
  <c r="J2449" i="37" s="1"/>
  <c r="J2450" i="37" s="1"/>
  <c r="I2452" i="37"/>
  <c r="I2449" i="37" s="1"/>
  <c r="I2450" i="37" s="1"/>
  <c r="H2452" i="37"/>
  <c r="H2449" i="37" s="1"/>
  <c r="H2450" i="37" s="1"/>
  <c r="N2451" i="37"/>
  <c r="M2451" i="37"/>
  <c r="L2451" i="37"/>
  <c r="K2451" i="37"/>
  <c r="J2451" i="37"/>
  <c r="I2451" i="37"/>
  <c r="H2451" i="37"/>
  <c r="I2397" i="37"/>
  <c r="H2397" i="37"/>
  <c r="D2388" i="37"/>
  <c r="D2389" i="37" s="1"/>
  <c r="D2390" i="37" s="1"/>
  <c r="D2391" i="37" s="1"/>
  <c r="D2392" i="37" s="1"/>
  <c r="D2393" i="37" s="1"/>
  <c r="D2394" i="37" s="1"/>
  <c r="D2395" i="37" s="1"/>
  <c r="D2396" i="37" s="1"/>
  <c r="H2344" i="37"/>
  <c r="H2347" i="37" s="1"/>
  <c r="N2339" i="37"/>
  <c r="M2339" i="37"/>
  <c r="L2339" i="37"/>
  <c r="K2339" i="37"/>
  <c r="J2339" i="37"/>
  <c r="I2339" i="37"/>
  <c r="H2319" i="37"/>
  <c r="H2322" i="37" s="1"/>
  <c r="N2312" i="37"/>
  <c r="M2312" i="37"/>
  <c r="L2312" i="37"/>
  <c r="K2312" i="37"/>
  <c r="J2312" i="37"/>
  <c r="I2312" i="37"/>
  <c r="H2312" i="37"/>
  <c r="N2311" i="37"/>
  <c r="N2232" i="37"/>
  <c r="M2232" i="37"/>
  <c r="L2232" i="37"/>
  <c r="K2232" i="37"/>
  <c r="J2232" i="37"/>
  <c r="I2232" i="37"/>
  <c r="H2232" i="37"/>
  <c r="N2223" i="37"/>
  <c r="Z2223" i="37" s="1"/>
  <c r="M2223" i="37"/>
  <c r="Y2223" i="37" s="1"/>
  <c r="L2223" i="37"/>
  <c r="X2223" i="37" s="1"/>
  <c r="K2223" i="37"/>
  <c r="W2223" i="37" s="1"/>
  <c r="J2223" i="37"/>
  <c r="V2223" i="37" s="1"/>
  <c r="I2223" i="37"/>
  <c r="U2223" i="37" s="1"/>
  <c r="H2223" i="37"/>
  <c r="T2223" i="37" s="1"/>
  <c r="G2201" i="37"/>
  <c r="H2205" i="37" s="1"/>
  <c r="H2208" i="37" s="1"/>
  <c r="N2198" i="37"/>
  <c r="M2198" i="37"/>
  <c r="L2198" i="37"/>
  <c r="K2198" i="37"/>
  <c r="J2198" i="37"/>
  <c r="I2198" i="37"/>
  <c r="H2198" i="37"/>
  <c r="N2188" i="37"/>
  <c r="M2188" i="37"/>
  <c r="L2188" i="37"/>
  <c r="K2188" i="37"/>
  <c r="J2188" i="37"/>
  <c r="I2188" i="37"/>
  <c r="H2188" i="37"/>
  <c r="N2179" i="37"/>
  <c r="M2179" i="37"/>
  <c r="L2179" i="37"/>
  <c r="K2179" i="37"/>
  <c r="J2179" i="37"/>
  <c r="I2179" i="37"/>
  <c r="H2179" i="37"/>
  <c r="N2142" i="37"/>
  <c r="N2139" i="37" s="1"/>
  <c r="N2140" i="37" s="1"/>
  <c r="M2142" i="37"/>
  <c r="M2139" i="37" s="1"/>
  <c r="M2140" i="37" s="1"/>
  <c r="L2142" i="37"/>
  <c r="L2139" i="37" s="1"/>
  <c r="L2140" i="37" s="1"/>
  <c r="K2142" i="37"/>
  <c r="K2139" i="37" s="1"/>
  <c r="K2140" i="37" s="1"/>
  <c r="J2142" i="37"/>
  <c r="J2139" i="37" s="1"/>
  <c r="J2140" i="37" s="1"/>
  <c r="I2142" i="37"/>
  <c r="I2139" i="37" s="1"/>
  <c r="I2140" i="37" s="1"/>
  <c r="H2142" i="37"/>
  <c r="H2139" i="37" s="1"/>
  <c r="H2140" i="37" s="1"/>
  <c r="N2141" i="37"/>
  <c r="M2141" i="37"/>
  <c r="L2141" i="37"/>
  <c r="K2141" i="37"/>
  <c r="J2141" i="37"/>
  <c r="I2141" i="37"/>
  <c r="H2141" i="37"/>
  <c r="N2130" i="37"/>
  <c r="N2127" i="37" s="1"/>
  <c r="N2128" i="37" s="1"/>
  <c r="M2130" i="37"/>
  <c r="M2127" i="37" s="1"/>
  <c r="M2128" i="37" s="1"/>
  <c r="L2130" i="37"/>
  <c r="L2127" i="37" s="1"/>
  <c r="L2128" i="37" s="1"/>
  <c r="K2130" i="37"/>
  <c r="K2127" i="37" s="1"/>
  <c r="K2128" i="37" s="1"/>
  <c r="J2130" i="37"/>
  <c r="J2127" i="37" s="1"/>
  <c r="J2128" i="37" s="1"/>
  <c r="I2130" i="37"/>
  <c r="I2127" i="37" s="1"/>
  <c r="I2128" i="37" s="1"/>
  <c r="H2130" i="37"/>
  <c r="H2127" i="37" s="1"/>
  <c r="H2128" i="37" s="1"/>
  <c r="N2129" i="37"/>
  <c r="M2129" i="37"/>
  <c r="L2129" i="37"/>
  <c r="K2129" i="37"/>
  <c r="J2129" i="37"/>
  <c r="I2129" i="37"/>
  <c r="H2129" i="37"/>
  <c r="I2075" i="37"/>
  <c r="H2075" i="37"/>
  <c r="D2066" i="37"/>
  <c r="D2067" i="37" s="1"/>
  <c r="D2068" i="37" s="1"/>
  <c r="D2069" i="37" s="1"/>
  <c r="D2070" i="37" s="1"/>
  <c r="D2071" i="37" s="1"/>
  <c r="D2072" i="37" s="1"/>
  <c r="D2073" i="37" s="1"/>
  <c r="D2074" i="37" s="1"/>
  <c r="H2022" i="37"/>
  <c r="H2025" i="37" s="1"/>
  <c r="N2017" i="37"/>
  <c r="M2017" i="37"/>
  <c r="L2017" i="37"/>
  <c r="K2017" i="37"/>
  <c r="J2017" i="37"/>
  <c r="I2017" i="37"/>
  <c r="H1997" i="37"/>
  <c r="N1990" i="37"/>
  <c r="M1990" i="37"/>
  <c r="L1990" i="37"/>
  <c r="K1990" i="37"/>
  <c r="J1990" i="37"/>
  <c r="I1990" i="37"/>
  <c r="H1990" i="37"/>
  <c r="N1989" i="37"/>
  <c r="M1989" i="37"/>
  <c r="L1989" i="37"/>
  <c r="K1989" i="37"/>
  <c r="J1989" i="37"/>
  <c r="I1989" i="37"/>
  <c r="N1910" i="37"/>
  <c r="M1910" i="37"/>
  <c r="L1910" i="37"/>
  <c r="K1910" i="37"/>
  <c r="J1910" i="37"/>
  <c r="I1910" i="37"/>
  <c r="H1910" i="37"/>
  <c r="N1901" i="37"/>
  <c r="Z1901" i="37" s="1"/>
  <c r="M1901" i="37"/>
  <c r="Y1901" i="37" s="1"/>
  <c r="L1901" i="37"/>
  <c r="X1901" i="37" s="1"/>
  <c r="K1901" i="37"/>
  <c r="W1901" i="37" s="1"/>
  <c r="J1901" i="37"/>
  <c r="V1901" i="37" s="1"/>
  <c r="I1901" i="37"/>
  <c r="U1901" i="37" s="1"/>
  <c r="H1901" i="37"/>
  <c r="T1901" i="37" s="1"/>
  <c r="G1879" i="37"/>
  <c r="H1883" i="37" s="1"/>
  <c r="H1886" i="37" s="1"/>
  <c r="N1876" i="37"/>
  <c r="M1876" i="37"/>
  <c r="L1876" i="37"/>
  <c r="K1876" i="37"/>
  <c r="J1876" i="37"/>
  <c r="I1876" i="37"/>
  <c r="H1876" i="37"/>
  <c r="N1866" i="37"/>
  <c r="M1866" i="37"/>
  <c r="L1866" i="37"/>
  <c r="K1866" i="37"/>
  <c r="J1866" i="37"/>
  <c r="I1866" i="37"/>
  <c r="H1866" i="37"/>
  <c r="N1857" i="37"/>
  <c r="M1857" i="37"/>
  <c r="L1857" i="37"/>
  <c r="K1857" i="37"/>
  <c r="J1857" i="37"/>
  <c r="I1857" i="37"/>
  <c r="H1857" i="37"/>
  <c r="N1820" i="37"/>
  <c r="N1817" i="37" s="1"/>
  <c r="N1818" i="37" s="1"/>
  <c r="M1820" i="37"/>
  <c r="M1817" i="37" s="1"/>
  <c r="M1818" i="37" s="1"/>
  <c r="L1820" i="37"/>
  <c r="L1817" i="37" s="1"/>
  <c r="L1818" i="37" s="1"/>
  <c r="K1820" i="37"/>
  <c r="K1817" i="37" s="1"/>
  <c r="K1818" i="37" s="1"/>
  <c r="J1820" i="37"/>
  <c r="J1817" i="37" s="1"/>
  <c r="J1818" i="37" s="1"/>
  <c r="I1820" i="37"/>
  <c r="I1817" i="37" s="1"/>
  <c r="I1818" i="37" s="1"/>
  <c r="H1820" i="37"/>
  <c r="H1817" i="37" s="1"/>
  <c r="H1818" i="37" s="1"/>
  <c r="N1819" i="37"/>
  <c r="M1819" i="37"/>
  <c r="L1819" i="37"/>
  <c r="K1819" i="37"/>
  <c r="J1819" i="37"/>
  <c r="I1819" i="37"/>
  <c r="H1819" i="37"/>
  <c r="N1808" i="37"/>
  <c r="N1805" i="37" s="1"/>
  <c r="N1806" i="37" s="1"/>
  <c r="M1808" i="37"/>
  <c r="M1805" i="37" s="1"/>
  <c r="M1806" i="37" s="1"/>
  <c r="L1808" i="37"/>
  <c r="L1805" i="37" s="1"/>
  <c r="L1806" i="37" s="1"/>
  <c r="K1808" i="37"/>
  <c r="K1805" i="37" s="1"/>
  <c r="K1806" i="37" s="1"/>
  <c r="J1808" i="37"/>
  <c r="J1805" i="37" s="1"/>
  <c r="J1806" i="37" s="1"/>
  <c r="I1808" i="37"/>
  <c r="I1805" i="37" s="1"/>
  <c r="I1806" i="37" s="1"/>
  <c r="H1808" i="37"/>
  <c r="H1805" i="37" s="1"/>
  <c r="H1806" i="37" s="1"/>
  <c r="N1807" i="37"/>
  <c r="M1807" i="37"/>
  <c r="L1807" i="37"/>
  <c r="K1807" i="37"/>
  <c r="J1807" i="37"/>
  <c r="I1807" i="37"/>
  <c r="H1807" i="37"/>
  <c r="I1753" i="37"/>
  <c r="H1753" i="37"/>
  <c r="D1744" i="37"/>
  <c r="D1745" i="37" s="1"/>
  <c r="D1746" i="37" s="1"/>
  <c r="D1747" i="37" s="1"/>
  <c r="D1748" i="37" s="1"/>
  <c r="D1749" i="37" s="1"/>
  <c r="D1750" i="37" s="1"/>
  <c r="D1751" i="37" s="1"/>
  <c r="D1752" i="37" s="1"/>
  <c r="H1700" i="37"/>
  <c r="H1709" i="37" s="1"/>
  <c r="N1695" i="37"/>
  <c r="M1695" i="37"/>
  <c r="L1695" i="37"/>
  <c r="K1695" i="37"/>
  <c r="J1695" i="37"/>
  <c r="I1695" i="37"/>
  <c r="H1675" i="37"/>
  <c r="H1678" i="37" s="1"/>
  <c r="N1668" i="37"/>
  <c r="M1668" i="37"/>
  <c r="L1668" i="37"/>
  <c r="K1668" i="37"/>
  <c r="J1668" i="37"/>
  <c r="I1668" i="37"/>
  <c r="H1668" i="37"/>
  <c r="N1667" i="37"/>
  <c r="M1667" i="37"/>
  <c r="L1667" i="37"/>
  <c r="K1667" i="37"/>
  <c r="J1667" i="37"/>
  <c r="I1667" i="37"/>
  <c r="N1588" i="37"/>
  <c r="M1588" i="37"/>
  <c r="L1588" i="37"/>
  <c r="K1588" i="37"/>
  <c r="J1588" i="37"/>
  <c r="I1588" i="37"/>
  <c r="H1588" i="37"/>
  <c r="N1579" i="37"/>
  <c r="Z1579" i="37" s="1"/>
  <c r="M1579" i="37"/>
  <c r="Y1579" i="37" s="1"/>
  <c r="L1579" i="37"/>
  <c r="X1579" i="37" s="1"/>
  <c r="K1579" i="37"/>
  <c r="W1579" i="37" s="1"/>
  <c r="J1579" i="37"/>
  <c r="V1579" i="37" s="1"/>
  <c r="I1579" i="37"/>
  <c r="U1579" i="37" s="1"/>
  <c r="H1579" i="37"/>
  <c r="T1579" i="37" s="1"/>
  <c r="G1557" i="37"/>
  <c r="H1561" i="37" s="1"/>
  <c r="N1554" i="37"/>
  <c r="M1554" i="37"/>
  <c r="L1554" i="37"/>
  <c r="K1554" i="37"/>
  <c r="J1554" i="37"/>
  <c r="I1554" i="37"/>
  <c r="H1554" i="37"/>
  <c r="N1544" i="37"/>
  <c r="M1544" i="37"/>
  <c r="L1544" i="37"/>
  <c r="K1544" i="37"/>
  <c r="J1544" i="37"/>
  <c r="I1544" i="37"/>
  <c r="H1544" i="37"/>
  <c r="N1535" i="37"/>
  <c r="M1535" i="37"/>
  <c r="L1535" i="37"/>
  <c r="K1535" i="37"/>
  <c r="J1535" i="37"/>
  <c r="I1535" i="37"/>
  <c r="H1535" i="37"/>
  <c r="N1498" i="37"/>
  <c r="N1495" i="37" s="1"/>
  <c r="N1496" i="37" s="1"/>
  <c r="M1498" i="37"/>
  <c r="M1495" i="37" s="1"/>
  <c r="M1496" i="37" s="1"/>
  <c r="L1498" i="37"/>
  <c r="L1495" i="37" s="1"/>
  <c r="L1496" i="37" s="1"/>
  <c r="K1498" i="37"/>
  <c r="K1495" i="37" s="1"/>
  <c r="K1496" i="37" s="1"/>
  <c r="J1498" i="37"/>
  <c r="J1495" i="37" s="1"/>
  <c r="J1496" i="37" s="1"/>
  <c r="I1498" i="37"/>
  <c r="I1495" i="37" s="1"/>
  <c r="I1496" i="37" s="1"/>
  <c r="H1498" i="37"/>
  <c r="H1495" i="37" s="1"/>
  <c r="H1496" i="37" s="1"/>
  <c r="N1497" i="37"/>
  <c r="M1497" i="37"/>
  <c r="L1497" i="37"/>
  <c r="K1497" i="37"/>
  <c r="J1497" i="37"/>
  <c r="I1497" i="37"/>
  <c r="H1497" i="37"/>
  <c r="N1486" i="37"/>
  <c r="N1483" i="37" s="1"/>
  <c r="N1484" i="37" s="1"/>
  <c r="M1486" i="37"/>
  <c r="M1483" i="37" s="1"/>
  <c r="M1484" i="37" s="1"/>
  <c r="L1486" i="37"/>
  <c r="L1483" i="37" s="1"/>
  <c r="L1484" i="37" s="1"/>
  <c r="K1486" i="37"/>
  <c r="K1483" i="37" s="1"/>
  <c r="K1484" i="37" s="1"/>
  <c r="J1486" i="37"/>
  <c r="J1483" i="37" s="1"/>
  <c r="J1484" i="37" s="1"/>
  <c r="I1486" i="37"/>
  <c r="I1483" i="37" s="1"/>
  <c r="I1484" i="37" s="1"/>
  <c r="H1486" i="37"/>
  <c r="H1483" i="37" s="1"/>
  <c r="H1484" i="37" s="1"/>
  <c r="N1485" i="37"/>
  <c r="M1485" i="37"/>
  <c r="L1485" i="37"/>
  <c r="K1485" i="37"/>
  <c r="J1485" i="37"/>
  <c r="I1485" i="37"/>
  <c r="H1485" i="37"/>
  <c r="I1431" i="37"/>
  <c r="H1431" i="37"/>
  <c r="D1422" i="37"/>
  <c r="D1423" i="37" s="1"/>
  <c r="D1424" i="37" s="1"/>
  <c r="D1425" i="37" s="1"/>
  <c r="D1426" i="37" s="1"/>
  <c r="D1427" i="37" s="1"/>
  <c r="D1428" i="37" s="1"/>
  <c r="D1429" i="37" s="1"/>
  <c r="D1430" i="37" s="1"/>
  <c r="H1378" i="37"/>
  <c r="N1373" i="37"/>
  <c r="M1373" i="37"/>
  <c r="L1373" i="37"/>
  <c r="K1373" i="37"/>
  <c r="J1373" i="37"/>
  <c r="I1373" i="37"/>
  <c r="H1353" i="37"/>
  <c r="N1346" i="37"/>
  <c r="M1346" i="37"/>
  <c r="L1346" i="37"/>
  <c r="K1346" i="37"/>
  <c r="J1346" i="37"/>
  <c r="I1346" i="37"/>
  <c r="H1346" i="37"/>
  <c r="N1345" i="37"/>
  <c r="M1345" i="37"/>
  <c r="L1345" i="37"/>
  <c r="K1345" i="37"/>
  <c r="J1345" i="37"/>
  <c r="I1345" i="37"/>
  <c r="N1266" i="37"/>
  <c r="M1266" i="37"/>
  <c r="L1266" i="37"/>
  <c r="K1266" i="37"/>
  <c r="J1266" i="37"/>
  <c r="I1266" i="37"/>
  <c r="H1266" i="37"/>
  <c r="N1257" i="37"/>
  <c r="Z1257" i="37" s="1"/>
  <c r="M1257" i="37"/>
  <c r="Y1257" i="37" s="1"/>
  <c r="L1257" i="37"/>
  <c r="X1257" i="37" s="1"/>
  <c r="K1257" i="37"/>
  <c r="W1257" i="37" s="1"/>
  <c r="J1257" i="37"/>
  <c r="V1257" i="37" s="1"/>
  <c r="I1257" i="37"/>
  <c r="U1257" i="37" s="1"/>
  <c r="H1257" i="37"/>
  <c r="T1257" i="37" s="1"/>
  <c r="G1235" i="37"/>
  <c r="H1239" i="37" s="1"/>
  <c r="H1242" i="37" s="1"/>
  <c r="N1232" i="37"/>
  <c r="M1232" i="37"/>
  <c r="L1232" i="37"/>
  <c r="K1232" i="37"/>
  <c r="J1232" i="37"/>
  <c r="I1232" i="37"/>
  <c r="H1232" i="37"/>
  <c r="N1222" i="37"/>
  <c r="M1222" i="37"/>
  <c r="L1222" i="37"/>
  <c r="K1222" i="37"/>
  <c r="J1222" i="37"/>
  <c r="I1222" i="37"/>
  <c r="H1222" i="37"/>
  <c r="N1213" i="37"/>
  <c r="M1213" i="37"/>
  <c r="L1213" i="37"/>
  <c r="K1213" i="37"/>
  <c r="J1213" i="37"/>
  <c r="I1213" i="37"/>
  <c r="H1213" i="37"/>
  <c r="N1176" i="37"/>
  <c r="N1173" i="37" s="1"/>
  <c r="N1174" i="37" s="1"/>
  <c r="M1176" i="37"/>
  <c r="M1173" i="37" s="1"/>
  <c r="M1174" i="37" s="1"/>
  <c r="L1176" i="37"/>
  <c r="L1173" i="37" s="1"/>
  <c r="L1174" i="37" s="1"/>
  <c r="K1176" i="37"/>
  <c r="K1173" i="37" s="1"/>
  <c r="K1174" i="37" s="1"/>
  <c r="J1176" i="37"/>
  <c r="J1173" i="37" s="1"/>
  <c r="J1174" i="37" s="1"/>
  <c r="I1176" i="37"/>
  <c r="I1173" i="37" s="1"/>
  <c r="I1174" i="37" s="1"/>
  <c r="H1176" i="37"/>
  <c r="H1173" i="37" s="1"/>
  <c r="H1174" i="37" s="1"/>
  <c r="N1175" i="37"/>
  <c r="M1175" i="37"/>
  <c r="L1175" i="37"/>
  <c r="K1175" i="37"/>
  <c r="J1175" i="37"/>
  <c r="I1175" i="37"/>
  <c r="H1175" i="37"/>
  <c r="N1164" i="37"/>
  <c r="N1161" i="37" s="1"/>
  <c r="N1162" i="37" s="1"/>
  <c r="M1164" i="37"/>
  <c r="M1161" i="37" s="1"/>
  <c r="M1162" i="37" s="1"/>
  <c r="L1164" i="37"/>
  <c r="L1161" i="37" s="1"/>
  <c r="L1162" i="37" s="1"/>
  <c r="K1164" i="37"/>
  <c r="K1161" i="37" s="1"/>
  <c r="K1162" i="37" s="1"/>
  <c r="J1164" i="37"/>
  <c r="J1161" i="37" s="1"/>
  <c r="J1162" i="37" s="1"/>
  <c r="I1164" i="37"/>
  <c r="I1161" i="37" s="1"/>
  <c r="I1162" i="37" s="1"/>
  <c r="H1164" i="37"/>
  <c r="H1161" i="37" s="1"/>
  <c r="H1162" i="37" s="1"/>
  <c r="N1163" i="37"/>
  <c r="M1163" i="37"/>
  <c r="L1163" i="37"/>
  <c r="K1163" i="37"/>
  <c r="J1163" i="37"/>
  <c r="I1163" i="37"/>
  <c r="H1163" i="37"/>
  <c r="I1109" i="37"/>
  <c r="H1109" i="37"/>
  <c r="D1100" i="37"/>
  <c r="D1101" i="37" s="1"/>
  <c r="D1102" i="37" s="1"/>
  <c r="D1103" i="37" s="1"/>
  <c r="D1104" i="37" s="1"/>
  <c r="D1105" i="37" s="1"/>
  <c r="D1106" i="37" s="1"/>
  <c r="D1107" i="37" s="1"/>
  <c r="D1108" i="37" s="1"/>
  <c r="H1056" i="37"/>
  <c r="N1051" i="37"/>
  <c r="M1051" i="37"/>
  <c r="L1051" i="37"/>
  <c r="K1051" i="37"/>
  <c r="J1051" i="37"/>
  <c r="I1051" i="37"/>
  <c r="H1031" i="37"/>
  <c r="H1040" i="37" s="1"/>
  <c r="N1024" i="37"/>
  <c r="M1024" i="37"/>
  <c r="L1024" i="37"/>
  <c r="K1024" i="37"/>
  <c r="J1024" i="37"/>
  <c r="I1024" i="37"/>
  <c r="H1024" i="37"/>
  <c r="N1023" i="37"/>
  <c r="M1023" i="37"/>
  <c r="L1023" i="37"/>
  <c r="K1023" i="37"/>
  <c r="J1023" i="37"/>
  <c r="I1023" i="37"/>
  <c r="N944" i="37"/>
  <c r="M944" i="37"/>
  <c r="L944" i="37"/>
  <c r="K944" i="37"/>
  <c r="J944" i="37"/>
  <c r="I944" i="37"/>
  <c r="H944" i="37"/>
  <c r="N935" i="37"/>
  <c r="Z935" i="37" s="1"/>
  <c r="M935" i="37"/>
  <c r="Y935" i="37" s="1"/>
  <c r="L935" i="37"/>
  <c r="X935" i="37" s="1"/>
  <c r="K935" i="37"/>
  <c r="W935" i="37" s="1"/>
  <c r="J935" i="37"/>
  <c r="V935" i="37" s="1"/>
  <c r="I935" i="37"/>
  <c r="U935" i="37" s="1"/>
  <c r="H935" i="37"/>
  <c r="T935" i="37" s="1"/>
  <c r="G913" i="37"/>
  <c r="H917" i="37" s="1"/>
  <c r="H926" i="37" s="1"/>
  <c r="N910" i="37"/>
  <c r="M910" i="37"/>
  <c r="L910" i="37"/>
  <c r="K910" i="37"/>
  <c r="J910" i="37"/>
  <c r="I910" i="37"/>
  <c r="H910" i="37"/>
  <c r="N900" i="37"/>
  <c r="M900" i="37"/>
  <c r="L900" i="37"/>
  <c r="K900" i="37"/>
  <c r="J900" i="37"/>
  <c r="I900" i="37"/>
  <c r="H900" i="37"/>
  <c r="N891" i="37"/>
  <c r="M891" i="37"/>
  <c r="L891" i="37"/>
  <c r="K891" i="37"/>
  <c r="J891" i="37"/>
  <c r="I891" i="37"/>
  <c r="H891" i="37"/>
  <c r="N854" i="37"/>
  <c r="N851" i="37" s="1"/>
  <c r="N852" i="37" s="1"/>
  <c r="M854" i="37"/>
  <c r="M851" i="37" s="1"/>
  <c r="M852" i="37" s="1"/>
  <c r="L854" i="37"/>
  <c r="L851" i="37" s="1"/>
  <c r="L852" i="37" s="1"/>
  <c r="K854" i="37"/>
  <c r="K851" i="37" s="1"/>
  <c r="K852" i="37" s="1"/>
  <c r="J854" i="37"/>
  <c r="J851" i="37" s="1"/>
  <c r="J852" i="37" s="1"/>
  <c r="I854" i="37"/>
  <c r="I851" i="37" s="1"/>
  <c r="I852" i="37" s="1"/>
  <c r="H854" i="37"/>
  <c r="H851" i="37" s="1"/>
  <c r="H852" i="37" s="1"/>
  <c r="N853" i="37"/>
  <c r="M853" i="37"/>
  <c r="L853" i="37"/>
  <c r="K853" i="37"/>
  <c r="J853" i="37"/>
  <c r="I853" i="37"/>
  <c r="H853" i="37"/>
  <c r="N842" i="37"/>
  <c r="N839" i="37" s="1"/>
  <c r="N840" i="37" s="1"/>
  <c r="M842" i="37"/>
  <c r="M839" i="37" s="1"/>
  <c r="M840" i="37" s="1"/>
  <c r="L842" i="37"/>
  <c r="L839" i="37" s="1"/>
  <c r="L840" i="37" s="1"/>
  <c r="K842" i="37"/>
  <c r="K839" i="37" s="1"/>
  <c r="K840" i="37" s="1"/>
  <c r="J842" i="37"/>
  <c r="J839" i="37" s="1"/>
  <c r="J840" i="37" s="1"/>
  <c r="I842" i="37"/>
  <c r="I839" i="37" s="1"/>
  <c r="I840" i="37" s="1"/>
  <c r="H842" i="37"/>
  <c r="H839" i="37" s="1"/>
  <c r="H840" i="37" s="1"/>
  <c r="N841" i="37"/>
  <c r="M841" i="37"/>
  <c r="L841" i="37"/>
  <c r="K841" i="37"/>
  <c r="J841" i="37"/>
  <c r="I841" i="37"/>
  <c r="H841" i="37"/>
  <c r="N787" i="37"/>
  <c r="M787" i="37"/>
  <c r="L787" i="37"/>
  <c r="K787" i="37"/>
  <c r="J787" i="37"/>
  <c r="I787" i="37"/>
  <c r="H787" i="37"/>
  <c r="D778" i="37"/>
  <c r="D779" i="37" s="1"/>
  <c r="D780" i="37" s="1"/>
  <c r="D781" i="37" s="1"/>
  <c r="D782" i="37" s="1"/>
  <c r="D783" i="37" s="1"/>
  <c r="D784" i="37" s="1"/>
  <c r="D785" i="37" s="1"/>
  <c r="D786" i="37" s="1"/>
  <c r="H734" i="37"/>
  <c r="N729" i="37"/>
  <c r="M729" i="37"/>
  <c r="L729" i="37"/>
  <c r="K729" i="37"/>
  <c r="J729" i="37"/>
  <c r="I729" i="37"/>
  <c r="H709" i="37"/>
  <c r="H712" i="37" s="1"/>
  <c r="N702" i="37"/>
  <c r="M702" i="37"/>
  <c r="L702" i="37"/>
  <c r="K702" i="37"/>
  <c r="J702" i="37"/>
  <c r="I702" i="37"/>
  <c r="H702" i="37"/>
  <c r="N701" i="37"/>
  <c r="M701" i="37"/>
  <c r="L701" i="37"/>
  <c r="K701" i="37"/>
  <c r="J701" i="37"/>
  <c r="I701" i="37"/>
  <c r="N622" i="37"/>
  <c r="M622" i="37"/>
  <c r="L622" i="37"/>
  <c r="K622" i="37"/>
  <c r="J622" i="37"/>
  <c r="I622" i="37"/>
  <c r="H622" i="37"/>
  <c r="N613" i="37"/>
  <c r="Z613" i="37" s="1"/>
  <c r="M613" i="37"/>
  <c r="Y613" i="37" s="1"/>
  <c r="L613" i="37"/>
  <c r="X613" i="37" s="1"/>
  <c r="K613" i="37"/>
  <c r="W613" i="37" s="1"/>
  <c r="J613" i="37"/>
  <c r="V613" i="37" s="1"/>
  <c r="I613" i="37"/>
  <c r="U613" i="37" s="1"/>
  <c r="H613" i="37"/>
  <c r="T613" i="37" s="1"/>
  <c r="G591" i="37"/>
  <c r="H595" i="37" s="1"/>
  <c r="H598" i="37" s="1"/>
  <c r="N588" i="37"/>
  <c r="M588" i="37"/>
  <c r="L588" i="37"/>
  <c r="K588" i="37"/>
  <c r="J588" i="37"/>
  <c r="I588" i="37"/>
  <c r="H588" i="37"/>
  <c r="N578" i="37"/>
  <c r="M578" i="37"/>
  <c r="L578" i="37"/>
  <c r="K578" i="37"/>
  <c r="J578" i="37"/>
  <c r="I578" i="37"/>
  <c r="H578" i="37"/>
  <c r="N569" i="37"/>
  <c r="M569" i="37"/>
  <c r="L569" i="37"/>
  <c r="K569" i="37"/>
  <c r="J569" i="37"/>
  <c r="I569" i="37"/>
  <c r="H569" i="37"/>
  <c r="N532" i="37"/>
  <c r="N529" i="37" s="1"/>
  <c r="N530" i="37" s="1"/>
  <c r="M532" i="37"/>
  <c r="M529" i="37" s="1"/>
  <c r="M530" i="37" s="1"/>
  <c r="L532" i="37"/>
  <c r="L529" i="37" s="1"/>
  <c r="L530" i="37" s="1"/>
  <c r="K532" i="37"/>
  <c r="K529" i="37" s="1"/>
  <c r="K530" i="37" s="1"/>
  <c r="J532" i="37"/>
  <c r="J529" i="37" s="1"/>
  <c r="J530" i="37" s="1"/>
  <c r="I532" i="37"/>
  <c r="I529" i="37" s="1"/>
  <c r="I530" i="37" s="1"/>
  <c r="H532" i="37"/>
  <c r="H529" i="37" s="1"/>
  <c r="H530" i="37" s="1"/>
  <c r="N531" i="37"/>
  <c r="M531" i="37"/>
  <c r="L531" i="37"/>
  <c r="K531" i="37"/>
  <c r="J531" i="37"/>
  <c r="I531" i="37"/>
  <c r="H531" i="37"/>
  <c r="N520" i="37"/>
  <c r="N517" i="37" s="1"/>
  <c r="N518" i="37" s="1"/>
  <c r="M520" i="37"/>
  <c r="M517" i="37" s="1"/>
  <c r="M518" i="37" s="1"/>
  <c r="L520" i="37"/>
  <c r="L517" i="37" s="1"/>
  <c r="L518" i="37" s="1"/>
  <c r="K520" i="37"/>
  <c r="K517" i="37" s="1"/>
  <c r="K518" i="37" s="1"/>
  <c r="J520" i="37"/>
  <c r="J517" i="37" s="1"/>
  <c r="J518" i="37" s="1"/>
  <c r="I520" i="37"/>
  <c r="I517" i="37" s="1"/>
  <c r="I518" i="37" s="1"/>
  <c r="H520" i="37"/>
  <c r="H517" i="37" s="1"/>
  <c r="H518" i="37" s="1"/>
  <c r="N519" i="37"/>
  <c r="M519" i="37"/>
  <c r="L519" i="37"/>
  <c r="K519" i="37"/>
  <c r="J519" i="37"/>
  <c r="I519" i="37"/>
  <c r="H519" i="37"/>
  <c r="N465" i="37"/>
  <c r="M465" i="37"/>
  <c r="L465" i="37"/>
  <c r="K465" i="37"/>
  <c r="J465" i="37"/>
  <c r="I465" i="37"/>
  <c r="H465" i="37"/>
  <c r="D456" i="37"/>
  <c r="D457" i="37" s="1"/>
  <c r="D458" i="37" s="1"/>
  <c r="D459" i="37" s="1"/>
  <c r="D460" i="37" s="1"/>
  <c r="D461" i="37" s="1"/>
  <c r="D462" i="37" s="1"/>
  <c r="D463" i="37" s="1"/>
  <c r="D464" i="37" s="1"/>
  <c r="H412" i="37"/>
  <c r="N407" i="37"/>
  <c r="M407" i="37"/>
  <c r="L407" i="37"/>
  <c r="K407" i="37"/>
  <c r="J407" i="37"/>
  <c r="I407" i="37"/>
  <c r="H387" i="37"/>
  <c r="N380" i="37"/>
  <c r="M380" i="37"/>
  <c r="L380" i="37"/>
  <c r="K380" i="37"/>
  <c r="J380" i="37"/>
  <c r="I380" i="37"/>
  <c r="H380" i="37"/>
  <c r="N379" i="37"/>
  <c r="M379" i="37"/>
  <c r="L379" i="37"/>
  <c r="K379" i="37"/>
  <c r="J379" i="37"/>
  <c r="R252" i="49"/>
  <c r="S252" i="49"/>
  <c r="R203" i="49"/>
  <c r="S203" i="49"/>
  <c r="Y28" i="49"/>
  <c r="X28" i="49"/>
  <c r="M16" i="41" s="1"/>
  <c r="W28" i="49"/>
  <c r="L71" i="50" s="1"/>
  <c r="V28" i="49"/>
  <c r="K71" i="50" s="1"/>
  <c r="U28" i="49"/>
  <c r="T28" i="49"/>
  <c r="I16" i="41" s="1"/>
  <c r="S28" i="49"/>
  <c r="Y26" i="49"/>
  <c r="N69" i="50" s="1"/>
  <c r="X26" i="49"/>
  <c r="M69" i="50" s="1"/>
  <c r="W26" i="49"/>
  <c r="L69" i="50" s="1"/>
  <c r="V26" i="49"/>
  <c r="K69" i="50" s="1"/>
  <c r="U26" i="49"/>
  <c r="J69" i="50" s="1"/>
  <c r="T26" i="49"/>
  <c r="I69" i="50" s="1"/>
  <c r="S26" i="49"/>
  <c r="H69" i="50" s="1"/>
  <c r="Y24" i="49"/>
  <c r="N67" i="50" s="1"/>
  <c r="X24" i="49"/>
  <c r="M67" i="50" s="1"/>
  <c r="W24" i="49"/>
  <c r="V24" i="49"/>
  <c r="K67" i="50" s="1"/>
  <c r="U24" i="49"/>
  <c r="J67" i="50" s="1"/>
  <c r="T24" i="49"/>
  <c r="I67" i="50" s="1"/>
  <c r="S24" i="49"/>
  <c r="Y23" i="49"/>
  <c r="N66" i="50" s="1"/>
  <c r="X23" i="49"/>
  <c r="M66" i="50" s="1"/>
  <c r="W23" i="49"/>
  <c r="L66" i="50" s="1"/>
  <c r="V23" i="49"/>
  <c r="K66" i="50" s="1"/>
  <c r="U23" i="49"/>
  <c r="J66" i="50" s="1"/>
  <c r="T23" i="49"/>
  <c r="I66" i="50" s="1"/>
  <c r="S23" i="49"/>
  <c r="H66" i="50" s="1"/>
  <c r="Y22" i="49"/>
  <c r="N65" i="50" s="1"/>
  <c r="X22" i="49"/>
  <c r="M65" i="50" s="1"/>
  <c r="W22" i="49"/>
  <c r="L65" i="50" s="1"/>
  <c r="V22" i="49"/>
  <c r="K65" i="50" s="1"/>
  <c r="U22" i="49"/>
  <c r="J65" i="50" s="1"/>
  <c r="T22" i="49"/>
  <c r="I65" i="50" s="1"/>
  <c r="S22" i="49"/>
  <c r="H65" i="50" s="1"/>
  <c r="Y21" i="49"/>
  <c r="X21" i="49"/>
  <c r="M64" i="50" s="1"/>
  <c r="W21" i="49"/>
  <c r="L64" i="50" s="1"/>
  <c r="V21" i="49"/>
  <c r="V25" i="49" s="1"/>
  <c r="U21" i="49"/>
  <c r="J64" i="50" s="1"/>
  <c r="T21" i="49"/>
  <c r="I64" i="50" s="1"/>
  <c r="S21" i="49"/>
  <c r="H64" i="50" s="1"/>
  <c r="Z971" i="42"/>
  <c r="Y971" i="42"/>
  <c r="X971" i="42"/>
  <c r="W971" i="42"/>
  <c r="V971" i="42"/>
  <c r="U971" i="42"/>
  <c r="T971" i="42"/>
  <c r="F921" i="42"/>
  <c r="N920" i="42"/>
  <c r="N926" i="42" s="1"/>
  <c r="M920" i="42"/>
  <c r="M926" i="42" s="1"/>
  <c r="L920" i="42"/>
  <c r="L926" i="42" s="1"/>
  <c r="K920" i="42"/>
  <c r="K926" i="42" s="1"/>
  <c r="J920" i="42"/>
  <c r="J926" i="42" s="1"/>
  <c r="I920" i="42"/>
  <c r="I926" i="42" s="1"/>
  <c r="F920" i="42"/>
  <c r="F919" i="42"/>
  <c r="F918" i="42"/>
  <c r="F917" i="42"/>
  <c r="F916" i="42"/>
  <c r="F915" i="42"/>
  <c r="F914" i="42"/>
  <c r="F913" i="42"/>
  <c r="F912" i="42"/>
  <c r="F911" i="42"/>
  <c r="D911" i="42"/>
  <c r="D912" i="42" s="1"/>
  <c r="D913" i="42" s="1"/>
  <c r="D914" i="42" s="1"/>
  <c r="D915" i="42" s="1"/>
  <c r="D916" i="42" s="1"/>
  <c r="D917" i="42" s="1"/>
  <c r="D918" i="42" s="1"/>
  <c r="D919" i="42" s="1"/>
  <c r="F910" i="42"/>
  <c r="N897" i="42"/>
  <c r="M897" i="42"/>
  <c r="L897" i="42"/>
  <c r="K897" i="42"/>
  <c r="J897" i="42"/>
  <c r="F897" i="42"/>
  <c r="E911" i="42"/>
  <c r="G920" i="42"/>
  <c r="Y784" i="42"/>
  <c r="X784" i="42"/>
  <c r="W784" i="42"/>
  <c r="V784" i="42"/>
  <c r="U784" i="42"/>
  <c r="T784" i="42"/>
  <c r="E327" i="50"/>
  <c r="N224" i="50"/>
  <c r="M224" i="50"/>
  <c r="L224" i="50"/>
  <c r="K224" i="50"/>
  <c r="J224" i="50"/>
  <c r="I224" i="50"/>
  <c r="H224" i="50"/>
  <c r="N223" i="50"/>
  <c r="M223" i="50"/>
  <c r="L223" i="50"/>
  <c r="K223" i="50"/>
  <c r="J223" i="50"/>
  <c r="I223" i="50"/>
  <c r="H223" i="50"/>
  <c r="N222" i="50"/>
  <c r="M222" i="50"/>
  <c r="L222" i="50"/>
  <c r="K222" i="50"/>
  <c r="J222" i="50"/>
  <c r="I222" i="50"/>
  <c r="H222" i="50"/>
  <c r="C335" i="37"/>
  <c r="C657" i="37" s="1"/>
  <c r="Q657" i="37" s="1"/>
  <c r="P2067" i="50"/>
  <c r="P2065" i="50"/>
  <c r="H2051" i="50"/>
  <c r="H2048" i="50"/>
  <c r="P2043" i="50"/>
  <c r="P2040" i="50"/>
  <c r="P2038" i="50" s="1"/>
  <c r="P2039" i="50" s="1"/>
  <c r="P2024" i="50"/>
  <c r="P1903" i="50"/>
  <c r="P1901" i="50"/>
  <c r="H1887" i="50"/>
  <c r="H1884" i="50"/>
  <c r="P1879" i="50"/>
  <c r="P1876" i="50"/>
  <c r="P1860" i="50"/>
  <c r="P1739" i="50"/>
  <c r="P1737" i="50"/>
  <c r="H1723" i="50"/>
  <c r="H1720" i="50"/>
  <c r="P1715" i="50"/>
  <c r="P1712" i="50"/>
  <c r="P1710" i="50" s="1"/>
  <c r="P1711" i="50" s="1"/>
  <c r="P1696" i="50"/>
  <c r="P1575" i="50"/>
  <c r="P1573" i="50"/>
  <c r="H1559" i="50"/>
  <c r="H1556" i="50"/>
  <c r="P1551" i="50"/>
  <c r="P1548" i="50"/>
  <c r="P1532" i="50"/>
  <c r="P1411" i="50"/>
  <c r="P1409" i="50"/>
  <c r="H1395" i="50"/>
  <c r="H1392" i="50"/>
  <c r="P1387" i="50"/>
  <c r="P1384" i="50"/>
  <c r="P1368" i="50"/>
  <c r="P1366" i="50" s="1"/>
  <c r="P1367" i="50" s="1"/>
  <c r="P1247" i="50"/>
  <c r="P1245" i="50"/>
  <c r="H1231" i="50"/>
  <c r="H1228" i="50"/>
  <c r="P1223" i="50"/>
  <c r="P1220" i="50"/>
  <c r="P1218" i="50" s="1"/>
  <c r="P1219" i="50" s="1"/>
  <c r="P1204" i="50"/>
  <c r="P1083" i="50"/>
  <c r="P1081" i="50"/>
  <c r="H1067" i="50"/>
  <c r="H1064" i="50"/>
  <c r="P1059" i="50"/>
  <c r="P1056" i="50"/>
  <c r="P1040" i="50"/>
  <c r="P919" i="50"/>
  <c r="P917" i="50"/>
  <c r="H903" i="50"/>
  <c r="H900" i="50"/>
  <c r="P895" i="50"/>
  <c r="P892" i="50"/>
  <c r="P876" i="50"/>
  <c r="C2185" i="50"/>
  <c r="Q2185" i="50" s="1"/>
  <c r="C641" i="50"/>
  <c r="C805" i="50" s="1"/>
  <c r="P591" i="50"/>
  <c r="P589" i="50"/>
  <c r="H575" i="50"/>
  <c r="H572" i="50"/>
  <c r="P567" i="50"/>
  <c r="P564" i="50"/>
  <c r="P548" i="50"/>
  <c r="P546" i="50" s="1"/>
  <c r="P547" i="50" s="1"/>
  <c r="Q477" i="50"/>
  <c r="S384" i="43"/>
  <c r="N1180" i="42"/>
  <c r="M1180" i="42"/>
  <c r="L1180" i="42"/>
  <c r="K1180" i="42"/>
  <c r="J1180" i="42"/>
  <c r="D1137" i="42"/>
  <c r="D1138" i="42" s="1"/>
  <c r="D1139" i="42" s="1"/>
  <c r="D1140" i="42" s="1"/>
  <c r="D1141" i="42" s="1"/>
  <c r="D1142" i="42" s="1"/>
  <c r="D1143" i="42" s="1"/>
  <c r="D1144" i="42" s="1"/>
  <c r="D1145" i="42" s="1"/>
  <c r="Z784" i="42"/>
  <c r="F734" i="42"/>
  <c r="N733" i="42"/>
  <c r="N739" i="42" s="1"/>
  <c r="M733" i="42"/>
  <c r="M739" i="42" s="1"/>
  <c r="L733" i="42"/>
  <c r="L739" i="42" s="1"/>
  <c r="K733" i="42"/>
  <c r="K739" i="42" s="1"/>
  <c r="J733" i="42"/>
  <c r="J739" i="42" s="1"/>
  <c r="I733" i="42"/>
  <c r="I739" i="42" s="1"/>
  <c r="H733" i="42"/>
  <c r="G733" i="42"/>
  <c r="F733" i="42"/>
  <c r="F732" i="42"/>
  <c r="F731" i="42"/>
  <c r="F730" i="42"/>
  <c r="F729" i="42"/>
  <c r="F728" i="42"/>
  <c r="F727" i="42"/>
  <c r="F726" i="42"/>
  <c r="F725" i="42"/>
  <c r="F724" i="42"/>
  <c r="D724" i="42"/>
  <c r="D725" i="42" s="1"/>
  <c r="D726" i="42" s="1"/>
  <c r="D727" i="42" s="1"/>
  <c r="D728" i="42" s="1"/>
  <c r="D729" i="42" s="1"/>
  <c r="D730" i="42" s="1"/>
  <c r="D731" i="42" s="1"/>
  <c r="D732" i="42" s="1"/>
  <c r="F723" i="42"/>
  <c r="N710" i="42"/>
  <c r="M710" i="42"/>
  <c r="L710" i="42"/>
  <c r="K710" i="42"/>
  <c r="J710" i="42"/>
  <c r="I710" i="42"/>
  <c r="H710" i="42"/>
  <c r="G710" i="42"/>
  <c r="F710" i="42"/>
  <c r="E725" i="42"/>
  <c r="D664" i="42"/>
  <c r="D665" i="42" s="1"/>
  <c r="D666" i="42" s="1"/>
  <c r="D667" i="42" s="1"/>
  <c r="D668" i="42" s="1"/>
  <c r="D669" i="42" s="1"/>
  <c r="D670" i="42" s="1"/>
  <c r="D671" i="42" s="1"/>
  <c r="D672" i="42" s="1"/>
  <c r="N605" i="42"/>
  <c r="M605" i="42"/>
  <c r="L605" i="42"/>
  <c r="K605" i="42"/>
  <c r="J605" i="42"/>
  <c r="I605" i="42"/>
  <c r="H605" i="42"/>
  <c r="Z602" i="42"/>
  <c r="Y602" i="42"/>
  <c r="X602" i="42"/>
  <c r="W602" i="42"/>
  <c r="V602" i="42"/>
  <c r="U602" i="42"/>
  <c r="T602" i="42"/>
  <c r="Z598" i="42"/>
  <c r="Y598" i="42"/>
  <c r="X598" i="42"/>
  <c r="W598" i="42"/>
  <c r="V598" i="42"/>
  <c r="U598" i="42"/>
  <c r="T598" i="42"/>
  <c r="Z594" i="42"/>
  <c r="Y594" i="42"/>
  <c r="X594" i="42"/>
  <c r="W594" i="42"/>
  <c r="V594" i="42"/>
  <c r="U594" i="42"/>
  <c r="T594" i="42"/>
  <c r="Z590" i="42"/>
  <c r="Y590" i="42"/>
  <c r="X590" i="42"/>
  <c r="W590" i="42"/>
  <c r="V590" i="42"/>
  <c r="U590" i="42"/>
  <c r="T590" i="42"/>
  <c r="Z586" i="42"/>
  <c r="Y586" i="42"/>
  <c r="X586" i="42"/>
  <c r="W586" i="42"/>
  <c r="V586" i="42"/>
  <c r="U586" i="42"/>
  <c r="T586" i="42"/>
  <c r="D521" i="42"/>
  <c r="D522" i="42" s="1"/>
  <c r="D523" i="42" s="1"/>
  <c r="D524" i="42" s="1"/>
  <c r="D525" i="42" s="1"/>
  <c r="D526" i="42" s="1"/>
  <c r="D527" i="42" s="1"/>
  <c r="D528" i="42" s="1"/>
  <c r="D529" i="42" s="1"/>
  <c r="C249" i="42"/>
  <c r="I249" i="42" s="1"/>
  <c r="N482" i="42"/>
  <c r="M482" i="42"/>
  <c r="L482" i="42"/>
  <c r="K482" i="42"/>
  <c r="J482" i="42"/>
  <c r="I482" i="42"/>
  <c r="H482" i="42"/>
  <c r="F376" i="42"/>
  <c r="N375" i="42"/>
  <c r="N381" i="42" s="1"/>
  <c r="M375" i="42"/>
  <c r="M381" i="42" s="1"/>
  <c r="L375" i="42"/>
  <c r="L381" i="42" s="1"/>
  <c r="K375" i="42"/>
  <c r="K381" i="42" s="1"/>
  <c r="J375" i="42"/>
  <c r="J381" i="42" s="1"/>
  <c r="I375" i="42"/>
  <c r="I381" i="42" s="1"/>
  <c r="H375" i="42"/>
  <c r="H381" i="42" s="1"/>
  <c r="G375" i="42"/>
  <c r="F375" i="42"/>
  <c r="F374" i="42"/>
  <c r="F373" i="42"/>
  <c r="F372" i="42"/>
  <c r="F371" i="42"/>
  <c r="F370" i="42"/>
  <c r="F369" i="42"/>
  <c r="F368" i="42"/>
  <c r="F367" i="42"/>
  <c r="F366" i="42"/>
  <c r="D366" i="42"/>
  <c r="D367" i="42" s="1"/>
  <c r="D368" i="42" s="1"/>
  <c r="D369" i="42" s="1"/>
  <c r="D370" i="42" s="1"/>
  <c r="D371" i="42" s="1"/>
  <c r="D372" i="42" s="1"/>
  <c r="D373" i="42" s="1"/>
  <c r="D374" i="42" s="1"/>
  <c r="F365" i="42"/>
  <c r="N352" i="42"/>
  <c r="M352" i="42"/>
  <c r="L352" i="42"/>
  <c r="K352" i="42"/>
  <c r="J352" i="42"/>
  <c r="I352" i="42"/>
  <c r="H352" i="42"/>
  <c r="G352" i="42"/>
  <c r="F352" i="42"/>
  <c r="D343" i="42"/>
  <c r="D344" i="42" s="1"/>
  <c r="D345" i="42" s="1"/>
  <c r="D346" i="42" s="1"/>
  <c r="D347" i="42" s="1"/>
  <c r="D348" i="42" s="1"/>
  <c r="D349" i="42" s="1"/>
  <c r="D350" i="42" s="1"/>
  <c r="D351" i="42" s="1"/>
  <c r="D306" i="42"/>
  <c r="D307" i="42" s="1"/>
  <c r="D308" i="42" s="1"/>
  <c r="D309" i="42" s="1"/>
  <c r="D310" i="42" s="1"/>
  <c r="D311" i="42" s="1"/>
  <c r="D312" i="42" s="1"/>
  <c r="D313" i="42" s="1"/>
  <c r="D314" i="42" s="1"/>
  <c r="Y31" i="43"/>
  <c r="H16" i="50"/>
  <c r="Z282" i="37"/>
  <c r="Y282" i="37"/>
  <c r="X282" i="37"/>
  <c r="W282" i="37"/>
  <c r="V282" i="37"/>
  <c r="N262" i="49"/>
  <c r="N204" i="50" s="1"/>
  <c r="M262" i="49"/>
  <c r="L262" i="49"/>
  <c r="K262" i="49"/>
  <c r="K204" i="50" s="1"/>
  <c r="J262" i="49"/>
  <c r="J267" i="49" s="1"/>
  <c r="J205" i="50" s="1"/>
  <c r="N212" i="49"/>
  <c r="N192" i="50" s="1"/>
  <c r="M212" i="49"/>
  <c r="M219" i="49" s="1"/>
  <c r="M193" i="50" s="1"/>
  <c r="L212" i="49"/>
  <c r="L192" i="50" s="1"/>
  <c r="K212" i="49"/>
  <c r="J212" i="49"/>
  <c r="J219" i="49" s="1"/>
  <c r="J193" i="50" s="1"/>
  <c r="E396" i="43"/>
  <c r="E397" i="43" s="1"/>
  <c r="E398" i="43" s="1"/>
  <c r="E399" i="43" s="1"/>
  <c r="E400" i="43" s="1"/>
  <c r="E401" i="43" s="1"/>
  <c r="E402" i="43" s="1"/>
  <c r="E403" i="43" s="1"/>
  <c r="E404" i="43" s="1"/>
  <c r="E384" i="43"/>
  <c r="E385" i="43" s="1"/>
  <c r="E386" i="43" s="1"/>
  <c r="E387" i="43" s="1"/>
  <c r="E388" i="43" s="1"/>
  <c r="E389" i="43" s="1"/>
  <c r="E390" i="43" s="1"/>
  <c r="E391" i="43" s="1"/>
  <c r="E392" i="43" s="1"/>
  <c r="N115" i="42"/>
  <c r="M115" i="42"/>
  <c r="N138" i="42"/>
  <c r="N144" i="42" s="1"/>
  <c r="M138" i="42"/>
  <c r="M144" i="42" s="1"/>
  <c r="R21" i="43"/>
  <c r="H90" i="37"/>
  <c r="H99" i="37" s="1"/>
  <c r="I3244" i="37"/>
  <c r="H3244" i="37"/>
  <c r="R378" i="43"/>
  <c r="R377" i="43"/>
  <c r="R376" i="43"/>
  <c r="R375" i="43"/>
  <c r="R374" i="43"/>
  <c r="R373" i="43"/>
  <c r="R372" i="43"/>
  <c r="R371" i="43"/>
  <c r="R370" i="43"/>
  <c r="R369" i="43"/>
  <c r="N227" i="43"/>
  <c r="N228" i="43" s="1"/>
  <c r="N229" i="43" s="1"/>
  <c r="N230" i="43" s="1"/>
  <c r="N231" i="43" s="1"/>
  <c r="N232" i="43" s="1"/>
  <c r="M227" i="43"/>
  <c r="M228" i="43" s="1"/>
  <c r="M229" i="43" s="1"/>
  <c r="M230" i="43" s="1"/>
  <c r="M231" i="43" s="1"/>
  <c r="M232" i="43" s="1"/>
  <c r="L227" i="43"/>
  <c r="L228" i="43" s="1"/>
  <c r="L229" i="43" s="1"/>
  <c r="L230" i="43" s="1"/>
  <c r="L231" i="43" s="1"/>
  <c r="L232" i="43" s="1"/>
  <c r="K227" i="43"/>
  <c r="K228" i="43" s="1"/>
  <c r="K229" i="43" s="1"/>
  <c r="K230" i="43" s="1"/>
  <c r="K231" i="43" s="1"/>
  <c r="K232" i="43" s="1"/>
  <c r="J227" i="43"/>
  <c r="J228" i="43" s="1"/>
  <c r="J229" i="43" s="1"/>
  <c r="J230" i="43" s="1"/>
  <c r="J231" i="43" s="1"/>
  <c r="J232" i="43" s="1"/>
  <c r="I227" i="43"/>
  <c r="I228" i="43" s="1"/>
  <c r="I229" i="43" s="1"/>
  <c r="I230" i="43" s="1"/>
  <c r="I231" i="43" s="1"/>
  <c r="I232" i="43" s="1"/>
  <c r="H227" i="43"/>
  <c r="H228" i="43" s="1"/>
  <c r="H229" i="43" s="1"/>
  <c r="H230" i="43" s="1"/>
  <c r="H231" i="43" s="1"/>
  <c r="H232" i="43" s="1"/>
  <c r="G227" i="43"/>
  <c r="G228" i="43" s="1"/>
  <c r="G229" i="43" s="1"/>
  <c r="G230" i="43" s="1"/>
  <c r="G231" i="43" s="1"/>
  <c r="G232" i="43" s="1"/>
  <c r="E216" i="43"/>
  <c r="E217" i="43" s="1"/>
  <c r="E218" i="43" s="1"/>
  <c r="E219" i="43" s="1"/>
  <c r="E222" i="43"/>
  <c r="E223" i="43" s="1"/>
  <c r="E224" i="43" s="1"/>
  <c r="E225" i="43" s="1"/>
  <c r="G438" i="43"/>
  <c r="Z83" i="37"/>
  <c r="Y83" i="37"/>
  <c r="N256" i="43"/>
  <c r="H152" i="62"/>
  <c r="H151" i="62"/>
  <c r="H150" i="62"/>
  <c r="H149" i="62"/>
  <c r="H148" i="62"/>
  <c r="H147" i="62"/>
  <c r="H146" i="62"/>
  <c r="N135" i="62"/>
  <c r="N157" i="62" s="1"/>
  <c r="L135" i="62"/>
  <c r="L157" i="62" s="1"/>
  <c r="N134" i="62"/>
  <c r="N156" i="62" s="1"/>
  <c r="M134" i="62"/>
  <c r="M156" i="62" s="1"/>
  <c r="L134" i="62"/>
  <c r="L156" i="62" s="1"/>
  <c r="Y242" i="42"/>
  <c r="X242" i="42"/>
  <c r="W242" i="42"/>
  <c r="V242" i="42"/>
  <c r="U242" i="42"/>
  <c r="T242" i="42"/>
  <c r="Y238" i="42"/>
  <c r="X238" i="42"/>
  <c r="W238" i="42"/>
  <c r="V238" i="42"/>
  <c r="U238" i="42"/>
  <c r="T238" i="42"/>
  <c r="Y234" i="42"/>
  <c r="X234" i="42"/>
  <c r="W234" i="42"/>
  <c r="V234" i="42"/>
  <c r="U234" i="42"/>
  <c r="T234" i="42"/>
  <c r="Y230" i="42"/>
  <c r="X230" i="42"/>
  <c r="W230" i="42"/>
  <c r="V230" i="42"/>
  <c r="U230" i="42"/>
  <c r="T230" i="42"/>
  <c r="Y226" i="42"/>
  <c r="X226" i="42"/>
  <c r="W226" i="42"/>
  <c r="V226" i="42"/>
  <c r="U226" i="42"/>
  <c r="T226" i="42"/>
  <c r="J30" i="50"/>
  <c r="H359" i="47"/>
  <c r="H365" i="47" s="1"/>
  <c r="I359" i="47"/>
  <c r="I365" i="47" s="1"/>
  <c r="H336" i="47"/>
  <c r="I336" i="47"/>
  <c r="H303" i="47"/>
  <c r="I303" i="47"/>
  <c r="H270" i="47"/>
  <c r="I270" i="47"/>
  <c r="F115" i="42"/>
  <c r="E355" i="43"/>
  <c r="E356" i="43" s="1"/>
  <c r="E357" i="43" s="1"/>
  <c r="E358" i="43" s="1"/>
  <c r="E359" i="43" s="1"/>
  <c r="E360" i="43" s="1"/>
  <c r="E361" i="43" s="1"/>
  <c r="E362" i="43" s="1"/>
  <c r="E363" i="43" s="1"/>
  <c r="S355" i="43"/>
  <c r="S356" i="43"/>
  <c r="S357" i="43"/>
  <c r="S358" i="43"/>
  <c r="S359" i="43"/>
  <c r="S360" i="43"/>
  <c r="S361" i="43"/>
  <c r="S362" i="43"/>
  <c r="S363" i="43"/>
  <c r="E370" i="43"/>
  <c r="E371" i="43" s="1"/>
  <c r="E372" i="43" s="1"/>
  <c r="E373" i="43" s="1"/>
  <c r="E374" i="43" s="1"/>
  <c r="E375" i="43" s="1"/>
  <c r="E376" i="43" s="1"/>
  <c r="E377" i="43" s="1"/>
  <c r="E378" i="43" s="1"/>
  <c r="J414" i="43"/>
  <c r="J392" i="41" s="1"/>
  <c r="E183" i="62"/>
  <c r="D169" i="62"/>
  <c r="D170" i="62" s="1"/>
  <c r="E170" i="62" s="1"/>
  <c r="S170" i="62" s="1"/>
  <c r="D159" i="62"/>
  <c r="D160" i="62" s="1"/>
  <c r="D161" i="62" s="1"/>
  <c r="D162" i="62" s="1"/>
  <c r="D163" i="62" s="1"/>
  <c r="D164" i="62" s="1"/>
  <c r="D165" i="62" s="1"/>
  <c r="D166" i="62" s="1"/>
  <c r="D167" i="62" s="1"/>
  <c r="D147" i="62"/>
  <c r="E147" i="62" s="1"/>
  <c r="D137" i="62"/>
  <c r="D138" i="62" s="1"/>
  <c r="D139" i="62" s="1"/>
  <c r="D140" i="62" s="1"/>
  <c r="D141" i="62" s="1"/>
  <c r="D142" i="62" s="1"/>
  <c r="D143" i="62" s="1"/>
  <c r="D144" i="62" s="1"/>
  <c r="D145" i="62" s="1"/>
  <c r="D112" i="62"/>
  <c r="E112" i="62" s="1"/>
  <c r="D102" i="62"/>
  <c r="D103" i="62" s="1"/>
  <c r="D104" i="62" s="1"/>
  <c r="D105" i="62" s="1"/>
  <c r="D106" i="62" s="1"/>
  <c r="D107" i="62" s="1"/>
  <c r="D108" i="62" s="1"/>
  <c r="D109" i="62" s="1"/>
  <c r="D110" i="62" s="1"/>
  <c r="D56" i="62"/>
  <c r="D57" i="62" s="1"/>
  <c r="D58" i="62" s="1"/>
  <c r="D27" i="62"/>
  <c r="H163" i="47"/>
  <c r="I163" i="47"/>
  <c r="M31" i="50"/>
  <c r="J32" i="50"/>
  <c r="J31" i="50"/>
  <c r="H739" i="50"/>
  <c r="H736" i="50"/>
  <c r="G269" i="37"/>
  <c r="H273" i="37" s="1"/>
  <c r="H276" i="37" s="1"/>
  <c r="P712" i="50"/>
  <c r="P710" i="50" s="1"/>
  <c r="P711" i="50" s="1"/>
  <c r="K2551" i="50"/>
  <c r="L2551" i="50" s="1"/>
  <c r="M2551" i="50" s="1"/>
  <c r="N2551" i="50" s="1"/>
  <c r="Q393" i="47"/>
  <c r="Q404" i="47"/>
  <c r="P755" i="50"/>
  <c r="P731" i="50"/>
  <c r="P728" i="50"/>
  <c r="Q407" i="47"/>
  <c r="Q401" i="47"/>
  <c r="Q399" i="47" s="1"/>
  <c r="AD398" i="47"/>
  <c r="H398" i="47"/>
  <c r="H407" i="47" s="1"/>
  <c r="F139" i="42"/>
  <c r="H245" i="42"/>
  <c r="I245" i="42"/>
  <c r="L2121" i="50"/>
  <c r="Q2118" i="50"/>
  <c r="F138" i="42"/>
  <c r="F137" i="42"/>
  <c r="F136" i="42"/>
  <c r="F135" i="42"/>
  <c r="F134" i="42"/>
  <c r="F133" i="42"/>
  <c r="F132" i="42"/>
  <c r="F131" i="42"/>
  <c r="F130" i="42"/>
  <c r="F129" i="42"/>
  <c r="F128" i="42"/>
  <c r="D129" i="42"/>
  <c r="D130" i="42" s="1"/>
  <c r="D131" i="42" s="1"/>
  <c r="D132" i="42" s="1"/>
  <c r="D133" i="42" s="1"/>
  <c r="D134" i="42" s="1"/>
  <c r="D135" i="42" s="1"/>
  <c r="D136" i="42" s="1"/>
  <c r="D137" i="42" s="1"/>
  <c r="B4" i="34"/>
  <c r="P753" i="50"/>
  <c r="Q229" i="47"/>
  <c r="Q223" i="47"/>
  <c r="Q221" i="47" s="1"/>
  <c r="Q217" i="47"/>
  <c r="I210" i="47"/>
  <c r="H197" i="47"/>
  <c r="H208" i="47"/>
  <c r="H209" i="47"/>
  <c r="H210" i="47"/>
  <c r="I95" i="47"/>
  <c r="H129" i="47"/>
  <c r="I129" i="47"/>
  <c r="H419" i="47"/>
  <c r="I419" i="47"/>
  <c r="J419" i="47"/>
  <c r="K419" i="47"/>
  <c r="L419" i="47"/>
  <c r="M419" i="47"/>
  <c r="N419" i="47"/>
  <c r="H422" i="47"/>
  <c r="I422" i="47"/>
  <c r="J422" i="47"/>
  <c r="K422" i="47"/>
  <c r="L422" i="47"/>
  <c r="M422" i="47"/>
  <c r="N422" i="47"/>
  <c r="H423" i="47"/>
  <c r="I423" i="47"/>
  <c r="J423" i="47"/>
  <c r="K423" i="47"/>
  <c r="L423" i="47"/>
  <c r="M423" i="47"/>
  <c r="N423" i="47"/>
  <c r="I209" i="47"/>
  <c r="U226" i="37"/>
  <c r="T234" i="37"/>
  <c r="U234" i="37"/>
  <c r="H200" i="50"/>
  <c r="I200" i="50"/>
  <c r="H201" i="50"/>
  <c r="I201" i="50"/>
  <c r="H202" i="50"/>
  <c r="I202" i="50"/>
  <c r="H203" i="50"/>
  <c r="I203" i="50"/>
  <c r="H188" i="50"/>
  <c r="I188" i="50"/>
  <c r="H189" i="50"/>
  <c r="I189" i="50"/>
  <c r="H190" i="50"/>
  <c r="I190" i="50"/>
  <c r="H191" i="50"/>
  <c r="I191" i="50"/>
  <c r="H136" i="50"/>
  <c r="I136" i="50"/>
  <c r="H137" i="50"/>
  <c r="I137" i="50"/>
  <c r="H141" i="50"/>
  <c r="I141" i="50"/>
  <c r="H142" i="50"/>
  <c r="I142" i="50"/>
  <c r="H148" i="50"/>
  <c r="I148" i="50"/>
  <c r="H149" i="50"/>
  <c r="I149" i="50"/>
  <c r="H161" i="50"/>
  <c r="I161" i="50"/>
  <c r="H162" i="50"/>
  <c r="I162" i="50"/>
  <c r="H166" i="50"/>
  <c r="I166" i="50"/>
  <c r="H167" i="50"/>
  <c r="I167" i="50"/>
  <c r="H173" i="50"/>
  <c r="I173" i="50"/>
  <c r="H174" i="50"/>
  <c r="I174" i="50"/>
  <c r="H247" i="50"/>
  <c r="I247" i="50"/>
  <c r="H251" i="50"/>
  <c r="I251" i="50"/>
  <c r="H252" i="50"/>
  <c r="I252" i="50"/>
  <c r="H253" i="50"/>
  <c r="I253" i="50"/>
  <c r="H258" i="50"/>
  <c r="I258" i="50"/>
  <c r="H259" i="50"/>
  <c r="I259" i="50"/>
  <c r="H260" i="50"/>
  <c r="I260" i="50"/>
  <c r="H264" i="50"/>
  <c r="I264" i="50"/>
  <c r="I274" i="50"/>
  <c r="H276" i="50"/>
  <c r="I276" i="50"/>
  <c r="H280" i="50"/>
  <c r="I280" i="50"/>
  <c r="H281" i="50"/>
  <c r="I281" i="50"/>
  <c r="H282" i="50"/>
  <c r="I282" i="50"/>
  <c r="H283" i="50"/>
  <c r="I283" i="50"/>
  <c r="H284" i="50"/>
  <c r="I284" i="50"/>
  <c r="H285" i="50"/>
  <c r="I285" i="50"/>
  <c r="H286" i="50"/>
  <c r="I286" i="50"/>
  <c r="H287" i="50"/>
  <c r="I287" i="50"/>
  <c r="H288" i="50"/>
  <c r="I288" i="50"/>
  <c r="H289" i="50"/>
  <c r="I289" i="50"/>
  <c r="H303" i="50"/>
  <c r="I303" i="50"/>
  <c r="H304" i="50"/>
  <c r="I304" i="50"/>
  <c r="H305" i="50"/>
  <c r="I305" i="50"/>
  <c r="H306" i="50"/>
  <c r="I306" i="50"/>
  <c r="H307" i="50"/>
  <c r="I307" i="50"/>
  <c r="H322" i="50"/>
  <c r="I322" i="50"/>
  <c r="H326" i="50"/>
  <c r="I326" i="50"/>
  <c r="H327" i="50"/>
  <c r="I327" i="50"/>
  <c r="H328" i="50"/>
  <c r="I328" i="50"/>
  <c r="H329" i="50"/>
  <c r="I329" i="50"/>
  <c r="H330" i="50"/>
  <c r="I330" i="50"/>
  <c r="H378" i="50"/>
  <c r="I378" i="50"/>
  <c r="H379" i="50"/>
  <c r="I379" i="50"/>
  <c r="H380" i="50"/>
  <c r="I380" i="50"/>
  <c r="H385" i="50"/>
  <c r="I385" i="50"/>
  <c r="H386" i="50"/>
  <c r="I386" i="50"/>
  <c r="H387" i="50"/>
  <c r="I387" i="50"/>
  <c r="H417" i="50"/>
  <c r="I417" i="50"/>
  <c r="H431" i="50"/>
  <c r="I431" i="50"/>
  <c r="H443" i="50"/>
  <c r="I443" i="50"/>
  <c r="H444" i="50"/>
  <c r="I444" i="50"/>
  <c r="H445" i="50"/>
  <c r="I445" i="50"/>
  <c r="H446" i="50"/>
  <c r="I446" i="50"/>
  <c r="H448" i="50"/>
  <c r="I448" i="50"/>
  <c r="I68" i="49"/>
  <c r="I138" i="50" s="1"/>
  <c r="H75" i="49"/>
  <c r="H143" i="50" s="1"/>
  <c r="I75" i="49"/>
  <c r="I83" i="49" s="1"/>
  <c r="I146" i="50" s="1"/>
  <c r="I124" i="49"/>
  <c r="H130" i="49"/>
  <c r="I130" i="49"/>
  <c r="I168" i="50" s="1"/>
  <c r="H25" i="49"/>
  <c r="H27" i="49" s="1"/>
  <c r="I25" i="49"/>
  <c r="I27" i="49" s="1"/>
  <c r="H276" i="49"/>
  <c r="I276" i="49"/>
  <c r="J276" i="49"/>
  <c r="K276" i="49"/>
  <c r="L276" i="49"/>
  <c r="M276" i="49"/>
  <c r="N276" i="49"/>
  <c r="H279" i="49"/>
  <c r="I279" i="49"/>
  <c r="J279" i="49"/>
  <c r="K279" i="49"/>
  <c r="L279" i="49"/>
  <c r="M279" i="49"/>
  <c r="N279" i="49"/>
  <c r="H280" i="49"/>
  <c r="I280" i="49"/>
  <c r="J280" i="49"/>
  <c r="K280" i="49"/>
  <c r="L280" i="49"/>
  <c r="M280" i="49"/>
  <c r="N280" i="49"/>
  <c r="I85" i="37"/>
  <c r="H374" i="41"/>
  <c r="H447" i="50" s="1"/>
  <c r="I374" i="41"/>
  <c r="I447" i="50" s="1"/>
  <c r="H291" i="41"/>
  <c r="H381" i="50" s="1"/>
  <c r="I291" i="41"/>
  <c r="I381" i="50" s="1"/>
  <c r="H299" i="41"/>
  <c r="H388" i="50" s="1"/>
  <c r="I299" i="41"/>
  <c r="I388" i="50" s="1"/>
  <c r="H103" i="41"/>
  <c r="H254" i="50" s="1"/>
  <c r="I103" i="41"/>
  <c r="I254" i="50" s="1"/>
  <c r="H114" i="41"/>
  <c r="H2016" i="37" s="1"/>
  <c r="I114" i="41"/>
  <c r="H157" i="41"/>
  <c r="H290" i="50" s="1"/>
  <c r="I157" i="41"/>
  <c r="I290" i="50" s="1"/>
  <c r="H182" i="41"/>
  <c r="H430" i="41" s="1"/>
  <c r="I182" i="41"/>
  <c r="H212" i="41"/>
  <c r="H331" i="50" s="1"/>
  <c r="I212" i="41"/>
  <c r="I222" i="41" s="1"/>
  <c r="I58" i="37"/>
  <c r="H300" i="37"/>
  <c r="I300" i="37"/>
  <c r="H291" i="37"/>
  <c r="T291" i="37" s="1"/>
  <c r="I291" i="37"/>
  <c r="U291" i="37" s="1"/>
  <c r="H266" i="37"/>
  <c r="I266" i="37"/>
  <c r="H256" i="37"/>
  <c r="I256" i="37"/>
  <c r="H247" i="37"/>
  <c r="I247" i="37"/>
  <c r="H209" i="37"/>
  <c r="I209" i="37"/>
  <c r="H210" i="37"/>
  <c r="H207" i="37" s="1"/>
  <c r="H208" i="37" s="1"/>
  <c r="I210" i="37"/>
  <c r="I207" i="37" s="1"/>
  <c r="I208" i="37" s="1"/>
  <c r="H197" i="37"/>
  <c r="I197" i="37"/>
  <c r="H198" i="37"/>
  <c r="H195" i="37" s="1"/>
  <c r="H196" i="37" s="1"/>
  <c r="I198" i="37"/>
  <c r="I195" i="37" s="1"/>
  <c r="I196" i="37" s="1"/>
  <c r="H65" i="37"/>
  <c r="H68" i="37" s="1"/>
  <c r="N3244" i="37"/>
  <c r="M3244" i="37"/>
  <c r="L3244" i="37"/>
  <c r="K3244" i="37"/>
  <c r="J3244" i="37"/>
  <c r="N3243" i="37"/>
  <c r="M3243" i="37"/>
  <c r="L3243" i="37"/>
  <c r="K3243" i="37"/>
  <c r="J3243" i="37"/>
  <c r="N3240" i="37"/>
  <c r="M3240" i="37"/>
  <c r="L3240" i="37"/>
  <c r="K3240" i="37"/>
  <c r="J3240" i="37"/>
  <c r="C5" i="34"/>
  <c r="D5" i="34" s="1"/>
  <c r="E5" i="34" s="1"/>
  <c r="F5" i="34" s="1"/>
  <c r="G5" i="34" s="1"/>
  <c r="H5" i="34" s="1"/>
  <c r="I5" i="34" s="1"/>
  <c r="J5" i="34" s="1"/>
  <c r="K5" i="34" s="1"/>
  <c r="C3" i="34"/>
  <c r="D3" i="34" s="1"/>
  <c r="D4" i="34" s="1"/>
  <c r="Z242" i="42"/>
  <c r="Z238" i="42"/>
  <c r="Z234" i="42"/>
  <c r="Z230" i="42"/>
  <c r="Z226" i="42"/>
  <c r="B244" i="34"/>
  <c r="B243" i="34"/>
  <c r="B241" i="34"/>
  <c r="A298" i="34" s="1"/>
  <c r="B239" i="34"/>
  <c r="A289" i="34" s="1"/>
  <c r="B237" i="34"/>
  <c r="A288" i="34" s="1"/>
  <c r="B235" i="34"/>
  <c r="A286" i="34" s="1"/>
  <c r="B233" i="34"/>
  <c r="B231" i="34"/>
  <c r="A271" i="34" s="1"/>
  <c r="B230" i="34"/>
  <c r="B227" i="34"/>
  <c r="A258" i="34" s="1"/>
  <c r="B225" i="34"/>
  <c r="B223" i="34"/>
  <c r="A255" i="34" s="1"/>
  <c r="B219" i="34"/>
  <c r="A249" i="34" s="1"/>
  <c r="B218" i="34"/>
  <c r="E41" i="49"/>
  <c r="E34" i="10"/>
  <c r="B60" i="34"/>
  <c r="S354" i="43"/>
  <c r="D43" i="9"/>
  <c r="D37" i="9"/>
  <c r="E443" i="50"/>
  <c r="E440" i="50"/>
  <c r="E431" i="50"/>
  <c r="E408" i="50"/>
  <c r="D351" i="50"/>
  <c r="E313" i="50"/>
  <c r="E301" i="50"/>
  <c r="E278" i="50"/>
  <c r="E270" i="50"/>
  <c r="E254" i="50"/>
  <c r="E250" i="50"/>
  <c r="E245" i="50"/>
  <c r="E45" i="41"/>
  <c r="E214" i="50" s="1"/>
  <c r="E205" i="50"/>
  <c r="E198" i="50"/>
  <c r="E193" i="50"/>
  <c r="E195" i="50"/>
  <c r="E188" i="50"/>
  <c r="E180" i="50"/>
  <c r="E64" i="50"/>
  <c r="D23" i="9"/>
  <c r="D31" i="51"/>
  <c r="D32" i="51"/>
  <c r="D33" i="51"/>
  <c r="D34" i="51"/>
  <c r="D29" i="51"/>
  <c r="D30" i="51"/>
  <c r="N124" i="49"/>
  <c r="M124" i="49"/>
  <c r="M163" i="50" s="1"/>
  <c r="L124" i="49"/>
  <c r="L163" i="50" s="1"/>
  <c r="K124" i="49"/>
  <c r="J124" i="49"/>
  <c r="N68" i="49"/>
  <c r="M68" i="49"/>
  <c r="L68" i="49"/>
  <c r="L138" i="50" s="1"/>
  <c r="K68" i="49"/>
  <c r="K138" i="50" s="1"/>
  <c r="J68" i="49"/>
  <c r="J138" i="50" s="1"/>
  <c r="Q56" i="37"/>
  <c r="J247" i="50"/>
  <c r="I262" i="34"/>
  <c r="Z234" i="37"/>
  <c r="Y234" i="37"/>
  <c r="X234" i="37"/>
  <c r="W234" i="37"/>
  <c r="V234" i="37"/>
  <c r="Z226" i="37"/>
  <c r="Y226" i="37"/>
  <c r="X226" i="37"/>
  <c r="W226" i="37"/>
  <c r="V226" i="37"/>
  <c r="C2568" i="50"/>
  <c r="C2569" i="50" s="1"/>
  <c r="C2570" i="50" s="1"/>
  <c r="C2571" i="50" s="1"/>
  <c r="C2572" i="50" s="1"/>
  <c r="C2573" i="50" s="1"/>
  <c r="C2574" i="50" s="1"/>
  <c r="C2575" i="50" s="1"/>
  <c r="C2576" i="50" s="1"/>
  <c r="C2577" i="50" s="1"/>
  <c r="C2578" i="50" s="1"/>
  <c r="C2579" i="50" s="1"/>
  <c r="C2580" i="50" s="1"/>
  <c r="C2581" i="50" s="1"/>
  <c r="C2582" i="50" s="1"/>
  <c r="C2525" i="50"/>
  <c r="C2526" i="50" s="1"/>
  <c r="C2527" i="50" s="1"/>
  <c r="C2528" i="50" s="1"/>
  <c r="C2529" i="50" s="1"/>
  <c r="C2530" i="50" s="1"/>
  <c r="C2531" i="50" s="1"/>
  <c r="C2532" i="50" s="1"/>
  <c r="C2533" i="50" s="1"/>
  <c r="C2534" i="50" s="1"/>
  <c r="C2535" i="50" s="1"/>
  <c r="C2536" i="50" s="1"/>
  <c r="C2537" i="50" s="1"/>
  <c r="C2538" i="50" s="1"/>
  <c r="C2539" i="50" s="1"/>
  <c r="T94" i="41"/>
  <c r="T100" i="41" s="1"/>
  <c r="T101" i="41" s="1"/>
  <c r="T102" i="41" s="1"/>
  <c r="T111" i="41" s="1"/>
  <c r="T112" i="41" s="1"/>
  <c r="T113" i="41" s="1"/>
  <c r="T119" i="41" s="1"/>
  <c r="T139" i="41" s="1"/>
  <c r="T141" i="41" s="1"/>
  <c r="T177" i="41" s="1"/>
  <c r="T178" i="41" s="1"/>
  <c r="T179" i="41" s="1"/>
  <c r="T180" i="41" s="1"/>
  <c r="T181" i="41" s="1"/>
  <c r="T201" i="41" s="1"/>
  <c r="T207" i="41" s="1"/>
  <c r="T208" i="41" s="1"/>
  <c r="T209" i="41" s="1"/>
  <c r="T210" i="41" s="1"/>
  <c r="T211" i="41" s="1"/>
  <c r="R70" i="41"/>
  <c r="T288" i="41"/>
  <c r="T289" i="41" s="1"/>
  <c r="T290" i="41" s="1"/>
  <c r="T296" i="41" s="1"/>
  <c r="T297" i="41" s="1"/>
  <c r="T298" i="41" s="1"/>
  <c r="T330" i="41" s="1"/>
  <c r="T346" i="41" s="1"/>
  <c r="R255" i="41"/>
  <c r="N448" i="50"/>
  <c r="M448" i="50"/>
  <c r="L448" i="50"/>
  <c r="K448" i="50"/>
  <c r="N446" i="50"/>
  <c r="M446" i="50"/>
  <c r="L446" i="50"/>
  <c r="K446" i="50"/>
  <c r="N445" i="50"/>
  <c r="M445" i="50"/>
  <c r="L445" i="50"/>
  <c r="K445" i="50"/>
  <c r="N444" i="50"/>
  <c r="M444" i="50"/>
  <c r="L444" i="50"/>
  <c r="K444" i="50"/>
  <c r="N443" i="50"/>
  <c r="M443" i="50"/>
  <c r="L443" i="50"/>
  <c r="K443" i="50"/>
  <c r="J448" i="50"/>
  <c r="J446" i="50"/>
  <c r="J445" i="50"/>
  <c r="J444" i="50"/>
  <c r="J443" i="50"/>
  <c r="M440" i="50"/>
  <c r="N431" i="50"/>
  <c r="M431" i="50"/>
  <c r="L431" i="50"/>
  <c r="K431" i="50"/>
  <c r="J431" i="50"/>
  <c r="N417" i="50"/>
  <c r="M417" i="50"/>
  <c r="L417" i="50"/>
  <c r="K417" i="50"/>
  <c r="J417" i="50"/>
  <c r="N387" i="50"/>
  <c r="M387" i="50"/>
  <c r="L387" i="50"/>
  <c r="K387" i="50"/>
  <c r="J387" i="50"/>
  <c r="N386" i="50"/>
  <c r="M386" i="50"/>
  <c r="L386" i="50"/>
  <c r="K386" i="50"/>
  <c r="J386" i="50"/>
  <c r="N385" i="50"/>
  <c r="M385" i="50"/>
  <c r="L385" i="50"/>
  <c r="K385" i="50"/>
  <c r="N380" i="50"/>
  <c r="M380" i="50"/>
  <c r="L380" i="50"/>
  <c r="K380" i="50"/>
  <c r="J380" i="50"/>
  <c r="N379" i="50"/>
  <c r="M379" i="50"/>
  <c r="L379" i="50"/>
  <c r="K379" i="50"/>
  <c r="J379" i="50"/>
  <c r="N378" i="50"/>
  <c r="M378" i="50"/>
  <c r="L378" i="50"/>
  <c r="K378" i="50"/>
  <c r="E380" i="50"/>
  <c r="E379" i="50"/>
  <c r="E387" i="50"/>
  <c r="E386" i="50"/>
  <c r="E385" i="50"/>
  <c r="J385" i="50"/>
  <c r="J378" i="50"/>
  <c r="E378" i="50"/>
  <c r="D353" i="50"/>
  <c r="D367" i="50"/>
  <c r="D373" i="50"/>
  <c r="D376" i="50"/>
  <c r="D383" i="50"/>
  <c r="D390" i="50"/>
  <c r="D393" i="50"/>
  <c r="D407" i="50"/>
  <c r="D416" i="50"/>
  <c r="D419" i="50"/>
  <c r="D434" i="50"/>
  <c r="G436" i="50"/>
  <c r="E330" i="50"/>
  <c r="E329" i="50"/>
  <c r="E328" i="50"/>
  <c r="E326" i="50"/>
  <c r="N247" i="50"/>
  <c r="M247" i="50"/>
  <c r="L247" i="50"/>
  <c r="K247" i="50"/>
  <c r="N253" i="50"/>
  <c r="M253" i="50"/>
  <c r="L253" i="50"/>
  <c r="K253" i="50"/>
  <c r="N252" i="50"/>
  <c r="M252" i="50"/>
  <c r="L252" i="50"/>
  <c r="K252" i="50"/>
  <c r="N251" i="50"/>
  <c r="M251" i="50"/>
  <c r="L251" i="50"/>
  <c r="K251" i="50"/>
  <c r="N260" i="50"/>
  <c r="M260" i="50"/>
  <c r="L260" i="50"/>
  <c r="K260" i="50"/>
  <c r="N259" i="50"/>
  <c r="M259" i="50"/>
  <c r="L259" i="50"/>
  <c r="K259" i="50"/>
  <c r="N258" i="50"/>
  <c r="M258" i="50"/>
  <c r="L258" i="50"/>
  <c r="K258" i="50"/>
  <c r="J258" i="50"/>
  <c r="J259" i="50"/>
  <c r="J260" i="50"/>
  <c r="N264" i="50"/>
  <c r="M264" i="50"/>
  <c r="L264" i="50"/>
  <c r="K264" i="50"/>
  <c r="N274" i="50"/>
  <c r="M274" i="50"/>
  <c r="L274" i="50"/>
  <c r="K274" i="50"/>
  <c r="N276" i="50"/>
  <c r="M276" i="50"/>
  <c r="L276" i="50"/>
  <c r="K276" i="50"/>
  <c r="N289" i="50"/>
  <c r="M289" i="50"/>
  <c r="L289" i="50"/>
  <c r="K289" i="50"/>
  <c r="N288" i="50"/>
  <c r="M288" i="50"/>
  <c r="L288" i="50"/>
  <c r="K288" i="50"/>
  <c r="N287" i="50"/>
  <c r="M287" i="50"/>
  <c r="L287" i="50"/>
  <c r="K287" i="50"/>
  <c r="N286" i="50"/>
  <c r="M286" i="50"/>
  <c r="L286" i="50"/>
  <c r="K286" i="50"/>
  <c r="N285" i="50"/>
  <c r="M285" i="50"/>
  <c r="L285" i="50"/>
  <c r="K285" i="50"/>
  <c r="N284" i="50"/>
  <c r="M284" i="50"/>
  <c r="L284" i="50"/>
  <c r="K284" i="50"/>
  <c r="N283" i="50"/>
  <c r="M283" i="50"/>
  <c r="L283" i="50"/>
  <c r="K283" i="50"/>
  <c r="N282" i="50"/>
  <c r="M282" i="50"/>
  <c r="L282" i="50"/>
  <c r="K282" i="50"/>
  <c r="N281" i="50"/>
  <c r="M281" i="50"/>
  <c r="L281" i="50"/>
  <c r="K281" i="50"/>
  <c r="N280" i="50"/>
  <c r="M280" i="50"/>
  <c r="L280" i="50"/>
  <c r="K280" i="50"/>
  <c r="N307" i="50"/>
  <c r="M307" i="50"/>
  <c r="L307" i="50"/>
  <c r="K307" i="50"/>
  <c r="N306" i="50"/>
  <c r="M306" i="50"/>
  <c r="L306" i="50"/>
  <c r="K306" i="50"/>
  <c r="N305" i="50"/>
  <c r="M305" i="50"/>
  <c r="L305" i="50"/>
  <c r="K305" i="50"/>
  <c r="N304" i="50"/>
  <c r="M304" i="50"/>
  <c r="L304" i="50"/>
  <c r="K304" i="50"/>
  <c r="N303" i="50"/>
  <c r="M303" i="50"/>
  <c r="L303" i="50"/>
  <c r="K303" i="50"/>
  <c r="N322" i="50"/>
  <c r="M322" i="50"/>
  <c r="L322" i="50"/>
  <c r="K322" i="50"/>
  <c r="N329" i="50"/>
  <c r="M329" i="50"/>
  <c r="L329" i="50"/>
  <c r="K329" i="50"/>
  <c r="N328" i="50"/>
  <c r="M328" i="50"/>
  <c r="L328" i="50"/>
  <c r="K328" i="50"/>
  <c r="N327" i="50"/>
  <c r="M327" i="50"/>
  <c r="L327" i="50"/>
  <c r="K327" i="50"/>
  <c r="N326" i="50"/>
  <c r="M326" i="50"/>
  <c r="L326" i="50"/>
  <c r="K326" i="50"/>
  <c r="E260" i="50"/>
  <c r="E259" i="50"/>
  <c r="E258" i="50"/>
  <c r="E253" i="50"/>
  <c r="E252" i="50"/>
  <c r="E251" i="50"/>
  <c r="E307" i="50"/>
  <c r="E306" i="50"/>
  <c r="E305" i="50"/>
  <c r="E304" i="50"/>
  <c r="E303" i="50"/>
  <c r="J329" i="50"/>
  <c r="J328" i="50"/>
  <c r="J327" i="50"/>
  <c r="J326" i="50"/>
  <c r="J322" i="50"/>
  <c r="J307" i="50"/>
  <c r="J306" i="50"/>
  <c r="J305" i="50"/>
  <c r="J304" i="50"/>
  <c r="J303" i="50"/>
  <c r="J289" i="50"/>
  <c r="J288" i="50"/>
  <c r="J287" i="50"/>
  <c r="J286" i="50"/>
  <c r="J285" i="50"/>
  <c r="J284" i="50"/>
  <c r="J283" i="50"/>
  <c r="J282" i="50"/>
  <c r="J281" i="50"/>
  <c r="J280" i="50"/>
  <c r="J276" i="50"/>
  <c r="J274" i="50"/>
  <c r="J264" i="50"/>
  <c r="J253" i="50"/>
  <c r="J252" i="50"/>
  <c r="J251" i="50"/>
  <c r="D245" i="50"/>
  <c r="D249" i="50"/>
  <c r="D256" i="50"/>
  <c r="D263" i="50"/>
  <c r="D266" i="50"/>
  <c r="D269" i="50"/>
  <c r="G270" i="50"/>
  <c r="D272" i="50"/>
  <c r="D278" i="50"/>
  <c r="G296" i="50"/>
  <c r="G299" i="50"/>
  <c r="D301" i="50"/>
  <c r="D310" i="50"/>
  <c r="D318" i="50"/>
  <c r="G319" i="50"/>
  <c r="D321" i="50"/>
  <c r="D324" i="50"/>
  <c r="D333" i="50"/>
  <c r="G336" i="50"/>
  <c r="D338" i="50"/>
  <c r="D341" i="50"/>
  <c r="N191" i="50"/>
  <c r="M191" i="50"/>
  <c r="L191" i="50"/>
  <c r="K191" i="50"/>
  <c r="N190" i="50"/>
  <c r="M190" i="50"/>
  <c r="L190" i="50"/>
  <c r="K190" i="50"/>
  <c r="N189" i="50"/>
  <c r="M189" i="50"/>
  <c r="L189" i="50"/>
  <c r="K189" i="50"/>
  <c r="N188" i="50"/>
  <c r="M188" i="50"/>
  <c r="L188" i="50"/>
  <c r="K188" i="50"/>
  <c r="N203" i="50"/>
  <c r="M203" i="50"/>
  <c r="L203" i="50"/>
  <c r="K203" i="50"/>
  <c r="N202" i="50"/>
  <c r="M202" i="50"/>
  <c r="L202" i="50"/>
  <c r="K202" i="50"/>
  <c r="N201" i="50"/>
  <c r="M201" i="50"/>
  <c r="L201" i="50"/>
  <c r="K201" i="50"/>
  <c r="N200" i="50"/>
  <c r="M200" i="50"/>
  <c r="L200" i="50"/>
  <c r="K200" i="50"/>
  <c r="N207" i="50"/>
  <c r="K207" i="50"/>
  <c r="G202" i="50"/>
  <c r="J203" i="50"/>
  <c r="J202" i="50"/>
  <c r="J201" i="50"/>
  <c r="J200" i="50"/>
  <c r="H198" i="50"/>
  <c r="L197" i="50"/>
  <c r="N195" i="50"/>
  <c r="K195" i="50"/>
  <c r="G190" i="50"/>
  <c r="J191" i="50"/>
  <c r="J190" i="50"/>
  <c r="J189" i="50"/>
  <c r="J188" i="50"/>
  <c r="H186" i="50"/>
  <c r="L185" i="50"/>
  <c r="N162" i="50"/>
  <c r="M162" i="50"/>
  <c r="L162" i="50"/>
  <c r="K162" i="50"/>
  <c r="N161" i="50"/>
  <c r="M161" i="50"/>
  <c r="L161" i="50"/>
  <c r="K161" i="50"/>
  <c r="N167" i="50"/>
  <c r="M167" i="50"/>
  <c r="L167" i="50"/>
  <c r="K167" i="50"/>
  <c r="N166" i="50"/>
  <c r="M166" i="50"/>
  <c r="L166" i="50"/>
  <c r="K166" i="50"/>
  <c r="N174" i="50"/>
  <c r="M174" i="50"/>
  <c r="L174" i="50"/>
  <c r="K174" i="50"/>
  <c r="N173" i="50"/>
  <c r="M173" i="50"/>
  <c r="L173" i="50"/>
  <c r="K173" i="50"/>
  <c r="J174" i="50"/>
  <c r="J173" i="50"/>
  <c r="J167" i="50"/>
  <c r="J166" i="50"/>
  <c r="J162" i="50"/>
  <c r="J161" i="50"/>
  <c r="N149" i="50"/>
  <c r="M149" i="50"/>
  <c r="L149" i="50"/>
  <c r="K149" i="50"/>
  <c r="N148" i="50"/>
  <c r="M148" i="50"/>
  <c r="L148" i="50"/>
  <c r="K148" i="50"/>
  <c r="J149" i="50"/>
  <c r="J148" i="50"/>
  <c r="N137" i="50"/>
  <c r="M137" i="50"/>
  <c r="L137" i="50"/>
  <c r="K137" i="50"/>
  <c r="N136" i="50"/>
  <c r="M136" i="50"/>
  <c r="L136" i="50"/>
  <c r="K136" i="50"/>
  <c r="J137" i="50"/>
  <c r="J136" i="50"/>
  <c r="N142" i="50"/>
  <c r="M142" i="50"/>
  <c r="L142" i="50"/>
  <c r="K142" i="50"/>
  <c r="N141" i="50"/>
  <c r="M141" i="50"/>
  <c r="L141" i="50"/>
  <c r="K141" i="50"/>
  <c r="J142" i="50"/>
  <c r="J141" i="50"/>
  <c r="M133" i="50"/>
  <c r="M158" i="50" s="1"/>
  <c r="G146" i="50"/>
  <c r="G147" i="50"/>
  <c r="G148" i="50"/>
  <c r="G149" i="50"/>
  <c r="G171" i="50"/>
  <c r="G172" i="50"/>
  <c r="G173" i="50"/>
  <c r="G174" i="50"/>
  <c r="J58" i="37"/>
  <c r="N306" i="34"/>
  <c r="N307" i="34"/>
  <c r="N308" i="34"/>
  <c r="N305" i="34"/>
  <c r="N304" i="34"/>
  <c r="N250" i="34"/>
  <c r="N251" i="34"/>
  <c r="N252" i="34"/>
  <c r="N253" i="34"/>
  <c r="N254" i="34"/>
  <c r="N255" i="34"/>
  <c r="N256" i="34"/>
  <c r="N257" i="34"/>
  <c r="N258" i="34"/>
  <c r="N259" i="34"/>
  <c r="N260" i="34"/>
  <c r="N261" i="34"/>
  <c r="N262" i="34"/>
  <c r="N263" i="34"/>
  <c r="N264" i="34"/>
  <c r="N265" i="34"/>
  <c r="N266" i="34"/>
  <c r="N267" i="34"/>
  <c r="N268" i="34"/>
  <c r="N269" i="34"/>
  <c r="N270" i="34"/>
  <c r="N271" i="34"/>
  <c r="N272" i="34"/>
  <c r="N273" i="34"/>
  <c r="N274" i="34"/>
  <c r="N275" i="34"/>
  <c r="N276" i="34"/>
  <c r="N277" i="34"/>
  <c r="N278" i="34"/>
  <c r="N279" i="34"/>
  <c r="N280" i="34"/>
  <c r="N281" i="34"/>
  <c r="N282" i="34"/>
  <c r="N283" i="34"/>
  <c r="N284" i="34"/>
  <c r="N285" i="34"/>
  <c r="N286" i="34"/>
  <c r="N287" i="34"/>
  <c r="N288" i="34"/>
  <c r="N289" i="34"/>
  <c r="N290" i="34"/>
  <c r="N291" i="34"/>
  <c r="N292" i="34"/>
  <c r="N293" i="34"/>
  <c r="N294" i="34"/>
  <c r="N295" i="34"/>
  <c r="N296" i="34"/>
  <c r="N297" i="34"/>
  <c r="N298" i="34"/>
  <c r="N299" i="34"/>
  <c r="N300" i="34"/>
  <c r="N249" i="34"/>
  <c r="N391" i="47"/>
  <c r="N405" i="41"/>
  <c r="M405" i="41"/>
  <c r="K18" i="41"/>
  <c r="N1080" i="42"/>
  <c r="M1080" i="42"/>
  <c r="L1080" i="42"/>
  <c r="K1080" i="42"/>
  <c r="J1080" i="42"/>
  <c r="D1071" i="42"/>
  <c r="D1072" i="42" s="1"/>
  <c r="D1073" i="42" s="1"/>
  <c r="D1074" i="42" s="1"/>
  <c r="D1075" i="42" s="1"/>
  <c r="D1076" i="42" s="1"/>
  <c r="D1077" i="42" s="1"/>
  <c r="D1078" i="42" s="1"/>
  <c r="D1079" i="42" s="1"/>
  <c r="D1037" i="42"/>
  <c r="D1038" i="42" s="1"/>
  <c r="D1039" i="42" s="1"/>
  <c r="D1040" i="42" s="1"/>
  <c r="D1041" i="42" s="1"/>
  <c r="D1042" i="42" s="1"/>
  <c r="D1043" i="42" s="1"/>
  <c r="D1044" i="42" s="1"/>
  <c r="D1045" i="42" s="1"/>
  <c r="Y170" i="49"/>
  <c r="Y174" i="49" s="1"/>
  <c r="Y176" i="49" s="1"/>
  <c r="Y179" i="49" s="1"/>
  <c r="Y180" i="49" s="1"/>
  <c r="Y185" i="49" s="1"/>
  <c r="Y191" i="49" s="1"/>
  <c r="Y198" i="49" s="1"/>
  <c r="Y203" i="49" s="1"/>
  <c r="Y226" i="49" s="1"/>
  <c r="Y228" i="49" s="1"/>
  <c r="Y230" i="49" s="1"/>
  <c r="Y232" i="49" s="1"/>
  <c r="Y233" i="49" s="1"/>
  <c r="Y238" i="49" s="1"/>
  <c r="Y243" i="49" s="1"/>
  <c r="Y248" i="49" s="1"/>
  <c r="Y252" i="49" s="1"/>
  <c r="N245" i="42"/>
  <c r="M245" i="42"/>
  <c r="L245" i="42"/>
  <c r="K245" i="42"/>
  <c r="J245" i="42"/>
  <c r="Q278" i="41"/>
  <c r="Q277" i="41"/>
  <c r="X252" i="49"/>
  <c r="W252" i="49"/>
  <c r="V252" i="49"/>
  <c r="U252" i="49"/>
  <c r="T252" i="49"/>
  <c r="X203" i="49"/>
  <c r="W203" i="49"/>
  <c r="V203" i="49"/>
  <c r="U203" i="49"/>
  <c r="T203" i="49"/>
  <c r="Q252" i="49"/>
  <c r="Q203" i="49"/>
  <c r="N256" i="37"/>
  <c r="M256" i="37"/>
  <c r="L256" i="37"/>
  <c r="K256" i="37"/>
  <c r="J256" i="37"/>
  <c r="Q13" i="37"/>
  <c r="R111" i="49"/>
  <c r="R224" i="49"/>
  <c r="E224" i="49" s="1"/>
  <c r="N130" i="49"/>
  <c r="N168" i="50" s="1"/>
  <c r="M130" i="49"/>
  <c r="L130" i="49"/>
  <c r="L168" i="50" s="1"/>
  <c r="K130" i="49"/>
  <c r="K136" i="49" s="1"/>
  <c r="J130" i="49"/>
  <c r="J168" i="50" s="1"/>
  <c r="L266" i="37"/>
  <c r="N266" i="37"/>
  <c r="M266" i="37"/>
  <c r="K266" i="37"/>
  <c r="J266" i="37"/>
  <c r="Y57" i="49"/>
  <c r="Y62" i="49" s="1"/>
  <c r="Y68" i="49" s="1"/>
  <c r="Y73" i="49" s="1"/>
  <c r="Y74" i="49" s="1"/>
  <c r="Y92" i="49" s="1"/>
  <c r="Y93" i="49" s="1"/>
  <c r="Y115" i="49" s="1"/>
  <c r="Y119" i="49" s="1"/>
  <c r="Y123" i="49" s="1"/>
  <c r="R77" i="37"/>
  <c r="N25" i="49"/>
  <c r="N27" i="49" s="1"/>
  <c r="M25" i="49"/>
  <c r="M27" i="49" s="1"/>
  <c r="L25" i="49"/>
  <c r="L27" i="49" s="1"/>
  <c r="K25" i="49"/>
  <c r="K27" i="49" s="1"/>
  <c r="J25" i="49"/>
  <c r="J27" i="49" s="1"/>
  <c r="N85" i="37"/>
  <c r="M85" i="37"/>
  <c r="L85" i="37"/>
  <c r="K85" i="37"/>
  <c r="J85" i="37"/>
  <c r="H185" i="34"/>
  <c r="I185" i="34" s="1"/>
  <c r="J185" i="34" s="1"/>
  <c r="K185" i="34" s="1"/>
  <c r="Q12" i="42"/>
  <c r="R13" i="42" s="1"/>
  <c r="N299" i="41"/>
  <c r="N388" i="50" s="1"/>
  <c r="M299" i="41"/>
  <c r="M388" i="50" s="1"/>
  <c r="L299" i="41"/>
  <c r="L388" i="50" s="1"/>
  <c r="K299" i="41"/>
  <c r="K388" i="50" s="1"/>
  <c r="J299" i="41"/>
  <c r="J388" i="50" s="1"/>
  <c r="N291" i="41"/>
  <c r="N381" i="50" s="1"/>
  <c r="M291" i="41"/>
  <c r="M381" i="50" s="1"/>
  <c r="L291" i="41"/>
  <c r="L381" i="50" s="1"/>
  <c r="K291" i="41"/>
  <c r="K381" i="50" s="1"/>
  <c r="J291" i="41"/>
  <c r="J381" i="50" s="1"/>
  <c r="N75" i="49"/>
  <c r="N83" i="49" s="1"/>
  <c r="M75" i="49"/>
  <c r="M83" i="49" s="1"/>
  <c r="M146" i="50" s="1"/>
  <c r="L75" i="49"/>
  <c r="L83" i="49" s="1"/>
  <c r="L146" i="50" s="1"/>
  <c r="T364" i="41"/>
  <c r="T377" i="41" s="1"/>
  <c r="N210" i="37"/>
  <c r="N207" i="37" s="1"/>
  <c r="N208" i="37" s="1"/>
  <c r="M210" i="37"/>
  <c r="M207" i="37" s="1"/>
  <c r="M208" i="37" s="1"/>
  <c r="L210" i="37"/>
  <c r="L207" i="37" s="1"/>
  <c r="L208" i="37" s="1"/>
  <c r="K210" i="37"/>
  <c r="K207" i="37" s="1"/>
  <c r="K208" i="37" s="1"/>
  <c r="J210" i="37"/>
  <c r="J207" i="37" s="1"/>
  <c r="J208" i="37" s="1"/>
  <c r="N209" i="37"/>
  <c r="M209" i="37"/>
  <c r="L209" i="37"/>
  <c r="K209" i="37"/>
  <c r="J209" i="37"/>
  <c r="K197" i="37"/>
  <c r="L197" i="37"/>
  <c r="M197" i="37"/>
  <c r="N197" i="37"/>
  <c r="K198" i="37"/>
  <c r="K195" i="37" s="1"/>
  <c r="K196" i="37" s="1"/>
  <c r="L198" i="37"/>
  <c r="L195" i="37" s="1"/>
  <c r="L196" i="37" s="1"/>
  <c r="M198" i="37"/>
  <c r="M195" i="37" s="1"/>
  <c r="M196" i="37" s="1"/>
  <c r="N198" i="37"/>
  <c r="N195" i="37" s="1"/>
  <c r="N196" i="37" s="1"/>
  <c r="J198" i="37"/>
  <c r="J195" i="37" s="1"/>
  <c r="J196" i="37" s="1"/>
  <c r="J247" i="37"/>
  <c r="J197" i="37"/>
  <c r="F306" i="34"/>
  <c r="D306" i="34"/>
  <c r="N300" i="37"/>
  <c r="M300" i="37"/>
  <c r="L300" i="37"/>
  <c r="K300" i="37"/>
  <c r="J300" i="37"/>
  <c r="N291" i="37"/>
  <c r="Z291" i="37" s="1"/>
  <c r="M291" i="37"/>
  <c r="Y291" i="37" s="1"/>
  <c r="L291" i="37"/>
  <c r="X291" i="37" s="1"/>
  <c r="K291" i="37"/>
  <c r="W291" i="37" s="1"/>
  <c r="J291" i="37"/>
  <c r="V291" i="37" s="1"/>
  <c r="K75" i="49"/>
  <c r="K83" i="49" s="1"/>
  <c r="K146" i="50" s="1"/>
  <c r="J75" i="49"/>
  <c r="J83" i="49" s="1"/>
  <c r="J146" i="50" s="1"/>
  <c r="H257" i="49"/>
  <c r="I262" i="49" s="1"/>
  <c r="H207" i="49"/>
  <c r="H212" i="49" s="1"/>
  <c r="B182" i="34"/>
  <c r="N157" i="41"/>
  <c r="N423" i="41" s="1"/>
  <c r="M157" i="41"/>
  <c r="M423" i="41" s="1"/>
  <c r="L157" i="41"/>
  <c r="L290" i="50" s="1"/>
  <c r="K157" i="41"/>
  <c r="J157" i="41"/>
  <c r="J290" i="50" s="1"/>
  <c r="J251" i="34"/>
  <c r="J255" i="34"/>
  <c r="F310" i="34"/>
  <c r="F309" i="34"/>
  <c r="F308" i="34"/>
  <c r="F307" i="34"/>
  <c r="F305" i="34"/>
  <c r="M114" i="41"/>
  <c r="M2982" i="37" s="1"/>
  <c r="M103" i="41"/>
  <c r="M254" i="50" s="1"/>
  <c r="M182" i="41"/>
  <c r="M430" i="41" s="1"/>
  <c r="L114" i="41"/>
  <c r="L84" i="37" s="1"/>
  <c r="L103" i="41"/>
  <c r="L254" i="50" s="1"/>
  <c r="L182" i="41"/>
  <c r="J114" i="41"/>
  <c r="J103" i="41"/>
  <c r="J254" i="50" s="1"/>
  <c r="J182" i="41"/>
  <c r="J430" i="41" s="1"/>
  <c r="F304" i="34"/>
  <c r="C28" i="10"/>
  <c r="C29" i="10" s="1"/>
  <c r="C30" i="10" s="1"/>
  <c r="C38" i="10" s="1"/>
  <c r="C52" i="10" s="1"/>
  <c r="C53" i="10" s="1"/>
  <c r="C54" i="10" s="1"/>
  <c r="C55" i="10" s="1"/>
  <c r="C57" i="10" s="1"/>
  <c r="J143" i="37"/>
  <c r="R49" i="37"/>
  <c r="K114" i="41"/>
  <c r="K261" i="50" s="1"/>
  <c r="K143" i="37"/>
  <c r="K103" i="41"/>
  <c r="K254" i="50" s="1"/>
  <c r="K182" i="41"/>
  <c r="K308" i="50" s="1"/>
  <c r="L143" i="37"/>
  <c r="M143" i="37"/>
  <c r="N114" i="41"/>
  <c r="N103" i="41"/>
  <c r="N254" i="50" s="1"/>
  <c r="N182" i="41"/>
  <c r="N308" i="50" s="1"/>
  <c r="Q3254" i="37"/>
  <c r="N143" i="37"/>
  <c r="J374" i="41"/>
  <c r="J447" i="50" s="1"/>
  <c r="K374" i="41"/>
  <c r="K447" i="50" s="1"/>
  <c r="L374" i="41"/>
  <c r="L447" i="50" s="1"/>
  <c r="M374" i="41"/>
  <c r="M447" i="50" s="1"/>
  <c r="N374" i="41"/>
  <c r="N447" i="50" s="1"/>
  <c r="B35" i="34"/>
  <c r="B66" i="34"/>
  <c r="C65" i="34" s="1"/>
  <c r="E427" i="43"/>
  <c r="E428" i="43" s="1"/>
  <c r="E429" i="43" s="1"/>
  <c r="E430" i="43" s="1"/>
  <c r="E431" i="43" s="1"/>
  <c r="E432" i="43" s="1"/>
  <c r="E433" i="43" s="1"/>
  <c r="E434" i="43" s="1"/>
  <c r="E435" i="43" s="1"/>
  <c r="J95" i="47"/>
  <c r="K95" i="47"/>
  <c r="M95" i="47"/>
  <c r="J253" i="34"/>
  <c r="M208" i="47"/>
  <c r="N208" i="47"/>
  <c r="M209" i="47"/>
  <c r="N209" i="47"/>
  <c r="M210" i="47"/>
  <c r="M217" i="47" s="1"/>
  <c r="N210" i="47"/>
  <c r="J300" i="34"/>
  <c r="J269" i="34"/>
  <c r="B33" i="34"/>
  <c r="G2136" i="37" s="1"/>
  <c r="B37" i="34"/>
  <c r="D65" i="34" s="1"/>
  <c r="I253" i="34"/>
  <c r="I251" i="34"/>
  <c r="L95" i="47"/>
  <c r="N95" i="47"/>
  <c r="I269" i="34"/>
  <c r="I300" i="34"/>
  <c r="I255" i="34"/>
  <c r="J299" i="34"/>
  <c r="J298" i="34"/>
  <c r="J295" i="34"/>
  <c r="J294" i="34"/>
  <c r="J291" i="34"/>
  <c r="J290" i="34"/>
  <c r="J261" i="34"/>
  <c r="J260" i="34"/>
  <c r="J297" i="34"/>
  <c r="J296" i="34"/>
  <c r="J293" i="34"/>
  <c r="J292" i="34"/>
  <c r="J289" i="34"/>
  <c r="J288" i="34"/>
  <c r="J287" i="34"/>
  <c r="J286" i="34"/>
  <c r="J285" i="34"/>
  <c r="J284" i="34"/>
  <c r="J283" i="34"/>
  <c r="J282" i="34"/>
  <c r="J281" i="34"/>
  <c r="J280" i="34"/>
  <c r="J279" i="34"/>
  <c r="J278" i="34"/>
  <c r="J277" i="34"/>
  <c r="J276" i="34"/>
  <c r="J275" i="34"/>
  <c r="J274" i="34"/>
  <c r="J273" i="34"/>
  <c r="J272" i="34"/>
  <c r="J271" i="34"/>
  <c r="J270" i="34"/>
  <c r="J268" i="34"/>
  <c r="J267" i="34"/>
  <c r="J266" i="34"/>
  <c r="J265" i="34"/>
  <c r="J264" i="34"/>
  <c r="J263" i="34"/>
  <c r="J262" i="34"/>
  <c r="J259" i="34"/>
  <c r="J258" i="34"/>
  <c r="J257" i="34"/>
  <c r="J256" i="34"/>
  <c r="J254" i="34"/>
  <c r="J252" i="34"/>
  <c r="J250" i="34"/>
  <c r="J249" i="34"/>
  <c r="B41" i="34"/>
  <c r="D106" i="42"/>
  <c r="D107" i="42" s="1"/>
  <c r="D108" i="42" s="1"/>
  <c r="D109" i="42" s="1"/>
  <c r="D110" i="42" s="1"/>
  <c r="D111" i="42" s="1"/>
  <c r="D112" i="42" s="1"/>
  <c r="D113" i="42" s="1"/>
  <c r="D114" i="42" s="1"/>
  <c r="D69" i="42"/>
  <c r="D70" i="42" s="1"/>
  <c r="D71" i="42" s="1"/>
  <c r="D72" i="42" s="1"/>
  <c r="D73" i="42" s="1"/>
  <c r="D74" i="42" s="1"/>
  <c r="D75" i="42" s="1"/>
  <c r="D76" i="42" s="1"/>
  <c r="D77" i="42" s="1"/>
  <c r="D134" i="37"/>
  <c r="D135" i="37" s="1"/>
  <c r="D136" i="37" s="1"/>
  <c r="D137" i="37" s="1"/>
  <c r="D138" i="37" s="1"/>
  <c r="D139" i="37" s="1"/>
  <c r="D140" i="37" s="1"/>
  <c r="D141" i="37" s="1"/>
  <c r="D142" i="37" s="1"/>
  <c r="N270" i="47"/>
  <c r="M270" i="47"/>
  <c r="L270" i="47"/>
  <c r="K270" i="47"/>
  <c r="J270" i="47"/>
  <c r="N336" i="47"/>
  <c r="M336" i="47"/>
  <c r="L336" i="47"/>
  <c r="K336" i="47"/>
  <c r="J336" i="47"/>
  <c r="N303" i="47"/>
  <c r="M303" i="47"/>
  <c r="L303" i="47"/>
  <c r="K303" i="47"/>
  <c r="J303" i="47"/>
  <c r="D249" i="34"/>
  <c r="C250" i="34"/>
  <c r="I250" i="34"/>
  <c r="I252" i="34"/>
  <c r="I254" i="34"/>
  <c r="I256" i="34"/>
  <c r="I257" i="34"/>
  <c r="I258" i="34"/>
  <c r="I259" i="34"/>
  <c r="I263" i="34"/>
  <c r="I264" i="34"/>
  <c r="I265" i="34"/>
  <c r="I266" i="34"/>
  <c r="I267" i="34"/>
  <c r="I268" i="34"/>
  <c r="I270" i="34"/>
  <c r="I271" i="34"/>
  <c r="I272" i="34"/>
  <c r="I273" i="34"/>
  <c r="I274" i="34"/>
  <c r="I278" i="34"/>
  <c r="I279" i="34"/>
  <c r="I280" i="34"/>
  <c r="I281" i="34"/>
  <c r="I282" i="34"/>
  <c r="I283" i="34"/>
  <c r="I284" i="34"/>
  <c r="I285" i="34"/>
  <c r="I286" i="34"/>
  <c r="I288" i="34"/>
  <c r="I289" i="34"/>
  <c r="I292" i="34"/>
  <c r="I293" i="34"/>
  <c r="I296" i="34"/>
  <c r="I297" i="34"/>
  <c r="D304" i="34"/>
  <c r="D305" i="34"/>
  <c r="D307" i="34"/>
  <c r="D308" i="34"/>
  <c r="D309" i="34"/>
  <c r="D310" i="34"/>
  <c r="J129" i="47"/>
  <c r="K129" i="47"/>
  <c r="L129" i="47"/>
  <c r="M129" i="47"/>
  <c r="N129" i="47"/>
  <c r="J163" i="47"/>
  <c r="K163" i="47"/>
  <c r="L163" i="47"/>
  <c r="M163" i="47"/>
  <c r="N163" i="47"/>
  <c r="M197" i="47"/>
  <c r="N197" i="47"/>
  <c r="J359" i="47"/>
  <c r="J365" i="47" s="1"/>
  <c r="K359" i="47"/>
  <c r="K365" i="47" s="1"/>
  <c r="L359" i="47"/>
  <c r="L365" i="47" s="1"/>
  <c r="M359" i="47"/>
  <c r="M365" i="47" s="1"/>
  <c r="N359" i="47"/>
  <c r="N365" i="47" s="1"/>
  <c r="E228" i="43"/>
  <c r="E229" i="43" s="1"/>
  <c r="E230" i="43" s="1"/>
  <c r="E231" i="43" s="1"/>
  <c r="H58" i="9"/>
  <c r="N58" i="37"/>
  <c r="L58" i="37"/>
  <c r="K58" i="37"/>
  <c r="M58" i="37"/>
  <c r="L247" i="37"/>
  <c r="L405" i="41"/>
  <c r="M247" i="37"/>
  <c r="K247" i="37"/>
  <c r="N247" i="37"/>
  <c r="N57" i="37"/>
  <c r="M140" i="41"/>
  <c r="M417" i="41" s="1"/>
  <c r="J330" i="50"/>
  <c r="J212" i="41"/>
  <c r="J222" i="41" s="1"/>
  <c r="J339" i="50" s="1"/>
  <c r="K212" i="41"/>
  <c r="K331" i="50" s="1"/>
  <c r="K330" i="50"/>
  <c r="N140" i="41"/>
  <c r="N417" i="41" s="1"/>
  <c r="L330" i="50"/>
  <c r="L212" i="41"/>
  <c r="L222" i="41" s="1"/>
  <c r="L339" i="50" s="1"/>
  <c r="N406" i="41"/>
  <c r="L406" i="41"/>
  <c r="M406" i="41"/>
  <c r="M330" i="50"/>
  <c r="M212" i="41"/>
  <c r="N212" i="41"/>
  <c r="N331" i="50" s="1"/>
  <c r="N330" i="50"/>
  <c r="M416" i="41"/>
  <c r="N416" i="41"/>
  <c r="N402" i="41"/>
  <c r="N349" i="50" s="1"/>
  <c r="M402" i="41"/>
  <c r="M349" i="50" s="1"/>
  <c r="N401" i="41"/>
  <c r="N348" i="50" s="1"/>
  <c r="M401" i="41"/>
  <c r="M348" i="50" s="1"/>
  <c r="N400" i="41"/>
  <c r="N347" i="50" s="1"/>
  <c r="L208" i="47"/>
  <c r="I208" i="47"/>
  <c r="I197" i="47"/>
  <c r="J208" i="47"/>
  <c r="K230" i="41"/>
  <c r="L210" i="47"/>
  <c r="L209" i="47"/>
  <c r="L197" i="47"/>
  <c r="K391" i="47"/>
  <c r="M391" i="47"/>
  <c r="L391" i="47"/>
  <c r="M57" i="37"/>
  <c r="J135" i="62"/>
  <c r="J157" i="62" s="1"/>
  <c r="G313" i="37"/>
  <c r="G321" i="37"/>
  <c r="F263" i="34"/>
  <c r="Q83" i="37"/>
  <c r="E323" i="41"/>
  <c r="Q323" i="41" s="1"/>
  <c r="E401" i="41"/>
  <c r="E348" i="50" s="1"/>
  <c r="E103" i="50"/>
  <c r="M400" i="41"/>
  <c r="M347" i="50" s="1"/>
  <c r="G306" i="41"/>
  <c r="G394" i="50" s="1"/>
  <c r="G322" i="47"/>
  <c r="F297" i="34"/>
  <c r="F258" i="34"/>
  <c r="F273" i="34"/>
  <c r="F259" i="34"/>
  <c r="F293" i="34"/>
  <c r="F143" i="42"/>
  <c r="G237" i="42"/>
  <c r="D39" i="9"/>
  <c r="I3" i="47"/>
  <c r="G253" i="37"/>
  <c r="H27" i="42"/>
  <c r="G297" i="37"/>
  <c r="H64" i="37"/>
  <c r="G211" i="42"/>
  <c r="G138" i="41"/>
  <c r="F84" i="42"/>
  <c r="H733" i="50"/>
  <c r="G19" i="42"/>
  <c r="G217" i="41"/>
  <c r="G334" i="50" s="1"/>
  <c r="G175" i="37"/>
  <c r="G34" i="41"/>
  <c r="G295" i="41"/>
  <c r="G384" i="50" s="1"/>
  <c r="G140" i="49"/>
  <c r="H749" i="50"/>
  <c r="G1049" i="42"/>
  <c r="H2128" i="50"/>
  <c r="G295" i="47"/>
  <c r="Y76" i="43"/>
  <c r="J29" i="50"/>
  <c r="H701" i="50"/>
  <c r="H680" i="50"/>
  <c r="F296" i="34"/>
  <c r="G798" i="50"/>
  <c r="F287" i="34"/>
  <c r="F257" i="34"/>
  <c r="F268" i="34"/>
  <c r="F269" i="34"/>
  <c r="G288" i="37"/>
  <c r="D535" i="42"/>
  <c r="D412" i="42"/>
  <c r="G616" i="42"/>
  <c r="G593" i="42"/>
  <c r="F738" i="42"/>
  <c r="G601" i="42"/>
  <c r="G776" i="42"/>
  <c r="H742" i="42"/>
  <c r="F679" i="42"/>
  <c r="G585" i="42"/>
  <c r="G462" i="42"/>
  <c r="R14" i="43"/>
  <c r="N71" i="50"/>
  <c r="N16" i="41"/>
  <c r="W83" i="37"/>
  <c r="V83" i="37"/>
  <c r="X83" i="37"/>
  <c r="J57" i="37"/>
  <c r="K57" i="37"/>
  <c r="L57" i="37"/>
  <c r="M29" i="50"/>
  <c r="H490" i="50"/>
  <c r="F482" i="50"/>
  <c r="H719" i="50"/>
  <c r="G239" i="41"/>
  <c r="H34" i="37"/>
  <c r="G289" i="47"/>
  <c r="G15" i="41"/>
  <c r="G111" i="50"/>
  <c r="G233" i="37"/>
  <c r="G56" i="41"/>
  <c r="G176" i="41"/>
  <c r="G302" i="50" s="1"/>
  <c r="G20" i="49"/>
  <c r="G63" i="50" s="1"/>
  <c r="G197" i="49"/>
  <c r="G190" i="37"/>
  <c r="H425" i="43"/>
  <c r="A282" i="34"/>
  <c r="G634" i="50"/>
  <c r="G636" i="50"/>
  <c r="F274" i="34"/>
  <c r="G800" i="50"/>
  <c r="F292" i="34"/>
  <c r="F262" i="34"/>
  <c r="F271" i="34"/>
  <c r="F255" i="34"/>
  <c r="F254" i="34"/>
  <c r="F289" i="34"/>
  <c r="F253" i="34"/>
  <c r="H589" i="50"/>
  <c r="H557" i="50"/>
  <c r="H545" i="50"/>
  <c r="H497" i="50"/>
  <c r="H533" i="50"/>
  <c r="H587" i="50"/>
  <c r="H509" i="50"/>
  <c r="H544" i="50"/>
  <c r="H920" i="42"/>
  <c r="H926" i="42" s="1"/>
  <c r="G897" i="42"/>
  <c r="G115" i="42"/>
  <c r="J406" i="41"/>
  <c r="K406" i="41"/>
  <c r="K405" i="41"/>
  <c r="J138" i="42"/>
  <c r="J144" i="42" s="1"/>
  <c r="I138" i="42"/>
  <c r="I144" i="42" s="1"/>
  <c r="K115" i="42"/>
  <c r="G138" i="42"/>
  <c r="L138" i="42"/>
  <c r="L144" i="42" s="1"/>
  <c r="K138" i="42"/>
  <c r="K144" i="42" s="1"/>
  <c r="L115" i="42"/>
  <c r="J115" i="42"/>
  <c r="H138" i="42"/>
  <c r="P2037" i="50"/>
  <c r="P1053" i="50"/>
  <c r="P1709" i="50"/>
  <c r="P1217" i="50"/>
  <c r="P561" i="50"/>
  <c r="Q387" i="47"/>
  <c r="E105" i="50"/>
  <c r="S105" i="50" s="1"/>
  <c r="D2911" i="37"/>
  <c r="D2589" i="37"/>
  <c r="D1945" i="37"/>
  <c r="D1301" i="37"/>
  <c r="D1623" i="37"/>
  <c r="D979" i="37"/>
  <c r="D657" i="37"/>
  <c r="D335" i="37"/>
  <c r="D2267" i="37"/>
  <c r="D477" i="50"/>
  <c r="D148" i="37"/>
  <c r="H2042" i="50"/>
  <c r="H1991" i="50"/>
  <c r="H1888" i="50"/>
  <c r="H1836" i="50"/>
  <c r="H2068" i="50"/>
  <c r="H2005" i="50"/>
  <c r="H1992" i="50"/>
  <c r="H1871" i="50"/>
  <c r="H1841" i="50"/>
  <c r="H1806" i="50"/>
  <c r="H2063" i="50"/>
  <c r="H1973" i="50"/>
  <c r="H1878" i="50"/>
  <c r="H1855" i="50"/>
  <c r="H1846" i="50"/>
  <c r="H1714" i="50"/>
  <c r="H1705" i="50"/>
  <c r="H1664" i="50"/>
  <c r="H1654" i="50"/>
  <c r="H1541" i="50"/>
  <c r="H1529" i="50"/>
  <c r="H1481" i="50"/>
  <c r="H1476" i="50"/>
  <c r="H1372" i="50"/>
  <c r="H1363" i="50"/>
  <c r="H1312" i="50"/>
  <c r="H1248" i="50"/>
  <c r="H1204" i="50"/>
  <c r="H1193" i="50"/>
  <c r="H1081" i="50"/>
  <c r="H1050" i="50"/>
  <c r="H1026" i="50"/>
  <c r="H1009" i="50"/>
  <c r="H920" i="50"/>
  <c r="H916" i="50"/>
  <c r="H861" i="50"/>
  <c r="H857" i="50"/>
  <c r="H838" i="50"/>
  <c r="H834" i="50"/>
  <c r="H822" i="50"/>
  <c r="H2487" i="50"/>
  <c r="H2447" i="50"/>
  <c r="H2020" i="50"/>
  <c r="H2014" i="50"/>
  <c r="H1980" i="50"/>
  <c r="H1877" i="50"/>
  <c r="H1856" i="50"/>
  <c r="H1850" i="50"/>
  <c r="H1816" i="50"/>
  <c r="H1740" i="50"/>
  <c r="H1736" i="50"/>
  <c r="H1713" i="50"/>
  <c r="H1706" i="50"/>
  <c r="H1700" i="50"/>
  <c r="H1693" i="50"/>
  <c r="H1691" i="50"/>
  <c r="H1657" i="50"/>
  <c r="H1652" i="50"/>
  <c r="H1645" i="50"/>
  <c r="H1640" i="50"/>
  <c r="H1576" i="50"/>
  <c r="H1572" i="50"/>
  <c r="H1549" i="50"/>
  <c r="H1542" i="50"/>
  <c r="H1536" i="50"/>
  <c r="H1528" i="50"/>
  <c r="H1522" i="50"/>
  <c r="H1518" i="50"/>
  <c r="H1501" i="50"/>
  <c r="H1489" i="50"/>
  <c r="H1477" i="50"/>
  <c r="H1412" i="50"/>
  <c r="H1408" i="50"/>
  <c r="H1385" i="50"/>
  <c r="H1371" i="50"/>
  <c r="H1364" i="50"/>
  <c r="H1358" i="50"/>
  <c r="H1354" i="50"/>
  <c r="H1337" i="50"/>
  <c r="H1325" i="50"/>
  <c r="H1313" i="50"/>
  <c r="H1236" i="50"/>
  <c r="H1232" i="50"/>
  <c r="H1227" i="50"/>
  <c r="H1215" i="50"/>
  <c r="H1189" i="50"/>
  <c r="H1185" i="50"/>
  <c r="H1179" i="50"/>
  <c r="H1172" i="50"/>
  <c r="H1166" i="50"/>
  <c r="H1162" i="50"/>
  <c r="H1150" i="50"/>
  <c r="H1084" i="50"/>
  <c r="H1080" i="50"/>
  <c r="H1057" i="50"/>
  <c r="H1043" i="50"/>
  <c r="H1040" i="50"/>
  <c r="H1029" i="50"/>
  <c r="H1024" i="50"/>
  <c r="H1016" i="50"/>
  <c r="H1007" i="50"/>
  <c r="H908" i="50"/>
  <c r="H904" i="50"/>
  <c r="H899" i="50"/>
  <c r="H885" i="50"/>
  <c r="H873" i="50"/>
  <c r="H871" i="50"/>
  <c r="H837" i="50"/>
  <c r="H832" i="50"/>
  <c r="H825" i="50"/>
  <c r="H820" i="50"/>
  <c r="H2486" i="50"/>
  <c r="H2455" i="50"/>
  <c r="H2056" i="50"/>
  <c r="H2052" i="50"/>
  <c r="H2047" i="50"/>
  <c r="H2027" i="50"/>
  <c r="H1985" i="50"/>
  <c r="H1981" i="50"/>
  <c r="H1901" i="50"/>
  <c r="H1821" i="50"/>
  <c r="H1817" i="50"/>
  <c r="H1728" i="50"/>
  <c r="H1724" i="50"/>
  <c r="H1719" i="50"/>
  <c r="H1699" i="50"/>
  <c r="H1692" i="50"/>
  <c r="H1686" i="50"/>
  <c r="H1682" i="50"/>
  <c r="H1665" i="50"/>
  <c r="H1653" i="50"/>
  <c r="H1641" i="50"/>
  <c r="H1564" i="50"/>
  <c r="H1560" i="50"/>
  <c r="H1555" i="50"/>
  <c r="H1535" i="50"/>
  <c r="H1532" i="50"/>
  <c r="H1521" i="50"/>
  <c r="H1516" i="50"/>
  <c r="H1508" i="50"/>
  <c r="H1499" i="50"/>
  <c r="H1400" i="50"/>
  <c r="H1396" i="50"/>
  <c r="H1391" i="50"/>
  <c r="H1379" i="50"/>
  <c r="H1368" i="50"/>
  <c r="H1357" i="50"/>
  <c r="H1352" i="50"/>
  <c r="H1344" i="50"/>
  <c r="H1335" i="50"/>
  <c r="H1243" i="50"/>
  <c r="H1235" i="50"/>
  <c r="H1213" i="50"/>
  <c r="H1201" i="50"/>
  <c r="H1199" i="50"/>
  <c r="H1165" i="50"/>
  <c r="H1160" i="50"/>
  <c r="H1153" i="50"/>
  <c r="H1148" i="50"/>
  <c r="H2201" i="50"/>
  <c r="H2221" i="50"/>
  <c r="H2275" i="50"/>
  <c r="H2335" i="50"/>
  <c r="H2391" i="50"/>
  <c r="H2479" i="50"/>
  <c r="H821" i="50"/>
  <c r="H833" i="50"/>
  <c r="H843" i="50"/>
  <c r="H845" i="50"/>
  <c r="H865" i="50"/>
  <c r="H876" i="50"/>
  <c r="H879" i="50"/>
  <c r="H894" i="50"/>
  <c r="H915" i="50"/>
  <c r="G958" i="50"/>
  <c r="H1008" i="50"/>
  <c r="H1025" i="50"/>
  <c r="H1035" i="50"/>
  <c r="H1047" i="50"/>
  <c r="H1049" i="50"/>
  <c r="H1051" i="50"/>
  <c r="H1071" i="50"/>
  <c r="H1190" i="50"/>
  <c r="H1314" i="50"/>
  <c r="H1330" i="50"/>
  <c r="H1478" i="50"/>
  <c r="H1494" i="50"/>
  <c r="H1571" i="50"/>
  <c r="H1663" i="50"/>
  <c r="H1904" i="50"/>
  <c r="H1968" i="50"/>
  <c r="G963" i="42"/>
  <c r="H929" i="42"/>
  <c r="G969" i="42"/>
  <c r="G803" i="42"/>
  <c r="H1825" i="50"/>
  <c r="F1794" i="50"/>
  <c r="H1703" i="50"/>
  <c r="H1647" i="50"/>
  <c r="H1310" i="50"/>
  <c r="H1241" i="50"/>
  <c r="H2438" i="50"/>
  <c r="H2003" i="50"/>
  <c r="H1405" i="50"/>
  <c r="H1347" i="50"/>
  <c r="H897" i="50"/>
  <c r="H883" i="50"/>
  <c r="G1908" i="50"/>
  <c r="H1897" i="50"/>
  <c r="H1389" i="50"/>
  <c r="H1333" i="50"/>
  <c r="G2106" i="50"/>
  <c r="G1949" i="50"/>
  <c r="G1945" i="50"/>
  <c r="G1785" i="50"/>
  <c r="G1781" i="50"/>
  <c r="G2110" i="50"/>
  <c r="G1948" i="50"/>
  <c r="G1784" i="50"/>
  <c r="G2109" i="50"/>
  <c r="G1614" i="50"/>
  <c r="G1450" i="50"/>
  <c r="G1290" i="50"/>
  <c r="G1122" i="50"/>
  <c r="G962" i="50"/>
  <c r="G2113" i="50"/>
  <c r="G1946" i="50"/>
  <c r="G1782" i="50"/>
  <c r="G1618" i="50"/>
  <c r="G1454" i="50"/>
  <c r="G1293" i="50"/>
  <c r="G1289" i="50"/>
  <c r="G1126" i="50"/>
  <c r="G965" i="50"/>
  <c r="G961" i="50"/>
  <c r="G2112" i="50"/>
  <c r="G1621" i="50"/>
  <c r="G1617" i="50"/>
  <c r="G1457" i="50"/>
  <c r="G1453" i="50"/>
  <c r="G1292" i="50"/>
  <c r="G1129" i="50"/>
  <c r="H524" i="50"/>
  <c r="H538" i="50"/>
  <c r="H559" i="50"/>
  <c r="H2195" i="50"/>
  <c r="H2203" i="50"/>
  <c r="H2223" i="50"/>
  <c r="H2267" i="50"/>
  <c r="H2327" i="50"/>
  <c r="H2347" i="50"/>
  <c r="H2392" i="50"/>
  <c r="H860" i="50"/>
  <c r="H862" i="50"/>
  <c r="H866" i="50"/>
  <c r="H880" i="50"/>
  <c r="G924" i="50"/>
  <c r="H1001" i="50"/>
  <c r="H1021" i="50"/>
  <c r="H1063" i="50"/>
  <c r="H1068" i="50"/>
  <c r="H1072" i="50"/>
  <c r="G1128" i="50"/>
  <c r="H1173" i="50"/>
  <c r="H1200" i="50"/>
  <c r="H1208" i="50"/>
  <c r="H1222" i="50"/>
  <c r="H1245" i="50"/>
  <c r="H1326" i="50"/>
  <c r="H1343" i="50"/>
  <c r="H1407" i="50"/>
  <c r="G1456" i="50"/>
  <c r="H1490" i="50"/>
  <c r="H1507" i="50"/>
  <c r="H1543" i="50"/>
  <c r="H1672" i="50"/>
  <c r="H1685" i="50"/>
  <c r="H1735" i="50"/>
  <c r="G1778" i="50"/>
  <c r="H1900" i="50"/>
  <c r="H897" i="42"/>
  <c r="H534" i="50"/>
  <c r="H2208" i="50"/>
  <c r="H2282" i="50"/>
  <c r="H2321" i="50"/>
  <c r="H2349" i="50"/>
  <c r="H2384" i="50"/>
  <c r="H2440" i="50"/>
  <c r="H2473" i="50"/>
  <c r="H2492" i="50"/>
  <c r="H852" i="50"/>
  <c r="H907" i="50"/>
  <c r="H917" i="50"/>
  <c r="H989" i="50"/>
  <c r="H996" i="50"/>
  <c r="H998" i="50"/>
  <c r="H1002" i="50"/>
  <c r="H1336" i="50"/>
  <c r="H1353" i="50"/>
  <c r="H1500" i="50"/>
  <c r="H1517" i="50"/>
  <c r="H1563" i="50"/>
  <c r="H1707" i="50"/>
  <c r="H1829" i="50"/>
  <c r="H1867" i="50"/>
  <c r="H1869" i="50"/>
  <c r="G1942" i="50"/>
  <c r="E325" i="41"/>
  <c r="H1483" i="50"/>
  <c r="H1375" i="50"/>
  <c r="H991" i="50"/>
  <c r="H1183" i="50"/>
  <c r="H1194" i="50"/>
  <c r="H1079" i="50"/>
  <c r="H886" i="50"/>
  <c r="H2494" i="50"/>
  <c r="H2406" i="50"/>
  <c r="H2035" i="50"/>
  <c r="H1993" i="50"/>
  <c r="H1680" i="50"/>
  <c r="H1513" i="50"/>
  <c r="H1399" i="50"/>
  <c r="H1377" i="50"/>
  <c r="H1349" i="50"/>
  <c r="H986" i="50"/>
  <c r="H984" i="50"/>
  <c r="H872" i="50"/>
  <c r="H2334" i="50"/>
  <c r="H1804" i="50"/>
  <c r="H1727" i="50"/>
  <c r="H1696" i="50"/>
  <c r="H1214" i="50"/>
  <c r="H1161" i="50"/>
  <c r="H1149" i="50"/>
  <c r="H2448" i="50"/>
  <c r="H2274" i="50"/>
  <c r="H2209" i="50"/>
  <c r="H2055" i="50"/>
  <c r="H1037" i="50"/>
  <c r="H1015" i="50"/>
  <c r="G1125" i="50"/>
  <c r="G964" i="50"/>
  <c r="G1286" i="50"/>
  <c r="E406" i="41"/>
  <c r="G3199" i="37"/>
  <c r="G3065" i="37"/>
  <c r="G3010" i="37"/>
  <c r="G2792" i="37"/>
  <c r="H2665" i="37"/>
  <c r="H3170" i="37"/>
  <c r="G3161" i="37"/>
  <c r="G2918" i="37"/>
  <c r="G2829" i="37"/>
  <c r="G2809" i="37"/>
  <c r="G2778" i="37"/>
  <c r="G2429" i="37"/>
  <c r="G2307" i="37"/>
  <c r="G2107" i="37"/>
  <c r="G1985" i="37"/>
  <c r="G2456" i="37"/>
  <c r="G2336" i="37"/>
  <c r="G2820" i="37"/>
  <c r="G2658" i="37"/>
  <c r="G2161" i="37"/>
  <c r="G2148" i="37"/>
  <c r="G2896" i="37"/>
  <c r="G2751" i="37"/>
  <c r="G2238" i="37"/>
  <c r="G2220" i="37"/>
  <c r="G1898" i="37"/>
  <c r="H1882" i="37"/>
  <c r="G1663" i="37"/>
  <c r="G1630" i="37"/>
  <c r="G1191" i="37"/>
  <c r="G1168" i="37"/>
  <c r="G756" i="37"/>
  <c r="G697" i="37"/>
  <c r="G1400" i="37"/>
  <c r="G1263" i="37"/>
  <c r="G869" i="37"/>
  <c r="G846" i="37"/>
  <c r="H1699" i="37"/>
  <c r="G1612" i="37"/>
  <c r="G1478" i="37"/>
  <c r="G1463" i="37"/>
  <c r="G968" i="37"/>
  <c r="G964" i="37"/>
  <c r="G1777" i="37"/>
  <c r="G1722" i="37"/>
  <c r="H1352" i="37"/>
  <c r="H1322" i="37"/>
  <c r="H1030" i="37"/>
  <c r="H1000" i="37"/>
  <c r="H678" i="37"/>
  <c r="G628" i="37"/>
  <c r="G375" i="37"/>
  <c r="H594" i="37"/>
  <c r="G575" i="37"/>
  <c r="D3046" i="37"/>
  <c r="D2402" i="37"/>
  <c r="D2080" i="37"/>
  <c r="D2724" i="37"/>
  <c r="D1758" i="37"/>
  <c r="D1114" i="37"/>
  <c r="D792" i="37"/>
  <c r="D1436" i="37"/>
  <c r="D470" i="37"/>
  <c r="N1372" i="37"/>
  <c r="J1694" i="37"/>
  <c r="G3223" i="37"/>
  <c r="G3219" i="37"/>
  <c r="G2902" i="37"/>
  <c r="G2898" i="37"/>
  <c r="G2889" i="37"/>
  <c r="G2579" i="37"/>
  <c r="G2258" i="37"/>
  <c r="G2254" i="37"/>
  <c r="G2245" i="37"/>
  <c r="G1936" i="37"/>
  <c r="G1932" i="37"/>
  <c r="G1923" i="37"/>
  <c r="G3224" i="37"/>
  <c r="G3211" i="37"/>
  <c r="G2567" i="37"/>
  <c r="G2257" i="37"/>
  <c r="G2253" i="37"/>
  <c r="G2897" i="37"/>
  <c r="G2576" i="37"/>
  <c r="G3220" i="37"/>
  <c r="G2901" i="37"/>
  <c r="G2580" i="37"/>
  <c r="G2575" i="37"/>
  <c r="G1931" i="37"/>
  <c r="G1614" i="37"/>
  <c r="G1610" i="37"/>
  <c r="G1601" i="37"/>
  <c r="G1292" i="37"/>
  <c r="G1288" i="37"/>
  <c r="G1279" i="37"/>
  <c r="G970" i="37"/>
  <c r="G966" i="37"/>
  <c r="G957" i="37"/>
  <c r="G648" i="37"/>
  <c r="G644" i="37"/>
  <c r="G635" i="37"/>
  <c r="G1613" i="37"/>
  <c r="G1609" i="37"/>
  <c r="G1291" i="37"/>
  <c r="G1287" i="37"/>
  <c r="G969" i="37"/>
  <c r="G965" i="37"/>
  <c r="G647" i="37"/>
  <c r="G643" i="37"/>
  <c r="G1935" i="37"/>
  <c r="K4" i="47"/>
  <c r="D44" i="9"/>
  <c r="E322" i="41"/>
  <c r="E168" i="62"/>
  <c r="T168" i="62" s="1"/>
  <c r="I2118" i="50"/>
  <c r="H2121" i="50" s="1"/>
  <c r="I12" i="42"/>
  <c r="Q149" i="42" s="1"/>
  <c r="E102" i="50"/>
  <c r="P102" i="50" s="1"/>
  <c r="E146" i="62"/>
  <c r="E400" i="41"/>
  <c r="E106" i="50"/>
  <c r="P106" i="50" s="1"/>
  <c r="E326" i="41"/>
  <c r="Q326" i="41" s="1"/>
  <c r="E38" i="41"/>
  <c r="E48" i="41" s="1"/>
  <c r="E216" i="50" s="1"/>
  <c r="E55" i="62"/>
  <c r="U55" i="62" s="1"/>
  <c r="E111" i="62"/>
  <c r="G3" i="47"/>
  <c r="D38" i="9"/>
  <c r="G5" i="47"/>
  <c r="L16" i="41"/>
  <c r="M143" i="50"/>
  <c r="G603" i="42"/>
  <c r="G977" i="42"/>
  <c r="G1256" i="50"/>
  <c r="G203" i="42"/>
  <c r="G614" i="50"/>
  <c r="D8" i="34"/>
  <c r="H2141" i="50"/>
  <c r="H702" i="50"/>
  <c r="H220" i="47"/>
  <c r="H743" i="50"/>
  <c r="H744" i="50"/>
  <c r="H716" i="50"/>
  <c r="G1620" i="50"/>
  <c r="F265" i="34"/>
  <c r="G801" i="50"/>
  <c r="F260" i="34"/>
  <c r="B62" i="34"/>
  <c r="G323" i="47" s="1"/>
  <c r="B34" i="34"/>
  <c r="B68" i="34"/>
  <c r="B30" i="34"/>
  <c r="G1479" i="37" s="1"/>
  <c r="G2168" i="50"/>
  <c r="B32" i="34"/>
  <c r="H751" i="50"/>
  <c r="H661" i="50"/>
  <c r="H688" i="50"/>
  <c r="H722" i="50"/>
  <c r="H730" i="50"/>
  <c r="H656" i="50"/>
  <c r="H723" i="50"/>
  <c r="H670" i="50"/>
  <c r="H2134" i="50"/>
  <c r="H756" i="50"/>
  <c r="H669" i="50"/>
  <c r="H753" i="50"/>
  <c r="H693" i="50"/>
  <c r="H687" i="50"/>
  <c r="H712" i="50"/>
  <c r="H658" i="50"/>
  <c r="H223" i="47"/>
  <c r="G217" i="47"/>
  <c r="H740" i="50"/>
  <c r="H2156" i="50"/>
  <c r="H721" i="50"/>
  <c r="A283" i="34"/>
  <c r="J1050" i="37"/>
  <c r="N261" i="50"/>
  <c r="G2768" i="37"/>
  <c r="G848" i="37"/>
  <c r="G222" i="50"/>
  <c r="G1609" i="50"/>
  <c r="G2357" i="50"/>
  <c r="G3133" i="37"/>
  <c r="G1787" i="37"/>
  <c r="G579" i="37"/>
  <c r="G2097" i="50"/>
  <c r="G1434" i="50"/>
  <c r="G1111" i="50"/>
  <c r="G3165" i="37"/>
  <c r="G1515" i="37"/>
  <c r="G587" i="42"/>
  <c r="D41" i="9"/>
  <c r="I115" i="42"/>
  <c r="H115" i="42"/>
  <c r="N219" i="49"/>
  <c r="N193" i="50" s="1"/>
  <c r="I57" i="37"/>
  <c r="Q1371" i="37"/>
  <c r="Q1049" i="37"/>
  <c r="Q405" i="37"/>
  <c r="Q727" i="37"/>
  <c r="G1603" i="50"/>
  <c r="G1912" i="50"/>
  <c r="B65" i="34"/>
  <c r="H673" i="50"/>
  <c r="H707" i="50"/>
  <c r="H729" i="50"/>
  <c r="M135" i="62"/>
  <c r="M157" i="62" s="1"/>
  <c r="H709" i="50"/>
  <c r="H579" i="50"/>
  <c r="H558" i="50"/>
  <c r="H566" i="50"/>
  <c r="H506" i="50"/>
  <c r="H523" i="50"/>
  <c r="H492" i="50"/>
  <c r="H588" i="50"/>
  <c r="H532" i="50"/>
  <c r="H505" i="50"/>
  <c r="H2065" i="50"/>
  <c r="H2013" i="50"/>
  <c r="H1892" i="50"/>
  <c r="H1860" i="50"/>
  <c r="H1827" i="50"/>
  <c r="H2034" i="50"/>
  <c r="H1999" i="50"/>
  <c r="H1970" i="50"/>
  <c r="H1845" i="50"/>
  <c r="H1822" i="50"/>
  <c r="H2021" i="50"/>
  <c r="H1969" i="50"/>
  <c r="H1857" i="50"/>
  <c r="H1805" i="50"/>
  <c r="H1681" i="50"/>
  <c r="H1658" i="50"/>
  <c r="H1550" i="50"/>
  <c r="H1493" i="50"/>
  <c r="H1409" i="50"/>
  <c r="H1365" i="50"/>
  <c r="H1317" i="50"/>
  <c r="H1221" i="50"/>
  <c r="H1188" i="50"/>
  <c r="H1058" i="50"/>
  <c r="H1030" i="50"/>
  <c r="H752" i="50"/>
  <c r="H2142" i="50"/>
  <c r="H229" i="47"/>
  <c r="H696" i="50"/>
  <c r="H715" i="50"/>
  <c r="K135" i="62"/>
  <c r="K157" i="62" s="1"/>
  <c r="H668" i="50"/>
  <c r="H698" i="50"/>
  <c r="H735" i="50"/>
  <c r="H681" i="50"/>
  <c r="H592" i="50"/>
  <c r="H552" i="50"/>
  <c r="H548" i="50"/>
  <c r="H537" i="50"/>
  <c r="H580" i="50"/>
  <c r="H515" i="50"/>
  <c r="H517" i="50"/>
  <c r="H504" i="50"/>
  <c r="H551" i="50"/>
  <c r="H2033" i="50"/>
  <c r="H2000" i="50"/>
  <c r="H1883" i="50"/>
  <c r="H1844" i="50"/>
  <c r="H2064" i="50"/>
  <c r="H2009" i="50"/>
  <c r="H1986" i="50"/>
  <c r="H1891" i="50"/>
  <c r="H1835" i="50"/>
  <c r="A262" i="34"/>
  <c r="A260" i="34"/>
  <c r="Q388" i="47"/>
  <c r="P1381" i="50"/>
  <c r="P1545" i="50"/>
  <c r="Q398" i="47"/>
  <c r="P725" i="50"/>
  <c r="P1873" i="50"/>
  <c r="P889" i="50"/>
  <c r="E37" i="41"/>
  <c r="E47" i="41" s="1"/>
  <c r="E405" i="41"/>
  <c r="E36" i="10"/>
  <c r="Q230" i="41"/>
  <c r="Q18" i="41"/>
  <c r="B69" i="34"/>
  <c r="G95" i="47" s="1"/>
  <c r="B40" i="34"/>
  <c r="G1456" i="37" s="1"/>
  <c r="B36" i="34"/>
  <c r="G1423" i="50" s="1"/>
  <c r="B38" i="34"/>
  <c r="B26" i="34"/>
  <c r="G624" i="50" s="1"/>
  <c r="B28" i="34"/>
  <c r="G2239" i="37" s="1"/>
  <c r="B31" i="34"/>
  <c r="Q2659" i="37"/>
  <c r="Q1693" i="37"/>
  <c r="Q2981" i="37"/>
  <c r="Q3249" i="37"/>
  <c r="Q2337" i="37"/>
  <c r="Q2015" i="37"/>
  <c r="E111" i="49"/>
  <c r="P1530" i="50"/>
  <c r="P1531" i="50" s="1"/>
  <c r="A280" i="34"/>
  <c r="A285" i="34"/>
  <c r="H163" i="50"/>
  <c r="D983" i="42"/>
  <c r="D486" i="42"/>
  <c r="D249" i="42"/>
  <c r="D609" i="42"/>
  <c r="D770" i="42"/>
  <c r="D1083" i="42"/>
  <c r="I897" i="42"/>
  <c r="M331" i="50"/>
  <c r="M222" i="41"/>
  <c r="M339" i="50" s="1"/>
  <c r="M290" i="50"/>
  <c r="M1050" i="37"/>
  <c r="I261" i="50"/>
  <c r="I1694" i="37"/>
  <c r="J2660" i="37"/>
  <c r="J84" i="37"/>
  <c r="J2016" i="37"/>
  <c r="N138" i="50"/>
  <c r="N84" i="49"/>
  <c r="N100" i="49" s="1"/>
  <c r="N64" i="50"/>
  <c r="K64" i="50"/>
  <c r="G3102" i="37"/>
  <c r="G1814" i="37"/>
  <c r="B64" i="34"/>
  <c r="G1158" i="37"/>
  <c r="G514" i="37"/>
  <c r="G2780" i="37"/>
  <c r="G526" i="37"/>
  <c r="G2446" i="37"/>
  <c r="G192" i="37"/>
  <c r="G1480" i="37"/>
  <c r="G836" i="37"/>
  <c r="M192" i="50"/>
  <c r="M2660" i="37"/>
  <c r="G1759" i="50"/>
  <c r="J143" i="50"/>
  <c r="I728" i="37"/>
  <c r="H138" i="50"/>
  <c r="M168" i="50"/>
  <c r="M136" i="49"/>
  <c r="M171" i="50" s="1"/>
  <c r="I143" i="50"/>
  <c r="N143" i="50"/>
  <c r="A279" i="34"/>
  <c r="A281" i="34"/>
  <c r="A284" i="34"/>
  <c r="D957" i="42"/>
  <c r="D12" i="42"/>
  <c r="D175" i="42"/>
  <c r="D796" i="42"/>
  <c r="D2118" i="50"/>
  <c r="E70" i="41"/>
  <c r="E255" i="41"/>
  <c r="G2312" i="37"/>
  <c r="G284" i="49"/>
  <c r="A266" i="34"/>
  <c r="G628" i="50"/>
  <c r="G1253" i="50"/>
  <c r="G100" i="50"/>
  <c r="G106" i="50"/>
  <c r="G2460" i="50"/>
  <c r="G2354" i="50"/>
  <c r="G1581" i="50"/>
  <c r="G861" i="37"/>
  <c r="G1753" i="50"/>
  <c r="G290" i="47"/>
  <c r="G209" i="47"/>
  <c r="G2471" i="37"/>
  <c r="G101" i="50"/>
  <c r="G192" i="42"/>
  <c r="A267" i="34"/>
  <c r="H657" i="50"/>
  <c r="H674" i="50"/>
  <c r="H679" i="50"/>
  <c r="H571" i="50"/>
  <c r="H543" i="50"/>
  <c r="H516" i="50"/>
  <c r="H529" i="50"/>
  <c r="H576" i="50"/>
  <c r="H2024" i="50"/>
  <c r="H1863" i="50"/>
  <c r="H2041" i="50"/>
  <c r="H1982" i="50"/>
  <c r="H1828" i="50"/>
  <c r="H2019" i="50"/>
  <c r="H1870" i="50"/>
  <c r="H1809" i="50"/>
  <c r="H1677" i="50"/>
  <c r="H1642" i="50"/>
  <c r="H1527" i="50"/>
  <c r="H1386" i="50"/>
  <c r="H1329" i="50"/>
  <c r="H1244" i="50"/>
  <c r="H1180" i="50"/>
  <c r="H1044" i="50"/>
  <c r="H997" i="50"/>
  <c r="H893" i="50"/>
  <c r="H851" i="50"/>
  <c r="H697" i="50"/>
  <c r="H708" i="50"/>
  <c r="H565" i="50"/>
  <c r="H510" i="50"/>
  <c r="H493" i="50"/>
  <c r="H494" i="50"/>
  <c r="H2008" i="50"/>
  <c r="H1849" i="50"/>
  <c r="H2028" i="50"/>
  <c r="H1899" i="50"/>
  <c r="H1818" i="50"/>
  <c r="H2010" i="50"/>
  <c r="H1864" i="50"/>
  <c r="H1737" i="50"/>
  <c r="H1671" i="50"/>
  <c r="H1573" i="50"/>
  <c r="H1488" i="50"/>
  <c r="H1378" i="50"/>
  <c r="H1324" i="50"/>
  <c r="H1207" i="50"/>
  <c r="H1171" i="50"/>
  <c r="H1036" i="50"/>
  <c r="H985" i="50"/>
  <c r="H887" i="50"/>
  <c r="H844" i="50"/>
  <c r="F288" i="34"/>
  <c r="F267" i="34"/>
  <c r="F251" i="34"/>
  <c r="F272" i="34"/>
  <c r="F270" i="34"/>
  <c r="F261" i="34"/>
  <c r="G633" i="50"/>
  <c r="G630" i="50"/>
  <c r="F256" i="34"/>
  <c r="F300" i="34"/>
  <c r="F295" i="34"/>
  <c r="G794" i="50"/>
  <c r="G797" i="50"/>
  <c r="F290" i="34"/>
  <c r="F282" i="34"/>
  <c r="F252" i="34"/>
  <c r="F264" i="34"/>
  <c r="F286" i="34"/>
  <c r="F250" i="34"/>
  <c r="G322" i="37" s="1"/>
  <c r="G637" i="50"/>
  <c r="F298" i="34"/>
  <c r="F299" i="34"/>
  <c r="G325" i="37"/>
  <c r="F294" i="34"/>
  <c r="F266" i="34"/>
  <c r="G96" i="50"/>
  <c r="G243" i="49"/>
  <c r="G201" i="50" s="1"/>
  <c r="G2744" i="37"/>
  <c r="G964" i="42"/>
  <c r="G285" i="49"/>
  <c r="G1917" i="50"/>
  <c r="G1261" i="50"/>
  <c r="G2081" i="50"/>
  <c r="G98" i="50"/>
  <c r="G108" i="50"/>
  <c r="G322" i="41"/>
  <c r="G409" i="50" s="1"/>
  <c r="G622" i="37"/>
  <c r="G291" i="41"/>
  <c r="G381" i="50" s="1"/>
  <c r="G449" i="42"/>
  <c r="G357" i="47"/>
  <c r="I2016" i="37"/>
  <c r="I2660" i="37"/>
  <c r="L67" i="50"/>
  <c r="H401" i="47"/>
  <c r="G1919" i="50"/>
  <c r="G336" i="41"/>
  <c r="G421" i="50" s="1"/>
  <c r="G1554" i="37"/>
  <c r="G2166" i="37"/>
  <c r="G388" i="47"/>
  <c r="G875" i="37"/>
  <c r="G786" i="42"/>
  <c r="G345" i="41"/>
  <c r="G430" i="50" s="1"/>
  <c r="G139" i="41"/>
  <c r="G274" i="50" s="1"/>
  <c r="G405" i="37"/>
  <c r="G237" i="50"/>
  <c r="G267" i="41"/>
  <c r="G361" i="50" s="1"/>
  <c r="G565" i="42"/>
  <c r="G1485" i="37"/>
  <c r="G531" i="37"/>
  <c r="G412" i="41"/>
  <c r="G245" i="42"/>
  <c r="G1768" i="50"/>
  <c r="G2176" i="50"/>
  <c r="G1758" i="50"/>
  <c r="G28" i="49"/>
  <c r="G71" i="50" s="1"/>
  <c r="G935" i="50"/>
  <c r="G327" i="41"/>
  <c r="G414" i="50" s="1"/>
  <c r="G2510" i="37"/>
  <c r="G2421" i="50"/>
  <c r="G1930" i="50"/>
  <c r="G317" i="41"/>
  <c r="G405" i="50" s="1"/>
  <c r="G479" i="42"/>
  <c r="G939" i="50"/>
  <c r="G2129" i="37"/>
  <c r="G1602" i="50"/>
  <c r="G240" i="50"/>
  <c r="G1266" i="50"/>
  <c r="G556" i="37"/>
  <c r="G405" i="41"/>
  <c r="G1665" i="37"/>
  <c r="G2087" i="50"/>
  <c r="G2358" i="50"/>
  <c r="G786" i="50"/>
  <c r="G416" i="41"/>
  <c r="G2092" i="50"/>
  <c r="G1280" i="50"/>
  <c r="G2785" i="37"/>
  <c r="G1102" i="50"/>
  <c r="G338" i="41"/>
  <c r="G423" i="50" s="1"/>
  <c r="G347" i="50"/>
  <c r="G157" i="41"/>
  <c r="G290" i="50" s="1"/>
  <c r="G2015" i="37"/>
  <c r="G1371" i="37"/>
  <c r="G1442" i="50"/>
  <c r="G147" i="41"/>
  <c r="G280" i="50" s="1"/>
  <c r="G2981" i="37"/>
  <c r="G699" i="37"/>
  <c r="G197" i="37"/>
  <c r="G16" i="41"/>
  <c r="G878" i="37"/>
  <c r="G590" i="42"/>
  <c r="G1840" i="37"/>
  <c r="G1197" i="37"/>
  <c r="G622" i="50"/>
  <c r="G238" i="50"/>
  <c r="G3250" i="37"/>
  <c r="G1213" i="37"/>
  <c r="G727" i="37"/>
  <c r="G594" i="42"/>
  <c r="G3095" i="37"/>
  <c r="G208" i="41"/>
  <c r="G327" i="50" s="1"/>
  <c r="G1594" i="50"/>
  <c r="G1276" i="50"/>
  <c r="G232" i="50"/>
  <c r="G3129" i="37"/>
  <c r="G419" i="41"/>
  <c r="G297" i="41"/>
  <c r="G386" i="50" s="1"/>
  <c r="G2298" i="50"/>
  <c r="G2287" i="50"/>
  <c r="G1535" i="37"/>
  <c r="G618" i="50"/>
  <c r="G25" i="49"/>
  <c r="G68" i="50" s="1"/>
  <c r="G2163" i="50"/>
  <c r="G552" i="42"/>
  <c r="G597" i="50"/>
  <c r="G3115" i="37"/>
  <c r="G1097" i="50"/>
  <c r="G761" i="50"/>
  <c r="G92" i="50"/>
  <c r="G1909" i="50"/>
  <c r="G1505" i="37"/>
  <c r="G429" i="42"/>
  <c r="G104" i="50"/>
  <c r="G217" i="37"/>
  <c r="G109" i="50"/>
  <c r="G238" i="49"/>
  <c r="G200" i="50" s="1"/>
  <c r="G2073" i="50"/>
  <c r="G185" i="49"/>
  <c r="G188" i="50" s="1"/>
  <c r="G93" i="50"/>
  <c r="G1425" i="50"/>
  <c r="G23" i="49"/>
  <c r="G66" i="50" s="1"/>
  <c r="G2411" i="50"/>
  <c r="G1778" i="37"/>
  <c r="G2100" i="37"/>
  <c r="G97" i="50"/>
  <c r="G925" i="50"/>
  <c r="G27" i="49"/>
  <c r="G70" i="50" s="1"/>
  <c r="G2499" i="50"/>
  <c r="G168" i="37"/>
  <c r="G2149" i="37"/>
  <c r="G2793" i="37"/>
  <c r="G95" i="50"/>
  <c r="G1827" i="37"/>
  <c r="G769" i="50"/>
  <c r="G1089" i="50"/>
  <c r="G777" i="42"/>
  <c r="G1589" i="50"/>
  <c r="G490" i="37"/>
  <c r="G24" i="49"/>
  <c r="G67" i="50" s="1"/>
  <c r="G99" i="50"/>
  <c r="G2422" i="37"/>
  <c r="G2296" i="50"/>
  <c r="L136" i="49"/>
  <c r="K3" i="47"/>
  <c r="D40" i="9"/>
  <c r="D42" i="9"/>
  <c r="G4" i="47"/>
  <c r="A300" i="34"/>
  <c r="Q226" i="47"/>
  <c r="P1201" i="50"/>
  <c r="P709" i="50"/>
  <c r="P1529" i="50"/>
  <c r="Q220" i="47"/>
  <c r="P873" i="50"/>
  <c r="P2021" i="50"/>
  <c r="P1693" i="50"/>
  <c r="P545" i="50"/>
  <c r="P1857" i="50"/>
  <c r="P1365" i="50"/>
  <c r="P1037" i="50"/>
  <c r="E104" i="50"/>
  <c r="S104" i="50" s="1"/>
  <c r="E324" i="41"/>
  <c r="E411" i="50" s="1"/>
  <c r="E402" i="41"/>
  <c r="E242" i="41" s="1"/>
  <c r="E246" i="41" s="1"/>
  <c r="E117" i="62"/>
  <c r="E61" i="62"/>
  <c r="S61" i="62" s="1"/>
  <c r="E152" i="62"/>
  <c r="E174" i="62"/>
  <c r="S174" i="62" s="1"/>
  <c r="E108" i="50"/>
  <c r="S108" i="50" s="1"/>
  <c r="E285" i="49"/>
  <c r="G1023" i="37"/>
  <c r="G2361" i="50"/>
  <c r="G2127" i="37"/>
  <c r="G3105" i="37"/>
  <c r="G1024" i="37"/>
  <c r="G1667" i="37"/>
  <c r="G2237" i="50"/>
  <c r="G2461" i="37"/>
  <c r="G2139" i="37"/>
  <c r="G529" i="37"/>
  <c r="G2772" i="37"/>
  <c r="G391" i="47"/>
  <c r="G1914" i="50"/>
  <c r="G387" i="47"/>
  <c r="G602" i="50"/>
  <c r="G1495" i="37"/>
  <c r="G2170" i="50"/>
  <c r="G2450" i="37"/>
  <c r="G2449" i="37"/>
  <c r="G1586" i="50"/>
  <c r="G1588" i="50"/>
  <c r="G219" i="49"/>
  <c r="G193" i="50" s="1"/>
  <c r="G1095" i="50"/>
  <c r="G130" i="49"/>
  <c r="G168" i="50" s="1"/>
  <c r="G211" i="41"/>
  <c r="G330" i="50" s="1"/>
  <c r="G222" i="41"/>
  <c r="G339" i="50" s="1"/>
  <c r="G1049" i="37"/>
  <c r="G602" i="42"/>
  <c r="G2488" i="37"/>
  <c r="G950" i="50"/>
  <c r="G2554" i="37"/>
  <c r="G212" i="42"/>
  <c r="G413" i="41"/>
  <c r="G107" i="49"/>
  <c r="G156" i="50" s="1"/>
  <c r="G2463" i="37"/>
  <c r="G910" i="37"/>
  <c r="G296" i="41"/>
  <c r="G385" i="50" s="1"/>
  <c r="G1766" i="50"/>
  <c r="G620" i="50"/>
  <c r="G1606" i="50"/>
  <c r="G231" i="37"/>
  <c r="G1266" i="37"/>
  <c r="G122" i="41"/>
  <c r="G267" i="50" s="1"/>
  <c r="G156" i="41"/>
  <c r="G289" i="50" s="1"/>
  <c r="G2291" i="50"/>
  <c r="G234" i="42"/>
  <c r="G239" i="50"/>
  <c r="G347" i="41"/>
  <c r="G432" i="50" s="1"/>
  <c r="G616" i="50"/>
  <c r="G2631" i="37"/>
  <c r="G952" i="50"/>
  <c r="G2304" i="50"/>
  <c r="G870" i="37"/>
  <c r="G891" i="37"/>
  <c r="G2876" i="37"/>
  <c r="G236" i="50"/>
  <c r="G271" i="41"/>
  <c r="G365" i="50" s="1"/>
  <c r="G420" i="41"/>
  <c r="G83" i="37"/>
  <c r="G2083" i="50"/>
  <c r="G820" i="37"/>
  <c r="G944" i="50"/>
  <c r="G2162" i="37"/>
  <c r="G160" i="41"/>
  <c r="G293" i="50" s="1"/>
  <c r="G2832" i="37"/>
  <c r="G401" i="41"/>
  <c r="G2293" i="50"/>
  <c r="G238" i="42"/>
  <c r="G2806" i="37"/>
  <c r="G2842" i="37"/>
  <c r="G2953" i="37"/>
  <c r="G780" i="50"/>
  <c r="G101" i="41"/>
  <c r="G252" i="50" s="1"/>
  <c r="G279" i="41"/>
  <c r="G371" i="50" s="1"/>
  <c r="G1112" i="50"/>
  <c r="G763" i="50"/>
  <c r="G217" i="50"/>
  <c r="G2247" i="50"/>
  <c r="G268" i="41"/>
  <c r="G362" i="50" s="1"/>
  <c r="G308" i="41"/>
  <c r="G396" i="50" s="1"/>
  <c r="G241" i="50"/>
  <c r="G976" i="42"/>
  <c r="G1519" i="37"/>
  <c r="G1876" i="37"/>
  <c r="G1987" i="37"/>
  <c r="G2823" i="37"/>
  <c r="G417" i="41"/>
  <c r="G1108" i="50"/>
  <c r="G278" i="41"/>
  <c r="G370" i="50" s="1"/>
  <c r="G1925" i="50"/>
  <c r="G2363" i="50"/>
  <c r="G2108" i="37"/>
  <c r="G519" i="37"/>
  <c r="G498" i="37"/>
  <c r="G1099" i="50"/>
  <c r="G941" i="50"/>
  <c r="G1934" i="50"/>
  <c r="G1772" i="50"/>
  <c r="G288" i="41"/>
  <c r="G378" i="50" s="1"/>
  <c r="G784" i="50"/>
  <c r="G973" i="42"/>
  <c r="G140" i="41"/>
  <c r="G275" i="50" s="1"/>
  <c r="G277" i="41"/>
  <c r="G369" i="50" s="1"/>
  <c r="G242" i="42"/>
  <c r="G201" i="41"/>
  <c r="G322" i="50" s="1"/>
  <c r="G119" i="41"/>
  <c r="G264" i="50" s="1"/>
  <c r="G1436" i="50"/>
  <c r="G1175" i="37"/>
  <c r="G400" i="41"/>
  <c r="G2413" i="50"/>
  <c r="G2161" i="50"/>
  <c r="G2232" i="37"/>
  <c r="G1269" i="50"/>
  <c r="G2086" i="50"/>
  <c r="G194" i="41"/>
  <c r="G316" i="50" s="1"/>
  <c r="G339" i="41"/>
  <c r="G424" i="50" s="1"/>
  <c r="G214" i="50"/>
  <c r="G2430" i="37"/>
  <c r="G228" i="50"/>
  <c r="G119" i="49"/>
  <c r="G162" i="50" s="1"/>
  <c r="G3074" i="37"/>
  <c r="G1807" i="37"/>
  <c r="G2309" i="37"/>
  <c r="G613" i="50"/>
  <c r="G55" i="37"/>
  <c r="A264" i="34"/>
  <c r="A265" i="34"/>
  <c r="I2982" i="37"/>
  <c r="I1050" i="37"/>
  <c r="G213" i="50"/>
  <c r="G1278" i="50"/>
  <c r="G1232" i="37"/>
  <c r="G2520" i="37"/>
  <c r="G402" i="41"/>
  <c r="G226" i="42"/>
  <c r="G3107" i="37"/>
  <c r="G179" i="41"/>
  <c r="G305" i="50" s="1"/>
  <c r="G944" i="37"/>
  <c r="G777" i="50"/>
  <c r="G229" i="50"/>
  <c r="G323" i="41"/>
  <c r="G410" i="50" s="1"/>
  <c r="G264" i="41"/>
  <c r="G358" i="50" s="1"/>
  <c r="G1091" i="50"/>
  <c r="G234" i="37"/>
  <c r="G2302" i="50"/>
  <c r="G2234" i="50"/>
  <c r="G427" i="41"/>
  <c r="G900" i="37"/>
  <c r="G431" i="41"/>
  <c r="G439" i="42"/>
  <c r="G475" i="42"/>
  <c r="G1770" i="50"/>
  <c r="G1114" i="50"/>
  <c r="G218" i="41"/>
  <c r="G335" i="50" s="1"/>
  <c r="G467" i="42"/>
  <c r="C251" i="34"/>
  <c r="C252" i="34" s="1"/>
  <c r="D250" i="34"/>
  <c r="E169" i="62"/>
  <c r="S169" i="62" s="1"/>
  <c r="N146" i="50"/>
  <c r="I163" i="50"/>
  <c r="G433" i="41"/>
  <c r="G553" i="37"/>
  <c r="G1591" i="50"/>
  <c r="G340" i="41"/>
  <c r="G425" i="50" s="1"/>
  <c r="G289" i="41"/>
  <c r="G379" i="50" s="1"/>
  <c r="G313" i="41"/>
  <c r="G401" i="50" s="1"/>
  <c r="G2098" i="50"/>
  <c r="G114" i="41"/>
  <c r="G261" i="50" s="1"/>
  <c r="G153" i="41"/>
  <c r="G286" i="50" s="1"/>
  <c r="G927" i="50"/>
  <c r="G406" i="41"/>
  <c r="G227" i="50"/>
  <c r="G259" i="50"/>
  <c r="G311" i="41"/>
  <c r="G399" i="50" s="1"/>
  <c r="G316" i="41"/>
  <c r="G404" i="50" s="1"/>
  <c r="G215" i="50"/>
  <c r="G2420" i="50"/>
  <c r="G434" i="41"/>
  <c r="G2243" i="50"/>
  <c r="G2415" i="50"/>
  <c r="G226" i="37"/>
  <c r="G207" i="41"/>
  <c r="G326" i="50" s="1"/>
  <c r="G2485" i="37"/>
  <c r="G1597" i="50"/>
  <c r="G216" i="50"/>
  <c r="G2163" i="37"/>
  <c r="G265" i="41"/>
  <c r="G359" i="50" s="1"/>
  <c r="G348" i="50"/>
  <c r="G771" i="50"/>
  <c r="G2179" i="37"/>
  <c r="G482" i="42"/>
  <c r="G1255" i="50"/>
  <c r="G2174" i="50"/>
  <c r="G1433" i="50"/>
  <c r="G1192" i="37"/>
  <c r="G1438" i="50"/>
  <c r="G1343" i="37"/>
  <c r="G235" i="50"/>
  <c r="G2480" i="37"/>
  <c r="G177" i="41"/>
  <c r="G303" i="50" s="1"/>
  <c r="G180" i="41"/>
  <c r="G306" i="50" s="1"/>
  <c r="G1857" i="37"/>
  <c r="G1444" i="50"/>
  <c r="G228" i="41"/>
  <c r="G343" i="50" s="1"/>
  <c r="G377" i="37"/>
  <c r="G1928" i="50"/>
  <c r="G151" i="49"/>
  <c r="G180" i="50" s="1"/>
  <c r="G1588" i="37"/>
  <c r="G2659" i="37"/>
  <c r="G346" i="41"/>
  <c r="G431" i="50" s="1"/>
  <c r="G325" i="41"/>
  <c r="G412" i="50" s="1"/>
  <c r="G1110" i="50"/>
  <c r="G266" i="37"/>
  <c r="G1836" i="37"/>
  <c r="G1267" i="50"/>
  <c r="G315" i="41"/>
  <c r="G403" i="50" s="1"/>
  <c r="G1932" i="50"/>
  <c r="G1142" i="37"/>
  <c r="G2075" i="50"/>
  <c r="G115" i="49"/>
  <c r="G161" i="50" s="1"/>
  <c r="G423" i="41"/>
  <c r="G586" i="42"/>
  <c r="G149" i="41"/>
  <c r="G282" i="50" s="1"/>
  <c r="G262" i="41"/>
  <c r="G356" i="50" s="1"/>
  <c r="G2178" i="50"/>
  <c r="G1910" i="37"/>
  <c r="G205" i="42"/>
  <c r="G3145" i="37"/>
  <c r="G2802" i="37"/>
  <c r="G1604" i="50"/>
  <c r="G1764" i="50"/>
  <c r="G2810" i="37"/>
  <c r="G3132" i="37"/>
  <c r="G1103" i="50"/>
  <c r="G233" i="50"/>
  <c r="G193" i="41"/>
  <c r="G315" i="50" s="1"/>
  <c r="G1761" i="50"/>
  <c r="G613" i="37"/>
  <c r="G1105" i="50"/>
  <c r="G389" i="47"/>
  <c r="G1936" i="50"/>
  <c r="G151" i="41"/>
  <c r="G284" i="50" s="1"/>
  <c r="G970" i="42"/>
  <c r="G775" i="50"/>
  <c r="G2807" i="37"/>
  <c r="G1819" i="37"/>
  <c r="G2364" i="50"/>
  <c r="G330" i="41"/>
  <c r="G417" i="50" s="1"/>
  <c r="G113" i="41"/>
  <c r="G260" i="50" s="1"/>
  <c r="G1116" i="50"/>
  <c r="G430" i="41"/>
  <c r="G57" i="49"/>
  <c r="G136" i="50" s="1"/>
  <c r="G1518" i="37"/>
  <c r="G2241" i="50"/>
  <c r="G2100" i="50"/>
  <c r="G562" i="42"/>
  <c r="G782" i="50"/>
  <c r="G342" i="41"/>
  <c r="G427" i="50" s="1"/>
  <c r="G3198" i="37"/>
  <c r="G1497" i="37"/>
  <c r="G948" i="50"/>
  <c r="G1901" i="37"/>
  <c r="G230" i="50"/>
  <c r="G341" i="41"/>
  <c r="G426" i="50" s="1"/>
  <c r="G1544" i="37"/>
  <c r="G1866" i="37"/>
  <c r="G1163" i="37"/>
  <c r="G234" i="50"/>
  <c r="G874" i="37"/>
  <c r="G2300" i="50"/>
  <c r="G299" i="41"/>
  <c r="G388" i="50" s="1"/>
  <c r="G2501" i="37"/>
  <c r="G2223" i="37"/>
  <c r="G1786" i="37"/>
  <c r="G124" i="49"/>
  <c r="G163" i="50" s="1"/>
  <c r="G1755" i="50"/>
  <c r="G774" i="50"/>
  <c r="G2167" i="50"/>
  <c r="G1579" i="37"/>
  <c r="G2089" i="50"/>
  <c r="G1844" i="37"/>
  <c r="G1922" i="50"/>
  <c r="G2458" i="37"/>
  <c r="G204" i="37"/>
  <c r="G1170" i="37"/>
  <c r="G1802" i="37"/>
  <c r="L2982" i="37"/>
  <c r="L2016" i="37"/>
  <c r="L406" i="37"/>
  <c r="G790" i="42"/>
  <c r="G617" i="50"/>
  <c r="G1926" i="50"/>
  <c r="G953" i="50"/>
  <c r="G1592" i="50"/>
  <c r="G2233" i="50"/>
  <c r="G2175" i="50"/>
  <c r="G2242" i="50"/>
  <c r="G1767" i="50"/>
  <c r="G942" i="50"/>
  <c r="G1441" i="50"/>
  <c r="G235" i="37"/>
  <c r="G147" i="49"/>
  <c r="G178" i="50" s="1"/>
  <c r="G1092" i="50"/>
  <c r="G3190" i="37"/>
  <c r="G2824" i="37"/>
  <c r="G2109" i="37"/>
  <c r="G2833" i="37"/>
  <c r="G2180" i="37"/>
  <c r="G1193" i="37"/>
  <c r="G936" i="37"/>
  <c r="G1233" i="37"/>
  <c r="G911" i="37"/>
  <c r="K290" i="50"/>
  <c r="K208" i="47"/>
  <c r="J209" i="47"/>
  <c r="K209" i="47"/>
  <c r="J197" i="47"/>
  <c r="K210" i="47"/>
  <c r="J210" i="47"/>
  <c r="K728" i="37"/>
  <c r="G931" i="50"/>
  <c r="G379" i="37"/>
  <c r="I406" i="37"/>
  <c r="I1372" i="37"/>
  <c r="I2338" i="37"/>
  <c r="I84" i="37"/>
  <c r="K197" i="47"/>
  <c r="A253" i="34"/>
  <c r="A251" i="34"/>
  <c r="A276" i="34"/>
  <c r="A275" i="34"/>
  <c r="A278" i="34"/>
  <c r="A277" i="34"/>
  <c r="L143" i="50"/>
  <c r="A268" i="34"/>
  <c r="A269" i="34"/>
  <c r="M138" i="50"/>
  <c r="J163" i="50"/>
  <c r="N136" i="49"/>
  <c r="N171" i="50" s="1"/>
  <c r="A270" i="34"/>
  <c r="G355" i="47"/>
  <c r="G3089" i="37"/>
  <c r="G197" i="47"/>
  <c r="G358" i="47"/>
  <c r="G309" i="41"/>
  <c r="G397" i="50" s="1"/>
  <c r="G788" i="50"/>
  <c r="G230" i="42"/>
  <c r="G337" i="41"/>
  <c r="G422" i="50" s="1"/>
  <c r="G68" i="49"/>
  <c r="G138" i="50" s="1"/>
  <c r="G282" i="41"/>
  <c r="G374" i="50" s="1"/>
  <c r="J391" i="47"/>
  <c r="D251" i="34"/>
  <c r="G2158" i="37"/>
  <c r="G230" i="37"/>
  <c r="G1583" i="50"/>
  <c r="G2239" i="50"/>
  <c r="G266" i="41"/>
  <c r="G360" i="50" s="1"/>
  <c r="G148" i="41"/>
  <c r="G281" i="50" s="1"/>
  <c r="G2232" i="50"/>
  <c r="G102" i="41"/>
  <c r="G253" i="50" s="1"/>
  <c r="G783" i="42"/>
  <c r="G1440" i="50"/>
  <c r="G209" i="41"/>
  <c r="G328" i="50" s="1"/>
  <c r="G1200" i="37"/>
  <c r="G62" i="49"/>
  <c r="G137" i="50" s="1"/>
  <c r="G261" i="41"/>
  <c r="G355" i="50" s="1"/>
  <c r="G853" i="37"/>
  <c r="G552" i="37"/>
  <c r="E413" i="50" l="1"/>
  <c r="E3" i="34"/>
  <c r="G3154" i="37"/>
  <c r="G789" i="42"/>
  <c r="G256" i="37"/>
  <c r="G3164" i="37"/>
  <c r="G424" i="41"/>
  <c r="G463" i="42"/>
  <c r="G212" i="41"/>
  <c r="G331" i="50" s="1"/>
  <c r="G3255" i="37"/>
  <c r="G1419" i="50"/>
  <c r="G155" i="41"/>
  <c r="G288" i="50" s="1"/>
  <c r="G290" i="41"/>
  <c r="G380" i="50" s="1"/>
  <c r="G212" i="50"/>
  <c r="G2867" i="37"/>
  <c r="G210" i="41"/>
  <c r="G329" i="50" s="1"/>
  <c r="G946" i="50"/>
  <c r="G270" i="41"/>
  <c r="G364" i="50" s="1"/>
  <c r="G1841" i="37"/>
  <c r="G291" i="37"/>
  <c r="G1222" i="37"/>
  <c r="G302" i="41"/>
  <c r="G391" i="50" s="1"/>
  <c r="G202" i="42"/>
  <c r="G209" i="37"/>
  <c r="G154" i="41"/>
  <c r="G287" i="50" s="1"/>
  <c r="G2141" i="37"/>
  <c r="K414" i="43"/>
  <c r="G1196" i="37"/>
  <c r="G2337" i="37"/>
  <c r="G1911" i="50"/>
  <c r="L414" i="43"/>
  <c r="L277" i="49" s="1"/>
  <c r="G935" i="37"/>
  <c r="G1430" i="50"/>
  <c r="G1431" i="50"/>
  <c r="G1257" i="37"/>
  <c r="G1514" i="37"/>
  <c r="C4" i="34"/>
  <c r="G611" i="50"/>
  <c r="G2165" i="50"/>
  <c r="G94" i="41"/>
  <c r="G247" i="50" s="1"/>
  <c r="G1600" i="50"/>
  <c r="G2188" i="37"/>
  <c r="G300" i="37"/>
  <c r="G1608" i="50"/>
  <c r="G310" i="41"/>
  <c r="G398" i="50" s="1"/>
  <c r="G3124" i="37"/>
  <c r="G442" i="42"/>
  <c r="G176" i="37"/>
  <c r="G100" i="41"/>
  <c r="G251" i="50" s="1"/>
  <c r="G1427" i="50"/>
  <c r="G2306" i="50"/>
  <c r="A299" i="34"/>
  <c r="G111" i="41"/>
  <c r="G258" i="50" s="1"/>
  <c r="C3" i="25"/>
  <c r="H59" i="9" s="1"/>
  <c r="J278" i="41"/>
  <c r="J370" i="50" s="1"/>
  <c r="N275" i="50"/>
  <c r="J331" i="50"/>
  <c r="N222" i="41"/>
  <c r="N339" i="50" s="1"/>
  <c r="M308" i="50"/>
  <c r="K222" i="41"/>
  <c r="K339" i="50" s="1"/>
  <c r="M84" i="37"/>
  <c r="K143" i="50"/>
  <c r="L137" i="49"/>
  <c r="L172" i="50" s="1"/>
  <c r="N267" i="49"/>
  <c r="N205" i="50" s="1"/>
  <c r="J84" i="49"/>
  <c r="J147" i="50" s="1"/>
  <c r="M137" i="49"/>
  <c r="M172" i="50" s="1"/>
  <c r="H83" i="49"/>
  <c r="H146" i="50" s="1"/>
  <c r="H84" i="49"/>
  <c r="H147" i="50" s="1"/>
  <c r="I212" i="49"/>
  <c r="I219" i="49" s="1"/>
  <c r="I193" i="50" s="1"/>
  <c r="M278" i="41"/>
  <c r="F230" i="43"/>
  <c r="Q230" i="43" s="1"/>
  <c r="R25" i="50" s="1"/>
  <c r="F231" i="43"/>
  <c r="Q231" i="43" s="1"/>
  <c r="R26" i="50" s="1"/>
  <c r="F232" i="43"/>
  <c r="F27" i="50" s="1"/>
  <c r="F227" i="43"/>
  <c r="F22" i="50" s="1"/>
  <c r="F228" i="43"/>
  <c r="Q228" i="43" s="1"/>
  <c r="R23" i="50" s="1"/>
  <c r="F229" i="43"/>
  <c r="F24" i="50" s="1"/>
  <c r="H262" i="49"/>
  <c r="H204" i="50" s="1"/>
  <c r="H18" i="50"/>
  <c r="K2982" i="37"/>
  <c r="K2338" i="37"/>
  <c r="N430" i="41"/>
  <c r="K84" i="37"/>
  <c r="K1050" i="37"/>
  <c r="K406" i="37"/>
  <c r="K2660" i="37"/>
  <c r="K2016" i="37"/>
  <c r="K1694" i="37"/>
  <c r="N290" i="50"/>
  <c r="K1372" i="37"/>
  <c r="L331" i="50"/>
  <c r="H261" i="50"/>
  <c r="H728" i="37"/>
  <c r="H2338" i="37"/>
  <c r="H2982" i="37"/>
  <c r="H1372" i="37"/>
  <c r="H1050" i="37"/>
  <c r="H84" i="37"/>
  <c r="H2660" i="37"/>
  <c r="T368" i="41"/>
  <c r="T365" i="41"/>
  <c r="T371" i="41"/>
  <c r="K267" i="49"/>
  <c r="K205" i="50" s="1"/>
  <c r="H308" i="50"/>
  <c r="J204" i="50"/>
  <c r="N147" i="50"/>
  <c r="E349" i="50"/>
  <c r="Q242" i="41"/>
  <c r="E241" i="41"/>
  <c r="E245" i="41" s="1"/>
  <c r="C63" i="34"/>
  <c r="A257" i="34"/>
  <c r="G326" i="37"/>
  <c r="G35" i="41"/>
  <c r="E724" i="42"/>
  <c r="Q249" i="42"/>
  <c r="R250" i="42" s="1"/>
  <c r="C486" i="42"/>
  <c r="C609" i="42" s="1"/>
  <c r="C796" i="42" s="1"/>
  <c r="I796" i="42" s="1"/>
  <c r="I412" i="42"/>
  <c r="Q476" i="42"/>
  <c r="Q429" i="42"/>
  <c r="S471" i="42"/>
  <c r="Q398" i="42"/>
  <c r="Q440" i="42"/>
  <c r="Q472" i="42"/>
  <c r="Q471" i="42"/>
  <c r="Q442" i="42"/>
  <c r="Q390" i="42"/>
  <c r="Q265" i="42"/>
  <c r="Q266" i="42"/>
  <c r="Q394" i="42"/>
  <c r="S468" i="42"/>
  <c r="S464" i="42"/>
  <c r="S472" i="42"/>
  <c r="Q463" i="42"/>
  <c r="Q268" i="42"/>
  <c r="Q406" i="42"/>
  <c r="Q449" i="42"/>
  <c r="Q479" i="42"/>
  <c r="Q381" i="42"/>
  <c r="Q464" i="42"/>
  <c r="Q203" i="42"/>
  <c r="S227" i="42"/>
  <c r="Q226" i="42"/>
  <c r="S238" i="42"/>
  <c r="E192" i="42"/>
  <c r="E212" i="42" s="1"/>
  <c r="S239" i="42"/>
  <c r="Q234" i="42"/>
  <c r="E20" i="42"/>
  <c r="Q29" i="42"/>
  <c r="Q148" i="42"/>
  <c r="S234" i="42"/>
  <c r="E366" i="42"/>
  <c r="Q242" i="42"/>
  <c r="Q243" i="42"/>
  <c r="Q169" i="42"/>
  <c r="S230" i="42"/>
  <c r="Q202" i="42"/>
  <c r="S242" i="42"/>
  <c r="E129" i="42"/>
  <c r="Q205" i="42"/>
  <c r="I175" i="42"/>
  <c r="Q206" i="42"/>
  <c r="Q231" i="42"/>
  <c r="Q157" i="42"/>
  <c r="S231" i="42"/>
  <c r="S235" i="42"/>
  <c r="Q28" i="42"/>
  <c r="Q168" i="42"/>
  <c r="C979" i="37"/>
  <c r="Q979" i="37" s="1"/>
  <c r="H2353" i="37"/>
  <c r="H2328" i="37"/>
  <c r="H1684" i="37"/>
  <c r="H2214" i="37"/>
  <c r="H2997" i="37"/>
  <c r="H2536" i="37"/>
  <c r="H1703" i="37"/>
  <c r="H1034" i="37"/>
  <c r="H1892" i="37"/>
  <c r="H2966" i="37"/>
  <c r="H718" i="37"/>
  <c r="H1248" i="37"/>
  <c r="H920" i="37"/>
  <c r="H282" i="37"/>
  <c r="Q335" i="37"/>
  <c r="H74" i="37"/>
  <c r="H93" i="37"/>
  <c r="P2161" i="50"/>
  <c r="P2129" i="50"/>
  <c r="P2177" i="50"/>
  <c r="P2178" i="50"/>
  <c r="P2166" i="50"/>
  <c r="E2121" i="50"/>
  <c r="P2173" i="50"/>
  <c r="P2179" i="50"/>
  <c r="P2149" i="50"/>
  <c r="P2165" i="50"/>
  <c r="P1546" i="50"/>
  <c r="P1547" i="50" s="1"/>
  <c r="P2181" i="50"/>
  <c r="R2118" i="50"/>
  <c r="P2137" i="50"/>
  <c r="P2150" i="50"/>
  <c r="P2175" i="50"/>
  <c r="P2140" i="50"/>
  <c r="D28" i="62"/>
  <c r="R390" i="43"/>
  <c r="R392" i="43"/>
  <c r="P2170" i="50"/>
  <c r="P2138" i="50"/>
  <c r="P2139" i="50" s="1"/>
  <c r="P2174" i="50"/>
  <c r="P2143" i="50"/>
  <c r="P2176" i="50"/>
  <c r="P2148" i="50"/>
  <c r="P2172" i="50"/>
  <c r="P2146" i="50"/>
  <c r="P2156" i="50"/>
  <c r="P2147" i="50"/>
  <c r="P2168" i="50"/>
  <c r="P2155" i="50"/>
  <c r="P2124" i="50"/>
  <c r="P1202" i="50"/>
  <c r="P1203" i="50" s="1"/>
  <c r="P562" i="50"/>
  <c r="P563" i="50" s="1"/>
  <c r="M18" i="50"/>
  <c r="R391" i="43"/>
  <c r="R389" i="43"/>
  <c r="M1372" i="37"/>
  <c r="M406" i="37"/>
  <c r="Q241" i="41"/>
  <c r="K430" i="41"/>
  <c r="M2338" i="37"/>
  <c r="E410" i="50"/>
  <c r="M122" i="41"/>
  <c r="M728" i="37"/>
  <c r="M261" i="50"/>
  <c r="H122" i="41"/>
  <c r="H267" i="50" s="1"/>
  <c r="Q37" i="41"/>
  <c r="M1694" i="37"/>
  <c r="M2016" i="37"/>
  <c r="E56" i="62"/>
  <c r="S56" i="62" s="1"/>
  <c r="S55" i="62"/>
  <c r="E184" i="62"/>
  <c r="T174" i="62"/>
  <c r="S168" i="62"/>
  <c r="D113" i="62"/>
  <c r="D114" i="62" s="1"/>
  <c r="E114" i="62" s="1"/>
  <c r="D171" i="62"/>
  <c r="D172" i="62" s="1"/>
  <c r="D173" i="62" s="1"/>
  <c r="E173" i="62" s="1"/>
  <c r="S173" i="62" s="1"/>
  <c r="D148" i="62"/>
  <c r="D149" i="62" s="1"/>
  <c r="P2180" i="50"/>
  <c r="P2167" i="50"/>
  <c r="I2185" i="50"/>
  <c r="P2232" i="50" s="1"/>
  <c r="P1858" i="50"/>
  <c r="P1859" i="50" s="1"/>
  <c r="C2252" i="50"/>
  <c r="D2252" i="50" s="1"/>
  <c r="D2185" i="50"/>
  <c r="S102" i="50"/>
  <c r="L2188" i="50"/>
  <c r="F2191" i="50" s="1"/>
  <c r="H2207" i="50" s="1"/>
  <c r="E122" i="50"/>
  <c r="E237" i="50" s="1"/>
  <c r="P237" i="50" s="1"/>
  <c r="P1382" i="50"/>
  <c r="P1383" i="50" s="1"/>
  <c r="P104" i="50"/>
  <c r="E124" i="50"/>
  <c r="E239" i="50" s="1"/>
  <c r="P239" i="50" s="1"/>
  <c r="P2125" i="50"/>
  <c r="P726" i="50"/>
  <c r="P727" i="50" s="1"/>
  <c r="P108" i="50"/>
  <c r="Q641" i="50"/>
  <c r="J192" i="50"/>
  <c r="J308" i="50"/>
  <c r="Y67" i="49"/>
  <c r="K16" i="41"/>
  <c r="K49" i="41" s="1"/>
  <c r="K213" i="50" s="1"/>
  <c r="J2736" i="50"/>
  <c r="R388" i="43"/>
  <c r="L219" i="49"/>
  <c r="L193" i="50" s="1"/>
  <c r="G40" i="41"/>
  <c r="L40" i="41"/>
  <c r="L50" i="41" s="1"/>
  <c r="G46" i="41"/>
  <c r="Y106" i="43"/>
  <c r="R387" i="43"/>
  <c r="L217" i="47"/>
  <c r="I331" i="50"/>
  <c r="J122" i="41"/>
  <c r="J189" i="41" s="1"/>
  <c r="I122" i="41"/>
  <c r="I189" i="41" s="1"/>
  <c r="I218" i="41" s="1"/>
  <c r="H222" i="41"/>
  <c r="H339" i="50" s="1"/>
  <c r="K122" i="41"/>
  <c r="K189" i="41" s="1"/>
  <c r="R37" i="50"/>
  <c r="R386" i="43"/>
  <c r="R384" i="43"/>
  <c r="R385" i="43"/>
  <c r="U25" i="49"/>
  <c r="J68" i="50" s="1"/>
  <c r="I46" i="41"/>
  <c r="I212" i="50" s="1"/>
  <c r="I71" i="50"/>
  <c r="N152" i="50"/>
  <c r="N101" i="49"/>
  <c r="N153" i="50" s="1"/>
  <c r="N106" i="49"/>
  <c r="N107" i="49" s="1"/>
  <c r="N156" i="50" s="1"/>
  <c r="E368" i="42"/>
  <c r="E729" i="42"/>
  <c r="E916" i="42"/>
  <c r="G1447" i="50"/>
  <c r="G123" i="49"/>
  <c r="G113" i="47"/>
  <c r="G189" i="47"/>
  <c r="J137" i="49"/>
  <c r="J172" i="50" s="1"/>
  <c r="L261" i="50"/>
  <c r="G627" i="50"/>
  <c r="G374" i="41"/>
  <c r="G447" i="50" s="1"/>
  <c r="G2632" i="37"/>
  <c r="G1940" i="50"/>
  <c r="G378" i="37"/>
  <c r="I136" i="49"/>
  <c r="I171" i="50" s="1"/>
  <c r="G1776" i="50"/>
  <c r="G841" i="37"/>
  <c r="G938" i="50"/>
  <c r="K219" i="49"/>
  <c r="K193" i="50" s="1"/>
  <c r="K192" i="50"/>
  <c r="E369" i="42"/>
  <c r="E723" i="42"/>
  <c r="E730" i="42"/>
  <c r="E917" i="42"/>
  <c r="E910" i="42"/>
  <c r="G2954" i="37"/>
  <c r="G307" i="37"/>
  <c r="G67" i="49"/>
  <c r="G208" i="47"/>
  <c r="L1694" i="37"/>
  <c r="J100" i="49"/>
  <c r="J106" i="49" s="1"/>
  <c r="M275" i="50"/>
  <c r="G2104" i="50"/>
  <c r="G792" i="50"/>
  <c r="G513" i="37"/>
  <c r="G1283" i="50"/>
  <c r="G365" i="41"/>
  <c r="G444" i="50" s="1"/>
  <c r="G1939" i="50"/>
  <c r="G700" i="37"/>
  <c r="B43" i="34"/>
  <c r="E107" i="50"/>
  <c r="S107" i="50" s="1"/>
  <c r="E284" i="49"/>
  <c r="G1022" i="37"/>
  <c r="G956" i="50"/>
  <c r="N163" i="50"/>
  <c r="N137" i="49"/>
  <c r="N172" i="50" s="1"/>
  <c r="H2669" i="37"/>
  <c r="H2675" i="37"/>
  <c r="D45" i="9"/>
  <c r="M4" i="47"/>
  <c r="H219" i="47"/>
  <c r="G91" i="49"/>
  <c r="G146" i="47"/>
  <c r="G167" i="37"/>
  <c r="G201" i="42"/>
  <c r="G306" i="37"/>
  <c r="H272" i="37"/>
  <c r="G206" i="41"/>
  <c r="G325" i="50" s="1"/>
  <c r="G247" i="49"/>
  <c r="H2132" i="50"/>
  <c r="G112" i="47"/>
  <c r="G363" i="41"/>
  <c r="G442" i="50" s="1"/>
  <c r="G474" i="42"/>
  <c r="G478" i="42"/>
  <c r="G470" i="42"/>
  <c r="G438" i="42"/>
  <c r="H499" i="50"/>
  <c r="H89" i="37"/>
  <c r="G188" i="47"/>
  <c r="G263" i="37"/>
  <c r="G128" i="47"/>
  <c r="G225" i="42"/>
  <c r="F925" i="42"/>
  <c r="H2031" i="50"/>
  <c r="H1811" i="50"/>
  <c r="H1525" i="50"/>
  <c r="H1019" i="50"/>
  <c r="H1689" i="50"/>
  <c r="H1155" i="50"/>
  <c r="G2498" i="50"/>
  <c r="F1630" i="50"/>
  <c r="H1146" i="50"/>
  <c r="F2373" i="50"/>
  <c r="H855" i="50"/>
  <c r="G2882" i="37"/>
  <c r="G2483" i="37"/>
  <c r="G3100" i="37"/>
  <c r="H2640" i="37"/>
  <c r="G2560" i="37"/>
  <c r="G2165" i="37"/>
  <c r="G2839" i="37"/>
  <c r="G2014" i="37"/>
  <c r="G2517" i="37"/>
  <c r="G1930" i="37"/>
  <c r="G2421" i="37"/>
  <c r="G2099" i="37"/>
  <c r="G1835" i="37"/>
  <c r="G1341" i="37"/>
  <c r="G1019" i="37"/>
  <c r="G1692" i="37"/>
  <c r="G941" i="37"/>
  <c r="G619" i="37"/>
  <c r="G1551" i="37"/>
  <c r="G1286" i="37"/>
  <c r="G646" i="37"/>
  <c r="G1594" i="37"/>
  <c r="H1238" i="37"/>
  <c r="G873" i="37"/>
  <c r="G547" i="37"/>
  <c r="G551" i="37"/>
  <c r="H386" i="37"/>
  <c r="G184" i="49"/>
  <c r="G180" i="47"/>
  <c r="G364" i="47"/>
  <c r="G266" i="49"/>
  <c r="G105" i="49"/>
  <c r="G269" i="47"/>
  <c r="G225" i="37"/>
  <c r="G127" i="49"/>
  <c r="G165" i="50" s="1"/>
  <c r="G328" i="47"/>
  <c r="G94" i="47"/>
  <c r="G1089" i="42"/>
  <c r="H384" i="42"/>
  <c r="G428" i="42"/>
  <c r="G448" i="42"/>
  <c r="H997" i="42"/>
  <c r="G596" i="50"/>
  <c r="H585" i="50"/>
  <c r="G135" i="49"/>
  <c r="G170" i="50" s="1"/>
  <c r="G72" i="49"/>
  <c r="G202" i="49"/>
  <c r="G191" i="42"/>
  <c r="G162" i="47"/>
  <c r="G2410" i="50"/>
  <c r="G1252" i="50"/>
  <c r="F909" i="42"/>
  <c r="H1989" i="50"/>
  <c r="H2017" i="50"/>
  <c r="H1474" i="50"/>
  <c r="H913" i="50"/>
  <c r="H1638" i="50"/>
  <c r="H1077" i="50"/>
  <c r="H2477" i="50"/>
  <c r="H1553" i="50"/>
  <c r="F1138" i="50"/>
  <c r="H2280" i="50"/>
  <c r="G2227" i="50"/>
  <c r="F2430" i="50"/>
  <c r="H2386" i="50"/>
  <c r="G2864" i="37"/>
  <c r="G2470" i="37"/>
  <c r="G3088" i="37"/>
  <c r="H2610" i="37"/>
  <c r="G2507" i="37"/>
  <c r="G2157" i="37"/>
  <c r="G2801" i="37"/>
  <c r="G3114" i="37"/>
  <c r="H2343" i="37"/>
  <c r="G3204" i="37"/>
  <c r="G2366" i="37"/>
  <c r="G2044" i="37"/>
  <c r="G1812" i="37"/>
  <c r="G1308" i="37"/>
  <c r="G986" i="37"/>
  <c r="G1585" i="37"/>
  <c r="H916" i="37"/>
  <c r="H1966" i="37"/>
  <c r="G1521" i="37"/>
  <c r="G1195" i="37"/>
  <c r="G642" i="37"/>
  <c r="G1576" i="37"/>
  <c r="G1219" i="37"/>
  <c r="G860" i="37"/>
  <c r="G524" i="37"/>
  <c r="G538" i="37"/>
  <c r="H356" i="37"/>
  <c r="G155" i="47"/>
  <c r="G760" i="50"/>
  <c r="G276" i="41"/>
  <c r="G368" i="50" s="1"/>
  <c r="G121" i="47"/>
  <c r="H397" i="47"/>
  <c r="G260" i="41"/>
  <c r="G354" i="50" s="1"/>
  <c r="G150" i="49"/>
  <c r="G244" i="37"/>
  <c r="G122" i="49"/>
  <c r="H2136" i="50"/>
  <c r="G207" i="47"/>
  <c r="G989" i="42"/>
  <c r="G256" i="42"/>
  <c r="F364" i="42"/>
  <c r="F380" i="42"/>
  <c r="H624" i="42"/>
  <c r="H555" i="50"/>
  <c r="H527" i="50"/>
  <c r="G302" i="47"/>
  <c r="G91" i="50"/>
  <c r="G320" i="37"/>
  <c r="G118" i="49"/>
  <c r="H663" i="50"/>
  <c r="F2190" i="50"/>
  <c r="H2434" i="50"/>
  <c r="H1033" i="50"/>
  <c r="H1966" i="50"/>
  <c r="F866" i="42"/>
  <c r="F1958" i="50"/>
  <c r="H1853" i="50"/>
  <c r="G1416" i="50"/>
  <c r="H827" i="50"/>
  <c r="H1569" i="50"/>
  <c r="H1005" i="50"/>
  <c r="H2442" i="50"/>
  <c r="H1497" i="50"/>
  <c r="F2316" i="50"/>
  <c r="H2261" i="50"/>
  <c r="H2404" i="50"/>
  <c r="G2353" i="50"/>
  <c r="G2286" i="50"/>
  <c r="G3195" i="37"/>
  <c r="H2848" i="37"/>
  <c r="G3222" i="37"/>
  <c r="G3073" i="37"/>
  <c r="G2980" i="37"/>
  <c r="G2479" i="37"/>
  <c r="G2134" i="37"/>
  <c r="G2551" i="37"/>
  <c r="H2987" i="37"/>
  <c r="G2256" i="37"/>
  <c r="G3186" i="37"/>
  <c r="H2318" i="37"/>
  <c r="G1916" i="37"/>
  <c r="G1800" i="37"/>
  <c r="G1229" i="37"/>
  <c r="G897" i="37"/>
  <c r="G1541" i="37"/>
  <c r="G907" i="37"/>
  <c r="G1839" i="37"/>
  <c r="G1513" i="37"/>
  <c r="G1182" i="37"/>
  <c r="H1996" i="37"/>
  <c r="G1532" i="37"/>
  <c r="G1133" i="37"/>
  <c r="H733" i="37"/>
  <c r="G512" i="37"/>
  <c r="H411" i="37"/>
  <c r="G93" i="41"/>
  <c r="G246" i="50" s="1"/>
  <c r="G242" i="49"/>
  <c r="H654" i="50"/>
  <c r="G82" i="49"/>
  <c r="G145" i="50" s="1"/>
  <c r="G118" i="41"/>
  <c r="F646" i="50"/>
  <c r="G190" i="49"/>
  <c r="G386" i="47"/>
  <c r="G229" i="37"/>
  <c r="G112" i="37"/>
  <c r="G287" i="41"/>
  <c r="G377" i="50" s="1"/>
  <c r="F722" i="42"/>
  <c r="G1149" i="42"/>
  <c r="H264" i="42"/>
  <c r="F321" i="42"/>
  <c r="H501" i="42"/>
  <c r="H513" i="50"/>
  <c r="G324" i="37"/>
  <c r="H705" i="50"/>
  <c r="G354" i="47"/>
  <c r="G216" i="47"/>
  <c r="G261" i="49"/>
  <c r="G211" i="49"/>
  <c r="H2453" i="50"/>
  <c r="H811" i="42"/>
  <c r="H1881" i="50"/>
  <c r="G1744" i="50"/>
  <c r="H1361" i="50"/>
  <c r="G2459" i="50"/>
  <c r="H1511" i="50"/>
  <c r="F974" i="50"/>
  <c r="H2045" i="50"/>
  <c r="F1466" i="50"/>
  <c r="H2269" i="50"/>
  <c r="H2265" i="50"/>
  <c r="H1802" i="50"/>
  <c r="G3151" i="37"/>
  <c r="G2805" i="37"/>
  <c r="G3218" i="37"/>
  <c r="G2951" i="37"/>
  <c r="G2900" i="37"/>
  <c r="G2444" i="37"/>
  <c r="G2122" i="37"/>
  <c r="G2498" i="37"/>
  <c r="G2873" i="37"/>
  <c r="G2252" i="37"/>
  <c r="G3142" i="37"/>
  <c r="H2288" i="37"/>
  <c r="G1907" i="37"/>
  <c r="G1785" i="37"/>
  <c r="G1199" i="37"/>
  <c r="G811" i="37"/>
  <c r="G1455" i="37"/>
  <c r="G877" i="37"/>
  <c r="G1826" i="37"/>
  <c r="G1490" i="37"/>
  <c r="H1055" i="37"/>
  <c r="G1863" i="37"/>
  <c r="H1377" i="37"/>
  <c r="G1078" i="37"/>
  <c r="H708" i="37"/>
  <c r="G497" i="37"/>
  <c r="G610" i="37"/>
  <c r="G99" i="49"/>
  <c r="F127" i="42"/>
  <c r="G335" i="41"/>
  <c r="G420" i="50" s="1"/>
  <c r="G227" i="41"/>
  <c r="G342" i="50" s="1"/>
  <c r="G237" i="49"/>
  <c r="G199" i="50" s="1"/>
  <c r="G216" i="37"/>
  <c r="G241" i="42"/>
  <c r="G53" i="37"/>
  <c r="G188" i="41"/>
  <c r="G312" i="50" s="1"/>
  <c r="G82" i="37"/>
  <c r="G321" i="41"/>
  <c r="G408" i="50" s="1"/>
  <c r="G66" i="49"/>
  <c r="G571" i="42"/>
  <c r="G782" i="42"/>
  <c r="G589" i="42"/>
  <c r="G551" i="42"/>
  <c r="H569" i="50"/>
  <c r="G233" i="42"/>
  <c r="G99" i="41"/>
  <c r="G250" i="50" s="1"/>
  <c r="G218" i="49"/>
  <c r="G146" i="41"/>
  <c r="G279" i="50" s="1"/>
  <c r="G145" i="49"/>
  <c r="H1097" i="42"/>
  <c r="G221" i="50"/>
  <c r="H2061" i="50"/>
  <c r="G1580" i="50"/>
  <c r="H1169" i="50"/>
  <c r="H1839" i="50"/>
  <c r="F1302" i="50"/>
  <c r="H869" i="50"/>
  <c r="H1717" i="50"/>
  <c r="H1211" i="50"/>
  <c r="H2481" i="50"/>
  <c r="H2329" i="50"/>
  <c r="H1319" i="50"/>
  <c r="H2378" i="50"/>
  <c r="H2962" i="37"/>
  <c r="G2578" i="37"/>
  <c r="G3131" i="37"/>
  <c r="G2743" i="37"/>
  <c r="G2766" i="37"/>
  <c r="G2274" i="37"/>
  <c r="G1952" i="37"/>
  <c r="G2229" i="37"/>
  <c r="G2542" i="37"/>
  <c r="H2021" i="37"/>
  <c r="G2596" i="37"/>
  <c r="H2204" i="37"/>
  <c r="G1873" i="37"/>
  <c r="G1517" i="37"/>
  <c r="G1156" i="37"/>
  <c r="G664" i="37"/>
  <c r="G1210" i="37"/>
  <c r="G834" i="37"/>
  <c r="G1608" i="37"/>
  <c r="G1370" i="37"/>
  <c r="G888" i="37"/>
  <c r="H1674" i="37"/>
  <c r="G1272" i="37"/>
  <c r="G950" i="37"/>
  <c r="G585" i="37"/>
  <c r="G566" i="37"/>
  <c r="G489" i="37"/>
  <c r="G56" i="49"/>
  <c r="G135" i="50" s="1"/>
  <c r="G2160" i="50"/>
  <c r="H2154" i="50"/>
  <c r="G110" i="41"/>
  <c r="G257" i="50" s="1"/>
  <c r="H677" i="50"/>
  <c r="G196" i="47"/>
  <c r="G251" i="49"/>
  <c r="G34" i="49"/>
  <c r="H691" i="50"/>
  <c r="G335" i="47"/>
  <c r="G114" i="49"/>
  <c r="G160" i="50" s="1"/>
  <c r="H147" i="42"/>
  <c r="F2123" i="50"/>
  <c r="G493" i="42"/>
  <c r="G597" i="42"/>
  <c r="G561" i="42"/>
  <c r="G466" i="42"/>
  <c r="H541" i="50"/>
  <c r="G229" i="42"/>
  <c r="G61" i="49"/>
  <c r="G140" i="50" s="1"/>
  <c r="G44" i="41"/>
  <c r="G211" i="50" s="1"/>
  <c r="B67" i="34"/>
  <c r="G203" i="49" s="1"/>
  <c r="G202" i="37"/>
  <c r="H2382" i="50"/>
  <c r="H841" i="50"/>
  <c r="H1661" i="50"/>
  <c r="F2469" i="50"/>
  <c r="G2072" i="50"/>
  <c r="H1975" i="50"/>
  <c r="H1539" i="50"/>
  <c r="G1088" i="50"/>
  <c r="H1733" i="50"/>
  <c r="H1225" i="50"/>
  <c r="H818" i="50"/>
  <c r="H1675" i="50"/>
  <c r="H1197" i="50"/>
  <c r="F2257" i="50"/>
  <c r="F810" i="50"/>
  <c r="H1061" i="50"/>
  <c r="H2199" i="50"/>
  <c r="H982" i="50"/>
  <c r="H2325" i="50"/>
  <c r="H2932" i="37"/>
  <c r="G2574" i="37"/>
  <c r="G3123" i="37"/>
  <c r="G2688" i="37"/>
  <c r="G2629" i="37"/>
  <c r="G2195" i="37"/>
  <c r="G3127" i="37"/>
  <c r="G2176" i="37"/>
  <c r="H2526" i="37"/>
  <c r="G1934" i="37"/>
  <c r="G2487" i="37"/>
  <c r="G2185" i="37"/>
  <c r="G1843" i="37"/>
  <c r="G1504" i="37"/>
  <c r="G1141" i="37"/>
  <c r="G1854" i="37"/>
  <c r="G1048" i="37"/>
  <c r="G819" i="37"/>
  <c r="H1560" i="37"/>
  <c r="G1290" i="37"/>
  <c r="G726" i="37"/>
  <c r="H1644" i="37"/>
  <c r="G1254" i="37"/>
  <c r="G932" i="37"/>
  <c r="G555" i="37"/>
  <c r="G404" i="37"/>
  <c r="G434" i="37"/>
  <c r="G2103" i="50"/>
  <c r="G791" i="50"/>
  <c r="G1611" i="50"/>
  <c r="G629" i="37"/>
  <c r="G1988" i="37"/>
  <c r="G1119" i="50"/>
  <c r="U61" i="62"/>
  <c r="K84" i="49"/>
  <c r="K147" i="50" s="1"/>
  <c r="G951" i="37"/>
  <c r="G1595" i="37"/>
  <c r="X25" i="49"/>
  <c r="H3180" i="37"/>
  <c r="H3174" i="37"/>
  <c r="G191" i="47"/>
  <c r="G56" i="37"/>
  <c r="G1344" i="37"/>
  <c r="Y124" i="49"/>
  <c r="Y128" i="49" s="1"/>
  <c r="Y129" i="49" s="1"/>
  <c r="Y141" i="49" s="1"/>
  <c r="Y142" i="49" s="1"/>
  <c r="L1372" i="37"/>
  <c r="E57" i="62"/>
  <c r="S57" i="62" s="1"/>
  <c r="W25" i="49"/>
  <c r="G1157" i="37"/>
  <c r="G1120" i="50"/>
  <c r="G1448" i="50"/>
  <c r="G1666" i="37"/>
  <c r="G525" i="37"/>
  <c r="A259" i="34"/>
  <c r="G231" i="50"/>
  <c r="E135" i="42"/>
  <c r="H136" i="49"/>
  <c r="H171" i="50" s="1"/>
  <c r="H168" i="50"/>
  <c r="G1273" i="37"/>
  <c r="G368" i="41"/>
  <c r="G445" i="50" s="1"/>
  <c r="G2310" i="37"/>
  <c r="G955" i="50"/>
  <c r="G365" i="47"/>
  <c r="H2644" i="37"/>
  <c r="T170" i="62"/>
  <c r="I430" i="41"/>
  <c r="L2338" i="37"/>
  <c r="G307" i="41"/>
  <c r="G395" i="50" s="1"/>
  <c r="G1274" i="50"/>
  <c r="G103" i="41"/>
  <c r="G254" i="50" s="1"/>
  <c r="L122" i="41"/>
  <c r="G2779" i="37"/>
  <c r="G2228" i="50"/>
  <c r="G351" i="41"/>
  <c r="G435" i="50" s="1"/>
  <c r="G1775" i="50"/>
  <c r="G377" i="41"/>
  <c r="G448" i="50" s="1"/>
  <c r="G364" i="41"/>
  <c r="G443" i="50" s="1"/>
  <c r="G3205" i="37"/>
  <c r="J136" i="49"/>
  <c r="J171" i="50" s="1"/>
  <c r="G263" i="41"/>
  <c r="G357" i="50" s="1"/>
  <c r="Y25" i="49"/>
  <c r="N68" i="50" s="1"/>
  <c r="H1356" i="37"/>
  <c r="H1362" i="37"/>
  <c r="H1381" i="37"/>
  <c r="H1387" i="37"/>
  <c r="G1612" i="50"/>
  <c r="G2883" i="37"/>
  <c r="G1284" i="50"/>
  <c r="E134" i="42"/>
  <c r="L1050" i="37"/>
  <c r="L2660" i="37"/>
  <c r="H2006" i="37"/>
  <c r="H2000" i="37"/>
  <c r="G380" i="41"/>
  <c r="G2561" i="37"/>
  <c r="G1801" i="37"/>
  <c r="P1694" i="50"/>
  <c r="P1695" i="50" s="1"/>
  <c r="Q324" i="41"/>
  <c r="I308" i="50"/>
  <c r="L728" i="37"/>
  <c r="I137" i="49"/>
  <c r="I146" i="49" s="1"/>
  <c r="I147" i="49" s="1"/>
  <c r="I178" i="50" s="1"/>
  <c r="G1693" i="37"/>
  <c r="G610" i="50"/>
  <c r="G314" i="41"/>
  <c r="G402" i="50" s="1"/>
  <c r="G607" i="50"/>
  <c r="B44" i="34"/>
  <c r="G1917" i="37"/>
  <c r="G371" i="41"/>
  <c r="G446" i="50" s="1"/>
  <c r="G324" i="41"/>
  <c r="G411" i="50" s="1"/>
  <c r="H2031" i="37"/>
  <c r="H396" i="37"/>
  <c r="H390" i="37"/>
  <c r="H415" i="37"/>
  <c r="H421" i="37"/>
  <c r="E132" i="42"/>
  <c r="J277" i="41"/>
  <c r="J369" i="50" s="1"/>
  <c r="K137" i="49"/>
  <c r="K172" i="50" s="1"/>
  <c r="F144" i="42"/>
  <c r="H148" i="42" s="1"/>
  <c r="E374" i="42"/>
  <c r="Z374" i="42"/>
  <c r="Y374" i="42"/>
  <c r="X374" i="42"/>
  <c r="T374" i="42"/>
  <c r="W374" i="42"/>
  <c r="V374" i="42"/>
  <c r="U374" i="42"/>
  <c r="E727" i="42"/>
  <c r="E914" i="42"/>
  <c r="E133" i="42"/>
  <c r="S43" i="50"/>
  <c r="E367" i="42"/>
  <c r="F381" i="42"/>
  <c r="H385" i="42" s="1"/>
  <c r="E728" i="42"/>
  <c r="E915" i="42"/>
  <c r="E128" i="42"/>
  <c r="E136" i="42"/>
  <c r="E370" i="42"/>
  <c r="Z370" i="42"/>
  <c r="Y370" i="42"/>
  <c r="V370" i="42"/>
  <c r="X370" i="42"/>
  <c r="W370" i="42"/>
  <c r="U370" i="42"/>
  <c r="T370" i="42"/>
  <c r="E731" i="42"/>
  <c r="E918" i="42"/>
  <c r="E371" i="42"/>
  <c r="Z371" i="42"/>
  <c r="Y371" i="42"/>
  <c r="X371" i="42"/>
  <c r="V371" i="42"/>
  <c r="W371" i="42"/>
  <c r="T371" i="42"/>
  <c r="U371" i="42"/>
  <c r="E732" i="42"/>
  <c r="E919" i="42"/>
  <c r="E130" i="42"/>
  <c r="E137" i="42"/>
  <c r="N217" i="47"/>
  <c r="E365" i="42"/>
  <c r="E372" i="42"/>
  <c r="Z372" i="42"/>
  <c r="Y372" i="42"/>
  <c r="V372" i="42"/>
  <c r="X372" i="42"/>
  <c r="W372" i="42"/>
  <c r="U372" i="42"/>
  <c r="T372" i="42"/>
  <c r="F739" i="42"/>
  <c r="H743" i="42" s="1"/>
  <c r="E912" i="42"/>
  <c r="F926" i="42"/>
  <c r="H930" i="42" s="1"/>
  <c r="E131" i="42"/>
  <c r="E373" i="42"/>
  <c r="Z373" i="42"/>
  <c r="V373" i="42"/>
  <c r="Y373" i="42"/>
  <c r="T373" i="42"/>
  <c r="X373" i="42"/>
  <c r="W373" i="42"/>
  <c r="U373" i="42"/>
  <c r="E726" i="42"/>
  <c r="E913" i="42"/>
  <c r="H1059" i="37"/>
  <c r="H1065" i="37"/>
  <c r="G146" i="49"/>
  <c r="G177" i="50" s="1"/>
  <c r="G2080" i="50"/>
  <c r="Q246" i="41"/>
  <c r="G245" i="41"/>
  <c r="G246" i="41"/>
  <c r="G3106" i="37"/>
  <c r="G1162" i="37"/>
  <c r="G1664" i="37"/>
  <c r="G604" i="50"/>
  <c r="G57" i="37"/>
  <c r="G26" i="49"/>
  <c r="G69" i="50" s="1"/>
  <c r="G2140" i="37"/>
  <c r="G2308" i="37"/>
  <c r="G2311" i="37"/>
  <c r="G58" i="37"/>
  <c r="G207" i="37"/>
  <c r="G2418" i="50"/>
  <c r="G1751" i="50"/>
  <c r="G1916" i="50"/>
  <c r="G1258" i="50"/>
  <c r="G1422" i="50"/>
  <c r="G1817" i="37"/>
  <c r="G1346" i="37"/>
  <c r="G1345" i="37"/>
  <c r="G1818" i="37"/>
  <c r="G2952" i="37"/>
  <c r="G2634" i="37"/>
  <c r="G2955" i="37"/>
  <c r="H2852" i="37"/>
  <c r="G240" i="41"/>
  <c r="E123" i="50"/>
  <c r="E238" i="50" s="1"/>
  <c r="P238" i="50" s="1"/>
  <c r="S103" i="50"/>
  <c r="G1100" i="50"/>
  <c r="G2233" i="37"/>
  <c r="G563" i="42"/>
  <c r="G224" i="50"/>
  <c r="G947" i="50"/>
  <c r="G440" i="42"/>
  <c r="G2177" i="50"/>
  <c r="G1762" i="50"/>
  <c r="G1437" i="50"/>
  <c r="G257" i="37"/>
  <c r="G2811" i="37"/>
  <c r="G879" i="37"/>
  <c r="G472" i="42"/>
  <c r="G945" i="50"/>
  <c r="G292" i="37"/>
  <c r="G2877" i="37"/>
  <c r="G1902" i="37"/>
  <c r="G557" i="37"/>
  <c r="G1439" i="50"/>
  <c r="G2099" i="50"/>
  <c r="G2248" i="50"/>
  <c r="G614" i="37"/>
  <c r="G443" i="42"/>
  <c r="G1933" i="50"/>
  <c r="G787" i="50"/>
  <c r="G595" i="42"/>
  <c r="G772" i="50"/>
  <c r="G789" i="50"/>
  <c r="G949" i="50"/>
  <c r="G58" i="41"/>
  <c r="G2292" i="50"/>
  <c r="G3155" i="37"/>
  <c r="G1267" i="37"/>
  <c r="G1929" i="50"/>
  <c r="G1598" i="50"/>
  <c r="G2299" i="50"/>
  <c r="G2167" i="37"/>
  <c r="G1258" i="37"/>
  <c r="G2166" i="50"/>
  <c r="G1935" i="50"/>
  <c r="G2303" i="50"/>
  <c r="G1584" i="50"/>
  <c r="G1605" i="50"/>
  <c r="G2502" i="37"/>
  <c r="G570" i="37"/>
  <c r="I207" i="49"/>
  <c r="G227" i="42"/>
  <c r="G1756" i="50"/>
  <c r="G764" i="50"/>
  <c r="G243" i="42"/>
  <c r="G468" i="42"/>
  <c r="G608" i="50"/>
  <c r="G928" i="50"/>
  <c r="G239" i="42"/>
  <c r="G3146" i="37"/>
  <c r="G1911" i="37"/>
  <c r="G623" i="37"/>
  <c r="G1771" i="50"/>
  <c r="G1443" i="50"/>
  <c r="G785" i="50"/>
  <c r="G2546" i="37"/>
  <c r="G871" i="37"/>
  <c r="G599" i="42"/>
  <c r="G936" i="50"/>
  <c r="G223" i="50"/>
  <c r="G2359" i="50"/>
  <c r="H219" i="49"/>
  <c r="H193" i="50" s="1"/>
  <c r="H192" i="50"/>
  <c r="P874" i="50"/>
  <c r="P875" i="50" s="1"/>
  <c r="P890" i="50"/>
  <c r="P891" i="50" s="1"/>
  <c r="G2078" i="50"/>
  <c r="G1483" i="37"/>
  <c r="G1173" i="37"/>
  <c r="G603" i="50"/>
  <c r="G702" i="37"/>
  <c r="G1161" i="37"/>
  <c r="H604" i="37"/>
  <c r="Q245" i="41"/>
  <c r="G241" i="41"/>
  <c r="G2783" i="37"/>
  <c r="G100" i="49"/>
  <c r="G152" i="50" s="1"/>
  <c r="G1424" i="50"/>
  <c r="G267" i="49"/>
  <c r="G205" i="50" s="1"/>
  <c r="G840" i="37"/>
  <c r="G212" i="49"/>
  <c r="G192" i="50" s="1"/>
  <c r="G2633" i="37"/>
  <c r="G1096" i="50"/>
  <c r="G1668" i="37"/>
  <c r="G2630" i="37"/>
  <c r="G766" i="50"/>
  <c r="G698" i="37"/>
  <c r="G75" i="49"/>
  <c r="G143" i="50" s="1"/>
  <c r="G2956" i="37"/>
  <c r="G262" i="49"/>
  <c r="G204" i="50" s="1"/>
  <c r="G196" i="37"/>
  <c r="G701" i="37"/>
  <c r="G195" i="37"/>
  <c r="G390" i="47"/>
  <c r="G1020" i="37"/>
  <c r="G3094" i="37"/>
  <c r="G852" i="37"/>
  <c r="B45" i="34"/>
  <c r="G851" i="37"/>
  <c r="G1260" i="50"/>
  <c r="G767" i="50"/>
  <c r="G54" i="37"/>
  <c r="G380" i="37"/>
  <c r="G1750" i="50"/>
  <c r="G518" i="37"/>
  <c r="G343" i="41"/>
  <c r="G428" i="50" s="1"/>
  <c r="G471" i="42"/>
  <c r="G178" i="41"/>
  <c r="G304" i="50" s="1"/>
  <c r="G1522" i="37"/>
  <c r="G2451" i="37"/>
  <c r="G269" i="41"/>
  <c r="G363" i="50" s="1"/>
  <c r="G548" i="37"/>
  <c r="G605" i="42"/>
  <c r="G2484" i="37"/>
  <c r="G569" i="37"/>
  <c r="G3128" i="37"/>
  <c r="G2094" i="50"/>
  <c r="G1021" i="37"/>
  <c r="G189" i="41"/>
  <c r="G313" i="50" s="1"/>
  <c r="G2773" i="37"/>
  <c r="G312" i="41"/>
  <c r="G400" i="50" s="1"/>
  <c r="G344" i="41"/>
  <c r="G429" i="50" s="1"/>
  <c r="G1464" i="37"/>
  <c r="G349" i="50"/>
  <c r="G3189" i="37"/>
  <c r="G2752" i="37"/>
  <c r="G599" i="50"/>
  <c r="Q212" i="42"/>
  <c r="Q144" i="42"/>
  <c r="Q161" i="42"/>
  <c r="S192" i="42"/>
  <c r="S243" i="42"/>
  <c r="Q235" i="42"/>
  <c r="S226" i="42"/>
  <c r="G74" i="49"/>
  <c r="G142" i="50" s="1"/>
  <c r="G73" i="49"/>
  <c r="G141" i="50" s="1"/>
  <c r="G1342" i="37"/>
  <c r="G21" i="49"/>
  <c r="G64" i="50" s="1"/>
  <c r="G208" i="37"/>
  <c r="G129" i="49"/>
  <c r="G167" i="50" s="1"/>
  <c r="G1990" i="37"/>
  <c r="G2128" i="37"/>
  <c r="G1587" i="50"/>
  <c r="G2079" i="50"/>
  <c r="G930" i="50"/>
  <c r="G768" i="50"/>
  <c r="G1752" i="50"/>
  <c r="G1986" i="37"/>
  <c r="G1174" i="37"/>
  <c r="G1484" i="37"/>
  <c r="G3093" i="37"/>
  <c r="G128" i="49"/>
  <c r="G166" i="50" s="1"/>
  <c r="G839" i="37"/>
  <c r="G1806" i="37"/>
  <c r="G530" i="37"/>
  <c r="G2771" i="37"/>
  <c r="G1259" i="50"/>
  <c r="G376" i="37"/>
  <c r="G517" i="37"/>
  <c r="G2462" i="37"/>
  <c r="G1805" i="37"/>
  <c r="G1094" i="50"/>
  <c r="G1989" i="37"/>
  <c r="G1915" i="50"/>
  <c r="G2784" i="37"/>
  <c r="G22" i="49"/>
  <c r="G65" i="50" s="1"/>
  <c r="G932" i="50"/>
  <c r="G1496" i="37"/>
  <c r="C969" i="50"/>
  <c r="D805" i="50"/>
  <c r="P103" i="50"/>
  <c r="D641" i="50"/>
  <c r="S106" i="50"/>
  <c r="E126" i="50"/>
  <c r="E241" i="50" s="1"/>
  <c r="P241" i="50" s="1"/>
  <c r="H217" i="47"/>
  <c r="N45" i="41"/>
  <c r="N214" i="50" s="1"/>
  <c r="K171" i="50"/>
  <c r="K277" i="41"/>
  <c r="H278" i="41"/>
  <c r="H370" i="50" s="1"/>
  <c r="M146" i="49"/>
  <c r="I278" i="41"/>
  <c r="I370" i="50" s="1"/>
  <c r="I84" i="49"/>
  <c r="K278" i="41"/>
  <c r="K370" i="50" s="1"/>
  <c r="K168" i="50"/>
  <c r="H137" i="49"/>
  <c r="H172" i="50" s="1"/>
  <c r="M84" i="49"/>
  <c r="M147" i="50" s="1"/>
  <c r="L277" i="41"/>
  <c r="L369" i="50" s="1"/>
  <c r="N48" i="41"/>
  <c r="N216" i="50" s="1"/>
  <c r="K163" i="50"/>
  <c r="M277" i="41"/>
  <c r="M369" i="50" s="1"/>
  <c r="L278" i="41"/>
  <c r="L370" i="50" s="1"/>
  <c r="N155" i="50"/>
  <c r="I277" i="41"/>
  <c r="I369" i="50" s="1"/>
  <c r="L84" i="49"/>
  <c r="N278" i="41"/>
  <c r="N370" i="50" s="1"/>
  <c r="H277" i="41"/>
  <c r="H369" i="50" s="1"/>
  <c r="L3241" i="37"/>
  <c r="A272" i="34"/>
  <c r="A273" i="34"/>
  <c r="A274" i="34"/>
  <c r="A290" i="34"/>
  <c r="A292" i="34"/>
  <c r="A297" i="34"/>
  <c r="A293" i="34"/>
  <c r="A295" i="34"/>
  <c r="A294" i="34"/>
  <c r="A296" i="34"/>
  <c r="A291" i="34"/>
  <c r="D252" i="34"/>
  <c r="C253" i="34"/>
  <c r="C254" i="34" s="1"/>
  <c r="A252" i="34"/>
  <c r="S480" i="42"/>
  <c r="S479" i="42"/>
  <c r="Q386" i="42"/>
  <c r="S463" i="42"/>
  <c r="Q475" i="42"/>
  <c r="E429" i="42"/>
  <c r="E449" i="42" s="1"/>
  <c r="Q439" i="42"/>
  <c r="E257" i="42"/>
  <c r="Q385" i="42"/>
  <c r="Q480" i="42"/>
  <c r="S475" i="42"/>
  <c r="Q405" i="42"/>
  <c r="Q443" i="42"/>
  <c r="S476" i="42"/>
  <c r="Q467" i="42"/>
  <c r="Q468" i="42"/>
  <c r="S429" i="42"/>
  <c r="S467" i="42"/>
  <c r="G203" i="37"/>
  <c r="G1169" i="37"/>
  <c r="G336" i="47"/>
  <c r="G163" i="47"/>
  <c r="G847" i="37"/>
  <c r="G303" i="47"/>
  <c r="G129" i="47"/>
  <c r="G2767" i="37"/>
  <c r="G356" i="47"/>
  <c r="G2123" i="37"/>
  <c r="G1491" i="37"/>
  <c r="G835" i="37"/>
  <c r="G181" i="47"/>
  <c r="G190" i="47"/>
  <c r="G191" i="37"/>
  <c r="G359" i="47"/>
  <c r="G210" i="47"/>
  <c r="G2445" i="37"/>
  <c r="G3101" i="37"/>
  <c r="G1813" i="37"/>
  <c r="B63" i="34"/>
  <c r="G252" i="49" s="1"/>
  <c r="P1054" i="50"/>
  <c r="P1055" i="50" s="1"/>
  <c r="P1874" i="50"/>
  <c r="P1875" i="50" s="1"/>
  <c r="H743" i="37"/>
  <c r="H737" i="37"/>
  <c r="H1564" i="37"/>
  <c r="H1570" i="37"/>
  <c r="P2022" i="50"/>
  <c r="P2023" i="50" s="1"/>
  <c r="T169" i="62"/>
  <c r="L48" i="41"/>
  <c r="L216" i="50" s="1"/>
  <c r="L46" i="41"/>
  <c r="L212" i="50" s="1"/>
  <c r="L47" i="41"/>
  <c r="L215" i="50" s="1"/>
  <c r="N46" i="41"/>
  <c r="N212" i="50" s="1"/>
  <c r="M46" i="41"/>
  <c r="M212" i="50" s="1"/>
  <c r="E128" i="50"/>
  <c r="E412" i="50"/>
  <c r="Q325" i="41"/>
  <c r="I204" i="50"/>
  <c r="I267" i="49"/>
  <c r="I205" i="50" s="1"/>
  <c r="G1745" i="50"/>
  <c r="G1183" i="37"/>
  <c r="G102" i="50"/>
  <c r="G191" i="49"/>
  <c r="G189" i="50" s="1"/>
  <c r="G933" i="50"/>
  <c r="G605" i="50"/>
  <c r="G2289" i="50"/>
  <c r="G326" i="41"/>
  <c r="G413" i="50" s="1"/>
  <c r="G572" i="42"/>
  <c r="G578" i="37"/>
  <c r="G182" i="41"/>
  <c r="G308" i="50" s="1"/>
  <c r="G2180" i="50"/>
  <c r="F2124" i="50"/>
  <c r="N2121" i="50" s="1"/>
  <c r="Q805" i="50"/>
  <c r="J217" i="47"/>
  <c r="E215" i="50"/>
  <c r="Q47" i="41"/>
  <c r="M71" i="50"/>
  <c r="S25" i="49"/>
  <c r="H68" i="50" s="1"/>
  <c r="N277" i="41"/>
  <c r="E58" i="62"/>
  <c r="S58" i="62" s="1"/>
  <c r="D59" i="62"/>
  <c r="J277" i="49"/>
  <c r="J3241" i="37"/>
  <c r="I414" i="43"/>
  <c r="J1189" i="42"/>
  <c r="J420" i="47"/>
  <c r="M370" i="50"/>
  <c r="G45" i="41"/>
  <c r="L45" i="41"/>
  <c r="L214" i="50" s="1"/>
  <c r="N49" i="41"/>
  <c r="N213" i="50" s="1"/>
  <c r="N47" i="41"/>
  <c r="N215" i="50" s="1"/>
  <c r="G50" i="41"/>
  <c r="M49" i="41"/>
  <c r="M213" i="50" s="1"/>
  <c r="M40" i="41"/>
  <c r="M50" i="41" s="1"/>
  <c r="M217" i="50" s="1"/>
  <c r="G48" i="41"/>
  <c r="G39" i="41"/>
  <c r="G37" i="41"/>
  <c r="M48" i="41"/>
  <c r="M216" i="50" s="1"/>
  <c r="G36" i="41"/>
  <c r="Q38" i="41"/>
  <c r="G38" i="41"/>
  <c r="G47" i="41"/>
  <c r="Q48" i="41"/>
  <c r="I49" i="41"/>
  <c r="I213" i="50" s="1"/>
  <c r="G49" i="41"/>
  <c r="L49" i="41"/>
  <c r="L213" i="50" s="1"/>
  <c r="N40" i="41"/>
  <c r="N50" i="41" s="1"/>
  <c r="N217" i="50" s="1"/>
  <c r="M47" i="41"/>
  <c r="M215" i="50" s="1"/>
  <c r="M45" i="41"/>
  <c r="M214" i="50" s="1"/>
  <c r="T25" i="49"/>
  <c r="I68" i="50" s="1"/>
  <c r="H67" i="50"/>
  <c r="I48" i="41"/>
  <c r="I216" i="50" s="1"/>
  <c r="I40" i="41"/>
  <c r="I50" i="41" s="1"/>
  <c r="I217" i="50" s="1"/>
  <c r="I45" i="41"/>
  <c r="I214" i="50" s="1"/>
  <c r="I47" i="41"/>
  <c r="I215" i="50" s="1"/>
  <c r="M51" i="50"/>
  <c r="I52" i="50"/>
  <c r="S387" i="43"/>
  <c r="R40" i="50"/>
  <c r="B54" i="34"/>
  <c r="B56" i="34"/>
  <c r="D253" i="34"/>
  <c r="L171" i="50"/>
  <c r="L146" i="49"/>
  <c r="S390" i="43"/>
  <c r="R43" i="50"/>
  <c r="K68" i="50"/>
  <c r="V27" i="49"/>
  <c r="I339" i="50"/>
  <c r="K3241" i="37"/>
  <c r="K1189" i="42"/>
  <c r="K277" i="49"/>
  <c r="K2736" i="50"/>
  <c r="K420" i="47"/>
  <c r="K392" i="41"/>
  <c r="Q192" i="42"/>
  <c r="Q227" i="42"/>
  <c r="Q238" i="42"/>
  <c r="Q239" i="42"/>
  <c r="Q230" i="42"/>
  <c r="Q153" i="42"/>
  <c r="Q31" i="42"/>
  <c r="P1038" i="50"/>
  <c r="P1039" i="50" s="1"/>
  <c r="G2135" i="37"/>
  <c r="G2457" i="37"/>
  <c r="G147" i="47"/>
  <c r="P105" i="50"/>
  <c r="E125" i="50"/>
  <c r="E240" i="50" s="1"/>
  <c r="P240" i="50" s="1"/>
  <c r="N146" i="49"/>
  <c r="N84" i="37"/>
  <c r="N1694" i="37"/>
  <c r="N1050" i="37"/>
  <c r="N2982" i="37"/>
  <c r="N406" i="37"/>
  <c r="N2660" i="37"/>
  <c r="N2338" i="37"/>
  <c r="N728" i="37"/>
  <c r="N2016" i="37"/>
  <c r="N122" i="41"/>
  <c r="J728" i="37"/>
  <c r="J261" i="50"/>
  <c r="J2982" i="37"/>
  <c r="J406" i="37"/>
  <c r="J2338" i="37"/>
  <c r="J1372" i="37"/>
  <c r="G2230" i="50"/>
  <c r="G1417" i="50"/>
  <c r="G103" i="50"/>
  <c r="G1134" i="37"/>
  <c r="G35" i="49"/>
  <c r="G105" i="50"/>
  <c r="G3066" i="37"/>
  <c r="G812" i="37"/>
  <c r="G107" i="50"/>
  <c r="G539" i="37"/>
  <c r="G94" i="50"/>
  <c r="E409" i="50"/>
  <c r="Q322" i="41"/>
  <c r="L308" i="50"/>
  <c r="L430" i="41"/>
  <c r="K217" i="47"/>
  <c r="E347" i="50"/>
  <c r="E240" i="41"/>
  <c r="E244" i="41" s="1"/>
  <c r="Q244" i="41" s="1"/>
  <c r="J16" i="41"/>
  <c r="J71" i="50"/>
  <c r="G2096" i="50"/>
  <c r="G2124" i="37"/>
  <c r="G1492" i="37"/>
  <c r="G152" i="41"/>
  <c r="G285" i="50" s="1"/>
  <c r="G247" i="37"/>
  <c r="G177" i="37"/>
  <c r="G781" i="50"/>
  <c r="G1273" i="50"/>
  <c r="G231" i="42"/>
  <c r="G892" i="37"/>
  <c r="G2555" i="37"/>
  <c r="G2307" i="50"/>
  <c r="G1607" i="50"/>
  <c r="G971" i="42"/>
  <c r="G901" i="37"/>
  <c r="G2803" i="37"/>
  <c r="G2095" i="50"/>
  <c r="G2414" i="50"/>
  <c r="G1270" i="50"/>
  <c r="G566" i="42"/>
  <c r="G476" i="42"/>
  <c r="G623" i="50"/>
  <c r="G267" i="37"/>
  <c r="G1275" i="50"/>
  <c r="G600" i="50"/>
  <c r="G480" i="42"/>
  <c r="G1589" i="37"/>
  <c r="G2159" i="37"/>
  <c r="G1420" i="50"/>
  <c r="G2240" i="50"/>
  <c r="G1765" i="50"/>
  <c r="G589" i="37"/>
  <c r="G1555" i="37"/>
  <c r="G3125" i="37"/>
  <c r="G1117" i="50"/>
  <c r="G2101" i="50"/>
  <c r="G625" i="50"/>
  <c r="G1523" i="37"/>
  <c r="G2189" i="37"/>
  <c r="G2246" i="50"/>
  <c r="G2084" i="50"/>
  <c r="G1281" i="50"/>
  <c r="G59" i="41"/>
  <c r="G464" i="42"/>
  <c r="G2173" i="50"/>
  <c r="G227" i="37"/>
  <c r="G2090" i="50"/>
  <c r="G619" i="50"/>
  <c r="G2181" i="50"/>
  <c r="G1465" i="37"/>
  <c r="G2489" i="37"/>
  <c r="H1694" i="37"/>
  <c r="H406" i="37"/>
  <c r="G1428" i="50"/>
  <c r="G2481" i="37"/>
  <c r="G1201" i="37"/>
  <c r="G1545" i="37"/>
  <c r="G1106" i="50"/>
  <c r="G2224" i="37"/>
  <c r="G1867" i="37"/>
  <c r="G945" i="37"/>
  <c r="G974" i="42"/>
  <c r="G1109" i="50"/>
  <c r="G2843" i="37"/>
  <c r="G2868" i="37"/>
  <c r="G1580" i="37"/>
  <c r="G549" i="37"/>
  <c r="G1937" i="50"/>
  <c r="G2305" i="50"/>
  <c r="G2521" i="37"/>
  <c r="G1877" i="37"/>
  <c r="G1223" i="37"/>
  <c r="G499" i="37"/>
  <c r="G1748" i="50"/>
  <c r="G2179" i="50"/>
  <c r="G1214" i="37"/>
  <c r="G2511" i="37"/>
  <c r="G1113" i="50"/>
  <c r="G2235" i="50"/>
  <c r="G1264" i="50"/>
  <c r="G301" i="37"/>
  <c r="G1536" i="37"/>
  <c r="G2431" i="37"/>
  <c r="G206" i="42"/>
  <c r="G1445" i="50"/>
  <c r="G1773" i="50"/>
  <c r="G3090" i="37"/>
  <c r="G101" i="49"/>
  <c r="G153" i="50" s="1"/>
  <c r="G784" i="42"/>
  <c r="I257" i="49"/>
  <c r="G1769" i="50"/>
  <c r="G783" i="50"/>
  <c r="G821" i="37"/>
  <c r="G3075" i="37"/>
  <c r="G2093" i="50"/>
  <c r="L204" i="50"/>
  <c r="L267" i="49"/>
  <c r="L205" i="50" s="1"/>
  <c r="G298" i="41"/>
  <c r="G387" i="50" s="1"/>
  <c r="G1747" i="50"/>
  <c r="G141" i="41"/>
  <c r="G276" i="50" s="1"/>
  <c r="G2294" i="50"/>
  <c r="G951" i="50"/>
  <c r="G2416" i="50"/>
  <c r="G621" i="50"/>
  <c r="G1858" i="37"/>
  <c r="G2199" i="37"/>
  <c r="G2244" i="50"/>
  <c r="G1115" i="50"/>
  <c r="G1279" i="50"/>
  <c r="G778" i="50"/>
  <c r="G1143" i="37"/>
  <c r="G2753" i="37"/>
  <c r="G2301" i="50"/>
  <c r="G1601" i="50"/>
  <c r="G1931" i="50"/>
  <c r="G787" i="42"/>
  <c r="G591" i="42"/>
  <c r="G235" i="42"/>
  <c r="G1920" i="50"/>
  <c r="G57" i="41"/>
  <c r="G248" i="37"/>
  <c r="G1837" i="37"/>
  <c r="G1277" i="50"/>
  <c r="M204" i="50"/>
  <c r="M267" i="49"/>
  <c r="M205" i="50" s="1"/>
  <c r="H16" i="41"/>
  <c r="H71" i="50"/>
  <c r="G1845" i="37"/>
  <c r="G2076" i="50"/>
  <c r="T40" i="50"/>
  <c r="G447" i="43"/>
  <c r="I217" i="47"/>
  <c r="S40" i="50"/>
  <c r="K218" i="41"/>
  <c r="K313" i="50"/>
  <c r="G598" i="42"/>
  <c r="G152" i="49"/>
  <c r="G181" i="50" s="1"/>
  <c r="G2172" i="50"/>
  <c r="G2245" i="50"/>
  <c r="G588" i="37"/>
  <c r="G181" i="41"/>
  <c r="G307" i="50" s="1"/>
  <c r="G106" i="49"/>
  <c r="G155" i="50" s="1"/>
  <c r="G1272" i="50"/>
  <c r="G2198" i="37"/>
  <c r="G1923" i="50"/>
  <c r="G270" i="47"/>
  <c r="G1595" i="50"/>
  <c r="G2356" i="50"/>
  <c r="G1263" i="50"/>
  <c r="G150" i="41"/>
  <c r="G283" i="50" s="1"/>
  <c r="G2545" i="37"/>
  <c r="G426" i="41"/>
  <c r="L2736" i="50" l="1"/>
  <c r="L392" i="41"/>
  <c r="F3" i="34"/>
  <c r="E4" i="34"/>
  <c r="M414" i="43"/>
  <c r="L420" i="47"/>
  <c r="L1189" i="42"/>
  <c r="J128" i="41"/>
  <c r="J267" i="50"/>
  <c r="H100" i="49"/>
  <c r="H267" i="49"/>
  <c r="H205" i="50" s="1"/>
  <c r="I192" i="50"/>
  <c r="I406" i="41"/>
  <c r="I391" i="47"/>
  <c r="H391" i="47"/>
  <c r="U2981" i="37"/>
  <c r="T2981" i="37"/>
  <c r="Y27" i="49"/>
  <c r="Y269" i="43"/>
  <c r="Y261" i="43"/>
  <c r="G443" i="43"/>
  <c r="Y256" i="43"/>
  <c r="E271" i="43"/>
  <c r="AK176" i="49"/>
  <c r="E290" i="43"/>
  <c r="Y290" i="43" s="1"/>
  <c r="G444" i="43"/>
  <c r="AK170" i="49"/>
  <c r="E54" i="50"/>
  <c r="R54" i="50" s="1"/>
  <c r="AK206" i="49"/>
  <c r="AK174" i="49"/>
  <c r="H128" i="41"/>
  <c r="H270" i="50" s="1"/>
  <c r="J146" i="49"/>
  <c r="Q240" i="41"/>
  <c r="P2234" i="50"/>
  <c r="Q486" i="42"/>
  <c r="R487" i="42" s="1"/>
  <c r="I486" i="42"/>
  <c r="G20" i="42"/>
  <c r="H28" i="42" s="1"/>
  <c r="Q20" i="42"/>
  <c r="Q812" i="42"/>
  <c r="I957" i="42"/>
  <c r="E964" i="42" s="1"/>
  <c r="E804" i="42"/>
  <c r="Q804" i="42" s="1"/>
  <c r="I609" i="42"/>
  <c r="Q609" i="42"/>
  <c r="R610" i="42" s="1"/>
  <c r="C1301" i="37"/>
  <c r="C1623" i="37" s="1"/>
  <c r="C1945" i="37" s="1"/>
  <c r="Q1945" i="37" s="1"/>
  <c r="U56" i="62"/>
  <c r="P2223" i="50"/>
  <c r="P2233" i="50"/>
  <c r="P2248" i="50"/>
  <c r="P2192" i="50"/>
  <c r="P2205" i="50"/>
  <c r="P2206" i="50" s="1"/>
  <c r="P2207" i="50"/>
  <c r="D29" i="62"/>
  <c r="L217" i="50"/>
  <c r="K45" i="41"/>
  <c r="K214" i="50" s="1"/>
  <c r="M189" i="41"/>
  <c r="M128" i="41"/>
  <c r="M270" i="50" s="1"/>
  <c r="M413" i="41"/>
  <c r="M420" i="41" s="1"/>
  <c r="M412" i="41"/>
  <c r="M419" i="41" s="1"/>
  <c r="M426" i="41" s="1"/>
  <c r="M433" i="41" s="1"/>
  <c r="M267" i="50"/>
  <c r="K47" i="41"/>
  <c r="K215" i="50" s="1"/>
  <c r="K40" i="41"/>
  <c r="K50" i="41" s="1"/>
  <c r="K217" i="50" s="1"/>
  <c r="E171" i="62"/>
  <c r="S171" i="62" s="1"/>
  <c r="E148" i="62"/>
  <c r="E172" i="62"/>
  <c r="T172" i="62" s="1"/>
  <c r="D115" i="62"/>
  <c r="T173" i="62"/>
  <c r="E113" i="62"/>
  <c r="E185" i="62"/>
  <c r="U58" i="62"/>
  <c r="U57" i="62"/>
  <c r="H2188" i="50"/>
  <c r="P2216" i="50"/>
  <c r="P2213" i="50"/>
  <c r="P2243" i="50"/>
  <c r="E2188" i="50"/>
  <c r="P2222" i="50"/>
  <c r="P2246" i="50"/>
  <c r="P2242" i="50"/>
  <c r="P2191" i="50"/>
  <c r="P2228" i="50"/>
  <c r="P2196" i="50"/>
  <c r="R2185" i="50"/>
  <c r="P2235" i="50"/>
  <c r="P2214" i="50"/>
  <c r="P2241" i="50"/>
  <c r="P2215" i="50"/>
  <c r="P2239" i="50"/>
  <c r="P2210" i="50"/>
  <c r="C2311" i="50"/>
  <c r="D2311" i="50" s="1"/>
  <c r="I2252" i="50"/>
  <c r="P2276" i="50" s="1"/>
  <c r="L2255" i="50"/>
  <c r="F2258" i="50" s="1"/>
  <c r="H2273" i="50" s="1"/>
  <c r="P2204" i="50"/>
  <c r="Q2252" i="50"/>
  <c r="N2188" i="50"/>
  <c r="H2222" i="50"/>
  <c r="P2245" i="50"/>
  <c r="H2200" i="50"/>
  <c r="H2204" i="50" s="1"/>
  <c r="P2240" i="50"/>
  <c r="P2237" i="50"/>
  <c r="P2244" i="50"/>
  <c r="P2247" i="50"/>
  <c r="P2217" i="50"/>
  <c r="K46" i="41"/>
  <c r="K212" i="50" s="1"/>
  <c r="K48" i="41"/>
  <c r="K216" i="50" s="1"/>
  <c r="F426" i="43"/>
  <c r="J426" i="43" s="1"/>
  <c r="F427" i="43"/>
  <c r="J427" i="43" s="1"/>
  <c r="I405" i="41"/>
  <c r="Y174" i="43"/>
  <c r="Y169" i="43"/>
  <c r="Y354" i="43"/>
  <c r="Y133" i="43"/>
  <c r="Y113" i="43"/>
  <c r="Y226" i="43"/>
  <c r="Y314" i="43"/>
  <c r="Y324" i="43"/>
  <c r="Y315" i="43"/>
  <c r="Y117" i="43"/>
  <c r="Y100" i="43"/>
  <c r="Y173" i="43"/>
  <c r="Y319" i="43"/>
  <c r="Y222" i="43"/>
  <c r="Y87" i="43"/>
  <c r="Y138" i="43"/>
  <c r="Y105" i="43"/>
  <c r="Y363" i="43"/>
  <c r="Y245" i="43"/>
  <c r="Y137" i="43"/>
  <c r="Y167" i="43"/>
  <c r="Y378" i="43"/>
  <c r="Y360" i="43"/>
  <c r="Y71" i="43"/>
  <c r="Y63" i="43"/>
  <c r="Y376" i="43"/>
  <c r="J2743" i="50"/>
  <c r="Y75" i="43"/>
  <c r="Y260" i="43"/>
  <c r="Y223" i="43"/>
  <c r="W55" i="62"/>
  <c r="W56" i="62" s="1"/>
  <c r="W57" i="62" s="1"/>
  <c r="W58" i="62" s="1"/>
  <c r="W59" i="62" s="1"/>
  <c r="W60" i="62" s="1"/>
  <c r="W61" i="62" s="1"/>
  <c r="Y313" i="43"/>
  <c r="Y220" i="43"/>
  <c r="Y170" i="43"/>
  <c r="Y377" i="43"/>
  <c r="Y371" i="43"/>
  <c r="Y134" i="43"/>
  <c r="Y318" i="43"/>
  <c r="Y168" i="43"/>
  <c r="Y175" i="43"/>
  <c r="Y326" i="43"/>
  <c r="Y217" i="43"/>
  <c r="Y320" i="43"/>
  <c r="Y361" i="43"/>
  <c r="Y357" i="43"/>
  <c r="Y64" i="43"/>
  <c r="Y375" i="43"/>
  <c r="Y132" i="43"/>
  <c r="Y136" i="43"/>
  <c r="Y56" i="43"/>
  <c r="Y259" i="43"/>
  <c r="Y355" i="43"/>
  <c r="W26" i="62"/>
  <c r="W27" i="62" s="1"/>
  <c r="W28" i="62" s="1"/>
  <c r="W29" i="62" s="1"/>
  <c r="W30" i="62" s="1"/>
  <c r="W31" i="62" s="1"/>
  <c r="W32" i="62" s="1"/>
  <c r="W33" i="62" s="1"/>
  <c r="W34" i="62" s="1"/>
  <c r="W35" i="62" s="1"/>
  <c r="Y369" i="43"/>
  <c r="Y327" i="43"/>
  <c r="Y312" i="43"/>
  <c r="Y131" i="43"/>
  <c r="Y268" i="43"/>
  <c r="Y323" i="43"/>
  <c r="Y107" i="43"/>
  <c r="Y215" i="43"/>
  <c r="Y70" i="43"/>
  <c r="Y115" i="43"/>
  <c r="Y362" i="43"/>
  <c r="Y219" i="43"/>
  <c r="Y216" i="43"/>
  <c r="Y306" i="43"/>
  <c r="Y103" i="43"/>
  <c r="Y356" i="43"/>
  <c r="Y114" i="43"/>
  <c r="Y224" i="43"/>
  <c r="Y225" i="43"/>
  <c r="Y218" i="43"/>
  <c r="Y373" i="43"/>
  <c r="Y240" i="43"/>
  <c r="Y104" i="43"/>
  <c r="Y321" i="43"/>
  <c r="Y116" i="43"/>
  <c r="Y325" i="43"/>
  <c r="Y311" i="43"/>
  <c r="Y374" i="43"/>
  <c r="Y110" i="43"/>
  <c r="Y322" i="43"/>
  <c r="Y108" i="43"/>
  <c r="Y112" i="43"/>
  <c r="Y86" i="43"/>
  <c r="Y241" i="43"/>
  <c r="Y111" i="43"/>
  <c r="Y370" i="43"/>
  <c r="Y307" i="43"/>
  <c r="Y358" i="43"/>
  <c r="Y41" i="43"/>
  <c r="Y308" i="43"/>
  <c r="Y372" i="43"/>
  <c r="Y52" i="43"/>
  <c r="Y309" i="43"/>
  <c r="S101" i="62"/>
  <c r="S102" i="62" s="1"/>
  <c r="S103" i="62" s="1"/>
  <c r="S104" i="62" s="1"/>
  <c r="S105" i="62" s="1"/>
  <c r="S106" i="62" s="1"/>
  <c r="S107" i="62" s="1"/>
  <c r="S108" i="62" s="1"/>
  <c r="S109" i="62" s="1"/>
  <c r="S110" i="62" s="1"/>
  <c r="S111" i="62" s="1"/>
  <c r="S112" i="62" s="1"/>
  <c r="S113" i="62" s="1"/>
  <c r="S114" i="62" s="1"/>
  <c r="S115" i="62" s="1"/>
  <c r="S116" i="62" s="1"/>
  <c r="S117" i="62" s="1"/>
  <c r="Y255" i="43"/>
  <c r="Y51" i="43"/>
  <c r="Y221" i="43"/>
  <c r="Y172" i="43"/>
  <c r="Y310" i="43"/>
  <c r="Y101" i="43"/>
  <c r="Y42" i="43"/>
  <c r="Y102" i="43"/>
  <c r="Y359" i="43"/>
  <c r="Y254" i="43"/>
  <c r="Y57" i="43"/>
  <c r="Y244" i="43"/>
  <c r="Y267" i="43"/>
  <c r="J279" i="41"/>
  <c r="J371" i="50" s="1"/>
  <c r="K279" i="41"/>
  <c r="K371" i="50" s="1"/>
  <c r="F434" i="43"/>
  <c r="J270" i="50"/>
  <c r="J140" i="41"/>
  <c r="I267" i="50"/>
  <c r="I128" i="41"/>
  <c r="I413" i="41" s="1"/>
  <c r="K128" i="41"/>
  <c r="K267" i="50"/>
  <c r="I313" i="50"/>
  <c r="J412" i="41"/>
  <c r="J413" i="41"/>
  <c r="K100" i="49"/>
  <c r="F432" i="43"/>
  <c r="J432" i="43" s="1"/>
  <c r="F430" i="43"/>
  <c r="K430" i="43" s="1"/>
  <c r="F428" i="43"/>
  <c r="F429" i="43"/>
  <c r="F431" i="43"/>
  <c r="J431" i="43" s="1"/>
  <c r="F435" i="43"/>
  <c r="F433" i="43"/>
  <c r="K369" i="50"/>
  <c r="U27" i="49"/>
  <c r="J70" i="50" s="1"/>
  <c r="S27" i="49"/>
  <c r="H35" i="49" s="1"/>
  <c r="Q232" i="43"/>
  <c r="R27" i="50" s="1"/>
  <c r="F25" i="50"/>
  <c r="K146" i="49"/>
  <c r="K147" i="49" s="1"/>
  <c r="K178" i="50" s="1"/>
  <c r="I219" i="41"/>
  <c r="I336" i="50" s="1"/>
  <c r="I335" i="50"/>
  <c r="I172" i="50"/>
  <c r="G151" i="50"/>
  <c r="G176" i="50"/>
  <c r="J101" i="49"/>
  <c r="J153" i="50" s="1"/>
  <c r="J152" i="50"/>
  <c r="F23" i="50"/>
  <c r="L128" i="41"/>
  <c r="L267" i="50"/>
  <c r="L189" i="41"/>
  <c r="G1900" i="37"/>
  <c r="G203" i="50"/>
  <c r="G299" i="37"/>
  <c r="G191" i="50"/>
  <c r="G2831" i="37"/>
  <c r="G290" i="37"/>
  <c r="G3188" i="37"/>
  <c r="G899" i="37"/>
  <c r="G1909" i="37"/>
  <c r="G2553" i="37"/>
  <c r="G3153" i="37"/>
  <c r="G577" i="37"/>
  <c r="G2187" i="37"/>
  <c r="G2222" i="37"/>
  <c r="G2866" i="37"/>
  <c r="G1256" i="37"/>
  <c r="G1221" i="37"/>
  <c r="G2509" i="37"/>
  <c r="G1212" i="37"/>
  <c r="G1865" i="37"/>
  <c r="G2544" i="37"/>
  <c r="G890" i="37"/>
  <c r="G2822" i="37"/>
  <c r="G2178" i="37"/>
  <c r="G943" i="37"/>
  <c r="G1856" i="37"/>
  <c r="G621" i="37"/>
  <c r="G1543" i="37"/>
  <c r="G2500" i="37"/>
  <c r="G568" i="37"/>
  <c r="G1587" i="37"/>
  <c r="G3197" i="37"/>
  <c r="G612" i="37"/>
  <c r="G1265" i="37"/>
  <c r="G1534" i="37"/>
  <c r="G2231" i="37"/>
  <c r="G255" i="37"/>
  <c r="G1578" i="37"/>
  <c r="G934" i="37"/>
  <c r="G2875" i="37"/>
  <c r="G3144" i="37"/>
  <c r="F26" i="50"/>
  <c r="Q796" i="42"/>
  <c r="R797" i="42" s="1"/>
  <c r="C983" i="42"/>
  <c r="M68" i="50"/>
  <c r="X27" i="49"/>
  <c r="I151" i="49"/>
  <c r="W27" i="49"/>
  <c r="L68" i="50"/>
  <c r="G242" i="41"/>
  <c r="G244" i="41"/>
  <c r="T27" i="49"/>
  <c r="I35" i="49" s="1"/>
  <c r="I177" i="50"/>
  <c r="P107" i="50"/>
  <c r="E127" i="50"/>
  <c r="H279" i="41"/>
  <c r="H371" i="50" s="1"/>
  <c r="Q926" i="42"/>
  <c r="Q939" i="42"/>
  <c r="Q950" i="42"/>
  <c r="Q229" i="43"/>
  <c r="R24" i="50" s="1"/>
  <c r="M279" i="41"/>
  <c r="M371" i="50" s="1"/>
  <c r="H2140" i="50"/>
  <c r="Q931" i="42"/>
  <c r="Q943" i="42"/>
  <c r="Q815" i="42"/>
  <c r="Q813" i="42"/>
  <c r="Q951" i="42"/>
  <c r="H2155" i="50"/>
  <c r="Q930" i="42"/>
  <c r="Q935" i="42"/>
  <c r="H2133" i="50"/>
  <c r="H2137" i="50" s="1"/>
  <c r="D969" i="50"/>
  <c r="C1133" i="50"/>
  <c r="Q969" i="50"/>
  <c r="N35" i="49"/>
  <c r="N70" i="50"/>
  <c r="I279" i="41"/>
  <c r="I371" i="50" s="1"/>
  <c r="L147" i="50"/>
  <c r="L100" i="49"/>
  <c r="M100" i="49"/>
  <c r="M151" i="49"/>
  <c r="M177" i="50"/>
  <c r="M147" i="49"/>
  <c r="M178" i="50" s="1"/>
  <c r="H146" i="49"/>
  <c r="H177" i="50" s="1"/>
  <c r="J155" i="50"/>
  <c r="J107" i="49"/>
  <c r="J156" i="50" s="1"/>
  <c r="L279" i="41"/>
  <c r="L371" i="50" s="1"/>
  <c r="I100" i="49"/>
  <c r="I147" i="50"/>
  <c r="Q227" i="43"/>
  <c r="R22" i="50" s="1"/>
  <c r="G448" i="43"/>
  <c r="G246" i="37"/>
  <c r="G2197" i="37"/>
  <c r="G1553" i="37"/>
  <c r="G3163" i="37"/>
  <c r="G1231" i="37"/>
  <c r="G265" i="37"/>
  <c r="G909" i="37"/>
  <c r="G587" i="37"/>
  <c r="G1875" i="37"/>
  <c r="G2519" i="37"/>
  <c r="G2841" i="37"/>
  <c r="G257" i="42"/>
  <c r="H265" i="42" s="1"/>
  <c r="Q257" i="42"/>
  <c r="N279" i="41"/>
  <c r="N371" i="50" s="1"/>
  <c r="N369" i="50"/>
  <c r="E59" i="62"/>
  <c r="D60" i="62"/>
  <c r="E60" i="62" s="1"/>
  <c r="U83" i="37"/>
  <c r="U405" i="37"/>
  <c r="T405" i="37"/>
  <c r="T83" i="37"/>
  <c r="I3241" i="37"/>
  <c r="I2736" i="50"/>
  <c r="H414" i="43"/>
  <c r="I1189" i="42"/>
  <c r="I277" i="49"/>
  <c r="I392" i="41"/>
  <c r="I420" i="47"/>
  <c r="J218" i="41"/>
  <c r="J313" i="50"/>
  <c r="D254" i="34"/>
  <c r="C255" i="34"/>
  <c r="E149" i="62"/>
  <c r="D150" i="62"/>
  <c r="K70" i="50"/>
  <c r="K35" i="49"/>
  <c r="L147" i="49"/>
  <c r="L178" i="50" s="1"/>
  <c r="L151" i="49"/>
  <c r="L177" i="50"/>
  <c r="N147" i="49"/>
  <c r="N178" i="50" s="1"/>
  <c r="N151" i="49"/>
  <c r="N177" i="50"/>
  <c r="M13" i="50"/>
  <c r="N413" i="41"/>
  <c r="N420" i="41" s="1"/>
  <c r="N128" i="41"/>
  <c r="N270" i="50" s="1"/>
  <c r="N189" i="41"/>
  <c r="N412" i="41"/>
  <c r="N419" i="41" s="1"/>
  <c r="N426" i="41" s="1"/>
  <c r="N433" i="41" s="1"/>
  <c r="N267" i="50"/>
  <c r="H45" i="41"/>
  <c r="H214" i="50" s="1"/>
  <c r="H48" i="41"/>
  <c r="H216" i="50" s="1"/>
  <c r="H46" i="41"/>
  <c r="H212" i="50" s="1"/>
  <c r="H49" i="41"/>
  <c r="H213" i="50" s="1"/>
  <c r="H47" i="41"/>
  <c r="H215" i="50" s="1"/>
  <c r="H40" i="41"/>
  <c r="H50" i="41" s="1"/>
  <c r="H217" i="50" s="1"/>
  <c r="J45" i="41"/>
  <c r="J214" i="50" s="1"/>
  <c r="J46" i="41"/>
  <c r="J212" i="50" s="1"/>
  <c r="J49" i="41"/>
  <c r="J213" i="50" s="1"/>
  <c r="J47" i="41"/>
  <c r="J215" i="50" s="1"/>
  <c r="J48" i="41"/>
  <c r="J216" i="50" s="1"/>
  <c r="J40" i="41"/>
  <c r="J50" i="41" s="1"/>
  <c r="J217" i="50" s="1"/>
  <c r="J151" i="49"/>
  <c r="J147" i="49"/>
  <c r="J178" i="50" s="1"/>
  <c r="J177" i="50"/>
  <c r="K335" i="50"/>
  <c r="K219" i="41"/>
  <c r="K336" i="50" s="1"/>
  <c r="H101" i="49" l="1"/>
  <c r="H153" i="50" s="1"/>
  <c r="H152" i="50"/>
  <c r="H106" i="49"/>
  <c r="M1189" i="42"/>
  <c r="M420" i="47"/>
  <c r="M277" i="49"/>
  <c r="M2736" i="50"/>
  <c r="M392" i="41"/>
  <c r="M3241" i="37"/>
  <c r="R11" i="43"/>
  <c r="N414" i="43"/>
  <c r="F4" i="34"/>
  <c r="K177" i="50"/>
  <c r="H406" i="41"/>
  <c r="G442" i="43"/>
  <c r="G450" i="43" s="1"/>
  <c r="P54" i="50"/>
  <c r="M57" i="50" s="1"/>
  <c r="H412" i="41"/>
  <c r="H413" i="41"/>
  <c r="H147" i="49"/>
  <c r="H178" i="50" s="1"/>
  <c r="Q964" i="42"/>
  <c r="S976" i="42"/>
  <c r="S971" i="42"/>
  <c r="Q976" i="42"/>
  <c r="Q971" i="42"/>
  <c r="S964" i="42"/>
  <c r="Q977" i="42"/>
  <c r="Q974" i="42"/>
  <c r="S974" i="42"/>
  <c r="Q563" i="42"/>
  <c r="E494" i="42"/>
  <c r="E552" i="42"/>
  <c r="E572" i="42" s="1"/>
  <c r="S595" i="42"/>
  <c r="Q552" i="42"/>
  <c r="Q594" i="42"/>
  <c r="Q503" i="42"/>
  <c r="Q595" i="42"/>
  <c r="Q508" i="42"/>
  <c r="Q602" i="42"/>
  <c r="Q511" i="42"/>
  <c r="Q599" i="42"/>
  <c r="Q572" i="42"/>
  <c r="Q587" i="42"/>
  <c r="S552" i="42"/>
  <c r="S594" i="42"/>
  <c r="Q502" i="42"/>
  <c r="Q562" i="42"/>
  <c r="I535" i="42"/>
  <c r="S586" i="42"/>
  <c r="Q598" i="42"/>
  <c r="Q565" i="42"/>
  <c r="S603" i="42"/>
  <c r="S587" i="42"/>
  <c r="S591" i="42"/>
  <c r="Q591" i="42"/>
  <c r="S598" i="42"/>
  <c r="Q510" i="42"/>
  <c r="Q566" i="42"/>
  <c r="Q590" i="42"/>
  <c r="Q505" i="42"/>
  <c r="S590" i="42"/>
  <c r="Q603" i="42"/>
  <c r="S602" i="42"/>
  <c r="Q586" i="42"/>
  <c r="S599" i="42"/>
  <c r="G804" i="42"/>
  <c r="H812" i="42" s="1"/>
  <c r="H951" i="42" s="1"/>
  <c r="Q973" i="42"/>
  <c r="Q970" i="42"/>
  <c r="H31" i="42"/>
  <c r="H169" i="42"/>
  <c r="Q626" i="42"/>
  <c r="E617" i="42"/>
  <c r="Q756" i="42"/>
  <c r="Q628" i="42"/>
  <c r="I770" i="42"/>
  <c r="Q752" i="42"/>
  <c r="Q764" i="42"/>
  <c r="Q625" i="42"/>
  <c r="Q744" i="42"/>
  <c r="Q743" i="42"/>
  <c r="Q739" i="42"/>
  <c r="Q748" i="42"/>
  <c r="Q763" i="42"/>
  <c r="C2267" i="37"/>
  <c r="Q2267" i="37" s="1"/>
  <c r="Q1301" i="37"/>
  <c r="Q1623" i="37"/>
  <c r="S172" i="62"/>
  <c r="L2314" i="50"/>
  <c r="F2317" i="50" s="1"/>
  <c r="H2333" i="50" s="1"/>
  <c r="D30" i="62"/>
  <c r="C2368" i="50"/>
  <c r="L2371" i="50" s="1"/>
  <c r="F2374" i="50" s="1"/>
  <c r="H2405" i="50" s="1"/>
  <c r="I2311" i="50"/>
  <c r="P2364" i="50" s="1"/>
  <c r="Q2311" i="50"/>
  <c r="I41" i="50"/>
  <c r="L40" i="50"/>
  <c r="I42" i="50"/>
  <c r="I37" i="50"/>
  <c r="I36" i="50"/>
  <c r="M313" i="50"/>
  <c r="M193" i="41"/>
  <c r="M218" i="41"/>
  <c r="M194" i="41"/>
  <c r="G427" i="43"/>
  <c r="H427" i="43" s="1"/>
  <c r="K427" i="43"/>
  <c r="T171" i="62"/>
  <c r="E115" i="62"/>
  <c r="D116" i="62"/>
  <c r="E116" i="62" s="1"/>
  <c r="E186" i="62"/>
  <c r="P2307" i="50"/>
  <c r="P2282" i="50"/>
  <c r="P2304" i="50"/>
  <c r="P2298" i="50"/>
  <c r="H2266" i="50"/>
  <c r="H2270" i="50" s="1"/>
  <c r="P2287" i="50"/>
  <c r="P2302" i="50"/>
  <c r="N2255" i="50"/>
  <c r="P2262" i="50"/>
  <c r="H2281" i="50"/>
  <c r="P2305" i="50"/>
  <c r="P2271" i="50"/>
  <c r="P2272" i="50" s="1"/>
  <c r="P2273" i="50"/>
  <c r="P2291" i="50"/>
  <c r="P2292" i="50"/>
  <c r="P2294" i="50"/>
  <c r="P2301" i="50"/>
  <c r="P2303" i="50"/>
  <c r="R2252" i="50"/>
  <c r="P2293" i="50"/>
  <c r="P2258" i="50"/>
  <c r="P2299" i="50"/>
  <c r="P2281" i="50"/>
  <c r="E2255" i="50"/>
  <c r="H2255" i="50"/>
  <c r="P2306" i="50"/>
  <c r="P2270" i="50"/>
  <c r="P2296" i="50"/>
  <c r="P2300" i="50"/>
  <c r="H70" i="50"/>
  <c r="J405" i="41"/>
  <c r="H405" i="41"/>
  <c r="J429" i="43"/>
  <c r="J428" i="43"/>
  <c r="J434" i="43"/>
  <c r="G430" i="43"/>
  <c r="H430" i="43" s="1"/>
  <c r="J430" i="43"/>
  <c r="J435" i="43"/>
  <c r="L270" i="50"/>
  <c r="L140" i="41"/>
  <c r="K270" i="50"/>
  <c r="K140" i="41"/>
  <c r="K412" i="41"/>
  <c r="K413" i="41"/>
  <c r="J417" i="41"/>
  <c r="J416" i="41" s="1"/>
  <c r="J419" i="41" s="1"/>
  <c r="J275" i="50"/>
  <c r="I270" i="50"/>
  <c r="I140" i="41"/>
  <c r="I412" i="41"/>
  <c r="L413" i="41"/>
  <c r="L412" i="41"/>
  <c r="K101" i="49"/>
  <c r="K153" i="50" s="1"/>
  <c r="K152" i="50"/>
  <c r="K106" i="49"/>
  <c r="G433" i="43"/>
  <c r="H433" i="43" s="1"/>
  <c r="K433" i="43"/>
  <c r="J433" i="43"/>
  <c r="J35" i="49"/>
  <c r="J108" i="50" s="1"/>
  <c r="I70" i="50"/>
  <c r="K151" i="49"/>
  <c r="K180" i="50" s="1"/>
  <c r="Q983" i="42"/>
  <c r="R984" i="42" s="1"/>
  <c r="C1083" i="42"/>
  <c r="I983" i="42"/>
  <c r="L70" i="50"/>
  <c r="L35" i="49"/>
  <c r="L313" i="50"/>
  <c r="L218" i="41"/>
  <c r="M70" i="50"/>
  <c r="M35" i="49"/>
  <c r="I180" i="50"/>
  <c r="I152" i="49"/>
  <c r="I181" i="50" s="1"/>
  <c r="D1133" i="50"/>
  <c r="Q1133" i="50"/>
  <c r="C1297" i="50"/>
  <c r="K152" i="49"/>
  <c r="K181" i="50" s="1"/>
  <c r="K108" i="50"/>
  <c r="H151" i="49"/>
  <c r="H152" i="49" s="1"/>
  <c r="H181" i="50" s="1"/>
  <c r="M180" i="50"/>
  <c r="M152" i="49"/>
  <c r="M181" i="50" s="1"/>
  <c r="M101" i="49"/>
  <c r="M153" i="50" s="1"/>
  <c r="M152" i="50"/>
  <c r="M106" i="49"/>
  <c r="L106" i="49"/>
  <c r="L101" i="49"/>
  <c r="L153" i="50" s="1"/>
  <c r="L152" i="50"/>
  <c r="I152" i="50"/>
  <c r="I101" i="49"/>
  <c r="I153" i="50" s="1"/>
  <c r="I106" i="49"/>
  <c r="N108" i="50"/>
  <c r="N107" i="50"/>
  <c r="N101" i="50"/>
  <c r="N121" i="50" s="1"/>
  <c r="N96" i="50"/>
  <c r="N116" i="50" s="1"/>
  <c r="N98" i="50"/>
  <c r="N118" i="50" s="1"/>
  <c r="N102" i="50"/>
  <c r="N122" i="50" s="1"/>
  <c r="N105" i="50"/>
  <c r="N125" i="50" s="1"/>
  <c r="N99" i="50"/>
  <c r="N119" i="50" s="1"/>
  <c r="N100" i="50"/>
  <c r="N120" i="50" s="1"/>
  <c r="N93" i="50"/>
  <c r="N113" i="50" s="1"/>
  <c r="N109" i="50"/>
  <c r="N129" i="50" s="1"/>
  <c r="N97" i="50"/>
  <c r="N117" i="50" s="1"/>
  <c r="N92" i="50"/>
  <c r="N112" i="50" s="1"/>
  <c r="N106" i="50"/>
  <c r="N126" i="50" s="1"/>
  <c r="N104" i="50"/>
  <c r="N124" i="50" s="1"/>
  <c r="N94" i="50"/>
  <c r="N114" i="50" s="1"/>
  <c r="N103" i="50"/>
  <c r="N123" i="50" s="1"/>
  <c r="N95" i="50"/>
  <c r="N115" i="50" s="1"/>
  <c r="H268" i="42"/>
  <c r="H406" i="42"/>
  <c r="U60" i="62"/>
  <c r="S60" i="62"/>
  <c r="U59" i="62"/>
  <c r="S59" i="62"/>
  <c r="H2736" i="50"/>
  <c r="H420" i="47"/>
  <c r="H3241" i="37"/>
  <c r="H277" i="49"/>
  <c r="H392" i="41"/>
  <c r="H1189" i="42"/>
  <c r="N180" i="50"/>
  <c r="N152" i="49"/>
  <c r="N181" i="50" s="1"/>
  <c r="C256" i="34"/>
  <c r="D255" i="34"/>
  <c r="O255" i="34"/>
  <c r="R255" i="34" s="1"/>
  <c r="N218" i="41"/>
  <c r="N194" i="41"/>
  <c r="N316" i="50" s="1"/>
  <c r="N193" i="41"/>
  <c r="N313" i="50"/>
  <c r="L152" i="49"/>
  <c r="L181" i="50" s="1"/>
  <c r="L180" i="50"/>
  <c r="J335" i="50"/>
  <c r="J219" i="41"/>
  <c r="J336" i="50" s="1"/>
  <c r="D151" i="62"/>
  <c r="E151" i="62" s="1"/>
  <c r="E150" i="62"/>
  <c r="H13" i="50"/>
  <c r="J180" i="50"/>
  <c r="J152" i="49"/>
  <c r="J181" i="50" s="1"/>
  <c r="H155" i="50" l="1"/>
  <c r="H107" i="49"/>
  <c r="H156" i="50" s="1"/>
  <c r="Q291" i="34"/>
  <c r="Q285" i="34"/>
  <c r="T2523" i="37"/>
  <c r="J415" i="43"/>
  <c r="T2201" i="37"/>
  <c r="O253" i="34"/>
  <c r="R253" i="34" s="1"/>
  <c r="Q275" i="34"/>
  <c r="Q280" i="34"/>
  <c r="Q295" i="34"/>
  <c r="T913" i="37"/>
  <c r="Q256" i="34"/>
  <c r="O305" i="34"/>
  <c r="R305" i="34" s="1"/>
  <c r="O254" i="34"/>
  <c r="R254" i="34" s="1"/>
  <c r="Q304" i="34"/>
  <c r="Q293" i="34"/>
  <c r="Q271" i="34"/>
  <c r="Q278" i="34"/>
  <c r="Q283" i="34"/>
  <c r="Q262" i="34"/>
  <c r="Q251" i="34"/>
  <c r="Q257" i="34"/>
  <c r="O306" i="34"/>
  <c r="R306" i="34" s="1"/>
  <c r="Q287" i="34"/>
  <c r="Q305" i="34"/>
  <c r="Q255" i="34"/>
  <c r="Q264" i="34"/>
  <c r="Q277" i="34"/>
  <c r="Q263" i="34"/>
  <c r="V11" i="43"/>
  <c r="H12" i="50" s="1"/>
  <c r="Q309" i="34"/>
  <c r="T269" i="37"/>
  <c r="Q286" i="34"/>
  <c r="Q253" i="34"/>
  <c r="Q261" i="34"/>
  <c r="Q268" i="34"/>
  <c r="O251" i="34"/>
  <c r="R251" i="34" s="1"/>
  <c r="O249" i="34"/>
  <c r="R249" i="34" s="1"/>
  <c r="Q290" i="34"/>
  <c r="R309" i="34"/>
  <c r="Q254" i="34"/>
  <c r="Q306" i="34"/>
  <c r="Q282" i="34"/>
  <c r="Q265" i="34"/>
  <c r="T591" i="37"/>
  <c r="O304" i="34"/>
  <c r="R304" i="34" s="1"/>
  <c r="Q288" i="34"/>
  <c r="Q307" i="34"/>
  <c r="Q272" i="34"/>
  <c r="H8" i="9"/>
  <c r="Q289" i="34"/>
  <c r="K415" i="43"/>
  <c r="O307" i="34"/>
  <c r="R307" i="34" s="1"/>
  <c r="Q258" i="34"/>
  <c r="Q270" i="34"/>
  <c r="Q300" i="34"/>
  <c r="T1235" i="37"/>
  <c r="Q252" i="34"/>
  <c r="Q266" i="34"/>
  <c r="Q297" i="34"/>
  <c r="Q310" i="34"/>
  <c r="Q267" i="34"/>
  <c r="Q250" i="34"/>
  <c r="Q276" i="34"/>
  <c r="Q296" i="34"/>
  <c r="Q284" i="34"/>
  <c r="Q249" i="34"/>
  <c r="Q281" i="34"/>
  <c r="T2845" i="37"/>
  <c r="Q292" i="34"/>
  <c r="Q298" i="34"/>
  <c r="O308" i="34"/>
  <c r="R308" i="34" s="1"/>
  <c r="Q273" i="34"/>
  <c r="S310" i="34"/>
  <c r="Q259" i="34"/>
  <c r="O250" i="34"/>
  <c r="R250" i="34" s="1"/>
  <c r="M415" i="43"/>
  <c r="T1879" i="37"/>
  <c r="R310" i="34"/>
  <c r="Q269" i="34"/>
  <c r="Q260" i="34"/>
  <c r="Q279" i="34"/>
  <c r="S309" i="34"/>
  <c r="N415" i="43"/>
  <c r="Q299" i="34"/>
  <c r="T1557" i="37"/>
  <c r="T3167" i="37"/>
  <c r="O252" i="34"/>
  <c r="R252" i="34" s="1"/>
  <c r="L415" i="43"/>
  <c r="Q308" i="34"/>
  <c r="Q294" i="34"/>
  <c r="N420" i="47"/>
  <c r="N277" i="49"/>
  <c r="N1189" i="42"/>
  <c r="N2736" i="50"/>
  <c r="N3241" i="37"/>
  <c r="N392" i="41"/>
  <c r="H180" i="50"/>
  <c r="C2589" i="37"/>
  <c r="C2911" i="37" s="1"/>
  <c r="Q2911" i="37" s="1"/>
  <c r="J420" i="41"/>
  <c r="H815" i="42"/>
  <c r="G494" i="42"/>
  <c r="H502" i="42" s="1"/>
  <c r="Q494" i="42"/>
  <c r="S787" i="42"/>
  <c r="Q786" i="42"/>
  <c r="Q789" i="42"/>
  <c r="S789" i="42"/>
  <c r="S777" i="42"/>
  <c r="Q790" i="42"/>
  <c r="Q784" i="42"/>
  <c r="S784" i="42"/>
  <c r="Q777" i="42"/>
  <c r="Q787" i="42"/>
  <c r="Q783" i="42"/>
  <c r="E777" i="42"/>
  <c r="Q617" i="42"/>
  <c r="G617" i="42"/>
  <c r="H625" i="42" s="1"/>
  <c r="H2348" i="50"/>
  <c r="P2359" i="50"/>
  <c r="P2330" i="50"/>
  <c r="H2390" i="50"/>
  <c r="D2368" i="50"/>
  <c r="P2343" i="50"/>
  <c r="Q2368" i="50"/>
  <c r="P2331" i="50"/>
  <c r="P2332" i="50" s="1"/>
  <c r="H2383" i="50"/>
  <c r="H2387" i="50" s="1"/>
  <c r="C2425" i="50"/>
  <c r="L2428" i="50" s="1"/>
  <c r="F2431" i="50" s="1"/>
  <c r="N2314" i="50"/>
  <c r="H2326" i="50"/>
  <c r="H2330" i="50" s="1"/>
  <c r="N2371" i="50"/>
  <c r="I2368" i="50"/>
  <c r="P2393" i="50" s="1"/>
  <c r="D31" i="62"/>
  <c r="P2318" i="50"/>
  <c r="P2339" i="50"/>
  <c r="P2341" i="50"/>
  <c r="P2336" i="50"/>
  <c r="P2357" i="50"/>
  <c r="E2314" i="50"/>
  <c r="P2356" i="50"/>
  <c r="P2322" i="50"/>
  <c r="P2340" i="50"/>
  <c r="P2342" i="50"/>
  <c r="P2348" i="50"/>
  <c r="P2317" i="50"/>
  <c r="P2333" i="50"/>
  <c r="P2358" i="50"/>
  <c r="P2363" i="50"/>
  <c r="P2361" i="50"/>
  <c r="P2349" i="50"/>
  <c r="R2311" i="50"/>
  <c r="H2314" i="50"/>
  <c r="E43" i="50"/>
  <c r="I38" i="50"/>
  <c r="I45" i="50"/>
  <c r="I40" i="50"/>
  <c r="E40" i="50"/>
  <c r="I39" i="50"/>
  <c r="H62" i="9"/>
  <c r="H14" i="50"/>
  <c r="E37" i="50"/>
  <c r="I43" i="50"/>
  <c r="L43" i="50"/>
  <c r="I44" i="50"/>
  <c r="L37" i="50"/>
  <c r="M197" i="41"/>
  <c r="M319" i="50" s="1"/>
  <c r="M316" i="50"/>
  <c r="M219" i="41"/>
  <c r="M336" i="50" s="1"/>
  <c r="M335" i="50"/>
  <c r="M228" i="41"/>
  <c r="M315" i="50"/>
  <c r="E187" i="62"/>
  <c r="J107" i="50"/>
  <c r="J127" i="50" s="1"/>
  <c r="K107" i="50"/>
  <c r="K127" i="50" s="1"/>
  <c r="L417" i="41"/>
  <c r="L416" i="41" s="1"/>
  <c r="L419" i="41" s="1"/>
  <c r="L275" i="50"/>
  <c r="K417" i="41"/>
  <c r="K275" i="50"/>
  <c r="I275" i="50"/>
  <c r="I417" i="41"/>
  <c r="K155" i="50"/>
  <c r="K107" i="49"/>
  <c r="K156" i="50" s="1"/>
  <c r="J128" i="50"/>
  <c r="M104" i="50"/>
  <c r="M124" i="50" s="1"/>
  <c r="M103" i="50"/>
  <c r="M123" i="50" s="1"/>
  <c r="M105" i="50"/>
  <c r="M125" i="50" s="1"/>
  <c r="M107" i="50"/>
  <c r="M106" i="50"/>
  <c r="M126" i="50" s="1"/>
  <c r="M108" i="50"/>
  <c r="Q1004" i="42"/>
  <c r="E990" i="42"/>
  <c r="Q1006" i="42"/>
  <c r="Q999" i="42"/>
  <c r="Q998" i="42"/>
  <c r="Q1001" i="42"/>
  <c r="Q1007" i="42"/>
  <c r="S1036" i="42"/>
  <c r="L103" i="50"/>
  <c r="L123" i="50" s="1"/>
  <c r="L105" i="50"/>
  <c r="L125" i="50" s="1"/>
  <c r="L104" i="50"/>
  <c r="L124" i="50" s="1"/>
  <c r="L106" i="50"/>
  <c r="L126" i="50" s="1"/>
  <c r="L108" i="50"/>
  <c r="L107" i="50"/>
  <c r="I1083" i="42"/>
  <c r="Q1083" i="42"/>
  <c r="R1084" i="42" s="1"/>
  <c r="Q2589" i="37"/>
  <c r="L219" i="41"/>
  <c r="L336" i="50" s="1"/>
  <c r="L335" i="50"/>
  <c r="C1461" i="50"/>
  <c r="D1297" i="50"/>
  <c r="Q1297" i="50"/>
  <c r="N127" i="50"/>
  <c r="N284" i="49"/>
  <c r="I155" i="50"/>
  <c r="I107" i="49"/>
  <c r="I156" i="50" s="1"/>
  <c r="N285" i="49"/>
  <c r="N128" i="50"/>
  <c r="L107" i="49"/>
  <c r="L156" i="50" s="1"/>
  <c r="L155" i="50"/>
  <c r="M155" i="50"/>
  <c r="M107" i="49"/>
  <c r="M156" i="50" s="1"/>
  <c r="K128" i="50"/>
  <c r="D256" i="34"/>
  <c r="C257" i="34"/>
  <c r="O256" i="34"/>
  <c r="R256" i="34" s="1"/>
  <c r="N228" i="41"/>
  <c r="N315" i="50"/>
  <c r="N219" i="41"/>
  <c r="N336" i="50" s="1"/>
  <c r="N335" i="50"/>
  <c r="N197" i="41"/>
  <c r="N319" i="50" s="1"/>
  <c r="L2737" i="50" l="1"/>
  <c r="L3242" i="37"/>
  <c r="L278" i="49"/>
  <c r="L421" i="47"/>
  <c r="L393" i="41"/>
  <c r="L1190" i="42"/>
  <c r="L418" i="43"/>
  <c r="M2737" i="50"/>
  <c r="M3242" i="37"/>
  <c r="M421" i="47"/>
  <c r="M278" i="49"/>
  <c r="M393" i="41"/>
  <c r="M418" i="43"/>
  <c r="M1190" i="42"/>
  <c r="J3242" i="37"/>
  <c r="J421" i="47"/>
  <c r="J278" i="49"/>
  <c r="I415" i="43"/>
  <c r="J393" i="41"/>
  <c r="J418" i="43"/>
  <c r="J1190" i="42"/>
  <c r="J2737" i="50"/>
  <c r="N3242" i="37"/>
  <c r="N393" i="41"/>
  <c r="N421" i="47"/>
  <c r="N278" i="49"/>
  <c r="N1190" i="42"/>
  <c r="N418" i="43"/>
  <c r="N2737" i="50"/>
  <c r="K418" i="43"/>
  <c r="K278" i="49"/>
  <c r="K2737" i="50"/>
  <c r="K421" i="47"/>
  <c r="K1190" i="42"/>
  <c r="K3242" i="37"/>
  <c r="K393" i="41"/>
  <c r="H505" i="42"/>
  <c r="H511" i="42"/>
  <c r="H628" i="42"/>
  <c r="H764" i="42"/>
  <c r="H2371" i="50"/>
  <c r="P2415" i="50"/>
  <c r="I2425" i="50"/>
  <c r="P2449" i="50" s="1"/>
  <c r="R2368" i="50"/>
  <c r="P2418" i="50"/>
  <c r="P2396" i="50"/>
  <c r="D2425" i="50"/>
  <c r="P2374" i="50"/>
  <c r="P2398" i="50"/>
  <c r="P2413" i="50"/>
  <c r="P2400" i="50"/>
  <c r="P2375" i="50"/>
  <c r="P2379" i="50"/>
  <c r="C2464" i="50"/>
  <c r="L2467" i="50" s="1"/>
  <c r="F2470" i="50" s="1"/>
  <c r="Q2425" i="50"/>
  <c r="P2405" i="50"/>
  <c r="P2388" i="50"/>
  <c r="P2389" i="50" s="1"/>
  <c r="P2421" i="50"/>
  <c r="P2397" i="50"/>
  <c r="P2406" i="50"/>
  <c r="P2416" i="50"/>
  <c r="P2420" i="50"/>
  <c r="P2399" i="50"/>
  <c r="P2414" i="50"/>
  <c r="E2371" i="50"/>
  <c r="P2387" i="50"/>
  <c r="P2390" i="50"/>
  <c r="D32" i="62"/>
  <c r="M246" i="41"/>
  <c r="M245" i="41"/>
  <c r="M343" i="50"/>
  <c r="M244" i="41"/>
  <c r="E188" i="62"/>
  <c r="H2454" i="50"/>
  <c r="H2446" i="50"/>
  <c r="N2428" i="50"/>
  <c r="H2439" i="50"/>
  <c r="H2443" i="50" s="1"/>
  <c r="L420" i="41"/>
  <c r="K416" i="41"/>
  <c r="K419" i="41" s="1"/>
  <c r="I416" i="41"/>
  <c r="I419" i="41" s="1"/>
  <c r="L284" i="49"/>
  <c r="L127" i="50"/>
  <c r="S1136" i="42"/>
  <c r="Q1106" i="42"/>
  <c r="Q1099" i="42"/>
  <c r="E1090" i="42"/>
  <c r="Q1107" i="42"/>
  <c r="Q1098" i="42"/>
  <c r="Q1101" i="42"/>
  <c r="Q1104" i="42"/>
  <c r="L128" i="50"/>
  <c r="L285" i="49"/>
  <c r="M127" i="50"/>
  <c r="M284" i="49"/>
  <c r="Q990" i="42"/>
  <c r="G990" i="42"/>
  <c r="H998" i="42" s="1"/>
  <c r="M128" i="50"/>
  <c r="M285" i="49"/>
  <c r="C1625" i="50"/>
  <c r="D1461" i="50"/>
  <c r="Q1461" i="50"/>
  <c r="N244" i="41"/>
  <c r="N343" i="50"/>
  <c r="N246" i="41"/>
  <c r="N245" i="41"/>
  <c r="D257" i="34"/>
  <c r="C258" i="34"/>
  <c r="O257" i="34"/>
  <c r="R257" i="34" s="1"/>
  <c r="L424" i="47" l="1"/>
  <c r="L3245" i="37"/>
  <c r="L281" i="49"/>
  <c r="N20" i="37"/>
  <c r="N2421" i="37"/>
  <c r="Z2421" i="37" s="1"/>
  <c r="N2176" i="37"/>
  <c r="N2542" i="37"/>
  <c r="Z2544" i="37" s="1"/>
  <c r="N1934" i="37"/>
  <c r="N1199" i="37"/>
  <c r="Z1199" i="37" s="1"/>
  <c r="N2864" i="37"/>
  <c r="Z2866" i="37" s="1"/>
  <c r="N2002" i="37"/>
  <c r="Z2005" i="37" s="1"/>
  <c r="N2805" i="37"/>
  <c r="N1195" i="37"/>
  <c r="N1888" i="37"/>
  <c r="Z1891" i="37" s="1"/>
  <c r="N869" i="37"/>
  <c r="Z869" i="37" s="1"/>
  <c r="N306" i="37"/>
  <c r="Z306" i="37" s="1"/>
  <c r="N968" i="37"/>
  <c r="N3218" i="37"/>
  <c r="N1873" i="37"/>
  <c r="N3151" i="37"/>
  <c r="N555" i="37"/>
  <c r="Z555" i="37" s="1"/>
  <c r="N362" i="37"/>
  <c r="Z365" i="37" s="1"/>
  <c r="N2252" i="37"/>
  <c r="N733" i="37"/>
  <c r="Z733" i="37" s="1"/>
  <c r="N1141" i="37"/>
  <c r="N1705" i="37"/>
  <c r="Z1708" i="37" s="1"/>
  <c r="N356" i="37"/>
  <c r="Z356" i="37" s="1"/>
  <c r="N708" i="37"/>
  <c r="Z708" i="37" s="1"/>
  <c r="N3195" i="37"/>
  <c r="Z3198" i="37" s="1"/>
  <c r="N3065" i="37"/>
  <c r="Z3065" i="37" s="1"/>
  <c r="N610" i="37"/>
  <c r="Z612" i="37" s="1"/>
  <c r="N2165" i="37"/>
  <c r="Z2165" i="37" s="1"/>
  <c r="N2274" i="37"/>
  <c r="Z2274" i="37" s="1"/>
  <c r="N190" i="37"/>
  <c r="Z194" i="37" s="1"/>
  <c r="N2349" i="37"/>
  <c r="Z2352" i="37" s="1"/>
  <c r="N2204" i="37"/>
  <c r="Z2204" i="37" s="1"/>
  <c r="N1055" i="37"/>
  <c r="Z1055" i="37" s="1"/>
  <c r="N964" i="37"/>
  <c r="N907" i="37"/>
  <c r="N1907" i="37"/>
  <c r="Z1910" i="37" s="1"/>
  <c r="N1517" i="37"/>
  <c r="N417" i="37"/>
  <c r="Z420" i="37" s="1"/>
  <c r="N1777" i="37"/>
  <c r="Z1777" i="37" s="1"/>
  <c r="N1455" i="37"/>
  <c r="Z1455" i="37" s="1"/>
  <c r="N1513" i="37"/>
  <c r="Z1513" i="37" s="1"/>
  <c r="N386" i="37"/>
  <c r="Z386" i="37" s="1"/>
  <c r="N233" i="37"/>
  <c r="Z233" i="37" s="1"/>
  <c r="N2918" i="37"/>
  <c r="Z2918" i="37" s="1"/>
  <c r="N1839" i="37"/>
  <c r="N1182" i="37"/>
  <c r="Z1182" i="37" s="1"/>
  <c r="N2640" i="37"/>
  <c r="Z2640" i="37" s="1"/>
  <c r="N1061" i="37"/>
  <c r="Z1064" i="37" s="1"/>
  <c r="N2122" i="37"/>
  <c r="Z2126" i="37" s="1"/>
  <c r="N1263" i="37"/>
  <c r="Z1266" i="37" s="1"/>
  <c r="N3204" i="37"/>
  <c r="Z3204" i="37" s="1"/>
  <c r="N1000" i="37"/>
  <c r="Z1000" i="37" s="1"/>
  <c r="N2551" i="37"/>
  <c r="Z2554" i="37" s="1"/>
  <c r="N3123" i="37"/>
  <c r="Z3123" i="37" s="1"/>
  <c r="N497" i="37"/>
  <c r="N3248" i="37"/>
  <c r="N3073" i="37"/>
  <c r="N112" i="37"/>
  <c r="N585" i="37"/>
  <c r="N642" i="37"/>
  <c r="N986" i="37"/>
  <c r="Z986" i="37" s="1"/>
  <c r="N678" i="37"/>
  <c r="Z678" i="37" s="1"/>
  <c r="N888" i="37"/>
  <c r="N628" i="37"/>
  <c r="Z628" i="37" s="1"/>
  <c r="N2938" i="37"/>
  <c r="Z2941" i="37" s="1"/>
  <c r="N1854" i="37"/>
  <c r="N2526" i="37"/>
  <c r="Z2526" i="37" s="1"/>
  <c r="N2896" i="37"/>
  <c r="N3176" i="37"/>
  <c r="Z3179" i="37" s="1"/>
  <c r="N1612" i="37"/>
  <c r="N3114" i="37"/>
  <c r="Z3114" i="37" s="1"/>
  <c r="N1898" i="37"/>
  <c r="Z1900" i="37" s="1"/>
  <c r="N1383" i="37"/>
  <c r="Z1386" i="37" s="1"/>
  <c r="N2766" i="37"/>
  <c r="Z2770" i="37" s="1"/>
  <c r="N2444" i="37"/>
  <c r="Z2448" i="37" s="1"/>
  <c r="N897" i="37"/>
  <c r="N664" i="37"/>
  <c r="Z664" i="37" s="1"/>
  <c r="N2932" i="37"/>
  <c r="Z2932" i="37" s="1"/>
  <c r="N2646" i="37"/>
  <c r="Z2649" i="37" s="1"/>
  <c r="N922" i="37"/>
  <c r="Z925" i="37" s="1"/>
  <c r="N2848" i="37"/>
  <c r="Z2848" i="37" s="1"/>
  <c r="N1835" i="37"/>
  <c r="Z1835" i="37" s="1"/>
  <c r="N2185" i="37"/>
  <c r="N1551" i="37"/>
  <c r="N3186" i="37"/>
  <c r="Z3188" i="37" s="1"/>
  <c r="N202" i="37"/>
  <c r="Z206" i="37" s="1"/>
  <c r="N1785" i="37"/>
  <c r="N2210" i="37"/>
  <c r="Z2213" i="37" s="1"/>
  <c r="N1674" i="37"/>
  <c r="Z1674" i="37" s="1"/>
  <c r="N2900" i="37"/>
  <c r="N392" i="37"/>
  <c r="Z395" i="37" s="1"/>
  <c r="N167" i="37"/>
  <c r="Z167" i="37" s="1"/>
  <c r="N3131" i="37"/>
  <c r="Z3131" i="37" s="1"/>
  <c r="N524" i="37"/>
  <c r="Z528" i="37" s="1"/>
  <c r="N244" i="37"/>
  <c r="N2751" i="37"/>
  <c r="N2099" i="37"/>
  <c r="Z2099" i="37" s="1"/>
  <c r="N216" i="37"/>
  <c r="Z216" i="37" s="1"/>
  <c r="N2574" i="37"/>
  <c r="N1972" i="37"/>
  <c r="Z1975" i="37" s="1"/>
  <c r="N1322" i="37"/>
  <c r="Z1322" i="37" s="1"/>
  <c r="N2343" i="37"/>
  <c r="Z2343" i="37" s="1"/>
  <c r="N1594" i="37"/>
  <c r="Z1594" i="37" s="1"/>
  <c r="N2479" i="37"/>
  <c r="Z2479" i="37" s="1"/>
  <c r="N551" i="37"/>
  <c r="N1541" i="37"/>
  <c r="N278" i="37"/>
  <c r="Z281" i="37" s="1"/>
  <c r="N2665" i="37"/>
  <c r="Z2665" i="37" s="1"/>
  <c r="N941" i="37"/>
  <c r="Z944" i="37" s="1"/>
  <c r="N1680" i="37"/>
  <c r="Z1683" i="37" s="1"/>
  <c r="N1863" i="37"/>
  <c r="N594" i="37"/>
  <c r="Z594" i="37" s="1"/>
  <c r="N1030" i="37"/>
  <c r="Z1030" i="37" s="1"/>
  <c r="N1036" i="37"/>
  <c r="Z1039" i="37" s="1"/>
  <c r="N3127" i="37"/>
  <c r="N2318" i="37"/>
  <c r="Z2318" i="37" s="1"/>
  <c r="N1644" i="37"/>
  <c r="Z1644" i="37" s="1"/>
  <c r="N1504" i="37"/>
  <c r="Z1504" i="37" s="1"/>
  <c r="N2610" i="37"/>
  <c r="Z2610" i="37" s="1"/>
  <c r="N1996" i="37"/>
  <c r="Z1996" i="37" s="1"/>
  <c r="N2195" i="37"/>
  <c r="N3100" i="37"/>
  <c r="Z3104" i="37" s="1"/>
  <c r="N229" i="37"/>
  <c r="N1930" i="37"/>
  <c r="N2882" i="37"/>
  <c r="Z2882" i="37" s="1"/>
  <c r="N2498" i="37"/>
  <c r="N2517" i="37"/>
  <c r="N2801" i="37"/>
  <c r="Z2801" i="37" s="1"/>
  <c r="N575" i="37"/>
  <c r="N324" i="37"/>
  <c r="N2324" i="37"/>
  <c r="Z2327" i="37" s="1"/>
  <c r="N1585" i="37"/>
  <c r="Z1588" i="37" s="1"/>
  <c r="N2839" i="37"/>
  <c r="N1800" i="37"/>
  <c r="Z1804" i="37" s="1"/>
  <c r="N877" i="37"/>
  <c r="Z877" i="37" s="1"/>
  <c r="N2294" i="37"/>
  <c r="Z2297" i="37" s="1"/>
  <c r="N489" i="37"/>
  <c r="Z489" i="37" s="1"/>
  <c r="N2161" i="37"/>
  <c r="N684" i="37"/>
  <c r="Z687" i="37" s="1"/>
  <c r="N1377" i="37"/>
  <c r="Z1377" i="37" s="1"/>
  <c r="N297" i="37"/>
  <c r="Z300" i="37" s="1"/>
  <c r="N1290" i="37"/>
  <c r="N1352" i="37"/>
  <c r="Z1352" i="37" s="1"/>
  <c r="N1286" i="37"/>
  <c r="N512" i="37"/>
  <c r="Z516" i="37" s="1"/>
  <c r="N1812" i="37"/>
  <c r="Z1816" i="37" s="1"/>
  <c r="N1650" i="37"/>
  <c r="Z1653" i="37" s="1"/>
  <c r="N3088" i="37"/>
  <c r="Z3092" i="37" s="1"/>
  <c r="N2671" i="37"/>
  <c r="Z2674" i="37" s="1"/>
  <c r="N1521" i="37"/>
  <c r="Z1521" i="37" s="1"/>
  <c r="N646" i="37"/>
  <c r="N1699" i="37"/>
  <c r="Z1699" i="37" s="1"/>
  <c r="N739" i="37"/>
  <c r="Z742" i="37" s="1"/>
  <c r="N1490" i="37"/>
  <c r="Z1494" i="37" s="1"/>
  <c r="N70" i="37"/>
  <c r="Z73" i="37" s="1"/>
  <c r="N320" i="37"/>
  <c r="N3253" i="37"/>
  <c r="N263" i="37"/>
  <c r="N2873" i="37"/>
  <c r="Z2876" i="37" s="1"/>
  <c r="N1358" i="37"/>
  <c r="Z1361" i="37" s="1"/>
  <c r="N2021" i="37"/>
  <c r="Z2021" i="37" s="1"/>
  <c r="N860" i="37"/>
  <c r="Z860" i="37" s="1"/>
  <c r="N2429" i="37"/>
  <c r="N1156" i="37"/>
  <c r="Z1160" i="37" s="1"/>
  <c r="N2157" i="37"/>
  <c r="Z2157" i="37" s="1"/>
  <c r="N1191" i="37"/>
  <c r="Z1191" i="37" s="1"/>
  <c r="N89" i="37"/>
  <c r="Z89" i="37" s="1"/>
  <c r="N1826" i="37"/>
  <c r="Z1826" i="37" s="1"/>
  <c r="N2256" i="37"/>
  <c r="N95" i="37"/>
  <c r="Z98" i="37" s="1"/>
  <c r="N834" i="37"/>
  <c r="Z838" i="37" s="1"/>
  <c r="N1560" i="37"/>
  <c r="Z1560" i="37" s="1"/>
  <c r="N3161" i="37"/>
  <c r="N1478" i="37"/>
  <c r="Z1482" i="37" s="1"/>
  <c r="N1916" i="37"/>
  <c r="Z1916" i="37" s="1"/>
  <c r="N1238" i="37"/>
  <c r="Z1238" i="37" s="1"/>
  <c r="N1966" i="37"/>
  <c r="Z1966" i="37" s="1"/>
  <c r="N547" i="37"/>
  <c r="Z547" i="37" s="1"/>
  <c r="N2596" i="37"/>
  <c r="Z2596" i="37" s="1"/>
  <c r="N1308" i="37"/>
  <c r="Z1308" i="37" s="1"/>
  <c r="N1630" i="37"/>
  <c r="Z1630" i="37" s="1"/>
  <c r="N2778" i="37"/>
  <c r="Z2782" i="37" s="1"/>
  <c r="N253" i="37"/>
  <c r="N1219" i="37"/>
  <c r="N2987" i="37"/>
  <c r="Z2987" i="37" s="1"/>
  <c r="N819" i="37"/>
  <c r="N1272" i="37"/>
  <c r="Z1272" i="37" s="1"/>
  <c r="N2820" i="37"/>
  <c r="N2578" i="37"/>
  <c r="N1532" i="37"/>
  <c r="N175" i="37"/>
  <c r="N950" i="37"/>
  <c r="Z950" i="37" s="1"/>
  <c r="N1244" i="37"/>
  <c r="Z1247" i="37" s="1"/>
  <c r="N2968" i="37"/>
  <c r="Z2971" i="37" s="1"/>
  <c r="N714" i="37"/>
  <c r="Z717" i="37" s="1"/>
  <c r="N2456" i="37"/>
  <c r="Z2460" i="37" s="1"/>
  <c r="N2507" i="37"/>
  <c r="N2532" i="37"/>
  <c r="Z2535" i="37" s="1"/>
  <c r="N1882" i="37"/>
  <c r="Z1882" i="37" s="1"/>
  <c r="N1168" i="37"/>
  <c r="Z1172" i="37" s="1"/>
  <c r="N932" i="37"/>
  <c r="Z934" i="37" s="1"/>
  <c r="N2220" i="37"/>
  <c r="Z2222" i="37" s="1"/>
  <c r="N2238" i="37"/>
  <c r="Z2238" i="37" s="1"/>
  <c r="N538" i="37"/>
  <c r="Z538" i="37" s="1"/>
  <c r="N272" i="37"/>
  <c r="Z272" i="37" s="1"/>
  <c r="N2854" i="37"/>
  <c r="Z2857" i="37" s="1"/>
  <c r="N2743" i="37"/>
  <c r="Z2743" i="37" s="1"/>
  <c r="N3142" i="37"/>
  <c r="N2470" i="37"/>
  <c r="Z2470" i="37" s="1"/>
  <c r="N2483" i="37"/>
  <c r="N34" i="37"/>
  <c r="Z34" i="37" s="1"/>
  <c r="N2993" i="37"/>
  <c r="Z2996" i="37" s="1"/>
  <c r="N2792" i="37"/>
  <c r="Z2792" i="37" s="1"/>
  <c r="N2487" i="37"/>
  <c r="Z2487" i="37" s="1"/>
  <c r="N3170" i="37"/>
  <c r="Z3170" i="37" s="1"/>
  <c r="N600" i="37"/>
  <c r="Z603" i="37" s="1"/>
  <c r="N1952" i="37"/>
  <c r="Z1952" i="37" s="1"/>
  <c r="N2809" i="37"/>
  <c r="Z2809" i="37" s="1"/>
  <c r="N2229" i="37"/>
  <c r="Z2232" i="37" s="1"/>
  <c r="N619" i="37"/>
  <c r="Z622" i="37" s="1"/>
  <c r="N1210" i="37"/>
  <c r="N846" i="37"/>
  <c r="Z850" i="37" s="1"/>
  <c r="N2288" i="37"/>
  <c r="Z2288" i="37" s="1"/>
  <c r="N1133" i="37"/>
  <c r="Z1133" i="37" s="1"/>
  <c r="N2560" i="37"/>
  <c r="Z2560" i="37" s="1"/>
  <c r="N3222" i="37"/>
  <c r="N1006" i="37"/>
  <c r="Z1009" i="37" s="1"/>
  <c r="N342" i="37"/>
  <c r="Z342" i="37" s="1"/>
  <c r="N566" i="37"/>
  <c r="N40" i="37"/>
  <c r="Z43" i="37" s="1"/>
  <c r="N1254" i="37"/>
  <c r="Z1256" i="37" s="1"/>
  <c r="N2134" i="37"/>
  <c r="Z2138" i="37" s="1"/>
  <c r="N1229" i="37"/>
  <c r="N2962" i="37"/>
  <c r="Z2962" i="37" s="1"/>
  <c r="N2829" i="37"/>
  <c r="N2616" i="37"/>
  <c r="Z2619" i="37" s="1"/>
  <c r="N1608" i="37"/>
  <c r="N411" i="37"/>
  <c r="Z411" i="37" s="1"/>
  <c r="N916" i="37"/>
  <c r="Z916" i="37" s="1"/>
  <c r="N2148" i="37"/>
  <c r="Z2148" i="37" s="1"/>
  <c r="N1576" i="37"/>
  <c r="Z1578" i="37" s="1"/>
  <c r="N2107" i="37"/>
  <c r="N64" i="37"/>
  <c r="Z64" i="37" s="1"/>
  <c r="N873" i="37"/>
  <c r="N225" i="37"/>
  <c r="Z225" i="37" s="1"/>
  <c r="N1843" i="37"/>
  <c r="Z1843" i="37" s="1"/>
  <c r="N1328" i="37"/>
  <c r="Z1331" i="37" s="1"/>
  <c r="N1463" i="37"/>
  <c r="N811" i="37"/>
  <c r="Z811" i="37" s="1"/>
  <c r="N2027" i="37"/>
  <c r="Z2030" i="37" s="1"/>
  <c r="N1566" i="37"/>
  <c r="Z1569" i="37" s="1"/>
  <c r="N288" i="37"/>
  <c r="Z290" i="37" s="1"/>
  <c r="K247" i="49"/>
  <c r="K242" i="49"/>
  <c r="K135" i="49"/>
  <c r="K150" i="49"/>
  <c r="K56" i="49"/>
  <c r="K251" i="49"/>
  <c r="U251" i="49" s="1"/>
  <c r="K266" i="49"/>
  <c r="K237" i="49"/>
  <c r="K99" i="49"/>
  <c r="K91" i="49"/>
  <c r="K122" i="49"/>
  <c r="K20" i="49"/>
  <c r="AE20" i="49" s="1"/>
  <c r="K105" i="49"/>
  <c r="V20" i="49"/>
  <c r="K127" i="49"/>
  <c r="K82" i="49"/>
  <c r="K261" i="49"/>
  <c r="K140" i="49"/>
  <c r="K218" i="49"/>
  <c r="K114" i="49"/>
  <c r="K118" i="49"/>
  <c r="K202" i="49"/>
  <c r="U202" i="49" s="1"/>
  <c r="K61" i="49"/>
  <c r="K34" i="49"/>
  <c r="K211" i="49"/>
  <c r="K145" i="49"/>
  <c r="K66" i="49"/>
  <c r="K197" i="49"/>
  <c r="K190" i="49"/>
  <c r="K72" i="49"/>
  <c r="K184" i="49"/>
  <c r="J20" i="37"/>
  <c r="J386" i="37"/>
  <c r="V386" i="37" s="1"/>
  <c r="J392" i="37"/>
  <c r="V395" i="37" s="1"/>
  <c r="J2134" i="37"/>
  <c r="V2138" i="37" s="1"/>
  <c r="J3186" i="37"/>
  <c r="V3188" i="37" s="1"/>
  <c r="J2294" i="37"/>
  <c r="V2297" i="37" s="1"/>
  <c r="J1566" i="37"/>
  <c r="V1569" i="37" s="1"/>
  <c r="J2560" i="37"/>
  <c r="V2560" i="37" s="1"/>
  <c r="J575" i="37"/>
  <c r="J1898" i="37"/>
  <c r="V1900" i="37" s="1"/>
  <c r="J3131" i="37"/>
  <c r="V3131" i="37" s="1"/>
  <c r="J1455" i="37"/>
  <c r="V1455" i="37" s="1"/>
  <c r="J1272" i="37"/>
  <c r="V1272" i="37" s="1"/>
  <c r="J1560" i="37"/>
  <c r="V1560" i="37" s="1"/>
  <c r="J3253" i="37"/>
  <c r="J306" i="37"/>
  <c r="V306" i="37" s="1"/>
  <c r="J869" i="37"/>
  <c r="V869" i="37" s="1"/>
  <c r="J112" i="37"/>
  <c r="J233" i="37"/>
  <c r="V233" i="37" s="1"/>
  <c r="J968" i="37"/>
  <c r="J225" i="37"/>
  <c r="V225" i="37" s="1"/>
  <c r="J2854" i="37"/>
  <c r="V2857" i="37" s="1"/>
  <c r="J2429" i="37"/>
  <c r="J167" i="37"/>
  <c r="V167" i="37" s="1"/>
  <c r="J2274" i="37"/>
  <c r="V2274" i="37" s="1"/>
  <c r="J1133" i="37"/>
  <c r="V1133" i="37" s="1"/>
  <c r="J411" i="37"/>
  <c r="V411" i="37" s="1"/>
  <c r="J1650" i="37"/>
  <c r="V1653" i="37" s="1"/>
  <c r="J1674" i="37"/>
  <c r="V1674" i="37" s="1"/>
  <c r="J1383" i="37"/>
  <c r="V1386" i="37" s="1"/>
  <c r="J2896" i="37"/>
  <c r="J642" i="37"/>
  <c r="J1594" i="37"/>
  <c r="V1594" i="37" s="1"/>
  <c r="J2526" i="37"/>
  <c r="V2526" i="37" s="1"/>
  <c r="J2665" i="37"/>
  <c r="V2665" i="37" s="1"/>
  <c r="J497" i="37"/>
  <c r="J1358" i="37"/>
  <c r="V1361" i="37" s="1"/>
  <c r="J2107" i="37"/>
  <c r="J566" i="37"/>
  <c r="J555" i="37"/>
  <c r="V555" i="37" s="1"/>
  <c r="J2873" i="37"/>
  <c r="V2876" i="37" s="1"/>
  <c r="J2122" i="37"/>
  <c r="V2126" i="37" s="1"/>
  <c r="J2220" i="37"/>
  <c r="V2222" i="37" s="1"/>
  <c r="J324" i="37"/>
  <c r="J2470" i="37"/>
  <c r="V2470" i="37" s="1"/>
  <c r="J2938" i="37"/>
  <c r="V2941" i="37" s="1"/>
  <c r="J1254" i="37"/>
  <c r="V1256" i="37" s="1"/>
  <c r="J1199" i="37"/>
  <c r="V1199" i="37" s="1"/>
  <c r="J64" i="37"/>
  <c r="V64" i="37" s="1"/>
  <c r="J986" i="37"/>
  <c r="V986" i="37" s="1"/>
  <c r="J1463" i="37"/>
  <c r="J1843" i="37"/>
  <c r="V1843" i="37" s="1"/>
  <c r="J3176" i="37"/>
  <c r="V3179" i="37" s="1"/>
  <c r="J95" i="37"/>
  <c r="V98" i="37" s="1"/>
  <c r="J2195" i="37"/>
  <c r="J2574" i="37"/>
  <c r="J244" i="37"/>
  <c r="J1576" i="37"/>
  <c r="V1578" i="37" s="1"/>
  <c r="J1377" i="37"/>
  <c r="V1377" i="37" s="1"/>
  <c r="J2932" i="37"/>
  <c r="V2932" i="37" s="1"/>
  <c r="J922" i="37"/>
  <c r="V925" i="37" s="1"/>
  <c r="J342" i="37"/>
  <c r="V342" i="37" s="1"/>
  <c r="J2616" i="37"/>
  <c r="V2619" i="37" s="1"/>
  <c r="J1888" i="37"/>
  <c r="V1891" i="37" s="1"/>
  <c r="J1156" i="37"/>
  <c r="V1160" i="37" s="1"/>
  <c r="J2640" i="37"/>
  <c r="V2640" i="37" s="1"/>
  <c r="J3065" i="37"/>
  <c r="V3065" i="37" s="1"/>
  <c r="J877" i="37"/>
  <c r="V877" i="37" s="1"/>
  <c r="J1680" i="37"/>
  <c r="V1683" i="37" s="1"/>
  <c r="J2918" i="37"/>
  <c r="V2918" i="37" s="1"/>
  <c r="J1916" i="37"/>
  <c r="V1916" i="37" s="1"/>
  <c r="J253" i="37"/>
  <c r="J3127" i="37"/>
  <c r="J1061" i="37"/>
  <c r="V1064" i="37" s="1"/>
  <c r="J2882" i="37"/>
  <c r="V2882" i="37" s="1"/>
  <c r="J1308" i="37"/>
  <c r="V1308" i="37" s="1"/>
  <c r="J489" i="37"/>
  <c r="V489" i="37" s="1"/>
  <c r="J202" i="37"/>
  <c r="V206" i="37" s="1"/>
  <c r="J3218" i="37"/>
  <c r="J1352" i="37"/>
  <c r="V1352" i="37" s="1"/>
  <c r="J2864" i="37"/>
  <c r="V2866" i="37" s="1"/>
  <c r="J1195" i="37"/>
  <c r="J2778" i="37"/>
  <c r="V2782" i="37" s="1"/>
  <c r="J2002" i="37"/>
  <c r="V2005" i="37" s="1"/>
  <c r="J1630" i="37"/>
  <c r="V1630" i="37" s="1"/>
  <c r="J1863" i="37"/>
  <c r="J2157" i="37"/>
  <c r="V2157" i="37" s="1"/>
  <c r="J3161" i="37"/>
  <c r="J3088" i="37"/>
  <c r="V3092" i="37" s="1"/>
  <c r="J1854" i="37"/>
  <c r="J2185" i="37"/>
  <c r="J708" i="37"/>
  <c r="V708" i="37" s="1"/>
  <c r="J512" i="37"/>
  <c r="V516" i="37" s="1"/>
  <c r="J1952" i="37"/>
  <c r="V1952" i="37" s="1"/>
  <c r="J2027" i="37"/>
  <c r="V2030" i="37" s="1"/>
  <c r="J2099" i="37"/>
  <c r="V2099" i="37" s="1"/>
  <c r="J2210" i="37"/>
  <c r="V2213" i="37" s="1"/>
  <c r="J1244" i="37"/>
  <c r="V1247" i="37" s="1"/>
  <c r="J964" i="37"/>
  <c r="J1966" i="37"/>
  <c r="V1966" i="37" s="1"/>
  <c r="J1785" i="37"/>
  <c r="J3114" i="37"/>
  <c r="V3114" i="37" s="1"/>
  <c r="J916" i="37"/>
  <c r="V916" i="37" s="1"/>
  <c r="J2238" i="37"/>
  <c r="V2238" i="37" s="1"/>
  <c r="J846" i="37"/>
  <c r="V850" i="37" s="1"/>
  <c r="J3248" i="37"/>
  <c r="J1934" i="37"/>
  <c r="J585" i="37"/>
  <c r="J1930" i="37"/>
  <c r="J2532" i="37"/>
  <c r="V2535" i="37" s="1"/>
  <c r="J714" i="37"/>
  <c r="V717" i="37" s="1"/>
  <c r="J1551" i="37"/>
  <c r="J1030" i="37"/>
  <c r="V1030" i="37" s="1"/>
  <c r="J897" i="37"/>
  <c r="J547" i="37"/>
  <c r="V547" i="37" s="1"/>
  <c r="J646" i="37"/>
  <c r="J2743" i="37"/>
  <c r="V2743" i="37" s="1"/>
  <c r="J2962" i="37"/>
  <c r="V2962" i="37" s="1"/>
  <c r="J1478" i="37"/>
  <c r="V1482" i="37" s="1"/>
  <c r="J3123" i="37"/>
  <c r="V3123" i="37" s="1"/>
  <c r="J628" i="37"/>
  <c r="V628" i="37" s="1"/>
  <c r="J1219" i="37"/>
  <c r="J1238" i="37"/>
  <c r="V1238" i="37" s="1"/>
  <c r="J2456" i="37"/>
  <c r="V2460" i="37" s="1"/>
  <c r="J1705" i="37"/>
  <c r="V1708" i="37" s="1"/>
  <c r="J2551" i="37"/>
  <c r="V2554" i="37" s="1"/>
  <c r="J2993" i="37"/>
  <c r="V2996" i="37" s="1"/>
  <c r="J175" i="37"/>
  <c r="J263" i="37"/>
  <c r="J551" i="37"/>
  <c r="J1000" i="37"/>
  <c r="V1000" i="37" s="1"/>
  <c r="J1541" i="37"/>
  <c r="J1513" i="37"/>
  <c r="V1513" i="37" s="1"/>
  <c r="J3151" i="37"/>
  <c r="J873" i="37"/>
  <c r="J2820" i="37"/>
  <c r="J2229" i="37"/>
  <c r="V2232" i="37" s="1"/>
  <c r="J811" i="37"/>
  <c r="V811" i="37" s="1"/>
  <c r="J2646" i="37"/>
  <c r="V2649" i="37" s="1"/>
  <c r="J1585" i="37"/>
  <c r="V1588" i="37" s="1"/>
  <c r="J2483" i="37"/>
  <c r="J1517" i="37"/>
  <c r="J3204" i="37"/>
  <c r="V3204" i="37" s="1"/>
  <c r="J297" i="37"/>
  <c r="V300" i="37" s="1"/>
  <c r="J1826" i="37"/>
  <c r="V1826" i="37" s="1"/>
  <c r="J2349" i="37"/>
  <c r="V2352" i="37" s="1"/>
  <c r="J3100" i="37"/>
  <c r="V3104" i="37" s="1"/>
  <c r="J2204" i="37"/>
  <c r="V2204" i="37" s="1"/>
  <c r="J819" i="37"/>
  <c r="J1191" i="37"/>
  <c r="V1191" i="37" s="1"/>
  <c r="J2542" i="37"/>
  <c r="V2544" i="37" s="1"/>
  <c r="J2487" i="37"/>
  <c r="V2487" i="37" s="1"/>
  <c r="J941" i="37"/>
  <c r="V944" i="37" s="1"/>
  <c r="J2161" i="37"/>
  <c r="J2498" i="37"/>
  <c r="J89" i="37"/>
  <c r="V89" i="37" s="1"/>
  <c r="J2848" i="37"/>
  <c r="V2848" i="37" s="1"/>
  <c r="J1322" i="37"/>
  <c r="V1322" i="37" s="1"/>
  <c r="J1800" i="37"/>
  <c r="V1804" i="37" s="1"/>
  <c r="J1210" i="37"/>
  <c r="J1263" i="37"/>
  <c r="V1266" i="37" s="1"/>
  <c r="J684" i="37"/>
  <c r="V687" i="37" s="1"/>
  <c r="J320" i="37"/>
  <c r="J1036" i="37"/>
  <c r="V1039" i="37" s="1"/>
  <c r="J524" i="37"/>
  <c r="V528" i="37" s="1"/>
  <c r="J216" i="37"/>
  <c r="V216" i="37" s="1"/>
  <c r="J888" i="37"/>
  <c r="J2343" i="37"/>
  <c r="V2343" i="37" s="1"/>
  <c r="J907" i="37"/>
  <c r="J3222" i="37"/>
  <c r="J1835" i="37"/>
  <c r="V1835" i="37" s="1"/>
  <c r="J1644" i="37"/>
  <c r="V1644" i="37" s="1"/>
  <c r="J1521" i="37"/>
  <c r="V1521" i="37" s="1"/>
  <c r="J2148" i="37"/>
  <c r="V2148" i="37" s="1"/>
  <c r="J1907" i="37"/>
  <c r="V1910" i="37" s="1"/>
  <c r="J2900" i="37"/>
  <c r="J1490" i="37"/>
  <c r="V1494" i="37" s="1"/>
  <c r="J950" i="37"/>
  <c r="V950" i="37" s="1"/>
  <c r="J1168" i="37"/>
  <c r="V1172" i="37" s="1"/>
  <c r="J2578" i="37"/>
  <c r="J733" i="37"/>
  <c r="V733" i="37" s="1"/>
  <c r="J190" i="37"/>
  <c r="V194" i="37" s="1"/>
  <c r="J1141" i="37"/>
  <c r="J229" i="37"/>
  <c r="J600" i="37"/>
  <c r="V603" i="37" s="1"/>
  <c r="J1286" i="37"/>
  <c r="J2809" i="37"/>
  <c r="V2809" i="37" s="1"/>
  <c r="J2751" i="37"/>
  <c r="J1972" i="37"/>
  <c r="V1975" i="37" s="1"/>
  <c r="J2792" i="37"/>
  <c r="V2792" i="37" s="1"/>
  <c r="J417" i="37"/>
  <c r="V420" i="37" s="1"/>
  <c r="J1229" i="37"/>
  <c r="J272" i="37"/>
  <c r="V272" i="37" s="1"/>
  <c r="J362" i="37"/>
  <c r="V365" i="37" s="1"/>
  <c r="J2479" i="37"/>
  <c r="V2479" i="37" s="1"/>
  <c r="J538" i="37"/>
  <c r="V538" i="37" s="1"/>
  <c r="J1699" i="37"/>
  <c r="V1699" i="37" s="1"/>
  <c r="J1812" i="37"/>
  <c r="V1816" i="37" s="1"/>
  <c r="J1996" i="37"/>
  <c r="V1996" i="37" s="1"/>
  <c r="J2829" i="37"/>
  <c r="J2507" i="37"/>
  <c r="J1328" i="37"/>
  <c r="V1331" i="37" s="1"/>
  <c r="J3170" i="37"/>
  <c r="V3170" i="37" s="1"/>
  <c r="J2318" i="37"/>
  <c r="V2318" i="37" s="1"/>
  <c r="J2256" i="37"/>
  <c r="J1873" i="37"/>
  <c r="J1882" i="37"/>
  <c r="V1882" i="37" s="1"/>
  <c r="J2288" i="37"/>
  <c r="V2288" i="37" s="1"/>
  <c r="J2671" i="37"/>
  <c r="V2674" i="37" s="1"/>
  <c r="J594" i="37"/>
  <c r="V594" i="37" s="1"/>
  <c r="J678" i="37"/>
  <c r="V678" i="37" s="1"/>
  <c r="J2517" i="37"/>
  <c r="J2176" i="37"/>
  <c r="J2596" i="37"/>
  <c r="V2596" i="37" s="1"/>
  <c r="J2444" i="37"/>
  <c r="V2448" i="37" s="1"/>
  <c r="J1532" i="37"/>
  <c r="J2839" i="37"/>
  <c r="J1839" i="37"/>
  <c r="J2801" i="37"/>
  <c r="V2801" i="37" s="1"/>
  <c r="J2766" i="37"/>
  <c r="V2770" i="37" s="1"/>
  <c r="J70" i="37"/>
  <c r="V73" i="37" s="1"/>
  <c r="J1055" i="37"/>
  <c r="V1055" i="37" s="1"/>
  <c r="J1006" i="37"/>
  <c r="V1009" i="37" s="1"/>
  <c r="J278" i="37"/>
  <c r="V281" i="37" s="1"/>
  <c r="J2968" i="37"/>
  <c r="V2971" i="37" s="1"/>
  <c r="J610" i="37"/>
  <c r="V612" i="37" s="1"/>
  <c r="J1608" i="37"/>
  <c r="J34" i="37"/>
  <c r="V34" i="37" s="1"/>
  <c r="J1612" i="37"/>
  <c r="J1182" i="37"/>
  <c r="V1182" i="37" s="1"/>
  <c r="J1504" i="37"/>
  <c r="V1504" i="37" s="1"/>
  <c r="J3073" i="37"/>
  <c r="J288" i="37"/>
  <c r="V290" i="37" s="1"/>
  <c r="J834" i="37"/>
  <c r="V838" i="37" s="1"/>
  <c r="J932" i="37"/>
  <c r="V934" i="37" s="1"/>
  <c r="J739" i="37"/>
  <c r="V742" i="37" s="1"/>
  <c r="J2987" i="37"/>
  <c r="V2987" i="37" s="1"/>
  <c r="J860" i="37"/>
  <c r="V860" i="37" s="1"/>
  <c r="J2421" i="37"/>
  <c r="V2421" i="37" s="1"/>
  <c r="J40" i="37"/>
  <c r="V43" i="37" s="1"/>
  <c r="J3195" i="37"/>
  <c r="V3198" i="37" s="1"/>
  <c r="J2021" i="37"/>
  <c r="V2021" i="37" s="1"/>
  <c r="J2252" i="37"/>
  <c r="J3142" i="37"/>
  <c r="J356" i="37"/>
  <c r="V356" i="37" s="1"/>
  <c r="J2324" i="37"/>
  <c r="V2327" i="37" s="1"/>
  <c r="J1290" i="37"/>
  <c r="J1777" i="37"/>
  <c r="V1777" i="37" s="1"/>
  <c r="J2610" i="37"/>
  <c r="V2610" i="37" s="1"/>
  <c r="J2165" i="37"/>
  <c r="V2165" i="37" s="1"/>
  <c r="J619" i="37"/>
  <c r="V622" i="37" s="1"/>
  <c r="J2805" i="37"/>
  <c r="J664" i="37"/>
  <c r="V664" i="37" s="1"/>
  <c r="K424" i="47"/>
  <c r="K281" i="49"/>
  <c r="K3245" i="37"/>
  <c r="M925" i="42"/>
  <c r="AH597" i="42"/>
  <c r="M507" i="42"/>
  <c r="Y510" i="42" s="1"/>
  <c r="M191" i="42"/>
  <c r="Y191" i="42" s="1"/>
  <c r="M938" i="42"/>
  <c r="M929" i="42"/>
  <c r="Y929" i="42" s="1"/>
  <c r="AH478" i="42"/>
  <c r="M1003" i="42"/>
  <c r="Y1006" i="42" s="1"/>
  <c r="M501" i="42"/>
  <c r="Y501" i="42" s="1"/>
  <c r="M585" i="42"/>
  <c r="Y585" i="42" s="1"/>
  <c r="AH233" i="42"/>
  <c r="AH466" i="42"/>
  <c r="M19" i="42"/>
  <c r="Y19" i="42" s="1"/>
  <c r="M679" i="42"/>
  <c r="AH679" i="42" s="1"/>
  <c r="M589" i="42"/>
  <c r="Y589" i="42" s="1"/>
  <c r="M1089" i="42"/>
  <c r="M751" i="42"/>
  <c r="M474" i="42"/>
  <c r="Y474" i="42" s="1"/>
  <c r="M127" i="42"/>
  <c r="AH782" i="42"/>
  <c r="M147" i="42"/>
  <c r="Y147" i="42" s="1"/>
  <c r="M256" i="42"/>
  <c r="Y256" i="42" s="1"/>
  <c r="M321" i="42"/>
  <c r="AH321" i="42" s="1"/>
  <c r="AH241" i="42"/>
  <c r="M380" i="42"/>
  <c r="M264" i="42"/>
  <c r="Y264" i="42" s="1"/>
  <c r="M571" i="42"/>
  <c r="AH428" i="42"/>
  <c r="AH551" i="42"/>
  <c r="M384" i="42"/>
  <c r="Y384" i="42" s="1"/>
  <c r="M963" i="42"/>
  <c r="Y963" i="42" s="1"/>
  <c r="M225" i="42"/>
  <c r="Y225" i="42" s="1"/>
  <c r="M478" i="42"/>
  <c r="Y478" i="42" s="1"/>
  <c r="AH571" i="42"/>
  <c r="M866" i="42"/>
  <c r="AH866" i="42" s="1"/>
  <c r="M229" i="42"/>
  <c r="Y229" i="42" s="1"/>
  <c r="M201" i="42"/>
  <c r="M776" i="42"/>
  <c r="Y776" i="42" s="1"/>
  <c r="M803" i="42"/>
  <c r="Y803" i="42" s="1"/>
  <c r="AH211" i="42"/>
  <c r="M997" i="42"/>
  <c r="Y997" i="42" s="1"/>
  <c r="AH963" i="42"/>
  <c r="AH448" i="42"/>
  <c r="AH969" i="42"/>
  <c r="M1149" i="42"/>
  <c r="M551" i="42"/>
  <c r="Y551" i="42" s="1"/>
  <c r="M241" i="42"/>
  <c r="Y241" i="42" s="1"/>
  <c r="AH474" i="42"/>
  <c r="AH225" i="42"/>
  <c r="M616" i="42"/>
  <c r="Y616" i="42" s="1"/>
  <c r="M143" i="42"/>
  <c r="AH593" i="42"/>
  <c r="M811" i="42"/>
  <c r="Y811" i="42" s="1"/>
  <c r="M389" i="42"/>
  <c r="Y405" i="42" s="1"/>
  <c r="AH191" i="42"/>
  <c r="AH237" i="42"/>
  <c r="M597" i="42"/>
  <c r="Y597" i="42" s="1"/>
  <c r="M747" i="42"/>
  <c r="Y763" i="42" s="1"/>
  <c r="M909" i="42"/>
  <c r="M237" i="42"/>
  <c r="Y237" i="42" s="1"/>
  <c r="AH561" i="42"/>
  <c r="M934" i="42"/>
  <c r="Y950" i="42" s="1"/>
  <c r="AH585" i="42"/>
  <c r="M742" i="42"/>
  <c r="Y742" i="42" s="1"/>
  <c r="M969" i="42"/>
  <c r="Y970" i="42" s="1"/>
  <c r="M561" i="42"/>
  <c r="M1049" i="42"/>
  <c r="M466" i="42"/>
  <c r="Y466" i="42" s="1"/>
  <c r="M1103" i="42"/>
  <c r="Y1106" i="42" s="1"/>
  <c r="M593" i="42"/>
  <c r="Y593" i="42" s="1"/>
  <c r="M233" i="42"/>
  <c r="Y233" i="42" s="1"/>
  <c r="M364" i="42"/>
  <c r="M738" i="42"/>
  <c r="M27" i="42"/>
  <c r="Y27" i="42" s="1"/>
  <c r="M152" i="42"/>
  <c r="Y168" i="42" s="1"/>
  <c r="M493" i="42"/>
  <c r="Y493" i="42" s="1"/>
  <c r="AH601" i="42"/>
  <c r="M989" i="42"/>
  <c r="M1097" i="42"/>
  <c r="Y1097" i="42" s="1"/>
  <c r="M470" i="42"/>
  <c r="Y470" i="42" s="1"/>
  <c r="M84" i="42"/>
  <c r="AH84" i="42" s="1"/>
  <c r="AH201" i="42"/>
  <c r="M782" i="42"/>
  <c r="Y783" i="42" s="1"/>
  <c r="AH589" i="42"/>
  <c r="AH462" i="42"/>
  <c r="M211" i="42"/>
  <c r="AH229" i="42"/>
  <c r="M393" i="42"/>
  <c r="M448" i="42"/>
  <c r="M624" i="42"/>
  <c r="Y624" i="42" s="1"/>
  <c r="AH470" i="42"/>
  <c r="M722" i="42"/>
  <c r="M601" i="42"/>
  <c r="Y601" i="42" s="1"/>
  <c r="M156" i="42"/>
  <c r="AH776" i="42"/>
  <c r="AH438" i="42"/>
  <c r="M462" i="42"/>
  <c r="Y462" i="42" s="1"/>
  <c r="M428" i="42"/>
  <c r="Y428" i="42" s="1"/>
  <c r="M438" i="42"/>
  <c r="J2588" i="50"/>
  <c r="J1802" i="50"/>
  <c r="J855" i="50"/>
  <c r="J1183" i="50"/>
  <c r="J1744" i="50"/>
  <c r="J555" i="50"/>
  <c r="J527" i="50"/>
  <c r="J760" i="50"/>
  <c r="J1146" i="50"/>
  <c r="J1966" i="50"/>
  <c r="J2132" i="50"/>
  <c r="J2321" i="50"/>
  <c r="J2145" i="50"/>
  <c r="J1310" i="50"/>
  <c r="J1647" i="50"/>
  <c r="J482" i="50"/>
  <c r="R2398" i="50"/>
  <c r="J1675" i="50"/>
  <c r="J913" i="50"/>
  <c r="J1989" i="50"/>
  <c r="J978" i="50"/>
  <c r="J2566" i="50"/>
  <c r="J221" i="50"/>
  <c r="J1853" i="50"/>
  <c r="J2386" i="50"/>
  <c r="J2221" i="50"/>
  <c r="J1302" i="50"/>
  <c r="J1061" i="50"/>
  <c r="J1333" i="50"/>
  <c r="J140" i="50"/>
  <c r="R1466" i="50"/>
  <c r="J1962" i="50"/>
  <c r="R1794" i="50"/>
  <c r="R646" i="50"/>
  <c r="J2160" i="50"/>
  <c r="J2212" i="50"/>
  <c r="J2061" i="50"/>
  <c r="J2329" i="50"/>
  <c r="J2257" i="50"/>
  <c r="R2215" i="50"/>
  <c r="J749" i="50"/>
  <c r="J1881" i="50"/>
  <c r="J91" i="50"/>
  <c r="J1155" i="50"/>
  <c r="J705" i="50"/>
  <c r="J2353" i="50"/>
  <c r="R974" i="50"/>
  <c r="J2265" i="50"/>
  <c r="J63" i="50"/>
  <c r="J1389" i="50"/>
  <c r="J1661" i="50"/>
  <c r="J2434" i="50"/>
  <c r="J663" i="50"/>
  <c r="J2382" i="50"/>
  <c r="J1975" i="50"/>
  <c r="J111" i="50"/>
  <c r="J2481" i="50"/>
  <c r="J991" i="50"/>
  <c r="J2442" i="50"/>
  <c r="J1375" i="50"/>
  <c r="J897" i="50"/>
  <c r="J2017" i="50"/>
  <c r="J1211" i="50"/>
  <c r="J2430" i="50"/>
  <c r="J883" i="50"/>
  <c r="J2469" i="50"/>
  <c r="J486" i="50"/>
  <c r="J585" i="50"/>
  <c r="J2523" i="50"/>
  <c r="J1717" i="50"/>
  <c r="J2286" i="50"/>
  <c r="J1511" i="50"/>
  <c r="R2257" i="50"/>
  <c r="J2404" i="50"/>
  <c r="J2045" i="50"/>
  <c r="J733" i="50"/>
  <c r="J1405" i="50"/>
  <c r="J1539" i="50"/>
  <c r="J2316" i="50"/>
  <c r="J151" i="50"/>
  <c r="J1553" i="50"/>
  <c r="J199" i="50"/>
  <c r="J1361" i="50"/>
  <c r="J1825" i="50"/>
  <c r="J2546" i="50"/>
  <c r="J2547" i="50" s="1"/>
  <c r="J2561" i="50" s="1"/>
  <c r="J2378" i="50"/>
  <c r="J2003" i="50"/>
  <c r="J2453" i="50"/>
  <c r="J2498" i="50"/>
  <c r="J2261" i="50"/>
  <c r="J1470" i="50"/>
  <c r="J1169" i="50"/>
  <c r="J1005" i="50"/>
  <c r="J1088" i="50"/>
  <c r="J1689" i="50"/>
  <c r="J818" i="50"/>
  <c r="J2227" i="50"/>
  <c r="J1703" i="50"/>
  <c r="J1033" i="50"/>
  <c r="J841" i="50"/>
  <c r="J513" i="50"/>
  <c r="R2123" i="50"/>
  <c r="J650" i="50"/>
  <c r="J1897" i="50"/>
  <c r="J1958" i="50"/>
  <c r="J490" i="50"/>
  <c r="J211" i="50"/>
  <c r="J569" i="50"/>
  <c r="J1811" i="50"/>
  <c r="J1466" i="50"/>
  <c r="J1306" i="50"/>
  <c r="J2072" i="50"/>
  <c r="J810" i="50"/>
  <c r="J1138" i="50"/>
  <c r="J1634" i="50"/>
  <c r="J869" i="50"/>
  <c r="R482" i="50"/>
  <c r="J2203" i="50"/>
  <c r="R810" i="50"/>
  <c r="J1798" i="50"/>
  <c r="J2269" i="50"/>
  <c r="J499" i="50"/>
  <c r="J346" i="50"/>
  <c r="J2154" i="50"/>
  <c r="J1569" i="50"/>
  <c r="J187" i="50"/>
  <c r="R2341" i="50"/>
  <c r="J2128" i="50"/>
  <c r="J1019" i="50"/>
  <c r="R1138" i="50"/>
  <c r="J924" i="50"/>
  <c r="J2199" i="50"/>
  <c r="J1142" i="50"/>
  <c r="J2516" i="50"/>
  <c r="J1908" i="50"/>
  <c r="J646" i="50"/>
  <c r="R2469" i="50"/>
  <c r="J1241" i="50"/>
  <c r="J677" i="50"/>
  <c r="R2190" i="50"/>
  <c r="J2325" i="50"/>
  <c r="J2190" i="50"/>
  <c r="J2550" i="50"/>
  <c r="J814" i="50"/>
  <c r="J1347" i="50"/>
  <c r="J176" i="50"/>
  <c r="J2373" i="50"/>
  <c r="J2410" i="50"/>
  <c r="J2195" i="50"/>
  <c r="J2280" i="50"/>
  <c r="R1302" i="50"/>
  <c r="J1525" i="50"/>
  <c r="R1958" i="50"/>
  <c r="J1474" i="50"/>
  <c r="J2560" i="50"/>
  <c r="J1867" i="50"/>
  <c r="J2136" i="50"/>
  <c r="J974" i="50"/>
  <c r="J1197" i="50"/>
  <c r="J2477" i="50"/>
  <c r="J2438" i="50"/>
  <c r="J2338" i="50"/>
  <c r="J1497" i="50"/>
  <c r="J1794" i="50"/>
  <c r="J1733" i="50"/>
  <c r="J1839" i="50"/>
  <c r="R2430" i="50"/>
  <c r="J719" i="50"/>
  <c r="J170" i="50"/>
  <c r="R2373" i="50"/>
  <c r="J2554" i="50"/>
  <c r="J1630" i="50"/>
  <c r="J2347" i="50"/>
  <c r="J654" i="50"/>
  <c r="J165" i="50"/>
  <c r="J541" i="50"/>
  <c r="J1416" i="50"/>
  <c r="J2459" i="50"/>
  <c r="J1483" i="50"/>
  <c r="J691" i="50"/>
  <c r="J1047" i="50"/>
  <c r="J1638" i="50"/>
  <c r="J1252" i="50"/>
  <c r="J2123" i="50"/>
  <c r="J2492" i="50"/>
  <c r="J982" i="50"/>
  <c r="J145" i="50"/>
  <c r="J1580" i="50"/>
  <c r="R1630" i="50"/>
  <c r="J135" i="50"/>
  <c r="R2148" i="50"/>
  <c r="J160" i="50"/>
  <c r="J1077" i="50"/>
  <c r="J1319" i="50"/>
  <c r="J2031" i="50"/>
  <c r="R2316" i="50"/>
  <c r="J596" i="50"/>
  <c r="J2395" i="50"/>
  <c r="J1225" i="50"/>
  <c r="J2473" i="50"/>
  <c r="J827" i="50"/>
  <c r="AG561" i="42"/>
  <c r="AG237" i="42"/>
  <c r="L84" i="42"/>
  <c r="AG84" i="42" s="1"/>
  <c r="L803" i="42"/>
  <c r="X803" i="42" s="1"/>
  <c r="L474" i="42"/>
  <c r="X474" i="42" s="1"/>
  <c r="L938" i="42"/>
  <c r="L1097" i="42"/>
  <c r="X1097" i="42" s="1"/>
  <c r="L256" i="42"/>
  <c r="X256" i="42" s="1"/>
  <c r="L601" i="42"/>
  <c r="X601" i="42" s="1"/>
  <c r="L19" i="42"/>
  <c r="X19" i="42" s="1"/>
  <c r="L616" i="42"/>
  <c r="X616" i="42" s="1"/>
  <c r="AG462" i="42"/>
  <c r="L264" i="42"/>
  <c r="X264" i="42" s="1"/>
  <c r="L438" i="42"/>
  <c r="L448" i="42"/>
  <c r="L722" i="42"/>
  <c r="L1003" i="42"/>
  <c r="X1006" i="42" s="1"/>
  <c r="AG448" i="42"/>
  <c r="AG211" i="42"/>
  <c r="L1049" i="42"/>
  <c r="L127" i="42"/>
  <c r="AG428" i="42"/>
  <c r="L389" i="42"/>
  <c r="X405" i="42" s="1"/>
  <c r="L597" i="42"/>
  <c r="X597" i="42" s="1"/>
  <c r="L1089" i="42"/>
  <c r="L233" i="42"/>
  <c r="X233" i="42" s="1"/>
  <c r="AG201" i="42"/>
  <c r="L225" i="42"/>
  <c r="X225" i="42" s="1"/>
  <c r="L934" i="42"/>
  <c r="X950" i="42" s="1"/>
  <c r="L866" i="42"/>
  <c r="AG866" i="42" s="1"/>
  <c r="L969" i="42"/>
  <c r="X970" i="42" s="1"/>
  <c r="L380" i="42"/>
  <c r="L776" i="42"/>
  <c r="X776" i="42" s="1"/>
  <c r="L201" i="42"/>
  <c r="L147" i="42"/>
  <c r="X147" i="42" s="1"/>
  <c r="L393" i="42"/>
  <c r="AG438" i="42"/>
  <c r="L593" i="42"/>
  <c r="X593" i="42" s="1"/>
  <c r="L241" i="42"/>
  <c r="X241" i="42" s="1"/>
  <c r="L551" i="42"/>
  <c r="X551" i="42" s="1"/>
  <c r="AG470" i="42"/>
  <c r="L589" i="42"/>
  <c r="X589" i="42" s="1"/>
  <c r="AG233" i="42"/>
  <c r="L321" i="42"/>
  <c r="AG321" i="42" s="1"/>
  <c r="AG589" i="42"/>
  <c r="AG551" i="42"/>
  <c r="AG478" i="42"/>
  <c r="L571" i="42"/>
  <c r="L428" i="42"/>
  <c r="X428" i="42" s="1"/>
  <c r="L384" i="42"/>
  <c r="X384" i="42" s="1"/>
  <c r="AG782" i="42"/>
  <c r="L152" i="42"/>
  <c r="X168" i="42" s="1"/>
  <c r="L751" i="42"/>
  <c r="AG241" i="42"/>
  <c r="L989" i="42"/>
  <c r="L211" i="42"/>
  <c r="L470" i="42"/>
  <c r="X470" i="42" s="1"/>
  <c r="L997" i="42"/>
  <c r="X997" i="42" s="1"/>
  <c r="L929" i="42"/>
  <c r="X929" i="42" s="1"/>
  <c r="L493" i="42"/>
  <c r="X493" i="42" s="1"/>
  <c r="AG593" i="42"/>
  <c r="L925" i="42"/>
  <c r="L156" i="42"/>
  <c r="L364" i="42"/>
  <c r="L561" i="42"/>
  <c r="L909" i="42"/>
  <c r="L1149" i="42"/>
  <c r="AG191" i="42"/>
  <c r="L747" i="42"/>
  <c r="X763" i="42" s="1"/>
  <c r="L811" i="42"/>
  <c r="X811" i="42" s="1"/>
  <c r="L501" i="42"/>
  <c r="X501" i="42" s="1"/>
  <c r="L466" i="42"/>
  <c r="X466" i="42" s="1"/>
  <c r="L27" i="42"/>
  <c r="X27" i="42" s="1"/>
  <c r="L143" i="42"/>
  <c r="AG225" i="42"/>
  <c r="AG776" i="42"/>
  <c r="L624" i="42"/>
  <c r="X624" i="42" s="1"/>
  <c r="L963" i="42"/>
  <c r="X963" i="42" s="1"/>
  <c r="AG585" i="42"/>
  <c r="L585" i="42"/>
  <c r="X585" i="42" s="1"/>
  <c r="L229" i="42"/>
  <c r="X229" i="42" s="1"/>
  <c r="AG571" i="42"/>
  <c r="L742" i="42"/>
  <c r="X742" i="42" s="1"/>
  <c r="L237" i="42"/>
  <c r="X237" i="42" s="1"/>
  <c r="L191" i="42"/>
  <c r="X191" i="42" s="1"/>
  <c r="AG474" i="42"/>
  <c r="L1103" i="42"/>
  <c r="X1106" i="42" s="1"/>
  <c r="AG601" i="42"/>
  <c r="AG466" i="42"/>
  <c r="AG969" i="42"/>
  <c r="L507" i="42"/>
  <c r="X510" i="42" s="1"/>
  <c r="L782" i="42"/>
  <c r="X783" i="42" s="1"/>
  <c r="L478" i="42"/>
  <c r="X478" i="42" s="1"/>
  <c r="AG597" i="42"/>
  <c r="L462" i="42"/>
  <c r="X462" i="42" s="1"/>
  <c r="L679" i="42"/>
  <c r="AG679" i="42" s="1"/>
  <c r="AG963" i="42"/>
  <c r="L738" i="42"/>
  <c r="AG229" i="42"/>
  <c r="K596" i="50"/>
  <c r="K1825" i="50"/>
  <c r="K2003" i="50"/>
  <c r="S2398" i="50"/>
  <c r="S2190" i="50"/>
  <c r="K978" i="50"/>
  <c r="K2434" i="50"/>
  <c r="K541" i="50"/>
  <c r="K2190" i="50"/>
  <c r="K2286" i="50"/>
  <c r="K2353" i="50"/>
  <c r="K1005" i="50"/>
  <c r="K2453" i="50"/>
  <c r="K1962" i="50"/>
  <c r="K2123" i="50"/>
  <c r="K1061" i="50"/>
  <c r="K486" i="50"/>
  <c r="K1580" i="50"/>
  <c r="K1310" i="50"/>
  <c r="K705" i="50"/>
  <c r="K1958" i="50"/>
  <c r="K2473" i="50"/>
  <c r="K982" i="50"/>
  <c r="K145" i="50"/>
  <c r="K1319" i="50"/>
  <c r="K2492" i="50"/>
  <c r="K2481" i="50"/>
  <c r="K677" i="50"/>
  <c r="S482" i="50"/>
  <c r="K2469" i="50"/>
  <c r="K2378" i="50"/>
  <c r="K827" i="50"/>
  <c r="K2430" i="50"/>
  <c r="K569" i="50"/>
  <c r="K2329" i="50"/>
  <c r="K1155" i="50"/>
  <c r="K974" i="50"/>
  <c r="K1019" i="50"/>
  <c r="K2160" i="50"/>
  <c r="K1474" i="50"/>
  <c r="K654" i="50"/>
  <c r="K1811" i="50"/>
  <c r="K1908" i="50"/>
  <c r="K1497" i="50"/>
  <c r="K810" i="50"/>
  <c r="K1661" i="50"/>
  <c r="K1302" i="50"/>
  <c r="K2269" i="50"/>
  <c r="K991" i="50"/>
  <c r="K2316" i="50"/>
  <c r="K111" i="50"/>
  <c r="K646" i="50"/>
  <c r="K1169" i="50"/>
  <c r="K1466" i="50"/>
  <c r="S1794" i="50"/>
  <c r="K2325" i="50"/>
  <c r="K1630" i="50"/>
  <c r="K2128" i="50"/>
  <c r="K1525" i="50"/>
  <c r="K1211" i="50"/>
  <c r="S2430" i="50"/>
  <c r="K1966" i="50"/>
  <c r="K2212" i="50"/>
  <c r="K2438" i="50"/>
  <c r="K2227" i="50"/>
  <c r="K1744" i="50"/>
  <c r="K1483" i="50"/>
  <c r="K1146" i="50"/>
  <c r="K2321" i="50"/>
  <c r="K2550" i="50"/>
  <c r="K2516" i="50"/>
  <c r="K2280" i="50"/>
  <c r="K187" i="50"/>
  <c r="K555" i="50"/>
  <c r="K650" i="50"/>
  <c r="K221" i="50"/>
  <c r="K2347" i="50"/>
  <c r="K1553" i="50"/>
  <c r="K199" i="50"/>
  <c r="S2148" i="50"/>
  <c r="K91" i="50"/>
  <c r="K1703" i="50"/>
  <c r="K883" i="50"/>
  <c r="K1347" i="50"/>
  <c r="K2132" i="50"/>
  <c r="K1033" i="50"/>
  <c r="K897" i="50"/>
  <c r="K2395" i="50"/>
  <c r="S810" i="50"/>
  <c r="K2136" i="50"/>
  <c r="K490" i="50"/>
  <c r="K1511" i="50"/>
  <c r="S2469" i="50"/>
  <c r="K1794" i="50"/>
  <c r="K1389" i="50"/>
  <c r="K2221" i="50"/>
  <c r="K1634" i="50"/>
  <c r="K749" i="50"/>
  <c r="K170" i="50"/>
  <c r="K2386" i="50"/>
  <c r="K1142" i="50"/>
  <c r="S2341" i="50"/>
  <c r="K1539" i="50"/>
  <c r="K1975" i="50"/>
  <c r="K160" i="50"/>
  <c r="K1802" i="50"/>
  <c r="K2477" i="50"/>
  <c r="K63" i="50"/>
  <c r="K2410" i="50"/>
  <c r="K2145" i="50"/>
  <c r="K1638" i="50"/>
  <c r="K2072" i="50"/>
  <c r="K1077" i="50"/>
  <c r="K2442" i="50"/>
  <c r="K1416" i="50"/>
  <c r="K1569" i="50"/>
  <c r="K140" i="50"/>
  <c r="K2195" i="50"/>
  <c r="K1675" i="50"/>
  <c r="K1361" i="50"/>
  <c r="K1733" i="50"/>
  <c r="K913" i="50"/>
  <c r="K924" i="50"/>
  <c r="K1897" i="50"/>
  <c r="K760" i="50"/>
  <c r="K585" i="50"/>
  <c r="S2257" i="50"/>
  <c r="K2498" i="50"/>
  <c r="K1375" i="50"/>
  <c r="K1853" i="50"/>
  <c r="K482" i="50"/>
  <c r="K869" i="50"/>
  <c r="K1306" i="50"/>
  <c r="S1958" i="50"/>
  <c r="K1225" i="50"/>
  <c r="K719" i="50"/>
  <c r="K2154" i="50"/>
  <c r="K1798" i="50"/>
  <c r="K2017" i="50"/>
  <c r="K2566" i="50"/>
  <c r="K2459" i="50"/>
  <c r="K176" i="50"/>
  <c r="K2199" i="50"/>
  <c r="K855" i="50"/>
  <c r="S1466" i="50"/>
  <c r="K814" i="50"/>
  <c r="K1405" i="50"/>
  <c r="K211" i="50"/>
  <c r="K527" i="50"/>
  <c r="K663" i="50"/>
  <c r="K2382" i="50"/>
  <c r="K2031" i="50"/>
  <c r="K135" i="50"/>
  <c r="K1689" i="50"/>
  <c r="K733" i="50"/>
  <c r="K2061" i="50"/>
  <c r="K2373" i="50"/>
  <c r="K513" i="50"/>
  <c r="K1252" i="50"/>
  <c r="K1197" i="50"/>
  <c r="K1138" i="50"/>
  <c r="S1630" i="50"/>
  <c r="K2560" i="50"/>
  <c r="K841" i="50"/>
  <c r="K691" i="50"/>
  <c r="K2404" i="50"/>
  <c r="K2554" i="50"/>
  <c r="K1333" i="50"/>
  <c r="K2261" i="50"/>
  <c r="K1183" i="50"/>
  <c r="K1088" i="50"/>
  <c r="K1647" i="50"/>
  <c r="K1989" i="50"/>
  <c r="K1839" i="50"/>
  <c r="K499" i="50"/>
  <c r="S2373" i="50"/>
  <c r="K1717" i="50"/>
  <c r="K346" i="50"/>
  <c r="K1470" i="50"/>
  <c r="S1138" i="50"/>
  <c r="S1302" i="50"/>
  <c r="K1867" i="50"/>
  <c r="S2215" i="50"/>
  <c r="K2338" i="50"/>
  <c r="S2123" i="50"/>
  <c r="S974" i="50"/>
  <c r="K818" i="50"/>
  <c r="K1881" i="50"/>
  <c r="K1241" i="50"/>
  <c r="K2203" i="50"/>
  <c r="K2523" i="50"/>
  <c r="K165" i="50"/>
  <c r="K2265" i="50"/>
  <c r="S646" i="50"/>
  <c r="K2045" i="50"/>
  <c r="K2257" i="50"/>
  <c r="K1047" i="50"/>
  <c r="K2546" i="50"/>
  <c r="K2547" i="50" s="1"/>
  <c r="K2561" i="50" s="1"/>
  <c r="K151" i="50"/>
  <c r="S2316" i="50"/>
  <c r="N295" i="41"/>
  <c r="N384" i="50" s="1"/>
  <c r="N276" i="41"/>
  <c r="N368" i="50" s="1"/>
  <c r="N188" i="41"/>
  <c r="N312" i="50" s="1"/>
  <c r="N287" i="41"/>
  <c r="N377" i="50" s="1"/>
  <c r="N227" i="41"/>
  <c r="N342" i="50" s="1"/>
  <c r="N118" i="41"/>
  <c r="N411" i="41"/>
  <c r="N260" i="41"/>
  <c r="N354" i="50" s="1"/>
  <c r="N138" i="41"/>
  <c r="N273" i="50" s="1"/>
  <c r="N110" i="41"/>
  <c r="N257" i="50" s="1"/>
  <c r="N93" i="41"/>
  <c r="N246" i="50" s="1"/>
  <c r="N56" i="41"/>
  <c r="N306" i="41"/>
  <c r="N394" i="50" s="1"/>
  <c r="N176" i="41"/>
  <c r="N302" i="50" s="1"/>
  <c r="N217" i="41"/>
  <c r="N334" i="50" s="1"/>
  <c r="N363" i="41"/>
  <c r="N442" i="50" s="1"/>
  <c r="N34" i="41"/>
  <c r="N239" i="41"/>
  <c r="N99" i="41"/>
  <c r="N250" i="50" s="1"/>
  <c r="N15" i="41"/>
  <c r="AB15" i="41" s="1"/>
  <c r="N335" i="41"/>
  <c r="N420" i="50" s="1"/>
  <c r="N321" i="41"/>
  <c r="N408" i="50" s="1"/>
  <c r="N206" i="41"/>
  <c r="N325" i="50" s="1"/>
  <c r="N146" i="41"/>
  <c r="N279" i="50" s="1"/>
  <c r="N44" i="41"/>
  <c r="J225" i="47"/>
  <c r="J31" i="47"/>
  <c r="AE31" i="47" s="1"/>
  <c r="J188" i="47"/>
  <c r="J162" i="47"/>
  <c r="J121" i="47"/>
  <c r="J354" i="47"/>
  <c r="AE354" i="47" s="1"/>
  <c r="J295" i="47"/>
  <c r="J112" i="47"/>
  <c r="AE112" i="47" s="1"/>
  <c r="J216" i="47"/>
  <c r="J386" i="47"/>
  <c r="AE386" i="47" s="1"/>
  <c r="J289" i="47"/>
  <c r="AE289" i="47" s="1"/>
  <c r="J94" i="47"/>
  <c r="J207" i="47"/>
  <c r="J335" i="47"/>
  <c r="J219" i="47"/>
  <c r="V219" i="47" s="1"/>
  <c r="V228" i="47" s="1"/>
  <c r="J155" i="47"/>
  <c r="J254" i="47"/>
  <c r="AE254" i="47" s="1"/>
  <c r="J403" i="47"/>
  <c r="V406" i="47" s="1"/>
  <c r="J146" i="47"/>
  <c r="AE146" i="47" s="1"/>
  <c r="J322" i="47"/>
  <c r="AE322" i="47" s="1"/>
  <c r="J128" i="47"/>
  <c r="J328" i="47"/>
  <c r="J269" i="47"/>
  <c r="J302" i="47"/>
  <c r="J196" i="47"/>
  <c r="J397" i="47"/>
  <c r="V397" i="47" s="1"/>
  <c r="J180" i="47"/>
  <c r="AE180" i="47" s="1"/>
  <c r="J364" i="47"/>
  <c r="M1241" i="50"/>
  <c r="M2492" i="50"/>
  <c r="U1138" i="50"/>
  <c r="M1733" i="50"/>
  <c r="M2438" i="50"/>
  <c r="M1252" i="50"/>
  <c r="M1225" i="50"/>
  <c r="M1717" i="50"/>
  <c r="M499" i="50"/>
  <c r="M2523" i="50"/>
  <c r="M2257" i="50"/>
  <c r="M1142" i="50"/>
  <c r="M1525" i="50"/>
  <c r="M2286" i="50"/>
  <c r="M91" i="50"/>
  <c r="M663" i="50"/>
  <c r="M1569" i="50"/>
  <c r="M569" i="50"/>
  <c r="M2003" i="50"/>
  <c r="M2560" i="50"/>
  <c r="M2265" i="50"/>
  <c r="M1169" i="50"/>
  <c r="M2072" i="50"/>
  <c r="M2190" i="50"/>
  <c r="M1347" i="50"/>
  <c r="M897" i="50"/>
  <c r="M1405" i="50"/>
  <c r="U482" i="50"/>
  <c r="M513" i="50"/>
  <c r="M883" i="50"/>
  <c r="M1466" i="50"/>
  <c r="M151" i="50"/>
  <c r="U974" i="50"/>
  <c r="M733" i="50"/>
  <c r="M2325" i="50"/>
  <c r="M2338" i="50"/>
  <c r="M1005" i="50"/>
  <c r="M346" i="50"/>
  <c r="M2382" i="50"/>
  <c r="M596" i="50"/>
  <c r="M2123" i="50"/>
  <c r="M1897" i="50"/>
  <c r="M2347" i="50"/>
  <c r="M2128" i="50"/>
  <c r="M2045" i="50"/>
  <c r="M482" i="50"/>
  <c r="M2498" i="50"/>
  <c r="M2160" i="50"/>
  <c r="M2410" i="50"/>
  <c r="M2453" i="50"/>
  <c r="M2477" i="50"/>
  <c r="M1689" i="50"/>
  <c r="M1647" i="50"/>
  <c r="M1798" i="50"/>
  <c r="M691" i="50"/>
  <c r="M1483" i="50"/>
  <c r="M1580" i="50"/>
  <c r="M2469" i="50"/>
  <c r="M818" i="50"/>
  <c r="M160" i="50"/>
  <c r="U1630" i="50"/>
  <c r="M111" i="50"/>
  <c r="U1302" i="50"/>
  <c r="M2132" i="50"/>
  <c r="M527" i="50"/>
  <c r="M486" i="50"/>
  <c r="M869" i="50"/>
  <c r="M1802" i="50"/>
  <c r="M1088" i="50"/>
  <c r="M2061" i="50"/>
  <c r="M165" i="50"/>
  <c r="M2434" i="50"/>
  <c r="M2261" i="50"/>
  <c r="M555" i="50"/>
  <c r="M814" i="50"/>
  <c r="M1853" i="50"/>
  <c r="M1539" i="50"/>
  <c r="M2373" i="50"/>
  <c r="M1511" i="50"/>
  <c r="M719" i="50"/>
  <c r="M2017" i="50"/>
  <c r="M2378" i="50"/>
  <c r="M1553" i="50"/>
  <c r="U1958" i="50"/>
  <c r="M1146" i="50"/>
  <c r="M2031" i="50"/>
  <c r="M913" i="50"/>
  <c r="U2341" i="50"/>
  <c r="M1019" i="50"/>
  <c r="U2316" i="50"/>
  <c r="U2123" i="50"/>
  <c r="M924" i="50"/>
  <c r="M1744" i="50"/>
  <c r="M841" i="50"/>
  <c r="M211" i="50"/>
  <c r="M1061" i="50"/>
  <c r="M1416" i="50"/>
  <c r="M2473" i="50"/>
  <c r="U2257" i="50"/>
  <c r="M199" i="50"/>
  <c r="M2154" i="50"/>
  <c r="M1703" i="50"/>
  <c r="M2329" i="50"/>
  <c r="M1033" i="50"/>
  <c r="M1077" i="50"/>
  <c r="M2269" i="50"/>
  <c r="M1497" i="50"/>
  <c r="M1333" i="50"/>
  <c r="M1302" i="50"/>
  <c r="M2195" i="50"/>
  <c r="U2148" i="50"/>
  <c r="M2353" i="50"/>
  <c r="M1811" i="50"/>
  <c r="M2203" i="50"/>
  <c r="M541" i="50"/>
  <c r="M1966" i="50"/>
  <c r="M1047" i="50"/>
  <c r="M2145" i="50"/>
  <c r="M1825" i="50"/>
  <c r="M1989" i="50"/>
  <c r="M974" i="50"/>
  <c r="M749" i="50"/>
  <c r="M1794" i="50"/>
  <c r="M2316" i="50"/>
  <c r="U1794" i="50"/>
  <c r="U1466" i="50"/>
  <c r="M1183" i="50"/>
  <c r="M2550" i="50"/>
  <c r="M2430" i="50"/>
  <c r="U646" i="50"/>
  <c r="M1138" i="50"/>
  <c r="M2404" i="50"/>
  <c r="M2221" i="50"/>
  <c r="U2469" i="50"/>
  <c r="M2227" i="50"/>
  <c r="M63" i="50"/>
  <c r="M1319" i="50"/>
  <c r="M855" i="50"/>
  <c r="M1211" i="50"/>
  <c r="M2442" i="50"/>
  <c r="M2199" i="50"/>
  <c r="M140" i="50"/>
  <c r="U2215" i="50"/>
  <c r="U2373" i="50"/>
  <c r="M490" i="50"/>
  <c r="M187" i="50"/>
  <c r="M176" i="50"/>
  <c r="M145" i="50"/>
  <c r="M2459" i="50"/>
  <c r="M585" i="50"/>
  <c r="M1867" i="50"/>
  <c r="M1361" i="50"/>
  <c r="M1306" i="50"/>
  <c r="M170" i="50"/>
  <c r="M2566" i="50"/>
  <c r="M2136" i="50"/>
  <c r="M1310" i="50"/>
  <c r="M2280" i="50"/>
  <c r="M1908" i="50"/>
  <c r="M705" i="50"/>
  <c r="M1389" i="50"/>
  <c r="M1634" i="50"/>
  <c r="M1661" i="50"/>
  <c r="M650" i="50"/>
  <c r="M1962" i="50"/>
  <c r="M2546" i="50"/>
  <c r="M2547" i="50" s="1"/>
  <c r="M2561" i="50" s="1"/>
  <c r="M2386" i="50"/>
  <c r="M1470" i="50"/>
  <c r="M1958" i="50"/>
  <c r="M1474" i="50"/>
  <c r="M978" i="50"/>
  <c r="M2212" i="50"/>
  <c r="U2190" i="50"/>
  <c r="M646" i="50"/>
  <c r="M1881" i="50"/>
  <c r="M760" i="50"/>
  <c r="M1975" i="50"/>
  <c r="M1638" i="50"/>
  <c r="M135" i="50"/>
  <c r="U2398" i="50"/>
  <c r="M1630" i="50"/>
  <c r="M1839" i="50"/>
  <c r="M2321" i="50"/>
  <c r="M810" i="50"/>
  <c r="M1675" i="50"/>
  <c r="M2395" i="50"/>
  <c r="M2516" i="50"/>
  <c r="M654" i="50"/>
  <c r="M982" i="50"/>
  <c r="M1197" i="50"/>
  <c r="M1155" i="50"/>
  <c r="M2481" i="50"/>
  <c r="M221" i="50"/>
  <c r="U2430" i="50"/>
  <c r="U810" i="50"/>
  <c r="M1375" i="50"/>
  <c r="M2554" i="50"/>
  <c r="M677" i="50"/>
  <c r="M827" i="50"/>
  <c r="M991" i="50"/>
  <c r="N1881" i="50"/>
  <c r="V1794" i="50"/>
  <c r="N1005" i="50"/>
  <c r="N1811" i="50"/>
  <c r="N1142" i="50"/>
  <c r="N2329" i="50"/>
  <c r="N913" i="50"/>
  <c r="V810" i="50"/>
  <c r="N2523" i="50"/>
  <c r="N1319" i="50"/>
  <c r="N1211" i="50"/>
  <c r="N1047" i="50"/>
  <c r="N1897" i="50"/>
  <c r="N1733" i="50"/>
  <c r="N2477" i="50"/>
  <c r="N2321" i="50"/>
  <c r="N1638" i="50"/>
  <c r="N2031" i="50"/>
  <c r="N1958" i="50"/>
  <c r="N1361" i="50"/>
  <c r="N151" i="50"/>
  <c r="N733" i="50"/>
  <c r="N63" i="50"/>
  <c r="V2398" i="50"/>
  <c r="N2286" i="50"/>
  <c r="N1839" i="50"/>
  <c r="N1717" i="50"/>
  <c r="N2154" i="50"/>
  <c r="N1241" i="50"/>
  <c r="N2560" i="50"/>
  <c r="N2453" i="50"/>
  <c r="N814" i="50"/>
  <c r="N2338" i="50"/>
  <c r="N2347" i="50"/>
  <c r="N855" i="50"/>
  <c r="N211" i="50"/>
  <c r="N1525" i="50"/>
  <c r="N1183" i="50"/>
  <c r="N176" i="50"/>
  <c r="N2395" i="50"/>
  <c r="N1306" i="50"/>
  <c r="N719" i="50"/>
  <c r="V1466" i="50"/>
  <c r="N1375" i="50"/>
  <c r="N2430" i="50"/>
  <c r="V1138" i="50"/>
  <c r="N111" i="50"/>
  <c r="N486" i="50"/>
  <c r="N2221" i="50"/>
  <c r="N974" i="50"/>
  <c r="N2492" i="50"/>
  <c r="N1470" i="50"/>
  <c r="N555" i="50"/>
  <c r="V2430" i="50"/>
  <c r="N140" i="50"/>
  <c r="N982" i="50"/>
  <c r="N513" i="50"/>
  <c r="N1647" i="50"/>
  <c r="N2145" i="50"/>
  <c r="N705" i="50"/>
  <c r="N818" i="50"/>
  <c r="N2190" i="50"/>
  <c r="N2373" i="50"/>
  <c r="N2459" i="50"/>
  <c r="V974" i="50"/>
  <c r="N1634" i="50"/>
  <c r="N2261" i="50"/>
  <c r="N527" i="50"/>
  <c r="N1580" i="50"/>
  <c r="V1302" i="50"/>
  <c r="N1088" i="50"/>
  <c r="N1155" i="50"/>
  <c r="N691" i="50"/>
  <c r="N1033" i="50"/>
  <c r="N2227" i="50"/>
  <c r="N1310" i="50"/>
  <c r="N585" i="50"/>
  <c r="N2280" i="50"/>
  <c r="N199" i="50"/>
  <c r="N1689" i="50"/>
  <c r="V2469" i="50"/>
  <c r="N2566" i="50"/>
  <c r="N1989" i="50"/>
  <c r="N810" i="50"/>
  <c r="N2265" i="50"/>
  <c r="N2473" i="50"/>
  <c r="N2017" i="50"/>
  <c r="N346" i="50"/>
  <c r="N490" i="50"/>
  <c r="N2132" i="50"/>
  <c r="N1867" i="50"/>
  <c r="N2410" i="50"/>
  <c r="N165" i="50"/>
  <c r="N1252" i="50"/>
  <c r="N1630" i="50"/>
  <c r="V2190" i="50"/>
  <c r="N569" i="50"/>
  <c r="N2072" i="50"/>
  <c r="V1958" i="50"/>
  <c r="N1077" i="50"/>
  <c r="N646" i="50"/>
  <c r="N135" i="50"/>
  <c r="N1302" i="50"/>
  <c r="N2128" i="50"/>
  <c r="N1416" i="50"/>
  <c r="N991" i="50"/>
  <c r="N1802" i="50"/>
  <c r="N145" i="50"/>
  <c r="N1347" i="50"/>
  <c r="N1483" i="50"/>
  <c r="N2554" i="50"/>
  <c r="N2404" i="50"/>
  <c r="V2257" i="50"/>
  <c r="N760" i="50"/>
  <c r="N1966" i="50"/>
  <c r="N2516" i="50"/>
  <c r="N2438" i="50"/>
  <c r="N1661" i="50"/>
  <c r="N2469" i="50"/>
  <c r="N897" i="50"/>
  <c r="N170" i="50"/>
  <c r="N1908" i="50"/>
  <c r="V2316" i="50"/>
  <c r="N1975" i="50"/>
  <c r="N1675" i="50"/>
  <c r="N841" i="50"/>
  <c r="N1825" i="50"/>
  <c r="N187" i="50"/>
  <c r="N749" i="50"/>
  <c r="V646" i="50"/>
  <c r="N1225" i="50"/>
  <c r="N2353" i="50"/>
  <c r="N978" i="50"/>
  <c r="N2434" i="50"/>
  <c r="N541" i="50"/>
  <c r="N663" i="50"/>
  <c r="N1474" i="50"/>
  <c r="V2215" i="50"/>
  <c r="N1962" i="50"/>
  <c r="N1138" i="50"/>
  <c r="N1497" i="50"/>
  <c r="N677" i="50"/>
  <c r="N1553" i="50"/>
  <c r="N596" i="50"/>
  <c r="N2003" i="50"/>
  <c r="N1539" i="50"/>
  <c r="N2325" i="50"/>
  <c r="N2160" i="50"/>
  <c r="V482" i="50"/>
  <c r="N2316" i="50"/>
  <c r="N221" i="50"/>
  <c r="N654" i="50"/>
  <c r="N2195" i="50"/>
  <c r="N499" i="50"/>
  <c r="V2148" i="50"/>
  <c r="N1794" i="50"/>
  <c r="N883" i="50"/>
  <c r="N2378" i="50"/>
  <c r="N2550" i="50"/>
  <c r="N1146" i="50"/>
  <c r="N1197" i="50"/>
  <c r="N1389" i="50"/>
  <c r="N924" i="50"/>
  <c r="N1333" i="50"/>
  <c r="V2123" i="50"/>
  <c r="N2382" i="50"/>
  <c r="V1630" i="50"/>
  <c r="N1569" i="50"/>
  <c r="N869" i="50"/>
  <c r="N2546" i="50"/>
  <c r="N2547" i="50" s="1"/>
  <c r="N2561" i="50" s="1"/>
  <c r="N2481" i="50"/>
  <c r="N2212" i="50"/>
  <c r="N1061" i="50"/>
  <c r="N2136" i="50"/>
  <c r="N1019" i="50"/>
  <c r="N482" i="50"/>
  <c r="N1798" i="50"/>
  <c r="N2199" i="50"/>
  <c r="N2269" i="50"/>
  <c r="N91" i="50"/>
  <c r="N1511" i="50"/>
  <c r="N160" i="50"/>
  <c r="N2045" i="50"/>
  <c r="N650" i="50"/>
  <c r="N2123" i="50"/>
  <c r="V2373" i="50"/>
  <c r="N1744" i="50"/>
  <c r="N1466" i="50"/>
  <c r="N1703" i="50"/>
  <c r="N2442" i="50"/>
  <c r="N2386" i="50"/>
  <c r="N1169" i="50"/>
  <c r="V2341" i="50"/>
  <c r="N1853" i="50"/>
  <c r="N2061" i="50"/>
  <c r="N2498" i="50"/>
  <c r="N2257" i="50"/>
  <c r="N1405" i="50"/>
  <c r="N2203" i="50"/>
  <c r="N827" i="50"/>
  <c r="J624" i="42"/>
  <c r="V624" i="42" s="1"/>
  <c r="J589" i="42"/>
  <c r="V589" i="42" s="1"/>
  <c r="AE561" i="42"/>
  <c r="J156" i="42"/>
  <c r="J321" i="42"/>
  <c r="AE321" i="42" s="1"/>
  <c r="J601" i="42"/>
  <c r="V601" i="42" s="1"/>
  <c r="J474" i="42"/>
  <c r="V474" i="42" s="1"/>
  <c r="J909" i="42"/>
  <c r="AE776" i="42"/>
  <c r="AE462" i="42"/>
  <c r="J551" i="42"/>
  <c r="V551" i="42" s="1"/>
  <c r="J866" i="42"/>
  <c r="AE866" i="42" s="1"/>
  <c r="AE466" i="42"/>
  <c r="AE969" i="42"/>
  <c r="AE448" i="42"/>
  <c r="J152" i="42"/>
  <c r="V168" i="42" s="1"/>
  <c r="J1103" i="42"/>
  <c r="V1106" i="42" s="1"/>
  <c r="AE470" i="42"/>
  <c r="J1097" i="42"/>
  <c r="V1097" i="42" s="1"/>
  <c r="AE233" i="42"/>
  <c r="J211" i="42"/>
  <c r="J462" i="42"/>
  <c r="V462" i="42" s="1"/>
  <c r="J1149" i="42"/>
  <c r="AE782" i="42"/>
  <c r="J225" i="42"/>
  <c r="V225" i="42" s="1"/>
  <c r="J380" i="42"/>
  <c r="J233" i="42"/>
  <c r="V233" i="42" s="1"/>
  <c r="J738" i="42"/>
  <c r="J593" i="42"/>
  <c r="V593" i="42" s="1"/>
  <c r="J501" i="42"/>
  <c r="V501" i="42" s="1"/>
  <c r="J237" i="42"/>
  <c r="V237" i="42" s="1"/>
  <c r="J478" i="42"/>
  <c r="V478" i="42" s="1"/>
  <c r="J470" i="42"/>
  <c r="V470" i="42" s="1"/>
  <c r="AE438" i="42"/>
  <c r="J466" i="42"/>
  <c r="V466" i="42" s="1"/>
  <c r="AE589" i="42"/>
  <c r="J84" i="42"/>
  <c r="AE84" i="42" s="1"/>
  <c r="J241" i="42"/>
  <c r="V241" i="42" s="1"/>
  <c r="J747" i="42"/>
  <c r="V763" i="42" s="1"/>
  <c r="J1089" i="42"/>
  <c r="AE585" i="42"/>
  <c r="AE571" i="42"/>
  <c r="J782" i="42"/>
  <c r="V783" i="42" s="1"/>
  <c r="AE551" i="42"/>
  <c r="J722" i="42"/>
  <c r="AE191" i="42"/>
  <c r="J191" i="42"/>
  <c r="V191" i="42" s="1"/>
  <c r="J811" i="42"/>
  <c r="V811" i="42" s="1"/>
  <c r="J256" i="42"/>
  <c r="V256" i="42" s="1"/>
  <c r="AE225" i="42"/>
  <c r="AE593" i="42"/>
  <c r="J264" i="42"/>
  <c r="V264" i="42" s="1"/>
  <c r="J428" i="42"/>
  <c r="V428" i="42" s="1"/>
  <c r="J934" i="42"/>
  <c r="V950" i="42" s="1"/>
  <c r="J143" i="42"/>
  <c r="AE963" i="42"/>
  <c r="J938" i="42"/>
  <c r="J585" i="42"/>
  <c r="V585" i="42" s="1"/>
  <c r="J571" i="42"/>
  <c r="J616" i="42"/>
  <c r="V616" i="42" s="1"/>
  <c r="J448" i="42"/>
  <c r="J989" i="42"/>
  <c r="J393" i="42"/>
  <c r="J19" i="42"/>
  <c r="V19" i="42" s="1"/>
  <c r="AE241" i="42"/>
  <c r="J493" i="42"/>
  <c r="V493" i="42" s="1"/>
  <c r="J929" i="42"/>
  <c r="V929" i="42" s="1"/>
  <c r="AE428" i="42"/>
  <c r="AE211" i="42"/>
  <c r="AE237" i="42"/>
  <c r="J963" i="42"/>
  <c r="V963" i="42" s="1"/>
  <c r="J364" i="42"/>
  <c r="J27" i="42"/>
  <c r="V27" i="42" s="1"/>
  <c r="AE229" i="42"/>
  <c r="J751" i="42"/>
  <c r="J229" i="42"/>
  <c r="V229" i="42" s="1"/>
  <c r="J201" i="42"/>
  <c r="J997" i="42"/>
  <c r="V997" i="42" s="1"/>
  <c r="J561" i="42"/>
  <c r="J925" i="42"/>
  <c r="J438" i="42"/>
  <c r="J507" i="42"/>
  <c r="V510" i="42" s="1"/>
  <c r="AE474" i="42"/>
  <c r="J776" i="42"/>
  <c r="V776" i="42" s="1"/>
  <c r="J384" i="42"/>
  <c r="V384" i="42" s="1"/>
  <c r="J389" i="42"/>
  <c r="V405" i="42" s="1"/>
  <c r="J147" i="42"/>
  <c r="V147" i="42" s="1"/>
  <c r="J969" i="42"/>
  <c r="V970" i="42" s="1"/>
  <c r="J127" i="42"/>
  <c r="J1003" i="42"/>
  <c r="V1006" i="42" s="1"/>
  <c r="J679" i="42"/>
  <c r="AE679" i="42" s="1"/>
  <c r="J742" i="42"/>
  <c r="V742" i="42" s="1"/>
  <c r="AE601" i="42"/>
  <c r="J597" i="42"/>
  <c r="V597" i="42" s="1"/>
  <c r="J803" i="42"/>
  <c r="V803" i="42" s="1"/>
  <c r="AE201" i="42"/>
  <c r="AE478" i="42"/>
  <c r="J1049" i="42"/>
  <c r="AE597" i="42"/>
  <c r="M424" i="47"/>
  <c r="M3245" i="37"/>
  <c r="M281" i="49"/>
  <c r="L99" i="41"/>
  <c r="L250" i="50" s="1"/>
  <c r="L118" i="41"/>
  <c r="L44" i="41"/>
  <c r="L138" i="41"/>
  <c r="L273" i="50" s="1"/>
  <c r="L93" i="41"/>
  <c r="L246" i="50" s="1"/>
  <c r="L239" i="41"/>
  <c r="L306" i="41"/>
  <c r="L394" i="50" s="1"/>
  <c r="L276" i="41"/>
  <c r="L368" i="50" s="1"/>
  <c r="L56" i="41"/>
  <c r="L188" i="41"/>
  <c r="L312" i="50" s="1"/>
  <c r="L335" i="41"/>
  <c r="L420" i="50" s="1"/>
  <c r="L260" i="41"/>
  <c r="L354" i="50" s="1"/>
  <c r="L176" i="41"/>
  <c r="L302" i="50" s="1"/>
  <c r="L146" i="41"/>
  <c r="L279" i="50" s="1"/>
  <c r="L110" i="41"/>
  <c r="L257" i="50" s="1"/>
  <c r="L295" i="41"/>
  <c r="L384" i="50" s="1"/>
  <c r="L217" i="41"/>
  <c r="L334" i="50" s="1"/>
  <c r="L321" i="41"/>
  <c r="L408" i="50" s="1"/>
  <c r="L287" i="41"/>
  <c r="L377" i="50" s="1"/>
  <c r="L15" i="41"/>
  <c r="Z15" i="41" s="1"/>
  <c r="L227" i="41"/>
  <c r="L342" i="50" s="1"/>
  <c r="L206" i="41"/>
  <c r="L325" i="50" s="1"/>
  <c r="L363" i="41"/>
  <c r="L442" i="50" s="1"/>
  <c r="L34" i="41"/>
  <c r="L411" i="41"/>
  <c r="K260" i="41"/>
  <c r="K354" i="50" s="1"/>
  <c r="K287" i="41"/>
  <c r="K377" i="50" s="1"/>
  <c r="K15" i="41"/>
  <c r="Y15" i="41" s="1"/>
  <c r="K335" i="41"/>
  <c r="K420" i="50" s="1"/>
  <c r="K44" i="41"/>
  <c r="K411" i="41"/>
  <c r="K138" i="41"/>
  <c r="K273" i="50" s="1"/>
  <c r="K176" i="41"/>
  <c r="K302" i="50" s="1"/>
  <c r="K188" i="41"/>
  <c r="K312" i="50" s="1"/>
  <c r="K118" i="41"/>
  <c r="K34" i="41"/>
  <c r="K110" i="41"/>
  <c r="K257" i="50" s="1"/>
  <c r="K276" i="41"/>
  <c r="K368" i="50" s="1"/>
  <c r="K146" i="41"/>
  <c r="K279" i="50" s="1"/>
  <c r="K93" i="41"/>
  <c r="K246" i="50" s="1"/>
  <c r="K295" i="41"/>
  <c r="K384" i="50" s="1"/>
  <c r="K217" i="41"/>
  <c r="K334" i="50" s="1"/>
  <c r="K321" i="41"/>
  <c r="K408" i="50" s="1"/>
  <c r="K363" i="41"/>
  <c r="K442" i="50" s="1"/>
  <c r="K306" i="41"/>
  <c r="K394" i="50" s="1"/>
  <c r="K99" i="41"/>
  <c r="K250" i="50" s="1"/>
  <c r="K227" i="41"/>
  <c r="K342" i="50" s="1"/>
  <c r="K206" i="41"/>
  <c r="K325" i="50" s="1"/>
  <c r="K56" i="41"/>
  <c r="K239" i="41"/>
  <c r="N281" i="49"/>
  <c r="N3245" i="37"/>
  <c r="N424" i="47"/>
  <c r="J281" i="49"/>
  <c r="J424" i="47"/>
  <c r="J3245" i="37"/>
  <c r="M276" i="41"/>
  <c r="M368" i="50" s="1"/>
  <c r="M295" i="41"/>
  <c r="M384" i="50" s="1"/>
  <c r="M306" i="41"/>
  <c r="M394" i="50" s="1"/>
  <c r="M93" i="41"/>
  <c r="M246" i="50" s="1"/>
  <c r="M138" i="41"/>
  <c r="M273" i="50" s="1"/>
  <c r="M335" i="41"/>
  <c r="M420" i="50" s="1"/>
  <c r="M260" i="41"/>
  <c r="M354" i="50" s="1"/>
  <c r="M287" i="41"/>
  <c r="M377" i="50" s="1"/>
  <c r="M411" i="41"/>
  <c r="M44" i="41"/>
  <c r="M188" i="41"/>
  <c r="M312" i="50" s="1"/>
  <c r="M99" i="41"/>
  <c r="M250" i="50" s="1"/>
  <c r="M217" i="41"/>
  <c r="M334" i="50" s="1"/>
  <c r="M363" i="41"/>
  <c r="M442" i="50" s="1"/>
  <c r="M56" i="41"/>
  <c r="M227" i="41"/>
  <c r="M342" i="50" s="1"/>
  <c r="M34" i="41"/>
  <c r="M146" i="41"/>
  <c r="M279" i="50" s="1"/>
  <c r="M110" i="41"/>
  <c r="M257" i="50" s="1"/>
  <c r="M176" i="41"/>
  <c r="M302" i="50" s="1"/>
  <c r="M239" i="41"/>
  <c r="M15" i="41"/>
  <c r="AA15" i="41" s="1"/>
  <c r="M206" i="41"/>
  <c r="M325" i="50" s="1"/>
  <c r="M321" i="41"/>
  <c r="M408" i="50" s="1"/>
  <c r="M118" i="41"/>
  <c r="L155" i="47"/>
  <c r="L94" i="47"/>
  <c r="L207" i="47"/>
  <c r="L328" i="47"/>
  <c r="L397" i="47"/>
  <c r="X397" i="47" s="1"/>
  <c r="L216" i="47"/>
  <c r="L254" i="47"/>
  <c r="AG254" i="47" s="1"/>
  <c r="L31" i="47"/>
  <c r="AG31" i="47" s="1"/>
  <c r="L219" i="47"/>
  <c r="X219" i="47" s="1"/>
  <c r="X228" i="47" s="1"/>
  <c r="L335" i="47"/>
  <c r="L322" i="47"/>
  <c r="AG322" i="47" s="1"/>
  <c r="L188" i="47"/>
  <c r="L225" i="47"/>
  <c r="L128" i="47"/>
  <c r="L196" i="47"/>
  <c r="L269" i="47"/>
  <c r="L364" i="47"/>
  <c r="L180" i="47"/>
  <c r="AG180" i="47" s="1"/>
  <c r="L112" i="47"/>
  <c r="AG112" i="47" s="1"/>
  <c r="L354" i="47"/>
  <c r="AG354" i="47" s="1"/>
  <c r="L289" i="47"/>
  <c r="AG289" i="47" s="1"/>
  <c r="L386" i="47"/>
  <c r="AG386" i="47" s="1"/>
  <c r="L302" i="47"/>
  <c r="L162" i="47"/>
  <c r="L146" i="47"/>
  <c r="AG146" i="47" s="1"/>
  <c r="L295" i="47"/>
  <c r="L403" i="47"/>
  <c r="X406" i="47" s="1"/>
  <c r="L121" i="47"/>
  <c r="K20" i="37"/>
  <c r="K1785" i="37"/>
  <c r="K225" i="37"/>
  <c r="W225" i="37" s="1"/>
  <c r="K2507" i="37"/>
  <c r="K2805" i="37"/>
  <c r="K968" i="37"/>
  <c r="K2968" i="37"/>
  <c r="W2971" i="37" s="1"/>
  <c r="K2204" i="37"/>
  <c r="W2204" i="37" s="1"/>
  <c r="K2498" i="37"/>
  <c r="K356" i="37"/>
  <c r="W356" i="37" s="1"/>
  <c r="K2252" i="37"/>
  <c r="K964" i="37"/>
  <c r="K3222" i="37"/>
  <c r="K2195" i="37"/>
  <c r="K922" i="37"/>
  <c r="W925" i="37" s="1"/>
  <c r="K739" i="37"/>
  <c r="W742" i="37" s="1"/>
  <c r="K244" i="37"/>
  <c r="K2210" i="37"/>
  <c r="W2213" i="37" s="1"/>
  <c r="K932" i="37"/>
  <c r="W934" i="37" s="1"/>
  <c r="K411" i="37"/>
  <c r="W411" i="37" s="1"/>
  <c r="K1328" i="37"/>
  <c r="W1331" i="37" s="1"/>
  <c r="K2134" i="37"/>
  <c r="W2138" i="37" s="1"/>
  <c r="K167" i="37"/>
  <c r="W167" i="37" s="1"/>
  <c r="K877" i="37"/>
  <c r="W877" i="37" s="1"/>
  <c r="K3088" i="37"/>
  <c r="W3092" i="37" s="1"/>
  <c r="K684" i="37"/>
  <c r="W687" i="37" s="1"/>
  <c r="K1055" i="37"/>
  <c r="W1055" i="37" s="1"/>
  <c r="K555" i="37"/>
  <c r="W555" i="37" s="1"/>
  <c r="K1383" i="37"/>
  <c r="W1386" i="37" s="1"/>
  <c r="K1030" i="37"/>
  <c r="W1030" i="37" s="1"/>
  <c r="K3186" i="37"/>
  <c r="W3188" i="37" s="1"/>
  <c r="K2578" i="37"/>
  <c r="K3123" i="37"/>
  <c r="W3123" i="37" s="1"/>
  <c r="K1195" i="37"/>
  <c r="K112" i="37"/>
  <c r="K941" i="37"/>
  <c r="W944" i="37" s="1"/>
  <c r="K1650" i="37"/>
  <c r="W1653" i="37" s="1"/>
  <c r="K2551" i="37"/>
  <c r="W2554" i="37" s="1"/>
  <c r="K1930" i="37"/>
  <c r="K1199" i="37"/>
  <c r="W1199" i="37" s="1"/>
  <c r="K566" i="37"/>
  <c r="K2238" i="37"/>
  <c r="W2238" i="37" s="1"/>
  <c r="K64" i="37"/>
  <c r="W64" i="37" s="1"/>
  <c r="K811" i="37"/>
  <c r="W811" i="37" s="1"/>
  <c r="K2864" i="37"/>
  <c r="W2866" i="37" s="1"/>
  <c r="K2526" i="37"/>
  <c r="W2526" i="37" s="1"/>
  <c r="K708" i="37"/>
  <c r="W708" i="37" s="1"/>
  <c r="K1244" i="37"/>
  <c r="W1247" i="37" s="1"/>
  <c r="K547" i="37"/>
  <c r="W547" i="37" s="1"/>
  <c r="K860" i="37"/>
  <c r="W860" i="37" s="1"/>
  <c r="K2274" i="37"/>
  <c r="W2274" i="37" s="1"/>
  <c r="K897" i="37"/>
  <c r="K594" i="37"/>
  <c r="W594" i="37" s="1"/>
  <c r="K2801" i="37"/>
  <c r="W2801" i="37" s="1"/>
  <c r="K1182" i="37"/>
  <c r="W1182" i="37" s="1"/>
  <c r="K1322" i="37"/>
  <c r="W1322" i="37" s="1"/>
  <c r="K1644" i="37"/>
  <c r="W1644" i="37" s="1"/>
  <c r="K1358" i="37"/>
  <c r="W1361" i="37" s="1"/>
  <c r="K324" i="37"/>
  <c r="K1238" i="37"/>
  <c r="W1238" i="37" s="1"/>
  <c r="K2848" i="37"/>
  <c r="W2848" i="37" s="1"/>
  <c r="K1000" i="37"/>
  <c r="W1000" i="37" s="1"/>
  <c r="K1585" i="37"/>
  <c r="W1588" i="37" s="1"/>
  <c r="K1812" i="37"/>
  <c r="W1816" i="37" s="1"/>
  <c r="K392" i="37"/>
  <c r="W395" i="37" s="1"/>
  <c r="K2456" i="37"/>
  <c r="W2460" i="37" s="1"/>
  <c r="K1882" i="37"/>
  <c r="W1882" i="37" s="1"/>
  <c r="K2099" i="37"/>
  <c r="W2099" i="37" s="1"/>
  <c r="K916" i="37"/>
  <c r="W916" i="37" s="1"/>
  <c r="K190" i="37"/>
  <c r="W194" i="37" s="1"/>
  <c r="K2483" i="37"/>
  <c r="K229" i="37"/>
  <c r="K3176" i="37"/>
  <c r="W3179" i="37" s="1"/>
  <c r="K3161" i="37"/>
  <c r="K3218" i="37"/>
  <c r="K2185" i="37"/>
  <c r="K2778" i="37"/>
  <c r="W2782" i="37" s="1"/>
  <c r="K1308" i="37"/>
  <c r="W1308" i="37" s="1"/>
  <c r="K288" i="37"/>
  <c r="W290" i="37" s="1"/>
  <c r="K600" i="37"/>
  <c r="W603" i="37" s="1"/>
  <c r="K1463" i="37"/>
  <c r="K175" i="37"/>
  <c r="K2349" i="37"/>
  <c r="W2352" i="37" s="1"/>
  <c r="K551" i="37"/>
  <c r="K2294" i="37"/>
  <c r="W2297" i="37" s="1"/>
  <c r="K1210" i="37"/>
  <c r="K1272" i="37"/>
  <c r="W1272" i="37" s="1"/>
  <c r="K3127" i="37"/>
  <c r="K2873" i="37"/>
  <c r="W2876" i="37" s="1"/>
  <c r="K1254" i="37"/>
  <c r="W1256" i="37" s="1"/>
  <c r="K1513" i="37"/>
  <c r="W1513" i="37" s="1"/>
  <c r="K2220" i="37"/>
  <c r="W2222" i="37" s="1"/>
  <c r="K2444" i="37"/>
  <c r="W2448" i="37" s="1"/>
  <c r="K2932" i="37"/>
  <c r="W2932" i="37" s="1"/>
  <c r="K1777" i="37"/>
  <c r="W1777" i="37" s="1"/>
  <c r="K646" i="37"/>
  <c r="K2665" i="37"/>
  <c r="W2665" i="37" s="1"/>
  <c r="K1972" i="37"/>
  <c r="W1975" i="37" s="1"/>
  <c r="K1290" i="37"/>
  <c r="K1826" i="37"/>
  <c r="W1826" i="37" s="1"/>
  <c r="K1952" i="37"/>
  <c r="W1952" i="37" s="1"/>
  <c r="K678" i="37"/>
  <c r="W678" i="37" s="1"/>
  <c r="K2839" i="37"/>
  <c r="K362" i="37"/>
  <c r="W365" i="37" s="1"/>
  <c r="K3204" i="37"/>
  <c r="W3204" i="37" s="1"/>
  <c r="K2938" i="37"/>
  <c r="W2941" i="37" s="1"/>
  <c r="K2896" i="37"/>
  <c r="K2542" i="37"/>
  <c r="W2544" i="37" s="1"/>
  <c r="K512" i="37"/>
  <c r="W516" i="37" s="1"/>
  <c r="K2962" i="37"/>
  <c r="W2962" i="37" s="1"/>
  <c r="K1839" i="37"/>
  <c r="K1517" i="37"/>
  <c r="K1566" i="37"/>
  <c r="W1569" i="37" s="1"/>
  <c r="K3248" i="37"/>
  <c r="K3100" i="37"/>
  <c r="W3104" i="37" s="1"/>
  <c r="K1898" i="37"/>
  <c r="W1900" i="37" s="1"/>
  <c r="K2610" i="37"/>
  <c r="W2610" i="37" s="1"/>
  <c r="K2002" i="37"/>
  <c r="W2005" i="37" s="1"/>
  <c r="K2854" i="37"/>
  <c r="W2857" i="37" s="1"/>
  <c r="K2165" i="37"/>
  <c r="W2165" i="37" s="1"/>
  <c r="K1705" i="37"/>
  <c r="W1708" i="37" s="1"/>
  <c r="K278" i="37"/>
  <c r="W281" i="37" s="1"/>
  <c r="K2766" i="37"/>
  <c r="W2770" i="37" s="1"/>
  <c r="K2900" i="37"/>
  <c r="K320" i="37"/>
  <c r="K1006" i="37"/>
  <c r="W1009" i="37" s="1"/>
  <c r="K538" i="37"/>
  <c r="W538" i="37" s="1"/>
  <c r="K2421" i="37"/>
  <c r="W2421" i="37" s="1"/>
  <c r="K1576" i="37"/>
  <c r="W1578" i="37" s="1"/>
  <c r="K642" i="37"/>
  <c r="K1907" i="37"/>
  <c r="W1910" i="37" s="1"/>
  <c r="K1541" i="37"/>
  <c r="K714" i="37"/>
  <c r="W717" i="37" s="1"/>
  <c r="K1036" i="37"/>
  <c r="W1039" i="37" s="1"/>
  <c r="K1133" i="37"/>
  <c r="W1133" i="37" s="1"/>
  <c r="K834" i="37"/>
  <c r="W838" i="37" s="1"/>
  <c r="K1219" i="37"/>
  <c r="K1835" i="37"/>
  <c r="W1835" i="37" s="1"/>
  <c r="K1612" i="37"/>
  <c r="K2148" i="37"/>
  <c r="W2148" i="37" s="1"/>
  <c r="K2429" i="37"/>
  <c r="K1560" i="37"/>
  <c r="W1560" i="37" s="1"/>
  <c r="K1854" i="37"/>
  <c r="K2829" i="37"/>
  <c r="K1229" i="37"/>
  <c r="K386" i="37"/>
  <c r="W386" i="37" s="1"/>
  <c r="K846" i="37"/>
  <c r="W850" i="37" s="1"/>
  <c r="K1630" i="37"/>
  <c r="W1630" i="37" s="1"/>
  <c r="K1352" i="37"/>
  <c r="W1352" i="37" s="1"/>
  <c r="K2792" i="37"/>
  <c r="W2792" i="37" s="1"/>
  <c r="K1680" i="37"/>
  <c r="W1683" i="37" s="1"/>
  <c r="K497" i="37"/>
  <c r="K1608" i="37"/>
  <c r="K342" i="37"/>
  <c r="W342" i="37" s="1"/>
  <c r="K2229" i="37"/>
  <c r="W2232" i="37" s="1"/>
  <c r="K3131" i="37"/>
  <c r="W3131" i="37" s="1"/>
  <c r="K1934" i="37"/>
  <c r="K2560" i="37"/>
  <c r="W2560" i="37" s="1"/>
  <c r="K2882" i="37"/>
  <c r="W2882" i="37" s="1"/>
  <c r="K907" i="37"/>
  <c r="K2479" i="37"/>
  <c r="W2479" i="37" s="1"/>
  <c r="K1478" i="37"/>
  <c r="W1482" i="37" s="1"/>
  <c r="K2107" i="37"/>
  <c r="K2918" i="37"/>
  <c r="W2918" i="37" s="1"/>
  <c r="K610" i="37"/>
  <c r="W612" i="37" s="1"/>
  <c r="K1521" i="37"/>
  <c r="W1521" i="37" s="1"/>
  <c r="K1996" i="37"/>
  <c r="W1996" i="37" s="1"/>
  <c r="K2318" i="37"/>
  <c r="W2318" i="37" s="1"/>
  <c r="K869" i="37"/>
  <c r="W869" i="37" s="1"/>
  <c r="K3253" i="37"/>
  <c r="K3073" i="37"/>
  <c r="K1168" i="37"/>
  <c r="W1172" i="37" s="1"/>
  <c r="K3114" i="37"/>
  <c r="W3114" i="37" s="1"/>
  <c r="K40" i="37"/>
  <c r="W43" i="37" s="1"/>
  <c r="K2646" i="37"/>
  <c r="W2649" i="37" s="1"/>
  <c r="K253" i="37"/>
  <c r="K2021" i="37"/>
  <c r="W2021" i="37" s="1"/>
  <c r="K2640" i="37"/>
  <c r="W2640" i="37" s="1"/>
  <c r="K1873" i="37"/>
  <c r="K1286" i="37"/>
  <c r="K3065" i="37"/>
  <c r="W3065" i="37" s="1"/>
  <c r="K70" i="37"/>
  <c r="W73" i="37" s="1"/>
  <c r="K1191" i="37"/>
  <c r="W1191" i="37" s="1"/>
  <c r="K3170" i="37"/>
  <c r="W3170" i="37" s="1"/>
  <c r="K2470" i="37"/>
  <c r="W2470" i="37" s="1"/>
  <c r="K2487" i="37"/>
  <c r="W2487" i="37" s="1"/>
  <c r="K2324" i="37"/>
  <c r="W2327" i="37" s="1"/>
  <c r="K263" i="37"/>
  <c r="K2027" i="37"/>
  <c r="W2030" i="37" s="1"/>
  <c r="K585" i="37"/>
  <c r="K819" i="37"/>
  <c r="K1916" i="37"/>
  <c r="W1916" i="37" s="1"/>
  <c r="K950" i="37"/>
  <c r="W950" i="37" s="1"/>
  <c r="K3151" i="37"/>
  <c r="K986" i="37"/>
  <c r="W986" i="37" s="1"/>
  <c r="K2161" i="37"/>
  <c r="K2532" i="37"/>
  <c r="W2535" i="37" s="1"/>
  <c r="K1843" i="37"/>
  <c r="W1843" i="37" s="1"/>
  <c r="K2517" i="37"/>
  <c r="K233" i="37"/>
  <c r="W233" i="37" s="1"/>
  <c r="K1551" i="37"/>
  <c r="K89" i="37"/>
  <c r="W89" i="37" s="1"/>
  <c r="K2616" i="37"/>
  <c r="W2619" i="37" s="1"/>
  <c r="K1455" i="37"/>
  <c r="W1455" i="37" s="1"/>
  <c r="K2987" i="37"/>
  <c r="W2987" i="37" s="1"/>
  <c r="K2820" i="37"/>
  <c r="K2122" i="37"/>
  <c r="W2126" i="37" s="1"/>
  <c r="K2256" i="37"/>
  <c r="K3195" i="37"/>
  <c r="W3198" i="37" s="1"/>
  <c r="K1699" i="37"/>
  <c r="W1699" i="37" s="1"/>
  <c r="K575" i="37"/>
  <c r="K1263" i="37"/>
  <c r="W1266" i="37" s="1"/>
  <c r="K2288" i="37"/>
  <c r="W2288" i="37" s="1"/>
  <c r="K1377" i="37"/>
  <c r="W1377" i="37" s="1"/>
  <c r="K628" i="37"/>
  <c r="W628" i="37" s="1"/>
  <c r="K1888" i="37"/>
  <c r="W1891" i="37" s="1"/>
  <c r="K272" i="37"/>
  <c r="W272" i="37" s="1"/>
  <c r="K2596" i="37"/>
  <c r="W2596" i="37" s="1"/>
  <c r="K2751" i="37"/>
  <c r="K1156" i="37"/>
  <c r="W1160" i="37" s="1"/>
  <c r="K2176" i="37"/>
  <c r="K873" i="37"/>
  <c r="K489" i="37"/>
  <c r="W489" i="37" s="1"/>
  <c r="K2343" i="37"/>
  <c r="W2343" i="37" s="1"/>
  <c r="K1141" i="37"/>
  <c r="K306" i="37"/>
  <c r="W306" i="37" s="1"/>
  <c r="K1966" i="37"/>
  <c r="W1966" i="37" s="1"/>
  <c r="K888" i="37"/>
  <c r="K1061" i="37"/>
  <c r="W1064" i="37" s="1"/>
  <c r="K3142" i="37"/>
  <c r="K2743" i="37"/>
  <c r="W2743" i="37" s="1"/>
  <c r="K619" i="37"/>
  <c r="W622" i="37" s="1"/>
  <c r="K1504" i="37"/>
  <c r="W1504" i="37" s="1"/>
  <c r="K2574" i="37"/>
  <c r="K417" i="37"/>
  <c r="W420" i="37" s="1"/>
  <c r="K733" i="37"/>
  <c r="W733" i="37" s="1"/>
  <c r="K1490" i="37"/>
  <c r="W1494" i="37" s="1"/>
  <c r="K524" i="37"/>
  <c r="W528" i="37" s="1"/>
  <c r="K2993" i="37"/>
  <c r="W2996" i="37" s="1"/>
  <c r="K2809" i="37"/>
  <c r="W2809" i="37" s="1"/>
  <c r="K1863" i="37"/>
  <c r="K1800" i="37"/>
  <c r="W1804" i="37" s="1"/>
  <c r="K95" i="37"/>
  <c r="W98" i="37" s="1"/>
  <c r="K1532" i="37"/>
  <c r="K216" i="37"/>
  <c r="W216" i="37" s="1"/>
  <c r="K1594" i="37"/>
  <c r="W1594" i="37" s="1"/>
  <c r="K297" i="37"/>
  <c r="W300" i="37" s="1"/>
  <c r="K2157" i="37"/>
  <c r="W2157" i="37" s="1"/>
  <c r="K1674" i="37"/>
  <c r="W1674" i="37" s="1"/>
  <c r="K2671" i="37"/>
  <c r="W2674" i="37" s="1"/>
  <c r="K202" i="37"/>
  <c r="W206" i="37" s="1"/>
  <c r="K34" i="37"/>
  <c r="W34" i="37" s="1"/>
  <c r="K664" i="37"/>
  <c r="W664" i="37" s="1"/>
  <c r="N934" i="42"/>
  <c r="Z950" i="42" s="1"/>
  <c r="N1103" i="42"/>
  <c r="Z1106" i="42" s="1"/>
  <c r="AI201" i="42"/>
  <c r="AI229" i="42"/>
  <c r="N747" i="42"/>
  <c r="Z763" i="42" s="1"/>
  <c r="AI191" i="42"/>
  <c r="N616" i="42"/>
  <c r="Z616" i="42" s="1"/>
  <c r="N561" i="42"/>
  <c r="AI241" i="42"/>
  <c r="AI776" i="42"/>
  <c r="N507" i="42"/>
  <c r="Z510" i="42" s="1"/>
  <c r="N470" i="42"/>
  <c r="Z470" i="42" s="1"/>
  <c r="N597" i="42"/>
  <c r="Z597" i="42" s="1"/>
  <c r="N256" i="42"/>
  <c r="Z256" i="42" s="1"/>
  <c r="N501" i="42"/>
  <c r="Z501" i="42" s="1"/>
  <c r="N1003" i="42"/>
  <c r="Z1006" i="42" s="1"/>
  <c r="AI474" i="42"/>
  <c r="N776" i="42"/>
  <c r="Z776" i="42" s="1"/>
  <c r="N321" i="42"/>
  <c r="AI321" i="42" s="1"/>
  <c r="AI448" i="42"/>
  <c r="AI782" i="42"/>
  <c r="N191" i="42"/>
  <c r="Z191" i="42" s="1"/>
  <c r="AI233" i="42"/>
  <c r="N384" i="42"/>
  <c r="Z384" i="42" s="1"/>
  <c r="N233" i="42"/>
  <c r="Z233" i="42" s="1"/>
  <c r="N474" i="42"/>
  <c r="Z474" i="42" s="1"/>
  <c r="AI438" i="42"/>
  <c r="N448" i="42"/>
  <c r="N742" i="42"/>
  <c r="Z742" i="42" s="1"/>
  <c r="N127" i="42"/>
  <c r="N27" i="42"/>
  <c r="Z27" i="42" s="1"/>
  <c r="N225" i="42"/>
  <c r="Z225" i="42" s="1"/>
  <c r="AI561" i="42"/>
  <c r="N722" i="42"/>
  <c r="N462" i="42"/>
  <c r="Z462" i="42" s="1"/>
  <c r="N866" i="42"/>
  <c r="AI866" i="42" s="1"/>
  <c r="N963" i="42"/>
  <c r="Z963" i="42" s="1"/>
  <c r="N1149" i="42"/>
  <c r="AI478" i="42"/>
  <c r="N211" i="42"/>
  <c r="N478" i="42"/>
  <c r="Z478" i="42" s="1"/>
  <c r="AI963" i="42"/>
  <c r="AI466" i="42"/>
  <c r="N969" i="42"/>
  <c r="Z970" i="42" s="1"/>
  <c r="N493" i="42"/>
  <c r="Z493" i="42" s="1"/>
  <c r="N989" i="42"/>
  <c r="N751" i="42"/>
  <c r="AI969" i="42"/>
  <c r="N811" i="42"/>
  <c r="Z811" i="42" s="1"/>
  <c r="N624" i="42"/>
  <c r="Z624" i="42" s="1"/>
  <c r="N585" i="42"/>
  <c r="Z585" i="42" s="1"/>
  <c r="N571" i="42"/>
  <c r="N264" i="42"/>
  <c r="Z264" i="42" s="1"/>
  <c r="N551" i="42"/>
  <c r="Z551" i="42" s="1"/>
  <c r="AI551" i="42"/>
  <c r="AI470" i="42"/>
  <c r="N1089" i="42"/>
  <c r="AI211" i="42"/>
  <c r="AI237" i="42"/>
  <c r="N593" i="42"/>
  <c r="Z593" i="42" s="1"/>
  <c r="N147" i="42"/>
  <c r="Z147" i="42" s="1"/>
  <c r="AI585" i="42"/>
  <c r="AI571" i="42"/>
  <c r="N389" i="42"/>
  <c r="Z405" i="42" s="1"/>
  <c r="N152" i="42"/>
  <c r="Z168" i="42" s="1"/>
  <c r="N997" i="42"/>
  <c r="Z997" i="42" s="1"/>
  <c r="N428" i="42"/>
  <c r="Z428" i="42" s="1"/>
  <c r="N393" i="42"/>
  <c r="N925" i="42"/>
  <c r="AI428" i="42"/>
  <c r="N1097" i="42"/>
  <c r="Z1097" i="42" s="1"/>
  <c r="N156" i="42"/>
  <c r="N19" i="42"/>
  <c r="Z19" i="42" s="1"/>
  <c r="N201" i="42"/>
  <c r="AI589" i="42"/>
  <c r="N938" i="42"/>
  <c r="N143" i="42"/>
  <c r="N803" i="42"/>
  <c r="Z803" i="42" s="1"/>
  <c r="AI593" i="42"/>
  <c r="N438" i="42"/>
  <c r="N380" i="42"/>
  <c r="N84" i="42"/>
  <c r="AI84" i="42" s="1"/>
  <c r="N229" i="42"/>
  <c r="Z229" i="42" s="1"/>
  <c r="N782" i="42"/>
  <c r="Z783" i="42" s="1"/>
  <c r="AI601" i="42"/>
  <c r="N929" i="42"/>
  <c r="Z929" i="42" s="1"/>
  <c r="N909" i="42"/>
  <c r="N679" i="42"/>
  <c r="AI679" i="42" s="1"/>
  <c r="N589" i="42"/>
  <c r="Z589" i="42" s="1"/>
  <c r="AI225" i="42"/>
  <c r="N364" i="42"/>
  <c r="AI597" i="42"/>
  <c r="N237" i="42"/>
  <c r="Z237" i="42" s="1"/>
  <c r="N241" i="42"/>
  <c r="Z241" i="42" s="1"/>
  <c r="N601" i="42"/>
  <c r="Z601" i="42" s="1"/>
  <c r="N738" i="42"/>
  <c r="AI462" i="42"/>
  <c r="N466" i="42"/>
  <c r="Z466" i="42" s="1"/>
  <c r="J411" i="41"/>
  <c r="J138" i="41"/>
  <c r="J273" i="50" s="1"/>
  <c r="J287" i="41"/>
  <c r="J377" i="50" s="1"/>
  <c r="J276" i="41"/>
  <c r="J368" i="50" s="1"/>
  <c r="J227" i="41"/>
  <c r="J342" i="50" s="1"/>
  <c r="J260" i="41"/>
  <c r="J354" i="50" s="1"/>
  <c r="J206" i="41"/>
  <c r="J325" i="50" s="1"/>
  <c r="J99" i="41"/>
  <c r="J250" i="50" s="1"/>
  <c r="J363" i="41"/>
  <c r="J442" i="50" s="1"/>
  <c r="J306" i="41"/>
  <c r="J394" i="50" s="1"/>
  <c r="J239" i="41"/>
  <c r="J321" i="41"/>
  <c r="J408" i="50" s="1"/>
  <c r="J110" i="41"/>
  <c r="J257" i="50" s="1"/>
  <c r="J217" i="41"/>
  <c r="J334" i="50" s="1"/>
  <c r="J146" i="41"/>
  <c r="J279" i="50" s="1"/>
  <c r="J295" i="41"/>
  <c r="J384" i="50" s="1"/>
  <c r="J34" i="41"/>
  <c r="J15" i="41"/>
  <c r="X15" i="41" s="1"/>
  <c r="J118" i="41"/>
  <c r="J176" i="41"/>
  <c r="J302" i="50" s="1"/>
  <c r="J335" i="41"/>
  <c r="J420" i="50" s="1"/>
  <c r="J93" i="41"/>
  <c r="J246" i="50" s="1"/>
  <c r="J188" i="41"/>
  <c r="J312" i="50" s="1"/>
  <c r="J56" i="41"/>
  <c r="J44" i="41"/>
  <c r="M266" i="49"/>
  <c r="M211" i="49"/>
  <c r="M118" i="49"/>
  <c r="M261" i="49"/>
  <c r="X20" i="49"/>
  <c r="M56" i="49"/>
  <c r="M251" i="49"/>
  <c r="W251" i="49" s="1"/>
  <c r="M237" i="49"/>
  <c r="M66" i="49"/>
  <c r="M72" i="49"/>
  <c r="M242" i="49"/>
  <c r="M122" i="49"/>
  <c r="M20" i="49"/>
  <c r="AG20" i="49" s="1"/>
  <c r="M197" i="49"/>
  <c r="M105" i="49"/>
  <c r="M150" i="49"/>
  <c r="M127" i="49"/>
  <c r="M99" i="49"/>
  <c r="M218" i="49"/>
  <c r="M135" i="49"/>
  <c r="M145" i="49"/>
  <c r="M247" i="49"/>
  <c r="M91" i="49"/>
  <c r="M34" i="49"/>
  <c r="M184" i="49"/>
  <c r="M140" i="49"/>
  <c r="M114" i="49"/>
  <c r="M61" i="49"/>
  <c r="M82" i="49"/>
  <c r="M190" i="49"/>
  <c r="M202" i="49"/>
  <c r="W202" i="49" s="1"/>
  <c r="L61" i="49"/>
  <c r="L197" i="49"/>
  <c r="L184" i="49"/>
  <c r="L82" i="49"/>
  <c r="L150" i="49"/>
  <c r="L20" i="49"/>
  <c r="AF20" i="49" s="1"/>
  <c r="L266" i="49"/>
  <c r="L237" i="49"/>
  <c r="L211" i="49"/>
  <c r="L247" i="49"/>
  <c r="L190" i="49"/>
  <c r="L91" i="49"/>
  <c r="L66" i="49"/>
  <c r="L127" i="49"/>
  <c r="L99" i="49"/>
  <c r="L56" i="49"/>
  <c r="L105" i="49"/>
  <c r="L242" i="49"/>
  <c r="L34" i="49"/>
  <c r="L145" i="49"/>
  <c r="L140" i="49"/>
  <c r="L118" i="49"/>
  <c r="L218" i="49"/>
  <c r="L202" i="49"/>
  <c r="V202" i="49" s="1"/>
  <c r="L135" i="49"/>
  <c r="L261" i="49"/>
  <c r="W20" i="49"/>
  <c r="L114" i="49"/>
  <c r="L251" i="49"/>
  <c r="V251" i="49" s="1"/>
  <c r="L72" i="49"/>
  <c r="L122" i="49"/>
  <c r="K551" i="42"/>
  <c r="W551" i="42" s="1"/>
  <c r="K624" i="42"/>
  <c r="W624" i="42" s="1"/>
  <c r="K462" i="42"/>
  <c r="W462" i="42" s="1"/>
  <c r="K1097" i="42"/>
  <c r="W1097" i="42" s="1"/>
  <c r="K501" i="42"/>
  <c r="W501" i="42" s="1"/>
  <c r="K156" i="42"/>
  <c r="K1003" i="42"/>
  <c r="W1006" i="42" s="1"/>
  <c r="K1089" i="42"/>
  <c r="K747" i="42"/>
  <c r="W763" i="42" s="1"/>
  <c r="K782" i="42"/>
  <c r="W783" i="42" s="1"/>
  <c r="AF601" i="42"/>
  <c r="AF201" i="42"/>
  <c r="K84" i="42"/>
  <c r="AF84" i="42" s="1"/>
  <c r="AF211" i="42"/>
  <c r="K751" i="42"/>
  <c r="K616" i="42"/>
  <c r="W616" i="42" s="1"/>
  <c r="K241" i="42"/>
  <c r="W241" i="42" s="1"/>
  <c r="AF428" i="42"/>
  <c r="AF241" i="42"/>
  <c r="K934" i="42"/>
  <c r="W950" i="42" s="1"/>
  <c r="K478" i="42"/>
  <c r="W478" i="42" s="1"/>
  <c r="K929" i="42"/>
  <c r="W929" i="42" s="1"/>
  <c r="AF470" i="42"/>
  <c r="AF963" i="42"/>
  <c r="K997" i="42"/>
  <c r="W997" i="42" s="1"/>
  <c r="K256" i="42"/>
  <c r="W256" i="42" s="1"/>
  <c r="AF589" i="42"/>
  <c r="AF585" i="42"/>
  <c r="K229" i="42"/>
  <c r="W229" i="42" s="1"/>
  <c r="K679" i="42"/>
  <c r="AF679" i="42" s="1"/>
  <c r="K264" i="42"/>
  <c r="W264" i="42" s="1"/>
  <c r="AF969" i="42"/>
  <c r="K925" i="42"/>
  <c r="K448" i="42"/>
  <c r="AF233" i="42"/>
  <c r="K380" i="42"/>
  <c r="K585" i="42"/>
  <c r="W585" i="42" s="1"/>
  <c r="K147" i="42"/>
  <c r="W147" i="42" s="1"/>
  <c r="AF237" i="42"/>
  <c r="K866" i="42"/>
  <c r="AF866" i="42" s="1"/>
  <c r="K776" i="42"/>
  <c r="W776" i="42" s="1"/>
  <c r="AF438" i="42"/>
  <c r="AF448" i="42"/>
  <c r="K19" i="42"/>
  <c r="W19" i="42" s="1"/>
  <c r="K989" i="42"/>
  <c r="K938" i="42"/>
  <c r="K428" i="42"/>
  <c r="W428" i="42" s="1"/>
  <c r="K393" i="42"/>
  <c r="K211" i="42"/>
  <c r="AF551" i="42"/>
  <c r="K722" i="42"/>
  <c r="K225" i="42"/>
  <c r="W225" i="42" s="1"/>
  <c r="K1103" i="42"/>
  <c r="W1106" i="42" s="1"/>
  <c r="K438" i="42"/>
  <c r="AF571" i="42"/>
  <c r="K597" i="42"/>
  <c r="W597" i="42" s="1"/>
  <c r="K738" i="42"/>
  <c r="AF229" i="42"/>
  <c r="K143" i="42"/>
  <c r="AF466" i="42"/>
  <c r="K191" i="42"/>
  <c r="W191" i="42" s="1"/>
  <c r="AF474" i="42"/>
  <c r="AF478" i="42"/>
  <c r="K601" i="42"/>
  <c r="W601" i="42" s="1"/>
  <c r="K466" i="42"/>
  <c r="W466" i="42" s="1"/>
  <c r="K593" i="42"/>
  <c r="W593" i="42" s="1"/>
  <c r="K969" i="42"/>
  <c r="W970" i="42" s="1"/>
  <c r="K803" i="42"/>
  <c r="W803" i="42" s="1"/>
  <c r="K493" i="42"/>
  <c r="W493" i="42" s="1"/>
  <c r="K963" i="42"/>
  <c r="W963" i="42" s="1"/>
  <c r="K152" i="42"/>
  <c r="W168" i="42" s="1"/>
  <c r="K811" i="42"/>
  <c r="W811" i="42" s="1"/>
  <c r="K384" i="42"/>
  <c r="W384" i="42" s="1"/>
  <c r="AF561" i="42"/>
  <c r="K909" i="42"/>
  <c r="AF225" i="42"/>
  <c r="K470" i="42"/>
  <c r="W470" i="42" s="1"/>
  <c r="K561" i="42"/>
  <c r="K507" i="42"/>
  <c r="W510" i="42" s="1"/>
  <c r="K233" i="42"/>
  <c r="W233" i="42" s="1"/>
  <c r="K474" i="42"/>
  <c r="W474" i="42" s="1"/>
  <c r="K1149" i="42"/>
  <c r="K389" i="42"/>
  <c r="W405" i="42" s="1"/>
  <c r="K364" i="42"/>
  <c r="K27" i="42"/>
  <c r="W27" i="42" s="1"/>
  <c r="AF593" i="42"/>
  <c r="K237" i="42"/>
  <c r="W237" i="42" s="1"/>
  <c r="K589" i="42"/>
  <c r="W589" i="42" s="1"/>
  <c r="AF191" i="42"/>
  <c r="AF782" i="42"/>
  <c r="K742" i="42"/>
  <c r="W742" i="42" s="1"/>
  <c r="AF462" i="42"/>
  <c r="K321" i="42"/>
  <c r="AF321" i="42" s="1"/>
  <c r="K571" i="42"/>
  <c r="AF776" i="42"/>
  <c r="K127" i="42"/>
  <c r="K201" i="42"/>
  <c r="K1049" i="42"/>
  <c r="AF597" i="42"/>
  <c r="N56" i="49"/>
  <c r="N145" i="49"/>
  <c r="N211" i="49"/>
  <c r="N251" i="49"/>
  <c r="X251" i="49" s="1"/>
  <c r="N105" i="49"/>
  <c r="N242" i="49"/>
  <c r="N66" i="49"/>
  <c r="N91" i="49"/>
  <c r="N72" i="49"/>
  <c r="N261" i="49"/>
  <c r="N118" i="49"/>
  <c r="N266" i="49"/>
  <c r="N190" i="49"/>
  <c r="N82" i="49"/>
  <c r="N140" i="49"/>
  <c r="Y20" i="49"/>
  <c r="N237" i="49"/>
  <c r="N197" i="49"/>
  <c r="N150" i="49"/>
  <c r="N247" i="49"/>
  <c r="N127" i="49"/>
  <c r="N61" i="49"/>
  <c r="N202" i="49"/>
  <c r="X202" i="49" s="1"/>
  <c r="N20" i="49"/>
  <c r="AH20" i="49" s="1"/>
  <c r="N122" i="49"/>
  <c r="N184" i="49"/>
  <c r="N218" i="49"/>
  <c r="N34" i="49"/>
  <c r="N135" i="49"/>
  <c r="N99" i="49"/>
  <c r="N114" i="49"/>
  <c r="I418" i="43"/>
  <c r="H415" i="43"/>
  <c r="I3242" i="37"/>
  <c r="I393" i="41"/>
  <c r="I278" i="49"/>
  <c r="I2737" i="50"/>
  <c r="I421" i="47"/>
  <c r="I1190" i="42"/>
  <c r="M289" i="47"/>
  <c r="AH289" i="47" s="1"/>
  <c r="M269" i="47"/>
  <c r="M162" i="47"/>
  <c r="M302" i="47"/>
  <c r="M128" i="47"/>
  <c r="M196" i="47"/>
  <c r="M94" i="47"/>
  <c r="M146" i="47"/>
  <c r="AH146" i="47" s="1"/>
  <c r="M364" i="47"/>
  <c r="M322" i="47"/>
  <c r="AH322" i="47" s="1"/>
  <c r="M386" i="47"/>
  <c r="AH386" i="47" s="1"/>
  <c r="M155" i="47"/>
  <c r="M328" i="47"/>
  <c r="M188" i="47"/>
  <c r="M354" i="47"/>
  <c r="AH354" i="47" s="1"/>
  <c r="M335" i="47"/>
  <c r="M31" i="47"/>
  <c r="AH31" i="47" s="1"/>
  <c r="M254" i="47"/>
  <c r="AH254" i="47" s="1"/>
  <c r="M216" i="47"/>
  <c r="M225" i="47"/>
  <c r="M397" i="47"/>
  <c r="Y397" i="47" s="1"/>
  <c r="M112" i="47"/>
  <c r="AH112" i="47" s="1"/>
  <c r="M207" i="47"/>
  <c r="M219" i="47"/>
  <c r="Y219" i="47" s="1"/>
  <c r="Y228" i="47" s="1"/>
  <c r="M403" i="47"/>
  <c r="Y406" i="47" s="1"/>
  <c r="M295" i="47"/>
  <c r="M121" i="47"/>
  <c r="M180" i="47"/>
  <c r="AH180" i="47" s="1"/>
  <c r="L1560" i="37"/>
  <c r="X1560" i="37" s="1"/>
  <c r="L3088" i="37"/>
  <c r="X3092" i="37" s="1"/>
  <c r="L950" i="37"/>
  <c r="X950" i="37" s="1"/>
  <c r="L2479" i="37"/>
  <c r="X2479" i="37" s="1"/>
  <c r="L1199" i="37"/>
  <c r="X1199" i="37" s="1"/>
  <c r="L2578" i="37"/>
  <c r="L3131" i="37"/>
  <c r="X3131" i="37" s="1"/>
  <c r="L547" i="37"/>
  <c r="X547" i="37" s="1"/>
  <c r="L2483" i="37"/>
  <c r="L253" i="37"/>
  <c r="L3248" i="37"/>
  <c r="L1966" i="37"/>
  <c r="X1966" i="37" s="1"/>
  <c r="L306" i="37"/>
  <c r="X306" i="37" s="1"/>
  <c r="L2560" i="37"/>
  <c r="X2560" i="37" s="1"/>
  <c r="L2161" i="37"/>
  <c r="L2176" i="37"/>
  <c r="L2896" i="37"/>
  <c r="L2324" i="37"/>
  <c r="X2327" i="37" s="1"/>
  <c r="L2574" i="37"/>
  <c r="L362" i="37"/>
  <c r="X365" i="37" s="1"/>
  <c r="L2134" i="37"/>
  <c r="X2138" i="37" s="1"/>
  <c r="L2809" i="37"/>
  <c r="X2809" i="37" s="1"/>
  <c r="L3170" i="37"/>
  <c r="X3170" i="37" s="1"/>
  <c r="L411" i="37"/>
  <c r="X411" i="37" s="1"/>
  <c r="L739" i="37"/>
  <c r="X742" i="37" s="1"/>
  <c r="L1952" i="37"/>
  <c r="X1952" i="37" s="1"/>
  <c r="L2873" i="37"/>
  <c r="X2876" i="37" s="1"/>
  <c r="L1551" i="37"/>
  <c r="L642" i="37"/>
  <c r="L3151" i="37"/>
  <c r="L2252" i="37"/>
  <c r="L20" i="37"/>
  <c r="L2429" i="37"/>
  <c r="L897" i="37"/>
  <c r="L2792" i="37"/>
  <c r="X2792" i="37" s="1"/>
  <c r="L1328" i="37"/>
  <c r="X1331" i="37" s="1"/>
  <c r="L2616" i="37"/>
  <c r="X2619" i="37" s="1"/>
  <c r="L2002" i="37"/>
  <c r="X2005" i="37" s="1"/>
  <c r="L89" i="37"/>
  <c r="X89" i="37" s="1"/>
  <c r="L2444" i="37"/>
  <c r="X2448" i="37" s="1"/>
  <c r="L714" i="37"/>
  <c r="X717" i="37" s="1"/>
  <c r="L2551" i="37"/>
  <c r="X2554" i="37" s="1"/>
  <c r="L3204" i="37"/>
  <c r="X3204" i="37" s="1"/>
  <c r="L112" i="37"/>
  <c r="L2195" i="37"/>
  <c r="L288" i="37"/>
  <c r="X290" i="37" s="1"/>
  <c r="L1272" i="37"/>
  <c r="X1272" i="37" s="1"/>
  <c r="L1191" i="37"/>
  <c r="X1191" i="37" s="1"/>
  <c r="L1210" i="37"/>
  <c r="L2470" i="37"/>
  <c r="X2470" i="37" s="1"/>
  <c r="L2932" i="37"/>
  <c r="X2932" i="37" s="1"/>
  <c r="L190" i="37"/>
  <c r="X194" i="37" s="1"/>
  <c r="L594" i="37"/>
  <c r="X594" i="37" s="1"/>
  <c r="L342" i="37"/>
  <c r="X342" i="37" s="1"/>
  <c r="L2517" i="37"/>
  <c r="L964" i="37"/>
  <c r="L733" i="37"/>
  <c r="X733" i="37" s="1"/>
  <c r="L386" i="37"/>
  <c r="X386" i="37" s="1"/>
  <c r="L1358" i="37"/>
  <c r="X1361" i="37" s="1"/>
  <c r="L600" i="37"/>
  <c r="X603" i="37" s="1"/>
  <c r="L877" i="37"/>
  <c r="X877" i="37" s="1"/>
  <c r="L2882" i="37"/>
  <c r="X2882" i="37" s="1"/>
  <c r="L1322" i="37"/>
  <c r="X1322" i="37" s="1"/>
  <c r="L2640" i="37"/>
  <c r="X2640" i="37" s="1"/>
  <c r="L1930" i="37"/>
  <c r="L2671" i="37"/>
  <c r="X2674" i="37" s="1"/>
  <c r="L1812" i="37"/>
  <c r="X1816" i="37" s="1"/>
  <c r="L2993" i="37"/>
  <c r="X2996" i="37" s="1"/>
  <c r="L2349" i="37"/>
  <c r="X2352" i="37" s="1"/>
  <c r="L3100" i="37"/>
  <c r="X3104" i="37" s="1"/>
  <c r="L619" i="37"/>
  <c r="X622" i="37" s="1"/>
  <c r="L1705" i="37"/>
  <c r="X1708" i="37" s="1"/>
  <c r="L2498" i="37"/>
  <c r="L497" i="37"/>
  <c r="L2542" i="37"/>
  <c r="X2544" i="37" s="1"/>
  <c r="L2610" i="37"/>
  <c r="X2610" i="37" s="1"/>
  <c r="L512" i="37"/>
  <c r="X516" i="37" s="1"/>
  <c r="L538" i="37"/>
  <c r="X538" i="37" s="1"/>
  <c r="L2421" i="37"/>
  <c r="X2421" i="37" s="1"/>
  <c r="L1612" i="37"/>
  <c r="L2220" i="37"/>
  <c r="X2222" i="37" s="1"/>
  <c r="L1308" i="37"/>
  <c r="X1308" i="37" s="1"/>
  <c r="L2456" i="37"/>
  <c r="X2460" i="37" s="1"/>
  <c r="L1383" i="37"/>
  <c r="X1386" i="37" s="1"/>
  <c r="L1594" i="37"/>
  <c r="X1594" i="37" s="1"/>
  <c r="L1996" i="37"/>
  <c r="X1996" i="37" s="1"/>
  <c r="L708" i="37"/>
  <c r="X708" i="37" s="1"/>
  <c r="L684" i="37"/>
  <c r="X687" i="37" s="1"/>
  <c r="L40" i="37"/>
  <c r="X43" i="37" s="1"/>
  <c r="L3127" i="37"/>
  <c r="L2210" i="37"/>
  <c r="X2213" i="37" s="1"/>
  <c r="L1898" i="37"/>
  <c r="X1900" i="37" s="1"/>
  <c r="L1863" i="37"/>
  <c r="L555" i="37"/>
  <c r="X555" i="37" s="1"/>
  <c r="L2805" i="37"/>
  <c r="L1055" i="37"/>
  <c r="X1055" i="37" s="1"/>
  <c r="L167" i="37"/>
  <c r="X167" i="37" s="1"/>
  <c r="L2751" i="37"/>
  <c r="L2238" i="37"/>
  <c r="X2238" i="37" s="1"/>
  <c r="L811" i="37"/>
  <c r="X811" i="37" s="1"/>
  <c r="L2987" i="37"/>
  <c r="X2987" i="37" s="1"/>
  <c r="L678" i="37"/>
  <c r="X678" i="37" s="1"/>
  <c r="L216" i="37"/>
  <c r="X216" i="37" s="1"/>
  <c r="L2820" i="37"/>
  <c r="L2288" i="37"/>
  <c r="X2288" i="37" s="1"/>
  <c r="L3176" i="37"/>
  <c r="X3179" i="37" s="1"/>
  <c r="L3123" i="37"/>
  <c r="X3123" i="37" s="1"/>
  <c r="L1463" i="37"/>
  <c r="L2848" i="37"/>
  <c r="X2848" i="37" s="1"/>
  <c r="L324" i="37"/>
  <c r="L70" i="37"/>
  <c r="X73" i="37" s="1"/>
  <c r="L1182" i="37"/>
  <c r="X1182" i="37" s="1"/>
  <c r="L2107" i="37"/>
  <c r="L2829" i="37"/>
  <c r="L1286" i="37"/>
  <c r="L1934" i="37"/>
  <c r="L3253" i="37"/>
  <c r="L1254" i="37"/>
  <c r="X1256" i="37" s="1"/>
  <c r="L2854" i="37"/>
  <c r="X2857" i="37" s="1"/>
  <c r="L2743" i="37"/>
  <c r="X2743" i="37" s="1"/>
  <c r="L2274" i="37"/>
  <c r="X2274" i="37" s="1"/>
  <c r="L1826" i="37"/>
  <c r="X1826" i="37" s="1"/>
  <c r="L1517" i="37"/>
  <c r="L3186" i="37"/>
  <c r="X3188" i="37" s="1"/>
  <c r="L3073" i="37"/>
  <c r="L1168" i="37"/>
  <c r="X1172" i="37" s="1"/>
  <c r="L2596" i="37"/>
  <c r="X2596" i="37" s="1"/>
  <c r="L1244" i="37"/>
  <c r="X1247" i="37" s="1"/>
  <c r="L297" i="37"/>
  <c r="X300" i="37" s="1"/>
  <c r="L2343" i="37"/>
  <c r="X2343" i="37" s="1"/>
  <c r="L2256" i="37"/>
  <c r="L3218" i="37"/>
  <c r="L846" i="37"/>
  <c r="X850" i="37" s="1"/>
  <c r="L1377" i="37"/>
  <c r="X1377" i="37" s="1"/>
  <c r="L1585" i="37"/>
  <c r="X1588" i="37" s="1"/>
  <c r="L225" i="37"/>
  <c r="X225" i="37" s="1"/>
  <c r="L2900" i="37"/>
  <c r="L1229" i="37"/>
  <c r="L1156" i="37"/>
  <c r="X1160" i="37" s="1"/>
  <c r="L3142" i="37"/>
  <c r="L524" i="37"/>
  <c r="X528" i="37" s="1"/>
  <c r="L1674" i="37"/>
  <c r="X1674" i="37" s="1"/>
  <c r="L1195" i="37"/>
  <c r="L1777" i="37"/>
  <c r="X1777" i="37" s="1"/>
  <c r="L2122" i="37"/>
  <c r="X2126" i="37" s="1"/>
  <c r="L1133" i="37"/>
  <c r="X1133" i="37" s="1"/>
  <c r="L3195" i="37"/>
  <c r="X3198" i="37" s="1"/>
  <c r="L356" i="37"/>
  <c r="X356" i="37" s="1"/>
  <c r="L1972" i="37"/>
  <c r="X1975" i="37" s="1"/>
  <c r="L1504" i="37"/>
  <c r="X1504" i="37" s="1"/>
  <c r="L610" i="37"/>
  <c r="X612" i="37" s="1"/>
  <c r="L2157" i="37"/>
  <c r="X2157" i="37" s="1"/>
  <c r="L1882" i="37"/>
  <c r="X1882" i="37" s="1"/>
  <c r="L2532" i="37"/>
  <c r="X2535" i="37" s="1"/>
  <c r="L2839" i="37"/>
  <c r="L1916" i="37"/>
  <c r="X1916" i="37" s="1"/>
  <c r="L1608" i="37"/>
  <c r="L95" i="37"/>
  <c r="X98" i="37" s="1"/>
  <c r="L2918" i="37"/>
  <c r="X2918" i="37" s="1"/>
  <c r="L2766" i="37"/>
  <c r="X2770" i="37" s="1"/>
  <c r="L646" i="37"/>
  <c r="L664" i="37"/>
  <c r="X664" i="37" s="1"/>
  <c r="L320" i="37"/>
  <c r="L1352" i="37"/>
  <c r="X1352" i="37" s="1"/>
  <c r="L1490" i="37"/>
  <c r="X1494" i="37" s="1"/>
  <c r="L2778" i="37"/>
  <c r="X2782" i="37" s="1"/>
  <c r="L916" i="37"/>
  <c r="X916" i="37" s="1"/>
  <c r="L2526" i="37"/>
  <c r="X2526" i="37" s="1"/>
  <c r="L2229" i="37"/>
  <c r="X2232" i="37" s="1"/>
  <c r="L1455" i="37"/>
  <c r="X1455" i="37" s="1"/>
  <c r="L1290" i="37"/>
  <c r="L34" i="37"/>
  <c r="X34" i="37" s="1"/>
  <c r="L1800" i="37"/>
  <c r="X1804" i="37" s="1"/>
  <c r="L922" i="37"/>
  <c r="X925" i="37" s="1"/>
  <c r="L1835" i="37"/>
  <c r="X1835" i="37" s="1"/>
  <c r="L860" i="37"/>
  <c r="X860" i="37" s="1"/>
  <c r="L1036" i="37"/>
  <c r="X1039" i="37" s="1"/>
  <c r="L1843" i="37"/>
  <c r="X1843" i="37" s="1"/>
  <c r="L2507" i="37"/>
  <c r="L2864" i="37"/>
  <c r="X2866" i="37" s="1"/>
  <c r="L2148" i="37"/>
  <c r="X2148" i="37" s="1"/>
  <c r="L3065" i="37"/>
  <c r="X3065" i="37" s="1"/>
  <c r="L873" i="37"/>
  <c r="L2027" i="37"/>
  <c r="X2030" i="37" s="1"/>
  <c r="L1566" i="37"/>
  <c r="X1569" i="37" s="1"/>
  <c r="L2665" i="37"/>
  <c r="X2665" i="37" s="1"/>
  <c r="L2962" i="37"/>
  <c r="X2962" i="37" s="1"/>
  <c r="L1650" i="37"/>
  <c r="X1653" i="37" s="1"/>
  <c r="L834" i="37"/>
  <c r="X838" i="37" s="1"/>
  <c r="L2487" i="37"/>
  <c r="X2487" i="37" s="1"/>
  <c r="L1630" i="37"/>
  <c r="X1630" i="37" s="1"/>
  <c r="L392" i="37"/>
  <c r="X395" i="37" s="1"/>
  <c r="L986" i="37"/>
  <c r="X986" i="37" s="1"/>
  <c r="L2185" i="37"/>
  <c r="L585" i="37"/>
  <c r="L1061" i="37"/>
  <c r="X1064" i="37" s="1"/>
  <c r="L1219" i="37"/>
  <c r="L2646" i="37"/>
  <c r="X2649" i="37" s="1"/>
  <c r="L417" i="37"/>
  <c r="X420" i="37" s="1"/>
  <c r="L1854" i="37"/>
  <c r="L819" i="37"/>
  <c r="L263" i="37"/>
  <c r="L932" i="37"/>
  <c r="X934" i="37" s="1"/>
  <c r="L1238" i="37"/>
  <c r="X1238" i="37" s="1"/>
  <c r="L941" i="37"/>
  <c r="X944" i="37" s="1"/>
  <c r="L1839" i="37"/>
  <c r="L175" i="37"/>
  <c r="L1576" i="37"/>
  <c r="X1578" i="37" s="1"/>
  <c r="L1006" i="37"/>
  <c r="X1009" i="37" s="1"/>
  <c r="L244" i="37"/>
  <c r="L1699" i="37"/>
  <c r="X1699" i="37" s="1"/>
  <c r="L907" i="37"/>
  <c r="L888" i="37"/>
  <c r="L1532" i="37"/>
  <c r="L1263" i="37"/>
  <c r="X1266" i="37" s="1"/>
  <c r="L1478" i="37"/>
  <c r="X1482" i="37" s="1"/>
  <c r="L2801" i="37"/>
  <c r="X2801" i="37" s="1"/>
  <c r="L3114" i="37"/>
  <c r="X3114" i="37" s="1"/>
  <c r="L3222" i="37"/>
  <c r="L202" i="37"/>
  <c r="X206" i="37" s="1"/>
  <c r="L2165" i="37"/>
  <c r="X2165" i="37" s="1"/>
  <c r="L1680" i="37"/>
  <c r="X1683" i="37" s="1"/>
  <c r="L869" i="37"/>
  <c r="X869" i="37" s="1"/>
  <c r="L968" i="37"/>
  <c r="L1907" i="37"/>
  <c r="X1910" i="37" s="1"/>
  <c r="L1873" i="37"/>
  <c r="L1888" i="37"/>
  <c r="X1891" i="37" s="1"/>
  <c r="L1513" i="37"/>
  <c r="X1513" i="37" s="1"/>
  <c r="L1541" i="37"/>
  <c r="L229" i="37"/>
  <c r="L489" i="37"/>
  <c r="X489" i="37" s="1"/>
  <c r="L2204" i="37"/>
  <c r="X2204" i="37" s="1"/>
  <c r="L1000" i="37"/>
  <c r="X1000" i="37" s="1"/>
  <c r="L2021" i="37"/>
  <c r="X2021" i="37" s="1"/>
  <c r="L2294" i="37"/>
  <c r="X2297" i="37" s="1"/>
  <c r="L551" i="37"/>
  <c r="L233" i="37"/>
  <c r="X233" i="37" s="1"/>
  <c r="L64" i="37"/>
  <c r="X64" i="37" s="1"/>
  <c r="L1785" i="37"/>
  <c r="L3161" i="37"/>
  <c r="L575" i="37"/>
  <c r="L1521" i="37"/>
  <c r="X1521" i="37" s="1"/>
  <c r="L278" i="37"/>
  <c r="X281" i="37" s="1"/>
  <c r="L1030" i="37"/>
  <c r="X1030" i="37" s="1"/>
  <c r="L1141" i="37"/>
  <c r="L2318" i="37"/>
  <c r="X2318" i="37" s="1"/>
  <c r="L1644" i="37"/>
  <c r="X1644" i="37" s="1"/>
  <c r="L2099" i="37"/>
  <c r="X2099" i="37" s="1"/>
  <c r="L628" i="37"/>
  <c r="X628" i="37" s="1"/>
  <c r="L272" i="37"/>
  <c r="X272" i="37" s="1"/>
  <c r="L2938" i="37"/>
  <c r="X2941" i="37" s="1"/>
  <c r="L566" i="37"/>
  <c r="L2968" i="37"/>
  <c r="X2971" i="37" s="1"/>
  <c r="K254" i="47"/>
  <c r="AF254" i="47" s="1"/>
  <c r="K302" i="47"/>
  <c r="K397" i="47"/>
  <c r="W397" i="47" s="1"/>
  <c r="K128" i="47"/>
  <c r="K112" i="47"/>
  <c r="AF112" i="47" s="1"/>
  <c r="K216" i="47"/>
  <c r="K364" i="47"/>
  <c r="K335" i="47"/>
  <c r="K207" i="47"/>
  <c r="K155" i="47"/>
  <c r="K328" i="47"/>
  <c r="K188" i="47"/>
  <c r="K225" i="47"/>
  <c r="K403" i="47"/>
  <c r="W406" i="47" s="1"/>
  <c r="K386" i="47"/>
  <c r="AF386" i="47" s="1"/>
  <c r="K196" i="47"/>
  <c r="K94" i="47"/>
  <c r="K354" i="47"/>
  <c r="AF354" i="47" s="1"/>
  <c r="K295" i="47"/>
  <c r="K180" i="47"/>
  <c r="AF180" i="47" s="1"/>
  <c r="K269" i="47"/>
  <c r="K31" i="47"/>
  <c r="AF31" i="47" s="1"/>
  <c r="K121" i="47"/>
  <c r="K289" i="47"/>
  <c r="AF289" i="47" s="1"/>
  <c r="K146" i="47"/>
  <c r="AF146" i="47" s="1"/>
  <c r="K162" i="47"/>
  <c r="K219" i="47"/>
  <c r="W219" i="47" s="1"/>
  <c r="W228" i="47" s="1"/>
  <c r="K322" i="47"/>
  <c r="AF322" i="47" s="1"/>
  <c r="N254" i="47"/>
  <c r="AI254" i="47" s="1"/>
  <c r="N188" i="47"/>
  <c r="N386" i="47"/>
  <c r="AI386" i="47" s="1"/>
  <c r="N207" i="47"/>
  <c r="N289" i="47"/>
  <c r="AI289" i="47" s="1"/>
  <c r="N354" i="47"/>
  <c r="AI354" i="47" s="1"/>
  <c r="N146" i="47"/>
  <c r="AI146" i="47" s="1"/>
  <c r="N335" i="47"/>
  <c r="N155" i="47"/>
  <c r="N225" i="47"/>
  <c r="N196" i="47"/>
  <c r="N322" i="47"/>
  <c r="AI322" i="47" s="1"/>
  <c r="N216" i="47"/>
  <c r="N328" i="47"/>
  <c r="N180" i="47"/>
  <c r="AI180" i="47" s="1"/>
  <c r="N219" i="47"/>
  <c r="Z219" i="47" s="1"/>
  <c r="Z228" i="47" s="1"/>
  <c r="N364" i="47"/>
  <c r="N302" i="47"/>
  <c r="N94" i="47"/>
  <c r="N269" i="47"/>
  <c r="N295" i="47"/>
  <c r="N162" i="47"/>
  <c r="N31" i="47"/>
  <c r="AI31" i="47" s="1"/>
  <c r="N121" i="47"/>
  <c r="N403" i="47"/>
  <c r="Z406" i="47" s="1"/>
  <c r="N112" i="47"/>
  <c r="AI112" i="47" s="1"/>
  <c r="N128" i="47"/>
  <c r="N397" i="47"/>
  <c r="Z397" i="47" s="1"/>
  <c r="J61" i="49"/>
  <c r="J211" i="49"/>
  <c r="J197" i="49"/>
  <c r="J242" i="49"/>
  <c r="J56" i="49"/>
  <c r="J140" i="49"/>
  <c r="J34" i="49"/>
  <c r="J145" i="49"/>
  <c r="J72" i="49"/>
  <c r="J202" i="49"/>
  <c r="T202" i="49" s="1"/>
  <c r="J118" i="49"/>
  <c r="J105" i="49"/>
  <c r="J91" i="49"/>
  <c r="J99" i="49"/>
  <c r="J150" i="49"/>
  <c r="J247" i="49"/>
  <c r="J82" i="49"/>
  <c r="J114" i="49"/>
  <c r="J66" i="49"/>
  <c r="J127" i="49"/>
  <c r="U20" i="49"/>
  <c r="J237" i="49"/>
  <c r="J266" i="49"/>
  <c r="J135" i="49"/>
  <c r="J184" i="49"/>
  <c r="J251" i="49"/>
  <c r="T251" i="49" s="1"/>
  <c r="J218" i="49"/>
  <c r="J261" i="49"/>
  <c r="J122" i="49"/>
  <c r="J190" i="49"/>
  <c r="J20" i="49"/>
  <c r="AD20" i="49" s="1"/>
  <c r="M20" i="37"/>
  <c r="M1560" i="37"/>
  <c r="Y1560" i="37" s="1"/>
  <c r="M1490" i="37"/>
  <c r="Y1494" i="37" s="1"/>
  <c r="M1650" i="37"/>
  <c r="Y1653" i="37" s="1"/>
  <c r="M2498" i="37"/>
  <c r="M1800" i="37"/>
  <c r="Y1804" i="37" s="1"/>
  <c r="M2429" i="37"/>
  <c r="M2027" i="37"/>
  <c r="Y2030" i="37" s="1"/>
  <c r="M869" i="37"/>
  <c r="Y869" i="37" s="1"/>
  <c r="M2574" i="37"/>
  <c r="M708" i="37"/>
  <c r="Y708" i="37" s="1"/>
  <c r="M873" i="37"/>
  <c r="M2743" i="37"/>
  <c r="Y2743" i="37" s="1"/>
  <c r="M2778" i="37"/>
  <c r="Y2782" i="37" s="1"/>
  <c r="M2665" i="37"/>
  <c r="Y2665" i="37" s="1"/>
  <c r="M1210" i="37"/>
  <c r="M3127" i="37"/>
  <c r="M2517" i="37"/>
  <c r="M846" i="37"/>
  <c r="Y850" i="37" s="1"/>
  <c r="M1930" i="37"/>
  <c r="M233" i="37"/>
  <c r="Y233" i="37" s="1"/>
  <c r="M2938" i="37"/>
  <c r="Y2941" i="37" s="1"/>
  <c r="M2864" i="37"/>
  <c r="Y2866" i="37" s="1"/>
  <c r="M2839" i="37"/>
  <c r="M1244" i="37"/>
  <c r="Y1247" i="37" s="1"/>
  <c r="M497" i="37"/>
  <c r="M684" i="37"/>
  <c r="Y687" i="37" s="1"/>
  <c r="M320" i="37"/>
  <c r="M3100" i="37"/>
  <c r="Y3104" i="37" s="1"/>
  <c r="M1229" i="37"/>
  <c r="M739" i="37"/>
  <c r="Y742" i="37" s="1"/>
  <c r="M1835" i="37"/>
  <c r="Y1835" i="37" s="1"/>
  <c r="M932" i="37"/>
  <c r="Y934" i="37" s="1"/>
  <c r="M1455" i="37"/>
  <c r="Y1455" i="37" s="1"/>
  <c r="M1000" i="37"/>
  <c r="Y1000" i="37" s="1"/>
  <c r="M2220" i="37"/>
  <c r="Y2222" i="37" s="1"/>
  <c r="M175" i="37"/>
  <c r="M1612" i="37"/>
  <c r="M95" i="37"/>
  <c r="Y98" i="37" s="1"/>
  <c r="M2148" i="37"/>
  <c r="Y2148" i="37" s="1"/>
  <c r="M1594" i="37"/>
  <c r="Y1594" i="37" s="1"/>
  <c r="M610" i="37"/>
  <c r="Y612" i="37" s="1"/>
  <c r="M1141" i="37"/>
  <c r="M386" i="37"/>
  <c r="Y386" i="37" s="1"/>
  <c r="M834" i="37"/>
  <c r="Y838" i="37" s="1"/>
  <c r="M244" i="37"/>
  <c r="M167" i="37"/>
  <c r="Y167" i="37" s="1"/>
  <c r="M1290" i="37"/>
  <c r="M1843" i="37"/>
  <c r="Y1843" i="37" s="1"/>
  <c r="M112" i="37"/>
  <c r="M1882" i="37"/>
  <c r="Y1882" i="37" s="1"/>
  <c r="M1826" i="37"/>
  <c r="Y1826" i="37" s="1"/>
  <c r="M1785" i="37"/>
  <c r="M2210" i="37"/>
  <c r="Y2213" i="37" s="1"/>
  <c r="M216" i="37"/>
  <c r="Y216" i="37" s="1"/>
  <c r="M2021" i="37"/>
  <c r="Y2021" i="37" s="1"/>
  <c r="M2848" i="37"/>
  <c r="Y2848" i="37" s="1"/>
  <c r="M2578" i="37"/>
  <c r="M1272" i="37"/>
  <c r="Y1272" i="37" s="1"/>
  <c r="M642" i="37"/>
  <c r="M1030" i="37"/>
  <c r="Y1030" i="37" s="1"/>
  <c r="M1308" i="37"/>
  <c r="Y1308" i="37" s="1"/>
  <c r="M3131" i="37"/>
  <c r="Y3131" i="37" s="1"/>
  <c r="M1854" i="37"/>
  <c r="M2157" i="37"/>
  <c r="Y2157" i="37" s="1"/>
  <c r="M2002" i="37"/>
  <c r="Y2005" i="37" s="1"/>
  <c r="M2882" i="37"/>
  <c r="Y2882" i="37" s="1"/>
  <c r="M1328" i="37"/>
  <c r="Y1331" i="37" s="1"/>
  <c r="M2962" i="37"/>
  <c r="Y2962" i="37" s="1"/>
  <c r="M2324" i="37"/>
  <c r="Y2327" i="37" s="1"/>
  <c r="M1156" i="37"/>
  <c r="Y1160" i="37" s="1"/>
  <c r="M1608" i="37"/>
  <c r="M3142" i="37"/>
  <c r="M1521" i="37"/>
  <c r="Y1521" i="37" s="1"/>
  <c r="M3204" i="37"/>
  <c r="Y3204" i="37" s="1"/>
  <c r="M253" i="37"/>
  <c r="M2204" i="37"/>
  <c r="Y2204" i="37" s="1"/>
  <c r="M2256" i="37"/>
  <c r="M551" i="37"/>
  <c r="M1322" i="37"/>
  <c r="Y1322" i="37" s="1"/>
  <c r="M2987" i="37"/>
  <c r="Y2987" i="37" s="1"/>
  <c r="M1699" i="37"/>
  <c r="Y1699" i="37" s="1"/>
  <c r="M2551" i="37"/>
  <c r="Y2554" i="37" s="1"/>
  <c r="M2288" i="37"/>
  <c r="Y2288" i="37" s="1"/>
  <c r="M2479" i="37"/>
  <c r="Y2479" i="37" s="1"/>
  <c r="M190" i="37"/>
  <c r="Y194" i="37" s="1"/>
  <c r="M1644" i="37"/>
  <c r="Y1644" i="37" s="1"/>
  <c r="M2507" i="37"/>
  <c r="M1863" i="37"/>
  <c r="M2560" i="37"/>
  <c r="Y2560" i="37" s="1"/>
  <c r="M489" i="37"/>
  <c r="Y489" i="37" s="1"/>
  <c r="M2107" i="37"/>
  <c r="M34" i="37"/>
  <c r="Y34" i="37" s="1"/>
  <c r="M2932" i="37"/>
  <c r="Y2932" i="37" s="1"/>
  <c r="M1916" i="37"/>
  <c r="Y1916" i="37" s="1"/>
  <c r="M1377" i="37"/>
  <c r="Y1377" i="37" s="1"/>
  <c r="M202" i="37"/>
  <c r="Y206" i="37" s="1"/>
  <c r="M2820" i="37"/>
  <c r="M2854" i="37"/>
  <c r="Y2857" i="37" s="1"/>
  <c r="M3222" i="37"/>
  <c r="M225" i="37"/>
  <c r="Y225" i="37" s="1"/>
  <c r="M2444" i="37"/>
  <c r="Y2448" i="37" s="1"/>
  <c r="M524" i="37"/>
  <c r="Y528" i="37" s="1"/>
  <c r="M40" i="37"/>
  <c r="Y43" i="37" s="1"/>
  <c r="M986" i="37"/>
  <c r="Y986" i="37" s="1"/>
  <c r="M1191" i="37"/>
  <c r="Y1191" i="37" s="1"/>
  <c r="M2487" i="37"/>
  <c r="Y2487" i="37" s="1"/>
  <c r="M2274" i="37"/>
  <c r="Y2274" i="37" s="1"/>
  <c r="M2185" i="37"/>
  <c r="M2918" i="37"/>
  <c r="Y2918" i="37" s="1"/>
  <c r="M3218" i="37"/>
  <c r="M1907" i="37"/>
  <c r="Y1910" i="37" s="1"/>
  <c r="M1463" i="37"/>
  <c r="M2640" i="37"/>
  <c r="Y2640" i="37" s="1"/>
  <c r="M2532" i="37"/>
  <c r="Y2535" i="37" s="1"/>
  <c r="M2596" i="37"/>
  <c r="Y2596" i="37" s="1"/>
  <c r="M2671" i="37"/>
  <c r="Y2674" i="37" s="1"/>
  <c r="M1966" i="37"/>
  <c r="Y1966" i="37" s="1"/>
  <c r="M1972" i="37"/>
  <c r="Y1975" i="37" s="1"/>
  <c r="M1263" i="37"/>
  <c r="Y1266" i="37" s="1"/>
  <c r="M811" i="37"/>
  <c r="Y811" i="37" s="1"/>
  <c r="M362" i="37"/>
  <c r="Y365" i="37" s="1"/>
  <c r="M733" i="37"/>
  <c r="Y733" i="37" s="1"/>
  <c r="M3186" i="37"/>
  <c r="Y3188" i="37" s="1"/>
  <c r="M3123" i="37"/>
  <c r="Y3123" i="37" s="1"/>
  <c r="M1168" i="37"/>
  <c r="Y1172" i="37" s="1"/>
  <c r="M2616" i="37"/>
  <c r="Y2619" i="37" s="1"/>
  <c r="M2896" i="37"/>
  <c r="M2483" i="37"/>
  <c r="M1199" i="37"/>
  <c r="Y1199" i="37" s="1"/>
  <c r="M1888" i="37"/>
  <c r="Y1891" i="37" s="1"/>
  <c r="M1036" i="37"/>
  <c r="Y1039" i="37" s="1"/>
  <c r="M1219" i="37"/>
  <c r="M1358" i="37"/>
  <c r="Y1361" i="37" s="1"/>
  <c r="M297" i="37"/>
  <c r="Y300" i="37" s="1"/>
  <c r="M2805" i="37"/>
  <c r="M1566" i="37"/>
  <c r="Y1569" i="37" s="1"/>
  <c r="M600" i="37"/>
  <c r="Y603" i="37" s="1"/>
  <c r="M3170" i="37"/>
  <c r="Y3170" i="37" s="1"/>
  <c r="M1898" i="37"/>
  <c r="Y1900" i="37" s="1"/>
  <c r="M3088" i="37"/>
  <c r="Y3092" i="37" s="1"/>
  <c r="M2470" i="37"/>
  <c r="Y2470" i="37" s="1"/>
  <c r="M2873" i="37"/>
  <c r="Y2876" i="37" s="1"/>
  <c r="M907" i="37"/>
  <c r="M3151" i="37"/>
  <c r="M1006" i="37"/>
  <c r="Y1009" i="37" s="1"/>
  <c r="M306" i="37"/>
  <c r="Y306" i="37" s="1"/>
  <c r="M2829" i="37"/>
  <c r="M2318" i="37"/>
  <c r="Y2318" i="37" s="1"/>
  <c r="M1952" i="37"/>
  <c r="Y1952" i="37" s="1"/>
  <c r="M1839" i="37"/>
  <c r="M555" i="37"/>
  <c r="Y555" i="37" s="1"/>
  <c r="M3065" i="37"/>
  <c r="Y3065" i="37" s="1"/>
  <c r="M392" i="37"/>
  <c r="Y395" i="37" s="1"/>
  <c r="M3253" i="37"/>
  <c r="M2421" i="37"/>
  <c r="Y2421" i="37" s="1"/>
  <c r="M1254" i="37"/>
  <c r="Y1256" i="37" s="1"/>
  <c r="M678" i="37"/>
  <c r="Y678" i="37" s="1"/>
  <c r="M1705" i="37"/>
  <c r="Y1708" i="37" s="1"/>
  <c r="M916" i="37"/>
  <c r="Y916" i="37" s="1"/>
  <c r="M2610" i="37"/>
  <c r="Y2610" i="37" s="1"/>
  <c r="M2229" i="37"/>
  <c r="Y2232" i="37" s="1"/>
  <c r="M1576" i="37"/>
  <c r="Y1578" i="37" s="1"/>
  <c r="M888" i="37"/>
  <c r="M2238" i="37"/>
  <c r="Y2238" i="37" s="1"/>
  <c r="M64" i="37"/>
  <c r="Y64" i="37" s="1"/>
  <c r="M3248" i="37"/>
  <c r="M575" i="37"/>
  <c r="M1513" i="37"/>
  <c r="Y1513" i="37" s="1"/>
  <c r="M1630" i="37"/>
  <c r="Y1630" i="37" s="1"/>
  <c r="M2099" i="37"/>
  <c r="Y2099" i="37" s="1"/>
  <c r="M1934" i="37"/>
  <c r="M2195" i="37"/>
  <c r="M819" i="37"/>
  <c r="M1674" i="37"/>
  <c r="Y1674" i="37" s="1"/>
  <c r="M278" i="37"/>
  <c r="Y281" i="37" s="1"/>
  <c r="M2900" i="37"/>
  <c r="M2165" i="37"/>
  <c r="Y2165" i="37" s="1"/>
  <c r="M664" i="37"/>
  <c r="Y664" i="37" s="1"/>
  <c r="M1777" i="37"/>
  <c r="Y1777" i="37" s="1"/>
  <c r="M1873" i="37"/>
  <c r="M1383" i="37"/>
  <c r="Y1386" i="37" s="1"/>
  <c r="M594" i="37"/>
  <c r="Y594" i="37" s="1"/>
  <c r="M324" i="37"/>
  <c r="M922" i="37"/>
  <c r="Y925" i="37" s="1"/>
  <c r="M272" i="37"/>
  <c r="Y272" i="37" s="1"/>
  <c r="M411" i="37"/>
  <c r="Y411" i="37" s="1"/>
  <c r="M2766" i="37"/>
  <c r="Y2770" i="37" s="1"/>
  <c r="M2526" i="37"/>
  <c r="Y2526" i="37" s="1"/>
  <c r="M538" i="37"/>
  <c r="Y538" i="37" s="1"/>
  <c r="M2792" i="37"/>
  <c r="Y2792" i="37" s="1"/>
  <c r="M3176" i="37"/>
  <c r="Y3179" i="37" s="1"/>
  <c r="M3114" i="37"/>
  <c r="Y3114" i="37" s="1"/>
  <c r="M2176" i="37"/>
  <c r="M3195" i="37"/>
  <c r="Y3198" i="37" s="1"/>
  <c r="M1996" i="37"/>
  <c r="Y1996" i="37" s="1"/>
  <c r="M2343" i="37"/>
  <c r="Y2343" i="37" s="1"/>
  <c r="M1680" i="37"/>
  <c r="Y1683" i="37" s="1"/>
  <c r="M2122" i="37"/>
  <c r="Y2126" i="37" s="1"/>
  <c r="M2968" i="37"/>
  <c r="Y2971" i="37" s="1"/>
  <c r="M263" i="37"/>
  <c r="M585" i="37"/>
  <c r="M2456" i="37"/>
  <c r="Y2460" i="37" s="1"/>
  <c r="M714" i="37"/>
  <c r="Y717" i="37" s="1"/>
  <c r="M2801" i="37"/>
  <c r="Y2801" i="37" s="1"/>
  <c r="M1352" i="37"/>
  <c r="Y1352" i="37" s="1"/>
  <c r="M1182" i="37"/>
  <c r="Y1182" i="37" s="1"/>
  <c r="M860" i="37"/>
  <c r="Y860" i="37" s="1"/>
  <c r="M1812" i="37"/>
  <c r="Y1816" i="37" s="1"/>
  <c r="M941" i="37"/>
  <c r="Y944" i="37" s="1"/>
  <c r="M70" i="37"/>
  <c r="Y73" i="37" s="1"/>
  <c r="M547" i="37"/>
  <c r="Y547" i="37" s="1"/>
  <c r="M2542" i="37"/>
  <c r="Y2544" i="37" s="1"/>
  <c r="M2646" i="37"/>
  <c r="Y2649" i="37" s="1"/>
  <c r="M964" i="37"/>
  <c r="M1061" i="37"/>
  <c r="Y1064" i="37" s="1"/>
  <c r="M512" i="37"/>
  <c r="Y516" i="37" s="1"/>
  <c r="M1286" i="37"/>
  <c r="M2161" i="37"/>
  <c r="M628" i="37"/>
  <c r="Y628" i="37" s="1"/>
  <c r="M2349" i="37"/>
  <c r="Y2352" i="37" s="1"/>
  <c r="M566" i="37"/>
  <c r="M968" i="37"/>
  <c r="M950" i="37"/>
  <c r="Y950" i="37" s="1"/>
  <c r="M342" i="37"/>
  <c r="Y342" i="37" s="1"/>
  <c r="M2751" i="37"/>
  <c r="M897" i="37"/>
  <c r="M1238" i="37"/>
  <c r="Y1238" i="37" s="1"/>
  <c r="M3161" i="37"/>
  <c r="M1195" i="37"/>
  <c r="M1504" i="37"/>
  <c r="Y1504" i="37" s="1"/>
  <c r="M2294" i="37"/>
  <c r="Y2297" i="37" s="1"/>
  <c r="M356" i="37"/>
  <c r="Y356" i="37" s="1"/>
  <c r="M1532" i="37"/>
  <c r="M1541" i="37"/>
  <c r="M877" i="37"/>
  <c r="Y877" i="37" s="1"/>
  <c r="M646" i="37"/>
  <c r="M229" i="37"/>
  <c r="M1585" i="37"/>
  <c r="Y1588" i="37" s="1"/>
  <c r="M417" i="37"/>
  <c r="Y420" i="37" s="1"/>
  <c r="M2993" i="37"/>
  <c r="Y2996" i="37" s="1"/>
  <c r="M2252" i="37"/>
  <c r="M619" i="37"/>
  <c r="Y622" i="37" s="1"/>
  <c r="M3073" i="37"/>
  <c r="M1133" i="37"/>
  <c r="Y1133" i="37" s="1"/>
  <c r="M1478" i="37"/>
  <c r="Y1482" i="37" s="1"/>
  <c r="M288" i="37"/>
  <c r="Y290" i="37" s="1"/>
  <c r="M1055" i="37"/>
  <c r="Y1055" i="37" s="1"/>
  <c r="M1551" i="37"/>
  <c r="M2809" i="37"/>
  <c r="Y2809" i="37" s="1"/>
  <c r="M2134" i="37"/>
  <c r="Y2138" i="37" s="1"/>
  <c r="M89" i="37"/>
  <c r="Y89" i="37" s="1"/>
  <c r="M1517" i="37"/>
  <c r="T1302" i="50"/>
  <c r="L1630" i="50"/>
  <c r="L1580" i="50"/>
  <c r="L1061" i="50"/>
  <c r="T2148" i="50"/>
  <c r="T1466" i="50"/>
  <c r="L2347" i="50"/>
  <c r="L499" i="50"/>
  <c r="L2123" i="50"/>
  <c r="L1183" i="50"/>
  <c r="L1867" i="50"/>
  <c r="L1306" i="50"/>
  <c r="L760" i="50"/>
  <c r="L2329" i="50"/>
  <c r="L1634" i="50"/>
  <c r="L1310" i="50"/>
  <c r="L2469" i="50"/>
  <c r="L555" i="50"/>
  <c r="L513" i="50"/>
  <c r="L2404" i="50"/>
  <c r="L1825" i="50"/>
  <c r="L2265" i="50"/>
  <c r="L2566" i="50"/>
  <c r="L2453" i="50"/>
  <c r="L1569" i="50"/>
  <c r="L691" i="50"/>
  <c r="L1142" i="50"/>
  <c r="L978" i="50"/>
  <c r="L1333" i="50"/>
  <c r="L111" i="50"/>
  <c r="L2373" i="50"/>
  <c r="L2338" i="50"/>
  <c r="L841" i="50"/>
  <c r="L2136" i="50"/>
  <c r="L2353" i="50"/>
  <c r="L810" i="50"/>
  <c r="L1405" i="50"/>
  <c r="L1638" i="50"/>
  <c r="L1302" i="50"/>
  <c r="L596" i="50"/>
  <c r="L1375" i="50"/>
  <c r="L482" i="50"/>
  <c r="L2072" i="50"/>
  <c r="L2017" i="50"/>
  <c r="T974" i="50"/>
  <c r="T2316" i="50"/>
  <c r="L1241" i="50"/>
  <c r="L2203" i="50"/>
  <c r="L145" i="50"/>
  <c r="L1689" i="50"/>
  <c r="T810" i="50"/>
  <c r="L2031" i="50"/>
  <c r="L2321" i="50"/>
  <c r="L1744" i="50"/>
  <c r="L346" i="50"/>
  <c r="L1897" i="50"/>
  <c r="L1975" i="50"/>
  <c r="L1908" i="50"/>
  <c r="L2481" i="50"/>
  <c r="L855" i="50"/>
  <c r="L1146" i="50"/>
  <c r="L211" i="50"/>
  <c r="L569" i="50"/>
  <c r="L2395" i="50"/>
  <c r="L1197" i="50"/>
  <c r="L974" i="50"/>
  <c r="L2003" i="50"/>
  <c r="L165" i="50"/>
  <c r="L541" i="50"/>
  <c r="L1733" i="50"/>
  <c r="T482" i="50"/>
  <c r="L2442" i="50"/>
  <c r="L2199" i="50"/>
  <c r="L991" i="50"/>
  <c r="L187" i="50"/>
  <c r="L2473" i="50"/>
  <c r="L2410" i="50"/>
  <c r="L1361" i="50"/>
  <c r="L1047" i="50"/>
  <c r="L2459" i="50"/>
  <c r="L199" i="50"/>
  <c r="L705" i="50"/>
  <c r="L1798" i="50"/>
  <c r="T2123" i="50"/>
  <c r="L135" i="50"/>
  <c r="L913" i="50"/>
  <c r="L982" i="50"/>
  <c r="L2145" i="50"/>
  <c r="L2438" i="50"/>
  <c r="L1962" i="50"/>
  <c r="L1553" i="50"/>
  <c r="L2269" i="50"/>
  <c r="L2195" i="50"/>
  <c r="L2128" i="50"/>
  <c r="L2257" i="50"/>
  <c r="L1466" i="50"/>
  <c r="L677" i="50"/>
  <c r="L2430" i="50"/>
  <c r="T2215" i="50"/>
  <c r="L1416" i="50"/>
  <c r="L170" i="50"/>
  <c r="L814" i="50"/>
  <c r="L1703" i="50"/>
  <c r="T1958" i="50"/>
  <c r="L2498" i="50"/>
  <c r="L2550" i="50"/>
  <c r="L1155" i="50"/>
  <c r="L1319" i="50"/>
  <c r="L490" i="50"/>
  <c r="T2190" i="50"/>
  <c r="L897" i="50"/>
  <c r="L2190" i="50"/>
  <c r="L2160" i="50"/>
  <c r="L2212" i="50"/>
  <c r="L2382" i="50"/>
  <c r="L719" i="50"/>
  <c r="L2286" i="50"/>
  <c r="L1853" i="50"/>
  <c r="L2132" i="50"/>
  <c r="L2477" i="50"/>
  <c r="L221" i="50"/>
  <c r="L1211" i="50"/>
  <c r="L827" i="50"/>
  <c r="L1811" i="50"/>
  <c r="T2469" i="50"/>
  <c r="L733" i="50"/>
  <c r="L1511" i="50"/>
  <c r="L527" i="50"/>
  <c r="T2257" i="50"/>
  <c r="L2061" i="50"/>
  <c r="L2546" i="50"/>
  <c r="L2547" i="50" s="1"/>
  <c r="L2561" i="50" s="1"/>
  <c r="L1389" i="50"/>
  <c r="L140" i="50"/>
  <c r="L924" i="50"/>
  <c r="T2373" i="50"/>
  <c r="L1717" i="50"/>
  <c r="T2398" i="50"/>
  <c r="L1033" i="50"/>
  <c r="L2045" i="50"/>
  <c r="L151" i="50"/>
  <c r="L1881" i="50"/>
  <c r="L2227" i="50"/>
  <c r="L818" i="50"/>
  <c r="L1794" i="50"/>
  <c r="L2516" i="50"/>
  <c r="L2560" i="50"/>
  <c r="L176" i="50"/>
  <c r="L1839" i="50"/>
  <c r="L663" i="50"/>
  <c r="L1525" i="50"/>
  <c r="L63" i="50"/>
  <c r="L2316" i="50"/>
  <c r="T1794" i="50"/>
  <c r="L160" i="50"/>
  <c r="L1647" i="50"/>
  <c r="L1539" i="50"/>
  <c r="L1802" i="50"/>
  <c r="L2154" i="50"/>
  <c r="L1077" i="50"/>
  <c r="L1989" i="50"/>
  <c r="L1225" i="50"/>
  <c r="L1966" i="50"/>
  <c r="L650" i="50"/>
  <c r="L2523" i="50"/>
  <c r="L1169" i="50"/>
  <c r="T2430" i="50"/>
  <c r="T1138" i="50"/>
  <c r="L2378" i="50"/>
  <c r="L2280" i="50"/>
  <c r="L1661" i="50"/>
  <c r="L869" i="50"/>
  <c r="L883" i="50"/>
  <c r="L1347" i="50"/>
  <c r="T1630" i="50"/>
  <c r="L585" i="50"/>
  <c r="T646" i="50"/>
  <c r="L486" i="50"/>
  <c r="L2221" i="50"/>
  <c r="L654" i="50"/>
  <c r="T2341" i="50"/>
  <c r="L646" i="50"/>
  <c r="L2261" i="50"/>
  <c r="L2492" i="50"/>
  <c r="L1088" i="50"/>
  <c r="L1005" i="50"/>
  <c r="L2554" i="50"/>
  <c r="L2325" i="50"/>
  <c r="L1019" i="50"/>
  <c r="L1138" i="50"/>
  <c r="L1252" i="50"/>
  <c r="L1470" i="50"/>
  <c r="L1958" i="50"/>
  <c r="L1474" i="50"/>
  <c r="L1483" i="50"/>
  <c r="L1675" i="50"/>
  <c r="L2386" i="50"/>
  <c r="L749" i="50"/>
  <c r="L1497" i="50"/>
  <c r="L91" i="50"/>
  <c r="L2434" i="50"/>
  <c r="I420" i="41"/>
  <c r="I2464" i="50"/>
  <c r="P2485" i="50" s="1"/>
  <c r="D2464" i="50"/>
  <c r="P2443" i="50"/>
  <c r="P2454" i="50"/>
  <c r="P2446" i="50"/>
  <c r="H2428" i="50"/>
  <c r="E2428" i="50"/>
  <c r="P2455" i="50"/>
  <c r="R2425" i="50"/>
  <c r="P2431" i="50"/>
  <c r="P2444" i="50"/>
  <c r="P2445" i="50" s="1"/>
  <c r="P2435" i="50"/>
  <c r="Q2464" i="50"/>
  <c r="D33" i="62"/>
  <c r="E189" i="62"/>
  <c r="N2467" i="50"/>
  <c r="H2485" i="50"/>
  <c r="H2478" i="50"/>
  <c r="H2482" i="50" s="1"/>
  <c r="H2493" i="50"/>
  <c r="K420" i="41"/>
  <c r="Q1090" i="42"/>
  <c r="G1090" i="42"/>
  <c r="H1098" i="42" s="1"/>
  <c r="H1001" i="42"/>
  <c r="H1007" i="42"/>
  <c r="Q1625" i="50"/>
  <c r="C1789" i="50"/>
  <c r="D1625" i="50"/>
  <c r="D258" i="34"/>
  <c r="O258" i="34"/>
  <c r="R258" i="34" s="1"/>
  <c r="C259" i="34"/>
  <c r="M2980" i="37" l="1"/>
  <c r="Y2980" i="37" s="1"/>
  <c r="M2629" i="37"/>
  <c r="Y2631" i="37" s="1"/>
  <c r="M2336" i="37"/>
  <c r="Y2336" i="37" s="1"/>
  <c r="M404" i="37"/>
  <c r="Y404" i="37" s="1"/>
  <c r="M726" i="37"/>
  <c r="Y726" i="37" s="1"/>
  <c r="M1692" i="37"/>
  <c r="Y1692" i="37" s="1"/>
  <c r="M1370" i="37"/>
  <c r="Y1370" i="37" s="1"/>
  <c r="M1985" i="37"/>
  <c r="Y1987" i="37" s="1"/>
  <c r="M697" i="37"/>
  <c r="Y699" i="37" s="1"/>
  <c r="M1019" i="37"/>
  <c r="Y1021" i="37" s="1"/>
  <c r="M1663" i="37"/>
  <c r="Y1665" i="37" s="1"/>
  <c r="M2951" i="37"/>
  <c r="Y2953" i="37" s="1"/>
  <c r="M1341" i="37"/>
  <c r="Y1343" i="37" s="1"/>
  <c r="M2014" i="37"/>
  <c r="Y2014" i="37" s="1"/>
  <c r="M2307" i="37"/>
  <c r="Y2309" i="37" s="1"/>
  <c r="M53" i="37"/>
  <c r="Y55" i="37" s="1"/>
  <c r="M375" i="37"/>
  <c r="Y377" i="37" s="1"/>
  <c r="M1048" i="37"/>
  <c r="Y1048" i="37" s="1"/>
  <c r="M82" i="37"/>
  <c r="Y82" i="37" s="1"/>
  <c r="M2658" i="37"/>
  <c r="Y2658" i="37" s="1"/>
  <c r="H418" i="43"/>
  <c r="H278" i="49"/>
  <c r="H1190" i="42"/>
  <c r="H421" i="47"/>
  <c r="H3242" i="37"/>
  <c r="H2737" i="50"/>
  <c r="H393" i="41"/>
  <c r="W364" i="42"/>
  <c r="AF364" i="42"/>
  <c r="AE722" i="42"/>
  <c r="V722" i="42"/>
  <c r="X127" i="42"/>
  <c r="AG127" i="42"/>
  <c r="J2517" i="50"/>
  <c r="J2518" i="50"/>
  <c r="AE2751" i="37"/>
  <c r="AE3073" i="37"/>
  <c r="AE811" i="37"/>
  <c r="AE1254" i="37"/>
  <c r="AE664" i="37"/>
  <c r="AE375" i="37"/>
  <c r="AE2743" i="37"/>
  <c r="AE112" i="37"/>
  <c r="AE2805" i="37"/>
  <c r="AE950" i="37"/>
  <c r="AE1278" i="37"/>
  <c r="AE2470" i="37"/>
  <c r="AE2336" i="37"/>
  <c r="AE1463" i="37"/>
  <c r="AE1839" i="37"/>
  <c r="AE3131" i="37"/>
  <c r="AE555" i="37"/>
  <c r="AE1585" i="37"/>
  <c r="AE2801" i="37"/>
  <c r="AE932" i="37"/>
  <c r="AE2560" i="37"/>
  <c r="AE3114" i="37"/>
  <c r="AE619" i="37"/>
  <c r="AE1934" i="37"/>
  <c r="AE2766" i="37"/>
  <c r="AE1612" i="37"/>
  <c r="AE2487" i="37"/>
  <c r="AE2951" i="37"/>
  <c r="AE1608" i="37"/>
  <c r="AE1722" i="37"/>
  <c r="AE538" i="37"/>
  <c r="AE1490" i="37"/>
  <c r="AE1812" i="37"/>
  <c r="AE312" i="37"/>
  <c r="AE846" i="37"/>
  <c r="AE2820" i="37"/>
  <c r="AE1521" i="37"/>
  <c r="AE3088" i="37"/>
  <c r="AE1263" i="37"/>
  <c r="AE2307" i="37"/>
  <c r="AE1199" i="37"/>
  <c r="AE1517" i="37"/>
  <c r="AE2792" i="37"/>
  <c r="AE575" i="37"/>
  <c r="AE2980" i="37"/>
  <c r="AE2134" i="37"/>
  <c r="AE1922" i="37"/>
  <c r="AE1630" i="37"/>
  <c r="AE1229" i="37"/>
  <c r="AE2456" i="37"/>
  <c r="AE873" i="37"/>
  <c r="AE907" i="37"/>
  <c r="AE877" i="37"/>
  <c r="AE1141" i="37"/>
  <c r="AE2244" i="37"/>
  <c r="AE941" i="37"/>
  <c r="AE306" i="37"/>
  <c r="AE1504" i="37"/>
  <c r="AE964" i="37"/>
  <c r="AE1800" i="37"/>
  <c r="AE1048" i="37"/>
  <c r="AE2429" i="37"/>
  <c r="AE3010" i="37"/>
  <c r="AE1156" i="37"/>
  <c r="AE756" i="37"/>
  <c r="AE512" i="37"/>
  <c r="AE2229" i="37"/>
  <c r="AE888" i="37"/>
  <c r="AE819" i="37"/>
  <c r="AE2688" i="37"/>
  <c r="AE1826" i="37"/>
  <c r="AE642" i="37"/>
  <c r="AE20" i="37"/>
  <c r="AE547" i="37"/>
  <c r="AE2809" i="37"/>
  <c r="AE288" i="37"/>
  <c r="AE3151" i="37"/>
  <c r="AE2176" i="37"/>
  <c r="AE3142" i="37"/>
  <c r="AE2829" i="37"/>
  <c r="AE1952" i="37"/>
  <c r="AE404" i="37"/>
  <c r="AE2566" i="37"/>
  <c r="AE1863" i="37"/>
  <c r="AE3065" i="37"/>
  <c r="AE3127" i="37"/>
  <c r="AE2366" i="37"/>
  <c r="AE3218" i="37"/>
  <c r="AE2161" i="37"/>
  <c r="AE82" i="37"/>
  <c r="AE2157" i="37"/>
  <c r="AE3100" i="37"/>
  <c r="AE1478" i="37"/>
  <c r="AE897" i="37"/>
  <c r="AE1907" i="37"/>
  <c r="AE1843" i="37"/>
  <c r="AE342" i="37"/>
  <c r="AE628" i="37"/>
  <c r="AE646" i="37"/>
  <c r="AE216" i="37"/>
  <c r="AE1835" i="37"/>
  <c r="AE1272" i="37"/>
  <c r="AE1576" i="37"/>
  <c r="AE253" i="37"/>
  <c r="AE2479" i="37"/>
  <c r="AE1854" i="37"/>
  <c r="AE1195" i="37"/>
  <c r="AE2864" i="37"/>
  <c r="AE1182" i="37"/>
  <c r="AE3123" i="37"/>
  <c r="AE1286" i="37"/>
  <c r="AE1168" i="37"/>
  <c r="AE2099" i="37"/>
  <c r="AE3186" i="37"/>
  <c r="AE2185" i="37"/>
  <c r="AE2044" i="37"/>
  <c r="AE167" i="37"/>
  <c r="AE2888" i="37"/>
  <c r="AE2578" i="37"/>
  <c r="AE297" i="37"/>
  <c r="AE697" i="37"/>
  <c r="AE1290" i="37"/>
  <c r="AE3204" i="37"/>
  <c r="AE2839" i="37"/>
  <c r="AE2517" i="37"/>
  <c r="AE2274" i="37"/>
  <c r="AE2778" i="37"/>
  <c r="AE497" i="37"/>
  <c r="AE320" i="37"/>
  <c r="AE1692" i="37"/>
  <c r="AE2896" i="37"/>
  <c r="AE2238" i="37"/>
  <c r="AE1133" i="37"/>
  <c r="AE3161" i="37"/>
  <c r="AE2165" i="37"/>
  <c r="AE324" i="37"/>
  <c r="AE434" i="37"/>
  <c r="AE244" i="37"/>
  <c r="AE53" i="37"/>
  <c r="AE1210" i="37"/>
  <c r="AE869" i="37"/>
  <c r="AE2107" i="37"/>
  <c r="AE1898" i="37"/>
  <c r="AE1513" i="37"/>
  <c r="AE2444" i="37"/>
  <c r="AE1191" i="37"/>
  <c r="AE190" i="37"/>
  <c r="AE2483" i="37"/>
  <c r="AE1455" i="37"/>
  <c r="AE1341" i="37"/>
  <c r="AE2498" i="37"/>
  <c r="AE1551" i="37"/>
  <c r="AE524" i="37"/>
  <c r="AE634" i="37"/>
  <c r="AE2507" i="37"/>
  <c r="AE175" i="37"/>
  <c r="AE2195" i="37"/>
  <c r="AE2596" i="37"/>
  <c r="AE610" i="37"/>
  <c r="AE2256" i="37"/>
  <c r="AE986" i="37"/>
  <c r="AE3210" i="37"/>
  <c r="AE2551" i="37"/>
  <c r="AE1532" i="37"/>
  <c r="AE1930" i="37"/>
  <c r="AE489" i="37"/>
  <c r="AE2148" i="37"/>
  <c r="V20" i="37"/>
  <c r="AE2542" i="37"/>
  <c r="AE566" i="37"/>
  <c r="AE229" i="37"/>
  <c r="AE2629" i="37"/>
  <c r="AE3195" i="37"/>
  <c r="AE2873" i="37"/>
  <c r="AE225" i="37"/>
  <c r="AE2574" i="37"/>
  <c r="AE956" i="37"/>
  <c r="AE1594" i="37"/>
  <c r="AE2252" i="37"/>
  <c r="AE1663" i="37"/>
  <c r="AE202" i="37"/>
  <c r="AE1873" i="37"/>
  <c r="AE2421" i="37"/>
  <c r="AE1019" i="37"/>
  <c r="AE1370" i="37"/>
  <c r="AE585" i="37"/>
  <c r="AE860" i="37"/>
  <c r="AE2918" i="37"/>
  <c r="AE2014" i="37"/>
  <c r="AE551" i="37"/>
  <c r="AE1785" i="37"/>
  <c r="AE2220" i="37"/>
  <c r="AE2658" i="37"/>
  <c r="AE1777" i="37"/>
  <c r="AE2882" i="37"/>
  <c r="AE1541" i="37"/>
  <c r="AE1400" i="37"/>
  <c r="AE263" i="37"/>
  <c r="AE2122" i="37"/>
  <c r="AE1219" i="37"/>
  <c r="AE1078" i="37"/>
  <c r="AE1985" i="37"/>
  <c r="AE2900" i="37"/>
  <c r="AE1308" i="37"/>
  <c r="AE1600" i="37"/>
  <c r="AE726" i="37"/>
  <c r="AE233" i="37"/>
  <c r="AE3222" i="37"/>
  <c r="AE834" i="37"/>
  <c r="AE968" i="37"/>
  <c r="AE1916" i="37"/>
  <c r="AH489" i="37"/>
  <c r="AH404" i="37"/>
  <c r="AH2099" i="37"/>
  <c r="AH2107" i="37"/>
  <c r="AH2429" i="37"/>
  <c r="AH2238" i="37"/>
  <c r="AH1254" i="37"/>
  <c r="AH2574" i="37"/>
  <c r="AH956" i="37"/>
  <c r="AH375" i="37"/>
  <c r="AH190" i="37"/>
  <c r="AH2805" i="37"/>
  <c r="AH2307" i="37"/>
  <c r="AH1370" i="37"/>
  <c r="AH2456" i="37"/>
  <c r="AH1630" i="37"/>
  <c r="AH2801" i="37"/>
  <c r="AH1210" i="37"/>
  <c r="AH3210" i="37"/>
  <c r="AH2658" i="37"/>
  <c r="AH1922" i="37"/>
  <c r="AH619" i="37"/>
  <c r="AH555" i="37"/>
  <c r="AH3142" i="37"/>
  <c r="AH3151" i="37"/>
  <c r="AH646" i="37"/>
  <c r="AH2688" i="37"/>
  <c r="AH3204" i="37"/>
  <c r="AH2778" i="37"/>
  <c r="AH2165" i="37"/>
  <c r="AH628" i="37"/>
  <c r="AH3065" i="37"/>
  <c r="AH873" i="37"/>
  <c r="AH2896" i="37"/>
  <c r="AH950" i="37"/>
  <c r="AH225" i="37"/>
  <c r="AH1594" i="37"/>
  <c r="AH1463" i="37"/>
  <c r="Y20" i="37"/>
  <c r="AH1692" i="37"/>
  <c r="AH2274" i="37"/>
  <c r="AH2820" i="37"/>
  <c r="AH1272" i="37"/>
  <c r="AH3186" i="37"/>
  <c r="AH610" i="37"/>
  <c r="AH1812" i="37"/>
  <c r="AH1600" i="37"/>
  <c r="AH877" i="37"/>
  <c r="AH1521" i="37"/>
  <c r="AH585" i="37"/>
  <c r="AH2244" i="37"/>
  <c r="AH2134" i="37"/>
  <c r="AH1930" i="37"/>
  <c r="AH860" i="37"/>
  <c r="AH811" i="37"/>
  <c r="AH941" i="37"/>
  <c r="AH1551" i="37"/>
  <c r="AH2864" i="37"/>
  <c r="AH1785" i="37"/>
  <c r="AH2517" i="37"/>
  <c r="AH1490" i="37"/>
  <c r="AH3010" i="37"/>
  <c r="AH846" i="37"/>
  <c r="AH1873" i="37"/>
  <c r="AH834" i="37"/>
  <c r="AH756" i="37"/>
  <c r="AH1341" i="37"/>
  <c r="AH1229" i="37"/>
  <c r="AH2507" i="37"/>
  <c r="AH263" i="37"/>
  <c r="AH2918" i="37"/>
  <c r="AH1916" i="37"/>
  <c r="AH2873" i="37"/>
  <c r="AH167" i="37"/>
  <c r="AH2336" i="37"/>
  <c r="AH112" i="37"/>
  <c r="AH233" i="37"/>
  <c r="AH1308" i="37"/>
  <c r="AH202" i="37"/>
  <c r="AH3222" i="37"/>
  <c r="AH1286" i="37"/>
  <c r="AH216" i="37"/>
  <c r="AH1278" i="37"/>
  <c r="AH1612" i="37"/>
  <c r="AH524" i="37"/>
  <c r="AH2195" i="37"/>
  <c r="AH634" i="37"/>
  <c r="AH1826" i="37"/>
  <c r="AH2483" i="37"/>
  <c r="AH1800" i="37"/>
  <c r="AH1504" i="37"/>
  <c r="AH538" i="37"/>
  <c r="AH897" i="37"/>
  <c r="AH306" i="37"/>
  <c r="AH1863" i="37"/>
  <c r="AH1934" i="37"/>
  <c r="AH1722" i="37"/>
  <c r="AH664" i="37"/>
  <c r="AH320" i="37"/>
  <c r="AH932" i="37"/>
  <c r="AH1907" i="37"/>
  <c r="AH1133" i="37"/>
  <c r="AH1777" i="37"/>
  <c r="AH1585" i="37"/>
  <c r="AH3131" i="37"/>
  <c r="AH1663" i="37"/>
  <c r="AH819" i="37"/>
  <c r="AH1898" i="37"/>
  <c r="AH3218" i="37"/>
  <c r="AH1156" i="37"/>
  <c r="AH888" i="37"/>
  <c r="AH1290" i="37"/>
  <c r="AH3195" i="37"/>
  <c r="AH2157" i="37"/>
  <c r="AH2122" i="37"/>
  <c r="AH1219" i="37"/>
  <c r="AH2566" i="37"/>
  <c r="AH2498" i="37"/>
  <c r="AH1455" i="37"/>
  <c r="AH2366" i="37"/>
  <c r="AH726" i="37"/>
  <c r="AH1191" i="37"/>
  <c r="AH1952" i="37"/>
  <c r="AH2578" i="37"/>
  <c r="AH1985" i="37"/>
  <c r="AH2792" i="37"/>
  <c r="AH1195" i="37"/>
  <c r="AH20" i="37"/>
  <c r="AH229" i="37"/>
  <c r="AH642" i="37"/>
  <c r="AH3161" i="37"/>
  <c r="AH253" i="37"/>
  <c r="AH907" i="37"/>
  <c r="AH1078" i="37"/>
  <c r="AH1532" i="37"/>
  <c r="AH968" i="37"/>
  <c r="AH1199" i="37"/>
  <c r="AH2809" i="37"/>
  <c r="AH3114" i="37"/>
  <c r="AH2185" i="37"/>
  <c r="AH3088" i="37"/>
  <c r="AH312" i="37"/>
  <c r="AH342" i="37"/>
  <c r="AH697" i="37"/>
  <c r="AH497" i="37"/>
  <c r="AH1843" i="37"/>
  <c r="AH324" i="37"/>
  <c r="AH82" i="37"/>
  <c r="AH1019" i="37"/>
  <c r="AH434" i="37"/>
  <c r="AH2229" i="37"/>
  <c r="AH1576" i="37"/>
  <c r="AH2542" i="37"/>
  <c r="AH2252" i="37"/>
  <c r="AH2487" i="37"/>
  <c r="AH297" i="37"/>
  <c r="AH2444" i="37"/>
  <c r="AH1854" i="37"/>
  <c r="AH1478" i="37"/>
  <c r="AH512" i="37"/>
  <c r="AH2551" i="37"/>
  <c r="AH2882" i="37"/>
  <c r="AH2596" i="37"/>
  <c r="AH1541" i="37"/>
  <c r="AH2479" i="37"/>
  <c r="AH964" i="37"/>
  <c r="AH2148" i="37"/>
  <c r="AH2839" i="37"/>
  <c r="AH1263" i="37"/>
  <c r="AH244" i="37"/>
  <c r="AH2560" i="37"/>
  <c r="AH2176" i="37"/>
  <c r="AH1141" i="37"/>
  <c r="AH575" i="37"/>
  <c r="AH1400" i="37"/>
  <c r="AH2751" i="37"/>
  <c r="AH1839" i="37"/>
  <c r="AH869" i="37"/>
  <c r="AH2888" i="37"/>
  <c r="AH2014" i="37"/>
  <c r="AH1608" i="37"/>
  <c r="AH3100" i="37"/>
  <c r="AH2421" i="37"/>
  <c r="AH2980" i="37"/>
  <c r="AH1048" i="37"/>
  <c r="AH288" i="37"/>
  <c r="AH551" i="37"/>
  <c r="AH2470" i="37"/>
  <c r="AH986" i="37"/>
  <c r="AH175" i="37"/>
  <c r="AH3073" i="37"/>
  <c r="AH2220" i="37"/>
  <c r="AH2900" i="37"/>
  <c r="AH2044" i="37"/>
  <c r="AH1517" i="37"/>
  <c r="AH3127" i="37"/>
  <c r="AH547" i="37"/>
  <c r="AH2951" i="37"/>
  <c r="AH1168" i="37"/>
  <c r="AH2829" i="37"/>
  <c r="AH2743" i="37"/>
  <c r="AH566" i="37"/>
  <c r="AH2766" i="37"/>
  <c r="AH1513" i="37"/>
  <c r="AH2629" i="37"/>
  <c r="AH1182" i="37"/>
  <c r="AH53" i="37"/>
  <c r="AH2161" i="37"/>
  <c r="AH1835" i="37"/>
  <c r="AH3123" i="37"/>
  <c r="AH2256" i="37"/>
  <c r="I424" i="47"/>
  <c r="I3245" i="37"/>
  <c r="I281" i="49"/>
  <c r="W909" i="42"/>
  <c r="AF909" i="42"/>
  <c r="W722" i="42"/>
  <c r="AF722" i="42"/>
  <c r="AF897" i="37"/>
  <c r="AF2238" i="37"/>
  <c r="AF1168" i="37"/>
  <c r="AF225" i="37"/>
  <c r="AF175" i="37"/>
  <c r="AF2918" i="37"/>
  <c r="AF1934" i="37"/>
  <c r="AF2134" i="37"/>
  <c r="AF1585" i="37"/>
  <c r="AF1663" i="37"/>
  <c r="AF964" i="37"/>
  <c r="AF2688" i="37"/>
  <c r="AF3186" i="37"/>
  <c r="AF1722" i="37"/>
  <c r="AF20" i="37"/>
  <c r="AF2122" i="37"/>
  <c r="AF524" i="37"/>
  <c r="AF2107" i="37"/>
  <c r="AF2444" i="37"/>
  <c r="AF1400" i="37"/>
  <c r="AF2479" i="37"/>
  <c r="AF538" i="37"/>
  <c r="AF634" i="37"/>
  <c r="AF2980" i="37"/>
  <c r="AF1839" i="37"/>
  <c r="AF932" i="37"/>
  <c r="AF1952" i="37"/>
  <c r="AF288" i="37"/>
  <c r="AF2766" i="37"/>
  <c r="AF1504" i="37"/>
  <c r="AF1513" i="37"/>
  <c r="AF1922" i="37"/>
  <c r="AF950" i="37"/>
  <c r="AF2566" i="37"/>
  <c r="AF3010" i="37"/>
  <c r="AF2148" i="37"/>
  <c r="AF2507" i="37"/>
  <c r="AF2839" i="37"/>
  <c r="AF646" i="37"/>
  <c r="AF3131" i="37"/>
  <c r="AF1898" i="37"/>
  <c r="AF2517" i="37"/>
  <c r="AF642" i="37"/>
  <c r="AF1800" i="37"/>
  <c r="AF2542" i="37"/>
  <c r="AF202" i="37"/>
  <c r="AF253" i="37"/>
  <c r="AF2421" i="37"/>
  <c r="AF3204" i="37"/>
  <c r="AF2470" i="37"/>
  <c r="AF1551" i="37"/>
  <c r="AF1263" i="37"/>
  <c r="AF2366" i="37"/>
  <c r="AF1576" i="37"/>
  <c r="AF1219" i="37"/>
  <c r="AF82" i="37"/>
  <c r="AF1272" i="37"/>
  <c r="AF575" i="37"/>
  <c r="AF297" i="37"/>
  <c r="AF664" i="37"/>
  <c r="AF3073" i="37"/>
  <c r="AF1463" i="37"/>
  <c r="AF434" i="37"/>
  <c r="AF1521" i="37"/>
  <c r="AF3088" i="37"/>
  <c r="AF1370" i="37"/>
  <c r="AF306" i="37"/>
  <c r="AF1156" i="37"/>
  <c r="AF1907" i="37"/>
  <c r="AF489" i="37"/>
  <c r="AF2743" i="37"/>
  <c r="AF1199" i="37"/>
  <c r="AF2195" i="37"/>
  <c r="AF907" i="37"/>
  <c r="AF2578" i="37"/>
  <c r="AF53" i="37"/>
  <c r="AF1812" i="37"/>
  <c r="AF1286" i="37"/>
  <c r="AF1278" i="37"/>
  <c r="AF1692" i="37"/>
  <c r="AF3065" i="37"/>
  <c r="AF2801" i="37"/>
  <c r="AF2820" i="37"/>
  <c r="AF2176" i="37"/>
  <c r="AF1182" i="37"/>
  <c r="AF860" i="37"/>
  <c r="AF1843" i="37"/>
  <c r="AF2014" i="37"/>
  <c r="AF2185" i="37"/>
  <c r="AF2165" i="37"/>
  <c r="AF1210" i="37"/>
  <c r="AF3218" i="37"/>
  <c r="AF1019" i="37"/>
  <c r="AF1048" i="37"/>
  <c r="AF3123" i="37"/>
  <c r="AF2778" i="37"/>
  <c r="AF1612" i="37"/>
  <c r="AF2252" i="37"/>
  <c r="AF2487" i="37"/>
  <c r="AF2596" i="37"/>
  <c r="AF512" i="37"/>
  <c r="AF869" i="37"/>
  <c r="AF697" i="37"/>
  <c r="AF497" i="37"/>
  <c r="AF1195" i="37"/>
  <c r="AF986" i="37"/>
  <c r="AF877" i="37"/>
  <c r="AF1916" i="37"/>
  <c r="AF2888" i="37"/>
  <c r="AF1600" i="37"/>
  <c r="AF1854" i="37"/>
  <c r="AF2792" i="37"/>
  <c r="AF1835" i="37"/>
  <c r="AF1541" i="37"/>
  <c r="AF1191" i="37"/>
  <c r="AF585" i="37"/>
  <c r="AF1254" i="37"/>
  <c r="AF3151" i="37"/>
  <c r="AF3222" i="37"/>
  <c r="AF2099" i="37"/>
  <c r="AF2244" i="37"/>
  <c r="AF2882" i="37"/>
  <c r="AF229" i="37"/>
  <c r="AF1141" i="37"/>
  <c r="AF167" i="37"/>
  <c r="AF1490" i="37"/>
  <c r="AF834" i="37"/>
  <c r="AF2658" i="37"/>
  <c r="AF263" i="37"/>
  <c r="AF2044" i="37"/>
  <c r="AF1785" i="37"/>
  <c r="AF2274" i="37"/>
  <c r="AF2229" i="37"/>
  <c r="AF1455" i="37"/>
  <c r="AF1133" i="37"/>
  <c r="AF628" i="37"/>
  <c r="AF941" i="37"/>
  <c r="AF1873" i="37"/>
  <c r="AF1229" i="37"/>
  <c r="AF2873" i="37"/>
  <c r="AF811" i="37"/>
  <c r="AF1517" i="37"/>
  <c r="AF756" i="37"/>
  <c r="AF2161" i="37"/>
  <c r="AF375" i="37"/>
  <c r="AF956" i="37"/>
  <c r="AF2574" i="37"/>
  <c r="AF2751" i="37"/>
  <c r="AF2951" i="37"/>
  <c r="AF1985" i="37"/>
  <c r="AF968" i="37"/>
  <c r="AF1826" i="37"/>
  <c r="AF1930" i="37"/>
  <c r="AF2864" i="37"/>
  <c r="AF555" i="37"/>
  <c r="AF312" i="37"/>
  <c r="AF2429" i="37"/>
  <c r="AF2483" i="37"/>
  <c r="AF1078" i="37"/>
  <c r="AF873" i="37"/>
  <c r="AF216" i="37"/>
  <c r="AF2256" i="37"/>
  <c r="AF3210" i="37"/>
  <c r="AF610" i="37"/>
  <c r="AF1341" i="37"/>
  <c r="AF846" i="37"/>
  <c r="AF2157" i="37"/>
  <c r="AF1777" i="37"/>
  <c r="AF342" i="37"/>
  <c r="AF547" i="37"/>
  <c r="AF2900" i="37"/>
  <c r="AF2829" i="37"/>
  <c r="AF324" i="37"/>
  <c r="W20" i="37"/>
  <c r="AF1308" i="37"/>
  <c r="AF3142" i="37"/>
  <c r="AF566" i="37"/>
  <c r="AF112" i="37"/>
  <c r="AF3114" i="37"/>
  <c r="AF190" i="37"/>
  <c r="AF1290" i="37"/>
  <c r="AF619" i="37"/>
  <c r="AF551" i="37"/>
  <c r="AF1863" i="37"/>
  <c r="AF1608" i="37"/>
  <c r="AF3195" i="37"/>
  <c r="AF404" i="37"/>
  <c r="AF3161" i="37"/>
  <c r="AF2629" i="37"/>
  <c r="AF2498" i="37"/>
  <c r="AF2805" i="37"/>
  <c r="AF2336" i="37"/>
  <c r="AF1532" i="37"/>
  <c r="AF233" i="37"/>
  <c r="AF3100" i="37"/>
  <c r="AF1594" i="37"/>
  <c r="AF726" i="37"/>
  <c r="AF3127" i="37"/>
  <c r="AF819" i="37"/>
  <c r="AF2456" i="37"/>
  <c r="AF1630" i="37"/>
  <c r="AF2551" i="37"/>
  <c r="AF2809" i="37"/>
  <c r="AF1478" i="37"/>
  <c r="AF2896" i="37"/>
  <c r="AF244" i="37"/>
  <c r="AF2560" i="37"/>
  <c r="AF2307" i="37"/>
  <c r="AF888" i="37"/>
  <c r="AF320" i="37"/>
  <c r="AF2220" i="37"/>
  <c r="N2517" i="50"/>
  <c r="N2518" i="50"/>
  <c r="AH364" i="42"/>
  <c r="Y364" i="42"/>
  <c r="Y1115" i="42"/>
  <c r="Y1089" i="42"/>
  <c r="AH1089" i="42" s="1"/>
  <c r="L1985" i="37"/>
  <c r="X1987" i="37" s="1"/>
  <c r="L2980" i="37"/>
  <c r="X2980" i="37" s="1"/>
  <c r="L1019" i="37"/>
  <c r="X1021" i="37" s="1"/>
  <c r="L2951" i="37"/>
  <c r="X2953" i="37" s="1"/>
  <c r="L53" i="37"/>
  <c r="X55" i="37" s="1"/>
  <c r="L404" i="37"/>
  <c r="X404" i="37" s="1"/>
  <c r="L2336" i="37"/>
  <c r="X2336" i="37" s="1"/>
  <c r="L375" i="37"/>
  <c r="X377" i="37" s="1"/>
  <c r="L2629" i="37"/>
  <c r="X2631" i="37" s="1"/>
  <c r="L1692" i="37"/>
  <c r="X1692" i="37" s="1"/>
  <c r="L1341" i="37"/>
  <c r="X1343" i="37" s="1"/>
  <c r="L2658" i="37"/>
  <c r="X2658" i="37" s="1"/>
  <c r="L1048" i="37"/>
  <c r="X1048" i="37" s="1"/>
  <c r="L726" i="37"/>
  <c r="X726" i="37" s="1"/>
  <c r="L82" i="37"/>
  <c r="X82" i="37" s="1"/>
  <c r="L2014" i="37"/>
  <c r="X2014" i="37" s="1"/>
  <c r="L1370" i="37"/>
  <c r="X1370" i="37" s="1"/>
  <c r="L2307" i="37"/>
  <c r="X2309" i="37" s="1"/>
  <c r="L1663" i="37"/>
  <c r="X1665" i="37" s="1"/>
  <c r="L697" i="37"/>
  <c r="X699" i="37" s="1"/>
  <c r="I597" i="42"/>
  <c r="U597" i="42" s="1"/>
  <c r="AD211" i="42"/>
  <c r="I241" i="42"/>
  <c r="U241" i="42" s="1"/>
  <c r="AD470" i="42"/>
  <c r="I925" i="42"/>
  <c r="I585" i="42"/>
  <c r="U585" i="42" s="1"/>
  <c r="I969" i="42"/>
  <c r="U970" i="42" s="1"/>
  <c r="I589" i="42"/>
  <c r="U589" i="42" s="1"/>
  <c r="AD593" i="42"/>
  <c r="AD782" i="42"/>
  <c r="I201" i="42"/>
  <c r="AD597" i="42"/>
  <c r="I84" i="42"/>
  <c r="AD84" i="42" s="1"/>
  <c r="I428" i="42"/>
  <c r="U428" i="42" s="1"/>
  <c r="I470" i="42"/>
  <c r="U470" i="42" s="1"/>
  <c r="I909" i="42"/>
  <c r="I143" i="42"/>
  <c r="AD462" i="42"/>
  <c r="AD241" i="42"/>
  <c r="I561" i="42"/>
  <c r="I1149" i="42"/>
  <c r="AD561" i="42"/>
  <c r="I551" i="42"/>
  <c r="U551" i="42" s="1"/>
  <c r="AD233" i="42"/>
  <c r="AD225" i="42"/>
  <c r="I601" i="42"/>
  <c r="U601" i="42" s="1"/>
  <c r="AD963" i="42"/>
  <c r="I722" i="42"/>
  <c r="I474" i="42"/>
  <c r="U474" i="42" s="1"/>
  <c r="I679" i="42"/>
  <c r="AD679" i="42" s="1"/>
  <c r="AD466" i="42"/>
  <c r="I256" i="42"/>
  <c r="U256" i="42" s="1"/>
  <c r="I593" i="42"/>
  <c r="U593" i="42" s="1"/>
  <c r="I466" i="42"/>
  <c r="U466" i="42" s="1"/>
  <c r="I364" i="42"/>
  <c r="I571" i="42"/>
  <c r="I127" i="42"/>
  <c r="I448" i="42"/>
  <c r="I616" i="42"/>
  <c r="U616" i="42" s="1"/>
  <c r="I1089" i="42"/>
  <c r="AD448" i="42"/>
  <c r="I989" i="42"/>
  <c r="AD474" i="42"/>
  <c r="AD237" i="42"/>
  <c r="I776" i="42"/>
  <c r="U776" i="42" s="1"/>
  <c r="AD229" i="42"/>
  <c r="I237" i="42"/>
  <c r="U237" i="42" s="1"/>
  <c r="I191" i="42"/>
  <c r="U191" i="42" s="1"/>
  <c r="I380" i="42"/>
  <c r="I493" i="42"/>
  <c r="U493" i="42" s="1"/>
  <c r="I233" i="42"/>
  <c r="U233" i="42" s="1"/>
  <c r="AD571" i="42"/>
  <c r="I462" i="42"/>
  <c r="U462" i="42" s="1"/>
  <c r="I229" i="42"/>
  <c r="U229" i="42" s="1"/>
  <c r="AD585" i="42"/>
  <c r="AD438" i="42"/>
  <c r="I738" i="42"/>
  <c r="AD601" i="42"/>
  <c r="AD776" i="42"/>
  <c r="I321" i="42"/>
  <c r="AD321" i="42" s="1"/>
  <c r="I211" i="42"/>
  <c r="I782" i="42"/>
  <c r="U783" i="42" s="1"/>
  <c r="AD589" i="42"/>
  <c r="I19" i="42"/>
  <c r="U19" i="42" s="1"/>
  <c r="I225" i="42"/>
  <c r="U225" i="42" s="1"/>
  <c r="AD201" i="42"/>
  <c r="I803" i="42"/>
  <c r="U803" i="42" s="1"/>
  <c r="AD478" i="42"/>
  <c r="AD191" i="42"/>
  <c r="AD969" i="42"/>
  <c r="I1049" i="42"/>
  <c r="AD551" i="42"/>
  <c r="AD428" i="42"/>
  <c r="I478" i="42"/>
  <c r="U478" i="42" s="1"/>
  <c r="I866" i="42"/>
  <c r="AD866" i="42" s="1"/>
  <c r="I963" i="42"/>
  <c r="U963" i="42" s="1"/>
  <c r="I438" i="42"/>
  <c r="Z364" i="42"/>
  <c r="AI364" i="42"/>
  <c r="M2518" i="50"/>
  <c r="M2517" i="50"/>
  <c r="N1048" i="37"/>
  <c r="Z1048" i="37" s="1"/>
  <c r="N53" i="37"/>
  <c r="Z55" i="37" s="1"/>
  <c r="N1341" i="37"/>
  <c r="Z1343" i="37" s="1"/>
  <c r="N1985" i="37"/>
  <c r="Z1987" i="37" s="1"/>
  <c r="N697" i="37"/>
  <c r="Z699" i="37" s="1"/>
  <c r="N1370" i="37"/>
  <c r="Z1370" i="37" s="1"/>
  <c r="N726" i="37"/>
  <c r="Z726" i="37" s="1"/>
  <c r="N1019" i="37"/>
  <c r="Z1021" i="37" s="1"/>
  <c r="N2980" i="37"/>
  <c r="Z2980" i="37" s="1"/>
  <c r="N2014" i="37"/>
  <c r="Z2014" i="37" s="1"/>
  <c r="N375" i="37"/>
  <c r="Z377" i="37" s="1"/>
  <c r="N2951" i="37"/>
  <c r="Z2953" i="37" s="1"/>
  <c r="N1692" i="37"/>
  <c r="Z1692" i="37" s="1"/>
  <c r="N2336" i="37"/>
  <c r="Z2336" i="37" s="1"/>
  <c r="N2658" i="37"/>
  <c r="Z2658" i="37" s="1"/>
  <c r="N2629" i="37"/>
  <c r="Z2631" i="37" s="1"/>
  <c r="N404" i="37"/>
  <c r="Z404" i="37" s="1"/>
  <c r="N82" i="37"/>
  <c r="Z82" i="37" s="1"/>
  <c r="N2307" i="37"/>
  <c r="Z2309" i="37" s="1"/>
  <c r="N1663" i="37"/>
  <c r="Z1665" i="37" s="1"/>
  <c r="I155" i="47"/>
  <c r="I128" i="47"/>
  <c r="I386" i="47"/>
  <c r="AD386" i="47" s="1"/>
  <c r="I31" i="47"/>
  <c r="AD31" i="47" s="1"/>
  <c r="I254" i="47"/>
  <c r="AD254" i="47" s="1"/>
  <c r="I196" i="47"/>
  <c r="I146" i="47"/>
  <c r="AD146" i="47" s="1"/>
  <c r="I322" i="47"/>
  <c r="AD322" i="47" s="1"/>
  <c r="I354" i="47"/>
  <c r="AD354" i="47" s="1"/>
  <c r="I207" i="47"/>
  <c r="I335" i="47"/>
  <c r="I94" i="47"/>
  <c r="I180" i="47"/>
  <c r="AD180" i="47" s="1"/>
  <c r="I112" i="47"/>
  <c r="AD112" i="47" s="1"/>
  <c r="I328" i="47"/>
  <c r="I121" i="47"/>
  <c r="I295" i="47"/>
  <c r="I289" i="47"/>
  <c r="AD289" i="47" s="1"/>
  <c r="I162" i="47"/>
  <c r="I216" i="47"/>
  <c r="I188" i="47"/>
  <c r="I269" i="47"/>
  <c r="I364" i="47"/>
  <c r="I302" i="47"/>
  <c r="Z722" i="42"/>
  <c r="AI722" i="42"/>
  <c r="K2518" i="50"/>
  <c r="K2517" i="50"/>
  <c r="AG909" i="42"/>
  <c r="X909" i="42"/>
  <c r="Y1015" i="42"/>
  <c r="Y989" i="42"/>
  <c r="AH989" i="42" s="1"/>
  <c r="L2517" i="50"/>
  <c r="L2518" i="50"/>
  <c r="I221" i="50"/>
  <c r="I2072" i="50"/>
  <c r="I974" i="50"/>
  <c r="I1252" i="50"/>
  <c r="I199" i="50"/>
  <c r="I1466" i="50"/>
  <c r="I2190" i="50"/>
  <c r="I91" i="50"/>
  <c r="I111" i="50"/>
  <c r="I2353" i="50"/>
  <c r="I482" i="50"/>
  <c r="I1908" i="50"/>
  <c r="I1630" i="50"/>
  <c r="I596" i="50"/>
  <c r="I2459" i="50"/>
  <c r="I2160" i="50"/>
  <c r="I151" i="50"/>
  <c r="I646" i="50"/>
  <c r="I63" i="50"/>
  <c r="I176" i="50"/>
  <c r="I165" i="50"/>
  <c r="I187" i="50"/>
  <c r="I1416" i="50"/>
  <c r="I135" i="50"/>
  <c r="I211" i="50"/>
  <c r="I1794" i="50"/>
  <c r="I924" i="50"/>
  <c r="I1580" i="50"/>
  <c r="I2227" i="50"/>
  <c r="I140" i="50"/>
  <c r="I160" i="50"/>
  <c r="I2498" i="50"/>
  <c r="I2257" i="50"/>
  <c r="I346" i="50"/>
  <c r="I1088" i="50"/>
  <c r="I1302" i="50"/>
  <c r="I2373" i="50"/>
  <c r="I2316" i="50"/>
  <c r="I2430" i="50"/>
  <c r="I1958" i="50"/>
  <c r="I2286" i="50"/>
  <c r="I2123" i="50"/>
  <c r="I2410" i="50"/>
  <c r="I2469" i="50"/>
  <c r="I1744" i="50"/>
  <c r="I760" i="50"/>
  <c r="I170" i="50"/>
  <c r="I810" i="50"/>
  <c r="I145" i="50"/>
  <c r="I1138" i="50"/>
  <c r="AF127" i="42"/>
  <c r="W127" i="42"/>
  <c r="W1089" i="42"/>
  <c r="AF1089" i="42" s="1"/>
  <c r="W1115" i="42"/>
  <c r="Z1089" i="42"/>
  <c r="AI1089" i="42" s="1"/>
  <c r="Z1115" i="42"/>
  <c r="AE127" i="42"/>
  <c r="V127" i="42"/>
  <c r="X1115" i="42"/>
  <c r="X1089" i="42"/>
  <c r="AG1089" i="42" s="1"/>
  <c r="AI1863" i="37"/>
  <c r="AI3100" i="37"/>
  <c r="AI897" i="37"/>
  <c r="AI1630" i="37"/>
  <c r="AI3218" i="37"/>
  <c r="AI1341" i="37"/>
  <c r="AI1133" i="37"/>
  <c r="AI1504" i="37"/>
  <c r="AI2165" i="37"/>
  <c r="AI834" i="37"/>
  <c r="AI1541" i="37"/>
  <c r="AI2456" i="37"/>
  <c r="AI2658" i="37"/>
  <c r="AI190" i="37"/>
  <c r="AI2743" i="37"/>
  <c r="AI1922" i="37"/>
  <c r="AI2220" i="37"/>
  <c r="AI2766" i="37"/>
  <c r="AI2578" i="37"/>
  <c r="AI202" i="37"/>
  <c r="AI1930" i="37"/>
  <c r="AI2805" i="37"/>
  <c r="AI1826" i="37"/>
  <c r="AI2900" i="37"/>
  <c r="AI2792" i="37"/>
  <c r="AI646" i="37"/>
  <c r="AI1843" i="37"/>
  <c r="AI1463" i="37"/>
  <c r="AI2864" i="37"/>
  <c r="AI167" i="37"/>
  <c r="AI873" i="37"/>
  <c r="AI3010" i="37"/>
  <c r="AI225" i="37"/>
  <c r="AI1600" i="37"/>
  <c r="AI1400" i="37"/>
  <c r="AI2176" i="37"/>
  <c r="AI306" i="37"/>
  <c r="AI869" i="37"/>
  <c r="AI1551" i="37"/>
  <c r="AI82" i="37"/>
  <c r="AI2161" i="37"/>
  <c r="AI1156" i="37"/>
  <c r="AI642" i="37"/>
  <c r="AI2185" i="37"/>
  <c r="AI956" i="37"/>
  <c r="AI941" i="37"/>
  <c r="AI1019" i="37"/>
  <c r="AI53" i="37"/>
  <c r="AI2809" i="37"/>
  <c r="AI932" i="37"/>
  <c r="AI2751" i="37"/>
  <c r="AI1985" i="37"/>
  <c r="AI2873" i="37"/>
  <c r="AI1521" i="37"/>
  <c r="AI1078" i="37"/>
  <c r="AI2274" i="37"/>
  <c r="AI2421" i="37"/>
  <c r="AI2951" i="37"/>
  <c r="AI3210" i="37"/>
  <c r="AI1272" i="37"/>
  <c r="AI1800" i="37"/>
  <c r="AI1478" i="37"/>
  <c r="AI112" i="37"/>
  <c r="AI2517" i="37"/>
  <c r="AI1532" i="37"/>
  <c r="AI2470" i="37"/>
  <c r="AI1907" i="37"/>
  <c r="AI342" i="37"/>
  <c r="AI1455" i="37"/>
  <c r="AI1898" i="37"/>
  <c r="AI2566" i="37"/>
  <c r="AI950" i="37"/>
  <c r="AI2542" i="37"/>
  <c r="AI3127" i="37"/>
  <c r="AI877" i="37"/>
  <c r="AI1286" i="37"/>
  <c r="AI907" i="37"/>
  <c r="AI547" i="37"/>
  <c r="AI375" i="37"/>
  <c r="AI2429" i="37"/>
  <c r="AI551" i="37"/>
  <c r="AI811" i="37"/>
  <c r="AI1254" i="37"/>
  <c r="AI3065" i="37"/>
  <c r="AI2148" i="37"/>
  <c r="AI233" i="37"/>
  <c r="AI1195" i="37"/>
  <c r="AI634" i="37"/>
  <c r="AI1576" i="37"/>
  <c r="AI1873" i="37"/>
  <c r="AI1934" i="37"/>
  <c r="AI288" i="37"/>
  <c r="AI1854" i="37"/>
  <c r="AI2336" i="37"/>
  <c r="AI538" i="37"/>
  <c r="AI2044" i="37"/>
  <c r="AI3073" i="37"/>
  <c r="AI1777" i="37"/>
  <c r="AI1191" i="37"/>
  <c r="AI2498" i="37"/>
  <c r="AI3114" i="37"/>
  <c r="AI1290" i="37"/>
  <c r="AI297" i="37"/>
  <c r="AI860" i="37"/>
  <c r="AI1517" i="37"/>
  <c r="AI1141" i="37"/>
  <c r="AI2574" i="37"/>
  <c r="AI2918" i="37"/>
  <c r="AI2195" i="37"/>
  <c r="AI2444" i="37"/>
  <c r="AI964" i="37"/>
  <c r="AI628" i="37"/>
  <c r="AI986" i="37"/>
  <c r="AI320" i="37"/>
  <c r="AI756" i="37"/>
  <c r="AI253" i="37"/>
  <c r="AI1952" i="37"/>
  <c r="AI1370" i="37"/>
  <c r="AI2229" i="37"/>
  <c r="AI585" i="37"/>
  <c r="AI1168" i="37"/>
  <c r="AI2829" i="37"/>
  <c r="AI2014" i="37"/>
  <c r="AI1229" i="37"/>
  <c r="AI1182" i="37"/>
  <c r="AI1812" i="37"/>
  <c r="AI2820" i="37"/>
  <c r="AI888" i="37"/>
  <c r="AI2882" i="37"/>
  <c r="AI2596" i="37"/>
  <c r="AI1278" i="37"/>
  <c r="AI489" i="37"/>
  <c r="AI2107" i="37"/>
  <c r="AI2134" i="37"/>
  <c r="AI1199" i="37"/>
  <c r="AI2507" i="37"/>
  <c r="AI2157" i="37"/>
  <c r="AI1585" i="37"/>
  <c r="AI1263" i="37"/>
  <c r="AI968" i="37"/>
  <c r="AI3186" i="37"/>
  <c r="AI3142" i="37"/>
  <c r="AI2307" i="37"/>
  <c r="AI575" i="37"/>
  <c r="AI1916" i="37"/>
  <c r="AI1663" i="37"/>
  <c r="AI1612" i="37"/>
  <c r="AI610" i="37"/>
  <c r="AI1219" i="37"/>
  <c r="AI2839" i="37"/>
  <c r="AI2244" i="37"/>
  <c r="AI244" i="37"/>
  <c r="AI434" i="37"/>
  <c r="AI1594" i="37"/>
  <c r="AI1839" i="37"/>
  <c r="AI3088" i="37"/>
  <c r="AI697" i="37"/>
  <c r="AI3131" i="37"/>
  <c r="AI1513" i="37"/>
  <c r="AI2801" i="37"/>
  <c r="AI512" i="37"/>
  <c r="AI312" i="37"/>
  <c r="AI3123" i="37"/>
  <c r="AI2896" i="37"/>
  <c r="AI2551" i="37"/>
  <c r="AI3195" i="37"/>
  <c r="AI2688" i="37"/>
  <c r="AI2122" i="37"/>
  <c r="AI229" i="37"/>
  <c r="AI20" i="37"/>
  <c r="AI2888" i="37"/>
  <c r="AI1490" i="37"/>
  <c r="AI1692" i="37"/>
  <c r="AI2238" i="37"/>
  <c r="AI2483" i="37"/>
  <c r="AI3204" i="37"/>
  <c r="AI524" i="37"/>
  <c r="AI619" i="37"/>
  <c r="AI1608" i="37"/>
  <c r="AI726" i="37"/>
  <c r="AI2479" i="37"/>
  <c r="AI3151" i="37"/>
  <c r="AI175" i="37"/>
  <c r="AI1210" i="37"/>
  <c r="AI2252" i="37"/>
  <c r="AI664" i="37"/>
  <c r="AI216" i="37"/>
  <c r="AI555" i="37"/>
  <c r="AI2256" i="37"/>
  <c r="AI2099" i="37"/>
  <c r="AI1722" i="37"/>
  <c r="AI1048" i="37"/>
  <c r="AI3222" i="37"/>
  <c r="AI1835" i="37"/>
  <c r="AI497" i="37"/>
  <c r="AI2487" i="37"/>
  <c r="AI1785" i="37"/>
  <c r="AI324" i="37"/>
  <c r="AI1308" i="37"/>
  <c r="AI566" i="37"/>
  <c r="AI2560" i="37"/>
  <c r="AI2980" i="37"/>
  <c r="AI846" i="37"/>
  <c r="AI2366" i="37"/>
  <c r="Z20" i="37"/>
  <c r="AI819" i="37"/>
  <c r="AI263" i="37"/>
  <c r="AI2778" i="37"/>
  <c r="AI3161" i="37"/>
  <c r="AI404" i="37"/>
  <c r="AI2629" i="37"/>
  <c r="I251" i="49"/>
  <c r="S251" i="49" s="1"/>
  <c r="I127" i="49"/>
  <c r="I140" i="49"/>
  <c r="I66" i="49"/>
  <c r="I184" i="49"/>
  <c r="I211" i="49"/>
  <c r="I237" i="49"/>
  <c r="I56" i="49"/>
  <c r="I99" i="49"/>
  <c r="I34" i="49"/>
  <c r="I266" i="49"/>
  <c r="I82" i="49"/>
  <c r="I190" i="49"/>
  <c r="I150" i="49"/>
  <c r="I72" i="49"/>
  <c r="I105" i="49"/>
  <c r="I122" i="49"/>
  <c r="I135" i="49"/>
  <c r="I202" i="49"/>
  <c r="S202" i="49" s="1"/>
  <c r="I91" i="49"/>
  <c r="I218" i="49"/>
  <c r="T20" i="49"/>
  <c r="I114" i="49"/>
  <c r="I197" i="49"/>
  <c r="I247" i="49"/>
  <c r="I145" i="49"/>
  <c r="I242" i="49"/>
  <c r="I261" i="49"/>
  <c r="I20" i="49"/>
  <c r="AC20" i="49" s="1"/>
  <c r="I118" i="49"/>
  <c r="I61" i="49"/>
  <c r="V364" i="42"/>
  <c r="AE364" i="42"/>
  <c r="V1115" i="42"/>
  <c r="V1089" i="42"/>
  <c r="AE1089" i="42" s="1"/>
  <c r="AE909" i="42"/>
  <c r="V909" i="42"/>
  <c r="X364" i="42"/>
  <c r="AG364" i="42"/>
  <c r="X722" i="42"/>
  <c r="AG722" i="42"/>
  <c r="Y722" i="42"/>
  <c r="AH722" i="42"/>
  <c r="AG2256" i="37"/>
  <c r="AG1521" i="37"/>
  <c r="AG888" i="37"/>
  <c r="AG1630" i="37"/>
  <c r="AG1019" i="37"/>
  <c r="AG3123" i="37"/>
  <c r="AG3222" i="37"/>
  <c r="AG2483" i="37"/>
  <c r="AG3161" i="37"/>
  <c r="AG2444" i="37"/>
  <c r="AG986" i="37"/>
  <c r="AG1594" i="37"/>
  <c r="AG320" i="37"/>
  <c r="AG1199" i="37"/>
  <c r="AG297" i="37"/>
  <c r="AG1785" i="37"/>
  <c r="AG2809" i="37"/>
  <c r="AG1191" i="37"/>
  <c r="AG2456" i="37"/>
  <c r="AG229" i="37"/>
  <c r="AG756" i="37"/>
  <c r="AG2229" i="37"/>
  <c r="AG1922" i="37"/>
  <c r="AG950" i="37"/>
  <c r="AG1229" i="37"/>
  <c r="AG1133" i="37"/>
  <c r="AG2864" i="37"/>
  <c r="AG3218" i="37"/>
  <c r="AG2980" i="37"/>
  <c r="AG489" i="37"/>
  <c r="AG819" i="37"/>
  <c r="AG610" i="37"/>
  <c r="AG1663" i="37"/>
  <c r="AG3151" i="37"/>
  <c r="AG2820" i="37"/>
  <c r="AG1195" i="37"/>
  <c r="AG3204" i="37"/>
  <c r="AG375" i="37"/>
  <c r="AG1898" i="37"/>
  <c r="AG2918" i="37"/>
  <c r="AG619" i="37"/>
  <c r="AG1600" i="37"/>
  <c r="AG1370" i="37"/>
  <c r="AG263" i="37"/>
  <c r="AG1455" i="37"/>
  <c r="AG1400" i="37"/>
  <c r="AG2487" i="37"/>
  <c r="AG1863" i="37"/>
  <c r="AG2517" i="37"/>
  <c r="AG2542" i="37"/>
  <c r="AG2839" i="37"/>
  <c r="AG1541" i="37"/>
  <c r="AG1156" i="37"/>
  <c r="AG873" i="37"/>
  <c r="AG2900" i="37"/>
  <c r="AG2099" i="37"/>
  <c r="AG1835" i="37"/>
  <c r="AG1873" i="37"/>
  <c r="AG202" i="37"/>
  <c r="AG112" i="37"/>
  <c r="AG3073" i="37"/>
  <c r="AG907" i="37"/>
  <c r="AG2829" i="37"/>
  <c r="AG20" i="37"/>
  <c r="AG1576" i="37"/>
  <c r="AG2220" i="37"/>
  <c r="AG877" i="37"/>
  <c r="AG538" i="37"/>
  <c r="AG404" i="37"/>
  <c r="AG1278" i="37"/>
  <c r="AG1952" i="37"/>
  <c r="AG2148" i="37"/>
  <c r="AG1532" i="37"/>
  <c r="AG628" i="37"/>
  <c r="AG53" i="37"/>
  <c r="AG1843" i="37"/>
  <c r="AG434" i="37"/>
  <c r="AG1478" i="37"/>
  <c r="AG524" i="37"/>
  <c r="AG551" i="37"/>
  <c r="AG1777" i="37"/>
  <c r="AG575" i="37"/>
  <c r="AG1608" i="37"/>
  <c r="AG253" i="37"/>
  <c r="AG2778" i="37"/>
  <c r="AG1254" i="37"/>
  <c r="AG897" i="37"/>
  <c r="AG1916" i="37"/>
  <c r="AG2366" i="37"/>
  <c r="AG1263" i="37"/>
  <c r="AG1812" i="37"/>
  <c r="AG1930" i="37"/>
  <c r="AG2560" i="37"/>
  <c r="AG2951" i="37"/>
  <c r="AG1182" i="37"/>
  <c r="AG2792" i="37"/>
  <c r="AG1517" i="37"/>
  <c r="AG1551" i="37"/>
  <c r="AG2766" i="37"/>
  <c r="AG1800" i="37"/>
  <c r="AG1692" i="37"/>
  <c r="AG2336" i="37"/>
  <c r="AG244" i="37"/>
  <c r="AG1907" i="37"/>
  <c r="AG2429" i="37"/>
  <c r="AG1078" i="37"/>
  <c r="AG1612" i="37"/>
  <c r="AG2157" i="37"/>
  <c r="AG634" i="37"/>
  <c r="AG3010" i="37"/>
  <c r="AG3210" i="37"/>
  <c r="AG3127" i="37"/>
  <c r="AG1290" i="37"/>
  <c r="AG1141" i="37"/>
  <c r="AG3131" i="37"/>
  <c r="AG2165" i="37"/>
  <c r="AG82" i="37"/>
  <c r="AG2629" i="37"/>
  <c r="AG3142" i="37"/>
  <c r="AG2238" i="37"/>
  <c r="AG306" i="37"/>
  <c r="AG1463" i="37"/>
  <c r="AG312" i="37"/>
  <c r="AG555" i="37"/>
  <c r="AG726" i="37"/>
  <c r="AG2274" i="37"/>
  <c r="AG1048" i="37"/>
  <c r="AG2176" i="37"/>
  <c r="AG846" i="37"/>
  <c r="AG216" i="37"/>
  <c r="AG1934" i="37"/>
  <c r="AG1219" i="37"/>
  <c r="AG2014" i="37"/>
  <c r="AG2244" i="37"/>
  <c r="AG1504" i="37"/>
  <c r="AG566" i="37"/>
  <c r="AG1985" i="37"/>
  <c r="AG2498" i="37"/>
  <c r="AG175" i="37"/>
  <c r="AG2507" i="37"/>
  <c r="AG342" i="37"/>
  <c r="AG2888" i="37"/>
  <c r="AG697" i="37"/>
  <c r="AG2805" i="37"/>
  <c r="AG324" i="37"/>
  <c r="AG2107" i="37"/>
  <c r="AG190" i="37"/>
  <c r="AG1854" i="37"/>
  <c r="AG1286" i="37"/>
  <c r="AG834" i="37"/>
  <c r="AG2801" i="37"/>
  <c r="AG932" i="37"/>
  <c r="AG2896" i="37"/>
  <c r="AG1490" i="37"/>
  <c r="AG968" i="37"/>
  <c r="AG547" i="37"/>
  <c r="AG2185" i="37"/>
  <c r="AG1826" i="37"/>
  <c r="AG3195" i="37"/>
  <c r="AG956" i="37"/>
  <c r="AG225" i="37"/>
  <c r="X20" i="37"/>
  <c r="AG3088" i="37"/>
  <c r="AG2873" i="37"/>
  <c r="AG2882" i="37"/>
  <c r="AG2195" i="37"/>
  <c r="AG941" i="37"/>
  <c r="AG642" i="37"/>
  <c r="AG3065" i="37"/>
  <c r="AG1839" i="37"/>
  <c r="AG2122" i="37"/>
  <c r="AG811" i="37"/>
  <c r="AG585" i="37"/>
  <c r="AG233" i="37"/>
  <c r="AG664" i="37"/>
  <c r="AG869" i="37"/>
  <c r="AG646" i="37"/>
  <c r="AG964" i="37"/>
  <c r="AG3114" i="37"/>
  <c r="AG1513" i="37"/>
  <c r="AG2307" i="37"/>
  <c r="AG2470" i="37"/>
  <c r="AG2479" i="37"/>
  <c r="AG497" i="37"/>
  <c r="AG1210" i="37"/>
  <c r="AG1585" i="37"/>
  <c r="AG1341" i="37"/>
  <c r="AG2596" i="37"/>
  <c r="AG2134" i="37"/>
  <c r="AG1308" i="37"/>
  <c r="AG860" i="37"/>
  <c r="AG2551" i="37"/>
  <c r="AG2743" i="37"/>
  <c r="AG2688" i="37"/>
  <c r="AG1722" i="37"/>
  <c r="AG2658" i="37"/>
  <c r="AG3100" i="37"/>
  <c r="AG2161" i="37"/>
  <c r="AG2566" i="37"/>
  <c r="AG2252" i="37"/>
  <c r="AG2751" i="37"/>
  <c r="AG512" i="37"/>
  <c r="AG3186" i="37"/>
  <c r="AG2421" i="37"/>
  <c r="AG1168" i="37"/>
  <c r="AG2044" i="37"/>
  <c r="AG2574" i="37"/>
  <c r="AG167" i="37"/>
  <c r="AG288" i="37"/>
  <c r="AG1272" i="37"/>
  <c r="AG2578" i="37"/>
  <c r="I335" i="41"/>
  <c r="I420" i="50" s="1"/>
  <c r="I260" i="41"/>
  <c r="I354" i="50" s="1"/>
  <c r="I118" i="41"/>
  <c r="I15" i="41"/>
  <c r="W15" i="41" s="1"/>
  <c r="I239" i="41"/>
  <c r="I217" i="41"/>
  <c r="I334" i="50" s="1"/>
  <c r="I411" i="41"/>
  <c r="I146" i="41"/>
  <c r="I279" i="50" s="1"/>
  <c r="I188" i="41"/>
  <c r="I312" i="50" s="1"/>
  <c r="I287" i="41"/>
  <c r="I377" i="50" s="1"/>
  <c r="I138" i="41"/>
  <c r="I273" i="50" s="1"/>
  <c r="I34" i="41"/>
  <c r="I176" i="41"/>
  <c r="I302" i="50" s="1"/>
  <c r="I93" i="41"/>
  <c r="I246" i="50" s="1"/>
  <c r="I110" i="41"/>
  <c r="I257" i="50" s="1"/>
  <c r="I295" i="41"/>
  <c r="I384" i="50" s="1"/>
  <c r="I276" i="41"/>
  <c r="I368" i="50" s="1"/>
  <c r="I56" i="41"/>
  <c r="I99" i="41"/>
  <c r="I250" i="50" s="1"/>
  <c r="I44" i="41"/>
  <c r="I321" i="41"/>
  <c r="I408" i="50" s="1"/>
  <c r="I206" i="41"/>
  <c r="I325" i="50" s="1"/>
  <c r="I306" i="41"/>
  <c r="I394" i="50" s="1"/>
  <c r="I363" i="41"/>
  <c r="I442" i="50" s="1"/>
  <c r="I227" i="41"/>
  <c r="I342" i="50" s="1"/>
  <c r="Z909" i="42"/>
  <c r="AI909" i="42"/>
  <c r="X1015" i="42"/>
  <c r="X989" i="42"/>
  <c r="AG989" i="42" s="1"/>
  <c r="Y909" i="42"/>
  <c r="AH909" i="42"/>
  <c r="AH127" i="42"/>
  <c r="Y127" i="42"/>
  <c r="I877" i="37"/>
  <c r="U877" i="37" s="1"/>
  <c r="I1219" i="37"/>
  <c r="I1191" i="37"/>
  <c r="U1191" i="37" s="1"/>
  <c r="I726" i="37"/>
  <c r="U726" i="37" s="1"/>
  <c r="I1521" i="37"/>
  <c r="U1521" i="37" s="1"/>
  <c r="I2839" i="37"/>
  <c r="I1210" i="37"/>
  <c r="I2560" i="37"/>
  <c r="U2560" i="37" s="1"/>
  <c r="I2229" i="37"/>
  <c r="U2232" i="37" s="1"/>
  <c r="I2820" i="37"/>
  <c r="I1585" i="37"/>
  <c r="U1588" i="37" s="1"/>
  <c r="I869" i="37"/>
  <c r="U869" i="37" s="1"/>
  <c r="I1952" i="37"/>
  <c r="U1952" i="37" s="1"/>
  <c r="I2099" i="37"/>
  <c r="U2099" i="37" s="1"/>
  <c r="I2688" i="37"/>
  <c r="I3248" i="37"/>
  <c r="I1513" i="37"/>
  <c r="U1513" i="37" s="1"/>
  <c r="I2220" i="37"/>
  <c r="U2222" i="37" s="1"/>
  <c r="I2809" i="37"/>
  <c r="U2809" i="37" s="1"/>
  <c r="I1272" i="37"/>
  <c r="U1272" i="37" s="1"/>
  <c r="I404" i="37"/>
  <c r="U404" i="37" s="1"/>
  <c r="I547" i="37"/>
  <c r="U547" i="37" s="1"/>
  <c r="I1478" i="37"/>
  <c r="U1482" i="37" s="1"/>
  <c r="I2122" i="37"/>
  <c r="U2126" i="37" s="1"/>
  <c r="I2517" i="37"/>
  <c r="I216" i="37"/>
  <c r="U216" i="37" s="1"/>
  <c r="I20" i="37"/>
  <c r="I566" i="37"/>
  <c r="I1777" i="37"/>
  <c r="U1777" i="37" s="1"/>
  <c r="I2882" i="37"/>
  <c r="U2882" i="37" s="1"/>
  <c r="I3218" i="37"/>
  <c r="I3151" i="37"/>
  <c r="I1286" i="37"/>
  <c r="I2165" i="37"/>
  <c r="U2165" i="37" s="1"/>
  <c r="I1048" i="37"/>
  <c r="U1048" i="37" s="1"/>
  <c r="I1612" i="37"/>
  <c r="I1576" i="37"/>
  <c r="U1578" i="37" s="1"/>
  <c r="I964" i="37"/>
  <c r="I1898" i="37"/>
  <c r="U1900" i="37" s="1"/>
  <c r="I3010" i="37"/>
  <c r="I1541" i="37"/>
  <c r="I324" i="37"/>
  <c r="I555" i="37"/>
  <c r="U555" i="37" s="1"/>
  <c r="I2658" i="37"/>
  <c r="U2658" i="37" s="1"/>
  <c r="I642" i="37"/>
  <c r="I3186" i="37"/>
  <c r="U3188" i="37" s="1"/>
  <c r="I2421" i="37"/>
  <c r="U2421" i="37" s="1"/>
  <c r="I1916" i="37"/>
  <c r="U1916" i="37" s="1"/>
  <c r="I1594" i="37"/>
  <c r="U1594" i="37" s="1"/>
  <c r="I434" i="37"/>
  <c r="I253" i="37"/>
  <c r="I512" i="37"/>
  <c r="U516" i="37" s="1"/>
  <c r="I907" i="37"/>
  <c r="I82" i="37"/>
  <c r="U82" i="37" s="1"/>
  <c r="I846" i="37"/>
  <c r="U850" i="37" s="1"/>
  <c r="I697" i="37"/>
  <c r="U699" i="37" s="1"/>
  <c r="I1254" i="37"/>
  <c r="U1256" i="37" s="1"/>
  <c r="I1019" i="37"/>
  <c r="U1021" i="37" s="1"/>
  <c r="I53" i="37"/>
  <c r="U55" i="37" s="1"/>
  <c r="I233" i="37"/>
  <c r="U233" i="37" s="1"/>
  <c r="I2195" i="37"/>
  <c r="I1517" i="37"/>
  <c r="I2801" i="37"/>
  <c r="U2801" i="37" s="1"/>
  <c r="I664" i="37"/>
  <c r="U664" i="37" s="1"/>
  <c r="I2252" i="37"/>
  <c r="I2107" i="37"/>
  <c r="I2542" i="37"/>
  <c r="U2544" i="37" s="1"/>
  <c r="I575" i="37"/>
  <c r="I3065" i="37"/>
  <c r="U3065" i="37" s="1"/>
  <c r="I551" i="37"/>
  <c r="I1985" i="37"/>
  <c r="U1987" i="37" s="1"/>
  <c r="I968" i="37"/>
  <c r="I646" i="37"/>
  <c r="I941" i="37"/>
  <c r="U944" i="37" s="1"/>
  <c r="I756" i="37"/>
  <c r="I2429" i="37"/>
  <c r="I1722" i="37"/>
  <c r="I1785" i="37"/>
  <c r="I3131" i="37"/>
  <c r="U3131" i="37" s="1"/>
  <c r="I190" i="37"/>
  <c r="U194" i="37" s="1"/>
  <c r="I1490" i="37"/>
  <c r="U1494" i="37" s="1"/>
  <c r="I2574" i="37"/>
  <c r="I2629" i="37"/>
  <c r="U2631" i="37" s="1"/>
  <c r="I2507" i="37"/>
  <c r="I2444" i="37"/>
  <c r="U2448" i="37" s="1"/>
  <c r="I2487" i="37"/>
  <c r="U2487" i="37" s="1"/>
  <c r="I342" i="37"/>
  <c r="U342" i="37" s="1"/>
  <c r="I3073" i="37"/>
  <c r="I175" i="37"/>
  <c r="I524" i="37"/>
  <c r="U528" i="37" s="1"/>
  <c r="I3142" i="37"/>
  <c r="I229" i="37"/>
  <c r="I497" i="37"/>
  <c r="I1182" i="37"/>
  <c r="U1182" i="37" s="1"/>
  <c r="I819" i="37"/>
  <c r="I2980" i="37"/>
  <c r="U2980" i="37" s="1"/>
  <c r="I2134" i="37"/>
  <c r="U2138" i="37" s="1"/>
  <c r="I1835" i="37"/>
  <c r="U1835" i="37" s="1"/>
  <c r="I1290" i="37"/>
  <c r="I3195" i="37"/>
  <c r="U3198" i="37" s="1"/>
  <c r="I167" i="37"/>
  <c r="U167" i="37" s="1"/>
  <c r="I3161" i="37"/>
  <c r="I860" i="37"/>
  <c r="U860" i="37" s="1"/>
  <c r="I1630" i="37"/>
  <c r="U1630" i="37" s="1"/>
  <c r="I2238" i="37"/>
  <c r="U2238" i="37" s="1"/>
  <c r="I2014" i="37"/>
  <c r="U2014" i="37" s="1"/>
  <c r="I2483" i="37"/>
  <c r="I1551" i="37"/>
  <c r="I306" i="37"/>
  <c r="U306" i="37" s="1"/>
  <c r="I1608" i="37"/>
  <c r="I873" i="37"/>
  <c r="I619" i="37"/>
  <c r="U622" i="37" s="1"/>
  <c r="I1400" i="37"/>
  <c r="I1263" i="37"/>
  <c r="U1266" i="37" s="1"/>
  <c r="I2185" i="37"/>
  <c r="I2157" i="37"/>
  <c r="U2157" i="37" s="1"/>
  <c r="I2470" i="37"/>
  <c r="U2470" i="37" s="1"/>
  <c r="I1907" i="37"/>
  <c r="U1910" i="37" s="1"/>
  <c r="I3253" i="37"/>
  <c r="I2805" i="37"/>
  <c r="I610" i="37"/>
  <c r="U612" i="37" s="1"/>
  <c r="I1854" i="37"/>
  <c r="I244" i="37"/>
  <c r="I2256" i="37"/>
  <c r="I628" i="37"/>
  <c r="U628" i="37" s="1"/>
  <c r="I2307" i="37"/>
  <c r="U2309" i="37" s="1"/>
  <c r="I1370" i="37"/>
  <c r="U1370" i="37" s="1"/>
  <c r="I986" i="37"/>
  <c r="U986" i="37" s="1"/>
  <c r="I932" i="37"/>
  <c r="U934" i="37" s="1"/>
  <c r="I1141" i="37"/>
  <c r="I1463" i="37"/>
  <c r="I489" i="37"/>
  <c r="U489" i="37" s="1"/>
  <c r="I2498" i="37"/>
  <c r="I1812" i="37"/>
  <c r="U1816" i="37" s="1"/>
  <c r="I1934" i="37"/>
  <c r="I2896" i="37"/>
  <c r="I538" i="37"/>
  <c r="U538" i="37" s="1"/>
  <c r="I1156" i="37"/>
  <c r="U1160" i="37" s="1"/>
  <c r="I2176" i="37"/>
  <c r="I1195" i="37"/>
  <c r="I1504" i="37"/>
  <c r="U1504" i="37" s="1"/>
  <c r="I3204" i="37"/>
  <c r="U3204" i="37" s="1"/>
  <c r="I1308" i="37"/>
  <c r="U1308" i="37" s="1"/>
  <c r="I2578" i="37"/>
  <c r="I1843" i="37"/>
  <c r="U1843" i="37" s="1"/>
  <c r="I1199" i="37"/>
  <c r="U1199" i="37" s="1"/>
  <c r="I585" i="37"/>
  <c r="I2596" i="37"/>
  <c r="U2596" i="37" s="1"/>
  <c r="I1663" i="37"/>
  <c r="U1665" i="37" s="1"/>
  <c r="I2161" i="37"/>
  <c r="I2456" i="37"/>
  <c r="U2460" i="37" s="1"/>
  <c r="I2366" i="37"/>
  <c r="I3123" i="37"/>
  <c r="U3123" i="37" s="1"/>
  <c r="I834" i="37"/>
  <c r="U838" i="37" s="1"/>
  <c r="I2751" i="37"/>
  <c r="I320" i="37"/>
  <c r="I3222" i="37"/>
  <c r="I2479" i="37"/>
  <c r="U2479" i="37" s="1"/>
  <c r="I202" i="37"/>
  <c r="U206" i="37" s="1"/>
  <c r="I225" i="37"/>
  <c r="U225" i="37" s="1"/>
  <c r="I375" i="37"/>
  <c r="U377" i="37" s="1"/>
  <c r="I2274" i="37"/>
  <c r="U2274" i="37" s="1"/>
  <c r="I1168" i="37"/>
  <c r="U1172" i="37" s="1"/>
  <c r="I1826" i="37"/>
  <c r="U1826" i="37" s="1"/>
  <c r="I1229" i="37"/>
  <c r="I2918" i="37"/>
  <c r="U2918" i="37" s="1"/>
  <c r="I2792" i="37"/>
  <c r="U2792" i="37" s="1"/>
  <c r="I2743" i="37"/>
  <c r="U2743" i="37" s="1"/>
  <c r="I811" i="37"/>
  <c r="U811" i="37" s="1"/>
  <c r="I2951" i="37"/>
  <c r="U2953" i="37" s="1"/>
  <c r="I2900" i="37"/>
  <c r="I2551" i="37"/>
  <c r="U2554" i="37" s="1"/>
  <c r="I1863" i="37"/>
  <c r="I1692" i="37"/>
  <c r="U1692" i="37" s="1"/>
  <c r="I3114" i="37"/>
  <c r="U3114" i="37" s="1"/>
  <c r="I2829" i="37"/>
  <c r="I1873" i="37"/>
  <c r="I1930" i="37"/>
  <c r="I2766" i="37"/>
  <c r="U2770" i="37" s="1"/>
  <c r="I1839" i="37"/>
  <c r="I2148" i="37"/>
  <c r="U2148" i="37" s="1"/>
  <c r="I112" i="37"/>
  <c r="I950" i="37"/>
  <c r="U950" i="37" s="1"/>
  <c r="I1800" i="37"/>
  <c r="U1804" i="37" s="1"/>
  <c r="I2044" i="37"/>
  <c r="I263" i="37"/>
  <c r="I1133" i="37"/>
  <c r="U1133" i="37" s="1"/>
  <c r="I1078" i="37"/>
  <c r="I897" i="37"/>
  <c r="I3100" i="37"/>
  <c r="U3104" i="37" s="1"/>
  <c r="I2778" i="37"/>
  <c r="U2782" i="37" s="1"/>
  <c r="I888" i="37"/>
  <c r="I297" i="37"/>
  <c r="U300" i="37" s="1"/>
  <c r="I2873" i="37"/>
  <c r="U2876" i="37" s="1"/>
  <c r="I3088" i="37"/>
  <c r="U3092" i="37" s="1"/>
  <c r="I3127" i="37"/>
  <c r="I2336" i="37"/>
  <c r="U2336" i="37" s="1"/>
  <c r="I2864" i="37"/>
  <c r="U2866" i="37" s="1"/>
  <c r="I288" i="37"/>
  <c r="U290" i="37" s="1"/>
  <c r="I1341" i="37"/>
  <c r="U1343" i="37" s="1"/>
  <c r="I1532" i="37"/>
  <c r="I1455" i="37"/>
  <c r="U1455" i="37" s="1"/>
  <c r="W1015" i="42"/>
  <c r="W989" i="42"/>
  <c r="AF989" i="42" s="1"/>
  <c r="Z1015" i="42"/>
  <c r="Z989" i="42"/>
  <c r="AI989" i="42" s="1"/>
  <c r="Z127" i="42"/>
  <c r="AI127" i="42"/>
  <c r="K2951" i="37"/>
  <c r="W2953" i="37" s="1"/>
  <c r="K1341" i="37"/>
  <c r="W1343" i="37" s="1"/>
  <c r="K2336" i="37"/>
  <c r="W2336" i="37" s="1"/>
  <c r="K1370" i="37"/>
  <c r="W1370" i="37" s="1"/>
  <c r="K2980" i="37"/>
  <c r="W2980" i="37" s="1"/>
  <c r="K375" i="37"/>
  <c r="W377" i="37" s="1"/>
  <c r="K82" i="37"/>
  <c r="W82" i="37" s="1"/>
  <c r="K1985" i="37"/>
  <c r="W1987" i="37" s="1"/>
  <c r="K53" i="37"/>
  <c r="W55" i="37" s="1"/>
  <c r="K726" i="37"/>
  <c r="W726" i="37" s="1"/>
  <c r="K2307" i="37"/>
  <c r="W2309" i="37" s="1"/>
  <c r="K697" i="37"/>
  <c r="W699" i="37" s="1"/>
  <c r="K1048" i="37"/>
  <c r="W1048" i="37" s="1"/>
  <c r="K2014" i="37"/>
  <c r="W2014" i="37" s="1"/>
  <c r="K2629" i="37"/>
  <c r="W2631" i="37" s="1"/>
  <c r="K404" i="37"/>
  <c r="W404" i="37" s="1"/>
  <c r="K2658" i="37"/>
  <c r="W2658" i="37" s="1"/>
  <c r="K1692" i="37"/>
  <c r="W1692" i="37" s="1"/>
  <c r="K1663" i="37"/>
  <c r="W1665" i="37" s="1"/>
  <c r="K1019" i="37"/>
  <c r="W1021" i="37" s="1"/>
  <c r="V989" i="42"/>
  <c r="AE989" i="42" s="1"/>
  <c r="V1015" i="42"/>
  <c r="J1048" i="37"/>
  <c r="V1048" i="37" s="1"/>
  <c r="J82" i="37"/>
  <c r="V82" i="37" s="1"/>
  <c r="J375" i="37"/>
  <c r="V377" i="37" s="1"/>
  <c r="J1341" i="37"/>
  <c r="V1343" i="37" s="1"/>
  <c r="J2951" i="37"/>
  <c r="V2953" i="37" s="1"/>
  <c r="J1019" i="37"/>
  <c r="V1021" i="37" s="1"/>
  <c r="J2658" i="37"/>
  <c r="V2658" i="37" s="1"/>
  <c r="J404" i="37"/>
  <c r="V404" i="37" s="1"/>
  <c r="J1370" i="37"/>
  <c r="V1370" i="37" s="1"/>
  <c r="J2307" i="37"/>
  <c r="V2309" i="37" s="1"/>
  <c r="J726" i="37"/>
  <c r="V726" i="37" s="1"/>
  <c r="J697" i="37"/>
  <c r="V699" i="37" s="1"/>
  <c r="J2980" i="37"/>
  <c r="V2980" i="37" s="1"/>
  <c r="J2629" i="37"/>
  <c r="V2631" i="37" s="1"/>
  <c r="J1985" i="37"/>
  <c r="V1987" i="37" s="1"/>
  <c r="J2014" i="37"/>
  <c r="V2014" i="37" s="1"/>
  <c r="J1663" i="37"/>
  <c r="V1665" i="37" s="1"/>
  <c r="J1692" i="37"/>
  <c r="V1692" i="37" s="1"/>
  <c r="J2336" i="37"/>
  <c r="V2336" i="37" s="1"/>
  <c r="J53" i="37"/>
  <c r="V55" i="37" s="1"/>
  <c r="H2467" i="50"/>
  <c r="P2470" i="50"/>
  <c r="R2464" i="50"/>
  <c r="P2482" i="50"/>
  <c r="P2493" i="50"/>
  <c r="P2483" i="50"/>
  <c r="P2484" i="50" s="1"/>
  <c r="P2474" i="50"/>
  <c r="P2488" i="50"/>
  <c r="P2494" i="50"/>
  <c r="E2467" i="50"/>
  <c r="D34" i="62"/>
  <c r="E190" i="62"/>
  <c r="H1107" i="42"/>
  <c r="H1101" i="42"/>
  <c r="J325" i="41"/>
  <c r="J412" i="50" s="1"/>
  <c r="L324" i="41"/>
  <c r="L411" i="50" s="1"/>
  <c r="I324" i="41"/>
  <c r="I411" i="50" s="1"/>
  <c r="K322" i="41"/>
  <c r="H325" i="41"/>
  <c r="H412" i="50" s="1"/>
  <c r="K325" i="41"/>
  <c r="K412" i="50" s="1"/>
  <c r="J323" i="41"/>
  <c r="J410" i="50" s="1"/>
  <c r="J326" i="41"/>
  <c r="J413" i="50" s="1"/>
  <c r="H324" i="41"/>
  <c r="H411" i="50" s="1"/>
  <c r="N324" i="41"/>
  <c r="N411" i="50" s="1"/>
  <c r="M323" i="41"/>
  <c r="M410" i="50" s="1"/>
  <c r="L325" i="41"/>
  <c r="L412" i="50" s="1"/>
  <c r="H322" i="41"/>
  <c r="K323" i="41"/>
  <c r="K410" i="50" s="1"/>
  <c r="M324" i="41"/>
  <c r="M411" i="50" s="1"/>
  <c r="L323" i="41"/>
  <c r="L410" i="50" s="1"/>
  <c r="M326" i="41"/>
  <c r="M413" i="50" s="1"/>
  <c r="M325" i="41"/>
  <c r="M412" i="50" s="1"/>
  <c r="I326" i="41"/>
  <c r="I413" i="50" s="1"/>
  <c r="H326" i="41"/>
  <c r="H413" i="50" s="1"/>
  <c r="I322" i="41"/>
  <c r="L322" i="41"/>
  <c r="K326" i="41"/>
  <c r="K413" i="50" s="1"/>
  <c r="N323" i="41"/>
  <c r="N410" i="50" s="1"/>
  <c r="J322" i="41"/>
  <c r="J324" i="41"/>
  <c r="J411" i="50" s="1"/>
  <c r="M322" i="41"/>
  <c r="N322" i="41"/>
  <c r="K324" i="41"/>
  <c r="K411" i="50" s="1"/>
  <c r="L326" i="41"/>
  <c r="L413" i="50" s="1"/>
  <c r="N325" i="41"/>
  <c r="N412" i="50" s="1"/>
  <c r="I323" i="41"/>
  <c r="I410" i="50" s="1"/>
  <c r="I325" i="41"/>
  <c r="I412" i="50" s="1"/>
  <c r="H323" i="41"/>
  <c r="H410" i="50" s="1"/>
  <c r="N326" i="41"/>
  <c r="N413" i="50" s="1"/>
  <c r="C1953" i="50"/>
  <c r="D1789" i="50"/>
  <c r="Q1789" i="50"/>
  <c r="D259" i="34"/>
  <c r="C260" i="34"/>
  <c r="O259" i="34"/>
  <c r="R259" i="34" s="1"/>
  <c r="U364" i="42" l="1"/>
  <c r="AD364" i="42"/>
  <c r="H328" i="47"/>
  <c r="H289" i="47"/>
  <c r="AC289" i="47" s="1"/>
  <c r="H295" i="47"/>
  <c r="H162" i="47"/>
  <c r="H155" i="47"/>
  <c r="H364" i="47"/>
  <c r="H188" i="47"/>
  <c r="H207" i="47"/>
  <c r="H386" i="47"/>
  <c r="AC386" i="47" s="1"/>
  <c r="H302" i="47"/>
  <c r="H128" i="47"/>
  <c r="H94" i="47"/>
  <c r="H335" i="47"/>
  <c r="H121" i="47"/>
  <c r="H216" i="47"/>
  <c r="H269" i="47"/>
  <c r="H354" i="47"/>
  <c r="AC354" i="47" s="1"/>
  <c r="H146" i="47"/>
  <c r="AC146" i="47" s="1"/>
  <c r="H31" i="47"/>
  <c r="AC31" i="47" s="1"/>
  <c r="H254" i="47"/>
  <c r="AC254" i="47" s="1"/>
  <c r="H112" i="47"/>
  <c r="AC112" i="47" s="1"/>
  <c r="H322" i="47"/>
  <c r="AC322" i="47" s="1"/>
  <c r="H180" i="47"/>
  <c r="AC180" i="47" s="1"/>
  <c r="H196" i="47"/>
  <c r="U1015" i="42"/>
  <c r="U989" i="42"/>
  <c r="AD989" i="42" s="1"/>
  <c r="AC233" i="42"/>
  <c r="H571" i="42"/>
  <c r="H466" i="42"/>
  <c r="T466" i="42" s="1"/>
  <c r="H589" i="42"/>
  <c r="T589" i="42" s="1"/>
  <c r="AC589" i="42"/>
  <c r="H321" i="42"/>
  <c r="AC321" i="42" s="1"/>
  <c r="AC438" i="42"/>
  <c r="H1149" i="42"/>
  <c r="AC561" i="42"/>
  <c r="H561" i="42"/>
  <c r="H364" i="42"/>
  <c r="H229" i="42"/>
  <c r="T229" i="42" s="1"/>
  <c r="H593" i="42"/>
  <c r="T593" i="42" s="1"/>
  <c r="H143" i="42"/>
  <c r="AC470" i="42"/>
  <c r="AC782" i="42"/>
  <c r="H380" i="42"/>
  <c r="H616" i="42"/>
  <c r="T616" i="42" s="1"/>
  <c r="H989" i="42"/>
  <c r="AC478" i="42"/>
  <c r="AC466" i="42"/>
  <c r="H84" i="42"/>
  <c r="AC84" i="42" s="1"/>
  <c r="AC776" i="42"/>
  <c r="H448" i="42"/>
  <c r="H722" i="42"/>
  <c r="AC201" i="42"/>
  <c r="AC585" i="42"/>
  <c r="AC601" i="42"/>
  <c r="AC428" i="42"/>
  <c r="H225" i="42"/>
  <c r="T225" i="42" s="1"/>
  <c r="H462" i="42"/>
  <c r="T462" i="42" s="1"/>
  <c r="H1049" i="42"/>
  <c r="H201" i="42"/>
  <c r="H241" i="42"/>
  <c r="T241" i="42" s="1"/>
  <c r="H776" i="42"/>
  <c r="T776" i="42" s="1"/>
  <c r="H925" i="42"/>
  <c r="H233" i="42"/>
  <c r="T233" i="42" s="1"/>
  <c r="AC225" i="42"/>
  <c r="H963" i="42"/>
  <c r="T963" i="42" s="1"/>
  <c r="H803" i="42"/>
  <c r="T803" i="42" s="1"/>
  <c r="AC191" i="42"/>
  <c r="H1089" i="42"/>
  <c r="H679" i="42"/>
  <c r="AC679" i="42" s="1"/>
  <c r="AC229" i="42"/>
  <c r="H19" i="42"/>
  <c r="T19" i="42" s="1"/>
  <c r="H601" i="42"/>
  <c r="T601" i="42" s="1"/>
  <c r="AC211" i="42"/>
  <c r="AC448" i="42"/>
  <c r="H256" i="42"/>
  <c r="T256" i="42" s="1"/>
  <c r="H909" i="42"/>
  <c r="H866" i="42"/>
  <c r="AC866" i="42" s="1"/>
  <c r="AC597" i="42"/>
  <c r="AC571" i="42"/>
  <c r="AC593" i="42"/>
  <c r="AC551" i="42"/>
  <c r="H211" i="42"/>
  <c r="H597" i="42"/>
  <c r="T597" i="42" s="1"/>
  <c r="H551" i="42"/>
  <c r="T551" i="42" s="1"/>
  <c r="AC474" i="42"/>
  <c r="H585" i="42"/>
  <c r="T585" i="42" s="1"/>
  <c r="H237" i="42"/>
  <c r="T237" i="42" s="1"/>
  <c r="AC241" i="42"/>
  <c r="H969" i="42"/>
  <c r="T970" i="42" s="1"/>
  <c r="H474" i="42"/>
  <c r="T474" i="42" s="1"/>
  <c r="H738" i="42"/>
  <c r="AC963" i="42"/>
  <c r="AC462" i="42"/>
  <c r="H428" i="42"/>
  <c r="T428" i="42" s="1"/>
  <c r="AC237" i="42"/>
  <c r="AC969" i="42"/>
  <c r="H470" i="42"/>
  <c r="T470" i="42" s="1"/>
  <c r="H127" i="42"/>
  <c r="H438" i="42"/>
  <c r="H478" i="42"/>
  <c r="T478" i="42" s="1"/>
  <c r="H493" i="42"/>
  <c r="T493" i="42" s="1"/>
  <c r="H782" i="42"/>
  <c r="T783" i="42" s="1"/>
  <c r="H191" i="42"/>
  <c r="T191" i="42" s="1"/>
  <c r="S20" i="49"/>
  <c r="H247" i="49"/>
  <c r="H56" i="49"/>
  <c r="H202" i="49"/>
  <c r="R202" i="49" s="1"/>
  <c r="H140" i="49"/>
  <c r="H118" i="49"/>
  <c r="H218" i="49"/>
  <c r="H266" i="49"/>
  <c r="H66" i="49"/>
  <c r="H122" i="49"/>
  <c r="H261" i="49"/>
  <c r="H211" i="49"/>
  <c r="H197" i="49"/>
  <c r="H105" i="49"/>
  <c r="H34" i="49"/>
  <c r="H135" i="49"/>
  <c r="H20" i="49"/>
  <c r="AB20" i="49" s="1"/>
  <c r="H127" i="49"/>
  <c r="H145" i="49"/>
  <c r="H99" i="49"/>
  <c r="H150" i="49"/>
  <c r="H237" i="49"/>
  <c r="H184" i="49"/>
  <c r="H242" i="49"/>
  <c r="H61" i="49"/>
  <c r="H251" i="49"/>
  <c r="R251" i="49" s="1"/>
  <c r="H114" i="49"/>
  <c r="H91" i="49"/>
  <c r="H82" i="49"/>
  <c r="H72" i="49"/>
  <c r="H190" i="49"/>
  <c r="AD2444" i="37"/>
  <c r="AD2220" i="37"/>
  <c r="AD986" i="37"/>
  <c r="AD2820" i="37"/>
  <c r="AD2161" i="37"/>
  <c r="AD2157" i="37"/>
  <c r="AD3210" i="37"/>
  <c r="AD3161" i="37"/>
  <c r="AD53" i="37"/>
  <c r="AD2873" i="37"/>
  <c r="AD2229" i="37"/>
  <c r="AD20" i="37"/>
  <c r="AD2829" i="37"/>
  <c r="AD1934" i="37"/>
  <c r="AD1182" i="37"/>
  <c r="AD1898" i="37"/>
  <c r="AD697" i="37"/>
  <c r="AD1455" i="37"/>
  <c r="AD1504" i="37"/>
  <c r="AD312" i="37"/>
  <c r="AD2429" i="37"/>
  <c r="AD1839" i="37"/>
  <c r="U20" i="37"/>
  <c r="AD190" i="37"/>
  <c r="AD2751" i="37"/>
  <c r="AD2900" i="37"/>
  <c r="AD3065" i="37"/>
  <c r="AD2421" i="37"/>
  <c r="AD907" i="37"/>
  <c r="AD1133" i="37"/>
  <c r="AD2256" i="37"/>
  <c r="AD2148" i="37"/>
  <c r="AD288" i="37"/>
  <c r="AD1463" i="37"/>
  <c r="AD167" i="37"/>
  <c r="AD2044" i="37"/>
  <c r="AD2743" i="37"/>
  <c r="AD555" i="37"/>
  <c r="AD2839" i="37"/>
  <c r="AD1210" i="37"/>
  <c r="AD2366" i="37"/>
  <c r="AD2274" i="37"/>
  <c r="AD956" i="37"/>
  <c r="AD2688" i="37"/>
  <c r="AD2483" i="37"/>
  <c r="AD2551" i="37"/>
  <c r="AD2805" i="37"/>
  <c r="AD2888" i="37"/>
  <c r="AD233" i="37"/>
  <c r="AD646" i="37"/>
  <c r="AD869" i="37"/>
  <c r="AD968" i="37"/>
  <c r="AD3123" i="37"/>
  <c r="AD1576" i="37"/>
  <c r="AD1608" i="37"/>
  <c r="AD1229" i="37"/>
  <c r="AD2980" i="37"/>
  <c r="AD2498" i="37"/>
  <c r="AD320" i="37"/>
  <c r="AD2574" i="37"/>
  <c r="AD306" i="37"/>
  <c r="AD1478" i="37"/>
  <c r="AD1490" i="37"/>
  <c r="AD3114" i="37"/>
  <c r="AD664" i="37"/>
  <c r="AD860" i="37"/>
  <c r="AD3151" i="37"/>
  <c r="AD2896" i="37"/>
  <c r="AD1521" i="37"/>
  <c r="AD964" i="37"/>
  <c r="AD489" i="37"/>
  <c r="AD1600" i="37"/>
  <c r="AD1826" i="37"/>
  <c r="AD1930" i="37"/>
  <c r="AD82" i="37"/>
  <c r="AD610" i="37"/>
  <c r="AD877" i="37"/>
  <c r="AD375" i="37"/>
  <c r="AD3100" i="37"/>
  <c r="AD1585" i="37"/>
  <c r="AD2882" i="37"/>
  <c r="AD2307" i="37"/>
  <c r="AD2560" i="37"/>
  <c r="AD1048" i="37"/>
  <c r="AD1341" i="37"/>
  <c r="AD1191" i="37"/>
  <c r="AD2517" i="37"/>
  <c r="AD1985" i="37"/>
  <c r="AD1812" i="37"/>
  <c r="AD1308" i="37"/>
  <c r="AD225" i="37"/>
  <c r="AD1916" i="37"/>
  <c r="AD2238" i="37"/>
  <c r="AD2252" i="37"/>
  <c r="AD524" i="37"/>
  <c r="AD2507" i="37"/>
  <c r="AD2470" i="37"/>
  <c r="AD846" i="37"/>
  <c r="AD2185" i="37"/>
  <c r="AD1594" i="37"/>
  <c r="AD2165" i="37"/>
  <c r="AD819" i="37"/>
  <c r="AD3142" i="37"/>
  <c r="AD1551" i="37"/>
  <c r="AD1278" i="37"/>
  <c r="AD324" i="37"/>
  <c r="AD1156" i="37"/>
  <c r="AD1400" i="37"/>
  <c r="AD2542" i="37"/>
  <c r="AD2951" i="37"/>
  <c r="AD1873" i="37"/>
  <c r="AD3195" i="37"/>
  <c r="AD2801" i="37"/>
  <c r="AD834" i="37"/>
  <c r="AD642" i="37"/>
  <c r="AD3073" i="37"/>
  <c r="AD2456" i="37"/>
  <c r="AD941" i="37"/>
  <c r="AD1272" i="37"/>
  <c r="AD1199" i="37"/>
  <c r="AD497" i="37"/>
  <c r="AD2134" i="37"/>
  <c r="AD112" i="37"/>
  <c r="AD1952" i="37"/>
  <c r="AD253" i="37"/>
  <c r="AD726" i="37"/>
  <c r="AD2918" i="37"/>
  <c r="AD2487" i="37"/>
  <c r="AD1863" i="37"/>
  <c r="AD888" i="37"/>
  <c r="AD1785" i="37"/>
  <c r="AD1254" i="37"/>
  <c r="AD2014" i="37"/>
  <c r="AD950" i="37"/>
  <c r="AD1517" i="37"/>
  <c r="AD619" i="37"/>
  <c r="AD1777" i="37"/>
  <c r="AD811" i="37"/>
  <c r="AD2792" i="37"/>
  <c r="AD229" i="37"/>
  <c r="AD2176" i="37"/>
  <c r="AD1168" i="37"/>
  <c r="AD1800" i="37"/>
  <c r="AD3131" i="37"/>
  <c r="AD3186" i="37"/>
  <c r="AD512" i="37"/>
  <c r="AD2566" i="37"/>
  <c r="AD1907" i="37"/>
  <c r="AD538" i="37"/>
  <c r="AD2658" i="37"/>
  <c r="AD3010" i="37"/>
  <c r="AD3204" i="37"/>
  <c r="AD1195" i="37"/>
  <c r="AD1019" i="37"/>
  <c r="AD1370" i="37"/>
  <c r="AD1722" i="37"/>
  <c r="AD216" i="37"/>
  <c r="AD551" i="37"/>
  <c r="AD1541" i="37"/>
  <c r="AD202" i="37"/>
  <c r="AD1922" i="37"/>
  <c r="AD1290" i="37"/>
  <c r="AD1532" i="37"/>
  <c r="AD1141" i="37"/>
  <c r="AD297" i="37"/>
  <c r="AD1854" i="37"/>
  <c r="AD897" i="37"/>
  <c r="AD634" i="37"/>
  <c r="AD1078" i="37"/>
  <c r="AD2244" i="37"/>
  <c r="AD3218" i="37"/>
  <c r="AD873" i="37"/>
  <c r="AD2479" i="37"/>
  <c r="AD2099" i="37"/>
  <c r="AD575" i="37"/>
  <c r="AD244" i="37"/>
  <c r="AD434" i="37"/>
  <c r="AD2809" i="37"/>
  <c r="AD1286" i="37"/>
  <c r="AD3088" i="37"/>
  <c r="AD2778" i="37"/>
  <c r="AD2107" i="37"/>
  <c r="AD1692" i="37"/>
  <c r="AD1843" i="37"/>
  <c r="AD1513" i="37"/>
  <c r="AD175" i="37"/>
  <c r="AD1612" i="37"/>
  <c r="AD2122" i="37"/>
  <c r="AD628" i="37"/>
  <c r="AD1263" i="37"/>
  <c r="AD585" i="37"/>
  <c r="AD1219" i="37"/>
  <c r="AD3222" i="37"/>
  <c r="AD263" i="37"/>
  <c r="AD342" i="37"/>
  <c r="AD932" i="37"/>
  <c r="AD1835" i="37"/>
  <c r="AD2578" i="37"/>
  <c r="AD1663" i="37"/>
  <c r="AD1630" i="37"/>
  <c r="AD547" i="37"/>
  <c r="AD2336" i="37"/>
  <c r="AD3127" i="37"/>
  <c r="AD2195" i="37"/>
  <c r="AD2864" i="37"/>
  <c r="AD2629" i="37"/>
  <c r="AD756" i="37"/>
  <c r="AD404" i="37"/>
  <c r="AD2596" i="37"/>
  <c r="AD566" i="37"/>
  <c r="AD2766" i="37"/>
  <c r="U1115" i="42"/>
  <c r="U1089" i="42"/>
  <c r="AD1089" i="42" s="1"/>
  <c r="AD909" i="42"/>
  <c r="U909" i="42"/>
  <c r="H424" i="47"/>
  <c r="H281" i="49"/>
  <c r="H3245" i="37"/>
  <c r="H276" i="41"/>
  <c r="H368" i="50" s="1"/>
  <c r="H363" i="41"/>
  <c r="H442" i="50" s="1"/>
  <c r="H15" i="41"/>
  <c r="V15" i="41" s="1"/>
  <c r="H56" i="41"/>
  <c r="H321" i="41"/>
  <c r="H408" i="50" s="1"/>
  <c r="H138" i="41"/>
  <c r="H273" i="50" s="1"/>
  <c r="H44" i="41"/>
  <c r="H188" i="41"/>
  <c r="H312" i="50" s="1"/>
  <c r="H239" i="41"/>
  <c r="H99" i="41"/>
  <c r="H250" i="50" s="1"/>
  <c r="H411" i="41"/>
  <c r="H110" i="41"/>
  <c r="H257" i="50" s="1"/>
  <c r="H260" i="41"/>
  <c r="H354" i="50" s="1"/>
  <c r="H335" i="41"/>
  <c r="H420" i="50" s="1"/>
  <c r="H217" i="41"/>
  <c r="H334" i="50" s="1"/>
  <c r="H118" i="41"/>
  <c r="H34" i="41"/>
  <c r="H93" i="41"/>
  <c r="H246" i="50" s="1"/>
  <c r="H295" i="41"/>
  <c r="H384" i="50" s="1"/>
  <c r="H146" i="41"/>
  <c r="H279" i="50" s="1"/>
  <c r="H206" i="41"/>
  <c r="H325" i="50" s="1"/>
  <c r="H287" i="41"/>
  <c r="H377" i="50" s="1"/>
  <c r="H306" i="41"/>
  <c r="H394" i="50" s="1"/>
  <c r="H227" i="41"/>
  <c r="H342" i="50" s="1"/>
  <c r="H176" i="41"/>
  <c r="H302" i="50" s="1"/>
  <c r="U127" i="42"/>
  <c r="AD127" i="42"/>
  <c r="H1794" i="50"/>
  <c r="H91" i="50"/>
  <c r="H1302" i="50"/>
  <c r="H2373" i="50"/>
  <c r="H151" i="50"/>
  <c r="H2469" i="50"/>
  <c r="H760" i="50"/>
  <c r="H211" i="50"/>
  <c r="H2410" i="50"/>
  <c r="H170" i="50"/>
  <c r="H1630" i="50"/>
  <c r="H810" i="50"/>
  <c r="H2286" i="50"/>
  <c r="H2498" i="50"/>
  <c r="H482" i="50"/>
  <c r="H160" i="50"/>
  <c r="H1958" i="50"/>
  <c r="H176" i="50"/>
  <c r="H2072" i="50"/>
  <c r="H2160" i="50"/>
  <c r="H1416" i="50"/>
  <c r="H221" i="50"/>
  <c r="H2227" i="50"/>
  <c r="H199" i="50"/>
  <c r="H974" i="50"/>
  <c r="H1088" i="50"/>
  <c r="H165" i="50"/>
  <c r="H1466" i="50"/>
  <c r="H2123" i="50"/>
  <c r="H1908" i="50"/>
  <c r="H1138" i="50"/>
  <c r="H346" i="50"/>
  <c r="H924" i="50"/>
  <c r="H135" i="50"/>
  <c r="H111" i="50"/>
  <c r="H596" i="50"/>
  <c r="H2353" i="50"/>
  <c r="H2190" i="50"/>
  <c r="H145" i="50"/>
  <c r="H2316" i="50"/>
  <c r="H2430" i="50"/>
  <c r="H2459" i="50"/>
  <c r="H646" i="50"/>
  <c r="H2257" i="50"/>
  <c r="H1744" i="50"/>
  <c r="H140" i="50"/>
  <c r="H1580" i="50"/>
  <c r="H63" i="50"/>
  <c r="H1252" i="50"/>
  <c r="H187" i="50"/>
  <c r="AD722" i="42"/>
  <c r="U722" i="42"/>
  <c r="H2517" i="37"/>
  <c r="H964" i="37"/>
  <c r="H306" i="37"/>
  <c r="T306" i="37" s="1"/>
  <c r="H3204" i="37"/>
  <c r="T3204" i="37" s="1"/>
  <c r="H20" i="37"/>
  <c r="H1812" i="37"/>
  <c r="T1816" i="37" s="1"/>
  <c r="H1785" i="37"/>
  <c r="H2900" i="37"/>
  <c r="H2542" i="37"/>
  <c r="T2544" i="37" s="1"/>
  <c r="H1263" i="37"/>
  <c r="T1266" i="37" s="1"/>
  <c r="H986" i="37"/>
  <c r="T986" i="37" s="1"/>
  <c r="H2864" i="37"/>
  <c r="T2866" i="37" s="1"/>
  <c r="H950" i="37"/>
  <c r="T950" i="37" s="1"/>
  <c r="H1156" i="37"/>
  <c r="T1160" i="37" s="1"/>
  <c r="H873" i="37"/>
  <c r="H2629" i="37"/>
  <c r="T2631" i="37" s="1"/>
  <c r="H2148" i="37"/>
  <c r="T2148" i="37" s="1"/>
  <c r="H3010" i="37"/>
  <c r="H263" i="37"/>
  <c r="H2751" i="37"/>
  <c r="H2560" i="37"/>
  <c r="T2560" i="37" s="1"/>
  <c r="H2743" i="37"/>
  <c r="T2743" i="37" s="1"/>
  <c r="H538" i="37"/>
  <c r="T538" i="37" s="1"/>
  <c r="H2220" i="37"/>
  <c r="T2222" i="37" s="1"/>
  <c r="H3131" i="37"/>
  <c r="T3131" i="37" s="1"/>
  <c r="H112" i="37"/>
  <c r="H244" i="37"/>
  <c r="H2366" i="37"/>
  <c r="H2596" i="37"/>
  <c r="T2596" i="37" s="1"/>
  <c r="H1576" i="37"/>
  <c r="T1578" i="37" s="1"/>
  <c r="H2882" i="37"/>
  <c r="T2882" i="37" s="1"/>
  <c r="H1839" i="37"/>
  <c r="H2195" i="37"/>
  <c r="H1341" i="37"/>
  <c r="T1343" i="37" s="1"/>
  <c r="H3065" i="37"/>
  <c r="T3065" i="37" s="1"/>
  <c r="H1722" i="37"/>
  <c r="H2873" i="37"/>
  <c r="T2876" i="37" s="1"/>
  <c r="H2185" i="37"/>
  <c r="H697" i="37"/>
  <c r="T699" i="37" s="1"/>
  <c r="H1490" i="37"/>
  <c r="T1494" i="37" s="1"/>
  <c r="H664" i="37"/>
  <c r="T664" i="37" s="1"/>
  <c r="H82" i="37"/>
  <c r="T82" i="37" s="1"/>
  <c r="H1370" i="37"/>
  <c r="T1370" i="37" s="1"/>
  <c r="H233" i="37"/>
  <c r="T233" i="37" s="1"/>
  <c r="H2574" i="37"/>
  <c r="H2421" i="37"/>
  <c r="T2421" i="37" s="1"/>
  <c r="H2157" i="37"/>
  <c r="T2157" i="37" s="1"/>
  <c r="H434" i="37"/>
  <c r="H2274" i="37"/>
  <c r="T2274" i="37" s="1"/>
  <c r="H3186" i="37"/>
  <c r="T3188" i="37" s="1"/>
  <c r="H1826" i="37"/>
  <c r="T1826" i="37" s="1"/>
  <c r="H342" i="37"/>
  <c r="T342" i="37" s="1"/>
  <c r="H1692" i="37"/>
  <c r="T1692" i="37" s="1"/>
  <c r="H2801" i="37"/>
  <c r="T2801" i="37" s="1"/>
  <c r="H2229" i="37"/>
  <c r="T2232" i="37" s="1"/>
  <c r="H297" i="37"/>
  <c r="T300" i="37" s="1"/>
  <c r="H3142" i="37"/>
  <c r="H3248" i="37"/>
  <c r="H3195" i="37"/>
  <c r="T3198" i="37" s="1"/>
  <c r="H1308" i="37"/>
  <c r="T1308" i="37" s="1"/>
  <c r="H2044" i="37"/>
  <c r="H1254" i="37"/>
  <c r="T1256" i="37" s="1"/>
  <c r="H1916" i="37"/>
  <c r="T1916" i="37" s="1"/>
  <c r="H2470" i="37"/>
  <c r="T2470" i="37" s="1"/>
  <c r="H3123" i="37"/>
  <c r="T3123" i="37" s="1"/>
  <c r="H1141" i="37"/>
  <c r="H610" i="37"/>
  <c r="T612" i="37" s="1"/>
  <c r="H53" i="37"/>
  <c r="T55" i="37" s="1"/>
  <c r="H2951" i="37"/>
  <c r="T2953" i="37" s="1"/>
  <c r="H2134" i="37"/>
  <c r="T2138" i="37" s="1"/>
  <c r="H1930" i="37"/>
  <c r="H375" i="37"/>
  <c r="T377" i="37" s="1"/>
  <c r="H551" i="37"/>
  <c r="H3073" i="37"/>
  <c r="H897" i="37"/>
  <c r="H3161" i="37"/>
  <c r="H1863" i="37"/>
  <c r="H175" i="37"/>
  <c r="H167" i="37"/>
  <c r="T167" i="37" s="1"/>
  <c r="H1210" i="37"/>
  <c r="H202" i="37"/>
  <c r="T206" i="37" s="1"/>
  <c r="H1551" i="37"/>
  <c r="H2099" i="37"/>
  <c r="T2099" i="37" s="1"/>
  <c r="H907" i="37"/>
  <c r="H2238" i="37"/>
  <c r="T2238" i="37" s="1"/>
  <c r="H834" i="37"/>
  <c r="T838" i="37" s="1"/>
  <c r="H497" i="37"/>
  <c r="H190" i="37"/>
  <c r="T194" i="37" s="1"/>
  <c r="H566" i="37"/>
  <c r="H2483" i="37"/>
  <c r="H575" i="37"/>
  <c r="H1272" i="37"/>
  <c r="T1272" i="37" s="1"/>
  <c r="H2820" i="37"/>
  <c r="H1195" i="37"/>
  <c r="H869" i="37"/>
  <c r="T869" i="37" s="1"/>
  <c r="H547" i="37"/>
  <c r="T547" i="37" s="1"/>
  <c r="H2456" i="37"/>
  <c r="T2460" i="37" s="1"/>
  <c r="H1463" i="37"/>
  <c r="H619" i="37"/>
  <c r="T622" i="37" s="1"/>
  <c r="H1400" i="37"/>
  <c r="H1898" i="37"/>
  <c r="T1900" i="37" s="1"/>
  <c r="H2252" i="37"/>
  <c r="H2107" i="37"/>
  <c r="H968" i="37"/>
  <c r="H1594" i="37"/>
  <c r="T1594" i="37" s="1"/>
  <c r="H756" i="37"/>
  <c r="H1517" i="37"/>
  <c r="H811" i="37"/>
  <c r="T811" i="37" s="1"/>
  <c r="H1843" i="37"/>
  <c r="T1843" i="37" s="1"/>
  <c r="H404" i="37"/>
  <c r="T404" i="37" s="1"/>
  <c r="H2578" i="37"/>
  <c r="H1608" i="37"/>
  <c r="H1873" i="37"/>
  <c r="H1663" i="37"/>
  <c r="T1665" i="37" s="1"/>
  <c r="H2429" i="37"/>
  <c r="H2896" i="37"/>
  <c r="H2507" i="37"/>
  <c r="H555" i="37"/>
  <c r="T555" i="37" s="1"/>
  <c r="H2444" i="37"/>
  <c r="T2448" i="37" s="1"/>
  <c r="H1513" i="37"/>
  <c r="T1513" i="37" s="1"/>
  <c r="H819" i="37"/>
  <c r="H1191" i="37"/>
  <c r="T1191" i="37" s="1"/>
  <c r="H2165" i="37"/>
  <c r="T2165" i="37" s="1"/>
  <c r="H726" i="37"/>
  <c r="T726" i="37" s="1"/>
  <c r="H1521" i="37"/>
  <c r="T1521" i="37" s="1"/>
  <c r="H3222" i="37"/>
  <c r="H1048" i="37"/>
  <c r="T1048" i="37" s="1"/>
  <c r="H1286" i="37"/>
  <c r="H2336" i="37"/>
  <c r="T2336" i="37" s="1"/>
  <c r="H877" i="37"/>
  <c r="T877" i="37" s="1"/>
  <c r="H288" i="37"/>
  <c r="T290" i="37" s="1"/>
  <c r="H3218" i="37"/>
  <c r="H229" i="37"/>
  <c r="H1455" i="37"/>
  <c r="T1455" i="37" s="1"/>
  <c r="H2839" i="37"/>
  <c r="H2498" i="37"/>
  <c r="H3151" i="37"/>
  <c r="H1835" i="37"/>
  <c r="T1835" i="37" s="1"/>
  <c r="H2766" i="37"/>
  <c r="T2770" i="37" s="1"/>
  <c r="H646" i="37"/>
  <c r="H2792" i="37"/>
  <c r="T2792" i="37" s="1"/>
  <c r="H2805" i="37"/>
  <c r="H888" i="37"/>
  <c r="H1985" i="37"/>
  <c r="T1987" i="37" s="1"/>
  <c r="H2829" i="37"/>
  <c r="H1199" i="37"/>
  <c r="T1199" i="37" s="1"/>
  <c r="H2176" i="37"/>
  <c r="H2918" i="37"/>
  <c r="T2918" i="37" s="1"/>
  <c r="H860" i="37"/>
  <c r="T860" i="37" s="1"/>
  <c r="H2487" i="37"/>
  <c r="T2487" i="37" s="1"/>
  <c r="H1078" i="37"/>
  <c r="H2307" i="37"/>
  <c r="T2309" i="37" s="1"/>
  <c r="H1019" i="37"/>
  <c r="T1021" i="37" s="1"/>
  <c r="H253" i="37"/>
  <c r="H1854" i="37"/>
  <c r="H1229" i="37"/>
  <c r="H1907" i="37"/>
  <c r="T1910" i="37" s="1"/>
  <c r="H1532" i="37"/>
  <c r="H1168" i="37"/>
  <c r="T1172" i="37" s="1"/>
  <c r="H932" i="37"/>
  <c r="T934" i="37" s="1"/>
  <c r="H585" i="37"/>
  <c r="H3114" i="37"/>
  <c r="T3114" i="37" s="1"/>
  <c r="H1585" i="37"/>
  <c r="T1588" i="37" s="1"/>
  <c r="H2551" i="37"/>
  <c r="T2554" i="37" s="1"/>
  <c r="H1952" i="37"/>
  <c r="T1952" i="37" s="1"/>
  <c r="H628" i="37"/>
  <c r="T628" i="37" s="1"/>
  <c r="H2479" i="37"/>
  <c r="T2479" i="37" s="1"/>
  <c r="H2809" i="37"/>
  <c r="T2809" i="37" s="1"/>
  <c r="H1290" i="37"/>
  <c r="H324" i="37"/>
  <c r="H941" i="37"/>
  <c r="T944" i="37" s="1"/>
  <c r="H1133" i="37"/>
  <c r="T1133" i="37" s="1"/>
  <c r="H1630" i="37"/>
  <c r="T1630" i="37" s="1"/>
  <c r="H3088" i="37"/>
  <c r="T3092" i="37" s="1"/>
  <c r="H1541" i="37"/>
  <c r="H3127" i="37"/>
  <c r="H320" i="37"/>
  <c r="H225" i="37"/>
  <c r="T225" i="37" s="1"/>
  <c r="H1478" i="37"/>
  <c r="T1482" i="37" s="1"/>
  <c r="H846" i="37"/>
  <c r="T850" i="37" s="1"/>
  <c r="H2658" i="37"/>
  <c r="T2658" i="37" s="1"/>
  <c r="H2122" i="37"/>
  <c r="T2126" i="37" s="1"/>
  <c r="H1777" i="37"/>
  <c r="T1777" i="37" s="1"/>
  <c r="H524" i="37"/>
  <c r="T528" i="37" s="1"/>
  <c r="H1800" i="37"/>
  <c r="T1804" i="37" s="1"/>
  <c r="H1612" i="37"/>
  <c r="H1219" i="37"/>
  <c r="H1182" i="37"/>
  <c r="T1182" i="37" s="1"/>
  <c r="H2688" i="37"/>
  <c r="H2980" i="37"/>
  <c r="T2980" i="37" s="1"/>
  <c r="H216" i="37"/>
  <c r="T216" i="37" s="1"/>
  <c r="H1504" i="37"/>
  <c r="T1504" i="37" s="1"/>
  <c r="H3100" i="37"/>
  <c r="T3104" i="37" s="1"/>
  <c r="H2161" i="37"/>
  <c r="H3253" i="37"/>
  <c r="H2778" i="37"/>
  <c r="T2782" i="37" s="1"/>
  <c r="H1934" i="37"/>
  <c r="H2256" i="37"/>
  <c r="H2014" i="37"/>
  <c r="T2014" i="37" s="1"/>
  <c r="H489" i="37"/>
  <c r="T489" i="37" s="1"/>
  <c r="H512" i="37"/>
  <c r="T516" i="37" s="1"/>
  <c r="H642" i="37"/>
  <c r="D35" i="62"/>
  <c r="E191" i="62"/>
  <c r="K327" i="41"/>
  <c r="K414" i="50" s="1"/>
  <c r="K409" i="50"/>
  <c r="L409" i="50"/>
  <c r="L327" i="41"/>
  <c r="L414" i="50" s="1"/>
  <c r="N327" i="41"/>
  <c r="N414" i="50" s="1"/>
  <c r="N409" i="50"/>
  <c r="I327" i="41"/>
  <c r="I414" i="50" s="1"/>
  <c r="I409" i="50"/>
  <c r="M327" i="41"/>
  <c r="M414" i="50" s="1"/>
  <c r="M409" i="50"/>
  <c r="J327" i="41"/>
  <c r="J414" i="50" s="1"/>
  <c r="J409" i="50"/>
  <c r="H327" i="41"/>
  <c r="H414" i="50" s="1"/>
  <c r="H409" i="50"/>
  <c r="D2540" i="50"/>
  <c r="D2583" i="50" s="1"/>
  <c r="D2605" i="50" s="1"/>
  <c r="D2534" i="50"/>
  <c r="D2577" i="50" s="1"/>
  <c r="D2599" i="50" s="1"/>
  <c r="D1953" i="50"/>
  <c r="Q1953" i="50"/>
  <c r="O260" i="34"/>
  <c r="R260" i="34" s="1"/>
  <c r="D260" i="34"/>
  <c r="C261" i="34"/>
  <c r="T1015" i="42" l="1"/>
  <c r="T989" i="42"/>
  <c r="AC989" i="42" s="1"/>
  <c r="T364" i="42"/>
  <c r="AC364" i="42"/>
  <c r="AC2829" i="37"/>
  <c r="AC1985" i="37"/>
  <c r="AC3010" i="37"/>
  <c r="AC3114" i="37"/>
  <c r="AC3195" i="37"/>
  <c r="AC1934" i="37"/>
  <c r="AC968" i="37"/>
  <c r="AC1210" i="37"/>
  <c r="AC3186" i="37"/>
  <c r="AC82" i="37"/>
  <c r="AC1229" i="37"/>
  <c r="AC2307" i="37"/>
  <c r="AC3100" i="37"/>
  <c r="AC1785" i="37"/>
  <c r="AC2238" i="37"/>
  <c r="AC2596" i="37"/>
  <c r="AC1551" i="37"/>
  <c r="AC225" i="37"/>
  <c r="AC819" i="37"/>
  <c r="AC312" i="37"/>
  <c r="AC1133" i="37"/>
  <c r="AC1608" i="37"/>
  <c r="AC1612" i="37"/>
  <c r="AC3131" i="37"/>
  <c r="AC3088" i="37"/>
  <c r="AC888" i="37"/>
  <c r="AC2839" i="37"/>
  <c r="AC547" i="37"/>
  <c r="AC342" i="37"/>
  <c r="AC834" i="37"/>
  <c r="AC646" i="37"/>
  <c r="AC2014" i="37"/>
  <c r="AC873" i="37"/>
  <c r="AC2148" i="37"/>
  <c r="AC697" i="37"/>
  <c r="AC1182" i="37"/>
  <c r="AC628" i="37"/>
  <c r="AC306" i="37"/>
  <c r="AC3142" i="37"/>
  <c r="AC2980" i="37"/>
  <c r="AC1952" i="37"/>
  <c r="AC524" i="37"/>
  <c r="AC1078" i="37"/>
  <c r="AC869" i="37"/>
  <c r="AC2864" i="37"/>
  <c r="AC1048" i="37"/>
  <c r="AC2578" i="37"/>
  <c r="AC1478" i="37"/>
  <c r="AC1532" i="37"/>
  <c r="AC3123" i="37"/>
  <c r="AC3222" i="37"/>
  <c r="AC2918" i="37"/>
  <c r="AC2778" i="37"/>
  <c r="AC811" i="37"/>
  <c r="AC167" i="37"/>
  <c r="AC1455" i="37"/>
  <c r="AC1863" i="37"/>
  <c r="AC1308" i="37"/>
  <c r="AC756" i="37"/>
  <c r="AC1521" i="37"/>
  <c r="AC1692" i="37"/>
  <c r="AC1800" i="37"/>
  <c r="AC1777" i="37"/>
  <c r="AC3151" i="37"/>
  <c r="AC950" i="37"/>
  <c r="AC190" i="37"/>
  <c r="AC1254" i="37"/>
  <c r="AC2688" i="37"/>
  <c r="AC2256" i="37"/>
  <c r="AC1278" i="37"/>
  <c r="AC3073" i="37"/>
  <c r="AC642" i="37"/>
  <c r="AC233" i="37"/>
  <c r="AC610" i="37"/>
  <c r="AC2274" i="37"/>
  <c r="AC3065" i="37"/>
  <c r="AC664" i="37"/>
  <c r="AC2820" i="37"/>
  <c r="AC1854" i="37"/>
  <c r="AC2900" i="37"/>
  <c r="AC1513" i="37"/>
  <c r="AC1341" i="37"/>
  <c r="AC3210" i="37"/>
  <c r="AC897" i="37"/>
  <c r="AC229" i="37"/>
  <c r="AC2185" i="37"/>
  <c r="AC1272" i="37"/>
  <c r="AC634" i="37"/>
  <c r="AC877" i="37"/>
  <c r="AC3204" i="37"/>
  <c r="AC2220" i="37"/>
  <c r="AC324" i="37"/>
  <c r="AC216" i="37"/>
  <c r="AC3127" i="37"/>
  <c r="AC1141" i="37"/>
  <c r="AC2882" i="37"/>
  <c r="AC555" i="37"/>
  <c r="AC2195" i="37"/>
  <c r="AC2421" i="37"/>
  <c r="AC2766" i="37"/>
  <c r="AC907" i="37"/>
  <c r="AC1585" i="37"/>
  <c r="AC1195" i="37"/>
  <c r="AC1019" i="37"/>
  <c r="AC941" i="37"/>
  <c r="AC538" i="37"/>
  <c r="AC1630" i="37"/>
  <c r="AC1600" i="37"/>
  <c r="AC2444" i="37"/>
  <c r="AC20" i="37"/>
  <c r="AC2951" i="37"/>
  <c r="AC1463" i="37"/>
  <c r="AC512" i="37"/>
  <c r="AC2456" i="37"/>
  <c r="AC956" i="37"/>
  <c r="AC3161" i="37"/>
  <c r="AC1826" i="37"/>
  <c r="AC2157" i="37"/>
  <c r="AC2751" i="37"/>
  <c r="AC404" i="37"/>
  <c r="AC1916" i="37"/>
  <c r="AC2560" i="37"/>
  <c r="AC1873" i="37"/>
  <c r="AC2176" i="37"/>
  <c r="AC2809" i="37"/>
  <c r="AC253" i="37"/>
  <c r="AC112" i="37"/>
  <c r="AC1922" i="37"/>
  <c r="AC1370" i="37"/>
  <c r="AC1490" i="37"/>
  <c r="AC1576" i="37"/>
  <c r="T20" i="37"/>
  <c r="AC846" i="37"/>
  <c r="AC244" i="37"/>
  <c r="AC964" i="37"/>
  <c r="AC1290" i="37"/>
  <c r="AC2134" i="37"/>
  <c r="AC1156" i="37"/>
  <c r="AC2107" i="37"/>
  <c r="AC2229" i="37"/>
  <c r="AC2873" i="37"/>
  <c r="AC1504" i="37"/>
  <c r="AC2896" i="37"/>
  <c r="AC175" i="37"/>
  <c r="AC497" i="37"/>
  <c r="AC2542" i="37"/>
  <c r="AC2801" i="37"/>
  <c r="AC1835" i="37"/>
  <c r="AC2487" i="37"/>
  <c r="AC2165" i="37"/>
  <c r="AC2366" i="37"/>
  <c r="AC1541" i="37"/>
  <c r="AC986" i="37"/>
  <c r="AC1263" i="37"/>
  <c r="AC2566" i="37"/>
  <c r="AC1517" i="37"/>
  <c r="AC2792" i="37"/>
  <c r="AC2743" i="37"/>
  <c r="AC1663" i="37"/>
  <c r="AC2470" i="37"/>
  <c r="AC932" i="37"/>
  <c r="AC434" i="37"/>
  <c r="AC1722" i="37"/>
  <c r="AC2888" i="37"/>
  <c r="AC2244" i="37"/>
  <c r="AC585" i="37"/>
  <c r="AC575" i="37"/>
  <c r="AC566" i="37"/>
  <c r="AC1168" i="37"/>
  <c r="AC2429" i="37"/>
  <c r="AC860" i="37"/>
  <c r="AC551" i="37"/>
  <c r="AC202" i="37"/>
  <c r="AC320" i="37"/>
  <c r="AC1839" i="37"/>
  <c r="AC2479" i="37"/>
  <c r="AC1191" i="37"/>
  <c r="AC53" i="37"/>
  <c r="AC2483" i="37"/>
  <c r="AC1812" i="37"/>
  <c r="AC2658" i="37"/>
  <c r="AC2252" i="37"/>
  <c r="AC297" i="37"/>
  <c r="AC2629" i="37"/>
  <c r="AC1286" i="37"/>
  <c r="AC375" i="37"/>
  <c r="AC2805" i="37"/>
  <c r="AC1199" i="37"/>
  <c r="AC2336" i="37"/>
  <c r="AC1898" i="37"/>
  <c r="AC2099" i="37"/>
  <c r="AC619" i="37"/>
  <c r="AC263" i="37"/>
  <c r="AC1594" i="37"/>
  <c r="AC1219" i="37"/>
  <c r="AC2551" i="37"/>
  <c r="AC489" i="37"/>
  <c r="AC288" i="37"/>
  <c r="AC1907" i="37"/>
  <c r="AC1400" i="37"/>
  <c r="AC2044" i="37"/>
  <c r="AC2161" i="37"/>
  <c r="AC2122" i="37"/>
  <c r="AC2517" i="37"/>
  <c r="AC2574" i="37"/>
  <c r="AC3218" i="37"/>
  <c r="AC2507" i="37"/>
  <c r="AC2498" i="37"/>
  <c r="AC1930" i="37"/>
  <c r="AC726" i="37"/>
  <c r="AC1843" i="37"/>
  <c r="AC909" i="42"/>
  <c r="T909" i="42"/>
  <c r="T1115" i="42"/>
  <c r="T1089" i="42"/>
  <c r="AC1089" i="42" s="1"/>
  <c r="AC127" i="42"/>
  <c r="T127" i="42"/>
  <c r="AC722" i="42"/>
  <c r="T722" i="42"/>
  <c r="E192" i="62"/>
  <c r="D2535" i="50"/>
  <c r="D2578" i="50" s="1"/>
  <c r="D2600" i="50" s="1"/>
  <c r="D2539" i="50"/>
  <c r="D2582" i="50" s="1"/>
  <c r="D2604" i="50" s="1"/>
  <c r="D2537" i="50"/>
  <c r="D2580" i="50" s="1"/>
  <c r="D2602" i="50" s="1"/>
  <c r="D2538" i="50"/>
  <c r="D2581" i="50" s="1"/>
  <c r="D2603" i="50" s="1"/>
  <c r="D2536" i="50"/>
  <c r="D2579" i="50" s="1"/>
  <c r="D2601" i="50" s="1"/>
  <c r="D261" i="34"/>
  <c r="O261" i="34"/>
  <c r="R261" i="34" s="1"/>
  <c r="C262" i="34"/>
  <c r="E193" i="62" l="1"/>
  <c r="C263" i="34"/>
  <c r="D262" i="34"/>
  <c r="O262" i="34"/>
  <c r="R262" i="34" s="1"/>
  <c r="E194" i="62" l="1"/>
  <c r="C264" i="34"/>
  <c r="D263" i="34"/>
  <c r="O263" i="34"/>
  <c r="R263" i="34" s="1"/>
  <c r="E195" i="62" l="1"/>
  <c r="D264" i="34"/>
  <c r="O264" i="34"/>
  <c r="R264" i="34" s="1"/>
  <c r="C265" i="34"/>
  <c r="E196" i="62" l="1"/>
  <c r="D265" i="34"/>
  <c r="C266" i="34"/>
  <c r="O265" i="34"/>
  <c r="R265" i="34" s="1"/>
  <c r="E197" i="62" l="1"/>
  <c r="D266" i="34"/>
  <c r="C267" i="34"/>
  <c r="O266" i="34"/>
  <c r="R266" i="34" s="1"/>
  <c r="E198" i="62" l="1"/>
  <c r="D267" i="34"/>
  <c r="O267" i="34"/>
  <c r="R267" i="34" s="1"/>
  <c r="C268" i="34"/>
  <c r="C269" i="34" l="1"/>
  <c r="D268" i="34"/>
  <c r="O268" i="34"/>
  <c r="R268" i="34" s="1"/>
  <c r="C270" i="34" l="1"/>
  <c r="O269" i="34"/>
  <c r="R269" i="34" s="1"/>
  <c r="D269" i="34"/>
  <c r="D270" i="34" l="1"/>
  <c r="C271" i="34"/>
  <c r="O270" i="34"/>
  <c r="R270" i="34" s="1"/>
  <c r="C272" i="34" l="1"/>
  <c r="D271" i="34"/>
  <c r="O271" i="34"/>
  <c r="R271" i="34" s="1"/>
  <c r="D272" i="34" l="1"/>
  <c r="O272" i="34"/>
  <c r="R272" i="34" s="1"/>
  <c r="C273" i="34"/>
  <c r="C274" i="34" l="1"/>
  <c r="D273" i="34"/>
  <c r="O273" i="34"/>
  <c r="R273" i="34" s="1"/>
  <c r="O274" i="34" l="1"/>
  <c r="C275" i="34"/>
  <c r="D274" i="34"/>
  <c r="C276" i="34" l="1"/>
  <c r="O275" i="34"/>
  <c r="R275" i="34" s="1"/>
  <c r="D275" i="34"/>
  <c r="C277" i="34" l="1"/>
  <c r="D276" i="34"/>
  <c r="O276" i="34"/>
  <c r="R276" i="34" s="1"/>
  <c r="D277" i="34" l="1"/>
  <c r="O277" i="34"/>
  <c r="R277" i="34" s="1"/>
  <c r="C278" i="34"/>
  <c r="D278" i="34" l="1"/>
  <c r="C279" i="34"/>
  <c r="O278" i="34"/>
  <c r="R278" i="34" s="1"/>
  <c r="D279" i="34" l="1"/>
  <c r="O279" i="34"/>
  <c r="R279" i="34" s="1"/>
  <c r="C280" i="34"/>
  <c r="C281" i="34" l="1"/>
  <c r="D280" i="34"/>
  <c r="O280" i="34"/>
  <c r="R280" i="34" s="1"/>
  <c r="D281" i="34" l="1"/>
  <c r="O281" i="34"/>
  <c r="R281" i="34" s="1"/>
  <c r="C282" i="34"/>
  <c r="O282" i="34" l="1"/>
  <c r="R282" i="34" s="1"/>
  <c r="C283" i="34"/>
  <c r="D282" i="34"/>
  <c r="C284" i="34" l="1"/>
  <c r="O283" i="34"/>
  <c r="R283" i="34" s="1"/>
  <c r="D283" i="34"/>
  <c r="C285" i="34" l="1"/>
  <c r="D284" i="34"/>
  <c r="O284" i="34"/>
  <c r="R284" i="34" s="1"/>
  <c r="C286" i="34" l="1"/>
  <c r="D285" i="34"/>
  <c r="O285" i="34"/>
  <c r="R285" i="34" s="1"/>
  <c r="D286" i="34" l="1"/>
  <c r="C287" i="34"/>
  <c r="O286" i="34"/>
  <c r="R286" i="34" s="1"/>
  <c r="D287" i="34" l="1"/>
  <c r="O287" i="34"/>
  <c r="R287" i="34" s="1"/>
  <c r="C288" i="34"/>
  <c r="D288" i="34" l="1"/>
  <c r="O288" i="34"/>
  <c r="R288" i="34" s="1"/>
  <c r="C289" i="34"/>
  <c r="C290" i="34" l="1"/>
  <c r="D289" i="34"/>
  <c r="O289" i="34"/>
  <c r="R289" i="34" s="1"/>
  <c r="D290" i="34" l="1"/>
  <c r="O290" i="34"/>
  <c r="R290" i="34" s="1"/>
  <c r="C291" i="34"/>
  <c r="D291" i="34" l="1"/>
  <c r="C292" i="34"/>
  <c r="O291" i="34"/>
  <c r="R291" i="34" s="1"/>
  <c r="D292" i="34" l="1"/>
  <c r="C293" i="34"/>
  <c r="O292" i="34"/>
  <c r="R292" i="34" s="1"/>
  <c r="D293" i="34" l="1"/>
  <c r="O293" i="34"/>
  <c r="R293" i="34" s="1"/>
  <c r="C294" i="34"/>
  <c r="D294" i="34" l="1"/>
  <c r="O294" i="34"/>
  <c r="R294" i="34" s="1"/>
  <c r="C295" i="34"/>
  <c r="O295" i="34" l="1"/>
  <c r="R295" i="34" s="1"/>
  <c r="D295" i="34"/>
  <c r="C296" i="34"/>
  <c r="O296" i="34" l="1"/>
  <c r="R296" i="34" s="1"/>
  <c r="C297" i="34"/>
  <c r="D296" i="34"/>
  <c r="C298" i="34" l="1"/>
  <c r="O297" i="34"/>
  <c r="R297" i="34" s="1"/>
  <c r="D297" i="34"/>
  <c r="D298" i="34" l="1"/>
  <c r="O298" i="34"/>
  <c r="R298" i="34" s="1"/>
  <c r="C299" i="34"/>
  <c r="D299" i="34" l="1"/>
  <c r="C300" i="34"/>
  <c r="O299" i="34"/>
  <c r="R299" i="34" s="1"/>
  <c r="O300" i="34" l="1"/>
  <c r="R300" i="34" s="1"/>
  <c r="D300" i="34"/>
  <c r="G446" i="43" l="1"/>
  <c r="T45" i="50"/>
  <c r="T42" i="50"/>
  <c r="T41" i="50"/>
  <c r="T39" i="50"/>
  <c r="T44" i="50"/>
  <c r="T36" i="50"/>
  <c r="T38" i="50"/>
  <c r="R44" i="50" l="1"/>
  <c r="S391" i="43"/>
  <c r="K434" i="43"/>
  <c r="S39" i="50"/>
  <c r="G429" i="43"/>
  <c r="H429" i="43" s="1"/>
  <c r="S45" i="50"/>
  <c r="G435" i="43"/>
  <c r="H435" i="43" s="1"/>
  <c r="R41" i="50"/>
  <c r="S388" i="43"/>
  <c r="K431" i="43"/>
  <c r="S389" i="43"/>
  <c r="R42" i="50"/>
  <c r="K432" i="43"/>
  <c r="S42" i="50"/>
  <c r="G432" i="43"/>
  <c r="H432" i="43" s="1"/>
  <c r="H15" i="50"/>
  <c r="S44" i="50"/>
  <c r="G434" i="43"/>
  <c r="H434" i="43" s="1"/>
  <c r="R39" i="50"/>
  <c r="S386" i="43"/>
  <c r="K429" i="43"/>
  <c r="S392" i="43"/>
  <c r="R45" i="50"/>
  <c r="K435" i="43"/>
  <c r="S383" i="43"/>
  <c r="R36" i="50"/>
  <c r="G449" i="43"/>
  <c r="K426" i="43"/>
  <c r="S41" i="50"/>
  <c r="G431" i="43"/>
  <c r="H431" i="43" s="1"/>
  <c r="S36" i="50"/>
  <c r="G426" i="43"/>
  <c r="H426" i="43" s="1"/>
  <c r="S38" i="50"/>
  <c r="G428" i="43"/>
  <c r="H428" i="43" s="1"/>
  <c r="S385" i="43"/>
  <c r="R38" i="50"/>
  <c r="K428" i="43"/>
  <c r="G445" i="43" l="1"/>
  <c r="L38" i="50"/>
  <c r="E38" i="50"/>
  <c r="E41" i="50"/>
  <c r="E44" i="50"/>
  <c r="L41" i="50"/>
  <c r="L36" i="50"/>
  <c r="L44" i="50"/>
  <c r="E36" i="50"/>
  <c r="L45" i="50"/>
  <c r="L42" i="50"/>
  <c r="E45" i="50"/>
  <c r="E39" i="50"/>
  <c r="E42" i="50"/>
  <c r="L39" i="50"/>
  <c r="K285" i="49" l="1"/>
  <c r="K284" i="49"/>
  <c r="J285" i="49"/>
  <c r="J284" i="49"/>
  <c r="M102" i="50" l="1"/>
  <c r="M122" i="50" s="1"/>
  <c r="M96" i="50"/>
  <c r="L98" i="50"/>
  <c r="L93" i="50"/>
  <c r="M93" i="50"/>
  <c r="M92" i="50"/>
  <c r="M99" i="50"/>
  <c r="L96" i="50"/>
  <c r="M100" i="50"/>
  <c r="M101" i="50"/>
  <c r="L94" i="50"/>
  <c r="L97" i="50"/>
  <c r="M95" i="50"/>
  <c r="L92" i="50"/>
  <c r="L101" i="50"/>
  <c r="L99" i="50"/>
  <c r="M98" i="50"/>
  <c r="L100" i="50"/>
  <c r="M97" i="50"/>
  <c r="M94" i="50"/>
  <c r="L95" i="50"/>
  <c r="L102" i="50"/>
  <c r="K102" i="50"/>
  <c r="K122" i="50" s="1"/>
  <c r="K98" i="50"/>
  <c r="K97" i="50"/>
  <c r="K100" i="50"/>
  <c r="K95" i="50"/>
  <c r="K96" i="50"/>
  <c r="K93" i="50"/>
  <c r="K94" i="50"/>
  <c r="K92" i="50"/>
  <c r="K99" i="50"/>
  <c r="K101" i="50"/>
  <c r="K104" i="50"/>
  <c r="K106" i="50"/>
  <c r="K105" i="50"/>
  <c r="K103" i="50"/>
  <c r="J105" i="50"/>
  <c r="J125" i="50" s="1"/>
  <c r="J96" i="50"/>
  <c r="J116" i="50" s="1"/>
  <c r="J94" i="50"/>
  <c r="J114" i="50" s="1"/>
  <c r="J95" i="50"/>
  <c r="J115" i="50" s="1"/>
  <c r="J100" i="50"/>
  <c r="J120" i="50" s="1"/>
  <c r="J101" i="50"/>
  <c r="J121" i="50" s="1"/>
  <c r="J98" i="50"/>
  <c r="J118" i="50" s="1"/>
  <c r="J97" i="50"/>
  <c r="J117" i="50" s="1"/>
  <c r="J99" i="50"/>
  <c r="J119" i="50" s="1"/>
  <c r="J102" i="50"/>
  <c r="J93" i="50"/>
  <c r="J113" i="50" s="1"/>
  <c r="J104" i="50"/>
  <c r="J106" i="50"/>
  <c r="J103" i="50"/>
  <c r="J92" i="50"/>
  <c r="J112" i="50" s="1"/>
  <c r="L121" i="50" l="1"/>
  <c r="M119" i="50"/>
  <c r="L122" i="50"/>
  <c r="L112" i="50"/>
  <c r="L109" i="50"/>
  <c r="L129" i="50" s="1"/>
  <c r="M112" i="50"/>
  <c r="M109" i="50"/>
  <c r="M129" i="50" s="1"/>
  <c r="L115" i="50"/>
  <c r="M115" i="50"/>
  <c r="M113" i="50"/>
  <c r="M114" i="50"/>
  <c r="L117" i="50"/>
  <c r="L113" i="50"/>
  <c r="M117" i="50"/>
  <c r="L114" i="50"/>
  <c r="L118" i="50"/>
  <c r="L120" i="50"/>
  <c r="M121" i="50"/>
  <c r="M116" i="50"/>
  <c r="M118" i="50"/>
  <c r="M120" i="50"/>
  <c r="L119" i="50"/>
  <c r="L116" i="50"/>
  <c r="K123" i="50"/>
  <c r="K113" i="50"/>
  <c r="K125" i="50"/>
  <c r="K116" i="50"/>
  <c r="K126" i="50"/>
  <c r="K115" i="50"/>
  <c r="K124" i="50"/>
  <c r="K120" i="50"/>
  <c r="K121" i="50"/>
  <c r="K117" i="50"/>
  <c r="K119" i="50"/>
  <c r="K118" i="50"/>
  <c r="K112" i="50"/>
  <c r="K109" i="50"/>
  <c r="K129" i="50" s="1"/>
  <c r="K114" i="50"/>
  <c r="J126" i="50"/>
  <c r="J123" i="50"/>
  <c r="J124" i="50"/>
  <c r="J122" i="50"/>
  <c r="J109" i="50"/>
  <c r="J129" i="50" s="1"/>
  <c r="L402" i="41" l="1"/>
  <c r="L349" i="50" s="1"/>
  <c r="L400" i="41"/>
  <c r="L347" i="50" s="1"/>
  <c r="L401" i="41"/>
  <c r="L348" i="50" s="1"/>
  <c r="K401" i="41"/>
  <c r="K348" i="50" s="1"/>
  <c r="K402" i="41"/>
  <c r="K349" i="50" s="1"/>
  <c r="J400" i="41"/>
  <c r="J347" i="50" s="1"/>
  <c r="K400" i="41"/>
  <c r="K347" i="50" s="1"/>
  <c r="L193" i="41"/>
  <c r="L228" i="41" s="1"/>
  <c r="L343" i="50" s="1"/>
  <c r="J401" i="41"/>
  <c r="J348" i="50" s="1"/>
  <c r="J193" i="41"/>
  <c r="J228" i="41" s="1"/>
  <c r="J246" i="41" s="1"/>
  <c r="J402" i="41"/>
  <c r="J349" i="50" s="1"/>
  <c r="K193" i="41"/>
  <c r="L194" i="41"/>
  <c r="J194" i="41"/>
  <c r="K194" i="41"/>
  <c r="K316" i="50" s="1"/>
  <c r="L423" i="41"/>
  <c r="L426" i="41" s="1"/>
  <c r="L433" i="41" s="1"/>
  <c r="K423" i="41"/>
  <c r="K426" i="41" s="1"/>
  <c r="K433" i="41" s="1"/>
  <c r="J423" i="41"/>
  <c r="J426" i="41" s="1"/>
  <c r="J433" i="41" s="1"/>
  <c r="I379" i="37"/>
  <c r="J315" i="50" l="1"/>
  <c r="J197" i="41"/>
  <c r="J319" i="50" s="1"/>
  <c r="J316" i="50"/>
  <c r="L315" i="50"/>
  <c r="L197" i="41"/>
  <c r="L319" i="50" s="1"/>
  <c r="L316" i="50"/>
  <c r="J244" i="41"/>
  <c r="K197" i="41"/>
  <c r="K319" i="50" s="1"/>
  <c r="K228" i="41"/>
  <c r="K315" i="50"/>
  <c r="L246" i="41"/>
  <c r="L245" i="41"/>
  <c r="L244" i="41"/>
  <c r="J343" i="50"/>
  <c r="J245" i="41"/>
  <c r="K246" i="41" l="1"/>
  <c r="K343" i="50"/>
  <c r="K244" i="41"/>
  <c r="K245" i="41"/>
  <c r="E106" i="62" l="1"/>
  <c r="E110" i="62"/>
  <c r="E109" i="62"/>
  <c r="E107" i="62"/>
  <c r="E105" i="62"/>
  <c r="E103" i="62"/>
  <c r="E102" i="62"/>
  <c r="E108" i="62"/>
  <c r="E104" i="62"/>
  <c r="E101" i="62" l="1"/>
  <c r="J110" i="62"/>
  <c r="E142" i="62" l="1"/>
  <c r="E140" i="62"/>
  <c r="E143" i="62"/>
  <c r="E141" i="62"/>
  <c r="E139" i="62" l="1"/>
  <c r="E137" i="62"/>
  <c r="E144" i="62"/>
  <c r="E138" i="62"/>
  <c r="E136" i="62"/>
  <c r="E145" i="62"/>
  <c r="M30" i="50" l="1"/>
  <c r="H142" i="62"/>
  <c r="H143" i="62"/>
  <c r="H141" i="62"/>
  <c r="H140" i="62"/>
  <c r="H137" i="62"/>
  <c r="H136" i="62"/>
  <c r="H145" i="62"/>
  <c r="H139" i="62"/>
  <c r="H144" i="62"/>
  <c r="H138" i="62"/>
  <c r="V916" i="42" l="1"/>
  <c r="U916" i="42"/>
  <c r="Z916" i="42"/>
  <c r="X916" i="42"/>
  <c r="Y916" i="42"/>
  <c r="W916" i="42"/>
  <c r="T916" i="42"/>
  <c r="X917" i="42"/>
  <c r="T917" i="42"/>
  <c r="W917" i="42"/>
  <c r="V917" i="42"/>
  <c r="Y917" i="42"/>
  <c r="U917" i="42"/>
  <c r="Z917" i="42"/>
  <c r="T919" i="42"/>
  <c r="W919" i="42"/>
  <c r="V919" i="42"/>
  <c r="U919" i="42"/>
  <c r="Z919" i="42"/>
  <c r="Y919" i="42"/>
  <c r="X919" i="42"/>
  <c r="V914" i="42"/>
  <c r="T914" i="42"/>
  <c r="U914" i="42"/>
  <c r="Z914" i="42"/>
  <c r="Y914" i="42"/>
  <c r="X914" i="42"/>
  <c r="W914" i="42"/>
  <c r="Z915" i="42"/>
  <c r="X915" i="42"/>
  <c r="T915" i="42"/>
  <c r="W915" i="42"/>
  <c r="Y915" i="42"/>
  <c r="V915" i="42"/>
  <c r="U915" i="42"/>
  <c r="U730" i="42"/>
  <c r="X730" i="42"/>
  <c r="Z730" i="42"/>
  <c r="W730" i="42"/>
  <c r="V730" i="42"/>
  <c r="T730" i="42"/>
  <c r="Y730" i="42"/>
  <c r="X728" i="42"/>
  <c r="U728" i="42"/>
  <c r="W728" i="42"/>
  <c r="Z728" i="42"/>
  <c r="V728" i="42"/>
  <c r="T728" i="42"/>
  <c r="Y728" i="42"/>
  <c r="V729" i="42"/>
  <c r="T729" i="42"/>
  <c r="Z729" i="42"/>
  <c r="Y729" i="42"/>
  <c r="X729" i="42"/>
  <c r="U729" i="42"/>
  <c r="W729" i="42"/>
  <c r="Z727" i="42"/>
  <c r="T727" i="42"/>
  <c r="Y727" i="42"/>
  <c r="U727" i="42"/>
  <c r="X727" i="42"/>
  <c r="W727" i="42"/>
  <c r="V727" i="42"/>
  <c r="Y136" i="42"/>
  <c r="T136" i="42"/>
  <c r="X136" i="42"/>
  <c r="V136" i="42"/>
  <c r="W136" i="42"/>
  <c r="U136" i="42"/>
  <c r="Z136" i="42"/>
  <c r="H144" i="42" l="1"/>
  <c r="H739" i="42"/>
  <c r="H139" i="41" l="1"/>
  <c r="H274" i="50" l="1"/>
  <c r="H189" i="41"/>
  <c r="H140" i="41"/>
  <c r="H275" i="50" l="1"/>
  <c r="H417" i="41"/>
  <c r="H218" i="41"/>
  <c r="H313" i="50"/>
  <c r="H219" i="41" l="1"/>
  <c r="H336" i="50" s="1"/>
  <c r="H335" i="50"/>
  <c r="H416" i="41"/>
  <c r="H419" i="41" s="1"/>
  <c r="H420" i="41" l="1"/>
  <c r="T226" i="37" l="1"/>
  <c r="H58" i="37"/>
  <c r="I2623" i="50" l="1"/>
  <c r="I2646" i="50" s="1"/>
  <c r="I2617" i="50" l="1"/>
  <c r="I2640" i="50" s="1"/>
  <c r="I2669" i="50"/>
  <c r="I2622" i="50" l="1"/>
  <c r="I2618" i="50"/>
  <c r="I2614" i="50"/>
  <c r="I2663" i="50"/>
  <c r="I2637" i="50" l="1"/>
  <c r="I2631" i="50"/>
  <c r="I2641" i="50"/>
  <c r="I2645" i="50"/>
  <c r="I2668" i="50" l="1"/>
  <c r="I2664" i="50"/>
  <c r="I2660" i="50"/>
  <c r="G56" i="62" l="1"/>
  <c r="G55" i="62" l="1"/>
  <c r="T55" i="62" s="1"/>
  <c r="U45" i="62" s="1"/>
  <c r="T56" i="62"/>
  <c r="U46" i="62" s="1"/>
  <c r="X56" i="62"/>
  <c r="Q56" i="62"/>
  <c r="G58" i="62"/>
  <c r="G57" i="62"/>
  <c r="M108" i="62"/>
  <c r="X55" i="62" l="1"/>
  <c r="Q55" i="62"/>
  <c r="Q57" i="62"/>
  <c r="T57" i="62"/>
  <c r="X57" i="62"/>
  <c r="S86" i="62"/>
  <c r="Y56" i="62"/>
  <c r="T241" i="41"/>
  <c r="M2185" i="50"/>
  <c r="Z56" i="62"/>
  <c r="AA56" i="62" s="1"/>
  <c r="M249" i="42"/>
  <c r="S85" i="62"/>
  <c r="Y55" i="62"/>
  <c r="M2118" i="50"/>
  <c r="T240" i="41"/>
  <c r="M12" i="42"/>
  <c r="Z55" i="62"/>
  <c r="AA55" i="62" s="1"/>
  <c r="T58" i="62"/>
  <c r="U48" i="62" s="1"/>
  <c r="Q58" i="62"/>
  <c r="X58" i="62"/>
  <c r="M105" i="62"/>
  <c r="N109" i="62"/>
  <c r="M109" i="62"/>
  <c r="N108" i="62"/>
  <c r="M106" i="62"/>
  <c r="N106" i="62"/>
  <c r="N110" i="62"/>
  <c r="M110" i="62"/>
  <c r="N103" i="62"/>
  <c r="M103" i="62"/>
  <c r="N104" i="62"/>
  <c r="M101" i="62"/>
  <c r="N101" i="62"/>
  <c r="U47" i="62" l="1"/>
  <c r="M65" i="41"/>
  <c r="G59" i="62"/>
  <c r="T59" i="62" s="1"/>
  <c r="U49" i="62" s="1"/>
  <c r="S88" i="62"/>
  <c r="Z58" i="62"/>
  <c r="AA58" i="62" s="1"/>
  <c r="T37" i="41"/>
  <c r="Y58" i="62"/>
  <c r="M2311" i="50"/>
  <c r="M609" i="42"/>
  <c r="N257" i="42"/>
  <c r="N376" i="42" s="1"/>
  <c r="M257" i="42"/>
  <c r="M376" i="42" s="1"/>
  <c r="K257" i="42"/>
  <c r="K376" i="42" s="1"/>
  <c r="J257" i="42"/>
  <c r="J376" i="42" s="1"/>
  <c r="L257" i="42"/>
  <c r="L376" i="42" s="1"/>
  <c r="AL305" i="42"/>
  <c r="I250" i="42"/>
  <c r="M2243" i="50"/>
  <c r="H2241" i="50"/>
  <c r="I2245" i="50"/>
  <c r="J2234" i="50"/>
  <c r="K2228" i="50"/>
  <c r="K2233" i="50"/>
  <c r="K2243" i="50"/>
  <c r="H2233" i="50"/>
  <c r="N2242" i="50"/>
  <c r="K2247" i="50"/>
  <c r="N2248" i="50"/>
  <c r="K2241" i="50"/>
  <c r="K2242" i="50"/>
  <c r="H2235" i="50"/>
  <c r="M2233" i="50"/>
  <c r="H2237" i="50"/>
  <c r="N2191" i="50"/>
  <c r="H2244" i="50"/>
  <c r="I2234" i="50"/>
  <c r="M2235" i="50"/>
  <c r="N2240" i="50"/>
  <c r="L2237" i="50"/>
  <c r="K2244" i="50"/>
  <c r="M2246" i="50"/>
  <c r="M2239" i="50"/>
  <c r="M2244" i="50"/>
  <c r="J2248" i="50"/>
  <c r="M2234" i="50"/>
  <c r="H2228" i="50"/>
  <c r="I2237" i="50"/>
  <c r="L2241" i="50"/>
  <c r="J2192" i="50"/>
  <c r="N2228" i="50"/>
  <c r="J2245" i="50"/>
  <c r="H2192" i="50"/>
  <c r="J2232" i="50"/>
  <c r="J2247" i="50"/>
  <c r="M2228" i="50"/>
  <c r="H2247" i="50"/>
  <c r="M2245" i="50"/>
  <c r="H2248" i="50"/>
  <c r="L2235" i="50"/>
  <c r="I2248" i="50"/>
  <c r="L2247" i="50"/>
  <c r="N2233" i="50"/>
  <c r="K2191" i="50"/>
  <c r="N2239" i="50"/>
  <c r="I2241" i="50"/>
  <c r="L2246" i="50"/>
  <c r="K2240" i="50"/>
  <c r="K2239" i="50"/>
  <c r="I2247" i="50"/>
  <c r="J2233" i="50"/>
  <c r="H2242" i="50"/>
  <c r="N2241" i="50"/>
  <c r="N2192" i="50"/>
  <c r="L2240" i="50"/>
  <c r="N2237" i="50"/>
  <c r="I2233" i="50"/>
  <c r="J2228" i="50"/>
  <c r="M2237" i="50"/>
  <c r="J2241" i="50"/>
  <c r="J2235" i="50"/>
  <c r="N2234" i="50"/>
  <c r="I2243" i="50"/>
  <c r="I2228" i="50"/>
  <c r="L2234" i="50"/>
  <c r="H2246" i="50"/>
  <c r="K2234" i="50"/>
  <c r="I2239" i="50"/>
  <c r="M2248" i="50"/>
  <c r="H2234" i="50"/>
  <c r="M2192" i="50"/>
  <c r="L2243" i="50"/>
  <c r="L2244" i="50"/>
  <c r="I2244" i="50"/>
  <c r="H2232" i="50"/>
  <c r="K2192" i="50"/>
  <c r="H2240" i="50"/>
  <c r="J2243" i="50"/>
  <c r="N2245" i="50"/>
  <c r="H2243" i="50"/>
  <c r="L2228" i="50"/>
  <c r="N2243" i="50"/>
  <c r="J2237" i="50"/>
  <c r="N2232" i="50"/>
  <c r="N2246" i="50"/>
  <c r="K2248" i="50"/>
  <c r="H2239" i="50"/>
  <c r="M2247" i="50"/>
  <c r="J2240" i="50"/>
  <c r="K2245" i="50"/>
  <c r="F2192" i="50"/>
  <c r="L2248" i="50"/>
  <c r="M2188" i="50"/>
  <c r="L2239" i="50"/>
  <c r="I2232" i="50"/>
  <c r="I2240" i="50"/>
  <c r="N2235" i="50"/>
  <c r="K2232" i="50"/>
  <c r="H2245" i="50"/>
  <c r="L2192" i="50"/>
  <c r="M2232" i="50"/>
  <c r="M2240" i="50"/>
  <c r="N2244" i="50"/>
  <c r="J2239" i="50"/>
  <c r="J2244" i="50"/>
  <c r="K2237" i="50"/>
  <c r="L2242" i="50"/>
  <c r="L2233" i="50"/>
  <c r="J2246" i="50"/>
  <c r="M2241" i="50"/>
  <c r="I2246" i="50"/>
  <c r="N2247" i="50"/>
  <c r="L2245" i="50"/>
  <c r="K2235" i="50"/>
  <c r="J2242" i="50"/>
  <c r="I2192" i="50"/>
  <c r="M2242" i="50"/>
  <c r="K2246" i="50"/>
  <c r="I2235" i="50"/>
  <c r="L2232" i="50"/>
  <c r="I2242" i="50"/>
  <c r="M2191" i="50"/>
  <c r="L2191" i="50"/>
  <c r="J2191" i="50"/>
  <c r="S87" i="62"/>
  <c r="M2252" i="50"/>
  <c r="T242" i="41"/>
  <c r="T230" i="41" s="1"/>
  <c r="Z57" i="62"/>
  <c r="AA57" i="62" s="1"/>
  <c r="M486" i="42"/>
  <c r="Y57" i="62"/>
  <c r="M20" i="42"/>
  <c r="M139" i="42" s="1"/>
  <c r="I13" i="42"/>
  <c r="AL68" i="42"/>
  <c r="L20" i="42"/>
  <c r="L139" i="42" s="1"/>
  <c r="N20" i="42"/>
  <c r="N139" i="42" s="1"/>
  <c r="J20" i="42"/>
  <c r="J139" i="42" s="1"/>
  <c r="K20" i="42"/>
  <c r="K139" i="42" s="1"/>
  <c r="Q59" i="62"/>
  <c r="I2125" i="50"/>
  <c r="N2175" i="50"/>
  <c r="I2161" i="50"/>
  <c r="J2179" i="50"/>
  <c r="L2181" i="50"/>
  <c r="K2178" i="50"/>
  <c r="I2179" i="50"/>
  <c r="L2177" i="50"/>
  <c r="M2167" i="50"/>
  <c r="L2168" i="50"/>
  <c r="M2125" i="50"/>
  <c r="K2181" i="50"/>
  <c r="H2178" i="50"/>
  <c r="M2166" i="50"/>
  <c r="H2168" i="50"/>
  <c r="H2181" i="50"/>
  <c r="L2178" i="50"/>
  <c r="M2168" i="50"/>
  <c r="N2173" i="50"/>
  <c r="H2179" i="50"/>
  <c r="K2174" i="50"/>
  <c r="K2176" i="50"/>
  <c r="N2178" i="50"/>
  <c r="N2168" i="50"/>
  <c r="M2180" i="50"/>
  <c r="M2179" i="50"/>
  <c r="I2166" i="50"/>
  <c r="N2172" i="50"/>
  <c r="N2165" i="50"/>
  <c r="M2161" i="50"/>
  <c r="J2166" i="50"/>
  <c r="J2165" i="50"/>
  <c r="N2170" i="50"/>
  <c r="H2172" i="50"/>
  <c r="K2172" i="50"/>
  <c r="M2165" i="50"/>
  <c r="M2173" i="50"/>
  <c r="H2176" i="50"/>
  <c r="H2165" i="50"/>
  <c r="K2161" i="50"/>
  <c r="L2180" i="50"/>
  <c r="I2175" i="50"/>
  <c r="L2176" i="50"/>
  <c r="K2173" i="50"/>
  <c r="N2166" i="50"/>
  <c r="L2165" i="50"/>
  <c r="N2161" i="50"/>
  <c r="N2176" i="50"/>
  <c r="I2180" i="50"/>
  <c r="K2165" i="50"/>
  <c r="J2167" i="50"/>
  <c r="N2167" i="50"/>
  <c r="J2178" i="50"/>
  <c r="M2121" i="50"/>
  <c r="J2170" i="50"/>
  <c r="H2166" i="50"/>
  <c r="K2179" i="50"/>
  <c r="H2170" i="50"/>
  <c r="L2167" i="50"/>
  <c r="J2161" i="50"/>
  <c r="J2174" i="50"/>
  <c r="L2174" i="50"/>
  <c r="H2175" i="50"/>
  <c r="J2180" i="50"/>
  <c r="N2125" i="50"/>
  <c r="K2166" i="50"/>
  <c r="L2125" i="50"/>
  <c r="J2175" i="50"/>
  <c r="N2181" i="50"/>
  <c r="N2177" i="50"/>
  <c r="H2177" i="50"/>
  <c r="H2161" i="50"/>
  <c r="L2166" i="50"/>
  <c r="I2167" i="50"/>
  <c r="N2180" i="50"/>
  <c r="I2174" i="50"/>
  <c r="I2181" i="50"/>
  <c r="K2175" i="50"/>
  <c r="L2172" i="50"/>
  <c r="J2173" i="50"/>
  <c r="K2170" i="50"/>
  <c r="M2178" i="50"/>
  <c r="J2172" i="50"/>
  <c r="K2180" i="50"/>
  <c r="K2167" i="50"/>
  <c r="I2170" i="50"/>
  <c r="L2170" i="50"/>
  <c r="M2177" i="50"/>
  <c r="H2167" i="50"/>
  <c r="M2170" i="50"/>
  <c r="F2125" i="50"/>
  <c r="L2179" i="50"/>
  <c r="J2176" i="50"/>
  <c r="J2125" i="50"/>
  <c r="I2178" i="50"/>
  <c r="N2179" i="50"/>
  <c r="K2125" i="50"/>
  <c r="M2175" i="50"/>
  <c r="M2172" i="50"/>
  <c r="K2177" i="50"/>
  <c r="L2161" i="50"/>
  <c r="J2168" i="50"/>
  <c r="I2173" i="50"/>
  <c r="N2174" i="50"/>
  <c r="H2174" i="50"/>
  <c r="I2165" i="50"/>
  <c r="M2174" i="50"/>
  <c r="J2181" i="50"/>
  <c r="N2124" i="50"/>
  <c r="I2168" i="50"/>
  <c r="I2176" i="50"/>
  <c r="J2177" i="50"/>
  <c r="L2173" i="50"/>
  <c r="I2177" i="50"/>
  <c r="K2168" i="50"/>
  <c r="M2181" i="50"/>
  <c r="I2172" i="50"/>
  <c r="M2176" i="50"/>
  <c r="H2173" i="50"/>
  <c r="L2175" i="50"/>
  <c r="H2180" i="50"/>
  <c r="M2124" i="50"/>
  <c r="L2124" i="50"/>
  <c r="K2124" i="50"/>
  <c r="J2124" i="50"/>
  <c r="H2125" i="50"/>
  <c r="M104" i="62"/>
  <c r="N105" i="62"/>
  <c r="N107" i="62"/>
  <c r="M107" i="62"/>
  <c r="L102" i="62"/>
  <c r="M102" i="62"/>
  <c r="N102" i="62"/>
  <c r="X59" i="62" l="1"/>
  <c r="G60" i="62"/>
  <c r="J494" i="42"/>
  <c r="J2258" i="50" s="1"/>
  <c r="N494" i="42"/>
  <c r="K494" i="42"/>
  <c r="K2258" i="50" s="1"/>
  <c r="L494" i="42"/>
  <c r="L2258" i="50" s="1"/>
  <c r="I487" i="42"/>
  <c r="M494" i="42"/>
  <c r="N617" i="42"/>
  <c r="K617" i="42"/>
  <c r="J617" i="42"/>
  <c r="L617" i="42"/>
  <c r="M617" i="42"/>
  <c r="I610" i="42"/>
  <c r="AL663" i="42"/>
  <c r="I2364" i="50"/>
  <c r="N2318" i="50"/>
  <c r="J2364" i="50"/>
  <c r="M2364" i="50"/>
  <c r="H2364" i="50"/>
  <c r="K2359" i="50"/>
  <c r="K2318" i="50"/>
  <c r="K2361" i="50"/>
  <c r="I2363" i="50"/>
  <c r="L2359" i="50"/>
  <c r="I2359" i="50"/>
  <c r="N2364" i="50"/>
  <c r="N2358" i="50"/>
  <c r="H2358" i="50"/>
  <c r="K2364" i="50"/>
  <c r="J2358" i="50"/>
  <c r="N2317" i="50"/>
  <c r="J2361" i="50"/>
  <c r="M2318" i="50"/>
  <c r="H2363" i="50"/>
  <c r="I2358" i="50"/>
  <c r="J2359" i="50"/>
  <c r="N2363" i="50"/>
  <c r="M2361" i="50"/>
  <c r="L2361" i="50"/>
  <c r="M2363" i="50"/>
  <c r="F2318" i="50"/>
  <c r="M2317" i="50"/>
  <c r="H2361" i="50"/>
  <c r="H2359" i="50"/>
  <c r="N2361" i="50"/>
  <c r="J2363" i="50"/>
  <c r="N2359" i="50"/>
  <c r="K2358" i="50"/>
  <c r="M2314" i="50"/>
  <c r="I2318" i="50"/>
  <c r="L2363" i="50"/>
  <c r="J2318" i="50"/>
  <c r="L2318" i="50"/>
  <c r="L2364" i="50"/>
  <c r="I2361" i="50"/>
  <c r="M2358" i="50"/>
  <c r="M2359" i="50"/>
  <c r="L2358" i="50"/>
  <c r="K2363" i="50"/>
  <c r="H2318" i="50"/>
  <c r="Z59" i="62"/>
  <c r="AA59" i="62" s="1"/>
  <c r="T38" i="41"/>
  <c r="M2368" i="50"/>
  <c r="S89" i="62"/>
  <c r="M796" i="42"/>
  <c r="Y59" i="62"/>
  <c r="J2304" i="50"/>
  <c r="M2298" i="50"/>
  <c r="I2301" i="50"/>
  <c r="N2292" i="50"/>
  <c r="L2291" i="50"/>
  <c r="I2302" i="50"/>
  <c r="J2302" i="50"/>
  <c r="M2296" i="50"/>
  <c r="H2306" i="50"/>
  <c r="H2305" i="50"/>
  <c r="I2292" i="50"/>
  <c r="K2292" i="50"/>
  <c r="I2287" i="50"/>
  <c r="K2304" i="50"/>
  <c r="J2287" i="50"/>
  <c r="N2296" i="50"/>
  <c r="H2304" i="50"/>
  <c r="I2304" i="50"/>
  <c r="M2287" i="50"/>
  <c r="I2307" i="50"/>
  <c r="M2304" i="50"/>
  <c r="L2293" i="50"/>
  <c r="K2305" i="50"/>
  <c r="J2294" i="50"/>
  <c r="M2300" i="50"/>
  <c r="I2299" i="50"/>
  <c r="J2303" i="50"/>
  <c r="I2294" i="50"/>
  <c r="L2287" i="50"/>
  <c r="K2293" i="50"/>
  <c r="H2300" i="50"/>
  <c r="J2291" i="50"/>
  <c r="L2307" i="50"/>
  <c r="M2306" i="50"/>
  <c r="H2291" i="50"/>
  <c r="J2307" i="50"/>
  <c r="I2303" i="50"/>
  <c r="N2287" i="50"/>
  <c r="I2305" i="50"/>
  <c r="H2307" i="50"/>
  <c r="N2303" i="50"/>
  <c r="H2302" i="50"/>
  <c r="K2306" i="50"/>
  <c r="M2291" i="50"/>
  <c r="M2292" i="50"/>
  <c r="J2296" i="50"/>
  <c r="M2302" i="50"/>
  <c r="K2307" i="50"/>
  <c r="L2296" i="50"/>
  <c r="N2307" i="50"/>
  <c r="M2255" i="50"/>
  <c r="H2303" i="50"/>
  <c r="H2299" i="50"/>
  <c r="L2303" i="50"/>
  <c r="L2305" i="50"/>
  <c r="K2303" i="50"/>
  <c r="M2307" i="50"/>
  <c r="J2293" i="50"/>
  <c r="H2298" i="50"/>
  <c r="N2294" i="50"/>
  <c r="M2293" i="50"/>
  <c r="L2300" i="50"/>
  <c r="L2299" i="50"/>
  <c r="K2287" i="50"/>
  <c r="K2298" i="50"/>
  <c r="L2292" i="50"/>
  <c r="J2300" i="50"/>
  <c r="N2298" i="50"/>
  <c r="M2301" i="50"/>
  <c r="M2305" i="50"/>
  <c r="L2306" i="50"/>
  <c r="K2291" i="50"/>
  <c r="I2306" i="50"/>
  <c r="J2292" i="50"/>
  <c r="H2296" i="50"/>
  <c r="N2293" i="50"/>
  <c r="N2306" i="50"/>
  <c r="L2302" i="50"/>
  <c r="K2302" i="50"/>
  <c r="M2294" i="50"/>
  <c r="J2305" i="50"/>
  <c r="H2293" i="50"/>
  <c r="J2299" i="50"/>
  <c r="I2293" i="50"/>
  <c r="I2298" i="50"/>
  <c r="M2258" i="50"/>
  <c r="K2301" i="50"/>
  <c r="J2298" i="50"/>
  <c r="H2287" i="50"/>
  <c r="K2300" i="50"/>
  <c r="N2299" i="50"/>
  <c r="N2258" i="50"/>
  <c r="J2301" i="50"/>
  <c r="I2291" i="50"/>
  <c r="L2304" i="50"/>
  <c r="J2306" i="50"/>
  <c r="N2291" i="50"/>
  <c r="M2303" i="50"/>
  <c r="L2298" i="50"/>
  <c r="N2300" i="50"/>
  <c r="H2301" i="50"/>
  <c r="N2304" i="50"/>
  <c r="H2294" i="50"/>
  <c r="H2292" i="50"/>
  <c r="N2302" i="50"/>
  <c r="I2296" i="50"/>
  <c r="L2301" i="50"/>
  <c r="N2305" i="50"/>
  <c r="K2296" i="50"/>
  <c r="I2300" i="50"/>
  <c r="K2294" i="50"/>
  <c r="K2299" i="50"/>
  <c r="M2299" i="50"/>
  <c r="N2301" i="50"/>
  <c r="L2294" i="50"/>
  <c r="J109" i="62"/>
  <c r="L109" i="62"/>
  <c r="K109" i="62"/>
  <c r="L110" i="62"/>
  <c r="I117" i="62"/>
  <c r="L101" i="62"/>
  <c r="G61" i="62" l="1"/>
  <c r="X61" i="62" s="1"/>
  <c r="E27" i="62"/>
  <c r="L2317" i="50"/>
  <c r="L734" i="42"/>
  <c r="L783" i="42"/>
  <c r="N2416" i="50"/>
  <c r="K2375" i="50"/>
  <c r="F2375" i="50"/>
  <c r="L2416" i="50"/>
  <c r="M2418" i="50"/>
  <c r="N2374" i="50"/>
  <c r="H2420" i="50"/>
  <c r="H2415" i="50"/>
  <c r="H2416" i="50"/>
  <c r="N2375" i="50"/>
  <c r="K2421" i="50"/>
  <c r="L2418" i="50"/>
  <c r="I2415" i="50"/>
  <c r="M2375" i="50"/>
  <c r="J2375" i="50"/>
  <c r="L2420" i="50"/>
  <c r="M2421" i="50"/>
  <c r="N2418" i="50"/>
  <c r="I2375" i="50"/>
  <c r="I2418" i="50"/>
  <c r="M2420" i="50"/>
  <c r="H2375" i="50"/>
  <c r="M2415" i="50"/>
  <c r="K2416" i="50"/>
  <c r="H2421" i="50"/>
  <c r="N2415" i="50"/>
  <c r="L2415" i="50"/>
  <c r="N2421" i="50"/>
  <c r="M2416" i="50"/>
  <c r="L2375" i="50"/>
  <c r="J2421" i="50"/>
  <c r="H2418" i="50"/>
  <c r="I2416" i="50"/>
  <c r="M2371" i="50"/>
  <c r="K2415" i="50"/>
  <c r="I2420" i="50"/>
  <c r="K2420" i="50"/>
  <c r="J2416" i="50"/>
  <c r="N2420" i="50"/>
  <c r="K2418" i="50"/>
  <c r="J2415" i="50"/>
  <c r="J2420" i="50"/>
  <c r="J2418" i="50"/>
  <c r="L2421" i="50"/>
  <c r="I2421" i="50"/>
  <c r="J2317" i="50"/>
  <c r="J783" i="42"/>
  <c r="J734" i="42"/>
  <c r="K2317" i="50"/>
  <c r="K734" i="42"/>
  <c r="K783" i="42"/>
  <c r="E28" i="62"/>
  <c r="N783" i="42"/>
  <c r="N734" i="42"/>
  <c r="T61" i="62"/>
  <c r="U51" i="62" s="1"/>
  <c r="T60" i="62"/>
  <c r="U50" i="62" s="1"/>
  <c r="Q60" i="62"/>
  <c r="X60" i="62"/>
  <c r="AL850" i="42"/>
  <c r="M804" i="42"/>
  <c r="I797" i="42"/>
  <c r="N804" i="42"/>
  <c r="J804" i="42"/>
  <c r="L804" i="42"/>
  <c r="K804" i="42"/>
  <c r="M783" i="42"/>
  <c r="M734" i="42"/>
  <c r="J105" i="62"/>
  <c r="L108" i="62"/>
  <c r="K104" i="62"/>
  <c r="K108" i="62"/>
  <c r="K110" i="62"/>
  <c r="J102" i="62"/>
  <c r="J108" i="62"/>
  <c r="J103" i="62"/>
  <c r="K105" i="62"/>
  <c r="J104" i="62"/>
  <c r="K103" i="62"/>
  <c r="L103" i="62"/>
  <c r="K102" i="62"/>
  <c r="L106" i="62"/>
  <c r="L107" i="62"/>
  <c r="L105" i="62"/>
  <c r="I115" i="62"/>
  <c r="I172" i="62" s="1"/>
  <c r="I112" i="62"/>
  <c r="I169" i="62" s="1"/>
  <c r="I116" i="62"/>
  <c r="I114" i="62"/>
  <c r="I171" i="62" s="1"/>
  <c r="I113" i="62"/>
  <c r="I170" i="62" s="1"/>
  <c r="I173" i="62" l="1"/>
  <c r="I174" i="62"/>
  <c r="Q61" i="62"/>
  <c r="E33" i="62"/>
  <c r="M2374" i="50"/>
  <c r="M970" i="42"/>
  <c r="M921" i="42"/>
  <c r="E26" i="62"/>
  <c r="I108" i="50"/>
  <c r="M1083" i="42"/>
  <c r="H108" i="50"/>
  <c r="M2464" i="50"/>
  <c r="Z61" i="62"/>
  <c r="AA61" i="62" s="1"/>
  <c r="S91" i="62"/>
  <c r="Y61" i="62"/>
  <c r="E30" i="62"/>
  <c r="L784" i="42"/>
  <c r="L2357" i="50" s="1"/>
  <c r="L2356" i="50"/>
  <c r="E35" i="62"/>
  <c r="E34" i="62"/>
  <c r="X28" i="62"/>
  <c r="U28" i="62"/>
  <c r="U15" i="62" s="1"/>
  <c r="Q28" i="62"/>
  <c r="K784" i="42"/>
  <c r="K2357" i="50" s="1"/>
  <c r="K2356" i="50"/>
  <c r="J784" i="42"/>
  <c r="J2357" i="50" s="1"/>
  <c r="J2356" i="50"/>
  <c r="M784" i="42"/>
  <c r="M2357" i="50" s="1"/>
  <c r="M2356" i="50"/>
  <c r="K2374" i="50"/>
  <c r="K970" i="42"/>
  <c r="K921" i="42"/>
  <c r="N784" i="42"/>
  <c r="N2357" i="50" s="1"/>
  <c r="N2356" i="50"/>
  <c r="E29" i="62"/>
  <c r="L2374" i="50"/>
  <c r="L921" i="42"/>
  <c r="L970" i="42"/>
  <c r="J2374" i="50"/>
  <c r="J921" i="42"/>
  <c r="J970" i="42"/>
  <c r="S90" i="62"/>
  <c r="M983" i="42"/>
  <c r="Y60" i="62"/>
  <c r="H107" i="50"/>
  <c r="Z60" i="62"/>
  <c r="AA60" i="62" s="1"/>
  <c r="I107" i="50"/>
  <c r="M2425" i="50"/>
  <c r="Q21" i="49"/>
  <c r="E62" i="62"/>
  <c r="E32" i="62"/>
  <c r="X27" i="62"/>
  <c r="U27" i="62"/>
  <c r="U14" i="62" s="1"/>
  <c r="Q27" i="62"/>
  <c r="N970" i="42"/>
  <c r="N921" i="42"/>
  <c r="E31" i="62"/>
  <c r="J101" i="62"/>
  <c r="K106" i="62"/>
  <c r="K107" i="62"/>
  <c r="J106" i="62"/>
  <c r="K101" i="62"/>
  <c r="L104" i="62"/>
  <c r="I105" i="62"/>
  <c r="J107" i="62"/>
  <c r="U32" i="62" l="1"/>
  <c r="U19" i="62" s="1"/>
  <c r="Q32" i="62"/>
  <c r="X32" i="62"/>
  <c r="H127" i="50"/>
  <c r="L28" i="62"/>
  <c r="S28" i="62"/>
  <c r="U33" i="62"/>
  <c r="U20" i="62" s="1"/>
  <c r="X33" i="62"/>
  <c r="Q33" i="62"/>
  <c r="J971" i="42"/>
  <c r="J2414" i="50" s="1"/>
  <c r="J2413" i="50"/>
  <c r="L971" i="42"/>
  <c r="L2414" i="50" s="1"/>
  <c r="L2413" i="50"/>
  <c r="Y28" i="62"/>
  <c r="Z28" i="62"/>
  <c r="AA28" i="62" s="1"/>
  <c r="E160" i="62"/>
  <c r="M28" i="62"/>
  <c r="U35" i="62"/>
  <c r="U22" i="62" s="1"/>
  <c r="X35" i="62"/>
  <c r="Q35" i="62"/>
  <c r="Q26" i="62"/>
  <c r="R28" i="62" s="1"/>
  <c r="R77" i="62" s="1"/>
  <c r="X26" i="62"/>
  <c r="U26" i="62"/>
  <c r="U13" i="62" s="1"/>
  <c r="S27" i="62"/>
  <c r="L27" i="62"/>
  <c r="I984" i="42"/>
  <c r="AL1036" i="42"/>
  <c r="K971" i="42"/>
  <c r="K2414" i="50" s="1"/>
  <c r="K2413" i="50"/>
  <c r="L2470" i="50"/>
  <c r="H2470" i="50"/>
  <c r="N2470" i="50"/>
  <c r="M2470" i="50"/>
  <c r="K2470" i="50"/>
  <c r="I2470" i="50"/>
  <c r="M2467" i="50"/>
  <c r="J2470" i="50"/>
  <c r="N971" i="42"/>
  <c r="N2414" i="50" s="1"/>
  <c r="N2413" i="50"/>
  <c r="Z27" i="62"/>
  <c r="AA27" i="62" s="1"/>
  <c r="M27" i="62"/>
  <c r="E159" i="62"/>
  <c r="Y27" i="62"/>
  <c r="U31" i="62"/>
  <c r="U18" i="62" s="1"/>
  <c r="Q31" i="62"/>
  <c r="X31" i="62"/>
  <c r="U29" i="62"/>
  <c r="U16" i="62" s="1"/>
  <c r="Q29" i="62"/>
  <c r="X29" i="62"/>
  <c r="H128" i="50"/>
  <c r="M971" i="42"/>
  <c r="M2414" i="50" s="1"/>
  <c r="M2413" i="50"/>
  <c r="K2431" i="50"/>
  <c r="J2431" i="50"/>
  <c r="M2431" i="50"/>
  <c r="I2431" i="50"/>
  <c r="N2431" i="50"/>
  <c r="M2428" i="50"/>
  <c r="H2431" i="50"/>
  <c r="L2431" i="50"/>
  <c r="AL1136" i="42"/>
  <c r="I1084" i="42"/>
  <c r="I127" i="50"/>
  <c r="Q30" i="62"/>
  <c r="X30" i="62"/>
  <c r="U30" i="62"/>
  <c r="U17" i="62" s="1"/>
  <c r="I128" i="50"/>
  <c r="U34" i="62"/>
  <c r="U21" i="62" s="1"/>
  <c r="X34" i="62"/>
  <c r="Q34" i="62"/>
  <c r="I110" i="62"/>
  <c r="I103" i="62"/>
  <c r="I102" i="62"/>
  <c r="I104" i="62"/>
  <c r="I108" i="62"/>
  <c r="I109" i="62"/>
  <c r="I160" i="62" l="1"/>
  <c r="T27" i="62"/>
  <c r="R27" i="62"/>
  <c r="R76" i="62" s="1"/>
  <c r="I159" i="62"/>
  <c r="E158" i="62"/>
  <c r="Y26" i="62"/>
  <c r="T26" i="62"/>
  <c r="M26" i="62"/>
  <c r="Z26" i="62"/>
  <c r="AA26" i="62" s="1"/>
  <c r="S34" i="62"/>
  <c r="L34" i="62"/>
  <c r="R34" i="62"/>
  <c r="R83" i="62" s="1"/>
  <c r="W159" i="62"/>
  <c r="U159" i="62"/>
  <c r="X159" i="62"/>
  <c r="S159" i="62"/>
  <c r="V159" i="62"/>
  <c r="Y159" i="62"/>
  <c r="E76" i="62"/>
  <c r="S76" i="62" s="1"/>
  <c r="T159" i="62"/>
  <c r="L159" i="62"/>
  <c r="N159" i="62"/>
  <c r="M159" i="62"/>
  <c r="K159" i="62"/>
  <c r="J159" i="62"/>
  <c r="R26" i="62"/>
  <c r="L26" i="62"/>
  <c r="S26" i="62"/>
  <c r="R35" i="62"/>
  <c r="R84" i="62" s="1"/>
  <c r="S35" i="62"/>
  <c r="L35" i="62"/>
  <c r="S30" i="62"/>
  <c r="L30" i="62"/>
  <c r="R30" i="62"/>
  <c r="R79" i="62" s="1"/>
  <c r="T34" i="62"/>
  <c r="M34" i="62"/>
  <c r="Y34" i="62"/>
  <c r="E166" i="62"/>
  <c r="Z34" i="62"/>
  <c r="AA34" i="62" s="1"/>
  <c r="L29" i="62"/>
  <c r="R29" i="62"/>
  <c r="R78" i="62" s="1"/>
  <c r="S29" i="62"/>
  <c r="E167" i="62"/>
  <c r="I167" i="62" s="1"/>
  <c r="T35" i="62"/>
  <c r="Y35" i="62"/>
  <c r="M35" i="62"/>
  <c r="Z35" i="62"/>
  <c r="AA35" i="62" s="1"/>
  <c r="T28" i="62"/>
  <c r="L33" i="62"/>
  <c r="S33" i="62"/>
  <c r="R33" i="62"/>
  <c r="R82" i="62" s="1"/>
  <c r="T29" i="62"/>
  <c r="M29" i="62"/>
  <c r="Z29" i="62"/>
  <c r="AA29" i="62" s="1"/>
  <c r="Y29" i="62"/>
  <c r="E161" i="62"/>
  <c r="L31" i="62"/>
  <c r="S31" i="62"/>
  <c r="R31" i="62"/>
  <c r="R80" i="62" s="1"/>
  <c r="L32" i="62"/>
  <c r="S32" i="62"/>
  <c r="R32" i="62"/>
  <c r="R81" i="62" s="1"/>
  <c r="Y31" i="62"/>
  <c r="M31" i="62"/>
  <c r="E163" i="62"/>
  <c r="Z31" i="62"/>
  <c r="AA31" i="62" s="1"/>
  <c r="T31" i="62"/>
  <c r="X160" i="62"/>
  <c r="T160" i="62"/>
  <c r="S160" i="62"/>
  <c r="E77" i="62"/>
  <c r="S77" i="62" s="1"/>
  <c r="Y160" i="62"/>
  <c r="V160" i="62"/>
  <c r="U160" i="62"/>
  <c r="W160" i="62"/>
  <c r="M160" i="62"/>
  <c r="N160" i="62"/>
  <c r="J160" i="62"/>
  <c r="L160" i="62"/>
  <c r="K160" i="62"/>
  <c r="E165" i="62"/>
  <c r="I165" i="62" s="1"/>
  <c r="Y33" i="62"/>
  <c r="M33" i="62"/>
  <c r="Z33" i="62"/>
  <c r="AA33" i="62" s="1"/>
  <c r="T33" i="62"/>
  <c r="Z32" i="62"/>
  <c r="AA32" i="62" s="1"/>
  <c r="E164" i="62"/>
  <c r="Y32" i="62"/>
  <c r="M32" i="62"/>
  <c r="T32" i="62"/>
  <c r="Z30" i="62"/>
  <c r="AA30" i="62" s="1"/>
  <c r="M30" i="62"/>
  <c r="E162" i="62"/>
  <c r="Y30" i="62"/>
  <c r="T30" i="62"/>
  <c r="I107" i="62"/>
  <c r="I101" i="62"/>
  <c r="I106" i="62"/>
  <c r="I164" i="62" l="1"/>
  <c r="I163" i="62"/>
  <c r="E83" i="62"/>
  <c r="S83" i="62" s="1"/>
  <c r="L166" i="62"/>
  <c r="Y166" i="62"/>
  <c r="X166" i="62"/>
  <c r="V166" i="62"/>
  <c r="S166" i="62"/>
  <c r="T166" i="62"/>
  <c r="U166" i="62"/>
  <c r="W166" i="62"/>
  <c r="M166" i="62"/>
  <c r="N166" i="62"/>
  <c r="J166" i="62"/>
  <c r="K166" i="62"/>
  <c r="S164" i="62"/>
  <c r="T164" i="62"/>
  <c r="Y164" i="62"/>
  <c r="E81" i="62"/>
  <c r="S81" i="62" s="1"/>
  <c r="W164" i="62"/>
  <c r="U164" i="62"/>
  <c r="V164" i="62"/>
  <c r="X164" i="62"/>
  <c r="M164" i="62"/>
  <c r="N164" i="62"/>
  <c r="L164" i="62"/>
  <c r="K164" i="62"/>
  <c r="J164" i="62"/>
  <c r="S162" i="62"/>
  <c r="W162" i="62"/>
  <c r="V162" i="62"/>
  <c r="E79" i="62"/>
  <c r="S79" i="62" s="1"/>
  <c r="U162" i="62"/>
  <c r="Y162" i="62"/>
  <c r="T162" i="62"/>
  <c r="X162" i="62"/>
  <c r="M162" i="62"/>
  <c r="N162" i="62"/>
  <c r="L162" i="62"/>
  <c r="J162" i="62"/>
  <c r="K162" i="62"/>
  <c r="I162" i="62"/>
  <c r="E36" i="62"/>
  <c r="U161" i="62"/>
  <c r="X161" i="62"/>
  <c r="T161" i="62"/>
  <c r="V161" i="62"/>
  <c r="E78" i="62"/>
  <c r="S78" i="62" s="1"/>
  <c r="S161" i="62"/>
  <c r="W161" i="62"/>
  <c r="Y161" i="62"/>
  <c r="N161" i="62"/>
  <c r="M161" i="62"/>
  <c r="K161" i="62"/>
  <c r="J161" i="62"/>
  <c r="L161" i="62"/>
  <c r="S167" i="62"/>
  <c r="U167" i="62"/>
  <c r="X167" i="62"/>
  <c r="J167" i="62"/>
  <c r="V167" i="62"/>
  <c r="Y167" i="62"/>
  <c r="E84" i="62"/>
  <c r="S84" i="62" s="1"/>
  <c r="W167" i="62"/>
  <c r="T167" i="62"/>
  <c r="M167" i="62"/>
  <c r="N167" i="62"/>
  <c r="L167" i="62"/>
  <c r="K167" i="62"/>
  <c r="H182" i="62"/>
  <c r="H195" i="62"/>
  <c r="I195" i="62" s="1"/>
  <c r="H192" i="62"/>
  <c r="I192" i="62" s="1"/>
  <c r="H188" i="62"/>
  <c r="R75" i="62"/>
  <c r="H189" i="62"/>
  <c r="H190" i="62"/>
  <c r="H193" i="62"/>
  <c r="I193" i="62" s="1"/>
  <c r="H198" i="62"/>
  <c r="I198" i="62" s="1"/>
  <c r="H184" i="62"/>
  <c r="H191" i="62"/>
  <c r="H197" i="62"/>
  <c r="I197" i="62" s="1"/>
  <c r="H183" i="62"/>
  <c r="H185" i="62"/>
  <c r="H187" i="62"/>
  <c r="H186" i="62"/>
  <c r="H194" i="62"/>
  <c r="I194" i="62" s="1"/>
  <c r="H196" i="62"/>
  <c r="I196" i="62" s="1"/>
  <c r="R55" i="62"/>
  <c r="R85" i="62" s="1"/>
  <c r="R56" i="62"/>
  <c r="R86" i="62" s="1"/>
  <c r="R57" i="62"/>
  <c r="R87" i="62" s="1"/>
  <c r="R58" i="62"/>
  <c r="R88" i="62" s="1"/>
  <c r="R59" i="62"/>
  <c r="R89" i="62" s="1"/>
  <c r="R60" i="62"/>
  <c r="R90" i="62" s="1"/>
  <c r="R61" i="62"/>
  <c r="R91" i="62" s="1"/>
  <c r="V163" i="62"/>
  <c r="T163" i="62"/>
  <c r="E80" i="62"/>
  <c r="S80" i="62" s="1"/>
  <c r="X163" i="62"/>
  <c r="W163" i="62"/>
  <c r="Y163" i="62"/>
  <c r="S163" i="62"/>
  <c r="U163" i="62"/>
  <c r="N163" i="62"/>
  <c r="M163" i="62"/>
  <c r="L163" i="62"/>
  <c r="K163" i="62"/>
  <c r="J163" i="62"/>
  <c r="I161" i="62"/>
  <c r="E82" i="62"/>
  <c r="S82" i="62" s="1"/>
  <c r="X165" i="62"/>
  <c r="W165" i="62"/>
  <c r="U165" i="62"/>
  <c r="S165" i="62"/>
  <c r="Y165" i="62"/>
  <c r="T165" i="62"/>
  <c r="V165" i="62"/>
  <c r="M165" i="62"/>
  <c r="N165" i="62"/>
  <c r="J165" i="62"/>
  <c r="K165" i="62"/>
  <c r="L165" i="62"/>
  <c r="I158" i="62"/>
  <c r="U158" i="62"/>
  <c r="S158" i="62"/>
  <c r="G201" i="62"/>
  <c r="E75" i="62"/>
  <c r="S75" i="62" s="1"/>
  <c r="W158" i="62"/>
  <c r="Y158" i="62"/>
  <c r="V158" i="62"/>
  <c r="X158" i="62"/>
  <c r="T158" i="62"/>
  <c r="N158" i="62"/>
  <c r="M158" i="62"/>
  <c r="L158" i="62"/>
  <c r="K158" i="62"/>
  <c r="J158" i="62"/>
  <c r="I166" i="62"/>
  <c r="M194" i="62" l="1"/>
  <c r="M185" i="62"/>
  <c r="M197" i="62"/>
  <c r="M196" i="62"/>
  <c r="N188" i="62"/>
  <c r="H1967" i="37" s="1"/>
  <c r="J197" i="62"/>
  <c r="F195" i="62"/>
  <c r="F186" i="62"/>
  <c r="I1301" i="37" s="1"/>
  <c r="N196" i="62"/>
  <c r="T138" i="62"/>
  <c r="W138" i="62" s="1"/>
  <c r="T146" i="62"/>
  <c r="AA146" i="62" s="1"/>
  <c r="T136" i="62"/>
  <c r="W136" i="62" s="1"/>
  <c r="T151" i="62"/>
  <c r="AA151" i="62" s="1"/>
  <c r="T141" i="62"/>
  <c r="Y141" i="62" s="1"/>
  <c r="T142" i="62"/>
  <c r="Y142" i="62" s="1"/>
  <c r="T144" i="62"/>
  <c r="X144" i="62" s="1"/>
  <c r="T137" i="62"/>
  <c r="Y137" i="62" s="1"/>
  <c r="T147" i="62"/>
  <c r="AA147" i="62" s="1"/>
  <c r="T148" i="62"/>
  <c r="AA148" i="62" s="1"/>
  <c r="T140" i="62"/>
  <c r="X140" i="62" s="1"/>
  <c r="T143" i="62"/>
  <c r="Y143" i="62" s="1"/>
  <c r="AD6" i="42"/>
  <c r="T149" i="62"/>
  <c r="AA149" i="62" s="1"/>
  <c r="T145" i="62"/>
  <c r="T152" i="62"/>
  <c r="AA152" i="62" s="1"/>
  <c r="T139" i="62"/>
  <c r="Y139" i="62" s="1"/>
  <c r="T150" i="62"/>
  <c r="AA150" i="62" s="1"/>
  <c r="X136" i="62"/>
  <c r="I3" i="42"/>
  <c r="G3" i="42"/>
  <c r="K3" i="42"/>
  <c r="AD249" i="42"/>
  <c r="AD10" i="42"/>
  <c r="AD12" i="42"/>
  <c r="M3" i="42"/>
  <c r="G4" i="42"/>
  <c r="AD609" i="42"/>
  <c r="AD486" i="42"/>
  <c r="AD796" i="42"/>
  <c r="I4" i="42"/>
  <c r="K4" i="42"/>
  <c r="AD1083" i="42"/>
  <c r="AD983" i="42"/>
  <c r="N195" i="62"/>
  <c r="F191" i="62"/>
  <c r="I2911" i="37" s="1"/>
  <c r="J190" i="62"/>
  <c r="J187" i="62"/>
  <c r="F189" i="62"/>
  <c r="M4" i="37" s="1"/>
  <c r="M193" i="62"/>
  <c r="J186" i="62"/>
  <c r="J188" i="62"/>
  <c r="J184" i="62"/>
  <c r="N194" i="62"/>
  <c r="N191" i="62"/>
  <c r="G2919" i="37" s="1"/>
  <c r="G2920" i="37" s="1"/>
  <c r="G2921" i="37" s="1"/>
  <c r="M192" i="62"/>
  <c r="F198" i="62"/>
  <c r="F193" i="62"/>
  <c r="F187" i="62"/>
  <c r="I1623" i="37" s="1"/>
  <c r="J183" i="62"/>
  <c r="M186" i="62"/>
  <c r="M191" i="62"/>
  <c r="D38" i="62"/>
  <c r="D64" i="62" s="1"/>
  <c r="G204" i="62" s="1"/>
  <c r="M195" i="62"/>
  <c r="T35" i="41"/>
  <c r="J201" i="62"/>
  <c r="F194" i="62"/>
  <c r="J189" i="62"/>
  <c r="M182" i="62"/>
  <c r="M188" i="62"/>
  <c r="F183" i="62"/>
  <c r="I183" i="62" s="1"/>
  <c r="E156" i="41"/>
  <c r="M190" i="62"/>
  <c r="N189" i="62"/>
  <c r="H2289" i="37" s="1"/>
  <c r="N184" i="62"/>
  <c r="H679" i="37" s="1"/>
  <c r="J185" i="62"/>
  <c r="F196" i="62"/>
  <c r="N193" i="62"/>
  <c r="M189" i="62"/>
  <c r="F185" i="62"/>
  <c r="M3" i="37" s="1"/>
  <c r="G4" i="37"/>
  <c r="E151" i="41"/>
  <c r="E96" i="50"/>
  <c r="I1133" i="50"/>
  <c r="I186" i="62"/>
  <c r="J196" i="62"/>
  <c r="N187" i="62"/>
  <c r="H1645" i="37" s="1"/>
  <c r="J195" i="62"/>
  <c r="N186" i="62"/>
  <c r="G1309" i="37" s="1"/>
  <c r="G1310" i="37" s="1"/>
  <c r="G1311" i="37" s="1"/>
  <c r="N183" i="62"/>
  <c r="G343" i="37" s="1"/>
  <c r="G344" i="37" s="1"/>
  <c r="G345" i="37" s="1"/>
  <c r="J191" i="62"/>
  <c r="F197" i="62"/>
  <c r="J194" i="62"/>
  <c r="F184" i="62"/>
  <c r="K3" i="37" s="1"/>
  <c r="J198" i="62"/>
  <c r="F182" i="62"/>
  <c r="I477" i="50" s="1"/>
  <c r="J182" i="62"/>
  <c r="J192" i="62"/>
  <c r="M187" i="62"/>
  <c r="M198" i="62"/>
  <c r="N197" i="62"/>
  <c r="J193" i="62"/>
  <c r="N192" i="62"/>
  <c r="F188" i="62"/>
  <c r="I188" i="62" s="1"/>
  <c r="N198" i="62"/>
  <c r="M183" i="62"/>
  <c r="F190" i="62"/>
  <c r="G5" i="37" s="1"/>
  <c r="N190" i="62"/>
  <c r="H2611" i="37" s="1"/>
  <c r="N185" i="62"/>
  <c r="G987" i="37" s="1"/>
  <c r="G988" i="37" s="1"/>
  <c r="G989" i="37" s="1"/>
  <c r="M184" i="62"/>
  <c r="F192" i="62"/>
  <c r="N182" i="62"/>
  <c r="G21" i="37" s="1"/>
  <c r="G22" i="37" s="1"/>
  <c r="G23" i="37" s="1"/>
  <c r="K191" i="62"/>
  <c r="K190" i="62"/>
  <c r="K185" i="62"/>
  <c r="K189" i="62"/>
  <c r="K182" i="62"/>
  <c r="K187" i="62"/>
  <c r="K183" i="62"/>
  <c r="K195" i="62"/>
  <c r="K192" i="62"/>
  <c r="K188" i="62"/>
  <c r="K184" i="62"/>
  <c r="K196" i="62"/>
  <c r="K186" i="62"/>
  <c r="K193" i="62"/>
  <c r="K198" i="62"/>
  <c r="K194" i="62"/>
  <c r="K197" i="62"/>
  <c r="Y140" i="62" l="1"/>
  <c r="H2933" i="37"/>
  <c r="H2936" i="37" s="1"/>
  <c r="E93" i="50"/>
  <c r="S93" i="50" s="1"/>
  <c r="I335" i="37"/>
  <c r="E148" i="41"/>
  <c r="T148" i="41" s="1"/>
  <c r="I3" i="37"/>
  <c r="I641" i="50"/>
  <c r="P703" i="50" s="1"/>
  <c r="W141" i="62"/>
  <c r="E101" i="50"/>
  <c r="I1297" i="50"/>
  <c r="K1300" i="50" s="1"/>
  <c r="E97" i="50"/>
  <c r="S97" i="50" s="1"/>
  <c r="E99" i="50"/>
  <c r="P99" i="50" s="1"/>
  <c r="I189" i="62"/>
  <c r="I191" i="62"/>
  <c r="I1953" i="50"/>
  <c r="P2075" i="50" s="1"/>
  <c r="I5" i="37"/>
  <c r="X139" i="62"/>
  <c r="G1953" i="37"/>
  <c r="G1954" i="37" s="1"/>
  <c r="G1955" i="37" s="1"/>
  <c r="G1631" i="37"/>
  <c r="G1632" i="37" s="1"/>
  <c r="G1633" i="37" s="1"/>
  <c r="X138" i="62"/>
  <c r="G2275" i="37"/>
  <c r="G2276" i="37" s="1"/>
  <c r="G2277" i="37" s="1"/>
  <c r="L282" i="47"/>
  <c r="Q303" i="47" s="1"/>
  <c r="X141" i="62"/>
  <c r="W143" i="62"/>
  <c r="E94" i="50"/>
  <c r="S94" i="50" s="1"/>
  <c r="K4" i="37"/>
  <c r="H357" i="37"/>
  <c r="H360" i="37" s="1"/>
  <c r="I657" i="37"/>
  <c r="I182" i="62"/>
  <c r="AG290" i="47"/>
  <c r="AG296" i="47" s="1"/>
  <c r="L380" i="47"/>
  <c r="W137" i="62"/>
  <c r="U137" i="62"/>
  <c r="V137" i="62" s="1"/>
  <c r="J1365" i="37"/>
  <c r="Q1378" i="37"/>
  <c r="Q1326" i="37"/>
  <c r="Q1324" i="37" s="1"/>
  <c r="H1313" i="37"/>
  <c r="Q1589" i="37"/>
  <c r="Q1555" i="37"/>
  <c r="Q1356" i="37"/>
  <c r="Q1354" i="37" s="1"/>
  <c r="Q1464" i="37"/>
  <c r="J1343" i="37"/>
  <c r="Q1523" i="37"/>
  <c r="Q1353" i="37"/>
  <c r="Q1579" i="37"/>
  <c r="M1343" i="37"/>
  <c r="S1595" i="37"/>
  <c r="Q1561" i="37"/>
  <c r="M1310" i="37"/>
  <c r="M1311" i="37" s="1"/>
  <c r="L1343" i="37"/>
  <c r="H1343" i="37"/>
  <c r="H1345" i="37" s="1"/>
  <c r="Q1609" i="37"/>
  <c r="E1601" i="37"/>
  <c r="S1456" i="37"/>
  <c r="Q1557" i="37"/>
  <c r="Q1544" i="37"/>
  <c r="Q1601" i="37"/>
  <c r="Q1522" i="37"/>
  <c r="Q1323" i="37"/>
  <c r="Q1518" i="37"/>
  <c r="Q1536" i="37"/>
  <c r="Q1580" i="37"/>
  <c r="Q1483" i="37"/>
  <c r="Q1588" i="37"/>
  <c r="AG1606" i="37"/>
  <c r="Q1519" i="37"/>
  <c r="Q1570" i="37"/>
  <c r="AG1527" i="37"/>
  <c r="AD1529" i="37" s="1"/>
  <c r="AD1538" i="37" s="1"/>
  <c r="AD1547" i="37" s="1"/>
  <c r="AD1573" i="37" s="1"/>
  <c r="AD1582" i="37" s="1"/>
  <c r="Q1614" i="37"/>
  <c r="S1515" i="37"/>
  <c r="I1436" i="37"/>
  <c r="Q1359" i="37"/>
  <c r="Q1332" i="37"/>
  <c r="Q1495" i="37"/>
  <c r="S1505" i="37"/>
  <c r="S1589" i="37"/>
  <c r="S1579" i="37"/>
  <c r="S1344" i="37"/>
  <c r="I1343" i="37"/>
  <c r="S1483" i="37"/>
  <c r="N1311" i="37"/>
  <c r="S1495" i="37"/>
  <c r="Q1372" i="37"/>
  <c r="Q1514" i="37"/>
  <c r="Q1310" i="37"/>
  <c r="R1313" i="37"/>
  <c r="I1310" i="37" s="1"/>
  <c r="L1310" i="37"/>
  <c r="L1311" i="37" s="1"/>
  <c r="Q1362" i="37"/>
  <c r="Q1595" i="37"/>
  <c r="Q1515" i="37"/>
  <c r="K1343" i="37"/>
  <c r="T1337" i="37"/>
  <c r="L1359" i="37" s="1"/>
  <c r="L1361" i="37" s="1"/>
  <c r="L1362" i="37" s="1"/>
  <c r="Q1465" i="37"/>
  <c r="Q1554" i="37"/>
  <c r="S1580" i="37"/>
  <c r="Q1456" i="37"/>
  <c r="Q1331" i="37"/>
  <c r="Q1384" i="37"/>
  <c r="S1522" i="37"/>
  <c r="T1301" i="37"/>
  <c r="Q1564" i="37"/>
  <c r="Q1562" i="37" s="1"/>
  <c r="Q1610" i="37"/>
  <c r="E1309" i="37"/>
  <c r="Q1348" i="37"/>
  <c r="J1310" i="37"/>
  <c r="J1311" i="37" s="1"/>
  <c r="Q1381" i="37"/>
  <c r="Q1379" i="37" s="1"/>
  <c r="Q1567" i="37"/>
  <c r="N1310" i="37"/>
  <c r="Q1545" i="37"/>
  <c r="N1343" i="37"/>
  <c r="X1301" i="37"/>
  <c r="Z1301" i="37" s="1"/>
  <c r="Q1329" i="37"/>
  <c r="E1456" i="37"/>
  <c r="S1514" i="37"/>
  <c r="R1344" i="37"/>
  <c r="AG1474" i="37"/>
  <c r="AD1476" i="37" s="1"/>
  <c r="AD1488" i="37" s="1"/>
  <c r="Q1311" i="37"/>
  <c r="Q1535" i="37"/>
  <c r="S1523" i="37"/>
  <c r="AL1301" i="37"/>
  <c r="Q1505" i="37"/>
  <c r="Q1387" i="37"/>
  <c r="K1310" i="37"/>
  <c r="K1311" i="37" s="1"/>
  <c r="Q1613" i="37"/>
  <c r="P1349" i="50"/>
  <c r="AO442" i="42"/>
  <c r="AO378" i="42"/>
  <c r="AO425" i="42"/>
  <c r="AO454" i="42"/>
  <c r="AO390" i="42"/>
  <c r="AO385" i="42"/>
  <c r="AO320" i="42"/>
  <c r="AO256" i="42"/>
  <c r="AO384" i="42"/>
  <c r="AO319" i="42"/>
  <c r="AO255" i="42"/>
  <c r="AO391" i="42"/>
  <c r="AO324" i="42"/>
  <c r="AO260" i="42"/>
  <c r="AO361" i="42"/>
  <c r="AO258" i="42"/>
  <c r="AO445" i="42"/>
  <c r="AO321" i="42"/>
  <c r="AO383" i="42"/>
  <c r="AO463" i="42"/>
  <c r="AO330" i="42"/>
  <c r="AO413" i="42"/>
  <c r="AO399" i="42"/>
  <c r="AO314" i="42"/>
  <c r="AO323" i="42"/>
  <c r="AO301" i="42"/>
  <c r="AO261" i="42"/>
  <c r="AO259" i="42"/>
  <c r="AO251" i="42"/>
  <c r="AO398" i="42"/>
  <c r="AO268" i="42"/>
  <c r="AO439" i="42"/>
  <c r="AO434" i="42"/>
  <c r="AO481" i="42"/>
  <c r="AO417" i="42"/>
  <c r="AO446" i="42"/>
  <c r="AO475" i="42"/>
  <c r="AO376" i="42"/>
  <c r="AO312" i="42"/>
  <c r="AO472" i="42"/>
  <c r="AO375" i="42"/>
  <c r="AO311" i="42"/>
  <c r="AO480" i="42"/>
  <c r="AO381" i="42"/>
  <c r="AO316" i="42"/>
  <c r="AO252" i="42"/>
  <c r="AO347" i="42"/>
  <c r="AO403" i="42"/>
  <c r="AO427" i="42"/>
  <c r="AO307" i="42"/>
  <c r="AO357" i="42"/>
  <c r="AO440" i="42"/>
  <c r="AO317" i="42"/>
  <c r="AO377" i="42"/>
  <c r="AO366" i="42"/>
  <c r="AO289" i="42"/>
  <c r="AO298" i="42"/>
  <c r="AO476" i="42"/>
  <c r="AO471" i="42"/>
  <c r="AO459" i="42"/>
  <c r="AO456" i="42"/>
  <c r="AO386" i="42"/>
  <c r="AO263" i="42"/>
  <c r="AO333" i="42"/>
  <c r="AO286" i="42"/>
  <c r="AO426" i="42"/>
  <c r="AO473" i="42"/>
  <c r="AO409" i="42"/>
  <c r="AO438" i="42"/>
  <c r="AO461" i="42"/>
  <c r="AO368" i="42"/>
  <c r="AO304" i="42"/>
  <c r="AO460" i="42"/>
  <c r="AO367" i="42"/>
  <c r="AO303" i="42"/>
  <c r="AO468" i="42"/>
  <c r="AO372" i="42"/>
  <c r="AO308" i="42"/>
  <c r="AO469" i="42"/>
  <c r="AO334" i="42"/>
  <c r="AO370" i="42"/>
  <c r="AO405" i="42"/>
  <c r="AO294" i="42"/>
  <c r="AO331" i="42"/>
  <c r="AO420" i="42"/>
  <c r="AO305" i="42"/>
  <c r="AO350" i="42"/>
  <c r="AO341" i="42"/>
  <c r="AO415" i="42"/>
  <c r="AO273" i="42"/>
  <c r="AO432" i="42"/>
  <c r="AO431" i="42"/>
  <c r="AO419" i="42"/>
  <c r="AO353" i="42"/>
  <c r="AO462" i="42"/>
  <c r="AO396" i="42"/>
  <c r="AO332" i="42"/>
  <c r="AO483" i="42"/>
  <c r="AO349" i="42"/>
  <c r="AO277" i="42"/>
  <c r="AO482" i="42"/>
  <c r="AO418" i="42"/>
  <c r="AO465" i="42"/>
  <c r="AO401" i="42"/>
  <c r="AO430" i="42"/>
  <c r="AO448" i="42"/>
  <c r="AO360" i="42"/>
  <c r="AO296" i="42"/>
  <c r="AO447" i="42"/>
  <c r="AO359" i="42"/>
  <c r="AO295" i="42"/>
  <c r="AO455" i="42"/>
  <c r="AO364" i="42"/>
  <c r="AO300" i="42"/>
  <c r="AO451" i="42"/>
  <c r="AO322" i="42"/>
  <c r="AO345" i="42"/>
  <c r="AO387" i="42"/>
  <c r="AO282" i="42"/>
  <c r="AO306" i="42"/>
  <c r="AO400" i="42"/>
  <c r="AO291" i="42"/>
  <c r="AO325" i="42"/>
  <c r="AO315" i="42"/>
  <c r="AO326" i="42"/>
  <c r="AO290" i="42"/>
  <c r="AO392" i="42"/>
  <c r="AO389" i="42"/>
  <c r="AO380" i="42"/>
  <c r="AO275" i="42"/>
  <c r="AO450" i="42"/>
  <c r="AO327" i="42"/>
  <c r="AO424" i="42"/>
  <c r="AO285" i="42"/>
  <c r="AO474" i="42"/>
  <c r="AO410" i="42"/>
  <c r="AO457" i="42"/>
  <c r="AO393" i="42"/>
  <c r="AO422" i="42"/>
  <c r="AO436" i="42"/>
  <c r="AO352" i="42"/>
  <c r="AO288" i="42"/>
  <c r="AO435" i="42"/>
  <c r="AO351" i="42"/>
  <c r="AO287" i="42"/>
  <c r="AO443" i="42"/>
  <c r="AO356" i="42"/>
  <c r="AO292" i="42"/>
  <c r="AO428" i="42"/>
  <c r="AO309" i="42"/>
  <c r="AO318" i="42"/>
  <c r="AO371" i="42"/>
  <c r="AO269" i="42"/>
  <c r="AO267" i="42"/>
  <c r="AO382" i="42"/>
  <c r="AO278" i="42"/>
  <c r="AO299" i="42"/>
  <c r="AO265" i="42"/>
  <c r="AO452" i="42"/>
  <c r="AO477" i="42"/>
  <c r="AO363" i="42"/>
  <c r="AO362" i="42"/>
  <c r="AO354" i="42"/>
  <c r="AO328" i="42"/>
  <c r="AO270" i="42"/>
  <c r="AO365" i="42"/>
  <c r="AO466" i="42"/>
  <c r="AO402" i="42"/>
  <c r="AO449" i="42"/>
  <c r="AO478" i="42"/>
  <c r="AO414" i="42"/>
  <c r="AO423" i="42"/>
  <c r="AO344" i="42"/>
  <c r="AO280" i="42"/>
  <c r="AO421" i="42"/>
  <c r="AO343" i="42"/>
  <c r="AO279" i="42"/>
  <c r="AO429" i="42"/>
  <c r="AO348" i="42"/>
  <c r="AO284" i="42"/>
  <c r="AO407" i="42"/>
  <c r="AO297" i="42"/>
  <c r="AO281" i="42"/>
  <c r="AO358" i="42"/>
  <c r="AO257" i="42"/>
  <c r="AO444" i="42"/>
  <c r="AO369" i="42"/>
  <c r="AO266" i="42"/>
  <c r="AO274" i="42"/>
  <c r="AO437" i="42"/>
  <c r="AO412" i="42"/>
  <c r="AO339" i="42"/>
  <c r="AO338" i="42"/>
  <c r="AO337" i="42"/>
  <c r="AO329" i="42"/>
  <c r="AO397" i="42"/>
  <c r="AO373" i="42"/>
  <c r="AO453" i="42"/>
  <c r="AO458" i="42"/>
  <c r="AO394" i="42"/>
  <c r="AO441" i="42"/>
  <c r="AO470" i="42"/>
  <c r="AO406" i="42"/>
  <c r="AO411" i="42"/>
  <c r="AO336" i="42"/>
  <c r="AO272" i="42"/>
  <c r="AO408" i="42"/>
  <c r="AO335" i="42"/>
  <c r="AO271" i="42"/>
  <c r="AO416" i="42"/>
  <c r="AO340" i="42"/>
  <c r="AO276" i="42"/>
  <c r="AO388" i="42"/>
  <c r="AO283" i="42"/>
  <c r="AO254" i="42"/>
  <c r="AO346" i="42"/>
  <c r="AO464" i="42"/>
  <c r="AO293" i="42"/>
  <c r="AO355" i="42"/>
  <c r="AO253" i="42"/>
  <c r="AO479" i="42"/>
  <c r="AO395" i="42"/>
  <c r="AO374" i="42"/>
  <c r="AO262" i="42"/>
  <c r="AO313" i="42"/>
  <c r="AO310" i="42"/>
  <c r="AO302" i="42"/>
  <c r="AO433" i="42"/>
  <c r="AO264" i="42"/>
  <c r="AO404" i="42"/>
  <c r="AO467" i="42"/>
  <c r="AO342" i="42"/>
  <c r="AO379" i="42"/>
  <c r="I185" i="62"/>
  <c r="X12" i="42"/>
  <c r="Z12" i="42" s="1"/>
  <c r="T249" i="42"/>
  <c r="X249" i="42"/>
  <c r="Z249" i="42" s="1"/>
  <c r="K2121" i="50"/>
  <c r="J2121" i="50"/>
  <c r="J2188" i="50"/>
  <c r="K2188" i="50"/>
  <c r="T12" i="42"/>
  <c r="X486" i="42"/>
  <c r="Z486" i="42" s="1"/>
  <c r="K2314" i="50"/>
  <c r="J2314" i="50"/>
  <c r="X609" i="42"/>
  <c r="Z609" i="42" s="1"/>
  <c r="T609" i="42"/>
  <c r="K2255" i="50"/>
  <c r="J2255" i="50"/>
  <c r="T486" i="42"/>
  <c r="K2371" i="50"/>
  <c r="T796" i="42"/>
  <c r="J2371" i="50"/>
  <c r="X796" i="42"/>
  <c r="Z796" i="42" s="1"/>
  <c r="J2467" i="50"/>
  <c r="X1083" i="42"/>
  <c r="Z1083" i="42" s="1"/>
  <c r="J2428" i="50"/>
  <c r="T983" i="42"/>
  <c r="T1083" i="42"/>
  <c r="X983" i="42"/>
  <c r="Z983" i="42" s="1"/>
  <c r="K2467" i="50"/>
  <c r="K2428" i="50"/>
  <c r="E100" i="50"/>
  <c r="I187" i="62"/>
  <c r="Q3231" i="37"/>
  <c r="AO938" i="42"/>
  <c r="AO874" i="42"/>
  <c r="AO810" i="42"/>
  <c r="AO924" i="42"/>
  <c r="AO851" i="42"/>
  <c r="AO959" i="42"/>
  <c r="AO886" i="42"/>
  <c r="AO813" i="42"/>
  <c r="AO919" i="42"/>
  <c r="AO846" i="42"/>
  <c r="AO939" i="42"/>
  <c r="AO821" i="42"/>
  <c r="AO879" i="42"/>
  <c r="AO945" i="42"/>
  <c r="AO829" i="42"/>
  <c r="AO948" i="42"/>
  <c r="AO971" i="42"/>
  <c r="AO964" i="42"/>
  <c r="AO940" i="42"/>
  <c r="AO935" i="42"/>
  <c r="AO811" i="42"/>
  <c r="AO903" i="42"/>
  <c r="AO957" i="42"/>
  <c r="AO968" i="42"/>
  <c r="AO930" i="42"/>
  <c r="AO866" i="42"/>
  <c r="AO802" i="42"/>
  <c r="AO915" i="42"/>
  <c r="AO841" i="42"/>
  <c r="AO950" i="42"/>
  <c r="AO877" i="42"/>
  <c r="AO804" i="42"/>
  <c r="AO910" i="42"/>
  <c r="AO837" i="42"/>
  <c r="AO925" i="42"/>
  <c r="AO807" i="42"/>
  <c r="AO863" i="42"/>
  <c r="AO931" i="42"/>
  <c r="AO815" i="42"/>
  <c r="AO926" i="42"/>
  <c r="AO944" i="42"/>
  <c r="AO943" i="42"/>
  <c r="AO916" i="42"/>
  <c r="AO912" i="42"/>
  <c r="AO927" i="42"/>
  <c r="AO838" i="42"/>
  <c r="AO812" i="42"/>
  <c r="AO946" i="42"/>
  <c r="AO855" i="42"/>
  <c r="AO836" i="42"/>
  <c r="AO961" i="42"/>
  <c r="AO871" i="42"/>
  <c r="AO958" i="42"/>
  <c r="AO816" i="42"/>
  <c r="AO922" i="42"/>
  <c r="AO858" i="42"/>
  <c r="AO979" i="42"/>
  <c r="AO905" i="42"/>
  <c r="AO832" i="42"/>
  <c r="AO941" i="42"/>
  <c r="AO868" i="42"/>
  <c r="AO974" i="42"/>
  <c r="AO901" i="42"/>
  <c r="AO828" i="42"/>
  <c r="AO909" i="42"/>
  <c r="AO966" i="42"/>
  <c r="AO848" i="42"/>
  <c r="AO917" i="42"/>
  <c r="AO799" i="42"/>
  <c r="AO900" i="42"/>
  <c r="AO920" i="42"/>
  <c r="AO918" i="42"/>
  <c r="AO891" i="42"/>
  <c r="AO889" i="42"/>
  <c r="AO856" i="42"/>
  <c r="AO980" i="42"/>
  <c r="AO818" i="42"/>
  <c r="AO844" i="42"/>
  <c r="AO881" i="42"/>
  <c r="AO978" i="42"/>
  <c r="AO914" i="42"/>
  <c r="AO850" i="42"/>
  <c r="AO969" i="42"/>
  <c r="AO896" i="42"/>
  <c r="AO823" i="42"/>
  <c r="AO932" i="42"/>
  <c r="AO859" i="42"/>
  <c r="AO965" i="42"/>
  <c r="AO892" i="42"/>
  <c r="AO819" i="42"/>
  <c r="AO894" i="42"/>
  <c r="AO952" i="42"/>
  <c r="AO835" i="42"/>
  <c r="AO902" i="42"/>
  <c r="AO976" i="42"/>
  <c r="AO876" i="42"/>
  <c r="AO899" i="42"/>
  <c r="AO897" i="42"/>
  <c r="AO870" i="42"/>
  <c r="AO867" i="42"/>
  <c r="AO911" i="42"/>
  <c r="AO885" i="42"/>
  <c r="AO860" i="42"/>
  <c r="AO822" i="42"/>
  <c r="AO928" i="42"/>
  <c r="AO953" i="42"/>
  <c r="AO893" i="42"/>
  <c r="AO972" i="42"/>
  <c r="AO803" i="42"/>
  <c r="AO862" i="42"/>
  <c r="AO970" i="42"/>
  <c r="AO906" i="42"/>
  <c r="AO842" i="42"/>
  <c r="AO960" i="42"/>
  <c r="AO887" i="42"/>
  <c r="AO814" i="42"/>
  <c r="AO923" i="42"/>
  <c r="AO849" i="42"/>
  <c r="AO956" i="42"/>
  <c r="AO883" i="42"/>
  <c r="AO809" i="42"/>
  <c r="AO880" i="42"/>
  <c r="AO936" i="42"/>
  <c r="AO820" i="42"/>
  <c r="AO888" i="42"/>
  <c r="AO955" i="42"/>
  <c r="AO854" i="42"/>
  <c r="AO875" i="42"/>
  <c r="AO847" i="42"/>
  <c r="AO845" i="42"/>
  <c r="AO843" i="42"/>
  <c r="AO839" i="42"/>
  <c r="AO833" i="42"/>
  <c r="AO882" i="42"/>
  <c r="AO962" i="42"/>
  <c r="AO898" i="42"/>
  <c r="AO834" i="42"/>
  <c r="AO951" i="42"/>
  <c r="AO878" i="42"/>
  <c r="AO805" i="42"/>
  <c r="AO913" i="42"/>
  <c r="AO840" i="42"/>
  <c r="AO947" i="42"/>
  <c r="AO873" i="42"/>
  <c r="AO800" i="42"/>
  <c r="AO865" i="42"/>
  <c r="AO921" i="42"/>
  <c r="AO806" i="42"/>
  <c r="AO872" i="42"/>
  <c r="AO929" i="42"/>
  <c r="AO830" i="42"/>
  <c r="AO853" i="42"/>
  <c r="AO825" i="42"/>
  <c r="AO824" i="42"/>
  <c r="AO817" i="42"/>
  <c r="AO934" i="42"/>
  <c r="AO973" i="42"/>
  <c r="AO895" i="42"/>
  <c r="AO954" i="42"/>
  <c r="AO890" i="42"/>
  <c r="AO826" i="42"/>
  <c r="AO942" i="42"/>
  <c r="AO869" i="42"/>
  <c r="AO977" i="42"/>
  <c r="AO904" i="42"/>
  <c r="AO831" i="42"/>
  <c r="AO937" i="42"/>
  <c r="AO864" i="42"/>
  <c r="AO967" i="42"/>
  <c r="AO852" i="42"/>
  <c r="AO908" i="42"/>
  <c r="AO975" i="42"/>
  <c r="AO857" i="42"/>
  <c r="AO907" i="42"/>
  <c r="AO808" i="42"/>
  <c r="AO827" i="42"/>
  <c r="AO801" i="42"/>
  <c r="AO798" i="42"/>
  <c r="AO949" i="42"/>
  <c r="AO861" i="42"/>
  <c r="AO884" i="42"/>
  <c r="AO933" i="42"/>
  <c r="AO963" i="42"/>
  <c r="X137" i="62"/>
  <c r="W142" i="62"/>
  <c r="U142" i="62"/>
  <c r="V142" i="62" s="1"/>
  <c r="E153" i="41"/>
  <c r="P622" i="50"/>
  <c r="P616" i="50"/>
  <c r="P619" i="50"/>
  <c r="P539" i="50"/>
  <c r="E480" i="50"/>
  <c r="N483" i="50"/>
  <c r="P588" i="50"/>
  <c r="P604" i="50"/>
  <c r="M483" i="50"/>
  <c r="P603" i="50"/>
  <c r="P634" i="50"/>
  <c r="P637" i="50"/>
  <c r="P587" i="50"/>
  <c r="L480" i="50"/>
  <c r="N591" i="50" s="1"/>
  <c r="P525" i="50"/>
  <c r="P575" i="50"/>
  <c r="P573" i="50" s="1"/>
  <c r="P614" i="50"/>
  <c r="P586" i="50"/>
  <c r="P529" i="50"/>
  <c r="P630" i="50"/>
  <c r="P621" i="50"/>
  <c r="P599" i="50"/>
  <c r="P511" i="50"/>
  <c r="P607" i="50"/>
  <c r="P487" i="50"/>
  <c r="P610" i="50"/>
  <c r="P600" i="50"/>
  <c r="P602" i="50"/>
  <c r="P500" i="50"/>
  <c r="P627" i="50"/>
  <c r="K480" i="50"/>
  <c r="P623" i="50"/>
  <c r="P608" i="50"/>
  <c r="P581" i="50"/>
  <c r="P617" i="50"/>
  <c r="P592" i="50"/>
  <c r="P620" i="50"/>
  <c r="P618" i="50"/>
  <c r="P628" i="50"/>
  <c r="P572" i="50"/>
  <c r="P553" i="50"/>
  <c r="P636" i="50"/>
  <c r="P613" i="50"/>
  <c r="P532" i="50"/>
  <c r="P530" i="50" s="1"/>
  <c r="P483" i="50"/>
  <c r="P518" i="50"/>
  <c r="R477" i="50"/>
  <c r="D2524" i="50" s="1"/>
  <c r="D2567" i="50" s="1"/>
  <c r="J480" i="50"/>
  <c r="U483" i="50" s="1"/>
  <c r="M488" i="50" s="1"/>
  <c r="P611" i="50"/>
  <c r="P633" i="50"/>
  <c r="L483" i="50"/>
  <c r="P590" i="50"/>
  <c r="P521" i="50"/>
  <c r="P519" i="50" s="1"/>
  <c r="P605" i="50"/>
  <c r="P503" i="50"/>
  <c r="P501" i="50" s="1"/>
  <c r="P625" i="50"/>
  <c r="P624" i="50"/>
  <c r="S548" i="37"/>
  <c r="Q344" i="37"/>
  <c r="Q548" i="37"/>
  <c r="AG508" i="37"/>
  <c r="AD510" i="37" s="1"/>
  <c r="AD522" i="37" s="1"/>
  <c r="T335" i="37"/>
  <c r="Q598" i="37"/>
  <c r="Q596" i="37" s="1"/>
  <c r="AG640" i="37"/>
  <c r="S539" i="37"/>
  <c r="Q553" i="37"/>
  <c r="S556" i="37"/>
  <c r="Q601" i="37"/>
  <c r="N345" i="37"/>
  <c r="Q647" i="37"/>
  <c r="Q643" i="37"/>
  <c r="Q539" i="37"/>
  <c r="Q418" i="37"/>
  <c r="T371" i="37"/>
  <c r="J396" i="37" s="1"/>
  <c r="Q629" i="37"/>
  <c r="E343" i="37"/>
  <c r="Q357" i="37"/>
  <c r="E154" i="41"/>
  <c r="I1789" i="50"/>
  <c r="I4" i="37"/>
  <c r="P1246" i="50"/>
  <c r="R1133" i="50"/>
  <c r="D2528" i="50" s="1"/>
  <c r="D2571" i="50" s="1"/>
  <c r="P1228" i="50"/>
  <c r="P1269" i="50"/>
  <c r="J1136" i="50"/>
  <c r="U1139" i="50" s="1"/>
  <c r="K1136" i="50"/>
  <c r="P1174" i="50"/>
  <c r="K1139" i="50"/>
  <c r="M1139" i="50"/>
  <c r="L1139" i="50"/>
  <c r="P1279" i="50"/>
  <c r="N1139" i="50"/>
  <c r="P1167" i="50"/>
  <c r="P1260" i="50"/>
  <c r="P1292" i="50"/>
  <c r="P1209" i="50"/>
  <c r="P1248" i="50"/>
  <c r="P1159" i="50"/>
  <c r="E1136" i="50"/>
  <c r="P1181" i="50"/>
  <c r="P1293" i="50"/>
  <c r="P1195" i="50"/>
  <c r="P1139" i="50"/>
  <c r="P1264" i="50"/>
  <c r="P1185" i="50"/>
  <c r="P1277" i="50"/>
  <c r="P1143" i="50"/>
  <c r="P1259" i="50"/>
  <c r="P1263" i="50"/>
  <c r="P1258" i="50"/>
  <c r="P1242" i="50"/>
  <c r="P1272" i="50"/>
  <c r="P1255" i="50"/>
  <c r="P1280" i="50"/>
  <c r="P1266" i="50"/>
  <c r="P1270" i="50"/>
  <c r="P1231" i="50"/>
  <c r="P1188" i="50"/>
  <c r="P1237" i="50"/>
  <c r="P1275" i="50"/>
  <c r="P1284" i="50"/>
  <c r="P1177" i="50"/>
  <c r="P1175" i="50" s="1"/>
  <c r="P1286" i="50"/>
  <c r="P1244" i="50"/>
  <c r="P1281" i="50"/>
  <c r="P1276" i="50"/>
  <c r="P1156" i="50"/>
  <c r="P1256" i="50"/>
  <c r="J1139" i="50"/>
  <c r="P1283" i="50"/>
  <c r="L1136" i="50"/>
  <c r="K1245" i="50" s="1"/>
  <c r="P1243" i="50"/>
  <c r="P1274" i="50"/>
  <c r="P1261" i="50"/>
  <c r="P1278" i="50"/>
  <c r="P1289" i="50"/>
  <c r="P1290" i="50"/>
  <c r="P1273" i="50"/>
  <c r="P1267" i="50"/>
  <c r="E147" i="41"/>
  <c r="Q3174" i="37"/>
  <c r="Q3172" i="37" s="1"/>
  <c r="Q3205" i="37"/>
  <c r="Q3199" i="37"/>
  <c r="S3105" i="37"/>
  <c r="Q3125" i="37"/>
  <c r="J2953" i="37"/>
  <c r="H2953" i="37"/>
  <c r="H2955" i="37" s="1"/>
  <c r="Q3115" i="37"/>
  <c r="Q3093" i="37"/>
  <c r="Q2994" i="37"/>
  <c r="S2954" i="37"/>
  <c r="R2923" i="37"/>
  <c r="Q2942" i="37"/>
  <c r="N2921" i="37"/>
  <c r="AG3216" i="37"/>
  <c r="Q3223" i="37"/>
  <c r="R2954" i="37"/>
  <c r="M2953" i="37"/>
  <c r="S3199" i="37"/>
  <c r="Q3105" i="37"/>
  <c r="X2911" i="37"/>
  <c r="Z2911" i="37" s="1"/>
  <c r="AL2911" i="37"/>
  <c r="N2920" i="37"/>
  <c r="Q3198" i="37"/>
  <c r="Q2966" i="37"/>
  <c r="Q2964" i="37" s="1"/>
  <c r="Q3074" i="37"/>
  <c r="Q3171" i="37"/>
  <c r="Q3211" i="37"/>
  <c r="E2919" i="37"/>
  <c r="Q2941" i="37"/>
  <c r="Q3189" i="37"/>
  <c r="Q2997" i="37"/>
  <c r="T2911" i="37"/>
  <c r="K2920" i="37"/>
  <c r="K2921" i="37" s="1"/>
  <c r="Q3066" i="37"/>
  <c r="Q2963" i="37"/>
  <c r="S3132" i="37"/>
  <c r="Q3124" i="37"/>
  <c r="S3133" i="37"/>
  <c r="Q2988" i="37"/>
  <c r="S3125" i="37"/>
  <c r="E3066" i="37"/>
  <c r="Q2972" i="37"/>
  <c r="S3124" i="37"/>
  <c r="Q3177" i="37"/>
  <c r="Q2982" i="37"/>
  <c r="H2923" i="37"/>
  <c r="Q3220" i="37"/>
  <c r="K2953" i="37"/>
  <c r="S3189" i="37"/>
  <c r="Q3219" i="37"/>
  <c r="S3066" i="37"/>
  <c r="Q2920" i="37"/>
  <c r="Q3132" i="37"/>
  <c r="AG3137" i="37"/>
  <c r="AD3139" i="37" s="1"/>
  <c r="AD3148" i="37" s="1"/>
  <c r="AD3157" i="37" s="1"/>
  <c r="AD3183" i="37" s="1"/>
  <c r="AD3192" i="37" s="1"/>
  <c r="Q2939" i="37"/>
  <c r="Q3165" i="37"/>
  <c r="Q3128" i="37"/>
  <c r="Q3180" i="37"/>
  <c r="L2920" i="37"/>
  <c r="L2921" i="37" s="1"/>
  <c r="T2947" i="37"/>
  <c r="J2947" i="37" s="1"/>
  <c r="S3205" i="37"/>
  <c r="Q3154" i="37"/>
  <c r="Q2933" i="37"/>
  <c r="E3211" i="37"/>
  <c r="Q2991" i="37"/>
  <c r="Q2989" i="37" s="1"/>
  <c r="Q2969" i="37"/>
  <c r="N2953" i="37"/>
  <c r="Q3129" i="37"/>
  <c r="AG3084" i="37"/>
  <c r="AD3086" i="37" s="1"/>
  <c r="AD3098" i="37" s="1"/>
  <c r="Q2936" i="37"/>
  <c r="Q2934" i="37" s="1"/>
  <c r="I3046" i="37"/>
  <c r="S3115" i="37"/>
  <c r="Q2921" i="37"/>
  <c r="Q3155" i="37"/>
  <c r="Q3133" i="37"/>
  <c r="J2920" i="37"/>
  <c r="J2921" i="37" s="1"/>
  <c r="S3093" i="37"/>
  <c r="Q3145" i="37"/>
  <c r="M2920" i="37"/>
  <c r="M2921" i="37" s="1"/>
  <c r="Q3167" i="37"/>
  <c r="Q2958" i="37"/>
  <c r="Q3075" i="37"/>
  <c r="Q3164" i="37"/>
  <c r="S3190" i="37"/>
  <c r="Q3224" i="37"/>
  <c r="L2953" i="37"/>
  <c r="I2953" i="37"/>
  <c r="Q3146" i="37"/>
  <c r="J2975" i="37"/>
  <c r="Q3190" i="37"/>
  <c r="H2920" i="37"/>
  <c r="AO562" i="42"/>
  <c r="AO498" i="42"/>
  <c r="AO550" i="42"/>
  <c r="AO595" i="42"/>
  <c r="AO521" i="42"/>
  <c r="AO564" i="42"/>
  <c r="AO491" i="42"/>
  <c r="AO492" i="42"/>
  <c r="AO489" i="42"/>
  <c r="AO499" i="42"/>
  <c r="AO584" i="42"/>
  <c r="AO511" i="42"/>
  <c r="AO501" i="42"/>
  <c r="AO598" i="42"/>
  <c r="AO508" i="42"/>
  <c r="AO604" i="42"/>
  <c r="AO553" i="42"/>
  <c r="AO554" i="42"/>
  <c r="AO490" i="42"/>
  <c r="AO541" i="42"/>
  <c r="AO585" i="42"/>
  <c r="AO512" i="42"/>
  <c r="AO555" i="42"/>
  <c r="AO593" i="42"/>
  <c r="AO592" i="42"/>
  <c r="AO601" i="42"/>
  <c r="AO589" i="42"/>
  <c r="AO561" i="42"/>
  <c r="AO603" i="42"/>
  <c r="AO575" i="42"/>
  <c r="AO502" i="42"/>
  <c r="AO552" i="42"/>
  <c r="AO506" i="42"/>
  <c r="AO505" i="42"/>
  <c r="AO546" i="42"/>
  <c r="AO605" i="42"/>
  <c r="AO532" i="42"/>
  <c r="AO576" i="42"/>
  <c r="AO503" i="42"/>
  <c r="AO545" i="42"/>
  <c r="AO580" i="42"/>
  <c r="AO579" i="42"/>
  <c r="AO588" i="42"/>
  <c r="AO566" i="42"/>
  <c r="AO539" i="42"/>
  <c r="AO581" i="42"/>
  <c r="AO529" i="42"/>
  <c r="AO571" i="42"/>
  <c r="AO500" i="42"/>
  <c r="AO547" i="42"/>
  <c r="AO602" i="42"/>
  <c r="AO538" i="42"/>
  <c r="AO596" i="42"/>
  <c r="AO523" i="42"/>
  <c r="AO567" i="42"/>
  <c r="AO494" i="42"/>
  <c r="AO536" i="42"/>
  <c r="AO565" i="42"/>
  <c r="AO563" i="42"/>
  <c r="AO572" i="42"/>
  <c r="AO542" i="42"/>
  <c r="AO516" i="42"/>
  <c r="AO556" i="42"/>
  <c r="AO574" i="42"/>
  <c r="AO525" i="42"/>
  <c r="AO573" i="42"/>
  <c r="AO537" i="42"/>
  <c r="AO594" i="42"/>
  <c r="AO530" i="42"/>
  <c r="AO587" i="42"/>
  <c r="AO513" i="42"/>
  <c r="AO558" i="42"/>
  <c r="AO600" i="42"/>
  <c r="AO527" i="42"/>
  <c r="AO551" i="42"/>
  <c r="AO548" i="42"/>
  <c r="AO557" i="42"/>
  <c r="AO517" i="42"/>
  <c r="AO493" i="42"/>
  <c r="AO533" i="42"/>
  <c r="AO526" i="42"/>
  <c r="AO569" i="42"/>
  <c r="AO531" i="42"/>
  <c r="AO488" i="42"/>
  <c r="AO586" i="42"/>
  <c r="AO522" i="42"/>
  <c r="AO577" i="42"/>
  <c r="AO504" i="42"/>
  <c r="AO549" i="42"/>
  <c r="AO591" i="42"/>
  <c r="AO518" i="42"/>
  <c r="AO535" i="42"/>
  <c r="AO534" i="42"/>
  <c r="AO543" i="42"/>
  <c r="AO496" i="42"/>
  <c r="AO606" i="42"/>
  <c r="AO510" i="42"/>
  <c r="AO590" i="42"/>
  <c r="AO524" i="42"/>
  <c r="AO559" i="42"/>
  <c r="AO515" i="42"/>
  <c r="AO578" i="42"/>
  <c r="AO514" i="42"/>
  <c r="AO568" i="42"/>
  <c r="AO495" i="42"/>
  <c r="AO540" i="42"/>
  <c r="AO582" i="42"/>
  <c r="AO509" i="42"/>
  <c r="AO520" i="42"/>
  <c r="AO519" i="42"/>
  <c r="AO528" i="42"/>
  <c r="AO583" i="42"/>
  <c r="AO560" i="42"/>
  <c r="AO597" i="42"/>
  <c r="AO544" i="42"/>
  <c r="AO599" i="42"/>
  <c r="AO570" i="42"/>
  <c r="AO507" i="42"/>
  <c r="AO497" i="42"/>
  <c r="X142" i="62"/>
  <c r="W144" i="62"/>
  <c r="L242" i="47"/>
  <c r="U141" i="62"/>
  <c r="V141" i="62" s="1"/>
  <c r="E98" i="50"/>
  <c r="H1976" i="37"/>
  <c r="H1970" i="37"/>
  <c r="X16" i="41"/>
  <c r="AB16" i="41"/>
  <c r="Z16" i="41"/>
  <c r="AB21" i="49"/>
  <c r="Y16" i="41"/>
  <c r="AF21" i="49"/>
  <c r="V16" i="41"/>
  <c r="AD21" i="49"/>
  <c r="AH21" i="49"/>
  <c r="AE21" i="49"/>
  <c r="W16" i="41"/>
  <c r="AG21" i="49"/>
  <c r="AC21" i="49"/>
  <c r="AA16" i="41"/>
  <c r="Q1805" i="37"/>
  <c r="Q1883" i="37"/>
  <c r="S1902" i="37"/>
  <c r="S1827" i="37"/>
  <c r="J1665" i="37"/>
  <c r="M1633" i="37"/>
  <c r="Q1706" i="37"/>
  <c r="S1845" i="37"/>
  <c r="AG1849" i="37"/>
  <c r="AD1851" i="37" s="1"/>
  <c r="AD1860" i="37" s="1"/>
  <c r="AD1869" i="37" s="1"/>
  <c r="AD1895" i="37" s="1"/>
  <c r="AD1904" i="37" s="1"/>
  <c r="S1917" i="37"/>
  <c r="AG1796" i="37"/>
  <c r="AD1798" i="37" s="1"/>
  <c r="AD1810" i="37" s="1"/>
  <c r="L1633" i="37"/>
  <c r="Q1911" i="37"/>
  <c r="H1635" i="37"/>
  <c r="J1632" i="37"/>
  <c r="Q1877" i="37"/>
  <c r="N1665" i="37"/>
  <c r="Q1840" i="37"/>
  <c r="Q1917" i="37"/>
  <c r="Q1866" i="37"/>
  <c r="S1901" i="37"/>
  <c r="Q1787" i="37"/>
  <c r="Q1886" i="37"/>
  <c r="Q1884" i="37" s="1"/>
  <c r="L1632" i="37"/>
  <c r="R1666" i="37"/>
  <c r="S1836" i="37"/>
  <c r="S1911" i="37"/>
  <c r="Q1700" i="37"/>
  <c r="E1923" i="37"/>
  <c r="Q1651" i="37"/>
  <c r="Q1670" i="37"/>
  <c r="H1665" i="37"/>
  <c r="H1667" i="37" s="1"/>
  <c r="N1633" i="37"/>
  <c r="I1758" i="37"/>
  <c r="S1817" i="37"/>
  <c r="J1687" i="37"/>
  <c r="S1837" i="37"/>
  <c r="Q1681" i="37"/>
  <c r="Q1675" i="37"/>
  <c r="Q1703" i="37"/>
  <c r="Q1701" i="37" s="1"/>
  <c r="Q1684" i="37"/>
  <c r="X1623" i="37"/>
  <c r="Z1623" i="37" s="1"/>
  <c r="Q1648" i="37"/>
  <c r="Q1646" i="37" s="1"/>
  <c r="Q1844" i="37"/>
  <c r="Q1892" i="37"/>
  <c r="T1623" i="37"/>
  <c r="E1631" i="37"/>
  <c r="Q1845" i="37"/>
  <c r="Q1645" i="37"/>
  <c r="Q1786" i="37"/>
  <c r="K1633" i="37"/>
  <c r="Q1778" i="37"/>
  <c r="S1844" i="37"/>
  <c r="Q1867" i="37"/>
  <c r="Q1858" i="37"/>
  <c r="L1665" i="37"/>
  <c r="I1665" i="37"/>
  <c r="K1632" i="37"/>
  <c r="Q1836" i="37"/>
  <c r="Q1694" i="37"/>
  <c r="M1632" i="37"/>
  <c r="K1665" i="37"/>
  <c r="Q1910" i="37"/>
  <c r="AL1623" i="37"/>
  <c r="E1778" i="37"/>
  <c r="Q1841" i="37"/>
  <c r="Q1827" i="37"/>
  <c r="J1633" i="37"/>
  <c r="Q1709" i="37"/>
  <c r="M1665" i="37"/>
  <c r="S1666" i="37"/>
  <c r="Q1923" i="37"/>
  <c r="Q1936" i="37"/>
  <c r="Q1879" i="37"/>
  <c r="Q1857" i="37"/>
  <c r="Q1935" i="37"/>
  <c r="Q1678" i="37"/>
  <c r="Q1676" i="37" s="1"/>
  <c r="Q1876" i="37"/>
  <c r="R1635" i="37"/>
  <c r="H1632" i="37" s="1"/>
  <c r="Q1901" i="37"/>
  <c r="Q1902" i="37"/>
  <c r="Q1817" i="37"/>
  <c r="Q1931" i="37"/>
  <c r="AG1928" i="37"/>
  <c r="N1632" i="37"/>
  <c r="S1778" i="37"/>
  <c r="Q1653" i="37"/>
  <c r="T1659" i="37"/>
  <c r="L1678" i="37" s="1"/>
  <c r="Q1654" i="37"/>
  <c r="Q1932" i="37"/>
  <c r="S1805" i="37"/>
  <c r="Q1633" i="37"/>
  <c r="Q1632" i="37"/>
  <c r="Q1889" i="37"/>
  <c r="Q1837" i="37"/>
  <c r="Y145" i="62"/>
  <c r="U145" i="62"/>
  <c r="V145" i="62" s="1"/>
  <c r="I2267" i="37"/>
  <c r="E155" i="41"/>
  <c r="H1654" i="37"/>
  <c r="H1648" i="37"/>
  <c r="P96" i="50"/>
  <c r="S96" i="50"/>
  <c r="E116" i="50"/>
  <c r="E231" i="50" s="1"/>
  <c r="G3" i="37"/>
  <c r="E149" i="41"/>
  <c r="AO758" i="42"/>
  <c r="AO694" i="42"/>
  <c r="AO630" i="42"/>
  <c r="AO746" i="42"/>
  <c r="AO673" i="42"/>
  <c r="AO781" i="42"/>
  <c r="AO708" i="42"/>
  <c r="AO635" i="42"/>
  <c r="AO741" i="42"/>
  <c r="AO668" i="42"/>
  <c r="AO775" i="42"/>
  <c r="AO657" i="42"/>
  <c r="AO729" i="42"/>
  <c r="AO611" i="42"/>
  <c r="AO679" i="42"/>
  <c r="AO711" i="42"/>
  <c r="AO706" i="42"/>
  <c r="AO704" i="42"/>
  <c r="AO676" i="42"/>
  <c r="AO647" i="42"/>
  <c r="AO624" i="42"/>
  <c r="AO716" i="42"/>
  <c r="AO697" i="42"/>
  <c r="AO638" i="42"/>
  <c r="AO788" i="42"/>
  <c r="AO703" i="42"/>
  <c r="AO750" i="42"/>
  <c r="AO686" i="42"/>
  <c r="AO622" i="42"/>
  <c r="AO737" i="42"/>
  <c r="AO664" i="42"/>
  <c r="AO772" i="42"/>
  <c r="AO699" i="42"/>
  <c r="AO626" i="42"/>
  <c r="AO732" i="42"/>
  <c r="AO659" i="42"/>
  <c r="AO759" i="42"/>
  <c r="AO642" i="42"/>
  <c r="AO713" i="42"/>
  <c r="AO780" i="42"/>
  <c r="AO665" i="42"/>
  <c r="AO688" i="42"/>
  <c r="AO683" i="42"/>
  <c r="AO680" i="42"/>
  <c r="AO652" i="42"/>
  <c r="AO785" i="42"/>
  <c r="AO648" i="42"/>
  <c r="AO667" i="42"/>
  <c r="AO651" i="42"/>
  <c r="AO682" i="42"/>
  <c r="AO625" i="42"/>
  <c r="AO692" i="42"/>
  <c r="AO742" i="42"/>
  <c r="AO678" i="42"/>
  <c r="AO614" i="42"/>
  <c r="AO728" i="42"/>
  <c r="AO655" i="42"/>
  <c r="AO763" i="42"/>
  <c r="AO690" i="42"/>
  <c r="AO617" i="42"/>
  <c r="AO723" i="42"/>
  <c r="AO650" i="42"/>
  <c r="AO744" i="42"/>
  <c r="AO628" i="42"/>
  <c r="AO698" i="42"/>
  <c r="AO767" i="42"/>
  <c r="AO649" i="42"/>
  <c r="AO661" i="42"/>
  <c r="AO660" i="42"/>
  <c r="AO658" i="42"/>
  <c r="AO631" i="42"/>
  <c r="AO721" i="42"/>
  <c r="AO789" i="42"/>
  <c r="AO621" i="42"/>
  <c r="AO695" i="42"/>
  <c r="AO791" i="42"/>
  <c r="AO677" i="42"/>
  <c r="AO733" i="42"/>
  <c r="AO761" i="42"/>
  <c r="AO734" i="42"/>
  <c r="AO670" i="42"/>
  <c r="AO792" i="42"/>
  <c r="AO719" i="42"/>
  <c r="AO645" i="42"/>
  <c r="AO754" i="42"/>
  <c r="AO681" i="42"/>
  <c r="AO787" i="42"/>
  <c r="AO714" i="42"/>
  <c r="AO641" i="42"/>
  <c r="AO730" i="42"/>
  <c r="AO612" i="42"/>
  <c r="AO684" i="42"/>
  <c r="AO752" i="42"/>
  <c r="AO634" i="42"/>
  <c r="AO639" i="42"/>
  <c r="AO637" i="42"/>
  <c r="AO633" i="42"/>
  <c r="AO793" i="42"/>
  <c r="AO675" i="42"/>
  <c r="AO735" i="42"/>
  <c r="AO762" i="42"/>
  <c r="AO717" i="42"/>
  <c r="AO693" i="42"/>
  <c r="AO765" i="42"/>
  <c r="AO790" i="42"/>
  <c r="AO726" i="42"/>
  <c r="AO662" i="42"/>
  <c r="AO783" i="42"/>
  <c r="AO709" i="42"/>
  <c r="AO636" i="42"/>
  <c r="AO745" i="42"/>
  <c r="AO672" i="42"/>
  <c r="AO778" i="42"/>
  <c r="AO705" i="42"/>
  <c r="AO632" i="42"/>
  <c r="AO715" i="42"/>
  <c r="AO786" i="42"/>
  <c r="AO669" i="42"/>
  <c r="AO738" i="42"/>
  <c r="AO620" i="42"/>
  <c r="AO616" i="42"/>
  <c r="AO615" i="42"/>
  <c r="AO770" i="42"/>
  <c r="AO768" i="42"/>
  <c r="AO629" i="42"/>
  <c r="AO689" i="42"/>
  <c r="AO712" i="42"/>
  <c r="AO755" i="42"/>
  <c r="AO743" i="42"/>
  <c r="AO674" i="42"/>
  <c r="AO782" i="42"/>
  <c r="AO718" i="42"/>
  <c r="AO654" i="42"/>
  <c r="AO773" i="42"/>
  <c r="AO700" i="42"/>
  <c r="AO627" i="42"/>
  <c r="AO736" i="42"/>
  <c r="AO663" i="42"/>
  <c r="AO769" i="42"/>
  <c r="AO696" i="42"/>
  <c r="AO623" i="42"/>
  <c r="AO701" i="42"/>
  <c r="AO771" i="42"/>
  <c r="AO656" i="42"/>
  <c r="AO722" i="42"/>
  <c r="AO779" i="42"/>
  <c r="AO777" i="42"/>
  <c r="AO776" i="42"/>
  <c r="AO748" i="42"/>
  <c r="AO747" i="42"/>
  <c r="AO784" i="42"/>
  <c r="AO643" i="42"/>
  <c r="AO666" i="42"/>
  <c r="AO702" i="42"/>
  <c r="AO751" i="42"/>
  <c r="AO725" i="42"/>
  <c r="AO774" i="42"/>
  <c r="AO710" i="42"/>
  <c r="AO646" i="42"/>
  <c r="AO764" i="42"/>
  <c r="AO691" i="42"/>
  <c r="AO618" i="42"/>
  <c r="AO727" i="42"/>
  <c r="AO653" i="42"/>
  <c r="AO760" i="42"/>
  <c r="AO687" i="42"/>
  <c r="AO613" i="42"/>
  <c r="AO685" i="42"/>
  <c r="AO757" i="42"/>
  <c r="AO640" i="42"/>
  <c r="AO707" i="42"/>
  <c r="AO756" i="42"/>
  <c r="AO753" i="42"/>
  <c r="AO749" i="42"/>
  <c r="AO724" i="42"/>
  <c r="AO739" i="42"/>
  <c r="AO720" i="42"/>
  <c r="AO740" i="42"/>
  <c r="AO619" i="42"/>
  <c r="AO766" i="42"/>
  <c r="AO644" i="42"/>
  <c r="AO671" i="42"/>
  <c r="AO731" i="42"/>
  <c r="L140" i="47"/>
  <c r="L17" i="47"/>
  <c r="X143" i="62"/>
  <c r="U143" i="62"/>
  <c r="V143" i="62" s="1"/>
  <c r="I1945" i="37"/>
  <c r="H1001" i="37"/>
  <c r="H2614" i="37"/>
  <c r="H2620" i="37"/>
  <c r="E95" i="50"/>
  <c r="G2597" i="37"/>
  <c r="G2598" i="37" s="1"/>
  <c r="G2599" i="37" s="1"/>
  <c r="I979" i="37"/>
  <c r="I190" i="62"/>
  <c r="H1323" i="37"/>
  <c r="H688" i="37"/>
  <c r="H682" i="37"/>
  <c r="H35" i="37"/>
  <c r="G665" i="37"/>
  <c r="G666" i="37" s="1"/>
  <c r="G667" i="37" s="1"/>
  <c r="W145" i="62"/>
  <c r="L347" i="47"/>
  <c r="L315" i="47"/>
  <c r="X145" i="62"/>
  <c r="W140" i="62"/>
  <c r="U140" i="62"/>
  <c r="V140" i="62" s="1"/>
  <c r="Y136" i="62"/>
  <c r="U136" i="62"/>
  <c r="V136" i="62" s="1"/>
  <c r="I1461" i="50"/>
  <c r="T156" i="41"/>
  <c r="E289" i="50"/>
  <c r="E270" i="41"/>
  <c r="Y144" i="62"/>
  <c r="U144" i="62"/>
  <c r="V144" i="62" s="1"/>
  <c r="E150" i="41"/>
  <c r="I2589" i="37"/>
  <c r="E284" i="50"/>
  <c r="E265" i="41"/>
  <c r="H2292" i="37"/>
  <c r="H2298" i="37"/>
  <c r="I13" i="37"/>
  <c r="I184" i="62"/>
  <c r="AO1030" i="42"/>
  <c r="AO1056" i="42"/>
  <c r="AO1073" i="42"/>
  <c r="AO1000" i="42"/>
  <c r="AO1024" i="42"/>
  <c r="AO1031" i="42"/>
  <c r="AO1013" i="42"/>
  <c r="AO994" i="42"/>
  <c r="AO997" i="42"/>
  <c r="AO993" i="42"/>
  <c r="AO1011" i="42"/>
  <c r="AO1071" i="42"/>
  <c r="AO1022" i="42"/>
  <c r="AO1047" i="42"/>
  <c r="AO1064" i="42"/>
  <c r="AO991" i="42"/>
  <c r="AO1015" i="42"/>
  <c r="AO1016" i="42"/>
  <c r="AO999" i="42"/>
  <c r="AO1076" i="42"/>
  <c r="AO1066" i="42"/>
  <c r="AO1061" i="42"/>
  <c r="AO988" i="42"/>
  <c r="AO1053" i="42"/>
  <c r="AO1065" i="42"/>
  <c r="AO1033" i="42"/>
  <c r="AO1017" i="42"/>
  <c r="AO1078" i="42"/>
  <c r="AO1014" i="42"/>
  <c r="AO1037" i="42"/>
  <c r="AO1055" i="42"/>
  <c r="AO1079" i="42"/>
  <c r="AO1005" i="42"/>
  <c r="AO1002" i="42"/>
  <c r="AO985" i="42"/>
  <c r="AO1050" i="42"/>
  <c r="AO1041" i="42"/>
  <c r="AO1035" i="42"/>
  <c r="AO1049" i="42"/>
  <c r="AO1009" i="42"/>
  <c r="AO1021" i="42"/>
  <c r="AO1070" i="42"/>
  <c r="AO1006" i="42"/>
  <c r="AO1028" i="42"/>
  <c r="AO1045" i="42"/>
  <c r="AO1069" i="42"/>
  <c r="AO996" i="42"/>
  <c r="AO986" i="42"/>
  <c r="AO1067" i="42"/>
  <c r="AO1026" i="42"/>
  <c r="AO1020" i="42"/>
  <c r="AO1012" i="42"/>
  <c r="AO1025" i="42"/>
  <c r="AO1038" i="42"/>
  <c r="AO1044" i="42"/>
  <c r="AO1034" i="42"/>
  <c r="AO1062" i="42"/>
  <c r="AO998" i="42"/>
  <c r="AO1019" i="42"/>
  <c r="AO1036" i="42"/>
  <c r="AO1060" i="42"/>
  <c r="AO987" i="42"/>
  <c r="AO1072" i="42"/>
  <c r="AO1052" i="42"/>
  <c r="AO1004" i="42"/>
  <c r="AO995" i="42"/>
  <c r="AO989" i="42"/>
  <c r="AO1007" i="42"/>
  <c r="AO1054" i="42"/>
  <c r="AO990" i="42"/>
  <c r="AO1010" i="42"/>
  <c r="AO1027" i="42"/>
  <c r="AO1051" i="42"/>
  <c r="AO1075" i="42"/>
  <c r="AO1058" i="42"/>
  <c r="AO1039" i="42"/>
  <c r="AO1068" i="42"/>
  <c r="AO1063" i="42"/>
  <c r="AO1080" i="42"/>
  <c r="AO1032" i="42"/>
  <c r="AO1029" i="42"/>
  <c r="AO1046" i="42"/>
  <c r="AO1074" i="42"/>
  <c r="AO1001" i="42"/>
  <c r="AO1018" i="42"/>
  <c r="AO1042" i="42"/>
  <c r="AO1059" i="42"/>
  <c r="AO1043" i="42"/>
  <c r="AO1023" i="42"/>
  <c r="AO1048" i="42"/>
  <c r="AO1040" i="42"/>
  <c r="AO1057" i="42"/>
  <c r="AO1003" i="42"/>
  <c r="AO992" i="42"/>
  <c r="AO1008" i="42"/>
  <c r="AO1077" i="42"/>
  <c r="L106" i="47"/>
  <c r="I1625" i="50"/>
  <c r="I969" i="50"/>
  <c r="E152" i="41"/>
  <c r="E92" i="50"/>
  <c r="I805" i="50"/>
  <c r="AO1146" i="42"/>
  <c r="AO1177" i="42"/>
  <c r="AO1142" i="42"/>
  <c r="AO1159" i="42"/>
  <c r="AO1086" i="42"/>
  <c r="AO1101" i="42"/>
  <c r="AO1164" i="42"/>
  <c r="AO1129" i="42"/>
  <c r="AO1167" i="42"/>
  <c r="AO1161" i="42"/>
  <c r="AO1155" i="42"/>
  <c r="AO1099" i="42"/>
  <c r="AO1138" i="42"/>
  <c r="AO1176" i="42"/>
  <c r="AO1133" i="42"/>
  <c r="AO1150" i="42"/>
  <c r="AO1165" i="42"/>
  <c r="AO1092" i="42"/>
  <c r="AO1149" i="42"/>
  <c r="AO1116" i="42"/>
  <c r="AO1143" i="42"/>
  <c r="AO1139" i="42"/>
  <c r="AO1131" i="42"/>
  <c r="AO1171" i="42"/>
  <c r="AO1095" i="42"/>
  <c r="AO1102" i="42"/>
  <c r="AO1180" i="42"/>
  <c r="AO1130" i="42"/>
  <c r="AO1175" i="42"/>
  <c r="AO1124" i="42"/>
  <c r="AO1141" i="42"/>
  <c r="AO1156" i="42"/>
  <c r="AO1166" i="42"/>
  <c r="AO1135" i="42"/>
  <c r="AO1100" i="42"/>
  <c r="AO1118" i="42"/>
  <c r="AO1112" i="42"/>
  <c r="AO1109" i="42"/>
  <c r="AO1151" i="42"/>
  <c r="AO1110" i="42"/>
  <c r="AO1094" i="42"/>
  <c r="AO1179" i="42"/>
  <c r="AO1122" i="42"/>
  <c r="AO1174" i="42"/>
  <c r="AO1115" i="42"/>
  <c r="AO1132" i="42"/>
  <c r="AO1147" i="42"/>
  <c r="AO1152" i="42"/>
  <c r="AO1120" i="42"/>
  <c r="AO1085" i="42"/>
  <c r="AO1097" i="42"/>
  <c r="AO1089" i="42"/>
  <c r="AO1145" i="42"/>
  <c r="AO1154" i="42"/>
  <c r="AO1168" i="42"/>
  <c r="AO1144" i="42"/>
  <c r="AO1178" i="42"/>
  <c r="AO1114" i="42"/>
  <c r="AO1173" i="42"/>
  <c r="AO1105" i="42"/>
  <c r="AO1123" i="42"/>
  <c r="AO1137" i="42"/>
  <c r="AO1136" i="42"/>
  <c r="AO1107" i="42"/>
  <c r="AO1172" i="42"/>
  <c r="AO1163" i="42"/>
  <c r="AO1157" i="42"/>
  <c r="AO1125" i="42"/>
  <c r="AO1088" i="42"/>
  <c r="AO1170" i="42"/>
  <c r="AO1106" i="42"/>
  <c r="AO1169" i="42"/>
  <c r="AO1096" i="42"/>
  <c r="AO1113" i="42"/>
  <c r="AO1128" i="42"/>
  <c r="AO1121" i="42"/>
  <c r="AO1091" i="42"/>
  <c r="AO1148" i="42"/>
  <c r="AO1140" i="42"/>
  <c r="AO1134" i="42"/>
  <c r="AO1127" i="42"/>
  <c r="AO1162" i="42"/>
  <c r="AO1098" i="42"/>
  <c r="AO1160" i="42"/>
  <c r="AO1087" i="42"/>
  <c r="AO1104" i="42"/>
  <c r="AO1119" i="42"/>
  <c r="AO1108" i="42"/>
  <c r="AO1158" i="42"/>
  <c r="AO1126" i="42"/>
  <c r="AO1117" i="42"/>
  <c r="AO1111" i="42"/>
  <c r="AO1103" i="42"/>
  <c r="AO1090" i="42"/>
  <c r="AO1093" i="42"/>
  <c r="AO1153" i="42"/>
  <c r="AO196" i="42"/>
  <c r="AO132" i="42"/>
  <c r="AO68" i="42"/>
  <c r="AO187" i="42"/>
  <c r="AO240" i="42"/>
  <c r="AO176" i="42"/>
  <c r="AO229" i="42"/>
  <c r="AO126" i="42"/>
  <c r="AO15" i="42"/>
  <c r="AO106" i="42"/>
  <c r="AO199" i="42"/>
  <c r="AO189" i="42"/>
  <c r="AO48" i="42"/>
  <c r="AO210" i="42"/>
  <c r="AO113" i="42"/>
  <c r="AO26" i="42"/>
  <c r="AO142" i="42"/>
  <c r="AO46" i="42"/>
  <c r="AO72" i="42"/>
  <c r="AO83" i="42"/>
  <c r="AO75" i="42"/>
  <c r="AO102" i="42"/>
  <c r="AO25" i="42"/>
  <c r="AO30" i="42"/>
  <c r="AO154" i="42"/>
  <c r="AO41" i="42"/>
  <c r="AO94" i="42"/>
  <c r="AO197" i="42"/>
  <c r="AO105" i="42"/>
  <c r="AO76" i="42"/>
  <c r="AO18" i="42"/>
  <c r="AO181" i="42"/>
  <c r="AO188" i="42"/>
  <c r="AO124" i="42"/>
  <c r="AO243" i="42"/>
  <c r="AO179" i="42"/>
  <c r="AO232" i="42"/>
  <c r="AO168" i="42"/>
  <c r="AO215" i="42"/>
  <c r="AO117" i="42"/>
  <c r="AO23" i="42"/>
  <c r="AO97" i="42"/>
  <c r="AO174" i="42"/>
  <c r="AO162" i="42"/>
  <c r="AO225" i="42"/>
  <c r="AO198" i="42"/>
  <c r="AO104" i="42"/>
  <c r="AO34" i="42"/>
  <c r="AO120" i="42"/>
  <c r="AO234" i="42"/>
  <c r="AO57" i="42"/>
  <c r="AO56" i="42"/>
  <c r="AO45" i="42"/>
  <c r="AO87" i="42"/>
  <c r="AO182" i="42"/>
  <c r="AO221" i="42"/>
  <c r="AO129" i="42"/>
  <c r="AO53" i="42"/>
  <c r="AO81" i="42"/>
  <c r="AO170" i="42"/>
  <c r="AO63" i="42"/>
  <c r="AO131" i="42"/>
  <c r="AO238" i="42"/>
  <c r="AO167" i="42"/>
  <c r="AO85" i="42"/>
  <c r="AO244" i="42"/>
  <c r="AO180" i="42"/>
  <c r="AO116" i="42"/>
  <c r="AO235" i="42"/>
  <c r="AO171" i="42"/>
  <c r="AO224" i="42"/>
  <c r="AO160" i="42"/>
  <c r="AO202" i="42"/>
  <c r="AO107" i="42"/>
  <c r="AO31" i="42"/>
  <c r="AO79" i="42"/>
  <c r="AO149" i="42"/>
  <c r="AO150" i="42"/>
  <c r="AO186" i="42"/>
  <c r="AO185" i="42"/>
  <c r="AO95" i="42"/>
  <c r="AO42" i="42"/>
  <c r="AO103" i="42"/>
  <c r="AO209" i="42"/>
  <c r="AO37" i="42"/>
  <c r="AO38" i="42"/>
  <c r="AO242" i="42"/>
  <c r="AO73" i="42"/>
  <c r="AO130" i="42"/>
  <c r="AO143" i="42"/>
  <c r="AO111" i="42"/>
  <c r="AO230" i="42"/>
  <c r="AO65" i="42"/>
  <c r="AO145" i="42"/>
  <c r="AO20" i="42"/>
  <c r="AO140" i="42"/>
  <c r="AO241" i="42"/>
  <c r="AO24" i="42"/>
  <c r="AO35" i="42"/>
  <c r="AO78" i="42"/>
  <c r="AO222" i="42"/>
  <c r="AO236" i="42"/>
  <c r="AO172" i="42"/>
  <c r="AO108" i="42"/>
  <c r="AO227" i="42"/>
  <c r="AO163" i="42"/>
  <c r="AO216" i="42"/>
  <c r="AO152" i="42"/>
  <c r="AO190" i="42"/>
  <c r="AO98" i="42"/>
  <c r="AO39" i="42"/>
  <c r="AO61" i="42"/>
  <c r="AO114" i="42"/>
  <c r="AO125" i="42"/>
  <c r="AO161" i="42"/>
  <c r="AO173" i="42"/>
  <c r="AO86" i="42"/>
  <c r="AO50" i="42"/>
  <c r="AO90" i="42"/>
  <c r="AO183" i="42"/>
  <c r="AO51" i="42"/>
  <c r="AO93" i="42"/>
  <c r="AO217" i="42"/>
  <c r="AO58" i="42"/>
  <c r="AO99" i="42"/>
  <c r="AO91" i="42"/>
  <c r="AO96" i="42"/>
  <c r="AO205" i="42"/>
  <c r="AO17" i="42"/>
  <c r="AO123" i="42"/>
  <c r="AO195" i="42"/>
  <c r="AO62" i="42"/>
  <c r="AO122" i="42"/>
  <c r="AO119" i="42"/>
  <c r="AO228" i="42"/>
  <c r="AO164" i="42"/>
  <c r="AO100" i="42"/>
  <c r="AO219" i="42"/>
  <c r="AO155" i="42"/>
  <c r="AO208" i="42"/>
  <c r="AO144" i="42"/>
  <c r="AO177" i="42"/>
  <c r="AO89" i="42"/>
  <c r="AO47" i="42"/>
  <c r="AO16" i="42"/>
  <c r="AO239" i="42"/>
  <c r="AO115" i="42"/>
  <c r="AO135" i="42"/>
  <c r="AO159" i="42"/>
  <c r="AO77" i="42"/>
  <c r="AO245" i="42"/>
  <c r="AO74" i="42"/>
  <c r="AO158" i="42"/>
  <c r="AO233" i="42"/>
  <c r="AO19" i="42"/>
  <c r="AO191" i="42"/>
  <c r="AO22" i="42"/>
  <c r="AO69" i="42"/>
  <c r="AO33" i="42"/>
  <c r="AO82" i="42"/>
  <c r="AO178" i="42"/>
  <c r="AO29" i="42"/>
  <c r="AO109" i="42"/>
  <c r="AO204" i="42"/>
  <c r="AO201" i="42"/>
  <c r="AO121" i="42"/>
  <c r="AO194" i="42"/>
  <c r="AO220" i="42"/>
  <c r="AO156" i="42"/>
  <c r="AO92" i="42"/>
  <c r="AO211" i="42"/>
  <c r="AO147" i="42"/>
  <c r="AO200" i="42"/>
  <c r="AO136" i="42"/>
  <c r="AO165" i="42"/>
  <c r="AO80" i="42"/>
  <c r="AO14" i="42"/>
  <c r="AO32" i="42"/>
  <c r="AO226" i="42"/>
  <c r="AO88" i="42"/>
  <c r="AO213" i="42"/>
  <c r="AO146" i="42"/>
  <c r="AO67" i="42"/>
  <c r="AO218" i="42"/>
  <c r="AO60" i="42"/>
  <c r="AO133" i="42"/>
  <c r="AO207" i="42"/>
  <c r="AO246" i="42"/>
  <c r="AO166" i="42"/>
  <c r="AO36" i="42"/>
  <c r="AO27" i="42"/>
  <c r="AO231" i="42"/>
  <c r="AO66" i="42"/>
  <c r="AO153" i="42"/>
  <c r="AO43" i="42"/>
  <c r="AO64" i="42"/>
  <c r="AO138" i="42"/>
  <c r="AO101" i="42"/>
  <c r="AO110" i="42"/>
  <c r="AO212" i="42"/>
  <c r="AO148" i="42"/>
  <c r="AO84" i="42"/>
  <c r="AO203" i="42"/>
  <c r="AO139" i="42"/>
  <c r="AO192" i="42"/>
  <c r="AO128" i="42"/>
  <c r="AO151" i="42"/>
  <c r="AO71" i="42"/>
  <c r="AO175" i="42"/>
  <c r="AO40" i="42"/>
  <c r="AO214" i="42"/>
  <c r="AO70" i="42"/>
  <c r="AO237" i="42"/>
  <c r="AO134" i="42"/>
  <c r="AO59" i="42"/>
  <c r="AO193" i="42"/>
  <c r="AO21" i="42"/>
  <c r="AO118" i="42"/>
  <c r="AO157" i="42"/>
  <c r="AO169" i="42"/>
  <c r="AO141" i="42"/>
  <c r="AO49" i="42"/>
  <c r="AO52" i="42"/>
  <c r="AO206" i="42"/>
  <c r="AO55" i="42"/>
  <c r="AO127" i="42"/>
  <c r="AO54" i="42"/>
  <c r="AO44" i="42"/>
  <c r="AO184" i="42"/>
  <c r="AO137" i="42"/>
  <c r="AO223" i="42"/>
  <c r="AO112" i="42"/>
  <c r="AO28" i="42"/>
  <c r="T151" i="41"/>
  <c r="L174" i="47"/>
  <c r="W139" i="62"/>
  <c r="U139" i="62"/>
  <c r="V139" i="62" s="1"/>
  <c r="Y138" i="62"/>
  <c r="U138" i="62"/>
  <c r="V138" i="62" s="1"/>
  <c r="M377" i="37" l="1"/>
  <c r="AL335" i="37"/>
  <c r="S101" i="50"/>
  <c r="P101" i="50"/>
  <c r="N699" i="37"/>
  <c r="Q679" i="37"/>
  <c r="Q870" i="37"/>
  <c r="Q685" i="37"/>
  <c r="S879" i="37"/>
  <c r="N666" i="37"/>
  <c r="S549" i="37"/>
  <c r="R347" i="37"/>
  <c r="Q614" i="37"/>
  <c r="Q578" i="37"/>
  <c r="Q635" i="37"/>
  <c r="Q569" i="37"/>
  <c r="Q588" i="37"/>
  <c r="K344" i="37"/>
  <c r="K345" i="37" s="1"/>
  <c r="L344" i="37"/>
  <c r="L345" i="37" s="1"/>
  <c r="Q557" i="37"/>
  <c r="H347" i="37"/>
  <c r="J399" i="37"/>
  <c r="E281" i="50"/>
  <c r="E262" i="41"/>
  <c r="Q262" i="41" s="1"/>
  <c r="E113" i="50"/>
  <c r="E228" i="50" s="1"/>
  <c r="P228" i="50" s="1"/>
  <c r="E117" i="50"/>
  <c r="E232" i="50" s="1"/>
  <c r="P93" i="50"/>
  <c r="P97" i="50"/>
  <c r="P1392" i="50"/>
  <c r="P1438" i="50"/>
  <c r="P1433" i="50"/>
  <c r="P1412" i="50"/>
  <c r="H2942" i="37"/>
  <c r="P1437" i="50"/>
  <c r="P1441" i="50"/>
  <c r="P1422" i="50"/>
  <c r="R142" i="47"/>
  <c r="R165" i="47" s="1"/>
  <c r="E121" i="50"/>
  <c r="E236" i="50" s="1"/>
  <c r="P236" i="50" s="1"/>
  <c r="P763" i="50"/>
  <c r="P752" i="50"/>
  <c r="S861" i="37"/>
  <c r="K666" i="37"/>
  <c r="K667" i="37" s="1"/>
  <c r="P717" i="50"/>
  <c r="Q366" i="37"/>
  <c r="Q613" i="37"/>
  <c r="Q589" i="37"/>
  <c r="Q490" i="37"/>
  <c r="Q363" i="37"/>
  <c r="Q382" i="37"/>
  <c r="S378" i="37"/>
  <c r="Q406" i="37"/>
  <c r="E635" i="37"/>
  <c r="N344" i="37"/>
  <c r="Q360" i="37"/>
  <c r="Q358" i="37" s="1"/>
  <c r="Q970" i="37"/>
  <c r="K699" i="37"/>
  <c r="P784" i="50"/>
  <c r="X335" i="37"/>
  <c r="Z335" i="37" s="1"/>
  <c r="E490" i="37"/>
  <c r="S529" i="37"/>
  <c r="N377" i="37"/>
  <c r="Q623" i="37"/>
  <c r="Q570" i="37"/>
  <c r="Q648" i="37"/>
  <c r="Q393" i="37"/>
  <c r="S517" i="37"/>
  <c r="Q345" i="37"/>
  <c r="S490" i="37"/>
  <c r="Q917" i="37"/>
  <c r="I917" i="37" s="1"/>
  <c r="J644" i="50"/>
  <c r="T647" i="50" s="1"/>
  <c r="L652" i="50" s="1"/>
  <c r="J344" i="37"/>
  <c r="J345" i="37" s="1"/>
  <c r="Q517" i="37"/>
  <c r="Q365" i="37"/>
  <c r="Q549" i="37"/>
  <c r="H377" i="37"/>
  <c r="H379" i="37" s="1"/>
  <c r="H382" i="37" s="1"/>
  <c r="Q556" i="37"/>
  <c r="Q421" i="37"/>
  <c r="S613" i="37"/>
  <c r="M344" i="37"/>
  <c r="M345" i="37" s="1"/>
  <c r="Q415" i="37"/>
  <c r="Q413" i="37" s="1"/>
  <c r="Q412" i="37"/>
  <c r="I412" i="37" s="1"/>
  <c r="I470" i="37"/>
  <c r="E119" i="50"/>
  <c r="E234" i="50" s="1"/>
  <c r="P234" i="50" s="1"/>
  <c r="M699" i="37"/>
  <c r="P775" i="50"/>
  <c r="Q552" i="37"/>
  <c r="R378" i="37"/>
  <c r="S623" i="37"/>
  <c r="J377" i="37"/>
  <c r="Q622" i="37"/>
  <c r="K377" i="37"/>
  <c r="Q396" i="37"/>
  <c r="Q595" i="37"/>
  <c r="I595" i="37" s="1"/>
  <c r="Q591" i="37"/>
  <c r="S557" i="37"/>
  <c r="S629" i="37"/>
  <c r="AG561" i="37"/>
  <c r="AD563" i="37" s="1"/>
  <c r="AD572" i="37" s="1"/>
  <c r="AD581" i="37" s="1"/>
  <c r="AD607" i="37" s="1"/>
  <c r="AD616" i="37" s="1"/>
  <c r="N1959" i="50"/>
  <c r="S99" i="50"/>
  <c r="T657" i="37"/>
  <c r="V657" i="37" s="1"/>
  <c r="S614" i="37"/>
  <c r="I377" i="37"/>
  <c r="Q499" i="37"/>
  <c r="Q604" i="37"/>
  <c r="Q498" i="37"/>
  <c r="Q387" i="37"/>
  <c r="Q390" i="37"/>
  <c r="Q388" i="37" s="1"/>
  <c r="Q644" i="37"/>
  <c r="Q529" i="37"/>
  <c r="Q579" i="37"/>
  <c r="L377" i="37"/>
  <c r="P739" i="50"/>
  <c r="P737" i="50" s="1"/>
  <c r="P738" i="50" s="1"/>
  <c r="P771" i="50"/>
  <c r="P667" i="50"/>
  <c r="P665" i="50" s="1"/>
  <c r="P777" i="50"/>
  <c r="P782" i="50"/>
  <c r="P736" i="50"/>
  <c r="P791" i="50"/>
  <c r="P2001" i="50"/>
  <c r="P1424" i="50"/>
  <c r="P1440" i="50"/>
  <c r="P769" i="50"/>
  <c r="E644" i="50"/>
  <c r="P800" i="50"/>
  <c r="P764" i="50"/>
  <c r="P778" i="50"/>
  <c r="P774" i="50"/>
  <c r="P693" i="50"/>
  <c r="L647" i="50"/>
  <c r="P2080" i="50"/>
  <c r="P1303" i="50"/>
  <c r="P1447" i="50"/>
  <c r="P789" i="50"/>
  <c r="P787" i="50"/>
  <c r="N647" i="50"/>
  <c r="P780" i="50"/>
  <c r="P785" i="50"/>
  <c r="P751" i="50"/>
  <c r="P768" i="50"/>
  <c r="J1959" i="50"/>
  <c r="P1419" i="50"/>
  <c r="P682" i="50"/>
  <c r="P664" i="50"/>
  <c r="P754" i="50"/>
  <c r="P786" i="50"/>
  <c r="K644" i="50"/>
  <c r="P750" i="50"/>
  <c r="P792" i="50"/>
  <c r="P2095" i="50"/>
  <c r="P745" i="50"/>
  <c r="P797" i="50"/>
  <c r="P689" i="50"/>
  <c r="P756" i="50"/>
  <c r="P788" i="50"/>
  <c r="P767" i="50"/>
  <c r="P675" i="50"/>
  <c r="P2079" i="50"/>
  <c r="P1427" i="50"/>
  <c r="P1395" i="50"/>
  <c r="P1393" i="50" s="1"/>
  <c r="P1394" i="50" s="1"/>
  <c r="P766" i="50"/>
  <c r="P772" i="50"/>
  <c r="P781" i="50"/>
  <c r="P685" i="50"/>
  <c r="P683" i="50" s="1"/>
  <c r="P684" i="50" s="1"/>
  <c r="R641" i="50"/>
  <c r="D2525" i="50" s="1"/>
  <c r="D2568" i="50" s="1"/>
  <c r="D2590" i="50" s="1"/>
  <c r="P696" i="50"/>
  <c r="P694" i="50" s="1"/>
  <c r="P647" i="50"/>
  <c r="K647" i="50"/>
  <c r="P2084" i="50"/>
  <c r="P651" i="50"/>
  <c r="P798" i="50"/>
  <c r="P801" i="50"/>
  <c r="P783" i="50"/>
  <c r="P794" i="50"/>
  <c r="L644" i="50"/>
  <c r="N755" i="50" s="1"/>
  <c r="J647" i="50"/>
  <c r="M647" i="50"/>
  <c r="P2051" i="50"/>
  <c r="P2049" i="50" s="1"/>
  <c r="P1331" i="50"/>
  <c r="K1303" i="50"/>
  <c r="P1431" i="50"/>
  <c r="P1456" i="50"/>
  <c r="P1359" i="50"/>
  <c r="J1300" i="50"/>
  <c r="S1303" i="50" s="1"/>
  <c r="K1307" i="50" s="1"/>
  <c r="P1345" i="50"/>
  <c r="M1303" i="50"/>
  <c r="L1303" i="50"/>
  <c r="P1423" i="50"/>
  <c r="P1352" i="50"/>
  <c r="P1350" i="50" s="1"/>
  <c r="P1351" i="50" s="1"/>
  <c r="P1341" i="50"/>
  <c r="P1339" i="50" s="1"/>
  <c r="P1340" i="50" s="1"/>
  <c r="N1303" i="50"/>
  <c r="P1420" i="50"/>
  <c r="E1300" i="50"/>
  <c r="P1401" i="50"/>
  <c r="P1406" i="50"/>
  <c r="P1307" i="50"/>
  <c r="P1445" i="50"/>
  <c r="P1443" i="50"/>
  <c r="P1442" i="50"/>
  <c r="P1338" i="50"/>
  <c r="P1410" i="50"/>
  <c r="P1408" i="50"/>
  <c r="P1453" i="50"/>
  <c r="P1457" i="50"/>
  <c r="P1448" i="50"/>
  <c r="P1444" i="50"/>
  <c r="P1436" i="50"/>
  <c r="P1407" i="50"/>
  <c r="P1434" i="50"/>
  <c r="L1300" i="50"/>
  <c r="M1411" i="50" s="1"/>
  <c r="N1316" i="50" s="1"/>
  <c r="R1297" i="50"/>
  <c r="D2529" i="50" s="1"/>
  <c r="D2572" i="50" s="1"/>
  <c r="D2619" i="50" s="1"/>
  <c r="D2642" i="50" s="1"/>
  <c r="D2665" i="50" s="1"/>
  <c r="P1320" i="50"/>
  <c r="P1430" i="50"/>
  <c r="P1425" i="50"/>
  <c r="J1303" i="50"/>
  <c r="P1428" i="50"/>
  <c r="P1454" i="50"/>
  <c r="P1373" i="50"/>
  <c r="P1323" i="50"/>
  <c r="P1321" i="50" s="1"/>
  <c r="P1322" i="50" s="1"/>
  <c r="P1439" i="50"/>
  <c r="P1450" i="50"/>
  <c r="P2057" i="50"/>
  <c r="P2089" i="50"/>
  <c r="P2048" i="50"/>
  <c r="P2078" i="50"/>
  <c r="P2093" i="50"/>
  <c r="E1956" i="50"/>
  <c r="P2090" i="50"/>
  <c r="P2076" i="50"/>
  <c r="P1959" i="50"/>
  <c r="P2066" i="50"/>
  <c r="P1987" i="50"/>
  <c r="K1959" i="50"/>
  <c r="P2106" i="50"/>
  <c r="P2083" i="50"/>
  <c r="P2081" i="50"/>
  <c r="P1994" i="50"/>
  <c r="P2109" i="50"/>
  <c r="P2099" i="50"/>
  <c r="P2097" i="50"/>
  <c r="M1959" i="50"/>
  <c r="P2104" i="50"/>
  <c r="P2086" i="50"/>
  <c r="P1997" i="50"/>
  <c r="P1995" i="50" s="1"/>
  <c r="P1996" i="50" s="1"/>
  <c r="P1963" i="50"/>
  <c r="P2005" i="50"/>
  <c r="P1979" i="50"/>
  <c r="P1977" i="50" s="1"/>
  <c r="P1978" i="50" s="1"/>
  <c r="P2096" i="50"/>
  <c r="P2092" i="50"/>
  <c r="P2064" i="50"/>
  <c r="P2094" i="50"/>
  <c r="P2113" i="50"/>
  <c r="L1959" i="50"/>
  <c r="P1976" i="50"/>
  <c r="P2087" i="50"/>
  <c r="P2103" i="50"/>
  <c r="P2029" i="50"/>
  <c r="P2100" i="50"/>
  <c r="P2112" i="50"/>
  <c r="P2098" i="50"/>
  <c r="P2101" i="50"/>
  <c r="P2110" i="50"/>
  <c r="R1953" i="50"/>
  <c r="D2533" i="50" s="1"/>
  <c r="D2576" i="50" s="1"/>
  <c r="D2623" i="50" s="1"/>
  <c r="D2646" i="50" s="1"/>
  <c r="D2669" i="50" s="1"/>
  <c r="P2015" i="50"/>
  <c r="P2063" i="50"/>
  <c r="K1956" i="50"/>
  <c r="P2062" i="50"/>
  <c r="P2008" i="50"/>
  <c r="P2006" i="50" s="1"/>
  <c r="P2007" i="50" s="1"/>
  <c r="L1956" i="50"/>
  <c r="L2065" i="50" s="1"/>
  <c r="M1970" i="50" s="1"/>
  <c r="J1956" i="50"/>
  <c r="V1959" i="50" s="1"/>
  <c r="N1963" i="50" s="1"/>
  <c r="P2068" i="50"/>
  <c r="P94" i="50"/>
  <c r="E114" i="50"/>
  <c r="E229" i="50" s="1"/>
  <c r="P229" i="50" s="1"/>
  <c r="N1359" i="37"/>
  <c r="N1361" i="37" s="1"/>
  <c r="N1362" i="37" s="1"/>
  <c r="J753" i="50"/>
  <c r="K698" i="50" s="1"/>
  <c r="J1359" i="37"/>
  <c r="J1361" i="37" s="1"/>
  <c r="J1362" i="37" s="1"/>
  <c r="J1337" i="37"/>
  <c r="J2969" i="37"/>
  <c r="J2971" i="37" s="1"/>
  <c r="J2972" i="37" s="1"/>
  <c r="H366" i="37"/>
  <c r="V1139" i="50"/>
  <c r="N1144" i="50" s="1"/>
  <c r="AA145" i="62"/>
  <c r="L2073" i="50"/>
  <c r="I591" i="50"/>
  <c r="J550" i="50" s="1"/>
  <c r="S591" i="50"/>
  <c r="I1632" i="37"/>
  <c r="J755" i="50"/>
  <c r="K660" i="50" s="1"/>
  <c r="K753" i="50"/>
  <c r="L723" i="50" s="1"/>
  <c r="M755" i="50"/>
  <c r="N686" i="50" s="1"/>
  <c r="K755" i="50"/>
  <c r="L660" i="50" s="1"/>
  <c r="AA136" i="62"/>
  <c r="M753" i="50"/>
  <c r="N658" i="50" s="1"/>
  <c r="L755" i="50"/>
  <c r="M686" i="50" s="1"/>
  <c r="J1245" i="50"/>
  <c r="K1173" i="50" s="1"/>
  <c r="S755" i="50"/>
  <c r="S753" i="50"/>
  <c r="L753" i="50"/>
  <c r="M740" i="50" s="1"/>
  <c r="M644" i="50"/>
  <c r="I755" i="50"/>
  <c r="J700" i="50" s="1"/>
  <c r="K2966" i="37"/>
  <c r="I644" i="50"/>
  <c r="J754" i="50" s="1"/>
  <c r="K741" i="50" s="1"/>
  <c r="H669" i="37"/>
  <c r="L666" i="37"/>
  <c r="L667" i="37" s="1"/>
  <c r="E812" i="37"/>
  <c r="Q874" i="37"/>
  <c r="Q688" i="37"/>
  <c r="L699" i="37"/>
  <c r="M666" i="37"/>
  <c r="M667" i="37" s="1"/>
  <c r="Q957" i="37"/>
  <c r="Q900" i="37"/>
  <c r="Q737" i="37"/>
  <c r="Q735" i="37" s="1"/>
  <c r="S812" i="37"/>
  <c r="Q878" i="37"/>
  <c r="S1245" i="50"/>
  <c r="L591" i="50"/>
  <c r="M508" i="50" s="1"/>
  <c r="J591" i="50"/>
  <c r="K508" i="50" s="1"/>
  <c r="S878" i="37"/>
  <c r="J721" i="37"/>
  <c r="Q734" i="37"/>
  <c r="I734" i="37" s="1"/>
  <c r="X657" i="37"/>
  <c r="Z657" i="37" s="1"/>
  <c r="Q936" i="37"/>
  <c r="S945" i="37"/>
  <c r="Q812" i="37"/>
  <c r="E957" i="37"/>
  <c r="S851" i="37"/>
  <c r="Q923" i="37"/>
  <c r="R669" i="37"/>
  <c r="AE666" i="37" s="1"/>
  <c r="N390" i="37"/>
  <c r="T483" i="50"/>
  <c r="L488" i="50" s="1"/>
  <c r="S589" i="50"/>
  <c r="Q891" i="37"/>
  <c r="Q966" i="37"/>
  <c r="Q851" i="37"/>
  <c r="Q740" i="37"/>
  <c r="S839" i="37"/>
  <c r="I699" i="37"/>
  <c r="Q839" i="37"/>
  <c r="Q901" i="37"/>
  <c r="AG830" i="37"/>
  <c r="AD832" i="37" s="1"/>
  <c r="AD844" i="37" s="1"/>
  <c r="Q666" i="37"/>
  <c r="Q913" i="37"/>
  <c r="L1245" i="50"/>
  <c r="M1215" i="50" s="1"/>
  <c r="I480" i="50"/>
  <c r="J524" i="50" s="1"/>
  <c r="J525" i="50" s="1"/>
  <c r="N589" i="50"/>
  <c r="S871" i="37"/>
  <c r="S951" i="37"/>
  <c r="Q945" i="37"/>
  <c r="Q687" i="37"/>
  <c r="Q910" i="37"/>
  <c r="Q667" i="37"/>
  <c r="Q944" i="37"/>
  <c r="Q715" i="37"/>
  <c r="I792" i="37"/>
  <c r="N667" i="37"/>
  <c r="Q951" i="37"/>
  <c r="M589" i="50"/>
  <c r="N534" i="50" s="1"/>
  <c r="M591" i="50"/>
  <c r="N496" i="50" s="1"/>
  <c r="J666" i="37"/>
  <c r="J667" i="37" s="1"/>
  <c r="T693" i="37"/>
  <c r="J693" i="37" s="1"/>
  <c r="S870" i="37"/>
  <c r="Q935" i="37"/>
  <c r="AG883" i="37"/>
  <c r="AD885" i="37" s="1"/>
  <c r="AD894" i="37" s="1"/>
  <c r="AD903" i="37" s="1"/>
  <c r="AD929" i="37" s="1"/>
  <c r="AD938" i="37" s="1"/>
  <c r="Q911" i="37"/>
  <c r="R700" i="37"/>
  <c r="Q820" i="37"/>
  <c r="Q704" i="37"/>
  <c r="Q926" i="37"/>
  <c r="Q871" i="37"/>
  <c r="M480" i="50"/>
  <c r="K589" i="50"/>
  <c r="L576" i="50" s="1"/>
  <c r="Q743" i="37"/>
  <c r="Q718" i="37"/>
  <c r="Q709" i="37"/>
  <c r="Q728" i="37"/>
  <c r="S936" i="37"/>
  <c r="Q875" i="37"/>
  <c r="S935" i="37"/>
  <c r="Q965" i="37"/>
  <c r="Q879" i="37"/>
  <c r="J699" i="37"/>
  <c r="H699" i="37"/>
  <c r="H701" i="37" s="1"/>
  <c r="K591" i="50"/>
  <c r="L522" i="50" s="1"/>
  <c r="Q821" i="37"/>
  <c r="Q920" i="37"/>
  <c r="Q918" i="37" s="1"/>
  <c r="Q861" i="37"/>
  <c r="AG962" i="37"/>
  <c r="Q712" i="37"/>
  <c r="Q710" i="37" s="1"/>
  <c r="E665" i="37"/>
  <c r="S700" i="37"/>
  <c r="Q969" i="37"/>
  <c r="Q682" i="37"/>
  <c r="Q680" i="37" s="1"/>
  <c r="Q892" i="37"/>
  <c r="AL657" i="37"/>
  <c r="M1136" i="50"/>
  <c r="J589" i="50"/>
  <c r="K517" i="50" s="1"/>
  <c r="J1659" i="37"/>
  <c r="E165" i="47"/>
  <c r="J393" i="37"/>
  <c r="J395" i="37" s="1"/>
  <c r="R349" i="47"/>
  <c r="R367" i="47" s="1"/>
  <c r="R244" i="47"/>
  <c r="R272" i="47" s="1"/>
  <c r="L390" i="37"/>
  <c r="J371" i="37"/>
  <c r="S483" i="50"/>
  <c r="K488" i="50" s="1"/>
  <c r="L1356" i="37"/>
  <c r="AD290" i="47"/>
  <c r="AD296" i="47" s="1"/>
  <c r="AA144" i="62"/>
  <c r="AE148" i="41"/>
  <c r="J390" i="37"/>
  <c r="K1359" i="37"/>
  <c r="K1361" i="37" s="1"/>
  <c r="K1362" i="37" s="1"/>
  <c r="AF290" i="47"/>
  <c r="AF296" i="47" s="1"/>
  <c r="N1356" i="37"/>
  <c r="AC290" i="47"/>
  <c r="AC296" i="47" s="1"/>
  <c r="Q2909" i="37"/>
  <c r="S1139" i="50"/>
  <c r="K1144" i="50" s="1"/>
  <c r="I220" i="47"/>
  <c r="L1417" i="50"/>
  <c r="M1359" i="37"/>
  <c r="M1361" i="37" s="1"/>
  <c r="M1362" i="37" s="1"/>
  <c r="AE290" i="47"/>
  <c r="AE296" i="47" s="1"/>
  <c r="AA137" i="62"/>
  <c r="AI290" i="47"/>
  <c r="AI296" i="47" s="1"/>
  <c r="R483" i="50"/>
  <c r="J488" i="50" s="1"/>
  <c r="H1348" i="37"/>
  <c r="AH290" i="47"/>
  <c r="AH296" i="47" s="1"/>
  <c r="K761" i="50"/>
  <c r="M390" i="37"/>
  <c r="V483" i="50"/>
  <c r="N488" i="50" s="1"/>
  <c r="N597" i="50"/>
  <c r="L1190" i="50"/>
  <c r="L1150" i="50"/>
  <c r="L1173" i="50"/>
  <c r="L1162" i="50"/>
  <c r="L1232" i="50"/>
  <c r="L1215" i="50"/>
  <c r="AE151" i="41"/>
  <c r="P95" i="50"/>
  <c r="S95" i="50"/>
  <c r="E115" i="50"/>
  <c r="E230" i="50" s="1"/>
  <c r="R176" i="47"/>
  <c r="R232" i="47" s="1"/>
  <c r="E232" i="47" s="1"/>
  <c r="L761" i="50"/>
  <c r="S98" i="50"/>
  <c r="P98" i="50"/>
  <c r="E118" i="50"/>
  <c r="E233" i="50" s="1"/>
  <c r="AK2921" i="37"/>
  <c r="V2911" i="37"/>
  <c r="AE35" i="41"/>
  <c r="M1245" i="50"/>
  <c r="N1245" i="50"/>
  <c r="J1253" i="50"/>
  <c r="T154" i="41"/>
  <c r="AE154" i="41" s="1"/>
  <c r="E268" i="41"/>
  <c r="E287" i="50"/>
  <c r="E267" i="41"/>
  <c r="E286" i="50"/>
  <c r="T153" i="41"/>
  <c r="AE153" i="41" s="1"/>
  <c r="N2005" i="50"/>
  <c r="S100" i="50"/>
  <c r="E120" i="50"/>
  <c r="E235" i="50" s="1"/>
  <c r="P100" i="50"/>
  <c r="V1083" i="42"/>
  <c r="AL1090" i="42"/>
  <c r="AA138" i="62"/>
  <c r="K2354" i="50"/>
  <c r="K2460" i="50"/>
  <c r="I2460" i="50"/>
  <c r="J2354" i="50"/>
  <c r="N2354" i="50"/>
  <c r="L2163" i="50"/>
  <c r="M2289" i="50"/>
  <c r="M2354" i="50"/>
  <c r="S92" i="50"/>
  <c r="J2411" i="50"/>
  <c r="N2230" i="50"/>
  <c r="L2499" i="50"/>
  <c r="H2460" i="50"/>
  <c r="N2411" i="50"/>
  <c r="L2230" i="50"/>
  <c r="J2460" i="50"/>
  <c r="L2411" i="50"/>
  <c r="I2499" i="50"/>
  <c r="K2499" i="50"/>
  <c r="N2289" i="50"/>
  <c r="M2499" i="50"/>
  <c r="H2499" i="50"/>
  <c r="M2163" i="50"/>
  <c r="P92" i="50"/>
  <c r="L2460" i="50"/>
  <c r="M2460" i="50"/>
  <c r="K2230" i="50"/>
  <c r="K2289" i="50"/>
  <c r="M2230" i="50"/>
  <c r="J2499" i="50"/>
  <c r="M2411" i="50"/>
  <c r="N2460" i="50"/>
  <c r="K2411" i="50"/>
  <c r="N2499" i="50"/>
  <c r="J2163" i="50"/>
  <c r="K2163" i="50"/>
  <c r="N2163" i="50"/>
  <c r="E112" i="50"/>
  <c r="E227" i="50" s="1"/>
  <c r="J2230" i="50"/>
  <c r="L2354" i="50"/>
  <c r="L2289" i="50"/>
  <c r="J2289" i="50"/>
  <c r="Q129" i="47"/>
  <c r="AD113" i="47"/>
  <c r="AD122" i="47" s="1"/>
  <c r="AD123" i="47" s="1"/>
  <c r="AI113" i="47"/>
  <c r="AI122" i="47" s="1"/>
  <c r="AI123" i="47" s="1"/>
  <c r="AG113" i="47"/>
  <c r="AG122" i="47" s="1"/>
  <c r="AG123" i="47" s="1"/>
  <c r="AH113" i="47"/>
  <c r="AH122" i="47" s="1"/>
  <c r="AH123" i="47" s="1"/>
  <c r="AE113" i="47"/>
  <c r="AE122" i="47" s="1"/>
  <c r="AE123" i="47" s="1"/>
  <c r="AF113" i="47"/>
  <c r="AF122" i="47" s="1"/>
  <c r="AF123" i="47" s="1"/>
  <c r="AC113" i="47"/>
  <c r="AC122" i="47" s="1"/>
  <c r="AC123" i="47" s="1"/>
  <c r="R382" i="47"/>
  <c r="R410" i="47" s="1"/>
  <c r="E410" i="47" s="1"/>
  <c r="T380" i="47"/>
  <c r="V380" i="47" s="1"/>
  <c r="AB380" i="47" s="1"/>
  <c r="AA143" i="62"/>
  <c r="Q2484" i="37"/>
  <c r="Q2579" i="37"/>
  <c r="Q2554" i="37"/>
  <c r="R2310" i="37"/>
  <c r="Q2580" i="37"/>
  <c r="S2488" i="37"/>
  <c r="J2309" i="37"/>
  <c r="J2311" i="37" s="1"/>
  <c r="J2314" i="37" s="1"/>
  <c r="L2276" i="37"/>
  <c r="L2277" i="37" s="1"/>
  <c r="Q2502" i="37"/>
  <c r="N2277" i="37"/>
  <c r="Q2510" i="37"/>
  <c r="H2279" i="37"/>
  <c r="Q2533" i="37"/>
  <c r="AL2267" i="37"/>
  <c r="T2303" i="37"/>
  <c r="J2303" i="37" s="1"/>
  <c r="N2309" i="37"/>
  <c r="Q2561" i="37"/>
  <c r="Q2521" i="37"/>
  <c r="Q2297" i="37"/>
  <c r="Q2471" i="37"/>
  <c r="Q2431" i="37"/>
  <c r="Q2461" i="37"/>
  <c r="Q2430" i="37"/>
  <c r="S2480" i="37"/>
  <c r="Q2527" i="37"/>
  <c r="I2527" i="37" s="1"/>
  <c r="Q2501" i="37"/>
  <c r="S2555" i="37"/>
  <c r="I2402" i="37"/>
  <c r="Q2488" i="37"/>
  <c r="S2545" i="37"/>
  <c r="Q2289" i="37"/>
  <c r="Q2298" i="37"/>
  <c r="Q2322" i="37"/>
  <c r="Q2320" i="37" s="1"/>
  <c r="Q2511" i="37"/>
  <c r="Q2536" i="37"/>
  <c r="Q2347" i="37"/>
  <c r="Q2345" i="37" s="1"/>
  <c r="Q2545" i="37"/>
  <c r="I2309" i="37"/>
  <c r="I2311" i="37" s="1"/>
  <c r="M2276" i="37"/>
  <c r="Q2567" i="37"/>
  <c r="Q2489" i="37"/>
  <c r="S2481" i="37"/>
  <c r="Q2449" i="37"/>
  <c r="L2309" i="37"/>
  <c r="L2311" i="37" s="1"/>
  <c r="L2314" i="37" s="1"/>
  <c r="Q2295" i="37"/>
  <c r="S2310" i="37"/>
  <c r="M2277" i="37"/>
  <c r="Q2277" i="37"/>
  <c r="K2276" i="37"/>
  <c r="K2277" i="37" s="1"/>
  <c r="J2276" i="37"/>
  <c r="J2277" i="37" s="1"/>
  <c r="S2422" i="37"/>
  <c r="S2546" i="37"/>
  <c r="Q2555" i="37"/>
  <c r="M2309" i="37"/>
  <c r="M2311" i="37" s="1"/>
  <c r="M2314" i="37" s="1"/>
  <c r="K2309" i="37"/>
  <c r="K2311" i="37" s="1"/>
  <c r="K2314" i="37" s="1"/>
  <c r="X2267" i="37"/>
  <c r="Z2267" i="37" s="1"/>
  <c r="R2279" i="37"/>
  <c r="H2276" i="37" s="1"/>
  <c r="Q2319" i="37"/>
  <c r="Q2575" i="37"/>
  <c r="E2275" i="37"/>
  <c r="E2422" i="37"/>
  <c r="Q2325" i="37"/>
  <c r="Q2576" i="37"/>
  <c r="S2461" i="37"/>
  <c r="Q2481" i="37"/>
  <c r="Q2314" i="37"/>
  <c r="J2331" i="37"/>
  <c r="S2449" i="37"/>
  <c r="Q2523" i="37"/>
  <c r="AG2572" i="37"/>
  <c r="T2267" i="37"/>
  <c r="Q2276" i="37"/>
  <c r="Q2480" i="37"/>
  <c r="Q2344" i="37"/>
  <c r="I2344" i="37" s="1"/>
  <c r="Q2485" i="37"/>
  <c r="Q2350" i="37"/>
  <c r="Q2422" i="37"/>
  <c r="Q2338" i="37"/>
  <c r="S2471" i="37"/>
  <c r="AG2493" i="37"/>
  <c r="AD2495" i="37" s="1"/>
  <c r="AD2504" i="37" s="1"/>
  <c r="AD2513" i="37" s="1"/>
  <c r="AD2539" i="37" s="1"/>
  <c r="AD2548" i="37" s="1"/>
  <c r="E2567" i="37"/>
  <c r="Q2530" i="37"/>
  <c r="Q2528" i="37" s="1"/>
  <c r="Q2546" i="37"/>
  <c r="Q2520" i="37"/>
  <c r="Q2292" i="37"/>
  <c r="Q2290" i="37" s="1"/>
  <c r="Q2353" i="37"/>
  <c r="AG2440" i="37"/>
  <c r="AD2442" i="37" s="1"/>
  <c r="AD2454" i="37" s="1"/>
  <c r="S2561" i="37"/>
  <c r="H2309" i="37"/>
  <c r="H2311" i="37" s="1"/>
  <c r="Q2328" i="37"/>
  <c r="S2489" i="37"/>
  <c r="N2276" i="37"/>
  <c r="L811" i="50"/>
  <c r="M811" i="50"/>
  <c r="I1883" i="37"/>
  <c r="N761" i="50"/>
  <c r="M761" i="50"/>
  <c r="J761" i="50"/>
  <c r="I2988" i="37"/>
  <c r="T147" i="41"/>
  <c r="AE147" i="41" s="1"/>
  <c r="E280" i="50"/>
  <c r="E261" i="41"/>
  <c r="P1186" i="50"/>
  <c r="D2618" i="50"/>
  <c r="D2641" i="50" s="1"/>
  <c r="D2664" i="50" s="1"/>
  <c r="D2593" i="50"/>
  <c r="P502" i="50"/>
  <c r="D2589" i="50"/>
  <c r="D2614" i="50"/>
  <c r="D2637" i="50" s="1"/>
  <c r="D2660" i="50" s="1"/>
  <c r="P232" i="50"/>
  <c r="J2073" i="50"/>
  <c r="M2073" i="50"/>
  <c r="V983" i="42"/>
  <c r="AL990" i="42"/>
  <c r="AL494" i="42"/>
  <c r="V486" i="42"/>
  <c r="V12" i="42"/>
  <c r="AL20" i="42"/>
  <c r="J1417" i="50"/>
  <c r="I1561" i="37"/>
  <c r="Q265" i="41"/>
  <c r="E311" i="41"/>
  <c r="E359" i="50"/>
  <c r="V796" i="42"/>
  <c r="AL804" i="42"/>
  <c r="AI387" i="47"/>
  <c r="AI388" i="47" s="1"/>
  <c r="AI389" i="47" s="1"/>
  <c r="AC387" i="47"/>
  <c r="AC388" i="47" s="1"/>
  <c r="AC389" i="47" s="1"/>
  <c r="AH387" i="47"/>
  <c r="AH388" i="47" s="1"/>
  <c r="AH389" i="47" s="1"/>
  <c r="AF387" i="47"/>
  <c r="AF388" i="47" s="1"/>
  <c r="AF389" i="47" s="1"/>
  <c r="AG387" i="47"/>
  <c r="AG388" i="47" s="1"/>
  <c r="AG389" i="47" s="1"/>
  <c r="AE387" i="47"/>
  <c r="AE388" i="47" s="1"/>
  <c r="AE389" i="47" s="1"/>
  <c r="AD387" i="47"/>
  <c r="AD388" i="47" s="1"/>
  <c r="AD389" i="47" s="1"/>
  <c r="T152" i="41"/>
  <c r="AE152" i="41" s="1"/>
  <c r="E285" i="50"/>
  <c r="E266" i="41"/>
  <c r="N55" i="37"/>
  <c r="Q99" i="37"/>
  <c r="K55" i="37"/>
  <c r="Q291" i="37"/>
  <c r="S235" i="37"/>
  <c r="Q23" i="37"/>
  <c r="Q273" i="37"/>
  <c r="I273" i="37" s="1"/>
  <c r="N22" i="37"/>
  <c r="M23" i="37"/>
  <c r="Q177" i="37"/>
  <c r="AG239" i="37"/>
  <c r="AD241" i="37" s="1"/>
  <c r="AD250" i="37" s="1"/>
  <c r="AD259" i="37" s="1"/>
  <c r="AD285" i="37" s="1"/>
  <c r="AD294" i="37" s="1"/>
  <c r="Q247" i="37"/>
  <c r="S56" i="37"/>
  <c r="S195" i="37"/>
  <c r="AL13" i="37"/>
  <c r="N23" i="37"/>
  <c r="Q41" i="37"/>
  <c r="Q276" i="37"/>
  <c r="Q274" i="37" s="1"/>
  <c r="Q307" i="37"/>
  <c r="S226" i="37"/>
  <c r="Q195" i="37"/>
  <c r="Q44" i="37"/>
  <c r="Q301" i="37"/>
  <c r="Q266" i="37"/>
  <c r="Q74" i="37"/>
  <c r="Q230" i="37"/>
  <c r="T49" i="37"/>
  <c r="J49" i="37" s="1"/>
  <c r="AG318" i="37"/>
  <c r="Q60" i="37"/>
  <c r="M22" i="37"/>
  <c r="S168" i="37"/>
  <c r="I148" i="37"/>
  <c r="S207" i="37"/>
  <c r="L22" i="37"/>
  <c r="M55" i="37"/>
  <c r="Q22" i="37"/>
  <c r="Q226" i="37"/>
  <c r="E168" i="37"/>
  <c r="J23" i="37"/>
  <c r="J483" i="50" s="1"/>
  <c r="E313" i="37"/>
  <c r="AG186" i="37"/>
  <c r="AD188" i="37" s="1"/>
  <c r="AD200" i="37" s="1"/>
  <c r="Q256" i="37"/>
  <c r="Q35" i="37"/>
  <c r="Q279" i="37"/>
  <c r="J55" i="37"/>
  <c r="S292" i="37"/>
  <c r="J77" i="37"/>
  <c r="K22" i="37"/>
  <c r="Q96" i="37"/>
  <c r="Q227" i="37"/>
  <c r="H25" i="37"/>
  <c r="E21" i="37"/>
  <c r="S227" i="37"/>
  <c r="Q168" i="37"/>
  <c r="K23" i="37"/>
  <c r="K483" i="50" s="1"/>
  <c r="Q207" i="37"/>
  <c r="H55" i="37"/>
  <c r="H57" i="37" s="1"/>
  <c r="Q282" i="37"/>
  <c r="Q93" i="37"/>
  <c r="Q91" i="37" s="1"/>
  <c r="T13" i="37"/>
  <c r="Q90" i="37"/>
  <c r="I90" i="37" s="1"/>
  <c r="Q38" i="37"/>
  <c r="Q36" i="37" s="1"/>
  <c r="S307" i="37"/>
  <c r="Q257" i="37"/>
  <c r="Q325" i="37"/>
  <c r="S234" i="37"/>
  <c r="S301" i="37"/>
  <c r="Q322" i="37"/>
  <c r="Q267" i="37"/>
  <c r="Q231" i="37"/>
  <c r="Q248" i="37"/>
  <c r="Q326" i="37"/>
  <c r="Q234" i="37"/>
  <c r="Q292" i="37"/>
  <c r="Q65" i="37"/>
  <c r="Q84" i="37"/>
  <c r="R56" i="37"/>
  <c r="Q313" i="37"/>
  <c r="Q300" i="37"/>
  <c r="Q43" i="37"/>
  <c r="S291" i="37"/>
  <c r="Q217" i="37"/>
  <c r="Q321" i="37"/>
  <c r="Q176" i="37"/>
  <c r="Q235" i="37"/>
  <c r="Q71" i="37"/>
  <c r="L23" i="37"/>
  <c r="I55" i="37"/>
  <c r="Q269" i="37"/>
  <c r="Q68" i="37"/>
  <c r="Q66" i="37" s="1"/>
  <c r="S217" i="37"/>
  <c r="J22" i="37"/>
  <c r="R25" i="37"/>
  <c r="X13" i="37"/>
  <c r="Z13" i="37" s="1"/>
  <c r="L55" i="37"/>
  <c r="Q336" i="47"/>
  <c r="E317" i="47"/>
  <c r="AE323" i="47"/>
  <c r="AE329" i="47" s="1"/>
  <c r="AD323" i="47"/>
  <c r="AD329" i="47" s="1"/>
  <c r="AG323" i="47"/>
  <c r="AG329" i="47" s="1"/>
  <c r="AC323" i="47"/>
  <c r="AC329" i="47" s="1"/>
  <c r="AH323" i="47"/>
  <c r="AH329" i="47" s="1"/>
  <c r="AI323" i="47"/>
  <c r="AI329" i="47" s="1"/>
  <c r="AF323" i="47"/>
  <c r="AF329" i="47" s="1"/>
  <c r="H38" i="37"/>
  <c r="H44" i="37"/>
  <c r="S1134" i="37"/>
  <c r="H991" i="37"/>
  <c r="Q1196" i="37"/>
  <c r="AG1205" i="37"/>
  <c r="AD1207" i="37" s="1"/>
  <c r="AD1216" i="37" s="1"/>
  <c r="AD1225" i="37" s="1"/>
  <c r="AD1251" i="37" s="1"/>
  <c r="AD1260" i="37" s="1"/>
  <c r="Q1245" i="37"/>
  <c r="Q1056" i="37"/>
  <c r="I1056" i="37" s="1"/>
  <c r="Q989" i="37"/>
  <c r="N1021" i="37"/>
  <c r="S1193" i="37"/>
  <c r="Q1291" i="37"/>
  <c r="Q1034" i="37"/>
  <c r="Q1032" i="37" s="1"/>
  <c r="Q1192" i="37"/>
  <c r="J988" i="37"/>
  <c r="J989" i="37" s="1"/>
  <c r="J975" i="50" s="1"/>
  <c r="Q1059" i="37"/>
  <c r="Q1057" i="37" s="1"/>
  <c r="Q1031" i="37"/>
  <c r="Q1193" i="37"/>
  <c r="R991" i="37"/>
  <c r="Q1266" i="37"/>
  <c r="S1183" i="37"/>
  <c r="Q1201" i="37"/>
  <c r="Q1004" i="37"/>
  <c r="Q1002" i="37" s="1"/>
  <c r="Q1197" i="37"/>
  <c r="Q1142" i="37"/>
  <c r="Q1233" i="37"/>
  <c r="Q1292" i="37"/>
  <c r="Q1161" i="37"/>
  <c r="AG1284" i="37"/>
  <c r="Q1279" i="37"/>
  <c r="S1273" i="37"/>
  <c r="M1021" i="37"/>
  <c r="Q1037" i="37"/>
  <c r="T1015" i="37"/>
  <c r="J1015" i="37" s="1"/>
  <c r="Q988" i="37"/>
  <c r="Q1239" i="37"/>
  <c r="I1239" i="37" s="1"/>
  <c r="L988" i="37"/>
  <c r="L989" i="37" s="1"/>
  <c r="L975" i="50" s="1"/>
  <c r="Q1248" i="37"/>
  <c r="Q1009" i="37"/>
  <c r="Q1134" i="37"/>
  <c r="Q1213" i="37"/>
  <c r="Q1223" i="37"/>
  <c r="S1200" i="37"/>
  <c r="S1201" i="37"/>
  <c r="Q1273" i="37"/>
  <c r="M988" i="37"/>
  <c r="M989" i="37" s="1"/>
  <c r="M975" i="50" s="1"/>
  <c r="E987" i="37"/>
  <c r="Q1026" i="37"/>
  <c r="Q1242" i="37"/>
  <c r="Q1240" i="37" s="1"/>
  <c r="Q1288" i="37"/>
  <c r="S1173" i="37"/>
  <c r="I1021" i="37"/>
  <c r="H1021" i="37"/>
  <c r="H1023" i="37" s="1"/>
  <c r="X979" i="37"/>
  <c r="Z979" i="37" s="1"/>
  <c r="Q1287" i="37"/>
  <c r="S1161" i="37"/>
  <c r="Q1222" i="37"/>
  <c r="Q1214" i="37"/>
  <c r="S1022" i="37"/>
  <c r="K988" i="37"/>
  <c r="K989" i="37" s="1"/>
  <c r="K975" i="50" s="1"/>
  <c r="Q1200" i="37"/>
  <c r="Q1062" i="37"/>
  <c r="S1192" i="37"/>
  <c r="AG1152" i="37"/>
  <c r="AD1154" i="37" s="1"/>
  <c r="AD1166" i="37" s="1"/>
  <c r="S1267" i="37"/>
  <c r="J1021" i="37"/>
  <c r="Q1007" i="37"/>
  <c r="N989" i="37"/>
  <c r="L1021" i="37"/>
  <c r="J1043" i="37"/>
  <c r="E1134" i="37"/>
  <c r="Q1050" i="37"/>
  <c r="Q1235" i="37"/>
  <c r="I1114" i="37"/>
  <c r="AL979" i="37"/>
  <c r="Q1001" i="37"/>
  <c r="T979" i="37"/>
  <c r="S1258" i="37"/>
  <c r="Q1232" i="37"/>
  <c r="K1021" i="37"/>
  <c r="Q1173" i="37"/>
  <c r="Q1010" i="37"/>
  <c r="Q1065" i="37"/>
  <c r="Q1258" i="37"/>
  <c r="S1257" i="37"/>
  <c r="R1022" i="37"/>
  <c r="Q1257" i="37"/>
  <c r="Q1040" i="37"/>
  <c r="Q1183" i="37"/>
  <c r="N988" i="37"/>
  <c r="Q1267" i="37"/>
  <c r="Q1143" i="37"/>
  <c r="E1279" i="37"/>
  <c r="R317" i="47"/>
  <c r="R338" i="47" s="1"/>
  <c r="E338" i="47" s="1"/>
  <c r="R19" i="47"/>
  <c r="R97" i="47" s="1"/>
  <c r="E282" i="50"/>
  <c r="E263" i="41"/>
  <c r="T149" i="41"/>
  <c r="AE149" i="41" s="1"/>
  <c r="P231" i="50"/>
  <c r="T155" i="41"/>
  <c r="AE155" i="41" s="1"/>
  <c r="E288" i="50"/>
  <c r="E269" i="41"/>
  <c r="K811" i="50"/>
  <c r="AE59" i="41"/>
  <c r="AE94" i="41"/>
  <c r="AE296" i="41"/>
  <c r="AE177" i="41"/>
  <c r="AE178" i="41"/>
  <c r="AE288" i="41"/>
  <c r="AE377" i="41"/>
  <c r="AE365" i="41"/>
  <c r="AE36" i="41"/>
  <c r="AE112" i="41"/>
  <c r="AE201" i="41"/>
  <c r="AE207" i="41"/>
  <c r="AE208" i="41"/>
  <c r="AE39" i="41"/>
  <c r="AE289" i="41"/>
  <c r="AE58" i="41"/>
  <c r="AE211" i="41"/>
  <c r="AE181" i="41"/>
  <c r="AE297" i="41"/>
  <c r="AE210" i="41"/>
  <c r="AE371" i="41"/>
  <c r="AE180" i="41"/>
  <c r="AE209" i="41"/>
  <c r="AE113" i="41"/>
  <c r="AE102" i="41"/>
  <c r="AE57" i="41"/>
  <c r="AE298" i="41"/>
  <c r="AE330" i="41"/>
  <c r="AE111" i="41"/>
  <c r="AE364" i="41"/>
  <c r="AE368" i="41"/>
  <c r="AE346" i="41"/>
  <c r="AE119" i="41"/>
  <c r="AE290" i="41"/>
  <c r="AE179" i="41"/>
  <c r="AE100" i="41"/>
  <c r="AE101" i="41"/>
  <c r="AE139" i="41"/>
  <c r="AE241" i="41"/>
  <c r="AE240" i="41"/>
  <c r="AE242" i="41"/>
  <c r="AE37" i="41"/>
  <c r="AE38" i="41"/>
  <c r="H2958" i="37"/>
  <c r="R1139" i="50"/>
  <c r="T1139" i="50"/>
  <c r="P1229" i="50"/>
  <c r="P574" i="50"/>
  <c r="R2431" i="50"/>
  <c r="T2431" i="50"/>
  <c r="L2436" i="50" s="1"/>
  <c r="U2431" i="50"/>
  <c r="M2436" i="50" s="1"/>
  <c r="V2431" i="50"/>
  <c r="N2436" i="50" s="1"/>
  <c r="S2431" i="50"/>
  <c r="K2436" i="50" s="1"/>
  <c r="V2258" i="50"/>
  <c r="S2258" i="50"/>
  <c r="T2258" i="50"/>
  <c r="R2258" i="50"/>
  <c r="J2263" i="50" s="1"/>
  <c r="U2258" i="50"/>
  <c r="M1417" i="50"/>
  <c r="P849" i="50"/>
  <c r="P847" i="50" s="1"/>
  <c r="P952" i="50"/>
  <c r="P927" i="50"/>
  <c r="P965" i="50"/>
  <c r="P933" i="50"/>
  <c r="P900" i="50"/>
  <c r="P916" i="50"/>
  <c r="P811" i="50"/>
  <c r="P903" i="50"/>
  <c r="P901" i="50" s="1"/>
  <c r="P853" i="50"/>
  <c r="P930" i="50"/>
  <c r="P846" i="50"/>
  <c r="P942" i="50"/>
  <c r="J808" i="50"/>
  <c r="U811" i="50" s="1"/>
  <c r="M816" i="50" s="1"/>
  <c r="K925" i="50"/>
  <c r="P953" i="50"/>
  <c r="P948" i="50"/>
  <c r="P839" i="50"/>
  <c r="P939" i="50"/>
  <c r="P964" i="50"/>
  <c r="K808" i="50"/>
  <c r="P828" i="50"/>
  <c r="P915" i="50"/>
  <c r="P955" i="50"/>
  <c r="P914" i="50"/>
  <c r="L808" i="50"/>
  <c r="J919" i="50" s="1"/>
  <c r="P946" i="50"/>
  <c r="P932" i="50"/>
  <c r="E808" i="50"/>
  <c r="P949" i="50"/>
  <c r="P931" i="50"/>
  <c r="P950" i="50"/>
  <c r="P961" i="50"/>
  <c r="P935" i="50"/>
  <c r="P951" i="50"/>
  <c r="P956" i="50"/>
  <c r="P909" i="50"/>
  <c r="P938" i="50"/>
  <c r="N811" i="50"/>
  <c r="L925" i="50"/>
  <c r="J925" i="50"/>
  <c r="P860" i="50"/>
  <c r="P858" i="50" s="1"/>
  <c r="P815" i="50"/>
  <c r="P962" i="50"/>
  <c r="P867" i="50"/>
  <c r="P941" i="50"/>
  <c r="P944" i="50"/>
  <c r="P958" i="50"/>
  <c r="P936" i="50"/>
  <c r="P831" i="50"/>
  <c r="M925" i="50"/>
  <c r="P857" i="50"/>
  <c r="P945" i="50"/>
  <c r="R805" i="50"/>
  <c r="D2526" i="50" s="1"/>
  <c r="D2569" i="50" s="1"/>
  <c r="P881" i="50"/>
  <c r="P918" i="50"/>
  <c r="P947" i="50"/>
  <c r="P928" i="50"/>
  <c r="N925" i="50"/>
  <c r="P920" i="50"/>
  <c r="E264" i="41"/>
  <c r="E283" i="50"/>
  <c r="T150" i="41"/>
  <c r="AE150" i="41" s="1"/>
  <c r="E316" i="41"/>
  <c r="E364" i="50"/>
  <c r="Q270" i="41"/>
  <c r="P1574" i="50"/>
  <c r="P1620" i="50"/>
  <c r="P1587" i="50"/>
  <c r="P1523" i="50"/>
  <c r="P1487" i="50"/>
  <c r="P1485" i="50" s="1"/>
  <c r="P1611" i="50"/>
  <c r="J1467" i="50"/>
  <c r="P1471" i="50"/>
  <c r="P1556" i="50"/>
  <c r="P1502" i="50"/>
  <c r="P1588" i="50"/>
  <c r="P1509" i="50"/>
  <c r="P1570" i="50"/>
  <c r="P1584" i="50"/>
  <c r="K1467" i="50"/>
  <c r="P1617" i="50"/>
  <c r="P1572" i="50"/>
  <c r="R1461" i="50"/>
  <c r="D2530" i="50" s="1"/>
  <c r="D2573" i="50" s="1"/>
  <c r="P1571" i="50"/>
  <c r="P1589" i="50"/>
  <c r="P1602" i="50"/>
  <c r="P1594" i="50"/>
  <c r="P1614" i="50"/>
  <c r="P1467" i="50"/>
  <c r="P1606" i="50"/>
  <c r="P1576" i="50"/>
  <c r="P1516" i="50"/>
  <c r="P1495" i="50"/>
  <c r="M1467" i="50"/>
  <c r="P1595" i="50"/>
  <c r="P1598" i="50"/>
  <c r="K1464" i="50"/>
  <c r="J1464" i="50"/>
  <c r="T1467" i="50" s="1"/>
  <c r="M1581" i="50"/>
  <c r="P1612" i="50"/>
  <c r="P1513" i="50"/>
  <c r="P1505" i="50"/>
  <c r="P1503" i="50" s="1"/>
  <c r="P1605" i="50"/>
  <c r="P1621" i="50"/>
  <c r="P1609" i="50"/>
  <c r="P1608" i="50"/>
  <c r="P1537" i="50"/>
  <c r="P1484" i="50"/>
  <c r="J1581" i="50"/>
  <c r="P1607" i="50"/>
  <c r="P1601" i="50"/>
  <c r="L1464" i="50"/>
  <c r="L1575" i="50" s="1"/>
  <c r="P1586" i="50"/>
  <c r="N1467" i="50"/>
  <c r="P1592" i="50"/>
  <c r="P1600" i="50"/>
  <c r="P1603" i="50"/>
  <c r="P1604" i="50"/>
  <c r="N1581" i="50"/>
  <c r="L1581" i="50"/>
  <c r="P1583" i="50"/>
  <c r="P1597" i="50"/>
  <c r="P1565" i="50"/>
  <c r="P1618" i="50"/>
  <c r="L1467" i="50"/>
  <c r="P1559" i="50"/>
  <c r="K1581" i="50"/>
  <c r="P1591" i="50"/>
  <c r="E1464" i="50"/>
  <c r="Q365" i="47"/>
  <c r="E349" i="47"/>
  <c r="E367" i="47"/>
  <c r="AG355" i="47"/>
  <c r="AG356" i="47" s="1"/>
  <c r="AG357" i="47" s="1"/>
  <c r="AG358" i="47" s="1"/>
  <c r="AC355" i="47"/>
  <c r="AC356" i="47" s="1"/>
  <c r="AC357" i="47" s="1"/>
  <c r="AC358" i="47" s="1"/>
  <c r="AD355" i="47"/>
  <c r="AD356" i="47" s="1"/>
  <c r="AD357" i="47" s="1"/>
  <c r="AD358" i="47" s="1"/>
  <c r="AI355" i="47"/>
  <c r="AI356" i="47" s="1"/>
  <c r="AI357" i="47" s="1"/>
  <c r="AI358" i="47" s="1"/>
  <c r="AE355" i="47"/>
  <c r="AE356" i="47" s="1"/>
  <c r="AE357" i="47" s="1"/>
  <c r="AE358" i="47" s="1"/>
  <c r="AH355" i="47"/>
  <c r="AH356" i="47" s="1"/>
  <c r="AH357" i="47" s="1"/>
  <c r="AH358" i="47" s="1"/>
  <c r="AF355" i="47"/>
  <c r="AF356" i="47" s="1"/>
  <c r="AF357" i="47" s="1"/>
  <c r="AF358" i="47" s="1"/>
  <c r="X174" i="47"/>
  <c r="Z174" i="47" s="1"/>
  <c r="R108" i="47"/>
  <c r="R131" i="47" s="1"/>
  <c r="E131" i="47" s="1"/>
  <c r="H1004" i="37"/>
  <c r="H1010" i="37"/>
  <c r="J1670" i="37"/>
  <c r="L1670" i="37"/>
  <c r="M1670" i="37"/>
  <c r="K1670" i="37"/>
  <c r="I1670" i="37"/>
  <c r="I1675" i="37"/>
  <c r="N1670" i="37"/>
  <c r="M1675" i="37"/>
  <c r="N1675" i="37"/>
  <c r="H1670" i="37"/>
  <c r="L1253" i="50"/>
  <c r="M1253" i="50"/>
  <c r="P520" i="50"/>
  <c r="K2073" i="50"/>
  <c r="T2191" i="50"/>
  <c r="L2197" i="50" s="1"/>
  <c r="R2191" i="50"/>
  <c r="J2197" i="50" s="1"/>
  <c r="S2191" i="50"/>
  <c r="K2197" i="50" s="1"/>
  <c r="V2191" i="50"/>
  <c r="U2191" i="50"/>
  <c r="M2197" i="50" s="1"/>
  <c r="N1417" i="50"/>
  <c r="H1310" i="37"/>
  <c r="AI1310" i="37"/>
  <c r="AC1310" i="37"/>
  <c r="AG1310" i="37"/>
  <c r="AH1310" i="37"/>
  <c r="AD1310" i="37"/>
  <c r="AE1310" i="37"/>
  <c r="AF1310" i="37"/>
  <c r="Q270" i="47"/>
  <c r="E272" i="47"/>
  <c r="E244" i="47"/>
  <c r="AE255" i="47"/>
  <c r="AE256" i="47" s="1"/>
  <c r="AE257" i="47" s="1"/>
  <c r="AE258" i="47" s="1"/>
  <c r="AE259" i="47" s="1"/>
  <c r="AE260" i="47" s="1"/>
  <c r="AE261" i="47" s="1"/>
  <c r="AE262" i="47" s="1"/>
  <c r="AC255" i="47"/>
  <c r="AC256" i="47" s="1"/>
  <c r="AC257" i="47" s="1"/>
  <c r="AC258" i="47" s="1"/>
  <c r="AC259" i="47" s="1"/>
  <c r="AC260" i="47" s="1"/>
  <c r="AC261" i="47" s="1"/>
  <c r="AC262" i="47" s="1"/>
  <c r="AG255" i="47"/>
  <c r="AG256" i="47" s="1"/>
  <c r="AG257" i="47" s="1"/>
  <c r="AG258" i="47" s="1"/>
  <c r="AG259" i="47" s="1"/>
  <c r="AG260" i="47" s="1"/>
  <c r="AG261" i="47" s="1"/>
  <c r="AG262" i="47" s="1"/>
  <c r="AH255" i="47"/>
  <c r="AH256" i="47" s="1"/>
  <c r="AH257" i="47" s="1"/>
  <c r="AH258" i="47" s="1"/>
  <c r="AH259" i="47" s="1"/>
  <c r="AH260" i="47" s="1"/>
  <c r="AH261" i="47" s="1"/>
  <c r="AH262" i="47" s="1"/>
  <c r="AF255" i="47"/>
  <c r="AF256" i="47" s="1"/>
  <c r="AF257" i="47" s="1"/>
  <c r="AF258" i="47" s="1"/>
  <c r="AF259" i="47" s="1"/>
  <c r="AF260" i="47" s="1"/>
  <c r="AF261" i="47" s="1"/>
  <c r="AF262" i="47" s="1"/>
  <c r="AD255" i="47"/>
  <c r="AD256" i="47" s="1"/>
  <c r="AD257" i="47" s="1"/>
  <c r="AD258" i="47" s="1"/>
  <c r="AD259" i="47" s="1"/>
  <c r="AD260" i="47" s="1"/>
  <c r="AD261" i="47" s="1"/>
  <c r="AD262" i="47" s="1"/>
  <c r="AI255" i="47"/>
  <c r="AI256" i="47" s="1"/>
  <c r="AI257" i="47" s="1"/>
  <c r="AI258" i="47" s="1"/>
  <c r="AI259" i="47" s="1"/>
  <c r="AI260" i="47" s="1"/>
  <c r="AI261" i="47" s="1"/>
  <c r="AI262" i="47" s="1"/>
  <c r="AA139" i="62"/>
  <c r="P1003" i="50"/>
  <c r="P1120" i="50"/>
  <c r="P1082" i="50"/>
  <c r="P1116" i="50"/>
  <c r="P992" i="50"/>
  <c r="P1129" i="50"/>
  <c r="P1094" i="50"/>
  <c r="P1080" i="50"/>
  <c r="P1013" i="50"/>
  <c r="P1011" i="50" s="1"/>
  <c r="P1079" i="50"/>
  <c r="P1078" i="50"/>
  <c r="P1111" i="50"/>
  <c r="R969" i="50"/>
  <c r="D2527" i="50" s="1"/>
  <c r="D2570" i="50" s="1"/>
  <c r="P1045" i="50"/>
  <c r="P1117" i="50"/>
  <c r="P1128" i="50"/>
  <c r="P1105" i="50"/>
  <c r="P1095" i="50"/>
  <c r="P1084" i="50"/>
  <c r="P995" i="50"/>
  <c r="L972" i="50"/>
  <c r="J1083" i="50" s="1"/>
  <c r="P1115" i="50"/>
  <c r="P1099" i="50"/>
  <c r="P1113" i="50"/>
  <c r="L1089" i="50"/>
  <c r="P1108" i="50"/>
  <c r="K972" i="50"/>
  <c r="P1119" i="50"/>
  <c r="P1024" i="50"/>
  <c r="P1097" i="50"/>
  <c r="P1100" i="50"/>
  <c r="P1092" i="50"/>
  <c r="P1021" i="50"/>
  <c r="P1106" i="50"/>
  <c r="P1031" i="50"/>
  <c r="J972" i="50"/>
  <c r="R975" i="50" s="1"/>
  <c r="P1125" i="50"/>
  <c r="P1017" i="50"/>
  <c r="M1089" i="50"/>
  <c r="P1091" i="50"/>
  <c r="E972" i="50"/>
  <c r="P975" i="50"/>
  <c r="P979" i="50"/>
  <c r="P1096" i="50"/>
  <c r="P1067" i="50"/>
  <c r="P1065" i="50" s="1"/>
  <c r="N975" i="50"/>
  <c r="P1126" i="50"/>
  <c r="J1089" i="50"/>
  <c r="K1089" i="50"/>
  <c r="P1010" i="50"/>
  <c r="P1064" i="50"/>
  <c r="P1109" i="50"/>
  <c r="P1073" i="50"/>
  <c r="P1110" i="50"/>
  <c r="P1103" i="50"/>
  <c r="P1114" i="50"/>
  <c r="P1102" i="50"/>
  <c r="N1089" i="50"/>
  <c r="P1122" i="50"/>
  <c r="P1112" i="50"/>
  <c r="T174" i="47"/>
  <c r="V174" i="47" s="1"/>
  <c r="R284" i="47"/>
  <c r="AI32" i="47"/>
  <c r="AI33" i="47" s="1"/>
  <c r="AI34" i="47" s="1"/>
  <c r="AI35" i="47" s="1"/>
  <c r="AI36" i="47" s="1"/>
  <c r="AI37" i="47" s="1"/>
  <c r="AI38" i="47" s="1"/>
  <c r="AI39" i="47" s="1"/>
  <c r="AI40" i="47" s="1"/>
  <c r="AI41" i="47" s="1"/>
  <c r="AI42" i="47" s="1"/>
  <c r="AI43" i="47" s="1"/>
  <c r="AI44" i="47" s="1"/>
  <c r="AI45" i="47" s="1"/>
  <c r="AI46" i="47" s="1"/>
  <c r="AI47" i="47" s="1"/>
  <c r="AI48" i="47" s="1"/>
  <c r="AI49" i="47" s="1"/>
  <c r="AI50" i="47" s="1"/>
  <c r="AI51" i="47" s="1"/>
  <c r="AI52" i="47" s="1"/>
  <c r="AI53" i="47" s="1"/>
  <c r="AI54" i="47" s="1"/>
  <c r="AI55" i="47" s="1"/>
  <c r="AI56" i="47" s="1"/>
  <c r="AI57" i="47" s="1"/>
  <c r="AI58" i="47" s="1"/>
  <c r="AI59" i="47" s="1"/>
  <c r="AI60" i="47" s="1"/>
  <c r="AI61" i="47" s="1"/>
  <c r="AI62" i="47" s="1"/>
  <c r="AI63" i="47" s="1"/>
  <c r="AI64" i="47" s="1"/>
  <c r="AI65" i="47" s="1"/>
  <c r="AI66" i="47" s="1"/>
  <c r="AI67" i="47" s="1"/>
  <c r="AI68" i="47" s="1"/>
  <c r="AI69" i="47" s="1"/>
  <c r="AI70" i="47" s="1"/>
  <c r="AI71" i="47" s="1"/>
  <c r="AI72" i="47" s="1"/>
  <c r="AI73" i="47" s="1"/>
  <c r="AI74" i="47" s="1"/>
  <c r="AI75" i="47" s="1"/>
  <c r="AI76" i="47" s="1"/>
  <c r="AI77" i="47" s="1"/>
  <c r="AI78" i="47" s="1"/>
  <c r="AI79" i="47" s="1"/>
  <c r="AI80" i="47" s="1"/>
  <c r="AI81" i="47" s="1"/>
  <c r="AI82" i="47" s="1"/>
  <c r="AI83" i="47" s="1"/>
  <c r="AI84" i="47" s="1"/>
  <c r="AI85" i="47" s="1"/>
  <c r="AI86" i="47" s="1"/>
  <c r="AI87" i="47" s="1"/>
  <c r="E97" i="47"/>
  <c r="E19" i="47"/>
  <c r="Q95" i="47"/>
  <c r="AG32" i="47"/>
  <c r="AG33" i="47" s="1"/>
  <c r="AG34" i="47" s="1"/>
  <c r="AG35" i="47" s="1"/>
  <c r="AG36" i="47" s="1"/>
  <c r="AG37" i="47" s="1"/>
  <c r="AG38" i="47" s="1"/>
  <c r="AG39" i="47" s="1"/>
  <c r="AG40" i="47" s="1"/>
  <c r="AG41" i="47" s="1"/>
  <c r="AG42" i="47" s="1"/>
  <c r="AG43" i="47" s="1"/>
  <c r="AG44" i="47" s="1"/>
  <c r="AG45" i="47" s="1"/>
  <c r="AG46" i="47" s="1"/>
  <c r="AG47" i="47" s="1"/>
  <c r="AG48" i="47" s="1"/>
  <c r="AG49" i="47" s="1"/>
  <c r="AG50" i="47" s="1"/>
  <c r="AG51" i="47" s="1"/>
  <c r="AG52" i="47" s="1"/>
  <c r="AG53" i="47" s="1"/>
  <c r="AG54" i="47" s="1"/>
  <c r="AG55" i="47" s="1"/>
  <c r="AG56" i="47" s="1"/>
  <c r="AG57" i="47" s="1"/>
  <c r="AG58" i="47" s="1"/>
  <c r="AG59" i="47" s="1"/>
  <c r="AG60" i="47" s="1"/>
  <c r="AG61" i="47" s="1"/>
  <c r="AG62" i="47" s="1"/>
  <c r="AG63" i="47" s="1"/>
  <c r="AG64" i="47" s="1"/>
  <c r="AG65" i="47" s="1"/>
  <c r="AG66" i="47" s="1"/>
  <c r="AG67" i="47" s="1"/>
  <c r="AG68" i="47" s="1"/>
  <c r="AG69" i="47" s="1"/>
  <c r="AG70" i="47" s="1"/>
  <c r="AG71" i="47" s="1"/>
  <c r="AG72" i="47" s="1"/>
  <c r="AG73" i="47" s="1"/>
  <c r="AG74" i="47" s="1"/>
  <c r="AG75" i="47" s="1"/>
  <c r="AG76" i="47" s="1"/>
  <c r="AG77" i="47" s="1"/>
  <c r="AG78" i="47" s="1"/>
  <c r="AG79" i="47" s="1"/>
  <c r="AG80" i="47" s="1"/>
  <c r="AG81" i="47" s="1"/>
  <c r="AG82" i="47" s="1"/>
  <c r="AG83" i="47" s="1"/>
  <c r="AG84" i="47" s="1"/>
  <c r="AG85" i="47" s="1"/>
  <c r="AG86" i="47" s="1"/>
  <c r="AG87" i="47" s="1"/>
  <c r="AH32" i="47"/>
  <c r="AH33" i="47" s="1"/>
  <c r="AH34" i="47" s="1"/>
  <c r="AH35" i="47" s="1"/>
  <c r="AH36" i="47" s="1"/>
  <c r="AH37" i="47" s="1"/>
  <c r="AH38" i="47" s="1"/>
  <c r="AH39" i="47" s="1"/>
  <c r="AH40" i="47" s="1"/>
  <c r="AH41" i="47" s="1"/>
  <c r="AH42" i="47" s="1"/>
  <c r="AH43" i="47" s="1"/>
  <c r="AH44" i="47" s="1"/>
  <c r="AH45" i="47" s="1"/>
  <c r="AH46" i="47" s="1"/>
  <c r="AH47" i="47" s="1"/>
  <c r="AH48" i="47" s="1"/>
  <c r="AH49" i="47" s="1"/>
  <c r="AH50" i="47" s="1"/>
  <c r="AH51" i="47" s="1"/>
  <c r="AH52" i="47" s="1"/>
  <c r="AH53" i="47" s="1"/>
  <c r="AH54" i="47" s="1"/>
  <c r="AH55" i="47" s="1"/>
  <c r="AH56" i="47" s="1"/>
  <c r="AH57" i="47" s="1"/>
  <c r="AH58" i="47" s="1"/>
  <c r="AH59" i="47" s="1"/>
  <c r="AH60" i="47" s="1"/>
  <c r="AH61" i="47" s="1"/>
  <c r="AH62" i="47" s="1"/>
  <c r="AH63" i="47" s="1"/>
  <c r="AH64" i="47" s="1"/>
  <c r="AH65" i="47" s="1"/>
  <c r="AH66" i="47" s="1"/>
  <c r="AH67" i="47" s="1"/>
  <c r="AH68" i="47" s="1"/>
  <c r="AH69" i="47" s="1"/>
  <c r="AH70" i="47" s="1"/>
  <c r="AH71" i="47" s="1"/>
  <c r="AH72" i="47" s="1"/>
  <c r="AH73" i="47" s="1"/>
  <c r="AH74" i="47" s="1"/>
  <c r="AH75" i="47" s="1"/>
  <c r="AH76" i="47" s="1"/>
  <c r="AH77" i="47" s="1"/>
  <c r="AH78" i="47" s="1"/>
  <c r="AH79" i="47" s="1"/>
  <c r="AH80" i="47" s="1"/>
  <c r="AH81" i="47" s="1"/>
  <c r="AH82" i="47" s="1"/>
  <c r="AH83" i="47" s="1"/>
  <c r="AH84" i="47" s="1"/>
  <c r="AH85" i="47" s="1"/>
  <c r="AH86" i="47" s="1"/>
  <c r="AH87" i="47" s="1"/>
  <c r="AC32" i="47"/>
  <c r="AC33" i="47" s="1"/>
  <c r="AC34" i="47" s="1"/>
  <c r="AC35" i="47" s="1"/>
  <c r="AC36" i="47" s="1"/>
  <c r="AC37" i="47" s="1"/>
  <c r="AC38" i="47" s="1"/>
  <c r="AC39" i="47" s="1"/>
  <c r="AC40" i="47" s="1"/>
  <c r="AC41" i="47" s="1"/>
  <c r="AC42" i="47" s="1"/>
  <c r="AC43" i="47" s="1"/>
  <c r="AC44" i="47" s="1"/>
  <c r="AC45" i="47" s="1"/>
  <c r="AC46" i="47" s="1"/>
  <c r="AC47" i="47" s="1"/>
  <c r="AC48" i="47" s="1"/>
  <c r="AC49" i="47" s="1"/>
  <c r="AC50" i="47" s="1"/>
  <c r="AC51" i="47" s="1"/>
  <c r="AC52" i="47" s="1"/>
  <c r="AC53" i="47" s="1"/>
  <c r="AC54" i="47" s="1"/>
  <c r="AC55" i="47" s="1"/>
  <c r="AC56" i="47" s="1"/>
  <c r="AC57" i="47" s="1"/>
  <c r="AC58" i="47" s="1"/>
  <c r="AC59" i="47" s="1"/>
  <c r="AC60" i="47" s="1"/>
  <c r="AC61" i="47" s="1"/>
  <c r="AC62" i="47" s="1"/>
  <c r="AC63" i="47" s="1"/>
  <c r="AC64" i="47" s="1"/>
  <c r="AC65" i="47" s="1"/>
  <c r="AC66" i="47" s="1"/>
  <c r="AC67" i="47" s="1"/>
  <c r="AC68" i="47" s="1"/>
  <c r="AC69" i="47" s="1"/>
  <c r="AC70" i="47" s="1"/>
  <c r="AC71" i="47" s="1"/>
  <c r="AC72" i="47" s="1"/>
  <c r="AC73" i="47" s="1"/>
  <c r="AC74" i="47" s="1"/>
  <c r="AC75" i="47" s="1"/>
  <c r="AC76" i="47" s="1"/>
  <c r="AC77" i="47" s="1"/>
  <c r="AC78" i="47" s="1"/>
  <c r="AC79" i="47" s="1"/>
  <c r="AC80" i="47" s="1"/>
  <c r="AC81" i="47" s="1"/>
  <c r="AC82" i="47" s="1"/>
  <c r="AC83" i="47" s="1"/>
  <c r="AC84" i="47" s="1"/>
  <c r="AC85" i="47" s="1"/>
  <c r="AC86" i="47" s="1"/>
  <c r="AC87" i="47" s="1"/>
  <c r="AD32" i="47"/>
  <c r="AD33" i="47" s="1"/>
  <c r="AD34" i="47" s="1"/>
  <c r="AD35" i="47" s="1"/>
  <c r="AD36" i="47" s="1"/>
  <c r="AD37" i="47" s="1"/>
  <c r="AD38" i="47" s="1"/>
  <c r="AD39" i="47" s="1"/>
  <c r="AD40" i="47" s="1"/>
  <c r="AD41" i="47" s="1"/>
  <c r="AD42" i="47" s="1"/>
  <c r="AD43" i="47" s="1"/>
  <c r="AD44" i="47" s="1"/>
  <c r="AD45" i="47" s="1"/>
  <c r="AD46" i="47" s="1"/>
  <c r="AD47" i="47" s="1"/>
  <c r="AD48" i="47" s="1"/>
  <c r="AD49" i="47" s="1"/>
  <c r="AD50" i="47" s="1"/>
  <c r="AD51" i="47" s="1"/>
  <c r="AD52" i="47" s="1"/>
  <c r="AD53" i="47" s="1"/>
  <c r="AD54" i="47" s="1"/>
  <c r="AD55" i="47" s="1"/>
  <c r="AD56" i="47" s="1"/>
  <c r="AD57" i="47" s="1"/>
  <c r="AD58" i="47" s="1"/>
  <c r="AD59" i="47" s="1"/>
  <c r="AD60" i="47" s="1"/>
  <c r="AD61" i="47" s="1"/>
  <c r="AD62" i="47" s="1"/>
  <c r="AD63" i="47" s="1"/>
  <c r="AD64" i="47" s="1"/>
  <c r="AD65" i="47" s="1"/>
  <c r="AD66" i="47" s="1"/>
  <c r="AD67" i="47" s="1"/>
  <c r="AD68" i="47" s="1"/>
  <c r="AD69" i="47" s="1"/>
  <c r="AD70" i="47" s="1"/>
  <c r="AD71" i="47" s="1"/>
  <c r="AD72" i="47" s="1"/>
  <c r="AD73" i="47" s="1"/>
  <c r="AD74" i="47" s="1"/>
  <c r="AD75" i="47" s="1"/>
  <c r="AD76" i="47" s="1"/>
  <c r="AD77" i="47" s="1"/>
  <c r="AD78" i="47" s="1"/>
  <c r="AD79" i="47" s="1"/>
  <c r="AD80" i="47" s="1"/>
  <c r="AD81" i="47" s="1"/>
  <c r="AD82" i="47" s="1"/>
  <c r="AD83" i="47" s="1"/>
  <c r="AD84" i="47" s="1"/>
  <c r="AD85" i="47" s="1"/>
  <c r="AD86" i="47" s="1"/>
  <c r="AD87" i="47" s="1"/>
  <c r="AF32" i="47"/>
  <c r="AF33" i="47" s="1"/>
  <c r="AF34" i="47" s="1"/>
  <c r="AF35" i="47" s="1"/>
  <c r="AF36" i="47" s="1"/>
  <c r="AF37" i="47" s="1"/>
  <c r="AF38" i="47" s="1"/>
  <c r="AF39" i="47" s="1"/>
  <c r="AF40" i="47" s="1"/>
  <c r="AF41" i="47" s="1"/>
  <c r="AF42" i="47" s="1"/>
  <c r="AF43" i="47" s="1"/>
  <c r="AF44" i="47" s="1"/>
  <c r="AF45" i="47" s="1"/>
  <c r="AF46" i="47" s="1"/>
  <c r="AF47" i="47" s="1"/>
  <c r="AF48" i="47" s="1"/>
  <c r="AF49" i="47" s="1"/>
  <c r="AF50" i="47" s="1"/>
  <c r="AF51" i="47" s="1"/>
  <c r="AF52" i="47" s="1"/>
  <c r="AF53" i="47" s="1"/>
  <c r="AF54" i="47" s="1"/>
  <c r="AF55" i="47" s="1"/>
  <c r="AF56" i="47" s="1"/>
  <c r="AF57" i="47" s="1"/>
  <c r="AF58" i="47" s="1"/>
  <c r="AF59" i="47" s="1"/>
  <c r="AF60" i="47" s="1"/>
  <c r="AF61" i="47" s="1"/>
  <c r="AF62" i="47" s="1"/>
  <c r="AF63" i="47" s="1"/>
  <c r="AF64" i="47" s="1"/>
  <c r="AF65" i="47" s="1"/>
  <c r="AF66" i="47" s="1"/>
  <c r="AF67" i="47" s="1"/>
  <c r="AF68" i="47" s="1"/>
  <c r="AF69" i="47" s="1"/>
  <c r="AF70" i="47" s="1"/>
  <c r="AF71" i="47" s="1"/>
  <c r="AF72" i="47" s="1"/>
  <c r="AF73" i="47" s="1"/>
  <c r="AF74" i="47" s="1"/>
  <c r="AF75" i="47" s="1"/>
  <c r="AF76" i="47" s="1"/>
  <c r="AF77" i="47" s="1"/>
  <c r="AF78" i="47" s="1"/>
  <c r="AF79" i="47" s="1"/>
  <c r="AF80" i="47" s="1"/>
  <c r="AF81" i="47" s="1"/>
  <c r="AF82" i="47" s="1"/>
  <c r="AF83" i="47" s="1"/>
  <c r="AF84" i="47" s="1"/>
  <c r="AF85" i="47" s="1"/>
  <c r="AF86" i="47" s="1"/>
  <c r="AF87" i="47" s="1"/>
  <c r="AE32" i="47"/>
  <c r="AE33" i="47" s="1"/>
  <c r="AE34" i="47" s="1"/>
  <c r="AE35" i="47" s="1"/>
  <c r="AE36" i="47" s="1"/>
  <c r="AE37" i="47" s="1"/>
  <c r="AE38" i="47" s="1"/>
  <c r="AE39" i="47" s="1"/>
  <c r="AE40" i="47" s="1"/>
  <c r="AE41" i="47" s="1"/>
  <c r="AE42" i="47" s="1"/>
  <c r="AE43" i="47" s="1"/>
  <c r="AE44" i="47" s="1"/>
  <c r="AE45" i="47" s="1"/>
  <c r="AE46" i="47" s="1"/>
  <c r="AE47" i="47" s="1"/>
  <c r="AE48" i="47" s="1"/>
  <c r="AE49" i="47" s="1"/>
  <c r="AE50" i="47" s="1"/>
  <c r="AE51" i="47" s="1"/>
  <c r="AE52" i="47" s="1"/>
  <c r="AE53" i="47" s="1"/>
  <c r="AE54" i="47" s="1"/>
  <c r="AE55" i="47" s="1"/>
  <c r="AE56" i="47" s="1"/>
  <c r="AE57" i="47" s="1"/>
  <c r="AE58" i="47" s="1"/>
  <c r="AE59" i="47" s="1"/>
  <c r="AE60" i="47" s="1"/>
  <c r="AE61" i="47" s="1"/>
  <c r="AE62" i="47" s="1"/>
  <c r="AE63" i="47" s="1"/>
  <c r="AE64" i="47" s="1"/>
  <c r="AE65" i="47" s="1"/>
  <c r="AE66" i="47" s="1"/>
  <c r="AE67" i="47" s="1"/>
  <c r="AE68" i="47" s="1"/>
  <c r="AE69" i="47" s="1"/>
  <c r="AE70" i="47" s="1"/>
  <c r="AE71" i="47" s="1"/>
  <c r="AE72" i="47" s="1"/>
  <c r="AE73" i="47" s="1"/>
  <c r="AE74" i="47" s="1"/>
  <c r="AE75" i="47" s="1"/>
  <c r="AE76" i="47" s="1"/>
  <c r="AE77" i="47" s="1"/>
  <c r="AE78" i="47" s="1"/>
  <c r="AE79" i="47" s="1"/>
  <c r="AE80" i="47" s="1"/>
  <c r="AE81" i="47" s="1"/>
  <c r="AE82" i="47" s="1"/>
  <c r="AE83" i="47" s="1"/>
  <c r="AE84" i="47" s="1"/>
  <c r="AE85" i="47" s="1"/>
  <c r="AE86" i="47" s="1"/>
  <c r="AE87" i="47" s="1"/>
  <c r="AC1632" i="37"/>
  <c r="AE1632" i="37"/>
  <c r="AI1632" i="37"/>
  <c r="AF1632" i="37"/>
  <c r="AH1632" i="37"/>
  <c r="AG1632" i="37"/>
  <c r="AD1632" i="37"/>
  <c r="N670" i="50"/>
  <c r="N753" i="50"/>
  <c r="K2958" i="37"/>
  <c r="I2958" i="37"/>
  <c r="J2958" i="37"/>
  <c r="I2963" i="37"/>
  <c r="N2958" i="37"/>
  <c r="M2958" i="37"/>
  <c r="L2958" i="37"/>
  <c r="N2963" i="37"/>
  <c r="M2963" i="37"/>
  <c r="L2963" i="37"/>
  <c r="N1253" i="50"/>
  <c r="I1136" i="50"/>
  <c r="N1204" i="50"/>
  <c r="L1203" i="50"/>
  <c r="N1201" i="50"/>
  <c r="M1201" i="50"/>
  <c r="F1139" i="50"/>
  <c r="H1136" i="50"/>
  <c r="J1202" i="50"/>
  <c r="L1202" i="50"/>
  <c r="L1201" i="50"/>
  <c r="N1202" i="50"/>
  <c r="K1202" i="50"/>
  <c r="K1203" i="50"/>
  <c r="J1203" i="50"/>
  <c r="N1203" i="50"/>
  <c r="M1204" i="50"/>
  <c r="J1204" i="50"/>
  <c r="J1207" i="50" s="1"/>
  <c r="J1208" i="50" s="1"/>
  <c r="J1209" i="50" s="1"/>
  <c r="M1202" i="50"/>
  <c r="J1201" i="50"/>
  <c r="M1203" i="50"/>
  <c r="K1201" i="50"/>
  <c r="K1204" i="50"/>
  <c r="L1204" i="50"/>
  <c r="L1207" i="50" s="1"/>
  <c r="L1208" i="50" s="1"/>
  <c r="L1209" i="50" s="1"/>
  <c r="K1253" i="50"/>
  <c r="J387" i="37"/>
  <c r="N382" i="37"/>
  <c r="I382" i="37"/>
  <c r="J382" i="37"/>
  <c r="I387" i="37"/>
  <c r="K382" i="37"/>
  <c r="M382" i="37"/>
  <c r="L382" i="37"/>
  <c r="N387" i="37"/>
  <c r="K387" i="37"/>
  <c r="M387" i="37"/>
  <c r="L387" i="37"/>
  <c r="AI344" i="37"/>
  <c r="AH344" i="37"/>
  <c r="AC344" i="37"/>
  <c r="AF344" i="37"/>
  <c r="AG344" i="37"/>
  <c r="AE344" i="37"/>
  <c r="AD344" i="37"/>
  <c r="V335" i="37"/>
  <c r="AK345" i="37"/>
  <c r="P531" i="50"/>
  <c r="L597" i="50"/>
  <c r="L589" i="50"/>
  <c r="K548" i="50"/>
  <c r="K551" i="50" s="1"/>
  <c r="K552" i="50" s="1"/>
  <c r="K553" i="50" s="1"/>
  <c r="L562" i="50"/>
  <c r="K546" i="50"/>
  <c r="N562" i="50"/>
  <c r="M547" i="50"/>
  <c r="L547" i="50"/>
  <c r="N563" i="50"/>
  <c r="L563" i="50"/>
  <c r="J547" i="50"/>
  <c r="J546" i="50"/>
  <c r="J545" i="50"/>
  <c r="L561" i="50"/>
  <c r="J564" i="50"/>
  <c r="J565" i="50" s="1"/>
  <c r="J566" i="50" s="1"/>
  <c r="J567" i="50" s="1"/>
  <c r="K562" i="50"/>
  <c r="N546" i="50"/>
  <c r="M548" i="50"/>
  <c r="M551" i="50" s="1"/>
  <c r="M552" i="50" s="1"/>
  <c r="M553" i="50" s="1"/>
  <c r="H480" i="50"/>
  <c r="J562" i="50"/>
  <c r="N564" i="50"/>
  <c r="N565" i="50" s="1"/>
  <c r="N566" i="50" s="1"/>
  <c r="N567" i="50" s="1"/>
  <c r="K561" i="50"/>
  <c r="F483" i="50"/>
  <c r="K564" i="50"/>
  <c r="K565" i="50" s="1"/>
  <c r="K566" i="50" s="1"/>
  <c r="K567" i="50" s="1"/>
  <c r="K563" i="50"/>
  <c r="N548" i="50"/>
  <c r="N551" i="50" s="1"/>
  <c r="N552" i="50" s="1"/>
  <c r="N553" i="50" s="1"/>
  <c r="K545" i="50"/>
  <c r="J561" i="50"/>
  <c r="L548" i="50"/>
  <c r="L551" i="50" s="1"/>
  <c r="L552" i="50" s="1"/>
  <c r="L553" i="50" s="1"/>
  <c r="J548" i="50"/>
  <c r="J551" i="50" s="1"/>
  <c r="J552" i="50" s="1"/>
  <c r="J553" i="50" s="1"/>
  <c r="M546" i="50"/>
  <c r="M562" i="50"/>
  <c r="M564" i="50"/>
  <c r="M565" i="50" s="1"/>
  <c r="M566" i="50" s="1"/>
  <c r="M567" i="50" s="1"/>
  <c r="N561" i="50"/>
  <c r="K547" i="50"/>
  <c r="L564" i="50"/>
  <c r="L565" i="50" s="1"/>
  <c r="L566" i="50" s="1"/>
  <c r="L567" i="50" s="1"/>
  <c r="M563" i="50"/>
  <c r="N547" i="50"/>
  <c r="M561" i="50"/>
  <c r="L546" i="50"/>
  <c r="L545" i="50"/>
  <c r="M545" i="50"/>
  <c r="N545" i="50"/>
  <c r="J563" i="50"/>
  <c r="N2073" i="50"/>
  <c r="U2470" i="50"/>
  <c r="S2470" i="50"/>
  <c r="V2470" i="50"/>
  <c r="R2470" i="50"/>
  <c r="T2470" i="50"/>
  <c r="L2475" i="50" s="1"/>
  <c r="V609" i="42"/>
  <c r="AL617" i="42"/>
  <c r="U2124" i="50"/>
  <c r="M2130" i="50" s="1"/>
  <c r="V2124" i="50"/>
  <c r="N2130" i="50" s="1"/>
  <c r="R2124" i="50"/>
  <c r="T2124" i="50"/>
  <c r="L2130" i="50" s="1"/>
  <c r="S2124" i="50"/>
  <c r="K2130" i="50" s="1"/>
  <c r="Q2617" i="37"/>
  <c r="Q2806" i="37"/>
  <c r="T2625" i="37"/>
  <c r="J2625" i="37" s="1"/>
  <c r="E2889" i="37"/>
  <c r="M2631" i="37"/>
  <c r="Q2803" i="37"/>
  <c r="Q2824" i="37"/>
  <c r="S2783" i="37"/>
  <c r="Q2753" i="37"/>
  <c r="H2631" i="37"/>
  <c r="H2633" i="37" s="1"/>
  <c r="J2631" i="37"/>
  <c r="R2632" i="37"/>
  <c r="H2601" i="37"/>
  <c r="S2771" i="37"/>
  <c r="Q2614" i="37"/>
  <c r="Q2612" i="37" s="1"/>
  <c r="S2803" i="37"/>
  <c r="Q2832" i="37"/>
  <c r="Q2598" i="37"/>
  <c r="Q2647" i="37"/>
  <c r="S2802" i="37"/>
  <c r="S2811" i="37"/>
  <c r="Q2858" i="37"/>
  <c r="Q2771" i="37"/>
  <c r="S2632" i="37"/>
  <c r="Q2855" i="37"/>
  <c r="L2631" i="37"/>
  <c r="Q2802" i="37"/>
  <c r="Q2672" i="37"/>
  <c r="Q2898" i="37"/>
  <c r="Q2902" i="37"/>
  <c r="N2598" i="37"/>
  <c r="Q2823" i="37"/>
  <c r="Q2650" i="37"/>
  <c r="S2810" i="37"/>
  <c r="X2589" i="37"/>
  <c r="Z2589" i="37" s="1"/>
  <c r="Q2675" i="37"/>
  <c r="Q2811" i="37"/>
  <c r="R2601" i="37"/>
  <c r="H2598" i="37" s="1"/>
  <c r="Q2793" i="37"/>
  <c r="Q2833" i="37"/>
  <c r="Q2849" i="37"/>
  <c r="I2849" i="37" s="1"/>
  <c r="Q2620" i="37"/>
  <c r="Q2842" i="37"/>
  <c r="S2877" i="37"/>
  <c r="I2631" i="37"/>
  <c r="I2633" i="37" s="1"/>
  <c r="Q2636" i="37"/>
  <c r="I2724" i="37"/>
  <c r="AL2589" i="37"/>
  <c r="Q2599" i="37"/>
  <c r="Q2877" i="37"/>
  <c r="S2793" i="37"/>
  <c r="L2598" i="37"/>
  <c r="Q2611" i="37"/>
  <c r="Q2883" i="37"/>
  <c r="Q2666" i="37"/>
  <c r="I2666" i="37" s="1"/>
  <c r="N2631" i="37"/>
  <c r="E2597" i="37"/>
  <c r="Q2669" i="37"/>
  <c r="Q2667" i="37" s="1"/>
  <c r="T2589" i="37"/>
  <c r="J2598" i="37"/>
  <c r="Q2843" i="37"/>
  <c r="AG2894" i="37"/>
  <c r="Q2641" i="37"/>
  <c r="S2867" i="37"/>
  <c r="Q2868" i="37"/>
  <c r="Q2783" i="37"/>
  <c r="L2599" i="37"/>
  <c r="Q2852" i="37"/>
  <c r="Q2850" i="37" s="1"/>
  <c r="Q2901" i="37"/>
  <c r="S2883" i="37"/>
  <c r="Q2752" i="37"/>
  <c r="AG2815" i="37"/>
  <c r="AD2817" i="37" s="1"/>
  <c r="AD2826" i="37" s="1"/>
  <c r="AD2835" i="37" s="1"/>
  <c r="AD2861" i="37" s="1"/>
  <c r="AD2870" i="37" s="1"/>
  <c r="J2653" i="37"/>
  <c r="M2598" i="37"/>
  <c r="AG2762" i="37"/>
  <c r="AD2764" i="37" s="1"/>
  <c r="AD2776" i="37" s="1"/>
  <c r="Q2660" i="37"/>
  <c r="K2599" i="37"/>
  <c r="Q2845" i="37"/>
  <c r="Q2744" i="37"/>
  <c r="M2599" i="37"/>
  <c r="K2631" i="37"/>
  <c r="Q2889" i="37"/>
  <c r="Q2876" i="37"/>
  <c r="N2599" i="37"/>
  <c r="Q2810" i="37"/>
  <c r="Q2644" i="37"/>
  <c r="Q2642" i="37" s="1"/>
  <c r="E2744" i="37"/>
  <c r="S2744" i="37"/>
  <c r="Q2619" i="37"/>
  <c r="K2598" i="37"/>
  <c r="Q2807" i="37"/>
  <c r="Q2867" i="37"/>
  <c r="J2599" i="37"/>
  <c r="Q2897" i="37"/>
  <c r="S2868" i="37"/>
  <c r="H1326" i="37"/>
  <c r="H1332" i="37"/>
  <c r="AL257" i="42"/>
  <c r="V249" i="42"/>
  <c r="P1762" i="50"/>
  <c r="M1631" i="50"/>
  <c r="P1680" i="50"/>
  <c r="P1678" i="50" s="1"/>
  <c r="P1756" i="50"/>
  <c r="P1778" i="50"/>
  <c r="K1628" i="50"/>
  <c r="P1753" i="50"/>
  <c r="P1761" i="50"/>
  <c r="N1745" i="50"/>
  <c r="P1669" i="50"/>
  <c r="P1667" i="50" s="1"/>
  <c r="R1625" i="50"/>
  <c r="D2531" i="50" s="1"/>
  <c r="D2574" i="50" s="1"/>
  <c r="P1771" i="50"/>
  <c r="P1673" i="50"/>
  <c r="P1765" i="50"/>
  <c r="P1758" i="50"/>
  <c r="P1723" i="50"/>
  <c r="P1721" i="50" s="1"/>
  <c r="K1745" i="50"/>
  <c r="E1628" i="50"/>
  <c r="P1736" i="50"/>
  <c r="P1631" i="50"/>
  <c r="P1759" i="50"/>
  <c r="L1631" i="50"/>
  <c r="P1770" i="50"/>
  <c r="P1738" i="50"/>
  <c r="P1766" i="50"/>
  <c r="N1631" i="50"/>
  <c r="P1751" i="50"/>
  <c r="K1631" i="50"/>
  <c r="P1782" i="50"/>
  <c r="P1755" i="50"/>
  <c r="P1666" i="50"/>
  <c r="P1750" i="50"/>
  <c r="M1745" i="50"/>
  <c r="P1729" i="50"/>
  <c r="J1631" i="50"/>
  <c r="P1687" i="50"/>
  <c r="J1628" i="50"/>
  <c r="U1631" i="50" s="1"/>
  <c r="P1651" i="50"/>
  <c r="P1734" i="50"/>
  <c r="P1775" i="50"/>
  <c r="P1764" i="50"/>
  <c r="P1677" i="50"/>
  <c r="P1747" i="50"/>
  <c r="P1785" i="50"/>
  <c r="P1752" i="50"/>
  <c r="P1769" i="50"/>
  <c r="P1776" i="50"/>
  <c r="P1720" i="50"/>
  <c r="J1745" i="50"/>
  <c r="L1628" i="50"/>
  <c r="K1739" i="50" s="1"/>
  <c r="P1701" i="50"/>
  <c r="P1635" i="50"/>
  <c r="P1784" i="50"/>
  <c r="P1773" i="50"/>
  <c r="P1781" i="50"/>
  <c r="P1767" i="50"/>
  <c r="P1648" i="50"/>
  <c r="P1772" i="50"/>
  <c r="P1659" i="50"/>
  <c r="P1768" i="50"/>
  <c r="P1740" i="50"/>
  <c r="P1748" i="50"/>
  <c r="P1735" i="50"/>
  <c r="L1745" i="50"/>
  <c r="AE156" i="41"/>
  <c r="I398" i="47"/>
  <c r="X380" i="47"/>
  <c r="Z380" i="47" s="1"/>
  <c r="Q163" i="47"/>
  <c r="E142" i="47"/>
  <c r="AI147" i="47"/>
  <c r="AI156" i="47" s="1"/>
  <c r="AI157" i="47" s="1"/>
  <c r="AD147" i="47"/>
  <c r="AD156" i="47" s="1"/>
  <c r="AD157" i="47" s="1"/>
  <c r="AG147" i="47"/>
  <c r="AG156" i="47" s="1"/>
  <c r="AG157" i="47" s="1"/>
  <c r="AC147" i="47"/>
  <c r="AC156" i="47" s="1"/>
  <c r="AC157" i="47" s="1"/>
  <c r="AH147" i="47"/>
  <c r="AH156" i="47" s="1"/>
  <c r="AH157" i="47" s="1"/>
  <c r="AE147" i="47"/>
  <c r="AE156" i="47" s="1"/>
  <c r="AE157" i="47" s="1"/>
  <c r="AF147" i="47"/>
  <c r="AF156" i="47" s="1"/>
  <c r="AF157" i="47" s="1"/>
  <c r="AK1633" i="37"/>
  <c r="V1623" i="37"/>
  <c r="AK74" i="49"/>
  <c r="AK198" i="49"/>
  <c r="AK115" i="49"/>
  <c r="AK68" i="49"/>
  <c r="AK62" i="49"/>
  <c r="AK128" i="49"/>
  <c r="AK129" i="49"/>
  <c r="AK73" i="49"/>
  <c r="AK92" i="49"/>
  <c r="AK142" i="49"/>
  <c r="AK67" i="49"/>
  <c r="AK57" i="49"/>
  <c r="AK141" i="49"/>
  <c r="AK123" i="49"/>
  <c r="AK119" i="49"/>
  <c r="AK124" i="49"/>
  <c r="AK203" i="49"/>
  <c r="AK93" i="49"/>
  <c r="AK185" i="49"/>
  <c r="AK21" i="49"/>
  <c r="AK22" i="49"/>
  <c r="AK23" i="49"/>
  <c r="AK24" i="49"/>
  <c r="AK26" i="49"/>
  <c r="AA141" i="62"/>
  <c r="AC2920" i="37"/>
  <c r="AD2920" i="37"/>
  <c r="AI2920" i="37"/>
  <c r="AG2920" i="37"/>
  <c r="AE2920" i="37"/>
  <c r="AF2920" i="37"/>
  <c r="AH2920" i="37"/>
  <c r="P1176" i="50"/>
  <c r="J597" i="50"/>
  <c r="K597" i="50"/>
  <c r="AA142" i="62"/>
  <c r="K1417" i="50"/>
  <c r="AK1311" i="37"/>
  <c r="V1301" i="37"/>
  <c r="M1356" i="37"/>
  <c r="N1348" i="37"/>
  <c r="M1353" i="37"/>
  <c r="I1348" i="37"/>
  <c r="K1353" i="37"/>
  <c r="I1353" i="37"/>
  <c r="J1348" i="37"/>
  <c r="L1353" i="37"/>
  <c r="M1348" i="37"/>
  <c r="L1348" i="37"/>
  <c r="N1353" i="37"/>
  <c r="I1356" i="37"/>
  <c r="I1362" i="37" s="1"/>
  <c r="K1348" i="37"/>
  <c r="Q197" i="47"/>
  <c r="AI181" i="47"/>
  <c r="AI189" i="47" s="1"/>
  <c r="AI190" i="47" s="1"/>
  <c r="AI191" i="47" s="1"/>
  <c r="AH181" i="47"/>
  <c r="AH189" i="47" s="1"/>
  <c r="AH190" i="47" s="1"/>
  <c r="AH191" i="47" s="1"/>
  <c r="AF181" i="47"/>
  <c r="AF189" i="47" s="1"/>
  <c r="AF190" i="47" s="1"/>
  <c r="AF191" i="47" s="1"/>
  <c r="AC181" i="47"/>
  <c r="AC189" i="47" s="1"/>
  <c r="AC190" i="47" s="1"/>
  <c r="AC191" i="47" s="1"/>
  <c r="AE181" i="47"/>
  <c r="AE189" i="47" s="1"/>
  <c r="AE190" i="47" s="1"/>
  <c r="AE191" i="47" s="1"/>
  <c r="AD181" i="47"/>
  <c r="AD189" i="47" s="1"/>
  <c r="AD190" i="47" s="1"/>
  <c r="AD191" i="47" s="1"/>
  <c r="AG181" i="47"/>
  <c r="AG189" i="47" s="1"/>
  <c r="AG190" i="47" s="1"/>
  <c r="AG191" i="47" s="1"/>
  <c r="I1700" i="37"/>
  <c r="AA140" i="62"/>
  <c r="Q2149" i="37"/>
  <c r="Q2158" i="37"/>
  <c r="AL1945" i="37"/>
  <c r="Q2163" i="37"/>
  <c r="S2159" i="37"/>
  <c r="E2100" i="37"/>
  <c r="Q1954" i="37"/>
  <c r="Q2245" i="37"/>
  <c r="Q2198" i="37"/>
  <c r="Q2003" i="37"/>
  <c r="S2166" i="37"/>
  <c r="K1954" i="37"/>
  <c r="K1955" i="37" s="1"/>
  <c r="S2127" i="37"/>
  <c r="Q2214" i="37"/>
  <c r="N1955" i="37"/>
  <c r="Q2139" i="37"/>
  <c r="Q2199" i="37"/>
  <c r="Q2211" i="37"/>
  <c r="M1954" i="37"/>
  <c r="M1955" i="37" s="1"/>
  <c r="S2223" i="37"/>
  <c r="Q2188" i="37"/>
  <c r="E1953" i="37"/>
  <c r="Q2006" i="37"/>
  <c r="S2100" i="37"/>
  <c r="Q2100" i="37"/>
  <c r="Q2022" i="37"/>
  <c r="I2022" i="37" s="1"/>
  <c r="AG2171" i="37"/>
  <c r="AD2173" i="37" s="1"/>
  <c r="AD2182" i="37" s="1"/>
  <c r="AD2191" i="37" s="1"/>
  <c r="AD2217" i="37" s="1"/>
  <c r="AD2226" i="37" s="1"/>
  <c r="J2009" i="37"/>
  <c r="Q1992" i="37"/>
  <c r="H1957" i="37"/>
  <c r="Q2258" i="37"/>
  <c r="T1981" i="37"/>
  <c r="Q2232" i="37"/>
  <c r="Q2223" i="37"/>
  <c r="Q2179" i="37"/>
  <c r="H1987" i="37"/>
  <c r="H1989" i="37" s="1"/>
  <c r="R1957" i="37"/>
  <c r="L1954" i="37"/>
  <c r="L1955" i="37" s="1"/>
  <c r="S2167" i="37"/>
  <c r="Q2028" i="37"/>
  <c r="Q2189" i="37"/>
  <c r="Q2257" i="37"/>
  <c r="Q2025" i="37"/>
  <c r="Q2023" i="37" s="1"/>
  <c r="X1945" i="37"/>
  <c r="Z1945" i="37" s="1"/>
  <c r="Q2000" i="37"/>
  <c r="Q1998" i="37" s="1"/>
  <c r="S2139" i="37"/>
  <c r="I2080" i="37"/>
  <c r="Q2159" i="37"/>
  <c r="Q2162" i="37"/>
  <c r="Q1955" i="37"/>
  <c r="Q2201" i="37"/>
  <c r="T1945" i="37"/>
  <c r="S2239" i="37"/>
  <c r="Q2109" i="37"/>
  <c r="K1987" i="37"/>
  <c r="Q2031" i="37"/>
  <c r="Q1975" i="37"/>
  <c r="R1988" i="37"/>
  <c r="Q2254" i="37"/>
  <c r="S2149" i="37"/>
  <c r="Q2224" i="37"/>
  <c r="Q2166" i="37"/>
  <c r="Q1997" i="37"/>
  <c r="Q1973" i="37"/>
  <c r="Q2016" i="37"/>
  <c r="Q2233" i="37"/>
  <c r="M1987" i="37"/>
  <c r="Q1976" i="37"/>
  <c r="N1987" i="37"/>
  <c r="S2233" i="37"/>
  <c r="E2245" i="37"/>
  <c r="Q2167" i="37"/>
  <c r="S1988" i="37"/>
  <c r="S2224" i="37"/>
  <c r="N1954" i="37"/>
  <c r="J1987" i="37"/>
  <c r="AG2118" i="37"/>
  <c r="AD2120" i="37" s="1"/>
  <c r="AD2132" i="37" s="1"/>
  <c r="Q1970" i="37"/>
  <c r="Q1968" i="37" s="1"/>
  <c r="Q2180" i="37"/>
  <c r="Q1967" i="37"/>
  <c r="S2158" i="37"/>
  <c r="Q2108" i="37"/>
  <c r="AG2250" i="37"/>
  <c r="J1954" i="37"/>
  <c r="J1955" i="37" s="1"/>
  <c r="Q2253" i="37"/>
  <c r="Q2205" i="37"/>
  <c r="I2205" i="37" s="1"/>
  <c r="Q2239" i="37"/>
  <c r="Q2127" i="37"/>
  <c r="L1987" i="37"/>
  <c r="Q2208" i="37"/>
  <c r="Q2206" i="37" s="1"/>
  <c r="I1987" i="37"/>
  <c r="J811" i="50"/>
  <c r="I3171" i="37"/>
  <c r="P1157" i="50"/>
  <c r="M1144" i="50"/>
  <c r="M1143" i="50"/>
  <c r="P1916" i="50"/>
  <c r="P1932" i="50"/>
  <c r="P1914" i="50"/>
  <c r="P1893" i="50"/>
  <c r="J1795" i="50"/>
  <c r="P1900" i="50"/>
  <c r="P1928" i="50"/>
  <c r="L1909" i="50"/>
  <c r="P1833" i="50"/>
  <c r="P1831" i="50" s="1"/>
  <c r="P1929" i="50"/>
  <c r="P1851" i="50"/>
  <c r="P1795" i="50"/>
  <c r="P1926" i="50"/>
  <c r="P1930" i="50"/>
  <c r="P1939" i="50"/>
  <c r="P1940" i="50"/>
  <c r="P1844" i="50"/>
  <c r="K1909" i="50"/>
  <c r="P1919" i="50"/>
  <c r="P1899" i="50"/>
  <c r="P1937" i="50"/>
  <c r="P1841" i="50"/>
  <c r="P1815" i="50"/>
  <c r="P1813" i="50" s="1"/>
  <c r="P1830" i="50"/>
  <c r="N1909" i="50"/>
  <c r="L1792" i="50"/>
  <c r="M1903" i="50" s="1"/>
  <c r="P1935" i="50"/>
  <c r="P1942" i="50"/>
  <c r="P1904" i="50"/>
  <c r="P1949" i="50"/>
  <c r="P1946" i="50"/>
  <c r="E1792" i="50"/>
  <c r="P1911" i="50"/>
  <c r="J1909" i="50"/>
  <c r="P1931" i="50"/>
  <c r="P1948" i="50"/>
  <c r="M1795" i="50"/>
  <c r="P1887" i="50"/>
  <c r="P1885" i="50" s="1"/>
  <c r="P1898" i="50"/>
  <c r="P1865" i="50"/>
  <c r="P1923" i="50"/>
  <c r="P1945" i="50"/>
  <c r="P1925" i="50"/>
  <c r="P1912" i="50"/>
  <c r="P1837" i="50"/>
  <c r="P1922" i="50"/>
  <c r="P1936" i="50"/>
  <c r="M1909" i="50"/>
  <c r="P1917" i="50"/>
  <c r="P1915" i="50"/>
  <c r="N1795" i="50"/>
  <c r="R1789" i="50"/>
  <c r="D2532" i="50" s="1"/>
  <c r="D2575" i="50" s="1"/>
  <c r="L1795" i="50"/>
  <c r="P1812" i="50"/>
  <c r="P1920" i="50"/>
  <c r="P1934" i="50"/>
  <c r="P1933" i="50"/>
  <c r="K1795" i="50"/>
  <c r="P1902" i="50"/>
  <c r="P1823" i="50"/>
  <c r="J1792" i="50"/>
  <c r="U1795" i="50" s="1"/>
  <c r="P1884" i="50"/>
  <c r="K1792" i="50"/>
  <c r="P1799" i="50"/>
  <c r="M597" i="50"/>
  <c r="R2374" i="50"/>
  <c r="U2374" i="50"/>
  <c r="T2374" i="50"/>
  <c r="L2380" i="50" s="1"/>
  <c r="S2374" i="50"/>
  <c r="K2380" i="50" s="1"/>
  <c r="V2374" i="50"/>
  <c r="N2380" i="50" s="1"/>
  <c r="R2317" i="50"/>
  <c r="J2323" i="50" s="1"/>
  <c r="S2317" i="50"/>
  <c r="K2323" i="50" s="1"/>
  <c r="T2317" i="50"/>
  <c r="L2323" i="50" s="1"/>
  <c r="V2317" i="50"/>
  <c r="U2317" i="50"/>
  <c r="M2323" i="50" s="1"/>
  <c r="I1378" i="37"/>
  <c r="N698" i="50" l="1"/>
  <c r="N723" i="50"/>
  <c r="K700" i="50"/>
  <c r="E308" i="41"/>
  <c r="M1365" i="50"/>
  <c r="N1368" i="50"/>
  <c r="N1371" i="50" s="1"/>
  <c r="N1372" i="50" s="1"/>
  <c r="N1373" i="50" s="1"/>
  <c r="E356" i="50"/>
  <c r="J728" i="50"/>
  <c r="J729" i="50" s="1"/>
  <c r="J730" i="50" s="1"/>
  <c r="J731" i="50" s="1"/>
  <c r="M725" i="50"/>
  <c r="M704" i="37"/>
  <c r="M521" i="50"/>
  <c r="N712" i="50"/>
  <c r="N715" i="50" s="1"/>
  <c r="N716" i="50" s="1"/>
  <c r="N717" i="50" s="1"/>
  <c r="M711" i="50"/>
  <c r="N728" i="50"/>
  <c r="N729" i="50" s="1"/>
  <c r="N730" i="50" s="1"/>
  <c r="N731" i="50" s="1"/>
  <c r="N740" i="50"/>
  <c r="N681" i="50"/>
  <c r="D2598" i="50"/>
  <c r="K709" i="50"/>
  <c r="J727" i="50"/>
  <c r="M728" i="50"/>
  <c r="M729" i="50" s="1"/>
  <c r="M730" i="50" s="1"/>
  <c r="M731" i="50" s="1"/>
  <c r="J712" i="50"/>
  <c r="J715" i="50" s="1"/>
  <c r="J716" i="50" s="1"/>
  <c r="J717" i="50" s="1"/>
  <c r="L712" i="50"/>
  <c r="L715" i="50" s="1"/>
  <c r="L716" i="50" s="1"/>
  <c r="L717" i="50" s="1"/>
  <c r="K711" i="50"/>
  <c r="K727" i="50"/>
  <c r="J725" i="50"/>
  <c r="K728" i="50"/>
  <c r="K729" i="50" s="1"/>
  <c r="K730" i="50" s="1"/>
  <c r="K731" i="50" s="1"/>
  <c r="M727" i="50"/>
  <c r="J709" i="50"/>
  <c r="J711" i="50"/>
  <c r="M726" i="50"/>
  <c r="J710" i="50"/>
  <c r="K712" i="50"/>
  <c r="K715" i="50" s="1"/>
  <c r="K716" i="50" s="1"/>
  <c r="K717" i="50" s="1"/>
  <c r="H644" i="50"/>
  <c r="K726" i="50"/>
  <c r="M709" i="50"/>
  <c r="F647" i="50"/>
  <c r="H655" i="50" s="1"/>
  <c r="H664" i="50" s="1"/>
  <c r="L727" i="50"/>
  <c r="L726" i="50"/>
  <c r="M710" i="50"/>
  <c r="L711" i="50"/>
  <c r="J726" i="50"/>
  <c r="L725" i="50"/>
  <c r="N709" i="50"/>
  <c r="K725" i="50"/>
  <c r="L709" i="50"/>
  <c r="N727" i="50"/>
  <c r="M712" i="50"/>
  <c r="M715" i="50" s="1"/>
  <c r="M716" i="50" s="1"/>
  <c r="M717" i="50" s="1"/>
  <c r="N725" i="50"/>
  <c r="N711" i="50"/>
  <c r="L728" i="50"/>
  <c r="L729" i="50" s="1"/>
  <c r="L730" i="50" s="1"/>
  <c r="L731" i="50" s="1"/>
  <c r="K710" i="50"/>
  <c r="N710" i="50"/>
  <c r="N726" i="50"/>
  <c r="L710" i="50"/>
  <c r="I2314" i="37"/>
  <c r="I2636" i="37"/>
  <c r="L688" i="50"/>
  <c r="L689" i="50" s="1"/>
  <c r="L393" i="37" s="1"/>
  <c r="L395" i="37" s="1"/>
  <c r="L396" i="37" s="1"/>
  <c r="L754" i="50" s="1"/>
  <c r="M713" i="50" s="1"/>
  <c r="S1959" i="50"/>
  <c r="K1963" i="50" s="1"/>
  <c r="K1162" i="50"/>
  <c r="N1964" i="50"/>
  <c r="U1959" i="50"/>
  <c r="M1964" i="50" s="1"/>
  <c r="T1959" i="50"/>
  <c r="H1956" i="50"/>
  <c r="M685" i="50"/>
  <c r="J688" i="50"/>
  <c r="J689" i="50" s="1"/>
  <c r="H704" i="37"/>
  <c r="K1215" i="50"/>
  <c r="D2615" i="50"/>
  <c r="D2638" i="50" s="1"/>
  <c r="D2661" i="50" s="1"/>
  <c r="H60" i="37"/>
  <c r="K2037" i="50"/>
  <c r="J2038" i="50"/>
  <c r="M2024" i="50"/>
  <c r="M2027" i="50" s="1"/>
  <c r="M2028" i="50" s="1"/>
  <c r="M2029" i="50" s="1"/>
  <c r="K1190" i="50"/>
  <c r="K1232" i="50"/>
  <c r="K2024" i="50"/>
  <c r="K2027" i="50" s="1"/>
  <c r="K2028" i="50" s="1"/>
  <c r="K2029" i="50" s="1"/>
  <c r="H2314" i="37"/>
  <c r="N700" i="50"/>
  <c r="K1308" i="50"/>
  <c r="K1349" i="50"/>
  <c r="N1365" i="50"/>
  <c r="L1382" i="50"/>
  <c r="L1384" i="50"/>
  <c r="L1385" i="50" s="1"/>
  <c r="L1386" i="50" s="1"/>
  <c r="L1387" i="50" s="1"/>
  <c r="J521" i="50"/>
  <c r="L521" i="50"/>
  <c r="M1381" i="50"/>
  <c r="N523" i="50"/>
  <c r="K521" i="50"/>
  <c r="K1384" i="50"/>
  <c r="K1385" i="50" s="1"/>
  <c r="K1386" i="50" s="1"/>
  <c r="K1387" i="50" s="1"/>
  <c r="L1381" i="50"/>
  <c r="M524" i="50"/>
  <c r="M525" i="50" s="1"/>
  <c r="K1409" i="50"/>
  <c r="L1337" i="50" s="1"/>
  <c r="K590" i="50"/>
  <c r="L560" i="50" s="1"/>
  <c r="N1381" i="50"/>
  <c r="M1382" i="50"/>
  <c r="L524" i="50"/>
  <c r="L525" i="50" s="1"/>
  <c r="N590" i="50"/>
  <c r="J1365" i="50"/>
  <c r="L1367" i="50"/>
  <c r="K524" i="50"/>
  <c r="K525" i="50" s="1"/>
  <c r="K1365" i="50"/>
  <c r="F1303" i="50"/>
  <c r="H1323" i="50" s="1"/>
  <c r="H1334" i="50" s="1"/>
  <c r="H1348" i="50" s="1"/>
  <c r="H1362" i="50" s="1"/>
  <c r="H1376" i="50" s="1"/>
  <c r="H1390" i="50" s="1"/>
  <c r="H1406" i="50" s="1"/>
  <c r="M1368" i="50"/>
  <c r="M1371" i="50" s="1"/>
  <c r="M1372" i="50" s="1"/>
  <c r="M1373" i="50" s="1"/>
  <c r="J1411" i="50"/>
  <c r="K1398" i="50" s="1"/>
  <c r="L1409" i="50"/>
  <c r="M1396" i="50" s="1"/>
  <c r="K1411" i="50"/>
  <c r="L1328" i="50" s="1"/>
  <c r="N1411" i="50"/>
  <c r="AG666" i="37"/>
  <c r="AH666" i="37"/>
  <c r="AD666" i="37"/>
  <c r="AF666" i="37"/>
  <c r="H955" i="50"/>
  <c r="AC666" i="37"/>
  <c r="AI666" i="37"/>
  <c r="N742" i="50"/>
  <c r="T1303" i="50"/>
  <c r="L1349" i="50" s="1"/>
  <c r="R1303" i="50"/>
  <c r="J1308" i="50" s="1"/>
  <c r="N672" i="50"/>
  <c r="U1303" i="50"/>
  <c r="M1349" i="50" s="1"/>
  <c r="N1143" i="50"/>
  <c r="V1303" i="50"/>
  <c r="K496" i="50"/>
  <c r="L672" i="50"/>
  <c r="L686" i="50"/>
  <c r="L700" i="50"/>
  <c r="N1398" i="50"/>
  <c r="N1370" i="50"/>
  <c r="N1328" i="50"/>
  <c r="L685" i="50"/>
  <c r="N660" i="50"/>
  <c r="J578" i="50"/>
  <c r="N714" i="50"/>
  <c r="K670" i="50"/>
  <c r="J522" i="50"/>
  <c r="AK667" i="37"/>
  <c r="K723" i="50"/>
  <c r="N1384" i="50"/>
  <c r="N1385" i="50" s="1"/>
  <c r="N1386" i="50" s="1"/>
  <c r="N1387" i="50" s="1"/>
  <c r="M1366" i="50"/>
  <c r="L1366" i="50"/>
  <c r="N1367" i="50"/>
  <c r="N1366" i="50"/>
  <c r="L71" i="37"/>
  <c r="L73" i="37" s="1"/>
  <c r="L74" i="37" s="1"/>
  <c r="L590" i="50" s="1"/>
  <c r="M560" i="50" s="1"/>
  <c r="L742" i="50"/>
  <c r="J536" i="50"/>
  <c r="M1300" i="50"/>
  <c r="K740" i="50"/>
  <c r="M71" i="37"/>
  <c r="M73" i="37" s="1"/>
  <c r="M74" i="37" s="1"/>
  <c r="U647" i="50"/>
  <c r="M652" i="50" s="1"/>
  <c r="D2594" i="50"/>
  <c r="M1383" i="50"/>
  <c r="J1384" i="50"/>
  <c r="J1385" i="50" s="1"/>
  <c r="J1386" i="50" s="1"/>
  <c r="J1387" i="50" s="1"/>
  <c r="M1384" i="50"/>
  <c r="M1385" i="50" s="1"/>
  <c r="M1386" i="50" s="1"/>
  <c r="M1387" i="50" s="1"/>
  <c r="K1382" i="50"/>
  <c r="J1382" i="50"/>
  <c r="K71" i="37"/>
  <c r="K73" i="37" s="1"/>
  <c r="K74" i="37" s="1"/>
  <c r="L714" i="50"/>
  <c r="M1409" i="50"/>
  <c r="N1379" i="50" s="1"/>
  <c r="K658" i="50"/>
  <c r="R647" i="50"/>
  <c r="J652" i="50" s="1"/>
  <c r="L1368" i="50"/>
  <c r="J1366" i="50"/>
  <c r="M1367" i="50"/>
  <c r="K1366" i="50"/>
  <c r="L1383" i="50"/>
  <c r="J1367" i="50"/>
  <c r="S1411" i="50"/>
  <c r="I1411" i="50" s="1"/>
  <c r="J1398" i="50" s="1"/>
  <c r="L1411" i="50"/>
  <c r="M1342" i="50" s="1"/>
  <c r="J508" i="50"/>
  <c r="K681" i="50"/>
  <c r="S1409" i="50"/>
  <c r="N1342" i="50"/>
  <c r="S647" i="50"/>
  <c r="K651" i="50" s="1"/>
  <c r="V647" i="50"/>
  <c r="N652" i="50" s="1"/>
  <c r="J71" i="37"/>
  <c r="J73" i="37" s="1"/>
  <c r="J74" i="37" s="1"/>
  <c r="J590" i="50" s="1"/>
  <c r="K577" i="50" s="1"/>
  <c r="N688" i="50"/>
  <c r="N689" i="50" s="1"/>
  <c r="N393" i="37" s="1"/>
  <c r="N395" i="37" s="1"/>
  <c r="N396" i="37" s="1"/>
  <c r="J1409" i="50"/>
  <c r="K1379" i="50" s="1"/>
  <c r="J496" i="50"/>
  <c r="N1356" i="50"/>
  <c r="K1381" i="50"/>
  <c r="J1368" i="50"/>
  <c r="J1371" i="50" s="1"/>
  <c r="J1372" i="50" s="1"/>
  <c r="J1373" i="50" s="1"/>
  <c r="H1300" i="50"/>
  <c r="J1383" i="50"/>
  <c r="K1383" i="50"/>
  <c r="N1382" i="50"/>
  <c r="N1383" i="50"/>
  <c r="K1367" i="50"/>
  <c r="J1381" i="50"/>
  <c r="L1365" i="50"/>
  <c r="K1368" i="50"/>
  <c r="K1371" i="50" s="1"/>
  <c r="K1372" i="50" s="1"/>
  <c r="K1373" i="50" s="1"/>
  <c r="I1300" i="50"/>
  <c r="M1343" i="50" s="1"/>
  <c r="M688" i="50"/>
  <c r="M689" i="50" s="1"/>
  <c r="M393" i="37" s="1"/>
  <c r="M395" i="37" s="1"/>
  <c r="M396" i="37" s="1"/>
  <c r="N685" i="50"/>
  <c r="N1409" i="50"/>
  <c r="K559" i="50"/>
  <c r="K494" i="50"/>
  <c r="K534" i="50"/>
  <c r="K506" i="50"/>
  <c r="R1959" i="50"/>
  <c r="J1964" i="50" s="1"/>
  <c r="K576" i="50"/>
  <c r="L496" i="50"/>
  <c r="J2023" i="50"/>
  <c r="M2023" i="50"/>
  <c r="M2021" i="50"/>
  <c r="K2039" i="50"/>
  <c r="L2022" i="50"/>
  <c r="M2010" i="50"/>
  <c r="M1956" i="50"/>
  <c r="S2067" i="50"/>
  <c r="M2038" i="50"/>
  <c r="L2023" i="50"/>
  <c r="L2024" i="50"/>
  <c r="L2027" i="50" s="1"/>
  <c r="L2028" i="50" s="1"/>
  <c r="L2029" i="50" s="1"/>
  <c r="J2040" i="50"/>
  <c r="J2041" i="50" s="1"/>
  <c r="J2042" i="50" s="1"/>
  <c r="J2043" i="50" s="1"/>
  <c r="K2021" i="50"/>
  <c r="M2035" i="50"/>
  <c r="K2067" i="50"/>
  <c r="N2067" i="50"/>
  <c r="M2039" i="50"/>
  <c r="K2038" i="50"/>
  <c r="N2021" i="50"/>
  <c r="M2022" i="50"/>
  <c r="N2038" i="50"/>
  <c r="M1993" i="50"/>
  <c r="I1956" i="50"/>
  <c r="K2000" i="50" s="1"/>
  <c r="K2001" i="50" s="1"/>
  <c r="K2969" i="37" s="1"/>
  <c r="K2971" i="37" s="1"/>
  <c r="K2972" i="37" s="1"/>
  <c r="M2065" i="50"/>
  <c r="N1982" i="50" s="1"/>
  <c r="J2039" i="50"/>
  <c r="M2040" i="50"/>
  <c r="M2041" i="50" s="1"/>
  <c r="M2042" i="50" s="1"/>
  <c r="M2043" i="50" s="1"/>
  <c r="J2024" i="50"/>
  <c r="J2027" i="50" s="1"/>
  <c r="J2028" i="50" s="1"/>
  <c r="J2029" i="50" s="1"/>
  <c r="L2040" i="50"/>
  <c r="L2041" i="50" s="1"/>
  <c r="L2042" i="50" s="1"/>
  <c r="L2043" i="50" s="1"/>
  <c r="L2038" i="50"/>
  <c r="M1982" i="50"/>
  <c r="M2067" i="50"/>
  <c r="N2026" i="50" s="1"/>
  <c r="K2065" i="50"/>
  <c r="L2010" i="50" s="1"/>
  <c r="S2065" i="50"/>
  <c r="J2022" i="50"/>
  <c r="F1959" i="50"/>
  <c r="H1967" i="50" s="1"/>
  <c r="H1976" i="50" s="1"/>
  <c r="K2023" i="50"/>
  <c r="K2040" i="50"/>
  <c r="K2041" i="50" s="1"/>
  <c r="K2042" i="50" s="1"/>
  <c r="K2043" i="50" s="1"/>
  <c r="N2024" i="50"/>
  <c r="N2027" i="50" s="1"/>
  <c r="N2028" i="50" s="1"/>
  <c r="N2029" i="50" s="1"/>
  <c r="N2022" i="50"/>
  <c r="M2052" i="50"/>
  <c r="I2067" i="50"/>
  <c r="J2054" i="50" s="1"/>
  <c r="J2067" i="50"/>
  <c r="K2012" i="50" s="1"/>
  <c r="N2023" i="50"/>
  <c r="N2037" i="50"/>
  <c r="N2039" i="50"/>
  <c r="L2037" i="50"/>
  <c r="L2039" i="50"/>
  <c r="J2021" i="50"/>
  <c r="L2067" i="50"/>
  <c r="M2012" i="50" s="1"/>
  <c r="J2065" i="50"/>
  <c r="K1970" i="50" s="1"/>
  <c r="M2037" i="50"/>
  <c r="N2040" i="50"/>
  <c r="N2041" i="50" s="1"/>
  <c r="N2042" i="50" s="1"/>
  <c r="N2043" i="50" s="1"/>
  <c r="J2037" i="50"/>
  <c r="L2021" i="50"/>
  <c r="K2022" i="50"/>
  <c r="N2065" i="50"/>
  <c r="L506" i="50"/>
  <c r="E382" i="47"/>
  <c r="K659" i="50"/>
  <c r="J714" i="50"/>
  <c r="K699" i="50"/>
  <c r="K724" i="50"/>
  <c r="M672" i="50"/>
  <c r="J660" i="50"/>
  <c r="J672" i="50"/>
  <c r="L1447" i="50"/>
  <c r="K671" i="50"/>
  <c r="J686" i="50"/>
  <c r="L919" i="50"/>
  <c r="M878" i="50" s="1"/>
  <c r="L517" i="50"/>
  <c r="K713" i="50"/>
  <c r="J742" i="50"/>
  <c r="L534" i="50"/>
  <c r="L559" i="50"/>
  <c r="L536" i="50"/>
  <c r="L508" i="50"/>
  <c r="K1143" i="50"/>
  <c r="L578" i="50"/>
  <c r="L550" i="50"/>
  <c r="M658" i="50"/>
  <c r="M670" i="50"/>
  <c r="K742" i="50"/>
  <c r="K522" i="50"/>
  <c r="N578" i="50"/>
  <c r="K578" i="50"/>
  <c r="N536" i="50"/>
  <c r="K550" i="50"/>
  <c r="K714" i="50"/>
  <c r="N550" i="50"/>
  <c r="K536" i="50"/>
  <c r="K672" i="50"/>
  <c r="N508" i="50"/>
  <c r="K686" i="50"/>
  <c r="N522" i="50"/>
  <c r="M742" i="50"/>
  <c r="M714" i="50"/>
  <c r="I704" i="37"/>
  <c r="K704" i="37"/>
  <c r="I709" i="37"/>
  <c r="J704" i="37"/>
  <c r="N704" i="37"/>
  <c r="L704" i="37"/>
  <c r="J917" i="50"/>
  <c r="K904" i="50" s="1"/>
  <c r="L494" i="50"/>
  <c r="M700" i="50"/>
  <c r="M698" i="50"/>
  <c r="L740" i="50"/>
  <c r="S1901" i="50"/>
  <c r="K1150" i="50"/>
  <c r="V811" i="50"/>
  <c r="N815" i="50" s="1"/>
  <c r="L681" i="50"/>
  <c r="N506" i="50"/>
  <c r="M723" i="50"/>
  <c r="L658" i="50"/>
  <c r="L670" i="50"/>
  <c r="M1173" i="50"/>
  <c r="M660" i="50"/>
  <c r="M681" i="50"/>
  <c r="L698" i="50"/>
  <c r="R811" i="50"/>
  <c r="J816" i="50" s="1"/>
  <c r="N1573" i="50"/>
  <c r="M1575" i="50"/>
  <c r="N1480" i="50" s="1"/>
  <c r="S811" i="50"/>
  <c r="K816" i="50" s="1"/>
  <c r="K1575" i="50"/>
  <c r="L1534" i="50" s="1"/>
  <c r="L1573" i="50"/>
  <c r="M1478" i="50" s="1"/>
  <c r="N68" i="37"/>
  <c r="N521" i="50" s="1"/>
  <c r="S1575" i="50"/>
  <c r="K1573" i="50"/>
  <c r="L1518" i="50" s="1"/>
  <c r="N1575" i="50"/>
  <c r="M1573" i="50"/>
  <c r="N1543" i="50" s="1"/>
  <c r="K754" i="50"/>
  <c r="M754" i="50"/>
  <c r="N754" i="50"/>
  <c r="AK1362" i="37"/>
  <c r="V1795" i="50"/>
  <c r="N1841" i="50" s="1"/>
  <c r="N517" i="50"/>
  <c r="N494" i="50"/>
  <c r="M578" i="50"/>
  <c r="M1150" i="50"/>
  <c r="N576" i="50"/>
  <c r="M496" i="50"/>
  <c r="I1903" i="50"/>
  <c r="J1834" i="50" s="1"/>
  <c r="M1232" i="50"/>
  <c r="N559" i="50"/>
  <c r="M536" i="50"/>
  <c r="M1792" i="50"/>
  <c r="M1162" i="50"/>
  <c r="M522" i="50"/>
  <c r="M1190" i="50"/>
  <c r="M550" i="50"/>
  <c r="M1901" i="50"/>
  <c r="N1871" i="50" s="1"/>
  <c r="I590" i="50"/>
  <c r="S590" i="50"/>
  <c r="M590" i="50"/>
  <c r="L2103" i="50"/>
  <c r="J1939" i="50"/>
  <c r="S1631" i="50"/>
  <c r="K1636" i="50" s="1"/>
  <c r="K1283" i="50"/>
  <c r="J1575" i="50"/>
  <c r="K1480" i="50" s="1"/>
  <c r="S1739" i="50"/>
  <c r="I1739" i="50" s="1"/>
  <c r="J1698" i="50" s="1"/>
  <c r="N1119" i="50"/>
  <c r="H1447" i="50"/>
  <c r="K1775" i="50"/>
  <c r="I1119" i="50"/>
  <c r="M1464" i="50"/>
  <c r="U1467" i="50"/>
  <c r="M1513" i="50" s="1"/>
  <c r="M68" i="37"/>
  <c r="J1119" i="50"/>
  <c r="J1573" i="50"/>
  <c r="K1543" i="50" s="1"/>
  <c r="S1573" i="50"/>
  <c r="I955" i="50"/>
  <c r="K1119" i="50"/>
  <c r="I1575" i="50"/>
  <c r="J1562" i="50" s="1"/>
  <c r="K955" i="50"/>
  <c r="H1026" i="37"/>
  <c r="M1447" i="50"/>
  <c r="L1903" i="50"/>
  <c r="M1890" i="50" s="1"/>
  <c r="T1631" i="50"/>
  <c r="L1636" i="50" s="1"/>
  <c r="K1083" i="50"/>
  <c r="L1070" i="50" s="1"/>
  <c r="M1119" i="50"/>
  <c r="S1467" i="50"/>
  <c r="K1472" i="50" s="1"/>
  <c r="N955" i="50"/>
  <c r="I1792" i="50"/>
  <c r="J1901" i="50"/>
  <c r="K1829" i="50" s="1"/>
  <c r="M1775" i="50"/>
  <c r="L1119" i="50"/>
  <c r="T975" i="50"/>
  <c r="L980" i="50" s="1"/>
  <c r="V1467" i="50"/>
  <c r="N1472" i="50" s="1"/>
  <c r="J955" i="50"/>
  <c r="K1903" i="50"/>
  <c r="L1808" i="50" s="1"/>
  <c r="K1901" i="50"/>
  <c r="L1818" i="50" s="1"/>
  <c r="K1939" i="50"/>
  <c r="H1119" i="50"/>
  <c r="I1611" i="50"/>
  <c r="I1447" i="50"/>
  <c r="I988" i="37"/>
  <c r="I989" i="37" s="1"/>
  <c r="N1901" i="50"/>
  <c r="N1903" i="50"/>
  <c r="E176" i="47"/>
  <c r="V1631" i="50"/>
  <c r="N1636" i="50" s="1"/>
  <c r="Q2587" i="37"/>
  <c r="Q2265" i="37" s="1"/>
  <c r="Q1943" i="37" s="1"/>
  <c r="Q1621" i="37" s="1"/>
  <c r="Q1299" i="37" s="1"/>
  <c r="Q977" i="37" s="1"/>
  <c r="Q655" i="37" s="1"/>
  <c r="Q333" i="37" s="1"/>
  <c r="H2636" i="37"/>
  <c r="V975" i="50"/>
  <c r="N980" i="50" s="1"/>
  <c r="J1447" i="50"/>
  <c r="S1903" i="50"/>
  <c r="L1775" i="50"/>
  <c r="R1467" i="50"/>
  <c r="J1472" i="50" s="1"/>
  <c r="K1611" i="50"/>
  <c r="N1862" i="50"/>
  <c r="N1808" i="50"/>
  <c r="N1834" i="50"/>
  <c r="N1890" i="50"/>
  <c r="N1820" i="50"/>
  <c r="N1848" i="50"/>
  <c r="L1698" i="50"/>
  <c r="L1670" i="50"/>
  <c r="L1726" i="50"/>
  <c r="L1656" i="50"/>
  <c r="L1684" i="50"/>
  <c r="L1644" i="50"/>
  <c r="K988" i="50"/>
  <c r="K1042" i="50"/>
  <c r="K1000" i="50"/>
  <c r="K1070" i="50"/>
  <c r="K1014" i="50"/>
  <c r="K1028" i="50"/>
  <c r="K878" i="50"/>
  <c r="K906" i="50"/>
  <c r="K836" i="50"/>
  <c r="K864" i="50"/>
  <c r="K824" i="50"/>
  <c r="K850" i="50"/>
  <c r="K610" i="50"/>
  <c r="L1901" i="50"/>
  <c r="S1795" i="50"/>
  <c r="P1814" i="50"/>
  <c r="L1355" i="37"/>
  <c r="X1356" i="37" s="1"/>
  <c r="L1354" i="37"/>
  <c r="X1354" i="37"/>
  <c r="T1248" i="50"/>
  <c r="AB1301" i="37"/>
  <c r="I1381" i="37" s="1"/>
  <c r="I1387" i="37" s="1"/>
  <c r="AE1342" i="37"/>
  <c r="AE1344" i="37" s="1"/>
  <c r="AG1342" i="37"/>
  <c r="AG1344" i="37" s="1"/>
  <c r="AG1371" i="37"/>
  <c r="AG1601" i="37" s="1"/>
  <c r="AH1371" i="37"/>
  <c r="AH1601" i="37" s="1"/>
  <c r="AH1342" i="37"/>
  <c r="AH1344" i="37" s="1"/>
  <c r="AI1309" i="37"/>
  <c r="AD1342" i="37"/>
  <c r="AD1344" i="37" s="1"/>
  <c r="AD1309" i="37"/>
  <c r="AF1342" i="37"/>
  <c r="AF1344" i="37" s="1"/>
  <c r="AC1342" i="37"/>
  <c r="AH1309" i="37"/>
  <c r="AC1371" i="37"/>
  <c r="AC1601" i="37" s="1"/>
  <c r="AG1309" i="37"/>
  <c r="I1323" i="37"/>
  <c r="AF1309" i="37"/>
  <c r="AI1371" i="37"/>
  <c r="AI1601" i="37" s="1"/>
  <c r="AF1371" i="37"/>
  <c r="AF1601" i="37" s="1"/>
  <c r="AE1309" i="37"/>
  <c r="AD1371" i="37"/>
  <c r="AD1601" i="37" s="1"/>
  <c r="AE1371" i="37"/>
  <c r="AE1601" i="37" s="1"/>
  <c r="AI1342" i="37"/>
  <c r="AI1344" i="37" s="1"/>
  <c r="AC1309" i="37"/>
  <c r="W1323" i="37"/>
  <c r="U1309" i="37"/>
  <c r="Z1309" i="37"/>
  <c r="I1311" i="37"/>
  <c r="Y1309" i="37"/>
  <c r="H1311" i="37"/>
  <c r="V1323" i="37"/>
  <c r="Y1323" i="37"/>
  <c r="W1309" i="37"/>
  <c r="X1323" i="37"/>
  <c r="Z1323" i="37"/>
  <c r="T1309" i="37"/>
  <c r="X1309" i="37"/>
  <c r="V1309" i="37"/>
  <c r="M599" i="50"/>
  <c r="R1631" i="50"/>
  <c r="S1737" i="50"/>
  <c r="V2589" i="37"/>
  <c r="AK2599" i="37"/>
  <c r="J2636" i="37"/>
  <c r="L2636" i="37"/>
  <c r="I2641" i="37"/>
  <c r="N2636" i="37"/>
  <c r="K2636" i="37"/>
  <c r="M2636" i="37"/>
  <c r="L599" i="50"/>
  <c r="M389" i="37"/>
  <c r="M388" i="37"/>
  <c r="Y388" i="37"/>
  <c r="Y390" i="37"/>
  <c r="X2964" i="37"/>
  <c r="L2965" i="37"/>
  <c r="X2966" i="37" s="1"/>
  <c r="L2966" i="37" s="1"/>
  <c r="L2964" i="37"/>
  <c r="J980" i="50"/>
  <c r="P993" i="50"/>
  <c r="I610" i="50"/>
  <c r="Y1676" i="37"/>
  <c r="M1677" i="37"/>
  <c r="M1676" i="37"/>
  <c r="Y1678" i="37"/>
  <c r="M1678" i="37" s="1"/>
  <c r="N1678" i="37" s="1"/>
  <c r="T811" i="50"/>
  <c r="M2263" i="50"/>
  <c r="M2262" i="50"/>
  <c r="E363" i="50"/>
  <c r="Q269" i="41"/>
  <c r="E315" i="41"/>
  <c r="AC988" i="37"/>
  <c r="AH988" i="37"/>
  <c r="AD988" i="37"/>
  <c r="AG988" i="37"/>
  <c r="AE988" i="37"/>
  <c r="AF988" i="37"/>
  <c r="AI988" i="37"/>
  <c r="K60" i="37"/>
  <c r="M60" i="37"/>
  <c r="J60" i="37"/>
  <c r="I60" i="37"/>
  <c r="N60" i="37"/>
  <c r="I65" i="37"/>
  <c r="L60" i="37"/>
  <c r="M65" i="37"/>
  <c r="M518" i="50" s="1"/>
  <c r="J65" i="37"/>
  <c r="K65" i="37"/>
  <c r="K518" i="50" s="1"/>
  <c r="L65" i="37"/>
  <c r="N65" i="37"/>
  <c r="N518" i="50" s="1"/>
  <c r="T2406" i="50"/>
  <c r="G926" i="42"/>
  <c r="I930" i="42" s="1"/>
  <c r="G2375" i="50" s="1"/>
  <c r="AB796" i="42"/>
  <c r="S914" i="42"/>
  <c r="V804" i="42"/>
  <c r="Y804" i="42"/>
  <c r="Y812" i="42"/>
  <c r="H804" i="42"/>
  <c r="U804" i="42"/>
  <c r="W804" i="42"/>
  <c r="S913" i="42"/>
  <c r="S916" i="42"/>
  <c r="T804" i="42"/>
  <c r="S910" i="42"/>
  <c r="I804" i="42"/>
  <c r="S919" i="42"/>
  <c r="X812" i="42"/>
  <c r="S918" i="42"/>
  <c r="X804" i="42"/>
  <c r="S911" i="42"/>
  <c r="S912" i="42"/>
  <c r="W812" i="42"/>
  <c r="Z804" i="42"/>
  <c r="Z812" i="42"/>
  <c r="S915" i="42"/>
  <c r="S917" i="42"/>
  <c r="V812" i="42"/>
  <c r="J2379" i="50" s="1"/>
  <c r="I812" i="42"/>
  <c r="G921" i="42" s="1"/>
  <c r="AG889" i="42"/>
  <c r="AG890" i="42"/>
  <c r="AF887" i="42"/>
  <c r="AI889" i="42"/>
  <c r="AC887" i="42"/>
  <c r="AD890" i="42"/>
  <c r="AH964" i="42"/>
  <c r="AH970" i="42" s="1"/>
  <c r="AG895" i="42"/>
  <c r="AH915" i="42"/>
  <c r="AH919" i="42"/>
  <c r="AE964" i="42"/>
  <c r="AE970" i="42" s="1"/>
  <c r="AI919" i="42"/>
  <c r="AB893" i="42"/>
  <c r="AF889" i="42"/>
  <c r="AH890" i="42"/>
  <c r="AH889" i="42"/>
  <c r="AC890" i="42"/>
  <c r="AD917" i="42"/>
  <c r="AG912" i="42"/>
  <c r="AD914" i="42"/>
  <c r="AH910" i="42"/>
  <c r="AD888" i="42"/>
  <c r="AB889" i="42"/>
  <c r="AC892" i="42"/>
  <c r="AF915" i="42"/>
  <c r="AG888" i="42"/>
  <c r="AI895" i="42"/>
  <c r="AC891" i="42"/>
  <c r="AI890" i="42"/>
  <c r="AC894" i="42"/>
  <c r="AC895" i="42"/>
  <c r="AC896" i="42"/>
  <c r="AH893" i="42"/>
  <c r="AG917" i="42"/>
  <c r="AI892" i="42"/>
  <c r="AF891" i="42"/>
  <c r="AF917" i="42"/>
  <c r="AI896" i="42"/>
  <c r="AH911" i="42"/>
  <c r="AF912" i="42"/>
  <c r="AD916" i="42"/>
  <c r="AE910" i="42"/>
  <c r="AD915" i="42"/>
  <c r="AG894" i="42"/>
  <c r="AE888" i="42"/>
  <c r="AE891" i="42"/>
  <c r="AI891" i="42"/>
  <c r="AG916" i="42"/>
  <c r="AF964" i="42"/>
  <c r="AF970" i="42" s="1"/>
  <c r="AE914" i="42"/>
  <c r="AF919" i="42"/>
  <c r="AH894" i="42"/>
  <c r="AF914" i="42"/>
  <c r="AF888" i="42"/>
  <c r="AG918" i="42"/>
  <c r="AB891" i="42"/>
  <c r="AH892" i="42"/>
  <c r="AI914" i="42"/>
  <c r="AE917" i="42"/>
  <c r="AG913" i="42"/>
  <c r="AD919" i="42"/>
  <c r="AC919" i="42"/>
  <c r="AB919" i="42" s="1"/>
  <c r="AC916" i="42"/>
  <c r="AB916" i="42" s="1"/>
  <c r="AH913" i="42"/>
  <c r="AD964" i="42"/>
  <c r="AD970" i="42" s="1"/>
  <c r="AG893" i="42"/>
  <c r="AH918" i="42"/>
  <c r="AE889" i="42"/>
  <c r="AF916" i="42"/>
  <c r="AI916" i="42"/>
  <c r="AF910" i="42"/>
  <c r="AH917" i="42"/>
  <c r="AC964" i="42"/>
  <c r="AG914" i="42"/>
  <c r="AG964" i="42"/>
  <c r="AG970" i="42" s="1"/>
  <c r="AI911" i="42"/>
  <c r="AG896" i="42"/>
  <c r="AC889" i="42"/>
  <c r="AI918" i="42"/>
  <c r="AF918" i="42"/>
  <c r="AI888" i="42"/>
  <c r="AB888" i="42"/>
  <c r="AE894" i="42"/>
  <c r="AF895" i="42"/>
  <c r="AD887" i="42"/>
  <c r="AC915" i="42"/>
  <c r="AB915" i="42" s="1"/>
  <c r="AH912" i="42"/>
  <c r="AG910" i="42"/>
  <c r="AF894" i="42"/>
  <c r="AG887" i="42"/>
  <c r="AE892" i="42"/>
  <c r="AG892" i="42"/>
  <c r="AF890" i="42"/>
  <c r="AG891" i="42"/>
  <c r="AH888" i="42"/>
  <c r="AD896" i="42"/>
  <c r="AE918" i="42"/>
  <c r="AB895" i="42"/>
  <c r="AI894" i="42"/>
  <c r="AC893" i="42"/>
  <c r="AF892" i="42"/>
  <c r="AE915" i="42"/>
  <c r="AI910" i="42"/>
  <c r="AI913" i="42"/>
  <c r="AG915" i="42"/>
  <c r="AE912" i="42"/>
  <c r="AG911" i="42"/>
  <c r="AE893" i="42"/>
  <c r="AE919" i="42"/>
  <c r="AH916" i="42"/>
  <c r="AI917" i="42"/>
  <c r="AD891" i="42"/>
  <c r="AE887" i="42"/>
  <c r="AD894" i="42"/>
  <c r="AI912" i="42"/>
  <c r="AB894" i="42"/>
  <c r="AH914" i="42"/>
  <c r="AF896" i="42"/>
  <c r="AH896" i="42"/>
  <c r="AE890" i="42"/>
  <c r="AB890" i="42"/>
  <c r="AG919" i="42"/>
  <c r="AI964" i="42"/>
  <c r="AI970" i="42" s="1"/>
  <c r="AC914" i="42"/>
  <c r="AB914" i="42" s="1"/>
  <c r="AI893" i="42"/>
  <c r="AB892" i="42"/>
  <c r="AD895" i="42"/>
  <c r="AE895" i="42"/>
  <c r="AD892" i="42"/>
  <c r="AH891" i="42"/>
  <c r="AF893" i="42"/>
  <c r="AH887" i="42"/>
  <c r="AH895" i="42"/>
  <c r="AC888" i="42"/>
  <c r="AB887" i="42"/>
  <c r="AD889" i="42"/>
  <c r="AI915" i="42"/>
  <c r="AB896" i="42"/>
  <c r="AE896" i="42"/>
  <c r="AE916" i="42"/>
  <c r="AD893" i="42"/>
  <c r="AI887" i="42"/>
  <c r="AC917" i="42"/>
  <c r="AB917" i="42" s="1"/>
  <c r="AF911" i="42"/>
  <c r="AE911" i="42"/>
  <c r="AE913" i="42"/>
  <c r="AF913" i="42"/>
  <c r="E108" i="47"/>
  <c r="P235" i="50"/>
  <c r="J610" i="50"/>
  <c r="K608" i="50"/>
  <c r="M2103" i="50"/>
  <c r="T756" i="50"/>
  <c r="AB335" i="37"/>
  <c r="I390" i="37" s="1"/>
  <c r="I396" i="37" s="1"/>
  <c r="S754" i="50" s="1"/>
  <c r="I754" i="50" s="1"/>
  <c r="I357" i="37"/>
  <c r="AF376" i="37"/>
  <c r="AF378" i="37" s="1"/>
  <c r="AI405" i="37"/>
  <c r="AI635" i="37" s="1"/>
  <c r="AH343" i="37"/>
  <c r="AG405" i="37"/>
  <c r="AG635" i="37" s="1"/>
  <c r="X343" i="37"/>
  <c r="AI343" i="37"/>
  <c r="AD343" i="37"/>
  <c r="Y357" i="37"/>
  <c r="AD405" i="37"/>
  <c r="AD635" i="37" s="1"/>
  <c r="Z343" i="37"/>
  <c r="AC405" i="37"/>
  <c r="AC635" i="37" s="1"/>
  <c r="Y343" i="37"/>
  <c r="AE343" i="37"/>
  <c r="U343" i="37"/>
  <c r="AE376" i="37"/>
  <c r="AE378" i="37" s="1"/>
  <c r="Z357" i="37"/>
  <c r="T343" i="37"/>
  <c r="AE405" i="37"/>
  <c r="AE635" i="37" s="1"/>
  <c r="AI376" i="37"/>
  <c r="AI378" i="37" s="1"/>
  <c r="AC376" i="37"/>
  <c r="W343" i="37"/>
  <c r="V343" i="37"/>
  <c r="AC343" i="37"/>
  <c r="AF343" i="37"/>
  <c r="AF405" i="37"/>
  <c r="AF635" i="37" s="1"/>
  <c r="AG376" i="37"/>
  <c r="AG378" i="37" s="1"/>
  <c r="X357" i="37"/>
  <c r="W357" i="37"/>
  <c r="AH405" i="37"/>
  <c r="AH635" i="37" s="1"/>
  <c r="AG343" i="37"/>
  <c r="AH376" i="37"/>
  <c r="AH378" i="37" s="1"/>
  <c r="AD376" i="37"/>
  <c r="AD378" i="37" s="1"/>
  <c r="V357" i="37"/>
  <c r="H972" i="50"/>
  <c r="F975" i="50"/>
  <c r="N1053" i="50"/>
  <c r="M1053" i="50"/>
  <c r="L1053" i="50"/>
  <c r="K1053" i="50"/>
  <c r="K1054" i="50"/>
  <c r="M1054" i="50"/>
  <c r="N1054" i="50"/>
  <c r="L1054" i="50"/>
  <c r="K1055" i="50"/>
  <c r="J1054" i="50"/>
  <c r="J1055" i="50"/>
  <c r="J1056" i="50"/>
  <c r="K1056" i="50"/>
  <c r="L1056" i="50"/>
  <c r="M1056" i="50"/>
  <c r="N1056" i="50"/>
  <c r="AK23" i="37"/>
  <c r="V13" i="37"/>
  <c r="J607" i="50"/>
  <c r="K599" i="50"/>
  <c r="N630" i="50"/>
  <c r="M603" i="50"/>
  <c r="L618" i="50"/>
  <c r="L600" i="50"/>
  <c r="H618" i="50"/>
  <c r="M636" i="50"/>
  <c r="N605" i="50"/>
  <c r="K619" i="50"/>
  <c r="J617" i="50"/>
  <c r="H637" i="50"/>
  <c r="K637" i="50"/>
  <c r="N620" i="50"/>
  <c r="I600" i="50"/>
  <c r="N600" i="50"/>
  <c r="K622" i="50"/>
  <c r="H625" i="50"/>
  <c r="I605" i="50"/>
  <c r="M633" i="50"/>
  <c r="K600" i="50"/>
  <c r="L614" i="50"/>
  <c r="H599" i="50"/>
  <c r="J614" i="50"/>
  <c r="K614" i="50"/>
  <c r="L611" i="50"/>
  <c r="H619" i="50"/>
  <c r="J616" i="50"/>
  <c r="L607" i="50"/>
  <c r="I607" i="50"/>
  <c r="H622" i="50"/>
  <c r="M622" i="50"/>
  <c r="I602" i="50"/>
  <c r="I603" i="50"/>
  <c r="K621" i="50"/>
  <c r="L625" i="50"/>
  <c r="I616" i="50"/>
  <c r="N621" i="50"/>
  <c r="M618" i="50"/>
  <c r="M600" i="50"/>
  <c r="N636" i="50"/>
  <c r="J622" i="50"/>
  <c r="L636" i="50"/>
  <c r="I613" i="50"/>
  <c r="J600" i="50"/>
  <c r="J637" i="50"/>
  <c r="J619" i="50"/>
  <c r="L623" i="50"/>
  <c r="H621" i="50"/>
  <c r="K616" i="50"/>
  <c r="I621" i="50"/>
  <c r="N623" i="50"/>
  <c r="N637" i="50"/>
  <c r="L616" i="50"/>
  <c r="N634" i="50"/>
  <c r="H633" i="50"/>
  <c r="H634" i="50"/>
  <c r="H630" i="50"/>
  <c r="M617" i="50"/>
  <c r="K613" i="50"/>
  <c r="K620" i="50"/>
  <c r="M623" i="50"/>
  <c r="H605" i="50"/>
  <c r="E633" i="50"/>
  <c r="K636" i="50"/>
  <c r="N614" i="50"/>
  <c r="K604" i="50"/>
  <c r="I622" i="50"/>
  <c r="H620" i="50"/>
  <c r="H628" i="50"/>
  <c r="I628" i="50"/>
  <c r="M619" i="50"/>
  <c r="M604" i="50"/>
  <c r="J625" i="50"/>
  <c r="J620" i="50"/>
  <c r="E637" i="50"/>
  <c r="L622" i="50"/>
  <c r="L634" i="50"/>
  <c r="K605" i="50"/>
  <c r="J623" i="50"/>
  <c r="H616" i="50"/>
  <c r="M605" i="50"/>
  <c r="L620" i="50"/>
  <c r="J602" i="50"/>
  <c r="L603" i="50"/>
  <c r="L613" i="50"/>
  <c r="E636" i="50"/>
  <c r="H600" i="50"/>
  <c r="I614" i="50"/>
  <c r="M613" i="50"/>
  <c r="M620" i="50"/>
  <c r="N603" i="50"/>
  <c r="N617" i="50"/>
  <c r="J603" i="50"/>
  <c r="H603" i="50"/>
  <c r="N619" i="50"/>
  <c r="I623" i="50"/>
  <c r="M637" i="50"/>
  <c r="H604" i="50"/>
  <c r="N633" i="50"/>
  <c r="K634" i="50"/>
  <c r="M616" i="50"/>
  <c r="I619" i="50"/>
  <c r="I618" i="50"/>
  <c r="J599" i="50"/>
  <c r="I630" i="50"/>
  <c r="K628" i="50"/>
  <c r="I604" i="50"/>
  <c r="L637" i="50"/>
  <c r="I636" i="50"/>
  <c r="J618" i="50"/>
  <c r="L605" i="50"/>
  <c r="K618" i="50"/>
  <c r="M621" i="50"/>
  <c r="I625" i="50"/>
  <c r="H610" i="50"/>
  <c r="J628" i="50"/>
  <c r="K607" i="50"/>
  <c r="N628" i="50"/>
  <c r="K625" i="50"/>
  <c r="N613" i="50"/>
  <c r="J621" i="50"/>
  <c r="N602" i="50"/>
  <c r="K603" i="50"/>
  <c r="N625" i="50"/>
  <c r="M602" i="50"/>
  <c r="L604" i="50"/>
  <c r="I599" i="50"/>
  <c r="J613" i="50"/>
  <c r="K630" i="50"/>
  <c r="L619" i="50"/>
  <c r="M607" i="50"/>
  <c r="E634" i="50"/>
  <c r="I617" i="50"/>
  <c r="H602" i="50"/>
  <c r="I620" i="50"/>
  <c r="J604" i="50"/>
  <c r="H614" i="50"/>
  <c r="N610" i="50"/>
  <c r="N607" i="50"/>
  <c r="L621" i="50"/>
  <c r="N618" i="50"/>
  <c r="K617" i="50"/>
  <c r="H613" i="50"/>
  <c r="K623" i="50"/>
  <c r="M614" i="50"/>
  <c r="N616" i="50"/>
  <c r="M625" i="50"/>
  <c r="M628" i="50"/>
  <c r="H623" i="50"/>
  <c r="L617" i="50"/>
  <c r="H617" i="50"/>
  <c r="L628" i="50"/>
  <c r="K602" i="50"/>
  <c r="I637" i="50"/>
  <c r="J636" i="50"/>
  <c r="J634" i="50"/>
  <c r="N622" i="50"/>
  <c r="J605" i="50"/>
  <c r="N604" i="50"/>
  <c r="H607" i="50"/>
  <c r="L602" i="50"/>
  <c r="L630" i="50"/>
  <c r="H636" i="50"/>
  <c r="I634" i="50"/>
  <c r="M634" i="50"/>
  <c r="E340" i="41"/>
  <c r="Q311" i="41"/>
  <c r="E399" i="50"/>
  <c r="M624" i="50"/>
  <c r="J624" i="50"/>
  <c r="M1939" i="50"/>
  <c r="P1886" i="50"/>
  <c r="I1954" i="37"/>
  <c r="I1955" i="37" s="1"/>
  <c r="L633" i="50"/>
  <c r="N1737" i="50"/>
  <c r="J1739" i="50"/>
  <c r="I1628" i="50"/>
  <c r="P1722" i="50"/>
  <c r="T2349" i="50"/>
  <c r="AB609" i="42"/>
  <c r="G739" i="42"/>
  <c r="I743" i="42" s="1"/>
  <c r="G2318" i="50" s="1"/>
  <c r="W617" i="42"/>
  <c r="W625" i="42"/>
  <c r="S728" i="42"/>
  <c r="U617" i="42"/>
  <c r="X617" i="42"/>
  <c r="V625" i="42"/>
  <c r="S729" i="42"/>
  <c r="T617" i="42"/>
  <c r="X625" i="42"/>
  <c r="S727" i="42"/>
  <c r="S732" i="42"/>
  <c r="S730" i="42"/>
  <c r="Z625" i="42"/>
  <c r="S723" i="42"/>
  <c r="H617" i="42"/>
  <c r="S726" i="42"/>
  <c r="S725" i="42"/>
  <c r="V617" i="42"/>
  <c r="Y617" i="42"/>
  <c r="Y625" i="42"/>
  <c r="S731" i="42"/>
  <c r="I617" i="42"/>
  <c r="S724" i="42"/>
  <c r="Z617" i="42"/>
  <c r="I625" i="42"/>
  <c r="G734" i="42" s="1"/>
  <c r="AI731" i="42"/>
  <c r="AH707" i="42"/>
  <c r="AE731" i="42"/>
  <c r="AB701" i="42"/>
  <c r="AD777" i="42"/>
  <c r="AD783" i="42" s="1"/>
  <c r="AH727" i="42"/>
  <c r="AI706" i="42"/>
  <c r="AF703" i="42"/>
  <c r="AD706" i="42"/>
  <c r="AI730" i="42"/>
  <c r="AH708" i="42"/>
  <c r="AE703" i="42"/>
  <c r="AF729" i="42"/>
  <c r="AH777" i="42"/>
  <c r="AH783" i="42" s="1"/>
  <c r="AC728" i="42"/>
  <c r="AB728" i="42" s="1"/>
  <c r="AF725" i="42"/>
  <c r="AE724" i="42"/>
  <c r="AG730" i="42"/>
  <c r="AE701" i="42"/>
  <c r="AC706" i="42"/>
  <c r="AC709" i="42"/>
  <c r="AB706" i="42"/>
  <c r="AH705" i="42"/>
  <c r="AH706" i="42"/>
  <c r="AE730" i="42"/>
  <c r="AI700" i="42"/>
  <c r="AB700" i="42"/>
  <c r="AH701" i="42"/>
  <c r="AI732" i="42"/>
  <c r="AI709" i="42"/>
  <c r="AF706" i="42"/>
  <c r="AI723" i="42"/>
  <c r="AC729" i="42"/>
  <c r="AB729" i="42" s="1"/>
  <c r="AD707" i="42"/>
  <c r="AC702" i="42"/>
  <c r="AG728" i="42"/>
  <c r="AF726" i="42"/>
  <c r="AD709" i="42"/>
  <c r="AG708" i="42"/>
  <c r="AH730" i="42"/>
  <c r="AG727" i="42"/>
  <c r="AF728" i="42"/>
  <c r="AH728" i="42"/>
  <c r="AH703" i="42"/>
  <c r="AI708" i="42"/>
  <c r="AI724" i="42"/>
  <c r="AH704" i="42"/>
  <c r="AG700" i="42"/>
  <c r="AG705" i="42"/>
  <c r="AC701" i="42"/>
  <c r="AD705" i="42"/>
  <c r="AE707" i="42"/>
  <c r="AB703" i="42"/>
  <c r="AI701" i="42"/>
  <c r="AD727" i="42"/>
  <c r="AE732" i="42"/>
  <c r="AC704" i="42"/>
  <c r="AD728" i="42"/>
  <c r="AG702" i="42"/>
  <c r="AH709" i="42"/>
  <c r="AH702" i="42"/>
  <c r="AC777" i="42"/>
  <c r="AG731" i="42"/>
  <c r="AI705" i="42"/>
  <c r="AI777" i="42"/>
  <c r="AI783" i="42" s="1"/>
  <c r="AG703" i="42"/>
  <c r="AI703" i="42"/>
  <c r="AF727" i="42"/>
  <c r="AD700" i="42"/>
  <c r="AC700" i="42"/>
  <c r="AE702" i="42"/>
  <c r="AE705" i="42"/>
  <c r="AF724" i="42"/>
  <c r="AD730" i="42"/>
  <c r="AC730" i="42"/>
  <c r="AB730" i="42" s="1"/>
  <c r="AH732" i="42"/>
  <c r="AD704" i="42"/>
  <c r="AH700" i="42"/>
  <c r="AE723" i="42"/>
  <c r="AE709" i="42"/>
  <c r="AD708" i="42"/>
  <c r="AE729" i="42"/>
  <c r="AD702" i="42"/>
  <c r="AF732" i="42"/>
  <c r="AC707" i="42"/>
  <c r="AG701" i="42"/>
  <c r="AG704" i="42"/>
  <c r="AF777" i="42"/>
  <c r="AF783" i="42" s="1"/>
  <c r="AF730" i="42"/>
  <c r="AG732" i="42"/>
  <c r="AG706" i="42"/>
  <c r="AF709" i="42"/>
  <c r="AI727" i="42"/>
  <c r="AB705" i="42"/>
  <c r="AC727" i="42"/>
  <c r="AB727" i="42" s="1"/>
  <c r="AH726" i="42"/>
  <c r="AH724" i="42"/>
  <c r="AG726" i="42"/>
  <c r="AD701" i="42"/>
  <c r="AG707" i="42"/>
  <c r="AC705" i="42"/>
  <c r="AB704" i="42"/>
  <c r="AF723" i="42"/>
  <c r="AF702" i="42"/>
  <c r="AF704" i="42"/>
  <c r="AC708" i="42"/>
  <c r="AH731" i="42"/>
  <c r="AD703" i="42"/>
  <c r="AG709" i="42"/>
  <c r="AB707" i="42"/>
  <c r="AG729" i="42"/>
  <c r="AI707" i="42"/>
  <c r="AI702" i="42"/>
  <c r="AE700" i="42"/>
  <c r="AE727" i="42"/>
  <c r="AI729" i="42"/>
  <c r="AE704" i="42"/>
  <c r="AB702" i="42"/>
  <c r="AH725" i="42"/>
  <c r="AG723" i="42"/>
  <c r="AG725" i="42"/>
  <c r="AG724" i="42"/>
  <c r="AE725" i="42"/>
  <c r="AF700" i="42"/>
  <c r="AF708" i="42"/>
  <c r="AB708" i="42"/>
  <c r="AE706" i="42"/>
  <c r="AE726" i="42"/>
  <c r="AB709" i="42"/>
  <c r="AF701" i="42"/>
  <c r="AI728" i="42"/>
  <c r="AC703" i="42"/>
  <c r="AF707" i="42"/>
  <c r="AI704" i="42"/>
  <c r="AE777" i="42"/>
  <c r="AE783" i="42" s="1"/>
  <c r="AE708" i="42"/>
  <c r="AI726" i="42"/>
  <c r="AI725" i="42"/>
  <c r="AF731" i="42"/>
  <c r="AF705" i="42"/>
  <c r="AH729" i="42"/>
  <c r="AG777" i="42"/>
  <c r="AG783" i="42" s="1"/>
  <c r="AE728" i="42"/>
  <c r="AH723" i="42"/>
  <c r="AD729" i="42"/>
  <c r="I633" i="50"/>
  <c r="K388" i="37"/>
  <c r="W390" i="37"/>
  <c r="K390" i="37" s="1"/>
  <c r="K685" i="50" s="1"/>
  <c r="K389" i="37"/>
  <c r="W388" i="37"/>
  <c r="K1177" i="50"/>
  <c r="K1180" i="50"/>
  <c r="K1181" i="50" s="1"/>
  <c r="L1177" i="50"/>
  <c r="M1177" i="50"/>
  <c r="L1179" i="50"/>
  <c r="L1180" i="50"/>
  <c r="L1181" i="50" s="1"/>
  <c r="M1180" i="50"/>
  <c r="M1181" i="50" s="1"/>
  <c r="J1177" i="50"/>
  <c r="J1179" i="50" s="1"/>
  <c r="J1180" i="50" s="1"/>
  <c r="J1181" i="50" s="1"/>
  <c r="N1180" i="50"/>
  <c r="N1181" i="50" s="1"/>
  <c r="N1177" i="50"/>
  <c r="K1246" i="50"/>
  <c r="L1246" i="50"/>
  <c r="J1246" i="50"/>
  <c r="S1246" i="50"/>
  <c r="I1246" i="50" s="1"/>
  <c r="M1246" i="50"/>
  <c r="N1246" i="50"/>
  <c r="M2964" i="37"/>
  <c r="Y2964" i="37"/>
  <c r="M2965" i="37"/>
  <c r="Y2966" i="37" s="1"/>
  <c r="M2966" i="37" s="1"/>
  <c r="N2966" i="37" s="1"/>
  <c r="P1514" i="50"/>
  <c r="Q264" i="41"/>
  <c r="E358" i="50"/>
  <c r="E310" i="41"/>
  <c r="L955" i="50"/>
  <c r="M955" i="50"/>
  <c r="J2436" i="50"/>
  <c r="N624" i="50"/>
  <c r="I1026" i="37"/>
  <c r="L1026" i="37"/>
  <c r="J1026" i="37"/>
  <c r="K1026" i="37"/>
  <c r="M1026" i="37"/>
  <c r="N1026" i="37"/>
  <c r="I1031" i="37"/>
  <c r="E396" i="50"/>
  <c r="E337" i="41"/>
  <c r="Q308" i="41"/>
  <c r="W398" i="47"/>
  <c r="T2455" i="50"/>
  <c r="AB983" i="42"/>
  <c r="I998" i="42"/>
  <c r="Y998" i="42"/>
  <c r="V990" i="42"/>
  <c r="X990" i="42"/>
  <c r="Z998" i="42"/>
  <c r="W998" i="42"/>
  <c r="W990" i="42"/>
  <c r="T990" i="42"/>
  <c r="T1036" i="42" s="1"/>
  <c r="U990" i="42"/>
  <c r="U1036" i="42" s="1"/>
  <c r="V998" i="42"/>
  <c r="J998" i="42" s="1"/>
  <c r="Z990" i="42"/>
  <c r="X998" i="42"/>
  <c r="Y990" i="42"/>
  <c r="AF990" i="42"/>
  <c r="AE990" i="42"/>
  <c r="AC990" i="42"/>
  <c r="AH990" i="42"/>
  <c r="AG990" i="42"/>
  <c r="AI990" i="42"/>
  <c r="AD990" i="42"/>
  <c r="I2103" i="50"/>
  <c r="L608" i="50"/>
  <c r="T2068" i="50"/>
  <c r="AB2911" i="37"/>
  <c r="I2933" i="37"/>
  <c r="AF2952" i="37"/>
  <c r="AF2954" i="37" s="1"/>
  <c r="AE2952" i="37"/>
  <c r="AE2954" i="37" s="1"/>
  <c r="AE2919" i="37"/>
  <c r="AC2981" i="37"/>
  <c r="AC3211" i="37" s="1"/>
  <c r="T2919" i="37"/>
  <c r="U2919" i="37"/>
  <c r="AH2952" i="37"/>
  <c r="AH2954" i="37" s="1"/>
  <c r="AD2981" i="37"/>
  <c r="AD3211" i="37" s="1"/>
  <c r="X2933" i="37"/>
  <c r="AG2919" i="37"/>
  <c r="V2919" i="37"/>
  <c r="AD2919" i="37"/>
  <c r="AC2919" i="37"/>
  <c r="AG2952" i="37"/>
  <c r="AG2954" i="37" s="1"/>
  <c r="AF2919" i="37"/>
  <c r="X2919" i="37"/>
  <c r="W2919" i="37"/>
  <c r="AC2952" i="37"/>
  <c r="AH2919" i="37"/>
  <c r="AF2981" i="37"/>
  <c r="AF3211" i="37" s="1"/>
  <c r="W2933" i="37"/>
  <c r="AI2952" i="37"/>
  <c r="AI2954" i="37" s="1"/>
  <c r="Z2919" i="37"/>
  <c r="Y2919" i="37"/>
  <c r="AD2952" i="37"/>
  <c r="AD2954" i="37" s="1"/>
  <c r="AE2981" i="37"/>
  <c r="AE3211" i="37" s="1"/>
  <c r="AI2919" i="37"/>
  <c r="I2921" i="37"/>
  <c r="H2921" i="37"/>
  <c r="AH2981" i="37"/>
  <c r="AH3211" i="37" s="1"/>
  <c r="AI2981" i="37"/>
  <c r="AI3211" i="37" s="1"/>
  <c r="V2933" i="37"/>
  <c r="Y2933" i="37"/>
  <c r="Z2933" i="37"/>
  <c r="AG2981" i="37"/>
  <c r="AG3211" i="37" s="1"/>
  <c r="N1447" i="50"/>
  <c r="J611" i="50"/>
  <c r="M610" i="50"/>
  <c r="L1992" i="37"/>
  <c r="I1992" i="37"/>
  <c r="J1992" i="37"/>
  <c r="K1992" i="37"/>
  <c r="M1992" i="37"/>
  <c r="I1997" i="37"/>
  <c r="N1992" i="37"/>
  <c r="I2000" i="37"/>
  <c r="I2006" i="37" s="1"/>
  <c r="L1997" i="37"/>
  <c r="P1504" i="50"/>
  <c r="M1841" i="50"/>
  <c r="M1800" i="50"/>
  <c r="M1799" i="50"/>
  <c r="K633" i="50"/>
  <c r="I1775" i="50"/>
  <c r="N1739" i="50"/>
  <c r="J1775" i="50"/>
  <c r="I624" i="50"/>
  <c r="Z388" i="37"/>
  <c r="N389" i="37"/>
  <c r="N388" i="37"/>
  <c r="Z390" i="37"/>
  <c r="J388" i="37"/>
  <c r="J389" i="37"/>
  <c r="V388" i="37"/>
  <c r="V390" i="37"/>
  <c r="J685" i="50" s="1"/>
  <c r="Z2964" i="37"/>
  <c r="N2964" i="37"/>
  <c r="N2965" i="37"/>
  <c r="Z2966" i="37" s="1"/>
  <c r="N644" i="50"/>
  <c r="H667" i="50"/>
  <c r="H678" i="50" s="1"/>
  <c r="H692" i="50" s="1"/>
  <c r="H706" i="50" s="1"/>
  <c r="H720" i="50" s="1"/>
  <c r="H734" i="50" s="1"/>
  <c r="H750" i="50" s="1"/>
  <c r="I2920" i="37"/>
  <c r="H666" i="37"/>
  <c r="H667" i="37" s="1"/>
  <c r="H344" i="37"/>
  <c r="H345" i="37" s="1"/>
  <c r="I344" i="37"/>
  <c r="I345" i="37" s="1"/>
  <c r="I666" i="37"/>
  <c r="I667" i="37" s="1"/>
  <c r="I972" i="50"/>
  <c r="L1611" i="50"/>
  <c r="D2620" i="50"/>
  <c r="D2643" i="50" s="1"/>
  <c r="D2666" i="50" s="1"/>
  <c r="D2595" i="50"/>
  <c r="P829" i="50"/>
  <c r="P859" i="50"/>
  <c r="M808" i="50"/>
  <c r="L889" i="50"/>
  <c r="N889" i="50"/>
  <c r="N890" i="50"/>
  <c r="J873" i="50"/>
  <c r="K891" i="50"/>
  <c r="K889" i="50"/>
  <c r="K892" i="50"/>
  <c r="K893" i="50" s="1"/>
  <c r="K894" i="50" s="1"/>
  <c r="K895" i="50" s="1"/>
  <c r="M892" i="50"/>
  <c r="M893" i="50" s="1"/>
  <c r="M894" i="50" s="1"/>
  <c r="M895" i="50" s="1"/>
  <c r="K890" i="50"/>
  <c r="J891" i="50"/>
  <c r="M889" i="50"/>
  <c r="L892" i="50"/>
  <c r="L893" i="50" s="1"/>
  <c r="L894" i="50" s="1"/>
  <c r="L895" i="50" s="1"/>
  <c r="H808" i="50"/>
  <c r="L890" i="50"/>
  <c r="J892" i="50"/>
  <c r="J893" i="50" s="1"/>
  <c r="J894" i="50" s="1"/>
  <c r="J895" i="50" s="1"/>
  <c r="N892" i="50"/>
  <c r="N893" i="50" s="1"/>
  <c r="N894" i="50" s="1"/>
  <c r="N895" i="50" s="1"/>
  <c r="F811" i="50"/>
  <c r="J889" i="50"/>
  <c r="M891" i="50"/>
  <c r="L891" i="50"/>
  <c r="M890" i="50"/>
  <c r="N891" i="50"/>
  <c r="J890" i="50"/>
  <c r="N875" i="50"/>
  <c r="N874" i="50"/>
  <c r="J874" i="50"/>
  <c r="K874" i="50"/>
  <c r="L874" i="50"/>
  <c r="J875" i="50"/>
  <c r="L875" i="50"/>
  <c r="J876" i="50"/>
  <c r="N876" i="50"/>
  <c r="K876" i="50"/>
  <c r="L876" i="50"/>
  <c r="M876" i="50"/>
  <c r="L2262" i="50"/>
  <c r="L2263" i="50"/>
  <c r="K2103" i="50"/>
  <c r="N611" i="50"/>
  <c r="H611" i="50"/>
  <c r="P1230" i="50"/>
  <c r="I2276" i="37"/>
  <c r="AC2276" i="37"/>
  <c r="AH2276" i="37"/>
  <c r="AE2276" i="37"/>
  <c r="AI2276" i="37"/>
  <c r="AG2276" i="37"/>
  <c r="AD2276" i="37"/>
  <c r="AF2276" i="37"/>
  <c r="H284" i="49"/>
  <c r="H285" i="49"/>
  <c r="I284" i="49"/>
  <c r="I285" i="49"/>
  <c r="H2103" i="50"/>
  <c r="I611" i="50"/>
  <c r="N599" i="50"/>
  <c r="L624" i="50"/>
  <c r="J633" i="50"/>
  <c r="X390" i="37"/>
  <c r="L389" i="37"/>
  <c r="X388" i="37"/>
  <c r="L388" i="37"/>
  <c r="M972" i="50"/>
  <c r="P1022" i="50"/>
  <c r="M1520" i="50"/>
  <c r="M1480" i="50"/>
  <c r="M1506" i="50"/>
  <c r="M1492" i="50"/>
  <c r="M1562" i="50"/>
  <c r="M1534" i="50"/>
  <c r="I1939" i="50"/>
  <c r="L1939" i="50"/>
  <c r="R1795" i="50"/>
  <c r="D2622" i="50"/>
  <c r="D2645" i="50" s="1"/>
  <c r="D2668" i="50" s="1"/>
  <c r="D2597" i="50"/>
  <c r="M2000" i="37"/>
  <c r="H1954" i="37"/>
  <c r="H1955" i="37" s="1"/>
  <c r="AK1955" i="37"/>
  <c r="V1945" i="37"/>
  <c r="H1992" i="37"/>
  <c r="K1354" i="37"/>
  <c r="W1354" i="37"/>
  <c r="K1355" i="37"/>
  <c r="W1356" i="37" s="1"/>
  <c r="K1356" i="37" s="1"/>
  <c r="AB1623" i="37"/>
  <c r="I1678" i="37" s="1"/>
  <c r="I1684" i="37" s="1"/>
  <c r="T1412" i="50"/>
  <c r="I1645" i="37"/>
  <c r="AI1664" i="37"/>
  <c r="AI1666" i="37" s="1"/>
  <c r="T1631" i="37"/>
  <c r="U1631" i="37"/>
  <c r="AC1693" i="37"/>
  <c r="AC1923" i="37" s="1"/>
  <c r="AH1631" i="37"/>
  <c r="AF1631" i="37"/>
  <c r="AI1693" i="37"/>
  <c r="AI1923" i="37" s="1"/>
  <c r="I1633" i="37"/>
  <c r="Y1631" i="37"/>
  <c r="AE1693" i="37"/>
  <c r="AE1923" i="37" s="1"/>
  <c r="W1645" i="37"/>
  <c r="Z1631" i="37"/>
  <c r="AC1631" i="37"/>
  <c r="AH1693" i="37"/>
  <c r="AH1923" i="37" s="1"/>
  <c r="AG1631" i="37"/>
  <c r="AF1693" i="37"/>
  <c r="AF1923" i="37" s="1"/>
  <c r="X1631" i="37"/>
  <c r="V1631" i="37"/>
  <c r="AE1664" i="37"/>
  <c r="AE1666" i="37" s="1"/>
  <c r="AD1631" i="37"/>
  <c r="AI1631" i="37"/>
  <c r="AF1664" i="37"/>
  <c r="AF1666" i="37" s="1"/>
  <c r="Z1645" i="37"/>
  <c r="AG1664" i="37"/>
  <c r="AG1666" i="37" s="1"/>
  <c r="AD1664" i="37"/>
  <c r="AD1666" i="37" s="1"/>
  <c r="AG1693" i="37"/>
  <c r="AG1923" i="37" s="1"/>
  <c r="Y1645" i="37"/>
  <c r="V1645" i="37"/>
  <c r="W1631" i="37"/>
  <c r="AE1631" i="37"/>
  <c r="AD1693" i="37"/>
  <c r="AD1923" i="37" s="1"/>
  <c r="H1633" i="37"/>
  <c r="AC1664" i="37"/>
  <c r="AH1664" i="37"/>
  <c r="AH1666" i="37" s="1"/>
  <c r="X1645" i="37"/>
  <c r="H1775" i="50"/>
  <c r="M1739" i="50"/>
  <c r="P1649" i="50"/>
  <c r="T2223" i="50"/>
  <c r="AB249" i="42"/>
  <c r="G381" i="42"/>
  <c r="I385" i="42" s="1"/>
  <c r="G2192" i="50" s="1"/>
  <c r="S371" i="42"/>
  <c r="S374" i="42"/>
  <c r="X265" i="42"/>
  <c r="X257" i="42"/>
  <c r="S369" i="42"/>
  <c r="Y265" i="42"/>
  <c r="V265" i="42"/>
  <c r="Z265" i="42"/>
  <c r="S368" i="42"/>
  <c r="W257" i="42"/>
  <c r="V257" i="42"/>
  <c r="S372" i="42"/>
  <c r="Z257" i="42"/>
  <c r="S370" i="42"/>
  <c r="S366" i="42"/>
  <c r="S365" i="42"/>
  <c r="U257" i="42"/>
  <c r="S373" i="42"/>
  <c r="Y257" i="42"/>
  <c r="T257" i="42"/>
  <c r="S367" i="42"/>
  <c r="W265" i="42"/>
  <c r="I265" i="42"/>
  <c r="G376" i="42" s="1"/>
  <c r="AG351" i="42"/>
  <c r="AI372" i="42"/>
  <c r="AF372" i="42"/>
  <c r="AI343" i="42"/>
  <c r="AG347" i="42"/>
  <c r="AF373" i="42"/>
  <c r="AG344" i="42"/>
  <c r="AG373" i="42"/>
  <c r="AI349" i="42"/>
  <c r="AD429" i="42"/>
  <c r="AF350" i="42"/>
  <c r="AG346" i="42"/>
  <c r="AF346" i="42"/>
  <c r="AI351" i="42"/>
  <c r="AF351" i="42"/>
  <c r="AH349" i="42"/>
  <c r="AG365" i="42"/>
  <c r="AH368" i="42"/>
  <c r="AE369" i="42"/>
  <c r="AG429" i="42"/>
  <c r="AH374" i="42"/>
  <c r="AI350" i="42"/>
  <c r="AB351" i="42"/>
  <c r="AD348" i="42"/>
  <c r="AD372" i="42"/>
  <c r="AB345" i="42"/>
  <c r="AF429" i="42"/>
  <c r="AG342" i="42"/>
  <c r="AC349" i="42"/>
  <c r="AG370" i="42"/>
  <c r="AC350" i="42"/>
  <c r="AD343" i="42"/>
  <c r="AH370" i="42"/>
  <c r="AE342" i="42"/>
  <c r="AI346" i="42"/>
  <c r="AG369" i="42"/>
  <c r="AD371" i="42"/>
  <c r="AE373" i="42"/>
  <c r="AB344" i="42"/>
  <c r="AD374" i="42"/>
  <c r="AB347" i="42"/>
  <c r="AI348" i="42"/>
  <c r="AF370" i="42"/>
  <c r="AF343" i="42"/>
  <c r="AG374" i="42"/>
  <c r="AE349" i="42"/>
  <c r="AC347" i="42"/>
  <c r="AC372" i="42"/>
  <c r="AB372" i="42" s="1"/>
  <c r="AB342" i="42"/>
  <c r="AC346" i="42"/>
  <c r="AI344" i="42"/>
  <c r="AF345" i="42"/>
  <c r="AI365" i="42"/>
  <c r="AI371" i="42"/>
  <c r="AH348" i="42"/>
  <c r="AF369" i="42"/>
  <c r="AG367" i="42"/>
  <c r="AH367" i="42"/>
  <c r="AI342" i="42"/>
  <c r="AH342" i="42"/>
  <c r="AI345" i="42"/>
  <c r="AF365" i="42"/>
  <c r="AH365" i="42"/>
  <c r="AE346" i="42"/>
  <c r="AE350" i="42"/>
  <c r="AI347" i="42"/>
  <c r="AI429" i="42"/>
  <c r="AF349" i="42"/>
  <c r="AD342" i="42"/>
  <c r="AF348" i="42"/>
  <c r="AD349" i="42"/>
  <c r="AE371" i="42"/>
  <c r="AC370" i="42"/>
  <c r="AB370" i="42" s="1"/>
  <c r="AF374" i="42"/>
  <c r="AE351" i="42"/>
  <c r="AC344" i="42"/>
  <c r="AB348" i="42"/>
  <c r="AF367" i="42"/>
  <c r="AF368" i="42"/>
  <c r="AE365" i="42"/>
  <c r="AB349" i="42"/>
  <c r="AH347" i="42"/>
  <c r="AH371" i="42"/>
  <c r="AH345" i="42"/>
  <c r="AD344" i="42"/>
  <c r="AI370" i="42"/>
  <c r="AE347" i="42"/>
  <c r="AI373" i="42"/>
  <c r="AF371" i="42"/>
  <c r="AH372" i="42"/>
  <c r="AC348" i="42"/>
  <c r="AD351" i="42"/>
  <c r="AE343" i="42"/>
  <c r="AH344" i="42"/>
  <c r="AH346" i="42"/>
  <c r="AD347" i="42"/>
  <c r="AB343" i="42"/>
  <c r="AE366" i="42"/>
  <c r="AG368" i="42"/>
  <c r="AF366" i="42"/>
  <c r="AI366" i="42"/>
  <c r="AI369" i="42"/>
  <c r="AC351" i="42"/>
  <c r="AI367" i="42"/>
  <c r="AE429" i="42"/>
  <c r="AI368" i="42"/>
  <c r="AB346" i="42"/>
  <c r="AI374" i="42"/>
  <c r="AG350" i="42"/>
  <c r="AC343" i="42"/>
  <c r="AC345" i="42"/>
  <c r="AE345" i="42"/>
  <c r="AC374" i="42"/>
  <c r="AB374" i="42" s="1"/>
  <c r="AE370" i="42"/>
  <c r="AD370" i="42"/>
  <c r="AC373" i="42"/>
  <c r="AB373" i="42" s="1"/>
  <c r="AG348" i="42"/>
  <c r="AH351" i="42"/>
  <c r="AD350" i="42"/>
  <c r="AE367" i="42"/>
  <c r="AG366" i="42"/>
  <c r="AE348" i="42"/>
  <c r="AF347" i="42"/>
  <c r="AD373" i="42"/>
  <c r="AC371" i="42"/>
  <c r="AB371" i="42" s="1"/>
  <c r="AG345" i="42"/>
  <c r="AH369" i="42"/>
  <c r="AD346" i="42"/>
  <c r="AG349" i="42"/>
  <c r="AF344" i="42"/>
  <c r="AE374" i="42"/>
  <c r="AH350" i="42"/>
  <c r="AF342" i="42"/>
  <c r="AG343" i="42"/>
  <c r="AD345" i="42"/>
  <c r="AE372" i="42"/>
  <c r="AE344" i="42"/>
  <c r="AC429" i="42"/>
  <c r="AB350" i="42"/>
  <c r="AH429" i="42"/>
  <c r="AG372" i="42"/>
  <c r="AH343" i="42"/>
  <c r="AG371" i="42"/>
  <c r="AC342" i="42"/>
  <c r="AH373" i="42"/>
  <c r="AH366" i="42"/>
  <c r="AE368" i="42"/>
  <c r="J2475" i="50"/>
  <c r="L610" i="50"/>
  <c r="P1012" i="50"/>
  <c r="J1611" i="50"/>
  <c r="N1611" i="50"/>
  <c r="L1472" i="50"/>
  <c r="L1471" i="50"/>
  <c r="L1513" i="50"/>
  <c r="N917" i="50"/>
  <c r="M919" i="50"/>
  <c r="P902" i="50"/>
  <c r="P848" i="50"/>
  <c r="K2263" i="50"/>
  <c r="K2262" i="50"/>
  <c r="J608" i="50"/>
  <c r="L1144" i="50"/>
  <c r="L1143" i="50"/>
  <c r="I22" i="37"/>
  <c r="V398" i="47"/>
  <c r="N2103" i="50"/>
  <c r="N1215" i="50"/>
  <c r="N1162" i="50"/>
  <c r="N1173" i="50"/>
  <c r="N1232" i="50"/>
  <c r="N1190" i="50"/>
  <c r="N1150" i="50"/>
  <c r="P666" i="50"/>
  <c r="L1283" i="50"/>
  <c r="P1066" i="50"/>
  <c r="N2196" i="50"/>
  <c r="N2197" i="50"/>
  <c r="P1486" i="50"/>
  <c r="P1158" i="50"/>
  <c r="I401" i="47"/>
  <c r="I407" i="47" s="1"/>
  <c r="M2380" i="50"/>
  <c r="M2379" i="50"/>
  <c r="T1795" i="50"/>
  <c r="L1739" i="50"/>
  <c r="M1677" i="50"/>
  <c r="M1636" i="50"/>
  <c r="M1635" i="50"/>
  <c r="N2474" i="50"/>
  <c r="N2475" i="50"/>
  <c r="M517" i="50"/>
  <c r="M559" i="50"/>
  <c r="M576" i="50"/>
  <c r="M494" i="50"/>
  <c r="M506" i="50"/>
  <c r="M534" i="50"/>
  <c r="M611" i="50"/>
  <c r="H1159" i="50"/>
  <c r="H1170" i="50" s="1"/>
  <c r="H1184" i="50" s="1"/>
  <c r="H1198" i="50" s="1"/>
  <c r="H1212" i="50" s="1"/>
  <c r="H1226" i="50" s="1"/>
  <c r="H1242" i="50" s="1"/>
  <c r="N1136" i="50"/>
  <c r="H1147" i="50"/>
  <c r="H1156" i="50" s="1"/>
  <c r="N1083" i="50"/>
  <c r="S1083" i="50"/>
  <c r="I1083" i="50" s="1"/>
  <c r="U975" i="50"/>
  <c r="M980" i="50" s="1"/>
  <c r="S975" i="50"/>
  <c r="K980" i="50" s="1"/>
  <c r="P2050" i="50"/>
  <c r="P695" i="50"/>
  <c r="M917" i="50"/>
  <c r="I919" i="50"/>
  <c r="S919" i="50"/>
  <c r="N2262" i="50"/>
  <c r="N2263" i="50"/>
  <c r="H624" i="50"/>
  <c r="J1144" i="50"/>
  <c r="Q263" i="41"/>
  <c r="E309" i="41"/>
  <c r="E357" i="50"/>
  <c r="H988" i="37"/>
  <c r="H989" i="37" s="1"/>
  <c r="E360" i="50"/>
  <c r="Q266" i="41"/>
  <c r="E312" i="41"/>
  <c r="X398" i="47"/>
  <c r="P1187" i="50"/>
  <c r="V2267" i="37"/>
  <c r="I2277" i="37" s="1"/>
  <c r="AK2277" i="37"/>
  <c r="N2314" i="37"/>
  <c r="I2319" i="37"/>
  <c r="P227" i="50"/>
  <c r="J2103" i="50"/>
  <c r="P230" i="50"/>
  <c r="J630" i="50"/>
  <c r="M1628" i="50"/>
  <c r="M1710" i="50"/>
  <c r="M1696" i="50"/>
  <c r="M1699" i="50" s="1"/>
  <c r="M1700" i="50" s="1"/>
  <c r="M1701" i="50" s="1"/>
  <c r="L1711" i="50"/>
  <c r="L1712" i="50"/>
  <c r="L1713" i="50" s="1"/>
  <c r="L1714" i="50" s="1"/>
  <c r="L1715" i="50" s="1"/>
  <c r="N1696" i="50"/>
  <c r="N1699" i="50" s="1"/>
  <c r="N1700" i="50" s="1"/>
  <c r="N1701" i="50" s="1"/>
  <c r="N1711" i="50"/>
  <c r="M1709" i="50"/>
  <c r="J1711" i="50"/>
  <c r="L1693" i="50"/>
  <c r="L1709" i="50"/>
  <c r="K1709" i="50"/>
  <c r="J1712" i="50"/>
  <c r="J1713" i="50" s="1"/>
  <c r="J1714" i="50" s="1"/>
  <c r="J1715" i="50" s="1"/>
  <c r="M1694" i="50"/>
  <c r="L1710" i="50"/>
  <c r="J1710" i="50"/>
  <c r="K1694" i="50"/>
  <c r="K1712" i="50"/>
  <c r="K1713" i="50" s="1"/>
  <c r="K1714" i="50" s="1"/>
  <c r="K1715" i="50" s="1"/>
  <c r="J1709" i="50"/>
  <c r="K1695" i="50"/>
  <c r="K1711" i="50"/>
  <c r="N1710" i="50"/>
  <c r="J1694" i="50"/>
  <c r="M1711" i="50"/>
  <c r="N1694" i="50"/>
  <c r="K1693" i="50"/>
  <c r="N1712" i="50"/>
  <c r="N1713" i="50" s="1"/>
  <c r="N1714" i="50" s="1"/>
  <c r="N1715" i="50" s="1"/>
  <c r="N1695" i="50"/>
  <c r="J1695" i="50"/>
  <c r="K1696" i="50"/>
  <c r="K1699" i="50" s="1"/>
  <c r="K1700" i="50" s="1"/>
  <c r="K1701" i="50" s="1"/>
  <c r="N1709" i="50"/>
  <c r="M1693" i="50"/>
  <c r="F1631" i="50"/>
  <c r="L1695" i="50"/>
  <c r="K1710" i="50"/>
  <c r="L1694" i="50"/>
  <c r="J1693" i="50"/>
  <c r="M1712" i="50"/>
  <c r="M1713" i="50" s="1"/>
  <c r="M1714" i="50" s="1"/>
  <c r="M1715" i="50" s="1"/>
  <c r="J1696" i="50"/>
  <c r="J1699" i="50" s="1"/>
  <c r="J1700" i="50" s="1"/>
  <c r="J1701" i="50" s="1"/>
  <c r="H1628" i="50"/>
  <c r="L1696" i="50"/>
  <c r="L1699" i="50" s="1"/>
  <c r="L1700" i="50" s="1"/>
  <c r="L1701" i="50" s="1"/>
  <c r="M1695" i="50"/>
  <c r="N1693" i="50"/>
  <c r="N480" i="50"/>
  <c r="H503" i="50"/>
  <c r="H514" i="50" s="1"/>
  <c r="H528" i="50" s="1"/>
  <c r="H542" i="50" s="1"/>
  <c r="H556" i="50" s="1"/>
  <c r="H570" i="50" s="1"/>
  <c r="H586" i="50" s="1"/>
  <c r="H491" i="50"/>
  <c r="H500" i="50" s="1"/>
  <c r="J1981" i="37"/>
  <c r="N2323" i="50"/>
  <c r="N2322" i="50"/>
  <c r="J2380" i="50"/>
  <c r="N1939" i="50"/>
  <c r="J1903" i="50"/>
  <c r="K1860" i="50"/>
  <c r="K1863" i="50" s="1"/>
  <c r="K1864" i="50" s="1"/>
  <c r="K1865" i="50" s="1"/>
  <c r="K1874" i="50"/>
  <c r="L1876" i="50"/>
  <c r="L1877" i="50" s="1"/>
  <c r="L1878" i="50" s="1"/>
  <c r="L1879" i="50" s="1"/>
  <c r="J1873" i="50"/>
  <c r="N1860" i="50"/>
  <c r="N1863" i="50" s="1"/>
  <c r="N1864" i="50" s="1"/>
  <c r="N1865" i="50" s="1"/>
  <c r="M1874" i="50"/>
  <c r="K1859" i="50"/>
  <c r="L1858" i="50"/>
  <c r="J1875" i="50"/>
  <c r="M1875" i="50"/>
  <c r="H1792" i="50"/>
  <c r="M1873" i="50"/>
  <c r="L1860" i="50"/>
  <c r="L1863" i="50" s="1"/>
  <c r="L1864" i="50" s="1"/>
  <c r="L1865" i="50" s="1"/>
  <c r="K1857" i="50"/>
  <c r="K1873" i="50"/>
  <c r="J1874" i="50"/>
  <c r="L1873" i="50"/>
  <c r="N1874" i="50"/>
  <c r="J1860" i="50"/>
  <c r="J1863" i="50" s="1"/>
  <c r="J1864" i="50" s="1"/>
  <c r="J1865" i="50" s="1"/>
  <c r="M1858" i="50"/>
  <c r="L1874" i="50"/>
  <c r="M1859" i="50"/>
  <c r="N1857" i="50"/>
  <c r="J1876" i="50"/>
  <c r="J1877" i="50" s="1"/>
  <c r="J1878" i="50" s="1"/>
  <c r="J1879" i="50" s="1"/>
  <c r="L1859" i="50"/>
  <c r="N1873" i="50"/>
  <c r="L1875" i="50"/>
  <c r="K1876" i="50"/>
  <c r="K1877" i="50" s="1"/>
  <c r="K1878" i="50" s="1"/>
  <c r="K1879" i="50" s="1"/>
  <c r="J1857" i="50"/>
  <c r="N1876" i="50"/>
  <c r="N1877" i="50" s="1"/>
  <c r="N1878" i="50" s="1"/>
  <c r="N1879" i="50" s="1"/>
  <c r="M1857" i="50"/>
  <c r="L1857" i="50"/>
  <c r="J1859" i="50"/>
  <c r="J1858" i="50"/>
  <c r="N1875" i="50"/>
  <c r="F1795" i="50"/>
  <c r="M1876" i="50"/>
  <c r="M1877" i="50" s="1"/>
  <c r="M1878" i="50" s="1"/>
  <c r="M1879" i="50" s="1"/>
  <c r="M1860" i="50"/>
  <c r="M1863" i="50" s="1"/>
  <c r="M1864" i="50" s="1"/>
  <c r="M1865" i="50" s="1"/>
  <c r="N1858" i="50"/>
  <c r="N1859" i="50"/>
  <c r="K1875" i="50"/>
  <c r="K1858" i="50"/>
  <c r="N1354" i="37"/>
  <c r="Z1354" i="37"/>
  <c r="N1355" i="37"/>
  <c r="Z1356" i="37" s="1"/>
  <c r="M1355" i="37"/>
  <c r="Y1356" i="37" s="1"/>
  <c r="Y1354" i="37"/>
  <c r="M1354" i="37"/>
  <c r="K1737" i="50"/>
  <c r="L1737" i="50"/>
  <c r="M1737" i="50"/>
  <c r="I2598" i="37"/>
  <c r="AF2598" i="37"/>
  <c r="AC2598" i="37"/>
  <c r="AG2598" i="37"/>
  <c r="AE2598" i="37"/>
  <c r="AI2598" i="37"/>
  <c r="AD2598" i="37"/>
  <c r="AH2598" i="37"/>
  <c r="J2130" i="50"/>
  <c r="K2475" i="50"/>
  <c r="K2474" i="50"/>
  <c r="M1083" i="50"/>
  <c r="I608" i="50"/>
  <c r="I1464" i="50"/>
  <c r="M1548" i="50"/>
  <c r="M1549" i="50" s="1"/>
  <c r="M1550" i="50" s="1"/>
  <c r="M1551" i="50" s="1"/>
  <c r="K1530" i="50"/>
  <c r="K1547" i="50"/>
  <c r="K1531" i="50"/>
  <c r="N1547" i="50"/>
  <c r="N1532" i="50"/>
  <c r="N1535" i="50" s="1"/>
  <c r="N1536" i="50" s="1"/>
  <c r="N1537" i="50" s="1"/>
  <c r="J1545" i="50"/>
  <c r="L1529" i="50"/>
  <c r="L1547" i="50"/>
  <c r="N1546" i="50"/>
  <c r="K1529" i="50"/>
  <c r="J1532" i="50"/>
  <c r="J1535" i="50" s="1"/>
  <c r="J1536" i="50" s="1"/>
  <c r="J1537" i="50" s="1"/>
  <c r="L1546" i="50"/>
  <c r="N1548" i="50"/>
  <c r="N1549" i="50" s="1"/>
  <c r="N1550" i="50" s="1"/>
  <c r="N1551" i="50" s="1"/>
  <c r="K1548" i="50"/>
  <c r="K1549" i="50" s="1"/>
  <c r="K1550" i="50" s="1"/>
  <c r="K1551" i="50" s="1"/>
  <c r="L1532" i="50"/>
  <c r="L1535" i="50" s="1"/>
  <c r="L1536" i="50" s="1"/>
  <c r="L1537" i="50" s="1"/>
  <c r="K1532" i="50"/>
  <c r="K1535" i="50" s="1"/>
  <c r="K1536" i="50" s="1"/>
  <c r="K1537" i="50" s="1"/>
  <c r="K1546" i="50"/>
  <c r="N1530" i="50"/>
  <c r="M1546" i="50"/>
  <c r="L1531" i="50"/>
  <c r="L1545" i="50"/>
  <c r="M1530" i="50"/>
  <c r="J1548" i="50"/>
  <c r="J1549" i="50" s="1"/>
  <c r="J1550" i="50" s="1"/>
  <c r="J1551" i="50" s="1"/>
  <c r="M1531" i="50"/>
  <c r="N1545" i="50"/>
  <c r="M1529" i="50"/>
  <c r="M1547" i="50"/>
  <c r="N1529" i="50"/>
  <c r="J1529" i="50"/>
  <c r="J1547" i="50"/>
  <c r="M1532" i="50"/>
  <c r="J1546" i="50"/>
  <c r="J1531" i="50"/>
  <c r="L1548" i="50"/>
  <c r="L1549" i="50" s="1"/>
  <c r="L1550" i="50" s="1"/>
  <c r="L1551" i="50" s="1"/>
  <c r="N1531" i="50"/>
  <c r="F1467" i="50"/>
  <c r="J1530" i="50"/>
  <c r="M1545" i="50"/>
  <c r="L1530" i="50"/>
  <c r="H1464" i="50"/>
  <c r="K1545" i="50"/>
  <c r="L917" i="50"/>
  <c r="S917" i="50"/>
  <c r="N919" i="50"/>
  <c r="I808" i="50"/>
  <c r="L68" i="37"/>
  <c r="Z398" i="47"/>
  <c r="T2156" i="50"/>
  <c r="AB12" i="42"/>
  <c r="G144" i="42"/>
  <c r="I148" i="42" s="1"/>
  <c r="G2125" i="50" s="1"/>
  <c r="S132" i="42"/>
  <c r="W28" i="42"/>
  <c r="S128" i="42"/>
  <c r="Z28" i="42"/>
  <c r="S130" i="42"/>
  <c r="W20" i="42"/>
  <c r="U20" i="42"/>
  <c r="V28" i="42"/>
  <c r="J2129" i="50" s="1"/>
  <c r="S136" i="42"/>
  <c r="T20" i="42"/>
  <c r="X20" i="42"/>
  <c r="S131" i="42"/>
  <c r="X28" i="42"/>
  <c r="S134" i="42"/>
  <c r="Z20" i="42"/>
  <c r="S135" i="42"/>
  <c r="S129" i="42"/>
  <c r="Y20" i="42"/>
  <c r="V20" i="42"/>
  <c r="S137" i="42"/>
  <c r="S133" i="42"/>
  <c r="Y28" i="42"/>
  <c r="AI111" i="42"/>
  <c r="AE105" i="42"/>
  <c r="AF111" i="42"/>
  <c r="AG137" i="42"/>
  <c r="AI133" i="42"/>
  <c r="AB112" i="42"/>
  <c r="AE108" i="42"/>
  <c r="AD108" i="42"/>
  <c r="AH110" i="42"/>
  <c r="AI109" i="42"/>
  <c r="AG108" i="42"/>
  <c r="AG132" i="42"/>
  <c r="AH128" i="42"/>
  <c r="AI129" i="42"/>
  <c r="AE136" i="42"/>
  <c r="AC107" i="42"/>
  <c r="AB113" i="42"/>
  <c r="AG136" i="42"/>
  <c r="AC109" i="42"/>
  <c r="AD105" i="42"/>
  <c r="AE137" i="42"/>
  <c r="AB107" i="42"/>
  <c r="AG133" i="42"/>
  <c r="AC136" i="42"/>
  <c r="AB136" i="42" s="1"/>
  <c r="AF131" i="42"/>
  <c r="AF128" i="42"/>
  <c r="AG128" i="42"/>
  <c r="AE130" i="42"/>
  <c r="AB105" i="42"/>
  <c r="AD111" i="42"/>
  <c r="AD136" i="42"/>
  <c r="AH192" i="42"/>
  <c r="AF113" i="42"/>
  <c r="AI114" i="42"/>
  <c r="AH134" i="42"/>
  <c r="AE113" i="42"/>
  <c r="AG105" i="42"/>
  <c r="AI128" i="42"/>
  <c r="AF135" i="42"/>
  <c r="AG114" i="42"/>
  <c r="AE107" i="42"/>
  <c r="AF134" i="42"/>
  <c r="AH135" i="42"/>
  <c r="AC106" i="42"/>
  <c r="AE106" i="42"/>
  <c r="AH106" i="42"/>
  <c r="AH129" i="42"/>
  <c r="AF129" i="42"/>
  <c r="AE131" i="42"/>
  <c r="AI110" i="42"/>
  <c r="AI106" i="42"/>
  <c r="AF137" i="42"/>
  <c r="AI192" i="42"/>
  <c r="AE111" i="42"/>
  <c r="AI131" i="42"/>
  <c r="AI112" i="42"/>
  <c r="AD107" i="42"/>
  <c r="AF109" i="42"/>
  <c r="AG109" i="42"/>
  <c r="AI130" i="42"/>
  <c r="AB108" i="42"/>
  <c r="AI137" i="42"/>
  <c r="AI107" i="42"/>
  <c r="AE192" i="42"/>
  <c r="AH136" i="42"/>
  <c r="AG135" i="42"/>
  <c r="AB110" i="42"/>
  <c r="AD192" i="42"/>
  <c r="AG131" i="42"/>
  <c r="AE129" i="42"/>
  <c r="AD106" i="42"/>
  <c r="AI113" i="42"/>
  <c r="AE110" i="42"/>
  <c r="AG129" i="42"/>
  <c r="AF112" i="42"/>
  <c r="AE134" i="42"/>
  <c r="AD110" i="42"/>
  <c r="AC112" i="42"/>
  <c r="AG106" i="42"/>
  <c r="AF136" i="42"/>
  <c r="AH107" i="42"/>
  <c r="AB109" i="42"/>
  <c r="AB111" i="42"/>
  <c r="AF106" i="42"/>
  <c r="AE112" i="42"/>
  <c r="AH109" i="42"/>
  <c r="AB106" i="42"/>
  <c r="AD113" i="42"/>
  <c r="AD114" i="42"/>
  <c r="AI105" i="42"/>
  <c r="AC111" i="42"/>
  <c r="AC113" i="42"/>
  <c r="AB114" i="42"/>
  <c r="AF130" i="42"/>
  <c r="AE132" i="42"/>
  <c r="AH113" i="42"/>
  <c r="AE114" i="42"/>
  <c r="AH133" i="42"/>
  <c r="AH111" i="42"/>
  <c r="AG192" i="42"/>
  <c r="AG107" i="42"/>
  <c r="AE133" i="42"/>
  <c r="AF108" i="42"/>
  <c r="AF110" i="42"/>
  <c r="AH114" i="42"/>
  <c r="AD112" i="42"/>
  <c r="AE135" i="42"/>
  <c r="AH137" i="42"/>
  <c r="AG111" i="42"/>
  <c r="AE109" i="42"/>
  <c r="AF114" i="42"/>
  <c r="AC192" i="42"/>
  <c r="AG110" i="42"/>
  <c r="AH105" i="42"/>
  <c r="AC108" i="42"/>
  <c r="AI108" i="42"/>
  <c r="AI136" i="42"/>
  <c r="AG130" i="42"/>
  <c r="AF132" i="42"/>
  <c r="AH130" i="42"/>
  <c r="AH112" i="42"/>
  <c r="AI135" i="42"/>
  <c r="AG113" i="42"/>
  <c r="AC114" i="42"/>
  <c r="AI134" i="42"/>
  <c r="AD109" i="42"/>
  <c r="AC105" i="42"/>
  <c r="AF192" i="42"/>
  <c r="AF105" i="42"/>
  <c r="AF133" i="42"/>
  <c r="AC110" i="42"/>
  <c r="AI132" i="42"/>
  <c r="AG112" i="42"/>
  <c r="AH108" i="42"/>
  <c r="AF107" i="42"/>
  <c r="AG134" i="42"/>
  <c r="AH131" i="42"/>
  <c r="AH132" i="42"/>
  <c r="AE128" i="42"/>
  <c r="H608" i="50"/>
  <c r="E307" i="41"/>
  <c r="Q261" i="41"/>
  <c r="E355" i="50"/>
  <c r="T2494" i="50"/>
  <c r="AB1083" i="42"/>
  <c r="I1098" i="42"/>
  <c r="Y1098" i="42"/>
  <c r="W1090" i="42"/>
  <c r="V1090" i="42"/>
  <c r="W1098" i="42"/>
  <c r="Y1090" i="42"/>
  <c r="X1098" i="42"/>
  <c r="Z1098" i="42"/>
  <c r="U1090" i="42"/>
  <c r="U1136" i="42" s="1"/>
  <c r="Z1090" i="42"/>
  <c r="T1090" i="42"/>
  <c r="T1136" i="42" s="1"/>
  <c r="V1098" i="42"/>
  <c r="J1098" i="42" s="1"/>
  <c r="X1090" i="42"/>
  <c r="AF1090" i="42"/>
  <c r="AD1090" i="42"/>
  <c r="AC1090" i="42"/>
  <c r="AH1090" i="42"/>
  <c r="AG1090" i="42"/>
  <c r="AE1090" i="42"/>
  <c r="AI1090" i="42"/>
  <c r="K611" i="50"/>
  <c r="E362" i="50"/>
  <c r="E314" i="41"/>
  <c r="Q268" i="41"/>
  <c r="P233" i="50"/>
  <c r="P1668" i="50"/>
  <c r="V220" i="47"/>
  <c r="J220" i="47" s="1"/>
  <c r="J1037" i="50" s="1"/>
  <c r="AB174" i="47"/>
  <c r="I223" i="47" s="1"/>
  <c r="I229" i="47" s="1"/>
  <c r="S1081" i="50" s="1"/>
  <c r="X220" i="47"/>
  <c r="Z220" i="47"/>
  <c r="Y220" i="47"/>
  <c r="W220" i="47"/>
  <c r="D2617" i="50"/>
  <c r="D2640" i="50" s="1"/>
  <c r="D2663" i="50" s="1"/>
  <c r="D2592" i="50"/>
  <c r="N1676" i="37"/>
  <c r="N1677" i="37"/>
  <c r="Z1678" i="37"/>
  <c r="Z1676" i="37"/>
  <c r="P1557" i="50"/>
  <c r="N2000" i="37"/>
  <c r="AE1954" i="37"/>
  <c r="AD1954" i="37"/>
  <c r="AC1954" i="37"/>
  <c r="AG1954" i="37"/>
  <c r="AI1954" i="37"/>
  <c r="AF1954" i="37"/>
  <c r="AH1954" i="37"/>
  <c r="H1939" i="50"/>
  <c r="P1842" i="50"/>
  <c r="P1832" i="50"/>
  <c r="I3174" i="37"/>
  <c r="I3180" i="37" s="1"/>
  <c r="J1737" i="50"/>
  <c r="N1775" i="50"/>
  <c r="D2621" i="50"/>
  <c r="D2644" i="50" s="1"/>
  <c r="D2667" i="50" s="1"/>
  <c r="D2596" i="50"/>
  <c r="P1679" i="50"/>
  <c r="M2475" i="50"/>
  <c r="M2474" i="50"/>
  <c r="R305" i="47"/>
  <c r="E305" i="47" s="1"/>
  <c r="E284" i="47"/>
  <c r="L1083" i="50"/>
  <c r="M608" i="50"/>
  <c r="M1611" i="50"/>
  <c r="H1611" i="50"/>
  <c r="Q316" i="41"/>
  <c r="E345" i="41"/>
  <c r="E404" i="50"/>
  <c r="K917" i="50"/>
  <c r="K919" i="50"/>
  <c r="D2591" i="50"/>
  <c r="D2616" i="50"/>
  <c r="D2639" i="50" s="1"/>
  <c r="D2662" i="50" s="1"/>
  <c r="AB657" i="37"/>
  <c r="I737" i="37" s="1"/>
  <c r="I743" i="37" s="1"/>
  <c r="T920" i="50"/>
  <c r="I679" i="37"/>
  <c r="AF665" i="37"/>
  <c r="Y665" i="37"/>
  <c r="AE727" i="37"/>
  <c r="AE957" i="37" s="1"/>
  <c r="AI665" i="37"/>
  <c r="AF698" i="37"/>
  <c r="AF700" i="37" s="1"/>
  <c r="Y679" i="37"/>
  <c r="Z679" i="37"/>
  <c r="AI698" i="37"/>
  <c r="AI700" i="37" s="1"/>
  <c r="AF727" i="37"/>
  <c r="AF957" i="37" s="1"/>
  <c r="AC698" i="37"/>
  <c r="AG727" i="37"/>
  <c r="AG957" i="37" s="1"/>
  <c r="W665" i="37"/>
  <c r="AH698" i="37"/>
  <c r="AH700" i="37" s="1"/>
  <c r="X665" i="37"/>
  <c r="V679" i="37"/>
  <c r="AC727" i="37"/>
  <c r="AC957" i="37" s="1"/>
  <c r="AI727" i="37"/>
  <c r="AI957" i="37" s="1"/>
  <c r="V665" i="37"/>
  <c r="W679" i="37"/>
  <c r="AG665" i="37"/>
  <c r="AG698" i="37"/>
  <c r="AG700" i="37" s="1"/>
  <c r="T665" i="37"/>
  <c r="AH727" i="37"/>
  <c r="AH957" i="37" s="1"/>
  <c r="Z665" i="37"/>
  <c r="U665" i="37"/>
  <c r="AE698" i="37"/>
  <c r="AE700" i="37" s="1"/>
  <c r="AC665" i="37"/>
  <c r="AD665" i="37"/>
  <c r="AE665" i="37"/>
  <c r="AD698" i="37"/>
  <c r="AD700" i="37" s="1"/>
  <c r="X679" i="37"/>
  <c r="AD727" i="37"/>
  <c r="AD957" i="37" s="1"/>
  <c r="AH665" i="37"/>
  <c r="V979" i="37"/>
  <c r="AK989" i="37"/>
  <c r="H22" i="37"/>
  <c r="AD22" i="37"/>
  <c r="AE22" i="37"/>
  <c r="AI22" i="37"/>
  <c r="AC22" i="37"/>
  <c r="AG22" i="37"/>
  <c r="AF22" i="37"/>
  <c r="AH22" i="37"/>
  <c r="I627" i="50"/>
  <c r="N627" i="50"/>
  <c r="J627" i="50"/>
  <c r="L627" i="50"/>
  <c r="H627" i="50"/>
  <c r="H1283" i="50"/>
  <c r="I1283" i="50"/>
  <c r="M791" i="50"/>
  <c r="K627" i="50"/>
  <c r="K791" i="50"/>
  <c r="N791" i="50"/>
  <c r="L791" i="50"/>
  <c r="K1447" i="50"/>
  <c r="M1283" i="50"/>
  <c r="J1283" i="50"/>
  <c r="N1283" i="50"/>
  <c r="J791" i="50"/>
  <c r="I791" i="50"/>
  <c r="H791" i="50"/>
  <c r="M627" i="50"/>
  <c r="Y398" i="47"/>
  <c r="T2282" i="50"/>
  <c r="AB486" i="42"/>
  <c r="X494" i="42"/>
  <c r="Y494" i="42"/>
  <c r="Y502" i="42"/>
  <c r="W502" i="42"/>
  <c r="V502" i="42"/>
  <c r="J2262" i="50" s="1"/>
  <c r="Z502" i="42"/>
  <c r="Z494" i="42"/>
  <c r="V494" i="42"/>
  <c r="W494" i="42"/>
  <c r="X502" i="42"/>
  <c r="U494" i="42"/>
  <c r="T494" i="42"/>
  <c r="I502" i="42"/>
  <c r="AC552" i="42"/>
  <c r="AI552" i="42"/>
  <c r="AE552" i="42"/>
  <c r="AG552" i="42"/>
  <c r="AD552" i="42"/>
  <c r="AF552" i="42"/>
  <c r="AH552" i="42"/>
  <c r="N608" i="50"/>
  <c r="M630" i="50"/>
  <c r="E361" i="50"/>
  <c r="E313" i="41"/>
  <c r="Q267" i="41"/>
  <c r="K624" i="50"/>
  <c r="N1300" i="50" l="1"/>
  <c r="N1677" i="50"/>
  <c r="N1560" i="50"/>
  <c r="K2005" i="50"/>
  <c r="N1534" i="50"/>
  <c r="N1506" i="50"/>
  <c r="N1492" i="50"/>
  <c r="N1518" i="50"/>
  <c r="K1964" i="50"/>
  <c r="L1999" i="50"/>
  <c r="K2035" i="50"/>
  <c r="N1635" i="50"/>
  <c r="L1846" i="50"/>
  <c r="M659" i="50"/>
  <c r="M699" i="50"/>
  <c r="K1972" i="50"/>
  <c r="M671" i="50"/>
  <c r="K1984" i="50"/>
  <c r="M741" i="50"/>
  <c r="K2010" i="50"/>
  <c r="M724" i="50"/>
  <c r="K1993" i="50"/>
  <c r="N1337" i="50"/>
  <c r="L535" i="50"/>
  <c r="L495" i="50"/>
  <c r="M577" i="50"/>
  <c r="N816" i="50"/>
  <c r="H1311" i="50"/>
  <c r="H1320" i="50" s="1"/>
  <c r="K1344" i="50"/>
  <c r="K1345" i="50" s="1"/>
  <c r="K1681" i="37" s="1"/>
  <c r="K1683" i="37" s="1"/>
  <c r="K1684" i="37" s="1"/>
  <c r="M507" i="50"/>
  <c r="M549" i="50"/>
  <c r="M495" i="50"/>
  <c r="M1808" i="50"/>
  <c r="L507" i="50"/>
  <c r="L577" i="50"/>
  <c r="L549" i="50"/>
  <c r="M2066" i="50"/>
  <c r="N1983" i="50" s="1"/>
  <c r="J2000" i="50"/>
  <c r="J2001" i="50" s="1"/>
  <c r="K1635" i="50"/>
  <c r="M2005" i="50"/>
  <c r="M1963" i="50"/>
  <c r="M1308" i="50"/>
  <c r="K1410" i="50"/>
  <c r="L1327" i="50" s="1"/>
  <c r="K1677" i="50"/>
  <c r="K1314" i="50"/>
  <c r="J1534" i="50"/>
  <c r="J1492" i="50"/>
  <c r="J1520" i="50"/>
  <c r="L1316" i="50"/>
  <c r="J1506" i="50"/>
  <c r="L1356" i="50"/>
  <c r="L1342" i="50"/>
  <c r="J1480" i="50"/>
  <c r="L1398" i="50"/>
  <c r="K1326" i="50"/>
  <c r="M1354" i="50"/>
  <c r="M1314" i="50"/>
  <c r="L1964" i="50"/>
  <c r="L1963" i="50"/>
  <c r="L2005" i="50"/>
  <c r="M1326" i="50"/>
  <c r="M1379" i="50"/>
  <c r="M1337" i="50"/>
  <c r="AK635" i="37"/>
  <c r="AK957" i="37"/>
  <c r="AK3211" i="37"/>
  <c r="K815" i="50"/>
  <c r="L1354" i="50"/>
  <c r="AK1601" i="37"/>
  <c r="L1307" i="50"/>
  <c r="AK1923" i="37"/>
  <c r="N1818" i="50"/>
  <c r="N1993" i="50"/>
  <c r="L2052" i="50"/>
  <c r="L1379" i="50"/>
  <c r="L1396" i="50"/>
  <c r="L1370" i="50"/>
  <c r="K1356" i="50"/>
  <c r="K1342" i="50"/>
  <c r="K1370" i="50"/>
  <c r="L1997" i="50"/>
  <c r="K2052" i="50"/>
  <c r="N1490" i="50"/>
  <c r="K1998" i="50"/>
  <c r="K1354" i="50"/>
  <c r="L1871" i="50"/>
  <c r="K1316" i="50"/>
  <c r="L1314" i="50"/>
  <c r="K1982" i="50"/>
  <c r="N1562" i="50"/>
  <c r="N1478" i="50"/>
  <c r="K2026" i="50"/>
  <c r="K560" i="50"/>
  <c r="M1834" i="50"/>
  <c r="K1337" i="50"/>
  <c r="K1328" i="50"/>
  <c r="K2066" i="50"/>
  <c r="L1983" i="50" s="1"/>
  <c r="L1326" i="50"/>
  <c r="M535" i="50"/>
  <c r="K887" i="50"/>
  <c r="N1520" i="50"/>
  <c r="N1501" i="50"/>
  <c r="K2054" i="50"/>
  <c r="K549" i="50"/>
  <c r="M1820" i="50"/>
  <c r="H1979" i="50"/>
  <c r="H1990" i="50" s="1"/>
  <c r="H2004" i="50" s="1"/>
  <c r="H2018" i="50" s="1"/>
  <c r="H2032" i="50" s="1"/>
  <c r="H2046" i="50" s="1"/>
  <c r="H2062" i="50" s="1"/>
  <c r="J1370" i="50"/>
  <c r="K1396" i="50"/>
  <c r="K535" i="50"/>
  <c r="M1848" i="50"/>
  <c r="J2066" i="50"/>
  <c r="K2036" i="50" s="1"/>
  <c r="K1471" i="50"/>
  <c r="L1829" i="50"/>
  <c r="K507" i="50"/>
  <c r="M1862" i="50"/>
  <c r="N1956" i="50"/>
  <c r="K1888" i="50"/>
  <c r="J1356" i="50"/>
  <c r="M1307" i="50"/>
  <c r="L1888" i="50"/>
  <c r="L1344" i="50"/>
  <c r="L1345" i="50" s="1"/>
  <c r="L1681" i="37" s="1"/>
  <c r="L1683" i="37" s="1"/>
  <c r="L1684" i="37" s="1"/>
  <c r="N1799" i="50"/>
  <c r="J1344" i="50"/>
  <c r="J1345" i="50" s="1"/>
  <c r="J1681" i="37" s="1"/>
  <c r="J1683" i="37" s="1"/>
  <c r="J1684" i="37" s="1"/>
  <c r="L1308" i="50"/>
  <c r="L1341" i="50"/>
  <c r="M836" i="50"/>
  <c r="M1410" i="50"/>
  <c r="N1315" i="50" s="1"/>
  <c r="L1410" i="50"/>
  <c r="M1380" i="50" s="1"/>
  <c r="N1800" i="50"/>
  <c r="N1344" i="50"/>
  <c r="N1345" i="50" s="1"/>
  <c r="N1681" i="37" s="1"/>
  <c r="N1683" i="37" s="1"/>
  <c r="N1684" i="37" s="1"/>
  <c r="L1014" i="50"/>
  <c r="N1308" i="50"/>
  <c r="N1349" i="50"/>
  <c r="N1307" i="50"/>
  <c r="M1328" i="50"/>
  <c r="J1328" i="50"/>
  <c r="K834" i="50"/>
  <c r="J1726" i="50"/>
  <c r="K495" i="50"/>
  <c r="M1398" i="50"/>
  <c r="J1342" i="50"/>
  <c r="M1370" i="50"/>
  <c r="M1316" i="50"/>
  <c r="J1316" i="50"/>
  <c r="M1356" i="50"/>
  <c r="L1000" i="50"/>
  <c r="L1042" i="50"/>
  <c r="M2054" i="50"/>
  <c r="M864" i="50"/>
  <c r="M1518" i="50"/>
  <c r="L988" i="50"/>
  <c r="M1490" i="50"/>
  <c r="J1670" i="50"/>
  <c r="M1560" i="50"/>
  <c r="N1326" i="50"/>
  <c r="J2026" i="50"/>
  <c r="M906" i="50"/>
  <c r="J1684" i="50"/>
  <c r="J1410" i="50"/>
  <c r="K1397" i="50" s="1"/>
  <c r="M1341" i="50"/>
  <c r="N1829" i="50"/>
  <c r="J1998" i="50"/>
  <c r="K845" i="50"/>
  <c r="J1644" i="50"/>
  <c r="L1028" i="50"/>
  <c r="M2026" i="50"/>
  <c r="N1343" i="50"/>
  <c r="K1341" i="50"/>
  <c r="N1396" i="50"/>
  <c r="N1846" i="50"/>
  <c r="J1984" i="50"/>
  <c r="M850" i="50"/>
  <c r="K862" i="50"/>
  <c r="J1656" i="50"/>
  <c r="M1543" i="50"/>
  <c r="N1341" i="50"/>
  <c r="S1410" i="50"/>
  <c r="I1410" i="50" s="1"/>
  <c r="J1380" i="50" s="1"/>
  <c r="K652" i="50"/>
  <c r="N1888" i="50"/>
  <c r="J2012" i="50"/>
  <c r="M1344" i="50"/>
  <c r="M1345" i="50" s="1"/>
  <c r="M1681" i="37" s="1"/>
  <c r="M1683" i="37" s="1"/>
  <c r="M1684" i="37" s="1"/>
  <c r="N1314" i="50"/>
  <c r="N1806" i="50"/>
  <c r="J1972" i="50"/>
  <c r="M824" i="50"/>
  <c r="K822" i="50"/>
  <c r="M1501" i="50"/>
  <c r="N1354" i="50"/>
  <c r="N1410" i="50"/>
  <c r="M1972" i="50"/>
  <c r="M1998" i="50"/>
  <c r="M1984" i="50"/>
  <c r="L2035" i="50"/>
  <c r="L1492" i="50"/>
  <c r="N2052" i="50"/>
  <c r="K1562" i="50"/>
  <c r="N2010" i="50"/>
  <c r="L1970" i="50"/>
  <c r="N2035" i="50"/>
  <c r="L1982" i="50"/>
  <c r="N1970" i="50"/>
  <c r="L1993" i="50"/>
  <c r="J1609" i="50"/>
  <c r="K1094" i="50"/>
  <c r="J1621" i="50"/>
  <c r="N951" i="50"/>
  <c r="N388" i="47"/>
  <c r="N390" i="47" s="1"/>
  <c r="N393" i="47" s="1"/>
  <c r="M1747" i="50"/>
  <c r="K1926" i="50"/>
  <c r="I1926" i="50"/>
  <c r="L1784" i="50"/>
  <c r="N1753" i="50"/>
  <c r="H1750" i="50"/>
  <c r="M1100" i="50"/>
  <c r="L1117" i="50"/>
  <c r="L1109" i="50"/>
  <c r="K1129" i="50"/>
  <c r="N1609" i="50"/>
  <c r="L1594" i="50"/>
  <c r="K1591" i="50"/>
  <c r="J931" i="50"/>
  <c r="N944" i="50"/>
  <c r="M952" i="50"/>
  <c r="H2080" i="50"/>
  <c r="H1940" i="50"/>
  <c r="I1916" i="50"/>
  <c r="J1929" i="50"/>
  <c r="I1932" i="50"/>
  <c r="E1784" i="50"/>
  <c r="K1782" i="50"/>
  <c r="I788" i="50"/>
  <c r="I1099" i="50"/>
  <c r="I1289" i="50"/>
  <c r="N1602" i="50"/>
  <c r="H1609" i="50"/>
  <c r="K1609" i="50"/>
  <c r="M270" i="41"/>
  <c r="M364" i="50" s="1"/>
  <c r="M962" i="50"/>
  <c r="I964" i="50"/>
  <c r="M946" i="50"/>
  <c r="I388" i="47"/>
  <c r="I390" i="47" s="1"/>
  <c r="I393" i="47" s="1"/>
  <c r="I1275" i="50"/>
  <c r="M1428" i="50"/>
  <c r="I1917" i="50"/>
  <c r="I1785" i="50"/>
  <c r="L1758" i="50"/>
  <c r="E1945" i="50"/>
  <c r="N1915" i="50"/>
  <c r="M1920" i="50"/>
  <c r="J1778" i="50"/>
  <c r="M1785" i="50"/>
  <c r="I1759" i="50"/>
  <c r="M1108" i="50"/>
  <c r="L1116" i="50"/>
  <c r="K1606" i="50"/>
  <c r="H1600" i="50"/>
  <c r="I933" i="50"/>
  <c r="E962" i="50"/>
  <c r="L965" i="50"/>
  <c r="M388" i="47"/>
  <c r="M390" i="47" s="1"/>
  <c r="M393" i="47" s="1"/>
  <c r="H2087" i="50"/>
  <c r="K1922" i="50"/>
  <c r="J1928" i="50"/>
  <c r="M1928" i="50"/>
  <c r="K2086" i="50"/>
  <c r="L1759" i="50"/>
  <c r="L1753" i="50"/>
  <c r="M1759" i="50"/>
  <c r="E1129" i="50"/>
  <c r="I1117" i="50"/>
  <c r="I1584" i="50"/>
  <c r="M1591" i="50"/>
  <c r="N1601" i="50"/>
  <c r="N938" i="50"/>
  <c r="N964" i="50"/>
  <c r="H1428" i="50"/>
  <c r="L2086" i="50"/>
  <c r="L1255" i="50"/>
  <c r="K930" i="50"/>
  <c r="H1948" i="50"/>
  <c r="L1923" i="50"/>
  <c r="J1111" i="50"/>
  <c r="H1614" i="50"/>
  <c r="K928" i="50"/>
  <c r="N2086" i="50"/>
  <c r="J1272" i="50"/>
  <c r="K1765" i="50"/>
  <c r="J1937" i="50"/>
  <c r="H1945" i="50"/>
  <c r="K1772" i="50"/>
  <c r="J1773" i="50"/>
  <c r="M1126" i="50"/>
  <c r="I1112" i="50"/>
  <c r="J1092" i="50"/>
  <c r="I1592" i="50"/>
  <c r="I1601" i="50"/>
  <c r="L1591" i="50"/>
  <c r="M949" i="50"/>
  <c r="H958" i="50"/>
  <c r="M930" i="50"/>
  <c r="M2110" i="50"/>
  <c r="M1255" i="50"/>
  <c r="I1919" i="50"/>
  <c r="N1769" i="50"/>
  <c r="H1925" i="50"/>
  <c r="N1930" i="50"/>
  <c r="L1764" i="50"/>
  <c r="K1771" i="50"/>
  <c r="I1100" i="50"/>
  <c r="J1099" i="50"/>
  <c r="M1583" i="50"/>
  <c r="L1589" i="50"/>
  <c r="L1598" i="50"/>
  <c r="I270" i="41"/>
  <c r="I364" i="50" s="1"/>
  <c r="L945" i="50"/>
  <c r="M965" i="50"/>
  <c r="H936" i="50"/>
  <c r="M1256" i="50"/>
  <c r="L1916" i="50"/>
  <c r="K1747" i="50"/>
  <c r="H1759" i="50"/>
  <c r="J1932" i="50"/>
  <c r="M1930" i="50"/>
  <c r="K1935" i="50"/>
  <c r="J1771" i="50"/>
  <c r="K1762" i="50"/>
  <c r="N1759" i="50"/>
  <c r="L1100" i="50"/>
  <c r="L1106" i="50"/>
  <c r="H1120" i="50"/>
  <c r="H1606" i="50"/>
  <c r="H1591" i="50"/>
  <c r="N961" i="50"/>
  <c r="M951" i="50"/>
  <c r="M1914" i="50"/>
  <c r="N1940" i="50"/>
  <c r="N1942" i="50"/>
  <c r="L1269" i="50"/>
  <c r="J1753" i="50"/>
  <c r="M1762" i="50"/>
  <c r="I1765" i="50"/>
  <c r="H1117" i="50"/>
  <c r="H1126" i="50"/>
  <c r="I1454" i="50"/>
  <c r="I1618" i="50"/>
  <c r="H1594" i="50"/>
  <c r="N1598" i="50"/>
  <c r="N945" i="50"/>
  <c r="J930" i="50"/>
  <c r="H1289" i="50"/>
  <c r="K798" i="50"/>
  <c r="N1105" i="50"/>
  <c r="L1608" i="50"/>
  <c r="K965" i="50"/>
  <c r="M1272" i="50"/>
  <c r="L1750" i="50"/>
  <c r="M1948" i="50"/>
  <c r="K1929" i="50"/>
  <c r="N1773" i="50"/>
  <c r="L1772" i="50"/>
  <c r="I1113" i="50"/>
  <c r="J1097" i="50"/>
  <c r="L1108" i="50"/>
  <c r="L1603" i="50"/>
  <c r="N1603" i="50"/>
  <c r="L1605" i="50"/>
  <c r="E961" i="50"/>
  <c r="I938" i="50"/>
  <c r="I928" i="50"/>
  <c r="L961" i="50"/>
  <c r="J1256" i="50"/>
  <c r="N1948" i="50"/>
  <c r="I1752" i="50"/>
  <c r="J1911" i="50"/>
  <c r="I1937" i="50"/>
  <c r="I801" i="50"/>
  <c r="L1771" i="50"/>
  <c r="L1761" i="50"/>
  <c r="K1115" i="50"/>
  <c r="H1095" i="50"/>
  <c r="L801" i="50"/>
  <c r="E1617" i="50"/>
  <c r="K1607" i="50"/>
  <c r="M1614" i="50"/>
  <c r="N270" i="41"/>
  <c r="N364" i="50" s="1"/>
  <c r="J956" i="50"/>
  <c r="H939" i="50"/>
  <c r="K961" i="50"/>
  <c r="L1454" i="50"/>
  <c r="N1338" i="50"/>
  <c r="E798" i="50"/>
  <c r="I1949" i="50"/>
  <c r="N1772" i="50"/>
  <c r="I1773" i="50"/>
  <c r="N1946" i="50"/>
  <c r="E1946" i="50"/>
  <c r="H1756" i="50"/>
  <c r="K1770" i="50"/>
  <c r="J1091" i="50"/>
  <c r="H1108" i="50"/>
  <c r="M1091" i="50"/>
  <c r="I1614" i="50"/>
  <c r="K1614" i="50"/>
  <c r="N927" i="50"/>
  <c r="H930" i="50"/>
  <c r="M1454" i="50"/>
  <c r="M1940" i="50"/>
  <c r="L1920" i="50"/>
  <c r="M1929" i="50"/>
  <c r="J1759" i="50"/>
  <c r="J1762" i="50"/>
  <c r="N1764" i="50"/>
  <c r="L1091" i="50"/>
  <c r="M1128" i="50"/>
  <c r="E1125" i="50"/>
  <c r="I2101" i="50"/>
  <c r="H1612" i="50"/>
  <c r="H1601" i="50"/>
  <c r="J1614" i="50"/>
  <c r="L951" i="50"/>
  <c r="H931" i="50"/>
  <c r="K1434" i="50"/>
  <c r="I946" i="50"/>
  <c r="L1275" i="50"/>
  <c r="J1267" i="50"/>
  <c r="E1785" i="50"/>
  <c r="J1102" i="50"/>
  <c r="L1602" i="50"/>
  <c r="E965" i="50"/>
  <c r="H1755" i="50"/>
  <c r="L1934" i="50"/>
  <c r="M1933" i="50"/>
  <c r="K1752" i="50"/>
  <c r="H1785" i="50"/>
  <c r="K1126" i="50"/>
  <c r="L1114" i="50"/>
  <c r="H1115" i="50"/>
  <c r="M1618" i="50"/>
  <c r="L1620" i="50"/>
  <c r="N1612" i="50"/>
  <c r="J953" i="50"/>
  <c r="L948" i="50"/>
  <c r="I930" i="50"/>
  <c r="I939" i="50"/>
  <c r="L788" i="50"/>
  <c r="N1279" i="50"/>
  <c r="K1932" i="50"/>
  <c r="M1767" i="50"/>
  <c r="I1940" i="50"/>
  <c r="J1912" i="50"/>
  <c r="L1755" i="50"/>
  <c r="L1766" i="50"/>
  <c r="N1747" i="50"/>
  <c r="J1115" i="50"/>
  <c r="N1092" i="50"/>
  <c r="L1587" i="50"/>
  <c r="I1604" i="50"/>
  <c r="N1591" i="50"/>
  <c r="J270" i="41"/>
  <c r="J364" i="50" s="1"/>
  <c r="M935" i="50"/>
  <c r="N950" i="50"/>
  <c r="L962" i="50"/>
  <c r="L1434" i="50"/>
  <c r="M1922" i="50"/>
  <c r="J1770" i="50"/>
  <c r="K1920" i="50"/>
  <c r="N1914" i="50"/>
  <c r="H1769" i="50"/>
  <c r="N1766" i="50"/>
  <c r="K1122" i="50"/>
  <c r="M1099" i="50"/>
  <c r="K1091" i="50"/>
  <c r="I1256" i="50"/>
  <c r="H1618" i="50"/>
  <c r="M1600" i="50"/>
  <c r="K932" i="50"/>
  <c r="H964" i="50"/>
  <c r="K1454" i="50"/>
  <c r="J1289" i="50"/>
  <c r="J1945" i="50"/>
  <c r="M1942" i="50"/>
  <c r="I1922" i="50"/>
  <c r="M1753" i="50"/>
  <c r="N1748" i="50"/>
  <c r="I1784" i="50"/>
  <c r="I2086" i="50"/>
  <c r="M1109" i="50"/>
  <c r="N1125" i="50"/>
  <c r="K1103" i="50"/>
  <c r="M1584" i="50"/>
  <c r="L1600" i="50"/>
  <c r="J1594" i="50"/>
  <c r="K951" i="50"/>
  <c r="M948" i="50"/>
  <c r="K944" i="50"/>
  <c r="H2101" i="50"/>
  <c r="H1292" i="50"/>
  <c r="L1752" i="50"/>
  <c r="N1765" i="50"/>
  <c r="N1117" i="50"/>
  <c r="N1289" i="50"/>
  <c r="K1601" i="50"/>
  <c r="J939" i="50"/>
  <c r="N1129" i="50"/>
  <c r="M1778" i="50"/>
  <c r="M1595" i="50"/>
  <c r="L936" i="50"/>
  <c r="H1942" i="50"/>
  <c r="H1911" i="50"/>
  <c r="N1756" i="50"/>
  <c r="L1765" i="50"/>
  <c r="K1112" i="50"/>
  <c r="I1114" i="50"/>
  <c r="K1096" i="50"/>
  <c r="I1606" i="50"/>
  <c r="L1604" i="50"/>
  <c r="I1587" i="50"/>
  <c r="H941" i="50"/>
  <c r="I942" i="50"/>
  <c r="L930" i="50"/>
  <c r="J1454" i="50"/>
  <c r="I1934" i="50"/>
  <c r="M1768" i="50"/>
  <c r="K1919" i="50"/>
  <c r="H1926" i="50"/>
  <c r="L1937" i="50"/>
  <c r="H1773" i="50"/>
  <c r="J1767" i="50"/>
  <c r="K1764" i="50"/>
  <c r="N1108" i="50"/>
  <c r="I1128" i="50"/>
  <c r="N1091" i="50"/>
  <c r="M1594" i="50"/>
  <c r="L1588" i="50"/>
  <c r="M1604" i="50"/>
  <c r="K270" i="41"/>
  <c r="K364" i="50" s="1"/>
  <c r="J947" i="50"/>
  <c r="I951" i="50"/>
  <c r="H947" i="50"/>
  <c r="N2110" i="50"/>
  <c r="J1926" i="50"/>
  <c r="M1764" i="50"/>
  <c r="J1930" i="50"/>
  <c r="I1914" i="50"/>
  <c r="L1935" i="50"/>
  <c r="N1771" i="50"/>
  <c r="H1778" i="50"/>
  <c r="I1094" i="50"/>
  <c r="M1122" i="50"/>
  <c r="H1091" i="50"/>
  <c r="E801" i="50"/>
  <c r="M1589" i="50"/>
  <c r="H1589" i="50"/>
  <c r="I927" i="50"/>
  <c r="N936" i="50"/>
  <c r="H948" i="50"/>
  <c r="M2089" i="50"/>
  <c r="J798" i="50"/>
  <c r="J1931" i="50"/>
  <c r="K1917" i="50"/>
  <c r="I1771" i="50"/>
  <c r="N1114" i="50"/>
  <c r="M1110" i="50"/>
  <c r="L1617" i="50"/>
  <c r="L1614" i="50"/>
  <c r="K935" i="50"/>
  <c r="I1762" i="50"/>
  <c r="N1589" i="50"/>
  <c r="K941" i="50"/>
  <c r="L1949" i="50"/>
  <c r="K1912" i="50"/>
  <c r="K1756" i="50"/>
  <c r="I1751" i="50"/>
  <c r="M1103" i="50"/>
  <c r="J1117" i="50"/>
  <c r="J1122" i="50"/>
  <c r="N2080" i="50"/>
  <c r="L1595" i="50"/>
  <c r="J1606" i="50"/>
  <c r="K1584" i="50"/>
  <c r="E964" i="50"/>
  <c r="H944" i="50"/>
  <c r="J946" i="50"/>
  <c r="H388" i="47"/>
  <c r="H390" i="47" s="1"/>
  <c r="H393" i="47" s="1"/>
  <c r="J398" i="47" s="1"/>
  <c r="J1275" i="50"/>
  <c r="L1936" i="50"/>
  <c r="M1765" i="50"/>
  <c r="H1928" i="50"/>
  <c r="J1920" i="50"/>
  <c r="M1936" i="50"/>
  <c r="K1778" i="50"/>
  <c r="K1767" i="50"/>
  <c r="H1762" i="50"/>
  <c r="J1106" i="50"/>
  <c r="I1092" i="50"/>
  <c r="I1621" i="50"/>
  <c r="H1605" i="50"/>
  <c r="N1606" i="50"/>
  <c r="L270" i="41"/>
  <c r="L364" i="50" s="1"/>
  <c r="K949" i="50"/>
  <c r="I945" i="50"/>
  <c r="I931" i="50"/>
  <c r="N1928" i="50"/>
  <c r="N1778" i="50"/>
  <c r="I1945" i="50"/>
  <c r="M1946" i="50"/>
  <c r="L1922" i="50"/>
  <c r="K1766" i="50"/>
  <c r="L1767" i="50"/>
  <c r="K1256" i="50"/>
  <c r="J1096" i="50"/>
  <c r="L1094" i="50"/>
  <c r="M1116" i="50"/>
  <c r="H1597" i="50"/>
  <c r="H1587" i="50"/>
  <c r="I1598" i="50"/>
  <c r="L947" i="50"/>
  <c r="I958" i="50"/>
  <c r="J932" i="50"/>
  <c r="M1174" i="50"/>
  <c r="N798" i="50"/>
  <c r="N1929" i="50"/>
  <c r="M1932" i="50"/>
  <c r="N1755" i="50"/>
  <c r="I1764" i="50"/>
  <c r="L1769" i="50"/>
  <c r="J1114" i="50"/>
  <c r="N1110" i="50"/>
  <c r="M1111" i="50"/>
  <c r="I798" i="50"/>
  <c r="N1594" i="50"/>
  <c r="L1609" i="50"/>
  <c r="N935" i="50"/>
  <c r="L932" i="50"/>
  <c r="M941" i="50"/>
  <c r="H798" i="50"/>
  <c r="H801" i="50"/>
  <c r="K1605" i="50"/>
  <c r="K947" i="50"/>
  <c r="H1920" i="50"/>
  <c r="J1949" i="50"/>
  <c r="L1770" i="50"/>
  <c r="H1758" i="50"/>
  <c r="J1764" i="50"/>
  <c r="L1256" i="50"/>
  <c r="I1126" i="50"/>
  <c r="H1092" i="50"/>
  <c r="H1116" i="50"/>
  <c r="J788" i="50"/>
  <c r="J1607" i="50"/>
  <c r="J1591" i="50"/>
  <c r="L1584" i="50"/>
  <c r="I947" i="50"/>
  <c r="L956" i="50"/>
  <c r="N947" i="50"/>
  <c r="L1931" i="50"/>
  <c r="N1922" i="50"/>
  <c r="K1916" i="50"/>
  <c r="L1942" i="50"/>
  <c r="H1931" i="50"/>
  <c r="H1761" i="50"/>
  <c r="I1756" i="50"/>
  <c r="K1751" i="50"/>
  <c r="M1114" i="50"/>
  <c r="L1099" i="50"/>
  <c r="L1607" i="50"/>
  <c r="J1620" i="50"/>
  <c r="M1609" i="50"/>
  <c r="N932" i="50"/>
  <c r="K946" i="50"/>
  <c r="N1174" i="50"/>
  <c r="M1275" i="50"/>
  <c r="N2089" i="50"/>
  <c r="J1933" i="50"/>
  <c r="L1915" i="50"/>
  <c r="E1782" i="50"/>
  <c r="N1912" i="50"/>
  <c r="M1934" i="50"/>
  <c r="I1935" i="50"/>
  <c r="M2086" i="50"/>
  <c r="K1784" i="50"/>
  <c r="M1761" i="50"/>
  <c r="K1095" i="50"/>
  <c r="N1109" i="50"/>
  <c r="N1607" i="50"/>
  <c r="N1583" i="50"/>
  <c r="J1598" i="50"/>
  <c r="M939" i="50"/>
  <c r="I948" i="50"/>
  <c r="I935" i="50"/>
  <c r="N1275" i="50"/>
  <c r="J2087" i="50"/>
  <c r="L1272" i="50"/>
  <c r="H1937" i="50"/>
  <c r="N1920" i="50"/>
  <c r="H1923" i="50"/>
  <c r="N1750" i="50"/>
  <c r="N1767" i="50"/>
  <c r="H1747" i="50"/>
  <c r="K1275" i="50"/>
  <c r="N1122" i="50"/>
  <c r="J1126" i="50"/>
  <c r="L1111" i="50"/>
  <c r="N1605" i="50"/>
  <c r="J1612" i="50"/>
  <c r="I1595" i="50"/>
  <c r="I950" i="50"/>
  <c r="J965" i="50"/>
  <c r="J961" i="50"/>
  <c r="N1917" i="50"/>
  <c r="K1109" i="50"/>
  <c r="M1784" i="50"/>
  <c r="H1930" i="50"/>
  <c r="E2110" i="50"/>
  <c r="K1940" i="50"/>
  <c r="I1772" i="50"/>
  <c r="H942" i="50"/>
  <c r="I1929" i="50"/>
  <c r="N1784" i="50"/>
  <c r="L1110" i="50"/>
  <c r="K1769" i="50"/>
  <c r="L1925" i="50"/>
  <c r="H1122" i="50"/>
  <c r="M1766" i="50"/>
  <c r="N1931" i="50"/>
  <c r="J1143" i="50"/>
  <c r="K927" i="50"/>
  <c r="N1752" i="50"/>
  <c r="K1925" i="50"/>
  <c r="L1445" i="50"/>
  <c r="K964" i="50"/>
  <c r="I1102" i="50"/>
  <c r="H1782" i="50"/>
  <c r="K1276" i="50"/>
  <c r="H1767" i="50"/>
  <c r="K1284" i="50"/>
  <c r="I944" i="50"/>
  <c r="K1602" i="50"/>
  <c r="N1113" i="50"/>
  <c r="J1946" i="50"/>
  <c r="K952" i="50"/>
  <c r="H1621" i="50"/>
  <c r="L1097" i="50"/>
  <c r="K1781" i="50"/>
  <c r="M1269" i="50"/>
  <c r="N1111" i="50"/>
  <c r="M947" i="50"/>
  <c r="J935" i="50"/>
  <c r="M1603" i="50"/>
  <c r="K1269" i="50"/>
  <c r="J945" i="50"/>
  <c r="M1592" i="50"/>
  <c r="K1105" i="50"/>
  <c r="J1925" i="50"/>
  <c r="K1589" i="50"/>
  <c r="N1115" i="50"/>
  <c r="J1936" i="50"/>
  <c r="S2064" i="50"/>
  <c r="I2064" i="50" s="1"/>
  <c r="J1981" i="50" s="1"/>
  <c r="I2110" i="50"/>
  <c r="J948" i="50"/>
  <c r="H1598" i="50"/>
  <c r="J951" i="50"/>
  <c r="J1583" i="50"/>
  <c r="J1782" i="50"/>
  <c r="H1595" i="50"/>
  <c r="L1428" i="50"/>
  <c r="M1617" i="50"/>
  <c r="N682" i="50"/>
  <c r="I1096" i="50"/>
  <c r="H2089" i="50"/>
  <c r="M956" i="50"/>
  <c r="M1597" i="50"/>
  <c r="I965" i="50"/>
  <c r="H270" i="41"/>
  <c r="H364" i="50" s="1"/>
  <c r="H788" i="50"/>
  <c r="J1914" i="50"/>
  <c r="N1600" i="50"/>
  <c r="N1994" i="50"/>
  <c r="K1594" i="50"/>
  <c r="H1933" i="50"/>
  <c r="N788" i="50"/>
  <c r="K2110" i="50"/>
  <c r="M1916" i="50"/>
  <c r="L2026" i="50"/>
  <c r="L1972" i="50"/>
  <c r="L2012" i="50"/>
  <c r="L2054" i="50"/>
  <c r="L1998" i="50"/>
  <c r="L1984" i="50"/>
  <c r="L2066" i="50"/>
  <c r="M2011" i="50" s="1"/>
  <c r="N1997" i="50"/>
  <c r="K1513" i="50"/>
  <c r="N2066" i="50"/>
  <c r="M1997" i="50"/>
  <c r="N2054" i="50"/>
  <c r="I647" i="50"/>
  <c r="H975" i="50"/>
  <c r="N1972" i="50"/>
  <c r="M1471" i="50"/>
  <c r="M2000" i="50"/>
  <c r="M2001" i="50" s="1"/>
  <c r="M2969" i="37" s="1"/>
  <c r="M2971" i="37" s="1"/>
  <c r="M2972" i="37" s="1"/>
  <c r="K1997" i="50"/>
  <c r="N2012" i="50"/>
  <c r="M1472" i="50"/>
  <c r="S915" i="50"/>
  <c r="I915" i="50" s="1"/>
  <c r="J871" i="50" s="1"/>
  <c r="L2000" i="50"/>
  <c r="L2001" i="50" s="1"/>
  <c r="L2969" i="37" s="1"/>
  <c r="L2971" i="37" s="1"/>
  <c r="L2972" i="37" s="1"/>
  <c r="J1997" i="50"/>
  <c r="N1984" i="50"/>
  <c r="H1303" i="50"/>
  <c r="I1303" i="50"/>
  <c r="N1513" i="50"/>
  <c r="N1998" i="50"/>
  <c r="N1471" i="50"/>
  <c r="S2066" i="50"/>
  <c r="I2066" i="50" s="1"/>
  <c r="J2011" i="50" s="1"/>
  <c r="I1631" i="50"/>
  <c r="I941" i="50"/>
  <c r="K1620" i="50"/>
  <c r="N1099" i="50"/>
  <c r="L1506" i="50"/>
  <c r="K1492" i="50"/>
  <c r="L935" i="50"/>
  <c r="I956" i="50"/>
  <c r="N930" i="50"/>
  <c r="H965" i="50"/>
  <c r="H1602" i="50"/>
  <c r="K1603" i="50"/>
  <c r="M1612" i="50"/>
  <c r="K1106" i="50"/>
  <c r="K1125" i="50"/>
  <c r="L682" i="50"/>
  <c r="K1436" i="50"/>
  <c r="L1520" i="50"/>
  <c r="K1534" i="50"/>
  <c r="M942" i="50"/>
  <c r="H946" i="50"/>
  <c r="I936" i="50"/>
  <c r="L949" i="50"/>
  <c r="K1586" i="50"/>
  <c r="J1592" i="50"/>
  <c r="J1608" i="50"/>
  <c r="L1103" i="50"/>
  <c r="L1562" i="50"/>
  <c r="K1520" i="50"/>
  <c r="J1445" i="50"/>
  <c r="L942" i="50"/>
  <c r="L1480" i="50"/>
  <c r="H1467" i="50"/>
  <c r="L1911" i="50"/>
  <c r="K1928" i="50"/>
  <c r="M1911" i="50"/>
  <c r="K1761" i="50"/>
  <c r="J1428" i="50"/>
  <c r="H933" i="50"/>
  <c r="L950" i="50"/>
  <c r="J933" i="50"/>
  <c r="I1591" i="50"/>
  <c r="K1612" i="50"/>
  <c r="L1586" i="50"/>
  <c r="M1117" i="50"/>
  <c r="K1097" i="50"/>
  <c r="L1502" i="50"/>
  <c r="J962" i="50"/>
  <c r="L1781" i="50"/>
  <c r="I1778" i="50"/>
  <c r="K1768" i="50"/>
  <c r="M798" i="50"/>
  <c r="N1937" i="50"/>
  <c r="L1940" i="50"/>
  <c r="N1933" i="50"/>
  <c r="I1769" i="50"/>
  <c r="N1261" i="50"/>
  <c r="K958" i="50"/>
  <c r="I961" i="50"/>
  <c r="I962" i="50"/>
  <c r="H1592" i="50"/>
  <c r="L1606" i="50"/>
  <c r="J1586" i="50"/>
  <c r="I1105" i="50"/>
  <c r="J1120" i="50"/>
  <c r="H811" i="50"/>
  <c r="K1506" i="50"/>
  <c r="I1758" i="50"/>
  <c r="N1785" i="50"/>
  <c r="H1781" i="50"/>
  <c r="I1931" i="50"/>
  <c r="M1912" i="50"/>
  <c r="I1948" i="50"/>
  <c r="H1776" i="50"/>
  <c r="E1454" i="50"/>
  <c r="N962" i="50"/>
  <c r="M950" i="50"/>
  <c r="K938" i="50"/>
  <c r="M1605" i="50"/>
  <c r="K1618" i="50"/>
  <c r="L1597" i="50"/>
  <c r="N1100" i="50"/>
  <c r="H1096" i="50"/>
  <c r="I811" i="50"/>
  <c r="M1915" i="50"/>
  <c r="M1102" i="50"/>
  <c r="I1620" i="50"/>
  <c r="L1096" i="50"/>
  <c r="K1116" i="50"/>
  <c r="M1620" i="50"/>
  <c r="I1106" i="50"/>
  <c r="H1111" i="50"/>
  <c r="J1116" i="50"/>
  <c r="L1930" i="50"/>
  <c r="I598" i="37"/>
  <c r="I604" i="37" s="1"/>
  <c r="S752" i="50" s="1"/>
  <c r="I752" i="50" s="1"/>
  <c r="L939" i="50"/>
  <c r="H1912" i="50"/>
  <c r="I949" i="50"/>
  <c r="K1128" i="50"/>
  <c r="S1243" i="50"/>
  <c r="I1243" i="50" s="1"/>
  <c r="J1227" i="50" s="1"/>
  <c r="K1100" i="50"/>
  <c r="J1128" i="50"/>
  <c r="H1125" i="50"/>
  <c r="L1276" i="50"/>
  <c r="J1820" i="50"/>
  <c r="N1102" i="50"/>
  <c r="L1095" i="50"/>
  <c r="H1959" i="50"/>
  <c r="H1256" i="50"/>
  <c r="I1603" i="50"/>
  <c r="J1862" i="50"/>
  <c r="L1543" i="50"/>
  <c r="J1604" i="50"/>
  <c r="K1923" i="50"/>
  <c r="K1445" i="50"/>
  <c r="M964" i="50"/>
  <c r="K953" i="50"/>
  <c r="J1602" i="50"/>
  <c r="I1116" i="50"/>
  <c r="K682" i="50"/>
  <c r="I1564" i="37"/>
  <c r="I1570" i="37" s="1"/>
  <c r="I1269" i="50"/>
  <c r="L388" i="47"/>
  <c r="L390" i="47" s="1"/>
  <c r="L393" i="47" s="1"/>
  <c r="M961" i="50"/>
  <c r="L941" i="50"/>
  <c r="M1607" i="50"/>
  <c r="H1097" i="50"/>
  <c r="K2080" i="50"/>
  <c r="J952" i="50"/>
  <c r="L1612" i="50"/>
  <c r="M1095" i="50"/>
  <c r="N1116" i="50"/>
  <c r="H647" i="50"/>
  <c r="M801" i="50"/>
  <c r="N1919" i="50"/>
  <c r="K2087" i="50"/>
  <c r="M788" i="50"/>
  <c r="I1959" i="50"/>
  <c r="L933" i="50"/>
  <c r="N928" i="50"/>
  <c r="K1588" i="50"/>
  <c r="K1583" i="50"/>
  <c r="M1092" i="50"/>
  <c r="K1422" i="50"/>
  <c r="K1914" i="50"/>
  <c r="K2089" i="50"/>
  <c r="H951" i="50"/>
  <c r="J950" i="50"/>
  <c r="H1588" i="50"/>
  <c r="J1100" i="50"/>
  <c r="N965" i="50"/>
  <c r="L958" i="50"/>
  <c r="H1620" i="50"/>
  <c r="N1106" i="50"/>
  <c r="H1270" i="50"/>
  <c r="L1848" i="50"/>
  <c r="K1518" i="50"/>
  <c r="K939" i="50"/>
  <c r="L946" i="50"/>
  <c r="H1584" i="50"/>
  <c r="I1586" i="50"/>
  <c r="N1120" i="50"/>
  <c r="I1115" i="50"/>
  <c r="I1109" i="50"/>
  <c r="M1770" i="50"/>
  <c r="H764" i="50"/>
  <c r="E1781" i="50"/>
  <c r="H2086" i="50"/>
  <c r="J936" i="50"/>
  <c r="K1600" i="50"/>
  <c r="M1587" i="50"/>
  <c r="H1112" i="50"/>
  <c r="I1103" i="50"/>
  <c r="H2110" i="50"/>
  <c r="I1755" i="50"/>
  <c r="H1919" i="50"/>
  <c r="I787" i="50"/>
  <c r="K1424" i="50"/>
  <c r="J964" i="50"/>
  <c r="M931" i="50"/>
  <c r="I1589" i="50"/>
  <c r="J1595" i="50"/>
  <c r="K1113" i="50"/>
  <c r="J1109" i="50"/>
  <c r="N1926" i="50"/>
  <c r="K262" i="41"/>
  <c r="K356" i="50" s="1"/>
  <c r="I1281" i="50"/>
  <c r="J927" i="50"/>
  <c r="L938" i="50"/>
  <c r="E1621" i="50"/>
  <c r="L1583" i="50"/>
  <c r="L1621" i="50"/>
  <c r="M1113" i="50"/>
  <c r="H1114" i="50"/>
  <c r="J1269" i="50"/>
  <c r="J1848" i="50"/>
  <c r="L1501" i="50"/>
  <c r="N1751" i="50"/>
  <c r="K1776" i="50"/>
  <c r="I1467" i="50"/>
  <c r="H1917" i="50"/>
  <c r="L771" i="50"/>
  <c r="J1431" i="50"/>
  <c r="K1274" i="50"/>
  <c r="L1560" i="50"/>
  <c r="M1781" i="50"/>
  <c r="I1750" i="50"/>
  <c r="I1915" i="50"/>
  <c r="K787" i="50"/>
  <c r="H1586" i="50"/>
  <c r="N1597" i="50"/>
  <c r="M1125" i="50"/>
  <c r="J1095" i="50"/>
  <c r="H1100" i="50"/>
  <c r="L1756" i="50"/>
  <c r="I1768" i="50"/>
  <c r="K1937" i="50"/>
  <c r="N789" i="50"/>
  <c r="J1808" i="50"/>
  <c r="K1120" i="50"/>
  <c r="N1128" i="50"/>
  <c r="I1766" i="50"/>
  <c r="J1756" i="50"/>
  <c r="J1917" i="50"/>
  <c r="I800" i="50"/>
  <c r="L1677" i="50"/>
  <c r="L1478" i="50"/>
  <c r="J1890" i="50"/>
  <c r="K227" i="50"/>
  <c r="L1635" i="50"/>
  <c r="L1490" i="50"/>
  <c r="M1621" i="50"/>
  <c r="L1126" i="50"/>
  <c r="K1108" i="50"/>
  <c r="I1097" i="50"/>
  <c r="J1766" i="50"/>
  <c r="H1946" i="50"/>
  <c r="I1428" i="50"/>
  <c r="M262" i="41"/>
  <c r="M356" i="50" s="1"/>
  <c r="N2078" i="50"/>
  <c r="I1279" i="50"/>
  <c r="N2097" i="50"/>
  <c r="N1768" i="50"/>
  <c r="J2080" i="50"/>
  <c r="I1912" i="50"/>
  <c r="J1259" i="50"/>
  <c r="K1439" i="50"/>
  <c r="K1264" i="50"/>
  <c r="J2100" i="50"/>
  <c r="H781" i="50"/>
  <c r="J2113" i="50"/>
  <c r="J2079" i="50"/>
  <c r="I2083" i="50"/>
  <c r="K1440" i="50"/>
  <c r="L780" i="50"/>
  <c r="J763" i="50"/>
  <c r="J228" i="50" s="1"/>
  <c r="L1290" i="50"/>
  <c r="K1423" i="50"/>
  <c r="L2106" i="50"/>
  <c r="M2104" i="50"/>
  <c r="J1750" i="50"/>
  <c r="M1931" i="50"/>
  <c r="N1923" i="50"/>
  <c r="N1911" i="50"/>
  <c r="K792" i="50"/>
  <c r="J2096" i="50"/>
  <c r="H768" i="50"/>
  <c r="I781" i="50"/>
  <c r="I768" i="50"/>
  <c r="M1281" i="50"/>
  <c r="K1260" i="50"/>
  <c r="K2078" i="50"/>
  <c r="K2092" i="50"/>
  <c r="L2096" i="50"/>
  <c r="J1430" i="50"/>
  <c r="K783" i="50"/>
  <c r="J2112" i="50"/>
  <c r="H766" i="50"/>
  <c r="H1280" i="50"/>
  <c r="J2078" i="50"/>
  <c r="N777" i="50"/>
  <c r="M777" i="50"/>
  <c r="H2113" i="50"/>
  <c r="H782" i="50"/>
  <c r="J262" i="41"/>
  <c r="J356" i="50" s="1"/>
  <c r="K766" i="50"/>
  <c r="N2101" i="50"/>
  <c r="K797" i="50"/>
  <c r="N782" i="50"/>
  <c r="N785" i="50"/>
  <c r="K1259" i="50"/>
  <c r="N1278" i="50"/>
  <c r="N2092" i="50"/>
  <c r="M2079" i="50"/>
  <c r="K2099" i="50"/>
  <c r="E1456" i="50"/>
  <c r="N1264" i="50"/>
  <c r="N1442" i="50"/>
  <c r="N794" i="50"/>
  <c r="M1261" i="50"/>
  <c r="K2100" i="50"/>
  <c r="M1270" i="50"/>
  <c r="M775" i="50"/>
  <c r="H2075" i="50"/>
  <c r="N1781" i="50"/>
  <c r="L1768" i="50"/>
  <c r="I1445" i="50"/>
  <c r="N1945" i="50"/>
  <c r="N1936" i="50"/>
  <c r="H1915" i="50"/>
  <c r="I262" i="41"/>
  <c r="I356" i="50" s="1"/>
  <c r="I783" i="50"/>
  <c r="M1441" i="50"/>
  <c r="N768" i="50"/>
  <c r="H778" i="50"/>
  <c r="H1277" i="50"/>
  <c r="H1284" i="50"/>
  <c r="I2092" i="50"/>
  <c r="L2075" i="50"/>
  <c r="L1437" i="50"/>
  <c r="N1450" i="50"/>
  <c r="M1292" i="50"/>
  <c r="N1445" i="50"/>
  <c r="L787" i="50"/>
  <c r="H1261" i="50"/>
  <c r="K2083" i="50"/>
  <c r="J1260" i="50"/>
  <c r="M2099" i="50"/>
  <c r="J1772" i="50"/>
  <c r="J1751" i="50"/>
  <c r="M1769" i="50"/>
  <c r="H1932" i="50"/>
  <c r="H1936" i="50"/>
  <c r="M1925" i="50"/>
  <c r="L2101" i="50"/>
  <c r="N262" i="41"/>
  <c r="N356" i="50" s="1"/>
  <c r="I785" i="50"/>
  <c r="H1448" i="50"/>
  <c r="H789" i="50"/>
  <c r="L775" i="50"/>
  <c r="H1281" i="50"/>
  <c r="H1255" i="50"/>
  <c r="K2104" i="50"/>
  <c r="I2095" i="50"/>
  <c r="N1427" i="50"/>
  <c r="N1422" i="50"/>
  <c r="M767" i="50"/>
  <c r="K781" i="50"/>
  <c r="I1290" i="50"/>
  <c r="M2113" i="50"/>
  <c r="I1267" i="50"/>
  <c r="N1430" i="50"/>
  <c r="H2277" i="37"/>
  <c r="H1631" i="50" s="1"/>
  <c r="I1770" i="50"/>
  <c r="M1782" i="50"/>
  <c r="H1771" i="50"/>
  <c r="J801" i="50"/>
  <c r="L1946" i="50"/>
  <c r="L1945" i="50"/>
  <c r="N1949" i="50"/>
  <c r="H262" i="41"/>
  <c r="H356" i="50" s="1"/>
  <c r="H1267" i="50"/>
  <c r="L2094" i="50"/>
  <c r="J1434" i="50"/>
  <c r="I792" i="50"/>
  <c r="H785" i="50"/>
  <c r="M1266" i="50"/>
  <c r="K1279" i="50"/>
  <c r="J2095" i="50"/>
  <c r="J2097" i="50"/>
  <c r="H1450" i="50"/>
  <c r="L1427" i="50"/>
  <c r="M785" i="50"/>
  <c r="I786" i="50"/>
  <c r="M1430" i="50"/>
  <c r="K1949" i="50"/>
  <c r="N1925" i="50"/>
  <c r="M1919" i="50"/>
  <c r="L262" i="41"/>
  <c r="L356" i="50" s="1"/>
  <c r="I1280" i="50"/>
  <c r="N2076" i="50"/>
  <c r="M1437" i="50"/>
  <c r="L792" i="50"/>
  <c r="J784" i="50"/>
  <c r="K1278" i="50"/>
  <c r="H1293" i="50"/>
  <c r="H2095" i="50"/>
  <c r="L2081" i="50"/>
  <c r="M1436" i="50"/>
  <c r="M1444" i="50"/>
  <c r="L800" i="50"/>
  <c r="L1274" i="50"/>
  <c r="L1424" i="50"/>
  <c r="N1456" i="50"/>
  <c r="J777" i="50"/>
  <c r="J1439" i="50"/>
  <c r="J772" i="50"/>
  <c r="H794" i="50"/>
  <c r="N1290" i="50"/>
  <c r="N1270" i="50"/>
  <c r="N1276" i="50"/>
  <c r="K2090" i="50"/>
  <c r="I2075" i="50"/>
  <c r="K1450" i="50"/>
  <c r="I1433" i="50"/>
  <c r="M1276" i="50"/>
  <c r="L1453" i="50"/>
  <c r="K768" i="50"/>
  <c r="N1273" i="50"/>
  <c r="M2093" i="50"/>
  <c r="H1437" i="50"/>
  <c r="N780" i="50"/>
  <c r="N767" i="50"/>
  <c r="L1293" i="50"/>
  <c r="N2099" i="50"/>
  <c r="K1293" i="50"/>
  <c r="J1255" i="50"/>
  <c r="M1258" i="50"/>
  <c r="H2081" i="50"/>
  <c r="L2078" i="50"/>
  <c r="M1433" i="50"/>
  <c r="K1431" i="50"/>
  <c r="M1422" i="50"/>
  <c r="L772" i="50"/>
  <c r="L1259" i="50"/>
  <c r="M2081" i="50"/>
  <c r="J1425" i="50"/>
  <c r="H767" i="50"/>
  <c r="E1457" i="50"/>
  <c r="M1260" i="50"/>
  <c r="M781" i="50"/>
  <c r="H784" i="50"/>
  <c r="K789" i="50"/>
  <c r="H1259" i="50"/>
  <c r="J1293" i="50"/>
  <c r="I2100" i="50"/>
  <c r="M2112" i="50"/>
  <c r="L1423" i="50"/>
  <c r="H1425" i="50"/>
  <c r="J1442" i="50"/>
  <c r="E797" i="50"/>
  <c r="K1281" i="50"/>
  <c r="N2094" i="50"/>
  <c r="M1450" i="50"/>
  <c r="N800" i="50"/>
  <c r="M1457" i="50"/>
  <c r="K1438" i="50"/>
  <c r="N1424" i="50"/>
  <c r="K1456" i="50"/>
  <c r="H1260" i="50"/>
  <c r="N2087" i="50"/>
  <c r="N783" i="50"/>
  <c r="M786" i="50"/>
  <c r="N766" i="50"/>
  <c r="J1277" i="50"/>
  <c r="H1276" i="50"/>
  <c r="J2076" i="50"/>
  <c r="H2076" i="50"/>
  <c r="M1431" i="50"/>
  <c r="K1457" i="50"/>
  <c r="H792" i="50"/>
  <c r="L767" i="50"/>
  <c r="H2079" i="50"/>
  <c r="M1423" i="50"/>
  <c r="H774" i="50"/>
  <c r="K1258" i="50"/>
  <c r="N764" i="50"/>
  <c r="N2081" i="50"/>
  <c r="J1419" i="50"/>
  <c r="N1439" i="50"/>
  <c r="K1443" i="50"/>
  <c r="M1264" i="50"/>
  <c r="J2109" i="50"/>
  <c r="I767" i="50"/>
  <c r="J767" i="50"/>
  <c r="I784" i="50"/>
  <c r="H1266" i="50"/>
  <c r="L1270" i="50"/>
  <c r="N2083" i="50"/>
  <c r="L2113" i="50"/>
  <c r="J1444" i="50"/>
  <c r="K1448" i="50"/>
  <c r="M774" i="50"/>
  <c r="J774" i="50"/>
  <c r="N1293" i="50"/>
  <c r="H2094" i="50"/>
  <c r="L1431" i="50"/>
  <c r="I782" i="50"/>
  <c r="K1267" i="50"/>
  <c r="J2081" i="50"/>
  <c r="L2079" i="50"/>
  <c r="K1425" i="50"/>
  <c r="H1433" i="50"/>
  <c r="J1263" i="50"/>
  <c r="I2090" i="50"/>
  <c r="J769" i="50"/>
  <c r="I1278" i="50"/>
  <c r="K2097" i="50"/>
  <c r="K778" i="50"/>
  <c r="N769" i="50"/>
  <c r="H1286" i="50"/>
  <c r="K786" i="50"/>
  <c r="J786" i="50"/>
  <c r="H1273" i="50"/>
  <c r="N2109" i="50"/>
  <c r="N771" i="50"/>
  <c r="M2098" i="50"/>
  <c r="N787" i="50"/>
  <c r="I772" i="50"/>
  <c r="N772" i="50"/>
  <c r="L1258" i="50"/>
  <c r="N1258" i="50"/>
  <c r="J1281" i="50"/>
  <c r="H2098" i="50"/>
  <c r="N2096" i="50"/>
  <c r="E2109" i="50"/>
  <c r="N1419" i="50"/>
  <c r="L1456" i="50"/>
  <c r="N1425" i="50"/>
  <c r="H1263" i="50"/>
  <c r="H1439" i="50"/>
  <c r="M792" i="50"/>
  <c r="L778" i="50"/>
  <c r="M1274" i="50"/>
  <c r="K1270" i="50"/>
  <c r="J2093" i="50"/>
  <c r="H2104" i="50"/>
  <c r="K1453" i="50"/>
  <c r="I1441" i="50"/>
  <c r="E1290" i="50"/>
  <c r="J1440" i="50"/>
  <c r="K1441" i="50"/>
  <c r="K1261" i="50"/>
  <c r="I2098" i="50"/>
  <c r="J797" i="50"/>
  <c r="H763" i="50"/>
  <c r="H228" i="50" s="1"/>
  <c r="L782" i="50"/>
  <c r="I1260" i="50"/>
  <c r="N1284" i="50"/>
  <c r="M1286" i="50"/>
  <c r="I2093" i="50"/>
  <c r="M2084" i="50"/>
  <c r="J2090" i="50"/>
  <c r="L1440" i="50"/>
  <c r="H1422" i="50"/>
  <c r="N1431" i="50"/>
  <c r="I1259" i="50"/>
  <c r="J1423" i="50"/>
  <c r="J771" i="50"/>
  <c r="J766" i="50"/>
  <c r="I1266" i="50"/>
  <c r="N1266" i="50"/>
  <c r="K2094" i="50"/>
  <c r="L2104" i="50"/>
  <c r="N1420" i="50"/>
  <c r="J778" i="50"/>
  <c r="H1264" i="50"/>
  <c r="H1436" i="50"/>
  <c r="J2106" i="50"/>
  <c r="J1448" i="50"/>
  <c r="H1423" i="50"/>
  <c r="K772" i="50"/>
  <c r="H2097" i="50"/>
  <c r="J781" i="50"/>
  <c r="K784" i="50"/>
  <c r="L774" i="50"/>
  <c r="K1255" i="50"/>
  <c r="N1292" i="50"/>
  <c r="M1278" i="50"/>
  <c r="K2075" i="50"/>
  <c r="H2096" i="50"/>
  <c r="M2075" i="50"/>
  <c r="J1443" i="50"/>
  <c r="M1419" i="50"/>
  <c r="L1439" i="50"/>
  <c r="I1270" i="50"/>
  <c r="L1442" i="50"/>
  <c r="N797" i="50"/>
  <c r="N781" i="50"/>
  <c r="K1263" i="50"/>
  <c r="L2095" i="50"/>
  <c r="N2095" i="50"/>
  <c r="N1448" i="50"/>
  <c r="M780" i="50"/>
  <c r="I1273" i="50"/>
  <c r="N1438" i="50"/>
  <c r="M2090" i="50"/>
  <c r="J1437" i="50"/>
  <c r="M1453" i="50"/>
  <c r="I794" i="50"/>
  <c r="H1444" i="50"/>
  <c r="L786" i="50"/>
  <c r="H783" i="50"/>
  <c r="I774" i="50"/>
  <c r="I1264" i="50"/>
  <c r="K1266" i="50"/>
  <c r="N2079" i="50"/>
  <c r="H2093" i="50"/>
  <c r="K2079" i="50"/>
  <c r="M1424" i="50"/>
  <c r="L1436" i="50"/>
  <c r="H786" i="50"/>
  <c r="K782" i="50"/>
  <c r="K771" i="50"/>
  <c r="H777" i="50"/>
  <c r="H1279" i="50"/>
  <c r="L2076" i="50"/>
  <c r="I1450" i="50"/>
  <c r="K774" i="50"/>
  <c r="I1274" i="50"/>
  <c r="N2098" i="50"/>
  <c r="M1456" i="50"/>
  <c r="J789" i="50"/>
  <c r="M1293" i="50"/>
  <c r="I1776" i="50"/>
  <c r="E800" i="50"/>
  <c r="M2078" i="50"/>
  <c r="M2109" i="50"/>
  <c r="I771" i="50"/>
  <c r="L766" i="50"/>
  <c r="K775" i="50"/>
  <c r="L1277" i="50"/>
  <c r="J1270" i="50"/>
  <c r="K2106" i="50"/>
  <c r="J2099" i="50"/>
  <c r="J1433" i="50"/>
  <c r="I1423" i="50"/>
  <c r="H1420" i="50"/>
  <c r="J1290" i="50"/>
  <c r="K1437" i="50"/>
  <c r="M794" i="50"/>
  <c r="M782" i="50"/>
  <c r="N1277" i="50"/>
  <c r="J1278" i="50"/>
  <c r="H2090" i="50"/>
  <c r="N1423" i="50"/>
  <c r="J2098" i="50"/>
  <c r="L1281" i="50"/>
  <c r="N2112" i="50"/>
  <c r="E1453" i="50"/>
  <c r="M265" i="41"/>
  <c r="M359" i="50" s="1"/>
  <c r="N953" i="50"/>
  <c r="I763" i="50"/>
  <c r="I228" i="50" s="1"/>
  <c r="I1255" i="50"/>
  <c r="J1261" i="50"/>
  <c r="N2100" i="50"/>
  <c r="M2094" i="50"/>
  <c r="M2097" i="50"/>
  <c r="H1440" i="50"/>
  <c r="H1438" i="50"/>
  <c r="H797" i="50"/>
  <c r="H1441" i="50"/>
  <c r="H775" i="50"/>
  <c r="I775" i="50"/>
  <c r="N763" i="50"/>
  <c r="N228" i="50" s="1"/>
  <c r="K1286" i="50"/>
  <c r="H1278" i="50"/>
  <c r="L2112" i="50"/>
  <c r="E2113" i="50"/>
  <c r="J1420" i="50"/>
  <c r="N1433" i="50"/>
  <c r="L797" i="50"/>
  <c r="N775" i="50"/>
  <c r="K1292" i="50"/>
  <c r="M2083" i="50"/>
  <c r="L1420" i="50"/>
  <c r="J1456" i="50"/>
  <c r="J1276" i="50"/>
  <c r="M2076" i="50"/>
  <c r="N948" i="50"/>
  <c r="H1139" i="50"/>
  <c r="M1935" i="50"/>
  <c r="H1443" i="50"/>
  <c r="M787" i="50"/>
  <c r="N2104" i="50"/>
  <c r="M778" i="50"/>
  <c r="M784" i="50"/>
  <c r="I769" i="50"/>
  <c r="L1266" i="50"/>
  <c r="M1284" i="50"/>
  <c r="N1274" i="50"/>
  <c r="L2083" i="50"/>
  <c r="L2097" i="50"/>
  <c r="L1450" i="50"/>
  <c r="J1424" i="50"/>
  <c r="J792" i="50"/>
  <c r="M783" i="50"/>
  <c r="J1279" i="50"/>
  <c r="M2106" i="50"/>
  <c r="I1437" i="50"/>
  <c r="H787" i="50"/>
  <c r="M2095" i="50"/>
  <c r="K2113" i="50"/>
  <c r="I360" i="37"/>
  <c r="I366" i="37" s="1"/>
  <c r="S750" i="50" s="1"/>
  <c r="I750" i="50" s="1"/>
  <c r="L928" i="50"/>
  <c r="H2106" i="50"/>
  <c r="K2081" i="50"/>
  <c r="I1427" i="50"/>
  <c r="J780" i="50"/>
  <c r="J782" i="50"/>
  <c r="I764" i="50"/>
  <c r="I1292" i="50"/>
  <c r="J2084" i="50"/>
  <c r="M1438" i="50"/>
  <c r="K764" i="50"/>
  <c r="H1424" i="50"/>
  <c r="M1434" i="50"/>
  <c r="M797" i="50"/>
  <c r="K1290" i="50"/>
  <c r="I1263" i="50"/>
  <c r="E2112" i="50"/>
  <c r="M2100" i="50"/>
  <c r="N1436" i="50"/>
  <c r="K1442" i="50"/>
  <c r="L1448" i="50"/>
  <c r="N1263" i="50"/>
  <c r="N2106" i="50"/>
  <c r="L783" i="50"/>
  <c r="J775" i="50"/>
  <c r="N786" i="50"/>
  <c r="I1286" i="50"/>
  <c r="L1279" i="50"/>
  <c r="I2112" i="50"/>
  <c r="J2104" i="50"/>
  <c r="J1436" i="50"/>
  <c r="J764" i="50"/>
  <c r="L794" i="50"/>
  <c r="J783" i="50"/>
  <c r="I1276" i="50"/>
  <c r="I2109" i="50"/>
  <c r="H1457" i="50"/>
  <c r="E1289" i="50"/>
  <c r="I777" i="50"/>
  <c r="L1457" i="50"/>
  <c r="N1428" i="50"/>
  <c r="I2113" i="50"/>
  <c r="M2096" i="50"/>
  <c r="J2094" i="50"/>
  <c r="N1443" i="50"/>
  <c r="N1441" i="50"/>
  <c r="L1443" i="50"/>
  <c r="N1269" i="50"/>
  <c r="K2098" i="50"/>
  <c r="M800" i="50"/>
  <c r="N792" i="50"/>
  <c r="K780" i="50"/>
  <c r="N1286" i="50"/>
  <c r="L1278" i="50"/>
  <c r="I2094" i="50"/>
  <c r="I1443" i="50"/>
  <c r="J1441" i="50"/>
  <c r="M1448" i="50"/>
  <c r="I789" i="50"/>
  <c r="N1260" i="50"/>
  <c r="J1264" i="50"/>
  <c r="K2109" i="50"/>
  <c r="I1422" i="50"/>
  <c r="H780" i="50"/>
  <c r="H3249" i="37"/>
  <c r="H3250" i="37" s="1"/>
  <c r="H160" i="41" s="1"/>
  <c r="H170" i="41" s="1"/>
  <c r="H299" i="50" s="1"/>
  <c r="M1750" i="50"/>
  <c r="N1457" i="50"/>
  <c r="N1437" i="50"/>
  <c r="K1273" i="50"/>
  <c r="M2092" i="50"/>
  <c r="L781" i="50"/>
  <c r="H771" i="50"/>
  <c r="N784" i="50"/>
  <c r="J1266" i="50"/>
  <c r="I1258" i="50"/>
  <c r="K2093" i="50"/>
  <c r="I2097" i="50"/>
  <c r="L1444" i="50"/>
  <c r="I1430" i="50"/>
  <c r="N1434" i="50"/>
  <c r="I778" i="50"/>
  <c r="K1280" i="50"/>
  <c r="J1258" i="50"/>
  <c r="H2078" i="50"/>
  <c r="H1419" i="50"/>
  <c r="I780" i="50"/>
  <c r="M1445" i="50"/>
  <c r="I1781" i="50"/>
  <c r="I1120" i="50"/>
  <c r="E1293" i="50"/>
  <c r="L1264" i="50"/>
  <c r="L2100" i="50"/>
  <c r="L2092" i="50"/>
  <c r="L2098" i="50"/>
  <c r="J1438" i="50"/>
  <c r="L1433" i="50"/>
  <c r="K1433" i="50"/>
  <c r="H1430" i="50"/>
  <c r="L785" i="50"/>
  <c r="M763" i="50"/>
  <c r="M228" i="50" s="1"/>
  <c r="H772" i="50"/>
  <c r="H1274" i="50"/>
  <c r="J1284" i="50"/>
  <c r="L2084" i="50"/>
  <c r="I2081" i="50"/>
  <c r="N1453" i="50"/>
  <c r="I1425" i="50"/>
  <c r="J1453" i="50"/>
  <c r="J768" i="50"/>
  <c r="N1255" i="50"/>
  <c r="L1273" i="50"/>
  <c r="N2075" i="50"/>
  <c r="K1419" i="50"/>
  <c r="M1277" i="50"/>
  <c r="N1614" i="50"/>
  <c r="N1126" i="50"/>
  <c r="K1785" i="50"/>
  <c r="I1326" i="37"/>
  <c r="I1332" i="37" s="1"/>
  <c r="J1915" i="50"/>
  <c r="N713" i="50"/>
  <c r="N699" i="50"/>
  <c r="N671" i="50"/>
  <c r="N724" i="50"/>
  <c r="N741" i="50"/>
  <c r="N659" i="50"/>
  <c r="L713" i="50"/>
  <c r="L671" i="50"/>
  <c r="L741" i="50"/>
  <c r="L659" i="50"/>
  <c r="L724" i="50"/>
  <c r="L699" i="50"/>
  <c r="L1862" i="50"/>
  <c r="I920" i="37"/>
  <c r="I926" i="37" s="1"/>
  <c r="S916" i="50" s="1"/>
  <c r="I916" i="50" s="1"/>
  <c r="L2090" i="50"/>
  <c r="L1441" i="50"/>
  <c r="I1457" i="50"/>
  <c r="M1425" i="50"/>
  <c r="J794" i="50"/>
  <c r="L784" i="50"/>
  <c r="H769" i="50"/>
  <c r="M768" i="50"/>
  <c r="N1259" i="50"/>
  <c r="L1280" i="50"/>
  <c r="L1260" i="50"/>
  <c r="I2076" i="50"/>
  <c r="L2093" i="50"/>
  <c r="M1442" i="50"/>
  <c r="H1427" i="50"/>
  <c r="I1453" i="50"/>
  <c r="L1263" i="50"/>
  <c r="H2084" i="50"/>
  <c r="L789" i="50"/>
  <c r="K777" i="50"/>
  <c r="J1280" i="50"/>
  <c r="J2083" i="50"/>
  <c r="I1438" i="50"/>
  <c r="J3254" i="37"/>
  <c r="J3255" i="37" s="1"/>
  <c r="J380" i="41" s="1"/>
  <c r="J381" i="41" s="1"/>
  <c r="N801" i="50"/>
  <c r="H932" i="50"/>
  <c r="K1560" i="50"/>
  <c r="I1600" i="50"/>
  <c r="H1109" i="50"/>
  <c r="K1946" i="50"/>
  <c r="M1094" i="50"/>
  <c r="J1112" i="50"/>
  <c r="J1094" i="50"/>
  <c r="N1592" i="50"/>
  <c r="N549" i="50"/>
  <c r="N507" i="50"/>
  <c r="N495" i="50"/>
  <c r="N560" i="50"/>
  <c r="N577" i="50"/>
  <c r="N535" i="50"/>
  <c r="I2104" i="50"/>
  <c r="K2096" i="50"/>
  <c r="I1431" i="50"/>
  <c r="I1420" i="50"/>
  <c r="N1440" i="50"/>
  <c r="H800" i="50"/>
  <c r="L769" i="50"/>
  <c r="K763" i="50"/>
  <c r="K228" i="50" s="1"/>
  <c r="K794" i="50"/>
  <c r="J1273" i="50"/>
  <c r="L1284" i="50"/>
  <c r="K2095" i="50"/>
  <c r="N2113" i="50"/>
  <c r="I1424" i="50"/>
  <c r="K1427" i="50"/>
  <c r="J1422" i="50"/>
  <c r="K785" i="50"/>
  <c r="J2092" i="50"/>
  <c r="J800" i="50"/>
  <c r="M789" i="50"/>
  <c r="J1286" i="50"/>
  <c r="I2078" i="50"/>
  <c r="J1457" i="50"/>
  <c r="L3249" i="37"/>
  <c r="L3250" i="37" s="1"/>
  <c r="L160" i="41" s="1"/>
  <c r="L167" i="41" s="1"/>
  <c r="L296" i="50" s="1"/>
  <c r="L1994" i="50"/>
  <c r="I952" i="50"/>
  <c r="K1478" i="50"/>
  <c r="N1096" i="50"/>
  <c r="I1594" i="50"/>
  <c r="K1110" i="50"/>
  <c r="E1128" i="50"/>
  <c r="J549" i="50"/>
  <c r="J507" i="50"/>
  <c r="J560" i="50"/>
  <c r="J535" i="50"/>
  <c r="J577" i="50"/>
  <c r="J495" i="50"/>
  <c r="L1890" i="50"/>
  <c r="H2112" i="50"/>
  <c r="I2096" i="50"/>
  <c r="L1422" i="50"/>
  <c r="M1420" i="50"/>
  <c r="H1442" i="50"/>
  <c r="L1286" i="50"/>
  <c r="K800" i="50"/>
  <c r="L768" i="50"/>
  <c r="K769" i="50"/>
  <c r="J1274" i="50"/>
  <c r="M1280" i="50"/>
  <c r="K2112" i="50"/>
  <c r="K2084" i="50"/>
  <c r="L1438" i="50"/>
  <c r="K1430" i="50"/>
  <c r="J1427" i="50"/>
  <c r="L777" i="50"/>
  <c r="K1428" i="50"/>
  <c r="L763" i="50"/>
  <c r="L228" i="50" s="1"/>
  <c r="E1292" i="50"/>
  <c r="M1259" i="50"/>
  <c r="H2092" i="50"/>
  <c r="N1444" i="50"/>
  <c r="M3249" i="37"/>
  <c r="M3250" i="37" s="1"/>
  <c r="M160" i="41" s="1"/>
  <c r="M424" i="41" s="1"/>
  <c r="M427" i="41" s="1"/>
  <c r="M434" i="41" s="1"/>
  <c r="H1454" i="50"/>
  <c r="N958" i="50"/>
  <c r="K1490" i="50"/>
  <c r="H1113" i="50"/>
  <c r="I1139" i="50"/>
  <c r="K1934" i="50"/>
  <c r="J949" i="50"/>
  <c r="L1933" i="50"/>
  <c r="L1834" i="50"/>
  <c r="K1277" i="50"/>
  <c r="H2083" i="50"/>
  <c r="N2093" i="50"/>
  <c r="J1450" i="50"/>
  <c r="M1427" i="50"/>
  <c r="H1453" i="50"/>
  <c r="L1267" i="50"/>
  <c r="K767" i="50"/>
  <c r="M771" i="50"/>
  <c r="H1290" i="50"/>
  <c r="M1279" i="50"/>
  <c r="L2109" i="50"/>
  <c r="I2099" i="50"/>
  <c r="I1444" i="50"/>
  <c r="N265" i="41"/>
  <c r="N359" i="50" s="1"/>
  <c r="K801" i="50"/>
  <c r="I932" i="50"/>
  <c r="J1589" i="50"/>
  <c r="K1755" i="50"/>
  <c r="N1256" i="50"/>
  <c r="L1912" i="50"/>
  <c r="H1753" i="50"/>
  <c r="N1095" i="50"/>
  <c r="M1771" i="50"/>
  <c r="L1820" i="50"/>
  <c r="M1439" i="50"/>
  <c r="H1431" i="50"/>
  <c r="M1267" i="50"/>
  <c r="N2084" i="50"/>
  <c r="M769" i="50"/>
  <c r="M766" i="50"/>
  <c r="I1277" i="50"/>
  <c r="L2087" i="50"/>
  <c r="I1434" i="50"/>
  <c r="K3254" i="37"/>
  <c r="K3255" i="37" s="1"/>
  <c r="K380" i="41" s="1"/>
  <c r="K381" i="41" s="1"/>
  <c r="I265" i="41"/>
  <c r="I359" i="50" s="1"/>
  <c r="K388" i="47"/>
  <c r="K390" i="47" s="1"/>
  <c r="K393" i="47" s="1"/>
  <c r="N931" i="50"/>
  <c r="K1501" i="50"/>
  <c r="J1605" i="50"/>
  <c r="L1778" i="50"/>
  <c r="N1934" i="50"/>
  <c r="M1115" i="50"/>
  <c r="M1120" i="50"/>
  <c r="K950" i="50"/>
  <c r="J1747" i="50"/>
  <c r="L2089" i="50"/>
  <c r="L764" i="50"/>
  <c r="N774" i="50"/>
  <c r="J1292" i="50"/>
  <c r="K2101" i="50"/>
  <c r="I1440" i="50"/>
  <c r="L3254" i="37"/>
  <c r="L3255" i="37" s="1"/>
  <c r="L380" i="41" s="1"/>
  <c r="L381" i="41" s="1"/>
  <c r="K788" i="50"/>
  <c r="L964" i="50"/>
  <c r="J1618" i="50"/>
  <c r="N1761" i="50"/>
  <c r="S1242" i="50"/>
  <c r="I1242" i="50" s="1"/>
  <c r="M1945" i="50"/>
  <c r="I1748" i="50"/>
  <c r="M928" i="50"/>
  <c r="M1756" i="50"/>
  <c r="K1818" i="50"/>
  <c r="I766" i="50"/>
  <c r="L1261" i="50"/>
  <c r="I1284" i="50"/>
  <c r="I1261" i="50"/>
  <c r="I2079" i="50"/>
  <c r="N2090" i="50"/>
  <c r="I1419" i="50"/>
  <c r="K1420" i="50"/>
  <c r="I1436" i="50"/>
  <c r="N3254" i="37"/>
  <c r="N3255" i="37" s="1"/>
  <c r="N380" i="41" s="1"/>
  <c r="N381" i="41" s="1"/>
  <c r="K3249" i="37"/>
  <c r="K3250" i="37" s="1"/>
  <c r="K160" i="41" s="1"/>
  <c r="K170" i="41" s="1"/>
  <c r="K299" i="50" s="1"/>
  <c r="M1289" i="50"/>
  <c r="M1338" i="50"/>
  <c r="H938" i="50"/>
  <c r="J944" i="50"/>
  <c r="K945" i="50"/>
  <c r="M1598" i="50"/>
  <c r="K1587" i="50"/>
  <c r="K1111" i="50"/>
  <c r="L1122" i="50"/>
  <c r="M1752" i="50"/>
  <c r="J1934" i="50"/>
  <c r="M1949" i="50"/>
  <c r="L1430" i="50"/>
  <c r="I1933" i="50"/>
  <c r="M1926" i="50"/>
  <c r="H1949" i="50"/>
  <c r="H956" i="50"/>
  <c r="I1605" i="50"/>
  <c r="I1095" i="50"/>
  <c r="K1597" i="50"/>
  <c r="L931" i="50"/>
  <c r="N1621" i="50"/>
  <c r="N1782" i="50"/>
  <c r="L1917" i="50"/>
  <c r="H1607" i="50"/>
  <c r="E1618" i="50"/>
  <c r="J928" i="50"/>
  <c r="K1871" i="50"/>
  <c r="J787" i="50"/>
  <c r="J785" i="50"/>
  <c r="M1290" i="50"/>
  <c r="L1292" i="50"/>
  <c r="N1267" i="50"/>
  <c r="I2084" i="50"/>
  <c r="K2076" i="50"/>
  <c r="I1448" i="50"/>
  <c r="M1443" i="50"/>
  <c r="I1439" i="50"/>
  <c r="H3254" i="37"/>
  <c r="H3255" i="37" s="1"/>
  <c r="H380" i="41" s="1"/>
  <c r="H381" i="41" s="1"/>
  <c r="S2" i="37"/>
  <c r="J265" i="41"/>
  <c r="J359" i="50" s="1"/>
  <c r="J942" i="50"/>
  <c r="M927" i="50"/>
  <c r="K942" i="50"/>
  <c r="N1608" i="50"/>
  <c r="I1608" i="50"/>
  <c r="H1094" i="50"/>
  <c r="L1128" i="50"/>
  <c r="H1766" i="50"/>
  <c r="H1929" i="50"/>
  <c r="H1914" i="50"/>
  <c r="L798" i="50"/>
  <c r="H935" i="50"/>
  <c r="M1937" i="50"/>
  <c r="M1602" i="50"/>
  <c r="J1105" i="50"/>
  <c r="I1108" i="50"/>
  <c r="I1617" i="50"/>
  <c r="H1269" i="50"/>
  <c r="N1584" i="50"/>
  <c r="J1129" i="50"/>
  <c r="N1932" i="50"/>
  <c r="L953" i="50"/>
  <c r="K962" i="50"/>
  <c r="K1846" i="50"/>
  <c r="M772" i="50"/>
  <c r="I797" i="50"/>
  <c r="M764" i="50"/>
  <c r="N1280" i="50"/>
  <c r="H1258" i="50"/>
  <c r="N1281" i="50"/>
  <c r="J2101" i="50"/>
  <c r="H2100" i="50"/>
  <c r="H2109" i="50"/>
  <c r="I1442" i="50"/>
  <c r="I1456" i="50"/>
  <c r="L1425" i="50"/>
  <c r="J3249" i="37"/>
  <c r="J3250" i="37" s="1"/>
  <c r="J160" i="41" s="1"/>
  <c r="J170" i="41" s="1"/>
  <c r="J299" i="50" s="1"/>
  <c r="I2089" i="50"/>
  <c r="K265" i="41"/>
  <c r="K359" i="50" s="1"/>
  <c r="L1174" i="50"/>
  <c r="K956" i="50"/>
  <c r="M944" i="50"/>
  <c r="K1617" i="50"/>
  <c r="I1609" i="50"/>
  <c r="J1110" i="50"/>
  <c r="H1105" i="50"/>
  <c r="L1751" i="50"/>
  <c r="J1768" i="50"/>
  <c r="I1920" i="50"/>
  <c r="I1946" i="50"/>
  <c r="H1272" i="50"/>
  <c r="M1129" i="50"/>
  <c r="H1768" i="50"/>
  <c r="I1607" i="50"/>
  <c r="J1940" i="50"/>
  <c r="K1748" i="50"/>
  <c r="N939" i="50"/>
  <c r="J1923" i="50"/>
  <c r="N1587" i="50"/>
  <c r="L1125" i="50"/>
  <c r="K1272" i="50"/>
  <c r="K1915" i="50"/>
  <c r="M936" i="50"/>
  <c r="H1751" i="50"/>
  <c r="M1608" i="50"/>
  <c r="L1806" i="50"/>
  <c r="N778" i="50"/>
  <c r="M1263" i="50"/>
  <c r="I1293" i="50"/>
  <c r="M1273" i="50"/>
  <c r="J2075" i="50"/>
  <c r="I2106" i="50"/>
  <c r="H2099" i="50"/>
  <c r="L1419" i="50"/>
  <c r="M1440" i="50"/>
  <c r="I3254" i="37"/>
  <c r="I3255" i="37" s="1"/>
  <c r="I380" i="41" s="1"/>
  <c r="I381" i="41" s="1"/>
  <c r="N3249" i="37"/>
  <c r="N3250" i="37" s="1"/>
  <c r="N160" i="41" s="1"/>
  <c r="N170" i="41" s="1"/>
  <c r="N299" i="50" s="1"/>
  <c r="H1445" i="50"/>
  <c r="H1275" i="50"/>
  <c r="H265" i="41"/>
  <c r="H359" i="50" s="1"/>
  <c r="H950" i="50"/>
  <c r="J958" i="50"/>
  <c r="N933" i="50"/>
  <c r="H1608" i="50"/>
  <c r="M1601" i="50"/>
  <c r="L1601" i="50"/>
  <c r="N1272" i="50"/>
  <c r="N1103" i="50"/>
  <c r="L1105" i="50"/>
  <c r="J1781" i="50"/>
  <c r="H1784" i="50"/>
  <c r="L1914" i="50"/>
  <c r="M1994" i="50"/>
  <c r="N1097" i="50"/>
  <c r="I1753" i="50"/>
  <c r="M933" i="50"/>
  <c r="M1923" i="50"/>
  <c r="N1762" i="50"/>
  <c r="I1928" i="50"/>
  <c r="L1747" i="50"/>
  <c r="L1919" i="50"/>
  <c r="N1595" i="50"/>
  <c r="L1762" i="50"/>
  <c r="I1936" i="50"/>
  <c r="L1289" i="50"/>
  <c r="I953" i="50"/>
  <c r="N1505" i="50"/>
  <c r="N227" i="50"/>
  <c r="M404" i="47"/>
  <c r="M406" i="47" s="1"/>
  <c r="M227" i="50"/>
  <c r="K1806" i="50"/>
  <c r="L2099" i="50"/>
  <c r="K1444" i="50"/>
  <c r="H1456" i="50"/>
  <c r="M3254" i="37"/>
  <c r="M3255" i="37" s="1"/>
  <c r="M380" i="41" s="1"/>
  <c r="M381" i="41" s="1"/>
  <c r="I3249" i="37"/>
  <c r="I3250" i="37" s="1"/>
  <c r="I160" i="41" s="1"/>
  <c r="I293" i="50" s="1"/>
  <c r="K1289" i="50"/>
  <c r="J2110" i="50"/>
  <c r="L265" i="41"/>
  <c r="L359" i="50" s="1"/>
  <c r="K948" i="50"/>
  <c r="N956" i="50"/>
  <c r="M932" i="50"/>
  <c r="M1586" i="50"/>
  <c r="N1618" i="50"/>
  <c r="K1604" i="50"/>
  <c r="M1106" i="50"/>
  <c r="L1092" i="50"/>
  <c r="M682" i="50"/>
  <c r="L227" i="50"/>
  <c r="J1785" i="50"/>
  <c r="M1776" i="50"/>
  <c r="N1935" i="50"/>
  <c r="K936" i="50"/>
  <c r="J1942" i="50"/>
  <c r="J1765" i="50"/>
  <c r="N1758" i="50"/>
  <c r="H945" i="50"/>
  <c r="L1785" i="50"/>
  <c r="H1128" i="50"/>
  <c r="M1112" i="50"/>
  <c r="K1750" i="50"/>
  <c r="J1916" i="50"/>
  <c r="K933" i="50"/>
  <c r="J2089" i="50"/>
  <c r="I1129" i="50"/>
  <c r="K1102" i="50"/>
  <c r="AL105" i="42"/>
  <c r="H1617" i="50"/>
  <c r="I1612" i="50"/>
  <c r="K1608" i="50"/>
  <c r="H1099" i="50"/>
  <c r="N1112" i="50"/>
  <c r="M2080" i="50"/>
  <c r="K1758" i="50"/>
  <c r="H1752" i="50"/>
  <c r="H1916" i="50"/>
  <c r="L1926" i="50"/>
  <c r="K1592" i="50"/>
  <c r="K1948" i="50"/>
  <c r="J1769" i="50"/>
  <c r="N1770" i="50"/>
  <c r="J1584" i="50"/>
  <c r="M938" i="50"/>
  <c r="H1103" i="50"/>
  <c r="E1126" i="50"/>
  <c r="I1767" i="50"/>
  <c r="H1922" i="50"/>
  <c r="H953" i="50"/>
  <c r="L1113" i="50"/>
  <c r="I1110" i="50"/>
  <c r="H927" i="50"/>
  <c r="I268" i="42"/>
  <c r="I406" i="42" s="1"/>
  <c r="S2222" i="50" s="1"/>
  <c r="I2222" i="50" s="1"/>
  <c r="G2191" i="50" s="1"/>
  <c r="J404" i="47"/>
  <c r="J406" i="47" s="1"/>
  <c r="I628" i="42"/>
  <c r="I764" i="42" s="1"/>
  <c r="S2348" i="50" s="1"/>
  <c r="I2348" i="50" s="1"/>
  <c r="I2349" i="50" s="1"/>
  <c r="L1592" i="50"/>
  <c r="H1583" i="50"/>
  <c r="I1125" i="50"/>
  <c r="J1113" i="50"/>
  <c r="K1092" i="50"/>
  <c r="H1770" i="50"/>
  <c r="I1747" i="50"/>
  <c r="J1784" i="50"/>
  <c r="H1934" i="50"/>
  <c r="I1923" i="50"/>
  <c r="L1948" i="50"/>
  <c r="M1772" i="50"/>
  <c r="H1110" i="50"/>
  <c r="N1916" i="50"/>
  <c r="N1776" i="50"/>
  <c r="H1604" i="50"/>
  <c r="K1595" i="50"/>
  <c r="M1096" i="50"/>
  <c r="H1106" i="50"/>
  <c r="L1129" i="50"/>
  <c r="L927" i="50"/>
  <c r="K1114" i="50"/>
  <c r="L1929" i="50"/>
  <c r="J1752" i="50"/>
  <c r="N1586" i="50"/>
  <c r="I2080" i="50"/>
  <c r="K1117" i="50"/>
  <c r="L944" i="50"/>
  <c r="J1748" i="50"/>
  <c r="I1091" i="50"/>
  <c r="H952" i="50"/>
  <c r="M1758" i="50"/>
  <c r="L1112" i="50"/>
  <c r="J941" i="50"/>
  <c r="L1120" i="50"/>
  <c r="M953" i="50"/>
  <c r="J1597" i="50"/>
  <c r="AL896" i="42"/>
  <c r="AL895" i="42"/>
  <c r="AL888" i="42"/>
  <c r="AK1309" i="37"/>
  <c r="N1094" i="50"/>
  <c r="M958" i="50"/>
  <c r="K1753" i="50"/>
  <c r="N1454" i="50"/>
  <c r="H1434" i="50"/>
  <c r="E1620" i="50"/>
  <c r="AA107" i="42"/>
  <c r="I712" i="37"/>
  <c r="I718" i="37" s="1"/>
  <c r="S918" i="50" s="1"/>
  <c r="I918" i="50" s="1"/>
  <c r="J835" i="50" s="1"/>
  <c r="AL346" i="42"/>
  <c r="I2936" i="37"/>
  <c r="I2942" i="37" s="1"/>
  <c r="S2062" i="50" s="1"/>
  <c r="I2062" i="50" s="1"/>
  <c r="I1001" i="42"/>
  <c r="I1007" i="42" s="1"/>
  <c r="S2454" i="50" s="1"/>
  <c r="I2454" i="50" s="1"/>
  <c r="I2455" i="50" s="1"/>
  <c r="J2435" i="50"/>
  <c r="AA703" i="42"/>
  <c r="AA706" i="42"/>
  <c r="AL701" i="42"/>
  <c r="L1115" i="50"/>
  <c r="J1108" i="50"/>
  <c r="J1103" i="50"/>
  <c r="J1755" i="50"/>
  <c r="H1748" i="50"/>
  <c r="M1748" i="50"/>
  <c r="M2087" i="50"/>
  <c r="K1942" i="50"/>
  <c r="L1932" i="50"/>
  <c r="E1949" i="50"/>
  <c r="L2110" i="50"/>
  <c r="J388" i="47"/>
  <c r="J390" i="47" s="1"/>
  <c r="J393" i="47" s="1"/>
  <c r="N952" i="50"/>
  <c r="M1755" i="50"/>
  <c r="J1603" i="50"/>
  <c r="K1930" i="50"/>
  <c r="I1911" i="50"/>
  <c r="M1917" i="50"/>
  <c r="J1601" i="50"/>
  <c r="H949" i="50"/>
  <c r="L1776" i="50"/>
  <c r="I1272" i="50"/>
  <c r="I2087" i="50"/>
  <c r="N946" i="50"/>
  <c r="K1933" i="50"/>
  <c r="H1102" i="50"/>
  <c r="H962" i="50"/>
  <c r="L1773" i="50"/>
  <c r="I1602" i="50"/>
  <c r="K1174" i="50"/>
  <c r="I1761" i="50"/>
  <c r="J1588" i="50"/>
  <c r="K931" i="50"/>
  <c r="I1782" i="50"/>
  <c r="M1606" i="50"/>
  <c r="E1948" i="50"/>
  <c r="M1588" i="50"/>
  <c r="M2101" i="50"/>
  <c r="N1604" i="50"/>
  <c r="K1931" i="50"/>
  <c r="L952" i="50"/>
  <c r="J1922" i="50"/>
  <c r="M1105" i="50"/>
  <c r="J938" i="50"/>
  <c r="M1751" i="50"/>
  <c r="I1588" i="50"/>
  <c r="L2080" i="50"/>
  <c r="J1761" i="50"/>
  <c r="J1587" i="50"/>
  <c r="K1945" i="50"/>
  <c r="H1765" i="50"/>
  <c r="J1617" i="50"/>
  <c r="J1935" i="50"/>
  <c r="K1621" i="50"/>
  <c r="I975" i="50"/>
  <c r="AL889" i="42"/>
  <c r="I815" i="42"/>
  <c r="I951" i="42" s="1"/>
  <c r="S2405" i="50" s="1"/>
  <c r="I2405" i="50" s="1"/>
  <c r="N949" i="50"/>
  <c r="H961" i="50"/>
  <c r="H1603" i="50"/>
  <c r="J1600" i="50"/>
  <c r="L1618" i="50"/>
  <c r="H1129" i="50"/>
  <c r="I1111" i="50"/>
  <c r="M1097" i="50"/>
  <c r="L1748" i="50"/>
  <c r="M1773" i="50"/>
  <c r="J1776" i="50"/>
  <c r="K1911" i="50"/>
  <c r="J1919" i="50"/>
  <c r="K1936" i="50"/>
  <c r="J2086" i="50"/>
  <c r="N1620" i="50"/>
  <c r="J1125" i="50"/>
  <c r="H928" i="50"/>
  <c r="K1773" i="50"/>
  <c r="K1099" i="50"/>
  <c r="I1925" i="50"/>
  <c r="N942" i="50"/>
  <c r="L1102" i="50"/>
  <c r="N941" i="50"/>
  <c r="H1772" i="50"/>
  <c r="N1617" i="50"/>
  <c r="J1948" i="50"/>
  <c r="M945" i="50"/>
  <c r="L1782" i="50"/>
  <c r="I1122" i="50"/>
  <c r="L1928" i="50"/>
  <c r="H1764" i="50"/>
  <c r="I1597" i="50"/>
  <c r="H1935" i="50"/>
  <c r="K1759" i="50"/>
  <c r="N1588" i="50"/>
  <c r="I1942" i="50"/>
  <c r="J1758" i="50"/>
  <c r="I1583" i="50"/>
  <c r="I1930" i="50"/>
  <c r="K1598" i="50"/>
  <c r="T587" i="42"/>
  <c r="T552" i="42"/>
  <c r="T591" i="42"/>
  <c r="T599" i="42"/>
  <c r="T595" i="42"/>
  <c r="T603" i="42"/>
  <c r="W839" i="37"/>
  <c r="W861" i="37"/>
  <c r="W879" i="37"/>
  <c r="W871" i="37"/>
  <c r="W945" i="37"/>
  <c r="K913" i="37"/>
  <c r="W936" i="37"/>
  <c r="W951" i="37"/>
  <c r="W700" i="37"/>
  <c r="W812" i="37"/>
  <c r="W851" i="37"/>
  <c r="W718" i="37"/>
  <c r="W743" i="37"/>
  <c r="W688" i="37"/>
  <c r="M834" i="50"/>
  <c r="M887" i="50"/>
  <c r="M904" i="50"/>
  <c r="M845" i="50"/>
  <c r="M862" i="50"/>
  <c r="M822" i="50"/>
  <c r="AH1778" i="37"/>
  <c r="AH1786" i="37"/>
  <c r="AH1787" i="37" s="1"/>
  <c r="AH1836" i="37"/>
  <c r="AH1837" i="37" s="1"/>
  <c r="AH1917" i="37"/>
  <c r="AH1743" i="37"/>
  <c r="AH1744" i="37" s="1"/>
  <c r="AH1745" i="37" s="1"/>
  <c r="AH1746" i="37" s="1"/>
  <c r="AH1747" i="37" s="1"/>
  <c r="AH1748" i="37" s="1"/>
  <c r="AH1749" i="37" s="1"/>
  <c r="AH1750" i="37" s="1"/>
  <c r="AH1751" i="37" s="1"/>
  <c r="AH1752" i="37" s="1"/>
  <c r="AH1840" i="37"/>
  <c r="AH1801" i="37"/>
  <c r="AH1931" i="37"/>
  <c r="AH1855" i="37"/>
  <c r="AH1827" i="37"/>
  <c r="AD562" i="42"/>
  <c r="AD572" i="42"/>
  <c r="M398" i="47"/>
  <c r="M913" i="37"/>
  <c r="Y879" i="37"/>
  <c r="Y851" i="37"/>
  <c r="Y839" i="37"/>
  <c r="Y812" i="37"/>
  <c r="Y861" i="37"/>
  <c r="Y936" i="37"/>
  <c r="Y951" i="37"/>
  <c r="Y945" i="37"/>
  <c r="Y700" i="37"/>
  <c r="Y871" i="37"/>
  <c r="Y718" i="37"/>
  <c r="Y743" i="37"/>
  <c r="Y688" i="37"/>
  <c r="M1014" i="50"/>
  <c r="M1042" i="50"/>
  <c r="M1000" i="50"/>
  <c r="M1070" i="50"/>
  <c r="M988" i="50"/>
  <c r="M1028" i="50"/>
  <c r="M220" i="47"/>
  <c r="J2482" i="50"/>
  <c r="V1136" i="42"/>
  <c r="V1107" i="42"/>
  <c r="AA112" i="42"/>
  <c r="AL107" i="42"/>
  <c r="AL112" i="42"/>
  <c r="X133" i="42"/>
  <c r="Y133" i="42"/>
  <c r="U143" i="42"/>
  <c r="V143" i="42"/>
  <c r="Z133" i="42"/>
  <c r="X143" i="42"/>
  <c r="V133" i="42"/>
  <c r="T133" i="42"/>
  <c r="U133" i="42"/>
  <c r="W133" i="42"/>
  <c r="Y143" i="42"/>
  <c r="Z143" i="42"/>
  <c r="T143" i="42"/>
  <c r="W143" i="42"/>
  <c r="L2129" i="50"/>
  <c r="L28" i="42"/>
  <c r="X148" i="42"/>
  <c r="L148" i="42" s="1"/>
  <c r="X130" i="42"/>
  <c r="Z130" i="42"/>
  <c r="U130" i="42"/>
  <c r="Y130" i="42"/>
  <c r="V130" i="42"/>
  <c r="W130" i="42"/>
  <c r="T130" i="42"/>
  <c r="Q312" i="41"/>
  <c r="E341" i="41"/>
  <c r="E400" i="50"/>
  <c r="I263" i="41"/>
  <c r="I357" i="50" s="1"/>
  <c r="H263" i="41"/>
  <c r="H357" i="50" s="1"/>
  <c r="J263" i="41"/>
  <c r="J357" i="50" s="1"/>
  <c r="K263" i="41"/>
  <c r="K357" i="50" s="1"/>
  <c r="M263" i="41"/>
  <c r="M357" i="50" s="1"/>
  <c r="N263" i="41"/>
  <c r="N357" i="50" s="1"/>
  <c r="L263" i="41"/>
  <c r="L357" i="50" s="1"/>
  <c r="J836" i="50"/>
  <c r="J906" i="50"/>
  <c r="J864" i="50"/>
  <c r="J824" i="50"/>
  <c r="J850" i="50"/>
  <c r="J878" i="50"/>
  <c r="N904" i="50"/>
  <c r="N845" i="50"/>
  <c r="N862" i="50"/>
  <c r="N834" i="50"/>
  <c r="N822" i="50"/>
  <c r="N887" i="50"/>
  <c r="N836" i="50"/>
  <c r="N824" i="50"/>
  <c r="N864" i="50"/>
  <c r="N906" i="50"/>
  <c r="N850" i="50"/>
  <c r="N878" i="50"/>
  <c r="AH439" i="42"/>
  <c r="AH449" i="42"/>
  <c r="AL373" i="42"/>
  <c r="AA344" i="42"/>
  <c r="AG439" i="42"/>
  <c r="AG449" i="42"/>
  <c r="Y464" i="42"/>
  <c r="Y429" i="42"/>
  <c r="Y476" i="42"/>
  <c r="Y472" i="42"/>
  <c r="Y468" i="42"/>
  <c r="Y480" i="42"/>
  <c r="V476" i="42"/>
  <c r="V429" i="42"/>
  <c r="V472" i="42"/>
  <c r="V480" i="42"/>
  <c r="V468" i="42"/>
  <c r="V464" i="42"/>
  <c r="U369" i="42"/>
  <c r="Z369" i="42"/>
  <c r="V369" i="42"/>
  <c r="T369" i="42"/>
  <c r="X369" i="42"/>
  <c r="W369" i="42"/>
  <c r="Y369" i="42"/>
  <c r="V1883" i="37"/>
  <c r="V1675" i="37"/>
  <c r="J1675" i="37" s="1"/>
  <c r="V1700" i="37"/>
  <c r="J1700" i="37" s="1"/>
  <c r="J1645" i="37"/>
  <c r="Z1684" i="37"/>
  <c r="Z1845" i="37"/>
  <c r="Z1654" i="37"/>
  <c r="Z1917" i="37"/>
  <c r="Z1709" i="37"/>
  <c r="Z1837" i="37"/>
  <c r="Z1911" i="37"/>
  <c r="Z1778" i="37"/>
  <c r="Z1817" i="37"/>
  <c r="Z1666" i="37"/>
  <c r="Z1902" i="37"/>
  <c r="Z1805" i="37"/>
  <c r="N1879" i="37"/>
  <c r="Z1827" i="37"/>
  <c r="AC1931" i="37"/>
  <c r="AC1917" i="37"/>
  <c r="AC1840" i="37"/>
  <c r="AC1836" i="37"/>
  <c r="AC1827" i="37"/>
  <c r="AC1743" i="37"/>
  <c r="AC1778" i="37"/>
  <c r="AC1801" i="37"/>
  <c r="AC1786" i="37"/>
  <c r="AC1855" i="37"/>
  <c r="AK1693" i="37"/>
  <c r="S1574" i="50"/>
  <c r="I1574" i="50" s="1"/>
  <c r="Z2963" i="37"/>
  <c r="N2933" i="37"/>
  <c r="Z3171" i="37"/>
  <c r="Z2988" i="37"/>
  <c r="AE3128" i="37"/>
  <c r="AE3031" i="37"/>
  <c r="AE3032" i="37" s="1"/>
  <c r="AE3033" i="37" s="1"/>
  <c r="AE3034" i="37" s="1"/>
  <c r="AE3035" i="37" s="1"/>
  <c r="AE3036" i="37" s="1"/>
  <c r="AE3037" i="37" s="1"/>
  <c r="AE3038" i="37" s="1"/>
  <c r="AE3039" i="37" s="1"/>
  <c r="AE3040" i="37" s="1"/>
  <c r="AE3074" i="37"/>
  <c r="AE3075" i="37" s="1"/>
  <c r="AE3124" i="37"/>
  <c r="AE3125" i="37" s="1"/>
  <c r="AE3115" i="37"/>
  <c r="AE3143" i="37"/>
  <c r="AE3089" i="37"/>
  <c r="AE3066" i="37"/>
  <c r="AE3219" i="37"/>
  <c r="AE3205" i="37"/>
  <c r="AC2954" i="37"/>
  <c r="AK2954" i="37" s="1"/>
  <c r="AK2952" i="37"/>
  <c r="W1036" i="42"/>
  <c r="W1007" i="42"/>
  <c r="K398" i="47"/>
  <c r="K1233" i="50"/>
  <c r="K1216" i="50"/>
  <c r="K1151" i="50"/>
  <c r="K1163" i="50"/>
  <c r="K1191" i="50"/>
  <c r="K1205" i="50"/>
  <c r="AA708" i="42"/>
  <c r="AA701" i="42"/>
  <c r="Y777" i="42"/>
  <c r="Y789" i="42"/>
  <c r="Y787" i="42"/>
  <c r="Y732" i="42"/>
  <c r="X732" i="42"/>
  <c r="U732" i="42"/>
  <c r="W732" i="42"/>
  <c r="Z732" i="42"/>
  <c r="T732" i="42"/>
  <c r="V732" i="42"/>
  <c r="K357" i="37"/>
  <c r="W412" i="37"/>
  <c r="W387" i="37"/>
  <c r="W595" i="37"/>
  <c r="AK376" i="37"/>
  <c r="AC378" i="37"/>
  <c r="AK378" i="37" s="1"/>
  <c r="Y490" i="37"/>
  <c r="Y517" i="37"/>
  <c r="Y623" i="37"/>
  <c r="Y539" i="37"/>
  <c r="Y614" i="37"/>
  <c r="Y549" i="37"/>
  <c r="Y378" i="37"/>
  <c r="Y529" i="37"/>
  <c r="Y629" i="37"/>
  <c r="Y557" i="37"/>
  <c r="M591" i="37"/>
  <c r="Y421" i="37"/>
  <c r="Y366" i="37"/>
  <c r="AG490" i="37"/>
  <c r="AG539" i="37"/>
  <c r="AG567" i="37"/>
  <c r="AG513" i="37"/>
  <c r="AG455" i="37"/>
  <c r="AG456" i="37" s="1"/>
  <c r="AG457" i="37" s="1"/>
  <c r="AG458" i="37" s="1"/>
  <c r="AG459" i="37" s="1"/>
  <c r="AG460" i="37" s="1"/>
  <c r="AG461" i="37" s="1"/>
  <c r="AG462" i="37" s="1"/>
  <c r="AG463" i="37" s="1"/>
  <c r="AG464" i="37" s="1"/>
  <c r="AG548" i="37"/>
  <c r="AG549" i="37" s="1"/>
  <c r="AG629" i="37"/>
  <c r="AG552" i="37"/>
  <c r="AG498" i="37"/>
  <c r="AG499" i="37" s="1"/>
  <c r="AG643" i="37"/>
  <c r="J1307" i="50"/>
  <c r="AA888" i="42"/>
  <c r="AL892" i="42"/>
  <c r="AL915" i="42"/>
  <c r="AA889" i="42"/>
  <c r="AL919" i="42"/>
  <c r="AA894" i="42"/>
  <c r="V918" i="42"/>
  <c r="U918" i="42"/>
  <c r="Z918" i="42"/>
  <c r="X918" i="42"/>
  <c r="T918" i="42"/>
  <c r="Y918" i="42"/>
  <c r="W918" i="42"/>
  <c r="W964" i="42"/>
  <c r="W974" i="42"/>
  <c r="W976" i="42"/>
  <c r="K269" i="41"/>
  <c r="K363" i="50" s="1"/>
  <c r="J269" i="41"/>
  <c r="J363" i="50" s="1"/>
  <c r="M269" i="41"/>
  <c r="M363" i="50" s="1"/>
  <c r="N269" i="41"/>
  <c r="N363" i="50" s="1"/>
  <c r="L269" i="41"/>
  <c r="L363" i="50" s="1"/>
  <c r="I269" i="41"/>
  <c r="I363" i="50" s="1"/>
  <c r="H269" i="41"/>
  <c r="H363" i="50" s="1"/>
  <c r="L816" i="50"/>
  <c r="L815" i="50"/>
  <c r="T1904" i="50"/>
  <c r="AB2589" i="37"/>
  <c r="I2611" i="37"/>
  <c r="Z2611" i="37"/>
  <c r="AD2659" i="37"/>
  <c r="AD2889" i="37" s="1"/>
  <c r="AD2630" i="37"/>
  <c r="AD2632" i="37" s="1"/>
  <c r="U2597" i="37"/>
  <c r="AC2597" i="37"/>
  <c r="X2611" i="37"/>
  <c r="X2597" i="37"/>
  <c r="AI2630" i="37"/>
  <c r="AI2632" i="37" s="1"/>
  <c r="AH2659" i="37"/>
  <c r="AH2889" i="37" s="1"/>
  <c r="AI2597" i="37"/>
  <c r="W2597" i="37"/>
  <c r="Y2597" i="37"/>
  <c r="AI2659" i="37"/>
  <c r="AI2889" i="37" s="1"/>
  <c r="AE2659" i="37"/>
  <c r="AE2889" i="37" s="1"/>
  <c r="AD2597" i="37"/>
  <c r="V2597" i="37"/>
  <c r="AE2597" i="37"/>
  <c r="Z2597" i="37"/>
  <c r="I2599" i="37"/>
  <c r="I1795" i="50" s="1"/>
  <c r="AG2597" i="37"/>
  <c r="AF2597" i="37"/>
  <c r="AC2659" i="37"/>
  <c r="AC2889" i="37" s="1"/>
  <c r="H2599" i="37"/>
  <c r="H1795" i="50" s="1"/>
  <c r="AG2659" i="37"/>
  <c r="AG2889" i="37" s="1"/>
  <c r="AC2630" i="37"/>
  <c r="AF2630" i="37"/>
  <c r="AF2632" i="37" s="1"/>
  <c r="T2597" i="37"/>
  <c r="V2611" i="37"/>
  <c r="J1799" i="50" s="1"/>
  <c r="AH2630" i="37"/>
  <c r="AH2632" i="37" s="1"/>
  <c r="AF2659" i="37"/>
  <c r="AF2889" i="37" s="1"/>
  <c r="AE2630" i="37"/>
  <c r="AE2632" i="37" s="1"/>
  <c r="W2611" i="37"/>
  <c r="Y2611" i="37"/>
  <c r="AH2597" i="37"/>
  <c r="AG2630" i="37"/>
  <c r="AG2632" i="37" s="1"/>
  <c r="T1589" i="37"/>
  <c r="T1580" i="37"/>
  <c r="T1344" i="37"/>
  <c r="T1515" i="37"/>
  <c r="T1523" i="37"/>
  <c r="T1505" i="37"/>
  <c r="T1483" i="37"/>
  <c r="T1595" i="37"/>
  <c r="T1495" i="37"/>
  <c r="H1557" i="37"/>
  <c r="T1456" i="37"/>
  <c r="AC1344" i="37"/>
  <c r="AK1344" i="37" s="1"/>
  <c r="AK1342" i="37"/>
  <c r="K1800" i="50"/>
  <c r="K1799" i="50"/>
  <c r="K1841" i="50"/>
  <c r="AE212" i="42"/>
  <c r="AE202" i="42"/>
  <c r="L1642" i="50"/>
  <c r="L1682" i="50"/>
  <c r="L1665" i="50"/>
  <c r="L1707" i="50"/>
  <c r="L1654" i="50"/>
  <c r="L1724" i="50"/>
  <c r="H819" i="50"/>
  <c r="H828" i="50" s="1"/>
  <c r="H831" i="50"/>
  <c r="H842" i="50" s="1"/>
  <c r="H856" i="50" s="1"/>
  <c r="H870" i="50" s="1"/>
  <c r="H884" i="50" s="1"/>
  <c r="H898" i="50" s="1"/>
  <c r="H914" i="50" s="1"/>
  <c r="N808" i="50"/>
  <c r="AG572" i="42"/>
  <c r="AG562" i="42"/>
  <c r="M502" i="42"/>
  <c r="AB979" i="37"/>
  <c r="I1034" i="37" s="1"/>
  <c r="I1040" i="37" s="1"/>
  <c r="S1082" i="50" s="1"/>
  <c r="T1084" i="50"/>
  <c r="I1001" i="37"/>
  <c r="W987" i="37"/>
  <c r="Y1001" i="37"/>
  <c r="AI987" i="37"/>
  <c r="AG1020" i="37"/>
  <c r="AG1022" i="37" s="1"/>
  <c r="V987" i="37"/>
  <c r="X1001" i="37"/>
  <c r="AF987" i="37"/>
  <c r="AC1049" i="37"/>
  <c r="AC1279" i="37" s="1"/>
  <c r="AD1020" i="37"/>
  <c r="AD1022" i="37" s="1"/>
  <c r="Z1001" i="37"/>
  <c r="AE987" i="37"/>
  <c r="AG987" i="37"/>
  <c r="AF1020" i="37"/>
  <c r="AF1022" i="37" s="1"/>
  <c r="U987" i="37"/>
  <c r="AC987" i="37"/>
  <c r="AD987" i="37"/>
  <c r="AI1049" i="37"/>
  <c r="AI1279" i="37" s="1"/>
  <c r="T987" i="37"/>
  <c r="AH1020" i="37"/>
  <c r="AH1022" i="37" s="1"/>
  <c r="W1001" i="37"/>
  <c r="AD1049" i="37"/>
  <c r="AD1279" i="37" s="1"/>
  <c r="AI1020" i="37"/>
  <c r="AI1022" i="37" s="1"/>
  <c r="AG1049" i="37"/>
  <c r="AG1279" i="37" s="1"/>
  <c r="V1001" i="37"/>
  <c r="Y987" i="37"/>
  <c r="AC1020" i="37"/>
  <c r="AH987" i="37"/>
  <c r="AH1049" i="37"/>
  <c r="AH1279" i="37" s="1"/>
  <c r="X987" i="37"/>
  <c r="Z987" i="37"/>
  <c r="AF1049" i="37"/>
  <c r="AF1279" i="37" s="1"/>
  <c r="AE1049" i="37"/>
  <c r="AE1279" i="37" s="1"/>
  <c r="AE1020" i="37"/>
  <c r="AE1022" i="37" s="1"/>
  <c r="AI202" i="42"/>
  <c r="AI212" i="42"/>
  <c r="Z137" i="42"/>
  <c r="Y137" i="42"/>
  <c r="V137" i="42"/>
  <c r="X137" i="42"/>
  <c r="W137" i="42"/>
  <c r="U137" i="42"/>
  <c r="T137" i="42"/>
  <c r="U1917" i="37"/>
  <c r="U1666" i="37"/>
  <c r="U1817" i="37"/>
  <c r="U1805" i="37"/>
  <c r="I1879" i="37"/>
  <c r="U1902" i="37"/>
  <c r="U1911" i="37"/>
  <c r="U1837" i="37"/>
  <c r="U1778" i="37"/>
  <c r="U1845" i="37"/>
  <c r="U1827" i="37"/>
  <c r="M2933" i="37"/>
  <c r="Y2988" i="37"/>
  <c r="Y3171" i="37"/>
  <c r="Y2963" i="37"/>
  <c r="X3171" i="37"/>
  <c r="X2988" i="37"/>
  <c r="L2933" i="37"/>
  <c r="X2963" i="37"/>
  <c r="H227" i="50"/>
  <c r="H995" i="50"/>
  <c r="H1006" i="50" s="1"/>
  <c r="H1020" i="50" s="1"/>
  <c r="H1034" i="50" s="1"/>
  <c r="H1048" i="50" s="1"/>
  <c r="H1062" i="50" s="1"/>
  <c r="H1078" i="50" s="1"/>
  <c r="H983" i="50"/>
  <c r="H992" i="50" s="1"/>
  <c r="N972" i="50"/>
  <c r="L651" i="50"/>
  <c r="X412" i="37"/>
  <c r="L357" i="37"/>
  <c r="X595" i="37"/>
  <c r="X387" i="37"/>
  <c r="AC643" i="37"/>
  <c r="AK405" i="37"/>
  <c r="AC490" i="37"/>
  <c r="AC552" i="37"/>
  <c r="AC539" i="37"/>
  <c r="AC548" i="37"/>
  <c r="AC498" i="37"/>
  <c r="AC567" i="37"/>
  <c r="AC629" i="37"/>
  <c r="AC513" i="37"/>
  <c r="AC455" i="37"/>
  <c r="AL893" i="42"/>
  <c r="AA887" i="42"/>
  <c r="L2379" i="50"/>
  <c r="L812" i="42"/>
  <c r="X930" i="42"/>
  <c r="L930" i="42" s="1"/>
  <c r="U974" i="42"/>
  <c r="U976" i="42"/>
  <c r="U964" i="42"/>
  <c r="N1323" i="37"/>
  <c r="Z1378" i="37"/>
  <c r="Z1353" i="37"/>
  <c r="Z1561" i="37"/>
  <c r="N1557" i="37"/>
  <c r="Z1332" i="37"/>
  <c r="Z1515" i="37"/>
  <c r="Z1456" i="37"/>
  <c r="Z1589" i="37"/>
  <c r="Z1523" i="37"/>
  <c r="Z1595" i="37"/>
  <c r="Z1483" i="37"/>
  <c r="Z1387" i="37"/>
  <c r="Z1362" i="37"/>
  <c r="Z1495" i="37"/>
  <c r="Z1344" i="37"/>
  <c r="Z1580" i="37"/>
  <c r="Z1505" i="37"/>
  <c r="AF1505" i="37"/>
  <c r="AF1518" i="37"/>
  <c r="AF1595" i="37"/>
  <c r="AF1514" i="37"/>
  <c r="AF1515" i="37" s="1"/>
  <c r="AF1464" i="37"/>
  <c r="AF1465" i="37" s="1"/>
  <c r="AF1421" i="37"/>
  <c r="AF1422" i="37" s="1"/>
  <c r="AF1423" i="37" s="1"/>
  <c r="AF1424" i="37" s="1"/>
  <c r="AF1425" i="37" s="1"/>
  <c r="AF1426" i="37" s="1"/>
  <c r="AF1427" i="37" s="1"/>
  <c r="AF1428" i="37" s="1"/>
  <c r="AF1429" i="37" s="1"/>
  <c r="AF1430" i="37" s="1"/>
  <c r="AF1479" i="37"/>
  <c r="AF1609" i="37"/>
  <c r="AF1533" i="37"/>
  <c r="AF1456" i="37"/>
  <c r="M1806" i="50"/>
  <c r="M1846" i="50"/>
  <c r="M1888" i="50"/>
  <c r="M1871" i="50"/>
  <c r="M1829" i="50"/>
  <c r="M1818" i="50"/>
  <c r="AH572" i="42"/>
  <c r="AH562" i="42"/>
  <c r="N502" i="42"/>
  <c r="AC202" i="42"/>
  <c r="AL192" i="42"/>
  <c r="AC212" i="42"/>
  <c r="AH212" i="42"/>
  <c r="AH202" i="42"/>
  <c r="AA343" i="42"/>
  <c r="Z468" i="42"/>
  <c r="Z464" i="42"/>
  <c r="Z472" i="42"/>
  <c r="Z429" i="42"/>
  <c r="Z480" i="42"/>
  <c r="Z476" i="42"/>
  <c r="J2196" i="50"/>
  <c r="V385" i="42"/>
  <c r="J385" i="42" s="1"/>
  <c r="N1233" i="50"/>
  <c r="N1216" i="50"/>
  <c r="N1191" i="50"/>
  <c r="N1205" i="50"/>
  <c r="N1151" i="50"/>
  <c r="N1163" i="50"/>
  <c r="N625" i="42"/>
  <c r="Z743" i="42"/>
  <c r="N743" i="42" s="1"/>
  <c r="E401" i="50"/>
  <c r="E342" i="41"/>
  <c r="Q313" i="41"/>
  <c r="AF835" i="37"/>
  <c r="AF820" i="37"/>
  <c r="AF821" i="37" s="1"/>
  <c r="AF874" i="37"/>
  <c r="AF777" i="37"/>
  <c r="AF778" i="37" s="1"/>
  <c r="AF779" i="37" s="1"/>
  <c r="AF780" i="37" s="1"/>
  <c r="AF781" i="37" s="1"/>
  <c r="AF782" i="37" s="1"/>
  <c r="AF783" i="37" s="1"/>
  <c r="AF784" i="37" s="1"/>
  <c r="AF785" i="37" s="1"/>
  <c r="AF786" i="37" s="1"/>
  <c r="AF951" i="37"/>
  <c r="AF861" i="37"/>
  <c r="AF965" i="37"/>
  <c r="AF889" i="37"/>
  <c r="AF812" i="37"/>
  <c r="AF870" i="37"/>
  <c r="AF871" i="37" s="1"/>
  <c r="N2129" i="50"/>
  <c r="N28" i="42"/>
  <c r="Z148" i="42"/>
  <c r="N148" i="42" s="1"/>
  <c r="J266" i="41"/>
  <c r="J360" i="50" s="1"/>
  <c r="L266" i="41"/>
  <c r="L360" i="50" s="1"/>
  <c r="I266" i="41"/>
  <c r="I360" i="50" s="1"/>
  <c r="H266" i="41"/>
  <c r="H360" i="50" s="1"/>
  <c r="N266" i="41"/>
  <c r="N360" i="50" s="1"/>
  <c r="K266" i="41"/>
  <c r="K360" i="50" s="1"/>
  <c r="M266" i="41"/>
  <c r="M360" i="50" s="1"/>
  <c r="AL350" i="42"/>
  <c r="AA348" i="42"/>
  <c r="P1650" i="50"/>
  <c r="Y1700" i="37"/>
  <c r="Y1675" i="37"/>
  <c r="Y1883" i="37"/>
  <c r="M1645" i="37"/>
  <c r="W1883" i="37"/>
  <c r="K1645" i="37"/>
  <c r="W1700" i="37"/>
  <c r="W1675" i="37"/>
  <c r="K1675" i="37" s="1"/>
  <c r="W3066" i="37"/>
  <c r="K3167" i="37"/>
  <c r="W3125" i="37"/>
  <c r="W2942" i="37"/>
  <c r="W3105" i="37"/>
  <c r="W3190" i="37"/>
  <c r="W2997" i="37"/>
  <c r="W2972" i="37"/>
  <c r="W3115" i="37"/>
  <c r="W3205" i="37"/>
  <c r="W3093" i="37"/>
  <c r="W3199" i="37"/>
  <c r="W3133" i="37"/>
  <c r="W2954" i="37"/>
  <c r="K2435" i="50"/>
  <c r="K998" i="42"/>
  <c r="M1233" i="50"/>
  <c r="M1216" i="50"/>
  <c r="M1151" i="50"/>
  <c r="M1205" i="50"/>
  <c r="M1163" i="50"/>
  <c r="M1191" i="50"/>
  <c r="AL709" i="42"/>
  <c r="AA704" i="42"/>
  <c r="AL729" i="42"/>
  <c r="AD812" i="37"/>
  <c r="AD835" i="37"/>
  <c r="AD861" i="37"/>
  <c r="AD874" i="37"/>
  <c r="AD889" i="37"/>
  <c r="AD777" i="37"/>
  <c r="AD778" i="37" s="1"/>
  <c r="AD779" i="37" s="1"/>
  <c r="AD780" i="37" s="1"/>
  <c r="AD781" i="37" s="1"/>
  <c r="AD782" i="37" s="1"/>
  <c r="AD783" i="37" s="1"/>
  <c r="AD784" i="37" s="1"/>
  <c r="AD785" i="37" s="1"/>
  <c r="AD786" i="37" s="1"/>
  <c r="AD951" i="37"/>
  <c r="AD965" i="37"/>
  <c r="AD820" i="37"/>
  <c r="AD821" i="37" s="1"/>
  <c r="AD870" i="37"/>
  <c r="AD871" i="37" s="1"/>
  <c r="Z945" i="37"/>
  <c r="N913" i="37"/>
  <c r="Z718" i="37"/>
  <c r="Z812" i="37"/>
  <c r="Z861" i="37"/>
  <c r="Z743" i="37"/>
  <c r="Z851" i="37"/>
  <c r="Z871" i="37"/>
  <c r="Z936" i="37"/>
  <c r="Z700" i="37"/>
  <c r="Z688" i="37"/>
  <c r="Z879" i="37"/>
  <c r="Z839" i="37"/>
  <c r="Z951" i="37"/>
  <c r="AC861" i="37"/>
  <c r="AC812" i="37"/>
  <c r="AC820" i="37"/>
  <c r="AK727" i="37"/>
  <c r="AC870" i="37"/>
  <c r="AC951" i="37"/>
  <c r="AC889" i="37"/>
  <c r="AC835" i="37"/>
  <c r="AC874" i="37"/>
  <c r="AC777" i="37"/>
  <c r="AC965" i="37"/>
  <c r="I682" i="37"/>
  <c r="I688" i="37" s="1"/>
  <c r="S914" i="50" s="1"/>
  <c r="I914" i="50" s="1"/>
  <c r="L887" i="50"/>
  <c r="L862" i="50"/>
  <c r="L904" i="50"/>
  <c r="L845" i="50"/>
  <c r="L834" i="50"/>
  <c r="L822" i="50"/>
  <c r="N2011" i="50"/>
  <c r="K1654" i="50"/>
  <c r="K1642" i="50"/>
  <c r="K1682" i="50"/>
  <c r="K1707" i="50"/>
  <c r="K1724" i="50"/>
  <c r="K1665" i="50"/>
  <c r="L220" i="47"/>
  <c r="M268" i="41"/>
  <c r="M362" i="50" s="1"/>
  <c r="L268" i="41"/>
  <c r="L362" i="50" s="1"/>
  <c r="K268" i="41"/>
  <c r="K362" i="50" s="1"/>
  <c r="H268" i="41"/>
  <c r="H362" i="50" s="1"/>
  <c r="J268" i="41"/>
  <c r="J362" i="50" s="1"/>
  <c r="N268" i="41"/>
  <c r="N362" i="50" s="1"/>
  <c r="I268" i="41"/>
  <c r="I362" i="50" s="1"/>
  <c r="Z1107" i="42"/>
  <c r="Z1136" i="42"/>
  <c r="M1098" i="42"/>
  <c r="AA114" i="42"/>
  <c r="AG202" i="42"/>
  <c r="AG212" i="42"/>
  <c r="AA113" i="42"/>
  <c r="AD202" i="42"/>
  <c r="AD212" i="42"/>
  <c r="AA106" i="42"/>
  <c r="V227" i="42"/>
  <c r="V192" i="42"/>
  <c r="V231" i="42"/>
  <c r="V243" i="42"/>
  <c r="V235" i="42"/>
  <c r="V239" i="42"/>
  <c r="X243" i="42"/>
  <c r="X192" i="42"/>
  <c r="X231" i="42"/>
  <c r="X235" i="42"/>
  <c r="X239" i="42"/>
  <c r="X227" i="42"/>
  <c r="X128" i="42"/>
  <c r="Z128" i="42"/>
  <c r="T128" i="42"/>
  <c r="W128" i="42"/>
  <c r="V128" i="42"/>
  <c r="S138" i="42"/>
  <c r="Y128" i="42"/>
  <c r="U128" i="42"/>
  <c r="J1505" i="50"/>
  <c r="L1505" i="50"/>
  <c r="M1505" i="50"/>
  <c r="J1508" i="50"/>
  <c r="J1509" i="50" s="1"/>
  <c r="J2003" i="37" s="1"/>
  <c r="J2005" i="37" s="1"/>
  <c r="J2006" i="37" s="1"/>
  <c r="J1574" i="50" s="1"/>
  <c r="L1508" i="50"/>
  <c r="L1509" i="50" s="1"/>
  <c r="L2003" i="37" s="1"/>
  <c r="L2005" i="37" s="1"/>
  <c r="L2006" i="37" s="1"/>
  <c r="L1574" i="50" s="1"/>
  <c r="M1508" i="50"/>
  <c r="M1509" i="50" s="1"/>
  <c r="M2003" i="37" s="1"/>
  <c r="M2005" i="37" s="1"/>
  <c r="M2006" i="37" s="1"/>
  <c r="M1574" i="50" s="1"/>
  <c r="N1508" i="50"/>
  <c r="N1509" i="50" s="1"/>
  <c r="N2003" i="37" s="1"/>
  <c r="N2005" i="37" s="1"/>
  <c r="N2006" i="37" s="1"/>
  <c r="N1574" i="50"/>
  <c r="K1574" i="50"/>
  <c r="N1628" i="50"/>
  <c r="H1651" i="50"/>
  <c r="H1662" i="50" s="1"/>
  <c r="H1676" i="50" s="1"/>
  <c r="H1690" i="50" s="1"/>
  <c r="H1704" i="50" s="1"/>
  <c r="H1718" i="50" s="1"/>
  <c r="H1734" i="50" s="1"/>
  <c r="H1639" i="50"/>
  <c r="H1648" i="50" s="1"/>
  <c r="K404" i="47"/>
  <c r="AC439" i="42"/>
  <c r="AL429" i="42"/>
  <c r="AC449" i="42"/>
  <c r="AA346" i="42"/>
  <c r="AL345" i="42"/>
  <c r="AD449" i="42"/>
  <c r="AD439" i="42"/>
  <c r="U472" i="42"/>
  <c r="U464" i="42"/>
  <c r="U429" i="42"/>
  <c r="U476" i="42"/>
  <c r="U480" i="42"/>
  <c r="U468" i="42"/>
  <c r="W429" i="42"/>
  <c r="W464" i="42"/>
  <c r="W472" i="42"/>
  <c r="W468" i="42"/>
  <c r="W480" i="42"/>
  <c r="W476" i="42"/>
  <c r="L2196" i="50"/>
  <c r="L265" i="42"/>
  <c r="X385" i="42"/>
  <c r="L385" i="42" s="1"/>
  <c r="AG1836" i="37"/>
  <c r="AG1837" i="37" s="1"/>
  <c r="AG1786" i="37"/>
  <c r="AG1787" i="37" s="1"/>
  <c r="AG1801" i="37"/>
  <c r="AG1840" i="37"/>
  <c r="AG1931" i="37"/>
  <c r="AG1855" i="37"/>
  <c r="AG1778" i="37"/>
  <c r="AG1827" i="37"/>
  <c r="AG1743" i="37"/>
  <c r="AG1744" i="37" s="1"/>
  <c r="AG1745" i="37" s="1"/>
  <c r="AG1746" i="37" s="1"/>
  <c r="AG1747" i="37" s="1"/>
  <c r="AG1748" i="37" s="1"/>
  <c r="AG1749" i="37" s="1"/>
  <c r="AG1750" i="37" s="1"/>
  <c r="AG1751" i="37" s="1"/>
  <c r="AG1752" i="37" s="1"/>
  <c r="AG1917" i="37"/>
  <c r="J1879" i="37"/>
  <c r="V1845" i="37"/>
  <c r="V1709" i="37"/>
  <c r="V1817" i="37"/>
  <c r="V1805" i="37"/>
  <c r="V1684" i="37"/>
  <c r="W1684" i="37" s="1"/>
  <c r="X1684" i="37" s="1"/>
  <c r="Y1684" i="37" s="1"/>
  <c r="V1827" i="37"/>
  <c r="V1911" i="37"/>
  <c r="V1778" i="37"/>
  <c r="V1654" i="37"/>
  <c r="V1666" i="37"/>
  <c r="V1837" i="37"/>
  <c r="V1902" i="37"/>
  <c r="V1917" i="37"/>
  <c r="AE1827" i="37"/>
  <c r="AE1786" i="37"/>
  <c r="AE1787" i="37" s="1"/>
  <c r="AE1931" i="37"/>
  <c r="AE1743" i="37"/>
  <c r="AE1744" i="37" s="1"/>
  <c r="AE1745" i="37" s="1"/>
  <c r="AE1746" i="37" s="1"/>
  <c r="AE1747" i="37" s="1"/>
  <c r="AE1748" i="37" s="1"/>
  <c r="AE1749" i="37" s="1"/>
  <c r="AE1750" i="37" s="1"/>
  <c r="AE1751" i="37" s="1"/>
  <c r="AE1752" i="37" s="1"/>
  <c r="AE1778" i="37"/>
  <c r="AE1801" i="37"/>
  <c r="AE1855" i="37"/>
  <c r="AE1836" i="37"/>
  <c r="AE1837" i="37" s="1"/>
  <c r="AE1917" i="37"/>
  <c r="AE1840" i="37"/>
  <c r="H1879" i="37"/>
  <c r="T1845" i="37"/>
  <c r="T1902" i="37"/>
  <c r="T1817" i="37"/>
  <c r="T1666" i="37"/>
  <c r="T1837" i="37"/>
  <c r="T1778" i="37"/>
  <c r="T1917" i="37"/>
  <c r="T1827" i="37"/>
  <c r="T1911" i="37"/>
  <c r="T1805" i="37"/>
  <c r="J1800" i="50"/>
  <c r="J2933" i="37"/>
  <c r="V3171" i="37"/>
  <c r="V2963" i="37"/>
  <c r="J2963" i="37" s="1"/>
  <c r="V2988" i="37"/>
  <c r="J2988" i="37" s="1"/>
  <c r="Y3125" i="37"/>
  <c r="Y3093" i="37"/>
  <c r="Y3205" i="37"/>
  <c r="M3167" i="37"/>
  <c r="Y2954" i="37"/>
  <c r="Y2972" i="37"/>
  <c r="Y3066" i="37"/>
  <c r="Y3115" i="37"/>
  <c r="Y3199" i="37"/>
  <c r="Y3190" i="37"/>
  <c r="Y3105" i="37"/>
  <c r="Y3133" i="37"/>
  <c r="Y2942" i="37"/>
  <c r="Y2997" i="37"/>
  <c r="X3133" i="37"/>
  <c r="X2954" i="37"/>
  <c r="X3066" i="37"/>
  <c r="X3199" i="37"/>
  <c r="X3093" i="37"/>
  <c r="X2997" i="37"/>
  <c r="X3205" i="37"/>
  <c r="L3167" i="37"/>
  <c r="X3125" i="37"/>
  <c r="X3190" i="37"/>
  <c r="X2942" i="37"/>
  <c r="X3105" i="37"/>
  <c r="X3115" i="37"/>
  <c r="X2972" i="37"/>
  <c r="AD3205" i="37"/>
  <c r="AD3074" i="37"/>
  <c r="AD3075" i="37" s="1"/>
  <c r="AD3124" i="37"/>
  <c r="AD3125" i="37" s="1"/>
  <c r="AD3219" i="37"/>
  <c r="AD3066" i="37"/>
  <c r="AD3031" i="37"/>
  <c r="AD3032" i="37" s="1"/>
  <c r="AD3033" i="37" s="1"/>
  <c r="AD3034" i="37" s="1"/>
  <c r="AD3035" i="37" s="1"/>
  <c r="AD3036" i="37" s="1"/>
  <c r="AD3037" i="37" s="1"/>
  <c r="AD3038" i="37" s="1"/>
  <c r="AD3039" i="37" s="1"/>
  <c r="AD3040" i="37" s="1"/>
  <c r="AD3115" i="37"/>
  <c r="AD3143" i="37"/>
  <c r="AD3128" i="37"/>
  <c r="AD3089" i="37"/>
  <c r="Y1036" i="42"/>
  <c r="Y1007" i="42"/>
  <c r="N2435" i="50"/>
  <c r="N998" i="42"/>
  <c r="H308" i="41"/>
  <c r="H396" i="50" s="1"/>
  <c r="M308" i="41"/>
  <c r="M396" i="50" s="1"/>
  <c r="K308" i="41"/>
  <c r="K396" i="50" s="1"/>
  <c r="L308" i="41"/>
  <c r="L396" i="50" s="1"/>
  <c r="I308" i="41"/>
  <c r="I396" i="50" s="1"/>
  <c r="J308" i="41"/>
  <c r="J396" i="50" s="1"/>
  <c r="N308" i="41"/>
  <c r="N396" i="50" s="1"/>
  <c r="L1233" i="50"/>
  <c r="L1163" i="50"/>
  <c r="L1191" i="50"/>
  <c r="L1216" i="50"/>
  <c r="L1205" i="50"/>
  <c r="L1151" i="50"/>
  <c r="AF784" i="42"/>
  <c r="AF787" i="42" s="1"/>
  <c r="AF790" i="42" s="1"/>
  <c r="AF786" i="42"/>
  <c r="AF789" i="42" s="1"/>
  <c r="T725" i="42"/>
  <c r="W725" i="42"/>
  <c r="V725" i="42"/>
  <c r="Y725" i="42"/>
  <c r="U725" i="42"/>
  <c r="Z725" i="42"/>
  <c r="X725" i="42"/>
  <c r="L2322" i="50"/>
  <c r="L625" i="42"/>
  <c r="X743" i="42"/>
  <c r="L743" i="42" s="1"/>
  <c r="W787" i="42"/>
  <c r="W777" i="42"/>
  <c r="W789" i="42"/>
  <c r="AE567" i="37"/>
  <c r="AE629" i="37"/>
  <c r="AE498" i="37"/>
  <c r="AE499" i="37" s="1"/>
  <c r="AE552" i="37"/>
  <c r="AE513" i="37"/>
  <c r="AE548" i="37"/>
  <c r="AE549" i="37" s="1"/>
  <c r="AE643" i="37"/>
  <c r="AE455" i="37"/>
  <c r="AE456" i="37" s="1"/>
  <c r="AE457" i="37" s="1"/>
  <c r="AE458" i="37" s="1"/>
  <c r="AE459" i="37" s="1"/>
  <c r="AE460" i="37" s="1"/>
  <c r="AE461" i="37" s="1"/>
  <c r="AE462" i="37" s="1"/>
  <c r="AE463" i="37" s="1"/>
  <c r="AE464" i="37" s="1"/>
  <c r="AE539" i="37"/>
  <c r="AE490" i="37"/>
  <c r="Z529" i="37"/>
  <c r="N591" i="37"/>
  <c r="Z396" i="37"/>
  <c r="Z366" i="37"/>
  <c r="Z378" i="37"/>
  <c r="Z549" i="37"/>
  <c r="Z539" i="37"/>
  <c r="Z490" i="37"/>
  <c r="Z557" i="37"/>
  <c r="Z623" i="37"/>
  <c r="Z629" i="37"/>
  <c r="Z614" i="37"/>
  <c r="Z421" i="37"/>
  <c r="Z517" i="37"/>
  <c r="AI548" i="37"/>
  <c r="AI549" i="37" s="1"/>
  <c r="AI552" i="37"/>
  <c r="AI490" i="37"/>
  <c r="AI498" i="37"/>
  <c r="AI499" i="37" s="1"/>
  <c r="AI629" i="37"/>
  <c r="AI513" i="37"/>
  <c r="AI539" i="37"/>
  <c r="AI643" i="37"/>
  <c r="AI567" i="37"/>
  <c r="AI455" i="37"/>
  <c r="AI456" i="37" s="1"/>
  <c r="AI457" i="37" s="1"/>
  <c r="AI458" i="37" s="1"/>
  <c r="AI459" i="37" s="1"/>
  <c r="AI460" i="37" s="1"/>
  <c r="AI461" i="37" s="1"/>
  <c r="AI462" i="37" s="1"/>
  <c r="AI463" i="37" s="1"/>
  <c r="AI464" i="37" s="1"/>
  <c r="I415" i="37"/>
  <c r="I421" i="37" s="1"/>
  <c r="S751" i="50" s="1"/>
  <c r="I751" i="50" s="1"/>
  <c r="AL914" i="42"/>
  <c r="AL894" i="42"/>
  <c r="AA893" i="42"/>
  <c r="AA891" i="42"/>
  <c r="N2379" i="50"/>
  <c r="Z930" i="42"/>
  <c r="N930" i="42" s="1"/>
  <c r="N812" i="42"/>
  <c r="H921" i="42"/>
  <c r="H970" i="42"/>
  <c r="H2374" i="50"/>
  <c r="X1561" i="37"/>
  <c r="L1323" i="37"/>
  <c r="X1353" i="37"/>
  <c r="X1378" i="37"/>
  <c r="U1515" i="37"/>
  <c r="I1557" i="37"/>
  <c r="U1595" i="37"/>
  <c r="U1483" i="37"/>
  <c r="U1589" i="37"/>
  <c r="U1505" i="37"/>
  <c r="U1580" i="37"/>
  <c r="U1344" i="37"/>
  <c r="U1495" i="37"/>
  <c r="U1456" i="37"/>
  <c r="U1523" i="37"/>
  <c r="AI1421" i="37"/>
  <c r="AI1422" i="37" s="1"/>
  <c r="AI1423" i="37" s="1"/>
  <c r="AI1424" i="37" s="1"/>
  <c r="AI1425" i="37" s="1"/>
  <c r="AI1426" i="37" s="1"/>
  <c r="AI1427" i="37" s="1"/>
  <c r="AI1428" i="37" s="1"/>
  <c r="AI1429" i="37" s="1"/>
  <c r="AI1430" i="37" s="1"/>
  <c r="AI1464" i="37"/>
  <c r="AI1465" i="37" s="1"/>
  <c r="AI1456" i="37"/>
  <c r="AI1505" i="37"/>
  <c r="AI1533" i="37"/>
  <c r="AI1479" i="37"/>
  <c r="AI1518" i="37"/>
  <c r="AI1595" i="37"/>
  <c r="AI1609" i="37"/>
  <c r="AI1514" i="37"/>
  <c r="AI1515" i="37" s="1"/>
  <c r="L404" i="47"/>
  <c r="E430" i="50"/>
  <c r="Q345" i="41"/>
  <c r="AF212" i="42"/>
  <c r="AF202" i="42"/>
  <c r="AL136" i="42"/>
  <c r="U243" i="42"/>
  <c r="U231" i="42"/>
  <c r="U239" i="42"/>
  <c r="U192" i="42"/>
  <c r="U227" i="42"/>
  <c r="U235" i="42"/>
  <c r="V367" i="42"/>
  <c r="Z367" i="42"/>
  <c r="W367" i="42"/>
  <c r="X367" i="42"/>
  <c r="Y367" i="42"/>
  <c r="T367" i="42"/>
  <c r="U367" i="42"/>
  <c r="U552" i="42"/>
  <c r="U591" i="42"/>
  <c r="U587" i="42"/>
  <c r="U595" i="42"/>
  <c r="U599" i="42"/>
  <c r="U603" i="42"/>
  <c r="AC700" i="37"/>
  <c r="AK700" i="37" s="1"/>
  <c r="AK698" i="37"/>
  <c r="AI835" i="37"/>
  <c r="AI870" i="37"/>
  <c r="AI871" i="37" s="1"/>
  <c r="AI777" i="37"/>
  <c r="AI778" i="37" s="1"/>
  <c r="AI779" i="37" s="1"/>
  <c r="AI780" i="37" s="1"/>
  <c r="AI781" i="37" s="1"/>
  <c r="AI782" i="37" s="1"/>
  <c r="AI783" i="37" s="1"/>
  <c r="AI784" i="37" s="1"/>
  <c r="AI785" i="37" s="1"/>
  <c r="AI786" i="37" s="1"/>
  <c r="AI889" i="37"/>
  <c r="AI965" i="37"/>
  <c r="AI812" i="37"/>
  <c r="AI951" i="37"/>
  <c r="AI861" i="37"/>
  <c r="AI820" i="37"/>
  <c r="AI821" i="37" s="1"/>
  <c r="AI874" i="37"/>
  <c r="V131" i="42"/>
  <c r="T131" i="42"/>
  <c r="W131" i="42"/>
  <c r="U131" i="42"/>
  <c r="Y131" i="42"/>
  <c r="Z131" i="42"/>
  <c r="X131" i="42"/>
  <c r="N1792" i="50"/>
  <c r="H1803" i="50"/>
  <c r="H1812" i="50" s="1"/>
  <c r="H1815" i="50"/>
  <c r="H1826" i="50" s="1"/>
  <c r="H1840" i="50" s="1"/>
  <c r="H1854" i="50" s="1"/>
  <c r="H1868" i="50" s="1"/>
  <c r="H1882" i="50" s="1"/>
  <c r="H1898" i="50" s="1"/>
  <c r="AI439" i="42"/>
  <c r="AI449" i="42"/>
  <c r="AF439" i="42"/>
  <c r="AF449" i="42"/>
  <c r="X468" i="42"/>
  <c r="X464" i="42"/>
  <c r="X480" i="42"/>
  <c r="X472" i="42"/>
  <c r="X429" i="42"/>
  <c r="X476" i="42"/>
  <c r="L1645" i="37"/>
  <c r="X1883" i="37"/>
  <c r="X1675" i="37"/>
  <c r="L1675" i="37" s="1"/>
  <c r="X1700" i="37"/>
  <c r="AI786" i="42"/>
  <c r="AI789" i="42" s="1"/>
  <c r="AI784" i="42"/>
  <c r="AI787" i="42" s="1"/>
  <c r="AI790" i="42" s="1"/>
  <c r="V789" i="42"/>
  <c r="V787" i="42"/>
  <c r="V777" i="42"/>
  <c r="K2322" i="50"/>
  <c r="K625" i="42"/>
  <c r="W743" i="42"/>
  <c r="K743" i="42" s="1"/>
  <c r="AE572" i="42"/>
  <c r="AE562" i="42"/>
  <c r="L502" i="42"/>
  <c r="Y599" i="42"/>
  <c r="Y552" i="42"/>
  <c r="Y595" i="42"/>
  <c r="Y591" i="42"/>
  <c r="Y603" i="42"/>
  <c r="Y587" i="42"/>
  <c r="Y511" i="42"/>
  <c r="AI562" i="42"/>
  <c r="AI572" i="42"/>
  <c r="W591" i="42"/>
  <c r="W603" i="42"/>
  <c r="W552" i="42"/>
  <c r="W599" i="42"/>
  <c r="W595" i="42"/>
  <c r="W587" i="42"/>
  <c r="W511" i="42"/>
  <c r="X552" i="42"/>
  <c r="X591" i="42"/>
  <c r="X595" i="42"/>
  <c r="X599" i="42"/>
  <c r="X603" i="42"/>
  <c r="X587" i="42"/>
  <c r="X511" i="42"/>
  <c r="X734" i="37"/>
  <c r="X917" i="37"/>
  <c r="X709" i="37"/>
  <c r="L679" i="37"/>
  <c r="AH951" i="37"/>
  <c r="AH874" i="37"/>
  <c r="AH965" i="37"/>
  <c r="AH861" i="37"/>
  <c r="AH812" i="37"/>
  <c r="AH820" i="37"/>
  <c r="AH821" i="37" s="1"/>
  <c r="AH777" i="37"/>
  <c r="AH778" i="37" s="1"/>
  <c r="AH779" i="37" s="1"/>
  <c r="AH780" i="37" s="1"/>
  <c r="AH781" i="37" s="1"/>
  <c r="AH782" i="37" s="1"/>
  <c r="AH783" i="37" s="1"/>
  <c r="AH784" i="37" s="1"/>
  <c r="AH785" i="37" s="1"/>
  <c r="AH786" i="37" s="1"/>
  <c r="AH835" i="37"/>
  <c r="AH889" i="37"/>
  <c r="AH870" i="37"/>
  <c r="AH871" i="37" s="1"/>
  <c r="V709" i="37"/>
  <c r="J709" i="37" s="1"/>
  <c r="V734" i="37"/>
  <c r="J734" i="37" s="1"/>
  <c r="J679" i="37"/>
  <c r="V917" i="37"/>
  <c r="N679" i="37"/>
  <c r="Z734" i="37"/>
  <c r="Z917" i="37"/>
  <c r="Z709" i="37"/>
  <c r="I917" i="50"/>
  <c r="P1558" i="50"/>
  <c r="E402" i="50"/>
  <c r="Q314" i="41"/>
  <c r="E343" i="41"/>
  <c r="I1101" i="42"/>
  <c r="I1107" i="42" s="1"/>
  <c r="S2493" i="50" s="1"/>
  <c r="I2493" i="50" s="1"/>
  <c r="AA110" i="42"/>
  <c r="AA108" i="42"/>
  <c r="AA111" i="42"/>
  <c r="AL111" i="42"/>
  <c r="AL110" i="42"/>
  <c r="AA109" i="42"/>
  <c r="Y192" i="42"/>
  <c r="Y235" i="42"/>
  <c r="Y243" i="42"/>
  <c r="Y231" i="42"/>
  <c r="Y239" i="42"/>
  <c r="Y227" i="42"/>
  <c r="T231" i="42"/>
  <c r="T227" i="42"/>
  <c r="T235" i="42"/>
  <c r="T192" i="42"/>
  <c r="T243" i="42"/>
  <c r="T239" i="42"/>
  <c r="K2129" i="50"/>
  <c r="W148" i="42"/>
  <c r="K148" i="42" s="1"/>
  <c r="N398" i="47"/>
  <c r="N1042" i="50"/>
  <c r="N1028" i="50"/>
  <c r="N1000" i="50"/>
  <c r="N1014" i="50"/>
  <c r="N988" i="50"/>
  <c r="N1070" i="50"/>
  <c r="AL374" i="42"/>
  <c r="AE439" i="42"/>
  <c r="AE449" i="42"/>
  <c r="AL343" i="42"/>
  <c r="AL349" i="42"/>
  <c r="AL370" i="42"/>
  <c r="AL342" i="42"/>
  <c r="AL347" i="42"/>
  <c r="Z365" i="42"/>
  <c r="T365" i="42"/>
  <c r="W365" i="42"/>
  <c r="X365" i="42"/>
  <c r="S375" i="42"/>
  <c r="U365" i="42"/>
  <c r="V365" i="42"/>
  <c r="Y365" i="42"/>
  <c r="U368" i="42"/>
  <c r="W368" i="42"/>
  <c r="T368" i="42"/>
  <c r="V368" i="42"/>
  <c r="X368" i="42"/>
  <c r="Y368" i="42"/>
  <c r="Z368" i="42"/>
  <c r="AK1664" i="37"/>
  <c r="AC1666" i="37"/>
  <c r="AK1666" i="37" s="1"/>
  <c r="X1837" i="37"/>
  <c r="X1817" i="37"/>
  <c r="X1911" i="37"/>
  <c r="X1805" i="37"/>
  <c r="X1917" i="37"/>
  <c r="L1879" i="37"/>
  <c r="X1654" i="37"/>
  <c r="X1666" i="37"/>
  <c r="X1827" i="37"/>
  <c r="X1902" i="37"/>
  <c r="X1845" i="37"/>
  <c r="X1709" i="37"/>
  <c r="X1778" i="37"/>
  <c r="Y1654" i="37"/>
  <c r="Y1709" i="37"/>
  <c r="Y1827" i="37"/>
  <c r="Y1666" i="37"/>
  <c r="Y1917" i="37"/>
  <c r="M1879" i="37"/>
  <c r="Y1805" i="37"/>
  <c r="Y1817" i="37"/>
  <c r="Y1837" i="37"/>
  <c r="Y1911" i="37"/>
  <c r="Y1902" i="37"/>
  <c r="Y1845" i="37"/>
  <c r="Y1778" i="37"/>
  <c r="AE1986" i="37"/>
  <c r="AE1988" i="37" s="1"/>
  <c r="AB1945" i="37"/>
  <c r="T1576" i="50"/>
  <c r="I1967" i="37"/>
  <c r="W1967" i="37"/>
  <c r="X1953" i="37"/>
  <c r="AH1986" i="37"/>
  <c r="AH1988" i="37" s="1"/>
  <c r="AC1986" i="37"/>
  <c r="AF1953" i="37"/>
  <c r="Y1953" i="37"/>
  <c r="AC2015" i="37"/>
  <c r="AC2245" i="37" s="1"/>
  <c r="AF2015" i="37"/>
  <c r="AF2245" i="37" s="1"/>
  <c r="AI2015" i="37"/>
  <c r="AI2245" i="37" s="1"/>
  <c r="AI1953" i="37"/>
  <c r="V1953" i="37"/>
  <c r="W1953" i="37"/>
  <c r="X1967" i="37"/>
  <c r="AH1953" i="37"/>
  <c r="AE1953" i="37"/>
  <c r="AI1986" i="37"/>
  <c r="AI1988" i="37" s="1"/>
  <c r="AC1953" i="37"/>
  <c r="U1953" i="37"/>
  <c r="Z1953" i="37"/>
  <c r="AD2015" i="37"/>
  <c r="AD2245" i="37" s="1"/>
  <c r="AG1986" i="37"/>
  <c r="AG1988" i="37" s="1"/>
  <c r="AG1953" i="37"/>
  <c r="Y1967" i="37"/>
  <c r="AF1986" i="37"/>
  <c r="AF1988" i="37" s="1"/>
  <c r="T1953" i="37"/>
  <c r="AG2015" i="37"/>
  <c r="AG2245" i="37" s="1"/>
  <c r="AH2015" i="37"/>
  <c r="AH2245" i="37" s="1"/>
  <c r="AD1953" i="37"/>
  <c r="V1967" i="37"/>
  <c r="Z1967" i="37"/>
  <c r="AD1986" i="37"/>
  <c r="AD1988" i="37" s="1"/>
  <c r="AE2015" i="37"/>
  <c r="AE2245" i="37" s="1"/>
  <c r="J815" i="50"/>
  <c r="S1247" i="50"/>
  <c r="I1247" i="50" s="1"/>
  <c r="AI3115" i="37"/>
  <c r="AI3205" i="37"/>
  <c r="AI3089" i="37"/>
  <c r="AI3128" i="37"/>
  <c r="AI3074" i="37"/>
  <c r="AI3075" i="37" s="1"/>
  <c r="AI3143" i="37"/>
  <c r="AI3124" i="37"/>
  <c r="AI3125" i="37" s="1"/>
  <c r="AI3031" i="37"/>
  <c r="AI3032" i="37" s="1"/>
  <c r="AI3033" i="37" s="1"/>
  <c r="AI3034" i="37" s="1"/>
  <c r="AI3035" i="37" s="1"/>
  <c r="AI3036" i="37" s="1"/>
  <c r="AI3037" i="37" s="1"/>
  <c r="AI3038" i="37" s="1"/>
  <c r="AI3039" i="37" s="1"/>
  <c r="AI3040" i="37" s="1"/>
  <c r="AI3066" i="37"/>
  <c r="AI3219" i="37"/>
  <c r="Z2942" i="37"/>
  <c r="Z3115" i="37"/>
  <c r="Z2954" i="37"/>
  <c r="Z3125" i="37"/>
  <c r="Z2997" i="37"/>
  <c r="Z3105" i="37"/>
  <c r="N3167" i="37"/>
  <c r="Z3133" i="37"/>
  <c r="Z3199" i="37"/>
  <c r="Z3190" i="37"/>
  <c r="Z3093" i="37"/>
  <c r="Z3205" i="37"/>
  <c r="Z3066" i="37"/>
  <c r="Z2972" i="37"/>
  <c r="I2966" i="37"/>
  <c r="I2972" i="37" s="1"/>
  <c r="I2991" i="37"/>
  <c r="I2997" i="37" s="1"/>
  <c r="S2063" i="50" s="1"/>
  <c r="I2063" i="50" s="1"/>
  <c r="L2435" i="50"/>
  <c r="L998" i="42"/>
  <c r="X1036" i="42"/>
  <c r="X1007" i="42"/>
  <c r="E422" i="50"/>
  <c r="Q337" i="41"/>
  <c r="E398" i="50"/>
  <c r="Q310" i="41"/>
  <c r="E339" i="41"/>
  <c r="AE784" i="42"/>
  <c r="AE787" i="42" s="1"/>
  <c r="AE790" i="42" s="1"/>
  <c r="AE786" i="42"/>
  <c r="AE789" i="42" s="1"/>
  <c r="AL727" i="42"/>
  <c r="AL728" i="42"/>
  <c r="Z789" i="42"/>
  <c r="Z787" i="42"/>
  <c r="Z777" i="42"/>
  <c r="X726" i="42"/>
  <c r="U726" i="42"/>
  <c r="Y726" i="42"/>
  <c r="V726" i="42"/>
  <c r="T726" i="42"/>
  <c r="Z726" i="42"/>
  <c r="W726" i="42"/>
  <c r="T789" i="42"/>
  <c r="T777" i="42"/>
  <c r="T787" i="42"/>
  <c r="S1244" i="50"/>
  <c r="I1244" i="50" s="1"/>
  <c r="AB13" i="37"/>
  <c r="T592" i="50"/>
  <c r="I35" i="37"/>
  <c r="X35" i="37"/>
  <c r="X21" i="37"/>
  <c r="AG21" i="37"/>
  <c r="AH54" i="37"/>
  <c r="AH56" i="37" s="1"/>
  <c r="AC21" i="37"/>
  <c r="Z21" i="37"/>
  <c r="AF21" i="37"/>
  <c r="V21" i="37"/>
  <c r="AH21" i="37"/>
  <c r="AH83" i="37"/>
  <c r="AH313" i="37" s="1"/>
  <c r="T21" i="37"/>
  <c r="Y21" i="37"/>
  <c r="AD21" i="37"/>
  <c r="AG54" i="37"/>
  <c r="AG56" i="37" s="1"/>
  <c r="AI54" i="37"/>
  <c r="AI56" i="37" s="1"/>
  <c r="Z35" i="37"/>
  <c r="AD83" i="37"/>
  <c r="AD313" i="37" s="1"/>
  <c r="AF54" i="37"/>
  <c r="AF56" i="37" s="1"/>
  <c r="AE54" i="37"/>
  <c r="AE56" i="37" s="1"/>
  <c r="AD54" i="37"/>
  <c r="AD56" i="37" s="1"/>
  <c r="V35" i="37"/>
  <c r="H23" i="37"/>
  <c r="H483" i="50" s="1"/>
  <c r="AC83" i="37"/>
  <c r="AC313" i="37" s="1"/>
  <c r="AC54" i="37"/>
  <c r="Y35" i="37"/>
  <c r="U21" i="37"/>
  <c r="W35" i="37"/>
  <c r="AF83" i="37"/>
  <c r="AF313" i="37" s="1"/>
  <c r="AG83" i="37"/>
  <c r="AG313" i="37" s="1"/>
  <c r="I23" i="37"/>
  <c r="I483" i="50" s="1"/>
  <c r="W21" i="37"/>
  <c r="AE83" i="37"/>
  <c r="AE313" i="37" s="1"/>
  <c r="AI21" i="37"/>
  <c r="AE21" i="37"/>
  <c r="AI83" i="37"/>
  <c r="AI313" i="37" s="1"/>
  <c r="J651" i="50"/>
  <c r="V412" i="37"/>
  <c r="J412" i="37" s="1"/>
  <c r="V387" i="37"/>
  <c r="V595" i="37"/>
  <c r="J357" i="37"/>
  <c r="AF513" i="37"/>
  <c r="AF567" i="37"/>
  <c r="AF455" i="37"/>
  <c r="AF456" i="37" s="1"/>
  <c r="AF457" i="37" s="1"/>
  <c r="AF458" i="37" s="1"/>
  <c r="AF459" i="37" s="1"/>
  <c r="AF460" i="37" s="1"/>
  <c r="AF461" i="37" s="1"/>
  <c r="AF462" i="37" s="1"/>
  <c r="AF463" i="37" s="1"/>
  <c r="AF464" i="37" s="1"/>
  <c r="AF629" i="37"/>
  <c r="AF548" i="37"/>
  <c r="AF549" i="37" s="1"/>
  <c r="AF490" i="37"/>
  <c r="AF539" i="37"/>
  <c r="AF552" i="37"/>
  <c r="AF643" i="37"/>
  <c r="AF498" i="37"/>
  <c r="AF499" i="37" s="1"/>
  <c r="T623" i="37"/>
  <c r="T629" i="37"/>
  <c r="T529" i="37"/>
  <c r="T549" i="37"/>
  <c r="T517" i="37"/>
  <c r="T614" i="37"/>
  <c r="T490" i="37"/>
  <c r="T557" i="37"/>
  <c r="T378" i="37"/>
  <c r="H591" i="37"/>
  <c r="T539" i="37"/>
  <c r="AD498" i="37"/>
  <c r="AD499" i="37" s="1"/>
  <c r="AD643" i="37"/>
  <c r="AD567" i="37"/>
  <c r="AD552" i="37"/>
  <c r="AD629" i="37"/>
  <c r="AD490" i="37"/>
  <c r="AD455" i="37"/>
  <c r="AD456" i="37" s="1"/>
  <c r="AD457" i="37" s="1"/>
  <c r="AD458" i="37" s="1"/>
  <c r="AD459" i="37" s="1"/>
  <c r="AD460" i="37" s="1"/>
  <c r="AD461" i="37" s="1"/>
  <c r="AD462" i="37" s="1"/>
  <c r="AD463" i="37" s="1"/>
  <c r="AD464" i="37" s="1"/>
  <c r="AD513" i="37"/>
  <c r="AD539" i="37"/>
  <c r="AD548" i="37"/>
  <c r="AD549" i="37" s="1"/>
  <c r="AI971" i="42"/>
  <c r="AI974" i="42" s="1"/>
  <c r="AI977" i="42" s="1"/>
  <c r="AI973" i="42"/>
  <c r="AI976" i="42" s="1"/>
  <c r="AG971" i="42"/>
  <c r="AG974" i="42" s="1"/>
  <c r="AG977" i="42" s="1"/>
  <c r="AG973" i="42"/>
  <c r="AG976" i="42" s="1"/>
  <c r="AE971" i="42"/>
  <c r="AE974" i="42" s="1"/>
  <c r="AE977" i="42" s="1"/>
  <c r="AE973" i="42"/>
  <c r="AE976" i="42" s="1"/>
  <c r="Z964" i="42"/>
  <c r="Z976" i="42"/>
  <c r="Z974" i="42"/>
  <c r="I921" i="42"/>
  <c r="I970" i="42"/>
  <c r="I2374" i="50"/>
  <c r="Y930" i="42"/>
  <c r="M930" i="42" s="1"/>
  <c r="M812" i="42"/>
  <c r="Z68" i="37"/>
  <c r="N66" i="37"/>
  <c r="N519" i="50" s="1"/>
  <c r="N67" i="37"/>
  <c r="Z66" i="37"/>
  <c r="N520" i="50" s="1"/>
  <c r="W1589" i="37"/>
  <c r="W1595" i="37"/>
  <c r="W1495" i="37"/>
  <c r="W1515" i="37"/>
  <c r="W1505" i="37"/>
  <c r="W1344" i="37"/>
  <c r="W1483" i="37"/>
  <c r="W1523" i="37"/>
  <c r="W1580" i="37"/>
  <c r="W1456" i="37"/>
  <c r="K1557" i="37"/>
  <c r="W1332" i="37"/>
  <c r="W1387" i="37"/>
  <c r="W1561" i="37"/>
  <c r="K1323" i="37"/>
  <c r="W1378" i="37"/>
  <c r="W1353" i="37"/>
  <c r="I1245" i="50"/>
  <c r="U879" i="37"/>
  <c r="U951" i="37"/>
  <c r="U861" i="37"/>
  <c r="U945" i="37"/>
  <c r="I913" i="37"/>
  <c r="U700" i="37"/>
  <c r="U812" i="37"/>
  <c r="U851" i="37"/>
  <c r="U839" i="37"/>
  <c r="U871" i="37"/>
  <c r="U936" i="37"/>
  <c r="N220" i="47"/>
  <c r="W1136" i="42"/>
  <c r="W1107" i="42"/>
  <c r="AL114" i="42"/>
  <c r="AL552" i="42"/>
  <c r="AC562" i="42"/>
  <c r="AC572" i="42"/>
  <c r="V587" i="42"/>
  <c r="V595" i="42"/>
  <c r="V603" i="42"/>
  <c r="V591" i="42"/>
  <c r="V599" i="42"/>
  <c r="V552" i="42"/>
  <c r="V511" i="42"/>
  <c r="T945" i="37"/>
  <c r="T839" i="37"/>
  <c r="T851" i="37"/>
  <c r="T700" i="37"/>
  <c r="T936" i="37"/>
  <c r="H913" i="37"/>
  <c r="T871" i="37"/>
  <c r="T812" i="37"/>
  <c r="T951" i="37"/>
  <c r="T861" i="37"/>
  <c r="T879" i="37"/>
  <c r="X951" i="37"/>
  <c r="X861" i="37"/>
  <c r="X936" i="37"/>
  <c r="X812" i="37"/>
  <c r="X700" i="37"/>
  <c r="X851" i="37"/>
  <c r="X879" i="37"/>
  <c r="X839" i="37"/>
  <c r="X945" i="37"/>
  <c r="X871" i="37"/>
  <c r="L913" i="37"/>
  <c r="X688" i="37"/>
  <c r="X743" i="37"/>
  <c r="X718" i="37"/>
  <c r="M815" i="50"/>
  <c r="M679" i="37"/>
  <c r="Y734" i="37"/>
  <c r="Y917" i="37"/>
  <c r="Y709" i="37"/>
  <c r="L836" i="50"/>
  <c r="L864" i="50"/>
  <c r="L906" i="50"/>
  <c r="L850" i="50"/>
  <c r="L824" i="50"/>
  <c r="L878" i="50"/>
  <c r="J221" i="47"/>
  <c r="J1038" i="50" s="1"/>
  <c r="AL109" i="42"/>
  <c r="AB2267" i="37"/>
  <c r="I2322" i="37" s="1"/>
  <c r="I2328" i="37" s="1"/>
  <c r="S1738" i="50" s="1"/>
  <c r="T1740" i="50"/>
  <c r="I2289" i="37"/>
  <c r="W2289" i="37"/>
  <c r="AI2308" i="37"/>
  <c r="AI2310" i="37" s="1"/>
  <c r="AE2308" i="37"/>
  <c r="AE2310" i="37" s="1"/>
  <c r="AG2308" i="37"/>
  <c r="AG2310" i="37" s="1"/>
  <c r="Y2289" i="37"/>
  <c r="AD2308" i="37"/>
  <c r="AD2310" i="37" s="1"/>
  <c r="AE2337" i="37"/>
  <c r="AE2567" i="37" s="1"/>
  <c r="X2275" i="37"/>
  <c r="Z2275" i="37"/>
  <c r="AH2337" i="37"/>
  <c r="AH2567" i="37" s="1"/>
  <c r="AD2275" i="37"/>
  <c r="AF2308" i="37"/>
  <c r="AF2310" i="37" s="1"/>
  <c r="Y2275" i="37"/>
  <c r="V2289" i="37"/>
  <c r="J1635" i="50" s="1"/>
  <c r="AC2308" i="37"/>
  <c r="AC2275" i="37"/>
  <c r="AD2337" i="37"/>
  <c r="AD2567" i="37" s="1"/>
  <c r="AH2275" i="37"/>
  <c r="AC2337" i="37"/>
  <c r="AC2567" i="37" s="1"/>
  <c r="AE2275" i="37"/>
  <c r="Z2289" i="37"/>
  <c r="T2275" i="37"/>
  <c r="AI2275" i="37"/>
  <c r="AI2337" i="37"/>
  <c r="AI2567" i="37" s="1"/>
  <c r="AH2308" i="37"/>
  <c r="AH2310" i="37" s="1"/>
  <c r="AF2275" i="37"/>
  <c r="U2275" i="37"/>
  <c r="V2275" i="37"/>
  <c r="AF2337" i="37"/>
  <c r="AF2567" i="37" s="1"/>
  <c r="AG2275" i="37"/>
  <c r="X2289" i="37"/>
  <c r="W2275" i="37"/>
  <c r="AG2337" i="37"/>
  <c r="AG2567" i="37" s="1"/>
  <c r="M1698" i="50"/>
  <c r="M1684" i="50"/>
  <c r="M1726" i="50"/>
  <c r="M1644" i="50"/>
  <c r="M1656" i="50"/>
  <c r="M1670" i="50"/>
  <c r="J2474" i="50"/>
  <c r="AA342" i="42"/>
  <c r="AL372" i="42"/>
  <c r="X366" i="42"/>
  <c r="Y366" i="42"/>
  <c r="Z366" i="42"/>
  <c r="T366" i="42"/>
  <c r="U366" i="42"/>
  <c r="W366" i="42"/>
  <c r="V366" i="42"/>
  <c r="AF1840" i="37"/>
  <c r="AF1778" i="37"/>
  <c r="AF1801" i="37"/>
  <c r="AF1786" i="37"/>
  <c r="AF1787" i="37" s="1"/>
  <c r="AF1855" i="37"/>
  <c r="AF1917" i="37"/>
  <c r="AF1931" i="37"/>
  <c r="AF1827" i="37"/>
  <c r="AF1836" i="37"/>
  <c r="AF1837" i="37" s="1"/>
  <c r="AF1743" i="37"/>
  <c r="AF1744" i="37" s="1"/>
  <c r="AF1745" i="37" s="1"/>
  <c r="AF1746" i="37" s="1"/>
  <c r="AF1747" i="37" s="1"/>
  <c r="AF1748" i="37" s="1"/>
  <c r="AF1749" i="37" s="1"/>
  <c r="AF1750" i="37" s="1"/>
  <c r="AF1751" i="37" s="1"/>
  <c r="AF1752" i="37" s="1"/>
  <c r="I1648" i="37"/>
  <c r="I1654" i="37" s="1"/>
  <c r="S1406" i="50" s="1"/>
  <c r="I1406" i="50" s="1"/>
  <c r="P1023" i="50"/>
  <c r="AH3089" i="37"/>
  <c r="AH3031" i="37"/>
  <c r="AH3032" i="37" s="1"/>
  <c r="AH3033" i="37" s="1"/>
  <c r="AH3034" i="37" s="1"/>
  <c r="AH3035" i="37" s="1"/>
  <c r="AH3036" i="37" s="1"/>
  <c r="AH3037" i="37" s="1"/>
  <c r="AH3038" i="37" s="1"/>
  <c r="AH3039" i="37" s="1"/>
  <c r="AH3040" i="37" s="1"/>
  <c r="AH3074" i="37"/>
  <c r="AH3075" i="37" s="1"/>
  <c r="AH3143" i="37"/>
  <c r="AH3124" i="37"/>
  <c r="AH3125" i="37" s="1"/>
  <c r="AH3219" i="37"/>
  <c r="AH3066" i="37"/>
  <c r="AH3128" i="37"/>
  <c r="AH3205" i="37"/>
  <c r="AH3115" i="37"/>
  <c r="U3115" i="37"/>
  <c r="U3093" i="37"/>
  <c r="U3125" i="37"/>
  <c r="U3205" i="37"/>
  <c r="U3133" i="37"/>
  <c r="U2954" i="37"/>
  <c r="U3199" i="37"/>
  <c r="I3167" i="37"/>
  <c r="U3105" i="37"/>
  <c r="U3190" i="37"/>
  <c r="U3066" i="37"/>
  <c r="I2065" i="50"/>
  <c r="Z1036" i="42"/>
  <c r="Z1007" i="42"/>
  <c r="V1036" i="42"/>
  <c r="V1007" i="42"/>
  <c r="AG786" i="42"/>
  <c r="AG789" i="42" s="1"/>
  <c r="AG784" i="42"/>
  <c r="AG787" i="42" s="1"/>
  <c r="AG790" i="42" s="1"/>
  <c r="AL708" i="42"/>
  <c r="AL702" i="42"/>
  <c r="AL707" i="42"/>
  <c r="AL704" i="42"/>
  <c r="AL705" i="42"/>
  <c r="AA700" i="42"/>
  <c r="AC783" i="42"/>
  <c r="AL777" i="42"/>
  <c r="AL706" i="42"/>
  <c r="AH786" i="42"/>
  <c r="AH789" i="42" s="1"/>
  <c r="AH784" i="42"/>
  <c r="AH787" i="42" s="1"/>
  <c r="AH790" i="42" s="1"/>
  <c r="Y724" i="42"/>
  <c r="X724" i="42"/>
  <c r="T724" i="42"/>
  <c r="Z724" i="42"/>
  <c r="W724" i="42"/>
  <c r="U724" i="42"/>
  <c r="V724" i="42"/>
  <c r="H734" i="42"/>
  <c r="H783" i="42"/>
  <c r="H2317" i="50"/>
  <c r="I311" i="41"/>
  <c r="I399" i="50" s="1"/>
  <c r="N311" i="41"/>
  <c r="N399" i="50" s="1"/>
  <c r="H311" i="41"/>
  <c r="H399" i="50" s="1"/>
  <c r="M311" i="41"/>
  <c r="M399" i="50" s="1"/>
  <c r="J311" i="41"/>
  <c r="J399" i="50" s="1"/>
  <c r="L311" i="41"/>
  <c r="L399" i="50" s="1"/>
  <c r="K311" i="41"/>
  <c r="K399" i="50" s="1"/>
  <c r="N651" i="50"/>
  <c r="Z595" i="37"/>
  <c r="Z412" i="37"/>
  <c r="Z387" i="37"/>
  <c r="N357" i="37"/>
  <c r="M651" i="50"/>
  <c r="Y595" i="37"/>
  <c r="Y387" i="37"/>
  <c r="Y412" i="37"/>
  <c r="M357" i="37"/>
  <c r="K2379" i="50"/>
  <c r="W930" i="42"/>
  <c r="K930" i="42" s="1"/>
  <c r="K812" i="42"/>
  <c r="V910" i="42"/>
  <c r="U910" i="42"/>
  <c r="X910" i="42"/>
  <c r="Z910" i="42"/>
  <c r="T910" i="42"/>
  <c r="W910" i="42"/>
  <c r="Y910" i="42"/>
  <c r="S920" i="42"/>
  <c r="Y974" i="42"/>
  <c r="Y964" i="42"/>
  <c r="Y976" i="42"/>
  <c r="L66" i="37"/>
  <c r="L519" i="50" s="1"/>
  <c r="X68" i="37"/>
  <c r="X66" i="37"/>
  <c r="L520" i="50" s="1"/>
  <c r="L67" i="37"/>
  <c r="P994" i="50"/>
  <c r="Y1378" i="37"/>
  <c r="Y1353" i="37"/>
  <c r="Y1561" i="37"/>
  <c r="M1323" i="37"/>
  <c r="Y1136" i="42"/>
  <c r="Y1107" i="42"/>
  <c r="AF3205" i="37"/>
  <c r="AF3115" i="37"/>
  <c r="AF3089" i="37"/>
  <c r="AF3219" i="37"/>
  <c r="AF3074" i="37"/>
  <c r="AF3075" i="37" s="1"/>
  <c r="AF3143" i="37"/>
  <c r="AF3124" i="37"/>
  <c r="AF3125" i="37" s="1"/>
  <c r="AF3128" i="37"/>
  <c r="AF3031" i="37"/>
  <c r="AF3032" i="37" s="1"/>
  <c r="AF3033" i="37" s="1"/>
  <c r="AF3034" i="37" s="1"/>
  <c r="AF3035" i="37" s="1"/>
  <c r="AF3036" i="37" s="1"/>
  <c r="AF3037" i="37" s="1"/>
  <c r="AF3038" i="37" s="1"/>
  <c r="AF3039" i="37" s="1"/>
  <c r="AF3040" i="37" s="1"/>
  <c r="AF3066" i="37"/>
  <c r="J913" i="37"/>
  <c r="V839" i="37"/>
  <c r="V700" i="37"/>
  <c r="V879" i="37"/>
  <c r="V812" i="37"/>
  <c r="V951" i="37"/>
  <c r="V871" i="37"/>
  <c r="V851" i="37"/>
  <c r="V936" i="37"/>
  <c r="V861" i="37"/>
  <c r="V945" i="37"/>
  <c r="V743" i="37"/>
  <c r="V718" i="37"/>
  <c r="V688" i="37"/>
  <c r="AL108" i="42"/>
  <c r="N1098" i="42"/>
  <c r="W129" i="42"/>
  <c r="X129" i="42"/>
  <c r="V129" i="42"/>
  <c r="U129" i="42"/>
  <c r="T129" i="42"/>
  <c r="Y129" i="42"/>
  <c r="Z129" i="42"/>
  <c r="X132" i="42"/>
  <c r="W132" i="42"/>
  <c r="Z132" i="42"/>
  <c r="Y132" i="42"/>
  <c r="T132" i="42"/>
  <c r="V132" i="42"/>
  <c r="U132" i="42"/>
  <c r="N1707" i="50"/>
  <c r="N1642" i="50"/>
  <c r="N1682" i="50"/>
  <c r="N1654" i="50"/>
  <c r="N1665" i="50"/>
  <c r="N1724" i="50"/>
  <c r="I1886" i="37"/>
  <c r="I1892" i="37" s="1"/>
  <c r="I505" i="42"/>
  <c r="I511" i="42" s="1"/>
  <c r="S2281" i="50" s="1"/>
  <c r="I2281" i="50" s="1"/>
  <c r="Z587" i="42"/>
  <c r="Z591" i="42"/>
  <c r="Z552" i="42"/>
  <c r="Z511" i="42"/>
  <c r="Z599" i="42"/>
  <c r="Z595" i="42"/>
  <c r="Z603" i="42"/>
  <c r="P1843" i="50"/>
  <c r="L2474" i="50"/>
  <c r="L1098" i="42"/>
  <c r="K261" i="41"/>
  <c r="J261" i="41"/>
  <c r="N261" i="41"/>
  <c r="H261" i="41"/>
  <c r="M261" i="41"/>
  <c r="I261" i="41"/>
  <c r="L261" i="41"/>
  <c r="AL113" i="42"/>
  <c r="Y135" i="42"/>
  <c r="X135" i="42"/>
  <c r="W135" i="42"/>
  <c r="V135" i="42"/>
  <c r="T135" i="42"/>
  <c r="U135" i="42"/>
  <c r="Z135" i="42"/>
  <c r="V148" i="42"/>
  <c r="J148" i="42" s="1"/>
  <c r="N404" i="47"/>
  <c r="N1464" i="50"/>
  <c r="H1487" i="50"/>
  <c r="H1498" i="50" s="1"/>
  <c r="H1512" i="50" s="1"/>
  <c r="H1526" i="50" s="1"/>
  <c r="H1540" i="50" s="1"/>
  <c r="H1554" i="50" s="1"/>
  <c r="H1570" i="50" s="1"/>
  <c r="H1475" i="50"/>
  <c r="H1484" i="50" s="1"/>
  <c r="M1707" i="50"/>
  <c r="M1642" i="50"/>
  <c r="M1724" i="50"/>
  <c r="M1665" i="50"/>
  <c r="M1682" i="50"/>
  <c r="M1654" i="50"/>
  <c r="K1890" i="50"/>
  <c r="K1862" i="50"/>
  <c r="K1820" i="50"/>
  <c r="K1848" i="50"/>
  <c r="K1808" i="50"/>
  <c r="K1834" i="50"/>
  <c r="J227" i="50"/>
  <c r="L398" i="47"/>
  <c r="J1070" i="50"/>
  <c r="J1014" i="50"/>
  <c r="J988" i="50"/>
  <c r="J1028" i="50"/>
  <c r="J1000" i="50"/>
  <c r="J1042" i="50"/>
  <c r="L1800" i="50"/>
  <c r="L1841" i="50"/>
  <c r="L1799" i="50"/>
  <c r="AA345" i="42"/>
  <c r="AA351" i="42"/>
  <c r="AA347" i="42"/>
  <c r="AL344" i="42"/>
  <c r="AA350" i="42"/>
  <c r="AL351" i="42"/>
  <c r="K2196" i="50"/>
  <c r="W385" i="42"/>
  <c r="K385" i="42" s="1"/>
  <c r="N265" i="42"/>
  <c r="Z385" i="42"/>
  <c r="N385" i="42" s="1"/>
  <c r="N1644" i="50"/>
  <c r="N1656" i="50"/>
  <c r="N1684" i="50"/>
  <c r="N1670" i="50"/>
  <c r="N1698" i="50"/>
  <c r="N1726" i="50"/>
  <c r="AD1801" i="37"/>
  <c r="AD1836" i="37"/>
  <c r="AD1837" i="37" s="1"/>
  <c r="AD1917" i="37"/>
  <c r="AD1786" i="37"/>
  <c r="AD1787" i="37" s="1"/>
  <c r="AD1931" i="37"/>
  <c r="AD1827" i="37"/>
  <c r="AD1778" i="37"/>
  <c r="AD1743" i="37"/>
  <c r="AD1744" i="37" s="1"/>
  <c r="AD1745" i="37" s="1"/>
  <c r="AD1746" i="37" s="1"/>
  <c r="AD1747" i="37" s="1"/>
  <c r="AD1748" i="37" s="1"/>
  <c r="AD1749" i="37" s="1"/>
  <c r="AD1750" i="37" s="1"/>
  <c r="AD1751" i="37" s="1"/>
  <c r="AD1752" i="37" s="1"/>
  <c r="AD1855" i="37"/>
  <c r="AD1840" i="37"/>
  <c r="Z1883" i="37"/>
  <c r="N1645" i="37"/>
  <c r="Z1700" i="37"/>
  <c r="Z1675" i="37"/>
  <c r="AI1855" i="37"/>
  <c r="AI1931" i="37"/>
  <c r="AI1827" i="37"/>
  <c r="AI1840" i="37"/>
  <c r="AI1786" i="37"/>
  <c r="AI1787" i="37" s="1"/>
  <c r="AI1836" i="37"/>
  <c r="AI1837" i="37" s="1"/>
  <c r="AI1743" i="37"/>
  <c r="AI1744" i="37" s="1"/>
  <c r="AI1745" i="37" s="1"/>
  <c r="AI1746" i="37" s="1"/>
  <c r="AI1747" i="37" s="1"/>
  <c r="AI1748" i="37" s="1"/>
  <c r="AI1749" i="37" s="1"/>
  <c r="AI1750" i="37" s="1"/>
  <c r="AI1751" i="37" s="1"/>
  <c r="AI1752" i="37" s="1"/>
  <c r="AI1778" i="37"/>
  <c r="AI1917" i="37"/>
  <c r="AI1801" i="37"/>
  <c r="I1409" i="50"/>
  <c r="K2933" i="37"/>
  <c r="W2988" i="37"/>
  <c r="W2963" i="37"/>
  <c r="K2963" i="37" s="1"/>
  <c r="W3171" i="37"/>
  <c r="AK2919" i="37"/>
  <c r="T3105" i="37"/>
  <c r="T3093" i="37"/>
  <c r="T3133" i="37"/>
  <c r="T3199" i="37"/>
  <c r="H3167" i="37"/>
  <c r="T3115" i="37"/>
  <c r="T2954" i="37"/>
  <c r="T3205" i="37"/>
  <c r="T3125" i="37"/>
  <c r="T3066" i="37"/>
  <c r="T3190" i="37"/>
  <c r="J2443" i="50"/>
  <c r="M2435" i="50"/>
  <c r="M998" i="42"/>
  <c r="N264" i="41"/>
  <c r="N358" i="50" s="1"/>
  <c r="I264" i="41"/>
  <c r="I358" i="50" s="1"/>
  <c r="J264" i="41"/>
  <c r="J358" i="50" s="1"/>
  <c r="M264" i="41"/>
  <c r="M358" i="50" s="1"/>
  <c r="H264" i="41"/>
  <c r="H358" i="50" s="1"/>
  <c r="L264" i="41"/>
  <c r="L358" i="50" s="1"/>
  <c r="K264" i="41"/>
  <c r="K358" i="50" s="1"/>
  <c r="J1963" i="50"/>
  <c r="AA705" i="42"/>
  <c r="AA707" i="42"/>
  <c r="AL703" i="42"/>
  <c r="AA709" i="42"/>
  <c r="AD786" i="42"/>
  <c r="AD789" i="42" s="1"/>
  <c r="AD784" i="42"/>
  <c r="AD787" i="42" s="1"/>
  <c r="AD790" i="42" s="1"/>
  <c r="I783" i="42"/>
  <c r="I734" i="42"/>
  <c r="I2317" i="50"/>
  <c r="I2650" i="50" s="1"/>
  <c r="T723" i="42"/>
  <c r="X723" i="42"/>
  <c r="W723" i="42"/>
  <c r="V723" i="42"/>
  <c r="Y723" i="42"/>
  <c r="U723" i="42"/>
  <c r="S733" i="42"/>
  <c r="Z723" i="42"/>
  <c r="J2322" i="50"/>
  <c r="J625" i="42"/>
  <c r="V743" i="42"/>
  <c r="J743" i="42" s="1"/>
  <c r="E425" i="50"/>
  <c r="Q340" i="41"/>
  <c r="AK343" i="37"/>
  <c r="J671" i="50"/>
  <c r="J699" i="50"/>
  <c r="J724" i="50"/>
  <c r="J659" i="50"/>
  <c r="J713" i="50"/>
  <c r="J741" i="50"/>
  <c r="AL890" i="42"/>
  <c r="AC970" i="42"/>
  <c r="AL964" i="42"/>
  <c r="AD971" i="42"/>
  <c r="AD974" i="42" s="1"/>
  <c r="AD977" i="42" s="1"/>
  <c r="AD973" i="42"/>
  <c r="AD976" i="42" s="1"/>
  <c r="AF971" i="42"/>
  <c r="AF974" i="42" s="1"/>
  <c r="AF977" i="42" s="1"/>
  <c r="AF973" i="42"/>
  <c r="AF976" i="42" s="1"/>
  <c r="AA890" i="42"/>
  <c r="Z912" i="42"/>
  <c r="T912" i="42"/>
  <c r="Y912" i="42"/>
  <c r="W912" i="42"/>
  <c r="V912" i="42"/>
  <c r="U912" i="42"/>
  <c r="X912" i="42"/>
  <c r="T964" i="42"/>
  <c r="T976" i="42"/>
  <c r="T974" i="42"/>
  <c r="V974" i="42"/>
  <c r="V976" i="42"/>
  <c r="V964" i="42"/>
  <c r="K67" i="37"/>
  <c r="W66" i="37"/>
  <c r="K520" i="50" s="1"/>
  <c r="K66" i="37"/>
  <c r="K519" i="50" s="1"/>
  <c r="W68" i="37"/>
  <c r="V1353" i="37"/>
  <c r="J1353" i="37" s="1"/>
  <c r="V1561" i="37"/>
  <c r="V1378" i="37"/>
  <c r="J1378" i="37" s="1"/>
  <c r="J1323" i="37"/>
  <c r="V614" i="37"/>
  <c r="V549" i="37"/>
  <c r="V557" i="37"/>
  <c r="J591" i="37"/>
  <c r="V539" i="37"/>
  <c r="V396" i="37"/>
  <c r="W396" i="37" s="1"/>
  <c r="X396" i="37" s="1"/>
  <c r="Y396" i="37" s="1"/>
  <c r="V529" i="37"/>
  <c r="V490" i="37"/>
  <c r="V623" i="37"/>
  <c r="V517" i="37"/>
  <c r="V378" i="37"/>
  <c r="V629" i="37"/>
  <c r="V366" i="37"/>
  <c r="V421" i="37"/>
  <c r="U549" i="37"/>
  <c r="U557" i="37"/>
  <c r="I591" i="37"/>
  <c r="U378" i="37"/>
  <c r="U529" i="37"/>
  <c r="U623" i="37"/>
  <c r="U614" i="37"/>
  <c r="U517" i="37"/>
  <c r="U629" i="37"/>
  <c r="U539" i="37"/>
  <c r="U490" i="37"/>
  <c r="I753" i="50"/>
  <c r="AL891" i="42"/>
  <c r="AA896" i="42"/>
  <c r="AA892" i="42"/>
  <c r="X911" i="42"/>
  <c r="Y911" i="42"/>
  <c r="W911" i="42"/>
  <c r="V911" i="42"/>
  <c r="U911" i="42"/>
  <c r="Z911" i="42"/>
  <c r="T911" i="42"/>
  <c r="J682" i="50"/>
  <c r="J66" i="37"/>
  <c r="J519" i="50" s="1"/>
  <c r="J67" i="37"/>
  <c r="V68" i="37" s="1"/>
  <c r="J68" i="37" s="1"/>
  <c r="K68" i="37" s="1"/>
  <c r="V66" i="37"/>
  <c r="J684" i="50" s="1"/>
  <c r="J518" i="50"/>
  <c r="V1483" i="37"/>
  <c r="V1580" i="37"/>
  <c r="V1344" i="37"/>
  <c r="J1557" i="37"/>
  <c r="V1505" i="37"/>
  <c r="V1589" i="37"/>
  <c r="V1495" i="37"/>
  <c r="V1515" i="37"/>
  <c r="V1456" i="37"/>
  <c r="V1523" i="37"/>
  <c r="V1595" i="37"/>
  <c r="V1332" i="37"/>
  <c r="V1362" i="37"/>
  <c r="W1362" i="37" s="1"/>
  <c r="X1362" i="37" s="1"/>
  <c r="Y1362" i="37" s="1"/>
  <c r="V1387" i="37"/>
  <c r="AE1421" i="37"/>
  <c r="AE1422" i="37" s="1"/>
  <c r="AE1423" i="37" s="1"/>
  <c r="AE1424" i="37" s="1"/>
  <c r="AE1425" i="37" s="1"/>
  <c r="AE1426" i="37" s="1"/>
  <c r="AE1427" i="37" s="1"/>
  <c r="AE1428" i="37" s="1"/>
  <c r="AE1429" i="37" s="1"/>
  <c r="AE1430" i="37" s="1"/>
  <c r="AE1533" i="37"/>
  <c r="AE1505" i="37"/>
  <c r="AE1464" i="37"/>
  <c r="AE1465" i="37" s="1"/>
  <c r="AE1514" i="37"/>
  <c r="AE1515" i="37" s="1"/>
  <c r="AE1595" i="37"/>
  <c r="AE1609" i="37"/>
  <c r="AE1456" i="37"/>
  <c r="AE1479" i="37"/>
  <c r="AE1518" i="37"/>
  <c r="AC1505" i="37"/>
  <c r="AC1609" i="37"/>
  <c r="AC1514" i="37"/>
  <c r="AC1456" i="37"/>
  <c r="AC1421" i="37"/>
  <c r="AC1595" i="37"/>
  <c r="AC1464" i="37"/>
  <c r="AC1479" i="37"/>
  <c r="AC1533" i="37"/>
  <c r="AC1518" i="37"/>
  <c r="AK1371" i="37"/>
  <c r="AH1533" i="37"/>
  <c r="AH1479" i="37"/>
  <c r="AH1609" i="37"/>
  <c r="AH1421" i="37"/>
  <c r="AH1422" i="37" s="1"/>
  <c r="AH1423" i="37" s="1"/>
  <c r="AH1424" i="37" s="1"/>
  <c r="AH1425" i="37" s="1"/>
  <c r="AH1426" i="37" s="1"/>
  <c r="AH1427" i="37" s="1"/>
  <c r="AH1428" i="37" s="1"/>
  <c r="AH1429" i="37" s="1"/>
  <c r="AH1430" i="37" s="1"/>
  <c r="AH1505" i="37"/>
  <c r="AH1518" i="37"/>
  <c r="AH1514" i="37"/>
  <c r="AH1515" i="37" s="1"/>
  <c r="AH1595" i="37"/>
  <c r="AH1456" i="37"/>
  <c r="AH1464" i="37"/>
  <c r="AH1465" i="37" s="1"/>
  <c r="E395" i="50"/>
  <c r="Q307" i="41"/>
  <c r="E336" i="41"/>
  <c r="Z192" i="42"/>
  <c r="Z243" i="42"/>
  <c r="Z227" i="42"/>
  <c r="Z231" i="42"/>
  <c r="Z235" i="42"/>
  <c r="Z239" i="42"/>
  <c r="AC3066" i="37"/>
  <c r="AC3219" i="37"/>
  <c r="AC3143" i="37"/>
  <c r="AC3115" i="37"/>
  <c r="AC3205" i="37"/>
  <c r="AC3074" i="37"/>
  <c r="AK2981" i="37"/>
  <c r="AC3089" i="37"/>
  <c r="AC3031" i="37"/>
  <c r="AC3124" i="37"/>
  <c r="AC3128" i="37"/>
  <c r="Y731" i="42"/>
  <c r="Z731" i="42"/>
  <c r="X731" i="42"/>
  <c r="W731" i="42"/>
  <c r="V731" i="42"/>
  <c r="U731" i="42"/>
  <c r="T731" i="42"/>
  <c r="X777" i="42"/>
  <c r="X789" i="42"/>
  <c r="X787" i="42"/>
  <c r="J267" i="41"/>
  <c r="J361" i="50" s="1"/>
  <c r="I267" i="41"/>
  <c r="I361" i="50" s="1"/>
  <c r="K267" i="41"/>
  <c r="K361" i="50" s="1"/>
  <c r="L267" i="41"/>
  <c r="L361" i="50" s="1"/>
  <c r="N267" i="41"/>
  <c r="N361" i="50" s="1"/>
  <c r="M267" i="41"/>
  <c r="M361" i="50" s="1"/>
  <c r="H267" i="41"/>
  <c r="H361" i="50" s="1"/>
  <c r="AF562" i="42"/>
  <c r="AF572" i="42"/>
  <c r="AK665" i="37"/>
  <c r="K679" i="37"/>
  <c r="W709" i="37"/>
  <c r="W734" i="37"/>
  <c r="W917" i="37"/>
  <c r="AG777" i="37"/>
  <c r="AG778" i="37" s="1"/>
  <c r="AG779" i="37" s="1"/>
  <c r="AG780" i="37" s="1"/>
  <c r="AG781" i="37" s="1"/>
  <c r="AG782" i="37" s="1"/>
  <c r="AG783" i="37" s="1"/>
  <c r="AG784" i="37" s="1"/>
  <c r="AG785" i="37" s="1"/>
  <c r="AG786" i="37" s="1"/>
  <c r="AG812" i="37"/>
  <c r="AG965" i="37"/>
  <c r="AG861" i="37"/>
  <c r="AG870" i="37"/>
  <c r="AG871" i="37" s="1"/>
  <c r="AG874" i="37"/>
  <c r="AG820" i="37"/>
  <c r="AG821" i="37" s="1"/>
  <c r="AG951" i="37"/>
  <c r="AG889" i="37"/>
  <c r="AG835" i="37"/>
  <c r="AE870" i="37"/>
  <c r="AE871" i="37" s="1"/>
  <c r="AE812" i="37"/>
  <c r="AE889" i="37"/>
  <c r="AE820" i="37"/>
  <c r="AE821" i="37" s="1"/>
  <c r="AE965" i="37"/>
  <c r="AE874" i="37"/>
  <c r="AE951" i="37"/>
  <c r="AE861" i="37"/>
  <c r="AE777" i="37"/>
  <c r="AE778" i="37" s="1"/>
  <c r="AE779" i="37" s="1"/>
  <c r="AE780" i="37" s="1"/>
  <c r="AE781" i="37" s="1"/>
  <c r="AE782" i="37" s="1"/>
  <c r="AE783" i="37" s="1"/>
  <c r="AE784" i="37" s="1"/>
  <c r="AE785" i="37" s="1"/>
  <c r="AE786" i="37" s="1"/>
  <c r="AE835" i="37"/>
  <c r="N316" i="41"/>
  <c r="N404" i="50" s="1"/>
  <c r="H316" i="41"/>
  <c r="H404" i="50" s="1"/>
  <c r="M316" i="41"/>
  <c r="M404" i="50" s="1"/>
  <c r="L316" i="41"/>
  <c r="L404" i="50" s="1"/>
  <c r="K316" i="41"/>
  <c r="K404" i="50" s="1"/>
  <c r="J316" i="41"/>
  <c r="J404" i="50" s="1"/>
  <c r="I316" i="41"/>
  <c r="I404" i="50" s="1"/>
  <c r="K220" i="47"/>
  <c r="X1136" i="42"/>
  <c r="X1107" i="42"/>
  <c r="K1098" i="42"/>
  <c r="AA105" i="42"/>
  <c r="AL106" i="42"/>
  <c r="M2129" i="50"/>
  <c r="M28" i="42"/>
  <c r="Y148" i="42"/>
  <c r="M148" i="42" s="1"/>
  <c r="Y134" i="42"/>
  <c r="X134" i="42"/>
  <c r="T134" i="42"/>
  <c r="W134" i="42"/>
  <c r="U134" i="42"/>
  <c r="Z134" i="42"/>
  <c r="V134" i="42"/>
  <c r="W239" i="42"/>
  <c r="W227" i="42"/>
  <c r="W235" i="42"/>
  <c r="W192" i="42"/>
  <c r="W231" i="42"/>
  <c r="W243" i="42"/>
  <c r="I227" i="50"/>
  <c r="E397" i="50"/>
  <c r="E338" i="41"/>
  <c r="Q309" i="41"/>
  <c r="AL371" i="42"/>
  <c r="AL348" i="42"/>
  <c r="AA349" i="42"/>
  <c r="T472" i="42"/>
  <c r="T480" i="42"/>
  <c r="T468" i="42"/>
  <c r="T464" i="42"/>
  <c r="T429" i="42"/>
  <c r="T476" i="42"/>
  <c r="M2196" i="50"/>
  <c r="Y385" i="42"/>
  <c r="M385" i="42" s="1"/>
  <c r="M265" i="42"/>
  <c r="W1917" i="37"/>
  <c r="W1709" i="37"/>
  <c r="W1827" i="37"/>
  <c r="W1817" i="37"/>
  <c r="W1837" i="37"/>
  <c r="W1902" i="37"/>
  <c r="W1778" i="37"/>
  <c r="K1879" i="37"/>
  <c r="W1654" i="37"/>
  <c r="W1911" i="37"/>
  <c r="W1805" i="37"/>
  <c r="W1845" i="37"/>
  <c r="W1666" i="37"/>
  <c r="AK1631" i="37"/>
  <c r="I1703" i="37"/>
  <c r="I1709" i="37" s="1"/>
  <c r="S1407" i="50" s="1"/>
  <c r="I1407" i="50" s="1"/>
  <c r="P830" i="50"/>
  <c r="L1998" i="37"/>
  <c r="X1998" i="37"/>
  <c r="L1999" i="37"/>
  <c r="X2000" i="37" s="1"/>
  <c r="L2000" i="37" s="1"/>
  <c r="AG3205" i="37"/>
  <c r="AG3031" i="37"/>
  <c r="AG3032" i="37" s="1"/>
  <c r="AG3033" i="37" s="1"/>
  <c r="AG3034" i="37" s="1"/>
  <c r="AG3035" i="37" s="1"/>
  <c r="AG3036" i="37" s="1"/>
  <c r="AG3037" i="37" s="1"/>
  <c r="AG3038" i="37" s="1"/>
  <c r="AG3039" i="37" s="1"/>
  <c r="AG3040" i="37" s="1"/>
  <c r="AG3115" i="37"/>
  <c r="AG3124" i="37"/>
  <c r="AG3125" i="37" s="1"/>
  <c r="AG3074" i="37"/>
  <c r="AG3075" i="37" s="1"/>
  <c r="AG3128" i="37"/>
  <c r="AG3089" i="37"/>
  <c r="AG3066" i="37"/>
  <c r="AG3219" i="37"/>
  <c r="AG3143" i="37"/>
  <c r="V3105" i="37"/>
  <c r="V2954" i="37"/>
  <c r="V2972" i="37"/>
  <c r="J3167" i="37"/>
  <c r="V3125" i="37"/>
  <c r="V3093" i="37"/>
  <c r="V3115" i="37"/>
  <c r="V3133" i="37"/>
  <c r="V2942" i="37"/>
  <c r="V3066" i="37"/>
  <c r="V3199" i="37"/>
  <c r="V3205" i="37"/>
  <c r="V3190" i="37"/>
  <c r="V2997" i="37"/>
  <c r="P1515" i="50"/>
  <c r="J1216" i="50"/>
  <c r="J1191" i="50"/>
  <c r="J1163" i="50"/>
  <c r="J1205" i="50"/>
  <c r="J1151" i="50"/>
  <c r="J1233" i="50"/>
  <c r="AL730" i="42"/>
  <c r="AA702" i="42"/>
  <c r="AL700" i="42"/>
  <c r="M2322" i="50"/>
  <c r="M625" i="42"/>
  <c r="Y743" i="42"/>
  <c r="M743" i="42" s="1"/>
  <c r="U777" i="42"/>
  <c r="U787" i="42"/>
  <c r="U789" i="42"/>
  <c r="K1644" i="50"/>
  <c r="K1698" i="50"/>
  <c r="K1670" i="50"/>
  <c r="K1684" i="50"/>
  <c r="K1656" i="50"/>
  <c r="K1726" i="50"/>
  <c r="AH498" i="37"/>
  <c r="AH499" i="37" s="1"/>
  <c r="AH567" i="37"/>
  <c r="AH629" i="37"/>
  <c r="AH490" i="37"/>
  <c r="AH548" i="37"/>
  <c r="AH549" i="37" s="1"/>
  <c r="AH552" i="37"/>
  <c r="AH455" i="37"/>
  <c r="AH456" i="37" s="1"/>
  <c r="AH457" i="37" s="1"/>
  <c r="AH458" i="37" s="1"/>
  <c r="AH459" i="37" s="1"/>
  <c r="AH460" i="37" s="1"/>
  <c r="AH461" i="37" s="1"/>
  <c r="AH462" i="37" s="1"/>
  <c r="AH463" i="37" s="1"/>
  <c r="AH464" i="37" s="1"/>
  <c r="AH643" i="37"/>
  <c r="AH539" i="37"/>
  <c r="AH513" i="37"/>
  <c r="W490" i="37"/>
  <c r="W557" i="37"/>
  <c r="W623" i="37"/>
  <c r="W614" i="37"/>
  <c r="W549" i="37"/>
  <c r="W378" i="37"/>
  <c r="K591" i="37"/>
  <c r="W539" i="37"/>
  <c r="W629" i="37"/>
  <c r="W517" i="37"/>
  <c r="W529" i="37"/>
  <c r="W366" i="37"/>
  <c r="W421" i="37"/>
  <c r="X378" i="37"/>
  <c r="X517" i="37"/>
  <c r="X529" i="37"/>
  <c r="X490" i="37"/>
  <c r="X623" i="37"/>
  <c r="L591" i="37"/>
  <c r="X614" i="37"/>
  <c r="X629" i="37"/>
  <c r="X539" i="37"/>
  <c r="X557" i="37"/>
  <c r="X549" i="37"/>
  <c r="X421" i="37"/>
  <c r="X366" i="37"/>
  <c r="AL917" i="42"/>
  <c r="AL887" i="42"/>
  <c r="AL916" i="42"/>
  <c r="AA895" i="42"/>
  <c r="AH973" i="42"/>
  <c r="AH976" i="42" s="1"/>
  <c r="AH971" i="42"/>
  <c r="AH974" i="42" s="1"/>
  <c r="AH977" i="42" s="1"/>
  <c r="J812" i="42"/>
  <c r="V930" i="42"/>
  <c r="J930" i="42" s="1"/>
  <c r="X976" i="42"/>
  <c r="X964" i="42"/>
  <c r="X974" i="42"/>
  <c r="X913" i="42"/>
  <c r="Z913" i="42"/>
  <c r="W913" i="42"/>
  <c r="Y913" i="42"/>
  <c r="V913" i="42"/>
  <c r="T913" i="42"/>
  <c r="U913" i="42"/>
  <c r="M66" i="37"/>
  <c r="M519" i="50" s="1"/>
  <c r="Y68" i="37"/>
  <c r="Y66" i="37"/>
  <c r="M520" i="50" s="1"/>
  <c r="M67" i="37"/>
  <c r="E344" i="41"/>
  <c r="E403" i="50"/>
  <c r="Q315" i="41"/>
  <c r="L518" i="50"/>
  <c r="J1636" i="50"/>
  <c r="X1523" i="37"/>
  <c r="X1505" i="37"/>
  <c r="X1456" i="37"/>
  <c r="X1595" i="37"/>
  <c r="X1580" i="37"/>
  <c r="X1589" i="37"/>
  <c r="X1495" i="37"/>
  <c r="X1515" i="37"/>
  <c r="X1344" i="37"/>
  <c r="X1483" i="37"/>
  <c r="L1557" i="37"/>
  <c r="X1387" i="37"/>
  <c r="X1332" i="37"/>
  <c r="Y1595" i="37"/>
  <c r="Y1456" i="37"/>
  <c r="Y1523" i="37"/>
  <c r="Y1505" i="37"/>
  <c r="Y1483" i="37"/>
  <c r="M1557" i="37"/>
  <c r="Y1515" i="37"/>
  <c r="Y1344" i="37"/>
  <c r="Y1495" i="37"/>
  <c r="Y1580" i="37"/>
  <c r="Y1589" i="37"/>
  <c r="Y1332" i="37"/>
  <c r="Y1387" i="37"/>
  <c r="AD1595" i="37"/>
  <c r="AD1421" i="37"/>
  <c r="AD1422" i="37" s="1"/>
  <c r="AD1423" i="37" s="1"/>
  <c r="AD1424" i="37" s="1"/>
  <c r="AD1425" i="37" s="1"/>
  <c r="AD1426" i="37" s="1"/>
  <c r="AD1427" i="37" s="1"/>
  <c r="AD1428" i="37" s="1"/>
  <c r="AD1429" i="37" s="1"/>
  <c r="AD1430" i="37" s="1"/>
  <c r="AD1533" i="37"/>
  <c r="AD1514" i="37"/>
  <c r="AD1515" i="37" s="1"/>
  <c r="AD1518" i="37"/>
  <c r="AD1609" i="37"/>
  <c r="AD1479" i="37"/>
  <c r="AD1505" i="37"/>
  <c r="AD1464" i="37"/>
  <c r="AD1465" i="37" s="1"/>
  <c r="AD1456" i="37"/>
  <c r="AG1464" i="37"/>
  <c r="AG1465" i="37" s="1"/>
  <c r="AG1456" i="37"/>
  <c r="AG1421" i="37"/>
  <c r="AG1422" i="37" s="1"/>
  <c r="AG1423" i="37" s="1"/>
  <c r="AG1424" i="37" s="1"/>
  <c r="AG1425" i="37" s="1"/>
  <c r="AG1426" i="37" s="1"/>
  <c r="AG1427" i="37" s="1"/>
  <c r="AG1428" i="37" s="1"/>
  <c r="AG1429" i="37" s="1"/>
  <c r="AG1430" i="37" s="1"/>
  <c r="AG1514" i="37"/>
  <c r="AG1515" i="37" s="1"/>
  <c r="AG1479" i="37"/>
  <c r="AG1609" i="37"/>
  <c r="AG1595" i="37"/>
  <c r="AG1533" i="37"/>
  <c r="AG1518" i="37"/>
  <c r="AG1505" i="37"/>
  <c r="K1971" i="50" l="1"/>
  <c r="L1369" i="50"/>
  <c r="M1327" i="50"/>
  <c r="J2025" i="50"/>
  <c r="N2036" i="50"/>
  <c r="M1397" i="50"/>
  <c r="J1983" i="50"/>
  <c r="J2036" i="50"/>
  <c r="J1971" i="50"/>
  <c r="N2053" i="50"/>
  <c r="J2053" i="50"/>
  <c r="N2025" i="50"/>
  <c r="N1971" i="50"/>
  <c r="M1355" i="50"/>
  <c r="M1369" i="50"/>
  <c r="M1315" i="50"/>
  <c r="L1315" i="50"/>
  <c r="L1380" i="50"/>
  <c r="L1397" i="50"/>
  <c r="L1355" i="50"/>
  <c r="L2025" i="50"/>
  <c r="L1503" i="50"/>
  <c r="J1969" i="50"/>
  <c r="L1504" i="50"/>
  <c r="J2009" i="50"/>
  <c r="J2020" i="50"/>
  <c r="J2034" i="50"/>
  <c r="J1992" i="50"/>
  <c r="K2025" i="50"/>
  <c r="K1369" i="50"/>
  <c r="K2011" i="50"/>
  <c r="N1369" i="50"/>
  <c r="K1983" i="50"/>
  <c r="N1327" i="50"/>
  <c r="K2053" i="50"/>
  <c r="N1175" i="50"/>
  <c r="J683" i="50"/>
  <c r="AK2245" i="37"/>
  <c r="N683" i="50"/>
  <c r="J1397" i="50"/>
  <c r="AK2889" i="37"/>
  <c r="M1340" i="50"/>
  <c r="M683" i="50"/>
  <c r="L2053" i="50"/>
  <c r="J1369" i="50"/>
  <c r="AK2567" i="37"/>
  <c r="L1995" i="50"/>
  <c r="K684" i="50"/>
  <c r="K683" i="50"/>
  <c r="K1175" i="50"/>
  <c r="L684" i="50"/>
  <c r="L2036" i="50"/>
  <c r="J1355" i="50"/>
  <c r="M684" i="50"/>
  <c r="L2011" i="50"/>
  <c r="J1315" i="50"/>
  <c r="M1995" i="50"/>
  <c r="M1996" i="50"/>
  <c r="L683" i="50"/>
  <c r="N1176" i="50"/>
  <c r="M1176" i="50"/>
  <c r="N1340" i="50"/>
  <c r="M1339" i="50"/>
  <c r="K1176" i="50"/>
  <c r="L1971" i="50"/>
  <c r="J1327" i="50"/>
  <c r="AK313" i="37"/>
  <c r="AK1279" i="37"/>
  <c r="L1175" i="50"/>
  <c r="L1996" i="50"/>
  <c r="N684" i="50"/>
  <c r="N1995" i="50"/>
  <c r="N1996" i="50"/>
  <c r="L1176" i="50"/>
  <c r="N1339" i="50"/>
  <c r="M1175" i="50"/>
  <c r="J832" i="50"/>
  <c r="K1315" i="50"/>
  <c r="N1397" i="50"/>
  <c r="K1355" i="50"/>
  <c r="N1355" i="50"/>
  <c r="K1380" i="50"/>
  <c r="N1380" i="50"/>
  <c r="AK1684" i="37"/>
  <c r="K1327" i="50"/>
  <c r="J1171" i="50"/>
  <c r="J1213" i="50"/>
  <c r="M2025" i="50"/>
  <c r="J1148" i="50"/>
  <c r="M2036" i="50"/>
  <c r="J1199" i="50"/>
  <c r="M1971" i="50"/>
  <c r="J1160" i="50"/>
  <c r="M1983" i="50"/>
  <c r="M2053" i="50"/>
  <c r="L293" i="50"/>
  <c r="J820" i="50"/>
  <c r="J843" i="50"/>
  <c r="J885" i="50"/>
  <c r="J899" i="50"/>
  <c r="V407" i="47"/>
  <c r="W407" i="47" s="1"/>
  <c r="X407" i="47" s="1"/>
  <c r="Y407" i="47" s="1"/>
  <c r="Z407" i="47" s="1"/>
  <c r="J2326" i="50"/>
  <c r="J2327" i="50" s="1"/>
  <c r="G2317" i="50"/>
  <c r="K167" i="41"/>
  <c r="K296" i="50" s="1"/>
  <c r="K424" i="41"/>
  <c r="K427" i="41" s="1"/>
  <c r="K434" i="41" s="1"/>
  <c r="J905" i="50"/>
  <c r="J888" i="50"/>
  <c r="K293" i="50"/>
  <c r="M293" i="50"/>
  <c r="H424" i="41"/>
  <c r="H423" i="41" s="1"/>
  <c r="H426" i="41" s="1"/>
  <c r="H433" i="41" s="1"/>
  <c r="H193" i="41" s="1"/>
  <c r="M170" i="41"/>
  <c r="M299" i="50" s="1"/>
  <c r="M167" i="41"/>
  <c r="M296" i="50" s="1"/>
  <c r="H293" i="50"/>
  <c r="H167" i="41"/>
  <c r="H296" i="50" s="1"/>
  <c r="I424" i="41"/>
  <c r="I167" i="41"/>
  <c r="I296" i="50" s="1"/>
  <c r="I170" i="41"/>
  <c r="I299" i="50" s="1"/>
  <c r="J1561" i="37"/>
  <c r="J1562" i="37" s="1"/>
  <c r="L170" i="41"/>
  <c r="L299" i="50" s="1"/>
  <c r="J877" i="50"/>
  <c r="J823" i="50"/>
  <c r="J863" i="50"/>
  <c r="L424" i="41"/>
  <c r="L427" i="41" s="1"/>
  <c r="L434" i="41" s="1"/>
  <c r="K231" i="50"/>
  <c r="I2223" i="50"/>
  <c r="N424" i="41"/>
  <c r="N427" i="41" s="1"/>
  <c r="N434" i="41" s="1"/>
  <c r="J424" i="41"/>
  <c r="J427" i="41" s="1"/>
  <c r="J434" i="41" s="1"/>
  <c r="G2431" i="50"/>
  <c r="N293" i="50"/>
  <c r="J167" i="41"/>
  <c r="J296" i="50" s="1"/>
  <c r="J2439" i="50"/>
  <c r="J2440" i="50" s="1"/>
  <c r="N167" i="41"/>
  <c r="N296" i="50" s="1"/>
  <c r="J293" i="50"/>
  <c r="J2200" i="50"/>
  <c r="J2201" i="50" s="1"/>
  <c r="H94" i="50"/>
  <c r="L231" i="50"/>
  <c r="I1082" i="50"/>
  <c r="J1069" i="50" s="1"/>
  <c r="J999" i="42"/>
  <c r="J2444" i="50" s="1"/>
  <c r="H102" i="50"/>
  <c r="H122" i="50" s="1"/>
  <c r="I97" i="50"/>
  <c r="I117" i="50" s="1"/>
  <c r="H96" i="50"/>
  <c r="H116" i="50" s="1"/>
  <c r="I96" i="50"/>
  <c r="I116" i="50" s="1"/>
  <c r="AK3066" i="37"/>
  <c r="S1248" i="50"/>
  <c r="I94" i="50"/>
  <c r="I106" i="50"/>
  <c r="I2411" i="50" s="1"/>
  <c r="H97" i="50"/>
  <c r="H117" i="50" s="1"/>
  <c r="H235" i="50"/>
  <c r="I93" i="50"/>
  <c r="I113" i="50" s="1"/>
  <c r="S920" i="50"/>
  <c r="H93" i="50"/>
  <c r="J234" i="50"/>
  <c r="AG1586" i="37"/>
  <c r="AG1587" i="37" s="1"/>
  <c r="AG1577" i="37"/>
  <c r="AG1578" i="37" s="1"/>
  <c r="AG1580" i="37" s="1"/>
  <c r="AG1542" i="37"/>
  <c r="AG1534" i="37"/>
  <c r="AG1536" i="37" s="1"/>
  <c r="AG1589" i="37" s="1"/>
  <c r="I2406" i="50"/>
  <c r="G2374" i="50"/>
  <c r="J2383" i="50"/>
  <c r="J2384" i="50" s="1"/>
  <c r="AH525" i="37"/>
  <c r="AH514" i="37"/>
  <c r="AH568" i="37"/>
  <c r="AH570" i="37" s="1"/>
  <c r="AH623" i="37" s="1"/>
  <c r="AH620" i="37"/>
  <c r="AH621" i="37" s="1"/>
  <c r="AH576" i="37"/>
  <c r="AH611" i="37"/>
  <c r="AH612" i="37" s="1"/>
  <c r="AH614" i="37" s="1"/>
  <c r="M2330" i="50"/>
  <c r="M626" i="42"/>
  <c r="Y628" i="42"/>
  <c r="Y627" i="42"/>
  <c r="M2332" i="50" s="1"/>
  <c r="J886" i="50"/>
  <c r="J861" i="50"/>
  <c r="J844" i="50"/>
  <c r="J872" i="50"/>
  <c r="J821" i="50"/>
  <c r="J833" i="50"/>
  <c r="AG3223" i="37"/>
  <c r="AG3220" i="37"/>
  <c r="AG3224" i="37" s="1"/>
  <c r="AG875" i="37"/>
  <c r="AG878" i="37"/>
  <c r="AG879" i="37" s="1"/>
  <c r="K734" i="37"/>
  <c r="AK3089" i="37"/>
  <c r="AC3101" i="37"/>
  <c r="AC3090" i="37"/>
  <c r="AC1515" i="37"/>
  <c r="AK1514" i="37"/>
  <c r="I784" i="42"/>
  <c r="I2357" i="50" s="1"/>
  <c r="I2356" i="50"/>
  <c r="I240" i="50" s="1"/>
  <c r="J1354" i="50"/>
  <c r="J1337" i="50"/>
  <c r="J1396" i="50"/>
  <c r="J1379" i="50"/>
  <c r="J1326" i="50"/>
  <c r="J1314" i="50"/>
  <c r="AI1841" i="37"/>
  <c r="AI1844" i="37"/>
  <c r="AI1845" i="37" s="1"/>
  <c r="AD1844" i="37"/>
  <c r="AD1845" i="37" s="1"/>
  <c r="AD1841" i="37"/>
  <c r="Z386" i="42"/>
  <c r="N386" i="42"/>
  <c r="N2214" i="50" s="1"/>
  <c r="N2213" i="50"/>
  <c r="K230" i="50"/>
  <c r="J149" i="42"/>
  <c r="J2147" i="50" s="1"/>
  <c r="V149" i="42"/>
  <c r="J2146" i="50"/>
  <c r="G2258" i="50"/>
  <c r="I2282" i="50"/>
  <c r="J2266" i="50"/>
  <c r="J2267" i="50" s="1"/>
  <c r="AF3187" i="37"/>
  <c r="AF3188" i="37" s="1"/>
  <c r="AF3190" i="37" s="1"/>
  <c r="AF3152" i="37"/>
  <c r="AF3144" i="37"/>
  <c r="AF3146" i="37" s="1"/>
  <c r="AF3199" i="37" s="1"/>
  <c r="AF3196" i="37"/>
  <c r="AF3197" i="37" s="1"/>
  <c r="M1378" i="37"/>
  <c r="K2387" i="50"/>
  <c r="K813" i="42"/>
  <c r="W815" i="42"/>
  <c r="W814" i="42"/>
  <c r="K2389" i="50" s="1"/>
  <c r="H784" i="42"/>
  <c r="H2357" i="50" s="1"/>
  <c r="H2356" i="50"/>
  <c r="H240" i="50" s="1"/>
  <c r="AG2561" i="37"/>
  <c r="AG2575" i="37"/>
  <c r="AG2387" i="37"/>
  <c r="AG2388" i="37" s="1"/>
  <c r="AG2389" i="37" s="1"/>
  <c r="AG2390" i="37" s="1"/>
  <c r="AG2391" i="37" s="1"/>
  <c r="AG2392" i="37" s="1"/>
  <c r="AG2393" i="37" s="1"/>
  <c r="AG2394" i="37" s="1"/>
  <c r="AG2395" i="37" s="1"/>
  <c r="AG2396" i="37" s="1"/>
  <c r="AG2445" i="37"/>
  <c r="AG2499" i="37"/>
  <c r="AG2480" i="37"/>
  <c r="AG2481" i="37" s="1"/>
  <c r="AG2471" i="37"/>
  <c r="AG2484" i="37"/>
  <c r="AG2430" i="37"/>
  <c r="AG2431" i="37" s="1"/>
  <c r="AG2422" i="37"/>
  <c r="AD2387" i="37"/>
  <c r="AD2388" i="37" s="1"/>
  <c r="AD2389" i="37" s="1"/>
  <c r="AD2390" i="37" s="1"/>
  <c r="AD2391" i="37" s="1"/>
  <c r="AD2392" i="37" s="1"/>
  <c r="AD2393" i="37" s="1"/>
  <c r="AD2394" i="37" s="1"/>
  <c r="AD2395" i="37" s="1"/>
  <c r="AD2396" i="37" s="1"/>
  <c r="AD2480" i="37"/>
  <c r="AD2481" i="37" s="1"/>
  <c r="AD2499" i="37"/>
  <c r="AD2575" i="37"/>
  <c r="AD2445" i="37"/>
  <c r="AD2471" i="37"/>
  <c r="AD2484" i="37"/>
  <c r="AD2561" i="37"/>
  <c r="AD2422" i="37"/>
  <c r="AD2430" i="37"/>
  <c r="AD2431" i="37" s="1"/>
  <c r="Z2546" i="37"/>
  <c r="Z2461" i="37"/>
  <c r="Z2561" i="37"/>
  <c r="Z2555" i="37"/>
  <c r="Z2449" i="37"/>
  <c r="Z2471" i="37"/>
  <c r="Z2328" i="37"/>
  <c r="Z2422" i="37"/>
  <c r="Z2489" i="37"/>
  <c r="N2523" i="37"/>
  <c r="Z2353" i="37"/>
  <c r="Z2310" i="37"/>
  <c r="Z2298" i="37"/>
  <c r="Z2481" i="37"/>
  <c r="W2344" i="37"/>
  <c r="W2527" i="37"/>
  <c r="W2319" i="37"/>
  <c r="K2289" i="37"/>
  <c r="M917" i="37"/>
  <c r="I235" i="50"/>
  <c r="AD576" i="37"/>
  <c r="AD568" i="37"/>
  <c r="AD570" i="37" s="1"/>
  <c r="AD623" i="37" s="1"/>
  <c r="AD611" i="37"/>
  <c r="AD612" i="37" s="1"/>
  <c r="AD614" i="37" s="1"/>
  <c r="AD620" i="37"/>
  <c r="AD621" i="37" s="1"/>
  <c r="AF553" i="37"/>
  <c r="AF556" i="37"/>
  <c r="AF557" i="37" s="1"/>
  <c r="J358" i="37"/>
  <c r="AE176" i="37"/>
  <c r="AE177" i="37" s="1"/>
  <c r="AE245" i="37"/>
  <c r="AE321" i="37"/>
  <c r="AE226" i="37"/>
  <c r="AE227" i="37" s="1"/>
  <c r="AE307" i="37"/>
  <c r="AE191" i="37"/>
  <c r="AE217" i="37"/>
  <c r="AE230" i="37"/>
  <c r="AE168" i="37"/>
  <c r="AE133" i="37"/>
  <c r="AE134" i="37" s="1"/>
  <c r="AE135" i="37" s="1"/>
  <c r="AE136" i="37" s="1"/>
  <c r="AE137" i="37" s="1"/>
  <c r="AE138" i="37" s="1"/>
  <c r="AE139" i="37" s="1"/>
  <c r="AE140" i="37" s="1"/>
  <c r="AE141" i="37" s="1"/>
  <c r="AE142" i="37" s="1"/>
  <c r="AC56" i="37"/>
  <c r="AK56" i="37" s="1"/>
  <c r="AK54" i="37"/>
  <c r="N487" i="50"/>
  <c r="N35" i="37"/>
  <c r="N1320" i="50" s="1"/>
  <c r="Z65" i="37"/>
  <c r="Z273" i="37"/>
  <c r="Z90" i="37"/>
  <c r="V207" i="37"/>
  <c r="V301" i="37"/>
  <c r="V74" i="37"/>
  <c r="W74" i="37" s="1"/>
  <c r="X74" i="37" s="1"/>
  <c r="Y74" i="37" s="1"/>
  <c r="V195" i="37"/>
  <c r="V217" i="37"/>
  <c r="J269" i="37"/>
  <c r="V56" i="37"/>
  <c r="V235" i="37"/>
  <c r="V168" i="37"/>
  <c r="V227" i="37"/>
  <c r="V292" i="37"/>
  <c r="V307" i="37"/>
  <c r="V44" i="37"/>
  <c r="V99" i="37"/>
  <c r="I38" i="37"/>
  <c r="I44" i="37" s="1"/>
  <c r="S586" i="50" s="1"/>
  <c r="I586" i="50" s="1"/>
  <c r="T1988" i="37"/>
  <c r="T2100" i="37"/>
  <c r="T2167" i="37"/>
  <c r="H2201" i="37"/>
  <c r="T2149" i="37"/>
  <c r="T2239" i="37"/>
  <c r="T2159" i="37"/>
  <c r="T2233" i="37"/>
  <c r="T2224" i="37"/>
  <c r="T2127" i="37"/>
  <c r="H101" i="50" s="1"/>
  <c r="T2139" i="37"/>
  <c r="AK1953" i="37"/>
  <c r="AI2158" i="37"/>
  <c r="AI2159" i="37" s="1"/>
  <c r="AI2100" i="37"/>
  <c r="AI2149" i="37"/>
  <c r="AI2065" i="37"/>
  <c r="AI2066" i="37" s="1"/>
  <c r="AI2067" i="37" s="1"/>
  <c r="AI2068" i="37" s="1"/>
  <c r="AI2069" i="37" s="1"/>
  <c r="AI2070" i="37" s="1"/>
  <c r="AI2071" i="37" s="1"/>
  <c r="AI2072" i="37" s="1"/>
  <c r="AI2073" i="37" s="1"/>
  <c r="AI2074" i="37" s="1"/>
  <c r="AI2177" i="37"/>
  <c r="AI2162" i="37"/>
  <c r="AI2123" i="37"/>
  <c r="AI2108" i="37"/>
  <c r="AI2109" i="37" s="1"/>
  <c r="AI2239" i="37"/>
  <c r="AI2253" i="37"/>
  <c r="W2205" i="37"/>
  <c r="W1997" i="37"/>
  <c r="K1997" i="37" s="1"/>
  <c r="K1967" i="37"/>
  <c r="W2022" i="37"/>
  <c r="AE440" i="42"/>
  <c r="AE442" i="42"/>
  <c r="AE463" i="42"/>
  <c r="AE467" i="42" s="1"/>
  <c r="AE471" i="42" s="1"/>
  <c r="AE475" i="42" s="1"/>
  <c r="AE479" i="42" s="1"/>
  <c r="J2478" i="50"/>
  <c r="J2479" i="50" s="1"/>
  <c r="G2470" i="50"/>
  <c r="I2494" i="50"/>
  <c r="N709" i="37"/>
  <c r="AH875" i="37"/>
  <c r="AH878" i="37"/>
  <c r="AH879" i="37" s="1"/>
  <c r="AI1491" i="37"/>
  <c r="AI1480" i="37"/>
  <c r="H971" i="42"/>
  <c r="H2414" i="50" s="1"/>
  <c r="H2413" i="50"/>
  <c r="H241" i="50" s="1"/>
  <c r="AE514" i="37"/>
  <c r="AE525" i="37"/>
  <c r="N2443" i="50"/>
  <c r="N999" i="42"/>
  <c r="N2444" i="50" s="1"/>
  <c r="Z1001" i="42"/>
  <c r="Z999" i="42"/>
  <c r="N1000" i="42" s="1"/>
  <c r="Z1000" i="42"/>
  <c r="N2445" i="50" s="1"/>
  <c r="AD3187" i="37"/>
  <c r="AD3188" i="37" s="1"/>
  <c r="AD3190" i="37" s="1"/>
  <c r="AD3152" i="37"/>
  <c r="AD3196" i="37"/>
  <c r="AD3197" i="37" s="1"/>
  <c r="AD3144" i="37"/>
  <c r="AD3146" i="37" s="1"/>
  <c r="AD3199" i="37" s="1"/>
  <c r="AG1841" i="37"/>
  <c r="AG1844" i="37"/>
  <c r="AG1845" i="37" s="1"/>
  <c r="AL449" i="42"/>
  <c r="N1533" i="50"/>
  <c r="N1479" i="50"/>
  <c r="N1519" i="50"/>
  <c r="N1561" i="50"/>
  <c r="N1491" i="50"/>
  <c r="N1544" i="50"/>
  <c r="H104" i="50"/>
  <c r="I237" i="50"/>
  <c r="AC966" i="37"/>
  <c r="AC970" i="37" s="1"/>
  <c r="AC969" i="37"/>
  <c r="AK965" i="37"/>
  <c r="AK820" i="37"/>
  <c r="AC821" i="37"/>
  <c r="AK821" i="37" s="1"/>
  <c r="AF966" i="37"/>
  <c r="AF970" i="37" s="1"/>
  <c r="AF969" i="37"/>
  <c r="K313" i="41"/>
  <c r="K401" i="50" s="1"/>
  <c r="H313" i="41"/>
  <c r="H401" i="50" s="1"/>
  <c r="L313" i="41"/>
  <c r="L401" i="50" s="1"/>
  <c r="I313" i="41"/>
  <c r="I401" i="50" s="1"/>
  <c r="N313" i="41"/>
  <c r="N401" i="50" s="1"/>
  <c r="M313" i="41"/>
  <c r="M401" i="50" s="1"/>
  <c r="J313" i="41"/>
  <c r="J401" i="50" s="1"/>
  <c r="V386" i="42"/>
  <c r="J386" i="42"/>
  <c r="J2214" i="50" s="1"/>
  <c r="J2213" i="50"/>
  <c r="AK548" i="37"/>
  <c r="AC549" i="37"/>
  <c r="L595" i="37"/>
  <c r="L3171" i="37"/>
  <c r="AE1183" i="37"/>
  <c r="AE1196" i="37"/>
  <c r="AE1287" i="37"/>
  <c r="AE1099" i="37"/>
  <c r="AE1100" i="37" s="1"/>
  <c r="AE1101" i="37" s="1"/>
  <c r="AE1102" i="37" s="1"/>
  <c r="AE1103" i="37" s="1"/>
  <c r="AE1104" i="37" s="1"/>
  <c r="AE1105" i="37" s="1"/>
  <c r="AE1106" i="37" s="1"/>
  <c r="AE1107" i="37" s="1"/>
  <c r="AE1108" i="37" s="1"/>
  <c r="AE1211" i="37"/>
  <c r="AE1134" i="37"/>
  <c r="AE1273" i="37"/>
  <c r="AE1157" i="37"/>
  <c r="AE1192" i="37"/>
  <c r="AE1193" i="37" s="1"/>
  <c r="AE1142" i="37"/>
  <c r="AE1143" i="37" s="1"/>
  <c r="V1239" i="37"/>
  <c r="V1031" i="37"/>
  <c r="J1031" i="37" s="1"/>
  <c r="J1001" i="37"/>
  <c r="V1056" i="37"/>
  <c r="J1056" i="37" s="1"/>
  <c r="J979" i="50"/>
  <c r="AC1287" i="37"/>
  <c r="AC1211" i="37"/>
  <c r="AC1134" i="37"/>
  <c r="AC1196" i="37"/>
  <c r="AC1157" i="37"/>
  <c r="AC1099" i="37"/>
  <c r="AC1192" i="37"/>
  <c r="AC1273" i="37"/>
  <c r="AK1049" i="37"/>
  <c r="AC1142" i="37"/>
  <c r="AC1183" i="37"/>
  <c r="I1004" i="37"/>
  <c r="I1010" i="37" s="1"/>
  <c r="S1078" i="50" s="1"/>
  <c r="I1078" i="50" s="1"/>
  <c r="Z2744" i="37"/>
  <c r="Z2803" i="37"/>
  <c r="Z2620" i="37"/>
  <c r="Z2783" i="37"/>
  <c r="Z2811" i="37"/>
  <c r="Z2877" i="37"/>
  <c r="Z2632" i="37"/>
  <c r="Z2771" i="37"/>
  <c r="Z2650" i="37"/>
  <c r="Z2883" i="37"/>
  <c r="Z2675" i="37"/>
  <c r="N2845" i="37"/>
  <c r="Z2793" i="37"/>
  <c r="Z2868" i="37"/>
  <c r="AD2897" i="37"/>
  <c r="AD2821" i="37"/>
  <c r="AD2806" i="37"/>
  <c r="AD2793" i="37"/>
  <c r="AD2709" i="37"/>
  <c r="AD2710" i="37" s="1"/>
  <c r="AD2711" i="37" s="1"/>
  <c r="AD2712" i="37" s="1"/>
  <c r="AD2713" i="37" s="1"/>
  <c r="AD2714" i="37" s="1"/>
  <c r="AD2715" i="37" s="1"/>
  <c r="AD2716" i="37" s="1"/>
  <c r="AD2717" i="37" s="1"/>
  <c r="AD2718" i="37" s="1"/>
  <c r="AD2744" i="37"/>
  <c r="AD2883" i="37"/>
  <c r="AD2802" i="37"/>
  <c r="AD2803" i="37" s="1"/>
  <c r="AD2752" i="37"/>
  <c r="AD2753" i="37" s="1"/>
  <c r="AD2767" i="37"/>
  <c r="AG647" i="37"/>
  <c r="AG644" i="37"/>
  <c r="AG648" i="37" s="1"/>
  <c r="AK1827" i="37"/>
  <c r="Q341" i="41"/>
  <c r="E426" i="50"/>
  <c r="AH1802" i="37"/>
  <c r="AH1813" i="37"/>
  <c r="K315" i="41"/>
  <c r="K403" i="50" s="1"/>
  <c r="M315" i="41"/>
  <c r="M403" i="50" s="1"/>
  <c r="J315" i="41"/>
  <c r="J403" i="50" s="1"/>
  <c r="I315" i="41"/>
  <c r="I403" i="50" s="1"/>
  <c r="H315" i="41"/>
  <c r="H403" i="50" s="1"/>
  <c r="N315" i="41"/>
  <c r="N403" i="50" s="1"/>
  <c r="L315" i="41"/>
  <c r="L403" i="50" s="1"/>
  <c r="K1099" i="42"/>
  <c r="K2483" i="50" s="1"/>
  <c r="K2482" i="50"/>
  <c r="W1101" i="42"/>
  <c r="W1099" i="42"/>
  <c r="K1100" i="42" s="1"/>
  <c r="W1100" i="42"/>
  <c r="K2484" i="50" s="1"/>
  <c r="AE933" i="37"/>
  <c r="AE934" i="37" s="1"/>
  <c r="AE936" i="37" s="1"/>
  <c r="AE898" i="37"/>
  <c r="AE890" i="37"/>
  <c r="AE892" i="37" s="1"/>
  <c r="AE945" i="37" s="1"/>
  <c r="AE942" i="37"/>
  <c r="AE943" i="37" s="1"/>
  <c r="K709" i="37"/>
  <c r="AC1522" i="37"/>
  <c r="AC1519" i="37"/>
  <c r="AK1518" i="37"/>
  <c r="AC1610" i="37"/>
  <c r="AC1614" i="37" s="1"/>
  <c r="AC1613" i="37"/>
  <c r="AK1609" i="37"/>
  <c r="J1348" i="50"/>
  <c r="J1334" i="50"/>
  <c r="J1343" i="50" s="1"/>
  <c r="J1376" i="50"/>
  <c r="J1390" i="50"/>
  <c r="G1303" i="50"/>
  <c r="J1362" i="50"/>
  <c r="J1311" i="50"/>
  <c r="AD1864" i="37"/>
  <c r="AD1908" i="37"/>
  <c r="AD1909" i="37" s="1"/>
  <c r="AD1856" i="37"/>
  <c r="AD1858" i="37" s="1"/>
  <c r="AD1911" i="37" s="1"/>
  <c r="AD1899" i="37"/>
  <c r="AD1900" i="37" s="1"/>
  <c r="AD1902" i="37" s="1"/>
  <c r="AD1802" i="37"/>
  <c r="AD1813" i="37"/>
  <c r="N266" i="42"/>
  <c r="N2204" i="50"/>
  <c r="Z268" i="42"/>
  <c r="Z267" i="42"/>
  <c r="N2206" i="50" s="1"/>
  <c r="L355" i="50"/>
  <c r="L271" i="41"/>
  <c r="X1101" i="42"/>
  <c r="L2482" i="50"/>
  <c r="L1099" i="42"/>
  <c r="L2483" i="50" s="1"/>
  <c r="X1099" i="42"/>
  <c r="L1100" i="42" s="1"/>
  <c r="X1100" i="42"/>
  <c r="L2484" i="50" s="1"/>
  <c r="S1408" i="50"/>
  <c r="I1408" i="50" s="1"/>
  <c r="I1412" i="50" s="1"/>
  <c r="I1738" i="50"/>
  <c r="W931" i="42"/>
  <c r="K931" i="42"/>
  <c r="K2397" i="50" s="1"/>
  <c r="K2396" i="50"/>
  <c r="M595" i="37"/>
  <c r="AH3101" i="37"/>
  <c r="AH3090" i="37"/>
  <c r="AF1813" i="37"/>
  <c r="AF1802" i="37"/>
  <c r="W2422" i="37"/>
  <c r="W2546" i="37"/>
  <c r="W2298" i="37"/>
  <c r="W2481" i="37"/>
  <c r="W2561" i="37"/>
  <c r="W2310" i="37"/>
  <c r="W2461" i="37"/>
  <c r="W2489" i="37"/>
  <c r="W2328" i="37"/>
  <c r="W2471" i="37"/>
  <c r="W2449" i="37"/>
  <c r="W2353" i="37"/>
  <c r="K2523" i="37"/>
  <c r="W2555" i="37"/>
  <c r="AI2575" i="37"/>
  <c r="AI2561" i="37"/>
  <c r="AI2387" i="37"/>
  <c r="AI2388" i="37" s="1"/>
  <c r="AI2389" i="37" s="1"/>
  <c r="AI2390" i="37" s="1"/>
  <c r="AI2391" i="37" s="1"/>
  <c r="AI2392" i="37" s="1"/>
  <c r="AI2393" i="37" s="1"/>
  <c r="AI2394" i="37" s="1"/>
  <c r="AI2395" i="37" s="1"/>
  <c r="AI2396" i="37" s="1"/>
  <c r="AI2471" i="37"/>
  <c r="AI2484" i="37"/>
  <c r="AI2499" i="37"/>
  <c r="AI2480" i="37"/>
  <c r="AI2481" i="37" s="1"/>
  <c r="AI2422" i="37"/>
  <c r="AI2430" i="37"/>
  <c r="AI2431" i="37" s="1"/>
  <c r="AI2445" i="37"/>
  <c r="AK2275" i="37"/>
  <c r="X2328" i="37"/>
  <c r="X2461" i="37"/>
  <c r="X2489" i="37"/>
  <c r="X2481" i="37"/>
  <c r="X2298" i="37"/>
  <c r="X2310" i="37"/>
  <c r="L2523" i="37"/>
  <c r="X2546" i="37"/>
  <c r="X2449" i="37"/>
  <c r="X2353" i="37"/>
  <c r="X2471" i="37"/>
  <c r="X2561" i="37"/>
  <c r="X2422" i="37"/>
  <c r="X2555" i="37"/>
  <c r="I2292" i="37"/>
  <c r="I2298" i="37" s="1"/>
  <c r="S1734" i="50" s="1"/>
  <c r="I1734" i="50" s="1"/>
  <c r="V221" i="47"/>
  <c r="M734" i="37"/>
  <c r="K1378" i="37"/>
  <c r="Y815" i="42"/>
  <c r="M2387" i="50"/>
  <c r="M813" i="42"/>
  <c r="Y814" i="42"/>
  <c r="M2389" i="50" s="1"/>
  <c r="AD644" i="37"/>
  <c r="AD648" i="37" s="1"/>
  <c r="AD647" i="37"/>
  <c r="J595" i="37"/>
  <c r="W301" i="37"/>
  <c r="W227" i="37"/>
  <c r="W292" i="37"/>
  <c r="W195" i="37"/>
  <c r="W217" i="37"/>
  <c r="W307" i="37"/>
  <c r="W168" i="37"/>
  <c r="W207" i="37"/>
  <c r="W56" i="37"/>
  <c r="K269" i="37"/>
  <c r="W235" i="37"/>
  <c r="W99" i="37"/>
  <c r="W44" i="37"/>
  <c r="AC307" i="37"/>
  <c r="AC133" i="37"/>
  <c r="AC217" i="37"/>
  <c r="AC226" i="37"/>
  <c r="AC245" i="37"/>
  <c r="AC168" i="37"/>
  <c r="AC321" i="37"/>
  <c r="AC230" i="37"/>
  <c r="AC176" i="37"/>
  <c r="AC191" i="37"/>
  <c r="AK83" i="37"/>
  <c r="I589" i="50"/>
  <c r="K240" i="50"/>
  <c r="AI3152" i="37"/>
  <c r="AI3144" i="37"/>
  <c r="AI3146" i="37" s="1"/>
  <c r="AI3199" i="37" s="1"/>
  <c r="AI3196" i="37"/>
  <c r="AI3197" i="37" s="1"/>
  <c r="AI3187" i="37"/>
  <c r="AI3188" i="37" s="1"/>
  <c r="AI3190" i="37" s="1"/>
  <c r="AE2177" i="37"/>
  <c r="AE2162" i="37"/>
  <c r="AE2149" i="37"/>
  <c r="AE2239" i="37"/>
  <c r="AE2108" i="37"/>
  <c r="AE2109" i="37" s="1"/>
  <c r="AE2065" i="37"/>
  <c r="AE2066" i="37" s="1"/>
  <c r="AE2067" i="37" s="1"/>
  <c r="AE2068" i="37" s="1"/>
  <c r="AE2069" i="37" s="1"/>
  <c r="AE2070" i="37" s="1"/>
  <c r="AE2071" i="37" s="1"/>
  <c r="AE2072" i="37" s="1"/>
  <c r="AE2073" i="37" s="1"/>
  <c r="AE2074" i="37" s="1"/>
  <c r="AE2123" i="37"/>
  <c r="AE2100" i="37"/>
  <c r="AE2253" i="37"/>
  <c r="AE2158" i="37"/>
  <c r="AE2159" i="37" s="1"/>
  <c r="AF2100" i="37"/>
  <c r="AF2108" i="37"/>
  <c r="AF2109" i="37" s="1"/>
  <c r="AF2253" i="37"/>
  <c r="AF2239" i="37"/>
  <c r="AF2065" i="37"/>
  <c r="AF2066" i="37" s="1"/>
  <c r="AF2067" i="37" s="1"/>
  <c r="AF2068" i="37" s="1"/>
  <c r="AF2069" i="37" s="1"/>
  <c r="AF2070" i="37" s="1"/>
  <c r="AF2071" i="37" s="1"/>
  <c r="AF2072" i="37" s="1"/>
  <c r="AF2073" i="37" s="1"/>
  <c r="AF2074" i="37" s="1"/>
  <c r="AF2158" i="37"/>
  <c r="AF2159" i="37" s="1"/>
  <c r="AF2177" i="37"/>
  <c r="AF2123" i="37"/>
  <c r="AF2149" i="37"/>
  <c r="AF2162" i="37"/>
  <c r="I1970" i="37"/>
  <c r="I1976" i="37" s="1"/>
  <c r="S1570" i="50" s="1"/>
  <c r="I1570" i="50" s="1"/>
  <c r="Q343" i="41"/>
  <c r="E428" i="50"/>
  <c r="N917" i="37"/>
  <c r="AH933" i="37"/>
  <c r="AH934" i="37" s="1"/>
  <c r="AH936" i="37" s="1"/>
  <c r="AH898" i="37"/>
  <c r="AH890" i="37"/>
  <c r="AH892" i="37" s="1"/>
  <c r="AH945" i="37" s="1"/>
  <c r="AH942" i="37"/>
  <c r="AH943" i="37" s="1"/>
  <c r="AI442" i="42"/>
  <c r="AI463" i="42"/>
  <c r="AI467" i="42" s="1"/>
  <c r="AI471" i="42" s="1"/>
  <c r="AI475" i="42" s="1"/>
  <c r="AI479" i="42" s="1"/>
  <c r="AI440" i="42"/>
  <c r="AI969" i="37"/>
  <c r="AI966" i="37"/>
  <c r="AI970" i="37" s="1"/>
  <c r="L406" i="47"/>
  <c r="AI1542" i="37"/>
  <c r="AI1577" i="37"/>
  <c r="AI1578" i="37" s="1"/>
  <c r="AI1580" i="37" s="1"/>
  <c r="AI1586" i="37"/>
  <c r="AI1587" i="37" s="1"/>
  <c r="AI1534" i="37"/>
  <c r="AI1536" i="37" s="1"/>
  <c r="AI1589" i="37" s="1"/>
  <c r="J707" i="50"/>
  <c r="J656" i="50"/>
  <c r="J721" i="50"/>
  <c r="J735" i="50"/>
  <c r="J679" i="50"/>
  <c r="J668" i="50"/>
  <c r="AE556" i="37"/>
  <c r="AE557" i="37" s="1"/>
  <c r="AE553" i="37"/>
  <c r="AE1932" i="37"/>
  <c r="AE1936" i="37" s="1"/>
  <c r="AE1935" i="37"/>
  <c r="AG1802" i="37"/>
  <c r="AG1813" i="37"/>
  <c r="M1491" i="50"/>
  <c r="M1479" i="50"/>
  <c r="M1544" i="50"/>
  <c r="M1533" i="50"/>
  <c r="M1519" i="50"/>
  <c r="M1561" i="50"/>
  <c r="I104" i="50"/>
  <c r="AG205" i="42"/>
  <c r="AG203" i="42"/>
  <c r="AG226" i="42"/>
  <c r="AG230" i="42" s="1"/>
  <c r="AG234" i="42" s="1"/>
  <c r="AG238" i="42" s="1"/>
  <c r="AG242" i="42" s="1"/>
  <c r="AC778" i="37"/>
  <c r="AK777" i="37"/>
  <c r="AB777" i="37"/>
  <c r="AK812" i="37"/>
  <c r="AD847" i="37"/>
  <c r="AD836" i="37"/>
  <c r="M1700" i="37"/>
  <c r="E427" i="50"/>
  <c r="Q342" i="41"/>
  <c r="N2270" i="50"/>
  <c r="Z505" i="42"/>
  <c r="N503" i="42"/>
  <c r="N2271" i="50" s="1"/>
  <c r="Z503" i="42"/>
  <c r="N504" i="42" s="1"/>
  <c r="Z504" i="42"/>
  <c r="N2272" i="50" s="1"/>
  <c r="AK539" i="37"/>
  <c r="L358" i="37"/>
  <c r="X358" i="37"/>
  <c r="X359" i="37"/>
  <c r="L359" i="37"/>
  <c r="X360" i="37" s="1"/>
  <c r="AF1211" i="37"/>
  <c r="AF1273" i="37"/>
  <c r="AF1192" i="37"/>
  <c r="AF1193" i="37" s="1"/>
  <c r="AF1157" i="37"/>
  <c r="AF1196" i="37"/>
  <c r="AF1099" i="37"/>
  <c r="AF1100" i="37" s="1"/>
  <c r="AF1101" i="37" s="1"/>
  <c r="AF1102" i="37" s="1"/>
  <c r="AF1103" i="37" s="1"/>
  <c r="AF1104" i="37" s="1"/>
  <c r="AF1105" i="37" s="1"/>
  <c r="AF1106" i="37" s="1"/>
  <c r="AF1107" i="37" s="1"/>
  <c r="AF1108" i="37" s="1"/>
  <c r="AF1134" i="37"/>
  <c r="AF1183" i="37"/>
  <c r="AF1287" i="37"/>
  <c r="AF1142" i="37"/>
  <c r="AF1143" i="37" s="1"/>
  <c r="AG1183" i="37"/>
  <c r="AG1099" i="37"/>
  <c r="AG1100" i="37" s="1"/>
  <c r="AG1101" i="37" s="1"/>
  <c r="AG1102" i="37" s="1"/>
  <c r="AG1103" i="37" s="1"/>
  <c r="AG1104" i="37" s="1"/>
  <c r="AG1105" i="37" s="1"/>
  <c r="AG1106" i="37" s="1"/>
  <c r="AG1107" i="37" s="1"/>
  <c r="AG1108" i="37" s="1"/>
  <c r="AG1157" i="37"/>
  <c r="AG1273" i="37"/>
  <c r="AG1196" i="37"/>
  <c r="AG1192" i="37"/>
  <c r="AG1193" i="37" s="1"/>
  <c r="AG1134" i="37"/>
  <c r="AG1211" i="37"/>
  <c r="AG1142" i="37"/>
  <c r="AG1143" i="37" s="1"/>
  <c r="AG1287" i="37"/>
  <c r="AK987" i="37"/>
  <c r="I1081" i="50"/>
  <c r="K229" i="50"/>
  <c r="Y2849" i="37"/>
  <c r="M2849" i="37" s="1"/>
  <c r="Y2641" i="37"/>
  <c r="M2611" i="37"/>
  <c r="Y2666" i="37"/>
  <c r="M2666" i="37" s="1"/>
  <c r="AK2630" i="37"/>
  <c r="AC2632" i="37"/>
  <c r="AK2632" i="37" s="1"/>
  <c r="AH2744" i="37"/>
  <c r="AH2752" i="37"/>
  <c r="AH2753" i="37" s="1"/>
  <c r="AH2897" i="37"/>
  <c r="AH2883" i="37"/>
  <c r="AH2709" i="37"/>
  <c r="AH2710" i="37" s="1"/>
  <c r="AH2711" i="37" s="1"/>
  <c r="AH2712" i="37" s="1"/>
  <c r="AH2713" i="37" s="1"/>
  <c r="AH2714" i="37" s="1"/>
  <c r="AH2715" i="37" s="1"/>
  <c r="AH2716" i="37" s="1"/>
  <c r="AH2717" i="37" s="1"/>
  <c r="AH2718" i="37" s="1"/>
  <c r="AH2802" i="37"/>
  <c r="AH2803" i="37" s="1"/>
  <c r="AH2806" i="37"/>
  <c r="AH2767" i="37"/>
  <c r="AH2821" i="37"/>
  <c r="AH2793" i="37"/>
  <c r="N2611" i="37"/>
  <c r="Z2666" i="37"/>
  <c r="N2666" i="37" s="1"/>
  <c r="Z2849" i="37"/>
  <c r="N2849" i="37" s="1"/>
  <c r="Z2641" i="37"/>
  <c r="AC1837" i="37"/>
  <c r="AK1836" i="37"/>
  <c r="K312" i="41"/>
  <c r="K400" i="50" s="1"/>
  <c r="I312" i="41"/>
  <c r="I400" i="50" s="1"/>
  <c r="L312" i="41"/>
  <c r="L400" i="50" s="1"/>
  <c r="M312" i="41"/>
  <c r="M400" i="50" s="1"/>
  <c r="N312" i="41"/>
  <c r="N400" i="50" s="1"/>
  <c r="J312" i="41"/>
  <c r="J400" i="50" s="1"/>
  <c r="H312" i="41"/>
  <c r="H400" i="50" s="1"/>
  <c r="AH1844" i="37"/>
  <c r="AH1845" i="37" s="1"/>
  <c r="AH1841" i="37"/>
  <c r="I232" i="50"/>
  <c r="AG1610" i="37"/>
  <c r="AG1614" i="37" s="1"/>
  <c r="AG1613" i="37"/>
  <c r="AH644" i="37"/>
  <c r="AH648" i="37" s="1"/>
  <c r="AH647" i="37"/>
  <c r="AG3090" i="37"/>
  <c r="AG3101" i="37"/>
  <c r="N230" i="50"/>
  <c r="AE847" i="37"/>
  <c r="AE836" i="37"/>
  <c r="K680" i="37"/>
  <c r="W680" i="37"/>
  <c r="W681" i="37"/>
  <c r="K681" i="37"/>
  <c r="W682" i="37" s="1"/>
  <c r="AC3075" i="37"/>
  <c r="AK3075" i="37" s="1"/>
  <c r="AK3074" i="37"/>
  <c r="AH1522" i="37"/>
  <c r="AH1523" i="37" s="1"/>
  <c r="AH1519" i="37"/>
  <c r="AC1577" i="37"/>
  <c r="AC1586" i="37"/>
  <c r="AC1534" i="37"/>
  <c r="AC1542" i="37"/>
  <c r="AK1533" i="37"/>
  <c r="AK1505" i="37"/>
  <c r="J1324" i="37"/>
  <c r="M2443" i="50"/>
  <c r="Y1001" i="42"/>
  <c r="M999" i="42"/>
  <c r="M2444" i="50" s="1"/>
  <c r="Y999" i="42"/>
  <c r="M1000" i="42" s="1"/>
  <c r="Y1000" i="42"/>
  <c r="M2445" i="50" s="1"/>
  <c r="AI1802" i="37"/>
  <c r="AI1813" i="37"/>
  <c r="AI1935" i="37"/>
  <c r="AI1932" i="37"/>
  <c r="AI1936" i="37" s="1"/>
  <c r="I355" i="50"/>
  <c r="I271" i="41"/>
  <c r="AF3220" i="37"/>
  <c r="AF3224" i="37" s="1"/>
  <c r="AF3223" i="37"/>
  <c r="I229" i="50"/>
  <c r="AH3132" i="37"/>
  <c r="AH3133" i="37" s="1"/>
  <c r="AH3129" i="37"/>
  <c r="X2527" i="37"/>
  <c r="X2319" i="37"/>
  <c r="L2289" i="37"/>
  <c r="X2344" i="37"/>
  <c r="AC2310" i="37"/>
  <c r="AK2310" i="37" s="1"/>
  <c r="AK2308" i="37"/>
  <c r="AE2499" i="37"/>
  <c r="AE2422" i="37"/>
  <c r="AE2430" i="37"/>
  <c r="AE2431" i="37" s="1"/>
  <c r="AE2471" i="37"/>
  <c r="AE2445" i="37"/>
  <c r="AE2387" i="37"/>
  <c r="AE2388" i="37" s="1"/>
  <c r="AE2389" i="37" s="1"/>
  <c r="AE2390" i="37" s="1"/>
  <c r="AE2391" i="37" s="1"/>
  <c r="AE2392" i="37" s="1"/>
  <c r="AE2393" i="37" s="1"/>
  <c r="AE2394" i="37" s="1"/>
  <c r="AE2395" i="37" s="1"/>
  <c r="AE2396" i="37" s="1"/>
  <c r="AE2484" i="37"/>
  <c r="AE2480" i="37"/>
  <c r="AE2481" i="37" s="1"/>
  <c r="AE2575" i="37"/>
  <c r="AE2561" i="37"/>
  <c r="I1737" i="50"/>
  <c r="M680" i="37"/>
  <c r="Y680" i="37"/>
  <c r="Y681" i="37"/>
  <c r="M681" i="37"/>
  <c r="Y682" i="37" s="1"/>
  <c r="K1324" i="37"/>
  <c r="W1324" i="37"/>
  <c r="W1325" i="37"/>
  <c r="K1325" i="37"/>
  <c r="W1326" i="37" s="1"/>
  <c r="Y931" i="42"/>
  <c r="M931" i="42"/>
  <c r="M2397" i="50" s="1"/>
  <c r="M2396" i="50"/>
  <c r="Z292" i="37"/>
  <c r="Z301" i="37"/>
  <c r="Z74" i="37"/>
  <c r="Z56" i="37"/>
  <c r="Z307" i="37"/>
  <c r="Z227" i="37"/>
  <c r="Z217" i="37"/>
  <c r="N269" i="37"/>
  <c r="Z44" i="37"/>
  <c r="Z207" i="37"/>
  <c r="Z168" i="37"/>
  <c r="Z235" i="37"/>
  <c r="Z195" i="37"/>
  <c r="Z99" i="37"/>
  <c r="I68" i="37"/>
  <c r="I74" i="37" s="1"/>
  <c r="I276" i="37"/>
  <c r="I282" i="37" s="1"/>
  <c r="S588" i="50" s="1"/>
  <c r="I588" i="50" s="1"/>
  <c r="I93" i="37"/>
  <c r="I99" i="37" s="1"/>
  <c r="S587" i="50" s="1"/>
  <c r="I587" i="50" s="1"/>
  <c r="Q339" i="41"/>
  <c r="E424" i="50"/>
  <c r="L2443" i="50"/>
  <c r="X1001" i="42"/>
  <c r="L999" i="42"/>
  <c r="L2444" i="50" s="1"/>
  <c r="X999" i="42"/>
  <c r="X1000" i="42"/>
  <c r="L2445" i="50" s="1"/>
  <c r="L1000" i="42"/>
  <c r="J1178" i="50"/>
  <c r="J1206" i="50"/>
  <c r="J1234" i="50"/>
  <c r="J1152" i="50"/>
  <c r="J1192" i="50"/>
  <c r="J1164" i="50"/>
  <c r="Y1997" i="37"/>
  <c r="M1997" i="37" s="1"/>
  <c r="Y2205" i="37"/>
  <c r="M1967" i="37"/>
  <c r="Y2022" i="37"/>
  <c r="AC2149" i="37"/>
  <c r="AC2065" i="37"/>
  <c r="AC2100" i="37"/>
  <c r="AC2253" i="37"/>
  <c r="AC2162" i="37"/>
  <c r="AC2108" i="37"/>
  <c r="AC2158" i="37"/>
  <c r="AC2123" i="37"/>
  <c r="AC2177" i="37"/>
  <c r="AK2015" i="37"/>
  <c r="AC2239" i="37"/>
  <c r="I1573" i="50"/>
  <c r="M239" i="50"/>
  <c r="H314" i="41"/>
  <c r="H402" i="50" s="1"/>
  <c r="N314" i="41"/>
  <c r="N402" i="50" s="1"/>
  <c r="K314" i="41"/>
  <c r="K402" i="50" s="1"/>
  <c r="L314" i="41"/>
  <c r="L402" i="50" s="1"/>
  <c r="M314" i="41"/>
  <c r="M402" i="50" s="1"/>
  <c r="I314" i="41"/>
  <c r="I402" i="50" s="1"/>
  <c r="J314" i="41"/>
  <c r="J402" i="50" s="1"/>
  <c r="N734" i="37"/>
  <c r="AH847" i="37"/>
  <c r="AH836" i="37"/>
  <c r="K744" i="42"/>
  <c r="K2340" i="50" s="1"/>
  <c r="W744" i="42"/>
  <c r="K2339" i="50"/>
  <c r="M238" i="50"/>
  <c r="H231" i="50"/>
  <c r="AI942" i="37"/>
  <c r="AI943" i="37" s="1"/>
  <c r="AI898" i="37"/>
  <c r="AI933" i="37"/>
  <c r="AI934" i="37" s="1"/>
  <c r="AI936" i="37" s="1"/>
  <c r="AI890" i="37"/>
  <c r="AI892" i="37" s="1"/>
  <c r="AI945" i="37" s="1"/>
  <c r="M234" i="50"/>
  <c r="L1378" i="37"/>
  <c r="N2387" i="50"/>
  <c r="Z815" i="42"/>
  <c r="N813" i="42"/>
  <c r="Z814" i="42"/>
  <c r="N2389" i="50" s="1"/>
  <c r="L235" i="50"/>
  <c r="AE1841" i="37"/>
  <c r="AE1844" i="37"/>
  <c r="AE1845" i="37" s="1"/>
  <c r="AC440" i="42"/>
  <c r="AC463" i="42"/>
  <c r="AL439" i="42"/>
  <c r="AC442" i="42"/>
  <c r="K1544" i="50"/>
  <c r="K1479" i="50"/>
  <c r="K1533" i="50"/>
  <c r="K1561" i="50"/>
  <c r="K1491" i="50"/>
  <c r="K1519" i="50"/>
  <c r="H105" i="50"/>
  <c r="AC875" i="37"/>
  <c r="AC878" i="37"/>
  <c r="AK874" i="37"/>
  <c r="AK861" i="37"/>
  <c r="W1676" i="37"/>
  <c r="K1340" i="50" s="1"/>
  <c r="K1677" i="37"/>
  <c r="W1678" i="37"/>
  <c r="K1678" i="37" s="1"/>
  <c r="K1676" i="37"/>
  <c r="K1339" i="50" s="1"/>
  <c r="K1338" i="50"/>
  <c r="J236" i="50"/>
  <c r="N149" i="42"/>
  <c r="N2147" i="50" s="1"/>
  <c r="Z149" i="42"/>
  <c r="N2146" i="50"/>
  <c r="AH565" i="42"/>
  <c r="AH586" i="42"/>
  <c r="AH590" i="42" s="1"/>
  <c r="AH594" i="42" s="1"/>
  <c r="AH598" i="42" s="1"/>
  <c r="AH602" i="42" s="1"/>
  <c r="AH563" i="42"/>
  <c r="M235" i="50"/>
  <c r="AC556" i="37"/>
  <c r="AC553" i="37"/>
  <c r="AK552" i="37"/>
  <c r="L412" i="37"/>
  <c r="M3171" i="37"/>
  <c r="Z1193" i="37"/>
  <c r="Z1258" i="37"/>
  <c r="Z1267" i="37"/>
  <c r="Z1273" i="37"/>
  <c r="Z1022" i="37"/>
  <c r="Z1010" i="37"/>
  <c r="Z1183" i="37"/>
  <c r="Z1161" i="37"/>
  <c r="Z1065" i="37"/>
  <c r="N1235" i="37"/>
  <c r="Z1201" i="37"/>
  <c r="Z1040" i="37"/>
  <c r="Z1173" i="37"/>
  <c r="Z1134" i="37"/>
  <c r="U1273" i="37"/>
  <c r="U1022" i="37"/>
  <c r="U1134" i="37"/>
  <c r="U1183" i="37"/>
  <c r="U1267" i="37"/>
  <c r="U1201" i="37"/>
  <c r="U1258" i="37"/>
  <c r="I1235" i="37"/>
  <c r="U1161" i="37"/>
  <c r="U1193" i="37"/>
  <c r="U1173" i="37"/>
  <c r="L979" i="50"/>
  <c r="X1239" i="37"/>
  <c r="X1031" i="37"/>
  <c r="L1001" i="37"/>
  <c r="X1056" i="37"/>
  <c r="I1242" i="37"/>
  <c r="I1248" i="37" s="1"/>
  <c r="I1059" i="37"/>
  <c r="I1065" i="37" s="1"/>
  <c r="S1079" i="50" s="1"/>
  <c r="I1079" i="50" s="1"/>
  <c r="K2611" i="37"/>
  <c r="W2641" i="37"/>
  <c r="W2666" i="37"/>
  <c r="W2849" i="37"/>
  <c r="AG2767" i="37"/>
  <c r="AG2802" i="37"/>
  <c r="AG2803" i="37" s="1"/>
  <c r="AG2897" i="37"/>
  <c r="AG2821" i="37"/>
  <c r="AG2793" i="37"/>
  <c r="AG2744" i="37"/>
  <c r="AG2752" i="37"/>
  <c r="AG2753" i="37" s="1"/>
  <c r="AG2806" i="37"/>
  <c r="AG2709" i="37"/>
  <c r="AG2710" i="37" s="1"/>
  <c r="AG2711" i="37" s="1"/>
  <c r="AG2712" i="37" s="1"/>
  <c r="AG2713" i="37" s="1"/>
  <c r="AG2714" i="37" s="1"/>
  <c r="AG2715" i="37" s="1"/>
  <c r="AG2716" i="37" s="1"/>
  <c r="AG2717" i="37" s="1"/>
  <c r="AG2718" i="37" s="1"/>
  <c r="AG2883" i="37"/>
  <c r="V2877" i="37"/>
  <c r="V2675" i="37"/>
  <c r="V2811" i="37"/>
  <c r="V2771" i="37"/>
  <c r="V2744" i="37"/>
  <c r="V2632" i="37"/>
  <c r="V2883" i="37"/>
  <c r="V2868" i="37"/>
  <c r="V2793" i="37"/>
  <c r="V2783" i="37"/>
  <c r="J2845" i="37"/>
  <c r="V2620" i="37"/>
  <c r="V2650" i="37"/>
  <c r="V2803" i="37"/>
  <c r="I2614" i="37"/>
  <c r="I2620" i="37" s="1"/>
  <c r="S1898" i="50" s="1"/>
  <c r="I1898" i="50" s="1"/>
  <c r="AG556" i="37"/>
  <c r="AG557" i="37" s="1"/>
  <c r="AG553" i="37"/>
  <c r="K595" i="37"/>
  <c r="K399" i="47"/>
  <c r="K1218" i="50" s="1"/>
  <c r="W399" i="47"/>
  <c r="K1219" i="50" s="1"/>
  <c r="K400" i="47"/>
  <c r="W401" i="47" s="1"/>
  <c r="K1217" i="50"/>
  <c r="AE3220" i="37"/>
  <c r="AE3224" i="37" s="1"/>
  <c r="AE3223" i="37"/>
  <c r="AE3129" i="37"/>
  <c r="AE3132" i="37"/>
  <c r="AE3133" i="37" s="1"/>
  <c r="I239" i="50"/>
  <c r="AC1844" i="37"/>
  <c r="AK1840" i="37"/>
  <c r="AC1841" i="37"/>
  <c r="L230" i="50"/>
  <c r="M399" i="47"/>
  <c r="M1218" i="50" s="1"/>
  <c r="Y399" i="47"/>
  <c r="M400" i="47"/>
  <c r="Y401" i="47" s="1"/>
  <c r="M1217" i="50"/>
  <c r="I233" i="50"/>
  <c r="AG1491" i="37"/>
  <c r="AG1480" i="37"/>
  <c r="AD1491" i="37"/>
  <c r="AD1480" i="37"/>
  <c r="Q344" i="41"/>
  <c r="E429" i="50"/>
  <c r="J931" i="42"/>
  <c r="J2397" i="50" s="1"/>
  <c r="V931" i="42"/>
  <c r="J2396" i="50"/>
  <c r="AG3132" i="37"/>
  <c r="AG3133" i="37" s="1"/>
  <c r="AG3129" i="37"/>
  <c r="M149" i="42"/>
  <c r="M2147" i="50" s="1"/>
  <c r="Y149" i="42"/>
  <c r="M2146" i="50"/>
  <c r="AG966" i="37"/>
  <c r="AG970" i="37" s="1"/>
  <c r="AG969" i="37"/>
  <c r="AK3205" i="37"/>
  <c r="AK1479" i="37"/>
  <c r="AC1491" i="37"/>
  <c r="AC1480" i="37"/>
  <c r="AE1519" i="37"/>
  <c r="AE1522" i="37"/>
  <c r="AE1523" i="37" s="1"/>
  <c r="AE1534" i="37"/>
  <c r="AE1536" i="37" s="1"/>
  <c r="AE1589" i="37" s="1"/>
  <c r="AE1542" i="37"/>
  <c r="AE1586" i="37"/>
  <c r="AE1587" i="37" s="1"/>
  <c r="AE1577" i="37"/>
  <c r="AE1578" i="37" s="1"/>
  <c r="AE1580" i="37" s="1"/>
  <c r="J239" i="50"/>
  <c r="J1185" i="50"/>
  <c r="J1379" i="37"/>
  <c r="V1381" i="37"/>
  <c r="J1381" i="37" s="1"/>
  <c r="J1188" i="50" s="1"/>
  <c r="J722" i="50"/>
  <c r="J708" i="50"/>
  <c r="J669" i="50"/>
  <c r="J697" i="50"/>
  <c r="J680" i="50"/>
  <c r="J657" i="50"/>
  <c r="V744" i="42"/>
  <c r="J744" i="42"/>
  <c r="J2340" i="50" s="1"/>
  <c r="J2339" i="50"/>
  <c r="K3171" i="37"/>
  <c r="AI1856" i="37"/>
  <c r="AI1858" i="37" s="1"/>
  <c r="AI1911" i="37" s="1"/>
  <c r="AI1899" i="37"/>
  <c r="AI1900" i="37" s="1"/>
  <c r="AI1902" i="37" s="1"/>
  <c r="AI1908" i="37"/>
  <c r="AI1909" i="37" s="1"/>
  <c r="AI1864" i="37"/>
  <c r="K386" i="42"/>
  <c r="K2214" i="50" s="1"/>
  <c r="W386" i="42"/>
  <c r="K2213" i="50"/>
  <c r="M355" i="50"/>
  <c r="M271" i="41"/>
  <c r="L240" i="50"/>
  <c r="AF3101" i="37"/>
  <c r="AF3090" i="37"/>
  <c r="K235" i="50"/>
  <c r="N358" i="37"/>
  <c r="Z358" i="37"/>
  <c r="Z359" i="37"/>
  <c r="N359" i="37"/>
  <c r="Z360" i="37" s="1"/>
  <c r="L229" i="50"/>
  <c r="J2018" i="50"/>
  <c r="J1967" i="50"/>
  <c r="G1959" i="50"/>
  <c r="J2004" i="50"/>
  <c r="J1990" i="50"/>
  <c r="J1999" i="50" s="1"/>
  <c r="J2046" i="50"/>
  <c r="J2032" i="50"/>
  <c r="I2068" i="50"/>
  <c r="K236" i="50"/>
  <c r="AF1844" i="37"/>
  <c r="AF1845" i="37" s="1"/>
  <c r="AF1841" i="37"/>
  <c r="M237" i="50"/>
  <c r="T2489" i="37"/>
  <c r="T2546" i="37"/>
  <c r="T2481" i="37"/>
  <c r="T2555" i="37"/>
  <c r="T2449" i="37"/>
  <c r="T2461" i="37"/>
  <c r="T2422" i="37"/>
  <c r="H2523" i="37"/>
  <c r="T2561" i="37"/>
  <c r="T2471" i="37"/>
  <c r="T2310" i="37"/>
  <c r="J2289" i="37"/>
  <c r="V2344" i="37"/>
  <c r="J2344" i="37" s="1"/>
  <c r="V2319" i="37"/>
  <c r="J2319" i="37" s="1"/>
  <c r="V2527" i="37"/>
  <c r="I2347" i="37"/>
  <c r="I2353" i="37" s="1"/>
  <c r="S1735" i="50" s="1"/>
  <c r="I1735" i="50" s="1"/>
  <c r="I2530" i="37"/>
  <c r="I2536" i="37" s="1"/>
  <c r="K1561" i="37"/>
  <c r="AD514" i="37"/>
  <c r="AD525" i="37"/>
  <c r="V415" i="37"/>
  <c r="J415" i="37" s="1"/>
  <c r="J696" i="50" s="1"/>
  <c r="J413" i="37"/>
  <c r="J693" i="50"/>
  <c r="AG226" i="37"/>
  <c r="AG227" i="37" s="1"/>
  <c r="AG217" i="37"/>
  <c r="AG307" i="37"/>
  <c r="AG191" i="37"/>
  <c r="AG321" i="37"/>
  <c r="AG168" i="37"/>
  <c r="AG133" i="37"/>
  <c r="AG134" i="37" s="1"/>
  <c r="AG135" i="37" s="1"/>
  <c r="AG136" i="37" s="1"/>
  <c r="AG137" i="37" s="1"/>
  <c r="AG138" i="37" s="1"/>
  <c r="AG139" i="37" s="1"/>
  <c r="AG140" i="37" s="1"/>
  <c r="AG141" i="37" s="1"/>
  <c r="AG142" i="37" s="1"/>
  <c r="AG245" i="37"/>
  <c r="AG230" i="37"/>
  <c r="AG176" i="37"/>
  <c r="AG177" i="37" s="1"/>
  <c r="V90" i="37"/>
  <c r="J90" i="37" s="1"/>
  <c r="V273" i="37"/>
  <c r="V65" i="37"/>
  <c r="J35" i="37"/>
  <c r="J1156" i="50" s="1"/>
  <c r="J487" i="50"/>
  <c r="AK21" i="37"/>
  <c r="I310" i="41"/>
  <c r="I398" i="50" s="1"/>
  <c r="K310" i="41"/>
  <c r="K398" i="50" s="1"/>
  <c r="J310" i="41"/>
  <c r="J398" i="50" s="1"/>
  <c r="M310" i="41"/>
  <c r="M398" i="50" s="1"/>
  <c r="H310" i="41"/>
  <c r="H398" i="50" s="1"/>
  <c r="N310" i="41"/>
  <c r="N398" i="50" s="1"/>
  <c r="L310" i="41"/>
  <c r="L398" i="50" s="1"/>
  <c r="AI3132" i="37"/>
  <c r="AI3133" i="37" s="1"/>
  <c r="AI3129" i="37"/>
  <c r="Z2205" i="37"/>
  <c r="N1967" i="37"/>
  <c r="Z2022" i="37"/>
  <c r="Z1997" i="37"/>
  <c r="N1997" i="37" s="1"/>
  <c r="Y2139" i="37"/>
  <c r="M2201" i="37"/>
  <c r="Y2006" i="37"/>
  <c r="Y2167" i="37"/>
  <c r="Y2100" i="37"/>
  <c r="Y2239" i="37"/>
  <c r="Y2159" i="37"/>
  <c r="Y2149" i="37"/>
  <c r="Y2224" i="37"/>
  <c r="Y2031" i="37"/>
  <c r="Y2127" i="37"/>
  <c r="Y2233" i="37"/>
  <c r="Y1988" i="37"/>
  <c r="Y1976" i="37"/>
  <c r="I2208" i="37"/>
  <c r="I2214" i="37" s="1"/>
  <c r="I2025" i="37"/>
  <c r="I2031" i="37" s="1"/>
  <c r="S1571" i="50" s="1"/>
  <c r="I1571" i="50" s="1"/>
  <c r="N399" i="47"/>
  <c r="N1218" i="50" s="1"/>
  <c r="Z399" i="47"/>
  <c r="N400" i="47"/>
  <c r="Z401" i="47" s="1"/>
  <c r="N1217" i="50"/>
  <c r="M240" i="50"/>
  <c r="N680" i="37"/>
  <c r="Z680" i="37"/>
  <c r="Z681" i="37"/>
  <c r="N681" i="37"/>
  <c r="Z682" i="37" s="1"/>
  <c r="L680" i="37"/>
  <c r="X680" i="37"/>
  <c r="X681" i="37"/>
  <c r="L681" i="37"/>
  <c r="X682" i="37" s="1"/>
  <c r="W628" i="42"/>
  <c r="K626" i="42"/>
  <c r="K2330" i="50"/>
  <c r="W627" i="42"/>
  <c r="K2332" i="50" s="1"/>
  <c r="L232" i="50"/>
  <c r="K232" i="50"/>
  <c r="N931" i="42"/>
  <c r="N2397" i="50" s="1"/>
  <c r="Z931" i="42"/>
  <c r="N2396" i="50"/>
  <c r="AI556" i="37"/>
  <c r="AI557" i="37" s="1"/>
  <c r="AI553" i="37"/>
  <c r="I238" i="50"/>
  <c r="I105" i="50"/>
  <c r="L873" i="50"/>
  <c r="X223" i="47"/>
  <c r="L221" i="47"/>
  <c r="L1038" i="50" s="1"/>
  <c r="X221" i="47"/>
  <c r="L1039" i="50" s="1"/>
  <c r="L222" i="47"/>
  <c r="L1037" i="50"/>
  <c r="AC836" i="37"/>
  <c r="AK835" i="37"/>
  <c r="AC847" i="37"/>
  <c r="AD969" i="37"/>
  <c r="AD966" i="37"/>
  <c r="AD970" i="37" s="1"/>
  <c r="J231" i="50"/>
  <c r="K1700" i="37"/>
  <c r="N2137" i="50"/>
  <c r="Z31" i="42"/>
  <c r="N29" i="42"/>
  <c r="Z30" i="42"/>
  <c r="N2139" i="50" s="1"/>
  <c r="Z744" i="42"/>
  <c r="N744" i="42"/>
  <c r="N2340" i="50" s="1"/>
  <c r="N2339" i="50"/>
  <c r="AH226" i="42"/>
  <c r="AH230" i="42" s="1"/>
  <c r="AH234" i="42" s="1"/>
  <c r="AH238" i="42" s="1"/>
  <c r="AH242" i="42" s="1"/>
  <c r="AH203" i="42"/>
  <c r="AH205" i="42"/>
  <c r="AC456" i="37"/>
  <c r="AB455" i="37"/>
  <c r="AK455" i="37"/>
  <c r="AK490" i="37"/>
  <c r="M2988" i="37"/>
  <c r="X1201" i="37"/>
  <c r="X1022" i="37"/>
  <c r="X1193" i="37"/>
  <c r="X1258" i="37"/>
  <c r="X1267" i="37"/>
  <c r="X1273" i="37"/>
  <c r="X1173" i="37"/>
  <c r="L1235" i="37"/>
  <c r="X1134" i="37"/>
  <c r="X1183" i="37"/>
  <c r="X1161" i="37"/>
  <c r="X1065" i="37"/>
  <c r="X1040" i="37"/>
  <c r="X1010" i="37"/>
  <c r="AD1287" i="37"/>
  <c r="AD1192" i="37"/>
  <c r="AD1193" i="37" s="1"/>
  <c r="AD1211" i="37"/>
  <c r="AD1196" i="37"/>
  <c r="AD1134" i="37"/>
  <c r="AD1142" i="37"/>
  <c r="AD1143" i="37" s="1"/>
  <c r="AD1183" i="37"/>
  <c r="AD1157" i="37"/>
  <c r="AD1273" i="37"/>
  <c r="AD1099" i="37"/>
  <c r="AD1100" i="37" s="1"/>
  <c r="AD1101" i="37" s="1"/>
  <c r="AD1102" i="37" s="1"/>
  <c r="AD1103" i="37" s="1"/>
  <c r="AD1104" i="37" s="1"/>
  <c r="AD1105" i="37" s="1"/>
  <c r="AD1106" i="37" s="1"/>
  <c r="AD1107" i="37" s="1"/>
  <c r="AD1108" i="37" s="1"/>
  <c r="V1134" i="37"/>
  <c r="V1273" i="37"/>
  <c r="V1193" i="37"/>
  <c r="V1022" i="37"/>
  <c r="V1161" i="37"/>
  <c r="V1267" i="37"/>
  <c r="V1258" i="37"/>
  <c r="J1235" i="37"/>
  <c r="V1183" i="37"/>
  <c r="V1173" i="37"/>
  <c r="V1201" i="37"/>
  <c r="V1040" i="37"/>
  <c r="V1010" i="37"/>
  <c r="V1065" i="37"/>
  <c r="AE205" i="42"/>
  <c r="AE203" i="42"/>
  <c r="AE226" i="42"/>
  <c r="AE230" i="42" s="1"/>
  <c r="AE234" i="42" s="1"/>
  <c r="AE238" i="42" s="1"/>
  <c r="AE242" i="42" s="1"/>
  <c r="L2845" i="37"/>
  <c r="X2632" i="37"/>
  <c r="X2771" i="37"/>
  <c r="X2744" i="37"/>
  <c r="X2650" i="37"/>
  <c r="X2675" i="37"/>
  <c r="X2877" i="37"/>
  <c r="X2868" i="37"/>
  <c r="X2793" i="37"/>
  <c r="X2783" i="37"/>
  <c r="X2883" i="37"/>
  <c r="X2803" i="37"/>
  <c r="X2620" i="37"/>
  <c r="X2811" i="37"/>
  <c r="I2644" i="37"/>
  <c r="I2650" i="37" s="1"/>
  <c r="S1902" i="50" s="1"/>
  <c r="I1902" i="50" s="1"/>
  <c r="I2669" i="37"/>
  <c r="I2675" i="37" s="1"/>
  <c r="S1899" i="50" s="1"/>
  <c r="I1899" i="50" s="1"/>
  <c r="I2852" i="37"/>
  <c r="I2858" i="37" s="1"/>
  <c r="S1900" i="50" s="1"/>
  <c r="I1900" i="50" s="1"/>
  <c r="N2988" i="37"/>
  <c r="AC1899" i="37"/>
  <c r="AC1856" i="37"/>
  <c r="AC1864" i="37"/>
  <c r="AC1908" i="37"/>
  <c r="AK1855" i="37"/>
  <c r="AK1917" i="37"/>
  <c r="J1646" i="37"/>
  <c r="AG440" i="42"/>
  <c r="AG442" i="42"/>
  <c r="AG463" i="42"/>
  <c r="AG467" i="42" s="1"/>
  <c r="AG471" i="42" s="1"/>
  <c r="AG475" i="42" s="1"/>
  <c r="AG479" i="42" s="1"/>
  <c r="N239" i="50"/>
  <c r="AD1613" i="37"/>
  <c r="AD1610" i="37"/>
  <c r="AD1614" i="37" s="1"/>
  <c r="J2387" i="50"/>
  <c r="J813" i="42"/>
  <c r="V813" i="42" s="1"/>
  <c r="AH553" i="37"/>
  <c r="AH556" i="37"/>
  <c r="AH557" i="37" s="1"/>
  <c r="H237" i="50"/>
  <c r="N229" i="50"/>
  <c r="N233" i="50"/>
  <c r="M233" i="50"/>
  <c r="K238" i="50"/>
  <c r="K237" i="50"/>
  <c r="K234" i="50"/>
  <c r="J232" i="50"/>
  <c r="M231" i="50"/>
  <c r="J230" i="50"/>
  <c r="H230" i="50"/>
  <c r="K239" i="50"/>
  <c r="H233" i="50"/>
  <c r="N237" i="50"/>
  <c r="H236" i="50"/>
  <c r="J229" i="50"/>
  <c r="M241" i="50"/>
  <c r="N241" i="50"/>
  <c r="Y31" i="42"/>
  <c r="M2137" i="50"/>
  <c r="M29" i="42"/>
  <c r="Y30" i="42"/>
  <c r="M2139" i="50" s="1"/>
  <c r="AG836" i="37"/>
  <c r="AG847" i="37"/>
  <c r="AK3115" i="37"/>
  <c r="AK1464" i="37"/>
  <c r="AC1465" i="37"/>
  <c r="AK1465" i="37" s="1"/>
  <c r="AE1480" i="37"/>
  <c r="AE1491" i="37"/>
  <c r="N231" i="50"/>
  <c r="H234" i="50"/>
  <c r="N340" i="41"/>
  <c r="N425" i="50" s="1"/>
  <c r="K340" i="41"/>
  <c r="K425" i="50" s="1"/>
  <c r="J340" i="41"/>
  <c r="J425" i="50" s="1"/>
  <c r="L340" i="41"/>
  <c r="L425" i="50" s="1"/>
  <c r="I340" i="41"/>
  <c r="I425" i="50" s="1"/>
  <c r="H340" i="41"/>
  <c r="H425" i="50" s="1"/>
  <c r="M340" i="41"/>
  <c r="M425" i="50" s="1"/>
  <c r="J2330" i="50"/>
  <c r="J626" i="42"/>
  <c r="V626" i="42" s="1"/>
  <c r="V627" i="42" s="1"/>
  <c r="J2332" i="50" s="1"/>
  <c r="K2964" i="37"/>
  <c r="K1995" i="50" s="1"/>
  <c r="W2964" i="37"/>
  <c r="K1996" i="50" s="1"/>
  <c r="K2965" i="37"/>
  <c r="W2966" i="37" s="1"/>
  <c r="K1994" i="50"/>
  <c r="J238" i="50"/>
  <c r="H355" i="50"/>
  <c r="H271" i="41"/>
  <c r="N2482" i="50"/>
  <c r="N1099" i="42"/>
  <c r="N2483" i="50" s="1"/>
  <c r="Z1099" i="42"/>
  <c r="N1100" i="42" s="1"/>
  <c r="Z1101" i="42"/>
  <c r="Z1100" i="42"/>
  <c r="N2484" i="50" s="1"/>
  <c r="S756" i="50"/>
  <c r="J2035" i="50"/>
  <c r="J2010" i="50"/>
  <c r="J1993" i="50"/>
  <c r="J1970" i="50"/>
  <c r="J2052" i="50"/>
  <c r="J1982" i="50"/>
  <c r="AH3223" i="37"/>
  <c r="AH3220" i="37"/>
  <c r="AH3224" i="37" s="1"/>
  <c r="AF2561" i="37"/>
  <c r="AF2480" i="37"/>
  <c r="AF2481" i="37" s="1"/>
  <c r="AF2430" i="37"/>
  <c r="AF2431" i="37" s="1"/>
  <c r="AF2484" i="37"/>
  <c r="AF2422" i="37"/>
  <c r="AF2499" i="37"/>
  <c r="AF2387" i="37"/>
  <c r="AF2388" i="37" s="1"/>
  <c r="AF2389" i="37" s="1"/>
  <c r="AF2390" i="37" s="1"/>
  <c r="AF2391" i="37" s="1"/>
  <c r="AF2392" i="37" s="1"/>
  <c r="AF2393" i="37" s="1"/>
  <c r="AF2394" i="37" s="1"/>
  <c r="AF2395" i="37" s="1"/>
  <c r="AF2396" i="37" s="1"/>
  <c r="AF2471" i="37"/>
  <c r="AF2445" i="37"/>
  <c r="AF2575" i="37"/>
  <c r="Z2344" i="37"/>
  <c r="N2289" i="37"/>
  <c r="Z2527" i="37"/>
  <c r="Z2319" i="37"/>
  <c r="Y2310" i="37"/>
  <c r="Y2328" i="37"/>
  <c r="Y2546" i="37"/>
  <c r="Y2449" i="37"/>
  <c r="Y2471" i="37"/>
  <c r="Y2489" i="37"/>
  <c r="Y2561" i="37"/>
  <c r="Y2555" i="37"/>
  <c r="Y2481" i="37"/>
  <c r="Y2353" i="37"/>
  <c r="Y2298" i="37"/>
  <c r="M2523" i="37"/>
  <c r="Y2461" i="37"/>
  <c r="Y2422" i="37"/>
  <c r="Y2319" i="37"/>
  <c r="Y2344" i="37"/>
  <c r="Y2527" i="37"/>
  <c r="M2289" i="37"/>
  <c r="H238" i="50"/>
  <c r="I971" i="42"/>
  <c r="I2414" i="50" s="1"/>
  <c r="I2413" i="50"/>
  <c r="I241" i="50" s="1"/>
  <c r="AF133" i="37"/>
  <c r="AF134" i="37" s="1"/>
  <c r="AF135" i="37" s="1"/>
  <c r="AF136" i="37" s="1"/>
  <c r="AF137" i="37" s="1"/>
  <c r="AF138" i="37" s="1"/>
  <c r="AF139" i="37" s="1"/>
  <c r="AF140" i="37" s="1"/>
  <c r="AF141" i="37" s="1"/>
  <c r="AF142" i="37" s="1"/>
  <c r="AF168" i="37"/>
  <c r="AF176" i="37"/>
  <c r="AF177" i="37" s="1"/>
  <c r="AF191" i="37"/>
  <c r="AF217" i="37"/>
  <c r="AF307" i="37"/>
  <c r="AF226" i="37"/>
  <c r="AF227" i="37" s="1"/>
  <c r="AF321" i="37"/>
  <c r="AF245" i="37"/>
  <c r="AF230" i="37"/>
  <c r="Y235" i="37"/>
  <c r="Y292" i="37"/>
  <c r="Y301" i="37"/>
  <c r="Y195" i="37"/>
  <c r="Y307" i="37"/>
  <c r="Y227" i="37"/>
  <c r="Y56" i="37"/>
  <c r="Y207" i="37"/>
  <c r="Y217" i="37"/>
  <c r="Y168" i="37"/>
  <c r="M269" i="37"/>
  <c r="Y99" i="37"/>
  <c r="Y44" i="37"/>
  <c r="AI3101" i="37"/>
  <c r="AI3090" i="37"/>
  <c r="V2022" i="37"/>
  <c r="J2022" i="37" s="1"/>
  <c r="V1997" i="37"/>
  <c r="J1997" i="37" s="1"/>
  <c r="V2205" i="37"/>
  <c r="J1967" i="37"/>
  <c r="J1471" i="50"/>
  <c r="X2205" i="37"/>
  <c r="L1967" i="37"/>
  <c r="X2022" i="37"/>
  <c r="X1997" i="37"/>
  <c r="K149" i="42"/>
  <c r="K2147" i="50" s="1"/>
  <c r="W149" i="42"/>
  <c r="K2146" i="50"/>
  <c r="J233" i="50"/>
  <c r="J917" i="37"/>
  <c r="L709" i="37"/>
  <c r="AI565" i="42"/>
  <c r="AI586" i="42"/>
  <c r="AI590" i="42" s="1"/>
  <c r="AI594" i="42" s="1"/>
  <c r="AI598" i="42" s="1"/>
  <c r="AI602" i="42" s="1"/>
  <c r="AI563" i="42"/>
  <c r="L1700" i="37"/>
  <c r="AI875" i="37"/>
  <c r="AI878" i="37"/>
  <c r="AI879" i="37" s="1"/>
  <c r="L1324" i="37"/>
  <c r="X1324" i="37"/>
  <c r="X1325" i="37"/>
  <c r="L1325" i="37"/>
  <c r="X1326" i="37" s="1"/>
  <c r="AI611" i="37"/>
  <c r="AI612" i="37" s="1"/>
  <c r="AI614" i="37" s="1"/>
  <c r="AI620" i="37"/>
  <c r="AI621" i="37" s="1"/>
  <c r="AI568" i="37"/>
  <c r="AI570" i="37" s="1"/>
  <c r="AI623" i="37" s="1"/>
  <c r="AI576" i="37"/>
  <c r="AE568" i="37"/>
  <c r="AE570" i="37" s="1"/>
  <c r="AE623" i="37" s="1"/>
  <c r="AE576" i="37"/>
  <c r="AE620" i="37"/>
  <c r="AE621" i="37" s="1"/>
  <c r="AE611" i="37"/>
  <c r="AE612" i="37" s="1"/>
  <c r="AE614" i="37" s="1"/>
  <c r="AD3220" i="37"/>
  <c r="AD3224" i="37" s="1"/>
  <c r="AD3223" i="37"/>
  <c r="J2989" i="37"/>
  <c r="J2005" i="50"/>
  <c r="AD440" i="42"/>
  <c r="AD463" i="42"/>
  <c r="AD467" i="42" s="1"/>
  <c r="AD471" i="42" s="1"/>
  <c r="AD475" i="42" s="1"/>
  <c r="AD479" i="42" s="1"/>
  <c r="AD442" i="42"/>
  <c r="J1053" i="50"/>
  <c r="J399" i="47"/>
  <c r="J1218" i="50" s="1"/>
  <c r="J1217" i="50"/>
  <c r="H103" i="50"/>
  <c r="Y1101" i="42"/>
  <c r="M2482" i="50"/>
  <c r="M1099" i="42"/>
  <c r="M2483" i="50" s="1"/>
  <c r="Y1099" i="42"/>
  <c r="M1100" i="42" s="1"/>
  <c r="Y1100" i="42"/>
  <c r="M2484" i="50" s="1"/>
  <c r="AK889" i="37"/>
  <c r="AC933" i="37"/>
  <c r="AC942" i="37"/>
  <c r="AC898" i="37"/>
  <c r="AC890" i="37"/>
  <c r="W1647" i="37"/>
  <c r="K1646" i="37"/>
  <c r="W1648" i="37"/>
  <c r="W1646" i="37"/>
  <c r="K1647" i="37" s="1"/>
  <c r="K241" i="50"/>
  <c r="AF878" i="37"/>
  <c r="AF879" i="37" s="1"/>
  <c r="AF875" i="37"/>
  <c r="Z628" i="42"/>
  <c r="N2330" i="50"/>
  <c r="N626" i="42"/>
  <c r="Z627" i="42"/>
  <c r="N2332" i="50" s="1"/>
  <c r="H239" i="50"/>
  <c r="AF1522" i="37"/>
  <c r="AF1523" i="37" s="1"/>
  <c r="AF1519" i="37"/>
  <c r="N1561" i="37"/>
  <c r="AK513" i="37"/>
  <c r="AC525" i="37"/>
  <c r="AC514" i="37"/>
  <c r="M2934" i="37"/>
  <c r="Y2936" i="37"/>
  <c r="Y2934" i="37"/>
  <c r="M2935" i="37" s="1"/>
  <c r="Y2935" i="37"/>
  <c r="AI203" i="42"/>
  <c r="AI205" i="42"/>
  <c r="AI226" i="42"/>
  <c r="AI230" i="42" s="1"/>
  <c r="AI234" i="42" s="1"/>
  <c r="AI238" i="42" s="1"/>
  <c r="AI242" i="42" s="1"/>
  <c r="AH1134" i="37"/>
  <c r="AH1211" i="37"/>
  <c r="AH1183" i="37"/>
  <c r="AH1157" i="37"/>
  <c r="AH1287" i="37"/>
  <c r="AH1142" i="37"/>
  <c r="AH1143" i="37" s="1"/>
  <c r="AH1196" i="37"/>
  <c r="AH1273" i="37"/>
  <c r="AH1192" i="37"/>
  <c r="AH1193" i="37" s="1"/>
  <c r="AH1099" i="37"/>
  <c r="AH1100" i="37" s="1"/>
  <c r="AH1101" i="37" s="1"/>
  <c r="AH1102" i="37" s="1"/>
  <c r="AH1103" i="37" s="1"/>
  <c r="AH1104" i="37" s="1"/>
  <c r="AH1105" i="37" s="1"/>
  <c r="AH1106" i="37" s="1"/>
  <c r="AH1107" i="37" s="1"/>
  <c r="AH1108" i="37" s="1"/>
  <c r="K979" i="50"/>
  <c r="K1001" i="37"/>
  <c r="W1056" i="37"/>
  <c r="W1239" i="37"/>
  <c r="W1031" i="37"/>
  <c r="M2270" i="50"/>
  <c r="M503" i="42"/>
  <c r="M2271" i="50" s="1"/>
  <c r="Y503" i="42"/>
  <c r="M504" i="42" s="1"/>
  <c r="Y505" i="42" s="1"/>
  <c r="Y504" i="42"/>
  <c r="M2272" i="50" s="1"/>
  <c r="M236" i="50"/>
  <c r="AF2767" i="37"/>
  <c r="AF2744" i="37"/>
  <c r="AF2897" i="37"/>
  <c r="AF2883" i="37"/>
  <c r="AF2821" i="37"/>
  <c r="AF2806" i="37"/>
  <c r="AF2793" i="37"/>
  <c r="AF2752" i="37"/>
  <c r="AF2753" i="37" s="1"/>
  <c r="AF2709" i="37"/>
  <c r="AF2710" i="37" s="1"/>
  <c r="AF2711" i="37" s="1"/>
  <c r="AF2712" i="37" s="1"/>
  <c r="AF2713" i="37" s="1"/>
  <c r="AF2714" i="37" s="1"/>
  <c r="AF2715" i="37" s="1"/>
  <c r="AF2716" i="37" s="1"/>
  <c r="AF2717" i="37" s="1"/>
  <c r="AF2718" i="37" s="1"/>
  <c r="AF2802" i="37"/>
  <c r="AF2803" i="37" s="1"/>
  <c r="AC2806" i="37"/>
  <c r="AC2744" i="37"/>
  <c r="AC2709" i="37"/>
  <c r="AC2767" i="37"/>
  <c r="AK2659" i="37"/>
  <c r="AC2752" i="37"/>
  <c r="AC2821" i="37"/>
  <c r="AC2883" i="37"/>
  <c r="AC2897" i="37"/>
  <c r="AC2802" i="37"/>
  <c r="AC2793" i="37"/>
  <c r="AE2752" i="37"/>
  <c r="AE2753" i="37" s="1"/>
  <c r="AE2883" i="37"/>
  <c r="AE2793" i="37"/>
  <c r="AE2802" i="37"/>
  <c r="AE2803" i="37" s="1"/>
  <c r="AE2897" i="37"/>
  <c r="AE2709" i="37"/>
  <c r="AE2710" i="37" s="1"/>
  <c r="AE2711" i="37" s="1"/>
  <c r="AE2712" i="37" s="1"/>
  <c r="AE2713" i="37" s="1"/>
  <c r="AE2714" i="37" s="1"/>
  <c r="AE2715" i="37" s="1"/>
  <c r="AE2716" i="37" s="1"/>
  <c r="AE2717" i="37" s="1"/>
  <c r="AE2718" i="37" s="1"/>
  <c r="AE2806" i="37"/>
  <c r="AE2821" i="37"/>
  <c r="AE2744" i="37"/>
  <c r="AE2767" i="37"/>
  <c r="X2849" i="37"/>
  <c r="L2611" i="37"/>
  <c r="X2666" i="37"/>
  <c r="L2666" i="37" s="1"/>
  <c r="X2641" i="37"/>
  <c r="I1901" i="50"/>
  <c r="K412" i="37"/>
  <c r="AE3101" i="37"/>
  <c r="AE3090" i="37"/>
  <c r="N3171" i="37"/>
  <c r="AC1787" i="37"/>
  <c r="AK1787" i="37" s="1"/>
  <c r="AK1786" i="37"/>
  <c r="AC1935" i="37"/>
  <c r="AK1931" i="37"/>
  <c r="AC1932" i="37"/>
  <c r="AC1936" i="37" s="1"/>
  <c r="J1701" i="37"/>
  <c r="V1703" i="37"/>
  <c r="J1703" i="37" s="1"/>
  <c r="J1352" i="50" s="1"/>
  <c r="J1349" i="50"/>
  <c r="L149" i="42"/>
  <c r="L2147" i="50" s="1"/>
  <c r="X149" i="42"/>
  <c r="L2146" i="50"/>
  <c r="J1099" i="42"/>
  <c r="AD563" i="42"/>
  <c r="AD565" i="42"/>
  <c r="AD586" i="42"/>
  <c r="AD590" i="42" s="1"/>
  <c r="AD594" i="42" s="1"/>
  <c r="AD598" i="42" s="1"/>
  <c r="AD602" i="42" s="1"/>
  <c r="AD1519" i="37"/>
  <c r="AD1522" i="37"/>
  <c r="AD1523" i="37" s="1"/>
  <c r="J235" i="50"/>
  <c r="I920" i="50"/>
  <c r="N236" i="50"/>
  <c r="I231" i="50"/>
  <c r="K873" i="50"/>
  <c r="W223" i="47"/>
  <c r="K221" i="47"/>
  <c r="K1038" i="50" s="1"/>
  <c r="W221" i="47"/>
  <c r="K222" i="47"/>
  <c r="K1037" i="50"/>
  <c r="AG942" i="37"/>
  <c r="AG943" i="37" s="1"/>
  <c r="AG898" i="37"/>
  <c r="AG890" i="37"/>
  <c r="AG892" i="37" s="1"/>
  <c r="AG945" i="37" s="1"/>
  <c r="AG933" i="37"/>
  <c r="AG934" i="37" s="1"/>
  <c r="AG936" i="37" s="1"/>
  <c r="AF565" i="42"/>
  <c r="AF563" i="42"/>
  <c r="AF586" i="42"/>
  <c r="AF590" i="42" s="1"/>
  <c r="AF594" i="42" s="1"/>
  <c r="AF598" i="42" s="1"/>
  <c r="AF602" i="42" s="1"/>
  <c r="AC3129" i="37"/>
  <c r="AK3128" i="37"/>
  <c r="AC3132" i="37"/>
  <c r="AK3143" i="37"/>
  <c r="AC3196" i="37"/>
  <c r="AC3152" i="37"/>
  <c r="AC3187" i="37"/>
  <c r="AC3144" i="37"/>
  <c r="E421" i="50"/>
  <c r="Q336" i="41"/>
  <c r="AH1610" i="37"/>
  <c r="AH1614" i="37" s="1"/>
  <c r="AH1613" i="37"/>
  <c r="AK1595" i="37"/>
  <c r="J670" i="50"/>
  <c r="J698" i="50"/>
  <c r="J740" i="50"/>
  <c r="J681" i="50"/>
  <c r="J658" i="50"/>
  <c r="J723" i="50"/>
  <c r="I423" i="41"/>
  <c r="I426" i="41" s="1"/>
  <c r="I433" i="41" s="1"/>
  <c r="I193" i="41" s="1"/>
  <c r="J1355" i="37"/>
  <c r="V1356" i="37" s="1"/>
  <c r="J1356" i="37" s="1"/>
  <c r="V1354" i="37"/>
  <c r="J1176" i="50" s="1"/>
  <c r="J1354" i="37"/>
  <c r="J1175" i="50" s="1"/>
  <c r="J1174" i="50"/>
  <c r="AC973" i="42"/>
  <c r="AL970" i="42"/>
  <c r="AC971" i="42"/>
  <c r="K2988" i="37"/>
  <c r="N1700" i="37"/>
  <c r="AD1935" i="37"/>
  <c r="AD1932" i="37"/>
  <c r="AD1936" i="37" s="1"/>
  <c r="N234" i="50"/>
  <c r="X399" i="47"/>
  <c r="L399" i="47"/>
  <c r="L1218" i="50" s="1"/>
  <c r="L400" i="47"/>
  <c r="X401" i="47" s="1"/>
  <c r="L1217" i="50"/>
  <c r="L238" i="50"/>
  <c r="N355" i="50"/>
  <c r="N271" i="41"/>
  <c r="I230" i="50"/>
  <c r="K233" i="50"/>
  <c r="M1324" i="37"/>
  <c r="Y1324" i="37"/>
  <c r="Y1325" i="37"/>
  <c r="M1325" i="37"/>
  <c r="Y1326" i="37" s="1"/>
  <c r="N412" i="37"/>
  <c r="AC786" i="42"/>
  <c r="AL783" i="42"/>
  <c r="AC784" i="42"/>
  <c r="AF1935" i="37"/>
  <c r="AF1932" i="37"/>
  <c r="AF1936" i="37" s="1"/>
  <c r="V2481" i="37"/>
  <c r="V2561" i="37"/>
  <c r="V2461" i="37"/>
  <c r="J2523" i="37"/>
  <c r="V2353" i="37"/>
  <c r="V2489" i="37"/>
  <c r="V2555" i="37"/>
  <c r="V2310" i="37"/>
  <c r="V2328" i="37"/>
  <c r="V2546" i="37"/>
  <c r="V2298" i="37"/>
  <c r="V2449" i="37"/>
  <c r="V2471" i="37"/>
  <c r="V2422" i="37"/>
  <c r="J1170" i="50"/>
  <c r="J1198" i="50"/>
  <c r="J1212" i="50"/>
  <c r="J1147" i="50"/>
  <c r="G1139" i="50"/>
  <c r="J1226" i="50"/>
  <c r="J1184" i="50"/>
  <c r="I1248" i="50"/>
  <c r="AI217" i="37"/>
  <c r="AI133" i="37"/>
  <c r="AI134" i="37" s="1"/>
  <c r="AI135" i="37" s="1"/>
  <c r="AI136" i="37" s="1"/>
  <c r="AI137" i="37" s="1"/>
  <c r="AI138" i="37" s="1"/>
  <c r="AI139" i="37" s="1"/>
  <c r="AI140" i="37" s="1"/>
  <c r="AI141" i="37" s="1"/>
  <c r="AI142" i="37" s="1"/>
  <c r="AI245" i="37"/>
  <c r="AI307" i="37"/>
  <c r="AI191" i="37"/>
  <c r="AI230" i="37"/>
  <c r="AI176" i="37"/>
  <c r="AI177" i="37" s="1"/>
  <c r="AI168" i="37"/>
  <c r="AI321" i="37"/>
  <c r="AI226" i="37"/>
  <c r="AI227" i="37" s="1"/>
  <c r="K487" i="50"/>
  <c r="W90" i="37"/>
  <c r="W65" i="37"/>
  <c r="K35" i="37"/>
  <c r="K1156" i="50" s="1"/>
  <c r="W273" i="37"/>
  <c r="T195" i="37"/>
  <c r="T235" i="37"/>
  <c r="T301" i="37"/>
  <c r="T207" i="37"/>
  <c r="H269" i="37"/>
  <c r="T292" i="37"/>
  <c r="T307" i="37"/>
  <c r="T168" i="37"/>
  <c r="T227" i="37"/>
  <c r="T56" i="37"/>
  <c r="T217" i="37"/>
  <c r="K337" i="41"/>
  <c r="K422" i="50" s="1"/>
  <c r="N337" i="41"/>
  <c r="N422" i="50" s="1"/>
  <c r="L337" i="41"/>
  <c r="L422" i="50" s="1"/>
  <c r="I337" i="41"/>
  <c r="I422" i="50" s="1"/>
  <c r="H337" i="41"/>
  <c r="H422" i="50" s="1"/>
  <c r="J337" i="41"/>
  <c r="J422" i="50" s="1"/>
  <c r="M337" i="41"/>
  <c r="M422" i="50" s="1"/>
  <c r="J2047" i="50"/>
  <c r="J2019" i="50"/>
  <c r="J1980" i="50"/>
  <c r="J2033" i="50"/>
  <c r="J1991" i="50"/>
  <c r="J1968" i="50"/>
  <c r="AI3220" i="37"/>
  <c r="AI3224" i="37" s="1"/>
  <c r="AI3223" i="37"/>
  <c r="AD2158" i="37"/>
  <c r="AD2159" i="37" s="1"/>
  <c r="AD2100" i="37"/>
  <c r="AD2123" i="37"/>
  <c r="AD2108" i="37"/>
  <c r="AD2109" i="37" s="1"/>
  <c r="AD2149" i="37"/>
  <c r="AD2239" i="37"/>
  <c r="AD2177" i="37"/>
  <c r="AD2253" i="37"/>
  <c r="AD2162" i="37"/>
  <c r="AD2065" i="37"/>
  <c r="AD2066" i="37" s="1"/>
  <c r="AD2067" i="37" s="1"/>
  <c r="AD2068" i="37" s="1"/>
  <c r="AD2069" i="37" s="1"/>
  <c r="AD2070" i="37" s="1"/>
  <c r="AD2071" i="37" s="1"/>
  <c r="AD2072" i="37" s="1"/>
  <c r="AD2073" i="37" s="1"/>
  <c r="AD2074" i="37" s="1"/>
  <c r="W2233" i="37"/>
  <c r="W2224" i="37"/>
  <c r="W2031" i="37"/>
  <c r="W2159" i="37"/>
  <c r="W2167" i="37"/>
  <c r="W2100" i="37"/>
  <c r="K2201" i="37"/>
  <c r="W2127" i="37"/>
  <c r="W2139" i="37"/>
  <c r="W1976" i="37"/>
  <c r="W2239" i="37"/>
  <c r="W2149" i="37"/>
  <c r="W2006" i="37"/>
  <c r="W1988" i="37"/>
  <c r="AC1988" i="37"/>
  <c r="AK1988" i="37" s="1"/>
  <c r="AK1986" i="37"/>
  <c r="J680" i="37"/>
  <c r="L917" i="37"/>
  <c r="L2270" i="50"/>
  <c r="X505" i="42"/>
  <c r="L503" i="42"/>
  <c r="L2271" i="50" s="1"/>
  <c r="X503" i="42"/>
  <c r="L504" i="42" s="1"/>
  <c r="X504" i="42"/>
  <c r="L2272" i="50" s="1"/>
  <c r="L1676" i="37"/>
  <c r="L1339" i="50" s="1"/>
  <c r="L1677" i="37"/>
  <c r="X1678" i="37"/>
  <c r="X1676" i="37"/>
  <c r="L1340" i="50" s="1"/>
  <c r="L1338" i="50"/>
  <c r="AI847" i="37"/>
  <c r="AI836" i="37"/>
  <c r="AF226" i="42"/>
  <c r="AF230" i="42" s="1"/>
  <c r="AF234" i="42" s="1"/>
  <c r="AF238" i="42" s="1"/>
  <c r="AF242" i="42" s="1"/>
  <c r="AF203" i="42"/>
  <c r="AF205" i="42"/>
  <c r="AI1613" i="37"/>
  <c r="AI1610" i="37"/>
  <c r="AI1614" i="37" s="1"/>
  <c r="L1561" i="37"/>
  <c r="AI644" i="37"/>
  <c r="AI648" i="37" s="1"/>
  <c r="AI647" i="37"/>
  <c r="L744" i="42"/>
  <c r="L2340" i="50" s="1"/>
  <c r="X744" i="42"/>
  <c r="L2339" i="50"/>
  <c r="S2068" i="50"/>
  <c r="V2964" i="37"/>
  <c r="J2964" i="37"/>
  <c r="J1995" i="50" s="1"/>
  <c r="J1994" i="50"/>
  <c r="AE1899" i="37"/>
  <c r="AE1900" i="37" s="1"/>
  <c r="AE1902" i="37" s="1"/>
  <c r="AE1856" i="37"/>
  <c r="AE1858" i="37" s="1"/>
  <c r="AE1911" i="37" s="1"/>
  <c r="AE1908" i="37"/>
  <c r="AE1909" i="37" s="1"/>
  <c r="AE1864" i="37"/>
  <c r="L386" i="42"/>
  <c r="L2214" i="50" s="1"/>
  <c r="X386" i="42"/>
  <c r="L2213" i="50"/>
  <c r="M229" i="50"/>
  <c r="L1491" i="50"/>
  <c r="L1533" i="50"/>
  <c r="L1561" i="50"/>
  <c r="L1519" i="50"/>
  <c r="L1544" i="50"/>
  <c r="L1479" i="50"/>
  <c r="I102" i="50"/>
  <c r="AK951" i="37"/>
  <c r="K999" i="42"/>
  <c r="K2444" i="50" s="1"/>
  <c r="K2443" i="50"/>
  <c r="W999" i="42"/>
  <c r="W1000" i="42"/>
  <c r="K2445" i="50" s="1"/>
  <c r="K1000" i="42"/>
  <c r="W1001" i="42" s="1"/>
  <c r="K1883" i="37"/>
  <c r="AL212" i="42"/>
  <c r="M232" i="50"/>
  <c r="AF1586" i="37"/>
  <c r="AF1587" i="37" s="1"/>
  <c r="AF1534" i="37"/>
  <c r="AF1536" i="37" s="1"/>
  <c r="AF1589" i="37" s="1"/>
  <c r="AF1577" i="37"/>
  <c r="AF1578" i="37" s="1"/>
  <c r="AF1580" i="37" s="1"/>
  <c r="AF1542" i="37"/>
  <c r="X931" i="42"/>
  <c r="L931" i="42"/>
  <c r="L2397" i="50" s="1"/>
  <c r="L2396" i="50"/>
  <c r="AK629" i="37"/>
  <c r="AK643" i="37"/>
  <c r="AC647" i="37"/>
  <c r="AC644" i="37"/>
  <c r="AC648" i="37" s="1"/>
  <c r="AG565" i="42"/>
  <c r="AG586" i="42"/>
  <c r="AG590" i="42" s="1"/>
  <c r="AG594" i="42" s="1"/>
  <c r="AG598" i="42" s="1"/>
  <c r="AG602" i="42" s="1"/>
  <c r="AG563" i="42"/>
  <c r="I234" i="50"/>
  <c r="AI2883" i="37"/>
  <c r="AI2752" i="37"/>
  <c r="AI2753" i="37" s="1"/>
  <c r="AI2793" i="37"/>
  <c r="AI2709" i="37"/>
  <c r="AI2710" i="37" s="1"/>
  <c r="AI2711" i="37" s="1"/>
  <c r="AI2712" i="37" s="1"/>
  <c r="AI2713" i="37" s="1"/>
  <c r="AI2714" i="37" s="1"/>
  <c r="AI2715" i="37" s="1"/>
  <c r="AI2716" i="37" s="1"/>
  <c r="AI2717" i="37" s="1"/>
  <c r="AI2718" i="37" s="1"/>
  <c r="AI2806" i="37"/>
  <c r="AI2802" i="37"/>
  <c r="AI2803" i="37" s="1"/>
  <c r="AI2821" i="37"/>
  <c r="AI2744" i="37"/>
  <c r="AI2767" i="37"/>
  <c r="AI2897" i="37"/>
  <c r="AK2597" i="37"/>
  <c r="K358" i="37"/>
  <c r="W358" i="37"/>
  <c r="W359" i="37"/>
  <c r="K359" i="37"/>
  <c r="W360" i="37" s="1"/>
  <c r="AE3144" i="37"/>
  <c r="AE3146" i="37" s="1"/>
  <c r="AE3199" i="37" s="1"/>
  <c r="AE3187" i="37"/>
  <c r="AE3188" i="37" s="1"/>
  <c r="AE3190" i="37" s="1"/>
  <c r="AE3152" i="37"/>
  <c r="AE3196" i="37"/>
  <c r="AE3197" i="37" s="1"/>
  <c r="Z2934" i="37"/>
  <c r="N2935" i="37" s="1"/>
  <c r="Z2935" i="37"/>
  <c r="Z2936" i="37"/>
  <c r="N2934" i="37"/>
  <c r="L236" i="50"/>
  <c r="AK1801" i="37"/>
  <c r="AC1813" i="37"/>
  <c r="AC1802" i="37"/>
  <c r="J1676" i="37"/>
  <c r="J1338" i="50"/>
  <c r="L29" i="42"/>
  <c r="X31" i="42"/>
  <c r="L2137" i="50"/>
  <c r="X30" i="42"/>
  <c r="L2139" i="50" s="1"/>
  <c r="M266" i="42"/>
  <c r="M2204" i="50"/>
  <c r="Y268" i="42"/>
  <c r="Y267" i="42"/>
  <c r="M2206" i="50" s="1"/>
  <c r="I309" i="41"/>
  <c r="I397" i="50" s="1"/>
  <c r="H309" i="41"/>
  <c r="H397" i="50" s="1"/>
  <c r="L309" i="41"/>
  <c r="L397" i="50" s="1"/>
  <c r="M309" i="41"/>
  <c r="M397" i="50" s="1"/>
  <c r="J309" i="41"/>
  <c r="J397" i="50" s="1"/>
  <c r="N309" i="41"/>
  <c r="N397" i="50" s="1"/>
  <c r="K309" i="41"/>
  <c r="K397" i="50" s="1"/>
  <c r="AE878" i="37"/>
  <c r="AE879" i="37" s="1"/>
  <c r="AE875" i="37"/>
  <c r="AC3125" i="37"/>
  <c r="AK3124" i="37"/>
  <c r="AC3223" i="37"/>
  <c r="AC3220" i="37"/>
  <c r="AC3224" i="37" s="1"/>
  <c r="AK3219" i="37"/>
  <c r="J307" i="41"/>
  <c r="N307" i="41"/>
  <c r="M307" i="41"/>
  <c r="K307" i="41"/>
  <c r="I307" i="41"/>
  <c r="H307" i="41"/>
  <c r="L307" i="41"/>
  <c r="AH1480" i="37"/>
  <c r="AH1491" i="37"/>
  <c r="AK1421" i="37"/>
  <c r="AC1422" i="37"/>
  <c r="AB1421" i="37"/>
  <c r="AE1610" i="37"/>
  <c r="AE1614" i="37" s="1"/>
  <c r="AE1613" i="37"/>
  <c r="J520" i="50"/>
  <c r="J720" i="50"/>
  <c r="G647" i="50"/>
  <c r="J692" i="50"/>
  <c r="J655" i="50"/>
  <c r="J706" i="50"/>
  <c r="J734" i="50"/>
  <c r="J678" i="50"/>
  <c r="J687" i="50" s="1"/>
  <c r="I756" i="50"/>
  <c r="N240" i="50"/>
  <c r="I2673" i="50"/>
  <c r="K2934" i="37"/>
  <c r="W2936" i="37"/>
  <c r="W2934" i="37"/>
  <c r="K2935" i="37" s="1"/>
  <c r="W2935" i="37"/>
  <c r="Z1647" i="37"/>
  <c r="Z1646" i="37"/>
  <c r="N1647" i="37" s="1"/>
  <c r="Z1648" i="37"/>
  <c r="N1646" i="37"/>
  <c r="N406" i="47"/>
  <c r="J355" i="50"/>
  <c r="J271" i="41"/>
  <c r="L239" i="50"/>
  <c r="H229" i="50"/>
  <c r="AF3132" i="37"/>
  <c r="AF3133" i="37" s="1"/>
  <c r="AF3129" i="37"/>
  <c r="M1561" i="37"/>
  <c r="M358" i="37"/>
  <c r="Y358" i="37"/>
  <c r="Y359" i="37"/>
  <c r="M359" i="37"/>
  <c r="Y360" i="37" s="1"/>
  <c r="N595" i="37"/>
  <c r="L237" i="50"/>
  <c r="AH3152" i="37"/>
  <c r="AH3196" i="37"/>
  <c r="AH3197" i="37" s="1"/>
  <c r="AH3144" i="37"/>
  <c r="AH3146" i="37" s="1"/>
  <c r="AH3199" i="37" s="1"/>
  <c r="AH3187" i="37"/>
  <c r="AH3188" i="37" s="1"/>
  <c r="AH3190" i="37" s="1"/>
  <c r="U2546" i="37"/>
  <c r="U2481" i="37"/>
  <c r="U2461" i="37"/>
  <c r="I2523" i="37"/>
  <c r="U2471" i="37"/>
  <c r="U2422" i="37"/>
  <c r="U2310" i="37"/>
  <c r="U2489" i="37"/>
  <c r="U2555" i="37"/>
  <c r="U2449" i="37"/>
  <c r="U2561" i="37"/>
  <c r="AC2445" i="37"/>
  <c r="AC2480" i="37"/>
  <c r="AC2575" i="37"/>
  <c r="AC2430" i="37"/>
  <c r="AC2422" i="37"/>
  <c r="AC2387" i="37"/>
  <c r="AC2471" i="37"/>
  <c r="AC2499" i="37"/>
  <c r="AC2561" i="37"/>
  <c r="AK2337" i="37"/>
  <c r="AC2484" i="37"/>
  <c r="AL572" i="42"/>
  <c r="J1150" i="50"/>
  <c r="J1215" i="50"/>
  <c r="J1162" i="50"/>
  <c r="J1232" i="50"/>
  <c r="J1173" i="50"/>
  <c r="J1190" i="50"/>
  <c r="AF611" i="37"/>
  <c r="AF612" i="37" s="1"/>
  <c r="AF614" i="37" s="1"/>
  <c r="AF568" i="37"/>
  <c r="AF570" i="37" s="1"/>
  <c r="AF623" i="37" s="1"/>
  <c r="AF620" i="37"/>
  <c r="AF621" i="37" s="1"/>
  <c r="AF576" i="37"/>
  <c r="I269" i="37"/>
  <c r="U168" i="37"/>
  <c r="U292" i="37"/>
  <c r="U301" i="37"/>
  <c r="U227" i="37"/>
  <c r="U235" i="37"/>
  <c r="U217" i="37"/>
  <c r="U195" i="37"/>
  <c r="U56" i="37"/>
  <c r="U307" i="37"/>
  <c r="U207" i="37"/>
  <c r="AH217" i="37"/>
  <c r="AH191" i="37"/>
  <c r="AH245" i="37"/>
  <c r="AH133" i="37"/>
  <c r="AH134" i="37" s="1"/>
  <c r="AH135" i="37" s="1"/>
  <c r="AH136" i="37" s="1"/>
  <c r="AH137" i="37" s="1"/>
  <c r="AH138" i="37" s="1"/>
  <c r="AH139" i="37" s="1"/>
  <c r="AH140" i="37" s="1"/>
  <c r="AH141" i="37" s="1"/>
  <c r="AH142" i="37" s="1"/>
  <c r="AH321" i="37"/>
  <c r="AH230" i="37"/>
  <c r="AH307" i="37"/>
  <c r="AH168" i="37"/>
  <c r="AH226" i="37"/>
  <c r="AH227" i="37" s="1"/>
  <c r="AH176" i="37"/>
  <c r="AH177" i="37" s="1"/>
  <c r="X235" i="37"/>
  <c r="X56" i="37"/>
  <c r="X307" i="37"/>
  <c r="X292" i="37"/>
  <c r="X227" i="37"/>
  <c r="X301" i="37"/>
  <c r="X168" i="37"/>
  <c r="L269" i="37"/>
  <c r="X195" i="37"/>
  <c r="X217" i="37"/>
  <c r="X207" i="37"/>
  <c r="X99" i="37"/>
  <c r="X44" i="37"/>
  <c r="AH2100" i="37"/>
  <c r="AH2149" i="37"/>
  <c r="AH2158" i="37"/>
  <c r="AH2159" i="37" s="1"/>
  <c r="AH2065" i="37"/>
  <c r="AH2066" i="37" s="1"/>
  <c r="AH2067" i="37" s="1"/>
  <c r="AH2068" i="37" s="1"/>
  <c r="AH2069" i="37" s="1"/>
  <c r="AH2070" i="37" s="1"/>
  <c r="AH2071" i="37" s="1"/>
  <c r="AH2072" i="37" s="1"/>
  <c r="AH2073" i="37" s="1"/>
  <c r="AH2074" i="37" s="1"/>
  <c r="AH2177" i="37"/>
  <c r="AH2162" i="37"/>
  <c r="AH2253" i="37"/>
  <c r="AH2123" i="37"/>
  <c r="AH2108" i="37"/>
  <c r="AH2109" i="37" s="1"/>
  <c r="AH2239" i="37"/>
  <c r="Z2167" i="37"/>
  <c r="Z2100" i="37"/>
  <c r="Z1976" i="37"/>
  <c r="Z2139" i="37"/>
  <c r="Z2127" i="37"/>
  <c r="Z1988" i="37"/>
  <c r="Z2006" i="37"/>
  <c r="Z2159" i="37"/>
  <c r="Z2239" i="37"/>
  <c r="N2201" i="37"/>
  <c r="Z2224" i="37"/>
  <c r="Z2031" i="37"/>
  <c r="Z2149" i="37"/>
  <c r="Z2233" i="37"/>
  <c r="V2159" i="37"/>
  <c r="V2233" i="37"/>
  <c r="V2224" i="37"/>
  <c r="V2127" i="37"/>
  <c r="V1976" i="37"/>
  <c r="V1988" i="37"/>
  <c r="J2201" i="37"/>
  <c r="V2100" i="37"/>
  <c r="V2149" i="37"/>
  <c r="V2239" i="37"/>
  <c r="V2139" i="37"/>
  <c r="V2006" i="37"/>
  <c r="V2031" i="37"/>
  <c r="V2167" i="37"/>
  <c r="J870" i="50"/>
  <c r="J879" i="50" s="1"/>
  <c r="J880" i="50" s="1"/>
  <c r="J881" i="50" s="1"/>
  <c r="J898" i="50"/>
  <c r="G811" i="50"/>
  <c r="J856" i="50"/>
  <c r="J842" i="50"/>
  <c r="J819" i="50"/>
  <c r="J884" i="50"/>
  <c r="J735" i="37"/>
  <c r="V737" i="37"/>
  <c r="J737" i="37" s="1"/>
  <c r="J860" i="50" s="1"/>
  <c r="J857" i="50"/>
  <c r="L734" i="37"/>
  <c r="AE563" i="42"/>
  <c r="AE586" i="42"/>
  <c r="AE590" i="42" s="1"/>
  <c r="AE594" i="42" s="1"/>
  <c r="AE598" i="42" s="1"/>
  <c r="AE602" i="42" s="1"/>
  <c r="AE565" i="42"/>
  <c r="L1883" i="37"/>
  <c r="AE644" i="37"/>
  <c r="AE648" i="37" s="1"/>
  <c r="AE647" i="37"/>
  <c r="L626" i="42"/>
  <c r="X628" i="42"/>
  <c r="L2330" i="50"/>
  <c r="X627" i="42"/>
  <c r="L2332" i="50" s="1"/>
  <c r="AD3101" i="37"/>
  <c r="AD3090" i="37"/>
  <c r="J3171" i="37"/>
  <c r="AE1802" i="37"/>
  <c r="AE1813" i="37"/>
  <c r="AG1908" i="37"/>
  <c r="AG1909" i="37" s="1"/>
  <c r="AG1856" i="37"/>
  <c r="AG1858" i="37" s="1"/>
  <c r="AG1911" i="37" s="1"/>
  <c r="AG1864" i="37"/>
  <c r="AG1899" i="37"/>
  <c r="AG1900" i="37" s="1"/>
  <c r="AG1902" i="37" s="1"/>
  <c r="X268" i="42"/>
  <c r="L2204" i="50"/>
  <c r="L266" i="42"/>
  <c r="X267" i="42"/>
  <c r="L2206" i="50" s="1"/>
  <c r="K406" i="47"/>
  <c r="H106" i="50"/>
  <c r="I103" i="50"/>
  <c r="AD205" i="42"/>
  <c r="AD203" i="42"/>
  <c r="AD226" i="42"/>
  <c r="AD230" i="42" s="1"/>
  <c r="AD234" i="42" s="1"/>
  <c r="AD238" i="42" s="1"/>
  <c r="AD242" i="42" s="1"/>
  <c r="L233" i="50"/>
  <c r="AK870" i="37"/>
  <c r="AC871" i="37"/>
  <c r="AD898" i="37"/>
  <c r="AD942" i="37"/>
  <c r="AD943" i="37" s="1"/>
  <c r="AD933" i="37"/>
  <c r="AD934" i="37" s="1"/>
  <c r="AD936" i="37" s="1"/>
  <c r="AD890" i="37"/>
  <c r="AD892" i="37" s="1"/>
  <c r="AD945" i="37" s="1"/>
  <c r="Y1647" i="37"/>
  <c r="M1646" i="37"/>
  <c r="Y1648" i="37"/>
  <c r="Y1646" i="37"/>
  <c r="M1647" i="37" s="1"/>
  <c r="AF847" i="37"/>
  <c r="AF836" i="37"/>
  <c r="AF1613" i="37"/>
  <c r="AF1610" i="37"/>
  <c r="AF1614" i="37" s="1"/>
  <c r="N1378" i="37"/>
  <c r="L2387" i="50"/>
  <c r="L813" i="42"/>
  <c r="X815" i="42"/>
  <c r="X814" i="42"/>
  <c r="L2389" i="50" s="1"/>
  <c r="AC620" i="37"/>
  <c r="AK567" i="37"/>
  <c r="AC576" i="37"/>
  <c r="AC611" i="37"/>
  <c r="AC568" i="37"/>
  <c r="X2935" i="37"/>
  <c r="L2934" i="37"/>
  <c r="X2936" i="37"/>
  <c r="X2934" i="37"/>
  <c r="L2935" i="37" s="1"/>
  <c r="AC1022" i="37"/>
  <c r="AK1022" i="37" s="1"/>
  <c r="AK1020" i="37"/>
  <c r="T1134" i="37"/>
  <c r="T1267" i="37"/>
  <c r="T1183" i="37"/>
  <c r="H1235" i="37"/>
  <c r="T1022" i="37"/>
  <c r="T1273" i="37"/>
  <c r="T1258" i="37"/>
  <c r="T1193" i="37"/>
  <c r="T1173" i="37"/>
  <c r="T1201" i="37"/>
  <c r="T1161" i="37"/>
  <c r="N979" i="50"/>
  <c r="Z1239" i="37"/>
  <c r="Z1031" i="37"/>
  <c r="N1001" i="37"/>
  <c r="Z1056" i="37"/>
  <c r="M979" i="50"/>
  <c r="M1001" i="37"/>
  <c r="Y1056" i="37"/>
  <c r="Y1239" i="37"/>
  <c r="Y1031" i="37"/>
  <c r="J2611" i="37"/>
  <c r="V2666" i="37"/>
  <c r="J2666" i="37" s="1"/>
  <c r="V2849" i="37"/>
  <c r="V2641" i="37"/>
  <c r="J2641" i="37" s="1"/>
  <c r="Y2883" i="37"/>
  <c r="Y2783" i="37"/>
  <c r="Y2620" i="37"/>
  <c r="Y2877" i="37"/>
  <c r="Y2675" i="37"/>
  <c r="Y2811" i="37"/>
  <c r="M2845" i="37"/>
  <c r="Y2868" i="37"/>
  <c r="Y2650" i="37"/>
  <c r="Y2803" i="37"/>
  <c r="Y2744" i="37"/>
  <c r="Y2771" i="37"/>
  <c r="Y2632" i="37"/>
  <c r="Y2793" i="37"/>
  <c r="I2845" i="37"/>
  <c r="U2744" i="37"/>
  <c r="U2783" i="37"/>
  <c r="U2793" i="37"/>
  <c r="U2883" i="37"/>
  <c r="U2811" i="37"/>
  <c r="U2632" i="37"/>
  <c r="U2877" i="37"/>
  <c r="U2803" i="37"/>
  <c r="U2771" i="37"/>
  <c r="U2868" i="37"/>
  <c r="AG525" i="37"/>
  <c r="AG514" i="37"/>
  <c r="H232" i="50"/>
  <c r="AK1778" i="37"/>
  <c r="J1883" i="37"/>
  <c r="AH1908" i="37"/>
  <c r="AH1909" i="37" s="1"/>
  <c r="AH1856" i="37"/>
  <c r="AH1858" i="37" s="1"/>
  <c r="AH1911" i="37" s="1"/>
  <c r="AH1899" i="37"/>
  <c r="AH1900" i="37" s="1"/>
  <c r="AH1902" i="37" s="1"/>
  <c r="AH1864" i="37"/>
  <c r="AG1522" i="37"/>
  <c r="AG1523" i="37" s="1"/>
  <c r="AG1519" i="37"/>
  <c r="AD1534" i="37"/>
  <c r="AD1536" i="37" s="1"/>
  <c r="AD1589" i="37" s="1"/>
  <c r="AD1577" i="37"/>
  <c r="AD1578" i="37" s="1"/>
  <c r="AD1580" i="37" s="1"/>
  <c r="AD1586" i="37"/>
  <c r="AD1587" i="37" s="1"/>
  <c r="AD1542" i="37"/>
  <c r="J240" i="50"/>
  <c r="M744" i="42"/>
  <c r="M2340" i="50" s="1"/>
  <c r="Y744" i="42"/>
  <c r="M2339" i="50"/>
  <c r="AG3144" i="37"/>
  <c r="AG3146" i="37" s="1"/>
  <c r="AG3199" i="37" s="1"/>
  <c r="AG3196" i="37"/>
  <c r="AG3197" i="37" s="1"/>
  <c r="AG3187" i="37"/>
  <c r="AG3188" i="37" s="1"/>
  <c r="AG3190" i="37" s="1"/>
  <c r="AG3152" i="37"/>
  <c r="J1377" i="50"/>
  <c r="J1324" i="50"/>
  <c r="J1363" i="50"/>
  <c r="J1335" i="50"/>
  <c r="J1391" i="50"/>
  <c r="J1312" i="50"/>
  <c r="M386" i="42"/>
  <c r="M2214" i="50" s="1"/>
  <c r="Y386" i="42"/>
  <c r="M2213" i="50"/>
  <c r="Q338" i="41"/>
  <c r="E423" i="50"/>
  <c r="AE969" i="37"/>
  <c r="AE966" i="37"/>
  <c r="AE970" i="37" s="1"/>
  <c r="K917" i="37"/>
  <c r="AC3032" i="37"/>
  <c r="AK3031" i="37"/>
  <c r="AB3031" i="37"/>
  <c r="AH1586" i="37"/>
  <c r="AH1587" i="37" s="1"/>
  <c r="AH1577" i="37"/>
  <c r="AH1578" i="37" s="1"/>
  <c r="AH1580" i="37" s="1"/>
  <c r="AH1542" i="37"/>
  <c r="AH1534" i="37"/>
  <c r="AH1536" i="37" s="1"/>
  <c r="AH1589" i="37" s="1"/>
  <c r="AK1456" i="37"/>
  <c r="N235" i="50"/>
  <c r="N1883" i="37"/>
  <c r="K355" i="50"/>
  <c r="K271" i="41"/>
  <c r="J241" i="50"/>
  <c r="M412" i="37"/>
  <c r="AF1856" i="37"/>
  <c r="AF1858" i="37" s="1"/>
  <c r="AF1911" i="37" s="1"/>
  <c r="AF1864" i="37"/>
  <c r="AF1899" i="37"/>
  <c r="AF1900" i="37" s="1"/>
  <c r="AF1902" i="37" s="1"/>
  <c r="AF1908" i="37"/>
  <c r="AF1909" i="37" s="1"/>
  <c r="AH2480" i="37"/>
  <c r="AH2481" i="37" s="1"/>
  <c r="AH2430" i="37"/>
  <c r="AH2431" i="37" s="1"/>
  <c r="AH2484" i="37"/>
  <c r="AH2387" i="37"/>
  <c r="AH2388" i="37" s="1"/>
  <c r="AH2389" i="37" s="1"/>
  <c r="AH2390" i="37" s="1"/>
  <c r="AH2391" i="37" s="1"/>
  <c r="AH2392" i="37" s="1"/>
  <c r="AH2393" i="37" s="1"/>
  <c r="AH2394" i="37" s="1"/>
  <c r="AH2395" i="37" s="1"/>
  <c r="AH2396" i="37" s="1"/>
  <c r="AH2471" i="37"/>
  <c r="AH2575" i="37"/>
  <c r="AH2499" i="37"/>
  <c r="AH2422" i="37"/>
  <c r="AH2445" i="37"/>
  <c r="AH2561" i="37"/>
  <c r="M709" i="37"/>
  <c r="AC563" i="42"/>
  <c r="AC565" i="42"/>
  <c r="AC586" i="42"/>
  <c r="AL562" i="42"/>
  <c r="N873" i="50"/>
  <c r="Z221" i="47"/>
  <c r="N1039" i="50" s="1"/>
  <c r="N221" i="47"/>
  <c r="N1038" i="50" s="1"/>
  <c r="Z223" i="47"/>
  <c r="N222" i="47"/>
  <c r="N1037" i="50"/>
  <c r="N232" i="50"/>
  <c r="AD553" i="37"/>
  <c r="AD556" i="37"/>
  <c r="AD557" i="37" s="1"/>
  <c r="AF644" i="37"/>
  <c r="AF648" i="37" s="1"/>
  <c r="AF647" i="37"/>
  <c r="AF514" i="37"/>
  <c r="AF525" i="37"/>
  <c r="M487" i="50"/>
  <c r="Y273" i="37"/>
  <c r="Y65" i="37"/>
  <c r="Y90" i="37"/>
  <c r="M35" i="37"/>
  <c r="M1156" i="50" s="1"/>
  <c r="AD226" i="37"/>
  <c r="AD227" i="37" s="1"/>
  <c r="AD321" i="37"/>
  <c r="AD176" i="37"/>
  <c r="AD177" i="37" s="1"/>
  <c r="AD168" i="37"/>
  <c r="AD230" i="37"/>
  <c r="AD245" i="37"/>
  <c r="AD191" i="37"/>
  <c r="AD133" i="37"/>
  <c r="AD134" i="37" s="1"/>
  <c r="AD135" i="37" s="1"/>
  <c r="AD136" i="37" s="1"/>
  <c r="AD137" i="37" s="1"/>
  <c r="AD138" i="37" s="1"/>
  <c r="AD139" i="37" s="1"/>
  <c r="AD140" i="37" s="1"/>
  <c r="AD141" i="37" s="1"/>
  <c r="AD142" i="37" s="1"/>
  <c r="AD307" i="37"/>
  <c r="AD217" i="37"/>
  <c r="L487" i="50"/>
  <c r="L35" i="37"/>
  <c r="L1156" i="50" s="1"/>
  <c r="X90" i="37"/>
  <c r="X273" i="37"/>
  <c r="X65" i="37"/>
  <c r="J1161" i="50"/>
  <c r="J1200" i="50"/>
  <c r="J1172" i="50"/>
  <c r="J1149" i="50"/>
  <c r="J1214" i="50"/>
  <c r="J1189" i="50"/>
  <c r="L234" i="50"/>
  <c r="AG2253" i="37"/>
  <c r="AG2123" i="37"/>
  <c r="AG2108" i="37"/>
  <c r="AG2109" i="37" s="1"/>
  <c r="AG2162" i="37"/>
  <c r="AG2239" i="37"/>
  <c r="AG2177" i="37"/>
  <c r="AG2065" i="37"/>
  <c r="AG2066" i="37" s="1"/>
  <c r="AG2067" i="37" s="1"/>
  <c r="AG2068" i="37" s="1"/>
  <c r="AG2069" i="37" s="1"/>
  <c r="AG2070" i="37" s="1"/>
  <c r="AG2071" i="37" s="1"/>
  <c r="AG2072" i="37" s="1"/>
  <c r="AG2073" i="37" s="1"/>
  <c r="AG2074" i="37" s="1"/>
  <c r="AG2100" i="37"/>
  <c r="AG2149" i="37"/>
  <c r="AG2158" i="37"/>
  <c r="AG2159" i="37" s="1"/>
  <c r="I2201" i="37"/>
  <c r="U2233" i="37"/>
  <c r="I101" i="50" s="1"/>
  <c r="U2167" i="37"/>
  <c r="U2127" i="37"/>
  <c r="U2224" i="37"/>
  <c r="U2149" i="37"/>
  <c r="U2159" i="37"/>
  <c r="U2100" i="37"/>
  <c r="U2139" i="37"/>
  <c r="U2239" i="37"/>
  <c r="U1988" i="37"/>
  <c r="X2127" i="37"/>
  <c r="X2139" i="37"/>
  <c r="X2031" i="37"/>
  <c r="X2149" i="37"/>
  <c r="X2167" i="37"/>
  <c r="X1988" i="37"/>
  <c r="L2201" i="37"/>
  <c r="X1976" i="37"/>
  <c r="X2159" i="37"/>
  <c r="X2006" i="37"/>
  <c r="X2233" i="37"/>
  <c r="X2100" i="37"/>
  <c r="X2239" i="37"/>
  <c r="X2224" i="37"/>
  <c r="J862" i="50"/>
  <c r="J845" i="50"/>
  <c r="J822" i="50"/>
  <c r="J904" i="50"/>
  <c r="J887" i="50"/>
  <c r="J834" i="50"/>
  <c r="J710" i="37"/>
  <c r="J847" i="50" s="1"/>
  <c r="J846" i="50"/>
  <c r="AH966" i="37"/>
  <c r="AH970" i="37" s="1"/>
  <c r="AH969" i="37"/>
  <c r="L1646" i="37"/>
  <c r="X1647" i="37"/>
  <c r="X1648" i="37"/>
  <c r="X1646" i="37"/>
  <c r="L1647" i="37" s="1"/>
  <c r="AF440" i="42"/>
  <c r="AF463" i="42"/>
  <c r="AF467" i="42" s="1"/>
  <c r="AF471" i="42" s="1"/>
  <c r="AF475" i="42" s="1"/>
  <c r="AF479" i="42" s="1"/>
  <c r="AF442" i="42"/>
  <c r="L345" i="41"/>
  <c r="L430" i="50" s="1"/>
  <c r="N345" i="41"/>
  <c r="N430" i="50" s="1"/>
  <c r="J345" i="41"/>
  <c r="J430" i="50" s="1"/>
  <c r="K345" i="41"/>
  <c r="K430" i="50" s="1"/>
  <c r="M345" i="41"/>
  <c r="M430" i="50" s="1"/>
  <c r="H345" i="41"/>
  <c r="H430" i="50" s="1"/>
  <c r="I345" i="41"/>
  <c r="I430" i="50" s="1"/>
  <c r="AI1519" i="37"/>
  <c r="AI1522" i="37"/>
  <c r="AI1523" i="37" s="1"/>
  <c r="AI514" i="37"/>
  <c r="AI525" i="37"/>
  <c r="J237" i="50"/>
  <c r="AD3129" i="37"/>
  <c r="AD3132" i="37"/>
  <c r="AD3133" i="37" s="1"/>
  <c r="J2934" i="37"/>
  <c r="L241" i="50"/>
  <c r="AG1935" i="37"/>
  <c r="AG1932" i="37"/>
  <c r="AG1936" i="37" s="1"/>
  <c r="M230" i="50"/>
  <c r="AD875" i="37"/>
  <c r="AD878" i="37"/>
  <c r="AD879" i="37" s="1"/>
  <c r="N238" i="50"/>
  <c r="M1883" i="37"/>
  <c r="AF890" i="37"/>
  <c r="AF892" i="37" s="1"/>
  <c r="AF945" i="37" s="1"/>
  <c r="AF942" i="37"/>
  <c r="AF943" i="37" s="1"/>
  <c r="AF933" i="37"/>
  <c r="AF934" i="37" s="1"/>
  <c r="AF936" i="37" s="1"/>
  <c r="AF898" i="37"/>
  <c r="AL202" i="42"/>
  <c r="AC205" i="42"/>
  <c r="AC226" i="42"/>
  <c r="AC203" i="42"/>
  <c r="AF1480" i="37"/>
  <c r="AF1491" i="37"/>
  <c r="N1324" i="37"/>
  <c r="Z1324" i="37"/>
  <c r="Z1325" i="37"/>
  <c r="N1325" i="37"/>
  <c r="Z1326" i="37" s="1"/>
  <c r="AK498" i="37"/>
  <c r="AC499" i="37"/>
  <c r="AK499" i="37" s="1"/>
  <c r="L2988" i="37"/>
  <c r="Y1134" i="37"/>
  <c r="Y1267" i="37"/>
  <c r="Y1273" i="37"/>
  <c r="Y1022" i="37"/>
  <c r="Y1161" i="37"/>
  <c r="Y1173" i="37"/>
  <c r="Y1193" i="37"/>
  <c r="Y1258" i="37"/>
  <c r="Y1183" i="37"/>
  <c r="Y1201" i="37"/>
  <c r="M1235" i="37"/>
  <c r="Y1040" i="37"/>
  <c r="Y1065" i="37"/>
  <c r="Y1010" i="37"/>
  <c r="AI1273" i="37"/>
  <c r="AI1134" i="37"/>
  <c r="AI1142" i="37"/>
  <c r="AI1143" i="37" s="1"/>
  <c r="AI1192" i="37"/>
  <c r="AI1193" i="37" s="1"/>
  <c r="AI1196" i="37"/>
  <c r="AI1211" i="37"/>
  <c r="AI1287" i="37"/>
  <c r="AI1099" i="37"/>
  <c r="AI1100" i="37" s="1"/>
  <c r="AI1101" i="37" s="1"/>
  <c r="AI1102" i="37" s="1"/>
  <c r="AI1103" i="37" s="1"/>
  <c r="AI1104" i="37" s="1"/>
  <c r="AI1105" i="37" s="1"/>
  <c r="AI1106" i="37" s="1"/>
  <c r="AI1107" i="37" s="1"/>
  <c r="AI1108" i="37" s="1"/>
  <c r="AI1183" i="37"/>
  <c r="AI1157" i="37"/>
  <c r="W1201" i="37"/>
  <c r="W1161" i="37"/>
  <c r="W1022" i="37"/>
  <c r="W1193" i="37"/>
  <c r="W1134" i="37"/>
  <c r="W1183" i="37"/>
  <c r="W1173" i="37"/>
  <c r="W1267" i="37"/>
  <c r="W1273" i="37"/>
  <c r="K1235" i="37"/>
  <c r="W1258" i="37"/>
  <c r="W1065" i="37"/>
  <c r="W1010" i="37"/>
  <c r="W1040" i="37"/>
  <c r="T2632" i="37"/>
  <c r="T2803" i="37"/>
  <c r="T2783" i="37"/>
  <c r="T2868" i="37"/>
  <c r="T2811" i="37"/>
  <c r="T2771" i="37"/>
  <c r="T2877" i="37"/>
  <c r="T2883" i="37"/>
  <c r="T2793" i="37"/>
  <c r="H2845" i="37"/>
  <c r="T2744" i="37"/>
  <c r="K2845" i="37"/>
  <c r="W2811" i="37"/>
  <c r="W2783" i="37"/>
  <c r="W2620" i="37"/>
  <c r="W2675" i="37"/>
  <c r="W2771" i="37"/>
  <c r="W2803" i="37"/>
  <c r="W2883" i="37"/>
  <c r="W2744" i="37"/>
  <c r="W2868" i="37"/>
  <c r="W2632" i="37"/>
  <c r="W2877" i="37"/>
  <c r="W2650" i="37"/>
  <c r="W2793" i="37"/>
  <c r="I236" i="50"/>
  <c r="AG611" i="37"/>
  <c r="AG612" i="37" s="1"/>
  <c r="AG614" i="37" s="1"/>
  <c r="AG576" i="37"/>
  <c r="AG568" i="37"/>
  <c r="AG570" i="37" s="1"/>
  <c r="AG623" i="37" s="1"/>
  <c r="AG620" i="37"/>
  <c r="AG621" i="37" s="1"/>
  <c r="J1544" i="50"/>
  <c r="J1561" i="50"/>
  <c r="J1479" i="50"/>
  <c r="J1491" i="50"/>
  <c r="J1519" i="50"/>
  <c r="J1533" i="50"/>
  <c r="AK1743" i="37"/>
  <c r="AB1743" i="37"/>
  <c r="AC1744" i="37"/>
  <c r="AH440" i="42"/>
  <c r="AH463" i="42"/>
  <c r="AH467" i="42" s="1"/>
  <c r="AH471" i="42" s="1"/>
  <c r="AH475" i="42" s="1"/>
  <c r="AH479" i="42" s="1"/>
  <c r="AH442" i="42"/>
  <c r="M873" i="50"/>
  <c r="Y223" i="47"/>
  <c r="M221" i="47"/>
  <c r="Y221" i="47"/>
  <c r="M222" i="47"/>
  <c r="M1037" i="50"/>
  <c r="AH1932" i="37"/>
  <c r="AH1936" i="37" s="1"/>
  <c r="AH1935" i="37"/>
  <c r="I111" i="62"/>
  <c r="I168" i="62" s="1"/>
  <c r="I28" i="42" s="1"/>
  <c r="J1041" i="50" l="1"/>
  <c r="J1027" i="50"/>
  <c r="J987" i="50"/>
  <c r="J999" i="50"/>
  <c r="J1052" i="50"/>
  <c r="N664" i="50"/>
  <c r="N828" i="50"/>
  <c r="N1976" i="50"/>
  <c r="N1156" i="50"/>
  <c r="J1976" i="50"/>
  <c r="J828" i="50"/>
  <c r="K1976" i="50"/>
  <c r="K1320" i="50"/>
  <c r="L1320" i="50"/>
  <c r="K664" i="50"/>
  <c r="L828" i="50"/>
  <c r="J1320" i="50"/>
  <c r="M1320" i="50"/>
  <c r="M828" i="50"/>
  <c r="M664" i="50"/>
  <c r="M1976" i="50"/>
  <c r="K828" i="50"/>
  <c r="L664" i="50"/>
  <c r="I427" i="41"/>
  <c r="I434" i="41" s="1"/>
  <c r="I194" i="41" s="1"/>
  <c r="I316" i="50" s="1"/>
  <c r="L1976" i="50"/>
  <c r="H113" i="50"/>
  <c r="V1564" i="37"/>
  <c r="J1564" i="37" s="1"/>
  <c r="J1231" i="50" s="1"/>
  <c r="J1235" i="50" s="1"/>
  <c r="S1412" i="50"/>
  <c r="H427" i="41"/>
  <c r="H434" i="41" s="1"/>
  <c r="H194" i="41" s="1"/>
  <c r="H316" i="50" s="1"/>
  <c r="H114" i="50"/>
  <c r="AL205" i="42"/>
  <c r="V999" i="42"/>
  <c r="I126" i="50"/>
  <c r="H2163" i="50"/>
  <c r="J701" i="50"/>
  <c r="V1646" i="37"/>
  <c r="V1647" i="37" s="1"/>
  <c r="I114" i="50"/>
  <c r="J661" i="50"/>
  <c r="I92" i="50"/>
  <c r="H92" i="50"/>
  <c r="H112" i="50" s="1"/>
  <c r="V1701" i="37"/>
  <c r="V814" i="42"/>
  <c r="J2389" i="50" s="1"/>
  <c r="V2934" i="37"/>
  <c r="V399" i="47"/>
  <c r="J627" i="42"/>
  <c r="V628" i="42" s="1"/>
  <c r="J628" i="42" s="1"/>
  <c r="J2333" i="50" s="1"/>
  <c r="J2334" i="50" s="1"/>
  <c r="J2335" i="50" s="1"/>
  <c r="J2336" i="50" s="1"/>
  <c r="J748" i="42" s="1"/>
  <c r="V764" i="42" s="1"/>
  <c r="V358" i="37"/>
  <c r="J359" i="37" s="1"/>
  <c r="V360" i="37" s="1"/>
  <c r="J360" i="37" s="1"/>
  <c r="AL565" i="42"/>
  <c r="V710" i="37"/>
  <c r="J848" i="50" s="1"/>
  <c r="I98" i="50"/>
  <c r="I118" i="50" s="1"/>
  <c r="H100" i="50"/>
  <c r="H120" i="50" s="1"/>
  <c r="AK1813" i="37"/>
  <c r="J1554" i="50"/>
  <c r="J1475" i="50"/>
  <c r="G1467" i="50"/>
  <c r="J1512" i="50"/>
  <c r="J1526" i="50"/>
  <c r="J1498" i="50"/>
  <c r="J1507" i="50" s="1"/>
  <c r="J1540" i="50"/>
  <c r="J1662" i="50"/>
  <c r="J1718" i="50"/>
  <c r="J1676" i="50"/>
  <c r="J1639" i="50"/>
  <c r="G1631" i="50"/>
  <c r="J1704" i="50"/>
  <c r="J1690" i="50"/>
  <c r="AI1291" i="37"/>
  <c r="AI1288" i="37"/>
  <c r="AI1292" i="37" s="1"/>
  <c r="AC227" i="42"/>
  <c r="AL203" i="42"/>
  <c r="AC206" i="42"/>
  <c r="M500" i="50"/>
  <c r="M36" i="37"/>
  <c r="M501" i="50" s="1"/>
  <c r="Y36" i="37"/>
  <c r="Y37" i="37"/>
  <c r="M502" i="50" s="1"/>
  <c r="M37" i="37"/>
  <c r="Y38" i="37" s="1"/>
  <c r="V1886" i="37"/>
  <c r="J1886" i="37" s="1"/>
  <c r="J1395" i="50" s="1"/>
  <c r="J1399" i="50" s="1"/>
  <c r="J1884" i="37"/>
  <c r="J2667" i="37"/>
  <c r="J1841" i="50"/>
  <c r="N1056" i="37"/>
  <c r="AK568" i="37"/>
  <c r="AC570" i="37"/>
  <c r="AH2178" i="37"/>
  <c r="AH2180" i="37" s="1"/>
  <c r="AH2233" i="37" s="1"/>
  <c r="AH2186" i="37"/>
  <c r="AH2230" i="37"/>
  <c r="AH2231" i="37" s="1"/>
  <c r="AH2221" i="37"/>
  <c r="AH2222" i="37" s="1"/>
  <c r="AH2224" i="37" s="1"/>
  <c r="AK2471" i="37"/>
  <c r="N597" i="37"/>
  <c r="N596" i="37"/>
  <c r="Z598" i="37"/>
  <c r="Z596" i="37"/>
  <c r="J282" i="41"/>
  <c r="J365" i="50"/>
  <c r="J395" i="50"/>
  <c r="J317" i="41"/>
  <c r="J405" i="50" s="1"/>
  <c r="X29" i="42"/>
  <c r="L30" i="42" s="1"/>
  <c r="L2138" i="50"/>
  <c r="AI322" i="37"/>
  <c r="AI326" i="37" s="1"/>
  <c r="AI325" i="37"/>
  <c r="N1701" i="37"/>
  <c r="Z1703" i="37"/>
  <c r="Z1701" i="37"/>
  <c r="N1702" i="37"/>
  <c r="AK3144" i="37"/>
  <c r="AC3146" i="37"/>
  <c r="L2849" i="37"/>
  <c r="AK2752" i="37"/>
  <c r="AC2753" i="37"/>
  <c r="AK2753" i="37" s="1"/>
  <c r="K1056" i="37"/>
  <c r="AH1288" i="37"/>
  <c r="AH1292" i="37" s="1"/>
  <c r="AH1291" i="37"/>
  <c r="L1701" i="37"/>
  <c r="X1703" i="37"/>
  <c r="X1701" i="37"/>
  <c r="L1702" i="37"/>
  <c r="J1968" i="37"/>
  <c r="J1484" i="50"/>
  <c r="N2344" i="37"/>
  <c r="J2331" i="50"/>
  <c r="Y29" i="42"/>
  <c r="M30" i="42" s="1"/>
  <c r="M2138" i="50"/>
  <c r="J1816" i="50"/>
  <c r="J1827" i="50"/>
  <c r="J1804" i="50"/>
  <c r="J1869" i="50"/>
  <c r="J1883" i="50"/>
  <c r="J1855" i="50"/>
  <c r="AD1220" i="37"/>
  <c r="AD1264" i="37"/>
  <c r="AD1265" i="37" s="1"/>
  <c r="AD1255" i="37"/>
  <c r="AD1256" i="37" s="1"/>
  <c r="AD1258" i="37" s="1"/>
  <c r="AD1212" i="37"/>
  <c r="AD1214" i="37" s="1"/>
  <c r="AD1267" i="37" s="1"/>
  <c r="AH206" i="42"/>
  <c r="AH227" i="42"/>
  <c r="AH231" i="42" s="1"/>
  <c r="AH235" i="42" s="1"/>
  <c r="AH239" i="42" s="1"/>
  <c r="AH243" i="42" s="1"/>
  <c r="Z29" i="42"/>
  <c r="N30" i="42" s="1"/>
  <c r="N2138" i="50"/>
  <c r="AK847" i="37"/>
  <c r="N1055" i="50"/>
  <c r="N1219" i="50"/>
  <c r="AG234" i="37"/>
  <c r="AG235" i="37" s="1"/>
  <c r="AG231" i="37"/>
  <c r="K1562" i="37"/>
  <c r="W1564" i="37"/>
  <c r="K1564" i="37" s="1"/>
  <c r="K1231" i="50" s="1"/>
  <c r="W1562" i="37"/>
  <c r="K1563" i="37"/>
  <c r="AE1552" i="37"/>
  <c r="AE1553" i="37" s="1"/>
  <c r="AE1555" i="37" s="1"/>
  <c r="AE1543" i="37"/>
  <c r="AE1545" i="37" s="1"/>
  <c r="S1080" i="50"/>
  <c r="I1080" i="50" s="1"/>
  <c r="I95" i="50"/>
  <c r="AH587" i="42"/>
  <c r="AH591" i="42" s="1"/>
  <c r="AH595" i="42" s="1"/>
  <c r="AH599" i="42" s="1"/>
  <c r="AH603" i="42" s="1"/>
  <c r="AH566" i="42"/>
  <c r="AH848" i="37"/>
  <c r="AH837" i="37"/>
  <c r="AC2109" i="37"/>
  <c r="AK2109" i="37" s="1"/>
  <c r="AK2108" i="37"/>
  <c r="M2205" i="37"/>
  <c r="J571" i="50"/>
  <c r="J492" i="50"/>
  <c r="J543" i="50"/>
  <c r="J504" i="50"/>
  <c r="J557" i="50"/>
  <c r="J515" i="50"/>
  <c r="J1642" i="50"/>
  <c r="J1707" i="50"/>
  <c r="J1724" i="50"/>
  <c r="J1682" i="50"/>
  <c r="J1654" i="50"/>
  <c r="J1665" i="50"/>
  <c r="X2290" i="37"/>
  <c r="L2290" i="37"/>
  <c r="X2291" i="37"/>
  <c r="L2291" i="37"/>
  <c r="X2292" i="37" s="1"/>
  <c r="L1648" i="50"/>
  <c r="I365" i="50"/>
  <c r="I282" i="41"/>
  <c r="Z2613" i="37"/>
  <c r="Z2612" i="37"/>
  <c r="N2613" i="37"/>
  <c r="N2612" i="37"/>
  <c r="Z2614" i="37"/>
  <c r="N1812" i="50"/>
  <c r="AH2898" i="37"/>
  <c r="AH2902" i="37" s="1"/>
  <c r="AH2901" i="37"/>
  <c r="M2641" i="37"/>
  <c r="AG1220" i="37"/>
  <c r="AG1255" i="37"/>
  <c r="AG1256" i="37" s="1"/>
  <c r="AG1258" i="37" s="1"/>
  <c r="AG1212" i="37"/>
  <c r="AG1214" i="37" s="1"/>
  <c r="AG1267" i="37" s="1"/>
  <c r="AG1264" i="37"/>
  <c r="AG1265" i="37" s="1"/>
  <c r="M1701" i="37"/>
  <c r="Y1703" i="37"/>
  <c r="Y1701" i="37"/>
  <c r="M1702" i="37"/>
  <c r="AG206" i="42"/>
  <c r="AG227" i="42"/>
  <c r="AG231" i="42" s="1"/>
  <c r="AG235" i="42" s="1"/>
  <c r="AG239" i="42" s="1"/>
  <c r="AG243" i="42" s="1"/>
  <c r="AI1552" i="37"/>
  <c r="AI1553" i="37" s="1"/>
  <c r="AI1555" i="37" s="1"/>
  <c r="AI1543" i="37"/>
  <c r="AI1545" i="37" s="1"/>
  <c r="J534" i="50"/>
  <c r="J494" i="50"/>
  <c r="J559" i="50"/>
  <c r="J506" i="50"/>
  <c r="J517" i="50"/>
  <c r="J576" i="50"/>
  <c r="AC227" i="37"/>
  <c r="AK226" i="37"/>
  <c r="AH3102" i="37"/>
  <c r="AH3091" i="37"/>
  <c r="AC1523" i="37"/>
  <c r="AK1522" i="37"/>
  <c r="AC1291" i="37"/>
  <c r="AC1288" i="37"/>
  <c r="AC1292" i="37" s="1"/>
  <c r="AK1287" i="37"/>
  <c r="AE1169" i="37"/>
  <c r="AE1158" i="37"/>
  <c r="AC974" i="37"/>
  <c r="AC975" i="37" s="1"/>
  <c r="AK969" i="37"/>
  <c r="K2205" i="37"/>
  <c r="AG2579" i="37"/>
  <c r="AG2576" i="37"/>
  <c r="AG2580" i="37" s="1"/>
  <c r="AK3101" i="37"/>
  <c r="Y626" i="42"/>
  <c r="M627" i="42" s="1"/>
  <c r="M2331" i="50"/>
  <c r="M874" i="50"/>
  <c r="M1038" i="50"/>
  <c r="AI1220" i="37"/>
  <c r="AI1255" i="37"/>
  <c r="AI1256" i="37" s="1"/>
  <c r="AI1258" i="37" s="1"/>
  <c r="AI1212" i="37"/>
  <c r="AI1214" i="37" s="1"/>
  <c r="AI1267" i="37" s="1"/>
  <c r="AI1264" i="37"/>
  <c r="AI1265" i="37" s="1"/>
  <c r="AL226" i="42"/>
  <c r="AC230" i="42"/>
  <c r="AF464" i="42"/>
  <c r="AF468" i="42" s="1"/>
  <c r="AF472" i="42" s="1"/>
  <c r="AF476" i="42" s="1"/>
  <c r="AF480" i="42" s="1"/>
  <c r="AF443" i="42"/>
  <c r="AD192" i="37"/>
  <c r="AD203" i="37"/>
  <c r="M90" i="37"/>
  <c r="AH2446" i="37"/>
  <c r="AH2457" i="37"/>
  <c r="M693" i="50"/>
  <c r="Y415" i="37"/>
  <c r="M413" i="37"/>
  <c r="Y413" i="37"/>
  <c r="M414" i="37"/>
  <c r="AB3032" i="37"/>
  <c r="AA3032" i="37" s="1"/>
  <c r="Z3032" i="37" s="1"/>
  <c r="AC3033" i="37"/>
  <c r="AG3153" i="37"/>
  <c r="AG3155" i="37" s="1"/>
  <c r="AG3162" i="37"/>
  <c r="AG3163" i="37" s="1"/>
  <c r="AG3165" i="37" s="1"/>
  <c r="J2612" i="37"/>
  <c r="J1812" i="50"/>
  <c r="N1002" i="37"/>
  <c r="Z1002" i="37"/>
  <c r="Z1003" i="37"/>
  <c r="N1003" i="37"/>
  <c r="Z1004" i="37" s="1"/>
  <c r="N992" i="50"/>
  <c r="AC612" i="37"/>
  <c r="AK611" i="37"/>
  <c r="X626" i="42"/>
  <c r="L627" i="42" s="1"/>
  <c r="L2331" i="50"/>
  <c r="L1884" i="37"/>
  <c r="X1884" i="37"/>
  <c r="L1885" i="37"/>
  <c r="X1886" i="37"/>
  <c r="V735" i="37"/>
  <c r="AH289" i="37"/>
  <c r="AH290" i="37" s="1"/>
  <c r="AH292" i="37" s="1"/>
  <c r="AH298" i="37"/>
  <c r="AH299" i="37" s="1"/>
  <c r="AH254" i="37"/>
  <c r="AH246" i="37"/>
  <c r="AH248" i="37" s="1"/>
  <c r="AH301" i="37" s="1"/>
  <c r="AC2388" i="37"/>
  <c r="AB2387" i="37"/>
  <c r="AK2387" i="37"/>
  <c r="AH1492" i="37"/>
  <c r="AH1481" i="37"/>
  <c r="AI2822" i="37"/>
  <c r="AI2824" i="37" s="1"/>
  <c r="AI2877" i="37" s="1"/>
  <c r="AI2830" i="37"/>
  <c r="AI2865" i="37"/>
  <c r="AI2866" i="37" s="1"/>
  <c r="AI2868" i="37" s="1"/>
  <c r="AI2874" i="37"/>
  <c r="AI2875" i="37" s="1"/>
  <c r="AG566" i="42"/>
  <c r="AG587" i="42"/>
  <c r="AG591" i="42" s="1"/>
  <c r="AG595" i="42" s="1"/>
  <c r="AG599" i="42" s="1"/>
  <c r="AG603" i="42" s="1"/>
  <c r="X920" i="37"/>
  <c r="X918" i="37"/>
  <c r="L918" i="37"/>
  <c r="L919" i="37"/>
  <c r="AD2124" i="37"/>
  <c r="AD2135" i="37"/>
  <c r="AC787" i="42"/>
  <c r="AL784" i="42"/>
  <c r="AC3188" i="37"/>
  <c r="AK3187" i="37"/>
  <c r="AF587" i="42"/>
  <c r="AF591" i="42" s="1"/>
  <c r="AF595" i="42" s="1"/>
  <c r="AF599" i="42" s="1"/>
  <c r="AF603" i="42" s="1"/>
  <c r="AF566" i="42"/>
  <c r="K875" i="50"/>
  <c r="K1039" i="50"/>
  <c r="AC1940" i="37"/>
  <c r="AC1941" i="37" s="1"/>
  <c r="AK1935" i="37"/>
  <c r="K693" i="50"/>
  <c r="K413" i="37"/>
  <c r="W415" i="37"/>
  <c r="K415" i="37" s="1"/>
  <c r="K696" i="50" s="1"/>
  <c r="W413" i="37"/>
  <c r="K414" i="37"/>
  <c r="AE2768" i="37"/>
  <c r="AE2779" i="37"/>
  <c r="K1002" i="37"/>
  <c r="W1002" i="37"/>
  <c r="W1003" i="37"/>
  <c r="K1003" i="37"/>
  <c r="W1004" i="37" s="1"/>
  <c r="K992" i="50"/>
  <c r="AH1158" i="37"/>
  <c r="AH1169" i="37"/>
  <c r="N1563" i="37"/>
  <c r="N1562" i="37"/>
  <c r="Z1564" i="37"/>
  <c r="Z1562" i="37"/>
  <c r="AI587" i="42"/>
  <c r="AI591" i="42" s="1"/>
  <c r="AI595" i="42" s="1"/>
  <c r="AI599" i="42" s="1"/>
  <c r="AI603" i="42" s="1"/>
  <c r="AI566" i="42"/>
  <c r="J2205" i="37"/>
  <c r="AF2576" i="37"/>
  <c r="AF2580" i="37" s="1"/>
  <c r="AF2579" i="37"/>
  <c r="AE1481" i="37"/>
  <c r="AE1492" i="37"/>
  <c r="AG443" i="42"/>
  <c r="AG464" i="42"/>
  <c r="AG468" i="42" s="1"/>
  <c r="AG472" i="42" s="1"/>
  <c r="AG476" i="42" s="1"/>
  <c r="AG480" i="42" s="1"/>
  <c r="AK1908" i="37"/>
  <c r="AC1909" i="37"/>
  <c r="AK1909" i="37" s="1"/>
  <c r="J1807" i="50"/>
  <c r="J1889" i="50"/>
  <c r="J1861" i="50"/>
  <c r="J1872" i="50"/>
  <c r="J1819" i="50"/>
  <c r="J1847" i="50"/>
  <c r="AE206" i="42"/>
  <c r="AE227" i="42"/>
  <c r="AE231" i="42" s="1"/>
  <c r="AE235" i="42" s="1"/>
  <c r="AE239" i="42" s="1"/>
  <c r="AE243" i="42" s="1"/>
  <c r="I125" i="50"/>
  <c r="I2354" i="50"/>
  <c r="AG298" i="37"/>
  <c r="AG299" i="37" s="1"/>
  <c r="AG246" i="37"/>
  <c r="AG248" i="37" s="1"/>
  <c r="AG301" i="37" s="1"/>
  <c r="AG254" i="37"/>
  <c r="AG289" i="37"/>
  <c r="AG290" i="37" s="1"/>
  <c r="AG292" i="37" s="1"/>
  <c r="S1736" i="50"/>
  <c r="I1736" i="50" s="1"/>
  <c r="I1740" i="50" s="1"/>
  <c r="V1379" i="37"/>
  <c r="AG1481" i="37"/>
  <c r="AG1492" i="37"/>
  <c r="AK1841" i="37"/>
  <c r="S1904" i="50"/>
  <c r="AG2768" i="37"/>
  <c r="AG2779" i="37"/>
  <c r="Y3172" i="37"/>
  <c r="M3172" i="37"/>
  <c r="M3173" i="37"/>
  <c r="Y3174" i="37"/>
  <c r="AC2166" i="37"/>
  <c r="AC2163" i="37"/>
  <c r="AK2162" i="37"/>
  <c r="M1998" i="37"/>
  <c r="M1502" i="50"/>
  <c r="J516" i="50"/>
  <c r="J493" i="50"/>
  <c r="J544" i="50"/>
  <c r="J558" i="50"/>
  <c r="J533" i="50"/>
  <c r="J505" i="50"/>
  <c r="L2319" i="37"/>
  <c r="AC1552" i="37"/>
  <c r="AC1543" i="37"/>
  <c r="AK1542" i="37"/>
  <c r="M2851" i="37"/>
  <c r="Y2850" i="37"/>
  <c r="M2850" i="37"/>
  <c r="Y2852" i="37"/>
  <c r="AF1291" i="37"/>
  <c r="AF1288" i="37"/>
  <c r="AF1292" i="37" s="1"/>
  <c r="AF1255" i="37"/>
  <c r="AF1256" i="37" s="1"/>
  <c r="AF1258" i="37" s="1"/>
  <c r="AF1220" i="37"/>
  <c r="AF1212" i="37"/>
  <c r="AF1214" i="37" s="1"/>
  <c r="AF1267" i="37" s="1"/>
  <c r="AF1264" i="37"/>
  <c r="AF1265" i="37" s="1"/>
  <c r="AD837" i="37"/>
  <c r="AD848" i="37"/>
  <c r="AE2135" i="37"/>
  <c r="AE2124" i="37"/>
  <c r="AK217" i="37"/>
  <c r="J596" i="37"/>
  <c r="V598" i="37"/>
  <c r="J598" i="37" s="1"/>
  <c r="J739" i="50" s="1"/>
  <c r="J743" i="50" s="1"/>
  <c r="K1185" i="50"/>
  <c r="W1381" i="37"/>
  <c r="K1381" i="37" s="1"/>
  <c r="K1188" i="50" s="1"/>
  <c r="K1379" i="37"/>
  <c r="W1379" i="37"/>
  <c r="K1380" i="37"/>
  <c r="AI2552" i="37"/>
  <c r="AI2553" i="37" s="1"/>
  <c r="AI2508" i="37"/>
  <c r="AI2543" i="37"/>
  <c r="AI2544" i="37" s="1"/>
  <c r="AI2546" i="37" s="1"/>
  <c r="AI2500" i="37"/>
  <c r="AI2502" i="37" s="1"/>
  <c r="AI2555" i="37" s="1"/>
  <c r="J1325" i="50"/>
  <c r="J1336" i="50"/>
  <c r="J1313" i="50"/>
  <c r="J1317" i="50" s="1"/>
  <c r="J1364" i="50"/>
  <c r="J1353" i="50"/>
  <c r="J1357" i="50" s="1"/>
  <c r="J1378" i="50"/>
  <c r="K710" i="37"/>
  <c r="K847" i="50" s="1"/>
  <c r="W710" i="37"/>
  <c r="K848" i="50" s="1"/>
  <c r="K711" i="37"/>
  <c r="W712" i="37" s="1"/>
  <c r="K846" i="50"/>
  <c r="AK1273" i="37"/>
  <c r="L3173" i="37"/>
  <c r="L3172" i="37"/>
  <c r="X3174" i="37"/>
  <c r="X3172" i="37"/>
  <c r="AI2254" i="37"/>
  <c r="AI2258" i="37" s="1"/>
  <c r="AI2257" i="37"/>
  <c r="N500" i="50"/>
  <c r="N36" i="37"/>
  <c r="N501" i="50" s="1"/>
  <c r="Z36" i="37"/>
  <c r="Z37" i="37"/>
  <c r="N502" i="50" s="1"/>
  <c r="N37" i="37"/>
  <c r="Z38" i="37" s="1"/>
  <c r="AE192" i="37"/>
  <c r="AE203" i="37"/>
  <c r="AD2488" i="37"/>
  <c r="AD2489" i="37" s="1"/>
  <c r="AD2485" i="37"/>
  <c r="H315" i="50"/>
  <c r="AI1197" i="37"/>
  <c r="AI1200" i="37"/>
  <c r="AI1201" i="37" s="1"/>
  <c r="AG2221" i="37"/>
  <c r="AG2222" i="37" s="1"/>
  <c r="AG2224" i="37" s="1"/>
  <c r="AG2230" i="37"/>
  <c r="AG2231" i="37" s="1"/>
  <c r="AG2178" i="37"/>
  <c r="AG2180" i="37" s="1"/>
  <c r="AG2233" i="37" s="1"/>
  <c r="AG2186" i="37"/>
  <c r="L273" i="37"/>
  <c r="L1392" i="50" s="1"/>
  <c r="AD254" i="37"/>
  <c r="AD289" i="37"/>
  <c r="AD290" i="37" s="1"/>
  <c r="AD292" i="37" s="1"/>
  <c r="AD246" i="37"/>
  <c r="AD248" i="37" s="1"/>
  <c r="AD301" i="37" s="1"/>
  <c r="AD298" i="37"/>
  <c r="AD299" i="37" s="1"/>
  <c r="N1031" i="37"/>
  <c r="AC586" i="37"/>
  <c r="AC577" i="37"/>
  <c r="AK576" i="37"/>
  <c r="N1185" i="50"/>
  <c r="N1379" i="37"/>
  <c r="Z1381" i="37"/>
  <c r="Z1379" i="37"/>
  <c r="N1380" i="37"/>
  <c r="X266" i="42"/>
  <c r="L267" i="42" s="1"/>
  <c r="L2205" i="50"/>
  <c r="AE1814" i="37"/>
  <c r="AE1803" i="37"/>
  <c r="AH203" i="37"/>
  <c r="AH192" i="37"/>
  <c r="AK2422" i="37"/>
  <c r="L395" i="50"/>
  <c r="L317" i="41"/>
  <c r="L405" i="50" s="1"/>
  <c r="V1676" i="37"/>
  <c r="J1339" i="50"/>
  <c r="AF206" i="42"/>
  <c r="AF227" i="42"/>
  <c r="AF231" i="42" s="1"/>
  <c r="AF235" i="42" s="1"/>
  <c r="AF239" i="42" s="1"/>
  <c r="AF243" i="42" s="1"/>
  <c r="K273" i="37"/>
  <c r="K1228" i="50" s="1"/>
  <c r="J1193" i="50"/>
  <c r="K2989" i="37"/>
  <c r="W2989" i="37"/>
  <c r="K2990" i="37"/>
  <c r="W2991" i="37" s="1"/>
  <c r="AC3162" i="37"/>
  <c r="AK3152" i="37"/>
  <c r="AC3153" i="37"/>
  <c r="J1829" i="50"/>
  <c r="J1846" i="50"/>
  <c r="J1806" i="50"/>
  <c r="J1871" i="50"/>
  <c r="J1888" i="50"/>
  <c r="J1818" i="50"/>
  <c r="AC2779" i="37"/>
  <c r="AK2767" i="37"/>
  <c r="AC2768" i="37"/>
  <c r="AF2807" i="37"/>
  <c r="AF2810" i="37"/>
  <c r="AF2811" i="37" s="1"/>
  <c r="V2989" i="37"/>
  <c r="AE586" i="37"/>
  <c r="AE587" i="37" s="1"/>
  <c r="AE589" i="37" s="1"/>
  <c r="AE577" i="37"/>
  <c r="AE579" i="37" s="1"/>
  <c r="J1998" i="37"/>
  <c r="J1502" i="50"/>
  <c r="AF2457" i="37"/>
  <c r="AF2446" i="37"/>
  <c r="AC1865" i="37"/>
  <c r="AC1874" i="37"/>
  <c r="AK1864" i="37"/>
  <c r="AD1288" i="37"/>
  <c r="AD1292" i="37" s="1"/>
  <c r="AD1291" i="37"/>
  <c r="M2990" i="37"/>
  <c r="Y2991" i="37" s="1"/>
  <c r="M2989" i="37"/>
  <c r="Y2989" i="37"/>
  <c r="AK836" i="37"/>
  <c r="AC837" i="37"/>
  <c r="AC848" i="37"/>
  <c r="J1541" i="50"/>
  <c r="J1499" i="50"/>
  <c r="J1527" i="50"/>
  <c r="J1488" i="50"/>
  <c r="J1476" i="50"/>
  <c r="J1555" i="50"/>
  <c r="N1998" i="37"/>
  <c r="N1502" i="50"/>
  <c r="J1640" i="50"/>
  <c r="J1705" i="50"/>
  <c r="J1663" i="50"/>
  <c r="J1719" i="50"/>
  <c r="J1691" i="50"/>
  <c r="J1652" i="50"/>
  <c r="M282" i="41"/>
  <c r="M365" i="50"/>
  <c r="AG2807" i="37"/>
  <c r="AG2810" i="37"/>
  <c r="AG2811" i="37" s="1"/>
  <c r="L1056" i="37"/>
  <c r="AC879" i="37"/>
  <c r="AK878" i="37"/>
  <c r="J1518" i="50"/>
  <c r="J1501" i="50"/>
  <c r="J1560" i="50"/>
  <c r="J1478" i="50"/>
  <c r="J1543" i="50"/>
  <c r="J1490" i="50"/>
  <c r="AC2257" i="37"/>
  <c r="AC2254" i="37"/>
  <c r="AC2258" i="37" s="1"/>
  <c r="AK2253" i="37"/>
  <c r="L2527" i="37"/>
  <c r="AC1536" i="37"/>
  <c r="AK1534" i="37"/>
  <c r="AG3102" i="37"/>
  <c r="AG3091" i="37"/>
  <c r="AH2874" i="37"/>
  <c r="AH2875" i="37" s="1"/>
  <c r="AH2830" i="37"/>
  <c r="AH2865" i="37"/>
  <c r="AH2866" i="37" s="1"/>
  <c r="AH2868" i="37" s="1"/>
  <c r="AH2822" i="37"/>
  <c r="AH2824" i="37" s="1"/>
  <c r="AH2877" i="37" s="1"/>
  <c r="I124" i="50"/>
  <c r="I2289" i="50"/>
  <c r="AG1803" i="37"/>
  <c r="AG1814" i="37"/>
  <c r="AH899" i="37"/>
  <c r="AH901" i="37" s="1"/>
  <c r="AH908" i="37"/>
  <c r="AH909" i="37" s="1"/>
  <c r="AH911" i="37" s="1"/>
  <c r="M343" i="41"/>
  <c r="M428" i="50" s="1"/>
  <c r="K343" i="41"/>
  <c r="K428" i="50" s="1"/>
  <c r="I343" i="41"/>
  <c r="I428" i="50" s="1"/>
  <c r="L343" i="41"/>
  <c r="L428" i="50" s="1"/>
  <c r="N343" i="41"/>
  <c r="N428" i="50" s="1"/>
  <c r="J343" i="41"/>
  <c r="J428" i="50" s="1"/>
  <c r="H343" i="41"/>
  <c r="H428" i="50" s="1"/>
  <c r="AC203" i="37"/>
  <c r="AC192" i="37"/>
  <c r="AK191" i="37"/>
  <c r="AC134" i="37"/>
  <c r="AB133" i="37"/>
  <c r="AK133" i="37"/>
  <c r="AI2488" i="37"/>
  <c r="AI2489" i="37" s="1"/>
  <c r="AI2485" i="37"/>
  <c r="AD1865" i="37"/>
  <c r="AD1867" i="37" s="1"/>
  <c r="AD1874" i="37"/>
  <c r="AD1875" i="37" s="1"/>
  <c r="AD1877" i="37" s="1"/>
  <c r="AK1192" i="37"/>
  <c r="AC1193" i="37"/>
  <c r="J1057" i="37"/>
  <c r="J1021" i="50"/>
  <c r="N710" i="37"/>
  <c r="N847" i="50" s="1"/>
  <c r="Z710" i="37"/>
  <c r="N848" i="50" s="1"/>
  <c r="N711" i="37"/>
  <c r="Z712" i="37" s="1"/>
  <c r="N846" i="50"/>
  <c r="Y920" i="37"/>
  <c r="M918" i="37"/>
  <c r="Y918" i="37"/>
  <c r="M919" i="37"/>
  <c r="AG2488" i="37"/>
  <c r="AG2489" i="37" s="1"/>
  <c r="AG2485" i="37"/>
  <c r="AH443" i="42"/>
  <c r="AH464" i="42"/>
  <c r="AH468" i="42" s="1"/>
  <c r="AH472" i="42" s="1"/>
  <c r="AH476" i="42" s="1"/>
  <c r="AH480" i="42" s="1"/>
  <c r="AG577" i="37"/>
  <c r="AG579" i="37" s="1"/>
  <c r="AG586" i="37"/>
  <c r="AG587" i="37" s="1"/>
  <c r="AG589" i="37" s="1"/>
  <c r="L90" i="37"/>
  <c r="AD231" i="37"/>
  <c r="AD234" i="37"/>
  <c r="AD235" i="37" s="1"/>
  <c r="M273" i="37"/>
  <c r="M2048" i="50" s="1"/>
  <c r="AC590" i="42"/>
  <c r="AL586" i="42"/>
  <c r="AH2552" i="37"/>
  <c r="AH2553" i="37" s="1"/>
  <c r="AH2500" i="37"/>
  <c r="AH2502" i="37" s="1"/>
  <c r="AH2555" i="37" s="1"/>
  <c r="AH2543" i="37"/>
  <c r="AH2544" i="37" s="1"/>
  <c r="AH2546" i="37" s="1"/>
  <c r="AH2508" i="37"/>
  <c r="K365" i="50"/>
  <c r="K282" i="41"/>
  <c r="K918" i="37"/>
  <c r="W920" i="37"/>
  <c r="W918" i="37"/>
  <c r="K919" i="37"/>
  <c r="AG515" i="37"/>
  <c r="AG526" i="37"/>
  <c r="M1031" i="37"/>
  <c r="N1239" i="37"/>
  <c r="H95" i="50"/>
  <c r="AD227" i="42"/>
  <c r="AD231" i="42" s="1"/>
  <c r="AD235" i="42" s="1"/>
  <c r="AD239" i="42" s="1"/>
  <c r="AD243" i="42" s="1"/>
  <c r="AD206" i="42"/>
  <c r="J3172" i="37"/>
  <c r="V3174" i="37"/>
  <c r="J3174" i="37" s="1"/>
  <c r="J2051" i="50" s="1"/>
  <c r="J2055" i="50" s="1"/>
  <c r="I100" i="50"/>
  <c r="AC2431" i="37"/>
  <c r="AK2431" i="37" s="1"/>
  <c r="AK2430" i="37"/>
  <c r="I99" i="50"/>
  <c r="Y1564" i="37"/>
  <c r="M1562" i="37"/>
  <c r="Y1562" i="37"/>
  <c r="M1563" i="37"/>
  <c r="H395" i="50"/>
  <c r="H317" i="41"/>
  <c r="H405" i="50" s="1"/>
  <c r="AC3228" i="37"/>
  <c r="AC3229" i="37" s="1"/>
  <c r="AK3223" i="37"/>
  <c r="AC1803" i="37"/>
  <c r="AC1814" i="37"/>
  <c r="AK1802" i="37"/>
  <c r="AI2810" i="37"/>
  <c r="AI2811" i="37" s="1"/>
  <c r="AI2807" i="37"/>
  <c r="AF1543" i="37"/>
  <c r="AF1545" i="37" s="1"/>
  <c r="AF1552" i="37"/>
  <c r="AF1553" i="37" s="1"/>
  <c r="AF1555" i="37" s="1"/>
  <c r="I2163" i="50"/>
  <c r="I122" i="50"/>
  <c r="AD2166" i="37"/>
  <c r="AD2167" i="37" s="1"/>
  <c r="AD2163" i="37"/>
  <c r="K500" i="50"/>
  <c r="K36" i="37"/>
  <c r="K501" i="50" s="1"/>
  <c r="W36" i="37"/>
  <c r="W37" i="37"/>
  <c r="K502" i="50" s="1"/>
  <c r="K37" i="37"/>
  <c r="W38" i="37" s="1"/>
  <c r="AI231" i="37"/>
  <c r="AI234" i="37"/>
  <c r="AI235" i="37" s="1"/>
  <c r="AC789" i="42"/>
  <c r="AL789" i="42" s="1"/>
  <c r="AL786" i="42"/>
  <c r="L1055" i="50"/>
  <c r="L1219" i="50"/>
  <c r="V1000" i="42"/>
  <c r="J2445" i="50" s="1"/>
  <c r="AK3196" i="37"/>
  <c r="AC3197" i="37"/>
  <c r="AK3197" i="37" s="1"/>
  <c r="J1702" i="37"/>
  <c r="J1868" i="50"/>
  <c r="J1854" i="50"/>
  <c r="J1840" i="50"/>
  <c r="J1826" i="50"/>
  <c r="G1795" i="50"/>
  <c r="J1803" i="50"/>
  <c r="J1882" i="50"/>
  <c r="I1904" i="50"/>
  <c r="AE2874" i="37"/>
  <c r="AE2875" i="37" s="1"/>
  <c r="AE2822" i="37"/>
  <c r="AE2824" i="37" s="1"/>
  <c r="AE2877" i="37" s="1"/>
  <c r="AE2830" i="37"/>
  <c r="AE2865" i="37"/>
  <c r="AE2866" i="37" s="1"/>
  <c r="AE2868" i="37" s="1"/>
  <c r="AK2793" i="37"/>
  <c r="AC2710" i="37"/>
  <c r="AB2709" i="37"/>
  <c r="AK2709" i="37"/>
  <c r="AF2830" i="37"/>
  <c r="AF2822" i="37"/>
  <c r="AF2824" i="37" s="1"/>
  <c r="AF2877" i="37" s="1"/>
  <c r="AF2865" i="37"/>
  <c r="AF2866" i="37" s="1"/>
  <c r="AF2868" i="37" s="1"/>
  <c r="AF2874" i="37"/>
  <c r="AF2875" i="37" s="1"/>
  <c r="AH1264" i="37"/>
  <c r="AH1265" i="37" s="1"/>
  <c r="AH1212" i="37"/>
  <c r="AH1214" i="37" s="1"/>
  <c r="AH1267" i="37" s="1"/>
  <c r="AH1255" i="37"/>
  <c r="AH1256" i="37" s="1"/>
  <c r="AH1258" i="37" s="1"/>
  <c r="AH1220" i="37"/>
  <c r="AK890" i="37"/>
  <c r="AC892" i="37"/>
  <c r="J1513" i="50"/>
  <c r="J2023" i="37"/>
  <c r="V2025" i="37"/>
  <c r="J2025" i="37" s="1"/>
  <c r="J1516" i="50" s="1"/>
  <c r="AF192" i="37"/>
  <c r="AF203" i="37"/>
  <c r="M2290" i="37"/>
  <c r="M2291" i="37"/>
  <c r="Y2292" i="37" s="1"/>
  <c r="Y2290" i="37"/>
  <c r="Y2291" i="37"/>
  <c r="M1648" i="50"/>
  <c r="V1562" i="37"/>
  <c r="AC1858" i="37"/>
  <c r="AK1856" i="37"/>
  <c r="AD1158" i="37"/>
  <c r="AD1169" i="37"/>
  <c r="S1572" i="50"/>
  <c r="I1572" i="50" s="1"/>
  <c r="I1576" i="50" s="1"/>
  <c r="N2022" i="37"/>
  <c r="J664" i="50"/>
  <c r="J36" i="37"/>
  <c r="J501" i="50" s="1"/>
  <c r="J500" i="50"/>
  <c r="V413" i="37"/>
  <c r="J2527" i="37"/>
  <c r="W3172" i="37"/>
  <c r="K3173" i="37"/>
  <c r="K3172" i="37"/>
  <c r="W3174" i="37"/>
  <c r="K2048" i="50"/>
  <c r="AC1845" i="37"/>
  <c r="AK1844" i="37"/>
  <c r="K2849" i="37"/>
  <c r="L1002" i="37"/>
  <c r="X1002" i="37"/>
  <c r="X1003" i="37"/>
  <c r="L1003" i="37"/>
  <c r="X1004" i="37" s="1"/>
  <c r="L992" i="50"/>
  <c r="L693" i="50"/>
  <c r="L413" i="37"/>
  <c r="X415" i="37"/>
  <c r="X413" i="37"/>
  <c r="L414" i="37"/>
  <c r="AK875" i="37"/>
  <c r="AL442" i="42"/>
  <c r="L1185" i="50"/>
  <c r="L1379" i="37"/>
  <c r="X1381" i="37"/>
  <c r="X1379" i="37"/>
  <c r="L1380" i="37"/>
  <c r="N857" i="50"/>
  <c r="N735" i="37"/>
  <c r="Z737" i="37"/>
  <c r="Z735" i="37"/>
  <c r="N736" i="37"/>
  <c r="AK2239" i="37"/>
  <c r="AK2100" i="37"/>
  <c r="AE2579" i="37"/>
  <c r="AE2576" i="37"/>
  <c r="AE2580" i="37" s="1"/>
  <c r="AE2500" i="37"/>
  <c r="AE2502" i="37" s="1"/>
  <c r="AE2555" i="37" s="1"/>
  <c r="AE2508" i="37"/>
  <c r="AE2552" i="37"/>
  <c r="AE2553" i="37" s="1"/>
  <c r="AE2543" i="37"/>
  <c r="AE2544" i="37" s="1"/>
  <c r="AE2546" i="37" s="1"/>
  <c r="AC1587" i="37"/>
  <c r="AK1587" i="37" s="1"/>
  <c r="AK1586" i="37"/>
  <c r="AH2768" i="37"/>
  <c r="AH2779" i="37"/>
  <c r="J1051" i="50"/>
  <c r="J1068" i="50"/>
  <c r="J986" i="50"/>
  <c r="J998" i="50"/>
  <c r="J1026" i="50"/>
  <c r="J1009" i="50"/>
  <c r="AG1197" i="37"/>
  <c r="AG1200" i="37"/>
  <c r="AG1201" i="37" s="1"/>
  <c r="AF2257" i="37"/>
  <c r="AF2254" i="37"/>
  <c r="AF2258" i="37" s="1"/>
  <c r="AC177" i="37"/>
  <c r="AK177" i="37" s="1"/>
  <c r="AK176" i="37"/>
  <c r="AK307" i="37"/>
  <c r="M857" i="50"/>
  <c r="M735" i="37"/>
  <c r="Y737" i="37"/>
  <c r="Y735" i="37"/>
  <c r="M736" i="37"/>
  <c r="M596" i="37"/>
  <c r="Y598" i="37"/>
  <c r="Y596" i="37"/>
  <c r="M597" i="37"/>
  <c r="AB1099" i="37"/>
  <c r="AC1100" i="37"/>
  <c r="AK1099" i="37"/>
  <c r="J1002" i="37"/>
  <c r="J992" i="50"/>
  <c r="AE1264" i="37"/>
  <c r="AE1265" i="37" s="1"/>
  <c r="AE1212" i="37"/>
  <c r="AE1214" i="37" s="1"/>
  <c r="AE1267" i="37" s="1"/>
  <c r="AE1255" i="37"/>
  <c r="AE1256" i="37" s="1"/>
  <c r="AE1258" i="37" s="1"/>
  <c r="AE1220" i="37"/>
  <c r="X598" i="37"/>
  <c r="X596" i="37"/>
  <c r="L596" i="37"/>
  <c r="L597" i="37"/>
  <c r="H124" i="50"/>
  <c r="H2289" i="50"/>
  <c r="AD3162" i="37"/>
  <c r="AD3163" i="37" s="1"/>
  <c r="AD3165" i="37" s="1"/>
  <c r="AD3153" i="37"/>
  <c r="AD3155" i="37" s="1"/>
  <c r="AE515" i="37"/>
  <c r="AE526" i="37"/>
  <c r="AE443" i="42"/>
  <c r="AE464" i="42"/>
  <c r="AE468" i="42" s="1"/>
  <c r="AE472" i="42" s="1"/>
  <c r="AE476" i="42" s="1"/>
  <c r="AE480" i="42" s="1"/>
  <c r="AD2446" i="37"/>
  <c r="AD2457" i="37"/>
  <c r="K857" i="50"/>
  <c r="K735" i="37"/>
  <c r="W737" i="37"/>
  <c r="K737" i="37" s="1"/>
  <c r="K860" i="50" s="1"/>
  <c r="W735" i="37"/>
  <c r="K736" i="37"/>
  <c r="AH577" i="37"/>
  <c r="AH579" i="37" s="1"/>
  <c r="AH586" i="37"/>
  <c r="AH587" i="37" s="1"/>
  <c r="AH589" i="37" s="1"/>
  <c r="AB1744" i="37"/>
  <c r="AA1744" i="37" s="1"/>
  <c r="Z1744" i="37" s="1"/>
  <c r="AC1745" i="37"/>
  <c r="AF908" i="37"/>
  <c r="AF909" i="37" s="1"/>
  <c r="AF911" i="37" s="1"/>
  <c r="AF899" i="37"/>
  <c r="AF901" i="37" s="1"/>
  <c r="I121" i="50"/>
  <c r="AG2163" i="37"/>
  <c r="AG2166" i="37"/>
  <c r="AG2167" i="37" s="1"/>
  <c r="L500" i="50"/>
  <c r="L36" i="37"/>
  <c r="L501" i="50" s="1"/>
  <c r="X36" i="37"/>
  <c r="X37" i="37"/>
  <c r="L502" i="50" s="1"/>
  <c r="L37" i="37"/>
  <c r="X38" i="37" s="1"/>
  <c r="AH2576" i="37"/>
  <c r="AH2580" i="37" s="1"/>
  <c r="AH2579" i="37"/>
  <c r="AH1552" i="37"/>
  <c r="AH1553" i="37" s="1"/>
  <c r="AH1555" i="37" s="1"/>
  <c r="AH1543" i="37"/>
  <c r="AH1545" i="37" s="1"/>
  <c r="AH1874" i="37"/>
  <c r="AH1875" i="37" s="1"/>
  <c r="AH1877" i="37" s="1"/>
  <c r="AH1865" i="37"/>
  <c r="AH1867" i="37" s="1"/>
  <c r="M1239" i="37"/>
  <c r="AC621" i="37"/>
  <c r="AK621" i="37" s="1"/>
  <c r="AK620" i="37"/>
  <c r="AD3102" i="37"/>
  <c r="AD3091" i="37"/>
  <c r="AE587" i="42"/>
  <c r="AE591" i="42" s="1"/>
  <c r="AE595" i="42" s="1"/>
  <c r="AE599" i="42" s="1"/>
  <c r="AE603" i="42" s="1"/>
  <c r="AE566" i="42"/>
  <c r="AC2485" i="37"/>
  <c r="AK2484" i="37"/>
  <c r="AC2488" i="37"/>
  <c r="AC2579" i="37"/>
  <c r="AK2575" i="37"/>
  <c r="AC2576" i="37"/>
  <c r="AC2580" i="37" s="1"/>
  <c r="I395" i="50"/>
  <c r="I317" i="41"/>
  <c r="I405" i="50" s="1"/>
  <c r="Y266" i="42"/>
  <c r="M267" i="42" s="1"/>
  <c r="M2205" i="50"/>
  <c r="W1886" i="37"/>
  <c r="K1884" i="37"/>
  <c r="W1884" i="37"/>
  <c r="K1885" i="37"/>
  <c r="AI837" i="37"/>
  <c r="AI848" i="37"/>
  <c r="AD2257" i="37"/>
  <c r="AD2254" i="37"/>
  <c r="AD2258" i="37" s="1"/>
  <c r="AI203" i="37"/>
  <c r="AI192" i="37"/>
  <c r="AL971" i="42"/>
  <c r="AC974" i="42"/>
  <c r="I315" i="50"/>
  <c r="AE2807" i="37"/>
  <c r="AE2810" i="37"/>
  <c r="AE2811" i="37" s="1"/>
  <c r="AK2802" i="37"/>
  <c r="AC2803" i="37"/>
  <c r="AK2744" i="37"/>
  <c r="AC899" i="37"/>
  <c r="AK898" i="37"/>
  <c r="AC908" i="37"/>
  <c r="AI586" i="37"/>
  <c r="AI587" i="37" s="1"/>
  <c r="AI589" i="37" s="1"/>
  <c r="AI577" i="37"/>
  <c r="AI579" i="37" s="1"/>
  <c r="L710" i="37"/>
  <c r="L847" i="50" s="1"/>
  <c r="X710" i="37"/>
  <c r="L848" i="50" s="1"/>
  <c r="L711" i="37"/>
  <c r="X712" i="37" s="1"/>
  <c r="L846" i="50"/>
  <c r="L2022" i="37"/>
  <c r="AI3102" i="37"/>
  <c r="AI3091" i="37"/>
  <c r="M2527" i="37"/>
  <c r="H282" i="41"/>
  <c r="H365" i="50"/>
  <c r="AK1899" i="37"/>
  <c r="AC1900" i="37"/>
  <c r="K1701" i="37"/>
  <c r="W1703" i="37"/>
  <c r="K1703" i="37" s="1"/>
  <c r="K1352" i="50" s="1"/>
  <c r="W1701" i="37"/>
  <c r="K1702" i="37"/>
  <c r="Z1970" i="37"/>
  <c r="N1968" i="37"/>
  <c r="N1969" i="37"/>
  <c r="Z1969" i="37"/>
  <c r="N1484" i="50"/>
  <c r="AG322" i="37"/>
  <c r="AG326" i="37" s="1"/>
  <c r="AG325" i="37"/>
  <c r="J2320" i="37"/>
  <c r="J1667" i="50" s="1"/>
  <c r="J1666" i="50"/>
  <c r="J1973" i="50"/>
  <c r="AK1480" i="37"/>
  <c r="AC1481" i="37"/>
  <c r="AC1492" i="37"/>
  <c r="K2666" i="37"/>
  <c r="L1031" i="37"/>
  <c r="H125" i="50"/>
  <c r="H2354" i="50"/>
  <c r="AC2066" i="37"/>
  <c r="AB2065" i="37"/>
  <c r="AK2065" i="37"/>
  <c r="AC1578" i="37"/>
  <c r="AK1577" i="37"/>
  <c r="AH2807" i="37"/>
  <c r="AH2810" i="37"/>
  <c r="AH2811" i="37" s="1"/>
  <c r="J983" i="50"/>
  <c r="J1048" i="50"/>
  <c r="J1057" i="50" s="1"/>
  <c r="J1058" i="50" s="1"/>
  <c r="J1059" i="50" s="1"/>
  <c r="G975" i="50"/>
  <c r="J1034" i="50"/>
  <c r="J1062" i="50"/>
  <c r="J1020" i="50"/>
  <c r="J1006" i="50"/>
  <c r="I1084" i="50"/>
  <c r="AA777" i="37"/>
  <c r="Z777" i="37" s="1"/>
  <c r="AF2163" i="37"/>
  <c r="AF2166" i="37"/>
  <c r="AF2167" i="37" s="1"/>
  <c r="AC231" i="37"/>
  <c r="AC234" i="37"/>
  <c r="AK230" i="37"/>
  <c r="J1039" i="50"/>
  <c r="J222" i="47"/>
  <c r="V223" i="47" s="1"/>
  <c r="J223" i="47" s="1"/>
  <c r="J1040" i="50" s="1"/>
  <c r="Z266" i="42"/>
  <c r="N267" i="42" s="1"/>
  <c r="N2205" i="50"/>
  <c r="AC1618" i="37"/>
  <c r="AC1619" i="37" s="1"/>
  <c r="AK1613" i="37"/>
  <c r="AD2807" i="37"/>
  <c r="AD2810" i="37"/>
  <c r="AD2811" i="37" s="1"/>
  <c r="AC1169" i="37"/>
  <c r="AK1157" i="37"/>
  <c r="AC1158" i="37"/>
  <c r="J1032" i="37"/>
  <c r="J1011" i="50" s="1"/>
  <c r="J1010" i="50"/>
  <c r="AI2124" i="37"/>
  <c r="AI2135" i="37"/>
  <c r="AE322" i="37"/>
  <c r="AE326" i="37" s="1"/>
  <c r="AE325" i="37"/>
  <c r="W2290" i="37"/>
  <c r="K2290" i="37"/>
  <c r="W2291" i="37"/>
  <c r="K2291" i="37"/>
  <c r="W2292" i="37" s="1"/>
  <c r="K1648" i="50"/>
  <c r="AD2579" i="37"/>
  <c r="AD2576" i="37"/>
  <c r="AD2580" i="37" s="1"/>
  <c r="W813" i="42"/>
  <c r="K814" i="42" s="1"/>
  <c r="K2388" i="50"/>
  <c r="AF3162" i="37"/>
  <c r="AF3163" i="37" s="1"/>
  <c r="AF3165" i="37" s="1"/>
  <c r="AF3153" i="37"/>
  <c r="AF3155" i="37" s="1"/>
  <c r="AG1543" i="37"/>
  <c r="AG1545" i="37" s="1"/>
  <c r="AG1552" i="37"/>
  <c r="AG1553" i="37" s="1"/>
  <c r="AG1555" i="37" s="1"/>
  <c r="M875" i="50"/>
  <c r="M1039" i="50"/>
  <c r="AA1743" i="37"/>
  <c r="Z1743" i="37" s="1"/>
  <c r="AI1158" i="37"/>
  <c r="AI1169" i="37"/>
  <c r="Y1886" i="37"/>
  <c r="Y1884" i="37"/>
  <c r="M1884" i="37"/>
  <c r="M1885" i="37"/>
  <c r="AI526" i="37"/>
  <c r="AI515" i="37"/>
  <c r="AC566" i="42"/>
  <c r="AC587" i="42"/>
  <c r="AL563" i="42"/>
  <c r="M1056" i="37"/>
  <c r="AF837" i="37"/>
  <c r="AF848" i="37"/>
  <c r="I123" i="50"/>
  <c r="I2230" i="50"/>
  <c r="J825" i="50"/>
  <c r="AH2135" i="37"/>
  <c r="AH2124" i="37"/>
  <c r="AC2481" i="37"/>
  <c r="AK2480" i="37"/>
  <c r="AH3162" i="37"/>
  <c r="AH3163" i="37" s="1"/>
  <c r="AH3165" i="37" s="1"/>
  <c r="AH3153" i="37"/>
  <c r="AH3155" i="37" s="1"/>
  <c r="AA1421" i="37"/>
  <c r="Z1421" i="37" s="1"/>
  <c r="K395" i="50"/>
  <c r="K317" i="41"/>
  <c r="K405" i="50" s="1"/>
  <c r="AE3153" i="37"/>
  <c r="AE3155" i="37" s="1"/>
  <c r="AE3162" i="37"/>
  <c r="AE3163" i="37" s="1"/>
  <c r="AE3165" i="37" s="1"/>
  <c r="AK647" i="37"/>
  <c r="AC652" i="37"/>
  <c r="AC653" i="37" s="1"/>
  <c r="V680" i="37"/>
  <c r="J681" i="37" s="1"/>
  <c r="V682" i="37" s="1"/>
  <c r="J682" i="37" s="1"/>
  <c r="AD2178" i="37"/>
  <c r="AD2180" i="37" s="1"/>
  <c r="AD2233" i="37" s="1"/>
  <c r="AD2230" i="37"/>
  <c r="AD2231" i="37" s="1"/>
  <c r="AD2186" i="37"/>
  <c r="AD2221" i="37"/>
  <c r="AD2222" i="37" s="1"/>
  <c r="AD2224" i="37" s="1"/>
  <c r="K90" i="37"/>
  <c r="J1153" i="50"/>
  <c r="N693" i="50"/>
  <c r="N413" i="37"/>
  <c r="Z415" i="37"/>
  <c r="Z413" i="37"/>
  <c r="N414" i="37"/>
  <c r="N365" i="50"/>
  <c r="N282" i="41"/>
  <c r="AK3132" i="37"/>
  <c r="AC3133" i="37"/>
  <c r="AG899" i="37"/>
  <c r="AG901" i="37" s="1"/>
  <c r="AG908" i="37"/>
  <c r="AG909" i="37" s="1"/>
  <c r="AG911" i="37" s="1"/>
  <c r="AD587" i="42"/>
  <c r="AD591" i="42" s="1"/>
  <c r="AD595" i="42" s="1"/>
  <c r="AD599" i="42" s="1"/>
  <c r="AD603" i="42" s="1"/>
  <c r="AD566" i="42"/>
  <c r="Z3174" i="37"/>
  <c r="Z3172" i="37"/>
  <c r="N3172" i="37"/>
  <c r="N3173" i="37"/>
  <c r="L2641" i="37"/>
  <c r="AK2897" i="37"/>
  <c r="AC2901" i="37"/>
  <c r="AC2898" i="37"/>
  <c r="AC2902" i="37" s="1"/>
  <c r="AK2806" i="37"/>
  <c r="AC2810" i="37"/>
  <c r="AC2807" i="37"/>
  <c r="AF2898" i="37"/>
  <c r="AF2902" i="37" s="1"/>
  <c r="AF2901" i="37"/>
  <c r="AK514" i="37"/>
  <c r="AC515" i="37"/>
  <c r="AC526" i="37"/>
  <c r="AK942" i="37"/>
  <c r="AC943" i="37"/>
  <c r="AK943" i="37" s="1"/>
  <c r="H123" i="50"/>
  <c r="H2230" i="50"/>
  <c r="AD464" i="42"/>
  <c r="AD468" i="42" s="1"/>
  <c r="AD472" i="42" s="1"/>
  <c r="AD476" i="42" s="1"/>
  <c r="AD480" i="42" s="1"/>
  <c r="AD443" i="42"/>
  <c r="L1968" i="37"/>
  <c r="X1970" i="37"/>
  <c r="X1969" i="37"/>
  <c r="X1968" i="37"/>
  <c r="L1969" i="37"/>
  <c r="L1484" i="50"/>
  <c r="AF231" i="37"/>
  <c r="AF234" i="37"/>
  <c r="AF235" i="37" s="1"/>
  <c r="M2344" i="37"/>
  <c r="N2319" i="37"/>
  <c r="AF2508" i="37"/>
  <c r="AF2543" i="37"/>
  <c r="AF2544" i="37" s="1"/>
  <c r="AF2546" i="37" s="1"/>
  <c r="AF2552" i="37"/>
  <c r="AF2553" i="37" s="1"/>
  <c r="AF2500" i="37"/>
  <c r="AF2502" i="37" s="1"/>
  <c r="AF2555" i="37" s="1"/>
  <c r="AA455" i="37"/>
  <c r="Z455" i="37" s="1"/>
  <c r="N2205" i="37"/>
  <c r="J273" i="37"/>
  <c r="J1228" i="50" s="1"/>
  <c r="AG192" i="37"/>
  <c r="AG203" i="37"/>
  <c r="J2345" i="37"/>
  <c r="V2347" i="37"/>
  <c r="J2347" i="37" s="1"/>
  <c r="J1680" i="50" s="1"/>
  <c r="J1677" i="50"/>
  <c r="AF3102" i="37"/>
  <c r="AF3091" i="37"/>
  <c r="AK1491" i="37"/>
  <c r="K2641" i="37"/>
  <c r="L1239" i="37"/>
  <c r="AK553" i="37"/>
  <c r="AL463" i="42"/>
  <c r="AC467" i="42"/>
  <c r="AC2178" i="37"/>
  <c r="AC2186" i="37"/>
  <c r="AK2177" i="37"/>
  <c r="AC2221" i="37"/>
  <c r="AC2230" i="37"/>
  <c r="AK2149" i="37"/>
  <c r="AE2488" i="37"/>
  <c r="AE2489" i="37" s="1"/>
  <c r="AE2485" i="37"/>
  <c r="AI1814" i="37"/>
  <c r="AI1803" i="37"/>
  <c r="V1324" i="37"/>
  <c r="N2641" i="37"/>
  <c r="AG1169" i="37"/>
  <c r="AG1158" i="37"/>
  <c r="AF1197" i="37"/>
  <c r="AF1200" i="37"/>
  <c r="AF1201" i="37" s="1"/>
  <c r="H342" i="41"/>
  <c r="H427" i="50" s="1"/>
  <c r="I342" i="41"/>
  <c r="I427" i="50" s="1"/>
  <c r="J342" i="41"/>
  <c r="J427" i="50" s="1"/>
  <c r="N342" i="41"/>
  <c r="N427" i="50" s="1"/>
  <c r="L342" i="41"/>
  <c r="L427" i="50" s="1"/>
  <c r="K342" i="41"/>
  <c r="K427" i="50" s="1"/>
  <c r="M342" i="41"/>
  <c r="M427" i="50" s="1"/>
  <c r="AI443" i="42"/>
  <c r="AI464" i="42"/>
  <c r="AI468" i="42" s="1"/>
  <c r="AI472" i="42" s="1"/>
  <c r="AI476" i="42" s="1"/>
  <c r="AI480" i="42" s="1"/>
  <c r="Z918" i="37"/>
  <c r="N919" i="37"/>
  <c r="Z920" i="37"/>
  <c r="N918" i="37"/>
  <c r="AI3153" i="37"/>
  <c r="AI3155" i="37" s="1"/>
  <c r="AI3162" i="37"/>
  <c r="AI3163" i="37" s="1"/>
  <c r="AI3165" i="37" s="1"/>
  <c r="AC322" i="37"/>
  <c r="AC326" i="37" s="1"/>
  <c r="AK321" i="37"/>
  <c r="AC325" i="37"/>
  <c r="Y813" i="42"/>
  <c r="M814" i="42" s="1"/>
  <c r="M2388" i="50"/>
  <c r="AI2446" i="37"/>
  <c r="AI2457" i="37"/>
  <c r="AF1803" i="37"/>
  <c r="AF1814" i="37"/>
  <c r="AE908" i="37"/>
  <c r="AE909" i="37" s="1"/>
  <c r="AE911" i="37" s="1"/>
  <c r="AE899" i="37"/>
  <c r="AE901" i="37" s="1"/>
  <c r="AH1803" i="37"/>
  <c r="AH1814" i="37"/>
  <c r="AD2768" i="37"/>
  <c r="AD2779" i="37"/>
  <c r="AD2865" i="37"/>
  <c r="AD2866" i="37" s="1"/>
  <c r="AD2868" i="37" s="1"/>
  <c r="AD2874" i="37"/>
  <c r="AD2875" i="37" s="1"/>
  <c r="AD2822" i="37"/>
  <c r="AD2824" i="37" s="1"/>
  <c r="AD2877" i="37" s="1"/>
  <c r="AD2830" i="37"/>
  <c r="AC1200" i="37"/>
  <c r="AC1197" i="37"/>
  <c r="AK1196" i="37"/>
  <c r="J1239" i="37"/>
  <c r="AE1288" i="37"/>
  <c r="AE1292" i="37" s="1"/>
  <c r="AE1291" i="37"/>
  <c r="K2022" i="37"/>
  <c r="AI2163" i="37"/>
  <c r="AI2166" i="37"/>
  <c r="AI2167" i="37" s="1"/>
  <c r="H121" i="50"/>
  <c r="AE246" i="37"/>
  <c r="AE248" i="37" s="1"/>
  <c r="AE301" i="37" s="1"/>
  <c r="AE254" i="37"/>
  <c r="AE298" i="37"/>
  <c r="AE299" i="37" s="1"/>
  <c r="AE289" i="37"/>
  <c r="AE290" i="37" s="1"/>
  <c r="AE292" i="37" s="1"/>
  <c r="K2319" i="37"/>
  <c r="AD2543" i="37"/>
  <c r="AD2544" i="37" s="1"/>
  <c r="AD2546" i="37" s="1"/>
  <c r="AD2500" i="37"/>
  <c r="AD2502" i="37" s="1"/>
  <c r="AD2555" i="37" s="1"/>
  <c r="AD2552" i="37"/>
  <c r="AD2553" i="37" s="1"/>
  <c r="AD2508" i="37"/>
  <c r="AG2500" i="37"/>
  <c r="AG2502" i="37" s="1"/>
  <c r="AG2555" i="37" s="1"/>
  <c r="AG2543" i="37"/>
  <c r="AG2544" i="37" s="1"/>
  <c r="AG2546" i="37" s="1"/>
  <c r="AG2552" i="37"/>
  <c r="AG2553" i="37" s="1"/>
  <c r="AG2508" i="37"/>
  <c r="AG2135" i="37"/>
  <c r="AG2124" i="37"/>
  <c r="AD325" i="37"/>
  <c r="AD322" i="37"/>
  <c r="AD326" i="37" s="1"/>
  <c r="AF515" i="37"/>
  <c r="AF526" i="37"/>
  <c r="M710" i="37"/>
  <c r="M847" i="50" s="1"/>
  <c r="Y710" i="37"/>
  <c r="M848" i="50" s="1"/>
  <c r="M711" i="37"/>
  <c r="Y712" i="37" s="1"/>
  <c r="M846" i="50"/>
  <c r="AF1874" i="37"/>
  <c r="AF1875" i="37" s="1"/>
  <c r="AF1877" i="37" s="1"/>
  <c r="AF1865" i="37"/>
  <c r="AF1867" i="37" s="1"/>
  <c r="Z1884" i="37"/>
  <c r="N1885" i="37"/>
  <c r="Z1886" i="37"/>
  <c r="N1884" i="37"/>
  <c r="AD1543" i="37"/>
  <c r="AD1545" i="37" s="1"/>
  <c r="AD1552" i="37"/>
  <c r="AD1553" i="37" s="1"/>
  <c r="AD1555" i="37" s="1"/>
  <c r="J2642" i="37"/>
  <c r="J1830" i="50"/>
  <c r="M1002" i="37"/>
  <c r="Y1002" i="37"/>
  <c r="Y1003" i="37"/>
  <c r="M1003" i="37"/>
  <c r="Y1004" i="37" s="1"/>
  <c r="M992" i="50"/>
  <c r="AD899" i="37"/>
  <c r="AD901" i="37" s="1"/>
  <c r="AD908" i="37"/>
  <c r="AD909" i="37" s="1"/>
  <c r="AD911" i="37" s="1"/>
  <c r="H126" i="50"/>
  <c r="H2411" i="50"/>
  <c r="AG1874" i="37"/>
  <c r="AG1875" i="37" s="1"/>
  <c r="AG1877" i="37" s="1"/>
  <c r="AG1865" i="37"/>
  <c r="AG1867" i="37" s="1"/>
  <c r="L857" i="50"/>
  <c r="X737" i="37"/>
  <c r="L735" i="37"/>
  <c r="X735" i="37"/>
  <c r="L736" i="37"/>
  <c r="AH2257" i="37"/>
  <c r="AH2254" i="37"/>
  <c r="AH2258" i="37" s="1"/>
  <c r="AH231" i="37"/>
  <c r="AH234" i="37"/>
  <c r="AH235" i="37" s="1"/>
  <c r="AK2561" i="37"/>
  <c r="AC2457" i="37"/>
  <c r="AC2446" i="37"/>
  <c r="AK2445" i="37"/>
  <c r="AC1423" i="37"/>
  <c r="AB1422" i="37"/>
  <c r="AA1422" i="37" s="1"/>
  <c r="Z1422" i="37" s="1"/>
  <c r="M395" i="50"/>
  <c r="M317" i="41"/>
  <c r="M405" i="50" s="1"/>
  <c r="AI2901" i="37"/>
  <c r="AI2898" i="37"/>
  <c r="AI2902" i="37" s="1"/>
  <c r="AE1874" i="37"/>
  <c r="AE1875" i="37" s="1"/>
  <c r="AE1877" i="37" s="1"/>
  <c r="AE1865" i="37"/>
  <c r="AE1867" i="37" s="1"/>
  <c r="J2965" i="37"/>
  <c r="V2966" i="37" s="1"/>
  <c r="J2966" i="37" s="1"/>
  <c r="J1996" i="50"/>
  <c r="X1564" i="37"/>
  <c r="L1562" i="37"/>
  <c r="X1562" i="37"/>
  <c r="L1563" i="37"/>
  <c r="AI298" i="37"/>
  <c r="AI299" i="37" s="1"/>
  <c r="AI254" i="37"/>
  <c r="AI246" i="37"/>
  <c r="AI248" i="37" s="1"/>
  <c r="AI301" i="37" s="1"/>
  <c r="AI289" i="37"/>
  <c r="AI290" i="37" s="1"/>
  <c r="AI292" i="37" s="1"/>
  <c r="AC976" i="42"/>
  <c r="AL976" i="42" s="1"/>
  <c r="AL973" i="42"/>
  <c r="I336" i="41"/>
  <c r="H336" i="41"/>
  <c r="K336" i="41"/>
  <c r="N336" i="41"/>
  <c r="J336" i="41"/>
  <c r="M336" i="41"/>
  <c r="L336" i="41"/>
  <c r="J2483" i="50"/>
  <c r="V1099" i="42"/>
  <c r="AE3091" i="37"/>
  <c r="AE3102" i="37"/>
  <c r="X2669" i="37"/>
  <c r="L2667" i="37"/>
  <c r="L2668" i="37"/>
  <c r="X2667" i="37"/>
  <c r="AE2901" i="37"/>
  <c r="AE2898" i="37"/>
  <c r="AE2902" i="37" s="1"/>
  <c r="AK2883" i="37"/>
  <c r="K1031" i="37"/>
  <c r="AH1197" i="37"/>
  <c r="AH1200" i="37"/>
  <c r="AH1201" i="37" s="1"/>
  <c r="AK525" i="37"/>
  <c r="Z626" i="42"/>
  <c r="N627" i="42" s="1"/>
  <c r="N2331" i="50"/>
  <c r="AK933" i="37"/>
  <c r="AC934" i="37"/>
  <c r="J918" i="37"/>
  <c r="V920" i="37"/>
  <c r="J920" i="37" s="1"/>
  <c r="J903" i="50" s="1"/>
  <c r="J907" i="50" s="1"/>
  <c r="L2205" i="37"/>
  <c r="AF298" i="37"/>
  <c r="AF299" i="37" s="1"/>
  <c r="AF289" i="37"/>
  <c r="AF290" i="37" s="1"/>
  <c r="AF292" i="37" s="1"/>
  <c r="AF254" i="37"/>
  <c r="AF246" i="37"/>
  <c r="AF248" i="37" s="1"/>
  <c r="AF301" i="37" s="1"/>
  <c r="M2319" i="37"/>
  <c r="N2527" i="37"/>
  <c r="AG837" i="37"/>
  <c r="AG848" i="37"/>
  <c r="J2388" i="50"/>
  <c r="N2989" i="37"/>
  <c r="Z2989" i="37"/>
  <c r="N2990" i="37"/>
  <c r="Z2991" i="37" s="1"/>
  <c r="AB456" i="37"/>
  <c r="AA456" i="37" s="1"/>
  <c r="Z456" i="37" s="1"/>
  <c r="AC457" i="37"/>
  <c r="W626" i="42"/>
  <c r="K627" i="42" s="1"/>
  <c r="K2331" i="50"/>
  <c r="J91" i="37"/>
  <c r="J530" i="50" s="1"/>
  <c r="J529" i="50"/>
  <c r="J2290" i="37"/>
  <c r="J1648" i="50"/>
  <c r="AI1865" i="37"/>
  <c r="AI1867" i="37" s="1"/>
  <c r="AI1874" i="37"/>
  <c r="AI1875" i="37" s="1"/>
  <c r="AI1877" i="37" s="1"/>
  <c r="L344" i="41"/>
  <c r="L429" i="50" s="1"/>
  <c r="H344" i="41"/>
  <c r="H429" i="50" s="1"/>
  <c r="K344" i="41"/>
  <c r="K429" i="50" s="1"/>
  <c r="J344" i="41"/>
  <c r="J429" i="50" s="1"/>
  <c r="N344" i="41"/>
  <c r="N429" i="50" s="1"/>
  <c r="M344" i="41"/>
  <c r="M429" i="50" s="1"/>
  <c r="I344" i="41"/>
  <c r="I429" i="50" s="1"/>
  <c r="M1055" i="50"/>
  <c r="M1219" i="50"/>
  <c r="W598" i="37"/>
  <c r="K596" i="37"/>
  <c r="W596" i="37"/>
  <c r="K597" i="37"/>
  <c r="AG2874" i="37"/>
  <c r="AG2875" i="37" s="1"/>
  <c r="AG2865" i="37"/>
  <c r="AG2866" i="37" s="1"/>
  <c r="AG2868" i="37" s="1"/>
  <c r="AG2830" i="37"/>
  <c r="AG2822" i="37"/>
  <c r="AG2824" i="37" s="1"/>
  <c r="AG2877" i="37" s="1"/>
  <c r="W2612" i="37"/>
  <c r="K2613" i="37"/>
  <c r="W2613" i="37"/>
  <c r="W2614" i="37"/>
  <c r="K2612" i="37"/>
  <c r="K1812" i="50"/>
  <c r="AK556" i="37"/>
  <c r="AC557" i="37"/>
  <c r="AC443" i="42"/>
  <c r="AL440" i="42"/>
  <c r="AC464" i="42"/>
  <c r="AC2135" i="37"/>
  <c r="AC2124" i="37"/>
  <c r="AK2123" i="37"/>
  <c r="M2022" i="37"/>
  <c r="AE837" i="37"/>
  <c r="AE848" i="37"/>
  <c r="N2850" i="37"/>
  <c r="N2851" i="37"/>
  <c r="Z2850" i="37"/>
  <c r="Z2852" i="37"/>
  <c r="M2667" i="37"/>
  <c r="Y2669" i="37"/>
  <c r="Y2667" i="37"/>
  <c r="M2668" i="37"/>
  <c r="AG1288" i="37"/>
  <c r="AG1292" i="37" s="1"/>
  <c r="AG1291" i="37"/>
  <c r="AF1169" i="37"/>
  <c r="AF1158" i="37"/>
  <c r="AB778" i="37"/>
  <c r="AA778" i="37" s="1"/>
  <c r="Z778" i="37" s="1"/>
  <c r="AC779" i="37"/>
  <c r="AF2135" i="37"/>
  <c r="AF2124" i="37"/>
  <c r="AE2163" i="37"/>
  <c r="AE2166" i="37"/>
  <c r="AE2167" i="37" s="1"/>
  <c r="AK168" i="37"/>
  <c r="AI2579" i="37"/>
  <c r="AI2576" i="37"/>
  <c r="AI2580" i="37" s="1"/>
  <c r="AD1803" i="37"/>
  <c r="AD1814" i="37"/>
  <c r="AD2901" i="37"/>
  <c r="AD2898" i="37"/>
  <c r="AD2902" i="37" s="1"/>
  <c r="AK1183" i="37"/>
  <c r="AK1134" i="37"/>
  <c r="AE1197" i="37"/>
  <c r="AE1200" i="37"/>
  <c r="AE1201" i="37" s="1"/>
  <c r="AI1481" i="37"/>
  <c r="AI1492" i="37"/>
  <c r="W1970" i="37"/>
  <c r="K1969" i="37"/>
  <c r="K1968" i="37"/>
  <c r="W1969" i="37"/>
  <c r="K1484" i="50"/>
  <c r="AI2186" i="37"/>
  <c r="AI2230" i="37"/>
  <c r="AI2231" i="37" s="1"/>
  <c r="AI2178" i="37"/>
  <c r="AI2180" i="37" s="1"/>
  <c r="AI2233" i="37" s="1"/>
  <c r="AI2221" i="37"/>
  <c r="AI2222" i="37" s="1"/>
  <c r="AI2224" i="37" s="1"/>
  <c r="H98" i="50"/>
  <c r="N90" i="37"/>
  <c r="K2527" i="37"/>
  <c r="AG2457" i="37"/>
  <c r="AG2446" i="37"/>
  <c r="AH526" i="37"/>
  <c r="AH515" i="37"/>
  <c r="L2989" i="37"/>
  <c r="X2989" i="37"/>
  <c r="L2990" i="37"/>
  <c r="X2991" i="37" s="1"/>
  <c r="AF1492" i="37"/>
  <c r="AF1481" i="37"/>
  <c r="AG2257" i="37"/>
  <c r="AG2254" i="37"/>
  <c r="AG2258" i="37" s="1"/>
  <c r="AH2488" i="37"/>
  <c r="AH2489" i="37" s="1"/>
  <c r="AH2485" i="37"/>
  <c r="AA3031" i="37"/>
  <c r="Z3031" i="37" s="1"/>
  <c r="L338" i="41"/>
  <c r="L423" i="50" s="1"/>
  <c r="J338" i="41"/>
  <c r="J423" i="50" s="1"/>
  <c r="N338" i="41"/>
  <c r="N423" i="50" s="1"/>
  <c r="H338" i="41"/>
  <c r="H423" i="50" s="1"/>
  <c r="M338" i="41"/>
  <c r="M423" i="50" s="1"/>
  <c r="K338" i="41"/>
  <c r="K423" i="50" s="1"/>
  <c r="I338" i="41"/>
  <c r="I423" i="50" s="1"/>
  <c r="J2849" i="37"/>
  <c r="X813" i="42"/>
  <c r="L814" i="42" s="1"/>
  <c r="L2388" i="50"/>
  <c r="J865" i="50"/>
  <c r="AH2163" i="37"/>
  <c r="AH2166" i="37"/>
  <c r="AH2167" i="37" s="1"/>
  <c r="AH325" i="37"/>
  <c r="AH322" i="37"/>
  <c r="AH326" i="37" s="1"/>
  <c r="AF577" i="37"/>
  <c r="AF579" i="37" s="1"/>
  <c r="AF586" i="37"/>
  <c r="AF587" i="37" s="1"/>
  <c r="AF589" i="37" s="1"/>
  <c r="AC2500" i="37"/>
  <c r="AK2499" i="37"/>
  <c r="AC2552" i="37"/>
  <c r="AC2543" i="37"/>
  <c r="AC2508" i="37"/>
  <c r="N395" i="50"/>
  <c r="N317" i="41"/>
  <c r="N405" i="50" s="1"/>
  <c r="AI2779" i="37"/>
  <c r="AI2768" i="37"/>
  <c r="AK3129" i="37"/>
  <c r="X2612" i="37"/>
  <c r="X2613" i="37"/>
  <c r="L2612" i="37"/>
  <c r="L2613" i="37"/>
  <c r="X2614" i="37"/>
  <c r="L1812" i="50"/>
  <c r="AC2874" i="37"/>
  <c r="AC2830" i="37"/>
  <c r="AC2822" i="37"/>
  <c r="AC2865" i="37"/>
  <c r="AK2821" i="37"/>
  <c r="AF2768" i="37"/>
  <c r="AF2779" i="37"/>
  <c r="K1239" i="37"/>
  <c r="AI227" i="42"/>
  <c r="AI231" i="42" s="1"/>
  <c r="AI235" i="42" s="1"/>
  <c r="AI239" i="42" s="1"/>
  <c r="AI243" i="42" s="1"/>
  <c r="AI206" i="42"/>
  <c r="AF325" i="37"/>
  <c r="AF322" i="37"/>
  <c r="AF326" i="37" s="1"/>
  <c r="Z2291" i="37"/>
  <c r="N2291" i="37"/>
  <c r="Z2292" i="37" s="1"/>
  <c r="Z2290" i="37"/>
  <c r="N2290" i="37"/>
  <c r="N1648" i="50"/>
  <c r="AF2488" i="37"/>
  <c r="AF2489" i="37" s="1"/>
  <c r="AF2485" i="37"/>
  <c r="J1870" i="50"/>
  <c r="J1805" i="50"/>
  <c r="J1828" i="50"/>
  <c r="J1845" i="50"/>
  <c r="J1817" i="50"/>
  <c r="J1856" i="50"/>
  <c r="AD1200" i="37"/>
  <c r="AD1201" i="37" s="1"/>
  <c r="AD1197" i="37"/>
  <c r="AD515" i="37"/>
  <c r="AD526" i="37"/>
  <c r="H99" i="50"/>
  <c r="AD1492" i="37"/>
  <c r="AD1481" i="37"/>
  <c r="AG2898" i="37"/>
  <c r="AG2902" i="37" s="1"/>
  <c r="AG2901" i="37"/>
  <c r="J1007" i="50"/>
  <c r="J984" i="50"/>
  <c r="J1063" i="50"/>
  <c r="J1049" i="50"/>
  <c r="J1035" i="50"/>
  <c r="J996" i="50"/>
  <c r="Z813" i="42"/>
  <c r="N814" i="42" s="1"/>
  <c r="N2388" i="50"/>
  <c r="AI899" i="37"/>
  <c r="AI901" i="37" s="1"/>
  <c r="AI908" i="37"/>
  <c r="AI909" i="37" s="1"/>
  <c r="AI911" i="37" s="1"/>
  <c r="AC2159" i="37"/>
  <c r="AK2158" i="37"/>
  <c r="Y1970" i="37"/>
  <c r="Y1969" i="37"/>
  <c r="M1968" i="37"/>
  <c r="M1969" i="37"/>
  <c r="M1484" i="50"/>
  <c r="K339" i="41"/>
  <c r="K424" i="50" s="1"/>
  <c r="H339" i="41"/>
  <c r="H424" i="50" s="1"/>
  <c r="N339" i="41"/>
  <c r="N424" i="50" s="1"/>
  <c r="L339" i="41"/>
  <c r="L424" i="50" s="1"/>
  <c r="J339" i="41"/>
  <c r="J424" i="50" s="1"/>
  <c r="M339" i="41"/>
  <c r="M424" i="50" s="1"/>
  <c r="I339" i="41"/>
  <c r="I424" i="50" s="1"/>
  <c r="AE2446" i="37"/>
  <c r="AE2457" i="37"/>
  <c r="L2344" i="37"/>
  <c r="N2668" i="37"/>
  <c r="Z2667" i="37"/>
  <c r="N2667" i="37"/>
  <c r="Z2669" i="37"/>
  <c r="M2612" i="37"/>
  <c r="Y2614" i="37"/>
  <c r="Y2612" i="37"/>
  <c r="Y2613" i="37"/>
  <c r="M2613" i="37"/>
  <c r="M1812" i="50"/>
  <c r="AF2186" i="37"/>
  <c r="AF2178" i="37"/>
  <c r="AF2180" i="37" s="1"/>
  <c r="AF2233" i="37" s="1"/>
  <c r="AF2230" i="37"/>
  <c r="AF2231" i="37" s="1"/>
  <c r="AF2221" i="37"/>
  <c r="AF2222" i="37" s="1"/>
  <c r="AF2224" i="37" s="1"/>
  <c r="AE2254" i="37"/>
  <c r="AE2258" i="37" s="1"/>
  <c r="AE2257" i="37"/>
  <c r="AE2186" i="37"/>
  <c r="AE2178" i="37"/>
  <c r="AE2180" i="37" s="1"/>
  <c r="AE2233" i="37" s="1"/>
  <c r="AE2221" i="37"/>
  <c r="AE2222" i="37" s="1"/>
  <c r="AE2224" i="37" s="1"/>
  <c r="AE2230" i="37"/>
  <c r="AE2231" i="37" s="1"/>
  <c r="J570" i="50"/>
  <c r="J542" i="50"/>
  <c r="J491" i="50"/>
  <c r="J528" i="50"/>
  <c r="G483" i="50"/>
  <c r="I592" i="50"/>
  <c r="J556" i="50"/>
  <c r="J514" i="50"/>
  <c r="J523" i="50" s="1"/>
  <c r="AC298" i="37"/>
  <c r="AC254" i="37"/>
  <c r="AC246" i="37"/>
  <c r="AK245" i="37"/>
  <c r="AC289" i="37"/>
  <c r="J1697" i="50"/>
  <c r="J1708" i="50"/>
  <c r="J1725" i="50"/>
  <c r="J1643" i="50"/>
  <c r="J1655" i="50"/>
  <c r="J1683" i="50"/>
  <c r="L282" i="41"/>
  <c r="L365" i="50"/>
  <c r="AK1519" i="37"/>
  <c r="M341" i="41"/>
  <c r="M426" i="50" s="1"/>
  <c r="H341" i="41"/>
  <c r="H426" i="50" s="1"/>
  <c r="I341" i="41"/>
  <c r="I426" i="50" s="1"/>
  <c r="K341" i="41"/>
  <c r="K426" i="50" s="1"/>
  <c r="N341" i="41"/>
  <c r="N426" i="50" s="1"/>
  <c r="L341" i="41"/>
  <c r="L426" i="50" s="1"/>
  <c r="J341" i="41"/>
  <c r="J426" i="50" s="1"/>
  <c r="AC1143" i="37"/>
  <c r="AK1143" i="37" s="1"/>
  <c r="AK1142" i="37"/>
  <c r="AC1220" i="37"/>
  <c r="AC1255" i="37"/>
  <c r="AC1212" i="37"/>
  <c r="AC1264" i="37"/>
  <c r="AK1211" i="37"/>
  <c r="K1998" i="37"/>
  <c r="K1503" i="50" s="1"/>
  <c r="W1998" i="37"/>
  <c r="K1504" i="50" s="1"/>
  <c r="K1999" i="37"/>
  <c r="W2000" i="37" s="1"/>
  <c r="K2000" i="37" s="1"/>
  <c r="K1505" i="50" s="1"/>
  <c r="K1502" i="50"/>
  <c r="S592" i="50"/>
  <c r="N273" i="37"/>
  <c r="N2048" i="50" s="1"/>
  <c r="AE234" i="37"/>
  <c r="AE235" i="37" s="1"/>
  <c r="AE231" i="37"/>
  <c r="AD586" i="37"/>
  <c r="AD587" i="37" s="1"/>
  <c r="AD589" i="37" s="1"/>
  <c r="AD577" i="37"/>
  <c r="AD579" i="37" s="1"/>
  <c r="K2344" i="37"/>
  <c r="M1185" i="50"/>
  <c r="Y1381" i="37"/>
  <c r="M1379" i="37"/>
  <c r="Y1379" i="37"/>
  <c r="M1380" i="37"/>
  <c r="AC3091" i="37"/>
  <c r="AC3102" i="37"/>
  <c r="AK3090" i="37"/>
  <c r="G139" i="42"/>
  <c r="I31" i="42"/>
  <c r="I1417" i="50" l="1"/>
  <c r="I2073" i="50"/>
  <c r="I112" i="50"/>
  <c r="I597" i="50"/>
  <c r="H197" i="41"/>
  <c r="H319" i="50" s="1"/>
  <c r="L1813" i="50"/>
  <c r="M1813" i="50"/>
  <c r="M993" i="50"/>
  <c r="N1486" i="50"/>
  <c r="H2073" i="50"/>
  <c r="N1650" i="50"/>
  <c r="L1228" i="50"/>
  <c r="N1649" i="50"/>
  <c r="J900" i="50"/>
  <c r="L1814" i="50"/>
  <c r="L2048" i="50"/>
  <c r="M1486" i="50"/>
  <c r="J993" i="50"/>
  <c r="M1814" i="50"/>
  <c r="M994" i="50"/>
  <c r="I197" i="41"/>
  <c r="I319" i="50" s="1"/>
  <c r="M1649" i="50"/>
  <c r="M1392" i="50"/>
  <c r="M1650" i="50"/>
  <c r="K1486" i="50"/>
  <c r="K736" i="50"/>
  <c r="K1814" i="50"/>
  <c r="J1649" i="50"/>
  <c r="K1392" i="50"/>
  <c r="M736" i="50"/>
  <c r="K900" i="50"/>
  <c r="L1486" i="50"/>
  <c r="K1650" i="50"/>
  <c r="L736" i="50"/>
  <c r="M1228" i="50"/>
  <c r="M666" i="50"/>
  <c r="J1392" i="50"/>
  <c r="M1158" i="50"/>
  <c r="L1978" i="50"/>
  <c r="J1485" i="50"/>
  <c r="N829" i="50"/>
  <c r="N900" i="50"/>
  <c r="N1813" i="50"/>
  <c r="M1321" i="50"/>
  <c r="L900" i="50"/>
  <c r="L1322" i="50"/>
  <c r="J829" i="50"/>
  <c r="K1157" i="50"/>
  <c r="L829" i="50"/>
  <c r="L993" i="50"/>
  <c r="M1884" i="50"/>
  <c r="L1650" i="50"/>
  <c r="N736" i="50"/>
  <c r="J665" i="50"/>
  <c r="K1978" i="50"/>
  <c r="K665" i="50"/>
  <c r="N1158" i="50"/>
  <c r="L1158" i="50"/>
  <c r="N1392" i="50"/>
  <c r="J2048" i="50"/>
  <c r="N994" i="50"/>
  <c r="L1649" i="50"/>
  <c r="L1884" i="50"/>
  <c r="J1977" i="50"/>
  <c r="K830" i="50"/>
  <c r="M1322" i="50"/>
  <c r="L665" i="50"/>
  <c r="N1322" i="50"/>
  <c r="H761" i="50"/>
  <c r="K1322" i="50"/>
  <c r="N1884" i="50"/>
  <c r="L1485" i="50"/>
  <c r="M900" i="50"/>
  <c r="J736" i="50"/>
  <c r="N1228" i="50"/>
  <c r="H1417" i="50"/>
  <c r="K829" i="50"/>
  <c r="I925" i="50"/>
  <c r="M829" i="50"/>
  <c r="N1157" i="50"/>
  <c r="J858" i="50"/>
  <c r="N1321" i="50"/>
  <c r="K666" i="50"/>
  <c r="J1678" i="50"/>
  <c r="K1813" i="50"/>
  <c r="K1649" i="50"/>
  <c r="K994" i="50"/>
  <c r="N993" i="50"/>
  <c r="K1556" i="50"/>
  <c r="N1814" i="50"/>
  <c r="I1253" i="50"/>
  <c r="H1253" i="50"/>
  <c r="N830" i="50"/>
  <c r="K1158" i="50"/>
  <c r="J1186" i="50"/>
  <c r="K1321" i="50"/>
  <c r="M830" i="50"/>
  <c r="J1157" i="50"/>
  <c r="N1978" i="50"/>
  <c r="J1022" i="50"/>
  <c r="M1157" i="50"/>
  <c r="M1977" i="50"/>
  <c r="J694" i="50"/>
  <c r="K1977" i="50"/>
  <c r="N665" i="50"/>
  <c r="L830" i="50"/>
  <c r="L666" i="50"/>
  <c r="J1514" i="50"/>
  <c r="K993" i="50"/>
  <c r="J1813" i="50"/>
  <c r="I761" i="50"/>
  <c r="N1977" i="50"/>
  <c r="M665" i="50"/>
  <c r="J1321" i="50"/>
  <c r="L1157" i="50"/>
  <c r="L1977" i="50"/>
  <c r="L994" i="50"/>
  <c r="J2006" i="50"/>
  <c r="J1842" i="50"/>
  <c r="L1321" i="50"/>
  <c r="J1350" i="50"/>
  <c r="M1978" i="50"/>
  <c r="N666" i="50"/>
  <c r="H925" i="50"/>
  <c r="K1886" i="37"/>
  <c r="K1395" i="50" s="1"/>
  <c r="K628" i="42"/>
  <c r="K2333" i="50" s="1"/>
  <c r="K2334" i="50" s="1"/>
  <c r="S1084" i="50"/>
  <c r="H1909" i="50"/>
  <c r="J1647" i="37"/>
  <c r="V1648" i="37" s="1"/>
  <c r="J1648" i="37" s="1"/>
  <c r="H228" i="41"/>
  <c r="H343" i="50" s="1"/>
  <c r="K598" i="37"/>
  <c r="K739" i="50" s="1"/>
  <c r="S1740" i="50"/>
  <c r="L1564" i="37"/>
  <c r="L1231" i="50" s="1"/>
  <c r="J711" i="37"/>
  <c r="V712" i="37" s="1"/>
  <c r="J712" i="37" s="1"/>
  <c r="J849" i="50" s="1"/>
  <c r="J851" i="50" s="1"/>
  <c r="J852" i="50" s="1"/>
  <c r="J853" i="50" s="1"/>
  <c r="J715" i="37" s="1"/>
  <c r="J717" i="37" s="1"/>
  <c r="J718" i="37" s="1"/>
  <c r="J918" i="50" s="1"/>
  <c r="K888" i="50" s="1"/>
  <c r="J497" i="50"/>
  <c r="L415" i="37"/>
  <c r="L696" i="50" s="1"/>
  <c r="H597" i="50"/>
  <c r="V359" i="37"/>
  <c r="J702" i="50"/>
  <c r="J703" i="50" s="1"/>
  <c r="J418" i="37" s="1"/>
  <c r="J420" i="37" s="1"/>
  <c r="J421" i="37" s="1"/>
  <c r="J751" i="50" s="1"/>
  <c r="K721" i="50" s="1"/>
  <c r="AL443" i="42"/>
  <c r="L1381" i="37"/>
  <c r="L1188" i="50" s="1"/>
  <c r="J866" i="50"/>
  <c r="J867" i="50" s="1"/>
  <c r="J740" i="37" s="1"/>
  <c r="J742" i="37" s="1"/>
  <c r="J743" i="37" s="1"/>
  <c r="J915" i="50" s="1"/>
  <c r="K820" i="50" s="1"/>
  <c r="J744" i="50"/>
  <c r="J745" i="50" s="1"/>
  <c r="J601" i="37" s="1"/>
  <c r="J604" i="37" s="1"/>
  <c r="J752" i="50" s="1"/>
  <c r="T712" i="42"/>
  <c r="J674" i="50"/>
  <c r="J675" i="50" s="1"/>
  <c r="J363" i="37" s="1"/>
  <c r="J365" i="37" s="1"/>
  <c r="J366" i="37" s="1"/>
  <c r="J750" i="50" s="1"/>
  <c r="K734" i="50" s="1"/>
  <c r="J763" i="42"/>
  <c r="J764" i="42" s="1"/>
  <c r="J2348" i="50" s="1"/>
  <c r="J1000" i="42"/>
  <c r="V1001" i="42" s="1"/>
  <c r="J1001" i="42" s="1"/>
  <c r="J2446" i="50" s="1"/>
  <c r="J2447" i="50" s="1"/>
  <c r="J2448" i="50" s="1"/>
  <c r="J2449" i="50" s="1"/>
  <c r="J1004" i="42" s="1"/>
  <c r="J1006" i="42" s="1"/>
  <c r="J1007" i="42" s="1"/>
  <c r="J2454" i="50" s="1"/>
  <c r="J2455" i="50" s="1"/>
  <c r="J2539" i="50" s="1"/>
  <c r="J2582" i="50" s="1"/>
  <c r="J2604" i="50" s="1"/>
  <c r="I1581" i="50"/>
  <c r="J2056" i="50"/>
  <c r="J2057" i="50" s="1"/>
  <c r="J3177" i="37" s="1"/>
  <c r="J3180" i="37" s="1"/>
  <c r="J2064" i="50" s="1"/>
  <c r="I109" i="50"/>
  <c r="I129" i="50" s="1"/>
  <c r="J908" i="50"/>
  <c r="J909" i="50" s="1"/>
  <c r="J923" i="37" s="1"/>
  <c r="J926" i="37" s="1"/>
  <c r="J916" i="50" s="1"/>
  <c r="V1057" i="37"/>
  <c r="V1968" i="37"/>
  <c r="V1969" i="37" s="1"/>
  <c r="J1400" i="50"/>
  <c r="J1401" i="50" s="1"/>
  <c r="J1889" i="37" s="1"/>
  <c r="J1892" i="37" s="1"/>
  <c r="J1408" i="50" s="1"/>
  <c r="V2345" i="37"/>
  <c r="J838" i="50"/>
  <c r="J839" i="50" s="1"/>
  <c r="J685" i="37" s="1"/>
  <c r="J687" i="37" s="1"/>
  <c r="J688" i="37" s="1"/>
  <c r="J914" i="50" s="1"/>
  <c r="K870" i="50" s="1"/>
  <c r="K879" i="50" s="1"/>
  <c r="K880" i="50" s="1"/>
  <c r="K881" i="50" s="1"/>
  <c r="L737" i="37"/>
  <c r="L860" i="50" s="1"/>
  <c r="S1576" i="50"/>
  <c r="V596" i="37"/>
  <c r="J752" i="42"/>
  <c r="AE756" i="42" s="1"/>
  <c r="AK2457" i="37"/>
  <c r="K3174" i="37"/>
  <c r="K2051" i="50" s="1"/>
  <c r="AK3102" i="37"/>
  <c r="J1219" i="50"/>
  <c r="J400" i="47"/>
  <c r="V401" i="47" s="1"/>
  <c r="J401" i="47" s="1"/>
  <c r="H109" i="50"/>
  <c r="H129" i="50" s="1"/>
  <c r="K360" i="37"/>
  <c r="V2935" i="37"/>
  <c r="J2935" i="37"/>
  <c r="V2936" i="37" s="1"/>
  <c r="J2936" i="37" s="1"/>
  <c r="J814" i="42"/>
  <c r="V815" i="42" s="1"/>
  <c r="J815" i="42" s="1"/>
  <c r="AF2196" i="37"/>
  <c r="AF2197" i="37" s="1"/>
  <c r="AF2199" i="37" s="1"/>
  <c r="AF2187" i="37"/>
  <c r="AF2189" i="37" s="1"/>
  <c r="AC299" i="37"/>
  <c r="AK299" i="37" s="1"/>
  <c r="AK298" i="37"/>
  <c r="AE2458" i="37"/>
  <c r="AE2447" i="37"/>
  <c r="AC2840" i="37"/>
  <c r="AK2830" i="37"/>
  <c r="AC2831" i="37"/>
  <c r="AI2187" i="37"/>
  <c r="AI2189" i="37" s="1"/>
  <c r="AI2196" i="37"/>
  <c r="AI2197" i="37" s="1"/>
  <c r="AI2199" i="37" s="1"/>
  <c r="AF2136" i="37"/>
  <c r="AF2125" i="37"/>
  <c r="AC468" i="42"/>
  <c r="AL464" i="42"/>
  <c r="K421" i="50"/>
  <c r="K347" i="41"/>
  <c r="K432" i="50" s="1"/>
  <c r="AI255" i="37"/>
  <c r="AI257" i="37" s="1"/>
  <c r="AI264" i="37"/>
  <c r="AI265" i="37" s="1"/>
  <c r="AI267" i="37" s="1"/>
  <c r="AG2125" i="37"/>
  <c r="AG2136" i="37"/>
  <c r="K2023" i="37"/>
  <c r="W2023" i="37" s="1"/>
  <c r="W2025" i="37"/>
  <c r="K2025" i="37" s="1"/>
  <c r="K1516" i="50" s="1"/>
  <c r="AD2840" i="37"/>
  <c r="AD2841" i="37" s="1"/>
  <c r="AD2843" i="37" s="1"/>
  <c r="AD2831" i="37"/>
  <c r="AD2833" i="37" s="1"/>
  <c r="N2642" i="37"/>
  <c r="N1831" i="50" s="1"/>
  <c r="N2643" i="37"/>
  <c r="Z2644" i="37"/>
  <c r="Z2642" i="37"/>
  <c r="N1832" i="50" s="1"/>
  <c r="N1830" i="50"/>
  <c r="J572" i="50"/>
  <c r="J274" i="37"/>
  <c r="J737" i="50" s="1"/>
  <c r="AF2518" i="37"/>
  <c r="AF2519" i="37" s="1"/>
  <c r="AF2521" i="37" s="1"/>
  <c r="AF2509" i="37"/>
  <c r="AF2511" i="37" s="1"/>
  <c r="AK2807" i="37"/>
  <c r="M1021" i="50"/>
  <c r="Y1059" i="37"/>
  <c r="M1057" i="37"/>
  <c r="Y1057" i="37"/>
  <c r="M1058" i="37"/>
  <c r="Z1968" i="37"/>
  <c r="N1485" i="50"/>
  <c r="AI3092" i="37"/>
  <c r="AI3104" i="37" s="1"/>
  <c r="AI3103" i="37"/>
  <c r="AI204" i="37"/>
  <c r="AI193" i="37"/>
  <c r="M1240" i="37"/>
  <c r="Y1242" i="37"/>
  <c r="Y1240" i="37"/>
  <c r="M1241" i="37"/>
  <c r="M1064" i="50"/>
  <c r="AE1221" i="37"/>
  <c r="AE1223" i="37" s="1"/>
  <c r="AE1230" i="37"/>
  <c r="AE1231" i="37" s="1"/>
  <c r="AE1233" i="37" s="1"/>
  <c r="AC2711" i="37"/>
  <c r="AB2710" i="37"/>
  <c r="AA2710" i="37" s="1"/>
  <c r="Z2710" i="37" s="1"/>
  <c r="J1809" i="50"/>
  <c r="J1236" i="50"/>
  <c r="J1237" i="50" s="1"/>
  <c r="J1567" i="37" s="1"/>
  <c r="I119" i="50"/>
  <c r="I1745" i="50"/>
  <c r="V3172" i="37"/>
  <c r="M1032" i="37"/>
  <c r="M1011" i="50" s="1"/>
  <c r="Y1032" i="37"/>
  <c r="M1012" i="50" s="1"/>
  <c r="M1033" i="37"/>
  <c r="Y1034" i="37" s="1"/>
  <c r="M1010" i="50"/>
  <c r="AG1815" i="37"/>
  <c r="AG1804" i="37"/>
  <c r="AG1816" i="37" s="1"/>
  <c r="AG3103" i="37"/>
  <c r="AG3092" i="37"/>
  <c r="AG3104" i="37" s="1"/>
  <c r="AC587" i="37"/>
  <c r="AK586" i="37"/>
  <c r="L274" i="37"/>
  <c r="L573" i="50" s="1"/>
  <c r="X274" i="37"/>
  <c r="L574" i="50" s="1"/>
  <c r="L275" i="37"/>
  <c r="X276" i="37" s="1"/>
  <c r="L572" i="50"/>
  <c r="AE2136" i="37"/>
  <c r="AE2125" i="37"/>
  <c r="AC1545" i="37"/>
  <c r="AK1545" i="37" s="1"/>
  <c r="AK1543" i="37"/>
  <c r="J1380" i="37"/>
  <c r="AC3190" i="37"/>
  <c r="AK3190" i="37" s="1"/>
  <c r="AK3188" i="37"/>
  <c r="AB2388" i="37"/>
  <c r="AA2388" i="37" s="1"/>
  <c r="Z2388" i="37" s="1"/>
  <c r="AC2389" i="37"/>
  <c r="AC614" i="37"/>
  <c r="AK614" i="37" s="1"/>
  <c r="AK612" i="37"/>
  <c r="AK1291" i="37"/>
  <c r="AC1296" i="37"/>
  <c r="AC1297" i="37" s="1"/>
  <c r="AD1230" i="37"/>
  <c r="AD1231" i="37" s="1"/>
  <c r="AD1233" i="37" s="1"/>
  <c r="AD1221" i="37"/>
  <c r="AD1223" i="37" s="1"/>
  <c r="AK2874" i="37"/>
  <c r="AC2875" i="37"/>
  <c r="AK2875" i="37" s="1"/>
  <c r="AK2508" i="37"/>
  <c r="AC2518" i="37"/>
  <c r="AC2509" i="37"/>
  <c r="W2530" i="37"/>
  <c r="K2528" i="37"/>
  <c r="W2528" i="37"/>
  <c r="K2529" i="37"/>
  <c r="K1720" i="50"/>
  <c r="AD1815" i="37"/>
  <c r="AD1804" i="37"/>
  <c r="AD1816" i="37" s="1"/>
  <c r="V91" i="37"/>
  <c r="J1187" i="50" s="1"/>
  <c r="N2529" i="37"/>
  <c r="Z2528" i="37"/>
  <c r="Z2530" i="37"/>
  <c r="N2528" i="37"/>
  <c r="N1720" i="50"/>
  <c r="L2207" i="37"/>
  <c r="X2206" i="37"/>
  <c r="X2208" i="37"/>
  <c r="L2206" i="37"/>
  <c r="L1556" i="50"/>
  <c r="AE3103" i="37"/>
  <c r="AE3092" i="37"/>
  <c r="AE3104" i="37" s="1"/>
  <c r="H421" i="50"/>
  <c r="H347" i="41"/>
  <c r="H432" i="50" s="1"/>
  <c r="AC1424" i="37"/>
  <c r="AB1423" i="37"/>
  <c r="AA1423" i="37" s="1"/>
  <c r="Z1423" i="37" s="1"/>
  <c r="AC2447" i="37"/>
  <c r="AC2458" i="37"/>
  <c r="AK2446" i="37"/>
  <c r="AD2518" i="37"/>
  <c r="AD2519" i="37" s="1"/>
  <c r="AD2521" i="37" s="1"/>
  <c r="AD2509" i="37"/>
  <c r="AD2511" i="37" s="1"/>
  <c r="AE264" i="37"/>
  <c r="AE265" i="37" s="1"/>
  <c r="AE267" i="37" s="1"/>
  <c r="AE255" i="37"/>
  <c r="AE257" i="37" s="1"/>
  <c r="AC330" i="37"/>
  <c r="AC331" i="37" s="1"/>
  <c r="AK325" i="37"/>
  <c r="AC2231" i="37"/>
  <c r="AK2231" i="37" s="1"/>
  <c r="AK2230" i="37"/>
  <c r="N2320" i="37"/>
  <c r="N1667" i="50" s="1"/>
  <c r="N2321" i="37"/>
  <c r="Z2322" i="37" s="1"/>
  <c r="Z2320" i="37"/>
  <c r="N1668" i="50" s="1"/>
  <c r="N1666" i="50"/>
  <c r="AC2811" i="37"/>
  <c r="AK2810" i="37"/>
  <c r="AI2136" i="37"/>
  <c r="AI2125" i="37"/>
  <c r="AA2065" i="37"/>
  <c r="Z2065" i="37" s="1"/>
  <c r="V2320" i="37"/>
  <c r="AD2447" i="37"/>
  <c r="AD2458" i="37"/>
  <c r="AD1159" i="37"/>
  <c r="AD1170" i="37"/>
  <c r="K374" i="50"/>
  <c r="K302" i="41"/>
  <c r="AA133" i="37"/>
  <c r="Z133" i="37" s="1"/>
  <c r="J1677" i="37"/>
  <c r="V1678" i="37" s="1"/>
  <c r="J1678" i="37" s="1"/>
  <c r="J1341" i="50" s="1"/>
  <c r="J1340" i="50"/>
  <c r="AG2187" i="37"/>
  <c r="AG2189" i="37" s="1"/>
  <c r="AG2196" i="37"/>
  <c r="AG2197" i="37" s="1"/>
  <c r="AG2199" i="37" s="1"/>
  <c r="AI2518" i="37"/>
  <c r="AI2519" i="37" s="1"/>
  <c r="AI2521" i="37" s="1"/>
  <c r="AI2509" i="37"/>
  <c r="AI2511" i="37" s="1"/>
  <c r="AK1552" i="37"/>
  <c r="AC1553" i="37"/>
  <c r="AG2769" i="37"/>
  <c r="AG2780" i="37"/>
  <c r="J1653" i="50"/>
  <c r="J1681" i="50"/>
  <c r="J1685" i="50" s="1"/>
  <c r="J1641" i="50"/>
  <c r="J1645" i="50" s="1"/>
  <c r="J1692" i="50"/>
  <c r="J1664" i="50"/>
  <c r="J1706" i="50"/>
  <c r="M529" i="50"/>
  <c r="M91" i="37"/>
  <c r="M530" i="50" s="1"/>
  <c r="Y91" i="37"/>
  <c r="M531" i="50" s="1"/>
  <c r="M92" i="37"/>
  <c r="Y93" i="37" s="1"/>
  <c r="Y2206" i="37"/>
  <c r="M2206" i="37"/>
  <c r="Y2208" i="37"/>
  <c r="M2207" i="37"/>
  <c r="M1556" i="50"/>
  <c r="I115" i="50"/>
  <c r="I1089" i="50"/>
  <c r="K1021" i="50"/>
  <c r="W1059" i="37"/>
  <c r="K1057" i="37"/>
  <c r="W1057" i="37"/>
  <c r="K1058" i="37"/>
  <c r="V1884" i="37"/>
  <c r="AB779" i="37"/>
  <c r="AA779" i="37" s="1"/>
  <c r="Z779" i="37" s="1"/>
  <c r="AC780" i="37"/>
  <c r="AE838" i="37"/>
  <c r="AE850" i="37" s="1"/>
  <c r="AE849" i="37"/>
  <c r="V1100" i="42"/>
  <c r="J2484" i="50" s="1"/>
  <c r="I421" i="50"/>
  <c r="I347" i="41"/>
  <c r="I432" i="50" s="1"/>
  <c r="V1325" i="37"/>
  <c r="AC2222" i="37"/>
  <c r="AK2221" i="37"/>
  <c r="L1240" i="37"/>
  <c r="X1242" i="37"/>
  <c r="X1240" i="37"/>
  <c r="L1066" i="50" s="1"/>
  <c r="L1241" i="37"/>
  <c r="L1064" i="50"/>
  <c r="N2206" i="37"/>
  <c r="N2207" i="37"/>
  <c r="Z2206" i="37"/>
  <c r="Z2208" i="37"/>
  <c r="N1556" i="50"/>
  <c r="AL587" i="42"/>
  <c r="AC591" i="42"/>
  <c r="AC235" i="37"/>
  <c r="AK234" i="37"/>
  <c r="AC2067" i="37"/>
  <c r="AB2066" i="37"/>
  <c r="AA2066" i="37" s="1"/>
  <c r="Z2066" i="37" s="1"/>
  <c r="W2669" i="37"/>
  <c r="W2667" i="37"/>
  <c r="K2667" i="37"/>
  <c r="K2668" i="37"/>
  <c r="AC2584" i="37"/>
  <c r="AC2585" i="37" s="1"/>
  <c r="AK2579" i="37"/>
  <c r="AD3103" i="37"/>
  <c r="AD3092" i="37"/>
  <c r="AD3104" i="37" s="1"/>
  <c r="AB1100" i="37"/>
  <c r="AA1100" i="37" s="1"/>
  <c r="Z1100" i="37" s="1"/>
  <c r="AC1101" i="37"/>
  <c r="K2850" i="37"/>
  <c r="W2852" i="37"/>
  <c r="K2851" i="37"/>
  <c r="W2850" i="37"/>
  <c r="K1884" i="50"/>
  <c r="J2528" i="37"/>
  <c r="V2530" i="37"/>
  <c r="J2530" i="37" s="1"/>
  <c r="J1723" i="50" s="1"/>
  <c r="J1727" i="50" s="1"/>
  <c r="J1720" i="50"/>
  <c r="V681" i="37"/>
  <c r="L529" i="50"/>
  <c r="L91" i="37"/>
  <c r="L530" i="50" s="1"/>
  <c r="X91" i="37"/>
  <c r="L531" i="50" s="1"/>
  <c r="L92" i="37"/>
  <c r="X93" i="37" s="1"/>
  <c r="J1358" i="50"/>
  <c r="J1359" i="50" s="1"/>
  <c r="J1706" i="37" s="1"/>
  <c r="J1708" i="37" s="1"/>
  <c r="J1709" i="37" s="1"/>
  <c r="J1407" i="50" s="1"/>
  <c r="AC135" i="37"/>
  <c r="AB134" i="37"/>
  <c r="AA134" i="37" s="1"/>
  <c r="Z134" i="37" s="1"/>
  <c r="K682" i="37"/>
  <c r="M374" i="50"/>
  <c r="M302" i="41"/>
  <c r="AK848" i="37"/>
  <c r="V1998" i="37"/>
  <c r="J1503" i="50"/>
  <c r="N1032" i="37"/>
  <c r="N1011" i="50" s="1"/>
  <c r="Z1032" i="37"/>
  <c r="N1012" i="50" s="1"/>
  <c r="N1033" i="37"/>
  <c r="Z1034" i="37" s="1"/>
  <c r="N1010" i="50"/>
  <c r="V2208" i="37"/>
  <c r="J2208" i="37" s="1"/>
  <c r="J1559" i="50" s="1"/>
  <c r="J1563" i="50" s="1"/>
  <c r="J2206" i="37"/>
  <c r="J1556" i="50"/>
  <c r="AH264" i="37"/>
  <c r="AH265" i="37" s="1"/>
  <c r="AH267" i="37" s="1"/>
  <c r="AH255" i="37"/>
  <c r="AH257" i="37" s="1"/>
  <c r="AG1230" i="37"/>
  <c r="AG1231" i="37" s="1"/>
  <c r="AG1233" i="37" s="1"/>
  <c r="AG1221" i="37"/>
  <c r="AG1223" i="37" s="1"/>
  <c r="J997" i="50"/>
  <c r="J1025" i="50"/>
  <c r="J1008" i="50"/>
  <c r="J985" i="50"/>
  <c r="J989" i="50" s="1"/>
  <c r="J1036" i="50"/>
  <c r="J1043" i="50" s="1"/>
  <c r="J1050" i="50"/>
  <c r="N1021" i="50"/>
  <c r="Z1059" i="37"/>
  <c r="N1057" i="37"/>
  <c r="Z1057" i="37"/>
  <c r="N1058" i="37"/>
  <c r="H119" i="50"/>
  <c r="H1745" i="50"/>
  <c r="K1240" i="37"/>
  <c r="W1242" i="37"/>
  <c r="W1240" i="37"/>
  <c r="K1241" i="37"/>
  <c r="K1064" i="50"/>
  <c r="AC2544" i="37"/>
  <c r="AK2543" i="37"/>
  <c r="AK2552" i="37"/>
  <c r="AC2553" i="37"/>
  <c r="AK2553" i="37" s="1"/>
  <c r="N529" i="50"/>
  <c r="Z91" i="37"/>
  <c r="N531" i="50" s="1"/>
  <c r="N91" i="37"/>
  <c r="N530" i="50" s="1"/>
  <c r="N92" i="37"/>
  <c r="Z93" i="37" s="1"/>
  <c r="W1968" i="37"/>
  <c r="K1485" i="50"/>
  <c r="Y2320" i="37"/>
  <c r="M1668" i="50" s="1"/>
  <c r="M2321" i="37"/>
  <c r="Y2322" i="37" s="1"/>
  <c r="M2320" i="37"/>
  <c r="M1667" i="50" s="1"/>
  <c r="M1666" i="50"/>
  <c r="J1240" i="37"/>
  <c r="V1242" i="37"/>
  <c r="J1242" i="37" s="1"/>
  <c r="J1067" i="50" s="1"/>
  <c r="J1071" i="50" s="1"/>
  <c r="J1064" i="50"/>
  <c r="AF1815" i="37"/>
  <c r="AF1804" i="37"/>
  <c r="AF1816" i="37" s="1"/>
  <c r="AI1815" i="37"/>
  <c r="AI1804" i="37"/>
  <c r="AI1816" i="37" s="1"/>
  <c r="W2644" i="37"/>
  <c r="K2643" i="37"/>
  <c r="K2642" i="37"/>
  <c r="K1831" i="50" s="1"/>
  <c r="W2642" i="37"/>
  <c r="K1832" i="50" s="1"/>
  <c r="K1830" i="50"/>
  <c r="AK526" i="37"/>
  <c r="N302" i="41"/>
  <c r="N374" i="50"/>
  <c r="AL566" i="42"/>
  <c r="V1032" i="37"/>
  <c r="AK231" i="37"/>
  <c r="AK1492" i="37"/>
  <c r="X2025" i="37"/>
  <c r="L2023" i="37"/>
  <c r="AK908" i="37"/>
  <c r="AC909" i="37"/>
  <c r="I228" i="41"/>
  <c r="AK2488" i="37"/>
  <c r="AC2489" i="37"/>
  <c r="AA1099" i="37"/>
  <c r="Z1099" i="37" s="1"/>
  <c r="J414" i="37"/>
  <c r="N2023" i="37"/>
  <c r="Z2025" i="37"/>
  <c r="AK1858" i="37"/>
  <c r="AC1911" i="37"/>
  <c r="AK1911" i="37" s="1"/>
  <c r="AK892" i="37"/>
  <c r="AC945" i="37"/>
  <c r="AK945" i="37" s="1"/>
  <c r="AE2840" i="37"/>
  <c r="AE2841" i="37" s="1"/>
  <c r="AE2843" i="37" s="1"/>
  <c r="AE2831" i="37"/>
  <c r="AE2833" i="37" s="1"/>
  <c r="I120" i="50"/>
  <c r="I1909" i="50"/>
  <c r="AG516" i="37"/>
  <c r="AG528" i="37" s="1"/>
  <c r="AG527" i="37"/>
  <c r="AC2262" i="37"/>
  <c r="AC2263" i="37" s="1"/>
  <c r="AK2257" i="37"/>
  <c r="Z1998" i="37"/>
  <c r="N1503" i="50"/>
  <c r="AC849" i="37"/>
  <c r="AK837" i="37"/>
  <c r="AC838" i="37"/>
  <c r="J1194" i="50"/>
  <c r="J1195" i="50" s="1"/>
  <c r="J1384" i="37" s="1"/>
  <c r="J1386" i="37" s="1"/>
  <c r="J1387" i="37" s="1"/>
  <c r="J1243" i="50" s="1"/>
  <c r="AH204" i="37"/>
  <c r="AH193" i="37"/>
  <c r="AD838" i="37"/>
  <c r="AD850" i="37" s="1"/>
  <c r="AD849" i="37"/>
  <c r="L2321" i="37"/>
  <c r="X2322" i="37" s="1"/>
  <c r="L2320" i="37"/>
  <c r="L1667" i="50" s="1"/>
  <c r="X2320" i="37"/>
  <c r="L1668" i="50" s="1"/>
  <c r="L1666" i="50"/>
  <c r="AE2780" i="37"/>
  <c r="AE2769" i="37"/>
  <c r="AC790" i="42"/>
  <c r="AL790" i="42" s="1"/>
  <c r="AL787" i="42"/>
  <c r="V2612" i="37"/>
  <c r="AD193" i="37"/>
  <c r="AD204" i="37"/>
  <c r="AI1221" i="37"/>
  <c r="AI1223" i="37" s="1"/>
  <c r="AI1230" i="37"/>
  <c r="AI1231" i="37" s="1"/>
  <c r="AI1233" i="37" s="1"/>
  <c r="Y2642" i="37"/>
  <c r="M1832" i="50" s="1"/>
  <c r="M2643" i="37"/>
  <c r="Y2644" i="37"/>
  <c r="M2642" i="37"/>
  <c r="M1831" i="50" s="1"/>
  <c r="M1830" i="50"/>
  <c r="L1703" i="37"/>
  <c r="L1352" i="50" s="1"/>
  <c r="J302" i="41"/>
  <c r="J374" i="50"/>
  <c r="AL206" i="42"/>
  <c r="Y1968" i="37"/>
  <c r="M1485" i="50"/>
  <c r="W2347" i="37"/>
  <c r="K2347" i="37" s="1"/>
  <c r="K1680" i="50" s="1"/>
  <c r="K2345" i="37"/>
  <c r="W2345" i="37"/>
  <c r="K2346" i="37"/>
  <c r="AC1265" i="37"/>
  <c r="AK1265" i="37" s="1"/>
  <c r="AK1264" i="37"/>
  <c r="L302" i="41"/>
  <c r="L374" i="50"/>
  <c r="AC290" i="37"/>
  <c r="AK289" i="37"/>
  <c r="AE2196" i="37"/>
  <c r="AE2197" i="37" s="1"/>
  <c r="AE2199" i="37" s="1"/>
  <c r="AE2187" i="37"/>
  <c r="AE2189" i="37" s="1"/>
  <c r="AD527" i="37"/>
  <c r="AD516" i="37"/>
  <c r="AD528" i="37" s="1"/>
  <c r="AF2769" i="37"/>
  <c r="AF2780" i="37"/>
  <c r="AH516" i="37"/>
  <c r="AH528" i="37" s="1"/>
  <c r="AH527" i="37"/>
  <c r="H118" i="50"/>
  <c r="H1581" i="50"/>
  <c r="AF1170" i="37"/>
  <c r="AF1159" i="37"/>
  <c r="M2023" i="37"/>
  <c r="Y2025" i="37"/>
  <c r="V918" i="37"/>
  <c r="L421" i="50"/>
  <c r="L347" i="41"/>
  <c r="L432" i="50" s="1"/>
  <c r="AC2187" i="37"/>
  <c r="AC2196" i="37"/>
  <c r="AK2186" i="37"/>
  <c r="Y2345" i="37"/>
  <c r="M2345" i="37"/>
  <c r="Y2347" i="37"/>
  <c r="M2346" i="37"/>
  <c r="AC527" i="37"/>
  <c r="AK515" i="37"/>
  <c r="AC516" i="37"/>
  <c r="AK2901" i="37"/>
  <c r="AC2906" i="37"/>
  <c r="AC2907" i="37" s="1"/>
  <c r="K529" i="50"/>
  <c r="K91" i="37"/>
  <c r="K530" i="50" s="1"/>
  <c r="W91" i="37"/>
  <c r="K531" i="50" s="1"/>
  <c r="K92" i="37"/>
  <c r="W93" i="37" s="1"/>
  <c r="AI516" i="37"/>
  <c r="AI528" i="37" s="1"/>
  <c r="AI527" i="37"/>
  <c r="AI1170" i="37"/>
  <c r="AI1159" i="37"/>
  <c r="AK1481" i="37"/>
  <c r="AC1482" i="37"/>
  <c r="AC1493" i="37"/>
  <c r="AK1814" i="37"/>
  <c r="AC594" i="42"/>
  <c r="AL590" i="42"/>
  <c r="AC193" i="37"/>
  <c r="AK192" i="37"/>
  <c r="AC204" i="37"/>
  <c r="AC1589" i="37"/>
  <c r="AK1589" i="37" s="1"/>
  <c r="AK1536" i="37"/>
  <c r="AC2769" i="37"/>
  <c r="AC2780" i="37"/>
  <c r="AK2768" i="37"/>
  <c r="AE193" i="37"/>
  <c r="AE204" i="37"/>
  <c r="Y1998" i="37"/>
  <c r="M1503" i="50"/>
  <c r="AG264" i="37"/>
  <c r="AG265" i="37" s="1"/>
  <c r="AG267" i="37" s="1"/>
  <c r="AG255" i="37"/>
  <c r="AG257" i="37" s="1"/>
  <c r="AH1159" i="37"/>
  <c r="AH1170" i="37"/>
  <c r="AH1482" i="37"/>
  <c r="AH1494" i="37" s="1"/>
  <c r="AH1493" i="37"/>
  <c r="AE1159" i="37"/>
  <c r="AE1170" i="37"/>
  <c r="AH838" i="37"/>
  <c r="AH850" i="37" s="1"/>
  <c r="AH849" i="37"/>
  <c r="N2345" i="37"/>
  <c r="Z2347" i="37"/>
  <c r="Z2345" i="37"/>
  <c r="N2346" i="37"/>
  <c r="AH2187" i="37"/>
  <c r="AH2189" i="37" s="1"/>
  <c r="AH2196" i="37"/>
  <c r="AH2197" i="37" s="1"/>
  <c r="AH2199" i="37" s="1"/>
  <c r="N275" i="37"/>
  <c r="N274" i="37"/>
  <c r="N573" i="50" s="1"/>
  <c r="Z276" i="37"/>
  <c r="Z274" i="37"/>
  <c r="N574" i="50" s="1"/>
  <c r="N572" i="50"/>
  <c r="AK3091" i="37"/>
  <c r="AC3103" i="37"/>
  <c r="AC3092" i="37"/>
  <c r="AK1212" i="37"/>
  <c r="AC1214" i="37"/>
  <c r="AD1482" i="37"/>
  <c r="AD1494" i="37" s="1"/>
  <c r="AD1493" i="37"/>
  <c r="AI2769" i="37"/>
  <c r="AI2780" i="37"/>
  <c r="AK2500" i="37"/>
  <c r="AC2502" i="37"/>
  <c r="AF1493" i="37"/>
  <c r="AF1482" i="37"/>
  <c r="AF1494" i="37" s="1"/>
  <c r="V2290" i="37"/>
  <c r="J2291" i="37" s="1"/>
  <c r="V2292" i="37" s="1"/>
  <c r="J2292" i="37" s="1"/>
  <c r="AB457" i="37"/>
  <c r="AA457" i="37" s="1"/>
  <c r="Z457" i="37" s="1"/>
  <c r="AC458" i="37"/>
  <c r="AG849" i="37"/>
  <c r="AG838" i="37"/>
  <c r="AG850" i="37" s="1"/>
  <c r="AF264" i="37"/>
  <c r="AF265" i="37" s="1"/>
  <c r="AF267" i="37" s="1"/>
  <c r="AF255" i="37"/>
  <c r="AF257" i="37" s="1"/>
  <c r="M421" i="50"/>
  <c r="M347" i="41"/>
  <c r="M432" i="50" s="1"/>
  <c r="V2642" i="37"/>
  <c r="J1831" i="50"/>
  <c r="AF527" i="37"/>
  <c r="AF516" i="37"/>
  <c r="AF528" i="37" s="1"/>
  <c r="AG2509" i="37"/>
  <c r="AG2511" i="37" s="1"/>
  <c r="AG2518" i="37"/>
  <c r="AG2519" i="37" s="1"/>
  <c r="AG2521" i="37" s="1"/>
  <c r="AK1197" i="37"/>
  <c r="AD2780" i="37"/>
  <c r="AD2769" i="37"/>
  <c r="AI2447" i="37"/>
  <c r="AI2458" i="37"/>
  <c r="AC2180" i="37"/>
  <c r="AK2178" i="37"/>
  <c r="AF849" i="37"/>
  <c r="AF838" i="37"/>
  <c r="AF850" i="37" s="1"/>
  <c r="AK1158" i="37"/>
  <c r="AC1170" i="37"/>
  <c r="AC1159" i="37"/>
  <c r="AK1578" i="37"/>
  <c r="AC1580" i="37"/>
  <c r="AK1580" i="37" s="1"/>
  <c r="H374" i="50"/>
  <c r="H302" i="41"/>
  <c r="AC901" i="37"/>
  <c r="AK901" i="37" s="1"/>
  <c r="AK899" i="37"/>
  <c r="AI849" i="37"/>
  <c r="AI838" i="37"/>
  <c r="AI850" i="37" s="1"/>
  <c r="AK2485" i="37"/>
  <c r="AC1746" i="37"/>
  <c r="AB1745" i="37"/>
  <c r="AE516" i="37"/>
  <c r="AE528" i="37" s="1"/>
  <c r="AE527" i="37"/>
  <c r="AE2509" i="37"/>
  <c r="AE2511" i="37" s="1"/>
  <c r="AE2518" i="37"/>
  <c r="AE2519" i="37" s="1"/>
  <c r="AE2521" i="37" s="1"/>
  <c r="J1542" i="50"/>
  <c r="J1489" i="50"/>
  <c r="J1528" i="50"/>
  <c r="J1477" i="50"/>
  <c r="J1481" i="50" s="1"/>
  <c r="J1517" i="50"/>
  <c r="J1521" i="50" s="1"/>
  <c r="J1500" i="50"/>
  <c r="AF2831" i="37"/>
  <c r="AF2833" i="37" s="1"/>
  <c r="AF2840" i="37"/>
  <c r="AF2841" i="37" s="1"/>
  <c r="AF2843" i="37" s="1"/>
  <c r="AC1815" i="37"/>
  <c r="AK1803" i="37"/>
  <c r="AC1804" i="37"/>
  <c r="H115" i="50"/>
  <c r="H1089" i="50"/>
  <c r="AK203" i="37"/>
  <c r="L1021" i="50"/>
  <c r="L1057" i="37"/>
  <c r="X1059" i="37"/>
  <c r="L1058" i="37"/>
  <c r="X1057" i="37"/>
  <c r="AK1874" i="37"/>
  <c r="AC1875" i="37"/>
  <c r="AC3155" i="37"/>
  <c r="AK3155" i="37" s="1"/>
  <c r="AK3153" i="37"/>
  <c r="K274" i="37"/>
  <c r="K573" i="50" s="1"/>
  <c r="W274" i="37"/>
  <c r="K574" i="50" s="1"/>
  <c r="K275" i="37"/>
  <c r="W276" i="37" s="1"/>
  <c r="K572" i="50"/>
  <c r="AE1815" i="37"/>
  <c r="AE1804" i="37"/>
  <c r="AE1816" i="37" s="1"/>
  <c r="AG1482" i="37"/>
  <c r="AG1494" i="37" s="1"/>
  <c r="AG1493" i="37"/>
  <c r="AD2125" i="37"/>
  <c r="AD2136" i="37"/>
  <c r="AH3103" i="37"/>
  <c r="AH3092" i="37"/>
  <c r="AH3104" i="37" s="1"/>
  <c r="I302" i="41"/>
  <c r="I374" i="50"/>
  <c r="X2852" i="37"/>
  <c r="X2850" i="37"/>
  <c r="L2850" i="37"/>
  <c r="L2851" i="37"/>
  <c r="V2667" i="37"/>
  <c r="AL227" i="42"/>
  <c r="AC231" i="42"/>
  <c r="AK1255" i="37"/>
  <c r="AC1256" i="37"/>
  <c r="AC248" i="37"/>
  <c r="AK246" i="37"/>
  <c r="L2345" i="37"/>
  <c r="L2346" i="37"/>
  <c r="X2347" i="37"/>
  <c r="X2345" i="37"/>
  <c r="AK2865" i="37"/>
  <c r="AC2866" i="37"/>
  <c r="AG2447" i="37"/>
  <c r="AG2458" i="37"/>
  <c r="AC2125" i="37"/>
  <c r="AK2124" i="37"/>
  <c r="AC2136" i="37"/>
  <c r="AG2840" i="37"/>
  <c r="AG2841" i="37" s="1"/>
  <c r="AG2843" i="37" s="1"/>
  <c r="AG2831" i="37"/>
  <c r="AG2833" i="37" s="1"/>
  <c r="AC724" i="42"/>
  <c r="AB724" i="42" s="1"/>
  <c r="AD723" i="42"/>
  <c r="AD724" i="42"/>
  <c r="AC726" i="42"/>
  <c r="AB726" i="42" s="1"/>
  <c r="AC723" i="42"/>
  <c r="AB723" i="42" s="1"/>
  <c r="AD725" i="42"/>
  <c r="AD732" i="42"/>
  <c r="AD726" i="42"/>
  <c r="AC732" i="42"/>
  <c r="AB732" i="42" s="1"/>
  <c r="AD731" i="42"/>
  <c r="AC725" i="42"/>
  <c r="AB725" i="42" s="1"/>
  <c r="AC731" i="42"/>
  <c r="AB731" i="42" s="1"/>
  <c r="J421" i="50"/>
  <c r="J347" i="41"/>
  <c r="J432" i="50" s="1"/>
  <c r="W2320" i="37"/>
  <c r="K1668" i="50" s="1"/>
  <c r="K2320" i="37"/>
  <c r="K1667" i="50" s="1"/>
  <c r="K2321" i="37"/>
  <c r="W2322" i="37" s="1"/>
  <c r="K1666" i="50"/>
  <c r="AK1200" i="37"/>
  <c r="AC1201" i="37"/>
  <c r="AG1170" i="37"/>
  <c r="AG1159" i="37"/>
  <c r="AC471" i="42"/>
  <c r="AL467" i="42"/>
  <c r="X2644" i="37"/>
  <c r="L2642" i="37"/>
  <c r="L1831" i="50" s="1"/>
  <c r="X2642" i="37"/>
  <c r="L1832" i="50" s="1"/>
  <c r="L2643" i="37"/>
  <c r="L1830" i="50"/>
  <c r="AD2196" i="37"/>
  <c r="AD2197" i="37" s="1"/>
  <c r="AD2199" i="37" s="1"/>
  <c r="AD2187" i="37"/>
  <c r="AD2189" i="37" s="1"/>
  <c r="AL974" i="42"/>
  <c r="AC977" i="42"/>
  <c r="AL977" i="42" s="1"/>
  <c r="L598" i="37"/>
  <c r="L739" i="50" s="1"/>
  <c r="AH2780" i="37"/>
  <c r="AH2769" i="37"/>
  <c r="AF204" i="37"/>
  <c r="AF193" i="37"/>
  <c r="AH1230" i="37"/>
  <c r="AH1231" i="37" s="1"/>
  <c r="AH1233" i="37" s="1"/>
  <c r="AH1221" i="37"/>
  <c r="AH1223" i="37" s="1"/>
  <c r="M274" i="37"/>
  <c r="M573" i="50" s="1"/>
  <c r="Y274" i="37"/>
  <c r="M574" i="50" s="1"/>
  <c r="M275" i="37"/>
  <c r="Y276" i="37" s="1"/>
  <c r="M572" i="50"/>
  <c r="AH2831" i="37"/>
  <c r="AH2833" i="37" s="1"/>
  <c r="AH2840" i="37"/>
  <c r="AH2841" i="37" s="1"/>
  <c r="AH2843" i="37" s="1"/>
  <c r="X2530" i="37"/>
  <c r="L2528" i="37"/>
  <c r="L2529" i="37"/>
  <c r="X2528" i="37"/>
  <c r="L1720" i="50"/>
  <c r="AC1867" i="37"/>
  <c r="AK1867" i="37" s="1"/>
  <c r="AK1865" i="37"/>
  <c r="J2990" i="37"/>
  <c r="V2991" i="37" s="1"/>
  <c r="J2991" i="37" s="1"/>
  <c r="J2008" i="50" s="1"/>
  <c r="J2013" i="50" s="1"/>
  <c r="J2014" i="50" s="1"/>
  <c r="J2015" i="50" s="1"/>
  <c r="J2994" i="37" s="1"/>
  <c r="J2996" i="37" s="1"/>
  <c r="J2997" i="37" s="1"/>
  <c r="J2063" i="50" s="1"/>
  <c r="AK2779" i="37"/>
  <c r="AD255" i="37"/>
  <c r="AD257" i="37" s="1"/>
  <c r="AD264" i="37"/>
  <c r="AD265" i="37" s="1"/>
  <c r="AD267" i="37" s="1"/>
  <c r="AF1221" i="37"/>
  <c r="AF1223" i="37" s="1"/>
  <c r="AF1230" i="37"/>
  <c r="AF1231" i="37" s="1"/>
  <c r="AF1233" i="37" s="1"/>
  <c r="AK2163" i="37"/>
  <c r="J736" i="37"/>
  <c r="AL230" i="42"/>
  <c r="AC234" i="42"/>
  <c r="J1969" i="37"/>
  <c r="V1970" i="37" s="1"/>
  <c r="J1970" i="37" s="1"/>
  <c r="AK3146" i="37"/>
  <c r="AC3199" i="37"/>
  <c r="AK3199" i="37" s="1"/>
  <c r="L628" i="42"/>
  <c r="AK1220" i="37"/>
  <c r="AC1221" i="37"/>
  <c r="AC1230" i="37"/>
  <c r="AC264" i="37"/>
  <c r="AC255" i="37"/>
  <c r="AK254" i="37"/>
  <c r="AK2822" i="37"/>
  <c r="AC2824" i="37"/>
  <c r="J2850" i="37"/>
  <c r="J1884" i="50"/>
  <c r="AI1482" i="37"/>
  <c r="AI1494" i="37" s="1"/>
  <c r="AI1493" i="37"/>
  <c r="AK2135" i="37"/>
  <c r="AK934" i="37"/>
  <c r="AC936" i="37"/>
  <c r="AK936" i="37" s="1"/>
  <c r="K1032" i="37"/>
  <c r="K1011" i="50" s="1"/>
  <c r="W1032" i="37"/>
  <c r="K1012" i="50" s="1"/>
  <c r="K1033" i="37"/>
  <c r="W1034" i="37" s="1"/>
  <c r="K1010" i="50"/>
  <c r="N421" i="50"/>
  <c r="N347" i="41"/>
  <c r="N432" i="50" s="1"/>
  <c r="AH1804" i="37"/>
  <c r="AH1816" i="37" s="1"/>
  <c r="AH1815" i="37"/>
  <c r="AF3092" i="37"/>
  <c r="AF3104" i="37" s="1"/>
  <c r="AF3103" i="37"/>
  <c r="AG193" i="37"/>
  <c r="AG204" i="37"/>
  <c r="AH2125" i="37"/>
  <c r="AH2136" i="37"/>
  <c r="AK1169" i="37"/>
  <c r="L1032" i="37"/>
  <c r="L1011" i="50" s="1"/>
  <c r="X1032" i="37"/>
  <c r="L1012" i="50" s="1"/>
  <c r="L1033" i="37"/>
  <c r="X1034" i="37" s="1"/>
  <c r="L1010" i="50"/>
  <c r="AC1902" i="37"/>
  <c r="AK1902" i="37" s="1"/>
  <c r="AK1900" i="37"/>
  <c r="Y2530" i="37"/>
  <c r="Y2528" i="37"/>
  <c r="M2528" i="37"/>
  <c r="M2529" i="37"/>
  <c r="M1720" i="50"/>
  <c r="V1002" i="37"/>
  <c r="V36" i="37"/>
  <c r="J1563" i="37"/>
  <c r="V2023" i="37"/>
  <c r="AA2709" i="37"/>
  <c r="Z2709" i="37" s="1"/>
  <c r="K223" i="47"/>
  <c r="M1564" i="37"/>
  <c r="M1231" i="50" s="1"/>
  <c r="N1240" i="37"/>
  <c r="N1241" i="37"/>
  <c r="Z1240" i="37"/>
  <c r="Z1242" i="37"/>
  <c r="N1064" i="50"/>
  <c r="K920" i="37"/>
  <c r="K903" i="50" s="1"/>
  <c r="AH2518" i="37"/>
  <c r="AH2519" i="37" s="1"/>
  <c r="AH2521" i="37" s="1"/>
  <c r="AH2509" i="37"/>
  <c r="AH2511" i="37" s="1"/>
  <c r="AF2447" i="37"/>
  <c r="AF2458" i="37"/>
  <c r="AC3163" i="37"/>
  <c r="AK3162" i="37"/>
  <c r="AK577" i="37"/>
  <c r="AC579" i="37"/>
  <c r="AK579" i="37" s="1"/>
  <c r="AC2167" i="37"/>
  <c r="AK2166" i="37"/>
  <c r="AE1482" i="37"/>
  <c r="AE1494" i="37" s="1"/>
  <c r="AE1493" i="37"/>
  <c r="AI2831" i="37"/>
  <c r="AI2833" i="37" s="1"/>
  <c r="AI2840" i="37"/>
  <c r="AI2841" i="37" s="1"/>
  <c r="AI2843" i="37" s="1"/>
  <c r="AA2387" i="37"/>
  <c r="Z2387" i="37" s="1"/>
  <c r="AC3034" i="37"/>
  <c r="AB3033" i="37"/>
  <c r="AH2447" i="37"/>
  <c r="AH2458" i="37"/>
  <c r="K2206" i="37"/>
  <c r="W2206" i="37" s="1"/>
  <c r="W2208" i="37"/>
  <c r="AK570" i="37"/>
  <c r="AC623" i="37"/>
  <c r="AK623" i="37" s="1"/>
  <c r="I169" i="42"/>
  <c r="S2155" i="50" s="1"/>
  <c r="I2155" i="50" s="1"/>
  <c r="L1678" i="50" l="1"/>
  <c r="L1557" i="50"/>
  <c r="L1885" i="50"/>
  <c r="L1022" i="50"/>
  <c r="J2343" i="50"/>
  <c r="J2007" i="50"/>
  <c r="J695" i="50"/>
  <c r="K1678" i="50"/>
  <c r="M1678" i="50"/>
  <c r="N1679" i="50"/>
  <c r="J1557" i="50"/>
  <c r="L1722" i="50"/>
  <c r="L1886" i="50"/>
  <c r="J1065" i="50"/>
  <c r="J1885" i="50"/>
  <c r="J1721" i="50"/>
  <c r="M695" i="50"/>
  <c r="M2007" i="50"/>
  <c r="M1679" i="50"/>
  <c r="J1679" i="50"/>
  <c r="J859" i="50"/>
  <c r="M1721" i="50"/>
  <c r="N1065" i="50"/>
  <c r="K1065" i="50"/>
  <c r="L1065" i="50"/>
  <c r="N1066" i="50"/>
  <c r="L1721" i="50"/>
  <c r="L737" i="50"/>
  <c r="L1229" i="50"/>
  <c r="N1022" i="50"/>
  <c r="N1557" i="50"/>
  <c r="L901" i="50"/>
  <c r="N1394" i="50"/>
  <c r="L902" i="50"/>
  <c r="L694" i="50"/>
  <c r="K1885" i="50"/>
  <c r="M1557" i="50"/>
  <c r="N1722" i="50"/>
  <c r="K1721" i="50"/>
  <c r="K1393" i="50"/>
  <c r="K1187" i="50"/>
  <c r="N1886" i="50"/>
  <c r="K695" i="50"/>
  <c r="L1558" i="50"/>
  <c r="K1842" i="50"/>
  <c r="K1022" i="50"/>
  <c r="M1722" i="50"/>
  <c r="K1679" i="50"/>
  <c r="N1023" i="50"/>
  <c r="J1351" i="50"/>
  <c r="M859" i="50"/>
  <c r="N694" i="50"/>
  <c r="M694" i="50"/>
  <c r="K859" i="50"/>
  <c r="L1186" i="50"/>
  <c r="K1350" i="50"/>
  <c r="M1230" i="50"/>
  <c r="K2007" i="50"/>
  <c r="N738" i="50"/>
  <c r="M2050" i="50"/>
  <c r="N2050" i="50"/>
  <c r="N901" i="50"/>
  <c r="K737" i="50"/>
  <c r="K1066" i="50"/>
  <c r="N1721" i="50"/>
  <c r="K1229" i="50"/>
  <c r="L859" i="50"/>
  <c r="M901" i="50"/>
  <c r="N2007" i="50"/>
  <c r="L1843" i="50"/>
  <c r="L1393" i="50"/>
  <c r="M738" i="50"/>
  <c r="L1351" i="50"/>
  <c r="M1394" i="50"/>
  <c r="K2006" i="50"/>
  <c r="M1187" i="50"/>
  <c r="K858" i="50"/>
  <c r="N1229" i="50"/>
  <c r="L1187" i="50"/>
  <c r="K694" i="50"/>
  <c r="K1023" i="50"/>
  <c r="K1722" i="50"/>
  <c r="M1350" i="50"/>
  <c r="L1230" i="50"/>
  <c r="K902" i="50"/>
  <c r="L2007" i="50"/>
  <c r="L2049" i="50"/>
  <c r="N1230" i="50"/>
  <c r="N695" i="50"/>
  <c r="K1394" i="50"/>
  <c r="K2050" i="50"/>
  <c r="N2006" i="50"/>
  <c r="N1843" i="50"/>
  <c r="N737" i="50"/>
  <c r="M1886" i="50"/>
  <c r="N902" i="50"/>
  <c r="M1885" i="50"/>
  <c r="L1842" i="50"/>
  <c r="K1886" i="50"/>
  <c r="K738" i="50"/>
  <c r="K1230" i="50"/>
  <c r="K1843" i="50"/>
  <c r="M1558" i="50"/>
  <c r="J573" i="50"/>
  <c r="J1229" i="50"/>
  <c r="K2049" i="50"/>
  <c r="N1885" i="50"/>
  <c r="L738" i="50"/>
  <c r="N1842" i="50"/>
  <c r="M902" i="50"/>
  <c r="L1350" i="50"/>
  <c r="N1186" i="50"/>
  <c r="J901" i="50"/>
  <c r="N1393" i="50"/>
  <c r="L1394" i="50"/>
  <c r="M1842" i="50"/>
  <c r="J1393" i="50"/>
  <c r="L695" i="50"/>
  <c r="N1350" i="50"/>
  <c r="L1679" i="50"/>
  <c r="N1678" i="50"/>
  <c r="M1066" i="50"/>
  <c r="M1065" i="50"/>
  <c r="M1023" i="50"/>
  <c r="L2006" i="50"/>
  <c r="N1351" i="50"/>
  <c r="K1351" i="50"/>
  <c r="M1843" i="50"/>
  <c r="N859" i="50"/>
  <c r="J2049" i="50"/>
  <c r="L2050" i="50"/>
  <c r="N1187" i="50"/>
  <c r="M1186" i="50"/>
  <c r="M858" i="50"/>
  <c r="K1186" i="50"/>
  <c r="L1023" i="50"/>
  <c r="N1558" i="50"/>
  <c r="M1022" i="50"/>
  <c r="J1023" i="50"/>
  <c r="N858" i="50"/>
  <c r="L858" i="50"/>
  <c r="M1351" i="50"/>
  <c r="M737" i="50"/>
  <c r="M1229" i="50"/>
  <c r="K901" i="50"/>
  <c r="M2049" i="50"/>
  <c r="M2006" i="50"/>
  <c r="M1393" i="50"/>
  <c r="N2049" i="50"/>
  <c r="L1886" i="37"/>
  <c r="L1395" i="50" s="1"/>
  <c r="M1381" i="37"/>
  <c r="K899" i="50"/>
  <c r="K712" i="37"/>
  <c r="K849" i="50" s="1"/>
  <c r="K885" i="50"/>
  <c r="K832" i="50"/>
  <c r="K843" i="50"/>
  <c r="T899" i="42"/>
  <c r="AC918" i="42" s="1"/>
  <c r="AB918" i="42" s="1"/>
  <c r="K707" i="50"/>
  <c r="K1648" i="37"/>
  <c r="H246" i="41"/>
  <c r="H402" i="41" s="1"/>
  <c r="H349" i="50" s="1"/>
  <c r="H245" i="41"/>
  <c r="H401" i="41" s="1"/>
  <c r="H348" i="50" s="1"/>
  <c r="H244" i="41"/>
  <c r="H400" i="41" s="1"/>
  <c r="H347" i="50" s="1"/>
  <c r="J597" i="37"/>
  <c r="J603" i="37" s="1"/>
  <c r="K720" i="50"/>
  <c r="K706" i="50"/>
  <c r="K678" i="50"/>
  <c r="K687" i="50" s="1"/>
  <c r="K688" i="50" s="1"/>
  <c r="K689" i="50" s="1"/>
  <c r="K393" i="37" s="1"/>
  <c r="K395" i="37" s="1"/>
  <c r="K396" i="37" s="1"/>
  <c r="AK396" i="37" s="1"/>
  <c r="J756" i="50"/>
  <c r="K655" i="50"/>
  <c r="K692" i="50"/>
  <c r="M415" i="37"/>
  <c r="M696" i="50" s="1"/>
  <c r="L2347" i="37"/>
  <c r="L1680" i="50" s="1"/>
  <c r="K1514" i="50"/>
  <c r="K863" i="50"/>
  <c r="K884" i="50"/>
  <c r="K735" i="50"/>
  <c r="K743" i="50" s="1"/>
  <c r="K679" i="50"/>
  <c r="K668" i="50"/>
  <c r="K656" i="50"/>
  <c r="K871" i="50"/>
  <c r="K842" i="50"/>
  <c r="K819" i="50"/>
  <c r="K2208" i="37"/>
  <c r="K1559" i="50" s="1"/>
  <c r="K877" i="50"/>
  <c r="K835" i="50"/>
  <c r="J1891" i="37"/>
  <c r="K898" i="50"/>
  <c r="J1657" i="50"/>
  <c r="J1658" i="50" s="1"/>
  <c r="J1659" i="50" s="1"/>
  <c r="J2295" i="37" s="1"/>
  <c r="J2297" i="37" s="1"/>
  <c r="J2298" i="37" s="1"/>
  <c r="J1734" i="50" s="1"/>
  <c r="M737" i="37"/>
  <c r="M860" i="50" s="1"/>
  <c r="K905" i="50"/>
  <c r="K823" i="50"/>
  <c r="J2341" i="50"/>
  <c r="R2342" i="50" s="1"/>
  <c r="J2342" i="50" s="1"/>
  <c r="J925" i="37"/>
  <c r="J920" i="50"/>
  <c r="K2439" i="50"/>
  <c r="K2440" i="50" s="1"/>
  <c r="K856" i="50"/>
  <c r="L712" i="37"/>
  <c r="K1001" i="42"/>
  <c r="J1058" i="37"/>
  <c r="V1059" i="37" s="1"/>
  <c r="J1059" i="37" s="1"/>
  <c r="J1024" i="50" s="1"/>
  <c r="J1029" i="50" s="1"/>
  <c r="J1030" i="50" s="1"/>
  <c r="J1031" i="50" s="1"/>
  <c r="J1062" i="37" s="1"/>
  <c r="J1064" i="37" s="1"/>
  <c r="J1065" i="37" s="1"/>
  <c r="J1079" i="50" s="1"/>
  <c r="J2346" i="37"/>
  <c r="AL726" i="42"/>
  <c r="L2025" i="37"/>
  <c r="L1516" i="50" s="1"/>
  <c r="J1100" i="42"/>
  <c r="V1101" i="42" s="1"/>
  <c r="J1101" i="42" s="1"/>
  <c r="J2485" i="50" s="1"/>
  <c r="J2486" i="50" s="1"/>
  <c r="J2487" i="50" s="1"/>
  <c r="J2488" i="50" s="1"/>
  <c r="J1104" i="42" s="1"/>
  <c r="J1106" i="42" s="1"/>
  <c r="J1107" i="42" s="1"/>
  <c r="J2493" i="50" s="1"/>
  <c r="M1886" i="37"/>
  <c r="M1395" i="50" s="1"/>
  <c r="M598" i="37"/>
  <c r="M739" i="50" s="1"/>
  <c r="J1493" i="50"/>
  <c r="J1494" i="50" s="1"/>
  <c r="J1495" i="50" s="1"/>
  <c r="J1973" i="37" s="1"/>
  <c r="J1975" i="37" s="1"/>
  <c r="J1976" i="37" s="1"/>
  <c r="J1570" i="50" s="1"/>
  <c r="M1703" i="37"/>
  <c r="M1352" i="50" s="1"/>
  <c r="K1557" i="50"/>
  <c r="K2292" i="37"/>
  <c r="L3174" i="37"/>
  <c r="AK3103" i="37"/>
  <c r="V1240" i="37"/>
  <c r="V2528" i="37"/>
  <c r="J2390" i="50"/>
  <c r="J2391" i="50" s="1"/>
  <c r="J2392" i="50" s="1"/>
  <c r="J2393" i="50" s="1"/>
  <c r="J935" i="42" s="1"/>
  <c r="K815" i="42"/>
  <c r="J1072" i="50"/>
  <c r="J1073" i="50" s="1"/>
  <c r="J1245" i="37" s="1"/>
  <c r="J1248" i="37" s="1"/>
  <c r="J1080" i="50" s="1"/>
  <c r="J1728" i="50"/>
  <c r="J1729" i="50" s="1"/>
  <c r="J2533" i="37" s="1"/>
  <c r="J2536" i="37" s="1"/>
  <c r="J1736" i="50" s="1"/>
  <c r="K2936" i="37"/>
  <c r="J1220" i="50"/>
  <c r="J1221" i="50" s="1"/>
  <c r="J1222" i="50" s="1"/>
  <c r="J1223" i="50" s="1"/>
  <c r="J407" i="47"/>
  <c r="J1247" i="50" s="1"/>
  <c r="K401" i="47"/>
  <c r="V2206" i="37"/>
  <c r="L360" i="37"/>
  <c r="AG2459" i="37"/>
  <c r="AG2448" i="37"/>
  <c r="AG2460" i="37" s="1"/>
  <c r="AH2126" i="37"/>
  <c r="AH2138" i="37" s="1"/>
  <c r="AH2137" i="37"/>
  <c r="AC257" i="37"/>
  <c r="AK257" i="37" s="1"/>
  <c r="AK255" i="37"/>
  <c r="L2333" i="50"/>
  <c r="L2334" i="50" s="1"/>
  <c r="M628" i="42"/>
  <c r="AL725" i="42"/>
  <c r="AK1815" i="37"/>
  <c r="AA1745" i="37"/>
  <c r="Z1745" i="37" s="1"/>
  <c r="AK3092" i="37"/>
  <c r="AC3104" i="37"/>
  <c r="AK3104" i="37" s="1"/>
  <c r="J1522" i="50"/>
  <c r="J1523" i="50" s="1"/>
  <c r="J2028" i="37" s="1"/>
  <c r="J2030" i="37" s="1"/>
  <c r="J2031" i="37" s="1"/>
  <c r="J1571" i="50" s="1"/>
  <c r="M1999" i="37"/>
  <c r="Y2000" i="37" s="1"/>
  <c r="M1504" i="50"/>
  <c r="AK204" i="37"/>
  <c r="J1412" i="50"/>
  <c r="Y2023" i="37"/>
  <c r="M1514" i="50"/>
  <c r="AK849" i="37"/>
  <c r="L682" i="37"/>
  <c r="K669" i="50"/>
  <c r="K657" i="50"/>
  <c r="K661" i="50" s="1"/>
  <c r="K680" i="50"/>
  <c r="K708" i="50"/>
  <c r="K697" i="50"/>
  <c r="K722" i="50"/>
  <c r="AC1102" i="37"/>
  <c r="AB1101" i="37"/>
  <c r="AA1101" i="37" s="1"/>
  <c r="Z1101" i="37" s="1"/>
  <c r="J1885" i="37"/>
  <c r="AK2509" i="37"/>
  <c r="AC2511" i="37"/>
  <c r="AK2511" i="37" s="1"/>
  <c r="J1569" i="37"/>
  <c r="J1570" i="37"/>
  <c r="J1244" i="50" s="1"/>
  <c r="AC2841" i="37"/>
  <c r="AK2840" i="37"/>
  <c r="V1003" i="37"/>
  <c r="AG194" i="37"/>
  <c r="AG206" i="37" s="1"/>
  <c r="AG205" i="37"/>
  <c r="J919" i="37"/>
  <c r="J1564" i="50"/>
  <c r="J1565" i="50" s="1"/>
  <c r="J2211" i="37" s="1"/>
  <c r="AA3033" i="37"/>
  <c r="Z3033" i="37" s="1"/>
  <c r="J2024" i="37"/>
  <c r="J1515" i="50"/>
  <c r="AC1231" i="37"/>
  <c r="AK1230" i="37"/>
  <c r="H494" i="42"/>
  <c r="AL732" i="42"/>
  <c r="AL724" i="42"/>
  <c r="AC2868" i="37"/>
  <c r="AK2868" i="37" s="1"/>
  <c r="AK2866" i="37"/>
  <c r="AC2233" i="37"/>
  <c r="AK2233" i="37" s="1"/>
  <c r="AK2180" i="37"/>
  <c r="AE194" i="37"/>
  <c r="AE206" i="37" s="1"/>
  <c r="AE205" i="37"/>
  <c r="AC194" i="37"/>
  <c r="AC205" i="37"/>
  <c r="AK193" i="37"/>
  <c r="AK516" i="37"/>
  <c r="AC528" i="37"/>
  <c r="AK528" i="37" s="1"/>
  <c r="AC2197" i="37"/>
  <c r="AK2196" i="37"/>
  <c r="V2291" i="37"/>
  <c r="AE2770" i="37"/>
  <c r="AE2782" i="37" s="1"/>
  <c r="AE2781" i="37"/>
  <c r="N1999" i="37"/>
  <c r="Z2000" i="37" s="1"/>
  <c r="N1504" i="50"/>
  <c r="AB135" i="37"/>
  <c r="AA135" i="37" s="1"/>
  <c r="Z135" i="37" s="1"/>
  <c r="AC136" i="37"/>
  <c r="AC2224" i="37"/>
  <c r="AK2224" i="37" s="1"/>
  <c r="AK2222" i="37"/>
  <c r="AE2137" i="37"/>
  <c r="AE2126" i="37"/>
  <c r="AE2138" i="37" s="1"/>
  <c r="K2991" i="37"/>
  <c r="AF2137" i="37"/>
  <c r="AF2126" i="37"/>
  <c r="AF2138" i="37" s="1"/>
  <c r="AH2448" i="37"/>
  <c r="AH2460" i="37" s="1"/>
  <c r="AH2459" i="37"/>
  <c r="H257" i="42"/>
  <c r="L391" i="50"/>
  <c r="L351" i="41"/>
  <c r="AD1160" i="37"/>
  <c r="AD1172" i="37" s="1"/>
  <c r="AD1171" i="37"/>
  <c r="AI2137" i="37"/>
  <c r="AI2126" i="37"/>
  <c r="AI2138" i="37" s="1"/>
  <c r="AC2519" i="37"/>
  <c r="AK2518" i="37"/>
  <c r="AC2390" i="37"/>
  <c r="AB2389" i="37"/>
  <c r="AC589" i="37"/>
  <c r="AK589" i="37" s="1"/>
  <c r="AK587" i="37"/>
  <c r="K2024" i="37"/>
  <c r="K1515" i="50"/>
  <c r="AL468" i="42"/>
  <c r="AC472" i="42"/>
  <c r="AB3034" i="37"/>
  <c r="AA3034" i="37" s="1"/>
  <c r="Z3034" i="37" s="1"/>
  <c r="AC3035" i="37"/>
  <c r="AF2459" i="37"/>
  <c r="AF2448" i="37"/>
  <c r="AF2460" i="37" s="1"/>
  <c r="AC1223" i="37"/>
  <c r="AK1223" i="37" s="1"/>
  <c r="AK1221" i="37"/>
  <c r="H20" i="42"/>
  <c r="AC301" i="37"/>
  <c r="AK301" i="37" s="1"/>
  <c r="AK248" i="37"/>
  <c r="J1843" i="50"/>
  <c r="J2668" i="37"/>
  <c r="V2669" i="37" s="1"/>
  <c r="J2669" i="37" s="1"/>
  <c r="J1844" i="50" s="1"/>
  <c r="J1849" i="50" s="1"/>
  <c r="J1850" i="50" s="1"/>
  <c r="J1851" i="50" s="1"/>
  <c r="J2672" i="37" s="1"/>
  <c r="J2674" i="37" s="1"/>
  <c r="J2675" i="37" s="1"/>
  <c r="J1899" i="50" s="1"/>
  <c r="AK1159" i="37"/>
  <c r="AC1160" i="37"/>
  <c r="AC1171" i="37"/>
  <c r="AB458" i="37"/>
  <c r="AA458" i="37" s="1"/>
  <c r="Z458" i="37" s="1"/>
  <c r="AC459" i="37"/>
  <c r="K2326" i="50"/>
  <c r="K2327" i="50" s="1"/>
  <c r="K2335" i="50" s="1"/>
  <c r="K2336" i="50" s="1"/>
  <c r="K748" i="42" s="1"/>
  <c r="J2349" i="50"/>
  <c r="J2537" i="50" s="1"/>
  <c r="J2580" i="50" s="1"/>
  <c r="J2602" i="50" s="1"/>
  <c r="AH1160" i="37"/>
  <c r="AH1172" i="37" s="1"/>
  <c r="AH1171" i="37"/>
  <c r="AK1493" i="37"/>
  <c r="AC2189" i="37"/>
  <c r="AK2189" i="37" s="1"/>
  <c r="AK2187" i="37"/>
  <c r="AH205" i="37"/>
  <c r="AH194" i="37"/>
  <c r="AH206" i="37" s="1"/>
  <c r="Z2023" i="37"/>
  <c r="N1514" i="50"/>
  <c r="I245" i="41"/>
  <c r="I401" i="41" s="1"/>
  <c r="I343" i="50"/>
  <c r="I246" i="41"/>
  <c r="I402" i="41" s="1"/>
  <c r="I244" i="41"/>
  <c r="I400" i="41" s="1"/>
  <c r="K1335" i="50"/>
  <c r="K1312" i="50"/>
  <c r="K1363" i="50"/>
  <c r="K1391" i="50"/>
  <c r="K1377" i="50"/>
  <c r="K1324" i="50"/>
  <c r="J1325" i="37"/>
  <c r="V1326" i="37" s="1"/>
  <c r="J1326" i="37" s="1"/>
  <c r="AD2459" i="37"/>
  <c r="AD2448" i="37"/>
  <c r="AD2460" i="37" s="1"/>
  <c r="AK2458" i="37"/>
  <c r="AB2711" i="37"/>
  <c r="AC2712" i="37"/>
  <c r="AG2137" i="37"/>
  <c r="AG2126" i="37"/>
  <c r="AG2138" i="37" s="1"/>
  <c r="AE2459" i="37"/>
  <c r="AE2448" i="37"/>
  <c r="AE2460" i="37" s="1"/>
  <c r="K1980" i="50"/>
  <c r="K2019" i="50"/>
  <c r="K2033" i="50"/>
  <c r="K2047" i="50"/>
  <c r="K1968" i="50"/>
  <c r="K1991" i="50"/>
  <c r="AC2555" i="37"/>
  <c r="AK2555" i="37" s="1"/>
  <c r="AK2502" i="37"/>
  <c r="AC475" i="42"/>
  <c r="AL471" i="42"/>
  <c r="AK1256" i="37"/>
  <c r="AC1258" i="37"/>
  <c r="AK1258" i="37" s="1"/>
  <c r="AK1170" i="37"/>
  <c r="AI2459" i="37"/>
  <c r="AI2448" i="37"/>
  <c r="AI2460" i="37" s="1"/>
  <c r="AI2770" i="37"/>
  <c r="AI2782" i="37" s="1"/>
  <c r="AI2781" i="37"/>
  <c r="AK2780" i="37"/>
  <c r="AL594" i="42"/>
  <c r="AC598" i="42"/>
  <c r="AC1494" i="37"/>
  <c r="AK1494" i="37" s="1"/>
  <c r="AK1482" i="37"/>
  <c r="AK527" i="37"/>
  <c r="J391" i="50"/>
  <c r="J351" i="41"/>
  <c r="AC911" i="37"/>
  <c r="AK911" i="37" s="1"/>
  <c r="AK909" i="37"/>
  <c r="J1999" i="37"/>
  <c r="V2000" i="37" s="1"/>
  <c r="J2000" i="37" s="1"/>
  <c r="J1504" i="50"/>
  <c r="AC595" i="42"/>
  <c r="AL591" i="42"/>
  <c r="AB780" i="37"/>
  <c r="AC781" i="37"/>
  <c r="AK2447" i="37"/>
  <c r="AC2448" i="37"/>
  <c r="AC2459" i="37"/>
  <c r="K886" i="50"/>
  <c r="K872" i="50"/>
  <c r="K821" i="50"/>
  <c r="K844" i="50"/>
  <c r="K833" i="50"/>
  <c r="K861" i="50"/>
  <c r="AC3165" i="37"/>
  <c r="AK3165" i="37" s="1"/>
  <c r="AK3163" i="37"/>
  <c r="AF194" i="37"/>
  <c r="AF206" i="37" s="1"/>
  <c r="AF205" i="37"/>
  <c r="I391" i="50"/>
  <c r="I351" i="41"/>
  <c r="V37" i="37"/>
  <c r="J830" i="50" s="1"/>
  <c r="V2850" i="37"/>
  <c r="AG1171" i="37"/>
  <c r="AG1160" i="37"/>
  <c r="AG1172" i="37" s="1"/>
  <c r="AK2136" i="37"/>
  <c r="AD2137" i="37"/>
  <c r="AD2126" i="37"/>
  <c r="AD2138" i="37" s="1"/>
  <c r="AD2770" i="37"/>
  <c r="AD2782" i="37" s="1"/>
  <c r="AD2781" i="37"/>
  <c r="J1832" i="50"/>
  <c r="J2643" i="37"/>
  <c r="V2644" i="37" s="1"/>
  <c r="J2644" i="37" s="1"/>
  <c r="J1833" i="50" s="1"/>
  <c r="J1835" i="50" s="1"/>
  <c r="J1836" i="50" s="1"/>
  <c r="J1837" i="50" s="1"/>
  <c r="J2647" i="37" s="1"/>
  <c r="J2649" i="37" s="1"/>
  <c r="J2650" i="37" s="1"/>
  <c r="J1902" i="50" s="1"/>
  <c r="AE1160" i="37"/>
  <c r="AE1172" i="37" s="1"/>
  <c r="AE1171" i="37"/>
  <c r="AC2781" i="37"/>
  <c r="AK2769" i="37"/>
  <c r="AC2770" i="37"/>
  <c r="K1199" i="50"/>
  <c r="K1213" i="50"/>
  <c r="K1227" i="50"/>
  <c r="K1160" i="50"/>
  <c r="K1171" i="50"/>
  <c r="K1148" i="50"/>
  <c r="J1012" i="50"/>
  <c r="J1033" i="37"/>
  <c r="V1034" i="37" s="1"/>
  <c r="J1034" i="37" s="1"/>
  <c r="J1013" i="50" s="1"/>
  <c r="J1015" i="50" s="1"/>
  <c r="J1016" i="50" s="1"/>
  <c r="J1017" i="50" s="1"/>
  <c r="J1037" i="37" s="1"/>
  <c r="J1039" i="37" s="1"/>
  <c r="J1040" i="37" s="1"/>
  <c r="J1082" i="50" s="1"/>
  <c r="AK2544" i="37"/>
  <c r="AC2546" i="37"/>
  <c r="AK2546" i="37" s="1"/>
  <c r="AC2068" i="37"/>
  <c r="AB2067" i="37"/>
  <c r="AA2067" i="37" s="1"/>
  <c r="Z2067" i="37" s="1"/>
  <c r="J1668" i="50"/>
  <c r="J2321" i="37"/>
  <c r="V2322" i="37" s="1"/>
  <c r="J2322" i="37" s="1"/>
  <c r="J1669" i="50" s="1"/>
  <c r="J1671" i="50" s="1"/>
  <c r="J1672" i="50" s="1"/>
  <c r="J1673" i="50" s="1"/>
  <c r="J2325" i="37" s="1"/>
  <c r="J2327" i="37" s="1"/>
  <c r="J2328" i="37" s="1"/>
  <c r="J1738" i="50" s="1"/>
  <c r="N1564" i="37"/>
  <c r="N1231" i="50" s="1"/>
  <c r="J3173" i="37"/>
  <c r="J3179" i="37" s="1"/>
  <c r="AI205" i="37"/>
  <c r="AI194" i="37"/>
  <c r="AI206" i="37" s="1"/>
  <c r="V274" i="37"/>
  <c r="J1230" i="50" s="1"/>
  <c r="AB1746" i="37"/>
  <c r="AA1746" i="37" s="1"/>
  <c r="Z1746" i="37" s="1"/>
  <c r="AC1747" i="37"/>
  <c r="AF1171" i="37"/>
  <c r="AF1160" i="37"/>
  <c r="AF1172" i="37" s="1"/>
  <c r="N351" i="41"/>
  <c r="N391" i="50"/>
  <c r="K1242" i="37"/>
  <c r="K1067" i="50" s="1"/>
  <c r="K1040" i="50"/>
  <c r="L223" i="47"/>
  <c r="AL723" i="42"/>
  <c r="J1686" i="50"/>
  <c r="J1687" i="50" s="1"/>
  <c r="J2350" i="37" s="1"/>
  <c r="J2352" i="37" s="1"/>
  <c r="J2353" i="37" s="1"/>
  <c r="J1735" i="50" s="1"/>
  <c r="AC1816" i="37"/>
  <c r="AK1816" i="37" s="1"/>
  <c r="AK1804" i="37"/>
  <c r="K1970" i="37"/>
  <c r="AK1214" i="37"/>
  <c r="AC1267" i="37"/>
  <c r="AK1267" i="37" s="1"/>
  <c r="J1044" i="50"/>
  <c r="J1045" i="50" s="1"/>
  <c r="J226" i="47" s="1"/>
  <c r="AF2770" i="37"/>
  <c r="AF2782" i="37" s="1"/>
  <c r="AF2781" i="37"/>
  <c r="AD194" i="37"/>
  <c r="AD206" i="37" s="1"/>
  <c r="AD205" i="37"/>
  <c r="AC850" i="37"/>
  <c r="AK850" i="37" s="1"/>
  <c r="AK838" i="37"/>
  <c r="X2023" i="37"/>
  <c r="L1514" i="50"/>
  <c r="L920" i="37"/>
  <c r="M391" i="50"/>
  <c r="M351" i="41"/>
  <c r="K1101" i="42"/>
  <c r="K1313" i="50"/>
  <c r="K1353" i="50"/>
  <c r="K1336" i="50"/>
  <c r="K1343" i="50" s="1"/>
  <c r="K1364" i="50"/>
  <c r="K1378" i="50"/>
  <c r="K1325" i="50"/>
  <c r="AG2781" i="37"/>
  <c r="AG2770" i="37"/>
  <c r="AG2782" i="37" s="1"/>
  <c r="K391" i="50"/>
  <c r="K351" i="41"/>
  <c r="AC1425" i="37"/>
  <c r="AB1424" i="37"/>
  <c r="J531" i="50"/>
  <c r="J92" i="37"/>
  <c r="V93" i="37" s="1"/>
  <c r="J93" i="37" s="1"/>
  <c r="J532" i="50" s="1"/>
  <c r="J537" i="50" s="1"/>
  <c r="J538" i="50" s="1"/>
  <c r="J539" i="50" s="1"/>
  <c r="J96" i="37" s="1"/>
  <c r="J98" i="37" s="1"/>
  <c r="J99" i="37" s="1"/>
  <c r="J587" i="50" s="1"/>
  <c r="K2530" i="37"/>
  <c r="K1723" i="50" s="1"/>
  <c r="AK2831" i="37"/>
  <c r="AC2833" i="37"/>
  <c r="AK2833" i="37" s="1"/>
  <c r="K1992" i="50"/>
  <c r="K1999" i="50" s="1"/>
  <c r="K1969" i="50"/>
  <c r="K1981" i="50"/>
  <c r="K2009" i="50"/>
  <c r="K2020" i="50"/>
  <c r="K2034" i="50"/>
  <c r="AC265" i="37"/>
  <c r="AK264" i="37"/>
  <c r="AC238" i="42"/>
  <c r="AL234" i="42"/>
  <c r="AH2770" i="37"/>
  <c r="AH2782" i="37" s="1"/>
  <c r="AH2781" i="37"/>
  <c r="K2207" i="37"/>
  <c r="K1558" i="50"/>
  <c r="AK2824" i="37"/>
  <c r="AC2877" i="37"/>
  <c r="AK2877" i="37" s="1"/>
  <c r="AL731" i="42"/>
  <c r="AC2126" i="37"/>
  <c r="AC2137" i="37"/>
  <c r="AK2125" i="37"/>
  <c r="AL231" i="42"/>
  <c r="AC235" i="42"/>
  <c r="AK1875" i="37"/>
  <c r="AC1877" i="37"/>
  <c r="AK1877" i="37" s="1"/>
  <c r="H391" i="50"/>
  <c r="H351" i="41"/>
  <c r="AI1171" i="37"/>
  <c r="AI1160" i="37"/>
  <c r="AI1172" i="37" s="1"/>
  <c r="AC292" i="37"/>
  <c r="AK292" i="37" s="1"/>
  <c r="AK290" i="37"/>
  <c r="V2613" i="37"/>
  <c r="J1241" i="37"/>
  <c r="AK1553" i="37"/>
  <c r="AC1555" i="37"/>
  <c r="AK1555" i="37" s="1"/>
  <c r="J2133" i="50"/>
  <c r="J2134" i="50" s="1"/>
  <c r="I2156" i="50"/>
  <c r="G2124" i="50"/>
  <c r="J1066" i="50" l="1"/>
  <c r="J2050" i="50"/>
  <c r="J1650" i="50"/>
  <c r="J1978" i="50"/>
  <c r="J1486" i="50"/>
  <c r="J738" i="50"/>
  <c r="J902" i="50"/>
  <c r="J502" i="50"/>
  <c r="J1322" i="50"/>
  <c r="J994" i="50"/>
  <c r="J1394" i="50"/>
  <c r="J1558" i="50"/>
  <c r="J666" i="50"/>
  <c r="J1814" i="50"/>
  <c r="J1722" i="50"/>
  <c r="J1158" i="50"/>
  <c r="AD912" i="42"/>
  <c r="AD910" i="42"/>
  <c r="AC911" i="42"/>
  <c r="AB911" i="42" s="1"/>
  <c r="AD913" i="42"/>
  <c r="AD911" i="42"/>
  <c r="AD918" i="42"/>
  <c r="AL918" i="42" s="1"/>
  <c r="AC912" i="42"/>
  <c r="AB912" i="42" s="1"/>
  <c r="AC913" i="42"/>
  <c r="AB913" i="42" s="1"/>
  <c r="AC910" i="42"/>
  <c r="AB910" i="42" s="1"/>
  <c r="M1188" i="50"/>
  <c r="N1381" i="37"/>
  <c r="N1188" i="50" s="1"/>
  <c r="L1648" i="37"/>
  <c r="N415" i="37"/>
  <c r="N696" i="50" s="1"/>
  <c r="K701" i="50"/>
  <c r="K702" i="50" s="1"/>
  <c r="K703" i="50" s="1"/>
  <c r="K418" i="37" s="1"/>
  <c r="K420" i="37" s="1"/>
  <c r="K421" i="37" s="1"/>
  <c r="K751" i="50" s="1"/>
  <c r="L656" i="50" s="1"/>
  <c r="N1886" i="37"/>
  <c r="N1395" i="50" s="1"/>
  <c r="N1703" i="37"/>
  <c r="N1352" i="50" s="1"/>
  <c r="K851" i="50"/>
  <c r="N737" i="37"/>
  <c r="N860" i="50" s="1"/>
  <c r="M2347" i="37"/>
  <c r="M1680" i="50" s="1"/>
  <c r="N598" i="37"/>
  <c r="N739" i="50" s="1"/>
  <c r="J2529" i="37"/>
  <c r="L2292" i="37"/>
  <c r="K865" i="50"/>
  <c r="K1059" i="37"/>
  <c r="K1024" i="50" s="1"/>
  <c r="K744" i="50"/>
  <c r="K745" i="50" s="1"/>
  <c r="K601" i="37" s="1"/>
  <c r="K604" i="37" s="1"/>
  <c r="K752" i="50" s="1"/>
  <c r="K825" i="50"/>
  <c r="L2208" i="37"/>
  <c r="L1559" i="50" s="1"/>
  <c r="K907" i="50"/>
  <c r="J2207" i="37"/>
  <c r="J1247" i="37"/>
  <c r="M2025" i="37"/>
  <c r="K2446" i="50"/>
  <c r="K2447" i="50" s="1"/>
  <c r="K2448" i="50" s="1"/>
  <c r="K2449" i="50" s="1"/>
  <c r="K1004" i="42" s="1"/>
  <c r="K1006" i="42" s="1"/>
  <c r="K1007" i="42" s="1"/>
  <c r="K2454" i="50" s="1"/>
  <c r="L1001" i="42"/>
  <c r="L849" i="50"/>
  <c r="M712" i="37"/>
  <c r="K1007" i="50"/>
  <c r="K1049" i="50"/>
  <c r="J2613" i="37"/>
  <c r="V2614" i="37" s="1"/>
  <c r="J2614" i="37" s="1"/>
  <c r="K673" i="50"/>
  <c r="K674" i="50" s="1"/>
  <c r="K675" i="50" s="1"/>
  <c r="K363" i="37" s="1"/>
  <c r="K365" i="37" s="1"/>
  <c r="K366" i="37" s="1"/>
  <c r="K750" i="50" s="1"/>
  <c r="K1063" i="50"/>
  <c r="K984" i="50"/>
  <c r="J2535" i="37"/>
  <c r="N2347" i="37"/>
  <c r="N1680" i="50" s="1"/>
  <c r="K996" i="50"/>
  <c r="J939" i="42"/>
  <c r="J950" i="42" s="1"/>
  <c r="V951" i="42"/>
  <c r="L2936" i="37"/>
  <c r="L1242" i="37"/>
  <c r="L1067" i="50" s="1"/>
  <c r="K1035" i="50"/>
  <c r="AK2459" i="37"/>
  <c r="M360" i="37"/>
  <c r="L2051" i="50"/>
  <c r="M3174" i="37"/>
  <c r="K1220" i="50"/>
  <c r="L401" i="47"/>
  <c r="K407" i="47"/>
  <c r="K1247" i="50" s="1"/>
  <c r="K1178" i="50"/>
  <c r="K1152" i="50"/>
  <c r="K1192" i="50"/>
  <c r="K1234" i="50"/>
  <c r="K1206" i="50"/>
  <c r="K1164" i="50"/>
  <c r="K2390" i="50"/>
  <c r="K2391" i="50" s="1"/>
  <c r="L815" i="42"/>
  <c r="N352" i="41"/>
  <c r="N436" i="50" s="1"/>
  <c r="N435" i="50"/>
  <c r="J1886" i="50"/>
  <c r="J2851" i="37"/>
  <c r="V2852" i="37" s="1"/>
  <c r="J2852" i="37" s="1"/>
  <c r="I348" i="50"/>
  <c r="I257" i="42"/>
  <c r="J265" i="42" s="1"/>
  <c r="AC1172" i="37"/>
  <c r="AK1172" i="37" s="1"/>
  <c r="AK1160" i="37"/>
  <c r="H139" i="42"/>
  <c r="H2124" i="50"/>
  <c r="AB2390" i="37"/>
  <c r="AA2390" i="37" s="1"/>
  <c r="Z2390" i="37" s="1"/>
  <c r="AC2391" i="37"/>
  <c r="K2644" i="37"/>
  <c r="AK2137" i="37"/>
  <c r="J2213" i="37"/>
  <c r="J2214" i="37"/>
  <c r="J1572" i="50" s="1"/>
  <c r="J1576" i="50" s="1"/>
  <c r="K1357" i="50"/>
  <c r="L2530" i="37"/>
  <c r="K1855" i="50"/>
  <c r="K1804" i="50"/>
  <c r="K1827" i="50"/>
  <c r="K1816" i="50"/>
  <c r="K1883" i="50"/>
  <c r="K1869" i="50"/>
  <c r="K1317" i="50"/>
  <c r="H352" i="41"/>
  <c r="H436" i="50" s="1"/>
  <c r="H435" i="50"/>
  <c r="AC1426" i="37"/>
  <c r="AB1425" i="37"/>
  <c r="AA1425" i="37" s="1"/>
  <c r="Z1425" i="37" s="1"/>
  <c r="K2478" i="50"/>
  <c r="K2479" i="50" s="1"/>
  <c r="J2494" i="50"/>
  <c r="J2540" i="50" s="1"/>
  <c r="J2583" i="50" s="1"/>
  <c r="J2605" i="50" s="1"/>
  <c r="L903" i="50"/>
  <c r="M920" i="37"/>
  <c r="K1719" i="50"/>
  <c r="K1640" i="50"/>
  <c r="K1663" i="50"/>
  <c r="K1691" i="50"/>
  <c r="K1652" i="50"/>
  <c r="K1705" i="50"/>
  <c r="J37" i="37"/>
  <c r="V38" i="37" s="1"/>
  <c r="J38" i="37" s="1"/>
  <c r="J1159" i="50" s="1"/>
  <c r="J1165" i="50" s="1"/>
  <c r="J1166" i="50" s="1"/>
  <c r="J1167" i="50" s="1"/>
  <c r="J1329" i="37" s="1"/>
  <c r="J1331" i="37" s="1"/>
  <c r="J1332" i="37" s="1"/>
  <c r="J1242" i="50" s="1"/>
  <c r="AC2460" i="37"/>
  <c r="AK2460" i="37" s="1"/>
  <c r="AK2448" i="37"/>
  <c r="J435" i="50"/>
  <c r="J352" i="41"/>
  <c r="J436" i="50" s="1"/>
  <c r="AL475" i="42"/>
  <c r="AC479" i="42"/>
  <c r="AL479" i="42" s="1"/>
  <c r="N2024" i="37"/>
  <c r="N1515" i="50"/>
  <c r="AC1233" i="37"/>
  <c r="AK1233" i="37" s="1"/>
  <c r="AK1231" i="37"/>
  <c r="K1172" i="50"/>
  <c r="K1179" i="50" s="1"/>
  <c r="K1214" i="50"/>
  <c r="K1200" i="50"/>
  <c r="K1161" i="50"/>
  <c r="K1189" i="50"/>
  <c r="K1149" i="50"/>
  <c r="K1399" i="50"/>
  <c r="AB1747" i="37"/>
  <c r="AA1747" i="37" s="1"/>
  <c r="Z1747" i="37" s="1"/>
  <c r="AC1748" i="37"/>
  <c r="K1052" i="50"/>
  <c r="K1041" i="50"/>
  <c r="K999" i="50"/>
  <c r="K987" i="50"/>
  <c r="K1027" i="50"/>
  <c r="K1069" i="50"/>
  <c r="K1704" i="50"/>
  <c r="K1639" i="50"/>
  <c r="J1740" i="50"/>
  <c r="K1662" i="50"/>
  <c r="K1718" i="50"/>
  <c r="K1676" i="50"/>
  <c r="K1690" i="50"/>
  <c r="AC2521" i="37"/>
  <c r="AK2521" i="37" s="1"/>
  <c r="AK2519" i="37"/>
  <c r="H376" i="42"/>
  <c r="H2191" i="50"/>
  <c r="K2008" i="50"/>
  <c r="L2991" i="37"/>
  <c r="AB136" i="37"/>
  <c r="AC137" i="37"/>
  <c r="K1034" i="37"/>
  <c r="M2024" i="37"/>
  <c r="M1515" i="50"/>
  <c r="K2485" i="50"/>
  <c r="K2486" i="50" s="1"/>
  <c r="L1101" i="42"/>
  <c r="AL472" i="42"/>
  <c r="AC476" i="42"/>
  <c r="K1889" i="50"/>
  <c r="K1872" i="50"/>
  <c r="K1861" i="50"/>
  <c r="K1847" i="50"/>
  <c r="K1819" i="50"/>
  <c r="K1807" i="50"/>
  <c r="I352" i="41"/>
  <c r="I436" i="50" s="1"/>
  <c r="I435" i="50"/>
  <c r="K1326" i="37"/>
  <c r="AK205" i="37"/>
  <c r="W764" i="42"/>
  <c r="K752" i="42"/>
  <c r="K763" i="42"/>
  <c r="AC2199" i="37"/>
  <c r="AK2199" i="37" s="1"/>
  <c r="AK2197" i="37"/>
  <c r="M682" i="37"/>
  <c r="K1681" i="50"/>
  <c r="K1653" i="50"/>
  <c r="K1641" i="50"/>
  <c r="K1692" i="50"/>
  <c r="K1664" i="50"/>
  <c r="K1706" i="50"/>
  <c r="AB2068" i="37"/>
  <c r="AC2069" i="37"/>
  <c r="AC2843" i="37"/>
  <c r="AK2843" i="37" s="1"/>
  <c r="AK2841" i="37"/>
  <c r="AC2138" i="37"/>
  <c r="AK2138" i="37" s="1"/>
  <c r="AK2126" i="37"/>
  <c r="AC267" i="37"/>
  <c r="AK267" i="37" s="1"/>
  <c r="AK265" i="37"/>
  <c r="K352" i="41"/>
  <c r="K436" i="50" s="1"/>
  <c r="K435" i="50"/>
  <c r="L2024" i="37"/>
  <c r="L1515" i="50"/>
  <c r="AC2782" i="37"/>
  <c r="AK2782" i="37" s="1"/>
  <c r="AK2770" i="37"/>
  <c r="AB2712" i="37"/>
  <c r="AA2712" i="37" s="1"/>
  <c r="Z2712" i="37" s="1"/>
  <c r="AC2713" i="37"/>
  <c r="K2669" i="37"/>
  <c r="I347" i="50"/>
  <c r="I20" i="42"/>
  <c r="AB459" i="37"/>
  <c r="AC460" i="37"/>
  <c r="K2322" i="37"/>
  <c r="J1003" i="37"/>
  <c r="V1004" i="37" s="1"/>
  <c r="J1004" i="37" s="1"/>
  <c r="AB1102" i="37"/>
  <c r="AC1103" i="37"/>
  <c r="K837" i="50"/>
  <c r="AC599" i="42"/>
  <c r="AL595" i="42"/>
  <c r="L352" i="41"/>
  <c r="L436" i="50" s="1"/>
  <c r="L435" i="50"/>
  <c r="AC206" i="37"/>
  <c r="AK206" i="37" s="1"/>
  <c r="AK194" i="37"/>
  <c r="M2333" i="50"/>
  <c r="M2334" i="50" s="1"/>
  <c r="N628" i="42"/>
  <c r="N2333" i="50" s="1"/>
  <c r="N2334" i="50" s="1"/>
  <c r="J228" i="47"/>
  <c r="J229" i="47" s="1"/>
  <c r="J1081" i="50" s="1"/>
  <c r="V229" i="47"/>
  <c r="L1040" i="50"/>
  <c r="M223" i="47"/>
  <c r="K515" i="50"/>
  <c r="K543" i="50"/>
  <c r="K571" i="50"/>
  <c r="K504" i="50"/>
  <c r="K557" i="50"/>
  <c r="K492" i="50"/>
  <c r="M435" i="50"/>
  <c r="M352" i="41"/>
  <c r="M436" i="50" s="1"/>
  <c r="J574" i="50"/>
  <c r="J275" i="37"/>
  <c r="V276" i="37" s="1"/>
  <c r="J276" i="37" s="1"/>
  <c r="K1708" i="50"/>
  <c r="K1643" i="50"/>
  <c r="K1697" i="50"/>
  <c r="K1683" i="50"/>
  <c r="K1725" i="50"/>
  <c r="K1655" i="50"/>
  <c r="AB781" i="37"/>
  <c r="AA781" i="37" s="1"/>
  <c r="Z781" i="37" s="1"/>
  <c r="AC782" i="37"/>
  <c r="AA2711" i="37"/>
  <c r="Z2711" i="37" s="1"/>
  <c r="K1329" i="50"/>
  <c r="I349" i="50"/>
  <c r="I494" i="42"/>
  <c r="K1008" i="50"/>
  <c r="K997" i="50"/>
  <c r="K985" i="50"/>
  <c r="K1050" i="50"/>
  <c r="K1057" i="50" s="1"/>
  <c r="K1058" i="50" s="1"/>
  <c r="K1059" i="50" s="1"/>
  <c r="K1025" i="50"/>
  <c r="K1036" i="50"/>
  <c r="AA1424" i="37"/>
  <c r="Z1424" i="37" s="1"/>
  <c r="AL235" i="42"/>
  <c r="AC239" i="42"/>
  <c r="AL238" i="42"/>
  <c r="AC242" i="42"/>
  <c r="AL242" i="42" s="1"/>
  <c r="L1970" i="37"/>
  <c r="AK2781" i="37"/>
  <c r="AA780" i="37"/>
  <c r="Z780" i="37" s="1"/>
  <c r="AL598" i="42"/>
  <c r="AC602" i="42"/>
  <c r="AL602" i="42" s="1"/>
  <c r="K1540" i="50"/>
  <c r="K1512" i="50"/>
  <c r="K1475" i="50"/>
  <c r="K1554" i="50"/>
  <c r="K1498" i="50"/>
  <c r="K1507" i="50" s="1"/>
  <c r="K1508" i="50" s="1"/>
  <c r="K1509" i="50" s="1"/>
  <c r="K2003" i="37" s="1"/>
  <c r="K2005" i="37" s="1"/>
  <c r="K2006" i="37" s="1"/>
  <c r="AK2006" i="37" s="1"/>
  <c r="K1526" i="50"/>
  <c r="K93" i="37"/>
  <c r="AK1171" i="37"/>
  <c r="AB3035" i="37"/>
  <c r="AC3036" i="37"/>
  <c r="AA2389" i="37"/>
  <c r="Z2389" i="37" s="1"/>
  <c r="H2258" i="50"/>
  <c r="K1555" i="50"/>
  <c r="K1488" i="50"/>
  <c r="K1527" i="50"/>
  <c r="K1476" i="50"/>
  <c r="K1541" i="50"/>
  <c r="K1499" i="50"/>
  <c r="J831" i="50" l="1"/>
  <c r="J837" i="50" s="1"/>
  <c r="J667" i="50"/>
  <c r="J673" i="50" s="1"/>
  <c r="J1487" i="50"/>
  <c r="J1323" i="50"/>
  <c r="J1329" i="50" s="1"/>
  <c r="J1330" i="50" s="1"/>
  <c r="J1331" i="50" s="1"/>
  <c r="J1651" i="37" s="1"/>
  <c r="J1653" i="37" s="1"/>
  <c r="J1654" i="37" s="1"/>
  <c r="J1406" i="50" s="1"/>
  <c r="J1979" i="50"/>
  <c r="J1985" i="50" s="1"/>
  <c r="J1986" i="50" s="1"/>
  <c r="J1987" i="50" s="1"/>
  <c r="J2939" i="37" s="1"/>
  <c r="J2941" i="37" s="1"/>
  <c r="J2942" i="37" s="1"/>
  <c r="J2062" i="50" s="1"/>
  <c r="J1651" i="50"/>
  <c r="J1815" i="50"/>
  <c r="J1821" i="50" s="1"/>
  <c r="J1822" i="50" s="1"/>
  <c r="J1823" i="50" s="1"/>
  <c r="J2617" i="37" s="1"/>
  <c r="J2619" i="37" s="1"/>
  <c r="J2620" i="37" s="1"/>
  <c r="J1898" i="50" s="1"/>
  <c r="K1854" i="50" s="1"/>
  <c r="AL913" i="42"/>
  <c r="AL910" i="42"/>
  <c r="AL911" i="42"/>
  <c r="M2208" i="37"/>
  <c r="AL912" i="42"/>
  <c r="L1059" i="37"/>
  <c r="L1024" i="50" s="1"/>
  <c r="K852" i="50"/>
  <c r="K853" i="50" s="1"/>
  <c r="K715" i="37" s="1"/>
  <c r="K717" i="37" s="1"/>
  <c r="K718" i="37" s="1"/>
  <c r="K918" i="50" s="1"/>
  <c r="L877" i="50" s="1"/>
  <c r="M1648" i="37"/>
  <c r="M1242" i="37"/>
  <c r="M1067" i="50" s="1"/>
  <c r="K838" i="50"/>
  <c r="K839" i="50" s="1"/>
  <c r="K685" i="37" s="1"/>
  <c r="K687" i="37" s="1"/>
  <c r="K688" i="37" s="1"/>
  <c r="K914" i="50" s="1"/>
  <c r="L842" i="50" s="1"/>
  <c r="K908" i="50"/>
  <c r="K909" i="50" s="1"/>
  <c r="K923" i="37" s="1"/>
  <c r="K925" i="37" s="1"/>
  <c r="M2292" i="37"/>
  <c r="K866" i="50"/>
  <c r="K867" i="50" s="1"/>
  <c r="K740" i="37" s="1"/>
  <c r="K742" i="37" s="1"/>
  <c r="K743" i="37" s="1"/>
  <c r="K915" i="50" s="1"/>
  <c r="L885" i="50" s="1"/>
  <c r="L735" i="50"/>
  <c r="K2614" i="37"/>
  <c r="K603" i="37"/>
  <c r="L707" i="50"/>
  <c r="L679" i="50"/>
  <c r="L668" i="50"/>
  <c r="L721" i="50"/>
  <c r="M1059" i="37"/>
  <c r="M1024" i="50" s="1"/>
  <c r="K1400" i="50"/>
  <c r="K1401" i="50" s="1"/>
  <c r="K1889" i="37" s="1"/>
  <c r="K1892" i="37" s="1"/>
  <c r="K1408" i="50" s="1"/>
  <c r="M1516" i="50"/>
  <c r="N2025" i="37"/>
  <c r="N1516" i="50" s="1"/>
  <c r="M849" i="50"/>
  <c r="N712" i="37"/>
  <c r="N849" i="50" s="1"/>
  <c r="M1001" i="42"/>
  <c r="L2446" i="50"/>
  <c r="L2447" i="50" s="1"/>
  <c r="K2455" i="50"/>
  <c r="K2539" i="50" s="1"/>
  <c r="K2582" i="50" s="1"/>
  <c r="L2439" i="50"/>
  <c r="L2440" i="50" s="1"/>
  <c r="K2013" i="50"/>
  <c r="K2014" i="50" s="1"/>
  <c r="K2015" i="50" s="1"/>
  <c r="K2994" i="37" s="1"/>
  <c r="K2996" i="37" s="1"/>
  <c r="K2997" i="37" s="1"/>
  <c r="K2063" i="50" s="1"/>
  <c r="L2019" i="50" s="1"/>
  <c r="J951" i="42"/>
  <c r="J2405" i="50" s="1"/>
  <c r="J2400" i="50"/>
  <c r="M2051" i="50"/>
  <c r="N3174" i="37"/>
  <c r="N2051" i="50" s="1"/>
  <c r="M2936" i="37"/>
  <c r="N360" i="37"/>
  <c r="L1220" i="50"/>
  <c r="L407" i="47"/>
  <c r="L1247" i="50" s="1"/>
  <c r="M401" i="47"/>
  <c r="K1657" i="50"/>
  <c r="K2487" i="50"/>
  <c r="K2488" i="50" s="1"/>
  <c r="K1104" i="42" s="1"/>
  <c r="K1106" i="42" s="1"/>
  <c r="K1107" i="42" s="1"/>
  <c r="K2493" i="50" s="1"/>
  <c r="K2494" i="50" s="1"/>
  <c r="K2540" i="50" s="1"/>
  <c r="K2583" i="50" s="1"/>
  <c r="K1727" i="50"/>
  <c r="K1986" i="50"/>
  <c r="K1987" i="50" s="1"/>
  <c r="K2939" i="37" s="1"/>
  <c r="K2941" i="37" s="1"/>
  <c r="K2942" i="37" s="1"/>
  <c r="K2062" i="50" s="1"/>
  <c r="L1990" i="50" s="1"/>
  <c r="L2390" i="50"/>
  <c r="L2391" i="50" s="1"/>
  <c r="M815" i="42"/>
  <c r="L1164" i="50"/>
  <c r="L1234" i="50"/>
  <c r="L1178" i="50"/>
  <c r="L1192" i="50"/>
  <c r="L1206" i="50"/>
  <c r="L1152" i="50"/>
  <c r="J2398" i="50"/>
  <c r="R2399" i="50" s="1"/>
  <c r="J2399" i="50" s="1"/>
  <c r="AE943" i="42"/>
  <c r="AF756" i="42"/>
  <c r="K2341" i="50"/>
  <c r="S2342" i="50" s="1"/>
  <c r="K2342" i="50" s="1"/>
  <c r="M1559" i="50"/>
  <c r="N2208" i="37"/>
  <c r="N1559" i="50" s="1"/>
  <c r="K532" i="50"/>
  <c r="L93" i="37"/>
  <c r="K502" i="42"/>
  <c r="I2258" i="50"/>
  <c r="AA459" i="37"/>
  <c r="Z459" i="37" s="1"/>
  <c r="L734" i="50"/>
  <c r="L678" i="50"/>
  <c r="L687" i="50" s="1"/>
  <c r="L692" i="50"/>
  <c r="L720" i="50"/>
  <c r="L706" i="50"/>
  <c r="L655" i="50"/>
  <c r="K756" i="50"/>
  <c r="J2204" i="50"/>
  <c r="J266" i="42"/>
  <c r="V266" i="42" s="1"/>
  <c r="K1645" i="50"/>
  <c r="J503" i="50"/>
  <c r="J509" i="50" s="1"/>
  <c r="J510" i="50" s="1"/>
  <c r="J511" i="50" s="1"/>
  <c r="J41" i="37" s="1"/>
  <c r="J43" i="37" s="1"/>
  <c r="J44" i="37" s="1"/>
  <c r="J586" i="50" s="1"/>
  <c r="K38" i="37"/>
  <c r="K28" i="42"/>
  <c r="I139" i="42"/>
  <c r="I2124" i="50"/>
  <c r="I2647" i="50" s="1"/>
  <c r="K1013" i="50"/>
  <c r="L1034" i="37"/>
  <c r="M903" i="50"/>
  <c r="N920" i="37"/>
  <c r="N903" i="50" s="1"/>
  <c r="K1833" i="50"/>
  <c r="L2644" i="37"/>
  <c r="J502" i="42"/>
  <c r="K1330" i="50"/>
  <c r="K1331" i="50" s="1"/>
  <c r="K1651" i="37" s="1"/>
  <c r="K1653" i="37" s="1"/>
  <c r="K1654" i="37" s="1"/>
  <c r="K1406" i="50" s="1"/>
  <c r="AA1102" i="37"/>
  <c r="Z1102" i="37" s="1"/>
  <c r="AC2070" i="37"/>
  <c r="AB2069" i="37"/>
  <c r="AA2069" i="37" s="1"/>
  <c r="Z2069" i="37" s="1"/>
  <c r="N682" i="37"/>
  <c r="K1159" i="50"/>
  <c r="K1165" i="50" s="1"/>
  <c r="L1326" i="37"/>
  <c r="AC480" i="42"/>
  <c r="AL480" i="42" s="1"/>
  <c r="AL476" i="42"/>
  <c r="AB137" i="37"/>
  <c r="AA137" i="37" s="1"/>
  <c r="Z137" i="37" s="1"/>
  <c r="AC138" i="37"/>
  <c r="AC1749" i="37"/>
  <c r="AB1748" i="37"/>
  <c r="AA1748" i="37" s="1"/>
  <c r="Z1748" i="37" s="1"/>
  <c r="AC2392" i="37"/>
  <c r="AB2391" i="37"/>
  <c r="J1248" i="50"/>
  <c r="K1170" i="50"/>
  <c r="K1212" i="50"/>
  <c r="K1221" i="50" s="1"/>
  <c r="K1198" i="50"/>
  <c r="K1207" i="50" s="1"/>
  <c r="K1208" i="50" s="1"/>
  <c r="K1209" i="50" s="1"/>
  <c r="K1226" i="50"/>
  <c r="K1235" i="50" s="1"/>
  <c r="K1147" i="50"/>
  <c r="K1153" i="50" s="1"/>
  <c r="K1184" i="50"/>
  <c r="K1193" i="50" s="1"/>
  <c r="AA136" i="37"/>
  <c r="Z136" i="37" s="1"/>
  <c r="K265" i="42"/>
  <c r="I376" i="42"/>
  <c r="I2191" i="50"/>
  <c r="AB1103" i="37"/>
  <c r="AA1103" i="37" s="1"/>
  <c r="Z1103" i="37" s="1"/>
  <c r="AC1104" i="37"/>
  <c r="J995" i="50"/>
  <c r="J1001" i="50" s="1"/>
  <c r="J1002" i="50" s="1"/>
  <c r="J1003" i="50" s="1"/>
  <c r="J1007" i="37" s="1"/>
  <c r="J1009" i="37" s="1"/>
  <c r="J1010" i="37" s="1"/>
  <c r="J1078" i="50" s="1"/>
  <c r="K1004" i="37"/>
  <c r="L2669" i="37"/>
  <c r="K1844" i="50"/>
  <c r="AA2068" i="37"/>
  <c r="Z2068" i="37" s="1"/>
  <c r="K1563" i="50"/>
  <c r="AL239" i="42"/>
  <c r="AC243" i="42"/>
  <c r="AL243" i="42" s="1"/>
  <c r="M1040" i="50"/>
  <c r="N223" i="47"/>
  <c r="N1040" i="50" s="1"/>
  <c r="K1669" i="50"/>
  <c r="K1671" i="50" s="1"/>
  <c r="L2322" i="37"/>
  <c r="AC2714" i="37"/>
  <c r="AB2713" i="37"/>
  <c r="AA2713" i="37" s="1"/>
  <c r="Z2713" i="37" s="1"/>
  <c r="N1242" i="37"/>
  <c r="N1067" i="50" s="1"/>
  <c r="L2485" i="50"/>
  <c r="L2486" i="50" s="1"/>
  <c r="M1101" i="42"/>
  <c r="L2008" i="50"/>
  <c r="M2991" i="37"/>
  <c r="K1685" i="50"/>
  <c r="L1723" i="50"/>
  <c r="M2530" i="37"/>
  <c r="J28" i="42"/>
  <c r="L708" i="50"/>
  <c r="L669" i="50"/>
  <c r="L657" i="50"/>
  <c r="L697" i="50"/>
  <c r="L722" i="50"/>
  <c r="L680" i="50"/>
  <c r="K1358" i="50"/>
  <c r="K1359" i="50" s="1"/>
  <c r="K1706" i="37" s="1"/>
  <c r="K1708" i="37" s="1"/>
  <c r="K1709" i="37" s="1"/>
  <c r="K1407" i="50" s="1"/>
  <c r="J1887" i="50"/>
  <c r="J1891" i="50" s="1"/>
  <c r="J1892" i="50" s="1"/>
  <c r="J1893" i="50" s="1"/>
  <c r="J2855" i="37" s="1"/>
  <c r="K2852" i="37"/>
  <c r="AA3035" i="37"/>
  <c r="Z3035" i="37" s="1"/>
  <c r="L2614" i="37"/>
  <c r="K2343" i="50"/>
  <c r="K764" i="42"/>
  <c r="K2348" i="50" s="1"/>
  <c r="K2349" i="50" s="1"/>
  <c r="K2537" i="50" s="1"/>
  <c r="K2580" i="50" s="1"/>
  <c r="AB1426" i="37"/>
  <c r="AC1427" i="37"/>
  <c r="K1528" i="50"/>
  <c r="K1477" i="50"/>
  <c r="K1481" i="50" s="1"/>
  <c r="K1489" i="50"/>
  <c r="K1493" i="50" s="1"/>
  <c r="K1517" i="50"/>
  <c r="K1521" i="50" s="1"/>
  <c r="K1500" i="50"/>
  <c r="K1542" i="50"/>
  <c r="AC3037" i="37"/>
  <c r="AB3036" i="37"/>
  <c r="AA3036" i="37" s="1"/>
  <c r="Z3036" i="37" s="1"/>
  <c r="M1970" i="37"/>
  <c r="AB782" i="37"/>
  <c r="AA782" i="37" s="1"/>
  <c r="Z782" i="37" s="1"/>
  <c r="AC783" i="37"/>
  <c r="J575" i="50"/>
  <c r="J579" i="50" s="1"/>
  <c r="J580" i="50" s="1"/>
  <c r="J581" i="50" s="1"/>
  <c r="J279" i="37" s="1"/>
  <c r="J281" i="37" s="1"/>
  <c r="J282" i="37" s="1"/>
  <c r="J588" i="50" s="1"/>
  <c r="K276" i="37"/>
  <c r="K1026" i="50"/>
  <c r="K1068" i="50"/>
  <c r="K1009" i="50"/>
  <c r="K1051" i="50"/>
  <c r="K986" i="50"/>
  <c r="K998" i="50"/>
  <c r="AL599" i="42"/>
  <c r="AC603" i="42"/>
  <c r="AL603" i="42" s="1"/>
  <c r="AC461" i="37"/>
  <c r="AB460" i="37"/>
  <c r="AA460" i="37" s="1"/>
  <c r="Z460" i="37" s="1"/>
  <c r="L835" i="50" l="1"/>
  <c r="L905" i="50"/>
  <c r="K1826" i="50"/>
  <c r="L823" i="50"/>
  <c r="L888" i="50"/>
  <c r="K1840" i="50"/>
  <c r="K1803" i="50"/>
  <c r="K1882" i="50"/>
  <c r="K1868" i="50"/>
  <c r="J2068" i="50"/>
  <c r="K2046" i="50"/>
  <c r="K2055" i="50" s="1"/>
  <c r="K2056" i="50" s="1"/>
  <c r="K2057" i="50" s="1"/>
  <c r="K3177" i="37" s="1"/>
  <c r="K3179" i="37" s="1"/>
  <c r="K2004" i="50"/>
  <c r="K1967" i="50"/>
  <c r="K1973" i="50" s="1"/>
  <c r="K1990" i="50"/>
  <c r="K2032" i="50"/>
  <c r="K2018" i="50"/>
  <c r="K1348" i="50"/>
  <c r="K1334" i="50"/>
  <c r="K1362" i="50"/>
  <c r="K1376" i="50"/>
  <c r="K1390" i="50"/>
  <c r="K1311" i="50"/>
  <c r="K831" i="50"/>
  <c r="K667" i="50"/>
  <c r="K1323" i="50"/>
  <c r="K1487" i="50"/>
  <c r="K1979" i="50"/>
  <c r="K1985" i="50" s="1"/>
  <c r="K1651" i="50"/>
  <c r="K1815" i="50"/>
  <c r="L743" i="50"/>
  <c r="L863" i="50"/>
  <c r="L856" i="50"/>
  <c r="L884" i="50"/>
  <c r="L819" i="50"/>
  <c r="L870" i="50"/>
  <c r="L879" i="50" s="1"/>
  <c r="L880" i="50" s="1"/>
  <c r="L881" i="50" s="1"/>
  <c r="L898" i="50"/>
  <c r="L701" i="50"/>
  <c r="N1059" i="37"/>
  <c r="N1024" i="50" s="1"/>
  <c r="N2292" i="37"/>
  <c r="L673" i="50"/>
  <c r="N1648" i="37"/>
  <c r="K926" i="37"/>
  <c r="K916" i="50" s="1"/>
  <c r="L844" i="50" s="1"/>
  <c r="L871" i="50"/>
  <c r="L832" i="50"/>
  <c r="L843" i="50"/>
  <c r="L820" i="50"/>
  <c r="L899" i="50"/>
  <c r="L661" i="50"/>
  <c r="K1891" i="37"/>
  <c r="K1658" i="50"/>
  <c r="K1659" i="50" s="1"/>
  <c r="K2295" i="37" s="1"/>
  <c r="K2297" i="37" s="1"/>
  <c r="K2298" i="37" s="1"/>
  <c r="K1734" i="50" s="1"/>
  <c r="L1704" i="50" s="1"/>
  <c r="L2032" i="50"/>
  <c r="L1991" i="50"/>
  <c r="L2448" i="50"/>
  <c r="L2449" i="50" s="1"/>
  <c r="L1004" i="42" s="1"/>
  <c r="L1006" i="42" s="1"/>
  <c r="L1007" i="42" s="1"/>
  <c r="L2454" i="50" s="1"/>
  <c r="M2446" i="50"/>
  <c r="M2447" i="50" s="1"/>
  <c r="N1001" i="42"/>
  <c r="N2446" i="50" s="1"/>
  <c r="N2447" i="50" s="1"/>
  <c r="K1564" i="50"/>
  <c r="K1565" i="50" s="1"/>
  <c r="K2211" i="37" s="1"/>
  <c r="K2214" i="37" s="1"/>
  <c r="K1572" i="50" s="1"/>
  <c r="L2047" i="50"/>
  <c r="L2326" i="50"/>
  <c r="L2327" i="50" s="1"/>
  <c r="L2335" i="50" s="1"/>
  <c r="L2336" i="50" s="1"/>
  <c r="L748" i="42" s="1"/>
  <c r="X764" i="42" s="1"/>
  <c r="L1980" i="50"/>
  <c r="L2478" i="50"/>
  <c r="L2479" i="50" s="1"/>
  <c r="K1686" i="50"/>
  <c r="K1687" i="50" s="1"/>
  <c r="K2350" i="37" s="1"/>
  <c r="K2352" i="37" s="1"/>
  <c r="K2353" i="37" s="1"/>
  <c r="K1735" i="50" s="1"/>
  <c r="L1663" i="50" s="1"/>
  <c r="K1672" i="50"/>
  <c r="K1673" i="50" s="1"/>
  <c r="K2325" i="37" s="1"/>
  <c r="K2327" i="37" s="1"/>
  <c r="K2328" i="37" s="1"/>
  <c r="K1738" i="50" s="1"/>
  <c r="L1655" i="50" s="1"/>
  <c r="K1236" i="50"/>
  <c r="K1237" i="50" s="1"/>
  <c r="K1567" i="37" s="1"/>
  <c r="K1569" i="37" s="1"/>
  <c r="L2004" i="50"/>
  <c r="L1968" i="50"/>
  <c r="L2046" i="50"/>
  <c r="N2936" i="37"/>
  <c r="K1222" i="50"/>
  <c r="K1223" i="50" s="1"/>
  <c r="L2033" i="50"/>
  <c r="L2018" i="50"/>
  <c r="M1220" i="50"/>
  <c r="M407" i="47"/>
  <c r="M1247" i="50" s="1"/>
  <c r="N401" i="47"/>
  <c r="L1967" i="50"/>
  <c r="M2390" i="50"/>
  <c r="M2391" i="50" s="1"/>
  <c r="N815" i="42"/>
  <c r="N2390" i="50" s="1"/>
  <c r="N2391" i="50" s="1"/>
  <c r="M1192" i="50"/>
  <c r="M1234" i="50"/>
  <c r="M1164" i="50"/>
  <c r="M1152" i="50"/>
  <c r="M1206" i="50"/>
  <c r="M1178" i="50"/>
  <c r="K1194" i="50"/>
  <c r="K1195" i="50" s="1"/>
  <c r="K1384" i="37" s="1"/>
  <c r="K1386" i="37" s="1"/>
  <c r="K1387" i="37" s="1"/>
  <c r="K1243" i="50" s="1"/>
  <c r="L1227" i="50" s="1"/>
  <c r="K3180" i="37"/>
  <c r="K2064" i="50" s="1"/>
  <c r="K2068" i="50" s="1"/>
  <c r="K2383" i="50"/>
  <c r="K2384" i="50" s="1"/>
  <c r="K2392" i="50" s="1"/>
  <c r="K2393" i="50" s="1"/>
  <c r="K935" i="42" s="1"/>
  <c r="J2406" i="50"/>
  <c r="J2538" i="50" s="1"/>
  <c r="J2581" i="50" s="1"/>
  <c r="J2603" i="50" s="1"/>
  <c r="V267" i="42"/>
  <c r="J2206" i="50" s="1"/>
  <c r="K1522" i="50"/>
  <c r="K1523" i="50" s="1"/>
  <c r="K2028" i="37" s="1"/>
  <c r="K2030" i="37" s="1"/>
  <c r="K2031" i="37" s="1"/>
  <c r="K1571" i="50" s="1"/>
  <c r="L1390" i="50"/>
  <c r="L1311" i="50"/>
  <c r="L1348" i="50"/>
  <c r="L1334" i="50"/>
  <c r="L1362" i="50"/>
  <c r="L1376" i="50"/>
  <c r="K1412" i="50"/>
  <c r="N1970" i="37"/>
  <c r="W268" i="42"/>
  <c r="K2204" i="50"/>
  <c r="K266" i="42"/>
  <c r="W266" i="42"/>
  <c r="K267" i="42"/>
  <c r="W267" i="42"/>
  <c r="K2206" i="50" s="1"/>
  <c r="L1325" i="50"/>
  <c r="L1353" i="50"/>
  <c r="L1378" i="50"/>
  <c r="L1336" i="50"/>
  <c r="L1343" i="50" s="1"/>
  <c r="L1364" i="50"/>
  <c r="L1371" i="50" s="1"/>
  <c r="L1372" i="50" s="1"/>
  <c r="L1373" i="50" s="1"/>
  <c r="L1313" i="50"/>
  <c r="M2614" i="37"/>
  <c r="M1326" i="37"/>
  <c r="AB1427" i="37"/>
  <c r="AA1427" i="37" s="1"/>
  <c r="Z1427" i="37" s="1"/>
  <c r="AC1428" i="37"/>
  <c r="M2669" i="37"/>
  <c r="L1844" i="50"/>
  <c r="L1013" i="50"/>
  <c r="M1034" i="37"/>
  <c r="W505" i="42"/>
  <c r="K503" i="42"/>
  <c r="K2271" i="50" s="1"/>
  <c r="K2270" i="50"/>
  <c r="W503" i="42"/>
  <c r="W504" i="42"/>
  <c r="K2272" i="50" s="1"/>
  <c r="K504" i="42"/>
  <c r="M1723" i="50"/>
  <c r="N2530" i="37"/>
  <c r="N1723" i="50" s="1"/>
  <c r="AA1426" i="37"/>
  <c r="Z1426" i="37" s="1"/>
  <c r="K1887" i="50"/>
  <c r="K1891" i="50" s="1"/>
  <c r="L2852" i="37"/>
  <c r="K995" i="50"/>
  <c r="K1001" i="50" s="1"/>
  <c r="L1004" i="37"/>
  <c r="AC1105" i="37"/>
  <c r="AB1104" i="37"/>
  <c r="AA1104" i="37" s="1"/>
  <c r="Z1104" i="37" s="1"/>
  <c r="AB1749" i="37"/>
  <c r="AC1750" i="37"/>
  <c r="J2270" i="50"/>
  <c r="J503" i="42"/>
  <c r="J2271" i="50" s="1"/>
  <c r="L532" i="50"/>
  <c r="M93" i="37"/>
  <c r="J2858" i="37"/>
  <c r="J1900" i="50" s="1"/>
  <c r="J2857" i="37"/>
  <c r="AB2714" i="37"/>
  <c r="AA2714" i="37" s="1"/>
  <c r="Z2714" i="37" s="1"/>
  <c r="AC2715" i="37"/>
  <c r="K1020" i="50"/>
  <c r="K1029" i="50" s="1"/>
  <c r="K983" i="50"/>
  <c r="K989" i="50" s="1"/>
  <c r="K1062" i="50"/>
  <c r="K1071" i="50" s="1"/>
  <c r="K1048" i="50"/>
  <c r="K1006" i="50"/>
  <c r="K1015" i="50" s="1"/>
  <c r="J1084" i="50"/>
  <c r="K1034" i="50"/>
  <c r="K1043" i="50" s="1"/>
  <c r="AB138" i="37"/>
  <c r="AC139" i="37"/>
  <c r="L1833" i="50"/>
  <c r="M2644" i="37"/>
  <c r="I2670" i="50"/>
  <c r="I2677" i="50" s="1"/>
  <c r="I2654" i="50"/>
  <c r="AC462" i="37"/>
  <c r="AB461" i="37"/>
  <c r="K575" i="50"/>
  <c r="L276" i="37"/>
  <c r="L1363" i="50"/>
  <c r="L1391" i="50"/>
  <c r="L1312" i="50"/>
  <c r="L1324" i="50"/>
  <c r="L1377" i="50"/>
  <c r="L1335" i="50"/>
  <c r="L2487" i="50"/>
  <c r="L2488" i="50" s="1"/>
  <c r="L1104" i="42" s="1"/>
  <c r="L1106" i="42" s="1"/>
  <c r="L1107" i="42" s="1"/>
  <c r="L2493" i="50" s="1"/>
  <c r="M2008" i="50"/>
  <c r="N2991" i="37"/>
  <c r="N2008" i="50" s="1"/>
  <c r="L1669" i="50"/>
  <c r="M2322" i="37"/>
  <c r="K1166" i="50"/>
  <c r="K1167" i="50" s="1"/>
  <c r="K1329" i="37" s="1"/>
  <c r="K1331" i="37" s="1"/>
  <c r="K1332" i="37" s="1"/>
  <c r="K1242" i="50" s="1"/>
  <c r="AA2391" i="37"/>
  <c r="Z2391" i="37" s="1"/>
  <c r="AC2071" i="37"/>
  <c r="AB2070" i="37"/>
  <c r="K533" i="50"/>
  <c r="K558" i="50"/>
  <c r="K516" i="50"/>
  <c r="K505" i="50"/>
  <c r="K544" i="50"/>
  <c r="K493" i="50"/>
  <c r="AB2392" i="37"/>
  <c r="AA2392" i="37" s="1"/>
  <c r="Z2392" i="37" s="1"/>
  <c r="AC2393" i="37"/>
  <c r="W31" i="42"/>
  <c r="K2137" i="50"/>
  <c r="K29" i="42"/>
  <c r="K2138" i="50" s="1"/>
  <c r="W29" i="42"/>
  <c r="K30" i="42"/>
  <c r="W30" i="42"/>
  <c r="K2139" i="50" s="1"/>
  <c r="K503" i="50"/>
  <c r="L38" i="37"/>
  <c r="L1159" i="50" s="1"/>
  <c r="AC784" i="37"/>
  <c r="AB783" i="37"/>
  <c r="AA783" i="37" s="1"/>
  <c r="Z783" i="37" s="1"/>
  <c r="AC3038" i="37"/>
  <c r="AB3037" i="37"/>
  <c r="AA3037" i="37" s="1"/>
  <c r="Z3037" i="37" s="1"/>
  <c r="K1494" i="50"/>
  <c r="K1495" i="50" s="1"/>
  <c r="K1973" i="37" s="1"/>
  <c r="K1975" i="37" s="1"/>
  <c r="K1976" i="37" s="1"/>
  <c r="K1570" i="50" s="1"/>
  <c r="J2137" i="50"/>
  <c r="J29" i="42"/>
  <c r="J2138" i="50" s="1"/>
  <c r="M2485" i="50"/>
  <c r="M2486" i="50" s="1"/>
  <c r="N1101" i="42"/>
  <c r="N2485" i="50" s="1"/>
  <c r="N2486" i="50" s="1"/>
  <c r="K528" i="50"/>
  <c r="K570" i="50"/>
  <c r="J592" i="50"/>
  <c r="J2528" i="50" s="1"/>
  <c r="J2571" i="50" s="1"/>
  <c r="J2593" i="50" s="1"/>
  <c r="K542" i="50"/>
  <c r="K556" i="50"/>
  <c r="K514" i="50"/>
  <c r="K523" i="50" s="1"/>
  <c r="K491" i="50"/>
  <c r="J2205" i="50"/>
  <c r="K1728" i="50"/>
  <c r="K1729" i="50" s="1"/>
  <c r="K2533" i="37" s="1"/>
  <c r="J2527" i="50" l="1"/>
  <c r="J2570" i="50" s="1"/>
  <c r="J2592" i="50" s="1"/>
  <c r="L831" i="50"/>
  <c r="L667" i="50"/>
  <c r="L1487" i="50"/>
  <c r="L1651" i="50"/>
  <c r="L1323" i="50"/>
  <c r="L1979" i="50"/>
  <c r="L1815" i="50"/>
  <c r="J2524" i="50"/>
  <c r="J2567" i="50" s="1"/>
  <c r="J2589" i="50" s="1"/>
  <c r="J2525" i="50"/>
  <c r="J2568" i="50" s="1"/>
  <c r="J2590" i="50" s="1"/>
  <c r="J2529" i="50"/>
  <c r="J2572" i="50" s="1"/>
  <c r="J2594" i="50" s="1"/>
  <c r="J2526" i="50"/>
  <c r="J2569" i="50" s="1"/>
  <c r="J2591" i="50" s="1"/>
  <c r="J2531" i="50"/>
  <c r="J2574" i="50" s="1"/>
  <c r="J2596" i="50" s="1"/>
  <c r="J2530" i="50"/>
  <c r="J2573" i="50" s="1"/>
  <c r="J2595" i="50" s="1"/>
  <c r="J2533" i="50"/>
  <c r="J2576" i="50" s="1"/>
  <c r="J2598" i="50" s="1"/>
  <c r="L907" i="50"/>
  <c r="L674" i="50"/>
  <c r="L675" i="50" s="1"/>
  <c r="L363" i="37" s="1"/>
  <c r="L365" i="37" s="1"/>
  <c r="L366" i="37" s="1"/>
  <c r="L750" i="50" s="1"/>
  <c r="M678" i="50" s="1"/>
  <c r="M687" i="50" s="1"/>
  <c r="L1676" i="50"/>
  <c r="L1690" i="50"/>
  <c r="L821" i="50"/>
  <c r="L825" i="50" s="1"/>
  <c r="L702" i="50"/>
  <c r="L703" i="50" s="1"/>
  <c r="L418" i="37" s="1"/>
  <c r="L420" i="37" s="1"/>
  <c r="L421" i="37" s="1"/>
  <c r="L751" i="50" s="1"/>
  <c r="M668" i="50" s="1"/>
  <c r="L744" i="50"/>
  <c r="L745" i="50" s="1"/>
  <c r="L601" i="37" s="1"/>
  <c r="L603" i="37" s="1"/>
  <c r="L851" i="50"/>
  <c r="L861" i="50"/>
  <c r="L865" i="50" s="1"/>
  <c r="K920" i="50"/>
  <c r="L833" i="50"/>
  <c r="L837" i="50" s="1"/>
  <c r="L886" i="50"/>
  <c r="L872" i="50"/>
  <c r="L2055" i="50"/>
  <c r="L1662" i="50"/>
  <c r="L1718" i="50"/>
  <c r="L1639" i="50"/>
  <c r="L752" i="42"/>
  <c r="AG756" i="42" s="1"/>
  <c r="L1148" i="50"/>
  <c r="L1399" i="50"/>
  <c r="L1705" i="50"/>
  <c r="K1016" i="50"/>
  <c r="K1017" i="50" s="1"/>
  <c r="K1037" i="37" s="1"/>
  <c r="K1039" i="37" s="1"/>
  <c r="K1040" i="37" s="1"/>
  <c r="K1082" i="50" s="1"/>
  <c r="L987" i="50" s="1"/>
  <c r="L1697" i="50"/>
  <c r="K2213" i="37"/>
  <c r="L1683" i="50"/>
  <c r="L1725" i="50"/>
  <c r="L1640" i="50"/>
  <c r="L1643" i="50"/>
  <c r="L1652" i="50"/>
  <c r="L2455" i="50"/>
  <c r="L2539" i="50" s="1"/>
  <c r="L2582" i="50" s="1"/>
  <c r="M2439" i="50"/>
  <c r="M2440" i="50" s="1"/>
  <c r="M2448" i="50" s="1"/>
  <c r="M2449" i="50" s="1"/>
  <c r="M1004" i="42" s="1"/>
  <c r="M1006" i="42" s="1"/>
  <c r="M1007" i="42" s="1"/>
  <c r="M2454" i="50" s="1"/>
  <c r="L1708" i="50"/>
  <c r="L1719" i="50"/>
  <c r="K1570" i="37"/>
  <c r="K1244" i="50" s="1"/>
  <c r="L1161" i="50" s="1"/>
  <c r="L1691" i="50"/>
  <c r="J267" i="42"/>
  <c r="T354" i="42" s="1"/>
  <c r="L1171" i="50"/>
  <c r="K1044" i="50"/>
  <c r="K1045" i="50" s="1"/>
  <c r="K226" i="47" s="1"/>
  <c r="K228" i="47" s="1"/>
  <c r="K229" i="47" s="1"/>
  <c r="K1081" i="50" s="1"/>
  <c r="V503" i="42"/>
  <c r="V504" i="42" s="1"/>
  <c r="J2272" i="50" s="1"/>
  <c r="K1002" i="50"/>
  <c r="K1003" i="50" s="1"/>
  <c r="K1007" i="37" s="1"/>
  <c r="K1009" i="37" s="1"/>
  <c r="K1010" i="37" s="1"/>
  <c r="K1078" i="50" s="1"/>
  <c r="L983" i="50" s="1"/>
  <c r="N1234" i="50"/>
  <c r="N1164" i="50"/>
  <c r="N1178" i="50"/>
  <c r="N1152" i="50"/>
  <c r="N1192" i="50"/>
  <c r="N1206" i="50"/>
  <c r="W951" i="42"/>
  <c r="K939" i="42"/>
  <c r="L1992" i="50"/>
  <c r="L1981" i="50"/>
  <c r="L1985" i="50" s="1"/>
  <c r="L2009" i="50"/>
  <c r="L2013" i="50" s="1"/>
  <c r="L2034" i="50"/>
  <c r="L2020" i="50"/>
  <c r="L1969" i="50"/>
  <c r="L1973" i="50" s="1"/>
  <c r="K579" i="50"/>
  <c r="L1213" i="50"/>
  <c r="L1329" i="50"/>
  <c r="L1199" i="50"/>
  <c r="N1220" i="50"/>
  <c r="N407" i="47"/>
  <c r="N1247" i="50" s="1"/>
  <c r="L1160" i="50"/>
  <c r="L1357" i="50"/>
  <c r="L503" i="50"/>
  <c r="M38" i="37"/>
  <c r="M1815" i="50" s="1"/>
  <c r="L575" i="50"/>
  <c r="M276" i="37"/>
  <c r="AB784" i="37"/>
  <c r="AA784" i="37" s="1"/>
  <c r="Z784" i="37" s="1"/>
  <c r="AC785" i="37"/>
  <c r="AA2070" i="37"/>
  <c r="Z2070" i="37" s="1"/>
  <c r="M532" i="50"/>
  <c r="N93" i="37"/>
  <c r="N532" i="50" s="1"/>
  <c r="K2205" i="50"/>
  <c r="K497" i="50"/>
  <c r="AB2071" i="37"/>
  <c r="AA2071" i="37" s="1"/>
  <c r="Z2071" i="37" s="1"/>
  <c r="AC2072" i="37"/>
  <c r="M2478" i="50"/>
  <c r="M2479" i="50" s="1"/>
  <c r="M2487" i="50" s="1"/>
  <c r="M2488" i="50" s="1"/>
  <c r="M1104" i="42" s="1"/>
  <c r="M1106" i="42" s="1"/>
  <c r="M1107" i="42" s="1"/>
  <c r="M2493" i="50" s="1"/>
  <c r="L2494" i="50"/>
  <c r="L2540" i="50" s="1"/>
  <c r="L2583" i="50" s="1"/>
  <c r="K1072" i="50"/>
  <c r="K1073" i="50" s="1"/>
  <c r="K1245" i="37" s="1"/>
  <c r="N2669" i="37"/>
  <c r="N1844" i="50" s="1"/>
  <c r="M1844" i="50"/>
  <c r="N2614" i="37"/>
  <c r="K509" i="50"/>
  <c r="M1833" i="50"/>
  <c r="N2644" i="37"/>
  <c r="N1833" i="50" s="1"/>
  <c r="K1030" i="50"/>
  <c r="K1031" i="50" s="1"/>
  <c r="K1062" i="37" s="1"/>
  <c r="K1064" i="37" s="1"/>
  <c r="K1065" i="37" s="1"/>
  <c r="K1079" i="50" s="1"/>
  <c r="AB1105" i="37"/>
  <c r="AC1106" i="37"/>
  <c r="L1317" i="50"/>
  <c r="L1554" i="50"/>
  <c r="L1475" i="50"/>
  <c r="L1498" i="50"/>
  <c r="L1512" i="50"/>
  <c r="L1526" i="50"/>
  <c r="K1576" i="50"/>
  <c r="L1540" i="50"/>
  <c r="AB2393" i="37"/>
  <c r="AA2393" i="37" s="1"/>
  <c r="Z2393" i="37" s="1"/>
  <c r="AC2394" i="37"/>
  <c r="L1212" i="50"/>
  <c r="L1170" i="50"/>
  <c r="L1184" i="50"/>
  <c r="L1147" i="50"/>
  <c r="L1226" i="50"/>
  <c r="L1235" i="50" s="1"/>
  <c r="L1198" i="50"/>
  <c r="K1248" i="50"/>
  <c r="AC140" i="37"/>
  <c r="AB139" i="37"/>
  <c r="AA139" i="37" s="1"/>
  <c r="Z139" i="37" s="1"/>
  <c r="K1805" i="50"/>
  <c r="K1809" i="50" s="1"/>
  <c r="K1892" i="50" s="1"/>
  <c r="K1893" i="50" s="1"/>
  <c r="K2855" i="37" s="1"/>
  <c r="K2857" i="37" s="1"/>
  <c r="K2858" i="37" s="1"/>
  <c r="K1900" i="50" s="1"/>
  <c r="K1870" i="50"/>
  <c r="K1856" i="50"/>
  <c r="K1817" i="50"/>
  <c r="K1821" i="50" s="1"/>
  <c r="K1828" i="50"/>
  <c r="K1835" i="50" s="1"/>
  <c r="K1845" i="50"/>
  <c r="K1849" i="50" s="1"/>
  <c r="J1904" i="50"/>
  <c r="J2532" i="50" s="1"/>
  <c r="J2575" i="50" s="1"/>
  <c r="J2597" i="50" s="1"/>
  <c r="M2852" i="37"/>
  <c r="L1887" i="50"/>
  <c r="L995" i="50"/>
  <c r="M1004" i="37"/>
  <c r="K2535" i="37"/>
  <c r="K2536" i="37"/>
  <c r="K1736" i="50" s="1"/>
  <c r="V29" i="42"/>
  <c r="M1669" i="50"/>
  <c r="N2322" i="37"/>
  <c r="N1669" i="50" s="1"/>
  <c r="AA461" i="37"/>
  <c r="Z461" i="37" s="1"/>
  <c r="AA138" i="37"/>
  <c r="Z138" i="37" s="1"/>
  <c r="M1013" i="50"/>
  <c r="N1034" i="37"/>
  <c r="N1013" i="50" s="1"/>
  <c r="AB1428" i="37"/>
  <c r="AA1428" i="37" s="1"/>
  <c r="Z1428" i="37" s="1"/>
  <c r="AC1429" i="37"/>
  <c r="L1541" i="50"/>
  <c r="L1476" i="50"/>
  <c r="L1555" i="50"/>
  <c r="L1488" i="50"/>
  <c r="L1527" i="50"/>
  <c r="L1499" i="50"/>
  <c r="AB3038" i="37"/>
  <c r="AA3038" i="37" s="1"/>
  <c r="Z3038" i="37" s="1"/>
  <c r="AC3039" i="37"/>
  <c r="AB462" i="37"/>
  <c r="AA462" i="37" s="1"/>
  <c r="Z462" i="37" s="1"/>
  <c r="AC463" i="37"/>
  <c r="AB1750" i="37"/>
  <c r="AA1750" i="37" s="1"/>
  <c r="Z1750" i="37" s="1"/>
  <c r="AC1751" i="37"/>
  <c r="V268" i="42"/>
  <c r="J268" i="42" s="1"/>
  <c r="J2207" i="50" s="1"/>
  <c r="J2208" i="50" s="1"/>
  <c r="J2209" i="50" s="1"/>
  <c r="J2210" i="50" s="1"/>
  <c r="J390" i="42" s="1"/>
  <c r="L1528" i="50"/>
  <c r="L1489" i="50"/>
  <c r="L1542" i="50"/>
  <c r="L1477" i="50"/>
  <c r="L1500" i="50"/>
  <c r="L1507" i="50" s="1"/>
  <c r="L1517" i="50"/>
  <c r="AC2716" i="37"/>
  <c r="AB2715" i="37"/>
  <c r="K537" i="50"/>
  <c r="AA1749" i="37"/>
  <c r="Z1749" i="37" s="1"/>
  <c r="M1159" i="50"/>
  <c r="N1326" i="37"/>
  <c r="L763" i="42"/>
  <c r="M667" i="50" l="1"/>
  <c r="M831" i="50"/>
  <c r="M1651" i="50"/>
  <c r="M1323" i="50"/>
  <c r="M1487" i="50"/>
  <c r="M1979" i="50"/>
  <c r="L908" i="50"/>
  <c r="L909" i="50" s="1"/>
  <c r="L923" i="37" s="1"/>
  <c r="L925" i="37" s="1"/>
  <c r="L1149" i="50"/>
  <c r="L1214" i="50"/>
  <c r="M692" i="50"/>
  <c r="M734" i="50"/>
  <c r="M720" i="50"/>
  <c r="M706" i="50"/>
  <c r="M655" i="50"/>
  <c r="L604" i="37"/>
  <c r="L752" i="50" s="1"/>
  <c r="M680" i="50" s="1"/>
  <c r="M707" i="50"/>
  <c r="L838" i="50"/>
  <c r="L839" i="50" s="1"/>
  <c r="L685" i="37" s="1"/>
  <c r="L687" i="37" s="1"/>
  <c r="L688" i="37" s="1"/>
  <c r="L914" i="50" s="1"/>
  <c r="M884" i="50" s="1"/>
  <c r="L852" i="50"/>
  <c r="L853" i="50" s="1"/>
  <c r="L715" i="37" s="1"/>
  <c r="L717" i="37" s="1"/>
  <c r="L718" i="37" s="1"/>
  <c r="L918" i="50" s="1"/>
  <c r="M863" i="50" s="1"/>
  <c r="M679" i="50"/>
  <c r="L2056" i="50"/>
  <c r="L2057" i="50" s="1"/>
  <c r="L3177" i="37" s="1"/>
  <c r="L3180" i="37" s="1"/>
  <c r="L2064" i="50" s="1"/>
  <c r="M2034" i="50" s="1"/>
  <c r="L866" i="50"/>
  <c r="L867" i="50" s="1"/>
  <c r="L740" i="37" s="1"/>
  <c r="L742" i="37" s="1"/>
  <c r="L743" i="37" s="1"/>
  <c r="L915" i="50" s="1"/>
  <c r="M899" i="50" s="1"/>
  <c r="M735" i="50"/>
  <c r="M721" i="50"/>
  <c r="M656" i="50"/>
  <c r="L1400" i="50"/>
  <c r="L1401" i="50" s="1"/>
  <c r="L1889" i="37" s="1"/>
  <c r="L1892" i="37" s="1"/>
  <c r="L1408" i="50" s="1"/>
  <c r="L1200" i="50"/>
  <c r="L1189" i="50"/>
  <c r="L1193" i="50" s="1"/>
  <c r="L1027" i="50"/>
  <c r="L1069" i="50"/>
  <c r="L999" i="50"/>
  <c r="L1041" i="50"/>
  <c r="L1052" i="50"/>
  <c r="L1153" i="50"/>
  <c r="L1236" i="50" s="1"/>
  <c r="L1237" i="50" s="1"/>
  <c r="L1567" i="37" s="1"/>
  <c r="K538" i="50"/>
  <c r="K539" i="50" s="1"/>
  <c r="K96" i="37" s="1"/>
  <c r="K98" i="37" s="1"/>
  <c r="K99" i="37" s="1"/>
  <c r="K587" i="50" s="1"/>
  <c r="L515" i="50" s="1"/>
  <c r="L523" i="50" s="1"/>
  <c r="L1727" i="50"/>
  <c r="K580" i="50"/>
  <c r="K581" i="50" s="1"/>
  <c r="K279" i="37" s="1"/>
  <c r="K281" i="37" s="1"/>
  <c r="K282" i="37" s="1"/>
  <c r="K588" i="50" s="1"/>
  <c r="L558" i="50" s="1"/>
  <c r="L1172" i="50"/>
  <c r="L2341" i="50"/>
  <c r="T2342" i="50" s="1"/>
  <c r="L2342" i="50" s="1"/>
  <c r="L1358" i="50"/>
  <c r="L1359" i="50" s="1"/>
  <c r="L1706" i="37" s="1"/>
  <c r="L1708" i="37" s="1"/>
  <c r="L1709" i="37" s="1"/>
  <c r="L1407" i="50" s="1"/>
  <c r="M1391" i="50" s="1"/>
  <c r="K1850" i="50"/>
  <c r="K1851" i="50" s="1"/>
  <c r="K2672" i="37" s="1"/>
  <c r="K2674" i="37" s="1"/>
  <c r="K2675" i="37" s="1"/>
  <c r="K1899" i="50" s="1"/>
  <c r="L1804" i="50" s="1"/>
  <c r="N2439" i="50"/>
  <c r="N2440" i="50" s="1"/>
  <c r="N2448" i="50" s="1"/>
  <c r="N2449" i="50" s="1"/>
  <c r="N1004" i="42" s="1"/>
  <c r="N1006" i="42" s="1"/>
  <c r="N1007" i="42" s="1"/>
  <c r="N2454" i="50" s="1"/>
  <c r="N2455" i="50" s="1"/>
  <c r="M2455" i="50"/>
  <c r="M2539" i="50" s="1"/>
  <c r="M2582" i="50" s="1"/>
  <c r="J504" i="42"/>
  <c r="V505" i="42" s="1"/>
  <c r="J505" i="42" s="1"/>
  <c r="J2273" i="50" s="1"/>
  <c r="J2274" i="50" s="1"/>
  <c r="J2275" i="50" s="1"/>
  <c r="J2276" i="50" s="1"/>
  <c r="J508" i="42" s="1"/>
  <c r="J510" i="42" s="1"/>
  <c r="J511" i="42" s="1"/>
  <c r="J2281" i="50" s="1"/>
  <c r="J2282" i="50" s="1"/>
  <c r="J2536" i="50" s="1"/>
  <c r="J2579" i="50" s="1"/>
  <c r="J2601" i="50" s="1"/>
  <c r="W229" i="47"/>
  <c r="L1034" i="50"/>
  <c r="L1006" i="50"/>
  <c r="L1165" i="50"/>
  <c r="L1048" i="50"/>
  <c r="L2014" i="50"/>
  <c r="L2015" i="50" s="1"/>
  <c r="L2994" i="37" s="1"/>
  <c r="L2996" i="37" s="1"/>
  <c r="L2997" i="37" s="1"/>
  <c r="L2063" i="50" s="1"/>
  <c r="M1968" i="50" s="1"/>
  <c r="L1020" i="50"/>
  <c r="L1062" i="50"/>
  <c r="K1836" i="50"/>
  <c r="K1837" i="50" s="1"/>
  <c r="K2647" i="37" s="1"/>
  <c r="K2649" i="37" s="1"/>
  <c r="K2650" i="37" s="1"/>
  <c r="K1902" i="50" s="1"/>
  <c r="L1819" i="50" s="1"/>
  <c r="L1986" i="50"/>
  <c r="L1987" i="50" s="1"/>
  <c r="L2939" i="37" s="1"/>
  <c r="L2941" i="37" s="1"/>
  <c r="L2942" i="37" s="1"/>
  <c r="L2062" i="50" s="1"/>
  <c r="L1521" i="50"/>
  <c r="K950" i="42"/>
  <c r="AF943" i="42"/>
  <c r="K2398" i="50"/>
  <c r="S2399" i="50" s="1"/>
  <c r="K2399" i="50" s="1"/>
  <c r="AA1105" i="37"/>
  <c r="Z1105" i="37" s="1"/>
  <c r="AB1751" i="37"/>
  <c r="AA1751" i="37" s="1"/>
  <c r="Z1751" i="37" s="1"/>
  <c r="AC1752" i="37"/>
  <c r="AB1752" i="37" s="1"/>
  <c r="AC1430" i="37"/>
  <c r="AB1430" i="37" s="1"/>
  <c r="AB1429" i="37"/>
  <c r="AA1429" i="37" s="1"/>
  <c r="Z1429" i="37" s="1"/>
  <c r="N2852" i="37"/>
  <c r="N1887" i="50" s="1"/>
  <c r="M1887" i="50"/>
  <c r="L1009" i="50"/>
  <c r="L1068" i="50"/>
  <c r="L986" i="50"/>
  <c r="L1051" i="50"/>
  <c r="L1057" i="50" s="1"/>
  <c r="L1058" i="50" s="1"/>
  <c r="L1059" i="50" s="1"/>
  <c r="L998" i="50"/>
  <c r="L1026" i="50"/>
  <c r="AC1107" i="37"/>
  <c r="AB1106" i="37"/>
  <c r="AA1106" i="37" s="1"/>
  <c r="Z1106" i="37" s="1"/>
  <c r="K510" i="50"/>
  <c r="K511" i="50" s="1"/>
  <c r="K41" i="37" s="1"/>
  <c r="K43" i="37" s="1"/>
  <c r="K44" i="37" s="1"/>
  <c r="K586" i="50" s="1"/>
  <c r="M575" i="50"/>
  <c r="N276" i="37"/>
  <c r="N575" i="50" s="1"/>
  <c r="L756" i="50"/>
  <c r="N2478" i="50"/>
  <c r="N2479" i="50" s="1"/>
  <c r="N2487" i="50" s="1"/>
  <c r="N2488" i="50" s="1"/>
  <c r="N1104" i="42" s="1"/>
  <c r="N1106" i="42" s="1"/>
  <c r="N1107" i="42" s="1"/>
  <c r="N2493" i="50" s="1"/>
  <c r="N2494" i="50" s="1"/>
  <c r="M2494" i="50"/>
  <c r="M2540" i="50" s="1"/>
  <c r="M2583" i="50" s="1"/>
  <c r="M503" i="50"/>
  <c r="N38" i="37"/>
  <c r="AC141" i="37"/>
  <c r="AB140" i="37"/>
  <c r="AA140" i="37" s="1"/>
  <c r="Z140" i="37" s="1"/>
  <c r="L1481" i="50"/>
  <c r="AA2715" i="37"/>
  <c r="Z2715" i="37" s="1"/>
  <c r="L1221" i="50"/>
  <c r="L1493" i="50"/>
  <c r="V30" i="42"/>
  <c r="J2139" i="50" s="1"/>
  <c r="K1822" i="50"/>
  <c r="K1823" i="50" s="1"/>
  <c r="K2617" i="37" s="1"/>
  <c r="K2619" i="37" s="1"/>
  <c r="K2620" i="37" s="1"/>
  <c r="K1898" i="50" s="1"/>
  <c r="L1330" i="50"/>
  <c r="L1331" i="50" s="1"/>
  <c r="L1651" i="37" s="1"/>
  <c r="L1653" i="37" s="1"/>
  <c r="L1654" i="37" s="1"/>
  <c r="L1406" i="50" s="1"/>
  <c r="AB2394" i="37"/>
  <c r="AA2394" i="37" s="1"/>
  <c r="Z2394" i="37" s="1"/>
  <c r="AC2395" i="37"/>
  <c r="L1563" i="50"/>
  <c r="L1007" i="50"/>
  <c r="L996" i="50"/>
  <c r="L1063" i="50"/>
  <c r="L1035" i="50"/>
  <c r="L984" i="50"/>
  <c r="L1049" i="50"/>
  <c r="AC2073" i="37"/>
  <c r="AB2072" i="37"/>
  <c r="AA2072" i="37" s="1"/>
  <c r="Z2072" i="37" s="1"/>
  <c r="AB785" i="37"/>
  <c r="AA785" i="37" s="1"/>
  <c r="Z785" i="37" s="1"/>
  <c r="AC786" i="37"/>
  <c r="AB786" i="37" s="1"/>
  <c r="AB463" i="37"/>
  <c r="AA463" i="37" s="1"/>
  <c r="Z463" i="37" s="1"/>
  <c r="AC464" i="37"/>
  <c r="AB464" i="37" s="1"/>
  <c r="L926" i="37"/>
  <c r="L916" i="50" s="1"/>
  <c r="V406" i="42"/>
  <c r="J394" i="42"/>
  <c r="J405" i="42" s="1"/>
  <c r="L1653" i="50"/>
  <c r="L1657" i="50" s="1"/>
  <c r="L1641" i="50"/>
  <c r="L1645" i="50" s="1"/>
  <c r="L1692" i="50"/>
  <c r="L1681" i="50"/>
  <c r="L1685" i="50" s="1"/>
  <c r="L1706" i="50"/>
  <c r="L1664" i="50"/>
  <c r="L1671" i="50" s="1"/>
  <c r="K1740" i="50"/>
  <c r="K1248" i="37"/>
  <c r="K1080" i="50" s="1"/>
  <c r="K1247" i="37"/>
  <c r="AC2717" i="37"/>
  <c r="AB2716" i="37"/>
  <c r="AA2716" i="37" s="1"/>
  <c r="Z2716" i="37" s="1"/>
  <c r="AD367" i="42"/>
  <c r="AC367" i="42"/>
  <c r="AB367" i="42" s="1"/>
  <c r="AD368" i="42"/>
  <c r="AC365" i="42"/>
  <c r="AB365" i="42" s="1"/>
  <c r="AC368" i="42"/>
  <c r="AB368" i="42" s="1"/>
  <c r="AD369" i="42"/>
  <c r="AD366" i="42"/>
  <c r="AD365" i="42"/>
  <c r="AC369" i="42"/>
  <c r="AB369" i="42" s="1"/>
  <c r="AC366" i="42"/>
  <c r="AB366" i="42" s="1"/>
  <c r="AC3040" i="37"/>
  <c r="AB3040" i="37" s="1"/>
  <c r="AB3039" i="37"/>
  <c r="AA3039" i="37" s="1"/>
  <c r="Z3039" i="37" s="1"/>
  <c r="M995" i="50"/>
  <c r="N1004" i="37"/>
  <c r="L1805" i="50"/>
  <c r="L1817" i="50"/>
  <c r="L1856" i="50"/>
  <c r="L1870" i="50"/>
  <c r="L1828" i="50"/>
  <c r="L1845" i="50"/>
  <c r="K268" i="42"/>
  <c r="L764" i="42"/>
  <c r="L2343" i="50"/>
  <c r="M697" i="50" l="1"/>
  <c r="M701" i="50" s="1"/>
  <c r="M722" i="50"/>
  <c r="M669" i="50"/>
  <c r="M673" i="50" s="1"/>
  <c r="N995" i="50"/>
  <c r="N503" i="50"/>
  <c r="N831" i="50"/>
  <c r="N667" i="50"/>
  <c r="N1487" i="50"/>
  <c r="N1323" i="50"/>
  <c r="N1651" i="50"/>
  <c r="N1979" i="50"/>
  <c r="N1815" i="50"/>
  <c r="N1159" i="50"/>
  <c r="M657" i="50"/>
  <c r="M661" i="50" s="1"/>
  <c r="M708" i="50"/>
  <c r="M743" i="50"/>
  <c r="M898" i="50"/>
  <c r="M819" i="50"/>
  <c r="M842" i="50"/>
  <c r="M856" i="50"/>
  <c r="M870" i="50"/>
  <c r="K505" i="42"/>
  <c r="L505" i="42" s="1"/>
  <c r="M888" i="50"/>
  <c r="M905" i="50"/>
  <c r="M835" i="50"/>
  <c r="M871" i="50"/>
  <c r="M832" i="50"/>
  <c r="M843" i="50"/>
  <c r="M877" i="50"/>
  <c r="M823" i="50"/>
  <c r="L920" i="50"/>
  <c r="M820" i="50"/>
  <c r="M885" i="50"/>
  <c r="L3179" i="37"/>
  <c r="M1981" i="50"/>
  <c r="L1891" i="37"/>
  <c r="L533" i="50"/>
  <c r="L516" i="50"/>
  <c r="L544" i="50"/>
  <c r="L571" i="50"/>
  <c r="L492" i="50"/>
  <c r="M1363" i="50"/>
  <c r="L1222" i="50"/>
  <c r="L1223" i="50" s="1"/>
  <c r="L1166" i="50"/>
  <c r="L1167" i="50" s="1"/>
  <c r="L1329" i="37" s="1"/>
  <c r="L1331" i="37" s="1"/>
  <c r="L1332" i="37" s="1"/>
  <c r="L1242" i="50" s="1"/>
  <c r="M1170" i="50" s="1"/>
  <c r="L505" i="50"/>
  <c r="L543" i="50"/>
  <c r="M1324" i="50"/>
  <c r="L493" i="50"/>
  <c r="L504" i="50"/>
  <c r="L557" i="50"/>
  <c r="M1312" i="50"/>
  <c r="L1194" i="50"/>
  <c r="L1195" i="50" s="1"/>
  <c r="L1384" i="37" s="1"/>
  <c r="L1386" i="37" s="1"/>
  <c r="L1387" i="37" s="1"/>
  <c r="L1243" i="50" s="1"/>
  <c r="M1160" i="50" s="1"/>
  <c r="L1872" i="50"/>
  <c r="M1377" i="50"/>
  <c r="M1335" i="50"/>
  <c r="M2009" i="50"/>
  <c r="L1816" i="50"/>
  <c r="L1821" i="50" s="1"/>
  <c r="M2020" i="50"/>
  <c r="L1855" i="50"/>
  <c r="M1969" i="50"/>
  <c r="M1992" i="50"/>
  <c r="M1999" i="50" s="1"/>
  <c r="L1869" i="50"/>
  <c r="L1827" i="50"/>
  <c r="L1883" i="50"/>
  <c r="L1889" i="50"/>
  <c r="L2068" i="50"/>
  <c r="AL365" i="42"/>
  <c r="K2266" i="50"/>
  <c r="K2267" i="50" s="1"/>
  <c r="L1847" i="50"/>
  <c r="U2455" i="50"/>
  <c r="N2539" i="50"/>
  <c r="N2582" i="50" s="1"/>
  <c r="L1071" i="50"/>
  <c r="L1522" i="50"/>
  <c r="L1523" i="50" s="1"/>
  <c r="L2028" i="37" s="1"/>
  <c r="L2030" i="37" s="1"/>
  <c r="L2031" i="37" s="1"/>
  <c r="L1571" i="50" s="1"/>
  <c r="M1488" i="50" s="1"/>
  <c r="M2047" i="50"/>
  <c r="M1980" i="50"/>
  <c r="M2019" i="50"/>
  <c r="M2033" i="50"/>
  <c r="M1991" i="50"/>
  <c r="M2004" i="50"/>
  <c r="M2018" i="50"/>
  <c r="M2032" i="50"/>
  <c r="M1967" i="50"/>
  <c r="M1990" i="50"/>
  <c r="M2046" i="50"/>
  <c r="L1861" i="50"/>
  <c r="L1564" i="50"/>
  <c r="L1565" i="50" s="1"/>
  <c r="L2211" i="37" s="1"/>
  <c r="L2213" i="37" s="1"/>
  <c r="L1494" i="50"/>
  <c r="L1495" i="50" s="1"/>
  <c r="L1973" i="37" s="1"/>
  <c r="L1975" i="37" s="1"/>
  <c r="L1976" i="37" s="1"/>
  <c r="L1570" i="50" s="1"/>
  <c r="M1526" i="50" s="1"/>
  <c r="L1807" i="50"/>
  <c r="K2400" i="50"/>
  <c r="K951" i="42"/>
  <c r="K2405" i="50" s="1"/>
  <c r="K2207" i="50"/>
  <c r="K2208" i="50" s="1"/>
  <c r="L268" i="42"/>
  <c r="AL368" i="42"/>
  <c r="M1325" i="50"/>
  <c r="M1313" i="50"/>
  <c r="M1364" i="50"/>
  <c r="M1378" i="50"/>
  <c r="M1353" i="50"/>
  <c r="M1336" i="50"/>
  <c r="L1658" i="50"/>
  <c r="L1659" i="50" s="1"/>
  <c r="L2295" i="37" s="1"/>
  <c r="L2297" i="37" s="1"/>
  <c r="L2298" i="37" s="1"/>
  <c r="L1734" i="50" s="1"/>
  <c r="AA786" i="37"/>
  <c r="Z786" i="37" s="1"/>
  <c r="AB787" i="37"/>
  <c r="L1570" i="37"/>
  <c r="L1244" i="50" s="1"/>
  <c r="L1569" i="37"/>
  <c r="J2215" i="50"/>
  <c r="R2216" i="50" s="1"/>
  <c r="J2216" i="50" s="1"/>
  <c r="AE398" i="42"/>
  <c r="M1362" i="50"/>
  <c r="M1376" i="50"/>
  <c r="M1334" i="50"/>
  <c r="M1390" i="50"/>
  <c r="M1399" i="50" s="1"/>
  <c r="M1311" i="50"/>
  <c r="M1348" i="50"/>
  <c r="L1412" i="50"/>
  <c r="L570" i="50"/>
  <c r="L514" i="50"/>
  <c r="L556" i="50"/>
  <c r="L542" i="50"/>
  <c r="L491" i="50"/>
  <c r="L528" i="50"/>
  <c r="K592" i="50"/>
  <c r="AA1430" i="37"/>
  <c r="Z1430" i="37" s="1"/>
  <c r="AB1431" i="37"/>
  <c r="L1686" i="50"/>
  <c r="L1687" i="50" s="1"/>
  <c r="L2350" i="37" s="1"/>
  <c r="L2352" i="37" s="1"/>
  <c r="L2353" i="37" s="1"/>
  <c r="L1735" i="50" s="1"/>
  <c r="L1728" i="50"/>
  <c r="L1729" i="50" s="1"/>
  <c r="L2533" i="37" s="1"/>
  <c r="AB2395" i="37"/>
  <c r="AA2395" i="37" s="1"/>
  <c r="Z2395" i="37" s="1"/>
  <c r="AC2396" i="37"/>
  <c r="AB2396" i="37" s="1"/>
  <c r="J2217" i="50"/>
  <c r="J406" i="42"/>
  <c r="J2222" i="50" s="1"/>
  <c r="L1803" i="50"/>
  <c r="L1868" i="50"/>
  <c r="L1826" i="50"/>
  <c r="L1882" i="50"/>
  <c r="L1840" i="50"/>
  <c r="L1854" i="50"/>
  <c r="AL366" i="42"/>
  <c r="AL367" i="42"/>
  <c r="L1672" i="50"/>
  <c r="L1673" i="50" s="1"/>
  <c r="L2325" i="37" s="1"/>
  <c r="L2327" i="37" s="1"/>
  <c r="L2328" i="37" s="1"/>
  <c r="L1738" i="50" s="1"/>
  <c r="AC2074" i="37"/>
  <c r="AB2074" i="37" s="1"/>
  <c r="AB2073" i="37"/>
  <c r="AA2073" i="37" s="1"/>
  <c r="Z2073" i="37" s="1"/>
  <c r="AA1752" i="37"/>
  <c r="Z1752" i="37" s="1"/>
  <c r="AB1753" i="37"/>
  <c r="N2540" i="50"/>
  <c r="N2583" i="50" s="1"/>
  <c r="U2494" i="50"/>
  <c r="AA3040" i="37"/>
  <c r="Z3040" i="37" s="1"/>
  <c r="AB3041" i="37"/>
  <c r="AL369" i="42"/>
  <c r="AB2717" i="37"/>
  <c r="AA2717" i="37" s="1"/>
  <c r="Z2717" i="37" s="1"/>
  <c r="AC2718" i="37"/>
  <c r="AB2718" i="37" s="1"/>
  <c r="M861" i="50"/>
  <c r="M886" i="50"/>
  <c r="M821" i="50"/>
  <c r="M872" i="50"/>
  <c r="M879" i="50" s="1"/>
  <c r="M880" i="50" s="1"/>
  <c r="M881" i="50" s="1"/>
  <c r="M844" i="50"/>
  <c r="M833" i="50"/>
  <c r="K1904" i="50"/>
  <c r="AB1107" i="37"/>
  <c r="AA1107" i="37" s="1"/>
  <c r="Z1107" i="37" s="1"/>
  <c r="AC1108" i="37"/>
  <c r="AB1108" i="37" s="1"/>
  <c r="L1025" i="50"/>
  <c r="L1029" i="50" s="1"/>
  <c r="L985" i="50"/>
  <c r="L989" i="50" s="1"/>
  <c r="L1036" i="50"/>
  <c r="L1043" i="50" s="1"/>
  <c r="L1050" i="50"/>
  <c r="L1008" i="50"/>
  <c r="L1015" i="50" s="1"/>
  <c r="L997" i="50"/>
  <c r="L1001" i="50" s="1"/>
  <c r="K1084" i="50"/>
  <c r="AA464" i="37"/>
  <c r="Z464" i="37" s="1"/>
  <c r="AB465" i="37"/>
  <c r="AB141" i="37"/>
  <c r="AA141" i="37" s="1"/>
  <c r="Z141" i="37" s="1"/>
  <c r="AC142" i="37"/>
  <c r="AB142" i="37" s="1"/>
  <c r="J30" i="42"/>
  <c r="L2348" i="50"/>
  <c r="L1072" i="50" l="1"/>
  <c r="L1073" i="50" s="1"/>
  <c r="L1245" i="37" s="1"/>
  <c r="K2273" i="50"/>
  <c r="K2274" i="50" s="1"/>
  <c r="K2527" i="50"/>
  <c r="K2570" i="50" s="1"/>
  <c r="K2532" i="50"/>
  <c r="K2575" i="50" s="1"/>
  <c r="K2524" i="50"/>
  <c r="K2567" i="50" s="1"/>
  <c r="K2525" i="50"/>
  <c r="K2568" i="50" s="1"/>
  <c r="K2529" i="50"/>
  <c r="K2572" i="50" s="1"/>
  <c r="K2533" i="50"/>
  <c r="K2576" i="50" s="1"/>
  <c r="K2526" i="50"/>
  <c r="K2569" i="50" s="1"/>
  <c r="K2530" i="50"/>
  <c r="K2573" i="50" s="1"/>
  <c r="K2528" i="50"/>
  <c r="K2571" i="50" s="1"/>
  <c r="K2531" i="50"/>
  <c r="K2574" i="50" s="1"/>
  <c r="M744" i="50"/>
  <c r="M745" i="50" s="1"/>
  <c r="M601" i="37" s="1"/>
  <c r="M604" i="37" s="1"/>
  <c r="M752" i="50" s="1"/>
  <c r="N657" i="50" s="1"/>
  <c r="M674" i="50"/>
  <c r="M675" i="50" s="1"/>
  <c r="M363" i="37" s="1"/>
  <c r="M365" i="37" s="1"/>
  <c r="M366" i="37" s="1"/>
  <c r="M750" i="50" s="1"/>
  <c r="N720" i="50" s="1"/>
  <c r="M702" i="50"/>
  <c r="M703" i="50" s="1"/>
  <c r="M418" i="37" s="1"/>
  <c r="M420" i="37" s="1"/>
  <c r="M421" i="37" s="1"/>
  <c r="M751" i="50" s="1"/>
  <c r="N721" i="50" s="1"/>
  <c r="M865" i="50"/>
  <c r="M907" i="50"/>
  <c r="M851" i="50"/>
  <c r="M825" i="50"/>
  <c r="L579" i="50"/>
  <c r="M837" i="50"/>
  <c r="L537" i="50"/>
  <c r="M2013" i="50"/>
  <c r="M1985" i="50"/>
  <c r="L497" i="50"/>
  <c r="M1199" i="50"/>
  <c r="M1207" i="50" s="1"/>
  <c r="M1208" i="50" s="1"/>
  <c r="M1209" i="50" s="1"/>
  <c r="L1849" i="50"/>
  <c r="M1226" i="50"/>
  <c r="M1212" i="50"/>
  <c r="M1198" i="50"/>
  <c r="L509" i="50"/>
  <c r="M1184" i="50"/>
  <c r="M1147" i="50"/>
  <c r="L1835" i="50"/>
  <c r="M1329" i="50"/>
  <c r="L1044" i="50"/>
  <c r="L1045" i="50" s="1"/>
  <c r="L226" i="47" s="1"/>
  <c r="X229" i="47" s="1"/>
  <c r="L1891" i="50"/>
  <c r="M1148" i="50"/>
  <c r="M1213" i="50"/>
  <c r="M1227" i="50"/>
  <c r="M1171" i="50"/>
  <c r="M1317" i="50"/>
  <c r="M1400" i="50" s="1"/>
  <c r="M1401" i="50" s="1"/>
  <c r="M1889" i="37" s="1"/>
  <c r="M1973" i="50"/>
  <c r="M1555" i="50"/>
  <c r="L1002" i="50"/>
  <c r="L1003" i="50" s="1"/>
  <c r="L1007" i="37" s="1"/>
  <c r="L1009" i="37" s="1"/>
  <c r="L1010" i="37" s="1"/>
  <c r="L1078" i="50" s="1"/>
  <c r="M1020" i="50" s="1"/>
  <c r="M1499" i="50"/>
  <c r="L2214" i="37"/>
  <c r="L1572" i="50" s="1"/>
  <c r="M1489" i="50" s="1"/>
  <c r="M1493" i="50" s="1"/>
  <c r="M1527" i="50"/>
  <c r="K2275" i="50"/>
  <c r="K2276" i="50" s="1"/>
  <c r="K508" i="42" s="1"/>
  <c r="K510" i="42" s="1"/>
  <c r="K511" i="42" s="1"/>
  <c r="K2281" i="50" s="1"/>
  <c r="K2282" i="50" s="1"/>
  <c r="K2536" i="50" s="1"/>
  <c r="K2579" i="50" s="1"/>
  <c r="M1541" i="50"/>
  <c r="M1476" i="50"/>
  <c r="M1357" i="50"/>
  <c r="L1809" i="50"/>
  <c r="L1822" i="50" s="1"/>
  <c r="L1823" i="50" s="1"/>
  <c r="L2617" i="37" s="1"/>
  <c r="L2619" i="37" s="1"/>
  <c r="L2620" i="37" s="1"/>
  <c r="L1898" i="50" s="1"/>
  <c r="M2055" i="50"/>
  <c r="M1498" i="50"/>
  <c r="K2406" i="50"/>
  <c r="K2538" i="50" s="1"/>
  <c r="K2581" i="50" s="1"/>
  <c r="L2383" i="50"/>
  <c r="L2384" i="50" s="1"/>
  <c r="L2392" i="50" s="1"/>
  <c r="L2393" i="50" s="1"/>
  <c r="L935" i="42" s="1"/>
  <c r="L1030" i="50"/>
  <c r="L1031" i="50" s="1"/>
  <c r="L1062" i="37" s="1"/>
  <c r="L1064" i="37" s="1"/>
  <c r="L1065" i="37" s="1"/>
  <c r="L1079" i="50" s="1"/>
  <c r="M1063" i="50" s="1"/>
  <c r="M1475" i="50"/>
  <c r="M1540" i="50"/>
  <c r="M1554" i="50"/>
  <c r="M1512" i="50"/>
  <c r="L1016" i="50"/>
  <c r="L1017" i="50" s="1"/>
  <c r="L1037" i="37" s="1"/>
  <c r="L1039" i="37" s="1"/>
  <c r="L1040" i="37" s="1"/>
  <c r="L1082" i="50" s="1"/>
  <c r="M999" i="50" s="1"/>
  <c r="L1248" i="37"/>
  <c r="L1080" i="50" s="1"/>
  <c r="L1247" i="37"/>
  <c r="L1248" i="50"/>
  <c r="M1214" i="50"/>
  <c r="M1161" i="50"/>
  <c r="M1165" i="50" s="1"/>
  <c r="M1189" i="50"/>
  <c r="M1149" i="50"/>
  <c r="M1200" i="50"/>
  <c r="M1172" i="50"/>
  <c r="M1179" i="50" s="1"/>
  <c r="L2207" i="50"/>
  <c r="L2208" i="50" s="1"/>
  <c r="M268" i="42"/>
  <c r="K2200" i="50"/>
  <c r="K2201" i="50" s="1"/>
  <c r="K2209" i="50" s="1"/>
  <c r="K2210" i="50" s="1"/>
  <c r="K390" i="42" s="1"/>
  <c r="J2223" i="50"/>
  <c r="J2535" i="50" s="1"/>
  <c r="J2578" i="50" s="1"/>
  <c r="J2600" i="50" s="1"/>
  <c r="AA2396" i="37"/>
  <c r="Z2396" i="37" s="1"/>
  <c r="AB2397" i="37"/>
  <c r="L2273" i="50"/>
  <c r="L2274" i="50" s="1"/>
  <c r="M505" i="42"/>
  <c r="AA1108" i="37"/>
  <c r="Z1108" i="37" s="1"/>
  <c r="AB1109" i="37"/>
  <c r="M1639" i="50"/>
  <c r="M1676" i="50"/>
  <c r="M1718" i="50"/>
  <c r="M1704" i="50"/>
  <c r="M1662" i="50"/>
  <c r="M1690" i="50"/>
  <c r="T117" i="42"/>
  <c r="V31" i="42"/>
  <c r="J31" i="42" s="1"/>
  <c r="L2535" i="37"/>
  <c r="L2536" i="37"/>
  <c r="L1736" i="50" s="1"/>
  <c r="M1655" i="50"/>
  <c r="M1725" i="50"/>
  <c r="M1683" i="50"/>
  <c r="M1697" i="50"/>
  <c r="M1643" i="50"/>
  <c r="M1708" i="50"/>
  <c r="AA142" i="37"/>
  <c r="Z142" i="37" s="1"/>
  <c r="AB143" i="37"/>
  <c r="AA2718" i="37"/>
  <c r="Z2718" i="37" s="1"/>
  <c r="AB2719" i="37"/>
  <c r="AA2074" i="37"/>
  <c r="Z2074" i="37" s="1"/>
  <c r="AB2075" i="37"/>
  <c r="M1705" i="50"/>
  <c r="M1652" i="50"/>
  <c r="M1640" i="50"/>
  <c r="M1691" i="50"/>
  <c r="M1719" i="50"/>
  <c r="M1663" i="50"/>
  <c r="L2349" i="50"/>
  <c r="L2537" i="50" s="1"/>
  <c r="L2580" i="50" s="1"/>
  <c r="M2326" i="50"/>
  <c r="M2327" i="50" s="1"/>
  <c r="M2335" i="50" s="1"/>
  <c r="M2336" i="50" s="1"/>
  <c r="M748" i="42" s="1"/>
  <c r="N692" i="50" l="1"/>
  <c r="N655" i="50"/>
  <c r="N706" i="50"/>
  <c r="N678" i="50"/>
  <c r="N687" i="50" s="1"/>
  <c r="N734" i="50"/>
  <c r="N697" i="50"/>
  <c r="N708" i="50"/>
  <c r="N722" i="50"/>
  <c r="N669" i="50"/>
  <c r="M603" i="37"/>
  <c r="N680" i="50"/>
  <c r="M866" i="50"/>
  <c r="M867" i="50" s="1"/>
  <c r="M740" i="37" s="1"/>
  <c r="M742" i="37" s="1"/>
  <c r="M743" i="37" s="1"/>
  <c r="M915" i="50" s="1"/>
  <c r="N820" i="50" s="1"/>
  <c r="N735" i="50"/>
  <c r="M756" i="50"/>
  <c r="N656" i="50"/>
  <c r="N679" i="50"/>
  <c r="N668" i="50"/>
  <c r="N673" i="50" s="1"/>
  <c r="M908" i="50"/>
  <c r="M909" i="50" s="1"/>
  <c r="M923" i="37" s="1"/>
  <c r="M925" i="37" s="1"/>
  <c r="N707" i="50"/>
  <c r="M852" i="50"/>
  <c r="M853" i="50" s="1"/>
  <c r="M715" i="37" s="1"/>
  <c r="M717" i="37" s="1"/>
  <c r="M718" i="37" s="1"/>
  <c r="M918" i="50" s="1"/>
  <c r="N863" i="50" s="1"/>
  <c r="M838" i="50"/>
  <c r="M839" i="50" s="1"/>
  <c r="M685" i="37" s="1"/>
  <c r="M687" i="37" s="1"/>
  <c r="M688" i="37" s="1"/>
  <c r="M914" i="50" s="1"/>
  <c r="N856" i="50" s="1"/>
  <c r="L538" i="50"/>
  <c r="L539" i="50" s="1"/>
  <c r="L96" i="37" s="1"/>
  <c r="L98" i="37" s="1"/>
  <c r="L99" i="37" s="1"/>
  <c r="L587" i="50" s="1"/>
  <c r="M571" i="50" s="1"/>
  <c r="L580" i="50"/>
  <c r="L581" i="50" s="1"/>
  <c r="L279" i="37" s="1"/>
  <c r="L281" i="37" s="1"/>
  <c r="L282" i="37" s="1"/>
  <c r="L588" i="50" s="1"/>
  <c r="M516" i="50" s="1"/>
  <c r="M1330" i="50"/>
  <c r="M1331" i="50" s="1"/>
  <c r="M1651" i="37" s="1"/>
  <c r="M1653" i="37" s="1"/>
  <c r="M1654" i="37" s="1"/>
  <c r="M1406" i="50" s="1"/>
  <c r="N1348" i="50" s="1"/>
  <c r="M2014" i="50"/>
  <c r="M2015" i="50" s="1"/>
  <c r="M2994" i="37" s="1"/>
  <c r="M2996" i="37" s="1"/>
  <c r="M2997" i="37" s="1"/>
  <c r="M2063" i="50" s="1"/>
  <c r="N1991" i="50" s="1"/>
  <c r="N1999" i="50" s="1"/>
  <c r="N2000" i="50" s="1"/>
  <c r="N2001" i="50" s="1"/>
  <c r="N2969" i="37" s="1"/>
  <c r="N2971" i="37" s="1"/>
  <c r="N2972" i="37" s="1"/>
  <c r="AK2972" i="37" s="1"/>
  <c r="M1358" i="50"/>
  <c r="M1359" i="50" s="1"/>
  <c r="M1706" i="37" s="1"/>
  <c r="M1708" i="37" s="1"/>
  <c r="M1709" i="37" s="1"/>
  <c r="M1407" i="50" s="1"/>
  <c r="N1363" i="50" s="1"/>
  <c r="L510" i="50"/>
  <c r="L511" i="50" s="1"/>
  <c r="L41" i="37" s="1"/>
  <c r="L43" i="37" s="1"/>
  <c r="L44" i="37" s="1"/>
  <c r="L586" i="50" s="1"/>
  <c r="M1193" i="50"/>
  <c r="M1221" i="50"/>
  <c r="M1235" i="50"/>
  <c r="M1528" i="50"/>
  <c r="M1535" i="50" s="1"/>
  <c r="M1536" i="50" s="1"/>
  <c r="M1537" i="50" s="1"/>
  <c r="M1153" i="50"/>
  <c r="M1166" i="50" s="1"/>
  <c r="M1167" i="50" s="1"/>
  <c r="M1329" i="37" s="1"/>
  <c r="M1331" i="37" s="1"/>
  <c r="M1332" i="37" s="1"/>
  <c r="M1500" i="50"/>
  <c r="M1507" i="50" s="1"/>
  <c r="M2056" i="50"/>
  <c r="M2057" i="50" s="1"/>
  <c r="M3177" i="37" s="1"/>
  <c r="M3180" i="37" s="1"/>
  <c r="M2064" i="50" s="1"/>
  <c r="N1969" i="50" s="1"/>
  <c r="M1477" i="50"/>
  <c r="M1481" i="50" s="1"/>
  <c r="L1576" i="50"/>
  <c r="M1542" i="50"/>
  <c r="L228" i="47"/>
  <c r="L229" i="47" s="1"/>
  <c r="L1081" i="50" s="1"/>
  <c r="M1026" i="50" s="1"/>
  <c r="M1034" i="50"/>
  <c r="M1048" i="50"/>
  <c r="M1057" i="50" s="1"/>
  <c r="M1058" i="50" s="1"/>
  <c r="M1059" i="50" s="1"/>
  <c r="M983" i="50"/>
  <c r="M1986" i="50"/>
  <c r="M1987" i="50" s="1"/>
  <c r="M2939" i="37" s="1"/>
  <c r="M2941" i="37" s="1"/>
  <c r="M2942" i="37" s="1"/>
  <c r="M2062" i="50" s="1"/>
  <c r="N2018" i="50" s="1"/>
  <c r="M1006" i="50"/>
  <c r="M1062" i="50"/>
  <c r="M1563" i="50"/>
  <c r="L2266" i="50"/>
  <c r="L2267" i="50" s="1"/>
  <c r="L2275" i="50" s="1"/>
  <c r="L2276" i="50" s="1"/>
  <c r="L508" i="42" s="1"/>
  <c r="L510" i="42" s="1"/>
  <c r="L511" i="42" s="1"/>
  <c r="L2281" i="50" s="1"/>
  <c r="M2266" i="50" s="1"/>
  <c r="M2267" i="50" s="1"/>
  <c r="M1517" i="50"/>
  <c r="M1521" i="50" s="1"/>
  <c r="M987" i="50"/>
  <c r="M1803" i="50"/>
  <c r="M1840" i="50"/>
  <c r="M1854" i="50"/>
  <c r="M1868" i="50"/>
  <c r="M1826" i="50"/>
  <c r="L1836" i="50"/>
  <c r="L1837" i="50" s="1"/>
  <c r="L2647" i="37" s="1"/>
  <c r="L2649" i="37" s="1"/>
  <c r="L2650" i="37" s="1"/>
  <c r="L1902" i="50" s="1"/>
  <c r="L1892" i="50"/>
  <c r="L1893" i="50" s="1"/>
  <c r="L2855" i="37" s="1"/>
  <c r="L2857" i="37" s="1"/>
  <c r="L2858" i="37" s="1"/>
  <c r="L1900" i="50" s="1"/>
  <c r="M1856" i="50" s="1"/>
  <c r="L1850" i="50"/>
  <c r="L1851" i="50" s="1"/>
  <c r="L2672" i="37" s="1"/>
  <c r="L2674" i="37" s="1"/>
  <c r="L2675" i="37" s="1"/>
  <c r="L1899" i="50" s="1"/>
  <c r="M1804" i="50" s="1"/>
  <c r="M1052" i="50"/>
  <c r="M984" i="50"/>
  <c r="M1882" i="50"/>
  <c r="M1007" i="50"/>
  <c r="M996" i="50"/>
  <c r="N661" i="50"/>
  <c r="M1049" i="50"/>
  <c r="M1035" i="50"/>
  <c r="N743" i="50"/>
  <c r="M1041" i="50"/>
  <c r="M1069" i="50"/>
  <c r="M1027" i="50"/>
  <c r="L939" i="42"/>
  <c r="X951" i="42"/>
  <c r="M1653" i="50"/>
  <c r="M1657" i="50" s="1"/>
  <c r="M1706" i="50"/>
  <c r="M1692" i="50"/>
  <c r="M1664" i="50"/>
  <c r="M1671" i="50" s="1"/>
  <c r="M1641" i="50"/>
  <c r="M1645" i="50" s="1"/>
  <c r="M1681" i="50"/>
  <c r="M1685" i="50" s="1"/>
  <c r="L1740" i="50"/>
  <c r="N701" i="50"/>
  <c r="M2207" i="50"/>
  <c r="M2208" i="50" s="1"/>
  <c r="N268" i="42"/>
  <c r="N2207" i="50" s="1"/>
  <c r="N2208" i="50" s="1"/>
  <c r="M1008" i="50"/>
  <c r="M997" i="50"/>
  <c r="M1025" i="50"/>
  <c r="M985" i="50"/>
  <c r="M1036" i="50"/>
  <c r="M1050" i="50"/>
  <c r="M2273" i="50"/>
  <c r="M2274" i="50" s="1"/>
  <c r="N505" i="42"/>
  <c r="N2273" i="50" s="1"/>
  <c r="N2274" i="50" s="1"/>
  <c r="W406" i="42"/>
  <c r="K394" i="42"/>
  <c r="K405" i="42" s="1"/>
  <c r="K31" i="42"/>
  <c r="J2140" i="50"/>
  <c r="J2141" i="50" s="1"/>
  <c r="J2142" i="50" s="1"/>
  <c r="J2143" i="50" s="1"/>
  <c r="J153" i="42" s="1"/>
  <c r="M1892" i="37"/>
  <c r="M1408" i="50" s="1"/>
  <c r="M1891" i="37"/>
  <c r="M1727" i="50"/>
  <c r="AC134" i="42"/>
  <c r="AB134" i="42" s="1"/>
  <c r="AD132" i="42"/>
  <c r="AD129" i="42"/>
  <c r="AC128" i="42"/>
  <c r="AB128" i="42" s="1"/>
  <c r="AD135" i="42"/>
  <c r="AD134" i="42"/>
  <c r="AC130" i="42"/>
  <c r="AB130" i="42" s="1"/>
  <c r="AD137" i="42"/>
  <c r="AC129" i="42"/>
  <c r="AB129" i="42" s="1"/>
  <c r="AC131" i="42"/>
  <c r="AB131" i="42" s="1"/>
  <c r="AD133" i="42"/>
  <c r="AC133" i="42"/>
  <c r="AB133" i="42" s="1"/>
  <c r="AD130" i="42"/>
  <c r="AD128" i="42"/>
  <c r="AC132" i="42"/>
  <c r="AB132" i="42" s="1"/>
  <c r="AC135" i="42"/>
  <c r="AB135" i="42" s="1"/>
  <c r="AC137" i="42"/>
  <c r="AB137" i="42" s="1"/>
  <c r="AD131" i="42"/>
  <c r="M926" i="37"/>
  <c r="M916" i="50" s="1"/>
  <c r="M752" i="42"/>
  <c r="Y764" i="42"/>
  <c r="M763" i="42"/>
  <c r="N870" i="50" l="1"/>
  <c r="N879" i="50" s="1"/>
  <c r="N880" i="50" s="1"/>
  <c r="N881" i="50" s="1"/>
  <c r="N885" i="50"/>
  <c r="N899" i="50"/>
  <c r="N842" i="50"/>
  <c r="N1376" i="50"/>
  <c r="N1390" i="50"/>
  <c r="N1311" i="50"/>
  <c r="N898" i="50"/>
  <c r="N843" i="50"/>
  <c r="N835" i="50"/>
  <c r="N884" i="50"/>
  <c r="M920" i="50"/>
  <c r="N871" i="50"/>
  <c r="N832" i="50"/>
  <c r="N823" i="50"/>
  <c r="N888" i="50"/>
  <c r="N877" i="50"/>
  <c r="N905" i="50"/>
  <c r="N907" i="50" s="1"/>
  <c r="N819" i="50"/>
  <c r="M543" i="50"/>
  <c r="M492" i="50"/>
  <c r="M504" i="50"/>
  <c r="M557" i="50"/>
  <c r="M515" i="50"/>
  <c r="N1362" i="50"/>
  <c r="M558" i="50"/>
  <c r="M493" i="50"/>
  <c r="N1334" i="50"/>
  <c r="M533" i="50"/>
  <c r="M505" i="50"/>
  <c r="M544" i="50"/>
  <c r="L1084" i="50"/>
  <c r="M986" i="50"/>
  <c r="M989" i="50" s="1"/>
  <c r="N1335" i="50"/>
  <c r="N1324" i="50"/>
  <c r="N1391" i="50"/>
  <c r="N1399" i="50" s="1"/>
  <c r="N1377" i="50"/>
  <c r="N1312" i="50"/>
  <c r="N1980" i="50"/>
  <c r="N1968" i="50"/>
  <c r="N2019" i="50"/>
  <c r="N2047" i="50"/>
  <c r="N674" i="50"/>
  <c r="N675" i="50" s="1"/>
  <c r="N363" i="37" s="1"/>
  <c r="N365" i="37" s="1"/>
  <c r="N366" i="37" s="1"/>
  <c r="AK366" i="37" s="1"/>
  <c r="N2033" i="50"/>
  <c r="M1194" i="50"/>
  <c r="M1195" i="50" s="1"/>
  <c r="M1384" i="37" s="1"/>
  <c r="M1386" i="37" s="1"/>
  <c r="M1387" i="37" s="1"/>
  <c r="M1243" i="50" s="1"/>
  <c r="N1227" i="50" s="1"/>
  <c r="M1236" i="50"/>
  <c r="M1237" i="50" s="1"/>
  <c r="M1567" i="37" s="1"/>
  <c r="M1570" i="37" s="1"/>
  <c r="M1244" i="50" s="1"/>
  <c r="M1222" i="50"/>
  <c r="M1223" i="50" s="1"/>
  <c r="N2034" i="50"/>
  <c r="N1992" i="50"/>
  <c r="N2020" i="50"/>
  <c r="N744" i="50"/>
  <c r="N745" i="50" s="1"/>
  <c r="N601" i="37" s="1"/>
  <c r="N604" i="37" s="1"/>
  <c r="N752" i="50" s="1"/>
  <c r="N1981" i="50"/>
  <c r="N2009" i="50"/>
  <c r="M1009" i="50"/>
  <c r="M1015" i="50" s="1"/>
  <c r="M3179" i="37"/>
  <c r="M998" i="50"/>
  <c r="M1001" i="50" s="1"/>
  <c r="M1068" i="50"/>
  <c r="M1071" i="50" s="1"/>
  <c r="M1051" i="50"/>
  <c r="M2068" i="50"/>
  <c r="N1990" i="50"/>
  <c r="N1967" i="50"/>
  <c r="N2032" i="50"/>
  <c r="N2046" i="50"/>
  <c r="N2004" i="50"/>
  <c r="M1869" i="50"/>
  <c r="M1883" i="50"/>
  <c r="M1827" i="50"/>
  <c r="M1816" i="50"/>
  <c r="M1855" i="50"/>
  <c r="M509" i="50"/>
  <c r="N702" i="50"/>
  <c r="N703" i="50" s="1"/>
  <c r="N418" i="37" s="1"/>
  <c r="N420" i="37" s="1"/>
  <c r="N421" i="37" s="1"/>
  <c r="AK421" i="37" s="1"/>
  <c r="M1564" i="50"/>
  <c r="M1565" i="50" s="1"/>
  <c r="M2211" i="37" s="1"/>
  <c r="M2214" i="37" s="1"/>
  <c r="M1572" i="50" s="1"/>
  <c r="M1728" i="50"/>
  <c r="M1729" i="50" s="1"/>
  <c r="M2533" i="37" s="1"/>
  <c r="M2536" i="37" s="1"/>
  <c r="M1736" i="50" s="1"/>
  <c r="L2282" i="50"/>
  <c r="L2536" i="50" s="1"/>
  <c r="L2579" i="50" s="1"/>
  <c r="M1658" i="50"/>
  <c r="M1659" i="50" s="1"/>
  <c r="M2295" i="37" s="1"/>
  <c r="M2297" i="37" s="1"/>
  <c r="M2298" i="37" s="1"/>
  <c r="M1734" i="50" s="1"/>
  <c r="N1676" i="50" s="1"/>
  <c r="M1805" i="50"/>
  <c r="AL133" i="42"/>
  <c r="AL128" i="42"/>
  <c r="M1029" i="50"/>
  <c r="M1817" i="50"/>
  <c r="M1845" i="50"/>
  <c r="AL135" i="42"/>
  <c r="M1870" i="50"/>
  <c r="M1889" i="50"/>
  <c r="M1861" i="50"/>
  <c r="M1847" i="50"/>
  <c r="M1872" i="50"/>
  <c r="M1819" i="50"/>
  <c r="M1807" i="50"/>
  <c r="M1043" i="50"/>
  <c r="M1522" i="50"/>
  <c r="M1523" i="50" s="1"/>
  <c r="M2028" i="37" s="1"/>
  <c r="M2030" i="37" s="1"/>
  <c r="M2031" i="37" s="1"/>
  <c r="M1571" i="50" s="1"/>
  <c r="N1488" i="50" s="1"/>
  <c r="M1828" i="50"/>
  <c r="AL129" i="42"/>
  <c r="M1494" i="50"/>
  <c r="M1495" i="50" s="1"/>
  <c r="M1973" i="37" s="1"/>
  <c r="M1975" i="37" s="1"/>
  <c r="M1976" i="37" s="1"/>
  <c r="M1570" i="50" s="1"/>
  <c r="N1498" i="50" s="1"/>
  <c r="N1507" i="50" s="1"/>
  <c r="L1904" i="50"/>
  <c r="AL137" i="42"/>
  <c r="AL134" i="42"/>
  <c r="M1686" i="50"/>
  <c r="M1687" i="50" s="1"/>
  <c r="M2350" i="37" s="1"/>
  <c r="M2352" i="37" s="1"/>
  <c r="M2353" i="37" s="1"/>
  <c r="M1735" i="50" s="1"/>
  <c r="N1691" i="50" s="1"/>
  <c r="AL130" i="42"/>
  <c r="AG943" i="42"/>
  <c r="L2398" i="50"/>
  <c r="T2399" i="50" s="1"/>
  <c r="L2399" i="50" s="1"/>
  <c r="L950" i="42"/>
  <c r="AL132" i="42"/>
  <c r="M1672" i="50"/>
  <c r="M1673" i="50" s="1"/>
  <c r="M2325" i="37" s="1"/>
  <c r="M2327" i="37" s="1"/>
  <c r="M2328" i="37" s="1"/>
  <c r="M1738" i="50" s="1"/>
  <c r="N1683" i="50" s="1"/>
  <c r="J157" i="42"/>
  <c r="V169" i="42"/>
  <c r="M491" i="50"/>
  <c r="M556" i="50"/>
  <c r="L592" i="50"/>
  <c r="M514" i="50"/>
  <c r="M523" i="50" s="1"/>
  <c r="M528" i="50"/>
  <c r="M537" i="50" s="1"/>
  <c r="M570" i="50"/>
  <c r="M579" i="50" s="1"/>
  <c r="M542" i="50"/>
  <c r="L31" i="42"/>
  <c r="K2140" i="50"/>
  <c r="K2141" i="50" s="1"/>
  <c r="K2215" i="50"/>
  <c r="S2216" i="50" s="1"/>
  <c r="K2216" i="50" s="1"/>
  <c r="AF398" i="42"/>
  <c r="K406" i="42"/>
  <c r="K2222" i="50" s="1"/>
  <c r="K2217" i="50"/>
  <c r="N861" i="50"/>
  <c r="N865" i="50" s="1"/>
  <c r="N821" i="50"/>
  <c r="N825" i="50" s="1"/>
  <c r="N872" i="50"/>
  <c r="N844" i="50"/>
  <c r="N851" i="50" s="1"/>
  <c r="N886" i="50"/>
  <c r="N833" i="50"/>
  <c r="N837" i="50" s="1"/>
  <c r="N1364" i="50"/>
  <c r="N1353" i="50"/>
  <c r="N1357" i="50" s="1"/>
  <c r="N1378" i="50"/>
  <c r="N1336" i="50"/>
  <c r="N1313" i="50"/>
  <c r="N1325" i="50"/>
  <c r="M2275" i="50"/>
  <c r="M2276" i="50" s="1"/>
  <c r="M508" i="42" s="1"/>
  <c r="M510" i="42" s="1"/>
  <c r="M511" i="42" s="1"/>
  <c r="M2281" i="50" s="1"/>
  <c r="AL131" i="42"/>
  <c r="M1412" i="50"/>
  <c r="M1242" i="50"/>
  <c r="M2343" i="50"/>
  <c r="M764" i="42"/>
  <c r="M2341" i="50"/>
  <c r="U2342" i="50" s="1"/>
  <c r="M2342" i="50" s="1"/>
  <c r="AH756" i="42"/>
  <c r="L2524" i="50" l="1"/>
  <c r="L2567" i="50" s="1"/>
  <c r="L2525" i="50"/>
  <c r="L2568" i="50" s="1"/>
  <c r="L2529" i="50"/>
  <c r="L2572" i="50" s="1"/>
  <c r="L2526" i="50"/>
  <c r="L2569" i="50" s="1"/>
  <c r="L2533" i="50"/>
  <c r="L2576" i="50" s="1"/>
  <c r="L2528" i="50"/>
  <c r="L2571" i="50" s="1"/>
  <c r="L2530" i="50"/>
  <c r="L2573" i="50" s="1"/>
  <c r="L2527" i="50"/>
  <c r="L2570" i="50" s="1"/>
  <c r="L2532" i="50"/>
  <c r="L2575" i="50" s="1"/>
  <c r="L2531" i="50"/>
  <c r="L2574" i="50" s="1"/>
  <c r="N1329" i="50"/>
  <c r="M497" i="50"/>
  <c r="N2055" i="50"/>
  <c r="N1317" i="50"/>
  <c r="AK604" i="37"/>
  <c r="N1171" i="50"/>
  <c r="N1213" i="50"/>
  <c r="N1160" i="50"/>
  <c r="N1199" i="50"/>
  <c r="N1148" i="50"/>
  <c r="N1973" i="50"/>
  <c r="N1985" i="50"/>
  <c r="N750" i="50"/>
  <c r="N2013" i="50"/>
  <c r="M1569" i="37"/>
  <c r="N603" i="37"/>
  <c r="M2213" i="37"/>
  <c r="M1002" i="50"/>
  <c r="M1003" i="50" s="1"/>
  <c r="M1007" i="37" s="1"/>
  <c r="M1009" i="37" s="1"/>
  <c r="M1010" i="37" s="1"/>
  <c r="M1078" i="50" s="1"/>
  <c r="N1020" i="50" s="1"/>
  <c r="M1072" i="50"/>
  <c r="M1073" i="50" s="1"/>
  <c r="M1245" i="37" s="1"/>
  <c r="M1247" i="37" s="1"/>
  <c r="N1662" i="50"/>
  <c r="N1475" i="50"/>
  <c r="M1891" i="50"/>
  <c r="N1512" i="50"/>
  <c r="N1718" i="50"/>
  <c r="N1526" i="50"/>
  <c r="N1540" i="50"/>
  <c r="N1554" i="50"/>
  <c r="M1835" i="50"/>
  <c r="N1476" i="50"/>
  <c r="M2535" i="37"/>
  <c r="M1030" i="50"/>
  <c r="M1031" i="50" s="1"/>
  <c r="M1062" i="37" s="1"/>
  <c r="M1064" i="37" s="1"/>
  <c r="M1065" i="37" s="1"/>
  <c r="M1079" i="50" s="1"/>
  <c r="N996" i="50" s="1"/>
  <c r="N1541" i="50"/>
  <c r="M1044" i="50"/>
  <c r="M1045" i="50" s="1"/>
  <c r="M226" i="47" s="1"/>
  <c r="M228" i="47" s="1"/>
  <c r="M229" i="47" s="1"/>
  <c r="M1081" i="50" s="1"/>
  <c r="N1639" i="50"/>
  <c r="M1809" i="50"/>
  <c r="N1704" i="50"/>
  <c r="N751" i="50"/>
  <c r="M510" i="50"/>
  <c r="M511" i="50" s="1"/>
  <c r="M41" i="37" s="1"/>
  <c r="M43" i="37" s="1"/>
  <c r="M44" i="37" s="1"/>
  <c r="M586" i="50" s="1"/>
  <c r="N1690" i="50"/>
  <c r="M1016" i="50"/>
  <c r="M1017" i="50" s="1"/>
  <c r="M1037" i="37" s="1"/>
  <c r="M1039" i="37" s="1"/>
  <c r="M1040" i="37" s="1"/>
  <c r="M1082" i="50" s="1"/>
  <c r="N1027" i="50" s="1"/>
  <c r="M1849" i="50"/>
  <c r="N1499" i="50"/>
  <c r="N1555" i="50"/>
  <c r="N1563" i="50" s="1"/>
  <c r="N908" i="50"/>
  <c r="N909" i="50" s="1"/>
  <c r="N923" i="37" s="1"/>
  <c r="N925" i="37" s="1"/>
  <c r="N1527" i="50"/>
  <c r="N1643" i="50"/>
  <c r="N1719" i="50"/>
  <c r="M1821" i="50"/>
  <c r="N1725" i="50"/>
  <c r="N1663" i="50"/>
  <c r="N1640" i="50"/>
  <c r="N1708" i="50"/>
  <c r="N1652" i="50"/>
  <c r="N1697" i="50"/>
  <c r="N1655" i="50"/>
  <c r="N1705" i="50"/>
  <c r="M1740" i="50"/>
  <c r="N838" i="50"/>
  <c r="N839" i="50" s="1"/>
  <c r="N685" i="37" s="1"/>
  <c r="N687" i="37" s="1"/>
  <c r="N688" i="37" s="1"/>
  <c r="AK688" i="37" s="1"/>
  <c r="N1400" i="50"/>
  <c r="N1401" i="50" s="1"/>
  <c r="N1889" i="37" s="1"/>
  <c r="N1891" i="37" s="1"/>
  <c r="L2400" i="50"/>
  <c r="L951" i="42"/>
  <c r="L2405" i="50" s="1"/>
  <c r="N1161" i="50"/>
  <c r="N1200" i="50"/>
  <c r="N1172" i="50"/>
  <c r="N1149" i="50"/>
  <c r="N1189" i="50"/>
  <c r="N1214" i="50"/>
  <c r="N1212" i="50"/>
  <c r="N1170" i="50"/>
  <c r="N1179" i="50" s="1"/>
  <c r="N1184" i="50"/>
  <c r="N1147" i="50"/>
  <c r="N1226" i="50"/>
  <c r="N1235" i="50" s="1"/>
  <c r="N1198" i="50"/>
  <c r="N1207" i="50" s="1"/>
  <c r="N1208" i="50" s="1"/>
  <c r="N1209" i="50" s="1"/>
  <c r="M1248" i="50"/>
  <c r="N852" i="50"/>
  <c r="N853" i="50" s="1"/>
  <c r="N715" i="37" s="1"/>
  <c r="N717" i="37" s="1"/>
  <c r="N718" i="37" s="1"/>
  <c r="M580" i="50"/>
  <c r="M581" i="50" s="1"/>
  <c r="M279" i="37" s="1"/>
  <c r="M281" i="37" s="1"/>
  <c r="M282" i="37" s="1"/>
  <c r="N2266" i="50"/>
  <c r="N2267" i="50" s="1"/>
  <c r="N2275" i="50" s="1"/>
  <c r="N2276" i="50" s="1"/>
  <c r="N508" i="42" s="1"/>
  <c r="N510" i="42" s="1"/>
  <c r="N511" i="42" s="1"/>
  <c r="N2281" i="50" s="1"/>
  <c r="N2282" i="50" s="1"/>
  <c r="M2282" i="50"/>
  <c r="M2536" i="50" s="1"/>
  <c r="M2579" i="50" s="1"/>
  <c r="M538" i="50"/>
  <c r="M539" i="50" s="1"/>
  <c r="M96" i="37" s="1"/>
  <c r="M98" i="37" s="1"/>
  <c r="M99" i="37" s="1"/>
  <c r="N866" i="50"/>
  <c r="N867" i="50" s="1"/>
  <c r="N740" i="37" s="1"/>
  <c r="N742" i="37" s="1"/>
  <c r="N743" i="37" s="1"/>
  <c r="K2223" i="50"/>
  <c r="K2535" i="50" s="1"/>
  <c r="K2578" i="50" s="1"/>
  <c r="L2200" i="50"/>
  <c r="L2201" i="50" s="1"/>
  <c r="L2209" i="50" s="1"/>
  <c r="L2210" i="50" s="1"/>
  <c r="L390" i="42" s="1"/>
  <c r="M1576" i="50"/>
  <c r="N1542" i="50"/>
  <c r="N1517" i="50"/>
  <c r="N1477" i="50"/>
  <c r="N1489" i="50"/>
  <c r="N1493" i="50" s="1"/>
  <c r="N1500" i="50"/>
  <c r="N1528" i="50"/>
  <c r="N1358" i="50"/>
  <c r="N1359" i="50" s="1"/>
  <c r="N1706" i="37" s="1"/>
  <c r="N1708" i="37" s="1"/>
  <c r="N1709" i="37" s="1"/>
  <c r="J168" i="42"/>
  <c r="AE161" i="42"/>
  <c r="J2148" i="50"/>
  <c r="R2149" i="50" s="1"/>
  <c r="J2149" i="50" s="1"/>
  <c r="L2140" i="50"/>
  <c r="L2141" i="50" s="1"/>
  <c r="M31" i="42"/>
  <c r="N1692" i="50"/>
  <c r="N1641" i="50"/>
  <c r="N1681" i="50"/>
  <c r="N1685" i="50" s="1"/>
  <c r="N1653" i="50"/>
  <c r="N1664" i="50"/>
  <c r="N1706" i="50"/>
  <c r="M2348" i="50"/>
  <c r="N1330" i="50" l="1"/>
  <c r="N1331" i="50" s="1"/>
  <c r="N1651" i="37" s="1"/>
  <c r="N1653" i="37" s="1"/>
  <c r="N1654" i="37" s="1"/>
  <c r="AK1654" i="37" s="1"/>
  <c r="N2056" i="50"/>
  <c r="N2057" i="50" s="1"/>
  <c r="N3177" i="37" s="1"/>
  <c r="N3180" i="37" s="1"/>
  <c r="AK3180" i="37" s="1"/>
  <c r="N1165" i="50"/>
  <c r="N1986" i="50"/>
  <c r="N1987" i="50" s="1"/>
  <c r="N2939" i="37" s="1"/>
  <c r="N2941" i="37" s="1"/>
  <c r="N2942" i="37" s="1"/>
  <c r="N2062" i="50" s="1"/>
  <c r="N2014" i="50"/>
  <c r="N2015" i="50" s="1"/>
  <c r="N2994" i="37" s="1"/>
  <c r="N2996" i="37" s="1"/>
  <c r="N2997" i="37" s="1"/>
  <c r="N2063" i="50" s="1"/>
  <c r="M1248" i="37"/>
  <c r="M1080" i="50" s="1"/>
  <c r="N756" i="50"/>
  <c r="N926" i="37"/>
  <c r="N916" i="50" s="1"/>
  <c r="N1481" i="50"/>
  <c r="N1494" i="50" s="1"/>
  <c r="N1495" i="50" s="1"/>
  <c r="N1973" i="37" s="1"/>
  <c r="N1975" i="37" s="1"/>
  <c r="N1976" i="37" s="1"/>
  <c r="AK1976" i="37" s="1"/>
  <c r="N1521" i="50"/>
  <c r="N1048" i="50"/>
  <c r="N1006" i="50"/>
  <c r="N1035" i="50"/>
  <c r="N1063" i="50"/>
  <c r="N1034" i="50"/>
  <c r="N1062" i="50"/>
  <c r="N983" i="50"/>
  <c r="N1671" i="50"/>
  <c r="M1836" i="50"/>
  <c r="M1837" i="50" s="1"/>
  <c r="M2647" i="37" s="1"/>
  <c r="M2649" i="37" s="1"/>
  <c r="M2650" i="37" s="1"/>
  <c r="M1902" i="50" s="1"/>
  <c r="N1819" i="50" s="1"/>
  <c r="N1007" i="50"/>
  <c r="Y229" i="47"/>
  <c r="N1049" i="50"/>
  <c r="N984" i="50"/>
  <c r="M1850" i="50"/>
  <c r="M1851" i="50" s="1"/>
  <c r="M2672" i="37" s="1"/>
  <c r="M2674" i="37" s="1"/>
  <c r="M2675" i="37" s="1"/>
  <c r="M1899" i="50" s="1"/>
  <c r="N1883" i="50" s="1"/>
  <c r="N1645" i="50"/>
  <c r="N1686" i="50" s="1"/>
  <c r="N1687" i="50" s="1"/>
  <c r="N2350" i="37" s="1"/>
  <c r="N2352" i="37" s="1"/>
  <c r="N2353" i="37" s="1"/>
  <c r="AK2353" i="37" s="1"/>
  <c r="M1892" i="50"/>
  <c r="M1893" i="50" s="1"/>
  <c r="M2855" i="37" s="1"/>
  <c r="M2857" i="37" s="1"/>
  <c r="M2858" i="37" s="1"/>
  <c r="M1900" i="50" s="1"/>
  <c r="N1856" i="50" s="1"/>
  <c r="M1822" i="50"/>
  <c r="M1823" i="50" s="1"/>
  <c r="M2617" i="37" s="1"/>
  <c r="M2619" i="37" s="1"/>
  <c r="M2620" i="37" s="1"/>
  <c r="M1898" i="50" s="1"/>
  <c r="N1826" i="50" s="1"/>
  <c r="N1727" i="50"/>
  <c r="N987" i="50"/>
  <c r="N1892" i="37"/>
  <c r="AK1892" i="37" s="1"/>
  <c r="N1657" i="50"/>
  <c r="N1052" i="50"/>
  <c r="N1069" i="50"/>
  <c r="N1041" i="50"/>
  <c r="N999" i="50"/>
  <c r="N1221" i="50"/>
  <c r="N914" i="50"/>
  <c r="M2383" i="50"/>
  <c r="M2384" i="50" s="1"/>
  <c r="M2392" i="50" s="1"/>
  <c r="M2393" i="50" s="1"/>
  <c r="M935" i="42" s="1"/>
  <c r="L2406" i="50"/>
  <c r="L2538" i="50" s="1"/>
  <c r="L2581" i="50" s="1"/>
  <c r="N915" i="50"/>
  <c r="AK743" i="37"/>
  <c r="U2282" i="50"/>
  <c r="N2536" i="50"/>
  <c r="N2579" i="50" s="1"/>
  <c r="N1153" i="50"/>
  <c r="N1068" i="50"/>
  <c r="N1026" i="50"/>
  <c r="N986" i="50"/>
  <c r="N998" i="50"/>
  <c r="N1009" i="50"/>
  <c r="N1051" i="50"/>
  <c r="N1057" i="50" s="1"/>
  <c r="N1058" i="50" s="1"/>
  <c r="N1059" i="50" s="1"/>
  <c r="N528" i="50"/>
  <c r="N542" i="50"/>
  <c r="N514" i="50"/>
  <c r="N491" i="50"/>
  <c r="N556" i="50"/>
  <c r="N570" i="50"/>
  <c r="M2140" i="50"/>
  <c r="M2141" i="50" s="1"/>
  <c r="N31" i="42"/>
  <c r="N2140" i="50" s="1"/>
  <c r="N2141" i="50" s="1"/>
  <c r="M588" i="50"/>
  <c r="N1193" i="50"/>
  <c r="J2150" i="50"/>
  <c r="J169" i="42"/>
  <c r="J2155" i="50" s="1"/>
  <c r="N1406" i="50"/>
  <c r="AK1709" i="37"/>
  <c r="N1407" i="50"/>
  <c r="AK718" i="37"/>
  <c r="N918" i="50"/>
  <c r="L394" i="42"/>
  <c r="L405" i="42" s="1"/>
  <c r="X406" i="42"/>
  <c r="M587" i="50"/>
  <c r="N2326" i="50"/>
  <c r="N2327" i="50" s="1"/>
  <c r="N2335" i="50" s="1"/>
  <c r="N2336" i="50" s="1"/>
  <c r="N748" i="42" s="1"/>
  <c r="M2349" i="50"/>
  <c r="M2537" i="50" s="1"/>
  <c r="M2580" i="50" s="1"/>
  <c r="AK926" i="37" l="1"/>
  <c r="N2064" i="50"/>
  <c r="N2068" i="50" s="1"/>
  <c r="U2068" i="50" s="1"/>
  <c r="N3179" i="37"/>
  <c r="AK2942" i="37"/>
  <c r="U756" i="50"/>
  <c r="AK2997" i="37"/>
  <c r="N1564" i="50"/>
  <c r="N1565" i="50" s="1"/>
  <c r="N2211" i="37" s="1"/>
  <c r="N2213" i="37" s="1"/>
  <c r="N1522" i="50"/>
  <c r="N1523" i="50" s="1"/>
  <c r="N2028" i="37" s="1"/>
  <c r="N2030" i="37" s="1"/>
  <c r="N2031" i="37" s="1"/>
  <c r="AK2031" i="37" s="1"/>
  <c r="N1889" i="50"/>
  <c r="N1870" i="50"/>
  <c r="N1672" i="50"/>
  <c r="N1673" i="50" s="1"/>
  <c r="N2325" i="37" s="1"/>
  <c r="N2327" i="37" s="1"/>
  <c r="N2328" i="37" s="1"/>
  <c r="N1738" i="50" s="1"/>
  <c r="N1869" i="50"/>
  <c r="N1872" i="50"/>
  <c r="N1827" i="50"/>
  <c r="N1807" i="50"/>
  <c r="N1804" i="50"/>
  <c r="N1861" i="50"/>
  <c r="N1816" i="50"/>
  <c r="N1847" i="50"/>
  <c r="N1828" i="50"/>
  <c r="N1817" i="50"/>
  <c r="N1845" i="50"/>
  <c r="N1805" i="50"/>
  <c r="N1855" i="50"/>
  <c r="N1728" i="50"/>
  <c r="N1729" i="50" s="1"/>
  <c r="N2533" i="37" s="1"/>
  <c r="N2535" i="37" s="1"/>
  <c r="N1658" i="50"/>
  <c r="N1659" i="50" s="1"/>
  <c r="N2295" i="37" s="1"/>
  <c r="N2297" i="37" s="1"/>
  <c r="N2298" i="37" s="1"/>
  <c r="N1734" i="50" s="1"/>
  <c r="M1904" i="50"/>
  <c r="N1854" i="50"/>
  <c r="N1882" i="50"/>
  <c r="N1570" i="50"/>
  <c r="N1408" i="50"/>
  <c r="N1412" i="50" s="1"/>
  <c r="N1840" i="50"/>
  <c r="N1803" i="50"/>
  <c r="N1868" i="50"/>
  <c r="N1071" i="50"/>
  <c r="N1222" i="50"/>
  <c r="N1223" i="50" s="1"/>
  <c r="N1166" i="50"/>
  <c r="N1167" i="50" s="1"/>
  <c r="N1329" i="37" s="1"/>
  <c r="N1331" i="37" s="1"/>
  <c r="N1332" i="37" s="1"/>
  <c r="N1242" i="50" s="1"/>
  <c r="N1735" i="50"/>
  <c r="M939" i="42"/>
  <c r="M950" i="42" s="1"/>
  <c r="Y951" i="42"/>
  <c r="N920" i="50"/>
  <c r="M592" i="50"/>
  <c r="L406" i="42"/>
  <c r="L2222" i="50" s="1"/>
  <c r="L2217" i="50"/>
  <c r="K2133" i="50"/>
  <c r="K2134" i="50" s="1"/>
  <c r="K2142" i="50" s="1"/>
  <c r="K2143" i="50" s="1"/>
  <c r="K153" i="42" s="1"/>
  <c r="J2156" i="50"/>
  <c r="J2534" i="50" s="1"/>
  <c r="N557" i="50"/>
  <c r="N543" i="50"/>
  <c r="N571" i="50"/>
  <c r="N579" i="50" s="1"/>
  <c r="N492" i="50"/>
  <c r="N504" i="50"/>
  <c r="N515" i="50"/>
  <c r="N1008" i="50"/>
  <c r="N1015" i="50" s="1"/>
  <c r="N997" i="50"/>
  <c r="N1001" i="50" s="1"/>
  <c r="N1025" i="50"/>
  <c r="N1029" i="50" s="1"/>
  <c r="N985" i="50"/>
  <c r="N989" i="50" s="1"/>
  <c r="N1050" i="50"/>
  <c r="N1036" i="50"/>
  <c r="N1043" i="50" s="1"/>
  <c r="M1084" i="50"/>
  <c r="N1194" i="50"/>
  <c r="N1195" i="50" s="1"/>
  <c r="N1384" i="37" s="1"/>
  <c r="N1386" i="37" s="1"/>
  <c r="N1387" i="37" s="1"/>
  <c r="N1236" i="50"/>
  <c r="N1237" i="50" s="1"/>
  <c r="N1567" i="37" s="1"/>
  <c r="L2215" i="50"/>
  <c r="T2216" i="50" s="1"/>
  <c r="L2216" i="50" s="1"/>
  <c r="AG398" i="42"/>
  <c r="N544" i="50"/>
  <c r="N505" i="50"/>
  <c r="N558" i="50"/>
  <c r="N533" i="50"/>
  <c r="N537" i="50" s="1"/>
  <c r="N516" i="50"/>
  <c r="N493" i="50"/>
  <c r="N752" i="42"/>
  <c r="Z764" i="42"/>
  <c r="M2527" i="50" l="1"/>
  <c r="M2570" i="50" s="1"/>
  <c r="M2532" i="50"/>
  <c r="M2575" i="50" s="1"/>
  <c r="M2524" i="50"/>
  <c r="M2567" i="50" s="1"/>
  <c r="M2525" i="50"/>
  <c r="M2568" i="50" s="1"/>
  <c r="M2533" i="50"/>
  <c r="M2576" i="50" s="1"/>
  <c r="M2529" i="50"/>
  <c r="M2572" i="50" s="1"/>
  <c r="M2526" i="50"/>
  <c r="M2569" i="50" s="1"/>
  <c r="M2530" i="50"/>
  <c r="M2573" i="50" s="1"/>
  <c r="M2528" i="50"/>
  <c r="M2571" i="50" s="1"/>
  <c r="M2531" i="50"/>
  <c r="M2574" i="50" s="1"/>
  <c r="N1571" i="50"/>
  <c r="N2214" i="37"/>
  <c r="AK2214" i="37" s="1"/>
  <c r="N1891" i="50"/>
  <c r="N1809" i="50"/>
  <c r="N1821" i="50"/>
  <c r="N1835" i="50"/>
  <c r="AK2328" i="37"/>
  <c r="N2536" i="37"/>
  <c r="AK2536" i="37" s="1"/>
  <c r="N1849" i="50"/>
  <c r="AK2298" i="37"/>
  <c r="AK1332" i="37"/>
  <c r="N1072" i="50"/>
  <c r="N1073" i="50" s="1"/>
  <c r="N1245" i="37" s="1"/>
  <c r="N1248" i="37" s="1"/>
  <c r="N509" i="50"/>
  <c r="M951" i="42"/>
  <c r="M2405" i="50" s="1"/>
  <c r="N2383" i="50" s="1"/>
  <c r="N2384" i="50" s="1"/>
  <c r="N2392" i="50" s="1"/>
  <c r="N2393" i="50" s="1"/>
  <c r="N935" i="42" s="1"/>
  <c r="M2400" i="50"/>
  <c r="U920" i="50"/>
  <c r="N1044" i="50"/>
  <c r="N1045" i="50" s="1"/>
  <c r="N226" i="47" s="1"/>
  <c r="N228" i="47" s="1"/>
  <c r="N229" i="47" s="1"/>
  <c r="N1081" i="50" s="1"/>
  <c r="N497" i="50"/>
  <c r="N524" i="50" s="1"/>
  <c r="N525" i="50" s="1"/>
  <c r="N71" i="37" s="1"/>
  <c r="N73" i="37" s="1"/>
  <c r="N74" i="37" s="1"/>
  <c r="AK74" i="37" s="1"/>
  <c r="M2398" i="50"/>
  <c r="U2399" i="50" s="1"/>
  <c r="M2399" i="50" s="1"/>
  <c r="AH943" i="42"/>
  <c r="J2577" i="50"/>
  <c r="J2541" i="50"/>
  <c r="N1030" i="50"/>
  <c r="N1031" i="50" s="1"/>
  <c r="N1062" i="37" s="1"/>
  <c r="N1064" i="37" s="1"/>
  <c r="N1065" i="37" s="1"/>
  <c r="W169" i="42"/>
  <c r="K157" i="42"/>
  <c r="K168" i="42" s="1"/>
  <c r="N1002" i="50"/>
  <c r="N1003" i="50" s="1"/>
  <c r="N1007" i="37" s="1"/>
  <c r="N1009" i="37" s="1"/>
  <c r="N1010" i="37" s="1"/>
  <c r="N1570" i="37"/>
  <c r="N1569" i="37"/>
  <c r="N1016" i="50"/>
  <c r="N1017" i="50" s="1"/>
  <c r="N1037" i="37" s="1"/>
  <c r="N1039" i="37" s="1"/>
  <c r="N1040" i="37" s="1"/>
  <c r="L2223" i="50"/>
  <c r="L2535" i="50" s="1"/>
  <c r="L2578" i="50" s="1"/>
  <c r="M2200" i="50"/>
  <c r="M2201" i="50" s="1"/>
  <c r="M2209" i="50" s="1"/>
  <c r="M2210" i="50" s="1"/>
  <c r="M390" i="42" s="1"/>
  <c r="N1243" i="50"/>
  <c r="AK1387" i="37"/>
  <c r="U1412" i="50"/>
  <c r="N763" i="42"/>
  <c r="AI756" i="42"/>
  <c r="N2341" i="50"/>
  <c r="V2342" i="50" s="1"/>
  <c r="N2342" i="50" s="1"/>
  <c r="N1572" i="50" l="1"/>
  <c r="N1576" i="50" s="1"/>
  <c r="N1736" i="50"/>
  <c r="N1740" i="50" s="1"/>
  <c r="U1740" i="50" s="1"/>
  <c r="N1836" i="50"/>
  <c r="N1837" i="50" s="1"/>
  <c r="N2647" i="37" s="1"/>
  <c r="N2649" i="37" s="1"/>
  <c r="N2650" i="37" s="1"/>
  <c r="AK2650" i="37" s="1"/>
  <c r="N1892" i="50"/>
  <c r="N1893" i="50" s="1"/>
  <c r="N2855" i="37" s="1"/>
  <c r="N2857" i="37" s="1"/>
  <c r="N2858" i="37" s="1"/>
  <c r="N1900" i="50" s="1"/>
  <c r="N1850" i="50"/>
  <c r="N1851" i="50" s="1"/>
  <c r="N2672" i="37" s="1"/>
  <c r="N2674" i="37" s="1"/>
  <c r="N2675" i="37" s="1"/>
  <c r="N1899" i="50" s="1"/>
  <c r="N1822" i="50"/>
  <c r="N1823" i="50" s="1"/>
  <c r="N2617" i="37" s="1"/>
  <c r="N2619" i="37" s="1"/>
  <c r="N2620" i="37" s="1"/>
  <c r="AK2620" i="37" s="1"/>
  <c r="N1247" i="37"/>
  <c r="M2406" i="50"/>
  <c r="M2538" i="50" s="1"/>
  <c r="M2581" i="50" s="1"/>
  <c r="N510" i="50"/>
  <c r="N511" i="50" s="1"/>
  <c r="N41" i="37" s="1"/>
  <c r="N43" i="37" s="1"/>
  <c r="N44" i="37" s="1"/>
  <c r="N586" i="50" s="1"/>
  <c r="Z229" i="47"/>
  <c r="N580" i="50"/>
  <c r="N581" i="50" s="1"/>
  <c r="N279" i="37" s="1"/>
  <c r="N281" i="37" s="1"/>
  <c r="N282" i="37" s="1"/>
  <c r="N588" i="50" s="1"/>
  <c r="N538" i="50"/>
  <c r="N539" i="50" s="1"/>
  <c r="N96" i="37" s="1"/>
  <c r="N98" i="37" s="1"/>
  <c r="N99" i="37" s="1"/>
  <c r="K169" i="42"/>
  <c r="K2155" i="50" s="1"/>
  <c r="K2150" i="50"/>
  <c r="M394" i="42"/>
  <c r="M405" i="42" s="1"/>
  <c r="Y406" i="42"/>
  <c r="N1078" i="50"/>
  <c r="AK1010" i="37"/>
  <c r="AK1040" i="37"/>
  <c r="N1082" i="50"/>
  <c r="AF161" i="42"/>
  <c r="K2148" i="50"/>
  <c r="S2149" i="50" s="1"/>
  <c r="K2149" i="50" s="1"/>
  <c r="J2599" i="50"/>
  <c r="J2606" i="50" s="1"/>
  <c r="J2584" i="50"/>
  <c r="N1244" i="50"/>
  <c r="N1248" i="50" s="1"/>
  <c r="AK1570" i="37"/>
  <c r="N1079" i="50"/>
  <c r="AK1065" i="37"/>
  <c r="N1080" i="50"/>
  <c r="AK1248" i="37"/>
  <c r="N764" i="42"/>
  <c r="N2343" i="50"/>
  <c r="Z951" i="42"/>
  <c r="N939" i="42"/>
  <c r="N950" i="42" s="1"/>
  <c r="U1576" i="50" l="1"/>
  <c r="N1902" i="50"/>
  <c r="AK2858" i="37"/>
  <c r="N1898" i="50"/>
  <c r="AK2675" i="37"/>
  <c r="AK44" i="37"/>
  <c r="AK282" i="37"/>
  <c r="N587" i="50"/>
  <c r="N592" i="50" s="1"/>
  <c r="N2531" i="50" s="1"/>
  <c r="N2574" i="50" s="1"/>
  <c r="AK99" i="37"/>
  <c r="M406" i="42"/>
  <c r="M2222" i="50" s="1"/>
  <c r="M2217" i="50"/>
  <c r="N1084" i="50"/>
  <c r="U1248" i="50"/>
  <c r="M2215" i="50"/>
  <c r="U2216" i="50" s="1"/>
  <c r="M2216" i="50" s="1"/>
  <c r="AH398" i="42"/>
  <c r="K2156" i="50"/>
  <c r="K2534" i="50" s="1"/>
  <c r="L2133" i="50"/>
  <c r="L2134" i="50" s="1"/>
  <c r="L2142" i="50" s="1"/>
  <c r="L2143" i="50" s="1"/>
  <c r="L153" i="42" s="1"/>
  <c r="N2400" i="50"/>
  <c r="N951" i="42"/>
  <c r="N2398" i="50"/>
  <c r="V2399" i="50" s="1"/>
  <c r="N2399" i="50" s="1"/>
  <c r="AI943" i="42"/>
  <c r="N2348" i="50"/>
  <c r="N2349" i="50" s="1"/>
  <c r="AB764" i="42"/>
  <c r="G3267" i="37" l="1"/>
  <c r="N2528" i="50"/>
  <c r="N2571" i="50" s="1"/>
  <c r="G3263" i="37"/>
  <c r="G3261" i="37"/>
  <c r="N2525" i="50"/>
  <c r="N2568" i="50" s="1"/>
  <c r="N2526" i="50"/>
  <c r="N2569" i="50" s="1"/>
  <c r="N2533" i="50"/>
  <c r="N2576" i="50" s="1"/>
  <c r="N2529" i="50"/>
  <c r="N2572" i="50" s="1"/>
  <c r="N2530" i="50"/>
  <c r="N2573" i="50" s="1"/>
  <c r="N1904" i="50"/>
  <c r="U1904" i="50" s="1"/>
  <c r="G3262" i="37"/>
  <c r="G3258" i="37"/>
  <c r="G3266" i="37"/>
  <c r="G3259" i="37"/>
  <c r="G3264" i="37"/>
  <c r="G3260" i="37"/>
  <c r="G3265" i="37"/>
  <c r="U592" i="50"/>
  <c r="N2524" i="50"/>
  <c r="N2567" i="50" s="1"/>
  <c r="X169" i="42"/>
  <c r="L157" i="42"/>
  <c r="K2541" i="50"/>
  <c r="K2577" i="50"/>
  <c r="K2584" i="50" s="1"/>
  <c r="U1084" i="50"/>
  <c r="N2527" i="50"/>
  <c r="N2570" i="50" s="1"/>
  <c r="M2223" i="50"/>
  <c r="M2535" i="50" s="1"/>
  <c r="M2578" i="50" s="1"/>
  <c r="N2200" i="50"/>
  <c r="N2201" i="50" s="1"/>
  <c r="N2209" i="50" s="1"/>
  <c r="N2210" i="50" s="1"/>
  <c r="N390" i="42" s="1"/>
  <c r="N2537" i="50"/>
  <c r="N2580" i="50" s="1"/>
  <c r="U2349" i="50"/>
  <c r="N2405" i="50"/>
  <c r="N2406" i="50" s="1"/>
  <c r="AB951" i="42"/>
  <c r="N2532" i="50" l="1"/>
  <c r="N2575" i="50" s="1"/>
  <c r="G3268" i="37"/>
  <c r="L168" i="42"/>
  <c r="L2148" i="50"/>
  <c r="T2149" i="50" s="1"/>
  <c r="L2149" i="50" s="1"/>
  <c r="AG161" i="42"/>
  <c r="Z406" i="42"/>
  <c r="N394" i="42"/>
  <c r="N405" i="42" s="1"/>
  <c r="N2538" i="50"/>
  <c r="N2581" i="50" s="1"/>
  <c r="U2406" i="50"/>
  <c r="L169" i="42" l="1"/>
  <c r="L2155" i="50" s="1"/>
  <c r="L2150" i="50"/>
  <c r="AI398" i="42"/>
  <c r="N2215" i="50"/>
  <c r="V2216" i="50" s="1"/>
  <c r="N2216" i="50" s="1"/>
  <c r="N406" i="42"/>
  <c r="N2217" i="50"/>
  <c r="N2222" i="50" l="1"/>
  <c r="N2223" i="50" s="1"/>
  <c r="AL406" i="42"/>
  <c r="M2133" i="50"/>
  <c r="M2134" i="50" s="1"/>
  <c r="M2142" i="50" s="1"/>
  <c r="M2143" i="50" s="1"/>
  <c r="M153" i="42" s="1"/>
  <c r="L2156" i="50"/>
  <c r="L2534" i="50" s="1"/>
  <c r="L2577" i="50" l="1"/>
  <c r="L2584" i="50" s="1"/>
  <c r="L2541" i="50"/>
  <c r="M157" i="42"/>
  <c r="Y169" i="42"/>
  <c r="U2223" i="50"/>
  <c r="N2535" i="50"/>
  <c r="N2578" i="50" s="1"/>
  <c r="M168" i="42" l="1"/>
  <c r="AH161" i="42"/>
  <c r="M2148" i="50"/>
  <c r="U2149" i="50" s="1"/>
  <c r="M2149" i="50" s="1"/>
  <c r="M2150" i="50" l="1"/>
  <c r="M169" i="42"/>
  <c r="M2155" i="50" s="1"/>
  <c r="M2156" i="50" l="1"/>
  <c r="M2534" i="50" s="1"/>
  <c r="N2133" i="50"/>
  <c r="N2134" i="50" s="1"/>
  <c r="N2142" i="50" s="1"/>
  <c r="N2143" i="50" s="1"/>
  <c r="N153" i="42" s="1"/>
  <c r="N157" i="42" l="1"/>
  <c r="Z169" i="42"/>
  <c r="M2577" i="50"/>
  <c r="M2584" i="50" s="1"/>
  <c r="M2541" i="50"/>
  <c r="N168" i="42" l="1"/>
  <c r="N2148" i="50"/>
  <c r="V2149" i="50" s="1"/>
  <c r="N2149" i="50" s="1"/>
  <c r="AI161" i="42"/>
  <c r="N169" i="42" l="1"/>
  <c r="N2150" i="50"/>
  <c r="AL169" i="42" l="1"/>
  <c r="N2155" i="50"/>
  <c r="N2156" i="50" s="1"/>
  <c r="U2156" i="50" l="1"/>
  <c r="K2746" i="50" s="1"/>
  <c r="N2534" i="50"/>
  <c r="G1202" i="42"/>
  <c r="G1198" i="42"/>
  <c r="G1199" i="42"/>
  <c r="G1197" i="42"/>
  <c r="G1200" i="42"/>
  <c r="G1203" i="42"/>
  <c r="G1201" i="42"/>
  <c r="G1204" i="42" l="1"/>
  <c r="N2541" i="50"/>
  <c r="N2577" i="50"/>
  <c r="N2584" i="50" s="1"/>
  <c r="I2583" i="50" l="1"/>
  <c r="I2605" i="50" s="1"/>
  <c r="I2581" i="50" l="1"/>
  <c r="I2603" i="50" s="1"/>
  <c r="I2571" i="50"/>
  <c r="I2593" i="50" s="1"/>
  <c r="I2580" i="50" l="1"/>
  <c r="I2602" i="50" s="1"/>
  <c r="I2582" i="50"/>
  <c r="I2604" i="50" s="1"/>
  <c r="I2575" i="50"/>
  <c r="I2597" i="50" s="1"/>
  <c r="I2574" i="50" l="1"/>
  <c r="I2596" i="50" s="1"/>
  <c r="I2569" i="50"/>
  <c r="I2591" i="50" s="1"/>
  <c r="I2570" i="50"/>
  <c r="I2592" i="50" s="1"/>
  <c r="I2568" i="50"/>
  <c r="I2590" i="50" s="1"/>
  <c r="I2572" i="50" l="1"/>
  <c r="I2594" i="50" s="1"/>
  <c r="I2577" i="50" l="1"/>
  <c r="I2599" i="50" s="1"/>
  <c r="I2576" i="50"/>
  <c r="I2598" i="50" s="1"/>
  <c r="I2579" i="50" l="1"/>
  <c r="I2601" i="50" s="1"/>
  <c r="I2578" i="50" l="1"/>
  <c r="I2600" i="50" s="1"/>
  <c r="I2567" i="50"/>
  <c r="I2589" i="50" l="1"/>
  <c r="I2573" i="50" l="1"/>
  <c r="I2595" i="50" l="1"/>
  <c r="I2606" i="50" s="1"/>
  <c r="I2584"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Heller</author>
  </authors>
  <commentList>
    <comment ref="A2" authorId="0" shapeId="0" xr:uid="{00000000-0006-0000-0E00-000001000000}">
      <text>
        <r>
          <rPr>
            <sz val="9"/>
            <color indexed="81"/>
            <rFont val="Tahoma"/>
            <family val="2"/>
          </rPr>
          <t xml:space="preserve">FALSE = draft preliminary data collection
TRUE = actual BM values included
</t>
        </r>
      </text>
    </comment>
  </commentList>
</comments>
</file>

<file path=xl/sharedStrings.xml><?xml version="1.0" encoding="utf-8"?>
<sst xmlns="http://schemas.openxmlformats.org/spreadsheetml/2006/main" count="22115" uniqueCount="2757">
  <si>
    <t>Reference filename:</t>
  </si>
  <si>
    <t>Information about this file:</t>
  </si>
  <si>
    <t>Version list</t>
  </si>
  <si>
    <t>Languages list</t>
  </si>
  <si>
    <t>In case no data on the content of free CaO is available, a conservative estimate not lower than 52% shall be applied.</t>
  </si>
  <si>
    <t>In case no data on the content of free MgO is available, a conservative estimate not lower than 33% shall be applied.</t>
  </si>
  <si>
    <t>i.</t>
  </si>
  <si>
    <t>ii.</t>
  </si>
  <si>
    <t>iii.</t>
  </si>
  <si>
    <t>Plausibility check:</t>
  </si>
  <si>
    <t>IV</t>
  </si>
  <si>
    <t>Fuel input for production of measurable heat</t>
  </si>
  <si>
    <t>Net electricity produced from fuels</t>
  </si>
  <si>
    <t>Indicative expected final amount of free allowances:</t>
  </si>
  <si>
    <t>Calculation of preliminary annual amount of allowances allocated free of charge</t>
  </si>
  <si>
    <t>No error messages are displayed in any of the relevant sections of those sheets.</t>
  </si>
  <si>
    <t>Total preliminary annual amount of allowances allocated free of charge:</t>
  </si>
  <si>
    <t>This installation is an incumbent:</t>
  </si>
  <si>
    <t>iv.</t>
  </si>
  <si>
    <t>Please list here all relevant documents which are submitted together with this report</t>
  </si>
  <si>
    <t>Documents supporting this report</t>
  </si>
  <si>
    <t>Please provide file name(s) (if in an electronic format) or document reference number(s) (if hard copy) below:</t>
  </si>
  <si>
    <t>File name/Reference</t>
  </si>
  <si>
    <t>Document description</t>
  </si>
  <si>
    <t>Additional documents will be needed to support this report. Please provide this information in an electronic format wherever possible.</t>
  </si>
  <si>
    <t>You can provide information as Microsoft Word, Excel, or Adobe Acrobat formats.</t>
  </si>
  <si>
    <t>Number</t>
  </si>
  <si>
    <t>EUconst_FuelUseTypes</t>
  </si>
  <si>
    <t>Product name or service type</t>
  </si>
  <si>
    <t>NACE codes can be used instead of PRODCOM if several similar products within the same NACE group are covered.</t>
  </si>
  <si>
    <t>Electricity generator:</t>
  </si>
  <si>
    <t>CCS Installation:</t>
  </si>
  <si>
    <t>Installation produces Heat:</t>
  </si>
  <si>
    <t>CNTR_ConfirmationOK</t>
  </si>
  <si>
    <t>EUconst_tCO2pTJorT</t>
  </si>
  <si>
    <t>Coated fine paper</t>
  </si>
  <si>
    <t>Tissue</t>
  </si>
  <si>
    <t>Testliner and fluting</t>
  </si>
  <si>
    <t>Uncoated carton board</t>
  </si>
  <si>
    <t>Coated carton board</t>
  </si>
  <si>
    <t>Energy input from fuels</t>
  </si>
  <si>
    <t>Energy content (calculated)</t>
  </si>
  <si>
    <t>Overview and split into use categories</t>
  </si>
  <si>
    <t>EUconst_AbsRel</t>
  </si>
  <si>
    <t>Absolute values</t>
  </si>
  <si>
    <t>Percentages</t>
  </si>
  <si>
    <t>Input method:</t>
  </si>
  <si>
    <t>For fast data entries in simple cases, where most entries will be "100%" or zero, percentages are the better choice.</t>
  </si>
  <si>
    <t>(c)</t>
  </si>
  <si>
    <t>Measurable heat</t>
  </si>
  <si>
    <t>Usage type of fuel input</t>
  </si>
  <si>
    <t>Total net amount of measurable heat produced in the installation:</t>
  </si>
  <si>
    <t>Measurable heat produced</t>
  </si>
  <si>
    <t>Heat used for electricity production</t>
  </si>
  <si>
    <t>Name of installation</t>
  </si>
  <si>
    <t>Total measurable heat</t>
  </si>
  <si>
    <t>Sum of measurable heat available at installation (=a+b+c)</t>
  </si>
  <si>
    <t>(e)</t>
  </si>
  <si>
    <t>(f)</t>
  </si>
  <si>
    <t>Total heat exported to ETS installations</t>
  </si>
  <si>
    <t>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t>
  </si>
  <si>
    <t>VI</t>
  </si>
  <si>
    <t>Parameter</t>
  </si>
  <si>
    <t>Direct emissions</t>
  </si>
  <si>
    <t>x.</t>
  </si>
  <si>
    <t>xi.</t>
  </si>
  <si>
    <t>xii.</t>
  </si>
  <si>
    <t>Heat input ratio (a+b) / (a+b+c):</t>
  </si>
  <si>
    <t>Outline of the calculation approach used:</t>
  </si>
  <si>
    <t>Measurable heat consumed for electricity production within the installation (not eligible for heat benchmark):</t>
  </si>
  <si>
    <t xml:space="preserve">Residual Hydrocracking </t>
  </si>
  <si>
    <t xml:space="preserve">Kerosene/ Diesel Hydrotreating </t>
  </si>
  <si>
    <t xml:space="preserve">Residual Hydrotreating </t>
  </si>
  <si>
    <t xml:space="preserve">Hydrogen Production </t>
  </si>
  <si>
    <t xml:space="preserve">Alkylation </t>
  </si>
  <si>
    <t xml:space="preserve">Oxygenate Production </t>
  </si>
  <si>
    <t xml:space="preserve">Propylene Production </t>
  </si>
  <si>
    <t xml:space="preserve">Lube Hydrocracker </t>
  </si>
  <si>
    <t xml:space="preserve">Wax Deoiling </t>
  </si>
  <si>
    <t xml:space="preserve">Lube/Wax Hydrotreating </t>
  </si>
  <si>
    <t>CWT (Refinery products)</t>
  </si>
  <si>
    <t>Tool for calculating the historical activity levels for refinery sub-installations</t>
  </si>
  <si>
    <t>Please enter here the annual throughput data for each CWT function.</t>
  </si>
  <si>
    <t>For the basis the following abbreviations are used:</t>
  </si>
  <si>
    <t>Net fresh feed</t>
  </si>
  <si>
    <t>Reactor feed (includes recycle)</t>
  </si>
  <si>
    <t>Product feed</t>
  </si>
  <si>
    <t>EUconst_EUA</t>
  </si>
  <si>
    <t>EUconst_EUApa</t>
  </si>
  <si>
    <t>EUconst_EUApt</t>
  </si>
  <si>
    <t>Default values</t>
  </si>
  <si>
    <t>EUconst_HALsum</t>
  </si>
  <si>
    <t>HALsum_</t>
  </si>
  <si>
    <t>Version comments</t>
  </si>
  <si>
    <t>Tool for calculating the historical activity levels for steam cracking sub-installations</t>
  </si>
  <si>
    <t>You may choose to report either as tonnes or as 1000 Nm3 (cubic meters under standard conditions). The units must be consistent with those for the NCV below.</t>
  </si>
  <si>
    <t>Relevance of this tool in your installation:</t>
  </si>
  <si>
    <t>Uncorrected Lime production:</t>
  </si>
  <si>
    <t>uncorrected lime production</t>
  </si>
  <si>
    <t>Composition data:</t>
  </si>
  <si>
    <t>m(CaO)</t>
  </si>
  <si>
    <t>In case no data on the content of free CaO is available, a conservative estimate not lower than 85% shall be applied.</t>
  </si>
  <si>
    <t>m(MgO)</t>
  </si>
  <si>
    <t>Production details</t>
  </si>
  <si>
    <t>"Import" here means that something enters the boundaries of the installation to which this report refers, "export" means something leaving those boundaries.</t>
  </si>
  <si>
    <t>Material and/or energy flows between sub-installations are not relevant, with the exception of heat stemming from nitric acid production.</t>
  </si>
  <si>
    <t>In case the result is negative, it is set to zero.</t>
  </si>
  <si>
    <t>Consistency check with sheet "E_Energy flows":</t>
  </si>
  <si>
    <t>Identification of products included in this product benchmark sub-installation</t>
  </si>
  <si>
    <t>EUconst_FBSubinst</t>
  </si>
  <si>
    <t>EUconst_MsgEnterThisSection</t>
  </si>
  <si>
    <t>Please enter data in this section!</t>
  </si>
  <si>
    <t>Please proceed to the next sub-installation!</t>
  </si>
  <si>
    <t>EUconst_MsgGoToNextSubInst</t>
  </si>
  <si>
    <t>taken from D.II.2.b</t>
  </si>
  <si>
    <t>BM no.</t>
  </si>
  <si>
    <t>Jump info:</t>
  </si>
  <si>
    <t>BM number:</t>
  </si>
  <si>
    <t>EUconst_MsgBackToSheetF</t>
  </si>
  <si>
    <t>Click here to return to sheet F_ProductBM</t>
  </si>
  <si>
    <t>HALspecial_</t>
  </si>
  <si>
    <t>EUconst_CNTR_HALspecial</t>
  </si>
  <si>
    <t>Special reporting?</t>
  </si>
  <si>
    <t>From sheet "H_SpecialBM":</t>
  </si>
  <si>
    <t>Values used for calculation:</t>
  </si>
  <si>
    <t>However, if a message appears under point (b), the appropriate calculation tool has to be used, and its results are automatically copied into this table under (ii).</t>
  </si>
  <si>
    <t>The result of this tool is automatically copied into sheet "F_ProductBM", input line "(a).ii" of the appropriate sub-installation.</t>
  </si>
  <si>
    <t>EUconst_BM</t>
  </si>
  <si>
    <t>Benchmark</t>
  </si>
  <si>
    <t>Electricity</t>
  </si>
  <si>
    <t>Total net amount of electricity produced in the installation</t>
  </si>
  <si>
    <t>Total electricity imported from the grid or from other installations</t>
  </si>
  <si>
    <t>Electricity imported</t>
  </si>
  <si>
    <t>Total electricity exported to the grid or to other installations</t>
  </si>
  <si>
    <t>Other electricity produced</t>
  </si>
  <si>
    <t>Electricity useable</t>
  </si>
  <si>
    <t>You can choose the method for entering the values in the table below under point (c). Available options are: "Absolute values" (enter TJ/year), or "percentages".</t>
  </si>
  <si>
    <t>EUconst_MWhpa</t>
  </si>
  <si>
    <t>EUconst_tpa</t>
  </si>
  <si>
    <t>EUconst_GJpt</t>
  </si>
  <si>
    <t>EUconst_tCO2pTJ</t>
  </si>
  <si>
    <t>EUconst_tCO2pa</t>
  </si>
  <si>
    <t>EUconst_tCO2pt</t>
  </si>
  <si>
    <t>EUconst_TJpa</t>
  </si>
  <si>
    <t>EUconst_tN2Opa</t>
  </si>
  <si>
    <t>EUconst_tCO2eptN2O</t>
  </si>
  <si>
    <t>EUconst_tCO2epa</t>
  </si>
  <si>
    <t>EUconst_tCO2ept</t>
  </si>
  <si>
    <t>EUconst_relOrTJpa</t>
  </si>
  <si>
    <t>EUconst_relOrMWhpa</t>
  </si>
  <si>
    <t>EUconst_relOrtCO2pa</t>
  </si>
  <si>
    <t>List of sub-installations</t>
  </si>
  <si>
    <t>List of technical connections</t>
  </si>
  <si>
    <t>Product benchmark sub-installations</t>
  </si>
  <si>
    <t>Benchmark List</t>
  </si>
  <si>
    <t>Activity (Annex I ETS Directive)</t>
  </si>
  <si>
    <t>No. of BM</t>
  </si>
  <si>
    <t>alternative BM No.</t>
  </si>
  <si>
    <t>Product benchmark</t>
  </si>
  <si>
    <t>Carbon leakage?</t>
  </si>
  <si>
    <t>Exchangeability electricity</t>
  </si>
  <si>
    <t xml:space="preserve">Refining of mineral oil </t>
  </si>
  <si>
    <t>Refinery products</t>
  </si>
  <si>
    <t>CWT</t>
  </si>
  <si>
    <t xml:space="preserve">Production of coke </t>
  </si>
  <si>
    <t>Coke</t>
  </si>
  <si>
    <t xml:space="preserve">Metal ore (including sulphide ore) roasting or sintering, including pelletisation </t>
  </si>
  <si>
    <t>Sintered ore</t>
  </si>
  <si>
    <t xml:space="preserve">Production of pig iron or steel (primary or secondary fusion) including continuous casting, with a capacity exceeding 2,5 tonnes per hour </t>
  </si>
  <si>
    <t>EAF carbon steel</t>
  </si>
  <si>
    <t>EAF high alloy steel</t>
  </si>
  <si>
    <t>Iron casting</t>
  </si>
  <si>
    <t xml:space="preserve">Production of primary aluminium </t>
  </si>
  <si>
    <t>Pre-bake anode</t>
  </si>
  <si>
    <t>[Primary] Aluminium</t>
  </si>
  <si>
    <t xml:space="preserve">Production of cement clinker in rotary kilns with a production capacity exceeding 500 tonnes per day or in other furnaces with a production capacity exceeding 50 tonnes per day </t>
  </si>
  <si>
    <t>Grey cement clinker</t>
  </si>
  <si>
    <t>White cement clinker</t>
  </si>
  <si>
    <t>The results displayed here are by no means legally binding. Please see disclaimer in the introduction of this section.</t>
  </si>
  <si>
    <t>Please continue with point (e)!</t>
  </si>
  <si>
    <t>Please continue with data entry under points (c) and (d)!</t>
  </si>
  <si>
    <t>EUconst_MsgGoOn_cd</t>
  </si>
  <si>
    <t>EUconst_MsgGoOn_e</t>
  </si>
  <si>
    <t>Information sources:</t>
  </si>
  <si>
    <t>Black bold text:</t>
  </si>
  <si>
    <t>Smaller italic text:</t>
  </si>
  <si>
    <t>Shaded fields indicate that an input in another field makes the input here irrelevant.</t>
  </si>
  <si>
    <t>From the remaining amount of measurable heat, it must be determined how much is consumed within the installation (except for electricity production and product benchmark sub-installations). The amount of "eligible" heat remaining at the end of the previous steps is the upper limit.</t>
  </si>
  <si>
    <t>eligible by origin:</t>
  </si>
  <si>
    <t>non-eligible by origin:</t>
  </si>
  <si>
    <t>Non-ETS heat entered in sheet "F_ProductBM" compared to total amount of non-ETS heat imports entered above under point (c):</t>
  </si>
  <si>
    <t>Non-ETS heat entered in sheet "F_ProductBM" compared to total amount of heat for all product benchmarks:</t>
  </si>
  <si>
    <t>Start (up to section e)</t>
  </si>
  <si>
    <t>amount eligible (i.e. not coming from non-ETS):</t>
  </si>
  <si>
    <t>amount non-eligible</t>
  </si>
  <si>
    <t>amount eligible:</t>
  </si>
  <si>
    <t>Electricity production:</t>
  </si>
  <si>
    <t>AFTER electricity production:</t>
  </si>
  <si>
    <t>Product benchmarks</t>
  </si>
  <si>
    <t>AFTER product benchmarks:</t>
  </si>
  <si>
    <t>AFTER export to ETS installations:</t>
  </si>
  <si>
    <t>Export to ETS installations (considered 100% eligible)</t>
  </si>
  <si>
    <t>Determine relevant data (relevant=full baseline period, all years!)</t>
  </si>
  <si>
    <t>Total emissions</t>
  </si>
  <si>
    <t>Amount for allocation correction:</t>
  </si>
  <si>
    <t>EUconst_CNTR_HEAT</t>
  </si>
  <si>
    <t>HEAT_</t>
  </si>
  <si>
    <t>EUconst_CNTR_VCM</t>
  </si>
  <si>
    <t>VCM_</t>
  </si>
  <si>
    <t>It determines the amount which has to be added to the preliminary annual allocation after having corrected for electricity exchangeability.</t>
  </si>
  <si>
    <t>Result: Amount to be added to the preliminary total allocation for the steam cracking sub-installation:</t>
  </si>
  <si>
    <t>EUconst_CNTR_HVC</t>
  </si>
  <si>
    <t>HVC_</t>
  </si>
  <si>
    <t>If the formula results in a negative value, it is replaced by zero.</t>
  </si>
  <si>
    <t>Heat consumed within the installation</t>
  </si>
  <si>
    <t>Tool for calculating the historical activity levels for lime sub-installations</t>
  </si>
  <si>
    <t>The name of the product benchmark sub-installation is displayed automatically based in the inputs in sheet "A_InstallationData".</t>
  </si>
  <si>
    <t xml:space="preserve">Detailed instructions for data entries in this tool can be found at the first copy of this tool. </t>
  </si>
  <si>
    <t>If for a sub-installation the calculated preliminary annual amount of allowances allocated free of charge results in a negative value, it is set to zero instead.</t>
  </si>
  <si>
    <t>Baseline Period &amp; Eligibility</t>
  </si>
  <si>
    <t>Emissions &amp; Energy Flows</t>
  </si>
  <si>
    <t>Sub-installation Data</t>
  </si>
  <si>
    <t>Preliminary allocation</t>
  </si>
  <si>
    <t>Production data of Ethylene oxide and glycols:</t>
  </si>
  <si>
    <t>Attribution to sub-installations</t>
  </si>
  <si>
    <t>Total amount of process emissions before subtracting an equivalent for the technically usable energy content:</t>
  </si>
  <si>
    <t>Amount of waste gas produced outside product benchmark sub-installations, including for exports:</t>
  </si>
  <si>
    <t>Calculation results can only be considered correct if complete and consistent data is reported in sections above.</t>
  </si>
  <si>
    <t>Column for</t>
  </si>
  <si>
    <t>The following data is required:</t>
  </si>
  <si>
    <t>Production from supplemental feed:</t>
  </si>
  <si>
    <t>Production from supplemental feed</t>
  </si>
  <si>
    <t>Multiplier 
(t CO2 / t)</t>
  </si>
  <si>
    <t>Please use VCM tool in sheet "SpecialBM" for calculating preliminary allocation.</t>
  </si>
  <si>
    <t>Please use steam cracking tool in sheet "SpecialBM" for calculating historical activity levels and preliminary allocation.</t>
  </si>
  <si>
    <t>allowances</t>
  </si>
  <si>
    <t>EUconst_Allowances</t>
  </si>
  <si>
    <t>IX</t>
  </si>
  <si>
    <t>Net amount of measurable heat imported by this sub-installation from other ETS installations;</t>
  </si>
  <si>
    <t>Please enter here the annual production data expressed as tonnes of dolime, without correction for the composition data:</t>
  </si>
  <si>
    <t>uncorrected dolime production</t>
  </si>
  <si>
    <t>Please select here the product benchmark sub-installations relevant at your installation, if any:</t>
  </si>
  <si>
    <t>Please note that the correct entries here are essential for all subsequent inputs dealing with sub-installations.</t>
  </si>
  <si>
    <t>Sub-installations with fall-back approaches</t>
  </si>
  <si>
    <t>Sheet "Summary" - OVERVIEW OF MOST IMPORTANT DATA</t>
  </si>
  <si>
    <t>(n)</t>
  </si>
  <si>
    <t xml:space="preserve">Distillate / Gasoil Hydrocracking </t>
  </si>
  <si>
    <t>Production or processing of non-ferrous metals, including production of alloys, refining, foundry casting, etc., where combustion units with a total rated thermal input (including fuels used as reducing agents) exceeding 20 MW are operated</t>
  </si>
  <si>
    <t>Capture of greenhouse gases from installations covered by this Directive for the purpose of transport and geological storage in a storage site permitted under Directive 2009/31/EC</t>
  </si>
  <si>
    <t>Transport of greenhouse gases by pipelines for geological storage in a storage site permitted under Directive 2009/31/EC</t>
  </si>
  <si>
    <t>Geological storage of greenhouse gases in a storage site permitted under Directive 2009/31/EC</t>
  </si>
  <si>
    <t>taken from E.I.1.c</t>
  </si>
  <si>
    <t>Needed for G.I.1.a</t>
  </si>
  <si>
    <t>Needed for G.I.2.a</t>
  </si>
  <si>
    <t>Needed for G.I.3.a</t>
  </si>
  <si>
    <t>Needed for G.I.4.a</t>
  </si>
  <si>
    <t>CTRL_InputMethodHeatSubInstSplit</t>
  </si>
  <si>
    <t>Net imported heat</t>
  </si>
  <si>
    <t>Email address:</t>
  </si>
  <si>
    <t>Telephone number:</t>
  </si>
  <si>
    <t>Registration number issued by the Accreditation body:</t>
  </si>
  <si>
    <t>Eligibility for free allocation:</t>
  </si>
  <si>
    <t>Contact persons:</t>
  </si>
  <si>
    <t>General information:</t>
  </si>
  <si>
    <t>Heat exported to ETS installations (not eligible for heat benchmark):</t>
  </si>
  <si>
    <t>Sub-total:</t>
  </si>
  <si>
    <t>(g)</t>
  </si>
  <si>
    <t>Name of receiving entity or installation</t>
  </si>
  <si>
    <t>Total heat exported to outside ETS:</t>
  </si>
  <si>
    <t>(h)</t>
  </si>
  <si>
    <t>Total heat benchmark sub-installations:</t>
  </si>
  <si>
    <t>(i)</t>
  </si>
  <si>
    <t>EUconst_NA</t>
  </si>
  <si>
    <t>Sub-installation type</t>
  </si>
  <si>
    <t>CL exposed?</t>
  </si>
  <si>
    <t>Heat benchmark sub-installation, CL</t>
  </si>
  <si>
    <t>Heat benchmark sub-installation, non-CL</t>
  </si>
  <si>
    <t>Fuel benchmark sub-installation, CL</t>
  </si>
  <si>
    <t>Fuel benchmark sub-installation, non-CL</t>
  </si>
  <si>
    <t>Process emissions sub-installation, CL</t>
  </si>
  <si>
    <t>Process emissions sub-installation, non-CL</t>
  </si>
  <si>
    <t>Fall-back Sub-Installation List</t>
  </si>
  <si>
    <t>Sub-inst</t>
  </si>
  <si>
    <t>TJ</t>
  </si>
  <si>
    <t>t CO2e</t>
  </si>
  <si>
    <t>EUconst_TJ</t>
  </si>
  <si>
    <t>EUconst_tCO2e</t>
  </si>
  <si>
    <t>Sorting</t>
  </si>
  <si>
    <t>CWT function</t>
  </si>
  <si>
    <t>Basis (kt/a)</t>
  </si>
  <si>
    <t>CWT factor</t>
  </si>
  <si>
    <t>Atmospheric Crude Distillation</t>
  </si>
  <si>
    <t>F</t>
  </si>
  <si>
    <t>K.</t>
  </si>
  <si>
    <t>Sheet "MSspecific" -  ADDITIONAL DATA REQUIREMENTS BY THE MEMBER STATE</t>
  </si>
  <si>
    <t>To be defined by the Member State</t>
  </si>
  <si>
    <t>Consent to use the data contained in this file:</t>
  </si>
  <si>
    <t>EUconst_ConfirmAllowUseOfData</t>
  </si>
  <si>
    <t>Identification of relevant products or services associated with this sub-installation</t>
  </si>
  <si>
    <t>The table also displays the values of CF(EOE) used for calculation. CF(EOE) is the conversion factor for each substance relative to ethylene oxide.</t>
  </si>
  <si>
    <t>This message is automatically generated based on your inputs in sheet "A_InstallationData", section A.III.1.</t>
  </si>
  <si>
    <t>Installation data</t>
  </si>
  <si>
    <t>BM value</t>
  </si>
  <si>
    <t>non-ETS heat</t>
  </si>
  <si>
    <t>Emissions and Energy Flows</t>
  </si>
  <si>
    <t>Flow direction options are (perspective of the installation to which this report refers):</t>
  </si>
  <si>
    <t>Import (to this installation)</t>
  </si>
  <si>
    <t>Export (from this installation)</t>
  </si>
  <si>
    <t>Yellow fields indicate mandatory inputs. However, if the topic is not relevant for the installation, no input is required.</t>
  </si>
  <si>
    <t>For control purposes, the inputs are displayed here in the unit which you have not chosen for input:</t>
  </si>
  <si>
    <t xml:space="preserve">Special care should be taken for attribution of energy input to the two sub-installations which are relevant for allocation purposes: </t>
  </si>
  <si>
    <t>Fuel benchmark sub-installation "CL" (exposed to a significant risk of Carbon Leakage) and "non-CL" (not exposed to carbon leakage risk).</t>
  </si>
  <si>
    <t>For control purposes, the rest (100% minus total of inputs) is displayed in the bottom line. This refers to energy input which is not eligible for allocation.</t>
  </si>
  <si>
    <t>lv</t>
  </si>
  <si>
    <t>Lithuanian</t>
  </si>
  <si>
    <t>lt</t>
  </si>
  <si>
    <t>Hungarian</t>
  </si>
  <si>
    <t>hu</t>
  </si>
  <si>
    <t>Maltese</t>
  </si>
  <si>
    <t>mt</t>
  </si>
  <si>
    <t>Dutch</t>
  </si>
  <si>
    <t>nl</t>
  </si>
  <si>
    <t>Polish</t>
  </si>
  <si>
    <t>pl</t>
  </si>
  <si>
    <t>Portuguese</t>
  </si>
  <si>
    <t>pt</t>
  </si>
  <si>
    <t>Romanian</t>
  </si>
  <si>
    <t>ro</t>
  </si>
  <si>
    <t>Slovak</t>
  </si>
  <si>
    <t>sk</t>
  </si>
  <si>
    <t>Slovenian</t>
  </si>
  <si>
    <t>sl</t>
  </si>
  <si>
    <t>Finnish</t>
  </si>
  <si>
    <t>fi</t>
  </si>
  <si>
    <t>Swedish</t>
  </si>
  <si>
    <t>sv</t>
  </si>
  <si>
    <t>Reference File Name</t>
  </si>
  <si>
    <t>AT</t>
  </si>
  <si>
    <t>BE</t>
  </si>
  <si>
    <t>BG</t>
  </si>
  <si>
    <t>CY</t>
  </si>
  <si>
    <t>CZ</t>
  </si>
  <si>
    <t>DK</t>
  </si>
  <si>
    <t>EE</t>
  </si>
  <si>
    <t>FI</t>
  </si>
  <si>
    <t>FR</t>
  </si>
  <si>
    <t>DE</t>
  </si>
  <si>
    <t>EL</t>
  </si>
  <si>
    <t>HU</t>
  </si>
  <si>
    <t>IE</t>
  </si>
  <si>
    <t>IT</t>
  </si>
  <si>
    <t>LV</t>
  </si>
  <si>
    <t>LT</t>
  </si>
  <si>
    <t>LU</t>
  </si>
  <si>
    <t>MT</t>
  </si>
  <si>
    <t>NL</t>
  </si>
  <si>
    <t>PL</t>
  </si>
  <si>
    <t>PT</t>
  </si>
  <si>
    <t>RO</t>
  </si>
  <si>
    <t>SK</t>
  </si>
  <si>
    <t>SI</t>
  </si>
  <si>
    <t>ES</t>
  </si>
  <si>
    <t>SE</t>
  </si>
  <si>
    <t>UK</t>
  </si>
  <si>
    <t>Language version:</t>
  </si>
  <si>
    <t>production of standard pure lime</t>
  </si>
  <si>
    <t>Thermal Cracking</t>
  </si>
  <si>
    <t>P</t>
  </si>
  <si>
    <t>Fluid Catalytic Cracking</t>
  </si>
  <si>
    <t>Naphtha/Gasoline Hydrotreating</t>
  </si>
  <si>
    <t>VGO Hydrotreating</t>
  </si>
  <si>
    <t>Catalytic Reforming</t>
  </si>
  <si>
    <t>C4 Isomerisation</t>
  </si>
  <si>
    <t>Uncorrected process emissions</t>
  </si>
  <si>
    <t>Amount of waste gases used for electricity production and for production of measurable or other heat outside of product benchmark sub-installations, or exported out of the installation;</t>
  </si>
  <si>
    <t>outside product benchmarks</t>
  </si>
  <si>
    <t>Amount of waste gas per year</t>
  </si>
  <si>
    <t>Deduction for waste gases</t>
  </si>
  <si>
    <t>Green fields are used throughout the template for conditional formatting!</t>
  </si>
  <si>
    <t>Other documents:</t>
  </si>
  <si>
    <t>Free space for all kinds of supplemental information</t>
  </si>
  <si>
    <t>EUconst_Negative</t>
  </si>
  <si>
    <t>negative!</t>
  </si>
  <si>
    <t>SUM_CO2</t>
  </si>
  <si>
    <t>SUM_bioCO2</t>
  </si>
  <si>
    <t>SUM_EnergyIN</t>
  </si>
  <si>
    <t>EUconst_SumCO2</t>
  </si>
  <si>
    <t>EUconst_SumBioCO2</t>
  </si>
  <si>
    <t>EUconst_SumEnergyIN</t>
  </si>
  <si>
    <t>EUconst_SumN2O</t>
  </si>
  <si>
    <t>EUconst_SumPFC</t>
  </si>
  <si>
    <t>SUM_N2O</t>
  </si>
  <si>
    <t>SUM_PFC</t>
  </si>
  <si>
    <t>Error messages (emissions)</t>
  </si>
  <si>
    <t>FB1</t>
  </si>
  <si>
    <t>FB2</t>
  </si>
  <si>
    <t>FB3</t>
  </si>
  <si>
    <t>FB4</t>
  </si>
  <si>
    <t>FB5</t>
  </si>
  <si>
    <t>FB6</t>
  </si>
  <si>
    <t>(a)</t>
  </si>
  <si>
    <t>CONTENTS</t>
  </si>
  <si>
    <t>GUIDELINES AND CONDITIONS</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</si>
  <si>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</si>
  <si>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</si>
  <si>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</si>
  <si>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</si>
  <si>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</si>
  <si>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</si>
  <si>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</si>
  <si>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</si>
  <si>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</si>
  <si>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</si>
  <si>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</si>
  <si>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</si>
  <si>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</si>
  <si>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</si>
  <si>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</si>
  <si>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</si>
  <si>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</si>
  <si>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</si>
  <si>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</si>
  <si>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</si>
  <si>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Iceland</t>
  </si>
  <si>
    <t>EUconst_CWTpa</t>
  </si>
  <si>
    <t xml:space="preserve">This includes the nitric acid producing sub-installations (select "Within installation" as name of installation, if the nitric acid production is part of this installation). </t>
  </si>
  <si>
    <t>Before the amount of heat falling under the heat benchmark sub-installations can be quantified, the amount not eligible for this purpose has to be identified.</t>
  </si>
  <si>
    <t>Amount of heat from non-ETS sources</t>
  </si>
  <si>
    <t>Manual override of (ii)</t>
  </si>
  <si>
    <t>The data is automatically used again in sheet "G_Fall-back". Therefore data entry is mandatory here, if this tool is used.</t>
  </si>
  <si>
    <t>Please enter also data in section D.II.3.a.!</t>
  </si>
  <si>
    <t>EUconst_ERR_MandatoryDII3a</t>
  </si>
  <si>
    <t>EUconst_ERR_MandatoryEII4</t>
  </si>
  <si>
    <t>Please enter also data in section E.II.4!</t>
  </si>
  <si>
    <t>Complete balance of electricity at the installation</t>
  </si>
  <si>
    <t>Other electricity production includes e.g. hydro, wind, solar power, from expansion turbines and other non-ETS processes.</t>
  </si>
  <si>
    <t>Total electricity consumed in the installation</t>
  </si>
  <si>
    <t>Electricity consumed in the installation</t>
  </si>
  <si>
    <t>Jump indicator</t>
  </si>
  <si>
    <t>Please use electricity exchangeability tool below.</t>
  </si>
  <si>
    <t>EUconst_MsgUseElExchTool</t>
  </si>
  <si>
    <t>Jump Address:</t>
  </si>
  <si>
    <t>Please continue with point (d) below.</t>
  </si>
  <si>
    <t>EUconst_MsgGoOn_d</t>
  </si>
  <si>
    <t>EUconst_MsgGoOnIfNotRelevant</t>
  </si>
  <si>
    <t>If not relevant at your installation, continue with the next points.</t>
  </si>
  <si>
    <t>EUconst_Month</t>
  </si>
  <si>
    <t>Month</t>
  </si>
  <si>
    <t>Sub-installation with product benchmark</t>
  </si>
  <si>
    <t>EUconst_BMSubinst</t>
  </si>
  <si>
    <t>Dates must be sorted ascending!</t>
  </si>
  <si>
    <t>EUconst_ERR_DatesSorting</t>
  </si>
  <si>
    <t>Refinery activity level</t>
  </si>
  <si>
    <t>CWT (Aromatics)</t>
  </si>
  <si>
    <t>EUconst_DateMissing</t>
  </si>
  <si>
    <t>Date is missing!</t>
  </si>
  <si>
    <t>Error message</t>
  </si>
  <si>
    <t>The following abbreviations are used in the tables below:</t>
  </si>
  <si>
    <t>CL-exposed</t>
  </si>
  <si>
    <t>Carbon leakage exposure. "True" if the sub-installation serves a sector deemed to be exposed to a significant risk of carbon leakage.</t>
  </si>
  <si>
    <t>Number of the Benchmark</t>
  </si>
  <si>
    <t>A hierarchy of approaches is proposed for this earmarking:</t>
  </si>
  <si>
    <t>If the heat amounts can be clearly earmarked (because of the heat grid connections being clearly defined, or because of the steam pressure levels etc.), eligible and non-eligible heat amounts shall be reported according to this real situation.</t>
  </si>
  <si>
    <t>EUconst_Unit</t>
  </si>
  <si>
    <t>EUconst_GJ</t>
  </si>
  <si>
    <t>GJ</t>
  </si>
  <si>
    <t>EUconst_MWh</t>
  </si>
  <si>
    <t>MWh</t>
  </si>
  <si>
    <t>EUconst_t</t>
  </si>
  <si>
    <t>t</t>
  </si>
  <si>
    <t>EUconst_tCO2</t>
  </si>
  <si>
    <t>t CO2</t>
  </si>
  <si>
    <t>EUconst_tN2O</t>
  </si>
  <si>
    <t>t N2O</t>
  </si>
  <si>
    <t>EUconst_Or</t>
  </si>
  <si>
    <t>or</t>
  </si>
  <si>
    <t>Energy input from fuels, total installation (taken from sheet "D_Emissions", section I):</t>
  </si>
  <si>
    <t>How to use this file</t>
  </si>
  <si>
    <t>(j)</t>
  </si>
  <si>
    <t>(k)</t>
  </si>
  <si>
    <t>Figures for control:</t>
  </si>
  <si>
    <t>(l)</t>
  </si>
  <si>
    <t>(m)</t>
  </si>
  <si>
    <t>Sub-installation split - Input method:</t>
  </si>
  <si>
    <t>Attribution of heat sub-installations to Carbon Leakage exposure levels:</t>
  </si>
  <si>
    <t>Use type</t>
  </si>
  <si>
    <t>EUconst_WithinInst</t>
  </si>
  <si>
    <t>Within installation</t>
  </si>
  <si>
    <t>Within installation or export?</t>
  </si>
  <si>
    <t>EUconst_HeatUseTypes</t>
  </si>
  <si>
    <t>Production of goods</t>
  </si>
  <si>
    <t>heating</t>
  </si>
  <si>
    <t>cooling</t>
  </si>
  <si>
    <t>unknown</t>
  </si>
  <si>
    <t>Lube solvent extraction</t>
  </si>
  <si>
    <t>Lube solvent dewaxing</t>
  </si>
  <si>
    <t>Catalytic Wax Isomerisation</t>
  </si>
  <si>
    <t>Solvent Hydrotreating</t>
  </si>
  <si>
    <t>Solvent Fractionation</t>
  </si>
  <si>
    <t>Mol sieve for C10+ paraffins</t>
  </si>
  <si>
    <t>Partial Oxidation of Residual Feeds (POX) for Fuel</t>
  </si>
  <si>
    <t>SG</t>
  </si>
  <si>
    <t>Partial Oxidation of Residual Feeds (POX) for Hydrogen or Methanol</t>
  </si>
  <si>
    <t>Methanol from syngas</t>
  </si>
  <si>
    <t>Air Separation</t>
  </si>
  <si>
    <t>P (MNm3 O2)</t>
  </si>
  <si>
    <t>Fractionation of purchased NGL</t>
  </si>
  <si>
    <t>Flue gas treatment</t>
  </si>
  <si>
    <t>F (MNm3)</t>
  </si>
  <si>
    <t>Treatment and Compression of Fuel Gas for Sales</t>
  </si>
  <si>
    <t>kW</t>
  </si>
  <si>
    <t>Seawater Desalination</t>
  </si>
  <si>
    <t xml:space="preserve">Vacuum Distillation </t>
  </si>
  <si>
    <t xml:space="preserve">Solvent Deasphalting </t>
  </si>
  <si>
    <t xml:space="preserve">Visbreaking </t>
  </si>
  <si>
    <t xml:space="preserve">Delayed Coking </t>
  </si>
  <si>
    <t xml:space="preserve">Fluid Coking </t>
  </si>
  <si>
    <t xml:space="preserve">Flexicoking </t>
  </si>
  <si>
    <t xml:space="preserve">Coke Calcining </t>
  </si>
  <si>
    <t xml:space="preserve">Other Catalytic Cracking </t>
  </si>
  <si>
    <t>List of Sub-installations for drop-downlists:</t>
  </si>
  <si>
    <t>Please indicate here which fall-back sub-installations are relevant at your installation, if any:</t>
  </si>
  <si>
    <t>No.</t>
  </si>
  <si>
    <t>Please enter here the information relevant for identifying technical connections to your installation:</t>
  </si>
  <si>
    <t>Name of installation or entity</t>
  </si>
  <si>
    <t>Type of entity</t>
  </si>
  <si>
    <t>Type of connection</t>
  </si>
  <si>
    <t>Flow direction</t>
  </si>
  <si>
    <t>phone number</t>
  </si>
  <si>
    <t>email address</t>
  </si>
  <si>
    <t>Installation covered by ETS</t>
  </si>
  <si>
    <t>Installation outside ETS</t>
  </si>
  <si>
    <t>Heat distribution network</t>
  </si>
  <si>
    <t>Waste gas</t>
  </si>
  <si>
    <t>EUconst_ConnectedEntityTypes</t>
  </si>
  <si>
    <t>EUconst_ConnectionTypes</t>
  </si>
  <si>
    <t>Import</t>
  </si>
  <si>
    <t>Export</t>
  </si>
  <si>
    <t>Date of issuance:</t>
  </si>
  <si>
    <t>Permit-ID:</t>
  </si>
  <si>
    <t>Most recent update of the permit, if applicable:</t>
  </si>
  <si>
    <t>The nominated person should be familiar with this report. Ideally it is the lead verifier involved with this report.</t>
  </si>
  <si>
    <t>Further installation data:</t>
  </si>
  <si>
    <t>Year relevant:</t>
  </si>
  <si>
    <t>Member of period:</t>
  </si>
  <si>
    <t>Table for conditional formatting:</t>
  </si>
  <si>
    <t>Indicator</t>
  </si>
  <si>
    <t>EUconst_CNTR_HAL</t>
  </si>
  <si>
    <t>HAL_</t>
  </si>
  <si>
    <t>EUconst_CNTR_ELEXCH</t>
  </si>
  <si>
    <t>ELEXCH_</t>
  </si>
  <si>
    <t>The direct emissions attributed to this sub-installation;</t>
  </si>
  <si>
    <t>Vinyl chloride monomer (VCM)</t>
  </si>
  <si>
    <t>Please enter here the data required as outlined above.</t>
  </si>
  <si>
    <t>Heat consumption from H2 combustion</t>
  </si>
  <si>
    <t>Net measurable heat imported</t>
  </si>
  <si>
    <t>Measurable heat imported</t>
  </si>
  <si>
    <t>Incumbent:</t>
  </si>
  <si>
    <t>Starting date:</t>
  </si>
  <si>
    <t>Verifier (company):</t>
  </si>
  <si>
    <t>EPRTR ID:</t>
  </si>
  <si>
    <t>NACE code in 2010 (NACE rev 2):</t>
  </si>
  <si>
    <t>Values entered in sheet "F_ProductBM":</t>
  </si>
  <si>
    <t>for use in section E.III.1.f</t>
  </si>
  <si>
    <t>Electricity entered as exchangeable</t>
  </si>
  <si>
    <t>Total preliminary free allocation</t>
  </si>
  <si>
    <t>Calculation factors:</t>
  </si>
  <si>
    <t>Value used for calculation</t>
  </si>
  <si>
    <t>EUconst_NotEligible</t>
  </si>
  <si>
    <t>Please select this option for identifying that your installation uses heat from nitric acid production.</t>
  </si>
  <si>
    <t>This information is relevant for the heat balance (sheet "E_EnergyFlows", section II)</t>
  </si>
  <si>
    <t>Please describe the waste gas and the process from which it is produced. Above enter a name for the gas stream, below give a short process description.</t>
  </si>
  <si>
    <t>Navigation area:</t>
  </si>
  <si>
    <t>Table of contents</t>
  </si>
  <si>
    <t>Next sheet</t>
  </si>
  <si>
    <t>Summary</t>
  </si>
  <si>
    <t>Top of sheet</t>
  </si>
  <si>
    <t>End of sheet</t>
  </si>
  <si>
    <t>Previous sheet</t>
  </si>
  <si>
    <t>D.
Emissions</t>
  </si>
  <si>
    <t>A.
Installation Data</t>
  </si>
  <si>
    <t>E.
Energy flows</t>
  </si>
  <si>
    <t>F. 
Product BM</t>
  </si>
  <si>
    <t>G. 
Fall-back</t>
  </si>
  <si>
    <t>H. 
Special BM</t>
  </si>
  <si>
    <t>I. 
MS specific</t>
  </si>
  <si>
    <t>J. 
Comments</t>
  </si>
  <si>
    <t>K. 
Summary</t>
  </si>
  <si>
    <t>Installation ID</t>
  </si>
  <si>
    <t>Contact persons</t>
  </si>
  <si>
    <t>Verifier</t>
  </si>
  <si>
    <t>Eligibility</t>
  </si>
  <si>
    <t>Further information</t>
  </si>
  <si>
    <t>Sub-installations</t>
  </si>
  <si>
    <t>Technical connections</t>
  </si>
  <si>
    <t>Light grey areas are dedicated for navigation and hyperlinks.</t>
  </si>
  <si>
    <t>Emissions and Energy Input</t>
  </si>
  <si>
    <t>Emissions Attribution</t>
  </si>
  <si>
    <t>Waste gases (1)</t>
  </si>
  <si>
    <t>Waste gases (2)</t>
  </si>
  <si>
    <t>Attribution of Fuels</t>
  </si>
  <si>
    <t>Heat (final result)</t>
  </si>
  <si>
    <t xml:space="preserve">&lt;&lt;&lt; END OF TEMPLATE &gt;&gt;&gt; </t>
  </si>
  <si>
    <t xml:space="preserve">You can enter the figure of 95% either as "0.95" or as "95%". </t>
  </si>
  <si>
    <t>Volume fraction of hydrogen</t>
  </si>
  <si>
    <t>Hydrogen volume fraction VF(H2)</t>
  </si>
  <si>
    <t>Hydrogen (as 100% pure H2)</t>
  </si>
  <si>
    <t>Volume of total production of hydrogen (uncorrected)</t>
  </si>
  <si>
    <t>Result: Activity levels for hydrogen referred to as tonnes 100% H2</t>
  </si>
  <si>
    <t>Due to the very big figures for m3, the figures are to be entered as 1000 Nm3 (norm cubic meters referring to 0°C and 101.325 kPa).</t>
  </si>
  <si>
    <t>Tool for calculating the historical activity levels for synthesis gas sub-installations</t>
  </si>
  <si>
    <t>Volume of total production of synthesis gas (uncorrected)</t>
  </si>
  <si>
    <t>Total synthesis gas production</t>
  </si>
  <si>
    <t xml:space="preserve">You can enter the figure of 50% either as "0.50" or as "50%". </t>
  </si>
  <si>
    <t>Result: Activity levels for synthesis gas referred to as tonnes with 47% hydrogen content</t>
  </si>
  <si>
    <t>Synthesis gas (47% H2 content)</t>
  </si>
  <si>
    <t>Ethylene oxide / glycols</t>
  </si>
  <si>
    <t>Tool for calculating the historical activity levels for ethylene oxide / ethylene glycols sub-installations</t>
  </si>
  <si>
    <t>Tool for calculating the historical activity levels for aromatics sub-installations</t>
  </si>
  <si>
    <t>The activity levels as input in sheet "ProductBM", section (a), under the appropriate sub-installation;</t>
  </si>
  <si>
    <t xml:space="preserve">You are advised to avoid supplying non-relevant information as it can slow down the approval of this report. </t>
  </si>
  <si>
    <t>List of technical connections for drop-downlists:</t>
  </si>
  <si>
    <t>sorted line</t>
  </si>
  <si>
    <t>interim value</t>
  </si>
  <si>
    <t>Name of Transfer Entity</t>
  </si>
  <si>
    <t>Product BM?</t>
  </si>
  <si>
    <t>Net amount measurable heat consumed in the installation and eligible under heat benchmark:</t>
  </si>
  <si>
    <t>Sub-total</t>
  </si>
  <si>
    <t>This exemption is applicable if at least 95% of inputs, outputs and emissions belong to one of the "CL" or "non-CL" status.</t>
  </si>
  <si>
    <t>Please select for each type of sub-installation, if it is relevant in your installation or not. Don't leave the yellow fields empty.</t>
  </si>
  <si>
    <t>Special care must be taken of consistency of data with the units displayed.</t>
  </si>
  <si>
    <t>Means that data is not sufficient for calculation (e.g. an emission factor is missing in one year)</t>
  </si>
  <si>
    <t>In this calculation no negative values are allowed.</t>
  </si>
  <si>
    <t>These are references to document sections. This means that data in the referenced sections are missing.</t>
  </si>
  <si>
    <t xml:space="preserve">This text gives further explanations. </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</si>
  <si>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</si>
  <si>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V</t>
  </si>
  <si>
    <t xml:space="preserve">Production of lime or calcination of dolomite or magnesite in rotary kilns or in other furnaces with a production capacity exceeding 50 tonnes per day </t>
  </si>
  <si>
    <t>Lime</t>
  </si>
  <si>
    <t>Dolime</t>
  </si>
  <si>
    <t>Sintered dolime</t>
  </si>
  <si>
    <t xml:space="preserve">Drying or calcination of gypsum or production of plaster boards and other gypsum products, where combustion units with a total rated thermal input exceeding 20 MW are operated </t>
  </si>
  <si>
    <t>Plaster</t>
  </si>
  <si>
    <t>Dried secondary gypsum</t>
  </si>
  <si>
    <t>Plasterboard</t>
  </si>
  <si>
    <t>reduction of metalloid oxides and non-metal oxides</t>
  </si>
  <si>
    <t>Recovered paper pulp</t>
  </si>
  <si>
    <t>Measurable heat consumed for product benchmark sub-installations within the installation  (not eligible for heat benchmark):</t>
  </si>
  <si>
    <t>Heat losses (calculated)</t>
  </si>
  <si>
    <t>If negative values are displayed this means that the heat consumption levels entered above exceed the amount of heat available from production and imports.</t>
  </si>
  <si>
    <t>Measurable heat imported from non-ETS:</t>
  </si>
  <si>
    <t>EUconst_Relevant</t>
  </si>
  <si>
    <t>EUconst_NotRelevant</t>
  </si>
  <si>
    <t>relevant</t>
  </si>
  <si>
    <t>not relevant</t>
  </si>
  <si>
    <t>The production, not the use of the waste gas is relevant for determining the correct sub-installation.</t>
  </si>
  <si>
    <t>Estimation of waste gas emissions</t>
  </si>
  <si>
    <t>Emissions from waste gases</t>
  </si>
  <si>
    <t>Optionally, and for the purpose of consistency checks only, please provide an estimation of the quantity of emissions relating to the waste gas used or exported.</t>
  </si>
  <si>
    <t>EUconst_kNm3pa</t>
  </si>
  <si>
    <t>EUconst_TonnesOrkNm3pa</t>
  </si>
  <si>
    <t>Net calorific value</t>
  </si>
  <si>
    <t>You may choose to report either as GJ/t or as GJ/1000 Nm3. The units must be consistent with those for the amounts above.</t>
  </si>
  <si>
    <t>EUconst_GJperTorKNm3</t>
  </si>
  <si>
    <t>GJ/1000Nm3</t>
  </si>
  <si>
    <t>EUconst_GJperUnit</t>
  </si>
  <si>
    <t>Necessary assumptions:</t>
  </si>
  <si>
    <t>Reference efficiency for production of electricity:</t>
  </si>
  <si>
    <t>using natural gas:</t>
  </si>
  <si>
    <t>using waste gas:</t>
  </si>
  <si>
    <t>Emissions factor for natural gas:</t>
  </si>
  <si>
    <t>Emissions to be subtracted for taking into account the technically usable energy content:</t>
  </si>
  <si>
    <t>Process emissions calculated taking into account the correction for waste gases (=d-i)</t>
  </si>
  <si>
    <t>Result of waste gas tool:</t>
  </si>
  <si>
    <t>A.</t>
  </si>
  <si>
    <t>Sheet "InstallationData" - GENERAL INFORMATION ON THIS REPORT</t>
  </si>
  <si>
    <t>D.</t>
  </si>
  <si>
    <t>Sheet "Emissions" - ATTRIBUTION OF EMISSIONS</t>
  </si>
  <si>
    <t>E.</t>
  </si>
  <si>
    <t>Sheet "EnergyFlows" - DATA ON ENERGY INPUT, MEASURABLE HEAT AND ELECTRICITY</t>
  </si>
  <si>
    <t>F.</t>
  </si>
  <si>
    <t>Sheet "ProductBM" - SUB-INSTALLATION DATA RELATING TO PRODUCT BENCHMARKS</t>
  </si>
  <si>
    <t>G.</t>
  </si>
  <si>
    <t>Sheet "Fall-back" - SUB-INSTALLATION DATA RELATING TO FALL-BACK SUB-INSTALLATIONS</t>
  </si>
  <si>
    <t>H.</t>
  </si>
  <si>
    <t>Sheet "SpecialBM" - SPECIAL DATA FOR SOME PRODUCT BENCHMARKS</t>
  </si>
  <si>
    <t>I.</t>
  </si>
  <si>
    <t>Sheet "Comments" -  COMMENTS AND FURTHER INFORMATION</t>
  </si>
  <si>
    <t>J.</t>
  </si>
  <si>
    <t xml:space="preserve">Additional documentation provided should be clearly referenced, and the file name / reference number provided below. </t>
  </si>
  <si>
    <t>EUconst_Incomplete</t>
  </si>
  <si>
    <t>incomplete!</t>
  </si>
  <si>
    <t>production of standard pure dolime</t>
  </si>
  <si>
    <t>Total production of high value chemicals (HVC total)</t>
  </si>
  <si>
    <t>Please enter here the annual production data expressed as tonnes HVC (without corrections)</t>
  </si>
  <si>
    <t>HVC total</t>
  </si>
  <si>
    <t>Supplemental feed data:</t>
  </si>
  <si>
    <t>Supplemental feed</t>
  </si>
  <si>
    <t>Ethylene</t>
  </si>
  <si>
    <t>EUconst_ERR_Mandatory_ef</t>
  </si>
  <si>
    <t xml:space="preserve">Manufacture of glass including glass fibre with a melting capacity exceeding 20 tonnes per day </t>
  </si>
  <si>
    <t>Float glass</t>
  </si>
  <si>
    <t>Bottles and jars of colourless glass</t>
  </si>
  <si>
    <t>Bottles and jars of coloured glass</t>
  </si>
  <si>
    <t>Continuous filament glass fibre products</t>
  </si>
  <si>
    <t xml:space="preserve">Manufacture of ceramic products by firing, in particular roofing tiles, bricks, refractory bricks, tiles, stoneware or porcelain, with a production capacity exceeding 75 tonnes per day </t>
  </si>
  <si>
    <t>Facing bricks</t>
  </si>
  <si>
    <t>Pavers</t>
  </si>
  <si>
    <t>Roof tiles</t>
  </si>
  <si>
    <t>Spray dried powder</t>
  </si>
  <si>
    <t xml:space="preserve">Manufacture of mineral wool insulation material using glass, rock or slag with a melting capacity exceeding 20 tonnes per day </t>
  </si>
  <si>
    <t>Mineral wool</t>
  </si>
  <si>
    <t>To the extent feasible, please sort the list with regard to the direct emissions, starting with the activity causing the highest direct emissions.</t>
  </si>
  <si>
    <t>Activity list</t>
  </si>
  <si>
    <t>Combustion of fuels in installations with a total rated thermal input exceeding 20 MW (except in installations for the incineration of hazardous or municipal waste)</t>
  </si>
  <si>
    <t>Production of glyoxal and glyoxylic acid</t>
  </si>
  <si>
    <t>Production of secondary aluminium where combustion units with a total rated thermal input exceeding 20 MW are operated</t>
  </si>
  <si>
    <t>Make grey?</t>
  </si>
  <si>
    <t>EUconst_OK</t>
  </si>
  <si>
    <t>O.K.</t>
  </si>
  <si>
    <t>controls</t>
  </si>
  <si>
    <t>Version:</t>
  </si>
  <si>
    <t>Info for automatic Version detection</t>
  </si>
  <si>
    <t>Template type:</t>
  </si>
  <si>
    <t>Type list:</t>
  </si>
  <si>
    <t>Language:</t>
  </si>
  <si>
    <t>Issued by:</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</si>
  <si>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</si>
  <si>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</si>
  <si>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</si>
  <si>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</si>
  <si>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</si>
  <si>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</si>
  <si>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</si>
  <si>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</si>
  <si>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</si>
  <si>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</si>
  <si>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</si>
  <si>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</si>
  <si>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</si>
  <si>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</si>
  <si>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</si>
  <si>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</si>
  <si>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</si>
  <si>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</si>
  <si>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</si>
  <si>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</si>
  <si>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</si>
  <si>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EUconst_CNTR_nonETSMeasHeat</t>
  </si>
  <si>
    <t>non-ETS measurable heat</t>
  </si>
  <si>
    <t>Sum of measurable heat from non-ETS imports for further use in sheet "E_EnergyFlows":</t>
  </si>
  <si>
    <t>Number of non-empty relevant cells</t>
  </si>
  <si>
    <t>Search criterion</t>
  </si>
  <si>
    <t>Start of aggregation</t>
  </si>
  <si>
    <t>Measurable heat aggregated</t>
  </si>
  <si>
    <t>for use in section E.II</t>
  </si>
  <si>
    <t>Heat Inputs</t>
  </si>
  <si>
    <t>Ratio of "ETS heat" to "Total heat"</t>
  </si>
  <si>
    <t>Note that heat produced from nitric acid sub-installations has to be reported under point (c) as "non-ETS import".</t>
  </si>
  <si>
    <t>"ETS heat" is heat produced in the installation plus heat imported from ETS installations (=a+b).</t>
  </si>
  <si>
    <t xml:space="preserve">Total heat is the ETS heat plus heat imported from non-ETS entities and installations (=a+b+c). </t>
  </si>
  <si>
    <t>All heat data should  refer to "net amount of measurable heat" (i.e. heat content of heat flow to user minus heat content of the return flow).</t>
  </si>
  <si>
    <t>In a first step the non-eligible amounts for heat use within the installation are considered.</t>
  </si>
  <si>
    <t xml:space="preserve">This is the amount of heat used for electricity production and heat consumed within product benchmark sub-installations. </t>
  </si>
  <si>
    <t>This amount must be consistent with the amount of waste gas under point (f) below.</t>
  </si>
  <si>
    <t>Only waste gas which is used for the production of heat or electricity is relevant. If the waste gas is flared, only the amount relating to safety flaring is relevant.</t>
  </si>
  <si>
    <t>Hot metal</t>
  </si>
  <si>
    <t>Number of activity</t>
  </si>
  <si>
    <t>Activity missing (A.I.4.a)!</t>
  </si>
  <si>
    <t>EUconst_ERR_ActivityMissing</t>
  </si>
  <si>
    <t>CNTR_Eligible10a</t>
  </si>
  <si>
    <t>CNTR_ApplyLinF</t>
  </si>
  <si>
    <t>Connection Name</t>
  </si>
  <si>
    <t>Entity Type</t>
  </si>
  <si>
    <t>Attribution of emissions to sub-installations (section D.II)</t>
  </si>
  <si>
    <t>Energy input from fuels - split into use categories (Section E.I)</t>
  </si>
  <si>
    <t>Calculation of measurable heat (Section E.II)</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</si>
  <si>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t>
  </si>
  <si>
    <t>Colour codes and fonts:</t>
  </si>
  <si>
    <t>This is text describing the input required.</t>
  </si>
  <si>
    <t>This amount of heat is allocated to the consumer of the heat.</t>
  </si>
  <si>
    <t>Type of connection options are:</t>
  </si>
  <si>
    <t>Because both possible sub-installations can be concerned in one installation, or because different waste gases can occur, this "waste gas tool" exists twofold in this template.</t>
  </si>
  <si>
    <t>Please select here to which of the two process emission sub-installations the data in this tool is related.</t>
  </si>
  <si>
    <t>EUconst_MSlist</t>
  </si>
  <si>
    <t>EUconst_MSlistISOcodes</t>
  </si>
  <si>
    <t>Operator Name:</t>
  </si>
  <si>
    <t>v.</t>
  </si>
  <si>
    <t>vi.</t>
  </si>
  <si>
    <t>vii.</t>
  </si>
  <si>
    <t>viii.</t>
  </si>
  <si>
    <t>ix.</t>
  </si>
  <si>
    <t>CNTR_ExistSubInstEntries</t>
  </si>
  <si>
    <t>For formatting of connection list:</t>
  </si>
  <si>
    <t>CNTR_ExistConnectionEntries</t>
  </si>
  <si>
    <t>Any error messages?</t>
  </si>
  <si>
    <t>Total:</t>
  </si>
  <si>
    <t>CNTR_HasEntries_A_I:</t>
  </si>
  <si>
    <t>Used for formatting and Error messages.</t>
  </si>
  <si>
    <t>Measurable heat delivered to other sub-installations is to be treated like heat from non-ETS sources.</t>
  </si>
  <si>
    <t>Exchangeability of fuel and electricity:</t>
  </si>
  <si>
    <t>Under this point the "main activity levels" should be reported, i.e. the data which is directly applicable for the calculation of the allocation.</t>
  </si>
  <si>
    <t xml:space="preserve">Production of carbon black involving the carbonisation of organic substances such as oils, tars, cracker and distillation residues, where combustion units with a total rated thermal input exceeding 20 MW are operated </t>
  </si>
  <si>
    <t>Carbon black</t>
  </si>
  <si>
    <t xml:space="preserve">Production of nitric acid </t>
  </si>
  <si>
    <t>Nitric acid</t>
  </si>
  <si>
    <t xml:space="preserve">Production of adipic acid </t>
  </si>
  <si>
    <t>Adipic acid</t>
  </si>
  <si>
    <t xml:space="preserve">Production of ammonia </t>
  </si>
  <si>
    <t>Ammonia</t>
  </si>
  <si>
    <t xml:space="preserve">Production of bulk organic chemicals by cracking, reforming, partial or full oxidation or by similar processes, with a production capacity exceeding 100 tonnes per day </t>
  </si>
  <si>
    <t>Steam cracking</t>
  </si>
  <si>
    <t>Aromatics</t>
  </si>
  <si>
    <t>Styrene</t>
  </si>
  <si>
    <t>Phenol/ acetone</t>
  </si>
  <si>
    <t>Ethylene oxide/ ethylene glycols</t>
  </si>
  <si>
    <t>Vinyl chloride monomer</t>
  </si>
  <si>
    <t>S-PVC</t>
  </si>
  <si>
    <t>E-PVC</t>
  </si>
  <si>
    <t xml:space="preserve">Production of hydrogen (H2) and synthesis gas by reforming or partial oxidation with a production capacity exceeding 25 tonnes per day </t>
  </si>
  <si>
    <t>Hydrogen</t>
  </si>
  <si>
    <t>Synthesis gas</t>
  </si>
  <si>
    <t xml:space="preserve">Production of soda ash (Na2CO3) and sodium bicarbonate (NaHCO3) </t>
  </si>
  <si>
    <t>Soda ash</t>
  </si>
  <si>
    <t>end</t>
  </si>
  <si>
    <t>Product type</t>
  </si>
  <si>
    <t>year</t>
  </si>
  <si>
    <t>EUconst_Year</t>
  </si>
  <si>
    <t>BM number</t>
  </si>
  <si>
    <t>EUconst_Tons</t>
  </si>
  <si>
    <t>General Information on this Template</t>
  </si>
  <si>
    <t>Sub-installation</t>
  </si>
  <si>
    <t>(o)</t>
  </si>
  <si>
    <t>(p)</t>
  </si>
  <si>
    <t>(q)</t>
  </si>
  <si>
    <t>Sum of products</t>
  </si>
  <si>
    <t>CF(EOE)</t>
  </si>
  <si>
    <t>Ethylene oxide</t>
  </si>
  <si>
    <t>Monoethylene glycol</t>
  </si>
  <si>
    <t>Diethylene glycol</t>
  </si>
  <si>
    <t>Triethylene glycol</t>
  </si>
  <si>
    <t>Result: Activity levels for the ethylene oxide / ethylene glycols product benchmark sub-installation:</t>
  </si>
  <si>
    <t>Installation name:</t>
  </si>
  <si>
    <t>Naphtha/Gasoline Hydrotreater</t>
  </si>
  <si>
    <t>Result: Activity levels for the aromatics benchmark expressed as CWT</t>
  </si>
  <si>
    <t>Aromatics activity level</t>
  </si>
  <si>
    <t>Name of the installation:</t>
  </si>
  <si>
    <t>Operator data:</t>
  </si>
  <si>
    <t>Name:</t>
  </si>
  <si>
    <t>Installation address:</t>
  </si>
  <si>
    <t>Street, Number:</t>
  </si>
  <si>
    <t>City:</t>
  </si>
  <si>
    <t>Country:</t>
  </si>
  <si>
    <t>Name of authorized representative:</t>
  </si>
  <si>
    <t>Email:</t>
  </si>
  <si>
    <t>Telephone:</t>
  </si>
  <si>
    <t>Fax:</t>
  </si>
  <si>
    <t>Company Name:</t>
  </si>
  <si>
    <t>Other HVC</t>
  </si>
  <si>
    <t>Result: Activity levels for net HVC</t>
  </si>
  <si>
    <t>Net HVC production levels</t>
  </si>
  <si>
    <t>Tool for calculating the historical activity levels for hydrogen sub-installations</t>
  </si>
  <si>
    <t>Total hydrogen production</t>
  </si>
  <si>
    <t>EUconst_MNm3pa</t>
  </si>
  <si>
    <t>Norway</t>
  </si>
  <si>
    <t>Liechtenstein</t>
  </si>
  <si>
    <t>LI</t>
  </si>
  <si>
    <t>NO</t>
  </si>
  <si>
    <t>UBA</t>
  </si>
  <si>
    <t>Name</t>
  </si>
  <si>
    <t>Constant</t>
  </si>
  <si>
    <t>Further constants</t>
  </si>
  <si>
    <t>EUconst_ReportingYears</t>
  </si>
  <si>
    <t>End</t>
  </si>
  <si>
    <t>Area for functionalities, Constants etc.</t>
  </si>
  <si>
    <t>II</t>
  </si>
  <si>
    <t>(b)</t>
  </si>
  <si>
    <t>Column Index:</t>
  </si>
  <si>
    <t xml:space="preserve"> %</t>
  </si>
  <si>
    <t>Memo-Item: Biomass emissions</t>
  </si>
  <si>
    <t>Biomass content (as fraction of carbon)</t>
  </si>
  <si>
    <t>(d)</t>
  </si>
  <si>
    <t>Emissions (fossil, calculated)</t>
  </si>
  <si>
    <t>III</t>
  </si>
  <si>
    <t>Unit</t>
  </si>
  <si>
    <t>EUconst_ERR_Mandatory_g</t>
  </si>
  <si>
    <t>EUconst_ERR_Mandatory_abd</t>
  </si>
  <si>
    <t>At least one sub-installation name has been entered more than once. Please correct!</t>
  </si>
  <si>
    <t>EUconst_ERR_DoubleBMentry</t>
  </si>
  <si>
    <t>EUconst_ERR_MissingSubInstEntry</t>
  </si>
  <si>
    <t>Please enter for each sub-installation if it is relevant or not!</t>
  </si>
  <si>
    <t>EUconst_ERR_MissingFallBackEntry</t>
  </si>
  <si>
    <t>Used f. Formatting of navigation panel</t>
  </si>
  <si>
    <t>Green fields show automatically calculated results. Red text indicates error messages (missing data etc).</t>
  </si>
  <si>
    <t>Please enter information under points (b) and (c) above!</t>
  </si>
  <si>
    <t>EUconst_ERR_Mandatory_Bbc</t>
  </si>
  <si>
    <t>Please enter detailed source stream data starting with section II below!</t>
  </si>
  <si>
    <t>EUconst_ERR_StartWithFuels</t>
  </si>
  <si>
    <t>Please go on with entering emission totals in section D.I.2 in sheet 'D_Emissions'!</t>
  </si>
  <si>
    <t>EUconst_ERR_Goto_DI2</t>
  </si>
  <si>
    <t>EUconst_Fuel</t>
  </si>
  <si>
    <t>Fuel</t>
  </si>
  <si>
    <t>The units selected are inconsistent, and calculations based upon related inputs will give wrong results.</t>
  </si>
  <si>
    <t>EUconst_GJpa</t>
  </si>
  <si>
    <t>Total direct emission of the installation</t>
  </si>
  <si>
    <t>No. of Activity</t>
  </si>
  <si>
    <t>Please use CWT tool in sheet "SpecialBM" for calculating historical activity levels.</t>
  </si>
  <si>
    <t>Please use lime tool in sheet "SpecialBM" for calculating historical activity levels.</t>
  </si>
  <si>
    <t>Please use dolime tool in sheet "SpecialBM" for calculating historical activity levels.</t>
  </si>
  <si>
    <t>Please use ethylene oxide / glycols tool in sheet "SpecialBM" for calculating historical activity levels.</t>
  </si>
  <si>
    <t>Please use hydrogen tool in sheet "SpecialBM" for calculating historical activity levels.</t>
  </si>
  <si>
    <t>Please use syngas tool in sheet "SpecialBM" for calculating historical activity levels.</t>
  </si>
  <si>
    <t>EUconst_BaselinePeriods</t>
  </si>
  <si>
    <t>Attribution of emissions to sub-installations</t>
  </si>
  <si>
    <t>Relevant electricity consumption</t>
  </si>
  <si>
    <t>Total direct emissions</t>
  </si>
  <si>
    <t>Indirect emissions</t>
  </si>
  <si>
    <t>EUconst_HeatBMvalue</t>
  </si>
  <si>
    <t>EUconst_ElBM</t>
  </si>
  <si>
    <t>Unit of HAL</t>
  </si>
  <si>
    <t>Main activity level:</t>
  </si>
  <si>
    <t>Sum of production levels</t>
  </si>
  <si>
    <t>Special reporting requirements:</t>
  </si>
  <si>
    <t>Some product benchmarks require special information to be reported (e.g. CWT values). If relevant, an automatically generated message will appear here.</t>
  </si>
  <si>
    <t>Message regarding special reporting</t>
  </si>
  <si>
    <t>Please list here to which production processes or services this sub-installation relates. This may include the following items:</t>
  </si>
  <si>
    <t xml:space="preserve">-  </t>
  </si>
  <si>
    <t>Production of goods not covered by product benchmarks within the installation (please provide types of product);</t>
  </si>
  <si>
    <t>Norwegian</t>
  </si>
  <si>
    <t>no</t>
  </si>
  <si>
    <t>VII</t>
  </si>
  <si>
    <t>VIII</t>
  </si>
  <si>
    <t>Total Direct Greenhouse Gas Emissions and Energy Input from Fuels</t>
  </si>
  <si>
    <t>Total N2O emissions</t>
  </si>
  <si>
    <t>Total PFC emissions</t>
  </si>
  <si>
    <t>Total CO2 emissions</t>
  </si>
  <si>
    <t>tCO2e/tN2O</t>
  </si>
  <si>
    <t>Installation level data:</t>
  </si>
  <si>
    <t>Total energy input from fuels</t>
  </si>
  <si>
    <t>A separate balance for the consumption of the "eligible" and "non-eligible" heat is calculated.</t>
  </si>
  <si>
    <t>For the purpose of this template, the following step-by-step approach is used:</t>
  </si>
  <si>
    <t>Heat imported from non-ETS installations or entities:</t>
  </si>
  <si>
    <t>Hydrogen related emissions</t>
  </si>
  <si>
    <t>EUconst_FuelBMvalue</t>
  </si>
  <si>
    <t>Emission related data:</t>
  </si>
  <si>
    <t>Carbon content (mass %)</t>
  </si>
  <si>
    <t>Net calorific value (NCV), if applicable</t>
  </si>
  <si>
    <t>Please make sure that you check this section again after completing the sheet "F_ProductBM", if applicable, in order to avoid non-plausible inputs.</t>
  </si>
  <si>
    <t>You will receive an error message if you do not enter exactly 4 digits.</t>
  </si>
  <si>
    <t>Name of product or group of products</t>
  </si>
  <si>
    <t>This type of sub-installation always relates to production of goods not covered by product benchmarks within the installation.</t>
  </si>
  <si>
    <t>Process emission type</t>
  </si>
  <si>
    <t>EUconst_ProcessEmissionTypes</t>
  </si>
  <si>
    <t>N2O</t>
  </si>
  <si>
    <t>PFCs</t>
  </si>
  <si>
    <t>reduction of metals compounds</t>
  </si>
  <si>
    <t>removal of impurities</t>
  </si>
  <si>
    <t>decomposition of carbonates</t>
  </si>
  <si>
    <t>The EPRTR is the European Pollutant Release and Transfer Register.</t>
  </si>
  <si>
    <t>Synthesis gas production for POX units</t>
  </si>
  <si>
    <t>Result: Activity levels for the refinery benchmark expressed as CWT</t>
  </si>
  <si>
    <t>Uncorrected Dolime production:</t>
  </si>
  <si>
    <t>Please enter here the annual production data expressed as tonnes of lime, without correction for the composition data:</t>
  </si>
  <si>
    <t>Tool for calculating the historical activity levels for Dolime sub-installations</t>
  </si>
  <si>
    <t>Light yellow fields indicate that an input is optional.</t>
  </si>
  <si>
    <t>Umweltbundesamt</t>
  </si>
  <si>
    <t>Spain</t>
  </si>
  <si>
    <t>Sweden</t>
  </si>
  <si>
    <t>United Kingdom</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</si>
  <si>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t>
  </si>
  <si>
    <t>EUconst_MsgSeeFirst</t>
  </si>
  <si>
    <t>Please proceed to sheet 'F_ProductBM'!</t>
  </si>
  <si>
    <t>EUconst_MsgProceedF</t>
  </si>
  <si>
    <t>Please proceed to section E.II.2</t>
  </si>
  <si>
    <t>EUconst_MsgProceedEII2</t>
  </si>
  <si>
    <t>EUconst_MsgGoOn</t>
  </si>
  <si>
    <t>Please continue with the next points below</t>
  </si>
  <si>
    <t xml:space="preserve">Production of pulp from timber or other fibrous materials </t>
  </si>
  <si>
    <t>Short fibre kraft pulp</t>
  </si>
  <si>
    <t>Adt</t>
  </si>
  <si>
    <t>Long fibre kraft pulp</t>
  </si>
  <si>
    <t>Sulphite pulp, thermo-mechanical and mechanical pulp</t>
  </si>
  <si>
    <t xml:space="preserve">Production of paper or cardboard with a production capacity exceeding 20 tonnes per day </t>
  </si>
  <si>
    <t>Newsprint</t>
  </si>
  <si>
    <t>Uncoated fine paper</t>
  </si>
  <si>
    <t>EUconst_Inconsistent</t>
  </si>
  <si>
    <t>inconsistent!</t>
  </si>
  <si>
    <t>EUconst_tCO2pkNm3</t>
  </si>
  <si>
    <t>In case no data on the content of free MgO is available, a conservative estimate not lower than 0.5% shall be applied.</t>
  </si>
  <si>
    <t>Content of CaO</t>
  </si>
  <si>
    <t>Content of MgO</t>
  </si>
  <si>
    <t>Result: Activity levels for lime expressed as standard pure lime</t>
  </si>
  <si>
    <t>This section relates to the process emissions sub-installation of this type:</t>
  </si>
  <si>
    <t>Please confirm if waste gases are relevant for this sub-installation:</t>
  </si>
  <si>
    <t>chemical synthesis</t>
  </si>
  <si>
    <t>carbon containing materials</t>
  </si>
  <si>
    <t>Historic Activity levels and disaggregated production details</t>
  </si>
  <si>
    <t>Portugal</t>
  </si>
  <si>
    <t>Romania</t>
  </si>
  <si>
    <t>Slovakia</t>
  </si>
  <si>
    <t>Slovenia</t>
  </si>
  <si>
    <t>Unique Installation Identifier:</t>
  </si>
  <si>
    <t>Identification of the Installation</t>
  </si>
  <si>
    <t xml:space="preserve">NACE rev 2.0 can be found here: </t>
  </si>
  <si>
    <t>Rest</t>
  </si>
  <si>
    <t>production of mechanical energy, heating or cooling (all uses excluding production of electricity);</t>
  </si>
  <si>
    <t>production of mechanical energy, heating or cooling (all uses excluding production of electricity).</t>
  </si>
  <si>
    <t>mechanical energy</t>
  </si>
  <si>
    <t>Total Ethylene oxide equivalents</t>
  </si>
  <si>
    <t>Installation producing Nitric Acid</t>
  </si>
  <si>
    <t>In the column "Type of entity" the following options can be selected:</t>
  </si>
  <si>
    <t>Please list this fact even if the nitric acid production is part of your own installation, not only if your installation is connected to such installation.</t>
  </si>
  <si>
    <t>Special case: Nitric acid production:</t>
  </si>
  <si>
    <t>Individual production levels of products included in this product benchmark sub-installation</t>
  </si>
  <si>
    <t xml:space="preserve">&lt;&lt;&lt; Click here to proceed to next sheet &gt;&gt;&gt; </t>
  </si>
  <si>
    <t>N.A.</t>
  </si>
  <si>
    <t>EUconst_TrueFalse</t>
  </si>
  <si>
    <t>EUconst_TrueFalseNA</t>
  </si>
  <si>
    <t>I</t>
  </si>
  <si>
    <t>The required data on historical production of hydrogen, ethylene and other HVC from supplemental feed expressed as tonnes, taken from IV.1.c above;</t>
  </si>
  <si>
    <t>tonnes</t>
  </si>
  <si>
    <t>-</t>
  </si>
  <si>
    <t>%</t>
  </si>
  <si>
    <t>R</t>
  </si>
  <si>
    <t>C5/C6 Isomerisation</t>
  </si>
  <si>
    <t>Asphalt Manufacture</t>
  </si>
  <si>
    <t>Polymer-Modified Asphalt Blending</t>
  </si>
  <si>
    <t>Sulphur Recovery</t>
  </si>
  <si>
    <t>Aromatic Solvent Extraction</t>
  </si>
  <si>
    <t>Hydrodealkylation</t>
  </si>
  <si>
    <t>TDP/ TDA</t>
  </si>
  <si>
    <t>Cyclohexane production</t>
  </si>
  <si>
    <t>Xylene Isomerisation</t>
  </si>
  <si>
    <t>Paraxylene production</t>
  </si>
  <si>
    <t>Metaxylene production</t>
  </si>
  <si>
    <t>Maleic anhydride production</t>
  </si>
  <si>
    <t>Ethylbenzene production</t>
  </si>
  <si>
    <t>Cumene production</t>
  </si>
  <si>
    <t>Phenol production</t>
  </si>
  <si>
    <t>EUconst_Error</t>
  </si>
  <si>
    <t>ERR_</t>
  </si>
  <si>
    <t>Errors?</t>
  </si>
  <si>
    <t>BM1</t>
  </si>
  <si>
    <t>BM2</t>
  </si>
  <si>
    <t>BM3</t>
  </si>
  <si>
    <t>BM4</t>
  </si>
  <si>
    <t>BM5</t>
  </si>
  <si>
    <t>BM6</t>
  </si>
  <si>
    <t>BM7</t>
  </si>
  <si>
    <t>BM8</t>
  </si>
  <si>
    <t>BM9</t>
  </si>
  <si>
    <t>BM10</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</si>
  <si>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</si>
  <si>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Important note: The reporting is done in ktonnes, but the benchmark is expressed in t CO2/CWT, where CWT is expressed in tonnes.</t>
  </si>
  <si>
    <t>Emissions</t>
  </si>
  <si>
    <t>Waste gases</t>
  </si>
  <si>
    <t>EUconst_RelevantNotRelevant</t>
  </si>
  <si>
    <t>Carbon leakage</t>
  </si>
  <si>
    <t>not exposed to carbon leakage</t>
  </si>
  <si>
    <t>EUconst_CLnonCL</t>
  </si>
  <si>
    <t>However, for waste gases a CO2 amount equivalent to natural gas used for the "technically usable energy content" is to be subtracted from the total process emissions.</t>
  </si>
  <si>
    <t>In order to determine the "technically usable energy content" the following information is needed:</t>
  </si>
  <si>
    <t>Type of waste gas:</t>
  </si>
  <si>
    <t>Net calorific value of the waste gas</t>
  </si>
  <si>
    <t>Emission factor of natural gas: 56.1 t CO2/TJ.</t>
  </si>
  <si>
    <t>Net calorific value of the waste gas;</t>
  </si>
  <si>
    <t>Optionally (for consistency checking) the process emissions associated with these waste gas amounts should be reported.</t>
  </si>
  <si>
    <t>Electricity exported</t>
  </si>
  <si>
    <t>EUconst_ConnectionTransferTypes</t>
  </si>
  <si>
    <t>Name of contact person</t>
  </si>
  <si>
    <t>Please enter here further information regarding those connected installations, if relevant:</t>
  </si>
  <si>
    <t>EUconst_ConnectionShortTypes</t>
  </si>
  <si>
    <t>Heat</t>
  </si>
  <si>
    <t>CO2</t>
  </si>
  <si>
    <t>For the aromatics benchmark, which also uses CWT, please use the specific CWT tool for aromatics below (section V of this sheet).</t>
  </si>
  <si>
    <t xml:space="preserve">If the answer to (a) or (b) was positive, the answer to (c) is automatically positive. </t>
  </si>
  <si>
    <t>EUconst_ConfirmationNotEligible</t>
  </si>
  <si>
    <t>Important notes:</t>
  </si>
  <si>
    <t>EUconst_ConfirmApplicationForAlloc</t>
  </si>
  <si>
    <t>Net heat exported</t>
  </si>
  <si>
    <t>Waste gas exported</t>
  </si>
  <si>
    <t>HeatEx_</t>
  </si>
  <si>
    <t>WasteGasEx_</t>
  </si>
  <si>
    <t>EUconst_CNTR_HeatExport</t>
  </si>
  <si>
    <t>EUconst_CNTR_WGExport</t>
  </si>
  <si>
    <t>FuelInput_</t>
  </si>
  <si>
    <t>EUconst_CNTR_FuelInput</t>
  </si>
  <si>
    <t>Net heat imported</t>
  </si>
  <si>
    <t>EUconst_CNTR_WGExportEF</t>
  </si>
  <si>
    <t>WasteGasExEF_</t>
  </si>
  <si>
    <t>HeatExEF_</t>
  </si>
  <si>
    <t>EUconst_CNTR_HeatExportEF</t>
  </si>
  <si>
    <t>EUconst_CNTR_HeatImport</t>
  </si>
  <si>
    <t>HeatIm_</t>
  </si>
  <si>
    <t>EUconst_CNTR_HeatImportEF</t>
  </si>
  <si>
    <t>HeatImEF_</t>
  </si>
  <si>
    <t>EUconst_CNTR_ElectricityExported</t>
  </si>
  <si>
    <t>ElecEx_</t>
  </si>
  <si>
    <t>EUconst_CNTR_WGImport</t>
  </si>
  <si>
    <t>EUconst_CNTR_WGImportEF</t>
  </si>
  <si>
    <t>WasteGasImEF_</t>
  </si>
  <si>
    <t>WasteGasIm_</t>
  </si>
  <si>
    <t>Waste gas imported</t>
  </si>
  <si>
    <t>Specific EF (imported heat)</t>
  </si>
  <si>
    <t>Specific EF (exported heat)</t>
  </si>
  <si>
    <t>xiii.</t>
  </si>
  <si>
    <t>xiv.</t>
  </si>
  <si>
    <t>xv.</t>
  </si>
  <si>
    <t>xvi.</t>
  </si>
  <si>
    <t>xvii.</t>
  </si>
  <si>
    <t>xviii.</t>
  </si>
  <si>
    <t>xix.</t>
  </si>
  <si>
    <t>xx.</t>
  </si>
  <si>
    <t>xxi.</t>
  </si>
  <si>
    <t>xxii.</t>
  </si>
  <si>
    <t>xxiii.</t>
  </si>
  <si>
    <t>EUconst_CNTR_Emissions</t>
  </si>
  <si>
    <t>make grey?</t>
  </si>
  <si>
    <t>Measurable heat import to and export from this sub-installation</t>
  </si>
  <si>
    <t>EUconst_tCO2pMWh</t>
  </si>
  <si>
    <t>Emissions attributable to heat output</t>
  </si>
  <si>
    <t>Fuel input into CHP</t>
  </si>
  <si>
    <t>Heat output from CHP</t>
  </si>
  <si>
    <t>Electricity output CHP</t>
  </si>
  <si>
    <t>EUconst_NGEFvalue</t>
  </si>
  <si>
    <t>Reference efficiencies</t>
  </si>
  <si>
    <t>Heat production</t>
  </si>
  <si>
    <t>Electricity production</t>
  </si>
  <si>
    <t>Total amount of fuel input into CHP units</t>
  </si>
  <si>
    <t>ARR</t>
  </si>
  <si>
    <t>BM value (2013-2020)</t>
  </si>
  <si>
    <t>Reporting years used:</t>
  </si>
  <si>
    <t>Reporting years (default):</t>
  </si>
  <si>
    <t>Croatia</t>
  </si>
  <si>
    <t>HR</t>
  </si>
  <si>
    <t>IC</t>
  </si>
  <si>
    <t>Croatian</t>
  </si>
  <si>
    <t>hr</t>
  </si>
  <si>
    <t>Icelandic</t>
  </si>
  <si>
    <t>ic</t>
  </si>
  <si>
    <t>Tool for calculating the emissions attributable to heat production in combined heat and power units (CHP)</t>
  </si>
  <si>
    <t>Waste gas produced</t>
  </si>
  <si>
    <t>Import or export of intermediate products covered by product benchmarks</t>
  </si>
  <si>
    <t>Exported amounts:</t>
  </si>
  <si>
    <t>Imported amounts:</t>
  </si>
  <si>
    <t>Is there any import or export of intermediate products covered by product benchmarks?</t>
  </si>
  <si>
    <t>Description of the intermediate products imported or exported</t>
  </si>
  <si>
    <t>Other than CWT?</t>
  </si>
  <si>
    <t>Print area:</t>
  </si>
  <si>
    <t>Net heat imported from nitric acid sub-installation</t>
  </si>
  <si>
    <t>Net heat imported from pulp</t>
  </si>
  <si>
    <t>Total heat imported</t>
  </si>
  <si>
    <t>Total heat exported</t>
  </si>
  <si>
    <t>Amount imported or exported</t>
  </si>
  <si>
    <t>Further source streams - 1</t>
  </si>
  <si>
    <t>Further source streams - 2</t>
  </si>
  <si>
    <t>GHG imported or exported</t>
  </si>
  <si>
    <t>Total amount of pulp produced</t>
  </si>
  <si>
    <t>Does the installation produce heat not used for electricity production?</t>
  </si>
  <si>
    <t>EUconst_CNTR_HeatImportPulp</t>
  </si>
  <si>
    <t>HeatImPulp_</t>
  </si>
  <si>
    <t>EUconst_CNTR_HeatImportNitric</t>
  </si>
  <si>
    <t>HeatImNitric_</t>
  </si>
  <si>
    <t>Does the installation produce electricity?</t>
  </si>
  <si>
    <t>CNTR_ProdElec</t>
  </si>
  <si>
    <t>EUconst_AllYears</t>
  </si>
  <si>
    <t>Please enter here the annual fuel input into the CHP unit.</t>
  </si>
  <si>
    <t>From fuel input to CHP</t>
  </si>
  <si>
    <t>From flue gas cleaning</t>
  </si>
  <si>
    <t>Total net heat imported</t>
  </si>
  <si>
    <t>Measurable heat produced from electricity</t>
  </si>
  <si>
    <t>Heat from electricity</t>
  </si>
  <si>
    <t>Waste gas balance</t>
  </si>
  <si>
    <t>Waste gases imported from other installations or entities</t>
  </si>
  <si>
    <t>Waste gases exported to other installations or entities</t>
  </si>
  <si>
    <t>Waste gases available</t>
  </si>
  <si>
    <t>Waste gases consumed within fall-back sub-installations</t>
  </si>
  <si>
    <t>Amount of waste gases consumed for the production of electricity</t>
  </si>
  <si>
    <t>Waste gases for electricity</t>
  </si>
  <si>
    <t>Plausibility check</t>
  </si>
  <si>
    <t>Difference (calculated)</t>
  </si>
  <si>
    <t>Amount of waste gases flared other than safety flaring</t>
  </si>
  <si>
    <t>Weighted emission factor</t>
  </si>
  <si>
    <t>Waste gases consumed within product benchmark sub-installations</t>
  </si>
  <si>
    <t>Type of product BM sub-installation</t>
  </si>
  <si>
    <t>Type of fall-back sub-installation</t>
  </si>
  <si>
    <t>produced outside product BM sub-installations</t>
  </si>
  <si>
    <t>Complete balance of waste gases at the installation</t>
  </si>
  <si>
    <t>(r)</t>
  </si>
  <si>
    <t>Fuel input to this sub-installation and relevant emission factor</t>
  </si>
  <si>
    <t>Information about the verifier's accreditation:</t>
  </si>
  <si>
    <t>Name of the national accreditation body:</t>
  </si>
  <si>
    <t>Waste gases produced</t>
  </si>
  <si>
    <t>Waste gases produced within the system boundaries of a product benchmark sub-installation</t>
  </si>
  <si>
    <t>Waste gases produced outside the system boundaries of a product benchmark sub-installation</t>
  </si>
  <si>
    <t>Sum of waste gases available at installation (=c+d-e)</t>
  </si>
  <si>
    <t>D.II.b !</t>
  </si>
  <si>
    <t>The name of the fall-back sub-installation is displayed automatically based on the overall list of possible fall-back installations.</t>
  </si>
  <si>
    <t>Pulp</t>
  </si>
  <si>
    <t xml:space="preserve">Usually this is the production data of the product, e.g. tonnes of grey cement clinker or tonnes of glass bottles, as defined by Annex I of the FAR. </t>
  </si>
  <si>
    <t>After these deductions of heat from the available amount, a new "eligibility ratio" is calculated (point (k)).</t>
  </si>
  <si>
    <t>As default, it is assumed that the whole amount of heat used for electricity production is split between eligible and non-eligible inputs using the ratio calculated under (f).</t>
  </si>
  <si>
    <t>Thereafter the factor determined under (e) is corrected taking into account the remainder of eligible and non-eligible heat. This factor is used for point (m).</t>
  </si>
  <si>
    <t>This is consumption within the installation excluding for purposes listed in points (g) and (h).</t>
  </si>
  <si>
    <t>This table shows calculated heat losses (i.e. the amount of heat not covered by points g,h,k,l and m) for reasons of completeness of the heat balance.</t>
  </si>
  <si>
    <t>This result is calculated as point (o) multiplied with the corrected eligibility ratio determined under (k).</t>
  </si>
  <si>
    <t>Heat benchmark sub-installation "CL" (exposed to a significant risk of Carbon Leakage), "non-CL" (not exposed to carbon leakage risk; which includes heat exported to non-ETS installations and entities but not for district heating) and district heating sub-installation "non-CL".</t>
  </si>
  <si>
    <t>EUconst_CLEFYears</t>
  </si>
  <si>
    <t>EUconst_CLEFDistrict</t>
  </si>
  <si>
    <t>District heating sub-installation</t>
  </si>
  <si>
    <t>EUconst_AllocPrelim</t>
  </si>
  <si>
    <t>AllocPrelim_</t>
  </si>
  <si>
    <t>Distribution of fuel input to different uses</t>
  </si>
  <si>
    <t>Maximum</t>
  </si>
  <si>
    <t>Name of further source streams - 1:</t>
  </si>
  <si>
    <t>Name of further source streams - 2:</t>
  </si>
  <si>
    <t>If there are more than two source streams imported or exported, multiple source streams should be grouped together and respective names provided.</t>
  </si>
  <si>
    <t>Types of waste gases exported:</t>
  </si>
  <si>
    <t>Types of waste gases imported:</t>
  </si>
  <si>
    <t>Types of waste gases produced:</t>
  </si>
  <si>
    <t>Information on the greenhouse gas emissions permit:</t>
  </si>
  <si>
    <t>Identification code of the installation in the Registry:</t>
  </si>
  <si>
    <t>Primary contact person for technical questions regarding installation data, if different from (a):</t>
  </si>
  <si>
    <t>Authorised representative of the operator in charge of this installation:</t>
  </si>
  <si>
    <t>Authorised representative of the verifier:</t>
  </si>
  <si>
    <t>Only those cases are relevant, where either measurable heat, waste gases or "transferred CO2" as defined by the Monitoring and Reporting Regulation are transferred.</t>
  </si>
  <si>
    <t>transferred CO2</t>
  </si>
  <si>
    <t>Product name, or heat export other than "district heating"</t>
  </si>
  <si>
    <t>export of heat to installations or other entities (other than district heating). In this case please indicate the use of heat in that installation or entity, if known.</t>
  </si>
  <si>
    <t>Further correction factors</t>
  </si>
  <si>
    <t>For electricity production, heat consumption is split according to the ratio displayed under point (f), unless the amount of heat from non-eligible sources is manually input under (g).iii.</t>
  </si>
  <si>
    <t>For product benchmarks the total amount of measured heat is asked under (g) below. The amount of "non-eligible" heat is taken as sum of inputs in sheet "F_ProductBM", section (f).iii of each sub-installation (shown here below under (i).xii ).</t>
  </si>
  <si>
    <t>Eligibility ratio for the remaining heat calculated under (j):</t>
  </si>
  <si>
    <t>corrected eligibility ratio (=(j).ii / (j).i):</t>
  </si>
  <si>
    <t>Heat losses (=j-l-m)</t>
  </si>
  <si>
    <t>Heat losses (fraction of heat available = e)</t>
  </si>
  <si>
    <t>Compare to (f)</t>
  </si>
  <si>
    <t>The remaining eligible amount can then be attributed to the both heat benchmark sub-installations.</t>
  </si>
  <si>
    <t>Total emissions from CHP</t>
  </si>
  <si>
    <t>Emissions attributable to heat production from CHP</t>
  </si>
  <si>
    <t>FB7</t>
  </si>
  <si>
    <t>If relevant, an automatically generated message will appear here demanding the input needed for taking into account the exchangeability of fuels and electricity.</t>
  </si>
  <si>
    <t>Point xii in relation to point xi:</t>
  </si>
  <si>
    <t>Point xii in relation to point (c) above:</t>
  </si>
  <si>
    <t>Waste gas tool</t>
  </si>
  <si>
    <t>The historical activity level expressed in tonnes of ethylene oxide equivalents is calculated using the formula given in the FAR, Annex III point 8.</t>
  </si>
  <si>
    <t>Here the refinery activity level is calculated using the formula given in the FAR, Annex III point 1 (before determining the average value).</t>
  </si>
  <si>
    <t>The result of this tool is used in sheet "F_ProductBM", input line (a).ii of the appropriate sub-installation, from which the average is calculated.</t>
  </si>
  <si>
    <t>Here the corrected lime activity level is calculated using the formula given in the FAR, Annex III point 2 (before determining the average value).</t>
  </si>
  <si>
    <t>Here the corrected dolime activity level is calculated using the formula given in the FAR, Annex III point 3 (before determining the average value).</t>
  </si>
  <si>
    <t>Here the aromatics activity level is calculated using the formula given in the FAR, Annex III point 5 (before determining the average value).</t>
  </si>
  <si>
    <t>Here the corrected activity level (100% hydrogen) is calculated using the formula given in the FAR, Annex III point 6 (before determining the average value).</t>
  </si>
  <si>
    <t>Here the corrected activity level (referring to 47% H2) is calculated using the formula given in the FAR, Annex III point 7 (before determining the average value).</t>
  </si>
  <si>
    <t>Here the corrected activity level (net amount HVC) is calculated using the formula given in the FAR, Annex III point 4 (before determining the average value).</t>
  </si>
  <si>
    <t>Cogeneration tool</t>
  </si>
  <si>
    <t>Complete balance of measurable heat at the installation</t>
  </si>
  <si>
    <t>ElExch?</t>
  </si>
  <si>
    <t>sub-inst-No</t>
  </si>
  <si>
    <t>Specific EF (produced waste gas)</t>
  </si>
  <si>
    <t>Total electricity available for use in the installation (= b+c-d)</t>
  </si>
  <si>
    <t>Heat eligible for heat benchmark sub-installations</t>
  </si>
  <si>
    <t>Please enter here the direct emissions taking into account the following provisions:</t>
  </si>
  <si>
    <t>The direct emissions are monitored in line with the MP approved under the MRR, i.e. taking into account the emissions from calculation based methodologies (using source streams), measurement based methodologies (CEMS) as well as no-tier approaches (“fall-backs”).</t>
  </si>
  <si>
    <t>Control: Other emissions</t>
  </si>
  <si>
    <t>Pursuant to Annex IV, section 2.4(k), the total amount of pulp produced for the short fibre kraft pulp, long fibre kraft pulp, thermo-mechanical pulp and mechanical pulp, sulphite pulp product benchmark sub-installations should be reported.</t>
  </si>
  <si>
    <t>EmInternalSource1_</t>
  </si>
  <si>
    <t>EmInternalSource2_</t>
  </si>
  <si>
    <t>EUconst_CNTR_EmissionsIntSource1</t>
  </si>
  <si>
    <t>EUconst_CNTR_EmissionsIntSource2</t>
  </si>
  <si>
    <t>EUconst_CNTR_CO2Feedstock</t>
  </si>
  <si>
    <t>EmCO2Feedstock_</t>
  </si>
  <si>
    <t>EUconst_SumTransferCO2</t>
  </si>
  <si>
    <t>SUM_Tranfer_CO2</t>
  </si>
  <si>
    <t>Transferred CO2 exported</t>
  </si>
  <si>
    <t>Sum of direct emissions</t>
  </si>
  <si>
    <t>Specific EF (imported waste gas)</t>
  </si>
  <si>
    <t>Specific EF (exported waste gas)</t>
  </si>
  <si>
    <t>Sub-installation level data:</t>
  </si>
  <si>
    <t xml:space="preserve">Measurable heat: where the heat is exclusively produced for one sub-installation, the emissions may be directly attributed here via the fuel’s emissions. </t>
  </si>
  <si>
    <t>make conditional?</t>
  </si>
  <si>
    <t>This is a tool for assigning fuels and emissions of CHPs for the purpose of updating the benchmark values pursuant to Annex VII, chapter 8.</t>
  </si>
  <si>
    <t>Please enter "false" here if there is no CHP relevant at your installation. If this is the case the whole tool is not relevant and will be greyed out.</t>
  </si>
  <si>
    <t>GB</t>
  </si>
  <si>
    <t>EUconst_MSlistEUTLcodes</t>
  </si>
  <si>
    <t>Are combined heat and power (CHP) units relevant?</t>
  </si>
  <si>
    <t>EUconst_CNTR_WGProduced</t>
  </si>
  <si>
    <t>WasteGasProd_</t>
  </si>
  <si>
    <t>Types of waste gases flared:</t>
  </si>
  <si>
    <t>Waste gas flared</t>
  </si>
  <si>
    <t>EUconst_CNTR_WGFlared</t>
  </si>
  <si>
    <t>WasteGasFlare_</t>
  </si>
  <si>
    <t>Heat:</t>
  </si>
  <si>
    <t>Emission factor, heat</t>
  </si>
  <si>
    <t>Default efficiencies:</t>
  </si>
  <si>
    <t>These values are dimensionless and automatically calculated from inputs in (a) to (c) above.</t>
  </si>
  <si>
    <t>Efficiencies for heat and electricity</t>
  </si>
  <si>
    <t>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t>
  </si>
  <si>
    <t>Values should distinguish between emissions from fuel input and from flue gas cleaning.</t>
  </si>
  <si>
    <t>This is the final result of this tool. The values displayed here should be entered in sheets F or G for the attributable emissions for the appropriate sub-installation.</t>
  </si>
  <si>
    <t>For example, this may include attributable emissions to be taken into account for the total direct emissions, or use of the emission factor for any measurable heat imported.</t>
  </si>
  <si>
    <t>Please enter the appropriate values here. Note that the values have to be consistent with the sub-totals for import from non-ETS under point E.II.c in sheet "E_Energy flows".</t>
  </si>
  <si>
    <t>Types of waste gases consumed:</t>
  </si>
  <si>
    <t>Amounts flared</t>
  </si>
  <si>
    <t>Amounts imported</t>
  </si>
  <si>
    <t>Amounts exported</t>
  </si>
  <si>
    <t>Amounts produced</t>
  </si>
  <si>
    <t>Amounts consumed</t>
  </si>
  <si>
    <t>Specific EF (consumed waste gas)</t>
  </si>
  <si>
    <t>Specific EF (flared waste gas)</t>
  </si>
  <si>
    <t>Waste gas consumed</t>
  </si>
  <si>
    <t>EUconst_CNTR_WGConsumed</t>
  </si>
  <si>
    <t>WasteGasCons_</t>
  </si>
  <si>
    <t>Waste gas balance for this sub-installation</t>
  </si>
  <si>
    <t>Are waste gases relevant for this sub-installation?</t>
  </si>
  <si>
    <t>If the answer is "false" the whole section will be greyed out and you can continue with the next points below.</t>
  </si>
  <si>
    <t>Electricity:</t>
  </si>
  <si>
    <t>You may choose to report either as tonnes or as 1000 Nm3. The units must be consistent with those for the NCV and EF below.</t>
  </si>
  <si>
    <t>This includes all types of waste gases that are produced within the system boundaries of this sub-installation and exported from this sub-installation to any other sub-installation as well as to any other installations or entities.</t>
  </si>
  <si>
    <t>Waste gas 1</t>
  </si>
  <si>
    <t>Waste gas 2</t>
  </si>
  <si>
    <t>from section D.IV.</t>
  </si>
  <si>
    <t>Heat from waste gases: this includes measurable heat which is produced from waste gases.</t>
  </si>
  <si>
    <t>Please enter below the amount of measurable heat imported from each of the following sources:</t>
  </si>
  <si>
    <t>Net heat imported (other sources)</t>
  </si>
  <si>
    <t>Heat from product BM</t>
  </si>
  <si>
    <t>Heat from pulp</t>
  </si>
  <si>
    <t>Heat from fuel BM</t>
  </si>
  <si>
    <t>Heat from waste gases</t>
  </si>
  <si>
    <t>Tool for calculating the amount of process emissions if waste gases are produced outside product benchmarks</t>
  </si>
  <si>
    <t>Automatic calculation (to be found in the menu Formula/Calculation options) must be turned on.</t>
  </si>
  <si>
    <t>for E.III:</t>
  </si>
  <si>
    <t>Heat benchmark and district heating sub-installations:</t>
  </si>
  <si>
    <t>Sub-total: remaining total measurable heat, potentially belonging to heat benchmark sub-installations (=e-g-h-i):</t>
  </si>
  <si>
    <t>Total amount of heat potentially part of the heat benchmark or district heating sub-installations (=l+m):</t>
  </si>
  <si>
    <t>Final result: Amount of heat attributable to heat benchmark or district heating sub-installations</t>
  </si>
  <si>
    <t>Difference (as fraction of f)</t>
  </si>
  <si>
    <t>These are auxiliary calculations for the heat balance:</t>
  </si>
  <si>
    <t>E.II.r !</t>
  </si>
  <si>
    <t>Heat from fuel BM: this includes measurable heat recovered from waste heat from fuel BM sub-installations.</t>
  </si>
  <si>
    <t>District heating</t>
  </si>
  <si>
    <t>The following data is taken automatically from sheet "E_EnergyFlows", section E.II.r. Thus, data input is mandatory there.</t>
  </si>
  <si>
    <t>CO2 (waste gas corrected)</t>
  </si>
  <si>
    <t>Please enter here the direct emissions monitored in line with the MP approved under the MRR, i.e. taking into account the emissions from calculation based methodologies (using source streams), measurement based methodologies (CEMS) as well as no-tier approaches (“fall-backs”).</t>
  </si>
  <si>
    <t>indicator for cond. format.</t>
  </si>
  <si>
    <t>Fuel input</t>
  </si>
  <si>
    <t>Fuel input attributable to heat and electricity production</t>
  </si>
  <si>
    <t>Fuel input for heat</t>
  </si>
  <si>
    <t>Fuel input for electricity</t>
  </si>
  <si>
    <t>CTRL_InputMethodFuelDistribution</t>
  </si>
  <si>
    <t>Fuel input to product BM sub-installations</t>
  </si>
  <si>
    <t>taken from E.II.r</t>
  </si>
  <si>
    <t>E.I.1.c !</t>
  </si>
  <si>
    <t>EUconst_WasteGasCorrFactor</t>
  </si>
  <si>
    <t>This concerns any waste heat recovered and eligible for a heat BM or district heating sub-installation.</t>
  </si>
  <si>
    <t>Electricity produced</t>
  </si>
  <si>
    <t>EUconst_CNTR_AttributedEmissions</t>
  </si>
  <si>
    <t>AttrEmissions_</t>
  </si>
  <si>
    <t>The term "fuel" should be understood as any source stream in accordance with the M&amp;R Regulation that is combustible and for which a net calorific value can be determined. The weighted emission factor corresponds to the accumulated emissions from the fuels divided by the total energy content.</t>
  </si>
  <si>
    <t>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t>
  </si>
  <si>
    <t>Cogeneration (1)</t>
  </si>
  <si>
    <t>Cogeneration (2)</t>
  </si>
  <si>
    <t>EUTL-List</t>
  </si>
  <si>
    <t>EUconst_CNTR_HALPulpTotal</t>
  </si>
  <si>
    <t>HALPulpTotal_</t>
  </si>
  <si>
    <t>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t>
  </si>
  <si>
    <t>Exported amounts should be entered as negative values and correspond to CO2 that is exported and not released to the atmosphere by this sub-installation.</t>
  </si>
  <si>
    <t>In order to avoid any double counting or gaps in attributed emissions when determining the updated benchmarks, Annex IV, section 2.7(d) of the FAR require you to report any import or export of intermediary products covered by any of the product benchmarks listed in Annex I of the FAR.</t>
  </si>
  <si>
    <t>As required by Annex IV, section 3.1(k) of the FAR, please provide here the amount of transferred CO2 imported from or exported to other sub-installations, installations or other entities, in line with the rules set out in the M&amp;R Regulation.</t>
  </si>
  <si>
    <t>Pursuant to Article 21 of the FAR, an amount of emissions has to be deducted from the preliminary annual allocation from product-benchmark sub-installations.</t>
  </si>
  <si>
    <t>Steam cracking tool part 2: Preliminary allocation (Article 19 of the FAR)</t>
  </si>
  <si>
    <t>This tool helps you determine the preliminary allocation for the steam cracking sub-installation (Article 19 of the FAR).</t>
  </si>
  <si>
    <t>The data is automatically taken from section IV.1.c above. The multipliers are taken from Article 19 of the FAR.</t>
  </si>
  <si>
    <t>Calculation based on the formula given in the FAR, Article 19.</t>
  </si>
  <si>
    <t>Vinyl chloride monomer tool: Preliminary allocation (Article 20 of the FAR)</t>
  </si>
  <si>
    <t>This tool helps you determine the preliminary allocation for the vinyl chloride monomer ("VCM") sub-installation (Article 20 of the FAR).</t>
  </si>
  <si>
    <t>Hydrogen related emissions: I.e. historical heat consumption from hydrogen combustion multiplied with the heat benchmark.</t>
  </si>
  <si>
    <t>CNTR_NACEInstallation</t>
  </si>
  <si>
    <t>CNTR_UniqueID</t>
  </si>
  <si>
    <t>1.</t>
  </si>
  <si>
    <t>2.</t>
  </si>
  <si>
    <t>3.</t>
  </si>
  <si>
    <t>4.</t>
  </si>
  <si>
    <t>5.</t>
  </si>
  <si>
    <t>6.</t>
  </si>
  <si>
    <t>EUconst_BM_ARR_Range</t>
  </si>
  <si>
    <t>ARR(min)</t>
  </si>
  <si>
    <t>ARR(max)</t>
  </si>
  <si>
    <t>Benchmark value (EUA/t, min)</t>
  </si>
  <si>
    <t>Benchmark value (EUA/t, max)</t>
  </si>
  <si>
    <t>ElExch-F</t>
  </si>
  <si>
    <t>HVC-Corr</t>
  </si>
  <si>
    <t>VCM-F</t>
  </si>
  <si>
    <t>EUconst_ERR_AttrEmBMapplied</t>
  </si>
  <si>
    <t>no calculation if heatBM or fuelBM needs to be applied:</t>
  </si>
  <si>
    <t>Benchmark value (EUA/t, actual)</t>
  </si>
  <si>
    <t>EUconst_StatusOfDataCollection</t>
  </si>
  <si>
    <t>ARR (actual)</t>
  </si>
  <si>
    <t>Calculation factor for taking into account hydrogen-related emissions in vinylchloride monomer sub-installations in accordance with Article 20 of the FAR</t>
  </si>
  <si>
    <t>Amount to be added to the preliminary annual amount of allowances for steam cracking sub-installations in accordance with Article 19 of the FAR</t>
  </si>
  <si>
    <t>Data resulting from input under "Source streams" (Sheets B+C) or from Emissions summary (section D.I)</t>
  </si>
  <si>
    <t>The attribution of emissions to sub-installations can be found in the summary sheet.</t>
  </si>
  <si>
    <t>EUconst_MsgAttrEm</t>
  </si>
  <si>
    <t>Energy balance</t>
  </si>
  <si>
    <t>Efficiencies</t>
  </si>
  <si>
    <t>Cogeneration tool 1</t>
  </si>
  <si>
    <t>Cogeneration tool 2</t>
  </si>
  <si>
    <t>Special heat import</t>
  </si>
  <si>
    <t>EUconst_CNTR_FuelEF</t>
  </si>
  <si>
    <t>FuelEF_</t>
  </si>
  <si>
    <t>DirEmissions_</t>
  </si>
  <si>
    <t>EUconst_CNTR_WGProducedEF</t>
  </si>
  <si>
    <t>WasteGasProdEF_</t>
  </si>
  <si>
    <t>EUconst_CNTR_WGConsumedEF</t>
  </si>
  <si>
    <t>WasteGasConsEF_</t>
  </si>
  <si>
    <t>EUconst_CNTR_WGFlaredEF</t>
  </si>
  <si>
    <t>WasteGasFlareEF_</t>
  </si>
  <si>
    <t>Further internal source streams imported to or exported from this sub-installation</t>
  </si>
  <si>
    <t>Cogeneration tool - Section D.III</t>
  </si>
  <si>
    <t>Waste gas tool (waste gases not covered by product benchmarks) - Section D.IV</t>
  </si>
  <si>
    <t>Results</t>
  </si>
  <si>
    <t>Start of operation</t>
  </si>
  <si>
    <t>Start date</t>
  </si>
  <si>
    <t>WGflare</t>
  </si>
  <si>
    <t>Amount to be deducted from the preliminary annual amount of allowances in accordance with Article 21 of the FAR</t>
  </si>
  <si>
    <t>Electricity output from CHP</t>
  </si>
  <si>
    <t>The amount of process emissions without this subtraction is referred to as "uncorrected process emissions" below.</t>
  </si>
  <si>
    <t>This is the final result of this tool. The values displayed here should be entered in sheet G for the relevant process emissions sub-installation.</t>
  </si>
  <si>
    <t xml:space="preserve">These are the reference efficiency for heat production in a stand-alone boiler, and the reference efficiency of electricity production without cogeneration. </t>
  </si>
  <si>
    <t>Summary of heat and district heating sub-installations</t>
  </si>
  <si>
    <t>Calculation of the indicative number of allowances</t>
  </si>
  <si>
    <t>Amount to be deducted from the preliminary annual amount of allowances for flared waste gases from 2026 onwards in accordance with the second sub-paragraph of Article 16(5) of the FAR</t>
  </si>
  <si>
    <t>Note that the data entered here is to be checked for double counting with deductions under product benchmark sub-installations (see sheet "F_ProductBM").</t>
  </si>
  <si>
    <t>According to Article 21 of the FAR a CO2 equivalent for non-ETS heat imports is to be deducted from preliminary allocations for product benchmarks. The data needed for that correction is input in sheet "F_ProductBM", section (d) of each sub-installation.</t>
  </si>
  <si>
    <t>This amount can be split into "eligible" and "non-eligible" heat (according to their origin, see introduction to this section above).</t>
  </si>
  <si>
    <t>Started</t>
  </si>
  <si>
    <t>Start of operation of the sub-installation</t>
  </si>
  <si>
    <t>EUconst_CNTR_IntermediateImport</t>
  </si>
  <si>
    <t>EUconst_CNTR_IntermediateExport</t>
  </si>
  <si>
    <t>IntImp_</t>
  </si>
  <si>
    <t>IntExp_</t>
  </si>
  <si>
    <t>Intermediate import:</t>
  </si>
  <si>
    <t>Intermediate export:</t>
  </si>
  <si>
    <t>Does the installation consume waste gases produced outside the boundaries of a product benchmark?</t>
  </si>
  <si>
    <t>The maximum allowed value is the eligible amount identified under point (j).ii.</t>
  </si>
  <si>
    <t>You can choose the method for entering the values in the table below under point (r). Available options are: "Absolute values" (enter TJ/year), or "percentages".</t>
  </si>
  <si>
    <t>Please identify here the amount of measurable heat which is consumed by each sub-installation, where 100% refers to the sum calculated under point (p) above.</t>
  </si>
  <si>
    <t>Information is taken from section D.IV. If relevant, you must ensure that you have entered complete data there.</t>
  </si>
  <si>
    <t>Annual activity levels:</t>
  </si>
  <si>
    <t>The navigation bar above only contains links to sub-installations that are selected as "relevant" in section A.III.2.</t>
  </si>
  <si>
    <t>=</t>
  </si>
  <si>
    <t>+</t>
  </si>
  <si>
    <t>The attributable emissions are determined as follows:</t>
  </si>
  <si>
    <t>+/-</t>
  </si>
  <si>
    <t>Electricity production (reference)</t>
  </si>
  <si>
    <t>Heat production (reference)</t>
  </si>
  <si>
    <t>Sub-installation data relevant for allocation and benchmark update purposes</t>
  </si>
  <si>
    <t>Are further imported or exported internal source streams relevant for this sub-installation?</t>
  </si>
  <si>
    <t>Amount of GHG imported or exported as feedstock</t>
  </si>
  <si>
    <t>Waste gases: emissions from waste gases which are IMPORTED from other installations or sub-installations and consumed in this sub-installation, should not be included here but under point (l) below.</t>
  </si>
  <si>
    <t>Please provide a brief description of the production process with respect to the intermediate products imported or exported.</t>
  </si>
  <si>
    <t>CNTR_ExistProductSubEntries</t>
  </si>
  <si>
    <t>A summary table of attributed emissions can be found in the summary sheet (see link below).</t>
  </si>
  <si>
    <t>Installation ID used in Registry</t>
  </si>
  <si>
    <t>Default efficiencies below are for natural gas CHPs producing electricity and hot water.</t>
  </si>
  <si>
    <t>This tool exists twofold in this template and each tool should only be used for one CHP. If more CHPs are relevant, a separate template might be used to provide relevant information.</t>
  </si>
  <si>
    <t>Total CO2 emissions: the verified CO2 emissions from source streams and emission sources including from any non-sustainable biomass</t>
  </si>
  <si>
    <t>Biomass emissions: emissions from biomass, either sustainable or for which sustainability criteria do not apply, as if they were non-zero rated</t>
  </si>
  <si>
    <t>Total N2O emissions from emission sources</t>
  </si>
  <si>
    <t>Total PFC emissions from primary aluminium production</t>
  </si>
  <si>
    <t>Fuel input to product BM is the sum of direct fuel input and fuel input to measurable heat consumed by the sub-installation.</t>
  </si>
  <si>
    <t>Fuel input to fuel BM sub-installations</t>
  </si>
  <si>
    <t>The best suggested approach for filling this section is to first make the relevant entries under "F_ProductBM" and only then continue with point (i) below.</t>
  </si>
  <si>
    <t>Information is taken from section F.(l).v. If relevant, you must ensure that you have entered complete data there.</t>
  </si>
  <si>
    <t>Please make sure that there is no double counting with (b) where imported amounts are included there.</t>
  </si>
  <si>
    <t>That amount is the amount of measurable heat imported from non-ETS installations (including any heat from nitric acid sub-installations) or entities multiplied with the heat benchmark.</t>
  </si>
  <si>
    <t>Upon entries made below, the attributable emissions are calculated in section K.III.2 of the summary sheet.</t>
  </si>
  <si>
    <t>This includes all types of waste gases that are ultimately flared other than safety flaring, either within or outside this sub-installation.</t>
  </si>
  <si>
    <t>Production levels:</t>
  </si>
  <si>
    <t>Are any measurable heat flows produced or consumed in, imported to or exported from this installation?</t>
  </si>
  <si>
    <t>Are any waste gases produced or consumed in, imported to or exported from this installation?</t>
  </si>
  <si>
    <t>Heat from pulp: this includes heat imported from sub-installations producing pulp.</t>
  </si>
  <si>
    <t>Fuel input from waste gases</t>
  </si>
  <si>
    <t>Specific EF (waste gas)</t>
  </si>
  <si>
    <t>Total fuel input</t>
  </si>
  <si>
    <t>Values entered here should include eligible emissions from any waste gases as determined in section D.IV.</t>
  </si>
  <si>
    <t>Information is taken from corresponding entries in sheet "G_Fall-back". If relevant, you must ensure that you have entered complete data there.</t>
  </si>
  <si>
    <t xml:space="preserve">Measurable heat: where the heat is exclusively produced for this sub-installation, the emissions may be directly attributed here via the fuel’s emissions. </t>
  </si>
  <si>
    <t>Fuel input from waste gases includes the corresponding energy input to produce the measurable heat used by this sub-installation.</t>
  </si>
  <si>
    <t>The term "fuel" should be understood as any source stream in accordance with the M&amp;R Regulation that is combustible and for which a net calorific value can be determined. The weighted emission factor corresponds to the accumulated emissions from the fuels, including those used to produce measurable heat, divided by the total energy content.</t>
  </si>
  <si>
    <t>Specific EF (from pulp)</t>
  </si>
  <si>
    <t>Specific EF (from product BM)</t>
  </si>
  <si>
    <t>Specific EF (from fuelBM)</t>
  </si>
  <si>
    <t>Specific EF (from waste gas)</t>
  </si>
  <si>
    <t>Under iii. and iv. the fuel input from waste gases and the corresponding emission factor has to be entered, respectively.</t>
  </si>
  <si>
    <t>EUconst_CNTR_HeatImportProduct</t>
  </si>
  <si>
    <t>EUconst_CNTR_HeatImportProductEF</t>
  </si>
  <si>
    <t>EUconst_CNTR_HeatImportPulpEF</t>
  </si>
  <si>
    <t>HeatImProd_</t>
  </si>
  <si>
    <t>HeatImProdEF_</t>
  </si>
  <si>
    <t>HeatImPulpEF_</t>
  </si>
  <si>
    <t>HeatImFuel_</t>
  </si>
  <si>
    <t>HeatImFuelEF_</t>
  </si>
  <si>
    <t>EUconst_CNTR_HeatImportFuel</t>
  </si>
  <si>
    <t>EUconst_CNTR_HeatImportFuelEF</t>
  </si>
  <si>
    <t>Total attributed emissions</t>
  </si>
  <si>
    <t>Net heat imported (other)</t>
  </si>
  <si>
    <t>Net heat imported (product BM)</t>
  </si>
  <si>
    <t>Net heat imported (pulp)</t>
  </si>
  <si>
    <t>Net heat imported (fuelBM)</t>
  </si>
  <si>
    <t>Net heat imported (waste gas)</t>
  </si>
  <si>
    <t>For attributing emissions from cogeneration (CHP) to production of heat, the "CHP tool" in section D.III. has to be used.</t>
  </si>
  <si>
    <t>This amount must be consistent with the carbon leakage status selected under point (a) above.</t>
  </si>
  <si>
    <t>Sum of waste gases (=a+b)</t>
  </si>
  <si>
    <t>Note that entries there might relate to waste gases produced in other installations from which they are imported.</t>
  </si>
  <si>
    <t>This is to check completeness of the waste gas balance. If different from zero, please check for any inconsistencies in the values listed above.</t>
  </si>
  <si>
    <t>For product BM sub-installations, information is taken automatically from entries in sheet "F_ProductBM".</t>
  </si>
  <si>
    <t>For waste gases produced outside product BM sub-installations and flared for non-safety flaring need to be entered here.</t>
  </si>
  <si>
    <t>It this question is set to "false", entries here are not relevant and you may proceed with the next point below.</t>
  </si>
  <si>
    <t>Total energy input from fuels including from biomass and waste gases</t>
  </si>
  <si>
    <t>end of sum</t>
  </si>
  <si>
    <t>ERR_AttrEmBM_</t>
  </si>
  <si>
    <t>The navigation bar above only contains links to the relevant sub-installations listed in section A.III.1.</t>
  </si>
  <si>
    <t>value needed for conditional formatting</t>
  </si>
  <si>
    <t>EUconst_CNTR_HeatProduced</t>
  </si>
  <si>
    <t>HeatProd_</t>
  </si>
  <si>
    <t xml:space="preserve">Please enter here the measurable heat produced pursuant to section 3.2(a) of Annex IV of the FAR. </t>
  </si>
  <si>
    <t>According to Article 22 of the FAR the "direct emissions", the net amount of "imported heat" and the "relevant electricity consumption" are needed.</t>
  </si>
  <si>
    <t>For attributing fuel input from cogeneration (CHP) to production of measurable heat and electricity, the "CHP tool" in section D.III. has to be used.</t>
  </si>
  <si>
    <t>Fall-Back sub-installation</t>
  </si>
  <si>
    <t>Intermediate products</t>
  </si>
  <si>
    <t>Transferred CO2</t>
  </si>
  <si>
    <t>Fuel input for production of measurable heat not used for product BM or electricity production</t>
  </si>
  <si>
    <t>Fuel input for electricity production</t>
  </si>
  <si>
    <t>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t>
  </si>
  <si>
    <t>CSCF</t>
  </si>
  <si>
    <t>If the operator confirms point (e) or (f) above, it is automatically assumed that this also confirms consent to use data contained in this file.</t>
  </si>
  <si>
    <t>If several different waste gases are relevant in your installation, please submit details in separate files using this tool for more complex cases.</t>
  </si>
  <si>
    <t>This balance is mainly used for consistency checking between related entries made in the "waste gas tool" in section D.IV and the sub-installation level waste gas balances in sheets F and G.</t>
  </si>
  <si>
    <t>EUconst_MinOrMaxOrActual</t>
  </si>
  <si>
    <t>Minimum</t>
  </si>
  <si>
    <t>Actual</t>
  </si>
  <si>
    <t>Specific EF (heat export)</t>
  </si>
  <si>
    <t>Measurable heat exported: where such heat is recovered from the process and exported, no corrections should be made here. The deduction for the associated emissions will be done based on entries under point (k).v. below.</t>
  </si>
  <si>
    <t>This is the final result of this tool. The values displayed here should be entered in relevant sections in sheets E, F and G.</t>
  </si>
  <si>
    <t>Factor to be used for calculation:</t>
  </si>
  <si>
    <t>Important note: The reporting above is done in kilotonnes, but the benchmark is expressed in t CO2/CWT, where CWT is expressed in tonnes.</t>
  </si>
  <si>
    <t>B+C.</t>
  </si>
  <si>
    <t>MSconst_RequirePermitInfo</t>
  </si>
  <si>
    <t>Consistency check with point (k)(i):</t>
  </si>
  <si>
    <t xml:space="preserve">The Guidance can be downloaded from: </t>
  </si>
  <si>
    <t xml:space="preserve">Please note that although some guidance is provided for each of the points below, further information should be sought in Guidance Document No. 5 ("Monitoring and Reporting  in relation to the FAR") which also includes examples. </t>
  </si>
  <si>
    <t>It is important to note that any source streams should only be listed here if they are not already covered by the direct emissions under (g) above to avoid any data gaps or double counting. Emissions associated with waste gases should NOT be listed here but under (l) below.</t>
  </si>
  <si>
    <t>Please enter here information on the so-called internal source streams, that are transferred between sub-installations, i.e. imported to or exported from this sub-installation.</t>
  </si>
  <si>
    <t>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t>
  </si>
  <si>
    <t>The specific emission factors (EF) associated with the heat should take into account the provisions in FAR Annex VII sections 8 and 10, in particular sections 10.1.2 and 10.1.3 thereof.</t>
  </si>
  <si>
    <t>For attributing emissions from cogeneration (CHP) to production of heat, the "CHP tool" in section D.III. of this template has to be used.</t>
  </si>
  <si>
    <t>Net heat imported from pulp sub-installations</t>
  </si>
  <si>
    <t>Data provided here are only used for consistency checking and have no direct impact on either the attributable emissions or the allocation.</t>
  </si>
  <si>
    <t>Data provided here are only used for consistency checking and have no direct impact on the attributable emissions.</t>
  </si>
  <si>
    <t>However, as of 2026, allocation will be reduced with respect to flaring of waste gases other than safety flaring.</t>
  </si>
  <si>
    <t>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t>
  </si>
  <si>
    <t>xxiv.</t>
  </si>
  <si>
    <t>This includes electricity that is produced directly from this sub-installation as required by Annex IV, section 3.1(i) of the FAR. Any electricity that is produced via intermediate measurable heat should not be listed here but under export of measurable heat under (k).v. above.</t>
  </si>
  <si>
    <t>This section will be greyed out if this is not one of those pulp producing sub-installation. In such case, please continue with the points below.</t>
  </si>
  <si>
    <t>Note that for integrated pulp &amp; paper production special allocation rules apply (Article 16(6) of the FAR).</t>
  </si>
  <si>
    <t>Conversely, if this is the hot metal benchmark sub-installation in an integrated iron&amp;steel plant, coke needs to be listed here as ingoing/imported "internal" source stream with positive amounts.</t>
  </si>
  <si>
    <t>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</si>
  <si>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t>
  </si>
  <si>
    <t>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t>
  </si>
  <si>
    <t>As required by FAR Annex IV, section 2.4(a), please provide the total fuel input and a corresponding weighted emission factor taking into account the related energy content of each fuel.</t>
  </si>
  <si>
    <t>Waste gases: emissions associated with measurable heat produced from waste gases imported from other installations or sub-installations and used in this sub-installation should not be included here, but under point (f).xiii below.</t>
  </si>
  <si>
    <t>The values entered here are used for the waste gas balance in section E.III.h.</t>
  </si>
  <si>
    <t>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t>
  </si>
  <si>
    <t>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t>
  </si>
  <si>
    <t>Heat from product BM: this includes measurable heat exported from product BM sub-installations with the exception of measurable heat from sub-installations producing pulp production or nitric acid.</t>
  </si>
  <si>
    <t>Emissions from the combustion of waste gases should however not be included here but under point (d).iii below.</t>
  </si>
  <si>
    <t>Values for i. and ii. are automatically generated based on entries under (a) and (c) above.</t>
  </si>
  <si>
    <t>Fuel input entered under (a)</t>
  </si>
  <si>
    <t>Data is taken automatically from corresponding entries in sheets F and G in the light blue boxes under each sub-installation.</t>
  </si>
  <si>
    <t>Emissions associated with further internal source streams</t>
  </si>
  <si>
    <t>Amount of GHG imported and exported as feedstock</t>
  </si>
  <si>
    <t>Emissions associated with the relevant electricity consumption for sub-installations for which the exchangeability of the fuels and electricity is relevant.</t>
  </si>
  <si>
    <t>Emissions associated with electricity produced other than via measurable heat.</t>
  </si>
  <si>
    <t>where no emission factor for imported or exported heat is applicable or known, i.e. where no such value has been entered. In such cases default values based on the heat BM will be used for calculating the attributable emissions, once known.</t>
  </si>
  <si>
    <t>where waste gases are imported. In this case the fuel BM will be used, once known.</t>
  </si>
  <si>
    <t>The value "other emissions" is displayed for control purposes. It include emissions related to electricity production, flaring other than safety flaring, and other emissions which do not lead to free allocation.</t>
  </si>
  <si>
    <t>If for at least one sub-installation "not applicable (N.A.)" is shown for any given year, the values for "other emissions" will not be shown either, in order to avoid any confusion.</t>
  </si>
  <si>
    <t>Fuel input to each sub-installation from sheets F and G:</t>
  </si>
  <si>
    <t>Disclaimer: Please note that the values for the preliminary allocation are only indicative taking into account the minimum or maximum benchmark values as explained above. However, where the preliminary allocation also depends on the heat or fuel benchmark value (e.g. ElExch-F or non-ETS heat), which are also subject to change based on this data collection, the indicative value might not even represent the minimum or maximum preliminary number of allowances, but undergo further correction.</t>
  </si>
  <si>
    <t>Carbon leakage factor for district heating</t>
  </si>
  <si>
    <t>Note: for CL exposed sectors, the CL factor is 1.0000 for all years.</t>
  </si>
  <si>
    <t>Is exchangeability of electricity and fuel relevant for this sub-installation?</t>
  </si>
  <si>
    <t>Calculation factor for taking into account the exchangeability of electricity and fuel in accordance with Article 22 of the FAR</t>
  </si>
  <si>
    <t xml:space="preserve">Where the heat is exclusively produced for one sub-installation and corresponding emissions therefore entered under (g) above, corresponding amounts should not be reported here as imports to avoid double counting. </t>
  </si>
  <si>
    <t>The weighted emission factor should furthermore include emissions from corresponding flue gas cleaning, if applicable.</t>
  </si>
  <si>
    <t>The installation has a heat benchmark or district heating sub-installation?</t>
  </si>
  <si>
    <t>If "TRUE" is displayed here, entries in the section are always relevant. Only where if none of these sub-installation is relevant, the question below has to be answered.</t>
  </si>
  <si>
    <t>Weighted emission factor (=c./d.)</t>
  </si>
  <si>
    <t>Data provided here will be relevant for the update of the specific pulp benchmark.</t>
  </si>
  <si>
    <t>xxv.</t>
  </si>
  <si>
    <t>xxvi.</t>
  </si>
  <si>
    <t>Transferred amount of CO2 exported from the installation, reported as negative values</t>
  </si>
  <si>
    <t>NACE code reported using NACE rev 2 classification:</t>
  </si>
  <si>
    <t>Biomass emissions</t>
  </si>
  <si>
    <t>Heat not eligible for sub-installations with heat benchmark</t>
  </si>
  <si>
    <t>As required by Annex IV, section 2.4(a) of the FAR, please provide the total fuel input to the sub-installation and a corresponding weighted emission factor, taking into account the related energy content of each fuel which is included in the figure given under point (g), applying the same system boundaries as for point (g).</t>
  </si>
  <si>
    <t>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t>
  </si>
  <si>
    <t>Where possible sections below are automatically filled with data entered in these sections.</t>
  </si>
  <si>
    <t>The data must also be consistent with the total net measurable heat imported entered under point (k).i below.</t>
  </si>
  <si>
    <t>For the refinery benchmark, which also uses CWT, please use the specific CWT tool for refineries above (section I of this sheet).</t>
  </si>
  <si>
    <t>Data provided here might impact the update of the specific benchmark.</t>
  </si>
  <si>
    <t>Directly attributable emissions (DirEm*) to this sub-installation</t>
  </si>
  <si>
    <t>Directly attributable emissions (DirEm*)</t>
  </si>
  <si>
    <t>This includes the total amount of heat either produced in, imported from or exported to (sub-)installations covered by the EU ETS or from installations or entities not covered by the EU ETS. The specific emission factors (EF) associated with the heat should take into account the provisions in FAR Annex VII sections 8 and 10, in particular sections 10.1.2 and 10.1.3 thereof.</t>
  </si>
  <si>
    <t>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t>
  </si>
  <si>
    <t>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t>
  </si>
  <si>
    <t>The "directly attributable emissions" are monitored in line with the monitoring plan approved under the MRR, i.e. taking into account the emissions from calculation based methodologies (using source streams), measurement based methodologies (CEMS) as well as no-tier approaches (“fall-backs”).</t>
  </si>
  <si>
    <t>Directly attributable emissions (DirEm* (MP source streams)) to this sub-installation</t>
  </si>
  <si>
    <t>Please enter here the Directly attributable emissions (DirEm* (MP source streams)) to this sub-installation taking into account the following provisions:</t>
  </si>
  <si>
    <t>"Inputs"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t>
  </si>
  <si>
    <t>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t>
  </si>
  <si>
    <t>Description of the data gap</t>
  </si>
  <si>
    <t>Justification</t>
  </si>
  <si>
    <t>Article 12(2) of the FAR requires to provide justification for any data gaps and description of the method used to close them.</t>
  </si>
  <si>
    <t>Justification for any data gaps</t>
  </si>
  <si>
    <t>Affected data set (AD, EF, Heat, electricity,...)</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</si>
  <si>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</si>
  <si>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truncated to 250 characters</t>
  </si>
  <si>
    <t>Originals, not truncated</t>
  </si>
  <si>
    <t>Time period</t>
  </si>
  <si>
    <t>Data fields have not been optimized for numerical and other formats. However, sheet protection has been limited so as to allow you to use your own formats. In particular, you may decide about the number of decimal places displayed. The number of places is in principle independent from the precision of calculation. In principle the option "Precision as displayed" of MS Excel should be deactivated. For more details, consult MS Excel's "Help" function on this topic.</t>
  </si>
  <si>
    <t>It is mandatory to answer questions (a), (b) and (d)!</t>
  </si>
  <si>
    <t>Pursuant to the definition given in Articles 2(10) and 2(11) of the FAR, (combustible) waste gases occurring outside the boundaries of product benchmarks are considered process emissions.</t>
  </si>
  <si>
    <t>Assumptions for the different efficiency for the use of waste gas and natural gas. These assumptions are as follows: Efficiency of electricity production with natural gas is 52.5%, with waste gases 35%;</t>
  </si>
  <si>
    <t>Please enter in the table below the amount of energy consumed for each use type, or - depending on input (b) - the percentage of amount (a).</t>
  </si>
  <si>
    <t>The total direct emissions are usually identical to the values provided under point (g) below. However, in particular where waste gases are used, further corrections might be necessary, so please consider the guidance provided under point (g) below. The net imported heat is taken automatically from (k).i below.</t>
  </si>
  <si>
    <t>PRODCOM codes shall be entered in the form "nnnnnnnn", i.e. without any dots or other delimiters in between. Only if PRODCOM are not available, at least a 4-digit level NACE code should be provided in the form of "nnnn".</t>
  </si>
  <si>
    <t>NACE codes shall be entered at 4-digit level, in the form "nnnn", i.e. without any dots or other delimiters in between.</t>
  </si>
  <si>
    <t>CWT throughput data</t>
  </si>
  <si>
    <t>Phthalic anhydride production</t>
  </si>
  <si>
    <t>Please note that percentages for Hydrogen content are to be expressed as Vol-%.</t>
  </si>
  <si>
    <t>Please note that percentages for hydrogen content are to be expressed as Vol-%.</t>
  </si>
  <si>
    <t>Carbon leakage factor for non-CL sectors</t>
  </si>
  <si>
    <t>https://ec.europa.eu/clima/policies/ets/allowances_en#tab-0-1</t>
  </si>
  <si>
    <t>This includes heat from any electric pumps, electric boilers, etc. This amount of heat is to be included in the data given under point (c) above. It is only contained here for completeness but not included in the balance below as this heat is non-eligible.</t>
  </si>
  <si>
    <t>Group information:</t>
  </si>
  <si>
    <t>HAL</t>
  </si>
  <si>
    <t>Preliminary activity level</t>
  </si>
  <si>
    <t>Change compared to HAL</t>
  </si>
  <si>
    <t>Actual activity level</t>
  </si>
  <si>
    <t>years op.</t>
  </si>
  <si>
    <t>prelim AL</t>
  </si>
  <si>
    <t>Preliminary adjustment</t>
  </si>
  <si>
    <t>Actual adjustment (basis for subsequent years)</t>
  </si>
  <si>
    <t>Preliminary adjustment (if relative thresholds exceeded)</t>
  </si>
  <si>
    <t>&gt;15%</t>
  </si>
  <si>
    <t>&gt;15%/5%</t>
  </si>
  <si>
    <t>Actual adjustment (if all thresholds exceeded)</t>
  </si>
  <si>
    <t>&gt;15% for next year</t>
  </si>
  <si>
    <t>Actual value</t>
  </si>
  <si>
    <t>Determination of the actual activity level adjustments including any efficiency changes</t>
  </si>
  <si>
    <t>EUconst_CNTR_HALprelim</t>
  </si>
  <si>
    <t>HALprelim_</t>
  </si>
  <si>
    <t>EUconst_CNTR_HALfinal</t>
  </si>
  <si>
    <t>HALfinal_</t>
  </si>
  <si>
    <t>Activity level reported</t>
  </si>
  <si>
    <t>EUconst_CNTR_ELEXCHprelim</t>
  </si>
  <si>
    <t>EUconst_CNTR_ELEXCHfinal</t>
  </si>
  <si>
    <t>ELEXCHfinal_</t>
  </si>
  <si>
    <t>ELEXCHprelim_</t>
  </si>
  <si>
    <t>Difference in allocation</t>
  </si>
  <si>
    <t>Preliminary allocation value</t>
  </si>
  <si>
    <t>Reporting year:</t>
  </si>
  <si>
    <t>First full year:</t>
  </si>
  <si>
    <t>Relevant:</t>
  </si>
  <si>
    <t>Base value</t>
  </si>
  <si>
    <t>Cessation date:</t>
  </si>
  <si>
    <t>Cessation year:</t>
  </si>
  <si>
    <t>Date of cessation, if relevant</t>
  </si>
  <si>
    <t>Cessation date</t>
  </si>
  <si>
    <t>EUconst_CNTR_HEATprelim</t>
  </si>
  <si>
    <t>EUconst_CNTR_HEATfinal</t>
  </si>
  <si>
    <t>HEATprelim_</t>
  </si>
  <si>
    <t>HEATfinal_</t>
  </si>
  <si>
    <t>Ceased</t>
  </si>
  <si>
    <t>EUconst_CNTR_HVCprelim</t>
  </si>
  <si>
    <t>EUconst_CNTR_HVCfinal</t>
  </si>
  <si>
    <t>HVCprelim_</t>
  </si>
  <si>
    <t>HVCfinal_</t>
  </si>
  <si>
    <t>Preliminary value</t>
  </si>
  <si>
    <t>Adjustments</t>
  </si>
  <si>
    <t>Average annual value</t>
  </si>
  <si>
    <t>Activity level used</t>
  </si>
  <si>
    <t>2021-2025</t>
  </si>
  <si>
    <t>2026-2030</t>
  </si>
  <si>
    <t>EUconst_ReportingYears2</t>
  </si>
  <si>
    <t>Based on the values for HAL and those entered under point a) above, the average activity levels are determined here. The allocation will only be changed if all of the following thresholds in Article 5 of the ALC Regulation are exceeded:</t>
  </si>
  <si>
    <t>prelim value</t>
  </si>
  <si>
    <t>Cond. Form.</t>
  </si>
  <si>
    <t>Draft 1 AL report Phase 4</t>
  </si>
  <si>
    <t>Draft 2 AL report Phase 4</t>
  </si>
  <si>
    <t>Draft 3 AL report Phase 4</t>
  </si>
  <si>
    <t>ALC P4 1st draft</t>
  </si>
  <si>
    <t>ALC P4 2nd draft</t>
  </si>
  <si>
    <t>ALC P4 3rd draft</t>
  </si>
  <si>
    <t>EnEff_</t>
  </si>
  <si>
    <t>EUconst_CNTR_EnEff</t>
  </si>
  <si>
    <t>EUconst_CNTR_EnEffPct</t>
  </si>
  <si>
    <t>EnEffPct_</t>
  </si>
  <si>
    <t>Determination of any activity level adjustments</t>
  </si>
  <si>
    <t>NIMs value</t>
  </si>
  <si>
    <t>(b.1)</t>
  </si>
  <si>
    <t>Based on the values for HAL and those under point a) above, the average activity levels are determined here. The allocation will only be changed if all of the following thresholds in Articles 5 and 6 of the ALC Regulation are exceeded:</t>
  </si>
  <si>
    <t>Sum of consumption</t>
  </si>
  <si>
    <t>Activity level</t>
  </si>
  <si>
    <t>HVC</t>
  </si>
  <si>
    <t>(b.2)</t>
  </si>
  <si>
    <t>HALAdjPct_</t>
  </si>
  <si>
    <t>EUconst_CNTR_HALAdjPct</t>
  </si>
  <si>
    <t>Parent undertaking</t>
  </si>
  <si>
    <t>Subsidiary undertaking to which this installation belongs, if applicable</t>
  </si>
  <si>
    <t>EUconst_CNTR_NIMsValue</t>
  </si>
  <si>
    <t>NIMsValue_</t>
  </si>
  <si>
    <t>Share of a)</t>
  </si>
  <si>
    <t>EUconst_CNTR_VCMprelim</t>
  </si>
  <si>
    <t>EUconst_CNTR_VCMfinal</t>
  </si>
  <si>
    <t>VCMprelim_</t>
  </si>
  <si>
    <t>VCMfinal_</t>
  </si>
  <si>
    <t>Relevant reporting period</t>
  </si>
  <si>
    <t>EUconst_CNTR_HALinitial</t>
  </si>
  <si>
    <t>HALini_</t>
  </si>
  <si>
    <t>EUconst_AllocInitial</t>
  </si>
  <si>
    <t>AllocIni_</t>
  </si>
  <si>
    <t>EUconst_CNTR_HEATInitial</t>
  </si>
  <si>
    <t>HEATIni_</t>
  </si>
  <si>
    <t>EUconst_CNTR_ELEXCHInitial</t>
  </si>
  <si>
    <t>ELEXCHIni_</t>
  </si>
  <si>
    <t>EUconst_CNTR_HVCInitial</t>
  </si>
  <si>
    <t>HVCIni_</t>
  </si>
  <si>
    <t>VCMIni_</t>
  </si>
  <si>
    <t>EUconst_CNTR_VCMInitial</t>
  </si>
  <si>
    <t>Indicators for NIMs allocation:</t>
  </si>
  <si>
    <t>EUconst_CNTR_100EUA_ActivityLevel</t>
  </si>
  <si>
    <t>EUA100AL_</t>
  </si>
  <si>
    <t>EUconst_CNTR_100EUA_ElExch</t>
  </si>
  <si>
    <t>EUA100ElExch_</t>
  </si>
  <si>
    <t>EUconst_CNTR_100EUA_HEAT</t>
  </si>
  <si>
    <t>EUA100HEAT_</t>
  </si>
  <si>
    <t>EUconst_CNTR_100EUA_HVC</t>
  </si>
  <si>
    <t>EUA100HVC_</t>
  </si>
  <si>
    <t>EUconst_CNTR_100EUA_VCM</t>
  </si>
  <si>
    <t>EUA100VCM_</t>
  </si>
  <si>
    <t>Changes: Activity level</t>
  </si>
  <si>
    <t>Changes: Exchanged electricity</t>
  </si>
  <si>
    <t>Changes: Heat from non-ETS</t>
  </si>
  <si>
    <t>Changes: HVC correction</t>
  </si>
  <si>
    <t>Changes: VCM correction</t>
  </si>
  <si>
    <t>Changes: Waste gas flared</t>
  </si>
  <si>
    <t>2nd sub-period?</t>
  </si>
  <si>
    <t>EUconst_CNTR_100EUA_WGFlare</t>
  </si>
  <si>
    <t>EUA100WGFlare_</t>
  </si>
  <si>
    <t>WG flared</t>
  </si>
  <si>
    <t>Changes: No change (basis)</t>
  </si>
  <si>
    <t>MSconst_RequireEmissionTotals</t>
  </si>
  <si>
    <t>EUconst_CNTR_CARejection</t>
  </si>
  <si>
    <t>CAReject_</t>
  </si>
  <si>
    <t>MSconst_RequireSubAttrEmissions</t>
  </si>
  <si>
    <t>Initial allocation</t>
  </si>
  <si>
    <t>EUconst_LinkManual</t>
  </si>
  <si>
    <t>Manual entry</t>
  </si>
  <si>
    <t>CTRL_InputMethodNIMsvalues</t>
  </si>
  <si>
    <t>Total final free allocation</t>
  </si>
  <si>
    <t>Linear factor for new entrants</t>
  </si>
  <si>
    <t>Adjustments: waste gases flared</t>
  </si>
  <si>
    <t>Adjustments: Heat from non-ETS</t>
  </si>
  <si>
    <t>Adjustments: Electricity exchanged</t>
  </si>
  <si>
    <t>Change compared to NIMs value</t>
  </si>
  <si>
    <t>Adjustments: Efficiency improvements</t>
  </si>
  <si>
    <t>(b.3)</t>
  </si>
  <si>
    <t>(b.4)</t>
  </si>
  <si>
    <t>EUconst_CNTR_RelThreshold</t>
  </si>
  <si>
    <t>RelThresh_</t>
  </si>
  <si>
    <t>Efficiency reported</t>
  </si>
  <si>
    <t>Criterion 1: Operational &gt; 2 years?</t>
  </si>
  <si>
    <t>Criterion 2: Not ceased in year before?</t>
  </si>
  <si>
    <t>Criterion 3: Relative thresholds exceeded?</t>
  </si>
  <si>
    <t>Actual values used</t>
  </si>
  <si>
    <t>Rolling average applicability</t>
  </si>
  <si>
    <t>EUconst_CNTR_CARejectionRelevant</t>
  </si>
  <si>
    <t>CARejectRel_</t>
  </si>
  <si>
    <t>Criterion 5: CA decision relevant?</t>
  </si>
  <si>
    <t>Changes: Efficiency</t>
  </si>
  <si>
    <t>EUconst_CNTR_EnEffInitial</t>
  </si>
  <si>
    <t>EnEffIni_</t>
  </si>
  <si>
    <t>Actual adjustment of activity level</t>
  </si>
  <si>
    <t>Criterion 6: CA non-rejection?</t>
  </si>
  <si>
    <t>Latest version of the monitoring methodology plan (MMP):</t>
  </si>
  <si>
    <t>Please provide here the latest version of the MMP which sets out the monitoring methodology which is the basis for this year's report.</t>
  </si>
  <si>
    <t>As a consequence, installations which are not incumbents will be treated as new entrants in this report.</t>
  </si>
  <si>
    <t>CNTR_ReportingYear</t>
  </si>
  <si>
    <t>Emission factor for fuels used for measurable heat and electricity production</t>
  </si>
  <si>
    <t>Fuel EF for electricity</t>
  </si>
  <si>
    <t>Fuel EF for measurable heat</t>
  </si>
  <si>
    <t>Year relevant?</t>
  </si>
  <si>
    <t>EUconst_CessationReason</t>
  </si>
  <si>
    <t>a) The greenhouse gas emissions permit has been withdrawn</t>
  </si>
  <si>
    <t>b) the (sub-)installation is no longer operating</t>
  </si>
  <si>
    <t>make years grey?</t>
  </si>
  <si>
    <t>Reason for cessation</t>
  </si>
  <si>
    <t xml:space="preserve">The “group” comprises the parent undertaking and all its subsidiary undertakings (those undertakings that are controlled by the parent undertaking). </t>
  </si>
  <si>
    <t>Sheet A:</t>
  </si>
  <si>
    <t>Sheet B+C.:</t>
  </si>
  <si>
    <t>Sheet D:</t>
  </si>
  <si>
    <t>Sheet E:</t>
  </si>
  <si>
    <t>Sheet F:</t>
  </si>
  <si>
    <t>Sheet G:</t>
  </si>
  <si>
    <t>Sheet H:</t>
  </si>
  <si>
    <t>Contains comments in column P of any sheet?</t>
  </si>
  <si>
    <t>Average annual efficiency</t>
  </si>
  <si>
    <t>Specific energy consumption</t>
  </si>
  <si>
    <t>This input is only relevant if the installation is a "new entrant".</t>
  </si>
  <si>
    <t>Sub-installation (link)</t>
  </si>
  <si>
    <t>Sub-installation (manual)</t>
  </si>
  <si>
    <t>BM Name</t>
  </si>
  <si>
    <t>For formatting</t>
  </si>
  <si>
    <t>Relevant?</t>
  </si>
  <si>
    <t>sub (manual)</t>
  </si>
  <si>
    <t>start</t>
  </si>
  <si>
    <t>cessation</t>
  </si>
  <si>
    <t>Reason</t>
  </si>
  <si>
    <t>sub (link)</t>
  </si>
  <si>
    <t>Entries here are only relevant, either if you have chosen "manual entry" in section A.II, or new sub-installations started after 30 June 2019.</t>
  </si>
  <si>
    <t>Sub-installations (column E)</t>
  </si>
  <si>
    <t>Sub-installations (column G)</t>
  </si>
  <si>
    <t>Date of cessation</t>
  </si>
  <si>
    <t>Please select the reason for the cessation, if relevant.</t>
  </si>
  <si>
    <t>Carbon Leakage Status</t>
  </si>
  <si>
    <t>Note that no entries should be made in this section. It will either be filled in automatically or this section will not be relevant, depending on your selection in section A.II.</t>
  </si>
  <si>
    <t>Initial allocation (manual entries)</t>
  </si>
  <si>
    <t>Historical activity level (HAL)</t>
  </si>
  <si>
    <t>HVC-corr</t>
  </si>
  <si>
    <t>Total emissions at installation level (taken from section D.I)</t>
  </si>
  <si>
    <t>This is the net total amount of heat produced by the CHP.</t>
  </si>
  <si>
    <t>This is the net total amount of electricity (or mechanical energy, where applicable) produced by the CHP.</t>
  </si>
  <si>
    <t>Amount of waste gas flared</t>
  </si>
  <si>
    <t>The status regarding the exposure to significant risk of carbon leakage ("CL") is based on the Commission Delegated Decision (EU) 2019/708.</t>
  </si>
  <si>
    <t>converted to EUA</t>
  </si>
  <si>
    <t>Has process emissions?</t>
  </si>
  <si>
    <t>This decision will be based on whether it can be demonstrated that the changes in the activity level can be explained by changes in the energy efficiency.</t>
  </si>
  <si>
    <t>Date the sub-installation ceased to operate, if relevant.</t>
  </si>
  <si>
    <t>Criterion 3a: Relative thresholds exceeded?</t>
  </si>
  <si>
    <t>Criterion 4a: Difference at least 100 EUA?</t>
  </si>
  <si>
    <t>Criterion 3b: Relative thresholds exceeded?</t>
  </si>
  <si>
    <t>Criterion 3c: Relative thresholds exceeded?</t>
  </si>
  <si>
    <t>Criterion 3d: Relative thresholds exceeded?</t>
  </si>
  <si>
    <t>Criterion 3e: Relative thresholds exceeded?</t>
  </si>
  <si>
    <t>Criterion 3f: Relative thresholds exceeded?</t>
  </si>
  <si>
    <t/>
  </si>
  <si>
    <t>It is recommended that you go through the file from start to end.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FAR must be applied).</t>
  </si>
  <si>
    <t>Light blue areas are dedicated for data that is mainly relevant for the attribution of emissions to sub-installations.</t>
  </si>
  <si>
    <t>Light orange areas are dedicated for sections where any allocation adjustments are determined.</t>
  </si>
  <si>
    <t>Mandatory</t>
  </si>
  <si>
    <t>Optional</t>
  </si>
  <si>
    <t>Attribution of emissions</t>
  </si>
  <si>
    <t>Navigation</t>
  </si>
  <si>
    <t>Irrelevant</t>
  </si>
  <si>
    <t>Data that is used for this report:</t>
  </si>
  <si>
    <t>Here you have to enter all information and data manually, just as all other information.</t>
  </si>
  <si>
    <t>Cells with manual entries will be made optional, where applicable.</t>
  </si>
  <si>
    <t>G.b.3.ii!</t>
  </si>
  <si>
    <t>EUconst_ERR_CADecision</t>
  </si>
  <si>
    <t>has manual entries?</t>
  </si>
  <si>
    <t>ETS coverage (f. formatting)</t>
  </si>
  <si>
    <t>If you have selected "Manual entry" in section A.II, input here is mandatory. Otherwise, this section is optional and input only necessary if the information under a) above is no longer correct.</t>
  </si>
  <si>
    <t>If there are more than five connections, please aggregate them. This may require adjustments to sections A.V.b.</t>
  </si>
  <si>
    <t>If there are more than three connections, please aggregate them. This may require adjustments to sections A.V.b.</t>
  </si>
  <si>
    <t xml:space="preserve">This furthermore includes any heat from electricity under d) below, as well as heat from any other sources (heat pumps, solar, etc.). </t>
  </si>
  <si>
    <t>Please enter here the energy consumption attributable to each product listed under point b) above in line with the methodologies described in the MMP.</t>
  </si>
  <si>
    <t>Therefore, if no PRODCOM code can be assigned to a product, then the energy efficiency rule cannot apply as the efficiency below can only be calculated if all "products" relate to the same units, usually tonnes.</t>
  </si>
  <si>
    <t>relevant? (link)</t>
  </si>
  <si>
    <t>Information on this activity level report</t>
  </si>
  <si>
    <t>If there is heat recovery from a fuel BM sub-installation, the recovered amount measurable heat, divided by a virtual efficiency of 90%, has to be deducted from the fuel input here and attributed to "fuel input for production of measurable heat" above, in order to avoid double counting.</t>
  </si>
  <si>
    <t>Fuel EF for total fuel input</t>
  </si>
  <si>
    <t>(b.5)</t>
  </si>
  <si>
    <t>Verifier engaged for this report:</t>
  </si>
  <si>
    <t>Name and address of the verifier:</t>
  </si>
  <si>
    <t>CNTR_SubPeriod:</t>
  </si>
  <si>
    <t>Reporting details</t>
  </si>
  <si>
    <t>CNTR_Incumbent</t>
  </si>
  <si>
    <t>CNTR_Cessation</t>
  </si>
  <si>
    <t>Cond.
form.</t>
  </si>
  <si>
    <t>Relevant? (link)</t>
  </si>
  <si>
    <t>Relevant? (manual)</t>
  </si>
  <si>
    <t>Incumbent installation</t>
  </si>
  <si>
    <t>New entrants</t>
  </si>
  <si>
    <t>Please select all relevant sub-installations that already started operation.</t>
  </si>
  <si>
    <t>This is the first day the sub-installation had an activity level above zero. This date impacts the allocation only if it is after 1 Jan 2018. Entries here are therefore only mandatory if the sub-installation started after this date.</t>
  </si>
  <si>
    <t xml:space="preserve">This is the first day the sub-installation had an activity level above zero. </t>
  </si>
  <si>
    <t>This column is not relevant for new entrants.</t>
  </si>
  <si>
    <t>If the sub-installation has ceased operations, this should be the last day the sub-installation had an activity level above zero.</t>
  </si>
  <si>
    <t>By default, empty fields here will be treated as a non-rejection (i.e. FALSE) in order to perform subsequent calculations in this template. You may therefore continue with the submission of the report and the CA can take a decision at a later stage, which might lead to a re-submission of the template.</t>
  </si>
  <si>
    <t>If the heat is exported, the connected installation or entity as input in sheet A_InstallationData section V can be selected.</t>
  </si>
  <si>
    <t>Prod of goods AND within inst.?</t>
  </si>
  <si>
    <t>Further guidance can be found in section 6.1 of Guidance Document 7.</t>
  </si>
  <si>
    <t>content of free MgO in the produced lime in each year expressed as mass-%</t>
  </si>
  <si>
    <t>content of free CaO in the produced lime in each year expressed as mass-%</t>
  </si>
  <si>
    <t>historical supplemental feed of hydrogen in each year expressed in tonnes of hydrogen</t>
  </si>
  <si>
    <t>content of free CaO in the produced dolime in each year expressed as mass-%</t>
  </si>
  <si>
    <t>content of free MgO in the produced dolime in each year expressed as mass-%</t>
  </si>
  <si>
    <t>historical supplemental feed of ethylene in each year expressed in tonnes of ethylene</t>
  </si>
  <si>
    <t>historical supplemental feed of other high value chemicals than hydrogen and ethylene in each year expressed in tonnes of HVC</t>
  </si>
  <si>
    <t>Please enter here the annual production data of hydrogen referred to historical hydrogen content in each year.</t>
  </si>
  <si>
    <t>Please enter here the historical production volume fraction of pure hydrogen in each year. This is a dimensionless figure.</t>
  </si>
  <si>
    <t>Please enter here the annual production data of synthesis gas referred to historical hydrogen content in each year.</t>
  </si>
  <si>
    <t>Please enter here the annual production data of the different products covered by this benchmark in each year.</t>
  </si>
  <si>
    <t>(c.1)</t>
  </si>
  <si>
    <t>(d.1)</t>
  </si>
  <si>
    <t>(l.1)</t>
  </si>
  <si>
    <t>Other installations in the EU of the same group (Registry ID), if applicable</t>
  </si>
  <si>
    <t>MSconst_RequireEnEffDetails</t>
  </si>
  <si>
    <t>2=mandatory; 1=optional</t>
  </si>
  <si>
    <t>the average annual activity level determined under a) increases by more than 15% compared to the historic activity level in any year</t>
  </si>
  <si>
    <t>the heat is used for "production of goods" AND "within installation" under point b) above</t>
  </si>
  <si>
    <t>(NIMs) HAL</t>
  </si>
  <si>
    <t>(NIMs) value</t>
  </si>
  <si>
    <t>Base exist?</t>
  </si>
  <si>
    <t>Energy consumption by product to determine energy efficiency changes</t>
  </si>
  <si>
    <t>Section mandatory?</t>
  </si>
  <si>
    <t>Efficiency improvement compared to base value</t>
  </si>
  <si>
    <t>It should be noted that the energy efficiency rule can only be applied in the case of heat or fuel used in the production of a specific product. Therefore, if no PRODCOM code can be assigned to a product, then this rule cannot apply.</t>
  </si>
  <si>
    <t>Activity levels</t>
  </si>
  <si>
    <t>Note that in all other cases, entries are either not relevant or optional (as indicated), and will not be taken into account for the assessment of energy efficiency improvements in subsequent steps below.</t>
  </si>
  <si>
    <t>Connection</t>
  </si>
  <si>
    <t>Please list here all district heating connections.</t>
  </si>
  <si>
    <t>The specific energy consumption is determined in accordance with section 6.1 of Guidance Document 7 for values satisfying the criteria under point b.1) above.</t>
  </si>
  <si>
    <t xml:space="preserve"> </t>
  </si>
  <si>
    <t>the heat is used for "production of goods" under point b) above</t>
  </si>
  <si>
    <t>Translation from NIMs file not successful. Please select manually!</t>
  </si>
  <si>
    <t>EUconst_ERR_LinkToNIMs</t>
  </si>
  <si>
    <t>Sub-installations (column H)</t>
  </si>
  <si>
    <t>The rolling average of two years as referred to Art. 2(1) of the ALC-R for activity levels, and to Art. 6(4) for other parameters.</t>
  </si>
  <si>
    <t>It is mandatory that question A.IV.1.g is answered!</t>
  </si>
  <si>
    <t>You must select at least one sub-installation!</t>
  </si>
  <si>
    <t>Section 1</t>
  </si>
  <si>
    <t>Value of the benchmark.</t>
  </si>
  <si>
    <t>Adjustments: Absolute threshold</t>
  </si>
  <si>
    <t>Absolute threshold</t>
  </si>
  <si>
    <t>NIMs value refers to the average production during the NIMs baseline period (similar to the HAL) and is only relevant for existing sub-installations in incumbent installations.</t>
  </si>
  <si>
    <t>It is mandatory that question (e) or (f) is answered!</t>
  </si>
  <si>
    <t>Sheets "A_InstallationData" and "B+C_SubInstallations" are filled completely.</t>
  </si>
  <si>
    <t>Data has been entered for all relevant years and the relevant sections in sheets F and G are filled.</t>
  </si>
  <si>
    <t>Error?</t>
  </si>
  <si>
    <t>Technical connections:</t>
  </si>
  <si>
    <t>There can be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</si>
  <si>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Missing?</t>
  </si>
  <si>
    <t>Please enter in the table below the weighted average emission factor for all fuels, and for the fuels that are used to produce any measurable heat and electricity, respectively. Values entered here do not have any direct impact on either the allocation or the attributed emissions. They are only used for checking plausibility.</t>
  </si>
  <si>
    <t>For attributing fuel input from cogeneration (CHP) to production of measurable heat and electricity, the results of the "CHP tool" in section D.III. can be used.</t>
  </si>
  <si>
    <t>If the average annual activity level decreased by more than 15%, you can enter data here to demonstrate that this decrease can be explained by energy efficiency improvements.</t>
  </si>
  <si>
    <t>The historic activity level (HAL) will be determined automatically on entries under point a) above and entries in sheet B+C_SubInstallations. For new sub-installations, the HAL will be displayed under v. based on the first full year of operation.</t>
  </si>
  <si>
    <t>Based on the start of normal operation entered in B+C.I, the HAL will either be based on the NIMs value (displayed under ii.) or on the first year of full operation for new sub-installations (displayed under iv.).</t>
  </si>
  <si>
    <t>The following data is taken automatically from sheet "E_EnergyFlows", section E.I. Thus, data input is mandatory there.</t>
  </si>
  <si>
    <t>EUconst_ProdBMSub</t>
  </si>
  <si>
    <t>EUconst_FallBackSub</t>
  </si>
  <si>
    <t>prepared for translation, minor bug fixes</t>
  </si>
  <si>
    <t>Automatic</t>
  </si>
  <si>
    <t>Eligibility:</t>
  </si>
  <si>
    <t>RepDetails:</t>
  </si>
  <si>
    <t>NIMsData:</t>
  </si>
  <si>
    <t>InstID:</t>
  </si>
  <si>
    <t>FurtherInfo:</t>
  </si>
  <si>
    <t>Contact:</t>
  </si>
  <si>
    <t>Verifier:</t>
  </si>
  <si>
    <t>TechConn:</t>
  </si>
  <si>
    <t>Heat tool greyed out?</t>
  </si>
  <si>
    <t>relevant? (manual)</t>
  </si>
  <si>
    <t>MSconst_RequireFuelEF</t>
  </si>
  <si>
    <t>Average annual activity level (NIMs value)</t>
  </si>
  <si>
    <t>DECLARE_ID_AnnexI</t>
  </si>
  <si>
    <t>DECLARE_ID_TypeOfEntity</t>
  </si>
  <si>
    <t>DECLARE_ID_TypeOfConnection</t>
  </si>
  <si>
    <t>DECLARE_ID_Flow</t>
  </si>
  <si>
    <t>DECLARE_ID_Eligibility</t>
  </si>
  <si>
    <t>DECLARE_ID_WasteGasSubType</t>
  </si>
  <si>
    <t>Result: Technical connections</t>
  </si>
  <si>
    <t>Emission factor (EF)</t>
  </si>
  <si>
    <t>the absolute threshold, i.e. the change would lead to a difference in the preliminary allocation of at least 100 allowances</t>
  </si>
  <si>
    <t>final English version</t>
  </si>
  <si>
    <t>Column for comments
(e.g. any changes)</t>
  </si>
  <si>
    <t>OPTIONAL: 
Column for comments
(e.g. any changes)</t>
  </si>
  <si>
    <t>Bug-Fix (AttrEm_FallBack)</t>
  </si>
  <si>
    <t>Regulator specific information:</t>
  </si>
  <si>
    <t>UK legislation</t>
  </si>
  <si>
    <t>UK websites</t>
  </si>
  <si>
    <t>https://ec.europa.eu/clima/policies/ets_en</t>
  </si>
  <si>
    <t>For the purposes of the UK Emissions Trading Scheme (UK ETS), this template should be used as the activity level report.</t>
  </si>
  <si>
    <t>Confidentiality Statement</t>
  </si>
  <si>
    <t>The information submitted in respect of this form will be subject to public access to information requirements, including the Freedom of Information Act 2000 and the Environmental Information Regulations 2004.</t>
  </si>
  <si>
    <t>If you consider that any information you provide in connection with your application should be treated as commercially confidential, please let us know. Under the Environmental Information Regulations the test is whether there would be an adverse effect on the confidentiality of commercial or industrial information where that confidentiality is protected by law to protect a legitimate economic interest. We are also required to consider whether, taking into consideration the presumption in favour of release of information, the public interest in maintaining the exception outweighs the public interest in disclosing the information. To the extent that the information to be disclosed relates to information on emissions, it cannot be withheld on the grounds of commercial confidentiality.</t>
  </si>
  <si>
    <t>If you are an Operator regulated by the Scottish Environment Protection Agency:</t>
  </si>
  <si>
    <t>The information submitted in this form will be subject to public access to information requirements including the Freedom of Information (Scotland) Act 2002 ("the Act") and the Environmental Information (Scotland) Regulations 2004 ("the Regulations"). If you consider that any information you provide in connection with your application should be kept confidential because it is a trade secret or is confidential commercial or industrial information or because its public disclosure would substantially prejudice your commercial interests please let us know. You should be aware however that SEPA may be legally obliged to disclose such information under the Act or the Regulations even when you have requested that it is kept confidential.</t>
  </si>
  <si>
    <t>CONFIDENTIALITY STATEMENT</t>
  </si>
  <si>
    <t>UK ETS V1</t>
  </si>
  <si>
    <t>AL report UK ETS</t>
  </si>
  <si>
    <t>ALC UK ETS</t>
  </si>
  <si>
    <t>UK ETS authority</t>
  </si>
  <si>
    <t>Authority</t>
  </si>
  <si>
    <t>fixed reference in K-summary row 55</t>
  </si>
  <si>
    <t>Not applicable</t>
  </si>
  <si>
    <t>Automated BM value and bug correction by UBA Tool March 2021</t>
  </si>
  <si>
    <t>ALC V2 corr(partly), AttrProcEm corr, nonCLbase corr, ARR corr</t>
  </si>
  <si>
    <t>Automated BM value and bug correction by UBA Tool July 2021</t>
  </si>
  <si>
    <t>EnEffCalc corr, NewSubs corr</t>
  </si>
  <si>
    <t>sorting</t>
  </si>
  <si>
    <t>Are there technical changes</t>
  </si>
  <si>
    <t>Technical changes</t>
  </si>
  <si>
    <t>t CO2 / year</t>
  </si>
  <si>
    <t>t CO2e/year</t>
  </si>
  <si>
    <t>TJ / year</t>
  </si>
  <si>
    <t>t CO2 / TJ</t>
  </si>
  <si>
    <t>GJ / t</t>
  </si>
  <si>
    <t>GJ / Unit</t>
  </si>
  <si>
    <t>MWh / year</t>
  </si>
  <si>
    <t>Sub-installation with product benchmark 1:</t>
  </si>
  <si>
    <t>Sub-installation with product benchmark 2:</t>
  </si>
  <si>
    <t>Sub-installation with product benchmark 3:</t>
  </si>
  <si>
    <t>Sub-installation with product benchmark 4:</t>
  </si>
  <si>
    <t>Sub-installation with product benchmark 5:</t>
  </si>
  <si>
    <t>Sub-installation with product benchmark 6:</t>
  </si>
  <si>
    <t>Sub-installation with product benchmark 7:</t>
  </si>
  <si>
    <t>Sub-installation with product benchmark 8:</t>
  </si>
  <si>
    <t>Sub-installation with product benchmark 9:</t>
  </si>
  <si>
    <t>Sub-installation with product benchmark 10:</t>
  </si>
  <si>
    <t>Fall-Back sub-installation 1:</t>
  </si>
  <si>
    <t>Fall-Back sub-installation 2:</t>
  </si>
  <si>
    <t>Fall-Back sub-installation 3:</t>
  </si>
  <si>
    <t>Fall-Back sub-installation 4:</t>
  </si>
  <si>
    <t>Fall-Back sub-installation 5:</t>
  </si>
  <si>
    <t>Fall-Back sub-installation 6:</t>
  </si>
  <si>
    <t>Fall-Back sub-installation 7:</t>
  </si>
  <si>
    <t>Link to NIMs file = 1, Manual entry = 2</t>
  </si>
  <si>
    <t>Original formula: =IF(OR(ISBLANK(J31),CNTR_Incumbent=FALSE),EUconst_NA,MATCH(J31,EUconst_LinkManual,0))</t>
  </si>
  <si>
    <t>Further data from sheet A of the ALR 2025 template:</t>
  </si>
  <si>
    <t>Further data from sheet B+C of the ALR 2025 template:</t>
  </si>
  <si>
    <t>Method used for data entry:</t>
  </si>
  <si>
    <t>Further instructions can be found in the "ALR 2025" sheet of this template.</t>
  </si>
  <si>
    <t>Cells that contain links to the ALR2025 file will be greyed out.</t>
  </si>
  <si>
    <t>Links to data in the ALR 2025 file:</t>
  </si>
  <si>
    <t>Manual entry, or manual override where ALR2025 data is no longer correct:</t>
  </si>
  <si>
    <t>Is the cessation temporary</t>
  </si>
  <si>
    <t>Resume date, if temporary</t>
  </si>
  <si>
    <t>Resume date if temporary</t>
  </si>
  <si>
    <t>date cessation</t>
  </si>
  <si>
    <t>reason</t>
  </si>
  <si>
    <t>temporary</t>
  </si>
  <si>
    <t>changes</t>
  </si>
  <si>
    <t>date permanent</t>
  </si>
  <si>
    <t>date resume</t>
  </si>
  <si>
    <t>Conditional formatting</t>
  </si>
  <si>
    <t>Sub-installation cessation adjustments</t>
  </si>
  <si>
    <t>Linked data</t>
  </si>
  <si>
    <t>Please refer to the guidance for which version should be used</t>
  </si>
  <si>
    <t>Linked to ALR 2025</t>
  </si>
  <si>
    <t>There are two versions of this template: 
   1) linked to your 2025 ALR;
   2) not linked and must be completed manually.</t>
  </si>
  <si>
    <t>Final free allocation</t>
  </si>
  <si>
    <t>Has a permanent cessation taken place:</t>
  </si>
  <si>
    <t>check permanent cessation details</t>
  </si>
  <si>
    <t>check temporary cessation details</t>
  </si>
  <si>
    <t>TRUE</t>
  </si>
  <si>
    <t>FALSE</t>
  </si>
  <si>
    <t>year to 
apply adjustment</t>
  </si>
  <si>
    <t>Sub-installation with product benchmark:</t>
  </si>
  <si>
    <t>Link to NIMs file </t>
  </si>
  <si>
    <t>B+C. Sub-installations </t>
  </si>
  <si>
    <t>Sheet "Sub-installations " - IDENTIFICATION OF SUB-INSTALLATIONS AND INITIAL ALLOCATION</t>
  </si>
  <si>
    <t>&gt;=100 EUA  criterion satisfied?</t>
  </si>
  <si>
    <t>BMProducts </t>
  </si>
  <si>
    <t>A.IV.1.f! </t>
  </si>
  <si>
    <t>Sub-installations with temporary or permanent cessation</t>
  </si>
  <si>
    <t xml:space="preserve">UK Emissions Trading Scheme: Activity Level Report Template </t>
  </si>
  <si>
    <t>DISCLAIMER: All formulae have been developed carefully and thoroughly. However, mistakes cannot be fully excluded.
As described above, full transparency for checking the validity of calculations is ensured. Neither the authors of this file nor the UK ETS authority can be held liable for eventual damages resulting from wrong or misleading results of the provided calculations. It is the full responsibility of the user of this (i.e the operator of a UK ETS installation) to ensure that accurate data are submitted that comply with the relevant legislation.</t>
  </si>
  <si>
    <t>Authority Response to Moving the second UK ETS Allocation Period</t>
  </si>
  <si>
    <t>https://www.gov.uk/government/publications/participating-in-the-uk-ets/participating-in-the-uk-ets</t>
  </si>
  <si>
    <t>https://www.gov.uk/government/consultations/uk-emissions-trading-scheme-free-allocation-review</t>
  </si>
  <si>
    <t>Helpdesk: If you have any questions, contact the below email addresses:</t>
  </si>
  <si>
    <t>Installation ID:</t>
  </si>
  <si>
    <t>UKTL identifier, if applicable</t>
  </si>
  <si>
    <t>Installation is eligible for free allocation under Article 10a of the UK ETS Order:</t>
  </si>
  <si>
    <t>Measurable heat imported from installations covered by the UK ETS:</t>
  </si>
  <si>
    <t>Measurable heat imported from installations and entities not covered by the UK ETS (not eligible for heat benchmark):</t>
  </si>
  <si>
    <t>Heat exported to installations or entities not covered by the UK ETS (e.g. district heating networks):</t>
  </si>
  <si>
    <t>UKA</t>
  </si>
  <si>
    <t>Post-Code:</t>
  </si>
  <si>
    <t>UK Registry ID</t>
  </si>
  <si>
    <t>UK ETS Permit number provided by your UK regulator:</t>
  </si>
  <si>
    <t>Post Code:</t>
  </si>
  <si>
    <t>Postcode:</t>
  </si>
  <si>
    <t>https://www.legislation.gov.uk/eur/2006/1893/pdfs/eur_20061893_2019-07-26_en.pdf</t>
  </si>
  <si>
    <t>Installation covered by UK ETS</t>
  </si>
  <si>
    <t>For entities not covered by the UK ETS, contact details are mandatory, but the Registry ID is not required.</t>
  </si>
  <si>
    <t>UK Registry ID number (7 numerical digits)</t>
  </si>
  <si>
    <t>The status regarding the exposure to significant risk of carbon leakage ("CL").</t>
  </si>
  <si>
    <t>The operator should update these values with the appropriate fuel-specific values taken from the link below:</t>
  </si>
  <si>
    <t>https://www.legislation.gov.uk/eur/2015/2402/annex/II</t>
  </si>
  <si>
    <t>If both types of heat input are relevant, "eligible" (self-produced and/or imported form UK ETS installations) and "non-eligible" (import from non- UK ETS or produced from a Nitric acid sub-installation), AND if both types of heat use take place, i.e. "eligible" (internal use and/or export to non- UK ETS) and "non-eligible" (export to UK ETS-Installations), it is necessary to earmark the eligible and non-eligible cases.</t>
  </si>
  <si>
    <t>If this is not feasible, all uses shall be weighted according to the ratio of inputs ( UK ETS input : total input) as defined above.</t>
  </si>
  <si>
    <t>Heat exports to installations covered by the UK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t>
  </si>
  <si>
    <t>Historic Activity levels</t>
  </si>
  <si>
    <t>However, if a message appears under point (b), the appropriate calculation tool has to be used, and its results are automatically copied into this table under (ii).
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under the third sub-paragraph of the Article 15(7) of the FAR.
Corresponding entries are required in column N for that year which will be 2024.</t>
  </si>
  <si>
    <t>&gt;=100 UKA  criterion satisfied?</t>
  </si>
  <si>
    <t>Please enter the appropriate values here. Note that the values have to be consistent with the sub-totals for import from non- UK ETS under point E.II.c in sheet "E_Energy flows".</t>
  </si>
  <si>
    <t xml:space="preserve"> A product benchmark can encompass several similar products (product group). In some cases intermediates can be relevant for allocation purposes. The relevant products must be identified here in order to allow the regulator to check if the boundaries defined for this product benchmark are respected.</t>
  </si>
  <si>
    <t>https://www.legislation.gov.uk/eur/2019/1933</t>
  </si>
  <si>
    <t>PRODCOM 2019</t>
  </si>
  <si>
    <t>When migrating this over to ALR 2027 need to use the correct BM for the final year. Final year being the initial cessation date, the adjustment should be applied in the year after the permanent closure date.</t>
  </si>
  <si>
    <t>In theory, the permanent cessation date will be reported in the following year. Hence rule above. Can not cater for any retrospective changes</t>
  </si>
  <si>
    <t xml:space="preserve"> stop performance error picking on this row</t>
  </si>
  <si>
    <t xml:space="preserve">Please refer to the UKETS13 guidance document for more information. </t>
  </si>
  <si>
    <t>Please provide the total fuel input to the sub-installation and a corresponding weighted emission factor, taking into account the related energy content of each fuel which is included in the figure given under point (g) applying the same system boundaries as for point (g). As required by Annex IV, section 2.4(a) of the FAR, please provide the total fuel input to the sub-installation and a corresponding weighted emission factor, taking into account the related energy content of each fuel which is included in the figure given under point (g), applying the same system boundaries as for point (g).</t>
  </si>
  <si>
    <t>This includes the total amount of heat either produced in, imported from or exported to (sub-)installations covered by the UK ETS or from installations or entities not covered by the UK ETS. The specific emission factors (EF) associated with the heat should take into account the provisions in FAR Annex VII sections 8 and 10, in particular sections 10.1.2 and 10.1.3 thereof.</t>
  </si>
  <si>
    <t>A list of PRODCOM 2019 codes can be found at:</t>
  </si>
  <si>
    <t>https://www.legislation.gov.uk/eudn/2019/708/annex</t>
  </si>
  <si>
    <t>Do not include here any heat imports from "non-eligible" sources, i.e. installations not covered by the UK ETS, or heat produced in nitric acid sub-installations.</t>
  </si>
  <si>
    <t>The term "fuel" should be understood as any source stream in accordance with the MRR Regulation that is combustible and for which a net calorific value can be determined. The weighted emission factor corresponds to the accumulated emissions from the fuels, including those used to produce measurable heat, divided by the total energy content.</t>
  </si>
  <si>
    <t>Eligibility for free allocation (section A.II.1):</t>
  </si>
  <si>
    <t>Member state question no longer needed - set to UK</t>
  </si>
  <si>
    <t>Permit ID:</t>
  </si>
  <si>
    <t xml:space="preserve">You should use this template as the activity level report which is required to be submitted in accordance with your permit conditions and the ALCR. 
</t>
  </si>
  <si>
    <t>If you are an Operator regulated by the Environment Agency, Offshore Petroleum Regulator for Environment and Decommissioning, Natural Resources Wales or the Northern Ireland Environment Agency:</t>
  </si>
  <si>
    <t>Information in column A to K sheet</t>
  </si>
  <si>
    <t>Installation covered by Art. 2c of the FAR:</t>
  </si>
  <si>
    <t>Criterion 4a: Difference at least 100 UKA?</t>
  </si>
  <si>
    <t>Criterion 4b: Difference at least 100 UKA?</t>
  </si>
  <si>
    <t>Criterion 4c: Difference at least 100 UKA?</t>
  </si>
  <si>
    <t>Criterion 4d: Difference at least 100 UKA?</t>
  </si>
  <si>
    <t>Criterion 4e: Difference at least 100 UKA?</t>
  </si>
  <si>
    <t>Criterion 4f: Difference at least 100 UKA?</t>
  </si>
  <si>
    <t>Criterion 4: Difference at least 100 UKA?</t>
  </si>
  <si>
    <t>Reporting Year :</t>
  </si>
  <si>
    <t>All installations which are not incumbents according to the above criteria will be considered "New entrants" by the regulator.</t>
  </si>
  <si>
    <t>This is usually a number used in the Registry (UK ETS).</t>
  </si>
  <si>
    <t>Name of regulator:</t>
  </si>
  <si>
    <t>First GHGE permit received when the installation was included in the ETS for the first time:</t>
  </si>
  <si>
    <t>Please nominate persons here whom the regulator can contact in case of questions regarding this report, including its verification.</t>
  </si>
  <si>
    <t>UKAS</t>
  </si>
  <si>
    <t>If you are not sure about the values to enter here, please contact your regulator.</t>
  </si>
  <si>
    <t>This information is useful for the regulators for consistency checks and alignment of environmental information sources.</t>
  </si>
  <si>
    <t>If the answer to (a) or (b) is positive, and if the answer to (d) is negative, the installation is not eligible for free allocation under Article 2a of the FAR. If this is relevant for your installation, please confirm here:</t>
  </si>
  <si>
    <t>UK Registry ID number</t>
  </si>
  <si>
    <t>Identification of the installation</t>
  </si>
  <si>
    <t>Entries here are only relevant if you have chosen either "manual entry" in section A.II, or new sub-installations started after 30 June 2019 (i.e. have not been included in the ALR application).</t>
  </si>
  <si>
    <t>Entries here are only relevant if you have chosen either "manual entry" in section A.II, or new sub-installations started after 30 June 2019 (i.e. have not been included in the ALR application). Entries here will always override entries in column G.</t>
  </si>
  <si>
    <t>Please enter below in line with the principles of the MRR 2018 Regulation:</t>
  </si>
  <si>
    <t>t / year</t>
  </si>
  <si>
    <t>Please note that further information should be sought in 'UKETS13 FAR - Monitoring and reporting in relation to the free allocation rules' and delete row below</t>
  </si>
  <si>
    <t>This sub-section covers the attribution of emissions related to source streams, emissions sources, import and export of measurable heat and waste gases including heat losses in accordance with section 10 of Annex VII to the FAR.</t>
  </si>
  <si>
    <t>Please note that although some guidance is provided for each of the points below, further information should be sought in  UKETS 13 ("Monitoring and Reporting  in relation to the FAR") which also includes examples.</t>
  </si>
  <si>
    <t>This tool helps you determine the HAL (historical activity levels) for the lime benchmark (paragraph 2 of Annex III to the FAR)</t>
  </si>
  <si>
    <t>This tool helps you determine the HAL (historical activity levels) for the steam cracking benchmark (Paragraph 4 of Annex III to the FAR).</t>
  </si>
  <si>
    <t>Paragraph 4 of Annex III to the FAR, the following data is required:</t>
  </si>
  <si>
    <t>If needed, check with your Regulator if other file formats than the ones mentioned above are acceptable.</t>
  </si>
  <si>
    <t>In space below you can enter all information which was not suitable for input in other sheets and which you consider important for the regulator.</t>
  </si>
  <si>
    <t>Installation is eligible for free allocation under Article 4 of the FAR.</t>
  </si>
  <si>
    <t>Cross-sectoral correction factor (CSCF) in accordance with Article 16a of the FAR.</t>
  </si>
  <si>
    <t>For installations covered by Article 16a of the FAR, the linear factor displayed in point (a) has to be applied for each year unless the CSCF displayed in point (b) is lower than 1. In such case, the CSCF has to be applied for any such year.</t>
  </si>
  <si>
    <t>Please complete all sections with the exception of:</t>
  </si>
  <si>
    <t>sheet A_InstallationData: rows 146 to 161 'Group' information. This has been greyed out
sheet F_ProductBM: 'Data required for the determination of benchmark improvement rate'
sheet G_Fall-back: 'Data required for the determination of benchmark improvement rate'</t>
  </si>
  <si>
    <t>Data from sheet K_Summary of the ALR 2025 template:</t>
  </si>
  <si>
    <t>Further data from sheet F of the ALR 2025 template:</t>
  </si>
  <si>
    <t>Sum of production levels+E4628</t>
  </si>
  <si>
    <t>Further data from sheet G of the ALR 2025 template:</t>
  </si>
  <si>
    <t>Fall-Back sub-installation:</t>
  </si>
  <si>
    <t>Do not include here any heat imports from "non-eligible" sources, i.e. installations not covered by the EU ETS, or heat produced in nitric acid sub-installations.</t>
  </si>
  <si>
    <t>Further data from sheet H of the ALR 2025 template:</t>
  </si>
  <si>
    <t>CWT / year</t>
  </si>
  <si>
    <t>Result: Activity levels for dolime expressed as standard pure dolime</t>
  </si>
  <si>
    <t>1000Nm3/year</t>
  </si>
  <si>
    <t xml:space="preserve">Please note that although some guidance is provided for each of the points below, further information should be sought in Guidance Document No. 5 ("Monitoring and Reporting in relation to the FAR") which also includes examples. </t>
  </si>
  <si>
    <t xml:space="preserve">- </t>
  </si>
  <si>
    <t>Important note: In accordance with Annex II of the FAR, the units for reporting are kilotonnes throughput.</t>
  </si>
  <si>
    <t>Eligibility for free allocation (Article 2a of the FAR):</t>
  </si>
  <si>
    <t>Measurable Heat:</t>
  </si>
  <si>
    <t>The UK ETS is given effect by the 'UK ETS Order’, which is the Greenhouse Gas Emissions Trading Scheme Order 2020. The Order can be downloaded from here (as amended from time to time):</t>
  </si>
  <si>
    <t>Whenever a value of zero is to be reported, it should be entered rather than keeping the cell empty. If a cell is kept empty, the regulator does not know if the value has not been reported, is irrelevant or unknown. Values needed for calculations should always be entered (especially if zero, because some formulas don't give results as long as required cells are empty).</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</si>
  <si>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</si>
  <si>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Error messages are often very short due to the little place to space available. The most important ones are:</t>
  </si>
  <si>
    <t>For installations in England: Environment Agency: ethelp@environment-agency.gov.uk</t>
  </si>
  <si>
    <t>For installations in Scotland: Scottish Environmental Protection Agency: emission.trading@sepa.org.uk</t>
  </si>
  <si>
    <t>For installations in Wales: Natural Resources Wales: GHGHelp@naturalresourceswales.gov.uk</t>
  </si>
  <si>
    <t>For offshore installations: Opred@energysecurity.gov.uk</t>
  </si>
  <si>
    <t>For installations in Northern Ireland: NIEA: emissions.trading@daera-ni.gov.uk</t>
  </si>
  <si>
    <t xml:space="preserve">Answer TRUE where all operations at a sub-installation have ceased, whether or not you consider it to be a temporary or permanent cessation. </t>
  </si>
  <si>
    <t>In case the whole installation and sub-installation ceased, please provide the date of cessation of each sub-installation in sheet B+C_SubInstallation, section I.</t>
  </si>
  <si>
    <t>Some of the information that is required in this report has already been provided in the ALR 2025 report. This concerns information about the installation (this sheet) as well as the relevant sub-installations including the allocation-relevant parameters (sheet "B+C. Sub-installations"), such as the historic activity level (HAL). Import data into every sheet of the ALR (except J)</t>
  </si>
  <si>
    <t>Here data is gathered by simply referencing your ALR 2025 data report file via the "Edit links" function in the "Data" tab of the Excel ribbon. Need to be reviewed once the instructions have been completed</t>
  </si>
  <si>
    <t>The name should be the same as the installation name in your permit</t>
  </si>
  <si>
    <t>Date of start of regulated activity:</t>
  </si>
  <si>
    <t>Name of authorised representative:</t>
  </si>
  <si>
    <t>Authorised representative of the operator:</t>
  </si>
  <si>
    <t>This information is important for regulator
phase to allocation period because changes compared to previous UK ETS phases may have taken place.</t>
  </si>
  <si>
    <t>List of the installation’s NACE codes</t>
  </si>
  <si>
    <t>Are you carrying out the regulated activities of (a) capture of greenhouse gases (b) transport of greenhouse gases by pipeline or (c) the geological storage of greenhouse gases?</t>
  </si>
  <si>
    <t>Confirmation of non-eligibility for free allocation applies only when none of the regulated activities at the installation qualify for free allocation. In such cases, completion of the remaining sheets is not required.</t>
  </si>
  <si>
    <t>This information is needed by the regulator for ensuring consistency of the data provided, and for avoiding double counting of allocation data.</t>
  </si>
  <si>
    <t>Installation ID is mandatory if the connected installation is covered by the UK ETS, and if it has already been covered by the UK ETS before 30 June 2019 for the first allocation period, and before 30 June 2025 and the 2026 and 2027 - 2030 allocation period.</t>
  </si>
  <si>
    <t>If you have chosen to gather ALR information via the link to the 2025 ALR baseline data report in section A.II. all relevant product benchmark sub-installation appear automatically. Otherwise this column will be greyed out.</t>
  </si>
  <si>
    <t xml:space="preserve">Note that according to Article 10(3) of the FAR an exemption from the distinction of CL and non-CL may apply for reporting purposes. </t>
  </si>
  <si>
    <t>Initial allocation from the baseline data report file</t>
  </si>
  <si>
    <t>These amounts are automatically calculated based on the figures input above. The formula is described in the guidance document UKETS17 FAR: Waste gases and process emissions sub-installations No. 8.</t>
  </si>
  <si>
    <t>Installation names in the drop down list are taken from Section AV. Therefore you must ensure that you have entered complete data there.</t>
  </si>
  <si>
    <t>Therefore a plausibility check for that data is included.</t>
  </si>
  <si>
    <t>Installation names in the drop down list are taken from Section A.V. Therefore you must ensure that you have entered complete data there.</t>
  </si>
  <si>
    <t>Information is taken from section F.(l).x. If relevant, you must ensure that you have entered complete data there.</t>
  </si>
  <si>
    <t xml:space="preserve"> HAL</t>
  </si>
  <si>
    <t xml:space="preserve"> value</t>
  </si>
  <si>
    <t xml:space="preserve">Please note that further information should be sought - Monitoring and reporting in relation to the free allocation rules.  </t>
  </si>
  <si>
    <t>You can access published UK ETS technical guidance using the following link:</t>
  </si>
  <si>
    <t>The term "fuel" should be understood as any source stream in accordance with the MRR that is combustible and for which a net calorific value can be determined. The weighted emission factor corresponds to the accumulated emissions from the fuels divided by the total energy content.</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</si>
  <si>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(l).xxii. below.</t>
  </si>
  <si>
    <t>However, as of 2027, allocation will be reduced with respect to flaring of waste gases other than safety flaring.</t>
  </si>
  <si>
    <t>Pursuant to Annex IV, section 2.7(k), the total amount of pulp produced for the short fibre kraft pulp, long fibre kraft pulp, thermo-mechanical pulp and mechanical pulp, sulphite pulp product benchmark sub-installations should be reported.</t>
  </si>
  <si>
    <t>value</t>
  </si>
  <si>
    <t>Based on the start of normal operation entered in B+C.I, the HAL will either be based on the value (displayed under ii.) or on the first year of full operation for new sub-installations (displayed under iv.).</t>
  </si>
  <si>
    <t>NIMs value refers to the average production during the baseline period (similar to the HAL) and is only relevant for existing sub-installations in incumbent installations.</t>
  </si>
  <si>
    <t>You can access published UK ETS technical guidance using the following link:
Reference and link to UKETS15 FAR: Cross-boundary heat flows may also be helpful under Heat CL, Heat non-CL &amp; district heating sub-installations</t>
  </si>
  <si>
    <t>The term "fuel" should be understood as any source stream in accordance with the M&amp;R Regulation to MRR that is combustible and for which a net calorific value can be determined. The weighted emission factor corresponds to the accumulated emissions from the fuels, including those used to produce measurable heat, divided by the total energy content.</t>
  </si>
  <si>
    <t>Based on the HAL values and the figures outlined under point (a) above, the average activity levels have been calculated. The allocation will only be adjusted if all thresholds specified in Articles 5 and 6 of the ALC Regulation are exceeded.
For Sheet F, please note that these figures represent automated calculations. They remain subject to review by the regulator and require formal approval from the UK ETS Authority.</t>
  </si>
  <si>
    <t>i983</t>
  </si>
  <si>
    <t>(value</t>
  </si>
  <si>
    <t>Installation covered by Art. 2c of the FAR</t>
  </si>
  <si>
    <t>Amount to be deducted from the preliminary annual amount of allowances for flared waste gases from 2027 onwards in accordance with the second sub-paragraph of Article 16(5) of the FAR</t>
  </si>
  <si>
    <t>Criterion 5: regulator decision relevant?</t>
  </si>
  <si>
    <t>Criterion 6: regulator non-rejection?</t>
  </si>
  <si>
    <t>Change compared to value</t>
  </si>
  <si>
    <t>Final amount of free allocation for sub-installations that have permanently ceased operation</t>
  </si>
  <si>
    <t>Indicative change in free allocation for sub-installations that have permanently ceased operation</t>
  </si>
  <si>
    <t>The amounts displayed here are an indicative calculation on the difference of the preliminary and final allocation of free allowances for sub-installations that have permanently ceased operation.</t>
  </si>
  <si>
    <t>ALR2025</t>
  </si>
  <si>
    <t>Regulator</t>
  </si>
  <si>
    <t xml:space="preserve">        </t>
  </si>
  <si>
    <t xml:space="preserve">             </t>
  </si>
  <si>
    <t>UK ETS technical guidance: https://www.gov.uk/government/collections/uk-emissions-trading-scheme-uk-ets-technical-guidance-and-tools. 
How to comply with GHGE installation: https://www.gov.uk/government/publications/uk-emissions-trading-scheme-for-installations-how-to-comply/uk-emissions-trading-scheme-for-installations-how-to-comply</t>
  </si>
  <si>
    <t>Unique identifier provided by the regulator:</t>
  </si>
  <si>
    <t>Name of Regulator:</t>
  </si>
  <si>
    <t>Regulator approval relevant?</t>
  </si>
  <si>
    <t>If "TRUE" is displayed here, either the average activity level dropped below -15% compared to the HAL and at the same time the energy efficiency improved by more than 15%, or vice versa. If this is the case, it is subject to the regulators assessment (see ii. below) whether the allocation should be adjusted or not.</t>
  </si>
  <si>
    <t>Regulator rejects adjustment?</t>
  </si>
  <si>
    <t>IMPORTANT NOTE: This section should only be filled in by the regulator, or by you if the regulator instructed you to do so.</t>
  </si>
  <si>
    <t>Pursuant to Articles 6(1) and 6(2) the regulator may reject the adjustment of free allocation. Please select TRUE here to reject any adjustment, if applicable.</t>
  </si>
  <si>
    <t>By default, empty fields here will be treated as a non-rejection (i.e. FALSE) in order to perform subsequent calculations in this template. You may therefore continue with the submission of the report and the regulator can take a decision at a later stage, which might lead to a re-submission of the template.</t>
  </si>
  <si>
    <t>This is the final result taking into account any energy efficiency changes as well as the regulators decision, if relevant.</t>
  </si>
  <si>
    <t xml:space="preserve">         </t>
  </si>
  <si>
    <t xml:space="preserve">           </t>
  </si>
  <si>
    <t xml:space="preserve">       </t>
  </si>
  <si>
    <t xml:space="preserve">  </t>
  </si>
  <si>
    <t xml:space="preserve">   </t>
  </si>
  <si>
    <t xml:space="preserve">     </t>
  </si>
  <si>
    <t xml:space="preserve">            </t>
  </si>
  <si>
    <t>You can access published UK ETS technical guidance using the following link: https://www.gov.uk/government/collections/uk-emissions-trading-scheme-uk-ets-technical-guidance-and-tools
Reference and link to UKETS15 FAR: Cross-boundary heat flows may also be helpful under Heat CL, Heat non-CL &amp; district heating sub-installations</t>
  </si>
  <si>
    <t xml:space="preserve">          </t>
  </si>
  <si>
    <t xml:space="preserve">Please note that although some guidance is provided for each of the points below, further information should be sought in 'UKETS13 FAR - Monitoring and reporting according to the free allocation rules' which also includes examples. </t>
  </si>
  <si>
    <t>If "TRUE" is displayed here, either the average activity level dropped below -15% compared to the HAL and at the same time the energy efficiency improved by more than 15%, or vice versa. If this is the case, it is subject to the regulator's assessment (see ii. below) whether the allocation should be adjusted or not.</t>
  </si>
  <si>
    <t>Preliminary amount of free allocation for sub-installations that have permanently ceased operation</t>
  </si>
  <si>
    <t>Link to ALR2025 file </t>
  </si>
  <si>
    <t>Olive fields indicate that inputs are based on links to external Excel files.</t>
  </si>
  <si>
    <t>c.
ALR2025</t>
  </si>
  <si>
    <t>Statement</t>
  </si>
  <si>
    <t>b.
Guidelines conditions</t>
  </si>
  <si>
    <t>a.
Contents</t>
  </si>
  <si>
    <t>UK ETS data extract friendly name</t>
  </si>
  <si>
    <t>Step 2</t>
  </si>
  <si>
    <t>Select "Edit links" under the "Connection" or "Queries &amp; Connections" group, depending on the Excel version you use.</t>
  </si>
  <si>
    <t>Step 3</t>
  </si>
  <si>
    <t>In the dialog box that opened, select the link to the empty template and then click on "Change Source"</t>
  </si>
  <si>
    <t>Please note that this only works when this present sheet is active. If you try that from any other sheet, the "Change Source" button will be inactive.</t>
  </si>
  <si>
    <t>Step 4</t>
  </si>
  <si>
    <t>Step 5</t>
  </si>
  <si>
    <t>(optional) You may now click on "break links" in the dialog box. This will remove all external files and replace them by values.</t>
  </si>
  <si>
    <t>Please note that if you do this, all previous step can no longer be re-done.</t>
  </si>
  <si>
    <t>Step 6</t>
  </si>
  <si>
    <t>Close the "Edit links" dialog box.</t>
  </si>
  <si>
    <t>IMPORTANT! Please DO NOT make manual changes in any of the cells below in this sheet.</t>
  </si>
  <si>
    <t>This sheet has the same structure as some of the sections in the ALR2025 and contains links to an empty template.</t>
  </si>
  <si>
    <t>In order to gather the data from your specific file, in which all your ALR2025 data is contained, please change the file reference via the "Edit links" function in the "Data" tab of the ribbon of Excel.</t>
  </si>
  <si>
    <t>Select your ALR2025 report file in the dialog box and click on OK. Please note that updating all linked cells might take a couple of seconds.</t>
  </si>
  <si>
    <t>You should now see ALR2025 data below in this sheet and can go back to section A.II and continue.</t>
  </si>
  <si>
    <t xml:space="preserve">Step 1
</t>
  </si>
  <si>
    <t>Further data from sheet E of the ALR 2025 template:</t>
  </si>
  <si>
    <t>The operator of this installation confirms that this report may be used by the competent authority and the UK ETS Authority.</t>
  </si>
  <si>
    <t>$C$1:$C$16</t>
  </si>
  <si>
    <t>h</t>
  </si>
  <si>
    <t xml:space="preserve">As part of your activity level report, operators are required to provide information where all operations have ceased at a sub-installation. If the whole installation has ceased operation, operators still have to report on all sub-installations that make up the installation. The notification of a cessation at installation level is made via the permit conditions (and through METS). </t>
  </si>
  <si>
    <t>Emissions associated with imported heat in accordance with sections 10.1.2 and 10.1.3 of Annex VII to the FAR</t>
  </si>
  <si>
    <t>Emissions associated with exported heat in accordance with sections 10.1.2 and 10.1.3 of Annex VII to the FAR</t>
  </si>
  <si>
    <t>Emissions associated with imported waste gases in accordance with section 10.1.5 of Annex VII to the FAR</t>
  </si>
  <si>
    <t>Emissions associated with exported waste gases in accordance with section 10.1.5 of Annex VII to the FAR by deducting the energy content multiplied with the emission factor of natural gas and the default correction factor of 0.667</t>
  </si>
  <si>
    <t>Data provided here will impact the attributable emissions in accordance with section 10.1.1 of Annex VII to the FAR.</t>
  </si>
  <si>
    <t>Per Art 3(2) ALCR, the ALR only needs to contain information  on each of the parameters listed in sections 1 (except 1.3 (c) and 1.4(e)) and 2.3 to 2.7 of Annex IV. Please provide here the amount of transferred CO2 imported from or exported to other sub-installations, installations or other entities, in line with the rules set out in the M&amp;R Regulation.</t>
  </si>
  <si>
    <t>Data provided here will impact the attributable emissions in accordance with sections 10.1.2 and 10.1.3 of Annex VII to the FAR.</t>
  </si>
  <si>
    <t>Data provided here will impact the attributable emissions in accordance with section 10.1.5 of Annex VII to the FAR.</t>
  </si>
  <si>
    <t>Data provided here will impact the attributable emissions in accordance with chapter 10 of Annex VII to the FAR.</t>
  </si>
  <si>
    <t>Per Art 3(2) ALCR, the ALR only needs to contain information on each of the parameters listed in sections 1 (except 1.3 (c) and 1.4(e)) and 2.3 to 2.7 of Annex IV. Please provide here the amount of transferred CO2 imported from or exported to other sub-installations, installations or other entities, in line with the rules set out in the M&amp;R Regulation.</t>
  </si>
  <si>
    <t>This includes electricity that is produced directly from this sub-installation as required by Art 3(2) ALCR. Any electricity that is produced via intermediate measurable heat should not be listed here but under export of measurable heat under (k).v. above.</t>
  </si>
  <si>
    <t>Data provided here will impact the attributable emissions in accordance with chapter 10 of Annex VII 10 the FAR.</t>
  </si>
  <si>
    <t>the UK ETS chose to make inputs mandatory by default if the conditions above are satisfied.</t>
  </si>
  <si>
    <t>This tool helps you determine the HAL (historical activity levels) for the refinery benchmark (Annex III point 1 to the FAR).</t>
  </si>
  <si>
    <t>For the definition and boundaries of each CWT function please see Annex II point 1 to the FAR.</t>
  </si>
  <si>
    <t>Therefore the results below are multiplied with a factor of 1000, which is not explicitly mentioned in Annex III point 1 to the FAR.</t>
  </si>
  <si>
    <t>This tool helps you determine the HAL (historical activity levels) for the lime benchmark (Annex III point 2 to the FAR)</t>
  </si>
  <si>
    <t>Pursuant to Annex III point 2 to the FAR, the following data is required:</t>
  </si>
  <si>
    <t>This tool helps you determine the HAL (historical activity levels) for the Dolime benchmark (Annex III point 3 to the FAR). It is not to be used for "sintered dolime".</t>
  </si>
  <si>
    <t>Pursuant to Annex III point 3 to the FAR, the following data is required:</t>
  </si>
  <si>
    <t>This tool helps you determine the HAL (historical activity levels) for the steam cracking benchmark (Annex III point 4 to the FAR).</t>
  </si>
  <si>
    <t>Pursuant to Annex III point 4 to the FAR, the following data is required:</t>
  </si>
  <si>
    <t>This tool helps you determine the HAL (historical activity levels) for the aromatics benchmark (Annex III point 5 to the FAR)</t>
  </si>
  <si>
    <t>For the definition and boundaries of each CWT function please see Annex II point 2 to the FAR.</t>
  </si>
  <si>
    <t>Important note: In accordance with Annex II to the FAR, the units for reporting are kilotonnes throughput.</t>
  </si>
  <si>
    <t>Therefore the results below are multiplied with a factor of 1000, which is not explicitly mentioned in Annex III point 5 to the FAR.</t>
  </si>
  <si>
    <t>This tool helps you determine the HAL (historical activity levels) for the hydrogen benchmark (Annex III point 6 to the FAR).</t>
  </si>
  <si>
    <t>This tool helps you determine the HAL (historical activity levels) for the synthesis gas benchmark (Annex III point 7 to the FAR).</t>
  </si>
  <si>
    <t>This tool helps you determine the HAL (historical activity levels) for the ethylene oxide / ethylene glycols benchmark (Annex III point 8 to the FAR).</t>
  </si>
  <si>
    <t>Please provide here information on the greenhouse gas emissions permit (Permits are granted under Schedule 6, paragraph 3 to the UK ETS Order).</t>
  </si>
  <si>
    <t>Regulated activities according to paragraph 3 of Schedule 2 to the UK ETS Order</t>
  </si>
  <si>
    <t>Name of activity (Para 3 of Sch 2 to the UK ETS Order)</t>
  </si>
  <si>
    <t>The data contained in this file will be used by the regulator for assessing your activity level report in accordance with ALCR.  The data will also be sent to the UK ETS authority in accordance with ALCR.</t>
  </si>
  <si>
    <t>Intermediate products covered by product benchmarks (Sections 1.6 and 3.1(l) of Annex IV to the FAR)</t>
  </si>
  <si>
    <t>For each type of product, only one sub-installation may be chosen. Similar products which are covered by the same product benchmark in Annex I to the FAR are aggregated.</t>
  </si>
  <si>
    <t xml:space="preserve">The attribution of emissions to sub-installations has to be done in sheets F and G for each sub-installation. </t>
  </si>
  <si>
    <t xml:space="preserve">Usually this is the production data of the product, e.g. tonnes of grey cement clinker or tonnes of glass bottles, as defined by Annex I to the FAR. </t>
  </si>
  <si>
    <t>Data required for determining benchmarks.</t>
  </si>
  <si>
    <t>This includes electricity that is produced directly from this sub-installation as required per Art 3(2) ALCR. Any electricity that is produced via intermediate measurable heat should not be listed here but under export of measurable heat under (k).v. above.</t>
  </si>
  <si>
    <t>Data required for determining benchmarks</t>
  </si>
  <si>
    <t>This includes electricity that is produced directly from this sub-installation as required per art 3(2) ALCR. Any electricity that is produced via intermediate measurable heat should not be listed here but under export of measurable heat under (k).v. above.</t>
  </si>
  <si>
    <t>As required by Annex IV, Art 3(2) ALCR, please provide here the amount of transferred CO2 imported from or exported to other sub-installations, installations or other entities, in line with the rules set out in the M&amp;R Regulation.</t>
  </si>
  <si>
    <t>Per art 3(2) ALCR, the ALR only needs to contain information on each of the parameters listed in sections 1 (except 1.3 (c) and 1.4(e)) and 2.3 to 2.7 of Annex IV. Please provide here the amount of transferred CO2 imported from or exported to other sub-installations, installations or other entities, in line with the rules set out in the M&amp;R Regulation.</t>
  </si>
  <si>
    <t>Per Art 6(1) ALCR, the regulator must make no adjustment where the conditions are satisfied.</t>
  </si>
  <si>
    <t>Important note:  In accordance with Annex II to the FAR, the units for reporting are kilotonnes throughput.</t>
  </si>
  <si>
    <t>Activities according to the table in para 3 of Schedule 2 to the UK ETS Order:</t>
  </si>
  <si>
    <t>If FALSE the (sub)-installation has ceased in the year before and the allocation will be adjusted to zero, pursuant to Art. 3za of the ALCR.</t>
  </si>
  <si>
    <t>TRUE means that the relative thresholds referred to in Art. 5 of the ALCR are exceeded and the allocation will be adjusted, compared to the HAL.</t>
  </si>
  <si>
    <t>TRUE means that the absolute threshold referred to in Art. 5 of the ALCR (100 UKA) is exceeded and the allocation will be adjusted.</t>
  </si>
  <si>
    <t>Pursuant to Articles 6(1) and 6(2) of the ALCR the regulator may decide on approval or rejection of allocation adjustments if energy efficiency changes exceeded 15%. TRUE means that those thresholds are exceeded and the regulator may decide.</t>
  </si>
  <si>
    <t>TRUE means the regulator rejected the adjustment. FALSE means an adjustment will be made if all thresholds above are exceeded.</t>
  </si>
  <si>
    <t>Linear factor for installations covered by article 2a(1) FAR</t>
  </si>
  <si>
    <t>For installations not covered by article 2a(1) FAR, the CSCF displayed in point (b) will be applied for each year.</t>
  </si>
  <si>
    <t>ReportYear_J</t>
  </si>
  <si>
    <t>Incumbent_J</t>
  </si>
  <si>
    <t>CeasedOperation_J</t>
  </si>
  <si>
    <t>RegistryID_J</t>
  </si>
  <si>
    <t>PermitID_J</t>
  </si>
  <si>
    <t>InstallationName_J</t>
  </si>
  <si>
    <t>StartDate_J</t>
  </si>
  <si>
    <t>LatestMMP_J</t>
  </si>
  <si>
    <t>Regulator_J</t>
  </si>
  <si>
    <t>OperatorName_J</t>
  </si>
  <si>
    <t>InstallationPostcode_J</t>
  </si>
  <si>
    <t>Verifier_J</t>
  </si>
  <si>
    <t>EligibilityHeatProducedNotForElectricity_M</t>
  </si>
  <si>
    <t>EligibilityArticle2a_M</t>
  </si>
  <si>
    <t>RegulatedActivity1_F</t>
  </si>
  <si>
    <t>RegulatedActivity2_F</t>
  </si>
  <si>
    <t>RegulatedActivity3_F</t>
  </si>
  <si>
    <t>RegulatedActivity4_F</t>
  </si>
  <si>
    <t>RegulatedActivity5_F</t>
  </si>
  <si>
    <t>RegulatedActivity6_F</t>
  </si>
  <si>
    <t>NACE_L</t>
  </si>
  <si>
    <t>EPRTR_L</t>
  </si>
  <si>
    <t>EligibilityEG_M</t>
  </si>
  <si>
    <t>EligibilityCaptureTransportStorageGHGs_M</t>
  </si>
  <si>
    <t>EligibilityConfirmation1_E</t>
  </si>
  <si>
    <t>EligibilityConfirmation2_E</t>
  </si>
  <si>
    <t># occurrences</t>
  </si>
  <si>
    <t>new cessation rule applies</t>
  </si>
  <si>
    <t>new rule date of permanent cessation</t>
  </si>
  <si>
    <t>old rule date of permanent cessation</t>
  </si>
  <si>
    <t>cessation date</t>
  </si>
  <si>
    <t>EnergyInputUnits_I</t>
  </si>
  <si>
    <t>FuelInputProductBM_Y</t>
  </si>
  <si>
    <t>FuelInputMeasurableHeat_Y</t>
  </si>
  <si>
    <t>FuelBenchmarkCL_Y</t>
  </si>
  <si>
    <t>FuelBenchmarkNCL_Y</t>
  </si>
  <si>
    <t>FuelInputElectricity_Y</t>
  </si>
  <si>
    <t>P01Prodcom01_PC</t>
  </si>
  <si>
    <t>P01Prodcom02_PC</t>
  </si>
  <si>
    <t>P01Prodcom03_PC</t>
  </si>
  <si>
    <t>P01Prodcom04_PC</t>
  </si>
  <si>
    <t>P01Prodcom05_PC</t>
  </si>
  <si>
    <t>P01Prodcom06_PC</t>
  </si>
  <si>
    <t>P01Prodcom07_PC</t>
  </si>
  <si>
    <t>P01Prodcom08_PC</t>
  </si>
  <si>
    <t>P01Prodcom09_PC</t>
  </si>
  <si>
    <t>P01Prodcom10_PC</t>
  </si>
  <si>
    <t>P02Prodcom01_PC</t>
  </si>
  <si>
    <t>P02Prodcom02_PC</t>
  </si>
  <si>
    <t>P02Prodcom03_PC</t>
  </si>
  <si>
    <t>P02Prodcom04_PC</t>
  </si>
  <si>
    <t>P02Prodcom05_PC</t>
  </si>
  <si>
    <t>P02Prodcom06_PC</t>
  </si>
  <si>
    <t>P02Prodcom07_PC</t>
  </si>
  <si>
    <t>P02Prodcom08_PC</t>
  </si>
  <si>
    <t>P02Prodcom09_PC</t>
  </si>
  <si>
    <t>P02Prodcom10_PC</t>
  </si>
  <si>
    <t>P03Prodcom01_PC</t>
  </si>
  <si>
    <t>P04Prodcom02_PC</t>
  </si>
  <si>
    <t>P03Prodcom03_PC</t>
  </si>
  <si>
    <t>P03Prodcom02_PC</t>
  </si>
  <si>
    <t>P03Prodcom04_PC</t>
  </si>
  <si>
    <t>P03Prodcom05_PC</t>
  </si>
  <si>
    <t>P03Prodcom06_PC</t>
  </si>
  <si>
    <t>P03Prodcom07_PC</t>
  </si>
  <si>
    <t>P03Prodcom08_PC</t>
  </si>
  <si>
    <t>P03Prodcom09_PC</t>
  </si>
  <si>
    <t>P03Prodcom10_PC</t>
  </si>
  <si>
    <t>P04Prodcom01_PC</t>
  </si>
  <si>
    <t>P04Prodcom03_PC</t>
  </si>
  <si>
    <t>P04Prodcom04_PC</t>
  </si>
  <si>
    <t>P04Prodcom05_PC</t>
  </si>
  <si>
    <t>P04Prodcom06_PC</t>
  </si>
  <si>
    <t>P04Prodcom07_PC</t>
  </si>
  <si>
    <t>P04Prodcom08_PC</t>
  </si>
  <si>
    <t>P04Prodcom09_PC</t>
  </si>
  <si>
    <t>P04Prodcom10_PC</t>
  </si>
  <si>
    <t>P05Prodcom01_PC</t>
  </si>
  <si>
    <t>P05Prodcom02_PC</t>
  </si>
  <si>
    <t>P05Prodcom03_PC</t>
  </si>
  <si>
    <t>P05Prodcom04_PC</t>
  </si>
  <si>
    <t>P05Prodcom05_PC</t>
  </si>
  <si>
    <t>P05Prodcom06_PC</t>
  </si>
  <si>
    <t>P05Prodcom07_PC</t>
  </si>
  <si>
    <t>P05Prodcom08_PC</t>
  </si>
  <si>
    <t>P05Prodcom09_PC</t>
  </si>
  <si>
    <t>P05Prodcom10_PC</t>
  </si>
  <si>
    <t>P06Prodcom01_PC</t>
  </si>
  <si>
    <t>P06Prodcom02_PC</t>
  </si>
  <si>
    <t>P06Prodcom03_PC</t>
  </si>
  <si>
    <t>P06Prodcom04_PC</t>
  </si>
  <si>
    <t>P06Prodcom05_PC</t>
  </si>
  <si>
    <t>P06Prodcom06_PC</t>
  </si>
  <si>
    <t>P06Prodcom07_PC</t>
  </si>
  <si>
    <t>P06Prodcom08_PC</t>
  </si>
  <si>
    <t>P06Prodcom09_PC</t>
  </si>
  <si>
    <t>P06Prodcom10_PC</t>
  </si>
  <si>
    <t>P07Prodcom01_PC</t>
  </si>
  <si>
    <t>P07Prodcom02_PC</t>
  </si>
  <si>
    <t>P07Prodcom03_PC</t>
  </si>
  <si>
    <t>P07Prodcom04_PC</t>
  </si>
  <si>
    <t>P07Prodcom05_PC</t>
  </si>
  <si>
    <t>P07Prodcom06_PC</t>
  </si>
  <si>
    <t>P07Prodcom07_PC</t>
  </si>
  <si>
    <t>P07Prodcom08_PC</t>
  </si>
  <si>
    <t>P07Prodcom09_PC</t>
  </si>
  <si>
    <t>P07Prodcom10_PC</t>
  </si>
  <si>
    <t>P08Prodcom01_PC</t>
  </si>
  <si>
    <t>P08Prodcom02_PC</t>
  </si>
  <si>
    <t>P08Prodcom03_PC</t>
  </si>
  <si>
    <t>P08Prodcom04_PC</t>
  </si>
  <si>
    <t>P08Prodcom05_PC</t>
  </si>
  <si>
    <t>P08Prodcom06_PC</t>
  </si>
  <si>
    <t>P08Prodcom07_PC</t>
  </si>
  <si>
    <t>P08Prodcom08_PC</t>
  </si>
  <si>
    <t>P08Prodcom09_PC</t>
  </si>
  <si>
    <t>P08Prodcom10_PC</t>
  </si>
  <si>
    <t>P09Prodcom01_PC</t>
  </si>
  <si>
    <t>P09Prodcom02_PC</t>
  </si>
  <si>
    <t>P09Prodcom03_PC</t>
  </si>
  <si>
    <t>P09Prodcom04_PC</t>
  </si>
  <si>
    <t>P09Prodcom05_PC</t>
  </si>
  <si>
    <t>P09Prodcom06_PC</t>
  </si>
  <si>
    <t>P09Prodcom07_PC</t>
  </si>
  <si>
    <t>P09Prodcom08_PC</t>
  </si>
  <si>
    <t>P09Prodcom09_PC</t>
  </si>
  <si>
    <t>P09Prodcom10_PC</t>
  </si>
  <si>
    <t>P10Prodcom01_PC</t>
  </si>
  <si>
    <t>P10Prodcom02_PC</t>
  </si>
  <si>
    <t>P10Prodcom03_PC</t>
  </si>
  <si>
    <t>P10Prodcom04_PC</t>
  </si>
  <si>
    <t>P10Prodcom05_PC</t>
  </si>
  <si>
    <t>P10Prodcom06_PC</t>
  </si>
  <si>
    <t>P10Prodcom07_PC</t>
  </si>
  <si>
    <t>P10Prodcom08_PC</t>
  </si>
  <si>
    <t>P10Prodcom09_PC</t>
  </si>
  <si>
    <t>P10Prodcom10_PC</t>
  </si>
  <si>
    <t>UK ETS added conditional formatting</t>
  </si>
  <si>
    <t>HeatBmCLProdcom01_PC</t>
  </si>
  <si>
    <t>HeatBmCLProdcom02_PC</t>
  </si>
  <si>
    <t>HeatBmCLProdcom03_PC</t>
  </si>
  <si>
    <t>HeatBmCLProdcom04_PC</t>
  </si>
  <si>
    <t>HeatBmCLProdcom05_PC</t>
  </si>
  <si>
    <t>HeatBmCLProdcom06_PC</t>
  </si>
  <si>
    <t>HeatBmCLProdcom07_PC</t>
  </si>
  <si>
    <t>HeatBmCLProdcom08_PC</t>
  </si>
  <si>
    <t>HeatBmCLProdcom09_PC</t>
  </si>
  <si>
    <t>HeatBmCLProdcom10_PC</t>
  </si>
  <si>
    <t>HeatBmNCLProdcom01_PC</t>
  </si>
  <si>
    <t>HeatBmNCLProdcom02_PC</t>
  </si>
  <si>
    <t>HeatBmNCLProdcom03_PC</t>
  </si>
  <si>
    <t>HeatBmNCLProdcom04_PC</t>
  </si>
  <si>
    <t>HeatBmNCLProdcom05_PC</t>
  </si>
  <si>
    <t>HeatBmNCLProdcom06_PC</t>
  </si>
  <si>
    <t>HeatBmNCLProdcom07_PC</t>
  </si>
  <si>
    <t>HeatBmNCLProdcom08_PC</t>
  </si>
  <si>
    <t>HeatBmNCLProdcom09_PC</t>
  </si>
  <si>
    <t>HeatBmNCLProdcom10_PC</t>
  </si>
  <si>
    <t>HeatBmCLProdName01_PC</t>
  </si>
  <si>
    <t>HeatBmCLProdName02_PC</t>
  </si>
  <si>
    <t>HeatBmCLProdName03_PC</t>
  </si>
  <si>
    <t>HeatBmCLProdName04_PC</t>
  </si>
  <si>
    <t>HeatBmCLProdName05_PC</t>
  </si>
  <si>
    <t>HeatBmCLProdName06_PC</t>
  </si>
  <si>
    <t>HeatBmCLProdName07_PC</t>
  </si>
  <si>
    <t>HeatBmCLProdName08_PC</t>
  </si>
  <si>
    <t>HeatBmCLProdName09_PC</t>
  </si>
  <si>
    <t>HeatBmCLProdName10_PC</t>
  </si>
  <si>
    <t>Need to use string values not Boolean</t>
  </si>
  <si>
    <t>Old cessation rule was that the year after the date of cessation, FAs would be zero and for all years after. The cessation year and flag would be shown on sheet K in the sub-installation sections.
For the new rule, the old rule can stay in tacked as it is still functionally valid. We have new tables at the end of sheet K that work out and apply the final year rule adjustment</t>
  </si>
  <si>
    <t xml:space="preserve">(a) The rules on free allocation are contained within Commission Delegated Regulation (EU) 2019/331 of 19 December 2018 as it forms part of domestic law. This Regulation is known as the Free Allocation Regulation (the FAR).															</t>
  </si>
  <si>
    <t>(c) The Monitoring and Reporting Regulation (MRR 2018) (Commission Implementing Regulation (EU) 2018/2066 of 19 December 2018) refers to the monitoring and reporting of greenhouse gas emissions pursuant to Directive 2003/87/EC of the European Parliament and of the Council (disregarding any amendments adopted after 11th November 2020) as given effect for the purpose of the UK ETS by article 24 of the Order and subject to the modifications made by Schedules 4, 7 and 8 to the Order.</t>
  </si>
  <si>
    <t>Dark orange fields indicate that input is mandatory but should only be made by the regulator, or by the operator if instructed by the regulator to do so.</t>
  </si>
  <si>
    <t>This report must be verified and submitted to your regulator using the activity level report workflow in the METS platform.</t>
  </si>
  <si>
    <t>This section relates to your application for free allocation of allowances under the UK ETS for the period 2027–2030, in accordance with Article 4 of the FAR.</t>
  </si>
  <si>
    <t>You should use this template as the new entrant data report if you wish to apply for a free allocation of allowances under article 5 of the FAR. This report must be verified and submitted to your regulator with a copy of your monitoring methodology plan (MMP).</t>
  </si>
  <si>
    <t>You should be aware that under the provisions of the Freedom of Information Act 2000 and regulations made under it, your environmental regulator, OPRED, NRW and NIEA may be obliged to disclose information even where the applicant requests that it is kept confidential.</t>
  </si>
  <si>
    <t xml:space="preserve">Please tick this box if you consider any part of your form should be treated as commercially confidential or sensitive. If you have ticked this box, kindly specify which sections of the ALR you consider to be commercially confidential or sensitive in section II of 'J_Comments'. </t>
  </si>
  <si>
    <t>Linear factor referred to in Article 16a of the FAR:</t>
  </si>
  <si>
    <t>Linear factor for installations covered by Article 10a (3) of the FAR</t>
  </si>
  <si>
    <t>Linear factor referred to in Article 18a of the FAR:</t>
  </si>
  <si>
    <t>Cross-sectoral correction factor (CSCF) in accordance with Article 16a of the FAR:</t>
  </si>
  <si>
    <t>For installations not covered by Article 16a, the CSCF displayed in point (b) will be applied for each year.</t>
  </si>
  <si>
    <t>Calculation in accordance with Articles 5 and 6 of the ALCR:</t>
  </si>
  <si>
    <t xml:space="preserve">      </t>
  </si>
  <si>
    <t>Operators meeting both of the following conditions can seek to explain their AAL decrease as occurring during to EE improvements:</t>
  </si>
  <si>
    <t>UkA</t>
  </si>
  <si>
    <t>The reporting year refers to the calendar year in which the report is submitted. For example, a report submitted in 2026 will typically include data from the preceding year, 2025.
For the calculation of Average Activity Levels (AALs), data from both 2024 and 2025 will be considered. Two years of data are required, particularly for Type 2 incumbents that have not previously submitted an Activity Level Report (ALR).</t>
  </si>
  <si>
    <t>All operations have ceased to be carried out at one or more sub-installations:</t>
  </si>
  <si>
    <t>Based on the version of the template, the cells in this sheet will be of the following format, where the information is contained in the summary to c_ALR2025</t>
  </si>
  <si>
    <t xml:space="preserve">Your UK Registry ID is the last 7 digit of the Unique ID. E.g. 1000001". If your installation received free allocation in the previous phase to ‘allocation period of the UK ETS, please ensure that the Unique ID is identical to the one in the previous phase. </t>
  </si>
  <si>
    <t xml:space="preserve">Is the installation defined as an 'electricity generator' under Article 2c(3) of the FAR? </t>
  </si>
  <si>
    <t>Is this installation considered as covered by Article 2a of the FAR?</t>
  </si>
  <si>
    <t>If the installation is covered by article 2a of the FAR as an electricity generator, pursuant to article 16 of the FAR, the allocation of such installations will be reduced by applying the linear factor.</t>
  </si>
  <si>
    <t>If your installation is not in receipt of FA under Article 4 of the FAR, there is no obligation to report further detailed data in the following data sheets. It is only mandatory to complete this sheet ("A_InstallationData").</t>
  </si>
  <si>
    <t xml:space="preserve">If no further data is to be reported, there is also no need for verification of this report. </t>
  </si>
  <si>
    <t xml:space="preserve"> Confirmation of eligibility for free allocation:</t>
  </si>
  <si>
    <t>Period choosen:</t>
  </si>
  <si>
    <t>You must provide the following information where all operations have ceased at a sub-installation, regardless of whether the cessation is temporary or permanent.
The information that must be provided is:
(a) the date of the cessation; 
(b) whether or not you intend for operations to resume at the sub-installation; 
(c) where you intend for operations to resume at the sub-installation, each of the following: 
       (i) the date by which you expect those operations to resume; 
       (ii) whether : 
               (aa) the sub-installation is technically capable of resuming those operations without physical changes being made; or 
               (bb) you intend for the technical capability required for those operations to resume to be restored at the sub-installation.
Further information can be found in guidance document UKETS16A ("Guidance for installations ceasing operation").</t>
  </si>
  <si>
    <t xml:space="preserve">This is the date on which operations were last carried out at the sub-installation. </t>
  </si>
  <si>
    <t xml:space="preserve">Please provide the reason for the cessation, if relevant. </t>
  </si>
  <si>
    <t xml:space="preserve">Please select true if operations are intended to resume at the sub-installation. Please select false if cessation of operations at the sub-installation is permanent. </t>
  </si>
  <si>
    <t xml:space="preserve">If operations at the sub-installation are planned to resume in the future, enter the date operations are planned to resume. </t>
  </si>
  <si>
    <t xml:space="preserve">Please select true if the sub-installation is technically capable of resuming operations without physical changes being made or you intend for that technical capability to be restored. Please select false if the sub-installation is not technically capable of resuming operations without physical changes and you do not intend to restore that technical capability. </t>
  </si>
  <si>
    <t>Date temporary cessation became permanent</t>
  </si>
  <si>
    <t>If you have selected "Manual entry" in section A.II, input here is mandatory. Otherwise, this section is optional, unless new sub-installations are relevant. Please use the baseline data report cell references as a guide to locate the information you need to input into this section.</t>
  </si>
  <si>
    <t>For type 1 incumbents, the first occurrence of that value is in the baseline data report, summary sheet K, cell F481.
For type 2 incumbents, the 2023 activity level value must be used, the first occurance of that value is in the baseline data report, summary sheet K, cell M477.</t>
  </si>
  <si>
    <t>The first occurrence of that value is in the baseline data report, summary sheet K, cell G474.</t>
  </si>
  <si>
    <t>The first occurrence of that value is in the baseline data report, summary sheet K, cell H474.</t>
  </si>
  <si>
    <t>The first occurrence of that value is in the baseline data report, summary sheet K, cell I474.</t>
  </si>
  <si>
    <t>The first occurrence of that value is in the baseline data report, summary sheet K, cell J474.</t>
  </si>
  <si>
    <t>The first occurrence of that value is in the baseline data report, summary sheet K, cell K474.</t>
  </si>
  <si>
    <t>If entries have to be made here, please carefully ensure that the rounding is consistent with the values in your baseline data report. Please note that in that baseline report rounding to the nearest tonne is only made for the allocation. For all other parameters which are to be entered here, the rounding displayed there might not be the actual digits used. It is therefore recommended to copy "values" from the BDR in here cell by cell. If any other parameters are required, please contact your regulator for guidance.</t>
  </si>
  <si>
    <t>Result: Initial BDR allocation parameters</t>
  </si>
  <si>
    <t>This question applies to all installations and is not directly related to whether the installation is an "electricity generator" within the meaning of Article 2c of the FAR. The remainder of this Section is only relevant for installations that produce electricity (i.e. those that have selected True in (a)).</t>
  </si>
  <si>
    <t>Plausibility check: Sum of electricity input in sheet "F_ProductBM" for exchangability of electricity</t>
  </si>
  <si>
    <t>Based on the values for HAL and those entered under point a) above, the average activity levels are determined here. The values are automatically generated and are subject to assessment by the regulator and approval by the UK ETS authority. The allocation will only be changed if all of the following thresholds in Article 5 of the ALC Regulation are exceeded:</t>
  </si>
  <si>
    <t>the relative thresholds (15% for the first change and for subsequent changes the next 5% interval, e.g., 20%, 25%, etc.) of the average activity level compared to the HAL</t>
  </si>
  <si>
    <t>Per Art 3(2) ALCR, the ALR only needs to contain information on each of the parameters listed in Annex IV, section 2.7(c) of the FAR. Please provide here the amount of transferred CO2 imported from or exported to other sub-installations, installations or other entities, in line with the rules set out in the MRR.</t>
  </si>
  <si>
    <t>Sum of exchangable electricity for corroboration use in sheet "E_EnergyFlows":</t>
  </si>
  <si>
    <t>Based on the values for HAL and those under point a) above, the average activity levels are determined here. The values are automatically generated and are subject to assessment by the regulator and approval by the UK ETS authority. The allocation will only be changed if all of the following thresholds in Articles 5 and 6 of the ALC Regulation are exceeded:</t>
  </si>
  <si>
    <t xml:space="preserve">For applications to the NER, preliminary allocation means the preliminary annual number of emission allowances allocated free of charge in accordance with Article 18 of the FAR, i.e. after application of the CL exposure factor, but before linear factor or cross-sectoral correction factor are applied.
For adjustments due to the ALCR, preliminary allocation means the indicative number of emission allowances allocated free of charge adjusted, where relevant, for changes in activity levels or other applicable parameters or factors and after application of the CL exposure factor, but before linear factor or cross-sectoral correction factor are applied. </t>
  </si>
  <si>
    <t>Disclaimer: The figures for the free allocation adjustments are indicative only and should not be relied on. This template automatically calculates indicative figures based on information submitted throughout the template, but any free allocation adjustment will be assessed by the regulators and sent to the UK ETS Authority for approval. The figures are therefore not final until the UK ETS Authority approves the figures or make corrections to them.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</si>
  <si>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Dont touch!</t>
  </si>
  <si>
    <t>In this section you can see a summary of preliminary allocation values for the years 2026,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</si>
  <si>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The amounts displayed here reflect the calculation of preliminary annual number of allowances allocated free of charge in accordance with article 18 of the FAR or adjusted in accordance with articles 5 and 6 of the ALCR.
The factors referred to in Annex V to the FAR (referred to as "Carbon leakage factor" below) have already been applied. Pursuant to article 16(3) of the FAR, for the district heating sub-installation this factor will be 0.3 for all years.</t>
  </si>
  <si>
    <t>Calculation in accordance with Article 18 of the FAR and Article 5 and 6 of the ALC-R:</t>
  </si>
  <si>
    <t>Linear reduction factor referred to in Article 16a of the FAR</t>
  </si>
  <si>
    <t>Linear reduction factor referred to in Article 18a of the FAR:</t>
  </si>
  <si>
    <t>Calculation in accordance with Articles Article 18a of the FAR and Articles 5 &amp; 6 of the ALCR</t>
  </si>
  <si>
    <t>The amounts displayed here reflect the calculation of the final total amount of allowances allocated free of charge in accordance with Article 18a of the FAR and Articles 5 and 6 of the ALCR, i.e. allocation values with either the linear factor or the cross-sectoral correction factor applied as appropriate (i.e. the result of point (c) above).</t>
  </si>
  <si>
    <t>Permanent cessation of sub-installations - adjustments to free allocation for final year of operation.</t>
  </si>
  <si>
    <t>The figures in the table below show the total amount of free allocation for each relevant sub-installation which have been adjusted in accordance with Article 3za of the ALCR, to take account of activity levels in the final year of operation.
If there are no sub-installations that have permanently ceased operation, the values are the same as (e) above.</t>
  </si>
  <si>
    <t>The amounts displayed here are the preliminary number of allowances allocated free of charge for sub-installations that have permanently ceased operation before the adjustment in the final FA year.</t>
  </si>
  <si>
    <t>The amounts displayed here are the final number of allowances allocated free of charge for sub-installations that have permanently ceased operation and calculated in accordance with  Article 3za of the ALCR.</t>
  </si>
  <si>
    <t xml:space="preserve">Note the way ALR works is it gives full FAs for the </t>
  </si>
  <si>
    <t>Need to use the exchangability FA calculation not just the standard calc. look at the table at the bottom of each product e.g. 1077 to 1084. looks like that are a combination of allowances to subtract and adjustments to multiple to arrive at the FA.</t>
  </si>
  <si>
    <t>If operations at a sub-installation had temporarily ceased in a scheme year, and the cessation of operations became permanent in a subsequent scheme year, please provide the date on which the cessation became permanent.</t>
  </si>
  <si>
    <t>(b) The UK ETS is given effect by the 'UK ETS Order’, which is the Greenhouse Gas Emissions Trading Scheme Order 2020.</t>
  </si>
  <si>
    <t>LinkMode_J</t>
  </si>
  <si>
    <t>NewestPermitDate_J</t>
  </si>
  <si>
    <t>FirstPermitID_J</t>
  </si>
  <si>
    <t>FirstPermitDate_J</t>
  </si>
  <si>
    <t>NewestPermitID_J</t>
  </si>
  <si>
    <t>OperatorPostcode_J</t>
  </si>
  <si>
    <t>VerifierPostcode_J</t>
  </si>
  <si>
    <t>TechnicalConnetionRegistryID1_F</t>
  </si>
  <si>
    <t>TechnicalConnetionRegistryID2_F</t>
  </si>
  <si>
    <t>TechnicalConnetionRegistryID3_F</t>
  </si>
  <si>
    <t>TechnicalConnetionRegistryID4_F</t>
  </si>
  <si>
    <t>TechnicalConnetionRegistryID5_F</t>
  </si>
  <si>
    <t>TechnicalConnetionRegistryID6_F</t>
  </si>
  <si>
    <t>TechnicalConnetionRegistryID7_F</t>
  </si>
  <si>
    <t>TechnicalConnetionRegistryID8_F</t>
  </si>
  <si>
    <t>TechnicalConnetionRegistryID9_F</t>
  </si>
  <si>
    <t>TechnicalConnetionRegistryID10_F</t>
  </si>
  <si>
    <t>Used by UK ETS data extract</t>
  </si>
  <si>
    <t>SubInstallation1StartDate_I</t>
  </si>
  <si>
    <t>SubInstallation2StartDate_I</t>
  </si>
  <si>
    <t>SubInstallation3StartDate_I</t>
  </si>
  <si>
    <t>SubInstallation4StartDate_I</t>
  </si>
  <si>
    <t>SubInstallation5StartDate_I</t>
  </si>
  <si>
    <t>SubInstallation6StartDate_I</t>
  </si>
  <si>
    <t>SubInstallation7StartDate_I</t>
  </si>
  <si>
    <t>SubInstallation8StartDate_I</t>
  </si>
  <si>
    <t>SubInstallation9StartDate_I</t>
  </si>
  <si>
    <t>SubInstallation10StartDate_I</t>
  </si>
  <si>
    <t>SubInstallation1_U</t>
  </si>
  <si>
    <t>SubInstallation2_U</t>
  </si>
  <si>
    <t>SubInstallation3_U</t>
  </si>
  <si>
    <t>SubInstallation4_U</t>
  </si>
  <si>
    <t>SubInstallation5_U</t>
  </si>
  <si>
    <t>SubInstallation6_U</t>
  </si>
  <si>
    <t>SubInstallation7_U</t>
  </si>
  <si>
    <t>SubInstallation8_U</t>
  </si>
  <si>
    <t>SubInstallation9_U</t>
  </si>
  <si>
    <t>SubInstallation10_U</t>
  </si>
  <si>
    <t>DistrictSubInstallationStartDate_I</t>
  </si>
  <si>
    <t>HeatSubInstallationNClStartDate_I</t>
  </si>
  <si>
    <t>FuelSubInstallationClStartDate_I</t>
  </si>
  <si>
    <t>FuelSubInstallationNClStartDate_I</t>
  </si>
  <si>
    <t>ProcessSubInstallationClStartDate_I</t>
  </si>
  <si>
    <t>ProcessSubInstallationNClStartDate_I</t>
  </si>
  <si>
    <t>HeatSubInstallationClStartDate_I</t>
  </si>
  <si>
    <t>HeatSubInstallationClUsed_U</t>
  </si>
  <si>
    <t>HeatSubInstallationNClUsed_U</t>
  </si>
  <si>
    <t>DistrictSubInstallationUsed_U</t>
  </si>
  <si>
    <t>FuelSubInstallationClUsed_U</t>
  </si>
  <si>
    <t>FuelSubInstallationNClUsed_U</t>
  </si>
  <si>
    <t>ProcessSubInstallationClUsed_U</t>
  </si>
  <si>
    <t>ProcessSubInstallationNClUsed_U</t>
  </si>
  <si>
    <t>TechnicalConnection1_FIKM*</t>
  </si>
  <si>
    <t>TechnicalConnection2_FIKM*</t>
  </si>
  <si>
    <t>TechnicalConnection3_FIKM*</t>
  </si>
  <si>
    <t>TechnicalConnection4_FIKM*</t>
  </si>
  <si>
    <t>TechnicalConnection5_FIKM*</t>
  </si>
  <si>
    <t>TechnicalConnection6_FIKM*</t>
  </si>
  <si>
    <t>TechnicalConnection7_FIKM*</t>
  </si>
  <si>
    <t>TechnicalConnection8_FIKM*</t>
  </si>
  <si>
    <t>TechnicalConnection9_FIKM*</t>
  </si>
  <si>
    <t>TechnicalConnection10_FIKM*</t>
  </si>
  <si>
    <t>SubInstallation1_GHKLMN*</t>
  </si>
  <si>
    <t>SubInstallation3_GHKLMN*</t>
  </si>
  <si>
    <t>SubInstallation2_GHKLMN*</t>
  </si>
  <si>
    <t>SubInstallation4_GHKLMN*</t>
  </si>
  <si>
    <t>SubInstallation5_GHKLMN*</t>
  </si>
  <si>
    <t>SubInstallation6_GHKLMN*</t>
  </si>
  <si>
    <t>SubInstallation7_GHKLMN*</t>
  </si>
  <si>
    <t>SubInstallation8_GHKLMN*</t>
  </si>
  <si>
    <t>SubInstallation9_GHKLMN*</t>
  </si>
  <si>
    <t>SubInstallation10_GHKLMN*</t>
  </si>
  <si>
    <t>HeatSubInstallationCl_GHKLMN*</t>
  </si>
  <si>
    <t>HeatSubInstallationNCl_GHKLMN*</t>
  </si>
  <si>
    <t>DistrictSubInstallation_GHKLMN*</t>
  </si>
  <si>
    <t>FuelSubInstallationCl_GHKLMN*</t>
  </si>
  <si>
    <t>FuelSubInstallationNCl_GHKLMN*</t>
  </si>
  <si>
    <t>ProcessSubInstallationCl_GHKLMN*</t>
  </si>
  <si>
    <t>ProcessSubInstallationNCl_GHKLMN*</t>
  </si>
  <si>
    <t>SubInstallation1_IJKLMN*</t>
  </si>
  <si>
    <t>SubInstallation2_IJKLMN*</t>
  </si>
  <si>
    <t>SubInstallation3_IJKLMN*</t>
  </si>
  <si>
    <t>SubInstallation4_IJKLMN*</t>
  </si>
  <si>
    <t>SubInstallation5_IJKLMN*</t>
  </si>
  <si>
    <t>SubInstallation6_IJKLMN*</t>
  </si>
  <si>
    <t>SubInstallation7_IJKLMN*</t>
  </si>
  <si>
    <t>SubInstallation8_IJKLMN*</t>
  </si>
  <si>
    <t>SubInstallation9_IJKLMN*</t>
  </si>
  <si>
    <t>SubInstallation10_IJKLMN*</t>
  </si>
  <si>
    <t>HeatSubInstallationClHal_I</t>
  </si>
  <si>
    <t>HeatSubInstallationNClHal_I</t>
  </si>
  <si>
    <t>DistrictSubInstallationHal_I</t>
  </si>
  <si>
    <t>FuelSubInstallationClHal_I</t>
  </si>
  <si>
    <t>FuelSubInstallationNClHal_I</t>
  </si>
  <si>
    <t>ProcessSubInstallationClHal_I</t>
  </si>
  <si>
    <t>ProcessSubInstallationNClHal_I</t>
  </si>
  <si>
    <t>TotalCO2Emissions_^</t>
  </si>
  <si>
    <t>BiomassEmission_^</t>
  </si>
  <si>
    <t>N2OEmissions_^</t>
  </si>
  <si>
    <t>PFCEmissions_^</t>
  </si>
  <si>
    <t>TransferredCo2Exported_^</t>
  </si>
  <si>
    <t>TotalEnergyFromFuels_^</t>
  </si>
  <si>
    <t>(c) The rules on activity level changes are contained in Commission Implementing Regulation (EU) 2019/1842 of 31 October 2019 as it forms part of domestic law. This Regulation is known as the Activity Level Changes Regulation (the ALCR)</t>
  </si>
  <si>
    <t>(d) The Monitoring and Reporting Regulation (MRR 2018) refers to Commission Implementing Regulation (EU) 2018/2066 of 19 December 2018 (disregarding any amendments adopted after 11th November 2020) as given effect for the purpose of the UK ETS by article 24 of the Order and subject to the modifications made by Schedule 4 to the Order.</t>
  </si>
  <si>
    <t xml:space="preserve">Please note that, whilst the sections referring to the determination of the benchmark improvement rate are not required to be completed, you may find it useful to complete these sections each year.            </t>
  </si>
  <si>
    <t xml:space="preserve">The section titled “c_ALR2025” contains the information drawn from the 2025 ALR and references Article 3 of the ALCR. Information in this section will prepopulate the data for the 2024 scheme year. </t>
  </si>
  <si>
    <t>Regulated activities as defined in paragraph 3(1) of Schedule 2 to the UK ETS Order</t>
  </si>
  <si>
    <t>Emissions associated with exported waste gases in accordance with section 10.1.5 of Annex VII to the FAR by deducting the energy content multiplied with the emission factor of natural gas and the default correction factor of 0.667.</t>
  </si>
  <si>
    <t>The rolling average of two years as referred to Art. 2(1) of the ALCR for activity levels, and to Art. 6(4) for other parameters.</t>
  </si>
  <si>
    <t>If TRUE the rolling average will be calculated for any allocation adjustments. If FALSE, Art. 4(2) of the ALCR applies.</t>
  </si>
  <si>
    <t>If FALSE the (sub)-installation has ceased in the year before and the allocation will be adjusted to zero, pursuant to Art. 5(4) of the ALCR.</t>
  </si>
  <si>
    <t>Criterion 5: Regulator decision relevant?</t>
  </si>
  <si>
    <t>Criterion 6: Regulator non-rejection?</t>
  </si>
  <si>
    <t>Preliminary annual number of emission allowances allocated free of charge for the first year of the period in accordance with Article 16(6) of the FAR, i.e. after application of the CL exposure factor and any adjustments due to the ALCR, but before linear factor or cross-sectoral correction factor are applied.</t>
  </si>
  <si>
    <t>In this section you can see a summary of preliminary allocation values for the years 2021 to 2025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</si>
  <si>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Disclaimer: The results displayed here are indicative only and reflect the requirements according to Article 16(1) of the FAR and Articles 5 and 6 of the ALCR.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</si>
  <si>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Calculation in accordance with Article 16(1) to (7) of the FAR and Article 5 and 6 of the ALCR:</t>
  </si>
  <si>
    <t>The amounts displayed here reflect the calculation of the final total amount of allowances allocated free of charge in accordance with Articles 5 and 6 of the ALCR, i.e. allocation values with either the linear factor or the cross-sectoral correction factor applied as appropriate (i.e. the result of point (c) above).</t>
  </si>
  <si>
    <t>Based on the values for HAL and those entered under point a) above, the average activity levels are determined here. The allocation will only be changed if all of the following thresholds in Article 5 of the ALC Regulation are exceeded.</t>
  </si>
  <si>
    <t>the relative thresholds (15% compared to HAL and moving into the next 5% interval for subsequent changes )</t>
  </si>
  <si>
    <t>Based on the entries above, the average annual values of the values under i. are determined here. The allocation will only be changed if the relative threshold (15% compared to HAL) and the absolute threshold (change leads to more than 100 allowances) set out in Article 6(4) of the ALC Regulation are exceeded.</t>
  </si>
  <si>
    <t>Sub-installation with benchmark:</t>
  </si>
  <si>
    <t>This includes electricity that is produced directly from this sub-installation as required by Annex IV, section 2.5(f) of Annex IV the FAR. Any electricity that is produced via intermediate measurable heat should not be listed here but under export of measurable heat under (k).v. above.</t>
  </si>
  <si>
    <t>The name of the benchmark sub-installation is displayed automatically based in the inputs in sheet "A_InstallationData".</t>
  </si>
  <si>
    <t>the relative thresholds (15% compared to HAL and moving into the next 5% interval for subsequent changes.)</t>
  </si>
  <si>
    <t>the relative thresholds (15% compared to HAL and moving into the next 5% interval for subsequent changes).</t>
  </si>
  <si>
    <t>Based on the entries above, the average annual values of the values under i. are determined here. The allocation will only be changed if the relative threshold (15% compared to HAL and moving into the next 5% interval for subsequent changes) and the absolute threshold (change leads to more than 100 allowances) set out in Article 6(4) of the ALC Regulation are exceeded.</t>
  </si>
  <si>
    <t>This includes electricity that is produced directly from this sub-installation as required by Annex IV, section 2.5(f) of annex IV to the FAR. Any electricity that is produced via intermediate measurable heat should not be listed here but under export of measurable heat under (k).v. above.</t>
  </si>
  <si>
    <t>the relative thresholds (15% compared to HAL and moving into the next 5% interval for subsequent changes)</t>
  </si>
  <si>
    <t>This includes electricity that is produced directly from this sub-installation as required by Annex IV, section 2.5(F) of annex IV to the FAR. Any electricity that is produced via intermediate measurable heat should not be listed here but under export of measurable heat under (k).v. above.</t>
  </si>
  <si>
    <t>Is there any import or export of intermediate products covered by benchmarks?</t>
  </si>
  <si>
    <t>This includes the total amount of heat either produced in, imported from or exported to (sub-)installations covered by the UK ETS or from installations or entities not covered by the EU ETS. The specific emission factors (EF) associated with the heat should take into account the provisions in FAR Annex VII sections 8 and 10, in particular sections 10.1.2 and 10.1.3 thereof.</t>
  </si>
  <si>
    <t>Based on the values for HAL and those under point a) above, the average activity levels are determined here. The allocation will only be changed if all of the following thresholds in Articles 5 and 6 of the ALC Regulation are exceeded.</t>
  </si>
  <si>
    <t>Do not include here any heat imports from "non-eligible" sources, i.e. installations not covered by the UK ETS Authority, or heat produced in nitric acid sub-installations.</t>
  </si>
  <si>
    <t xml:space="preserve">                   </t>
  </si>
  <si>
    <t xml:space="preserve">Data required for determining benchmarks </t>
  </si>
  <si>
    <t xml:space="preserve">Please enter here the measurable heat produced pursuant to section 2.5(f) of Annex IV of the FAR. </t>
  </si>
  <si>
    <t xml:space="preserve">                    </t>
  </si>
  <si>
    <t xml:space="preserve">                            </t>
  </si>
  <si>
    <t xml:space="preserve">               </t>
  </si>
  <si>
    <t xml:space="preserve">              </t>
  </si>
  <si>
    <t>Based on the entries above, the average annual values of the values under i. are determined here. The allocation will only be changed if the relative threshold (15% compared to Hal and moving into the next 5% interval for subsequent changes) and the absolute threshold (change leads to more than 100 allowances) set out in Article 6(4) of the ALC Regulation are exceeded.</t>
  </si>
  <si>
    <t>Change compared to the HAL</t>
  </si>
  <si>
    <t>An incumbent installation is defined as:</t>
  </si>
  <si>
    <t>an installation for which a deemed application for FA in the 2021-2025 allocation period was made  or</t>
  </si>
  <si>
    <t xml:space="preserve">an installation is a 2026 incumbent where they received FA in the 2021-2025 allocation period or where they completed the first stage FA application under Article 4 of the FAR </t>
  </si>
  <si>
    <t>For the 2026 scheme year and 2027-2030 allocation period, as per article 2c(3) of the FAR, ‘electricity generator’ is defined as an installation that, during the baseline period of 2019-2023, has produced electricity for sale to third parties, and in which the only regulated activity carried out at the installation is the combustion of fuels (apart from the activities in article 2a(8) of the FAR). If you are an electricity generator in accordance with article 2c of the FAR and submitted the declaration required by article 2b of the FAR, you should select FALSE to this question.</t>
  </si>
  <si>
    <t>If the answers to points (a) and (b) are both negative, or if the answer to point (d) is positive, the installation can be considered as eligible for free allocation under Article 4 of the FAR. If relevant for your installation, please confirm here that you apply for a free allocation of allowances under Article 4 of the FAR.</t>
  </si>
  <si>
    <t>This table shows the allocation relevant parameters as for the BDR, before any allocation changes due to the ALCR rules. For new entrants or new sub-installations, values will always be zero here.</t>
  </si>
  <si>
    <t>Average annual activity level (NIMS value)</t>
  </si>
  <si>
    <t>Based on the entries above, the average annual values of the values under i. are determined here. The allocation will only be changed if the relative threshold (15% compared to HAL) and the absolute threshold (change leads to more than 100 allowances) set out in Article 6(4) of the ALCR Regulation are exceeded.</t>
  </si>
  <si>
    <t>the relative thresholds (the relative thresholds (15% compared to HAL and moving into the next 5% interval for subsequent changes)</t>
  </si>
  <si>
    <t>Value</t>
  </si>
  <si>
    <t>Based on the entries above, the average annual values of the values under i. are determined here. The allocation will only be changed if the relative threshold (15% compared to the HAL) and the absolute threshold (change leads to more than 100 allowances) set out in Article 6(4) of the ALCR Regulation are exceeded.</t>
  </si>
  <si>
    <t>Based on the entries above, the average annual values of the values under i. are determined here. The allocation will only be changed if the relative threshold (15% compared to the HAL) and the absolute threshold (change leads to more than 100 allowances) set out in Article 6(4) of the ALC Regulation are exceeded.</t>
  </si>
  <si>
    <t xml:space="preserve">                                        </t>
  </si>
  <si>
    <t xml:space="preserve">                                                        </t>
  </si>
  <si>
    <t>This is the final result taking into account any energy efficiency changes as well as the regulator decision, if relevant.</t>
  </si>
  <si>
    <t xml:space="preserve">Please enter here the measurable heat produced pursuant to section 2s of Annex IV of the FAR. </t>
  </si>
  <si>
    <t xml:space="preserve">                                                                            </t>
  </si>
  <si>
    <t xml:space="preserve">                                    </t>
  </si>
  <si>
    <t>Entries here are required for all years if ALL of the following conditions apply:</t>
  </si>
  <si>
    <t xml:space="preserve">                     </t>
  </si>
  <si>
    <t>Data required for determining benchmark</t>
  </si>
  <si>
    <t xml:space="preserve">                 </t>
  </si>
  <si>
    <t xml:space="preserve">                       </t>
  </si>
  <si>
    <t xml:space="preserve">                              </t>
  </si>
  <si>
    <t xml:space="preserve">                         </t>
  </si>
  <si>
    <t>Based on the entries above, the average annual values of the values under i. are determined here. The allocation will only be changed if the relative threshold (15% compared to HAL) and the absolute threshold (change leads to more than 100 allowances) set out in article 6(4) of the ALC Regulation are exceeded.</t>
  </si>
  <si>
    <t>Verification report as required by Article 3(3) of the ALCR (mandatory):</t>
  </si>
  <si>
    <t>The Greenhouse Gas Emissions Trading Scheme Order 2020</t>
  </si>
  <si>
    <t>The operator of this installation confirms that the installation is not eligible for free allocation under Article 2a of the FAR is hereby filed</t>
  </si>
  <si>
    <t>The operator of this installation confirms that an application for free allocation under Article 4 of the FAR is hereby filed.</t>
  </si>
  <si>
    <t>ALR2026 specific template R13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</si>
</sst>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0\ &quot;€&quot;;\-#,##0.00\ &quot;€&quot;"/>
    <numFmt numFmtId="169" formatCode="#,##0_ ;[Red]\-#,##0\ "/>
    <numFmt numFmtId="170" formatCode="#,##0.00_ ;[Red]\-#,##0.00\ "/>
    <numFmt numFmtId="171" formatCode="0.0000"/>
    <numFmt numFmtId="172" formatCode="0.000"/>
    <numFmt numFmtId="173" formatCode="0.0"/>
    <numFmt numFmtId="174" formatCode="0.0%"/>
    <numFmt numFmtId="175" formatCode="#,##0.000_ ;[Red]\-#,##0.000\ "/>
    <numFmt numFmtId="176" formatCode="#,##0.0000_ ;[Red]\-#,##0.0000\ "/>
    <numFmt numFmtId="177" formatCode="#,##0.000"/>
    <numFmt numFmtId="178" formatCode="#,##0_ ;\-#,##0\ "/>
    <numFmt numFmtId="179" formatCode="#,##0.0000"/>
    <numFmt numFmtId="180" formatCode="_(* #,##0.0_);_(* \(#,##0.0\);_(* &quot;-&quot;?_);@_)"/>
    <numFmt numFmtId="181" formatCode="_-* #,##0.00\ _€_-;\-* #,##0.00\ _€_-;_-* &quot;-&quot;??\ _€_-;_-@_-"/>
    <numFmt numFmtId="182" formatCode="_-* #,##0\ _F_-;\-* #,##0\ _F_-;_-* &quot;-&quot;\ _F_-;_-@_-"/>
    <numFmt numFmtId="183" formatCode="_-* #,##0.00\ _F_-;\-* #,##0.00\ _F_-;_-* &quot;-&quot;??\ _F_-;_-@_-"/>
    <numFmt numFmtId="184" formatCode="_-* #,##0\ _z_³_-;\-* #,##0\ _z_³_-;_-* &quot;-&quot;\ _z_³_-;_-@_-"/>
    <numFmt numFmtId="185" formatCode="_-* #,##0.00\ _z_³_-;\-* #,##0.00\ _z_³_-;_-* &quot;-&quot;??\ _z_³_-;_-@_-"/>
    <numFmt numFmtId="186" formatCode="_-* #,##0.00\ &quot;€&quot;_-;\-* #,##0.00\ &quot;€&quot;_-;_-* &quot;-&quot;??\ &quot;€&quot;_-;_-@_-"/>
    <numFmt numFmtId="187" formatCode="[Black]General;[Black]General;[Black]General;[Black]General"/>
    <numFmt numFmtId="188" formatCode="#,##0.0000_)"/>
    <numFmt numFmtId="189" formatCode="&quot;0&quot;0"/>
    <numFmt numFmtId="190" formatCode="#,##0.00;[Red]#,##0.00&quot;-&quot;"/>
    <numFmt numFmtId="191" formatCode="#,##0.00000000000000"/>
    <numFmt numFmtId="192" formatCode="_-* #,##0.00\ _z_ł_-;\-* #,##0.00\ _z_ł_-;_-* &quot;-&quot;??\ _z_ł_-;_-@_-"/>
    <numFmt numFmtId="193" formatCode="#,##0.0_);[Red]\(#,##0.0\)"/>
    <numFmt numFmtId="194" formatCode="#,##0.000000000000"/>
    <numFmt numFmtId="195" formatCode="#,##0.00000000000"/>
    <numFmt numFmtId="196" formatCode="_(&quot;$&quot;* #,##0_);_(&quot;$&quot;* \(#,##0\);_(&quot;$&quot;* &quot;-&quot;_);_(@_)"/>
    <numFmt numFmtId="197" formatCode="_(&quot;$&quot;* #,##0.00_);_(&quot;$&quot;* \(#,##0.00\);_(&quot;$&quot;* &quot;-&quot;??_);_(@_)"/>
    <numFmt numFmtId="198" formatCode="0.00000000000000000"/>
    <numFmt numFmtId="199" formatCode="0_);\(0\)"/>
    <numFmt numFmtId="200" formatCode="_-&quot;₩&quot;* #,##0_-;\-&quot;₩&quot;* #,##0_-;_-&quot;₩&quot;* &quot;-&quot;_-;_-@_-"/>
    <numFmt numFmtId="201" formatCode="_-&quot;₩&quot;* #,##0.00_-;\-&quot;₩&quot;* #,##0.00_-;_-&quot;₩&quot;* &quot;-&quot;??_-;_-@_-"/>
    <numFmt numFmtId="202" formatCode="#,##0.00;[Red]\(#,##0.00\)"/>
    <numFmt numFmtId="203" formatCode="&quot;£&quot;#,##0.00;[Red]&quot;£&quot;\-#,##0.00"/>
    <numFmt numFmtId="204" formatCode="_-* #,##0.0000\ _F_-;\-* #,##0.0000\ _F_-;_-* &quot;-&quot;??\ _F_-;_-@_-"/>
    <numFmt numFmtId="205" formatCode="_-* #,##0\ &quot;F&quot;_-;\-* #,##0\ &quot;F&quot;_-;_-* &quot;-&quot;\ &quot;F&quot;_-;_-@_-"/>
    <numFmt numFmtId="206" formatCode="#,##0.00000_)"/>
    <numFmt numFmtId="207" formatCode="_-* #,##0.00\ &quot;F&quot;_-;\-* #,##0.00\ &quot;F&quot;_-;_-* &quot;-&quot;??\ &quot;F&quot;_-;_-@_-"/>
    <numFmt numFmtId="208" formatCode="_ * #,##0.00_)&quot;DH&quot;_ ;_ * \(#,##0.00\)&quot;DH&quot;_ ;_ * &quot;-&quot;??_)&quot;DH&quot;_ ;_ @_ "/>
    <numFmt numFmtId="209" formatCode="_ * #,##0.00_)_D_H_ ;_ * \(#,##0.00\)_D_H_ ;_ * &quot;-&quot;??_)_D_H_ ;_ @_ "/>
    <numFmt numFmtId="210" formatCode="[&gt;0.5]#,##0;[&lt;-0.5]\-#,##0;\-"/>
    <numFmt numFmtId="211" formatCode="_-[$€-2]* #,##0.00_-;\-[$€-2]* #,##0.00_-;_-[$€-2]* &quot;-&quot;??_-"/>
    <numFmt numFmtId="212" formatCode="_-[$£-809]* #,##0.00_-;\-[$£-809]* #,##0.00_-;_-[$£-809]* &quot;-&quot;??_-;_-@_-"/>
    <numFmt numFmtId="213" formatCode="[$-F800]dddd\,\ mmmm\ dd\,\ yyyy"/>
    <numFmt numFmtId="214" formatCode="#,##0_);;&quot;- &quot;_);@_)\ "/>
    <numFmt numFmtId="215" formatCode="_(General"/>
    <numFmt numFmtId="216" formatCode="0.0_)"/>
    <numFmt numFmtId="217" formatCode="_-* #,##0_-;\-* #,##0_-;_-* &quot;-&quot;??_-;_-@_-"/>
  </numFmts>
  <fonts count="197">
    <font>
      <sz val="10"/>
      <name val="Arial"/>
    </font>
    <font>
      <sz val="11"/>
      <color theme="1"/>
      <name val="Calibri"/>
      <family val="2"/>
      <scheme val="minor"/>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10"/>
      <name val="Arial"/>
      <family val="2"/>
    </font>
    <font>
      <b/>
      <u/>
      <sz val="20"/>
      <color indexed="62"/>
      <name val="Arial"/>
      <family val="2"/>
    </font>
    <font>
      <b/>
      <u/>
      <sz val="10"/>
      <color indexed="62"/>
      <name val="Arial"/>
      <family val="2"/>
    </font>
    <font>
      <i/>
      <sz val="8"/>
      <color indexed="14"/>
      <name val="Arial"/>
      <family val="2"/>
    </font>
    <font>
      <b/>
      <sz val="12"/>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10"/>
      <color indexed="13"/>
      <name val="Arial"/>
      <family val="2"/>
    </font>
    <font>
      <sz val="9"/>
      <name val="Tahoma"/>
      <family val="2"/>
    </font>
    <font>
      <sz val="9"/>
      <color indexed="12"/>
      <name val="Tahoma"/>
      <family val="2"/>
    </font>
    <font>
      <sz val="10"/>
      <color indexed="12"/>
      <name val="Arial"/>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4"/>
      <name val="Arial"/>
      <family val="2"/>
    </font>
    <font>
      <b/>
      <i/>
      <u/>
      <sz val="10"/>
      <color indexed="62"/>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b/>
      <i/>
      <u/>
      <sz val="10"/>
      <color indexed="12"/>
      <name val="Arial"/>
      <family val="2"/>
    </font>
    <font>
      <b/>
      <sz val="10"/>
      <color indexed="12"/>
      <name val="Arial"/>
      <family val="2"/>
    </font>
    <font>
      <u/>
      <sz val="10"/>
      <color indexed="12"/>
      <name val="Arial"/>
      <family val="2"/>
    </font>
    <font>
      <sz val="10"/>
      <name val="Arial"/>
      <family val="2"/>
    </font>
    <font>
      <b/>
      <sz val="10"/>
      <color indexed="9"/>
      <name val="Arial"/>
      <family val="2"/>
    </font>
    <font>
      <u/>
      <sz val="8"/>
      <color indexed="12"/>
      <name val="Arial"/>
      <family val="2"/>
    </font>
    <font>
      <b/>
      <sz val="20"/>
      <color indexed="62"/>
      <name val="Arial"/>
      <family val="2"/>
    </font>
    <font>
      <b/>
      <sz val="18"/>
      <color indexed="62"/>
      <name val="Arial"/>
      <family val="2"/>
    </font>
    <font>
      <b/>
      <sz val="9"/>
      <name val="Arial"/>
      <family val="2"/>
    </font>
    <font>
      <b/>
      <u/>
      <sz val="8"/>
      <color indexed="12"/>
      <name val="Arial"/>
      <family val="2"/>
    </font>
    <font>
      <sz val="10"/>
      <color theme="1"/>
      <name val="Consolas"/>
      <family val="2"/>
    </font>
    <font>
      <sz val="10"/>
      <color rgb="FFFF0000"/>
      <name val="Arial"/>
      <family val="2"/>
    </font>
    <font>
      <b/>
      <sz val="10"/>
      <color rgb="FFFF0000"/>
      <name val="Arial"/>
      <family val="2"/>
    </font>
    <font>
      <sz val="10"/>
      <color theme="1" tint="0.499984740745262"/>
      <name val="Arial"/>
      <family val="2"/>
    </font>
    <font>
      <b/>
      <sz val="10"/>
      <color theme="1" tint="0.499984740745262"/>
      <name val="Arial"/>
      <family val="2"/>
    </font>
    <font>
      <sz val="10"/>
      <color rgb="FF000099"/>
      <name val="Arial"/>
      <family val="2"/>
    </font>
    <font>
      <b/>
      <sz val="10"/>
      <color rgb="FF000099"/>
      <name val="Arial"/>
      <family val="2"/>
    </font>
    <font>
      <b/>
      <sz val="22"/>
      <color rgb="FFFF0000"/>
      <name val="Arial"/>
      <family val="2"/>
    </font>
    <font>
      <b/>
      <i/>
      <sz val="10"/>
      <color rgb="FF333399"/>
      <name val="Arial"/>
      <family val="2"/>
    </font>
    <font>
      <b/>
      <sz val="10"/>
      <color theme="0"/>
      <name val="Arial"/>
      <family val="2"/>
    </font>
    <font>
      <b/>
      <i/>
      <sz val="10"/>
      <color theme="0"/>
      <name val="Arial"/>
      <family val="2"/>
    </font>
    <font>
      <b/>
      <sz val="12"/>
      <color rgb="FFFF0000"/>
      <name val="Arial"/>
      <family val="2"/>
    </font>
    <font>
      <b/>
      <sz val="10"/>
      <color rgb="FF333399"/>
      <name val="Arial"/>
      <family val="2"/>
    </font>
    <font>
      <b/>
      <i/>
      <sz val="8"/>
      <color rgb="FF000099"/>
      <name val="Arial"/>
      <family val="2"/>
    </font>
    <font>
      <b/>
      <sz val="12"/>
      <color theme="0"/>
      <name val="Arial"/>
      <family val="2"/>
    </font>
    <font>
      <sz val="10"/>
      <name val="Arial"/>
      <family val="2"/>
    </font>
    <font>
      <sz val="10"/>
      <color theme="1"/>
      <name val="Arial"/>
      <family val="2"/>
    </font>
    <font>
      <u/>
      <sz val="10"/>
      <color indexed="36"/>
      <name val="Arial"/>
      <family val="2"/>
    </font>
    <font>
      <sz val="11"/>
      <color indexed="37"/>
      <name val="Calibri"/>
      <family val="2"/>
    </font>
    <font>
      <b/>
      <sz val="8"/>
      <color indexed="24"/>
      <name val="Arial"/>
      <family val="2"/>
    </font>
    <font>
      <sz val="9"/>
      <name val="Arial"/>
      <family val="2"/>
    </font>
    <font>
      <b/>
      <sz val="9"/>
      <color indexed="24"/>
      <name val="Arial"/>
      <family val="2"/>
    </font>
    <font>
      <b/>
      <sz val="11"/>
      <color indexed="24"/>
      <name val="Arial"/>
      <family val="2"/>
    </font>
    <font>
      <b/>
      <sz val="11"/>
      <color indexed="17"/>
      <name val="Calibri"/>
      <family val="2"/>
    </font>
    <font>
      <b/>
      <sz val="8"/>
      <color indexed="9"/>
      <name val="Arial"/>
      <family val="2"/>
    </font>
    <font>
      <b/>
      <sz val="8"/>
      <color indexed="8"/>
      <name val="Arial"/>
      <family val="2"/>
    </font>
    <font>
      <b/>
      <sz val="8"/>
      <color indexed="8"/>
      <name val="Courier New"/>
      <family val="3"/>
    </font>
    <font>
      <b/>
      <sz val="11"/>
      <color indexed="60"/>
      <name val="Calibri"/>
      <family val="2"/>
    </font>
    <font>
      <sz val="11"/>
      <color indexed="24"/>
      <name val="Calibri"/>
      <family val="2"/>
    </font>
    <font>
      <sz val="10"/>
      <name val="Helv"/>
    </font>
    <font>
      <b/>
      <sz val="15"/>
      <color indexed="62"/>
      <name val="Calibri"/>
      <family val="2"/>
    </font>
    <font>
      <b/>
      <sz val="13"/>
      <color indexed="62"/>
      <name val="Calibri"/>
      <family val="2"/>
    </font>
    <font>
      <b/>
      <sz val="11"/>
      <color indexed="62"/>
      <name val="Calibri"/>
      <family val="2"/>
    </font>
    <font>
      <shadow/>
      <sz val="12"/>
      <color indexed="9"/>
      <name val="Arial"/>
      <family val="2"/>
    </font>
    <font>
      <sz val="11"/>
      <color indexed="18"/>
      <name val="Calibri"/>
      <family val="2"/>
    </font>
    <font>
      <sz val="11"/>
      <color indexed="48"/>
      <name val="Calibri"/>
      <family val="2"/>
    </font>
    <font>
      <sz val="12"/>
      <name val="Helv"/>
    </font>
    <font>
      <sz val="12"/>
      <name val="Arial"/>
      <family val="2"/>
    </font>
    <font>
      <b/>
      <sz val="10"/>
      <color indexed="8"/>
      <name val="Arial"/>
      <family val="2"/>
    </font>
    <font>
      <sz val="10"/>
      <name val="MS Sans Serif"/>
      <family val="2"/>
    </font>
    <font>
      <sz val="10"/>
      <name val="Arial CE"/>
      <charset val="238"/>
    </font>
    <font>
      <sz val="10"/>
      <name val="Arabic Transparent"/>
    </font>
    <font>
      <sz val="11"/>
      <name val="Frutiger 55 Roman"/>
    </font>
    <font>
      <sz val="10"/>
      <name val="Courier"/>
      <family val="3"/>
    </font>
    <font>
      <sz val="10"/>
      <color theme="1"/>
      <name val="Tahoma"/>
      <family val="2"/>
    </font>
    <font>
      <sz val="8"/>
      <name val="Arial"/>
      <family val="2"/>
      <charset val="238"/>
    </font>
    <font>
      <sz val="12"/>
      <name val="Arial MT"/>
    </font>
    <font>
      <sz val="10"/>
      <color indexed="8"/>
      <name val="Arial"/>
      <family val="2"/>
    </font>
    <font>
      <b/>
      <i/>
      <sz val="10"/>
      <color indexed="8"/>
      <name val="Arial"/>
      <family val="2"/>
    </font>
    <font>
      <b/>
      <sz val="10"/>
      <color indexed="17"/>
      <name val="Arial"/>
      <family val="2"/>
    </font>
    <font>
      <b/>
      <sz val="16"/>
      <color indexed="8"/>
      <name val="Arial"/>
      <family val="2"/>
    </font>
    <font>
      <b/>
      <sz val="12"/>
      <color indexed="8"/>
      <name val="Arial"/>
      <family val="2"/>
    </font>
    <font>
      <sz val="8"/>
      <color indexed="8"/>
      <name val="Arial"/>
      <family val="2"/>
    </font>
    <font>
      <sz val="8"/>
      <color indexed="12"/>
      <name val="Arial"/>
      <family val="2"/>
    </font>
    <font>
      <sz val="8"/>
      <color indexed="62"/>
      <name val="Arial"/>
      <family val="2"/>
    </font>
    <font>
      <b/>
      <sz val="8"/>
      <name val="Arial"/>
      <family val="2"/>
    </font>
    <font>
      <sz val="19"/>
      <name val="Arial"/>
      <family val="2"/>
    </font>
    <font>
      <sz val="8"/>
      <color indexed="14"/>
      <name val="Arial"/>
      <family val="2"/>
    </font>
    <font>
      <b/>
      <sz val="18"/>
      <color indexed="62"/>
      <name val="Cambria"/>
      <family val="2"/>
    </font>
    <font>
      <b/>
      <sz val="18"/>
      <color indexed="26"/>
      <name val="Cambria"/>
      <family val="2"/>
    </font>
    <font>
      <b/>
      <sz val="18"/>
      <color indexed="60"/>
      <name val="Cambria"/>
      <family val="2"/>
    </font>
    <font>
      <b/>
      <sz val="15"/>
      <color indexed="60"/>
      <name val="Calibri"/>
      <family val="2"/>
    </font>
    <font>
      <b/>
      <sz val="13"/>
      <color indexed="60"/>
      <name val="Calibri"/>
      <family val="2"/>
    </font>
    <font>
      <sz val="8"/>
      <color indexed="8"/>
      <name val="Wingdings"/>
      <charset val="2"/>
    </font>
    <font>
      <sz val="11"/>
      <color indexed="14"/>
      <name val="Calibri"/>
      <family val="2"/>
    </font>
    <font>
      <sz val="10"/>
      <name val="Arial Greek"/>
      <charset val="161"/>
    </font>
    <font>
      <u/>
      <sz val="7.5"/>
      <color indexed="36"/>
      <name val="Arial"/>
      <family val="2"/>
    </font>
    <font>
      <sz val="11"/>
      <name val="돋움"/>
      <family val="2"/>
      <charset val="129"/>
    </font>
    <font>
      <u/>
      <sz val="7.5"/>
      <color indexed="12"/>
      <name val="Arial"/>
      <family val="2"/>
    </font>
    <font>
      <u/>
      <sz val="10"/>
      <color theme="10"/>
      <name val="Arial"/>
      <family val="2"/>
    </font>
    <font>
      <sz val="12"/>
      <name val="Arial"/>
      <family val="2"/>
    </font>
    <font>
      <u/>
      <sz val="12"/>
      <color indexed="12"/>
      <name val="Arial"/>
      <family val="2"/>
    </font>
    <font>
      <sz val="14"/>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sz val="12"/>
      <color indexed="10"/>
      <name val="Arial"/>
      <family val="2"/>
    </font>
    <font>
      <sz val="10"/>
      <name val="Times New Roman"/>
      <family val="1"/>
    </font>
    <font>
      <sz val="10"/>
      <name val="Arial Cyr"/>
      <charset val="204"/>
    </font>
    <font>
      <b/>
      <sz val="9"/>
      <name val="Times New Roman"/>
      <family val="1"/>
    </font>
    <font>
      <u/>
      <sz val="10"/>
      <color indexed="12"/>
      <name val="Tms Rmn"/>
    </font>
    <font>
      <u/>
      <sz val="10"/>
      <color indexed="12"/>
      <name val="Helvetica"/>
      <family val="2"/>
    </font>
    <font>
      <u/>
      <sz val="8.1999999999999993"/>
      <color indexed="12"/>
      <name val="Times New Roman"/>
      <family val="1"/>
    </font>
    <font>
      <u/>
      <sz val="7.5"/>
      <color indexed="12"/>
      <name val="Tms Rmn"/>
    </font>
    <font>
      <sz val="10"/>
      <name val="Tms Rmn"/>
    </font>
    <font>
      <i/>
      <sz val="12"/>
      <name val="Times New Roman"/>
      <family val="1"/>
    </font>
    <font>
      <sz val="11"/>
      <name val="Times New Roman"/>
      <family val="1"/>
    </font>
    <font>
      <b/>
      <sz val="11"/>
      <name val="Times New Roman"/>
      <family val="1"/>
    </font>
    <font>
      <b/>
      <sz val="12"/>
      <name val="Times New Roman"/>
      <family val="1"/>
    </font>
    <font>
      <sz val="10"/>
      <color rgb="FF9C0006"/>
      <name val="Arial"/>
      <family val="2"/>
    </font>
    <font>
      <sz val="10"/>
      <color rgb="FF006100"/>
      <name val="Arial"/>
      <family val="2"/>
    </font>
    <font>
      <u/>
      <sz val="10"/>
      <color theme="10"/>
      <name val="System"/>
      <family val="2"/>
    </font>
    <font>
      <u/>
      <sz val="10"/>
      <color theme="10"/>
      <name val="Arial"/>
      <family val="2"/>
    </font>
    <font>
      <sz val="11"/>
      <color indexed="8"/>
      <name val="Calibri"/>
      <family val="2"/>
      <charset val="238"/>
    </font>
    <font>
      <sz val="10"/>
      <color theme="0"/>
      <name val="Arial"/>
      <family val="2"/>
    </font>
    <font>
      <b/>
      <sz val="8"/>
      <color indexed="62"/>
      <name val="Arial"/>
      <family val="2"/>
    </font>
    <font>
      <b/>
      <sz val="10"/>
      <color rgb="FFFFFFFF"/>
      <name val="Arial"/>
      <family val="2"/>
    </font>
    <font>
      <sz val="10"/>
      <color rgb="FFFFFFFF"/>
      <name val="Arial"/>
      <family val="2"/>
    </font>
    <font>
      <b/>
      <sz val="11"/>
      <color rgb="FFFFFFFF"/>
      <name val="Arial"/>
      <family val="2"/>
    </font>
    <font>
      <b/>
      <sz val="10"/>
      <color rgb="FFDCE6F1"/>
      <name val="Arial"/>
      <family val="2"/>
    </font>
    <font>
      <sz val="10"/>
      <name val="Arial"/>
      <family val="2"/>
    </font>
    <font>
      <sz val="10"/>
      <color rgb="FFDCE6F1"/>
      <name val="Arial"/>
      <family val="2"/>
    </font>
    <font>
      <i/>
      <sz val="10"/>
      <color rgb="FFDCE6F1"/>
      <name val="Arial"/>
      <family val="2"/>
    </font>
    <font>
      <b/>
      <sz val="14"/>
      <color rgb="FFFF0000"/>
      <name val="Arial"/>
      <family val="2"/>
    </font>
    <font>
      <b/>
      <sz val="10"/>
      <color theme="1"/>
      <name val="Arial"/>
      <family val="2"/>
    </font>
    <font>
      <b/>
      <i/>
      <sz val="8"/>
      <color rgb="FFDCE6F1"/>
      <name val="Arial"/>
      <family val="2"/>
    </font>
    <font>
      <b/>
      <sz val="11"/>
      <color theme="0"/>
      <name val="Arial"/>
      <family val="2"/>
    </font>
    <font>
      <sz val="8"/>
      <color theme="4" tint="-0.499984740745262"/>
      <name val="Arial"/>
      <family val="2"/>
    </font>
    <font>
      <sz val="10"/>
      <color rgb="FFFFCC99"/>
      <name val="Arial"/>
      <family val="2"/>
    </font>
    <font>
      <i/>
      <sz val="8"/>
      <color theme="1"/>
      <name val="Arial"/>
      <family val="2"/>
    </font>
    <font>
      <u/>
      <sz val="10"/>
      <color rgb="FF0000FF"/>
      <name val="Arial"/>
      <family val="2"/>
    </font>
    <font>
      <b/>
      <sz val="12"/>
      <color rgb="FFFFFFFF"/>
      <name val="Arial"/>
      <family val="2"/>
    </font>
    <font>
      <b/>
      <sz val="11"/>
      <color rgb="FF000080"/>
      <name val="Arial"/>
      <family val="2"/>
    </font>
    <font>
      <b/>
      <sz val="10"/>
      <color rgb="FF000000"/>
      <name val="Arial"/>
      <family val="2"/>
    </font>
    <font>
      <b/>
      <sz val="10"/>
      <color indexed="62"/>
      <name val="Arial"/>
      <family val="2"/>
    </font>
    <font>
      <u/>
      <sz val="10"/>
      <color rgb="FFFFFFFF"/>
      <name val="Arial"/>
      <family val="2"/>
    </font>
    <font>
      <b/>
      <sz val="8"/>
      <color rgb="FF000099"/>
      <name val="Arial"/>
      <family val="2"/>
    </font>
    <font>
      <sz val="10"/>
      <color rgb="FF000000"/>
      <name val="Arial"/>
      <family val="2"/>
    </font>
  </fonts>
  <fills count="10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12"/>
        <bgColor indexed="64"/>
      </patternFill>
    </fill>
    <fill>
      <patternFill patternType="solid">
        <fgColor indexed="4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22"/>
        <bgColor indexed="64"/>
      </patternFill>
    </fill>
    <fill>
      <patternFill patternType="solid">
        <fgColor indexed="11"/>
        <bgColor indexed="64"/>
      </patternFill>
    </fill>
    <fill>
      <patternFill patternType="solid">
        <fgColor indexed="27"/>
        <bgColor indexed="64"/>
      </patternFill>
    </fill>
    <fill>
      <patternFill patternType="lightUp"/>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CC99"/>
        <bgColor indexed="64"/>
      </patternFill>
    </fill>
    <fill>
      <patternFill patternType="solid">
        <fgColor theme="6" tint="0.39997558519241921"/>
        <bgColor indexed="64"/>
      </patternFill>
    </fill>
    <fill>
      <patternFill patternType="solid">
        <fgColor rgb="FFC4D79B"/>
        <bgColor indexed="64"/>
      </patternFill>
    </fill>
    <fill>
      <patternFill patternType="solid">
        <fgColor rgb="FFDCE6F1"/>
        <bgColor indexed="64"/>
      </patternFill>
    </fill>
    <fill>
      <patternFill patternType="solid">
        <fgColor rgb="FFFF3300"/>
        <bgColor indexed="64"/>
      </patternFill>
    </fill>
    <fill>
      <patternFill patternType="solid">
        <fgColor theme="3"/>
        <bgColor indexed="64"/>
      </patternFill>
    </fill>
    <fill>
      <patternFill patternType="solid">
        <fgColor rgb="FFA6A6A6"/>
        <bgColor indexed="64"/>
      </patternFill>
    </fill>
    <fill>
      <patternFill patternType="solid">
        <fgColor rgb="FF00FF00"/>
        <bgColor indexed="64"/>
      </patternFill>
    </fill>
    <fill>
      <patternFill patternType="solid">
        <fgColor theme="3" tint="0.39997558519241921"/>
        <bgColor indexed="64"/>
      </patternFill>
    </fill>
    <fill>
      <patternFill patternType="solid">
        <fgColor rgb="FF0070C0"/>
        <bgColor indexed="64"/>
      </patternFill>
    </fill>
    <fill>
      <patternFill patternType="lightUp">
        <bgColor rgb="FFFFFF00"/>
      </patternFill>
    </fill>
    <fill>
      <patternFill patternType="solid">
        <fgColor theme="4" tint="0.59996337778862885"/>
        <bgColor indexed="64"/>
      </patternFill>
    </fill>
    <fill>
      <patternFill patternType="solid">
        <fgColor indexed="9"/>
      </patternFill>
    </fill>
    <fill>
      <patternFill patternType="solid">
        <fgColor indexed="59"/>
      </patternFill>
    </fill>
    <fill>
      <patternFill patternType="solid">
        <fgColor indexed="41"/>
      </patternFill>
    </fill>
    <fill>
      <patternFill patternType="solid">
        <fgColor indexed="2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solid">
        <fgColor indexed="12"/>
      </patternFill>
    </fill>
    <fill>
      <patternFill patternType="solid">
        <fgColor indexed="54"/>
      </patternFill>
    </fill>
    <fill>
      <patternFill patternType="solid">
        <fgColor indexed="60"/>
      </patternFill>
    </fill>
    <fill>
      <patternFill patternType="solid">
        <fgColor indexed="28"/>
      </patternFill>
    </fill>
    <fill>
      <patternFill patternType="solid">
        <fgColor indexed="13"/>
      </patternFill>
    </fill>
    <fill>
      <patternFill patternType="solid">
        <fgColor indexed="17"/>
      </patternFill>
    </fill>
    <fill>
      <patternFill patternType="solid">
        <fgColor indexed="50"/>
      </patternFill>
    </fill>
    <fill>
      <patternFill patternType="gray0625">
        <fgColor indexed="48"/>
        <bgColor indexed="60"/>
      </patternFill>
    </fill>
    <fill>
      <patternFill patternType="lightUp">
        <fgColor indexed="48"/>
        <bgColor indexed="41"/>
      </patternFill>
    </fill>
    <fill>
      <patternFill patternType="solid">
        <fgColor indexed="40"/>
      </patternFill>
    </fill>
    <fill>
      <patternFill patternType="solid">
        <fgColor indexed="54"/>
        <bgColor indexed="64"/>
      </patternFill>
    </fill>
    <fill>
      <patternFill patternType="solid">
        <fgColor indexed="23"/>
      </patternFill>
    </fill>
    <fill>
      <patternFill patternType="solid">
        <fgColor indexed="15"/>
      </patternFill>
    </fill>
    <fill>
      <patternFill patternType="solid">
        <fgColor indexed="20"/>
      </patternFill>
    </fill>
    <fill>
      <patternFill patternType="solid">
        <fgColor indexed="55"/>
        <bgColor indexed="64"/>
      </patternFill>
    </fill>
    <fill>
      <patternFill patternType="solid">
        <fgColor rgb="FFFFC7CE"/>
      </patternFill>
    </fill>
    <fill>
      <patternFill patternType="solid">
        <fgColor rgb="FFC6EFCE"/>
      </patternFill>
    </fill>
    <fill>
      <patternFill patternType="lightUp">
        <bgColor theme="0"/>
      </patternFill>
    </fill>
    <fill>
      <patternFill patternType="solid">
        <fgColor theme="5" tint="0.79998168889431442"/>
        <bgColor indexed="64"/>
      </patternFill>
    </fill>
    <fill>
      <patternFill patternType="solid">
        <fgColor rgb="FFFFFFFF"/>
        <bgColor indexed="64"/>
      </patternFill>
    </fill>
  </fills>
  <borders count="19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bottom style="medium">
        <color indexed="64"/>
      </bottom>
      <diagonal/>
    </border>
    <border>
      <left/>
      <right/>
      <top style="hair">
        <color indexed="64"/>
      </top>
      <bottom/>
      <diagonal/>
    </border>
    <border>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style="medium">
        <color indexed="64"/>
      </right>
      <top style="medium">
        <color indexed="64"/>
      </top>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thin">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bottom style="medium">
        <color indexed="24"/>
      </bottom>
      <diagonal/>
    </border>
    <border>
      <left style="thin">
        <color indexed="18"/>
      </left>
      <right style="thin">
        <color indexed="18"/>
      </right>
      <top style="thin">
        <color indexed="18"/>
      </top>
      <bottom style="thin">
        <color indexed="18"/>
      </bottom>
      <diagonal/>
    </border>
    <border>
      <left style="double">
        <color indexed="8"/>
      </left>
      <right style="double">
        <color indexed="8"/>
      </right>
      <top style="double">
        <color indexed="8"/>
      </top>
      <bottom style="double">
        <color indexed="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25"/>
      </bottom>
      <diagonal/>
    </border>
    <border>
      <left/>
      <right/>
      <top/>
      <bottom style="medium">
        <color indexed="25"/>
      </bottom>
      <diagonal/>
    </border>
    <border>
      <left/>
      <right/>
      <top style="thin">
        <color indexed="48"/>
      </top>
      <bottom style="double">
        <color indexed="48"/>
      </bottom>
      <diagonal/>
    </border>
    <border>
      <left style="medium">
        <color indexed="64"/>
      </left>
      <right/>
      <top/>
      <bottom style="hair">
        <color indexed="64"/>
      </bottom>
      <diagonal/>
    </border>
    <border>
      <left style="medium">
        <color indexed="64"/>
      </left>
      <right/>
      <top/>
      <bottom style="thin">
        <color indexed="64"/>
      </bottom>
      <diagonal/>
    </border>
    <border>
      <left style="medium">
        <color indexed="64"/>
      </left>
      <right style="medium">
        <color indexed="64"/>
      </right>
      <top style="hair">
        <color indexed="64"/>
      </top>
      <bottom style="thin">
        <color indexed="64"/>
      </bottom>
      <diagonal/>
    </border>
    <border>
      <left/>
      <right/>
      <top style="thick">
        <color auto="1"/>
      </top>
      <bottom/>
      <diagonal/>
    </border>
    <border>
      <left style="medium">
        <color indexed="64"/>
      </left>
      <right style="medium">
        <color indexed="64"/>
      </right>
      <top style="thin">
        <color indexed="64"/>
      </top>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thin">
        <color indexed="64"/>
      </left>
      <right/>
      <top style="medium">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auto="1"/>
      </right>
      <top/>
      <bottom/>
      <diagonal/>
    </border>
    <border>
      <left style="thin">
        <color auto="1"/>
      </left>
      <right/>
      <top/>
      <bottom/>
      <diagonal/>
    </border>
    <border>
      <left/>
      <right/>
      <top/>
      <bottom style="medium">
        <color indexed="12"/>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s>
  <cellStyleXfs count="6189">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0" borderId="0" applyNumberFormat="0" applyFont="0" applyFill="0" applyBorder="0" applyProtection="0">
      <alignment horizontal="left" vertical="center" indent="5"/>
    </xf>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23" fillId="20" borderId="1" applyNumberFormat="0" applyAlignment="0" applyProtection="0"/>
    <xf numFmtId="0" fontId="12" fillId="3" borderId="0" applyNumberFormat="0" applyBorder="0" applyAlignment="0" applyProtection="0"/>
    <xf numFmtId="0" fontId="13" fillId="20" borderId="2" applyNumberFormat="0" applyAlignment="0" applyProtection="0"/>
    <xf numFmtId="0" fontId="13" fillId="20" borderId="2" applyNumberFormat="0" applyAlignment="0" applyProtection="0"/>
    <xf numFmtId="0" fontId="14" fillId="21" borderId="3" applyNumberFormat="0" applyAlignment="0" applyProtection="0"/>
    <xf numFmtId="0" fontId="20" fillId="7" borderId="2" applyNumberFormat="0" applyAlignment="0" applyProtection="0"/>
    <xf numFmtId="0" fontId="25" fillId="0" borderId="4"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7" fillId="0" borderId="0" applyNumberFormat="0" applyFill="0" applyBorder="0" applyAlignment="0" applyProtection="0">
      <alignment vertical="top"/>
      <protection locked="0"/>
    </xf>
    <xf numFmtId="0" fontId="20" fillId="7" borderId="2" applyNumberFormat="0" applyAlignment="0" applyProtection="0"/>
    <xf numFmtId="0" fontId="21" fillId="0" borderId="8" applyNumberFormat="0" applyFill="0" applyAlignment="0" applyProtection="0"/>
    <xf numFmtId="0" fontId="22" fillId="22" borderId="0" applyNumberFormat="0" applyBorder="0" applyAlignment="0" applyProtection="0"/>
    <xf numFmtId="0" fontId="3" fillId="23" borderId="9" applyNumberFormat="0" applyFont="0" applyAlignment="0" applyProtection="0"/>
    <xf numFmtId="0" fontId="2" fillId="23" borderId="9" applyNumberFormat="0" applyFont="0" applyAlignment="0" applyProtection="0"/>
    <xf numFmtId="0" fontId="23" fillId="20" borderId="1" applyNumberFormat="0" applyAlignment="0" applyProtection="0"/>
    <xf numFmtId="9" fontId="3" fillId="0" borderId="0" applyFont="0" applyFill="0" applyBorder="0" applyAlignment="0" applyProtection="0"/>
    <xf numFmtId="9" fontId="69" fillId="0" borderId="0" applyFont="0" applyFill="0" applyBorder="0" applyAlignment="0" applyProtection="0"/>
    <xf numFmtId="0" fontId="12" fillId="3" borderId="0" applyNumberFormat="0" applyBorder="0" applyAlignment="0" applyProtection="0"/>
    <xf numFmtId="0" fontId="3" fillId="0" borderId="0"/>
    <xf numFmtId="0" fontId="3" fillId="0" borderId="0"/>
    <xf numFmtId="0" fontId="69" fillId="0" borderId="0"/>
    <xf numFmtId="0" fontId="24" fillId="0" borderId="0" applyNumberFormat="0" applyFill="0" applyBorder="0" applyAlignment="0" applyProtection="0"/>
    <xf numFmtId="0" fontId="25" fillId="0" borderId="4" applyNumberFormat="0" applyFill="0" applyAlignment="0" applyProtection="0"/>
    <xf numFmtId="0" fontId="24" fillId="0" borderId="0" applyNumberFormat="0" applyFill="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1" fillId="0" borderId="8"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21" borderId="3" applyNumberFormat="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2" fillId="3" borderId="0" applyNumberFormat="0" applyBorder="0" applyAlignment="0" applyProtection="0"/>
    <xf numFmtId="0" fontId="13" fillId="20" borderId="2" applyNumberFormat="0" applyAlignment="0" applyProtection="0"/>
    <xf numFmtId="0" fontId="14" fillId="21" borderId="3" applyNumberFormat="0" applyAlignment="0" applyProtection="0"/>
    <xf numFmtId="164" fontId="3" fillId="0" borderId="0" applyFon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0" fillId="7" borderId="2" applyNumberFormat="0" applyAlignment="0" applyProtection="0"/>
    <xf numFmtId="0" fontId="21" fillId="0" borderId="8" applyNumberFormat="0" applyFill="0" applyAlignment="0" applyProtection="0"/>
    <xf numFmtId="0" fontId="22" fillId="22" borderId="0" applyNumberFormat="0" applyBorder="0" applyAlignment="0" applyProtection="0"/>
    <xf numFmtId="0" fontId="3" fillId="0" borderId="0" applyBorder="0"/>
    <xf numFmtId="0" fontId="3" fillId="23" borderId="9" applyNumberFormat="0" applyFont="0" applyAlignment="0" applyProtection="0"/>
    <xf numFmtId="0" fontId="23" fillId="20" borderId="1" applyNumberFormat="0" applyAlignment="0" applyProtection="0"/>
    <xf numFmtId="0" fontId="24" fillId="0" borderId="0" applyNumberFormat="0" applyFill="0" applyBorder="0" applyAlignment="0" applyProtection="0"/>
    <xf numFmtId="0" fontId="25" fillId="0" borderId="4" applyNumberFormat="0" applyFill="0" applyAlignment="0" applyProtection="0"/>
    <xf numFmtId="0" fontId="26"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3" fillId="60" borderId="0" applyNumberFormat="0" applyFont="0" applyBorder="0" applyAlignment="0"/>
    <xf numFmtId="0" fontId="86"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3" fillId="0" borderId="0"/>
    <xf numFmtId="0" fontId="3"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1" borderId="0" applyNumberFormat="0" applyBorder="0" applyAlignment="0" applyProtection="0"/>
    <xf numFmtId="0" fontId="2" fillId="63"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20"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20" borderId="0" applyNumberFormat="0" applyBorder="0" applyAlignment="0" applyProtection="0"/>
    <xf numFmtId="0" fontId="2" fillId="64" borderId="0" applyNumberFormat="0" applyBorder="0" applyAlignment="0" applyProtection="0"/>
    <xf numFmtId="0" fontId="2" fillId="7"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64"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20" borderId="0" applyNumberFormat="0" applyBorder="0" applyAlignment="0" applyProtection="0"/>
    <xf numFmtId="0" fontId="11" fillId="64" borderId="0" applyNumberFormat="0" applyBorder="0" applyAlignment="0" applyProtection="0"/>
    <xf numFmtId="0" fontId="11" fillId="7"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11" fillId="67"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11" fillId="71"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11" fillId="75"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2" fillId="69" borderId="0" applyNumberFormat="0" applyBorder="0" applyAlignment="0" applyProtection="0"/>
    <xf numFmtId="0" fontId="2" fillId="77" borderId="0" applyNumberFormat="0" applyBorder="0" applyAlignment="0" applyProtection="0"/>
    <xf numFmtId="0" fontId="11" fillId="70"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2" fillId="79" borderId="0" applyNumberFormat="0" applyBorder="0" applyAlignment="0" applyProtection="0"/>
    <xf numFmtId="0" fontId="2" fillId="80"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2" fillId="81" borderId="0" applyNumberFormat="0" applyBorder="0" applyAlignment="0" applyProtection="0"/>
    <xf numFmtId="0" fontId="2" fillId="82" borderId="0" applyNumberFormat="0" applyBorder="0" applyAlignment="0" applyProtection="0"/>
    <xf numFmtId="0" fontId="11" fillId="83"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26" fillId="0" borderId="0" applyNumberFormat="0" applyFill="0" applyBorder="0" applyAlignment="0" applyProtection="0"/>
    <xf numFmtId="0" fontId="87" fillId="81" borderId="0" applyNumberFormat="0" applyBorder="0" applyAlignment="0" applyProtection="0"/>
    <xf numFmtId="49" fontId="88" fillId="0" borderId="0" applyFont="0" applyFill="0" applyBorder="0" applyAlignment="0" applyProtection="0">
      <alignment horizontal="left"/>
    </xf>
    <xf numFmtId="180" fontId="89" fillId="0" borderId="0" applyAlignment="0" applyProtection="0"/>
    <xf numFmtId="174" fontId="6" fillId="0" borderId="0" applyFill="0" applyBorder="0" applyAlignment="0" applyProtection="0"/>
    <xf numFmtId="49" fontId="6" fillId="0" borderId="0" applyNumberFormat="0" applyAlignment="0" applyProtection="0">
      <alignment horizontal="left"/>
    </xf>
    <xf numFmtId="49" fontId="90" fillId="0" borderId="160" applyNumberFormat="0" applyAlignment="0" applyProtection="0">
      <alignment horizontal="left" wrapText="1"/>
    </xf>
    <xf numFmtId="49" fontId="90" fillId="0" borderId="0" applyNumberFormat="0" applyAlignment="0" applyProtection="0">
      <alignment horizontal="left" wrapText="1"/>
    </xf>
    <xf numFmtId="49" fontId="91" fillId="0" borderId="0" applyAlignment="0" applyProtection="0">
      <alignment horizontal="left"/>
    </xf>
    <xf numFmtId="0" fontId="16" fillId="4" borderId="0" applyNumberFormat="0" applyBorder="0" applyAlignment="0" applyProtection="0"/>
    <xf numFmtId="0" fontId="3" fillId="0" borderId="0" applyFill="0" applyBorder="0" applyAlignment="0"/>
    <xf numFmtId="0" fontId="13" fillId="20" borderId="2" applyNumberFormat="0" applyAlignment="0" applyProtection="0"/>
    <xf numFmtId="0" fontId="13" fillId="20" borderId="2" applyNumberFormat="0" applyAlignment="0" applyProtection="0"/>
    <xf numFmtId="0" fontId="92" fillId="85" borderId="161" applyNumberFormat="0" applyAlignment="0" applyProtection="0"/>
    <xf numFmtId="0" fontId="13" fillId="61" borderId="2" applyNumberFormat="0" applyAlignment="0" applyProtection="0"/>
    <xf numFmtId="0" fontId="14" fillId="21" borderId="162" applyNumberFormat="0" applyAlignment="0" applyProtection="0"/>
    <xf numFmtId="0" fontId="21" fillId="0" borderId="8" applyNumberFormat="0" applyFill="0" applyAlignment="0" applyProtection="0"/>
    <xf numFmtId="0" fontId="21" fillId="0" borderId="8" applyNumberFormat="0" applyFill="0" applyAlignment="0" applyProtection="0"/>
    <xf numFmtId="0" fontId="14" fillId="21" borderId="3" applyNumberFormat="0" applyAlignment="0" applyProtection="0"/>
    <xf numFmtId="0" fontId="21" fillId="0" borderId="8" applyNumberFormat="0" applyFill="0" applyAlignment="0" applyProtection="0"/>
    <xf numFmtId="0" fontId="14" fillId="78" borderId="3" applyNumberForma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3" fillId="0" borderId="10">
      <alignment horizontal="center"/>
    </xf>
    <xf numFmtId="0" fontId="63" fillId="86" borderId="0">
      <alignment horizontal="left"/>
    </xf>
    <xf numFmtId="0" fontId="93" fillId="86" borderId="0">
      <alignment horizontal="right"/>
    </xf>
    <xf numFmtId="0" fontId="94" fillId="61" borderId="0">
      <alignment horizontal="center"/>
    </xf>
    <xf numFmtId="0" fontId="93" fillId="86" borderId="0">
      <alignment horizontal="right"/>
    </xf>
    <xf numFmtId="0" fontId="95" fillId="61" borderId="0">
      <alignment horizontal="left"/>
    </xf>
    <xf numFmtId="164"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 fillId="23" borderId="9" applyNumberFormat="0" applyFont="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82" fontId="3" fillId="0" borderId="0" applyFont="0" applyFill="0" applyBorder="0" applyAlignment="0" applyProtection="0"/>
    <xf numFmtId="183" fontId="3" fillId="0" borderId="0" applyFont="0" applyFill="0" applyBorder="0" applyAlignment="0" applyProtection="0"/>
    <xf numFmtId="184" fontId="3" fillId="0" borderId="0" applyFont="0" applyFill="0" applyBorder="0" applyAlignment="0" applyProtection="0"/>
    <xf numFmtId="185" fontId="3" fillId="0" borderId="0" applyFont="0" applyFill="0" applyBorder="0" applyAlignment="0" applyProtection="0"/>
    <xf numFmtId="181" fontId="3" fillId="0" borderId="0" applyFont="0" applyFill="0" applyBorder="0" applyAlignment="0" applyProtection="0"/>
    <xf numFmtId="0" fontId="96" fillId="0" borderId="0" applyNumberFormat="0" applyFill="0" applyBorder="0" applyAlignment="0" applyProtection="0"/>
    <xf numFmtId="0" fontId="11" fillId="6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87" borderId="0" applyNumberFormat="0" applyBorder="0" applyAlignment="0" applyProtection="0"/>
    <xf numFmtId="0" fontId="11" fillId="64" borderId="0" applyNumberFormat="0" applyBorder="0" applyAlignment="0" applyProtection="0"/>
    <xf numFmtId="0" fontId="11" fillId="19" borderId="0" applyNumberFormat="0" applyBorder="0" applyAlignment="0" applyProtection="0"/>
    <xf numFmtId="0" fontId="97" fillId="7" borderId="2" applyNumberFormat="0" applyAlignment="0" applyProtection="0"/>
    <xf numFmtId="0" fontId="20" fillId="7" borderId="2" applyNumberFormat="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0" fontId="98" fillId="0" borderId="0"/>
    <xf numFmtId="0" fontId="2" fillId="74" borderId="0" applyNumberFormat="0" applyBorder="0" applyAlignment="0" applyProtection="0"/>
    <xf numFmtId="0" fontId="2" fillId="74" borderId="0" applyNumberFormat="0" applyBorder="0" applyAlignment="0" applyProtection="0"/>
    <xf numFmtId="38" fontId="6" fillId="33" borderId="0" applyNumberFormat="0" applyBorder="0" applyAlignment="0" applyProtection="0"/>
    <xf numFmtId="0" fontId="32" fillId="0" borderId="84" applyNumberFormat="0" applyAlignment="0" applyProtection="0">
      <alignment horizontal="left" vertical="center"/>
    </xf>
    <xf numFmtId="0" fontId="32" fillId="0" borderId="25">
      <alignment horizontal="left" vertical="center"/>
    </xf>
    <xf numFmtId="0" fontId="99" fillId="0" borderId="163" applyNumberFormat="0" applyFill="0" applyAlignment="0" applyProtection="0"/>
    <xf numFmtId="0" fontId="100" fillId="0" borderId="164" applyNumberFormat="0" applyFill="0" applyAlignment="0" applyProtection="0"/>
    <xf numFmtId="0" fontId="101" fillId="0" borderId="165" applyNumberFormat="0" applyFill="0" applyAlignment="0" applyProtection="0"/>
    <xf numFmtId="0" fontId="101" fillId="0" borderId="0" applyNumberFormat="0" applyFill="0" applyBorder="0" applyAlignment="0" applyProtection="0"/>
    <xf numFmtId="187" fontId="102" fillId="0" borderId="0"/>
    <xf numFmtId="0" fontId="103" fillId="3" borderId="0" applyNumberFormat="0" applyBorder="0" applyAlignment="0" applyProtection="0"/>
    <xf numFmtId="10" fontId="6" fillId="29" borderId="13" applyNumberFormat="0" applyBorder="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2" fillId="3" borderId="0" applyNumberFormat="0" applyBorder="0" applyAlignment="0" applyProtection="0"/>
    <xf numFmtId="3" fontId="3" fillId="0" borderId="10" applyFont="0" applyBorder="0" applyAlignment="0"/>
    <xf numFmtId="188" fontId="105" fillId="0" borderId="0" applyFont="0" applyFill="0" applyBorder="0" applyAlignment="0" applyProtection="0"/>
    <xf numFmtId="183" fontId="3" fillId="0" borderId="0" applyFont="0" applyFill="0" applyBorder="0" applyAlignment="0" applyProtection="0"/>
    <xf numFmtId="189" fontId="106" fillId="0" borderId="0"/>
    <xf numFmtId="0" fontId="63" fillId="86" borderId="0">
      <alignment horizontal="left"/>
    </xf>
    <xf numFmtId="0" fontId="107" fillId="61" borderId="0">
      <alignment horizontal="left"/>
    </xf>
    <xf numFmtId="0" fontId="16" fillId="0" borderId="166" applyNumberFormat="0" applyFill="0" applyAlignment="0" applyProtection="0"/>
    <xf numFmtId="166" fontId="3" fillId="0" borderId="0" applyFont="0" applyFill="0" applyBorder="0" applyAlignment="0" applyProtection="0"/>
    <xf numFmtId="190" fontId="108" fillId="0" borderId="0" applyFont="0" applyFill="0" applyBorder="0" applyAlignment="0" applyProtection="0"/>
    <xf numFmtId="191" fontId="3" fillId="0" borderId="0" applyFont="0" applyFill="0" applyBorder="0" applyAlignment="0" applyProtection="0"/>
    <xf numFmtId="192" fontId="109"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38" fontId="106" fillId="0" borderId="0"/>
    <xf numFmtId="193" fontId="106" fillId="0" borderId="0"/>
    <xf numFmtId="40" fontId="106" fillId="0" borderId="0"/>
    <xf numFmtId="194" fontId="3" fillId="0" borderId="0" applyFont="0" applyFill="0" applyBorder="0" applyAlignment="0" applyProtection="0"/>
    <xf numFmtId="195" fontId="3" fillId="0" borderId="0" applyFont="0" applyFill="0" applyBorder="0" applyAlignment="0" applyProtection="0"/>
    <xf numFmtId="196" fontId="3" fillId="0" borderId="0" applyFont="0" applyFill="0" applyBorder="0" applyAlignment="0" applyProtection="0"/>
    <xf numFmtId="197" fontId="3" fillId="0" borderId="0" applyFont="0" applyFill="0" applyBorder="0" applyAlignment="0" applyProtection="0"/>
    <xf numFmtId="196" fontId="3" fillId="0" borderId="0" applyFont="0" applyFill="0" applyBorder="0" applyAlignment="0" applyProtection="0"/>
    <xf numFmtId="197" fontId="3" fillId="0" borderId="0" applyFont="0" applyFill="0" applyBorder="0" applyAlignment="0" applyProtection="0"/>
    <xf numFmtId="198" fontId="3" fillId="0" borderId="0" applyFont="0" applyFill="0" applyBorder="0" applyAlignment="0" applyProtection="0"/>
    <xf numFmtId="199" fontId="3" fillId="0" borderId="0" applyFont="0" applyFill="0" applyBorder="0" applyAlignment="0" applyProtection="0"/>
    <xf numFmtId="200" fontId="3" fillId="0" borderId="0" applyFont="0" applyFill="0" applyBorder="0" applyAlignment="0" applyProtection="0"/>
    <xf numFmtId="201" fontId="3" fillId="0" borderId="0" applyFont="0" applyFill="0" applyBorder="0" applyAlignment="0" applyProtection="0"/>
    <xf numFmtId="0" fontId="110" fillId="0" borderId="0" applyNumberFormat="0">
      <alignment horizontal="right"/>
    </xf>
    <xf numFmtId="0" fontId="16" fillId="82" borderId="0" applyNumberFormat="0" applyBorder="0" applyAlignment="0" applyProtection="0"/>
    <xf numFmtId="0" fontId="16" fillId="8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78" fontId="111" fillId="0" borderId="0"/>
    <xf numFmtId="0" fontId="112" fillId="0" borderId="0"/>
    <xf numFmtId="0" fontId="3" fillId="0" borderId="0"/>
    <xf numFmtId="0" fontId="3" fillId="0" borderId="0" applyNumberFormat="0" applyFill="0" applyBorder="0" applyAlignment="0" applyProtection="0"/>
    <xf numFmtId="0" fontId="3" fillId="0" borderId="0"/>
    <xf numFmtId="0" fontId="6"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1"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88" borderId="0"/>
    <xf numFmtId="0" fontId="6" fillId="88" borderId="0"/>
    <xf numFmtId="0" fontId="6" fillId="88" borderId="0"/>
    <xf numFmtId="0" fontId="3" fillId="0" borderId="0"/>
    <xf numFmtId="0" fontId="6" fillId="88" borderId="0"/>
    <xf numFmtId="0" fontId="6" fillId="88" borderId="0"/>
    <xf numFmtId="0" fontId="6" fillId="88" borderId="0"/>
    <xf numFmtId="0" fontId="6" fillId="88" borderId="0"/>
    <xf numFmtId="0" fontId="1" fillId="0" borderId="0"/>
    <xf numFmtId="0" fontId="1" fillId="0" borderId="0"/>
    <xf numFmtId="0" fontId="6" fillId="88" borderId="0"/>
    <xf numFmtId="0" fontId="6" fillId="88" borderId="0"/>
    <xf numFmtId="0" fontId="1" fillId="0" borderId="0"/>
    <xf numFmtId="0" fontId="6" fillId="88" borderId="0"/>
    <xf numFmtId="0" fontId="6" fillId="88" borderId="0"/>
    <xf numFmtId="0" fontId="1" fillId="0" borderId="0"/>
    <xf numFmtId="0" fontId="6" fillId="88" borderId="0"/>
    <xf numFmtId="0" fontId="6" fillId="88" borderId="0"/>
    <xf numFmtId="0" fontId="1" fillId="0" borderId="0"/>
    <xf numFmtId="0" fontId="1" fillId="0" borderId="0"/>
    <xf numFmtId="0" fontId="6" fillId="88" borderId="0"/>
    <xf numFmtId="0" fontId="6" fillId="88" borderId="0"/>
    <xf numFmtId="0" fontId="1" fillId="0" borderId="0"/>
    <xf numFmtId="0" fontId="6" fillId="88" borderId="0"/>
    <xf numFmtId="0" fontId="6" fillId="88" borderId="0"/>
    <xf numFmtId="0" fontId="1" fillId="0" borderId="0"/>
    <xf numFmtId="0" fontId="6" fillId="88" borderId="0"/>
    <xf numFmtId="0" fontId="6" fillId="88"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6" fillId="88" borderId="0"/>
    <xf numFmtId="0" fontId="6" fillId="88" borderId="0"/>
    <xf numFmtId="0" fontId="1" fillId="0" borderId="0"/>
    <xf numFmtId="0" fontId="6" fillId="88" borderId="0"/>
    <xf numFmtId="0" fontId="6" fillId="88" borderId="0"/>
    <xf numFmtId="0" fontId="1" fillId="0" borderId="0"/>
    <xf numFmtId="0" fontId="1" fillId="0" borderId="0"/>
    <xf numFmtId="0" fontId="6" fillId="88" borderId="0"/>
    <xf numFmtId="0" fontId="6" fillId="88" borderId="0"/>
    <xf numFmtId="0" fontId="1" fillId="0" borderId="0"/>
    <xf numFmtId="0" fontId="6" fillId="88" borderId="0"/>
    <xf numFmtId="0" fontId="6" fillId="88" borderId="0"/>
    <xf numFmtId="0" fontId="1" fillId="0" borderId="0"/>
    <xf numFmtId="0" fontId="6" fillId="88" borderId="0"/>
    <xf numFmtId="0" fontId="6" fillId="88" borderId="0"/>
    <xf numFmtId="0" fontId="1" fillId="0" borderId="0"/>
    <xf numFmtId="0" fontId="1" fillId="0" borderId="0"/>
    <xf numFmtId="0" fontId="6" fillId="88" borderId="0"/>
    <xf numFmtId="0" fontId="6" fillId="88" borderId="0"/>
    <xf numFmtId="0" fontId="1" fillId="0" borderId="0"/>
    <xf numFmtId="0" fontId="6" fillId="88" borderId="0"/>
    <xf numFmtId="0" fontId="6" fillId="88"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6" fillId="88" borderId="0"/>
    <xf numFmtId="0" fontId="6" fillId="88" borderId="0"/>
    <xf numFmtId="0" fontId="6" fillId="88" borderId="0"/>
    <xf numFmtId="0" fontId="6" fillId="88" borderId="0"/>
    <xf numFmtId="0" fontId="1" fillId="0" borderId="0"/>
    <xf numFmtId="0" fontId="6" fillId="88" borderId="0"/>
    <xf numFmtId="0" fontId="6" fillId="88" borderId="0"/>
    <xf numFmtId="0" fontId="6" fillId="88" borderId="0"/>
    <xf numFmtId="0" fontId="6" fillId="88" borderId="0"/>
    <xf numFmtId="0" fontId="6" fillId="88" borderId="0"/>
    <xf numFmtId="0" fontId="6" fillId="88" borderId="0"/>
    <xf numFmtId="0" fontId="1" fillId="0" borderId="0"/>
    <xf numFmtId="0" fontId="6" fillId="88" borderId="0"/>
    <xf numFmtId="0" fontId="6" fillId="88" borderId="0"/>
    <xf numFmtId="0" fontId="6" fillId="88" borderId="0"/>
    <xf numFmtId="0" fontId="6" fillId="88" borderId="0"/>
    <xf numFmtId="0" fontId="6" fillId="88" borderId="0"/>
    <xf numFmtId="0" fontId="6" fillId="88"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6" fillId="88" borderId="0"/>
    <xf numFmtId="0" fontId="6" fillId="88" borderId="0"/>
    <xf numFmtId="0" fontId="6" fillId="88" borderId="0"/>
    <xf numFmtId="0" fontId="1" fillId="0" borderId="0"/>
    <xf numFmtId="0" fontId="1" fillId="0" borderId="0"/>
    <xf numFmtId="0" fontId="6" fillId="88" borderId="0"/>
    <xf numFmtId="0" fontId="6" fillId="88" borderId="0"/>
    <xf numFmtId="0" fontId="1" fillId="0" borderId="0"/>
    <xf numFmtId="0" fontId="6" fillId="88" borderId="0"/>
    <xf numFmtId="0" fontId="6" fillId="88" borderId="0"/>
    <xf numFmtId="0" fontId="2" fillId="0" borderId="0"/>
    <xf numFmtId="0" fontId="6" fillId="88" borderId="0"/>
    <xf numFmtId="0" fontId="1" fillId="0" borderId="0"/>
    <xf numFmtId="0" fontId="6" fillId="88" borderId="0"/>
    <xf numFmtId="0" fontId="6" fillId="88" borderId="0"/>
    <xf numFmtId="0" fontId="6" fillId="88" borderId="0"/>
    <xf numFmtId="0" fontId="6" fillId="88" borderId="0"/>
    <xf numFmtId="0" fontId="2" fillId="0" borderId="0"/>
    <xf numFmtId="0" fontId="6" fillId="88" borderId="0"/>
    <xf numFmtId="0" fontId="6" fillId="88" borderId="0"/>
    <xf numFmtId="0" fontId="6" fillId="88" borderId="0"/>
    <xf numFmtId="0" fontId="6" fillId="88" borderId="0"/>
    <xf numFmtId="0" fontId="2" fillId="0"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3"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2" fillId="0" borderId="0"/>
    <xf numFmtId="0" fontId="6" fillId="88" borderId="0"/>
    <xf numFmtId="0" fontId="6" fillId="88" borderId="0"/>
    <xf numFmtId="0" fontId="6" fillId="88" borderId="0"/>
    <xf numFmtId="0" fontId="6" fillId="88"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08" fillId="0" borderId="0"/>
    <xf numFmtId="0" fontId="3" fillId="0" borderId="0"/>
    <xf numFmtId="0" fontId="3" fillId="0" borderId="0"/>
    <xf numFmtId="0" fontId="3" fillId="23" borderId="9" applyNumberFormat="0" applyFont="0" applyAlignment="0" applyProtection="0"/>
    <xf numFmtId="0" fontId="3" fillId="89" borderId="9" applyNumberFormat="0" applyFont="0" applyAlignment="0" applyProtection="0"/>
    <xf numFmtId="0" fontId="114" fillId="81" borderId="161" applyNumberFormat="0" applyFont="0" applyAlignment="0" applyProtection="0"/>
    <xf numFmtId="0" fontId="114" fillId="81" borderId="161" applyNumberFormat="0" applyFont="0" applyAlignment="0" applyProtection="0"/>
    <xf numFmtId="0" fontId="6" fillId="81" borderId="161" applyNumberFormat="0" applyFont="0" applyAlignment="0" applyProtection="0"/>
    <xf numFmtId="0" fontId="6" fillId="81" borderId="161" applyNumberFormat="0" applyFont="0" applyAlignment="0" applyProtection="0"/>
    <xf numFmtId="0" fontId="6" fillId="81" borderId="161" applyNumberFormat="0" applyFont="0" applyAlignment="0" applyProtection="0"/>
    <xf numFmtId="0" fontId="115" fillId="0" borderId="0"/>
    <xf numFmtId="0" fontId="112" fillId="0" borderId="0"/>
    <xf numFmtId="0" fontId="23" fillId="85" borderId="1" applyNumberFormat="0" applyAlignment="0" applyProtection="0"/>
    <xf numFmtId="202" fontId="116" fillId="61" borderId="0">
      <alignment horizontal="right"/>
    </xf>
    <xf numFmtId="0" fontId="117" fillId="90" borderId="0">
      <alignment horizontal="center"/>
    </xf>
    <xf numFmtId="0" fontId="63" fillId="91" borderId="18"/>
    <xf numFmtId="0" fontId="118" fillId="61" borderId="0" applyBorder="0">
      <alignment horizontal="centerContinuous"/>
    </xf>
    <xf numFmtId="0" fontId="119" fillId="61" borderId="0" applyBorder="0">
      <alignment horizontal="centerContinuous"/>
    </xf>
    <xf numFmtId="10"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203" fontId="3" fillId="0" borderId="0" applyBorder="0" applyAlignment="0">
      <alignment horizontal="right"/>
    </xf>
    <xf numFmtId="204" fontId="3" fillId="0" borderId="167" applyFill="0" applyAlignment="0">
      <alignment horizontal="right"/>
    </xf>
    <xf numFmtId="9" fontId="3" fillId="0" borderId="0" applyFont="0" applyFill="0" applyBorder="0" applyAlignment="0" applyProtection="0"/>
    <xf numFmtId="0" fontId="107" fillId="22" borderId="0">
      <alignment horizontal="center"/>
    </xf>
    <xf numFmtId="49" fontId="120" fillId="61" borderId="0">
      <alignment horizontal="center"/>
    </xf>
    <xf numFmtId="0" fontId="93" fillId="86" borderId="0">
      <alignment horizontal="center"/>
    </xf>
    <xf numFmtId="0" fontId="93" fillId="86" borderId="0">
      <alignment horizontal="centerContinuous"/>
    </xf>
    <xf numFmtId="0" fontId="121" fillId="61" borderId="0">
      <alignment horizontal="left"/>
    </xf>
    <xf numFmtId="49" fontId="121" fillId="61" borderId="0">
      <alignment horizontal="center"/>
    </xf>
    <xf numFmtId="0" fontId="63" fillId="86" borderId="0">
      <alignment horizontal="left"/>
    </xf>
    <xf numFmtId="49" fontId="121" fillId="61" borderId="0">
      <alignment horizontal="left"/>
    </xf>
    <xf numFmtId="0" fontId="63" fillId="86" borderId="0">
      <alignment horizontal="centerContinuous"/>
    </xf>
    <xf numFmtId="0" fontId="63" fillId="86" borderId="0">
      <alignment horizontal="right"/>
    </xf>
    <xf numFmtId="49" fontId="107" fillId="61" borderId="0">
      <alignment horizontal="left"/>
    </xf>
    <xf numFmtId="0" fontId="93" fillId="86" borderId="0">
      <alignment horizontal="right"/>
    </xf>
    <xf numFmtId="0" fontId="3" fillId="0" borderId="0" applyNumberFormat="0" applyFill="0" applyBorder="0" applyAlignment="0" applyProtection="0"/>
    <xf numFmtId="0" fontId="25" fillId="61" borderId="168" applyNumberFormat="0" applyAlignment="0" applyProtection="0"/>
    <xf numFmtId="0" fontId="121" fillId="7" borderId="0">
      <alignment horizontal="center"/>
    </xf>
    <xf numFmtId="0" fontId="122" fillId="7" borderId="0">
      <alignment horizont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8" applyNumberFormat="0" applyProtection="0">
      <alignment vertical="center"/>
    </xf>
    <xf numFmtId="4" fontId="6" fillId="22" borderId="168"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22" borderId="168"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22" borderId="168" applyNumberFormat="0" applyProtection="0">
      <alignment horizontal="left" vertical="center" indent="1" justifyLastLine="1"/>
    </xf>
    <xf numFmtId="4" fontId="6" fillId="22" borderId="168" applyNumberFormat="0" applyProtection="0">
      <alignment horizontal="left" vertical="center" indent="1" justifyLastLine="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0" fontId="94" fillId="22" borderId="169" applyNumberFormat="0" applyProtection="0">
      <alignment horizontal="left" vertical="top"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14" borderId="168" applyNumberFormat="0" applyProtection="0">
      <alignment horizontal="left" vertical="center" indent="1" justifyLastLine="1"/>
    </xf>
    <xf numFmtId="4" fontId="6" fillId="14" borderId="168" applyNumberFormat="0" applyProtection="0">
      <alignment horizontal="left" vertical="center" indent="1" justifyLastLine="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8" applyNumberFormat="0" applyProtection="0">
      <alignment horizontal="right" vertical="center"/>
    </xf>
    <xf numFmtId="4" fontId="6" fillId="3" borderId="168"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8" applyNumberFormat="0" applyProtection="0">
      <alignment horizontal="right" vertical="center"/>
    </xf>
    <xf numFmtId="4" fontId="6" fillId="86" borderId="168"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8" applyNumberFormat="0" applyProtection="0">
      <alignment horizontal="right" vertical="center"/>
    </xf>
    <xf numFmtId="4" fontId="6" fillId="11" borderId="168"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8" applyNumberFormat="0" applyProtection="0">
      <alignment horizontal="right" vertical="center"/>
    </xf>
    <xf numFmtId="4" fontId="6" fillId="15" borderId="168"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8" applyNumberFormat="0" applyProtection="0">
      <alignment horizontal="right" vertical="center"/>
    </xf>
    <xf numFmtId="4" fontId="6" fillId="19" borderId="168"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8" applyNumberFormat="0" applyProtection="0">
      <alignment horizontal="right" vertical="center"/>
    </xf>
    <xf numFmtId="4" fontId="6" fillId="18" borderId="168"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8" applyNumberFormat="0" applyProtection="0">
      <alignment horizontal="right" vertical="center"/>
    </xf>
    <xf numFmtId="4" fontId="6" fillId="92" borderId="168"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8" applyNumberFormat="0" applyProtection="0">
      <alignment horizontal="right" vertical="center"/>
    </xf>
    <xf numFmtId="4" fontId="6" fillId="10" borderId="168"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4" borderId="168" applyNumberFormat="0" applyProtection="0">
      <alignment horizontal="left" vertical="center" indent="1" justifyLastLine="1"/>
    </xf>
    <xf numFmtId="4" fontId="6" fillId="94" borderId="168" applyNumberFormat="0" applyProtection="0">
      <alignment horizontal="left" vertical="center" indent="1" justifyLastLine="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87" borderId="168" applyNumberFormat="0" applyProtection="0">
      <alignment horizontal="left" vertical="center" indent="1" justifyLastLine="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87" borderId="168" applyNumberFormat="0" applyProtection="0">
      <alignment horizontal="left" vertical="center" indent="1"/>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8" applyNumberFormat="0" applyProtection="0">
      <alignment horizontal="right" vertical="center"/>
    </xf>
    <xf numFmtId="4" fontId="6" fillId="95" borderId="168"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justifyLastLine="1"/>
    </xf>
    <xf numFmtId="4" fontId="6" fillId="63" borderId="168" applyNumberFormat="0" applyProtection="0">
      <alignment horizontal="left" vertical="center" indent="1" justifyLastLine="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justifyLastLine="1"/>
    </xf>
    <xf numFmtId="4" fontId="6" fillId="95" borderId="168" applyNumberFormat="0" applyProtection="0">
      <alignment horizontal="left" vertical="center" indent="1" justifyLastLine="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8" applyNumberFormat="0" applyProtection="0">
      <alignment horizontal="left" vertical="center" indent="1" justifyLastLine="1"/>
    </xf>
    <xf numFmtId="0" fontId="6" fillId="20" borderId="168" applyNumberFormat="0" applyProtection="0">
      <alignment horizontal="left" vertical="center" indent="1" justifyLastLine="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6" fillId="96" borderId="169" applyNumberFormat="0" applyProtection="0">
      <alignment horizontal="left" vertical="top" indent="1"/>
    </xf>
    <xf numFmtId="0" fontId="6" fillId="96" borderId="169" applyNumberFormat="0" applyProtection="0">
      <alignment horizontal="left" vertical="top" indent="1"/>
    </xf>
    <xf numFmtId="0" fontId="114" fillId="87" borderId="169" applyNumberFormat="0" applyProtection="0">
      <alignment horizontal="left" vertical="top" indent="1"/>
    </xf>
    <xf numFmtId="0" fontId="6" fillId="96"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8" applyNumberFormat="0" applyProtection="0">
      <alignment horizontal="left" vertical="center" indent="1" justifyLastLine="1"/>
    </xf>
    <xf numFmtId="0" fontId="6" fillId="97" borderId="168" applyNumberFormat="0" applyProtection="0">
      <alignment horizontal="left" vertical="center" indent="1" justifyLastLine="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6" fillId="95" borderId="169" applyNumberFormat="0" applyProtection="0">
      <alignment horizontal="left" vertical="top" indent="1"/>
    </xf>
    <xf numFmtId="0" fontId="6" fillId="95" borderId="169" applyNumberFormat="0" applyProtection="0">
      <alignment horizontal="left" vertical="top" indent="1"/>
    </xf>
    <xf numFmtId="0" fontId="114" fillId="95" borderId="169" applyNumberFormat="0" applyProtection="0">
      <alignment horizontal="left" vertical="top" indent="1"/>
    </xf>
    <xf numFmtId="0" fontId="6"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8" applyNumberFormat="0" applyProtection="0">
      <alignment horizontal="left" vertical="center" indent="1" justifyLastLine="1"/>
    </xf>
    <xf numFmtId="0" fontId="6" fillId="8" borderId="168" applyNumberFormat="0" applyProtection="0">
      <alignment horizontal="left" vertical="center" indent="1" justifyLastLine="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6" fillId="8" borderId="169" applyNumberFormat="0" applyProtection="0">
      <alignment horizontal="left" vertical="top" indent="1"/>
    </xf>
    <xf numFmtId="0" fontId="6" fillId="8" borderId="169" applyNumberFormat="0" applyProtection="0">
      <alignment horizontal="left" vertical="top" indent="1"/>
    </xf>
    <xf numFmtId="0" fontId="114" fillId="8" borderId="169" applyNumberFormat="0" applyProtection="0">
      <alignment horizontal="left" vertical="top" indent="1"/>
    </xf>
    <xf numFmtId="0" fontId="6"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8" applyNumberFormat="0" applyProtection="0">
      <alignment horizontal="left" vertical="center" indent="1" justifyLastLine="1"/>
    </xf>
    <xf numFmtId="0" fontId="6" fillId="63" borderId="168" applyNumberFormat="0" applyProtection="0">
      <alignment horizontal="left" vertical="center" indent="1" justifyLastLine="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6" fillId="63" borderId="169" applyNumberFormat="0" applyProtection="0">
      <alignment horizontal="left" vertical="top" indent="1"/>
    </xf>
    <xf numFmtId="0" fontId="6" fillId="63" borderId="169" applyNumberFormat="0" applyProtection="0">
      <alignment horizontal="left" vertical="top" indent="1"/>
    </xf>
    <xf numFmtId="0" fontId="114" fillId="63" borderId="169" applyNumberFormat="0" applyProtection="0">
      <alignment horizontal="left" vertical="top" indent="1"/>
    </xf>
    <xf numFmtId="0" fontId="6"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6" fillId="61" borderId="170" applyNumberFormat="0">
      <protection locked="0"/>
    </xf>
    <xf numFmtId="0" fontId="6" fillId="61" borderId="170" applyNumberFormat="0">
      <protection locked="0"/>
    </xf>
    <xf numFmtId="0" fontId="114" fillId="61" borderId="170" applyNumberFormat="0">
      <protection locked="0"/>
    </xf>
    <xf numFmtId="0" fontId="6"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24" fillId="87" borderId="171" applyBorder="0"/>
    <xf numFmtId="4" fontId="121" fillId="23" borderId="169"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6" fillId="0" borderId="13" applyNumberFormat="0" applyProtection="0">
      <alignment vertical="center"/>
    </xf>
    <xf numFmtId="4" fontId="6" fillId="0" borderId="13" applyNumberFormat="0" applyProtection="0">
      <alignment vertical="center"/>
    </xf>
    <xf numFmtId="4" fontId="6" fillId="0" borderId="13" applyNumberFormat="0" applyProtection="0">
      <alignment vertical="center"/>
    </xf>
    <xf numFmtId="4" fontId="123" fillId="29" borderId="13" applyNumberFormat="0" applyProtection="0">
      <alignment vertical="center"/>
    </xf>
    <xf numFmtId="4" fontId="6" fillId="0"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1" fillId="20" borderId="169" applyNumberFormat="0" applyProtection="0">
      <alignment horizontal="left" vertical="center" indent="1"/>
    </xf>
    <xf numFmtId="0" fontId="121" fillId="23" borderId="169" applyNumberFormat="0" applyProtection="0">
      <alignment horizontal="left" vertical="top" indent="1"/>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8" applyNumberFormat="0" applyProtection="0">
      <alignment horizontal="right" vertical="center"/>
    </xf>
    <xf numFmtId="4" fontId="6" fillId="0" borderId="168"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61" borderId="168"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8" applyNumberFormat="0" applyProtection="0">
      <alignment horizontal="left" vertical="center" indent="1" justifyLastLine="1"/>
    </xf>
    <xf numFmtId="4" fontId="6" fillId="14" borderId="168" applyNumberFormat="0" applyProtection="0">
      <alignment horizontal="left" vertical="center" indent="1" justifyLastLine="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0" fontId="121" fillId="95" borderId="169" applyNumberFormat="0" applyProtection="0">
      <alignment horizontal="left" vertical="top"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justifyLastLine="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0" fontId="6" fillId="99" borderId="13"/>
    <xf numFmtId="0" fontId="6" fillId="99" borderId="13"/>
    <xf numFmtId="0" fontId="6" fillId="99" borderId="13"/>
    <xf numFmtId="0" fontId="6" fillId="99" borderId="13"/>
    <xf numFmtId="0" fontId="6" fillId="99" borderId="13"/>
    <xf numFmtId="0" fontId="6" fillId="99" borderId="13"/>
    <xf numFmtId="0" fontId="6" fillId="99" borderId="13"/>
    <xf numFmtId="0" fontId="6" fillId="99" borderId="13"/>
    <xf numFmtId="0" fontId="6" fillId="99" borderId="13"/>
    <xf numFmtId="0" fontId="6" fillId="99" borderId="13"/>
    <xf numFmtId="0" fontId="6" fillId="99" borderId="13"/>
    <xf numFmtId="0" fontId="6" fillId="99" borderId="13"/>
    <xf numFmtId="0" fontId="6" fillId="0" borderId="13"/>
    <xf numFmtId="0" fontId="6" fillId="0" borderId="13"/>
    <xf numFmtId="0" fontId="6" fillId="0" borderId="13"/>
    <xf numFmtId="0" fontId="6" fillId="99" borderId="13"/>
    <xf numFmtId="0" fontId="6" fillId="0" borderId="13"/>
    <xf numFmtId="0" fontId="6" fillId="99" borderId="13"/>
    <xf numFmtId="0" fontId="6" fillId="99" borderId="13"/>
    <xf numFmtId="0" fontId="6" fillId="99" borderId="13"/>
    <xf numFmtId="0" fontId="6" fillId="99" borderId="13"/>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6" fillId="0" borderId="13" applyNumberFormat="0" applyProtection="0">
      <alignment horizontal="right" vertical="center"/>
    </xf>
    <xf numFmtId="4" fontId="6" fillId="0" borderId="13" applyNumberFormat="0" applyProtection="0">
      <alignment horizontal="right" vertical="center"/>
    </xf>
    <xf numFmtId="4" fontId="6" fillId="0" borderId="13" applyNumberFormat="0" applyProtection="0">
      <alignment horizontal="right" vertical="center"/>
    </xf>
    <xf numFmtId="4" fontId="126" fillId="61" borderId="161" applyNumberFormat="0" applyProtection="0">
      <alignment horizontal="right" vertical="center"/>
    </xf>
    <xf numFmtId="4" fontId="6" fillId="0" borderId="13"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0" fontId="16" fillId="4" borderId="0" applyNumberFormat="0" applyBorder="0" applyAlignment="0" applyProtection="0"/>
    <xf numFmtId="166" fontId="3" fillId="0" borderId="0" applyFont="0" applyFill="0" applyBorder="0" applyAlignment="0" applyProtection="0"/>
    <xf numFmtId="164" fontId="3" fillId="0" borderId="0" applyFont="0" applyFill="0" applyBorder="0" applyAlignment="0" applyProtection="0"/>
    <xf numFmtId="0" fontId="127" fillId="0" borderId="0" applyNumberFormat="0" applyFill="0" applyBorder="0" applyAlignment="0" applyProtection="0"/>
    <xf numFmtId="0" fontId="23" fillId="20" borderId="1" applyNumberFormat="0" applyAlignment="0" applyProtection="0"/>
    <xf numFmtId="0" fontId="106" fillId="0" borderId="0"/>
    <xf numFmtId="0" fontId="3" fillId="0" borderId="0"/>
    <xf numFmtId="0" fontId="3" fillId="0" borderId="0"/>
    <xf numFmtId="0" fontId="2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 fillId="0" borderId="0" applyNumberFormat="0" applyFill="0" applyBorder="0" applyAlignment="0" applyProtection="0"/>
    <xf numFmtId="0" fontId="15" fillId="0" borderId="0" applyNumberFormat="0" applyFill="0" applyBorder="0" applyAlignment="0" applyProtection="0"/>
    <xf numFmtId="0" fontId="24" fillId="0" borderId="0" applyNumberFormat="0" applyFill="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4" fillId="0" borderId="0" applyNumberFormat="0" applyFill="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30" fillId="0" borderId="172" applyNumberFormat="0" applyFill="0" applyAlignment="0" applyProtection="0"/>
    <xf numFmtId="0" fontId="131" fillId="0" borderId="172" applyNumberFormat="0" applyFill="0" applyAlignment="0" applyProtection="0"/>
    <xf numFmtId="0" fontId="96" fillId="0" borderId="173" applyNumberFormat="0" applyFill="0" applyAlignment="0" applyProtection="0"/>
    <xf numFmtId="0" fontId="25" fillId="0" borderId="174" applyNumberFormat="0" applyFill="0" applyAlignment="0" applyProtection="0"/>
    <xf numFmtId="0" fontId="25" fillId="0" borderId="4" applyNumberFormat="0" applyFill="0" applyAlignment="0" applyProtection="0"/>
    <xf numFmtId="164" fontId="3" fillId="0" borderId="0" applyFont="0" applyFill="0" applyBorder="0" applyAlignment="0" applyProtection="0"/>
    <xf numFmtId="0" fontId="132" fillId="61" borderId="0">
      <alignment horizontal="center"/>
    </xf>
    <xf numFmtId="0" fontId="12" fillId="3" borderId="0" applyNumberFormat="0" applyBorder="0" applyAlignment="0" applyProtection="0"/>
    <xf numFmtId="0" fontId="16" fillId="4" borderId="0" applyNumberFormat="0" applyBorder="0" applyAlignment="0" applyProtection="0"/>
    <xf numFmtId="165" fontId="3" fillId="0" borderId="0" applyFont="0" applyFill="0" applyBorder="0" applyAlignment="0" applyProtection="0"/>
    <xf numFmtId="205" fontId="3" fillId="0" borderId="0" applyFont="0" applyFill="0" applyBorder="0" applyAlignment="0" applyProtection="0"/>
    <xf numFmtId="206" fontId="105" fillId="0" borderId="0" applyFont="0" applyFill="0" applyBorder="0" applyAlignment="0" applyProtection="0"/>
    <xf numFmtId="0" fontId="14" fillId="21" borderId="3" applyNumberFormat="0" applyAlignment="0" applyProtection="0"/>
    <xf numFmtId="205" fontId="3" fillId="0" borderId="0" applyFont="0" applyFill="0" applyBorder="0" applyAlignment="0" applyProtection="0"/>
    <xf numFmtId="207" fontId="3" fillId="0" borderId="0" applyFont="0" applyFill="0" applyBorder="0" applyAlignment="0" applyProtection="0"/>
    <xf numFmtId="205" fontId="3" fillId="0" borderId="0" applyFont="0" applyFill="0" applyBorder="0" applyAlignment="0" applyProtection="0"/>
    <xf numFmtId="207" fontId="3" fillId="0" borderId="0" applyFont="0" applyFill="0" applyBorder="0" applyAlignment="0" applyProtection="0"/>
    <xf numFmtId="208" fontId="106" fillId="0" borderId="0" applyFont="0" applyFill="0" applyBorder="0" applyAlignment="0" applyProtection="0"/>
    <xf numFmtId="209" fontId="106" fillId="0" borderId="0" applyFont="0" applyFill="0" applyBorder="0" applyAlignment="0" applyProtection="0"/>
    <xf numFmtId="196" fontId="3" fillId="0" borderId="0" applyFont="0" applyFill="0" applyBorder="0" applyAlignment="0" applyProtection="0"/>
    <xf numFmtId="197" fontId="3" fillId="0" borderId="0" applyFont="0" applyFill="0" applyBorder="0" applyAlignment="0" applyProtection="0"/>
    <xf numFmtId="0" fontId="133" fillId="0" borderId="0" applyNumberFormat="0" applyFill="0" applyBorder="0" applyAlignment="0" applyProtection="0"/>
    <xf numFmtId="0" fontId="134" fillId="0" borderId="0"/>
    <xf numFmtId="0" fontId="3" fillId="0" borderId="0"/>
    <xf numFmtId="0" fontId="135" fillId="0" borderId="0" applyNumberFormat="0" applyFill="0" applyBorder="0" applyAlignment="0" applyProtection="0">
      <alignment vertical="top"/>
      <protection locked="0"/>
    </xf>
    <xf numFmtId="166" fontId="136" fillId="0" borderId="0" applyFont="0" applyFill="0" applyBorder="0" applyAlignment="0" applyProtection="0">
      <alignment vertical="center"/>
    </xf>
    <xf numFmtId="166" fontId="3" fillId="0" borderId="0" applyFont="0" applyFill="0" applyBorder="0" applyAlignment="0" applyProtection="0"/>
    <xf numFmtId="164" fontId="3" fillId="0" borderId="0" applyFont="0" applyFill="0" applyBorder="0" applyAlignment="0" applyProtection="0"/>
    <xf numFmtId="205" fontId="3" fillId="0" borderId="0" applyFont="0" applyFill="0" applyBorder="0" applyAlignment="0" applyProtection="0"/>
    <xf numFmtId="207" fontId="3" fillId="0" borderId="0" applyFont="0" applyFill="0" applyBorder="0" applyAlignment="0" applyProtection="0"/>
    <xf numFmtId="0" fontId="3" fillId="0" borderId="0"/>
    <xf numFmtId="0" fontId="137"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6" fontId="3" fillId="0" borderId="0" applyFont="0" applyFill="0" applyBorder="0" applyAlignment="0" applyProtection="0"/>
    <xf numFmtId="164" fontId="3" fillId="0" borderId="0" applyFont="0" applyFill="0" applyBorder="0" applyAlignment="0" applyProtection="0"/>
    <xf numFmtId="0" fontId="138" fillId="0" borderId="0" applyNumberFormat="0" applyFill="0" applyBorder="0" applyAlignment="0" applyProtection="0"/>
    <xf numFmtId="0" fontId="139" fillId="0" borderId="0"/>
    <xf numFmtId="0" fontId="3" fillId="0" borderId="0"/>
    <xf numFmtId="0" fontId="3" fillId="0" borderId="0"/>
    <xf numFmtId="0" fontId="3" fillId="0" borderId="0"/>
    <xf numFmtId="0" fontId="142" fillId="2" borderId="0" applyNumberFormat="0" applyBorder="0" applyAlignment="0" applyProtection="0"/>
    <xf numFmtId="0" fontId="142" fillId="2" borderId="0" applyNumberFormat="0" applyBorder="0" applyAlignment="0" applyProtection="0"/>
    <xf numFmtId="0" fontId="142" fillId="3" borderId="0" applyNumberFormat="0" applyBorder="0" applyAlignment="0" applyProtection="0"/>
    <xf numFmtId="0" fontId="142" fillId="3" borderId="0" applyNumberFormat="0" applyBorder="0" applyAlignment="0" applyProtection="0"/>
    <xf numFmtId="0" fontId="142" fillId="4" borderId="0" applyNumberFormat="0" applyBorder="0" applyAlignment="0" applyProtection="0"/>
    <xf numFmtId="0" fontId="142" fillId="4" borderId="0" applyNumberFormat="0" applyBorder="0" applyAlignment="0" applyProtection="0"/>
    <xf numFmtId="0" fontId="142" fillId="5" borderId="0" applyNumberFormat="0" applyBorder="0" applyAlignment="0" applyProtection="0"/>
    <xf numFmtId="0" fontId="142" fillId="5" borderId="0" applyNumberFormat="0" applyBorder="0" applyAlignment="0" applyProtection="0"/>
    <xf numFmtId="0" fontId="142" fillId="6" borderId="0" applyNumberFormat="0" applyBorder="0" applyAlignment="0" applyProtection="0"/>
    <xf numFmtId="0" fontId="142" fillId="6" borderId="0" applyNumberFormat="0" applyBorder="0" applyAlignment="0" applyProtection="0"/>
    <xf numFmtId="0" fontId="142" fillId="7" borderId="0" applyNumberFormat="0" applyBorder="0" applyAlignment="0" applyProtection="0"/>
    <xf numFmtId="0" fontId="142" fillId="7" borderId="0" applyNumberFormat="0" applyBorder="0" applyAlignment="0" applyProtection="0"/>
    <xf numFmtId="0" fontId="142" fillId="8" borderId="0" applyNumberFormat="0" applyBorder="0" applyAlignment="0" applyProtection="0"/>
    <xf numFmtId="0" fontId="142" fillId="8" borderId="0" applyNumberFormat="0" applyBorder="0" applyAlignment="0" applyProtection="0"/>
    <xf numFmtId="0" fontId="142" fillId="9" borderId="0" applyNumberFormat="0" applyBorder="0" applyAlignment="0" applyProtection="0"/>
    <xf numFmtId="0" fontId="142" fillId="9"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5" borderId="0" applyNumberFormat="0" applyBorder="0" applyAlignment="0" applyProtection="0"/>
    <xf numFmtId="0" fontId="142" fillId="5" borderId="0" applyNumberFormat="0" applyBorder="0" applyAlignment="0" applyProtection="0"/>
    <xf numFmtId="0" fontId="142" fillId="8" borderId="0" applyNumberFormat="0" applyBorder="0" applyAlignment="0" applyProtection="0"/>
    <xf numFmtId="0" fontId="142" fillId="8"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57" fillId="0" borderId="0" applyNumberFormat="0" applyFont="0" applyFill="0" applyBorder="0" applyProtection="0">
      <alignment horizontal="left" vertical="center" indent="5"/>
    </xf>
    <xf numFmtId="0" fontId="143" fillId="12" borderId="0" applyNumberFormat="0" applyBorder="0" applyAlignment="0" applyProtection="0"/>
    <xf numFmtId="0" fontId="11" fillId="12" borderId="0" applyNumberFormat="0" applyBorder="0" applyAlignment="0" applyProtection="0"/>
    <xf numFmtId="0" fontId="143" fillId="12" borderId="0" applyNumberFormat="0" applyBorder="0" applyAlignment="0" applyProtection="0"/>
    <xf numFmtId="0" fontId="143" fillId="9" borderId="0" applyNumberFormat="0" applyBorder="0" applyAlignment="0" applyProtection="0"/>
    <xf numFmtId="0" fontId="11" fillId="9" borderId="0" applyNumberFormat="0" applyBorder="0" applyAlignment="0" applyProtection="0"/>
    <xf numFmtId="0" fontId="143" fillId="9" borderId="0" applyNumberFormat="0" applyBorder="0" applyAlignment="0" applyProtection="0"/>
    <xf numFmtId="0" fontId="143" fillId="10" borderId="0" applyNumberFormat="0" applyBorder="0" applyAlignment="0" applyProtection="0"/>
    <xf numFmtId="0" fontId="11" fillId="10" borderId="0" applyNumberFormat="0" applyBorder="0" applyAlignment="0" applyProtection="0"/>
    <xf numFmtId="0" fontId="143" fillId="10" borderId="0" applyNumberFormat="0" applyBorder="0" applyAlignment="0" applyProtection="0"/>
    <xf numFmtId="0" fontId="143" fillId="13" borderId="0" applyNumberFormat="0" applyBorder="0" applyAlignment="0" applyProtection="0"/>
    <xf numFmtId="0" fontId="11" fillId="13" borderId="0" applyNumberFormat="0" applyBorder="0" applyAlignment="0" applyProtection="0"/>
    <xf numFmtId="0" fontId="143" fillId="13" borderId="0" applyNumberFormat="0" applyBorder="0" applyAlignment="0" applyProtection="0"/>
    <xf numFmtId="0" fontId="143" fillId="14" borderId="0" applyNumberFormat="0" applyBorder="0" applyAlignment="0" applyProtection="0"/>
    <xf numFmtId="0" fontId="11" fillId="14" borderId="0" applyNumberFormat="0" applyBorder="0" applyAlignment="0" applyProtection="0"/>
    <xf numFmtId="0" fontId="143" fillId="14" borderId="0" applyNumberFormat="0" applyBorder="0" applyAlignment="0" applyProtection="0"/>
    <xf numFmtId="0" fontId="143" fillId="15" borderId="0" applyNumberFormat="0" applyBorder="0" applyAlignment="0" applyProtection="0"/>
    <xf numFmtId="0" fontId="11" fillId="15" borderId="0" applyNumberFormat="0" applyBorder="0" applyAlignment="0" applyProtection="0"/>
    <xf numFmtId="0" fontId="143" fillId="15" borderId="0" applyNumberFormat="0" applyBorder="0" applyAlignment="0" applyProtection="0"/>
    <xf numFmtId="0" fontId="143" fillId="16" borderId="0" applyNumberFormat="0" applyBorder="0" applyAlignment="0" applyProtection="0"/>
    <xf numFmtId="0" fontId="11" fillId="16" borderId="0" applyNumberFormat="0" applyBorder="0" applyAlignment="0" applyProtection="0"/>
    <xf numFmtId="0" fontId="143" fillId="16" borderId="0" applyNumberFormat="0" applyBorder="0" applyAlignment="0" applyProtection="0"/>
    <xf numFmtId="0" fontId="143" fillId="17" borderId="0" applyNumberFormat="0" applyBorder="0" applyAlignment="0" applyProtection="0"/>
    <xf numFmtId="0" fontId="11" fillId="17" borderId="0" applyNumberFormat="0" applyBorder="0" applyAlignment="0" applyProtection="0"/>
    <xf numFmtId="0" fontId="143" fillId="17" borderId="0" applyNumberFormat="0" applyBorder="0" applyAlignment="0" applyProtection="0"/>
    <xf numFmtId="0" fontId="143" fillId="18" borderId="0" applyNumberFormat="0" applyBorder="0" applyAlignment="0" applyProtection="0"/>
    <xf numFmtId="0" fontId="11" fillId="18" borderId="0" applyNumberFormat="0" applyBorder="0" applyAlignment="0" applyProtection="0"/>
    <xf numFmtId="0" fontId="143" fillId="18" borderId="0" applyNumberFormat="0" applyBorder="0" applyAlignment="0" applyProtection="0"/>
    <xf numFmtId="0" fontId="143" fillId="13" borderId="0" applyNumberFormat="0" applyBorder="0" applyAlignment="0" applyProtection="0"/>
    <xf numFmtId="0" fontId="11" fillId="13" borderId="0" applyNumberFormat="0" applyBorder="0" applyAlignment="0" applyProtection="0"/>
    <xf numFmtId="0" fontId="143" fillId="13" borderId="0" applyNumberFormat="0" applyBorder="0" applyAlignment="0" applyProtection="0"/>
    <xf numFmtId="0" fontId="143" fillId="14" borderId="0" applyNumberFormat="0" applyBorder="0" applyAlignment="0" applyProtection="0"/>
    <xf numFmtId="0" fontId="11" fillId="14" borderId="0" applyNumberFormat="0" applyBorder="0" applyAlignment="0" applyProtection="0"/>
    <xf numFmtId="0" fontId="143" fillId="14" borderId="0" applyNumberFormat="0" applyBorder="0" applyAlignment="0" applyProtection="0"/>
    <xf numFmtId="0" fontId="143" fillId="19" borderId="0" applyNumberFormat="0" applyBorder="0" applyAlignment="0" applyProtection="0"/>
    <xf numFmtId="0" fontId="11" fillId="19" borderId="0" applyNumberFormat="0" applyBorder="0" applyAlignment="0" applyProtection="0"/>
    <xf numFmtId="0" fontId="143" fillId="19" borderId="0" applyNumberFormat="0" applyBorder="0" applyAlignment="0" applyProtection="0"/>
    <xf numFmtId="4" fontId="54" fillId="35" borderId="13">
      <alignment horizontal="right" vertical="center"/>
    </xf>
    <xf numFmtId="0" fontId="144" fillId="3" borderId="0" applyNumberFormat="0" applyBorder="0" applyAlignment="0" applyProtection="0"/>
    <xf numFmtId="0" fontId="12" fillId="3" borderId="0" applyNumberFormat="0" applyBorder="0" applyAlignment="0" applyProtection="0"/>
    <xf numFmtId="0" fontId="144" fillId="3" borderId="0" applyNumberFormat="0" applyBorder="0" applyAlignment="0" applyProtection="0"/>
    <xf numFmtId="0" fontId="168" fillId="101" borderId="0" applyNumberFormat="0" applyBorder="0" applyAlignment="0" applyProtection="0"/>
    <xf numFmtId="4" fontId="158" fillId="0" borderId="11" applyFill="0" applyBorder="0" applyProtection="0">
      <alignment horizontal="right" vertical="center"/>
    </xf>
    <xf numFmtId="0" fontId="145" fillId="20" borderId="2" applyNumberFormat="0" applyAlignment="0" applyProtection="0"/>
    <xf numFmtId="0" fontId="13" fillId="20" borderId="2" applyNumberFormat="0" applyAlignment="0" applyProtection="0"/>
    <xf numFmtId="0" fontId="145" fillId="20" borderId="2" applyNumberFormat="0" applyAlignment="0" applyProtection="0"/>
    <xf numFmtId="0" fontId="4" fillId="21" borderId="3" applyNumberFormat="0" applyAlignment="0" applyProtection="0"/>
    <xf numFmtId="0" fontId="14" fillId="21" borderId="3" applyNumberFormat="0" applyAlignment="0" applyProtection="0"/>
    <xf numFmtId="0" fontId="4" fillId="21" borderId="3" applyNumberFormat="0" applyAlignment="0" applyProtection="0"/>
    <xf numFmtId="164" fontId="3" fillId="0" borderId="0" applyFont="0" applyFill="0" applyBorder="0" applyAlignment="0" applyProtection="0"/>
    <xf numFmtId="164" fontId="84" fillId="0" borderId="0" applyFont="0" applyFill="0" applyBorder="0" applyAlignment="0" applyProtection="0"/>
    <xf numFmtId="164" fontId="13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6" fillId="0" borderId="0" applyFont="0" applyFill="0" applyBorder="0" applyAlignment="0" applyProtection="0"/>
    <xf numFmtId="164" fontId="85" fillId="0" borderId="0" applyFont="0" applyFill="0" applyBorder="0" applyAlignment="0" applyProtection="0"/>
    <xf numFmtId="164" fontId="106" fillId="0" borderId="0" applyFont="0" applyFill="0" applyBorder="0" applyAlignment="0" applyProtection="0"/>
    <xf numFmtId="164" fontId="85" fillId="0" borderId="0" applyFont="0" applyFill="0" applyBorder="0" applyAlignment="0" applyProtection="0"/>
    <xf numFmtId="164" fontId="3" fillId="0" borderId="0" applyFont="0" applyFill="0" applyBorder="0" applyAlignment="0" applyProtection="0"/>
    <xf numFmtId="164" fontId="106" fillId="0" borderId="0" applyFont="0" applyFill="0" applyBorder="0" applyAlignment="0" applyProtection="0"/>
    <xf numFmtId="164" fontId="3" fillId="0" borderId="0" applyFont="0" applyFill="0" applyBorder="0" applyAlignment="0" applyProtection="0"/>
    <xf numFmtId="164" fontId="106"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11" fontId="106" fillId="0" borderId="0" applyFont="0" applyFill="0" applyBorder="0" applyAlignment="0" applyProtection="0"/>
    <xf numFmtId="0" fontId="146" fillId="0" borderId="0" applyNumberFormat="0" applyFill="0" applyBorder="0" applyAlignment="0" applyProtection="0"/>
    <xf numFmtId="0" fontId="15" fillId="0" borderId="0" applyNumberFormat="0" applyFill="0" applyBorder="0" applyAlignment="0" applyProtection="0"/>
    <xf numFmtId="0" fontId="146" fillId="0" borderId="0" applyNumberFormat="0" applyFill="0" applyBorder="0" applyAlignment="0" applyProtection="0"/>
    <xf numFmtId="0" fontId="147" fillId="4" borderId="0" applyNumberFormat="0" applyBorder="0" applyAlignment="0" applyProtection="0"/>
    <xf numFmtId="0" fontId="16" fillId="4" borderId="0" applyNumberFormat="0" applyBorder="0" applyAlignment="0" applyProtection="0"/>
    <xf numFmtId="0" fontId="147" fillId="4" borderId="0" applyNumberFormat="0" applyBorder="0" applyAlignment="0" applyProtection="0"/>
    <xf numFmtId="0" fontId="169" fillId="102" borderId="0" applyNumberFormat="0" applyBorder="0" applyAlignment="0" applyProtection="0"/>
    <xf numFmtId="210" fontId="141" fillId="0" borderId="0">
      <alignment horizontal="left" vertical="center"/>
    </xf>
    <xf numFmtId="0" fontId="148" fillId="0" borderId="5" applyNumberFormat="0" applyFill="0" applyAlignment="0" applyProtection="0"/>
    <xf numFmtId="0" fontId="17" fillId="0" borderId="5" applyNumberFormat="0" applyFill="0" applyAlignment="0" applyProtection="0"/>
    <xf numFmtId="0" fontId="148" fillId="0" borderId="5" applyNumberFormat="0" applyFill="0" applyAlignment="0" applyProtection="0"/>
    <xf numFmtId="0" fontId="149" fillId="0" borderId="6" applyNumberFormat="0" applyFill="0" applyAlignment="0" applyProtection="0"/>
    <xf numFmtId="0" fontId="18" fillId="0" borderId="6" applyNumberFormat="0" applyFill="0" applyAlignment="0" applyProtection="0"/>
    <xf numFmtId="0" fontId="149" fillId="0" borderId="6" applyNumberFormat="0" applyFill="0" applyAlignment="0" applyProtection="0"/>
    <xf numFmtId="0" fontId="150" fillId="0" borderId="7" applyNumberFormat="0" applyFill="0" applyAlignment="0" applyProtection="0"/>
    <xf numFmtId="0" fontId="19" fillId="0" borderId="7" applyNumberFormat="0" applyFill="0" applyAlignment="0" applyProtection="0"/>
    <xf numFmtId="0" fontId="150" fillId="0" borderId="7" applyNumberFormat="0" applyFill="0" applyAlignment="0" applyProtection="0"/>
    <xf numFmtId="0" fontId="150" fillId="0" borderId="0" applyNumberFormat="0" applyFill="0" applyBorder="0" applyAlignment="0" applyProtection="0"/>
    <xf numFmtId="0" fontId="19" fillId="0" borderId="0" applyNumberFormat="0" applyFill="0" applyBorder="0" applyAlignment="0" applyProtection="0"/>
    <xf numFmtId="0" fontId="150" fillId="0" borderId="0" applyNumberFormat="0" applyFill="0" applyBorder="0" applyAlignment="0" applyProtection="0"/>
    <xf numFmtId="210" fontId="141" fillId="0" borderId="0">
      <alignment horizontal="left" vertical="center"/>
    </xf>
    <xf numFmtId="210" fontId="141" fillId="0" borderId="0">
      <alignment horizontal="left" vertical="center"/>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51" fillId="7" borderId="2" applyNumberFormat="0" applyAlignment="0" applyProtection="0"/>
    <xf numFmtId="0" fontId="20" fillId="7" borderId="2" applyNumberFormat="0" applyAlignment="0" applyProtection="0"/>
    <xf numFmtId="0" fontId="151" fillId="7" borderId="2" applyNumberFormat="0" applyAlignment="0" applyProtection="0"/>
    <xf numFmtId="4" fontId="54" fillId="0" borderId="60">
      <alignment horizontal="right" vertical="center"/>
    </xf>
    <xf numFmtId="0" fontId="152" fillId="0" borderId="8" applyNumberFormat="0" applyFill="0" applyAlignment="0" applyProtection="0"/>
    <xf numFmtId="0" fontId="21" fillId="0" borderId="8" applyNumberFormat="0" applyFill="0" applyAlignment="0" applyProtection="0"/>
    <xf numFmtId="0" fontId="152" fillId="0" borderId="8" applyNumberFormat="0" applyFill="0" applyAlignment="0" applyProtection="0"/>
    <xf numFmtId="0" fontId="153" fillId="22" borderId="0" applyNumberFormat="0" applyBorder="0" applyAlignment="0" applyProtection="0"/>
    <xf numFmtId="0" fontId="22" fillId="22" borderId="0" applyNumberFormat="0" applyBorder="0" applyAlignment="0" applyProtection="0"/>
    <xf numFmtId="0" fontId="153" fillId="22" borderId="0" applyNumberFormat="0" applyBorder="0" applyAlignment="0" applyProtection="0"/>
    <xf numFmtId="0" fontId="1"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0" fontId="3" fillId="0" borderId="0"/>
    <xf numFmtId="0" fontId="3" fillId="0" borderId="0"/>
    <xf numFmtId="213" fontId="85" fillId="0" borderId="0"/>
    <xf numFmtId="0" fontId="106" fillId="0" borderId="0"/>
    <xf numFmtId="0" fontId="106" fillId="0" borderId="0"/>
    <xf numFmtId="0" fontId="106" fillId="0" borderId="0"/>
    <xf numFmtId="0"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0"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0" fontId="116" fillId="0" borderId="0"/>
    <xf numFmtId="0" fontId="1" fillId="0" borderId="0"/>
    <xf numFmtId="213" fontId="85" fillId="0" borderId="0"/>
    <xf numFmtId="213" fontId="85" fillId="0" borderId="0"/>
    <xf numFmtId="0" fontId="106" fillId="0" borderId="0"/>
    <xf numFmtId="0" fontId="3" fillId="0" borderId="0"/>
    <xf numFmtId="0" fontId="3" fillId="0" borderId="0"/>
    <xf numFmtId="0" fontId="3" fillId="0" borderId="0" applyAlignment="0"/>
    <xf numFmtId="0" fontId="84" fillId="0" borderId="0"/>
    <xf numFmtId="0" fontId="84" fillId="0" borderId="0" applyAlignment="0"/>
    <xf numFmtId="0" fontId="1" fillId="0" borderId="0"/>
    <xf numFmtId="0" fontId="3" fillId="0" borderId="0"/>
    <xf numFmtId="0" fontId="85" fillId="0" borderId="0"/>
    <xf numFmtId="0" fontId="106" fillId="0" borderId="0"/>
    <xf numFmtId="0" fontId="3" fillId="0" borderId="0"/>
    <xf numFmtId="0" fontId="6" fillId="0" borderId="0"/>
    <xf numFmtId="212" fontId="85" fillId="0" borderId="0"/>
    <xf numFmtId="0" fontId="106" fillId="0" borderId="0"/>
    <xf numFmtId="0" fontId="157" fillId="100" borderId="0" applyNumberFormat="0" applyFont="0" applyBorder="0" applyAlignment="0" applyProtection="0"/>
    <xf numFmtId="0" fontId="139" fillId="23" borderId="9" applyNumberFormat="0" applyFont="0" applyAlignment="0" applyProtection="0"/>
    <xf numFmtId="0" fontId="163" fillId="23" borderId="9" applyNumberFormat="0" applyFont="0" applyAlignment="0" applyProtection="0"/>
    <xf numFmtId="0" fontId="106" fillId="23" borderId="9" applyNumberFormat="0" applyFont="0" applyAlignment="0" applyProtection="0"/>
    <xf numFmtId="0" fontId="154" fillId="20" borderId="1" applyNumberFormat="0" applyAlignment="0" applyProtection="0"/>
    <xf numFmtId="0" fontId="23" fillId="20" borderId="1" applyNumberFormat="0" applyAlignment="0" applyProtection="0"/>
    <xf numFmtId="0" fontId="154" fillId="20" borderId="1" applyNumberFormat="0" applyAlignment="0" applyProtection="0"/>
    <xf numFmtId="9" fontId="3" fillId="0" borderId="0" applyFont="0" applyFill="0" applyBorder="0" applyAlignment="0" applyProtection="0"/>
    <xf numFmtId="9" fontId="84" fillId="0" borderId="0" applyFont="0" applyFill="0" applyBorder="0" applyAlignment="0" applyProtection="0"/>
    <xf numFmtId="9" fontId="10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5" fillId="0" borderId="0" applyFont="0" applyFill="0" applyBorder="0" applyAlignment="0" applyProtection="0"/>
    <xf numFmtId="9" fontId="106"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06" fillId="0" borderId="0" applyFont="0" applyFill="0" applyBorder="0" applyAlignment="0" applyProtection="0"/>
    <xf numFmtId="210" fontId="156" fillId="0" borderId="0" applyFill="0" applyBorder="0" applyAlignment="0" applyProtection="0"/>
    <xf numFmtId="0" fontId="3" fillId="0" borderId="0"/>
    <xf numFmtId="0" fontId="3" fillId="0" borderId="0"/>
    <xf numFmtId="0" fontId="54" fillId="100" borderId="13"/>
    <xf numFmtId="0" fontId="164" fillId="0" borderId="0"/>
    <xf numFmtId="0" fontId="164" fillId="0" borderId="0"/>
    <xf numFmtId="0" fontId="3" fillId="0" borderId="0">
      <alignment horizontal="left" vertical="center"/>
    </xf>
    <xf numFmtId="0" fontId="116" fillId="0" borderId="0">
      <alignment vertical="top"/>
    </xf>
    <xf numFmtId="214" fontId="165" fillId="0" borderId="21" applyFill="0" applyBorder="0" applyProtection="0">
      <alignment horizontal="right"/>
    </xf>
    <xf numFmtId="0" fontId="166" fillId="0" borderId="0" applyNumberFormat="0" applyFill="0" applyBorder="0" applyProtection="0">
      <alignment horizontal="center" vertical="center" wrapText="1"/>
    </xf>
    <xf numFmtId="1" fontId="167" fillId="0" borderId="0" applyNumberFormat="0" applyFill="0" applyBorder="0" applyProtection="0">
      <alignment horizontal="right" vertical="top"/>
    </xf>
    <xf numFmtId="215" fontId="165" fillId="0" borderId="0" applyNumberFormat="0" applyFill="0" applyBorder="0" applyProtection="0">
      <alignment horizontal="left"/>
    </xf>
    <xf numFmtId="0" fontId="167" fillId="0" borderId="0" applyNumberFormat="0" applyFill="0" applyBorder="0" applyProtection="0">
      <alignment horizontal="left" vertical="top"/>
    </xf>
    <xf numFmtId="0" fontId="3" fillId="0" borderId="0"/>
    <xf numFmtId="0" fontId="139" fillId="0" borderId="0"/>
    <xf numFmtId="0" fontId="24" fillId="0" borderId="0" applyNumberFormat="0" applyFill="0" applyBorder="0" applyAlignment="0" applyProtection="0"/>
    <xf numFmtId="0" fontId="24" fillId="0" borderId="0" applyNumberFormat="0" applyFill="0" applyBorder="0" applyAlignment="0" applyProtection="0"/>
    <xf numFmtId="0" fontId="120" fillId="0" borderId="4" applyNumberFormat="0" applyFill="0" applyAlignment="0" applyProtection="0"/>
    <xf numFmtId="0" fontId="25" fillId="0" borderId="4" applyNumberFormat="0" applyFill="0" applyAlignment="0" applyProtection="0"/>
    <xf numFmtId="0" fontId="120" fillId="0" borderId="4" applyNumberFormat="0" applyFill="0" applyAlignment="0" applyProtection="0"/>
    <xf numFmtId="0" fontId="155" fillId="0" borderId="0" applyNumberFormat="0" applyFill="0" applyBorder="0" applyAlignment="0" applyProtection="0"/>
    <xf numFmtId="0" fontId="26" fillId="0" borderId="0" applyNumberFormat="0" applyFill="0" applyBorder="0" applyAlignment="0" applyProtection="0"/>
    <xf numFmtId="0" fontId="155" fillId="0" borderId="0" applyNumberFormat="0" applyFill="0" applyBorder="0" applyAlignment="0" applyProtection="0"/>
    <xf numFmtId="4" fontId="54" fillId="0" borderId="0"/>
    <xf numFmtId="0" fontId="143" fillId="16" borderId="0" applyNumberFormat="0" applyBorder="0" applyAlignment="0" applyProtection="0"/>
    <xf numFmtId="0" fontId="143" fillId="17" borderId="0" applyNumberFormat="0" applyBorder="0" applyAlignment="0" applyProtection="0"/>
    <xf numFmtId="0" fontId="143" fillId="18" borderId="0" applyNumberFormat="0" applyBorder="0" applyAlignment="0" applyProtection="0"/>
    <xf numFmtId="0" fontId="143" fillId="13" borderId="0" applyNumberFormat="0" applyBorder="0" applyAlignment="0" applyProtection="0"/>
    <xf numFmtId="0" fontId="143" fillId="14" borderId="0" applyNumberFormat="0" applyBorder="0" applyAlignment="0" applyProtection="0"/>
    <xf numFmtId="0" fontId="143" fillId="19" borderId="0" applyNumberFormat="0" applyBorder="0" applyAlignment="0" applyProtection="0"/>
    <xf numFmtId="0" fontId="151" fillId="7" borderId="2" applyNumberFormat="0" applyAlignment="0" applyProtection="0"/>
    <xf numFmtId="0" fontId="85"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4"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5"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5"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11" fillId="14"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13" borderId="0" applyNumberFormat="0" applyBorder="0" applyAlignment="0" applyProtection="0"/>
    <xf numFmtId="0" fontId="11" fillId="22"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8" borderId="0" applyNumberFormat="0" applyBorder="0" applyAlignment="0" applyProtection="0"/>
    <xf numFmtId="0" fontId="11" fillId="18"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68"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72"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7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7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67"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8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33" fillId="0" borderId="0" applyNumberFormat="0" applyFill="0" applyBorder="0" applyAlignment="0" applyProtection="0"/>
    <xf numFmtId="0" fontId="26" fillId="0" borderId="0" applyNumberFormat="0" applyFill="0" applyBorder="0" applyAlignment="0" applyProtection="0"/>
    <xf numFmtId="0" fontId="133" fillId="0" borderId="0" applyNumberFormat="0" applyFill="0" applyBorder="0" applyAlignment="0" applyProtection="0"/>
    <xf numFmtId="0" fontId="26" fillId="0" borderId="0" applyNumberFormat="0" applyFill="0" applyBorder="0" applyAlignment="0" applyProtection="0"/>
    <xf numFmtId="0" fontId="87" fillId="81" borderId="0" applyNumberFormat="0" applyBorder="0" applyAlignment="0" applyProtection="0"/>
    <xf numFmtId="174" fontId="6" fillId="0" borderId="0" applyFill="0" applyBorder="0" applyAlignment="0" applyProtection="0"/>
    <xf numFmtId="174" fontId="6" fillId="0" borderId="0" applyFill="0" applyBorder="0" applyAlignment="0" applyProtection="0"/>
    <xf numFmtId="49" fontId="6" fillId="0" borderId="0" applyNumberFormat="0" applyAlignment="0" applyProtection="0">
      <alignment horizontal="left"/>
    </xf>
    <xf numFmtId="49" fontId="6" fillId="0" borderId="0" applyNumberFormat="0" applyAlignment="0" applyProtection="0">
      <alignment horizontal="left"/>
    </xf>
    <xf numFmtId="0" fontId="92" fillId="85" borderId="161" applyNumberFormat="0" applyAlignment="0" applyProtection="0"/>
    <xf numFmtId="0" fontId="13" fillId="20" borderId="2" applyNumberFormat="0" applyAlignment="0" applyProtection="0"/>
    <xf numFmtId="0" fontId="92" fillId="85" borderId="161" applyNumberFormat="0" applyAlignment="0" applyProtection="0"/>
    <xf numFmtId="0" fontId="13" fillId="20" borderId="2" applyNumberFormat="0" applyAlignment="0" applyProtection="0"/>
    <xf numFmtId="0" fontId="92" fillId="85" borderId="161" applyNumberFormat="0" applyAlignment="0" applyProtection="0"/>
    <xf numFmtId="0" fontId="16" fillId="0" borderId="166" applyNumberFormat="0" applyFill="0" applyAlignment="0" applyProtection="0"/>
    <xf numFmtId="0" fontId="21" fillId="0" borderId="8" applyNumberFormat="0" applyFill="0" applyAlignment="0" applyProtection="0"/>
    <xf numFmtId="0" fontId="16" fillId="0" borderId="166" applyNumberFormat="0" applyFill="0" applyAlignment="0" applyProtection="0"/>
    <xf numFmtId="0" fontId="21" fillId="0" borderId="8" applyNumberFormat="0" applyFill="0" applyAlignment="0" applyProtection="0"/>
    <xf numFmtId="0" fontId="14" fillId="78" borderId="3"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216"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216"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216"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6" fillId="81" borderId="161" applyNumberFormat="0" applyFont="0" applyAlignment="0" applyProtection="0"/>
    <xf numFmtId="0" fontId="2" fillId="23" borderId="9" applyNumberFormat="0" applyFont="0" applyAlignment="0" applyProtection="0"/>
    <xf numFmtId="0" fontId="6" fillId="81" borderId="161" applyNumberFormat="0" applyFont="0" applyAlignment="0" applyProtection="0"/>
    <xf numFmtId="0" fontId="3" fillId="23" borderId="9" applyNumberFormat="0" applyFont="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4" fontId="172" fillId="0" borderId="0" applyFont="0" applyFill="0" applyBorder="0" applyAlignment="0" applyProtection="0"/>
    <xf numFmtId="164" fontId="172" fillId="0" borderId="0" applyFont="0" applyFill="0" applyBorder="0" applyAlignment="0" applyProtection="0"/>
    <xf numFmtId="0" fontId="104" fillId="82" borderId="161" applyNumberFormat="0" applyAlignment="0" applyProtection="0"/>
    <xf numFmtId="0" fontId="20" fillId="7" borderId="2" applyNumberFormat="0" applyAlignment="0" applyProtection="0"/>
    <xf numFmtId="0" fontId="104" fillId="82" borderId="161" applyNumberFormat="0" applyAlignment="0" applyProtection="0"/>
    <xf numFmtId="0" fontId="20" fillId="7" borderId="2" applyNumberFormat="0" applyAlignment="0" applyProtection="0"/>
    <xf numFmtId="0" fontId="2" fillId="74" borderId="0" applyNumberFormat="0" applyBorder="0" applyAlignment="0" applyProtection="0"/>
    <xf numFmtId="38" fontId="6" fillId="33" borderId="0" applyNumberFormat="0" applyBorder="0" applyAlignment="0" applyProtection="0"/>
    <xf numFmtId="38" fontId="6" fillId="33" borderId="0" applyNumberFormat="0" applyBorder="0" applyAlignment="0" applyProtection="0"/>
    <xf numFmtId="0" fontId="99" fillId="0" borderId="163" applyNumberFormat="0" applyFill="0" applyAlignment="0" applyProtection="0"/>
    <xf numFmtId="0" fontId="100" fillId="0" borderId="164" applyNumberFormat="0" applyFill="0" applyAlignment="0" applyProtection="0"/>
    <xf numFmtId="0" fontId="101" fillId="0" borderId="165" applyNumberFormat="0" applyFill="0" applyAlignment="0" applyProtection="0"/>
    <xf numFmtId="0" fontId="101" fillId="0" borderId="0" applyNumberFormat="0" applyFill="0" applyBorder="0" applyAlignment="0" applyProtection="0"/>
    <xf numFmtId="0" fontId="64" fillId="0" borderId="0" applyNumberFormat="0" applyFill="0" applyBorder="0" applyAlignment="0" applyProtection="0">
      <alignment vertical="top"/>
      <protection locked="0"/>
    </xf>
    <xf numFmtId="10" fontId="6" fillId="29" borderId="13" applyNumberFormat="0" applyBorder="0" applyAlignment="0" applyProtection="0"/>
    <xf numFmtId="10" fontId="6" fillId="29" borderId="13" applyNumberFormat="0" applyBorder="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12" fillId="3" borderId="0" applyNumberFormat="0" applyBorder="0" applyAlignment="0" applyProtection="0"/>
    <xf numFmtId="0" fontId="16" fillId="0" borderId="166" applyNumberFormat="0" applyFill="0" applyAlignment="0" applyProtection="0"/>
    <xf numFmtId="38" fontId="106" fillId="0" borderId="0"/>
    <xf numFmtId="38" fontId="106" fillId="0" borderId="0"/>
    <xf numFmtId="40" fontId="106" fillId="0" borderId="0"/>
    <xf numFmtId="40" fontId="106" fillId="0" borderId="0"/>
    <xf numFmtId="0" fontId="16" fillId="8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6" fillId="0" borderId="0"/>
    <xf numFmtId="0" fontId="6" fillId="0" borderId="0"/>
    <xf numFmtId="0" fontId="6" fillId="88" borderId="0"/>
    <xf numFmtId="0" fontId="6" fillId="88" borderId="0"/>
    <xf numFmtId="0" fontId="6" fillId="88"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3"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6" fillId="0" borderId="0"/>
    <xf numFmtId="0" fontId="2" fillId="0" borderId="0"/>
    <xf numFmtId="0" fontId="3"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88" borderId="0"/>
    <xf numFmtId="0" fontId="6" fillId="88" borderId="0"/>
    <xf numFmtId="0" fontId="6"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lignment vertical="top"/>
    </xf>
    <xf numFmtId="0" fontId="3"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lignment vertical="top"/>
    </xf>
    <xf numFmtId="0" fontId="3" fillId="0" borderId="0">
      <alignment vertical="top"/>
    </xf>
    <xf numFmtId="0" fontId="6" fillId="0" borderId="0"/>
    <xf numFmtId="0" fontId="3"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2" fillId="0" borderId="0"/>
    <xf numFmtId="0" fontId="6" fillId="88" borderId="0"/>
    <xf numFmtId="0" fontId="2" fillId="0" borderId="0"/>
    <xf numFmtId="0" fontId="6" fillId="88" borderId="0"/>
    <xf numFmtId="0" fontId="6" fillId="88" borderId="0"/>
    <xf numFmtId="0" fontId="6" fillId="88" borderId="0"/>
    <xf numFmtId="0" fontId="2" fillId="0" borderId="0"/>
    <xf numFmtId="0" fontId="6" fillId="88" borderId="0"/>
    <xf numFmtId="0" fontId="6" fillId="88" borderId="0"/>
    <xf numFmtId="0" fontId="2" fillId="0" borderId="0"/>
    <xf numFmtId="0" fontId="2"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179" fillId="0" borderId="0" applyFont="0" applyFill="0" applyBorder="0" applyAlignment="0" applyProtection="0"/>
  </cellStyleXfs>
  <cellXfs count="3536">
    <xf numFmtId="0" fontId="0" fillId="0" borderId="0" xfId="0"/>
    <xf numFmtId="0" fontId="5" fillId="24" borderId="0" xfId="59" applyFont="1" applyFill="1" applyBorder="1" applyAlignment="1" applyProtection="1">
      <alignment vertical="top"/>
    </xf>
    <xf numFmtId="0" fontId="7" fillId="24" borderId="0" xfId="59" applyFill="1" applyBorder="1" applyAlignment="1" applyProtection="1">
      <alignment horizontal="center" vertical="top"/>
    </xf>
    <xf numFmtId="10" fontId="62" fillId="41" borderId="13" xfId="66" applyNumberFormat="1" applyFont="1" applyFill="1" applyBorder="1" applyProtection="1"/>
    <xf numFmtId="0" fontId="7" fillId="25" borderId="0" xfId="59" applyFill="1" applyAlignment="1" applyProtection="1">
      <alignment vertical="top"/>
    </xf>
    <xf numFmtId="10" fontId="62" fillId="41" borderId="67" xfId="66" applyNumberFormat="1" applyFont="1" applyFill="1" applyBorder="1" applyProtection="1"/>
    <xf numFmtId="10" fontId="62" fillId="41" borderId="98" xfId="66" applyNumberFormat="1" applyFont="1" applyFill="1" applyBorder="1" applyProtection="1"/>
    <xf numFmtId="10" fontId="62" fillId="41" borderId="68" xfId="66" applyNumberFormat="1" applyFont="1" applyFill="1" applyBorder="1" applyProtection="1"/>
    <xf numFmtId="174" fontId="36" fillId="25" borderId="0" xfId="66" applyNumberFormat="1" applyFont="1" applyFill="1" applyBorder="1" applyAlignment="1" applyProtection="1">
      <alignment vertical="top"/>
    </xf>
    <xf numFmtId="0" fontId="3" fillId="45" borderId="13" xfId="0" applyFont="1" applyFill="1" applyBorder="1" applyAlignment="1" applyProtection="1">
      <alignment vertical="top"/>
      <protection locked="0"/>
    </xf>
    <xf numFmtId="0" fontId="3" fillId="45" borderId="13" xfId="0" applyFont="1" applyFill="1" applyBorder="1" applyAlignment="1" applyProtection="1">
      <alignment horizontal="left" vertical="top"/>
      <protection locked="0"/>
    </xf>
    <xf numFmtId="0" fontId="38" fillId="46" borderId="0" xfId="59" applyFont="1" applyFill="1" applyBorder="1" applyAlignment="1" applyProtection="1">
      <alignment horizontal="center" vertical="top" wrapText="1"/>
    </xf>
    <xf numFmtId="174" fontId="176" fillId="0" borderId="0" xfId="66" applyNumberFormat="1" applyFont="1" applyFill="1" applyBorder="1" applyAlignment="1" applyProtection="1">
      <alignment horizontal="right" vertical="top"/>
    </xf>
    <xf numFmtId="170" fontId="173" fillId="0" borderId="0" xfId="66" applyNumberFormat="1" applyFont="1" applyFill="1" applyBorder="1" applyAlignment="1" applyProtection="1">
      <alignment vertical="top"/>
    </xf>
    <xf numFmtId="174" fontId="3" fillId="27" borderId="140" xfId="66" applyNumberFormat="1" applyFont="1" applyFill="1" applyBorder="1" applyAlignment="1" applyProtection="1">
      <alignment horizontal="right" vertical="top"/>
    </xf>
    <xf numFmtId="174" fontId="176" fillId="0" borderId="0" xfId="66" applyNumberFormat="1" applyFont="1" applyFill="1" applyBorder="1" applyAlignment="1" applyProtection="1">
      <alignment vertical="top" shrinkToFit="1"/>
    </xf>
    <xf numFmtId="174" fontId="3" fillId="40" borderId="179" xfId="66" applyNumberFormat="1" applyFont="1" applyFill="1" applyBorder="1" applyAlignment="1" applyProtection="1">
      <alignment vertical="top" shrinkToFit="1"/>
    </xf>
    <xf numFmtId="174" fontId="3" fillId="40" borderId="98" xfId="66" applyNumberFormat="1" applyFont="1" applyFill="1" applyBorder="1" applyAlignment="1" applyProtection="1">
      <alignment vertical="top" shrinkToFit="1"/>
    </xf>
    <xf numFmtId="174" fontId="180" fillId="52" borderId="0" xfId="66" applyNumberFormat="1" applyFont="1" applyFill="1" applyBorder="1" applyAlignment="1" applyProtection="1">
      <alignment vertical="top" shrinkToFit="1"/>
    </xf>
    <xf numFmtId="174" fontId="173" fillId="0" borderId="0" xfId="66" applyNumberFormat="1" applyFont="1" applyFill="1" applyBorder="1" applyAlignment="1" applyProtection="1">
      <alignment horizontal="right" vertical="top"/>
    </xf>
    <xf numFmtId="174" fontId="173" fillId="0" borderId="66" xfId="66" applyNumberFormat="1" applyFont="1" applyFill="1" applyBorder="1" applyAlignment="1" applyProtection="1">
      <alignment horizontal="right" vertical="top"/>
    </xf>
    <xf numFmtId="170" fontId="173" fillId="41" borderId="0" xfId="66" applyNumberFormat="1" applyFont="1" applyFill="1" applyBorder="1" applyAlignment="1" applyProtection="1">
      <alignment vertical="top"/>
    </xf>
    <xf numFmtId="174" fontId="173" fillId="41" borderId="0" xfId="66" applyNumberFormat="1" applyFont="1" applyFill="1" applyBorder="1" applyAlignment="1" applyProtection="1">
      <alignment vertical="top" shrinkToFit="1"/>
    </xf>
    <xf numFmtId="174" fontId="3" fillId="27" borderId="108" xfId="66" applyNumberFormat="1" applyFont="1" applyFill="1" applyBorder="1" applyAlignment="1" applyProtection="1">
      <alignment horizontal="right" vertical="top"/>
    </xf>
    <xf numFmtId="174" fontId="3" fillId="27" borderId="154" xfId="66" applyNumberFormat="1" applyFont="1" applyFill="1" applyBorder="1" applyAlignment="1" applyProtection="1">
      <alignment horizontal="right" vertical="top"/>
    </xf>
    <xf numFmtId="174" fontId="3" fillId="27" borderId="153" xfId="66" applyNumberFormat="1" applyFont="1" applyFill="1" applyBorder="1" applyAlignment="1" applyProtection="1">
      <alignment horizontal="right" vertical="top"/>
    </xf>
    <xf numFmtId="174" fontId="5" fillId="27" borderId="111" xfId="66" applyNumberFormat="1" applyFont="1" applyFill="1" applyBorder="1" applyAlignment="1" applyProtection="1">
      <alignment horizontal="right" vertical="top"/>
    </xf>
    <xf numFmtId="174" fontId="173" fillId="41" borderId="0" xfId="66" applyNumberFormat="1" applyFont="1" applyFill="1" applyBorder="1" applyAlignment="1" applyProtection="1">
      <alignment horizontal="right" vertical="top"/>
    </xf>
    <xf numFmtId="174" fontId="78" fillId="41" borderId="0" xfId="66" applyNumberFormat="1" applyFont="1" applyFill="1" applyBorder="1" applyAlignment="1" applyProtection="1">
      <alignment horizontal="right" vertical="top"/>
    </xf>
    <xf numFmtId="174" fontId="85" fillId="41" borderId="98" xfId="66" applyNumberFormat="1" applyFont="1" applyFill="1" applyBorder="1" applyAlignment="1" applyProtection="1">
      <alignment vertical="top" shrinkToFit="1"/>
    </xf>
    <xf numFmtId="3" fontId="3" fillId="40" borderId="71" xfId="6188" applyNumberFormat="1" applyFont="1" applyFill="1" applyBorder="1" applyAlignment="1" applyProtection="1">
      <alignment horizontal="right" vertical="top"/>
    </xf>
    <xf numFmtId="3" fontId="5" fillId="40" borderId="11" xfId="6188" applyNumberFormat="1" applyFont="1" applyFill="1" applyBorder="1" applyAlignment="1" applyProtection="1">
      <alignment horizontal="right" vertical="top"/>
    </xf>
    <xf numFmtId="170" fontId="3" fillId="27" borderId="13" xfId="66" applyNumberFormat="1" applyFont="1" applyFill="1" applyBorder="1" applyAlignment="1" applyProtection="1">
      <alignment vertical="top"/>
    </xf>
    <xf numFmtId="170" fontId="3" fillId="27" borderId="67" xfId="66" applyNumberFormat="1" applyFont="1" applyFill="1" applyBorder="1" applyAlignment="1" applyProtection="1">
      <alignment vertical="top"/>
    </xf>
    <xf numFmtId="170" fontId="173" fillId="41" borderId="186" xfId="66" applyNumberFormat="1" applyFont="1" applyFill="1" applyBorder="1" applyAlignment="1" applyProtection="1">
      <alignment vertical="top"/>
    </xf>
    <xf numFmtId="217" fontId="3" fillId="51" borderId="21" xfId="6188" applyNumberFormat="1" applyFont="1" applyFill="1" applyBorder="1" applyAlignment="1" applyProtection="1">
      <alignment horizontal="center" vertical="top"/>
    </xf>
    <xf numFmtId="170" fontId="3" fillId="27" borderId="62" xfId="66" applyNumberFormat="1" applyFont="1" applyFill="1" applyBorder="1" applyAlignment="1" applyProtection="1">
      <alignment vertical="top"/>
    </xf>
    <xf numFmtId="170" fontId="3" fillId="27" borderId="64" xfId="66" applyNumberFormat="1" applyFont="1" applyFill="1" applyBorder="1" applyAlignment="1" applyProtection="1">
      <alignment vertical="top"/>
    </xf>
    <xf numFmtId="174" fontId="180" fillId="52" borderId="185" xfId="66" applyNumberFormat="1" applyFont="1" applyFill="1" applyBorder="1" applyAlignment="1" applyProtection="1">
      <alignment vertical="top" shrinkToFit="1"/>
    </xf>
    <xf numFmtId="170" fontId="3" fillId="27" borderId="106" xfId="66" applyNumberFormat="1" applyFont="1" applyFill="1" applyBorder="1" applyAlignment="1" applyProtection="1">
      <alignment vertical="top"/>
    </xf>
    <xf numFmtId="170" fontId="3" fillId="27" borderId="97" xfId="66" applyNumberFormat="1" applyFont="1" applyFill="1" applyBorder="1" applyAlignment="1" applyProtection="1">
      <alignment vertical="top"/>
    </xf>
    <xf numFmtId="174" fontId="180" fillId="52" borderId="186" xfId="66" applyNumberFormat="1" applyFont="1" applyFill="1" applyBorder="1" applyAlignment="1" applyProtection="1">
      <alignment vertical="top" shrinkToFit="1"/>
    </xf>
    <xf numFmtId="174" fontId="3" fillId="27" borderId="67" xfId="66" applyNumberFormat="1" applyFont="1" applyFill="1" applyBorder="1" applyAlignment="1" applyProtection="1">
      <alignment vertical="top"/>
    </xf>
    <xf numFmtId="174" fontId="3" fillId="27" borderId="49" xfId="66" applyNumberFormat="1" applyFont="1" applyFill="1" applyBorder="1" applyAlignment="1" applyProtection="1">
      <alignment horizontal="right" vertical="top"/>
    </xf>
    <xf numFmtId="174" fontId="3" fillId="27" borderId="67" xfId="66" applyNumberFormat="1" applyFont="1" applyFill="1" applyBorder="1" applyAlignment="1" applyProtection="1">
      <alignment horizontal="right" vertical="top"/>
    </xf>
    <xf numFmtId="0" fontId="78" fillId="53" borderId="98" xfId="0" applyFont="1" applyFill="1" applyBorder="1" applyAlignment="1" applyProtection="1">
      <alignment vertical="top"/>
      <protection locked="0"/>
    </xf>
    <xf numFmtId="174" fontId="173" fillId="41" borderId="186" xfId="66" applyNumberFormat="1" applyFont="1" applyFill="1" applyBorder="1" applyAlignment="1" applyProtection="1">
      <alignment horizontal="right" vertical="top"/>
    </xf>
    <xf numFmtId="4" fontId="3" fillId="27" borderId="13" xfId="66" applyNumberFormat="1" applyFont="1" applyFill="1" applyBorder="1" applyAlignment="1" applyProtection="1">
      <alignment vertical="top"/>
    </xf>
    <xf numFmtId="4" fontId="3" fillId="27" borderId="67" xfId="66" applyNumberFormat="1" applyFont="1" applyFill="1" applyBorder="1" applyAlignment="1" applyProtection="1">
      <alignment vertical="top"/>
    </xf>
    <xf numFmtId="4" fontId="173" fillId="41" borderId="186" xfId="66" applyNumberFormat="1" applyFont="1" applyFill="1" applyBorder="1" applyAlignment="1" applyProtection="1">
      <alignment vertical="top"/>
    </xf>
    <xf numFmtId="0" fontId="3" fillId="40" borderId="26" xfId="0" applyFont="1" applyFill="1" applyBorder="1" applyAlignment="1" applyProtection="1">
      <alignment vertical="top"/>
      <protection locked="0"/>
    </xf>
    <xf numFmtId="0" fontId="3" fillId="27" borderId="25" xfId="0" applyFont="1" applyFill="1" applyBorder="1" applyAlignment="1" applyProtection="1">
      <alignment vertical="top"/>
      <protection locked="0"/>
    </xf>
    <xf numFmtId="174" fontId="78" fillId="41" borderId="186" xfId="66" applyNumberFormat="1" applyFont="1" applyFill="1" applyBorder="1" applyAlignment="1" applyProtection="1">
      <alignment horizontal="right" vertical="top"/>
    </xf>
    <xf numFmtId="14" fontId="3" fillId="40" borderId="13" xfId="0" applyNumberFormat="1" applyFont="1" applyFill="1" applyBorder="1" applyAlignment="1" applyProtection="1">
      <alignment horizontal="center" vertical="top"/>
      <protection locked="0"/>
    </xf>
    <xf numFmtId="169" fontId="3" fillId="27" borderId="62" xfId="0" applyNumberFormat="1" applyFont="1" applyFill="1" applyBorder="1" applyAlignment="1" applyProtection="1">
      <alignment horizontal="right" vertical="top"/>
      <protection locked="0"/>
    </xf>
    <xf numFmtId="169" fontId="53" fillId="27" borderId="63" xfId="0" applyNumberFormat="1" applyFont="1" applyFill="1" applyBorder="1" applyAlignment="1" applyProtection="1">
      <alignment horizontal="right" vertical="top"/>
      <protection locked="0"/>
    </xf>
    <xf numFmtId="169" fontId="3" fillId="27" borderId="63" xfId="0" applyNumberFormat="1" applyFont="1" applyFill="1" applyBorder="1" applyAlignment="1" applyProtection="1">
      <alignment horizontal="right" vertical="top"/>
      <protection locked="0"/>
    </xf>
    <xf numFmtId="169" fontId="3" fillId="27" borderId="95" xfId="0" applyNumberFormat="1" applyFont="1" applyFill="1" applyBorder="1" applyAlignment="1" applyProtection="1">
      <alignment horizontal="right" vertical="top"/>
      <protection locked="0"/>
    </xf>
    <xf numFmtId="169" fontId="3" fillId="27" borderId="26" xfId="0" applyNumberFormat="1" applyFont="1" applyFill="1" applyBorder="1" applyAlignment="1" applyProtection="1">
      <alignment horizontal="right" vertical="top"/>
      <protection locked="0"/>
    </xf>
    <xf numFmtId="169" fontId="3" fillId="27" borderId="69" xfId="0" applyNumberFormat="1" applyFont="1" applyFill="1" applyBorder="1" applyAlignment="1" applyProtection="1">
      <alignment horizontal="right" vertical="top"/>
      <protection locked="0"/>
    </xf>
    <xf numFmtId="169" fontId="5" fillId="27" borderId="76" xfId="0" applyNumberFormat="1" applyFont="1" applyFill="1" applyBorder="1" applyAlignment="1" applyProtection="1">
      <alignment horizontal="right" vertical="top"/>
      <protection locked="0"/>
    </xf>
    <xf numFmtId="170" fontId="5" fillId="27" borderId="76" xfId="0" applyNumberFormat="1" applyFont="1" applyFill="1" applyBorder="1" applyAlignment="1" applyProtection="1">
      <alignment horizontal="right" vertical="top"/>
      <protection locked="0"/>
    </xf>
    <xf numFmtId="0" fontId="3" fillId="40" borderId="13" xfId="0" applyFont="1" applyFill="1" applyBorder="1" applyAlignment="1" applyProtection="1">
      <alignment vertical="top"/>
      <protection locked="0"/>
    </xf>
    <xf numFmtId="0" fontId="3" fillId="40" borderId="25" xfId="0" applyFont="1" applyFill="1" applyBorder="1" applyAlignment="1" applyProtection="1">
      <alignment horizontal="center" vertical="top"/>
      <protection locked="0"/>
    </xf>
    <xf numFmtId="10" fontId="3" fillId="40" borderId="13" xfId="0" applyNumberFormat="1" applyFont="1" applyFill="1" applyBorder="1" applyAlignment="1" applyProtection="1">
      <alignment vertical="top"/>
      <protection locked="0"/>
    </xf>
    <xf numFmtId="0" fontId="3" fillId="40" borderId="67" xfId="0" applyFont="1" applyFill="1" applyBorder="1" applyAlignment="1" applyProtection="1">
      <alignment vertical="top"/>
      <protection locked="0"/>
    </xf>
    <xf numFmtId="0" fontId="3" fillId="27" borderId="67" xfId="0" applyFont="1" applyFill="1" applyBorder="1" applyAlignment="1" applyProtection="1">
      <alignment vertical="top"/>
      <protection locked="0"/>
    </xf>
    <xf numFmtId="0" fontId="3" fillId="40" borderId="14" xfId="0" applyFont="1" applyFill="1" applyBorder="1" applyAlignment="1" applyProtection="1">
      <alignment horizontal="center" vertical="top"/>
      <protection locked="0"/>
    </xf>
    <xf numFmtId="0" fontId="3" fillId="40" borderId="16" xfId="0" applyFont="1" applyFill="1" applyBorder="1" applyAlignment="1" applyProtection="1">
      <alignment horizontal="center" vertical="top"/>
      <protection locked="0"/>
    </xf>
    <xf numFmtId="0" fontId="3" fillId="40" borderId="49" xfId="0" applyFont="1" applyFill="1" applyBorder="1" applyAlignment="1" applyProtection="1">
      <alignment vertical="top"/>
      <protection locked="0"/>
    </xf>
    <xf numFmtId="0" fontId="3" fillId="40" borderId="58" xfId="0" applyFont="1" applyFill="1" applyBorder="1" applyAlignment="1" applyProtection="1">
      <alignment vertical="top"/>
      <protection locked="0"/>
    </xf>
    <xf numFmtId="0" fontId="3" fillId="40" borderId="62" xfId="0" applyFont="1" applyFill="1" applyBorder="1" applyAlignment="1" applyProtection="1">
      <alignment horizontal="center" vertical="top"/>
      <protection locked="0"/>
    </xf>
    <xf numFmtId="0" fontId="3" fillId="40" borderId="63" xfId="0" applyFont="1" applyFill="1" applyBorder="1" applyAlignment="1" applyProtection="1">
      <alignment horizontal="center" vertical="top"/>
      <protection locked="0"/>
    </xf>
    <xf numFmtId="0" fontId="3" fillId="40" borderId="64" xfId="0" applyFont="1" applyFill="1" applyBorder="1" applyAlignment="1" applyProtection="1">
      <alignment horizontal="center" vertical="top"/>
      <protection locked="0"/>
    </xf>
    <xf numFmtId="0" fontId="3" fillId="27" borderId="25" xfId="0" applyFont="1" applyFill="1" applyBorder="1" applyAlignment="1" applyProtection="1">
      <alignment horizontal="center" vertical="top"/>
      <protection locked="0"/>
    </xf>
    <xf numFmtId="0" fontId="3" fillId="27" borderId="106" xfId="0" applyFont="1" applyFill="1" applyBorder="1" applyAlignment="1" applyProtection="1">
      <alignment vertical="top" wrapText="1"/>
      <protection locked="0"/>
    </xf>
    <xf numFmtId="0" fontId="3" fillId="27" borderId="107" xfId="0" applyFont="1" applyFill="1" applyBorder="1" applyAlignment="1" applyProtection="1">
      <alignment vertical="top" wrapText="1"/>
      <protection locked="0"/>
    </xf>
    <xf numFmtId="0" fontId="3" fillId="40" borderId="15" xfId="0" applyFont="1" applyFill="1" applyBorder="1" applyAlignment="1" applyProtection="1">
      <alignment horizontal="center" vertical="top"/>
      <protection locked="0"/>
    </xf>
    <xf numFmtId="0" fontId="3" fillId="27" borderId="97" xfId="0" applyFont="1" applyFill="1" applyBorder="1" applyAlignment="1" applyProtection="1">
      <alignment vertical="top" wrapText="1"/>
      <protection locked="0"/>
    </xf>
    <xf numFmtId="0" fontId="3" fillId="40" borderId="25" xfId="0" applyFont="1" applyFill="1" applyBorder="1" applyAlignment="1" applyProtection="1">
      <alignment horizontal="center" vertical="center"/>
      <protection locked="0"/>
    </xf>
    <xf numFmtId="0" fontId="3" fillId="40" borderId="26" xfId="0" applyFont="1" applyFill="1" applyBorder="1" applyAlignment="1" applyProtection="1">
      <alignment horizontal="center" vertical="top"/>
      <protection locked="0"/>
    </xf>
    <xf numFmtId="0" fontId="194" fillId="24" borderId="0" xfId="59" applyFont="1" applyFill="1" applyAlignment="1" applyProtection="1"/>
    <xf numFmtId="0" fontId="7" fillId="105" borderId="0" xfId="59" applyFill="1" applyBorder="1" applyAlignment="1" applyProtection="1">
      <alignment vertical="center" wrapText="1"/>
    </xf>
    <xf numFmtId="0" fontId="7" fillId="105" borderId="185" xfId="59" applyFill="1" applyBorder="1" applyAlignment="1" applyProtection="1">
      <alignment vertical="center" wrapText="1"/>
    </xf>
    <xf numFmtId="170" fontId="3" fillId="27" borderId="62" xfId="0" applyNumberFormat="1" applyFont="1" applyFill="1" applyBorder="1" applyAlignment="1" applyProtection="1">
      <alignment vertical="top"/>
      <protection locked="0"/>
    </xf>
    <xf numFmtId="170" fontId="3" fillId="27" borderId="92" xfId="0" applyNumberFormat="1" applyFont="1" applyFill="1" applyBorder="1" applyAlignment="1" applyProtection="1">
      <alignment vertical="top"/>
      <protection locked="0"/>
    </xf>
    <xf numFmtId="170" fontId="3" fillId="27" borderId="64" xfId="0" applyNumberFormat="1" applyFont="1" applyFill="1" applyBorder="1" applyAlignment="1" applyProtection="1">
      <alignment vertical="top"/>
      <protection locked="0"/>
    </xf>
    <xf numFmtId="170" fontId="3" fillId="27" borderId="95" xfId="0" applyNumberFormat="1" applyFont="1" applyFill="1" applyBorder="1" applyAlignment="1" applyProtection="1">
      <alignment vertical="top"/>
      <protection locked="0"/>
    </xf>
    <xf numFmtId="170" fontId="3" fillId="27" borderId="63" xfId="0" applyNumberFormat="1" applyFont="1" applyFill="1" applyBorder="1" applyAlignment="1" applyProtection="1">
      <alignment vertical="top"/>
      <protection locked="0"/>
    </xf>
    <xf numFmtId="170" fontId="3" fillId="27" borderId="53" xfId="0" applyNumberFormat="1" applyFont="1" applyFill="1" applyBorder="1" applyAlignment="1" applyProtection="1">
      <alignment vertical="top"/>
      <protection locked="0"/>
    </xf>
    <xf numFmtId="170" fontId="5" fillId="27" borderId="55" xfId="0" applyNumberFormat="1" applyFont="1" applyFill="1" applyBorder="1" applyAlignment="1" applyProtection="1">
      <alignment vertical="top"/>
      <protection locked="0"/>
    </xf>
    <xf numFmtId="170" fontId="5" fillId="27" borderId="53" xfId="0" applyNumberFormat="1" applyFont="1" applyFill="1" applyBorder="1" applyAlignment="1" applyProtection="1">
      <alignment vertical="top"/>
      <protection locked="0"/>
    </xf>
    <xf numFmtId="170" fontId="3" fillId="27" borderId="11" xfId="0" applyNumberFormat="1" applyFont="1" applyFill="1" applyBorder="1" applyAlignment="1" applyProtection="1">
      <alignment vertical="top"/>
      <protection locked="0"/>
    </xf>
    <xf numFmtId="170" fontId="3" fillId="40" borderId="13" xfId="0" applyNumberFormat="1" applyFont="1" applyFill="1" applyBorder="1" applyAlignment="1" applyProtection="1">
      <alignment vertical="top"/>
      <protection locked="0"/>
    </xf>
    <xf numFmtId="170" fontId="3" fillId="40" borderId="62" xfId="0" applyNumberFormat="1" applyFont="1" applyFill="1" applyBorder="1" applyAlignment="1" applyProtection="1">
      <alignment vertical="top"/>
      <protection locked="0"/>
    </xf>
    <xf numFmtId="170" fontId="3" fillId="40" borderId="64" xfId="0" applyNumberFormat="1" applyFont="1" applyFill="1" applyBorder="1" applyAlignment="1" applyProtection="1">
      <alignment vertical="top"/>
      <protection locked="0"/>
    </xf>
    <xf numFmtId="170" fontId="5" fillId="27" borderId="13" xfId="0" applyNumberFormat="1" applyFont="1" applyFill="1" applyBorder="1" applyAlignment="1" applyProtection="1">
      <alignment vertical="top"/>
      <protection locked="0"/>
    </xf>
    <xf numFmtId="170" fontId="3" fillId="27" borderId="91" xfId="0" applyNumberFormat="1" applyFont="1" applyFill="1" applyBorder="1" applyAlignment="1" applyProtection="1">
      <alignment vertical="top"/>
      <protection locked="0"/>
    </xf>
    <xf numFmtId="170" fontId="5" fillId="27" borderId="94" xfId="0" applyNumberFormat="1" applyFont="1" applyFill="1" applyBorder="1" applyAlignment="1" applyProtection="1">
      <alignment vertical="top"/>
      <protection locked="0"/>
    </xf>
    <xf numFmtId="170" fontId="5" fillId="27" borderId="93" xfId="0" applyNumberFormat="1" applyFont="1" applyFill="1" applyBorder="1" applyAlignment="1" applyProtection="1">
      <alignment vertical="top"/>
      <protection locked="0"/>
    </xf>
    <xf numFmtId="170" fontId="5" fillId="27" borderId="52" xfId="0" applyNumberFormat="1" applyFont="1" applyFill="1" applyBorder="1" applyAlignment="1" applyProtection="1">
      <alignment vertical="top"/>
      <protection locked="0"/>
    </xf>
    <xf numFmtId="170" fontId="3" fillId="40" borderId="63" xfId="0" applyNumberFormat="1" applyFont="1" applyFill="1" applyBorder="1" applyAlignment="1" applyProtection="1">
      <alignment vertical="top"/>
      <protection locked="0"/>
    </xf>
    <xf numFmtId="170" fontId="3" fillId="27" borderId="13" xfId="0" applyNumberFormat="1" applyFont="1" applyFill="1" applyBorder="1" applyAlignment="1" applyProtection="1">
      <alignment vertical="top"/>
      <protection locked="0"/>
    </xf>
    <xf numFmtId="170" fontId="3" fillId="40" borderId="19" xfId="0" applyNumberFormat="1" applyFont="1" applyFill="1" applyBorder="1" applyAlignment="1" applyProtection="1">
      <alignment vertical="top"/>
      <protection locked="0"/>
    </xf>
    <xf numFmtId="170" fontId="3" fillId="40" borderId="20" xfId="0" applyNumberFormat="1" applyFont="1" applyFill="1" applyBorder="1" applyAlignment="1" applyProtection="1">
      <alignment vertical="top"/>
      <protection locked="0"/>
    </xf>
    <xf numFmtId="170" fontId="3" fillId="40" borderId="23" xfId="0" applyNumberFormat="1" applyFont="1" applyFill="1" applyBorder="1" applyAlignment="1" applyProtection="1">
      <alignment vertical="top"/>
      <protection locked="0"/>
    </xf>
    <xf numFmtId="170" fontId="3" fillId="27" borderId="26" xfId="0" applyNumberFormat="1" applyFont="1" applyFill="1" applyBorder="1" applyAlignment="1" applyProtection="1">
      <alignment vertical="top"/>
      <protection locked="0"/>
    </xf>
    <xf numFmtId="170" fontId="3" fillId="27" borderId="13" xfId="66" applyNumberFormat="1" applyFont="1" applyFill="1" applyBorder="1" applyAlignment="1" applyProtection="1">
      <alignment vertical="top"/>
      <protection locked="0"/>
    </xf>
    <xf numFmtId="170" fontId="3" fillId="40" borderId="92" xfId="0" applyNumberFormat="1" applyFont="1" applyFill="1" applyBorder="1" applyAlignment="1" applyProtection="1">
      <alignment vertical="top"/>
      <protection locked="0"/>
    </xf>
    <xf numFmtId="170" fontId="3" fillId="40" borderId="11" xfId="0" applyNumberFormat="1" applyFont="1" applyFill="1" applyBorder="1" applyAlignment="1" applyProtection="1">
      <alignment vertical="top"/>
      <protection locked="0"/>
    </xf>
    <xf numFmtId="170" fontId="3" fillId="40" borderId="106" xfId="0" applyNumberFormat="1" applyFont="1" applyFill="1" applyBorder="1" applyAlignment="1" applyProtection="1">
      <alignment vertical="top"/>
      <protection locked="0"/>
    </xf>
    <xf numFmtId="170" fontId="3" fillId="40" borderId="31" xfId="0" applyNumberFormat="1" applyFont="1" applyFill="1" applyBorder="1" applyAlignment="1" applyProtection="1">
      <alignment vertical="top"/>
      <protection locked="0"/>
    </xf>
    <xf numFmtId="170" fontId="3" fillId="40" borderId="127" xfId="0" applyNumberFormat="1" applyFont="1" applyFill="1" applyBorder="1" applyAlignment="1" applyProtection="1">
      <alignment vertical="top"/>
      <protection locked="0"/>
    </xf>
    <xf numFmtId="170" fontId="3" fillId="40" borderId="97" xfId="0" applyNumberFormat="1" applyFont="1" applyFill="1" applyBorder="1" applyAlignment="1" applyProtection="1">
      <alignment vertical="top"/>
      <protection locked="0"/>
    </xf>
    <xf numFmtId="170" fontId="3" fillId="40" borderId="123" xfId="0" applyNumberFormat="1" applyFont="1" applyFill="1" applyBorder="1" applyAlignment="1" applyProtection="1">
      <alignment vertical="top"/>
      <protection locked="0"/>
    </xf>
    <xf numFmtId="170" fontId="3" fillId="40" borderId="134" xfId="0" applyNumberFormat="1" applyFont="1" applyFill="1" applyBorder="1" applyAlignment="1" applyProtection="1">
      <alignment vertical="top"/>
      <protection locked="0"/>
    </xf>
    <xf numFmtId="170" fontId="3" fillId="40" borderId="67" xfId="0" applyNumberFormat="1" applyFont="1" applyFill="1" applyBorder="1" applyAlignment="1" applyProtection="1">
      <alignment vertical="top"/>
      <protection locked="0"/>
    </xf>
    <xf numFmtId="170" fontId="3" fillId="40" borderId="49" xfId="0" applyNumberFormat="1" applyFont="1" applyFill="1" applyBorder="1" applyAlignment="1" applyProtection="1">
      <alignment vertical="top"/>
      <protection locked="0"/>
    </xf>
    <xf numFmtId="170" fontId="3" fillId="40" borderId="58" xfId="0" applyNumberFormat="1" applyFont="1" applyFill="1" applyBorder="1" applyAlignment="1" applyProtection="1">
      <alignment vertical="top"/>
      <protection locked="0"/>
    </xf>
    <xf numFmtId="0" fontId="3" fillId="40" borderId="13" xfId="0" applyFont="1" applyFill="1" applyBorder="1" applyAlignment="1" applyProtection="1">
      <alignment horizontal="left" vertical="top"/>
      <protection locked="0"/>
    </xf>
    <xf numFmtId="0" fontId="3" fillId="40" borderId="13" xfId="0" applyFont="1" applyFill="1" applyBorder="1" applyAlignment="1" applyProtection="1">
      <alignment horizontal="center" vertical="top"/>
      <protection locked="0"/>
    </xf>
    <xf numFmtId="0" fontId="3" fillId="40" borderId="13" xfId="0" applyFont="1" applyFill="1" applyBorder="1" applyAlignment="1" applyProtection="1">
      <alignment horizontal="right" vertical="top"/>
      <protection locked="0"/>
    </xf>
    <xf numFmtId="0" fontId="3" fillId="27" borderId="26" xfId="0" applyFont="1" applyFill="1" applyBorder="1" applyAlignment="1" applyProtection="1">
      <alignment vertical="top"/>
      <protection locked="0"/>
    </xf>
    <xf numFmtId="0" fontId="5" fillId="27" borderId="13" xfId="0" applyFont="1" applyFill="1" applyBorder="1" applyAlignment="1" applyProtection="1">
      <alignment vertical="top"/>
      <protection locked="0"/>
    </xf>
    <xf numFmtId="0" fontId="5" fillId="27" borderId="74" xfId="0" applyFont="1" applyFill="1" applyBorder="1" applyAlignment="1" applyProtection="1">
      <alignment vertical="top"/>
      <protection locked="0"/>
    </xf>
    <xf numFmtId="169" fontId="3" fillId="27" borderId="62" xfId="6188" applyNumberFormat="1" applyFont="1" applyFill="1" applyBorder="1" applyAlignment="1" applyProtection="1">
      <alignment horizontal="right" vertical="top"/>
      <protection locked="0"/>
    </xf>
    <xf numFmtId="4" fontId="3" fillId="40" borderId="13" xfId="0" applyNumberFormat="1" applyFont="1" applyFill="1" applyBorder="1" applyAlignment="1" applyProtection="1">
      <alignment vertical="top"/>
      <protection locked="0"/>
    </xf>
    <xf numFmtId="4" fontId="3" fillId="40" borderId="62" xfId="0" applyNumberFormat="1" applyFont="1" applyFill="1" applyBorder="1" applyAlignment="1" applyProtection="1">
      <alignment vertical="top"/>
      <protection locked="0"/>
    </xf>
    <xf numFmtId="4" fontId="3" fillId="40" borderId="64" xfId="0" applyNumberFormat="1" applyFont="1" applyFill="1" applyBorder="1" applyAlignment="1" applyProtection="1">
      <alignment vertical="top"/>
      <protection locked="0"/>
    </xf>
    <xf numFmtId="176" fontId="3" fillId="27" borderId="62" xfId="0" applyNumberFormat="1" applyFont="1" applyFill="1" applyBorder="1" applyAlignment="1" applyProtection="1">
      <alignment vertical="top"/>
      <protection locked="0"/>
    </xf>
    <xf numFmtId="176" fontId="3" fillId="27" borderId="64" xfId="0" applyNumberFormat="1" applyFont="1" applyFill="1" applyBorder="1" applyAlignment="1" applyProtection="1">
      <alignment vertical="top"/>
      <protection locked="0"/>
    </xf>
    <xf numFmtId="10" fontId="3" fillId="40" borderId="62" xfId="0" applyNumberFormat="1" applyFont="1" applyFill="1" applyBorder="1" applyAlignment="1" applyProtection="1">
      <alignment vertical="top"/>
      <protection locked="0"/>
    </xf>
    <xf numFmtId="10" fontId="3" fillId="40" borderId="64" xfId="0" applyNumberFormat="1" applyFont="1" applyFill="1" applyBorder="1" applyAlignment="1" applyProtection="1">
      <alignment vertical="top"/>
      <protection locked="0"/>
    </xf>
    <xf numFmtId="4" fontId="5" fillId="27" borderId="13" xfId="0" applyNumberFormat="1" applyFont="1" applyFill="1" applyBorder="1" applyAlignment="1" applyProtection="1">
      <alignment vertical="top"/>
      <protection locked="0"/>
    </xf>
    <xf numFmtId="4" fontId="3" fillId="40" borderId="63" xfId="0" applyNumberFormat="1" applyFont="1" applyFill="1" applyBorder="1" applyAlignment="1" applyProtection="1">
      <alignment vertical="top"/>
      <protection locked="0"/>
    </xf>
    <xf numFmtId="4" fontId="3" fillId="27" borderId="13" xfId="66" applyNumberFormat="1" applyFont="1" applyFill="1" applyBorder="1" applyAlignment="1" applyProtection="1">
      <alignment vertical="top"/>
      <protection locked="0"/>
    </xf>
    <xf numFmtId="4" fontId="3" fillId="40" borderId="92" xfId="0" applyNumberFormat="1" applyFont="1" applyFill="1" applyBorder="1" applyAlignment="1" applyProtection="1">
      <alignment vertical="top"/>
      <protection locked="0"/>
    </xf>
    <xf numFmtId="4" fontId="3" fillId="27" borderId="11" xfId="0" applyNumberFormat="1" applyFont="1" applyFill="1" applyBorder="1" applyAlignment="1" applyProtection="1">
      <alignment vertical="top"/>
      <protection locked="0"/>
    </xf>
    <xf numFmtId="4" fontId="3" fillId="27" borderId="71" xfId="0" applyNumberFormat="1" applyFont="1" applyFill="1" applyBorder="1" applyAlignment="1" applyProtection="1">
      <alignment vertical="top"/>
      <protection locked="0"/>
    </xf>
    <xf numFmtId="4" fontId="3" fillId="27" borderId="72" xfId="0" applyNumberFormat="1" applyFont="1" applyFill="1" applyBorder="1" applyAlignment="1" applyProtection="1">
      <alignment vertical="top"/>
      <protection locked="0"/>
    </xf>
    <xf numFmtId="4" fontId="3" fillId="27" borderId="58" xfId="0" applyNumberFormat="1" applyFont="1" applyFill="1" applyBorder="1" applyAlignment="1" applyProtection="1">
      <alignment vertical="top"/>
      <protection locked="0"/>
    </xf>
    <xf numFmtId="4" fontId="3" fillId="27" borderId="60" xfId="0" applyNumberFormat="1" applyFont="1" applyFill="1" applyBorder="1" applyAlignment="1" applyProtection="1">
      <alignment vertical="top"/>
      <protection locked="0"/>
    </xf>
    <xf numFmtId="4" fontId="3" fillId="27" borderId="61" xfId="0" applyNumberFormat="1" applyFont="1" applyFill="1" applyBorder="1" applyAlignment="1" applyProtection="1">
      <alignment vertical="top"/>
      <protection locked="0"/>
    </xf>
    <xf numFmtId="0" fontId="3" fillId="27" borderId="13" xfId="0" applyFont="1" applyFill="1" applyBorder="1" applyAlignment="1" applyProtection="1">
      <alignment horizontal="center" vertical="top"/>
      <protection locked="0"/>
    </xf>
    <xf numFmtId="169" fontId="3" fillId="27" borderId="13" xfId="0" applyNumberFormat="1" applyFont="1" applyFill="1" applyBorder="1" applyAlignment="1" applyProtection="1">
      <alignment horizontal="center" vertical="top"/>
      <protection locked="0"/>
    </xf>
    <xf numFmtId="171" fontId="3" fillId="40" borderId="67" xfId="0" applyNumberFormat="1" applyFont="1" applyFill="1" applyBorder="1" applyAlignment="1" applyProtection="1">
      <alignment horizontal="right" vertical="top"/>
      <protection locked="0"/>
    </xf>
    <xf numFmtId="0" fontId="3" fillId="27" borderId="26" xfId="0" applyFont="1" applyFill="1" applyBorder="1" applyAlignment="1" applyProtection="1">
      <alignment horizontal="center" vertical="top"/>
      <protection locked="0"/>
    </xf>
    <xf numFmtId="169" fontId="72" fillId="27" borderId="13" xfId="0" applyNumberFormat="1" applyFont="1" applyFill="1" applyBorder="1" applyAlignment="1" applyProtection="1">
      <alignment horizontal="right" vertical="top"/>
      <protection locked="0"/>
    </xf>
    <xf numFmtId="169" fontId="3" fillId="27" borderId="49" xfId="0" applyNumberFormat="1" applyFont="1" applyFill="1" applyBorder="1" applyAlignment="1" applyProtection="1">
      <alignment horizontal="right" vertical="top"/>
      <protection locked="0"/>
    </xf>
    <xf numFmtId="169" fontId="3" fillId="40" borderId="67" xfId="0" applyNumberFormat="1" applyFont="1" applyFill="1" applyBorder="1" applyAlignment="1" applyProtection="1">
      <alignment horizontal="right" vertical="top"/>
      <protection locked="0"/>
    </xf>
    <xf numFmtId="169" fontId="3" fillId="27" borderId="13" xfId="0" applyNumberFormat="1" applyFont="1" applyFill="1" applyBorder="1" applyAlignment="1" applyProtection="1">
      <alignment horizontal="right" vertical="top"/>
      <protection locked="0"/>
    </xf>
    <xf numFmtId="0" fontId="74" fillId="27" borderId="31" xfId="0" applyFont="1" applyFill="1" applyBorder="1" applyAlignment="1" applyProtection="1">
      <alignment horizontal="center" vertical="top"/>
      <protection locked="0"/>
    </xf>
    <xf numFmtId="0" fontId="74" fillId="27" borderId="62" xfId="0" applyFont="1" applyFill="1" applyBorder="1" applyAlignment="1" applyProtection="1">
      <alignment horizontal="center" vertical="top"/>
      <protection locked="0"/>
    </xf>
    <xf numFmtId="0" fontId="74" fillId="27" borderId="127" xfId="0" applyFont="1" applyFill="1" applyBorder="1" applyAlignment="1" applyProtection="1">
      <alignment horizontal="center" vertical="top"/>
      <protection locked="0"/>
    </xf>
    <xf numFmtId="0" fontId="74" fillId="27" borderId="123" xfId="0" applyFont="1" applyFill="1" applyBorder="1" applyAlignment="1" applyProtection="1">
      <alignment horizontal="center" vertical="top"/>
      <protection locked="0"/>
    </xf>
    <xf numFmtId="0" fontId="74" fillId="27" borderId="64" xfId="0" applyFont="1" applyFill="1" applyBorder="1" applyAlignment="1" applyProtection="1">
      <alignment horizontal="center" vertical="top"/>
      <protection locked="0"/>
    </xf>
    <xf numFmtId="0" fontId="74" fillId="27" borderId="134" xfId="0" applyFont="1" applyFill="1" applyBorder="1" applyAlignment="1" applyProtection="1">
      <alignment horizontal="center" vertical="top"/>
      <protection locked="0"/>
    </xf>
    <xf numFmtId="169" fontId="72" fillId="27" borderId="49" xfId="0" applyNumberFormat="1" applyFont="1" applyFill="1" applyBorder="1" applyAlignment="1" applyProtection="1">
      <alignment horizontal="right" vertical="top"/>
      <protection locked="0"/>
    </xf>
    <xf numFmtId="169" fontId="72" fillId="27" borderId="58" xfId="0" applyNumberFormat="1" applyFont="1" applyFill="1" applyBorder="1" applyAlignment="1" applyProtection="1">
      <alignment horizontal="right" vertical="top"/>
      <protection locked="0"/>
    </xf>
    <xf numFmtId="169" fontId="72" fillId="27" borderId="31" xfId="0" applyNumberFormat="1" applyFont="1" applyFill="1" applyBorder="1" applyAlignment="1" applyProtection="1">
      <alignment horizontal="right" vertical="top"/>
      <protection locked="0"/>
    </xf>
    <xf numFmtId="169" fontId="72" fillId="27" borderId="62" xfId="0" applyNumberFormat="1" applyFont="1" applyFill="1" applyBorder="1" applyAlignment="1" applyProtection="1">
      <alignment horizontal="right" vertical="top"/>
      <protection locked="0"/>
    </xf>
    <xf numFmtId="169" fontId="72" fillId="27" borderId="127" xfId="0" applyNumberFormat="1" applyFont="1" applyFill="1" applyBorder="1" applyAlignment="1" applyProtection="1">
      <alignment horizontal="right" vertical="top"/>
      <protection locked="0"/>
    </xf>
    <xf numFmtId="169" fontId="72" fillId="40" borderId="33" xfId="0" applyNumberFormat="1" applyFont="1" applyFill="1" applyBorder="1" applyAlignment="1" applyProtection="1">
      <alignment horizontal="right" vertical="top"/>
      <protection locked="0"/>
    </xf>
    <xf numFmtId="169" fontId="72" fillId="40" borderId="63" xfId="0" applyNumberFormat="1" applyFont="1" applyFill="1" applyBorder="1" applyAlignment="1" applyProtection="1">
      <alignment horizontal="right" vertical="top"/>
      <protection locked="0"/>
    </xf>
    <xf numFmtId="169" fontId="72" fillId="40" borderId="96" xfId="0" applyNumberFormat="1" applyFont="1" applyFill="1" applyBorder="1" applyAlignment="1" applyProtection="1">
      <alignment horizontal="right" vertical="top"/>
      <protection locked="0"/>
    </xf>
    <xf numFmtId="176" fontId="72" fillId="27" borderId="33" xfId="0" applyNumberFormat="1" applyFont="1" applyFill="1" applyBorder="1" applyAlignment="1" applyProtection="1">
      <alignment horizontal="right" vertical="top"/>
      <protection locked="0"/>
    </xf>
    <xf numFmtId="176" fontId="72" fillId="27" borderId="63" xfId="0" applyNumberFormat="1" applyFont="1" applyFill="1" applyBorder="1" applyAlignment="1" applyProtection="1">
      <alignment horizontal="right" vertical="top"/>
      <protection locked="0"/>
    </xf>
    <xf numFmtId="176" fontId="72" fillId="27" borderId="96" xfId="0" applyNumberFormat="1" applyFont="1" applyFill="1" applyBorder="1" applyAlignment="1" applyProtection="1">
      <alignment horizontal="right" vertical="top"/>
      <protection locked="0"/>
    </xf>
    <xf numFmtId="176" fontId="72" fillId="27" borderId="117" xfId="0" applyNumberFormat="1" applyFont="1" applyFill="1" applyBorder="1" applyAlignment="1" applyProtection="1">
      <alignment horizontal="right" vertical="top"/>
      <protection locked="0"/>
    </xf>
    <xf numFmtId="176" fontId="72" fillId="27" borderId="11" xfId="0" applyNumberFormat="1" applyFont="1" applyFill="1" applyBorder="1" applyAlignment="1" applyProtection="1">
      <alignment horizontal="right" vertical="top"/>
      <protection locked="0"/>
    </xf>
    <xf numFmtId="176" fontId="72" fillId="27" borderId="125" xfId="0" applyNumberFormat="1" applyFont="1" applyFill="1" applyBorder="1" applyAlignment="1" applyProtection="1">
      <alignment horizontal="right" vertical="top"/>
      <protection locked="0"/>
    </xf>
    <xf numFmtId="169" fontId="3" fillId="27" borderId="58" xfId="0" applyNumberFormat="1" applyFont="1" applyFill="1" applyBorder="1" applyAlignment="1" applyProtection="1">
      <alignment horizontal="right" vertical="top"/>
      <protection locked="0"/>
    </xf>
    <xf numFmtId="169" fontId="3" fillId="27" borderId="31" xfId="0" applyNumberFormat="1" applyFont="1" applyFill="1" applyBorder="1" applyAlignment="1" applyProtection="1">
      <alignment horizontal="right" vertical="top"/>
      <protection locked="0"/>
    </xf>
    <xf numFmtId="169" fontId="3" fillId="27" borderId="127" xfId="0" applyNumberFormat="1" applyFont="1" applyFill="1" applyBorder="1" applyAlignment="1" applyProtection="1">
      <alignment horizontal="right" vertical="top"/>
      <protection locked="0"/>
    </xf>
    <xf numFmtId="174" fontId="3" fillId="27" borderId="33" xfId="66" applyNumberFormat="1" applyFont="1" applyFill="1" applyBorder="1" applyAlignment="1" applyProtection="1">
      <alignment horizontal="right" vertical="top"/>
      <protection locked="0"/>
    </xf>
    <xf numFmtId="174" fontId="3" fillId="27" borderId="63" xfId="66" applyNumberFormat="1" applyFont="1" applyFill="1" applyBorder="1" applyAlignment="1" applyProtection="1">
      <alignment horizontal="right" vertical="top"/>
      <protection locked="0"/>
    </xf>
    <xf numFmtId="174" fontId="3" fillId="27" borderId="96" xfId="66" applyNumberFormat="1" applyFont="1" applyFill="1" applyBorder="1" applyAlignment="1" applyProtection="1">
      <alignment horizontal="right" vertical="top"/>
      <protection locked="0"/>
    </xf>
    <xf numFmtId="0" fontId="74" fillId="27" borderId="33" xfId="0" applyFont="1" applyFill="1" applyBorder="1" applyAlignment="1" applyProtection="1">
      <alignment horizontal="center" vertical="top"/>
      <protection locked="0"/>
    </xf>
    <xf numFmtId="0" fontId="74" fillId="27" borderId="63" xfId="0" applyFont="1" applyFill="1" applyBorder="1" applyAlignment="1" applyProtection="1">
      <alignment horizontal="center" vertical="top"/>
      <protection locked="0"/>
    </xf>
    <xf numFmtId="0" fontId="74" fillId="27" borderId="96" xfId="0" applyFont="1" applyFill="1" applyBorder="1" applyAlignment="1" applyProtection="1">
      <alignment horizontal="center" vertical="top"/>
      <protection locked="0"/>
    </xf>
    <xf numFmtId="169" fontId="3" fillId="27" borderId="123" xfId="0" applyNumberFormat="1" applyFont="1" applyFill="1" applyBorder="1" applyAlignment="1" applyProtection="1">
      <alignment horizontal="right" vertical="top"/>
      <protection locked="0"/>
    </xf>
    <xf numFmtId="169" fontId="3" fillId="27" borderId="64" xfId="0" applyNumberFormat="1" applyFont="1" applyFill="1" applyBorder="1" applyAlignment="1" applyProtection="1">
      <alignment horizontal="right" vertical="top"/>
      <protection locked="0"/>
    </xf>
    <xf numFmtId="169" fontId="3" fillId="27" borderId="134" xfId="0" applyNumberFormat="1" applyFont="1" applyFill="1" applyBorder="1" applyAlignment="1" applyProtection="1">
      <alignment horizontal="right" vertical="top"/>
      <protection locked="0"/>
    </xf>
    <xf numFmtId="0" fontId="74" fillId="27" borderId="49" xfId="0" applyFont="1" applyFill="1" applyBorder="1" applyAlignment="1" applyProtection="1">
      <alignment horizontal="center" vertical="top"/>
      <protection locked="0"/>
    </xf>
    <xf numFmtId="0" fontId="74" fillId="27" borderId="13" xfId="0" applyFont="1" applyFill="1" applyBorder="1" applyAlignment="1" applyProtection="1">
      <alignment horizontal="center" vertical="top"/>
      <protection locked="0"/>
    </xf>
    <xf numFmtId="0" fontId="74" fillId="27" borderId="58" xfId="0" applyFont="1" applyFill="1" applyBorder="1" applyAlignment="1" applyProtection="1">
      <alignment horizontal="center" vertical="top"/>
      <protection locked="0"/>
    </xf>
    <xf numFmtId="169" fontId="72" fillId="40" borderId="130" xfId="0" applyNumberFormat="1" applyFont="1" applyFill="1" applyBorder="1" applyAlignment="1" applyProtection="1">
      <alignment horizontal="right" vertical="top"/>
      <protection locked="0"/>
    </xf>
    <xf numFmtId="169" fontId="72" fillId="40" borderId="95" xfId="0" applyNumberFormat="1" applyFont="1" applyFill="1" applyBorder="1" applyAlignment="1" applyProtection="1">
      <alignment horizontal="right" vertical="top"/>
      <protection locked="0"/>
    </xf>
    <xf numFmtId="169" fontId="72" fillId="40" borderId="133" xfId="0" applyNumberFormat="1" applyFont="1" applyFill="1" applyBorder="1" applyAlignment="1" applyProtection="1">
      <alignment horizontal="right" vertical="top"/>
      <protection locked="0"/>
    </xf>
    <xf numFmtId="176" fontId="3" fillId="27" borderId="31" xfId="0" applyNumberFormat="1" applyFont="1" applyFill="1" applyBorder="1" applyAlignment="1" applyProtection="1">
      <alignment horizontal="right" vertical="top"/>
      <protection locked="0"/>
    </xf>
    <xf numFmtId="176" fontId="3" fillId="27" borderId="62" xfId="0" applyNumberFormat="1" applyFont="1" applyFill="1" applyBorder="1" applyAlignment="1" applyProtection="1">
      <alignment horizontal="right" vertical="top"/>
      <protection locked="0"/>
    </xf>
    <xf numFmtId="176" fontId="3" fillId="27" borderId="127" xfId="0" applyNumberFormat="1" applyFont="1" applyFill="1" applyBorder="1" applyAlignment="1" applyProtection="1">
      <alignment horizontal="right" vertical="top"/>
      <protection locked="0"/>
    </xf>
    <xf numFmtId="176" fontId="3" fillId="27" borderId="123" xfId="0" applyNumberFormat="1" applyFont="1" applyFill="1" applyBorder="1" applyAlignment="1" applyProtection="1">
      <alignment horizontal="right" vertical="top"/>
      <protection locked="0"/>
    </xf>
    <xf numFmtId="176" fontId="3" fillId="27" borderId="64" xfId="0" applyNumberFormat="1" applyFont="1" applyFill="1" applyBorder="1" applyAlignment="1" applyProtection="1">
      <alignment horizontal="right" vertical="top"/>
      <protection locked="0"/>
    </xf>
    <xf numFmtId="176" fontId="3" fillId="27" borderId="134" xfId="0" applyNumberFormat="1" applyFont="1" applyFill="1" applyBorder="1" applyAlignment="1" applyProtection="1">
      <alignment horizontal="right" vertical="top"/>
      <protection locked="0"/>
    </xf>
    <xf numFmtId="169" fontId="3" fillId="40" borderId="31" xfId="0" applyNumberFormat="1" applyFont="1" applyFill="1" applyBorder="1" applyAlignment="1" applyProtection="1">
      <alignment horizontal="right" vertical="top"/>
      <protection locked="0"/>
    </xf>
    <xf numFmtId="169" fontId="3" fillId="40" borderId="62" xfId="0" applyNumberFormat="1" applyFont="1" applyFill="1" applyBorder="1" applyAlignment="1" applyProtection="1">
      <alignment horizontal="right" vertical="top"/>
      <protection locked="0"/>
    </xf>
    <xf numFmtId="169" fontId="3" fillId="40" borderId="127" xfId="0" applyNumberFormat="1" applyFont="1" applyFill="1" applyBorder="1" applyAlignment="1" applyProtection="1">
      <alignment horizontal="right" vertical="top"/>
      <protection locked="0"/>
    </xf>
    <xf numFmtId="169" fontId="3" fillId="40" borderId="123" xfId="0" applyNumberFormat="1" applyFont="1" applyFill="1" applyBorder="1" applyAlignment="1" applyProtection="1">
      <alignment horizontal="right" vertical="top"/>
      <protection locked="0"/>
    </xf>
    <xf numFmtId="169" fontId="3" fillId="40" borderId="64" xfId="0" applyNumberFormat="1" applyFont="1" applyFill="1" applyBorder="1" applyAlignment="1" applyProtection="1">
      <alignment horizontal="right" vertical="top"/>
      <protection locked="0"/>
    </xf>
    <xf numFmtId="169" fontId="3" fillId="40" borderId="134" xfId="0" applyNumberFormat="1" applyFont="1" applyFill="1" applyBorder="1" applyAlignment="1" applyProtection="1">
      <alignment horizontal="right" vertical="top"/>
      <protection locked="0"/>
    </xf>
    <xf numFmtId="176" fontId="72" fillId="27" borderId="122" xfId="0" applyNumberFormat="1" applyFont="1" applyFill="1" applyBorder="1" applyAlignment="1" applyProtection="1">
      <alignment horizontal="right" vertical="top"/>
      <protection locked="0"/>
    </xf>
    <xf numFmtId="176" fontId="72" fillId="27" borderId="92" xfId="0" applyNumberFormat="1" applyFont="1" applyFill="1" applyBorder="1" applyAlignment="1" applyProtection="1">
      <alignment horizontal="right" vertical="top"/>
      <protection locked="0"/>
    </xf>
    <xf numFmtId="176" fontId="72" fillId="27" borderId="132" xfId="0" applyNumberFormat="1" applyFont="1" applyFill="1" applyBorder="1" applyAlignment="1" applyProtection="1">
      <alignment horizontal="right" vertical="top"/>
      <protection locked="0"/>
    </xf>
    <xf numFmtId="176" fontId="72" fillId="27" borderId="130" xfId="0" applyNumberFormat="1" applyFont="1" applyFill="1" applyBorder="1" applyAlignment="1" applyProtection="1">
      <alignment horizontal="right" vertical="top"/>
      <protection locked="0"/>
    </xf>
    <xf numFmtId="176" fontId="72" fillId="27" borderId="95" xfId="0" applyNumberFormat="1" applyFont="1" applyFill="1" applyBorder="1" applyAlignment="1" applyProtection="1">
      <alignment horizontal="right" vertical="top"/>
      <protection locked="0"/>
    </xf>
    <xf numFmtId="176" fontId="72" fillId="27" borderId="133" xfId="0" applyNumberFormat="1" applyFont="1" applyFill="1" applyBorder="1" applyAlignment="1" applyProtection="1">
      <alignment horizontal="right" vertical="top"/>
      <protection locked="0"/>
    </xf>
    <xf numFmtId="169" fontId="72" fillId="27" borderId="145" xfId="0" applyNumberFormat="1" applyFont="1" applyFill="1" applyBorder="1" applyAlignment="1" applyProtection="1">
      <alignment horizontal="right" vertical="top"/>
      <protection locked="0"/>
    </xf>
    <xf numFmtId="169" fontId="72" fillId="27" borderId="142" xfId="0" applyNumberFormat="1" applyFont="1" applyFill="1" applyBorder="1" applyAlignment="1" applyProtection="1">
      <alignment horizontal="right" vertical="top"/>
      <protection locked="0"/>
    </xf>
    <xf numFmtId="169" fontId="3" fillId="27" borderId="122" xfId="0" applyNumberFormat="1" applyFont="1" applyFill="1" applyBorder="1" applyAlignment="1" applyProtection="1">
      <alignment horizontal="right" vertical="top"/>
      <protection locked="0"/>
    </xf>
    <xf numFmtId="169" fontId="3" fillId="27" borderId="92" xfId="0" applyNumberFormat="1" applyFont="1" applyFill="1" applyBorder="1" applyAlignment="1" applyProtection="1">
      <alignment horizontal="right" vertical="top"/>
      <protection locked="0"/>
    </xf>
    <xf numFmtId="169" fontId="3" fillId="27" borderId="132" xfId="0" applyNumberFormat="1" applyFont="1" applyFill="1" applyBorder="1" applyAlignment="1" applyProtection="1">
      <alignment horizontal="right" vertical="top"/>
      <protection locked="0"/>
    </xf>
    <xf numFmtId="169" fontId="72" fillId="27" borderId="140" xfId="0" applyNumberFormat="1" applyFont="1" applyFill="1" applyBorder="1" applyAlignment="1" applyProtection="1">
      <alignment horizontal="right" vertical="top"/>
      <protection locked="0"/>
    </xf>
    <xf numFmtId="169" fontId="3" fillId="40" borderId="33" xfId="0" applyNumberFormat="1" applyFont="1" applyFill="1" applyBorder="1" applyAlignment="1" applyProtection="1">
      <alignment horizontal="right" vertical="top"/>
      <protection locked="0"/>
    </xf>
    <xf numFmtId="169" fontId="3" fillId="40" borderId="63" xfId="0" applyNumberFormat="1" applyFont="1" applyFill="1" applyBorder="1" applyAlignment="1" applyProtection="1">
      <alignment horizontal="right" vertical="top"/>
      <protection locked="0"/>
    </xf>
    <xf numFmtId="169" fontId="3" fillId="40" borderId="96" xfId="0" applyNumberFormat="1" applyFont="1" applyFill="1" applyBorder="1" applyAlignment="1" applyProtection="1">
      <alignment horizontal="right" vertical="top"/>
      <protection locked="0"/>
    </xf>
    <xf numFmtId="176" fontId="72" fillId="27" borderId="140" xfId="0" applyNumberFormat="1" applyFont="1" applyFill="1" applyBorder="1" applyAlignment="1" applyProtection="1">
      <alignment horizontal="right" vertical="top"/>
      <protection locked="0"/>
    </xf>
    <xf numFmtId="176" fontId="3" fillId="27" borderId="33" xfId="0" applyNumberFormat="1" applyFont="1" applyFill="1" applyBorder="1" applyAlignment="1" applyProtection="1">
      <alignment horizontal="right" vertical="top"/>
      <protection locked="0"/>
    </xf>
    <xf numFmtId="176" fontId="3" fillId="27" borderId="63" xfId="0" applyNumberFormat="1" applyFont="1" applyFill="1" applyBorder="1" applyAlignment="1" applyProtection="1">
      <alignment horizontal="right" vertical="top"/>
      <protection locked="0"/>
    </xf>
    <xf numFmtId="176" fontId="3" fillId="27" borderId="96" xfId="0" applyNumberFormat="1" applyFont="1" applyFill="1" applyBorder="1" applyAlignment="1" applyProtection="1">
      <alignment horizontal="right" vertical="top"/>
      <protection locked="0"/>
    </xf>
    <xf numFmtId="176" fontId="72" fillId="27" borderId="144" xfId="0" applyNumberFormat="1" applyFont="1" applyFill="1" applyBorder="1" applyAlignment="1" applyProtection="1">
      <alignment horizontal="right" vertical="top"/>
      <protection locked="0"/>
    </xf>
    <xf numFmtId="176" fontId="3" fillId="27" borderId="117" xfId="0" applyNumberFormat="1" applyFont="1" applyFill="1" applyBorder="1" applyAlignment="1" applyProtection="1">
      <alignment horizontal="right" vertical="top"/>
      <protection locked="0"/>
    </xf>
    <xf numFmtId="176" fontId="3" fillId="27" borderId="11" xfId="0" applyNumberFormat="1" applyFont="1" applyFill="1" applyBorder="1" applyAlignment="1" applyProtection="1">
      <alignment horizontal="right" vertical="top"/>
      <protection locked="0"/>
    </xf>
    <xf numFmtId="176" fontId="3" fillId="27" borderId="125" xfId="0" applyNumberFormat="1" applyFont="1" applyFill="1" applyBorder="1" applyAlignment="1" applyProtection="1">
      <alignment horizontal="right" vertical="top"/>
      <protection locked="0"/>
    </xf>
    <xf numFmtId="169" fontId="72" fillId="40" borderId="98" xfId="0" applyNumberFormat="1" applyFont="1" applyFill="1" applyBorder="1" applyAlignment="1" applyProtection="1">
      <alignment horizontal="right" vertical="top"/>
      <protection locked="0"/>
    </xf>
    <xf numFmtId="4" fontId="5" fillId="40" borderId="75" xfId="0" applyNumberFormat="1" applyFont="1" applyFill="1" applyBorder="1" applyAlignment="1" applyProtection="1">
      <alignment vertical="top"/>
      <protection locked="0"/>
    </xf>
    <xf numFmtId="4" fontId="5" fillId="40" borderId="135" xfId="0" applyNumberFormat="1" applyFont="1" applyFill="1" applyBorder="1" applyAlignment="1" applyProtection="1">
      <alignment vertical="top"/>
      <protection locked="0"/>
    </xf>
    <xf numFmtId="4" fontId="5" fillId="40" borderId="76" xfId="0" applyNumberFormat="1" applyFont="1" applyFill="1" applyBorder="1" applyAlignment="1" applyProtection="1">
      <alignment vertical="top"/>
      <protection locked="0"/>
    </xf>
    <xf numFmtId="4" fontId="5" fillId="40" borderId="77" xfId="0" applyNumberFormat="1" applyFont="1" applyFill="1" applyBorder="1" applyAlignment="1" applyProtection="1">
      <alignment vertical="top"/>
      <protection locked="0"/>
    </xf>
    <xf numFmtId="4" fontId="3" fillId="40" borderId="106" xfId="0" applyNumberFormat="1" applyFont="1" applyFill="1" applyBorder="1" applyAlignment="1" applyProtection="1">
      <alignment vertical="top"/>
      <protection locked="0"/>
    </xf>
    <xf numFmtId="4" fontId="3" fillId="40" borderId="31" xfId="0" applyNumberFormat="1" applyFont="1" applyFill="1" applyBorder="1" applyAlignment="1" applyProtection="1">
      <alignment vertical="top"/>
      <protection locked="0"/>
    </xf>
    <xf numFmtId="4" fontId="3" fillId="40" borderId="127" xfId="0" applyNumberFormat="1" applyFont="1" applyFill="1" applyBorder="1" applyAlignment="1" applyProtection="1">
      <alignment vertical="top"/>
      <protection locked="0"/>
    </xf>
    <xf numFmtId="4" fontId="3" fillId="40" borderId="97" xfId="0" applyNumberFormat="1" applyFont="1" applyFill="1" applyBorder="1" applyAlignment="1" applyProtection="1">
      <alignment vertical="top"/>
      <protection locked="0"/>
    </xf>
    <xf numFmtId="4" fontId="3" fillId="40" borderId="123" xfId="0" applyNumberFormat="1" applyFont="1" applyFill="1" applyBorder="1" applyAlignment="1" applyProtection="1">
      <alignment vertical="top"/>
      <protection locked="0"/>
    </xf>
    <xf numFmtId="4" fontId="3" fillId="40" borderId="134" xfId="0" applyNumberFormat="1" applyFont="1" applyFill="1" applyBorder="1" applyAlignment="1" applyProtection="1">
      <alignment vertical="top"/>
      <protection locked="0"/>
    </xf>
    <xf numFmtId="4" fontId="3" fillId="40" borderId="67" xfId="0" applyNumberFormat="1" applyFont="1" applyFill="1" applyBorder="1" applyAlignment="1" applyProtection="1">
      <alignment vertical="top"/>
      <protection locked="0"/>
    </xf>
    <xf numFmtId="4" fontId="3" fillId="40" borderId="49" xfId="0" applyNumberFormat="1" applyFont="1" applyFill="1" applyBorder="1" applyAlignment="1" applyProtection="1">
      <alignment vertical="top"/>
      <protection locked="0"/>
    </xf>
    <xf numFmtId="4" fontId="3" fillId="40" borderId="58" xfId="0" applyNumberFormat="1" applyFont="1" applyFill="1" applyBorder="1" applyAlignment="1" applyProtection="1">
      <alignment vertical="top"/>
      <protection locked="0"/>
    </xf>
    <xf numFmtId="173" fontId="3" fillId="40" borderId="67" xfId="0" applyNumberFormat="1" applyFont="1" applyFill="1" applyBorder="1" applyAlignment="1" applyProtection="1">
      <alignment horizontal="right" vertical="top"/>
      <protection locked="0"/>
    </xf>
    <xf numFmtId="170" fontId="72" fillId="27" borderId="67" xfId="0" applyNumberFormat="1" applyFont="1" applyFill="1" applyBorder="1" applyAlignment="1" applyProtection="1">
      <alignment horizontal="right" vertical="top"/>
      <protection locked="0"/>
    </xf>
    <xf numFmtId="170" fontId="3" fillId="27" borderId="49" xfId="0" applyNumberFormat="1" applyFont="1" applyFill="1" applyBorder="1" applyAlignment="1" applyProtection="1">
      <alignment horizontal="right" vertical="top"/>
      <protection locked="0"/>
    </xf>
    <xf numFmtId="170" fontId="3" fillId="40" borderId="67" xfId="0" applyNumberFormat="1" applyFont="1" applyFill="1" applyBorder="1" applyAlignment="1" applyProtection="1">
      <alignment horizontal="right" vertical="top"/>
      <protection locked="0"/>
    </xf>
    <xf numFmtId="170" fontId="3" fillId="27" borderId="13" xfId="0" applyNumberFormat="1" applyFont="1" applyFill="1" applyBorder="1" applyAlignment="1" applyProtection="1">
      <alignment horizontal="right" vertical="top"/>
      <protection locked="0"/>
    </xf>
    <xf numFmtId="176" fontId="72" fillId="27" borderId="67" xfId="0" applyNumberFormat="1" applyFont="1" applyFill="1" applyBorder="1" applyAlignment="1" applyProtection="1">
      <alignment horizontal="right" vertical="top"/>
      <protection locked="0"/>
    </xf>
    <xf numFmtId="176" fontId="3" fillId="27" borderId="49" xfId="0" applyNumberFormat="1" applyFont="1" applyFill="1" applyBorder="1" applyAlignment="1" applyProtection="1">
      <alignment horizontal="right" vertical="top"/>
      <protection locked="0"/>
    </xf>
    <xf numFmtId="176" fontId="3" fillId="40" borderId="67" xfId="0" applyNumberFormat="1" applyFont="1" applyFill="1" applyBorder="1" applyAlignment="1" applyProtection="1">
      <alignment horizontal="right" vertical="top"/>
      <protection locked="0"/>
    </xf>
    <xf numFmtId="176" fontId="3" fillId="27" borderId="13" xfId="0" applyNumberFormat="1" applyFont="1" applyFill="1" applyBorder="1" applyAlignment="1" applyProtection="1">
      <alignment horizontal="right" vertical="top"/>
      <protection locked="0"/>
    </xf>
    <xf numFmtId="170" fontId="72" fillId="27" borderId="49" xfId="0" applyNumberFormat="1" applyFont="1" applyFill="1" applyBorder="1" applyAlignment="1" applyProtection="1">
      <alignment horizontal="right" vertical="top"/>
      <protection locked="0"/>
    </xf>
    <xf numFmtId="170" fontId="72" fillId="27" borderId="13" xfId="0" applyNumberFormat="1" applyFont="1" applyFill="1" applyBorder="1" applyAlignment="1" applyProtection="1">
      <alignment horizontal="right" vertical="top"/>
      <protection locked="0"/>
    </xf>
    <xf numFmtId="170" fontId="72" fillId="27" borderId="58" xfId="0" applyNumberFormat="1" applyFont="1" applyFill="1" applyBorder="1" applyAlignment="1" applyProtection="1">
      <alignment horizontal="right" vertical="top"/>
      <protection locked="0"/>
    </xf>
    <xf numFmtId="170" fontId="3" fillId="27" borderId="31" xfId="0" applyNumberFormat="1" applyFont="1" applyFill="1" applyBorder="1" applyAlignment="1" applyProtection="1">
      <alignment horizontal="right" vertical="top"/>
      <protection locked="0"/>
    </xf>
    <xf numFmtId="170" fontId="3" fillId="27" borderId="62" xfId="0" applyNumberFormat="1" applyFont="1" applyFill="1" applyBorder="1" applyAlignment="1" applyProtection="1">
      <alignment horizontal="right" vertical="top"/>
      <protection locked="0"/>
    </xf>
    <xf numFmtId="170" fontId="3" fillId="27" borderId="127" xfId="0" applyNumberFormat="1" applyFont="1" applyFill="1" applyBorder="1" applyAlignment="1" applyProtection="1">
      <alignment horizontal="right" vertical="top"/>
      <protection locked="0"/>
    </xf>
    <xf numFmtId="170" fontId="3" fillId="27" borderId="123" xfId="0" applyNumberFormat="1" applyFont="1" applyFill="1" applyBorder="1" applyAlignment="1" applyProtection="1">
      <alignment horizontal="right" vertical="top"/>
      <protection locked="0"/>
    </xf>
    <xf numFmtId="170" fontId="3" fillId="27" borderId="64" xfId="0" applyNumberFormat="1" applyFont="1" applyFill="1" applyBorder="1" applyAlignment="1" applyProtection="1">
      <alignment horizontal="right" vertical="top"/>
      <protection locked="0"/>
    </xf>
    <xf numFmtId="170" fontId="3" fillId="27" borderId="134" xfId="0" applyNumberFormat="1" applyFont="1" applyFill="1" applyBorder="1" applyAlignment="1" applyProtection="1">
      <alignment horizontal="right" vertical="top"/>
      <protection locked="0"/>
    </xf>
    <xf numFmtId="174" fontId="3" fillId="27" borderId="31" xfId="66" applyNumberFormat="1" applyFont="1" applyFill="1" applyBorder="1" applyAlignment="1" applyProtection="1">
      <alignment horizontal="right" vertical="top"/>
      <protection locked="0"/>
    </xf>
    <xf numFmtId="174" fontId="3" fillId="27" borderId="62" xfId="66" applyNumberFormat="1" applyFont="1" applyFill="1" applyBorder="1" applyAlignment="1" applyProtection="1">
      <alignment horizontal="right" vertical="top"/>
      <protection locked="0"/>
    </xf>
    <xf numFmtId="174" fontId="3" fillId="27" borderId="127" xfId="66" applyNumberFormat="1" applyFont="1" applyFill="1" applyBorder="1" applyAlignment="1" applyProtection="1">
      <alignment horizontal="right" vertical="top"/>
      <protection locked="0"/>
    </xf>
    <xf numFmtId="174" fontId="3" fillId="27" borderId="123" xfId="66" applyNumberFormat="1" applyFont="1" applyFill="1" applyBorder="1" applyAlignment="1" applyProtection="1">
      <alignment horizontal="right" vertical="top"/>
      <protection locked="0"/>
    </xf>
    <xf numFmtId="174" fontId="3" fillId="27" borderId="64" xfId="66" applyNumberFormat="1" applyFont="1" applyFill="1" applyBorder="1" applyAlignment="1" applyProtection="1">
      <alignment horizontal="right" vertical="top"/>
      <protection locked="0"/>
    </xf>
    <xf numFmtId="174" fontId="3" fillId="27" borderId="134" xfId="66" applyNumberFormat="1" applyFont="1" applyFill="1" applyBorder="1" applyAlignment="1" applyProtection="1">
      <alignment horizontal="right" vertical="top"/>
      <protection locked="0"/>
    </xf>
    <xf numFmtId="174" fontId="5" fillId="27" borderId="49" xfId="66" applyNumberFormat="1" applyFont="1" applyFill="1" applyBorder="1" applyAlignment="1" applyProtection="1">
      <alignment horizontal="right" vertical="top"/>
      <protection locked="0"/>
    </xf>
    <xf numFmtId="174" fontId="5" fillId="27" borderId="13" xfId="66" applyNumberFormat="1" applyFont="1" applyFill="1" applyBorder="1" applyAlignment="1" applyProtection="1">
      <alignment horizontal="right" vertical="top"/>
      <protection locked="0"/>
    </xf>
    <xf numFmtId="174" fontId="5" fillId="27" borderId="58" xfId="66" applyNumberFormat="1" applyFont="1" applyFill="1" applyBorder="1" applyAlignment="1" applyProtection="1">
      <alignment horizontal="right" vertical="top"/>
      <protection locked="0"/>
    </xf>
    <xf numFmtId="170" fontId="3" fillId="27" borderId="58" xfId="0" applyNumberFormat="1" applyFont="1" applyFill="1" applyBorder="1" applyAlignment="1" applyProtection="1">
      <alignment horizontal="right" vertical="top"/>
      <protection locked="0"/>
    </xf>
    <xf numFmtId="169" fontId="72" fillId="40" borderId="49" xfId="0" applyNumberFormat="1" applyFont="1" applyFill="1" applyBorder="1" applyAlignment="1" applyProtection="1">
      <alignment horizontal="right" vertical="top"/>
      <protection locked="0"/>
    </xf>
    <xf numFmtId="2" fontId="3" fillId="40" borderId="67" xfId="0" applyNumberFormat="1" applyFont="1" applyFill="1" applyBorder="1" applyAlignment="1" applyProtection="1">
      <alignment horizontal="right" vertical="top"/>
      <protection locked="0"/>
    </xf>
    <xf numFmtId="169" fontId="3" fillId="27" borderId="71" xfId="0" applyNumberFormat="1" applyFont="1" applyFill="1" applyBorder="1" applyAlignment="1" applyProtection="1">
      <alignment vertical="top"/>
      <protection locked="0"/>
    </xf>
    <xf numFmtId="169" fontId="3" fillId="27" borderId="13" xfId="0" applyNumberFormat="1" applyFont="1" applyFill="1" applyBorder="1" applyAlignment="1" applyProtection="1">
      <alignment vertical="top"/>
      <protection locked="0"/>
    </xf>
    <xf numFmtId="169" fontId="3" fillId="27" borderId="60" xfId="0" applyNumberFormat="1" applyFont="1" applyFill="1" applyBorder="1" applyAlignment="1" applyProtection="1">
      <alignment vertical="top"/>
      <protection locked="0"/>
    </xf>
    <xf numFmtId="169" fontId="3" fillId="27" borderId="11" xfId="0" applyNumberFormat="1" applyFont="1" applyFill="1" applyBorder="1" applyAlignment="1" applyProtection="1">
      <alignment vertical="top"/>
      <protection locked="0"/>
    </xf>
    <xf numFmtId="169" fontId="3" fillId="27" borderId="10" xfId="0" applyNumberFormat="1" applyFont="1" applyFill="1" applyBorder="1" applyAlignment="1" applyProtection="1">
      <alignment vertical="top"/>
      <protection locked="0"/>
    </xf>
    <xf numFmtId="169" fontId="5" fillId="27" borderId="11" xfId="0" applyNumberFormat="1" applyFont="1" applyFill="1" applyBorder="1" applyAlignment="1" applyProtection="1">
      <alignment vertical="top"/>
      <protection locked="0"/>
    </xf>
    <xf numFmtId="176" fontId="3" fillId="27" borderId="13" xfId="0" applyNumberFormat="1" applyFont="1" applyFill="1" applyBorder="1" applyAlignment="1" applyProtection="1">
      <alignment vertical="top"/>
      <protection locked="0"/>
    </xf>
    <xf numFmtId="169" fontId="3" fillId="40" borderId="67" xfId="0" applyNumberFormat="1" applyFont="1" applyFill="1" applyBorder="1" applyAlignment="1" applyProtection="1">
      <alignment vertical="top" shrinkToFit="1"/>
      <protection locked="0"/>
    </xf>
    <xf numFmtId="169" fontId="3" fillId="40" borderId="49" xfId="0" applyNumberFormat="1" applyFont="1" applyFill="1" applyBorder="1" applyAlignment="1" applyProtection="1">
      <alignment vertical="top" shrinkToFit="1"/>
      <protection locked="0"/>
    </xf>
    <xf numFmtId="169" fontId="3" fillId="40" borderId="13" xfId="0" applyNumberFormat="1" applyFont="1" applyFill="1" applyBorder="1" applyAlignment="1" applyProtection="1">
      <alignment vertical="top" shrinkToFit="1"/>
      <protection locked="0"/>
    </xf>
    <xf numFmtId="169" fontId="3" fillId="27" borderId="13" xfId="0" applyNumberFormat="1" applyFont="1" applyFill="1" applyBorder="1" applyAlignment="1" applyProtection="1">
      <alignment vertical="top" shrinkToFit="1"/>
      <protection locked="0"/>
    </xf>
    <xf numFmtId="169" fontId="3" fillId="27" borderId="67" xfId="0" applyNumberFormat="1" applyFont="1" applyFill="1" applyBorder="1" applyAlignment="1" applyProtection="1">
      <alignment vertical="top" shrinkToFit="1"/>
      <protection locked="0"/>
    </xf>
    <xf numFmtId="169" fontId="3" fillId="27" borderId="49" xfId="0" applyNumberFormat="1" applyFont="1" applyFill="1" applyBorder="1" applyAlignment="1" applyProtection="1">
      <alignment vertical="top" shrinkToFit="1"/>
      <protection locked="0"/>
    </xf>
    <xf numFmtId="3" fontId="3" fillId="40" borderId="67" xfId="0" applyNumberFormat="1" applyFont="1" applyFill="1" applyBorder="1" applyAlignment="1" applyProtection="1">
      <alignment vertical="top"/>
      <protection locked="0"/>
    </xf>
    <xf numFmtId="3" fontId="3" fillId="40" borderId="49" xfId="0" applyNumberFormat="1" applyFont="1" applyFill="1" applyBorder="1" applyAlignment="1" applyProtection="1">
      <alignment vertical="top" shrinkToFit="1"/>
      <protection locked="0"/>
    </xf>
    <xf numFmtId="3" fontId="3" fillId="40" borderId="13" xfId="0" applyNumberFormat="1" applyFont="1" applyFill="1" applyBorder="1" applyAlignment="1" applyProtection="1">
      <alignment vertical="top" shrinkToFit="1"/>
      <protection locked="0"/>
    </xf>
    <xf numFmtId="3" fontId="3" fillId="40" borderId="58" xfId="0" applyNumberFormat="1" applyFont="1" applyFill="1" applyBorder="1" applyAlignment="1" applyProtection="1">
      <alignment vertical="top" shrinkToFit="1"/>
      <protection locked="0"/>
    </xf>
    <xf numFmtId="174" fontId="3" fillId="40" borderId="126" xfId="66" applyNumberFormat="1" applyFont="1" applyFill="1" applyBorder="1" applyAlignment="1" applyProtection="1">
      <alignment vertical="top" shrinkToFit="1"/>
      <protection locked="0"/>
    </xf>
    <xf numFmtId="174" fontId="3" fillId="40" borderId="10" xfId="66" applyNumberFormat="1" applyFont="1" applyFill="1" applyBorder="1" applyAlignment="1" applyProtection="1">
      <alignment vertical="top" shrinkToFit="1"/>
      <protection locked="0"/>
    </xf>
    <xf numFmtId="174" fontId="3" fillId="40" borderId="128" xfId="66" applyNumberFormat="1" applyFont="1" applyFill="1" applyBorder="1" applyAlignment="1" applyProtection="1">
      <alignment vertical="top" shrinkToFit="1"/>
      <protection locked="0"/>
    </xf>
    <xf numFmtId="174" fontId="3" fillId="40" borderId="49" xfId="0" applyNumberFormat="1" applyFont="1" applyFill="1" applyBorder="1" applyAlignment="1" applyProtection="1">
      <alignment vertical="top" shrinkToFit="1"/>
      <protection locked="0"/>
    </xf>
    <xf numFmtId="174" fontId="3" fillId="40" borderId="13" xfId="0" applyNumberFormat="1" applyFont="1" applyFill="1" applyBorder="1" applyAlignment="1" applyProtection="1">
      <alignment vertical="top" shrinkToFit="1"/>
      <protection locked="0"/>
    </xf>
    <xf numFmtId="174" fontId="3" fillId="40" borderId="58" xfId="0" applyNumberFormat="1" applyFont="1" applyFill="1" applyBorder="1" applyAlignment="1" applyProtection="1">
      <alignment vertical="top" shrinkToFit="1"/>
      <protection locked="0"/>
    </xf>
    <xf numFmtId="174" fontId="5" fillId="40" borderId="75" xfId="0" applyNumberFormat="1" applyFont="1" applyFill="1" applyBorder="1" applyAlignment="1" applyProtection="1">
      <alignment vertical="top"/>
      <protection locked="0"/>
    </xf>
    <xf numFmtId="174" fontId="5" fillId="40" borderId="76" xfId="0" applyNumberFormat="1" applyFont="1" applyFill="1" applyBorder="1" applyAlignment="1" applyProtection="1">
      <alignment vertical="top"/>
      <protection locked="0"/>
    </xf>
    <xf numFmtId="174" fontId="5" fillId="40" borderId="77" xfId="0" applyNumberFormat="1" applyFont="1" applyFill="1" applyBorder="1" applyAlignment="1" applyProtection="1">
      <alignment vertical="top"/>
      <protection locked="0"/>
    </xf>
    <xf numFmtId="3" fontId="5" fillId="40" borderId="75" xfId="0" applyNumberFormat="1" applyFont="1" applyFill="1" applyBorder="1" applyAlignment="1" applyProtection="1">
      <alignment vertical="top"/>
      <protection locked="0"/>
    </xf>
    <xf numFmtId="3" fontId="5" fillId="40" borderId="76" xfId="0" applyNumberFormat="1" applyFont="1" applyFill="1" applyBorder="1" applyAlignment="1" applyProtection="1">
      <alignment vertical="top"/>
      <protection locked="0"/>
    </xf>
    <xf numFmtId="3" fontId="5" fillId="40" borderId="77" xfId="0" applyNumberFormat="1" applyFont="1" applyFill="1" applyBorder="1" applyAlignment="1" applyProtection="1">
      <alignment vertical="top"/>
      <protection locked="0"/>
    </xf>
    <xf numFmtId="3" fontId="3" fillId="40" borderId="62" xfId="0" applyNumberFormat="1" applyFont="1" applyFill="1" applyBorder="1" applyAlignment="1" applyProtection="1">
      <alignment vertical="top"/>
      <protection locked="0"/>
    </xf>
    <xf numFmtId="3" fontId="3" fillId="40" borderId="106" xfId="0" applyNumberFormat="1" applyFont="1" applyFill="1" applyBorder="1" applyAlignment="1" applyProtection="1">
      <alignment vertical="top"/>
      <protection locked="0"/>
    </xf>
    <xf numFmtId="3" fontId="3" fillId="40" borderId="31" xfId="0" applyNumberFormat="1" applyFont="1" applyFill="1" applyBorder="1" applyAlignment="1" applyProtection="1">
      <alignment vertical="top"/>
      <protection locked="0"/>
    </xf>
    <xf numFmtId="3" fontId="3" fillId="40" borderId="19" xfId="0" applyNumberFormat="1" applyFont="1" applyFill="1" applyBorder="1" applyAlignment="1" applyProtection="1">
      <alignment vertical="top"/>
      <protection locked="0"/>
    </xf>
    <xf numFmtId="4" fontId="3" fillId="40" borderId="107" xfId="0" applyNumberFormat="1" applyFont="1" applyFill="1" applyBorder="1" applyAlignment="1" applyProtection="1">
      <alignment vertical="top"/>
      <protection locked="0"/>
    </xf>
    <xf numFmtId="4" fontId="3" fillId="40" borderId="33" xfId="0" applyNumberFormat="1" applyFont="1" applyFill="1" applyBorder="1" applyAlignment="1" applyProtection="1">
      <alignment vertical="top"/>
      <protection locked="0"/>
    </xf>
    <xf numFmtId="4" fontId="3" fillId="40" borderId="20" xfId="0" applyNumberFormat="1" applyFont="1" applyFill="1" applyBorder="1" applyAlignment="1" applyProtection="1">
      <alignment vertical="top"/>
      <protection locked="0"/>
    </xf>
    <xf numFmtId="170" fontId="3" fillId="40" borderId="78" xfId="0" applyNumberFormat="1" applyFont="1" applyFill="1" applyBorder="1" applyAlignment="1" applyProtection="1">
      <alignment vertical="top"/>
      <protection locked="0"/>
    </xf>
    <xf numFmtId="170" fontId="3" fillId="40" borderId="117" xfId="0" applyNumberFormat="1" applyFont="1" applyFill="1" applyBorder="1" applyAlignment="1" applyProtection="1">
      <alignment vertical="top"/>
      <protection locked="0"/>
    </xf>
    <xf numFmtId="170" fontId="3" fillId="40" borderId="24" xfId="0" applyNumberFormat="1" applyFont="1" applyFill="1" applyBorder="1" applyAlignment="1" applyProtection="1">
      <alignment vertical="top"/>
      <protection locked="0"/>
    </xf>
    <xf numFmtId="3" fontId="3" fillId="27" borderId="64" xfId="0" applyNumberFormat="1" applyFont="1" applyFill="1" applyBorder="1" applyAlignment="1" applyProtection="1">
      <alignment vertical="top"/>
      <protection locked="0"/>
    </xf>
    <xf numFmtId="3" fontId="3" fillId="27" borderId="97" xfId="0" applyNumberFormat="1" applyFont="1" applyFill="1" applyBorder="1" applyAlignment="1" applyProtection="1">
      <alignment vertical="top"/>
      <protection locked="0"/>
    </xf>
    <xf numFmtId="3" fontId="3" fillId="27" borderId="123" xfId="0" applyNumberFormat="1" applyFont="1" applyFill="1" applyBorder="1" applyAlignment="1" applyProtection="1">
      <alignment vertical="top"/>
      <protection locked="0"/>
    </xf>
    <xf numFmtId="3" fontId="3" fillId="27" borderId="23" xfId="0" applyNumberFormat="1" applyFont="1" applyFill="1" applyBorder="1" applyAlignment="1" applyProtection="1">
      <alignment vertical="top"/>
      <protection locked="0"/>
    </xf>
    <xf numFmtId="171" fontId="0" fillId="40" borderId="13" xfId="0" applyNumberFormat="1" applyFill="1" applyBorder="1" applyAlignment="1" applyProtection="1">
      <alignment vertical="top"/>
      <protection locked="0"/>
    </xf>
    <xf numFmtId="171" fontId="0" fillId="40" borderId="67" xfId="0" applyNumberFormat="1" applyFill="1" applyBorder="1" applyAlignment="1" applyProtection="1">
      <alignment vertical="top"/>
      <protection locked="0"/>
    </xf>
    <xf numFmtId="171" fontId="0" fillId="40" borderId="49" xfId="0" applyNumberFormat="1" applyFill="1" applyBorder="1" applyAlignment="1" applyProtection="1">
      <alignment vertical="top"/>
      <protection locked="0"/>
    </xf>
    <xf numFmtId="171" fontId="0" fillId="40" borderId="26" xfId="0" applyNumberFormat="1" applyFill="1" applyBorder="1" applyAlignment="1" applyProtection="1">
      <alignment vertical="top"/>
      <protection locked="0"/>
    </xf>
    <xf numFmtId="179" fontId="3" fillId="40" borderId="67" xfId="0" applyNumberFormat="1" applyFont="1" applyFill="1" applyBorder="1" applyAlignment="1" applyProtection="1">
      <alignment vertical="top"/>
      <protection locked="0"/>
    </xf>
    <xf numFmtId="179" fontId="3" fillId="40" borderId="126" xfId="0" applyNumberFormat="1" applyFont="1" applyFill="1" applyBorder="1" applyAlignment="1" applyProtection="1">
      <alignment vertical="top" shrinkToFit="1"/>
      <protection locked="0"/>
    </xf>
    <xf numFmtId="179" fontId="3" fillId="40" borderId="10" xfId="0" applyNumberFormat="1" applyFont="1" applyFill="1" applyBorder="1" applyAlignment="1" applyProtection="1">
      <alignment vertical="top" shrinkToFit="1"/>
      <protection locked="0"/>
    </xf>
    <xf numFmtId="179" fontId="3" fillId="40" borderId="128" xfId="0" applyNumberFormat="1" applyFont="1" applyFill="1" applyBorder="1" applyAlignment="1" applyProtection="1">
      <alignment vertical="top" shrinkToFit="1"/>
      <protection locked="0"/>
    </xf>
    <xf numFmtId="174" fontId="3" fillId="40" borderId="49" xfId="66" applyNumberFormat="1" applyFont="1" applyFill="1" applyBorder="1" applyAlignment="1" applyProtection="1">
      <alignment vertical="top" shrinkToFit="1"/>
      <protection locked="0"/>
    </xf>
    <xf numFmtId="174" fontId="3" fillId="40" borderId="13" xfId="66" applyNumberFormat="1" applyFont="1" applyFill="1" applyBorder="1" applyAlignment="1" applyProtection="1">
      <alignment vertical="top" shrinkToFit="1"/>
      <protection locked="0"/>
    </xf>
    <xf numFmtId="174" fontId="3" fillId="40" borderId="58" xfId="66" applyNumberFormat="1" applyFont="1" applyFill="1" applyBorder="1" applyAlignment="1" applyProtection="1">
      <alignment vertical="top" shrinkToFit="1"/>
      <protection locked="0"/>
    </xf>
    <xf numFmtId="179" fontId="3" fillId="40" borderId="49" xfId="0" applyNumberFormat="1" applyFont="1" applyFill="1" applyBorder="1" applyAlignment="1" applyProtection="1">
      <alignment vertical="top" shrinkToFit="1"/>
      <protection locked="0"/>
    </xf>
    <xf numFmtId="179" fontId="3" fillId="40" borderId="13" xfId="0" applyNumberFormat="1" applyFont="1" applyFill="1" applyBorder="1" applyAlignment="1" applyProtection="1">
      <alignment vertical="top" shrinkToFit="1"/>
      <protection locked="0"/>
    </xf>
    <xf numFmtId="179" fontId="3" fillId="40" borderId="58" xfId="0" applyNumberFormat="1" applyFont="1" applyFill="1" applyBorder="1" applyAlignment="1" applyProtection="1">
      <alignment vertical="top" shrinkToFit="1"/>
      <protection locked="0"/>
    </xf>
    <xf numFmtId="179" fontId="5" fillId="40" borderId="75" xfId="0" applyNumberFormat="1" applyFont="1" applyFill="1" applyBorder="1" applyAlignment="1" applyProtection="1">
      <alignment vertical="top"/>
      <protection locked="0"/>
    </xf>
    <xf numFmtId="179" fontId="5" fillId="40" borderId="76" xfId="0" applyNumberFormat="1" applyFont="1" applyFill="1" applyBorder="1" applyAlignment="1" applyProtection="1">
      <alignment vertical="top"/>
      <protection locked="0"/>
    </xf>
    <xf numFmtId="179" fontId="5" fillId="40" borderId="77" xfId="0" applyNumberFormat="1" applyFont="1" applyFill="1" applyBorder="1" applyAlignment="1" applyProtection="1">
      <alignment vertical="top"/>
      <protection locked="0"/>
    </xf>
    <xf numFmtId="170" fontId="3" fillId="27" borderId="62" xfId="66" applyNumberFormat="1" applyFont="1" applyFill="1" applyBorder="1" applyAlignment="1" applyProtection="1">
      <alignment vertical="top"/>
      <protection locked="0"/>
    </xf>
    <xf numFmtId="170" fontId="3" fillId="27" borderId="106" xfId="66" applyNumberFormat="1" applyFont="1" applyFill="1" applyBorder="1" applyAlignment="1" applyProtection="1">
      <alignment vertical="top"/>
      <protection locked="0"/>
    </xf>
    <xf numFmtId="170" fontId="3" fillId="27" borderId="31" xfId="66" applyNumberFormat="1" applyFont="1" applyFill="1" applyBorder="1" applyAlignment="1" applyProtection="1">
      <alignment vertical="top"/>
      <protection locked="0"/>
    </xf>
    <xf numFmtId="170" fontId="3" fillId="27" borderId="64" xfId="66" applyNumberFormat="1" applyFont="1" applyFill="1" applyBorder="1" applyAlignment="1" applyProtection="1">
      <alignment vertical="top"/>
      <protection locked="0"/>
    </xf>
    <xf numFmtId="170" fontId="3" fillId="27" borderId="97" xfId="66" applyNumberFormat="1" applyFont="1" applyFill="1" applyBorder="1" applyAlignment="1" applyProtection="1">
      <alignment vertical="top"/>
      <protection locked="0"/>
    </xf>
    <xf numFmtId="170" fontId="3" fillId="27" borderId="123" xfId="66" applyNumberFormat="1" applyFont="1" applyFill="1" applyBorder="1" applyAlignment="1" applyProtection="1">
      <alignment vertical="top"/>
      <protection locked="0"/>
    </xf>
    <xf numFmtId="3" fontId="3" fillId="40" borderId="126" xfId="0" applyNumberFormat="1" applyFont="1" applyFill="1" applyBorder="1" applyAlignment="1" applyProtection="1">
      <alignment vertical="top" shrinkToFit="1"/>
      <protection locked="0"/>
    </xf>
    <xf numFmtId="3" fontId="3" fillId="40" borderId="10" xfId="0" applyNumberFormat="1" applyFont="1" applyFill="1" applyBorder="1" applyAlignment="1" applyProtection="1">
      <alignment vertical="top" shrinkToFit="1"/>
      <protection locked="0"/>
    </xf>
    <xf numFmtId="3" fontId="3" fillId="40" borderId="128" xfId="0" applyNumberFormat="1" applyFont="1" applyFill="1" applyBorder="1" applyAlignment="1" applyProtection="1">
      <alignment vertical="top" shrinkToFit="1"/>
      <protection locked="0"/>
    </xf>
    <xf numFmtId="0" fontId="3" fillId="40" borderId="106" xfId="0" applyFont="1" applyFill="1" applyBorder="1" applyAlignment="1" applyProtection="1">
      <alignment vertical="top" wrapText="1"/>
      <protection locked="0"/>
    </xf>
    <xf numFmtId="0" fontId="3" fillId="40" borderId="107" xfId="0" applyFont="1" applyFill="1" applyBorder="1" applyAlignment="1" applyProtection="1">
      <alignment vertical="top" wrapText="1"/>
      <protection locked="0"/>
    </xf>
    <xf numFmtId="0" fontId="3" fillId="40" borderId="97" xfId="0" applyFont="1" applyFill="1" applyBorder="1" applyAlignment="1" applyProtection="1">
      <alignment vertical="top" wrapText="1"/>
      <protection locked="0"/>
    </xf>
    <xf numFmtId="170" fontId="3" fillId="27" borderId="97" xfId="0" applyNumberFormat="1" applyFont="1" applyFill="1" applyBorder="1" applyAlignment="1" applyProtection="1">
      <alignment vertical="top"/>
      <protection locked="0"/>
    </xf>
    <xf numFmtId="170" fontId="3" fillId="27" borderId="123" xfId="0" applyNumberFormat="1" applyFont="1" applyFill="1" applyBorder="1" applyAlignment="1" applyProtection="1">
      <alignment vertical="top"/>
      <protection locked="0"/>
    </xf>
    <xf numFmtId="170" fontId="3" fillId="27" borderId="134" xfId="0" applyNumberFormat="1" applyFont="1" applyFill="1" applyBorder="1" applyAlignment="1" applyProtection="1">
      <alignment vertical="top"/>
      <protection locked="0"/>
    </xf>
    <xf numFmtId="0" fontId="70" fillId="27" borderId="13" xfId="0" applyFont="1" applyFill="1" applyBorder="1" applyAlignment="1" applyProtection="1">
      <alignment horizontal="left" vertical="top"/>
      <protection locked="0"/>
    </xf>
    <xf numFmtId="0" fontId="70" fillId="27" borderId="67" xfId="0" applyFont="1" applyFill="1" applyBorder="1" applyAlignment="1" applyProtection="1">
      <alignment horizontal="left" vertical="top"/>
      <protection locked="0"/>
    </xf>
    <xf numFmtId="0" fontId="70" fillId="27" borderId="49" xfId="0" applyFont="1" applyFill="1" applyBorder="1" applyAlignment="1" applyProtection="1">
      <alignment horizontal="left" vertical="top"/>
      <protection locked="0"/>
    </xf>
    <xf numFmtId="0" fontId="70" fillId="27" borderId="58" xfId="0" applyFont="1" applyFill="1" applyBorder="1" applyAlignment="1" applyProtection="1">
      <alignment horizontal="left" vertical="top"/>
      <protection locked="0"/>
    </xf>
    <xf numFmtId="169" fontId="3" fillId="40" borderId="13" xfId="0" applyNumberFormat="1" applyFont="1" applyFill="1" applyBorder="1" applyAlignment="1" applyProtection="1">
      <alignment vertical="top"/>
      <protection locked="0"/>
    </xf>
    <xf numFmtId="169" fontId="3" fillId="40" borderId="67" xfId="0" applyNumberFormat="1" applyFont="1" applyFill="1" applyBorder="1" applyAlignment="1" applyProtection="1">
      <alignment vertical="top"/>
      <protection locked="0"/>
    </xf>
    <xf numFmtId="169" fontId="3" fillId="40" borderId="58" xfId="0" applyNumberFormat="1" applyFont="1" applyFill="1" applyBorder="1" applyAlignment="1" applyProtection="1">
      <alignment vertical="top"/>
      <protection locked="0"/>
    </xf>
    <xf numFmtId="0" fontId="3" fillId="27" borderId="16" xfId="0" applyFont="1" applyFill="1" applyBorder="1" applyAlignment="1" applyProtection="1">
      <alignment horizontal="center" vertical="top"/>
      <protection locked="0"/>
    </xf>
    <xf numFmtId="170" fontId="3" fillId="40" borderId="10" xfId="0" applyNumberFormat="1" applyFont="1" applyFill="1" applyBorder="1" applyAlignment="1" applyProtection="1">
      <alignment vertical="top"/>
      <protection locked="0"/>
    </xf>
    <xf numFmtId="170" fontId="3" fillId="40" borderId="104" xfId="0" applyNumberFormat="1" applyFont="1" applyFill="1" applyBorder="1" applyAlignment="1" applyProtection="1">
      <alignment vertical="top"/>
      <protection locked="0"/>
    </xf>
    <xf numFmtId="170" fontId="3" fillId="40" borderId="126" xfId="0" applyNumberFormat="1" applyFont="1" applyFill="1" applyBorder="1" applyAlignment="1" applyProtection="1">
      <alignment vertical="top"/>
      <protection locked="0"/>
    </xf>
    <xf numFmtId="170" fontId="3" fillId="40" borderId="128" xfId="0" applyNumberFormat="1" applyFont="1" applyFill="1" applyBorder="1" applyAlignment="1" applyProtection="1">
      <alignment vertical="top"/>
      <protection locked="0"/>
    </xf>
    <xf numFmtId="0" fontId="3" fillId="27" borderId="14" xfId="0" applyFont="1" applyFill="1" applyBorder="1" applyAlignment="1" applyProtection="1">
      <alignment horizontal="center" vertical="top"/>
      <protection locked="0"/>
    </xf>
    <xf numFmtId="3" fontId="3" fillId="40" borderId="63" xfId="0" applyNumberFormat="1" applyFont="1" applyFill="1" applyBorder="1" applyAlignment="1" applyProtection="1">
      <alignment vertical="top"/>
      <protection locked="0"/>
    </xf>
    <xf numFmtId="170" fontId="3" fillId="40" borderId="125" xfId="0" applyNumberFormat="1" applyFont="1" applyFill="1" applyBorder="1" applyAlignment="1" applyProtection="1">
      <alignment vertical="top"/>
      <protection locked="0"/>
    </xf>
    <xf numFmtId="3" fontId="3" fillId="40" borderId="49" xfId="0" applyNumberFormat="1" applyFont="1" applyFill="1" applyBorder="1" applyAlignment="1" applyProtection="1">
      <alignment vertical="top"/>
      <protection locked="0"/>
    </xf>
    <xf numFmtId="3" fontId="3" fillId="40" borderId="13" xfId="0" applyNumberFormat="1" applyFont="1" applyFill="1" applyBorder="1" applyAlignment="1" applyProtection="1">
      <alignment vertical="top"/>
      <protection locked="0"/>
    </xf>
    <xf numFmtId="3" fontId="3" fillId="40" borderId="64" xfId="0" applyNumberFormat="1" applyFont="1" applyFill="1" applyBorder="1" applyAlignment="1" applyProtection="1">
      <alignment vertical="top"/>
      <protection locked="0"/>
    </xf>
    <xf numFmtId="170" fontId="3" fillId="40" borderId="107" xfId="0" applyNumberFormat="1" applyFont="1" applyFill="1" applyBorder="1" applyAlignment="1" applyProtection="1">
      <alignment vertical="top"/>
      <protection locked="0"/>
    </xf>
    <xf numFmtId="170" fontId="3" fillId="40" borderId="33" xfId="0" applyNumberFormat="1" applyFont="1" applyFill="1" applyBorder="1" applyAlignment="1" applyProtection="1">
      <alignment vertical="top"/>
      <protection locked="0"/>
    </xf>
    <xf numFmtId="170" fontId="3" fillId="40" borderId="96" xfId="0" applyNumberFormat="1" applyFont="1" applyFill="1" applyBorder="1" applyAlignment="1" applyProtection="1">
      <alignment vertical="top"/>
      <protection locked="0"/>
    </xf>
    <xf numFmtId="169" fontId="3" fillId="40" borderId="64" xfId="0" applyNumberFormat="1" applyFont="1" applyFill="1" applyBorder="1" applyAlignment="1" applyProtection="1">
      <alignment vertical="top"/>
      <protection locked="0"/>
    </xf>
    <xf numFmtId="169" fontId="3" fillId="40" borderId="97" xfId="0" applyNumberFormat="1" applyFont="1" applyFill="1" applyBorder="1" applyAlignment="1" applyProtection="1">
      <alignment vertical="top"/>
      <protection locked="0"/>
    </xf>
    <xf numFmtId="169" fontId="3" fillId="40" borderId="123" xfId="0" applyNumberFormat="1" applyFont="1" applyFill="1" applyBorder="1" applyAlignment="1" applyProtection="1">
      <alignment vertical="top"/>
      <protection locked="0"/>
    </xf>
    <xf numFmtId="169" fontId="3" fillId="40" borderId="134" xfId="0" applyNumberFormat="1" applyFont="1" applyFill="1" applyBorder="1" applyAlignment="1" applyProtection="1">
      <alignment vertical="top"/>
      <protection locked="0"/>
    </xf>
    <xf numFmtId="169" fontId="3" fillId="27" borderId="64" xfId="0" applyNumberFormat="1" applyFont="1" applyFill="1" applyBorder="1" applyAlignment="1" applyProtection="1">
      <alignment vertical="top"/>
      <protection locked="0"/>
    </xf>
    <xf numFmtId="169" fontId="3" fillId="27" borderId="97" xfId="0" applyNumberFormat="1" applyFont="1" applyFill="1" applyBorder="1" applyAlignment="1" applyProtection="1">
      <alignment vertical="top"/>
      <protection locked="0"/>
    </xf>
    <xf numFmtId="169" fontId="3" fillId="27" borderId="123" xfId="0" applyNumberFormat="1" applyFont="1" applyFill="1" applyBorder="1" applyAlignment="1" applyProtection="1">
      <alignment vertical="top"/>
      <protection locked="0"/>
    </xf>
    <xf numFmtId="169" fontId="3" fillId="40" borderId="62" xfId="0" applyNumberFormat="1" applyFont="1" applyFill="1" applyBorder="1" applyAlignment="1" applyProtection="1">
      <alignment vertical="top"/>
      <protection locked="0"/>
    </xf>
    <xf numFmtId="169" fontId="3" fillId="40" borderId="106" xfId="0" applyNumberFormat="1" applyFont="1" applyFill="1" applyBorder="1" applyAlignment="1" applyProtection="1">
      <alignment vertical="top"/>
      <protection locked="0"/>
    </xf>
    <xf numFmtId="169" fontId="3" fillId="40" borderId="31" xfId="0" applyNumberFormat="1" applyFont="1" applyFill="1" applyBorder="1" applyAlignment="1" applyProtection="1">
      <alignment vertical="top"/>
      <protection locked="0"/>
    </xf>
    <xf numFmtId="169" fontId="3" fillId="40" borderId="127" xfId="0" applyNumberFormat="1" applyFont="1" applyFill="1" applyBorder="1" applyAlignment="1" applyProtection="1">
      <alignment vertical="top"/>
      <protection locked="0"/>
    </xf>
    <xf numFmtId="49" fontId="3" fillId="40" borderId="106" xfId="0" applyNumberFormat="1" applyFont="1" applyFill="1" applyBorder="1" applyAlignment="1" applyProtection="1">
      <alignment horizontal="left" vertical="top"/>
      <protection locked="0"/>
    </xf>
    <xf numFmtId="49" fontId="3" fillId="40" borderId="107" xfId="0" applyNumberFormat="1" applyFont="1" applyFill="1" applyBorder="1" applyAlignment="1" applyProtection="1">
      <alignment horizontal="left" vertical="top"/>
      <protection locked="0"/>
    </xf>
    <xf numFmtId="49" fontId="3" fillId="40" borderId="97" xfId="0" applyNumberFormat="1" applyFont="1" applyFill="1" applyBorder="1" applyAlignment="1" applyProtection="1">
      <alignment horizontal="left" vertical="top"/>
      <protection locked="0"/>
    </xf>
    <xf numFmtId="169" fontId="3" fillId="27" borderId="92" xfId="0" applyNumberFormat="1" applyFont="1" applyFill="1" applyBorder="1" applyAlignment="1" applyProtection="1">
      <alignment vertical="top"/>
      <protection locked="0"/>
    </xf>
    <xf numFmtId="169" fontId="3" fillId="27" borderId="121" xfId="0" applyNumberFormat="1" applyFont="1" applyFill="1" applyBorder="1" applyAlignment="1" applyProtection="1">
      <alignment vertical="top"/>
      <protection locked="0"/>
    </xf>
    <xf numFmtId="169" fontId="3" fillId="27" borderId="122" xfId="0" applyNumberFormat="1" applyFont="1" applyFill="1" applyBorder="1" applyAlignment="1" applyProtection="1">
      <alignment vertical="top"/>
      <protection locked="0"/>
    </xf>
    <xf numFmtId="169" fontId="3" fillId="27" borderId="132" xfId="0" applyNumberFormat="1" applyFont="1" applyFill="1" applyBorder="1" applyAlignment="1" applyProtection="1">
      <alignment vertical="top"/>
      <protection locked="0"/>
    </xf>
    <xf numFmtId="169" fontId="53" fillId="27" borderId="95" xfId="0" applyNumberFormat="1" applyFont="1" applyFill="1" applyBorder="1" applyAlignment="1" applyProtection="1">
      <alignment vertical="top"/>
      <protection locked="0"/>
    </xf>
    <xf numFmtId="169" fontId="53" fillId="27" borderId="129" xfId="0" applyNumberFormat="1" applyFont="1" applyFill="1" applyBorder="1" applyAlignment="1" applyProtection="1">
      <alignment vertical="top"/>
      <protection locked="0"/>
    </xf>
    <xf numFmtId="169" fontId="53" fillId="27" borderId="130" xfId="0" applyNumberFormat="1" applyFont="1" applyFill="1" applyBorder="1" applyAlignment="1" applyProtection="1">
      <alignment vertical="top"/>
      <protection locked="0"/>
    </xf>
    <xf numFmtId="169" fontId="53" fillId="27" borderId="133" xfId="0" applyNumberFormat="1" applyFont="1" applyFill="1" applyBorder="1" applyAlignment="1" applyProtection="1">
      <alignment vertical="top"/>
      <protection locked="0"/>
    </xf>
    <xf numFmtId="170" fontId="3" fillId="27" borderId="67" xfId="0" applyNumberFormat="1" applyFont="1" applyFill="1" applyBorder="1" applyAlignment="1" applyProtection="1">
      <alignment vertical="top"/>
      <protection locked="0"/>
    </xf>
    <xf numFmtId="170" fontId="3" fillId="27" borderId="49" xfId="0" applyNumberFormat="1" applyFont="1" applyFill="1" applyBorder="1" applyAlignment="1" applyProtection="1">
      <alignment vertical="top"/>
      <protection locked="0"/>
    </xf>
    <xf numFmtId="4" fontId="3" fillId="40" borderId="49" xfId="0" applyNumberFormat="1" applyFont="1" applyFill="1" applyBorder="1" applyAlignment="1" applyProtection="1">
      <alignment vertical="top" shrinkToFit="1"/>
      <protection locked="0"/>
    </xf>
    <xf numFmtId="4" fontId="3" fillId="40" borderId="13" xfId="0" applyNumberFormat="1" applyFont="1" applyFill="1" applyBorder="1" applyAlignment="1" applyProtection="1">
      <alignment vertical="top" shrinkToFit="1"/>
      <protection locked="0"/>
    </xf>
    <xf numFmtId="4" fontId="3" fillId="40" borderId="58" xfId="0" applyNumberFormat="1" applyFont="1" applyFill="1" applyBorder="1" applyAlignment="1" applyProtection="1">
      <alignment vertical="top" shrinkToFit="1"/>
      <protection locked="0"/>
    </xf>
    <xf numFmtId="49" fontId="3" fillId="40" borderId="62" xfId="0" applyNumberFormat="1" applyFont="1" applyFill="1" applyBorder="1" applyAlignment="1" applyProtection="1">
      <alignment horizontal="center" vertical="top"/>
      <protection locked="0"/>
    </xf>
    <xf numFmtId="49" fontId="3" fillId="40" borderId="63" xfId="0" applyNumberFormat="1" applyFont="1" applyFill="1" applyBorder="1" applyAlignment="1" applyProtection="1">
      <alignment horizontal="center" vertical="top"/>
      <protection locked="0"/>
    </xf>
    <xf numFmtId="49" fontId="3" fillId="40" borderId="64" xfId="0" applyNumberFormat="1" applyFont="1" applyFill="1" applyBorder="1" applyAlignment="1" applyProtection="1">
      <alignment horizontal="center" vertical="top"/>
      <protection locked="0"/>
    </xf>
    <xf numFmtId="174" fontId="3" fillId="27" borderId="67" xfId="66" applyNumberFormat="1" applyFont="1" applyFill="1" applyBorder="1" applyAlignment="1" applyProtection="1">
      <alignment vertical="top"/>
      <protection locked="0"/>
    </xf>
    <xf numFmtId="174" fontId="3" fillId="27" borderId="49" xfId="66" applyNumberFormat="1" applyFont="1" applyFill="1" applyBorder="1" applyAlignment="1" applyProtection="1">
      <alignment horizontal="right" vertical="top"/>
      <protection locked="0"/>
    </xf>
    <xf numFmtId="174" fontId="3" fillId="27" borderId="67" xfId="66" applyNumberFormat="1" applyFont="1" applyFill="1" applyBorder="1" applyAlignment="1" applyProtection="1">
      <alignment horizontal="right" vertical="top"/>
      <protection locked="0"/>
    </xf>
    <xf numFmtId="174" fontId="3" fillId="27" borderId="13" xfId="66" applyNumberFormat="1" applyFont="1" applyFill="1" applyBorder="1" applyAlignment="1" applyProtection="1">
      <alignment horizontal="right" vertical="top"/>
      <protection locked="0"/>
    </xf>
    <xf numFmtId="179" fontId="3" fillId="40" borderId="13" xfId="0" applyNumberFormat="1" applyFont="1" applyFill="1" applyBorder="1" applyAlignment="1" applyProtection="1">
      <alignment vertical="center" shrinkToFit="1"/>
      <protection locked="0"/>
    </xf>
    <xf numFmtId="171" fontId="3" fillId="40" borderId="13" xfId="0" applyNumberFormat="1" applyFont="1" applyFill="1" applyBorder="1" applyAlignment="1" applyProtection="1">
      <alignment vertical="center"/>
      <protection locked="0"/>
    </xf>
    <xf numFmtId="171" fontId="3" fillId="40" borderId="67" xfId="0" applyNumberFormat="1" applyFont="1" applyFill="1" applyBorder="1" applyAlignment="1" applyProtection="1">
      <alignment vertical="center"/>
      <protection locked="0"/>
    </xf>
    <xf numFmtId="171" fontId="3" fillId="40" borderId="49" xfId="0" applyNumberFormat="1" applyFont="1" applyFill="1" applyBorder="1" applyAlignment="1" applyProtection="1">
      <alignment vertical="center"/>
      <protection locked="0"/>
    </xf>
    <xf numFmtId="179" fontId="3" fillId="40" borderId="104" xfId="0" applyNumberFormat="1" applyFont="1" applyFill="1" applyBorder="1" applyAlignment="1" applyProtection="1">
      <alignment vertical="top" shrinkToFit="1"/>
      <protection locked="0"/>
    </xf>
    <xf numFmtId="49" fontId="3" fillId="40" borderId="92" xfId="0" applyNumberFormat="1" applyFont="1" applyFill="1" applyBorder="1" applyAlignment="1" applyProtection="1">
      <alignment horizontal="center" vertical="top"/>
      <protection locked="0"/>
    </xf>
    <xf numFmtId="177" fontId="3" fillId="40" borderId="13" xfId="0" applyNumberFormat="1" applyFont="1" applyFill="1" applyBorder="1" applyAlignment="1" applyProtection="1">
      <alignment vertical="top"/>
      <protection locked="0"/>
    </xf>
    <xf numFmtId="177" fontId="3" fillId="40" borderId="67" xfId="0" applyNumberFormat="1" applyFont="1" applyFill="1" applyBorder="1" applyAlignment="1" applyProtection="1">
      <alignment vertical="top"/>
      <protection locked="0"/>
    </xf>
    <xf numFmtId="177" fontId="3" fillId="40" borderId="49" xfId="0" applyNumberFormat="1" applyFont="1" applyFill="1" applyBorder="1" applyAlignment="1" applyProtection="1">
      <alignment vertical="top"/>
      <protection locked="0"/>
    </xf>
    <xf numFmtId="177" fontId="3" fillId="40" borderId="92" xfId="0" applyNumberFormat="1" applyFont="1" applyFill="1" applyBorder="1" applyAlignment="1" applyProtection="1">
      <alignment vertical="top"/>
      <protection locked="0"/>
    </xf>
    <xf numFmtId="177" fontId="3" fillId="40" borderId="121" xfId="0" applyNumberFormat="1" applyFont="1" applyFill="1" applyBorder="1" applyAlignment="1" applyProtection="1">
      <alignment vertical="top"/>
      <protection locked="0"/>
    </xf>
    <xf numFmtId="177" fontId="3" fillId="40" borderId="122" xfId="0" applyNumberFormat="1" applyFont="1" applyFill="1" applyBorder="1" applyAlignment="1" applyProtection="1">
      <alignment vertical="top"/>
      <protection locked="0"/>
    </xf>
    <xf numFmtId="177" fontId="3" fillId="40" borderId="63" xfId="0" applyNumberFormat="1" applyFont="1" applyFill="1" applyBorder="1" applyAlignment="1" applyProtection="1">
      <alignment vertical="top"/>
      <protection locked="0"/>
    </xf>
    <xf numFmtId="177" fontId="3" fillId="40" borderId="107" xfId="0" applyNumberFormat="1" applyFont="1" applyFill="1" applyBorder="1" applyAlignment="1" applyProtection="1">
      <alignment vertical="top"/>
      <protection locked="0"/>
    </xf>
    <xf numFmtId="177" fontId="3" fillId="40" borderId="33" xfId="0" applyNumberFormat="1" applyFont="1" applyFill="1" applyBorder="1" applyAlignment="1" applyProtection="1">
      <alignment vertical="top"/>
      <protection locked="0"/>
    </xf>
    <xf numFmtId="177" fontId="3" fillId="40" borderId="64" xfId="0" applyNumberFormat="1" applyFont="1" applyFill="1" applyBorder="1" applyAlignment="1" applyProtection="1">
      <alignment vertical="top"/>
      <protection locked="0"/>
    </xf>
    <xf numFmtId="177" fontId="3" fillId="40" borderId="97" xfId="0" applyNumberFormat="1" applyFont="1" applyFill="1" applyBorder="1" applyAlignment="1" applyProtection="1">
      <alignment vertical="top"/>
      <protection locked="0"/>
    </xf>
    <xf numFmtId="177" fontId="3" fillId="40" borderId="123" xfId="0" applyNumberFormat="1" applyFont="1" applyFill="1" applyBorder="1" applyAlignment="1" applyProtection="1">
      <alignment vertical="top"/>
      <protection locked="0"/>
    </xf>
    <xf numFmtId="169" fontId="3" fillId="27" borderId="67" xfId="0" applyNumberFormat="1" applyFont="1" applyFill="1" applyBorder="1" applyAlignment="1" applyProtection="1">
      <alignment vertical="top"/>
      <protection locked="0"/>
    </xf>
    <xf numFmtId="169" fontId="3" fillId="27" borderId="49" xfId="0" applyNumberFormat="1" applyFont="1" applyFill="1" applyBorder="1" applyAlignment="1" applyProtection="1">
      <alignment vertical="top"/>
      <protection locked="0"/>
    </xf>
    <xf numFmtId="169" fontId="3" fillId="40" borderId="91" xfId="0" applyNumberFormat="1" applyFont="1" applyFill="1" applyBorder="1" applyAlignment="1" applyProtection="1">
      <alignment vertical="top"/>
      <protection locked="0"/>
    </xf>
    <xf numFmtId="169" fontId="3" fillId="40" borderId="186" xfId="0" applyNumberFormat="1" applyFont="1" applyFill="1" applyBorder="1" applyAlignment="1" applyProtection="1">
      <alignment vertical="top"/>
      <protection locked="0"/>
    </xf>
    <xf numFmtId="169" fontId="3" fillId="40" borderId="44" xfId="0" applyNumberFormat="1" applyFont="1" applyFill="1" applyBorder="1" applyAlignment="1" applyProtection="1">
      <alignment vertical="top"/>
      <protection locked="0"/>
    </xf>
    <xf numFmtId="169" fontId="3" fillId="27" borderId="62" xfId="0" applyNumberFormat="1" applyFont="1" applyFill="1" applyBorder="1" applyAlignment="1" applyProtection="1">
      <alignment vertical="top"/>
      <protection locked="0"/>
    </xf>
    <xf numFmtId="169" fontId="3" fillId="27" borderId="106" xfId="0" applyNumberFormat="1" applyFont="1" applyFill="1" applyBorder="1" applyAlignment="1" applyProtection="1">
      <alignment vertical="top"/>
      <protection locked="0"/>
    </xf>
    <xf numFmtId="169" fontId="3" fillId="27" borderId="31" xfId="0" applyNumberFormat="1" applyFont="1" applyFill="1" applyBorder="1" applyAlignment="1" applyProtection="1">
      <alignment vertical="top"/>
      <protection locked="0"/>
    </xf>
    <xf numFmtId="169" fontId="3" fillId="27" borderId="91" xfId="0" applyNumberFormat="1" applyFont="1" applyFill="1" applyBorder="1" applyAlignment="1" applyProtection="1">
      <alignment vertical="top"/>
      <protection locked="0"/>
    </xf>
    <xf numFmtId="169" fontId="3" fillId="27" borderId="186" xfId="0" applyNumberFormat="1" applyFont="1" applyFill="1" applyBorder="1" applyAlignment="1" applyProtection="1">
      <alignment vertical="top"/>
      <protection locked="0"/>
    </xf>
    <xf numFmtId="169" fontId="3" fillId="27" borderId="44" xfId="0" applyNumberFormat="1" applyFont="1" applyFill="1" applyBorder="1" applyAlignment="1" applyProtection="1">
      <alignment vertical="top"/>
      <protection locked="0"/>
    </xf>
    <xf numFmtId="169" fontId="3" fillId="27" borderId="58" xfId="0" applyNumberFormat="1" applyFont="1" applyFill="1" applyBorder="1" applyAlignment="1" applyProtection="1">
      <alignment vertical="top"/>
      <protection locked="0"/>
    </xf>
    <xf numFmtId="4" fontId="3" fillId="40" borderId="126" xfId="0" applyNumberFormat="1" applyFont="1" applyFill="1" applyBorder="1" applyAlignment="1" applyProtection="1">
      <alignment vertical="top" shrinkToFit="1"/>
      <protection locked="0"/>
    </xf>
    <xf numFmtId="4" fontId="3" fillId="40" borderId="10" xfId="0" applyNumberFormat="1" applyFont="1" applyFill="1" applyBorder="1" applyAlignment="1" applyProtection="1">
      <alignment vertical="top" shrinkToFit="1"/>
      <protection locked="0"/>
    </xf>
    <xf numFmtId="4" fontId="3" fillId="40" borderId="128" xfId="0" applyNumberFormat="1" applyFont="1" applyFill="1" applyBorder="1" applyAlignment="1" applyProtection="1">
      <alignment vertical="top" shrinkToFit="1"/>
      <protection locked="0"/>
    </xf>
    <xf numFmtId="175" fontId="3" fillId="40" borderId="63" xfId="0" applyNumberFormat="1" applyFont="1" applyFill="1" applyBorder="1" applyAlignment="1" applyProtection="1">
      <alignment vertical="top"/>
      <protection locked="0"/>
    </xf>
    <xf numFmtId="175" fontId="3" fillId="40" borderId="64" xfId="0" applyNumberFormat="1" applyFont="1" applyFill="1" applyBorder="1" applyAlignment="1" applyProtection="1">
      <alignment vertical="top"/>
      <protection locked="0"/>
    </xf>
    <xf numFmtId="176" fontId="3" fillId="40" borderId="13" xfId="0" applyNumberFormat="1" applyFont="1" applyFill="1" applyBorder="1" applyAlignment="1" applyProtection="1">
      <alignment vertical="top"/>
      <protection locked="0"/>
    </xf>
    <xf numFmtId="170" fontId="3" fillId="40" borderId="121" xfId="0" applyNumberFormat="1" applyFont="1" applyFill="1" applyBorder="1" applyAlignment="1" applyProtection="1">
      <alignment vertical="top"/>
      <protection locked="0"/>
    </xf>
    <xf numFmtId="170" fontId="3" fillId="40" borderId="122" xfId="0" applyNumberFormat="1" applyFont="1" applyFill="1" applyBorder="1" applyAlignment="1" applyProtection="1">
      <alignment vertical="top"/>
      <protection locked="0"/>
    </xf>
    <xf numFmtId="10" fontId="3" fillId="27" borderId="63" xfId="66" applyNumberFormat="1" applyFont="1" applyFill="1" applyBorder="1" applyAlignment="1" applyProtection="1">
      <alignment horizontal="right" vertical="top"/>
      <protection locked="0"/>
    </xf>
    <xf numFmtId="4" fontId="0" fillId="40" borderId="62" xfId="0" applyNumberFormat="1" applyFill="1" applyBorder="1" applyAlignment="1" applyProtection="1">
      <alignment horizontal="center" shrinkToFit="1"/>
      <protection locked="0"/>
    </xf>
    <xf numFmtId="3" fontId="0" fillId="40" borderId="63" xfId="0" applyNumberFormat="1" applyFill="1" applyBorder="1" applyAlignment="1" applyProtection="1">
      <alignment horizontal="center" shrinkToFit="1"/>
      <protection locked="0"/>
    </xf>
    <xf numFmtId="171" fontId="36" fillId="40" borderId="63" xfId="0" applyNumberFormat="1" applyFont="1" applyFill="1" applyBorder="1" applyAlignment="1" applyProtection="1">
      <alignment horizontal="center" vertical="top" shrinkToFit="1"/>
      <protection locked="0"/>
    </xf>
    <xf numFmtId="4" fontId="0" fillId="40" borderId="63" xfId="0" applyNumberFormat="1" applyFill="1" applyBorder="1" applyAlignment="1" applyProtection="1">
      <alignment horizontal="center" shrinkToFit="1"/>
      <protection locked="0"/>
    </xf>
    <xf numFmtId="4" fontId="0" fillId="40" borderId="64" xfId="0" applyNumberFormat="1" applyFill="1" applyBorder="1" applyAlignment="1" applyProtection="1">
      <alignment horizontal="center" shrinkToFit="1"/>
      <protection locked="0"/>
    </xf>
    <xf numFmtId="3" fontId="0" fillId="40" borderId="64" xfId="0" applyNumberFormat="1" applyFill="1" applyBorder="1" applyAlignment="1" applyProtection="1">
      <alignment horizontal="center" shrinkToFit="1"/>
      <protection locked="0"/>
    </xf>
    <xf numFmtId="171" fontId="36" fillId="40" borderId="64" xfId="0" applyNumberFormat="1" applyFont="1" applyFill="1" applyBorder="1" applyAlignment="1" applyProtection="1">
      <alignment horizontal="center" vertical="top" shrinkToFit="1"/>
      <protection locked="0"/>
    </xf>
    <xf numFmtId="0" fontId="5" fillId="27" borderId="70" xfId="0" applyFont="1" applyFill="1" applyBorder="1" applyAlignment="1" applyProtection="1">
      <alignment horizontal="center" vertical="top"/>
      <protection locked="0"/>
    </xf>
    <xf numFmtId="0" fontId="5" fillId="27" borderId="48" xfId="0" applyFont="1" applyFill="1" applyBorder="1" applyAlignment="1" applyProtection="1">
      <alignment horizontal="center" vertical="top"/>
      <protection locked="0"/>
    </xf>
    <xf numFmtId="0" fontId="3" fillId="27" borderId="46" xfId="0" applyFont="1" applyFill="1" applyBorder="1" applyAlignment="1" applyProtection="1">
      <alignment horizontal="center" vertical="top"/>
      <protection locked="0"/>
    </xf>
    <xf numFmtId="170" fontId="3" fillId="40" borderId="13" xfId="0" applyNumberFormat="1" applyFont="1" applyFill="1" applyBorder="1" applyAlignment="1" applyProtection="1">
      <alignment horizontal="right" vertical="top"/>
      <protection locked="0"/>
    </xf>
    <xf numFmtId="170" fontId="3" fillId="27" borderId="26" xfId="0" applyNumberFormat="1" applyFont="1" applyFill="1" applyBorder="1" applyAlignment="1" applyProtection="1">
      <alignment horizontal="right" vertical="top"/>
      <protection locked="0"/>
    </xf>
    <xf numFmtId="170" fontId="5" fillId="27" borderId="70" xfId="0" applyNumberFormat="1" applyFont="1" applyFill="1" applyBorder="1" applyAlignment="1" applyProtection="1">
      <alignment horizontal="right" vertical="top"/>
      <protection locked="0"/>
    </xf>
    <xf numFmtId="170" fontId="5" fillId="27" borderId="48" xfId="0" applyNumberFormat="1" applyFont="1" applyFill="1" applyBorder="1" applyAlignment="1" applyProtection="1">
      <alignment horizontal="right" vertical="top"/>
      <protection locked="0"/>
    </xf>
    <xf numFmtId="170" fontId="3" fillId="27" borderId="46" xfId="0" applyNumberFormat="1" applyFont="1" applyFill="1" applyBorder="1" applyAlignment="1" applyProtection="1">
      <alignment horizontal="right" vertical="top"/>
      <protection locked="0"/>
    </xf>
    <xf numFmtId="170" fontId="3" fillId="40" borderId="94" xfId="0" applyNumberFormat="1" applyFont="1" applyFill="1" applyBorder="1" applyAlignment="1" applyProtection="1">
      <alignment vertical="top"/>
      <protection locked="0"/>
    </xf>
    <xf numFmtId="170" fontId="3" fillId="40" borderId="93" xfId="0" applyNumberFormat="1" applyFont="1" applyFill="1" applyBorder="1" applyAlignment="1" applyProtection="1">
      <alignment vertical="top"/>
      <protection locked="0"/>
    </xf>
    <xf numFmtId="170" fontId="3" fillId="40" borderId="53" xfId="0" applyNumberFormat="1" applyFont="1" applyFill="1" applyBorder="1" applyAlignment="1" applyProtection="1">
      <alignment vertical="top"/>
      <protection locked="0"/>
    </xf>
    <xf numFmtId="170" fontId="3" fillId="40" borderId="52" xfId="0" applyNumberFormat="1" applyFont="1" applyFill="1" applyBorder="1" applyAlignment="1" applyProtection="1">
      <alignment vertical="top"/>
      <protection locked="0"/>
    </xf>
    <xf numFmtId="0" fontId="3" fillId="40" borderId="94" xfId="0" applyFont="1" applyFill="1" applyBorder="1" applyAlignment="1" applyProtection="1">
      <alignment horizontal="center" vertical="top"/>
      <protection locked="0"/>
    </xf>
    <xf numFmtId="0" fontId="3" fillId="40" borderId="53" xfId="0" applyFont="1" applyFill="1" applyBorder="1" applyAlignment="1" applyProtection="1">
      <alignment horizontal="center" vertical="top"/>
      <protection locked="0"/>
    </xf>
    <xf numFmtId="3" fontId="3" fillId="40" borderId="13" xfId="6188" applyNumberFormat="1" applyFont="1" applyFill="1" applyBorder="1" applyAlignment="1" applyProtection="1">
      <alignment horizontal="right" vertical="top"/>
    </xf>
    <xf numFmtId="3" fontId="3" fillId="40" borderId="10" xfId="6188" applyNumberFormat="1" applyFont="1" applyFill="1" applyBorder="1" applyAlignment="1" applyProtection="1">
      <alignment horizontal="right" vertical="top"/>
    </xf>
    <xf numFmtId="3" fontId="3" fillId="40" borderId="60" xfId="6188" applyNumberFormat="1" applyFont="1" applyFill="1" applyBorder="1" applyAlignment="1" applyProtection="1">
      <alignment horizontal="right" vertical="top"/>
    </xf>
    <xf numFmtId="169" fontId="3" fillId="40" borderId="99" xfId="6188" applyNumberFormat="1" applyFont="1" applyFill="1" applyBorder="1" applyAlignment="1" applyProtection="1">
      <alignment vertical="top"/>
    </xf>
    <xf numFmtId="169" fontId="3" fillId="40" borderId="67" xfId="6188" applyNumberFormat="1" applyFont="1" applyFill="1" applyBorder="1" applyAlignment="1" applyProtection="1">
      <alignment vertical="top"/>
    </xf>
    <xf numFmtId="169" fontId="3" fillId="40" borderId="104" xfId="6188" applyNumberFormat="1" applyFont="1" applyFill="1" applyBorder="1" applyAlignment="1" applyProtection="1">
      <alignment vertical="top"/>
    </xf>
    <xf numFmtId="169" fontId="3" fillId="40" borderId="119" xfId="6188" applyNumberFormat="1" applyFont="1" applyFill="1" applyBorder="1" applyAlignment="1" applyProtection="1">
      <alignment vertical="top"/>
    </xf>
    <xf numFmtId="169" fontId="5" fillId="40" borderId="78" xfId="6188" applyNumberFormat="1" applyFont="1" applyFill="1" applyBorder="1" applyAlignment="1" applyProtection="1">
      <alignment vertical="top"/>
    </xf>
    <xf numFmtId="0" fontId="0" fillId="24" borderId="0" xfId="0" applyFill="1" applyAlignment="1">
      <alignment horizontal="center"/>
    </xf>
    <xf numFmtId="0" fontId="0" fillId="24" borderId="0" xfId="0" applyFill="1"/>
    <xf numFmtId="0" fontId="0" fillId="24" borderId="0" xfId="0" applyFill="1" applyAlignment="1">
      <alignment horizontal="left" vertical="top"/>
    </xf>
    <xf numFmtId="0" fontId="30" fillId="24" borderId="0" xfId="0" applyFont="1" applyFill="1"/>
    <xf numFmtId="0" fontId="0" fillId="24" borderId="0" xfId="0" applyFill="1" applyAlignment="1">
      <alignment horizontal="center" vertical="center"/>
    </xf>
    <xf numFmtId="0" fontId="0" fillId="24" borderId="0" xfId="0" applyFill="1" applyAlignment="1">
      <alignment vertical="center"/>
    </xf>
    <xf numFmtId="0" fontId="29" fillId="24" borderId="0" xfId="0" applyFont="1" applyFill="1"/>
    <xf numFmtId="0" fontId="66" fillId="24" borderId="0" xfId="0" applyFont="1" applyFill="1" applyAlignment="1">
      <alignment vertical="center"/>
    </xf>
    <xf numFmtId="0" fontId="29" fillId="24" borderId="0" xfId="0" applyFont="1" applyFill="1" applyAlignment="1">
      <alignment vertical="center"/>
    </xf>
    <xf numFmtId="0" fontId="65" fillId="24" borderId="0" xfId="0" applyFont="1" applyFill="1" applyAlignment="1">
      <alignment vertical="center"/>
    </xf>
    <xf numFmtId="0" fontId="70" fillId="24" borderId="0" xfId="0" applyFont="1" applyFill="1"/>
    <xf numFmtId="0" fontId="0" fillId="24" borderId="0" xfId="0" applyFill="1" applyAlignment="1">
      <alignment horizontal="center" vertical="top"/>
    </xf>
    <xf numFmtId="0" fontId="9" fillId="24" borderId="0" xfId="0" applyFont="1" applyFill="1" applyAlignment="1">
      <alignment vertical="top"/>
    </xf>
    <xf numFmtId="0" fontId="0" fillId="24" borderId="0" xfId="0" applyFill="1" applyAlignment="1">
      <alignment vertical="top"/>
    </xf>
    <xf numFmtId="0" fontId="27" fillId="24" borderId="0" xfId="0" applyFont="1" applyFill="1" applyAlignment="1">
      <alignment horizontal="center" vertical="top"/>
    </xf>
    <xf numFmtId="0" fontId="3" fillId="24" borderId="0" xfId="0" applyFont="1" applyFill="1"/>
    <xf numFmtId="0" fontId="5" fillId="24" borderId="0" xfId="0" applyFont="1" applyFill="1" applyAlignment="1">
      <alignment horizontal="center" vertical="top"/>
    </xf>
    <xf numFmtId="0" fontId="5" fillId="0" borderId="0" xfId="0" applyFont="1" applyAlignment="1">
      <alignment vertical="top"/>
    </xf>
    <xf numFmtId="0" fontId="3" fillId="24" borderId="0" xfId="0" applyFont="1" applyFill="1" applyAlignment="1">
      <alignment horizontal="center" vertical="top"/>
    </xf>
    <xf numFmtId="0" fontId="3" fillId="24" borderId="0" xfId="0" applyFont="1" applyFill="1" applyAlignment="1">
      <alignment vertical="top"/>
    </xf>
    <xf numFmtId="0" fontId="0" fillId="24" borderId="101" xfId="0" applyFill="1" applyBorder="1" applyAlignment="1">
      <alignment vertical="top"/>
    </xf>
    <xf numFmtId="0" fontId="0" fillId="24" borderId="51" xfId="0" applyFill="1" applyBorder="1" applyAlignment="1">
      <alignment vertical="top"/>
    </xf>
    <xf numFmtId="0" fontId="0" fillId="24" borderId="70" xfId="0" applyFill="1" applyBorder="1" applyAlignment="1">
      <alignment vertical="top"/>
    </xf>
    <xf numFmtId="0" fontId="0" fillId="27" borderId="51" xfId="0" applyFill="1" applyBorder="1" applyAlignment="1">
      <alignment vertical="top"/>
    </xf>
    <xf numFmtId="0" fontId="0" fillId="27" borderId="102" xfId="0" applyFill="1" applyBorder="1" applyAlignment="1">
      <alignment vertical="top"/>
    </xf>
    <xf numFmtId="0" fontId="0" fillId="24" borderId="65" xfId="0" applyFill="1" applyBorder="1" applyAlignment="1">
      <alignment vertical="top"/>
    </xf>
    <xf numFmtId="0" fontId="0" fillId="24" borderId="39" xfId="0" applyFill="1" applyBorder="1" applyAlignment="1">
      <alignment vertical="top"/>
    </xf>
    <xf numFmtId="0" fontId="0" fillId="24" borderId="47" xfId="0" applyFill="1" applyBorder="1" applyAlignment="1">
      <alignment vertical="top"/>
    </xf>
    <xf numFmtId="0" fontId="0" fillId="27" borderId="39" xfId="0" applyFill="1" applyBorder="1" applyAlignment="1">
      <alignment vertical="top"/>
    </xf>
    <xf numFmtId="0" fontId="0" fillId="27" borderId="40" xfId="0" applyFill="1" applyBorder="1" applyAlignment="1">
      <alignment vertical="top"/>
    </xf>
    <xf numFmtId="0" fontId="5" fillId="24" borderId="0" xfId="0" applyFont="1" applyFill="1" applyAlignment="1">
      <alignment vertical="top"/>
    </xf>
    <xf numFmtId="0" fontId="5" fillId="24" borderId="0" xfId="0" applyFont="1" applyFill="1" applyAlignment="1">
      <alignment vertical="top" wrapText="1"/>
    </xf>
    <xf numFmtId="0" fontId="0" fillId="24" borderId="12" xfId="0" applyFill="1" applyBorder="1" applyAlignment="1">
      <alignment vertical="top"/>
    </xf>
    <xf numFmtId="0" fontId="0" fillId="24" borderId="0" xfId="0" applyFill="1" applyAlignment="1">
      <alignment horizontal="center" vertical="top" wrapText="1"/>
    </xf>
    <xf numFmtId="0" fontId="0" fillId="41" borderId="0" xfId="0" applyFill="1"/>
    <xf numFmtId="0" fontId="3" fillId="41" borderId="0" xfId="0" applyFont="1" applyFill="1"/>
    <xf numFmtId="0" fontId="0" fillId="24" borderId="0" xfId="0" applyFill="1" applyAlignment="1">
      <alignment horizontal="left" vertical="top" wrapText="1"/>
    </xf>
    <xf numFmtId="0" fontId="5" fillId="57" borderId="0" xfId="0" applyFont="1" applyFill="1" applyAlignment="1">
      <alignment horizontal="center" vertical="top"/>
    </xf>
    <xf numFmtId="0" fontId="5" fillId="57" borderId="0" xfId="0" applyFont="1" applyFill="1" applyAlignment="1">
      <alignment horizontal="left" vertical="top" wrapText="1"/>
    </xf>
    <xf numFmtId="0" fontId="5" fillId="0" borderId="0" xfId="0" applyFont="1" applyAlignment="1">
      <alignment horizontal="center" vertical="top"/>
    </xf>
    <xf numFmtId="0" fontId="5" fillId="0" borderId="0" xfId="0" applyFont="1" applyAlignment="1">
      <alignment horizontal="left" vertical="top" wrapText="1"/>
    </xf>
    <xf numFmtId="0" fontId="4" fillId="26" borderId="0" xfId="0" applyFont="1" applyFill="1" applyAlignment="1">
      <alignment horizontal="left"/>
    </xf>
    <xf numFmtId="0" fontId="4" fillId="26" borderId="0" xfId="0" applyFont="1" applyFill="1" applyAlignment="1">
      <alignment vertical="top" wrapText="1"/>
    </xf>
    <xf numFmtId="0" fontId="4" fillId="0" borderId="0" xfId="0" applyFont="1" applyAlignment="1">
      <alignment horizontal="left"/>
    </xf>
    <xf numFmtId="0" fontId="4" fillId="0" borderId="0" xfId="0" applyFont="1" applyAlignment="1">
      <alignment vertical="top" wrapText="1"/>
    </xf>
    <xf numFmtId="0" fontId="190" fillId="41" borderId="0" xfId="0" applyFont="1" applyFill="1" applyAlignment="1">
      <alignment vertical="top"/>
    </xf>
    <xf numFmtId="0" fontId="50" fillId="24" borderId="0" xfId="0" applyFont="1" applyFill="1" applyAlignment="1">
      <alignment horizontal="left" vertical="top"/>
    </xf>
    <xf numFmtId="0" fontId="55" fillId="24" borderId="0" xfId="0" applyFont="1" applyFill="1" applyAlignment="1">
      <alignment horizontal="center" vertical="top"/>
    </xf>
    <xf numFmtId="0" fontId="70" fillId="24" borderId="25" xfId="0" applyFont="1" applyFill="1" applyBorder="1" applyAlignment="1">
      <alignment horizontal="left" vertical="top"/>
    </xf>
    <xf numFmtId="0" fontId="0" fillId="0" borderId="0" xfId="0" applyAlignment="1">
      <alignment vertical="top" wrapText="1"/>
    </xf>
    <xf numFmtId="0" fontId="0" fillId="41" borderId="0" xfId="0" applyFill="1" applyAlignment="1">
      <alignment vertical="top"/>
    </xf>
    <xf numFmtId="0" fontId="56" fillId="24" borderId="0" xfId="0" applyFont="1" applyFill="1" applyAlignment="1">
      <alignment vertical="top" wrapText="1"/>
    </xf>
    <xf numFmtId="0" fontId="0" fillId="0" borderId="12" xfId="0" applyBorder="1" applyAlignment="1">
      <alignment vertical="top" wrapText="1"/>
    </xf>
    <xf numFmtId="169" fontId="0" fillId="24" borderId="0" xfId="0" applyNumberFormat="1" applyFill="1" applyAlignment="1">
      <alignment vertical="top"/>
    </xf>
    <xf numFmtId="0" fontId="3" fillId="24" borderId="0" xfId="0" applyFont="1" applyFill="1" applyAlignment="1">
      <alignment vertical="top" wrapText="1"/>
    </xf>
    <xf numFmtId="0" fontId="0" fillId="24" borderId="0" xfId="0" applyFill="1" applyAlignment="1">
      <alignment horizontal="left" vertical="center"/>
    </xf>
    <xf numFmtId="0" fontId="0" fillId="41" borderId="0" xfId="0" applyFill="1" applyAlignment="1">
      <alignment horizontal="left" vertical="center"/>
    </xf>
    <xf numFmtId="0" fontId="3" fillId="0" borderId="0" xfId="0" applyFont="1" applyAlignment="1">
      <alignment horizontal="left" vertical="top"/>
    </xf>
    <xf numFmtId="0" fontId="0" fillId="46" borderId="0" xfId="0" applyFill="1" applyAlignment="1">
      <alignment horizontal="center" vertical="center" wrapText="1"/>
    </xf>
    <xf numFmtId="0" fontId="0" fillId="0" borderId="57" xfId="0" applyBorder="1"/>
    <xf numFmtId="0" fontId="0" fillId="0" borderId="28" xfId="0" applyBorder="1"/>
    <xf numFmtId="0" fontId="0" fillId="0" borderId="30" xfId="0" applyBorder="1"/>
    <xf numFmtId="0" fontId="3" fillId="0" borderId="0" xfId="0" applyFont="1"/>
    <xf numFmtId="0" fontId="0" fillId="0" borderId="66" xfId="0" applyBorder="1"/>
    <xf numFmtId="0" fontId="0" fillId="0" borderId="38" xfId="0" applyBorder="1"/>
    <xf numFmtId="0" fontId="0" fillId="0" borderId="0" xfId="0" applyAlignment="1">
      <alignment horizontal="center"/>
    </xf>
    <xf numFmtId="0" fontId="3" fillId="45" borderId="13" xfId="0" applyFont="1" applyFill="1" applyBorder="1" applyProtection="1">
      <protection locked="0"/>
    </xf>
    <xf numFmtId="0" fontId="70" fillId="0" borderId="0" xfId="0" applyFont="1" applyAlignment="1">
      <alignment horizontal="center" vertical="center"/>
    </xf>
    <xf numFmtId="0" fontId="0" fillId="24" borderId="57" xfId="0" applyFill="1" applyBorder="1"/>
    <xf numFmtId="0" fontId="0" fillId="24" borderId="28" xfId="0" applyFill="1" applyBorder="1"/>
    <xf numFmtId="0" fontId="3" fillId="24" borderId="28" xfId="0" applyFont="1" applyFill="1" applyBorder="1"/>
    <xf numFmtId="0" fontId="3" fillId="24" borderId="30" xfId="0" applyFont="1" applyFill="1" applyBorder="1"/>
    <xf numFmtId="0" fontId="0" fillId="24" borderId="66" xfId="0" applyFill="1" applyBorder="1"/>
    <xf numFmtId="0" fontId="3" fillId="24" borderId="66" xfId="0" applyFont="1" applyFill="1" applyBorder="1" applyAlignment="1">
      <alignment vertical="top"/>
    </xf>
    <xf numFmtId="0" fontId="40" fillId="41" borderId="0" xfId="0" quotePrefix="1" applyFont="1" applyFill="1" applyAlignment="1">
      <alignment horizontal="right" vertical="top" wrapText="1"/>
    </xf>
    <xf numFmtId="0" fontId="10" fillId="41" borderId="0" xfId="0" applyFont="1" applyFill="1" applyAlignment="1">
      <alignment horizontal="left" vertical="top" wrapText="1"/>
    </xf>
    <xf numFmtId="0" fontId="10" fillId="41" borderId="185" xfId="0" applyFont="1" applyFill="1" applyBorder="1" applyAlignment="1">
      <alignment horizontal="left" vertical="top" wrapText="1"/>
    </xf>
    <xf numFmtId="0" fontId="0" fillId="0" borderId="0" xfId="0" applyAlignment="1">
      <alignment horizontal="center" vertical="center"/>
    </xf>
    <xf numFmtId="0" fontId="0" fillId="0" borderId="0" xfId="0" applyAlignment="1">
      <alignment vertical="center"/>
    </xf>
    <xf numFmtId="0" fontId="3" fillId="24" borderId="66" xfId="0" applyFont="1" applyFill="1" applyBorder="1" applyAlignment="1">
      <alignment vertical="center"/>
    </xf>
    <xf numFmtId="0" fontId="174" fillId="41" borderId="0" xfId="0" quotePrefix="1" applyFont="1" applyFill="1" applyAlignment="1">
      <alignment horizontal="right" vertical="center" wrapText="1"/>
    </xf>
    <xf numFmtId="0" fontId="123" fillId="41" borderId="185" xfId="0" applyFont="1" applyFill="1" applyBorder="1" applyAlignment="1">
      <alignment vertical="center" wrapText="1"/>
    </xf>
    <xf numFmtId="0" fontId="0" fillId="24" borderId="66" xfId="0" applyFill="1" applyBorder="1" applyAlignment="1">
      <alignment vertical="center"/>
    </xf>
    <xf numFmtId="0" fontId="174" fillId="41" borderId="185" xfId="0" applyFont="1" applyFill="1" applyBorder="1" applyAlignment="1">
      <alignment vertical="center" wrapText="1"/>
    </xf>
    <xf numFmtId="0" fontId="71" fillId="24" borderId="0" xfId="0" applyFont="1" applyFill="1" applyAlignment="1">
      <alignment vertical="center"/>
    </xf>
    <xf numFmtId="0" fontId="71" fillId="24" borderId="185" xfId="0" applyFont="1" applyFill="1" applyBorder="1" applyAlignment="1">
      <alignment vertical="center"/>
    </xf>
    <xf numFmtId="0" fontId="0" fillId="24" borderId="65" xfId="0" applyFill="1" applyBorder="1"/>
    <xf numFmtId="0" fontId="0" fillId="24" borderId="39" xfId="0" applyFill="1" applyBorder="1"/>
    <xf numFmtId="0" fontId="3" fillId="24" borderId="39" xfId="0" applyFont="1" applyFill="1" applyBorder="1"/>
    <xf numFmtId="0" fontId="3" fillId="24" borderId="40" xfId="0" applyFont="1" applyFill="1" applyBorder="1"/>
    <xf numFmtId="0" fontId="0" fillId="0" borderId="0" xfId="0" applyAlignment="1">
      <alignment horizontal="left" vertical="center"/>
    </xf>
    <xf numFmtId="0" fontId="70" fillId="0" borderId="0" xfId="0" applyFont="1" applyAlignment="1">
      <alignment horizontal="left" vertical="center"/>
    </xf>
    <xf numFmtId="0" fontId="4" fillId="26" borderId="0" xfId="0" applyFont="1" applyFill="1"/>
    <xf numFmtId="0" fontId="34" fillId="24" borderId="0" xfId="0" applyFont="1" applyFill="1" applyAlignment="1">
      <alignment horizontal="center"/>
    </xf>
    <xf numFmtId="0" fontId="34" fillId="24" borderId="0" xfId="0" applyFont="1" applyFill="1" applyAlignment="1">
      <alignment vertical="top" wrapText="1"/>
    </xf>
    <xf numFmtId="0" fontId="3" fillId="24" borderId="0" xfId="0" applyFont="1" applyFill="1" applyAlignment="1">
      <alignment horizontal="right" vertical="top"/>
    </xf>
    <xf numFmtId="0" fontId="3" fillId="41" borderId="0" xfId="0" applyFont="1" applyFill="1" applyAlignment="1">
      <alignment vertical="top"/>
    </xf>
    <xf numFmtId="0" fontId="5" fillId="24" borderId="0" xfId="0" applyFont="1" applyFill="1" applyAlignment="1">
      <alignment horizontal="right" vertical="top"/>
    </xf>
    <xf numFmtId="0" fontId="3" fillId="40" borderId="13" xfId="0" applyFont="1" applyFill="1" applyBorder="1" applyAlignment="1">
      <alignment horizontal="left" vertical="top"/>
    </xf>
    <xf numFmtId="0" fontId="3" fillId="40" borderId="13" xfId="0" applyFont="1" applyFill="1" applyBorder="1" applyAlignment="1">
      <alignment horizontal="center" vertical="top"/>
    </xf>
    <xf numFmtId="14" fontId="3" fillId="40" borderId="13" xfId="0" applyNumberFormat="1" applyFont="1" applyFill="1" applyBorder="1" applyAlignment="1">
      <alignment horizontal="center" vertical="top"/>
    </xf>
    <xf numFmtId="0" fontId="3" fillId="40" borderId="13" xfId="0" applyFont="1" applyFill="1" applyBorder="1" applyAlignment="1">
      <alignment horizontal="right" vertical="top"/>
    </xf>
    <xf numFmtId="0" fontId="3" fillId="24" borderId="0" xfId="0" applyFont="1" applyFill="1" applyAlignment="1">
      <alignment horizontal="left" vertical="top"/>
    </xf>
    <xf numFmtId="0" fontId="3" fillId="24" borderId="0" xfId="0" applyFont="1" applyFill="1" applyAlignment="1">
      <alignment horizontal="right" vertical="top" indent="1"/>
    </xf>
    <xf numFmtId="0" fontId="5" fillId="24" borderId="0" xfId="0" applyFont="1" applyFill="1" applyAlignment="1">
      <alignment horizontal="left" vertical="top"/>
    </xf>
    <xf numFmtId="0" fontId="3" fillId="41" borderId="12" xfId="0" applyFont="1" applyFill="1" applyBorder="1" applyAlignment="1">
      <alignment vertical="top" wrapText="1"/>
    </xf>
    <xf numFmtId="0" fontId="3" fillId="27" borderId="26" xfId="0" applyFont="1" applyFill="1" applyBorder="1" applyAlignment="1">
      <alignment vertical="top"/>
    </xf>
    <xf numFmtId="0" fontId="3" fillId="41" borderId="0" xfId="0" applyFont="1" applyFill="1" applyAlignment="1">
      <alignment vertical="top" wrapText="1"/>
    </xf>
    <xf numFmtId="0" fontId="0" fillId="0" borderId="18" xfId="0" applyBorder="1" applyAlignment="1">
      <alignment vertical="top" wrapText="1"/>
    </xf>
    <xf numFmtId="0" fontId="5" fillId="24" borderId="0" xfId="0" applyFont="1" applyFill="1" applyAlignment="1">
      <alignment horizontal="left" vertical="top" wrapText="1"/>
    </xf>
    <xf numFmtId="0" fontId="5" fillId="27" borderId="74" xfId="0" applyFont="1" applyFill="1" applyBorder="1" applyAlignment="1">
      <alignment vertical="top"/>
    </xf>
    <xf numFmtId="0" fontId="5" fillId="24" borderId="18" xfId="0" applyFont="1" applyFill="1" applyBorder="1" applyAlignment="1">
      <alignment horizontal="center" vertical="top"/>
    </xf>
    <xf numFmtId="0" fontId="5" fillId="24" borderId="91" xfId="0" applyFont="1" applyFill="1" applyBorder="1" applyAlignment="1">
      <alignment horizontal="right" vertical="top"/>
    </xf>
    <xf numFmtId="0" fontId="3" fillId="24" borderId="19" xfId="0" applyFont="1" applyFill="1" applyBorder="1" applyAlignment="1">
      <alignment horizontal="center" vertical="top"/>
    </xf>
    <xf numFmtId="169" fontId="3" fillId="27" borderId="62" xfId="0" applyNumberFormat="1" applyFont="1" applyFill="1" applyBorder="1" applyAlignment="1">
      <alignment horizontal="right" vertical="top"/>
    </xf>
    <xf numFmtId="0" fontId="53" fillId="24" borderId="20" xfId="0" applyFont="1" applyFill="1" applyBorder="1" applyAlignment="1">
      <alignment horizontal="center" vertical="top"/>
    </xf>
    <xf numFmtId="0" fontId="3" fillId="24" borderId="20" xfId="0" applyFont="1" applyFill="1" applyBorder="1" applyAlignment="1">
      <alignment horizontal="center" vertical="top"/>
    </xf>
    <xf numFmtId="169" fontId="3" fillId="27" borderId="63" xfId="0" applyNumberFormat="1" applyFont="1" applyFill="1" applyBorder="1" applyAlignment="1">
      <alignment horizontal="right" vertical="top"/>
    </xf>
    <xf numFmtId="0" fontId="3" fillId="24" borderId="23" xfId="0" applyFont="1" applyFill="1" applyBorder="1" applyAlignment="1">
      <alignment horizontal="center" vertical="top"/>
    </xf>
    <xf numFmtId="169" fontId="3" fillId="27" borderId="95" xfId="0" applyNumberFormat="1" applyFont="1" applyFill="1" applyBorder="1" applyAlignment="1">
      <alignment horizontal="right" vertical="top"/>
    </xf>
    <xf numFmtId="0" fontId="3" fillId="24" borderId="24" xfId="0" applyFont="1" applyFill="1" applyBorder="1" applyAlignment="1">
      <alignment horizontal="center" vertical="top"/>
    </xf>
    <xf numFmtId="169" fontId="3" fillId="27" borderId="26" xfId="0" applyNumberFormat="1" applyFont="1" applyFill="1" applyBorder="1" applyAlignment="1">
      <alignment horizontal="right" vertical="top"/>
    </xf>
    <xf numFmtId="0" fontId="3" fillId="24" borderId="18" xfId="0" applyFont="1" applyFill="1" applyBorder="1" applyAlignment="1">
      <alignment horizontal="center" vertical="top"/>
    </xf>
    <xf numFmtId="169" fontId="3" fillId="27" borderId="69" xfId="0" applyNumberFormat="1" applyFont="1" applyFill="1" applyBorder="1" applyAlignment="1">
      <alignment horizontal="right" vertical="top"/>
    </xf>
    <xf numFmtId="0" fontId="5" fillId="24" borderId="115" xfId="0" applyFont="1" applyFill="1" applyBorder="1" applyAlignment="1">
      <alignment horizontal="center" vertical="top"/>
    </xf>
    <xf numFmtId="169" fontId="5" fillId="27" borderId="76" xfId="0" applyNumberFormat="1" applyFont="1" applyFill="1" applyBorder="1" applyAlignment="1">
      <alignment horizontal="right" vertical="top"/>
    </xf>
    <xf numFmtId="170" fontId="5" fillId="27" borderId="76" xfId="0" applyNumberFormat="1" applyFont="1" applyFill="1" applyBorder="1" applyAlignment="1">
      <alignment horizontal="right" vertical="top"/>
    </xf>
    <xf numFmtId="0" fontId="10" fillId="24" borderId="0" xfId="0" applyFont="1" applyFill="1" applyAlignment="1">
      <alignment vertical="top" wrapText="1"/>
    </xf>
    <xf numFmtId="0" fontId="3" fillId="24" borderId="0" xfId="0" quotePrefix="1" applyFont="1" applyFill="1" applyAlignment="1">
      <alignment horizontal="right" vertical="top"/>
    </xf>
    <xf numFmtId="0" fontId="10" fillId="24" borderId="0" xfId="0" quotePrefix="1" applyFont="1" applyFill="1" applyAlignment="1">
      <alignment horizontal="right" vertical="top" wrapText="1"/>
    </xf>
    <xf numFmtId="0" fontId="40" fillId="24" borderId="0" xfId="0" applyFont="1" applyFill="1" applyAlignment="1">
      <alignment vertical="top" wrapText="1"/>
    </xf>
    <xf numFmtId="170" fontId="0" fillId="0" borderId="0" xfId="0" applyNumberFormat="1" applyAlignment="1">
      <alignment horizontal="center"/>
    </xf>
    <xf numFmtId="170" fontId="0" fillId="0" borderId="0" xfId="0" applyNumberFormat="1"/>
    <xf numFmtId="170" fontId="3" fillId="41" borderId="19" xfId="0" applyNumberFormat="1" applyFont="1" applyFill="1" applyBorder="1" applyAlignment="1">
      <alignment horizontal="center" vertical="top"/>
    </xf>
    <xf numFmtId="170" fontId="3" fillId="27" borderId="62" xfId="0" applyNumberFormat="1" applyFont="1" applyFill="1" applyBorder="1" applyAlignment="1">
      <alignment vertical="top"/>
    </xf>
    <xf numFmtId="170" fontId="70" fillId="0" borderId="0" xfId="0" applyNumberFormat="1" applyFont="1" applyAlignment="1">
      <alignment horizontal="center" vertical="center"/>
    </xf>
    <xf numFmtId="170" fontId="3" fillId="41" borderId="22" xfId="0" applyNumberFormat="1" applyFont="1" applyFill="1" applyBorder="1" applyAlignment="1">
      <alignment horizontal="center" vertical="top"/>
    </xf>
    <xf numFmtId="170" fontId="3" fillId="27" borderId="92" xfId="0" applyNumberFormat="1" applyFont="1" applyFill="1" applyBorder="1" applyAlignment="1">
      <alignment vertical="top"/>
    </xf>
    <xf numFmtId="170" fontId="3" fillId="41" borderId="24" xfId="0" applyNumberFormat="1" applyFont="1" applyFill="1" applyBorder="1" applyAlignment="1">
      <alignment horizontal="center" vertical="top"/>
    </xf>
    <xf numFmtId="170" fontId="3" fillId="27" borderId="64" xfId="0" applyNumberFormat="1" applyFont="1" applyFill="1" applyBorder="1" applyAlignment="1">
      <alignment vertical="top"/>
    </xf>
    <xf numFmtId="170" fontId="3" fillId="41" borderId="105" xfId="0" applyNumberFormat="1" applyFont="1" applyFill="1" applyBorder="1" applyAlignment="1">
      <alignment horizontal="center" vertical="top"/>
    </xf>
    <xf numFmtId="170" fontId="3" fillId="27" borderId="95" xfId="0" applyNumberFormat="1" applyFont="1" applyFill="1" applyBorder="1" applyAlignment="1">
      <alignment vertical="top"/>
    </xf>
    <xf numFmtId="170" fontId="3" fillId="41" borderId="20" xfId="0" applyNumberFormat="1" applyFont="1" applyFill="1" applyBorder="1" applyAlignment="1">
      <alignment horizontal="center" vertical="top"/>
    </xf>
    <xf numFmtId="170" fontId="3" fillId="27" borderId="63" xfId="0" applyNumberFormat="1" applyFont="1" applyFill="1" applyBorder="1" applyAlignment="1">
      <alignment vertical="top"/>
    </xf>
    <xf numFmtId="170" fontId="3" fillId="41" borderId="48" xfId="0" applyNumberFormat="1" applyFont="1" applyFill="1" applyBorder="1" applyAlignment="1">
      <alignment horizontal="center" vertical="top"/>
    </xf>
    <xf numFmtId="170" fontId="3" fillId="27" borderId="53" xfId="0" applyNumberFormat="1" applyFont="1" applyFill="1" applyBorder="1" applyAlignment="1">
      <alignment vertical="top"/>
    </xf>
    <xf numFmtId="170" fontId="5" fillId="41" borderId="70" xfId="0" applyNumberFormat="1" applyFont="1" applyFill="1" applyBorder="1" applyAlignment="1">
      <alignment horizontal="center" vertical="top"/>
    </xf>
    <xf numFmtId="170" fontId="5" fillId="27" borderId="55" xfId="0" applyNumberFormat="1" applyFont="1" applyFill="1" applyBorder="1" applyAlignment="1">
      <alignment vertical="top"/>
    </xf>
    <xf numFmtId="170" fontId="5" fillId="41" borderId="48" xfId="0" applyNumberFormat="1" applyFont="1" applyFill="1" applyBorder="1" applyAlignment="1">
      <alignment horizontal="center" vertical="top"/>
    </xf>
    <xf numFmtId="170" fontId="5" fillId="27" borderId="53" xfId="0" applyNumberFormat="1" applyFont="1" applyFill="1" applyBorder="1" applyAlignment="1">
      <alignment vertical="top"/>
    </xf>
    <xf numFmtId="170" fontId="3" fillId="27" borderId="11" xfId="0" applyNumberFormat="1" applyFont="1" applyFill="1" applyBorder="1" applyAlignment="1">
      <alignment vertical="top"/>
    </xf>
    <xf numFmtId="0" fontId="10" fillId="24" borderId="0" xfId="0" applyFont="1" applyFill="1" applyAlignment="1">
      <alignment horizontal="left" vertical="top"/>
    </xf>
    <xf numFmtId="0" fontId="3" fillId="0" borderId="0" xfId="0" applyFont="1" applyAlignment="1">
      <alignment vertical="top"/>
    </xf>
    <xf numFmtId="170" fontId="3" fillId="41" borderId="23" xfId="0" applyNumberFormat="1" applyFont="1" applyFill="1" applyBorder="1" applyAlignment="1">
      <alignment horizontal="center" vertical="top"/>
    </xf>
    <xf numFmtId="170" fontId="3" fillId="24" borderId="0" xfId="0" applyNumberFormat="1" applyFont="1" applyFill="1" applyAlignment="1">
      <alignment vertical="top"/>
    </xf>
    <xf numFmtId="170" fontId="3" fillId="24" borderId="0" xfId="0" applyNumberFormat="1" applyFont="1" applyFill="1" applyAlignment="1">
      <alignment horizontal="right" vertical="top"/>
    </xf>
    <xf numFmtId="170" fontId="3" fillId="24" borderId="25" xfId="0" applyNumberFormat="1" applyFont="1" applyFill="1" applyBorder="1" applyAlignment="1">
      <alignment horizontal="center" vertical="top"/>
    </xf>
    <xf numFmtId="4" fontId="3" fillId="40" borderId="13" xfId="0" applyNumberFormat="1" applyFont="1" applyFill="1" applyBorder="1" applyAlignment="1">
      <alignment vertical="top"/>
    </xf>
    <xf numFmtId="170" fontId="3" fillId="24" borderId="14" xfId="0" applyNumberFormat="1" applyFont="1" applyFill="1" applyBorder="1" applyAlignment="1">
      <alignment horizontal="center" vertical="top"/>
    </xf>
    <xf numFmtId="4" fontId="3" fillId="40" borderId="62" xfId="0" applyNumberFormat="1" applyFont="1" applyFill="1" applyBorder="1" applyAlignment="1">
      <alignment vertical="top"/>
    </xf>
    <xf numFmtId="170" fontId="3" fillId="24" borderId="16" xfId="0" applyNumberFormat="1" applyFont="1" applyFill="1" applyBorder="1" applyAlignment="1">
      <alignment horizontal="center" vertical="top"/>
    </xf>
    <xf numFmtId="4" fontId="3" fillId="40" borderId="64" xfId="0" applyNumberFormat="1" applyFont="1" applyFill="1" applyBorder="1" applyAlignment="1">
      <alignment vertical="top"/>
    </xf>
    <xf numFmtId="170" fontId="3" fillId="24" borderId="14" xfId="0" quotePrefix="1" applyNumberFormat="1" applyFont="1" applyFill="1" applyBorder="1" applyAlignment="1">
      <alignment horizontal="center" vertical="top"/>
    </xf>
    <xf numFmtId="176" fontId="3" fillId="27" borderId="62" xfId="0" applyNumberFormat="1" applyFont="1" applyFill="1" applyBorder="1" applyAlignment="1">
      <alignment vertical="top"/>
    </xf>
    <xf numFmtId="170" fontId="3" fillId="24" borderId="16" xfId="0" quotePrefix="1" applyNumberFormat="1" applyFont="1" applyFill="1" applyBorder="1" applyAlignment="1">
      <alignment horizontal="center" vertical="top"/>
    </xf>
    <xf numFmtId="176" fontId="3" fillId="27" borderId="64" xfId="0" applyNumberFormat="1" applyFont="1" applyFill="1" applyBorder="1" applyAlignment="1">
      <alignment vertical="top"/>
    </xf>
    <xf numFmtId="10" fontId="3" fillId="40" borderId="62" xfId="0" applyNumberFormat="1" applyFont="1" applyFill="1" applyBorder="1" applyAlignment="1">
      <alignment vertical="top"/>
    </xf>
    <xf numFmtId="10" fontId="3" fillId="40" borderId="64" xfId="0" applyNumberFormat="1" applyFont="1" applyFill="1" applyBorder="1" applyAlignment="1">
      <alignment vertical="top"/>
    </xf>
    <xf numFmtId="170" fontId="5" fillId="24" borderId="25" xfId="0" applyNumberFormat="1" applyFont="1" applyFill="1" applyBorder="1" applyAlignment="1">
      <alignment horizontal="center" vertical="top"/>
    </xf>
    <xf numFmtId="4" fontId="5" fillId="27" borderId="13" xfId="0" applyNumberFormat="1" applyFont="1" applyFill="1" applyBorder="1" applyAlignment="1">
      <alignment vertical="top"/>
    </xf>
    <xf numFmtId="0" fontId="5" fillId="24" borderId="12" xfId="0" applyFont="1" applyFill="1" applyBorder="1" applyAlignment="1">
      <alignment horizontal="left" vertical="top"/>
    </xf>
    <xf numFmtId="0" fontId="3" fillId="24" borderId="12" xfId="0" applyFont="1" applyFill="1" applyBorder="1" applyAlignment="1">
      <alignment vertical="top"/>
    </xf>
    <xf numFmtId="0" fontId="3" fillId="40" borderId="13" xfId="0" applyFont="1" applyFill="1" applyBorder="1" applyAlignment="1">
      <alignment vertical="top"/>
    </xf>
    <xf numFmtId="0" fontId="3" fillId="40" borderId="25" xfId="0" applyFont="1" applyFill="1" applyBorder="1" applyAlignment="1">
      <alignment horizontal="center" vertical="top"/>
    </xf>
    <xf numFmtId="170" fontId="3" fillId="41" borderId="25" xfId="0" applyNumberFormat="1" applyFont="1" applyFill="1" applyBorder="1" applyAlignment="1">
      <alignment horizontal="center" vertical="top"/>
    </xf>
    <xf numFmtId="170" fontId="5" fillId="27" borderId="13" xfId="0" applyNumberFormat="1" applyFont="1" applyFill="1" applyBorder="1" applyAlignment="1">
      <alignment vertical="top"/>
    </xf>
    <xf numFmtId="170" fontId="5" fillId="24" borderId="26" xfId="0" applyNumberFormat="1" applyFont="1" applyFill="1" applyBorder="1" applyAlignment="1">
      <alignment horizontal="center" vertical="top"/>
    </xf>
    <xf numFmtId="0" fontId="3" fillId="24" borderId="17" xfId="0" applyFont="1" applyFill="1" applyBorder="1" applyAlignment="1">
      <alignment horizontal="right" vertical="top"/>
    </xf>
    <xf numFmtId="10" fontId="3" fillId="40" borderId="13" xfId="0" applyNumberFormat="1" applyFont="1" applyFill="1" applyBorder="1" applyAlignment="1">
      <alignment vertical="top"/>
    </xf>
    <xf numFmtId="0" fontId="3" fillId="24" borderId="17" xfId="0" applyFont="1" applyFill="1" applyBorder="1" applyAlignment="1">
      <alignment vertical="top"/>
    </xf>
    <xf numFmtId="170" fontId="3" fillId="40" borderId="13" xfId="0" applyNumberFormat="1" applyFont="1" applyFill="1" applyBorder="1" applyAlignment="1">
      <alignment vertical="top"/>
    </xf>
    <xf numFmtId="170" fontId="3" fillId="24" borderId="21" xfId="0" applyNumberFormat="1" applyFont="1" applyFill="1" applyBorder="1" applyAlignment="1">
      <alignment horizontal="center" vertical="top"/>
    </xf>
    <xf numFmtId="170" fontId="3" fillId="27" borderId="91" xfId="0" applyNumberFormat="1" applyFont="1" applyFill="1" applyBorder="1" applyAlignment="1">
      <alignment vertical="top"/>
    </xf>
    <xf numFmtId="170" fontId="3" fillId="24" borderId="41" xfId="0" applyNumberFormat="1" applyFont="1" applyFill="1" applyBorder="1" applyAlignment="1">
      <alignment horizontal="center" vertical="top"/>
    </xf>
    <xf numFmtId="170" fontId="5" fillId="27" borderId="94" xfId="0" applyNumberFormat="1" applyFont="1" applyFill="1" applyBorder="1" applyAlignment="1">
      <alignment vertical="top"/>
    </xf>
    <xf numFmtId="170" fontId="3" fillId="24" borderId="120" xfId="0" applyNumberFormat="1" applyFont="1" applyFill="1" applyBorder="1" applyAlignment="1">
      <alignment horizontal="center" vertical="top"/>
    </xf>
    <xf numFmtId="170" fontId="3" fillId="24" borderId="12" xfId="0" applyNumberFormat="1" applyFont="1" applyFill="1" applyBorder="1" applyAlignment="1">
      <alignment horizontal="center" vertical="top"/>
    </xf>
    <xf numFmtId="0" fontId="5" fillId="24" borderId="0" xfId="0" applyFont="1" applyFill="1" applyAlignment="1">
      <alignment vertical="center" wrapText="1"/>
    </xf>
    <xf numFmtId="0" fontId="0" fillId="0" borderId="0" xfId="0" applyAlignment="1">
      <alignment vertical="center" wrapText="1"/>
    </xf>
    <xf numFmtId="170" fontId="3" fillId="41" borderId="14" xfId="0" applyNumberFormat="1" applyFont="1" applyFill="1" applyBorder="1" applyAlignment="1">
      <alignment horizontal="center" vertical="top"/>
    </xf>
    <xf numFmtId="170" fontId="3" fillId="40" borderId="62" xfId="0" applyNumberFormat="1" applyFont="1" applyFill="1" applyBorder="1" applyAlignment="1">
      <alignment vertical="top"/>
    </xf>
    <xf numFmtId="170" fontId="3" fillId="41" borderId="15" xfId="0" applyNumberFormat="1" applyFont="1" applyFill="1" applyBorder="1" applyAlignment="1">
      <alignment horizontal="center" vertical="top"/>
    </xf>
    <xf numFmtId="170" fontId="3" fillId="40" borderId="63" xfId="0" applyNumberFormat="1" applyFont="1" applyFill="1" applyBorder="1" applyAlignment="1">
      <alignment vertical="top"/>
    </xf>
    <xf numFmtId="170" fontId="3" fillId="41" borderId="16" xfId="0" applyNumberFormat="1" applyFont="1" applyFill="1" applyBorder="1" applyAlignment="1">
      <alignment horizontal="center" vertical="top"/>
    </xf>
    <xf numFmtId="170" fontId="3" fillId="40" borderId="64" xfId="0" applyNumberFormat="1" applyFont="1" applyFill="1" applyBorder="1" applyAlignment="1">
      <alignment vertical="top"/>
    </xf>
    <xf numFmtId="170" fontId="3" fillId="24" borderId="15" xfId="0" applyNumberFormat="1" applyFont="1" applyFill="1" applyBorder="1" applyAlignment="1">
      <alignment horizontal="center" vertical="top"/>
    </xf>
    <xf numFmtId="4" fontId="3" fillId="40" borderId="63" xfId="0" applyNumberFormat="1" applyFont="1" applyFill="1" applyBorder="1" applyAlignment="1">
      <alignment vertical="top"/>
    </xf>
    <xf numFmtId="0" fontId="5" fillId="24" borderId="12" xfId="0" applyFont="1" applyFill="1" applyBorder="1" applyAlignment="1">
      <alignment horizontal="center" vertical="top"/>
    </xf>
    <xf numFmtId="170" fontId="3" fillId="24" borderId="19" xfId="0" applyNumberFormat="1" applyFont="1" applyFill="1" applyBorder="1" applyAlignment="1">
      <alignment horizontal="center" vertical="top"/>
    </xf>
    <xf numFmtId="170" fontId="3" fillId="24" borderId="20" xfId="0" applyNumberFormat="1" applyFont="1" applyFill="1" applyBorder="1" applyAlignment="1">
      <alignment horizontal="center" vertical="top"/>
    </xf>
    <xf numFmtId="170" fontId="3" fillId="24" borderId="23" xfId="0" applyNumberFormat="1" applyFont="1" applyFill="1" applyBorder="1" applyAlignment="1">
      <alignment horizontal="center" vertical="top"/>
    </xf>
    <xf numFmtId="170" fontId="3" fillId="24" borderId="26" xfId="0" applyNumberFormat="1" applyFont="1" applyFill="1" applyBorder="1" applyAlignment="1">
      <alignment horizontal="center" vertical="top"/>
    </xf>
    <xf numFmtId="170" fontId="3" fillId="27" borderId="13" xfId="0" applyNumberFormat="1" applyFont="1" applyFill="1" applyBorder="1" applyAlignment="1">
      <alignment vertical="top"/>
    </xf>
    <xf numFmtId="170" fontId="3" fillId="24" borderId="26" xfId="0" quotePrefix="1" applyNumberFormat="1" applyFont="1" applyFill="1" applyBorder="1" applyAlignment="1">
      <alignment horizontal="center" vertical="top"/>
    </xf>
    <xf numFmtId="0" fontId="0" fillId="24" borderId="0" xfId="0" applyFill="1" applyAlignment="1">
      <alignment horizontal="right"/>
    </xf>
    <xf numFmtId="0" fontId="5" fillId="24" borderId="11" xfId="0" applyFont="1" applyFill="1" applyBorder="1" applyAlignment="1">
      <alignment horizontal="right" vertical="top"/>
    </xf>
    <xf numFmtId="170" fontId="3" fillId="24" borderId="22" xfId="0" applyNumberFormat="1" applyFont="1" applyFill="1" applyBorder="1" applyAlignment="1">
      <alignment horizontal="center" vertical="top"/>
    </xf>
    <xf numFmtId="4" fontId="3" fillId="40" borderId="92" xfId="0" applyNumberFormat="1" applyFont="1" applyFill="1" applyBorder="1" applyAlignment="1">
      <alignment vertical="top"/>
    </xf>
    <xf numFmtId="170" fontId="3" fillId="40" borderId="92" xfId="0" applyNumberFormat="1" applyFont="1" applyFill="1" applyBorder="1" applyAlignment="1">
      <alignment vertical="top"/>
    </xf>
    <xf numFmtId="170" fontId="3" fillId="24" borderId="24" xfId="0" applyNumberFormat="1" applyFont="1" applyFill="1" applyBorder="1" applyAlignment="1">
      <alignment horizontal="center" vertical="top"/>
    </xf>
    <xf numFmtId="4" fontId="3" fillId="27" borderId="11" xfId="0" applyNumberFormat="1" applyFont="1" applyFill="1" applyBorder="1" applyAlignment="1">
      <alignment vertical="top"/>
    </xf>
    <xf numFmtId="170" fontId="5" fillId="0" borderId="46" xfId="0" applyNumberFormat="1" applyFont="1" applyBorder="1" applyAlignment="1">
      <alignment horizontal="center" vertical="top"/>
    </xf>
    <xf numFmtId="4" fontId="3" fillId="27" borderId="71" xfId="0" applyNumberFormat="1" applyFont="1" applyFill="1" applyBorder="1" applyAlignment="1">
      <alignment vertical="top"/>
    </xf>
    <xf numFmtId="170" fontId="5" fillId="0" borderId="26" xfId="0" applyNumberFormat="1" applyFont="1" applyBorder="1" applyAlignment="1">
      <alignment horizontal="center" vertical="top"/>
    </xf>
    <xf numFmtId="170" fontId="5" fillId="0" borderId="69" xfId="0" applyNumberFormat="1" applyFont="1" applyBorder="1" applyAlignment="1">
      <alignment horizontal="center" vertical="top"/>
    </xf>
    <xf numFmtId="4" fontId="3" fillId="27" borderId="60" xfId="0" applyNumberFormat="1" applyFont="1" applyFill="1" applyBorder="1" applyAlignment="1">
      <alignment vertical="top"/>
    </xf>
    <xf numFmtId="0" fontId="5" fillId="24" borderId="100" xfId="0" applyFont="1" applyFill="1" applyBorder="1" applyAlignment="1">
      <alignment horizontal="right" vertical="top"/>
    </xf>
    <xf numFmtId="170" fontId="3" fillId="40" borderId="11" xfId="0" applyNumberFormat="1" applyFont="1" applyFill="1" applyBorder="1" applyAlignment="1">
      <alignment vertical="top"/>
    </xf>
    <xf numFmtId="0" fontId="3" fillId="40" borderId="67" xfId="0" applyFont="1" applyFill="1" applyBorder="1" applyAlignment="1">
      <alignment vertical="top"/>
    </xf>
    <xf numFmtId="0" fontId="3" fillId="40" borderId="26" xfId="0" applyFont="1" applyFill="1" applyBorder="1" applyAlignment="1">
      <alignment vertical="top"/>
    </xf>
    <xf numFmtId="0" fontId="0" fillId="24" borderId="90" xfId="0" applyFill="1" applyBorder="1"/>
    <xf numFmtId="0" fontId="0" fillId="24" borderId="0" xfId="0" applyFill="1" applyAlignment="1">
      <alignment wrapText="1"/>
    </xf>
    <xf numFmtId="0" fontId="3" fillId="24" borderId="13" xfId="0" applyFont="1" applyFill="1" applyBorder="1" applyAlignment="1">
      <alignment horizontal="center" vertical="top"/>
    </xf>
    <xf numFmtId="0" fontId="3" fillId="24" borderId="67" xfId="0" applyFont="1" applyFill="1" applyBorder="1" applyAlignment="1">
      <alignment horizontal="center" vertical="top"/>
    </xf>
    <xf numFmtId="0" fontId="3" fillId="27" borderId="67" xfId="0" applyFont="1" applyFill="1" applyBorder="1" applyAlignment="1">
      <alignment vertical="top"/>
    </xf>
    <xf numFmtId="0" fontId="3" fillId="27" borderId="25" xfId="0" applyFont="1" applyFill="1" applyBorder="1" applyAlignment="1">
      <alignment vertical="top"/>
    </xf>
    <xf numFmtId="0" fontId="3" fillId="27" borderId="13" xfId="0" applyFont="1" applyFill="1" applyBorder="1" applyAlignment="1">
      <alignment horizontal="center" vertical="top"/>
    </xf>
    <xf numFmtId="169" fontId="3" fillId="27" borderId="13" xfId="0" applyNumberFormat="1" applyFont="1" applyFill="1" applyBorder="1" applyAlignment="1">
      <alignment horizontal="center" vertical="top"/>
    </xf>
    <xf numFmtId="171" fontId="3" fillId="40" borderId="67" xfId="0" applyNumberFormat="1" applyFont="1" applyFill="1" applyBorder="1" applyAlignment="1">
      <alignment horizontal="right" vertical="top"/>
    </xf>
    <xf numFmtId="0" fontId="5" fillId="24" borderId="91" xfId="0" applyFont="1" applyFill="1" applyBorder="1" applyAlignment="1">
      <alignment horizontal="center" vertical="top"/>
    </xf>
    <xf numFmtId="0" fontId="5" fillId="24" borderId="44" xfId="0" applyFont="1" applyFill="1" applyBorder="1" applyAlignment="1">
      <alignment horizontal="right" vertical="top"/>
    </xf>
    <xf numFmtId="0" fontId="5" fillId="24" borderId="186" xfId="0" applyFont="1" applyFill="1" applyBorder="1" applyAlignment="1">
      <alignment horizontal="right" vertical="top"/>
    </xf>
    <xf numFmtId="0" fontId="3" fillId="24" borderId="25" xfId="0" applyFont="1" applyFill="1" applyBorder="1" applyAlignment="1">
      <alignment vertical="top"/>
    </xf>
    <xf numFmtId="0" fontId="3" fillId="27" borderId="26" xfId="0" applyFont="1" applyFill="1" applyBorder="1" applyAlignment="1">
      <alignment horizontal="center" vertical="top"/>
    </xf>
    <xf numFmtId="169" fontId="72" fillId="27" borderId="13" xfId="0" applyNumberFormat="1" applyFont="1" applyFill="1" applyBorder="1" applyAlignment="1">
      <alignment horizontal="right" vertical="top"/>
    </xf>
    <xf numFmtId="169" fontId="3" fillId="27" borderId="49" xfId="0" applyNumberFormat="1" applyFont="1" applyFill="1" applyBorder="1" applyAlignment="1">
      <alignment horizontal="right" vertical="top"/>
    </xf>
    <xf numFmtId="169" fontId="3" fillId="40" borderId="67" xfId="0" applyNumberFormat="1" applyFont="1" applyFill="1" applyBorder="1" applyAlignment="1">
      <alignment horizontal="right" vertical="top"/>
    </xf>
    <xf numFmtId="0" fontId="34" fillId="24" borderId="57" xfId="0" applyFont="1" applyFill="1" applyBorder="1" applyAlignment="1">
      <alignment horizontal="center"/>
    </xf>
    <xf numFmtId="0" fontId="34" fillId="24" borderId="28" xfId="0" applyFont="1" applyFill="1" applyBorder="1" applyAlignment="1">
      <alignment horizontal="center"/>
    </xf>
    <xf numFmtId="0" fontId="34" fillId="24" borderId="30" xfId="0" applyFont="1" applyFill="1" applyBorder="1" applyAlignment="1">
      <alignment horizontal="center"/>
    </xf>
    <xf numFmtId="0" fontId="34" fillId="24" borderId="66" xfId="0" applyFont="1" applyFill="1" applyBorder="1" applyAlignment="1">
      <alignment horizontal="center"/>
    </xf>
    <xf numFmtId="0" fontId="5" fillId="24" borderId="12" xfId="0" applyFont="1" applyFill="1" applyBorder="1" applyAlignment="1">
      <alignment vertical="top"/>
    </xf>
    <xf numFmtId="0" fontId="73" fillId="24" borderId="12" xfId="0" applyFont="1" applyFill="1" applyBorder="1" applyAlignment="1">
      <alignment horizontal="center" vertical="top"/>
    </xf>
    <xf numFmtId="0" fontId="5" fillId="24" borderId="117" xfId="0" applyFont="1" applyFill="1" applyBorder="1" applyAlignment="1">
      <alignment horizontal="right" vertical="top"/>
    </xf>
    <xf numFmtId="0" fontId="5" fillId="24" borderId="125" xfId="0" applyFont="1" applyFill="1" applyBorder="1" applyAlignment="1">
      <alignment horizontal="right" vertical="top"/>
    </xf>
    <xf numFmtId="0" fontId="74" fillId="24" borderId="14" xfId="0" applyFont="1" applyFill="1" applyBorder="1" applyAlignment="1">
      <alignment horizontal="left"/>
    </xf>
    <xf numFmtId="0" fontId="34" fillId="24" borderId="14" xfId="0" applyFont="1" applyFill="1" applyBorder="1" applyAlignment="1">
      <alignment horizontal="center"/>
    </xf>
    <xf numFmtId="0" fontId="5" fillId="24" borderId="14" xfId="0" applyFont="1" applyFill="1" applyBorder="1" applyAlignment="1">
      <alignment horizontal="center" vertical="top"/>
    </xf>
    <xf numFmtId="0" fontId="74" fillId="24" borderId="16" xfId="0" applyFont="1" applyFill="1" applyBorder="1" applyAlignment="1">
      <alignment vertical="top"/>
    </xf>
    <xf numFmtId="0" fontId="34" fillId="24" borderId="16" xfId="0" applyFont="1" applyFill="1" applyBorder="1" applyAlignment="1">
      <alignment horizontal="center"/>
    </xf>
    <xf numFmtId="0" fontId="75" fillId="24" borderId="16" xfId="0" applyFont="1" applyFill="1" applyBorder="1" applyAlignment="1">
      <alignment horizontal="center" vertical="top"/>
    </xf>
    <xf numFmtId="0" fontId="34" fillId="24" borderId="185" xfId="0" applyFont="1" applyFill="1" applyBorder="1" applyAlignment="1">
      <alignment horizontal="center"/>
    </xf>
    <xf numFmtId="0" fontId="5" fillId="24" borderId="131" xfId="0" applyFont="1" applyFill="1" applyBorder="1" applyAlignment="1">
      <alignment horizontal="right" vertical="top"/>
    </xf>
    <xf numFmtId="0" fontId="3" fillId="0" borderId="0" xfId="0" applyFont="1" applyAlignment="1">
      <alignment horizontal="center"/>
    </xf>
    <xf numFmtId="0" fontId="3" fillId="24" borderId="14" xfId="0" applyFont="1" applyFill="1" applyBorder="1" applyAlignment="1">
      <alignment vertical="top"/>
    </xf>
    <xf numFmtId="0" fontId="3" fillId="24" borderId="14" xfId="0" applyFont="1" applyFill="1" applyBorder="1" applyAlignment="1">
      <alignment horizontal="center" vertical="top"/>
    </xf>
    <xf numFmtId="0" fontId="72" fillId="41" borderId="14" xfId="0" applyFont="1" applyFill="1" applyBorder="1" applyAlignment="1">
      <alignment vertical="top"/>
    </xf>
    <xf numFmtId="0" fontId="3" fillId="24" borderId="15" xfId="0" applyFont="1" applyFill="1" applyBorder="1" applyAlignment="1">
      <alignment vertical="top"/>
    </xf>
    <xf numFmtId="0" fontId="3" fillId="24" borderId="15" xfId="0" applyFont="1" applyFill="1" applyBorder="1" applyAlignment="1">
      <alignment horizontal="center" vertical="top"/>
    </xf>
    <xf numFmtId="0" fontId="72" fillId="41" borderId="15" xfId="0" applyFont="1" applyFill="1" applyBorder="1" applyAlignment="1">
      <alignment vertical="top"/>
    </xf>
    <xf numFmtId="0" fontId="3" fillId="24" borderId="15" xfId="0" quotePrefix="1" applyFont="1" applyFill="1" applyBorder="1" applyAlignment="1">
      <alignment horizontal="center" vertical="top"/>
    </xf>
    <xf numFmtId="0" fontId="3" fillId="24" borderId="16" xfId="0" applyFont="1" applyFill="1" applyBorder="1" applyAlignment="1">
      <alignment vertical="top"/>
    </xf>
    <xf numFmtId="0" fontId="3" fillId="24" borderId="16" xfId="0" applyFont="1" applyFill="1" applyBorder="1" applyAlignment="1">
      <alignment horizontal="center" vertical="top"/>
    </xf>
    <xf numFmtId="0" fontId="72" fillId="41" borderId="16" xfId="0" applyFont="1" applyFill="1" applyBorder="1" applyAlignment="1">
      <alignment vertical="top"/>
    </xf>
    <xf numFmtId="0" fontId="3" fillId="24" borderId="25" xfId="0" applyFont="1" applyFill="1" applyBorder="1" applyAlignment="1">
      <alignment horizontal="center" vertical="top"/>
    </xf>
    <xf numFmtId="0" fontId="72" fillId="41" borderId="25" xfId="0" applyFont="1" applyFill="1" applyBorder="1" applyAlignment="1">
      <alignment vertical="top"/>
    </xf>
    <xf numFmtId="0" fontId="3" fillId="40" borderId="14" xfId="0" applyFont="1" applyFill="1" applyBorder="1" applyAlignment="1">
      <alignment horizontal="center" vertical="top"/>
    </xf>
    <xf numFmtId="0" fontId="73" fillId="24" borderId="14" xfId="0" applyFont="1" applyFill="1" applyBorder="1" applyAlignment="1">
      <alignment horizontal="center" vertical="top"/>
    </xf>
    <xf numFmtId="0" fontId="5" fillId="24" borderId="17" xfId="0" applyFont="1" applyFill="1" applyBorder="1" applyAlignment="1">
      <alignment horizontal="center" vertical="top"/>
    </xf>
    <xf numFmtId="0" fontId="73" fillId="24" borderId="15" xfId="0" applyFont="1" applyFill="1" applyBorder="1" applyAlignment="1">
      <alignment horizontal="center" vertical="top"/>
    </xf>
    <xf numFmtId="0" fontId="74" fillId="24" borderId="15" xfId="0" applyFont="1" applyFill="1" applyBorder="1" applyAlignment="1">
      <alignment vertical="top"/>
    </xf>
    <xf numFmtId="0" fontId="75" fillId="24" borderId="17" xfId="0" applyFont="1" applyFill="1" applyBorder="1" applyAlignment="1">
      <alignment horizontal="center" vertical="top"/>
    </xf>
    <xf numFmtId="0" fontId="75" fillId="24" borderId="15" xfId="0" applyFont="1" applyFill="1" applyBorder="1" applyAlignment="1">
      <alignment horizontal="center" vertical="top"/>
    </xf>
    <xf numFmtId="0" fontId="3" fillId="40" borderId="16" xfId="0" applyFont="1" applyFill="1" applyBorder="1" applyAlignment="1">
      <alignment horizontal="center" vertical="top"/>
    </xf>
    <xf numFmtId="0" fontId="74" fillId="24" borderId="25" xfId="0" applyFont="1" applyFill="1" applyBorder="1" applyAlignment="1">
      <alignment vertical="top"/>
    </xf>
    <xf numFmtId="0" fontId="74" fillId="24" borderId="25" xfId="0" quotePrefix="1" applyFont="1" applyFill="1" applyBorder="1" applyAlignment="1">
      <alignment horizontal="center" vertical="top"/>
    </xf>
    <xf numFmtId="0" fontId="74" fillId="41" borderId="25" xfId="0" applyFont="1" applyFill="1" applyBorder="1" applyAlignment="1">
      <alignment vertical="top"/>
    </xf>
    <xf numFmtId="0" fontId="72" fillId="24" borderId="0" xfId="0" applyFont="1" applyFill="1" applyAlignment="1">
      <alignment vertical="top"/>
    </xf>
    <xf numFmtId="0" fontId="3" fillId="24" borderId="185" xfId="0" applyFont="1" applyFill="1" applyBorder="1" applyAlignment="1">
      <alignment vertical="top"/>
    </xf>
    <xf numFmtId="0" fontId="3" fillId="24" borderId="138" xfId="0" applyFont="1" applyFill="1" applyBorder="1" applyAlignment="1">
      <alignment vertical="top"/>
    </xf>
    <xf numFmtId="0" fontId="3" fillId="24" borderId="138" xfId="0" applyFont="1" applyFill="1" applyBorder="1" applyAlignment="1">
      <alignment horizontal="center" vertical="top"/>
    </xf>
    <xf numFmtId="0" fontId="72" fillId="41" borderId="138" xfId="0" applyFont="1" applyFill="1" applyBorder="1" applyAlignment="1">
      <alignment vertical="top"/>
    </xf>
    <xf numFmtId="0" fontId="3" fillId="24" borderId="14" xfId="0" quotePrefix="1" applyFont="1" applyFill="1" applyBorder="1" applyAlignment="1">
      <alignment horizontal="center" vertical="top"/>
    </xf>
    <xf numFmtId="0" fontId="3" fillId="24" borderId="16" xfId="0" quotePrefix="1" applyFont="1" applyFill="1" applyBorder="1" applyAlignment="1">
      <alignment horizontal="center" vertical="top"/>
    </xf>
    <xf numFmtId="0" fontId="3" fillId="24" borderId="12" xfId="0" applyFont="1" applyFill="1" applyBorder="1" applyAlignment="1">
      <alignment horizontal="center" vertical="top"/>
    </xf>
    <xf numFmtId="0" fontId="5" fillId="24" borderId="15" xfId="0" applyFont="1" applyFill="1" applyBorder="1" applyAlignment="1">
      <alignment horizontal="center" vertical="top"/>
    </xf>
    <xf numFmtId="0" fontId="3" fillId="24" borderId="17" xfId="0" quotePrefix="1" applyFont="1" applyFill="1" applyBorder="1" applyAlignment="1">
      <alignment horizontal="center" vertical="top"/>
    </xf>
    <xf numFmtId="0" fontId="72" fillId="41" borderId="17" xfId="0" applyFont="1" applyFill="1" applyBorder="1" applyAlignment="1">
      <alignment vertical="top"/>
    </xf>
    <xf numFmtId="0" fontId="3" fillId="24" borderId="138" xfId="0" quotePrefix="1" applyFont="1" applyFill="1" applyBorder="1" applyAlignment="1">
      <alignment horizontal="center" vertical="top"/>
    </xf>
    <xf numFmtId="0" fontId="34" fillId="24" borderId="65" xfId="0" applyFont="1" applyFill="1" applyBorder="1" applyAlignment="1">
      <alignment horizontal="center"/>
    </xf>
    <xf numFmtId="0" fontId="3" fillId="24" borderId="39" xfId="0" applyFont="1" applyFill="1" applyBorder="1" applyAlignment="1">
      <alignment vertical="top"/>
    </xf>
    <xf numFmtId="0" fontId="72" fillId="24" borderId="39" xfId="0" applyFont="1" applyFill="1" applyBorder="1" applyAlignment="1">
      <alignment vertical="top"/>
    </xf>
    <xf numFmtId="0" fontId="3" fillId="24" borderId="40" xfId="0" applyFont="1" applyFill="1" applyBorder="1" applyAlignment="1">
      <alignment vertical="top"/>
    </xf>
    <xf numFmtId="0" fontId="3" fillId="24" borderId="57" xfId="0" applyFont="1" applyFill="1" applyBorder="1" applyAlignment="1">
      <alignment vertical="top"/>
    </xf>
    <xf numFmtId="0" fontId="3" fillId="24" borderId="28" xfId="0" applyFont="1" applyFill="1" applyBorder="1" applyAlignment="1">
      <alignment vertical="top"/>
    </xf>
    <xf numFmtId="0" fontId="72" fillId="41" borderId="28" xfId="0" applyFont="1" applyFill="1" applyBorder="1" applyAlignment="1">
      <alignment vertical="top"/>
    </xf>
    <xf numFmtId="0" fontId="3" fillId="24" borderId="30" xfId="0" applyFont="1" applyFill="1" applyBorder="1" applyAlignment="1">
      <alignment vertical="top"/>
    </xf>
    <xf numFmtId="0" fontId="5" fillId="24" borderId="109" xfId="0" applyFont="1" applyFill="1" applyBorder="1" applyAlignment="1">
      <alignment horizontal="center" vertical="top"/>
    </xf>
    <xf numFmtId="169" fontId="72" fillId="27" borderId="145" xfId="0" applyNumberFormat="1" applyFont="1" applyFill="1" applyBorder="1" applyAlignment="1">
      <alignment horizontal="right" vertical="top"/>
    </xf>
    <xf numFmtId="0" fontId="3" fillId="24" borderId="17" xfId="0" applyFont="1" applyFill="1" applyBorder="1" applyAlignment="1">
      <alignment horizontal="center" vertical="top"/>
    </xf>
    <xf numFmtId="169" fontId="72" fillId="27" borderId="142" xfId="0" applyNumberFormat="1" applyFont="1" applyFill="1" applyBorder="1" applyAlignment="1">
      <alignment horizontal="right" vertical="top"/>
    </xf>
    <xf numFmtId="169" fontId="72" fillId="27" borderId="140" xfId="0" applyNumberFormat="1" applyFont="1" applyFill="1" applyBorder="1" applyAlignment="1">
      <alignment horizontal="right" vertical="top"/>
    </xf>
    <xf numFmtId="176" fontId="72" fillId="27" borderId="140" xfId="0" applyNumberFormat="1" applyFont="1" applyFill="1" applyBorder="1" applyAlignment="1">
      <alignment horizontal="right" vertical="top"/>
    </xf>
    <xf numFmtId="176" fontId="72" fillId="27" borderId="144" xfId="0" applyNumberFormat="1" applyFont="1" applyFill="1" applyBorder="1" applyAlignment="1">
      <alignment horizontal="right" vertical="top"/>
    </xf>
    <xf numFmtId="169" fontId="72" fillId="40" borderId="98" xfId="0" applyNumberFormat="1" applyFont="1" applyFill="1" applyBorder="1" applyAlignment="1">
      <alignment horizontal="right" vertical="top"/>
    </xf>
    <xf numFmtId="0" fontId="3" fillId="24" borderId="65" xfId="0" applyFont="1" applyFill="1" applyBorder="1" applyAlignment="1">
      <alignment vertical="top"/>
    </xf>
    <xf numFmtId="0" fontId="3" fillId="43" borderId="57" xfId="0" applyFont="1" applyFill="1" applyBorder="1" applyAlignment="1">
      <alignment horizontal="right" vertical="top"/>
    </xf>
    <xf numFmtId="0" fontId="3" fillId="43" borderId="28" xfId="0" applyFont="1" applyFill="1" applyBorder="1" applyAlignment="1">
      <alignment horizontal="right" vertical="top"/>
    </xf>
    <xf numFmtId="0" fontId="3" fillId="43" borderId="28" xfId="0" applyFont="1" applyFill="1" applyBorder="1" applyAlignment="1">
      <alignment vertical="top"/>
    </xf>
    <xf numFmtId="0" fontId="3" fillId="43" borderId="30" xfId="0" applyFont="1" applyFill="1" applyBorder="1" applyAlignment="1">
      <alignment vertical="top"/>
    </xf>
    <xf numFmtId="0" fontId="3" fillId="43" borderId="66" xfId="0" applyFont="1" applyFill="1" applyBorder="1" applyAlignment="1">
      <alignment horizontal="right" vertical="top"/>
    </xf>
    <xf numFmtId="0" fontId="3" fillId="43" borderId="0" xfId="0" applyFont="1" applyFill="1" applyAlignment="1">
      <alignment horizontal="right" vertical="top"/>
    </xf>
    <xf numFmtId="0" fontId="5" fillId="43" borderId="12" xfId="0" applyFont="1" applyFill="1" applyBorder="1" applyAlignment="1">
      <alignment horizontal="center" vertical="top"/>
    </xf>
    <xf numFmtId="0" fontId="5" fillId="43" borderId="18" xfId="0" applyFont="1" applyFill="1" applyBorder="1" applyAlignment="1">
      <alignment horizontal="right" vertical="top"/>
    </xf>
    <xf numFmtId="0" fontId="5" fillId="43" borderId="0" xfId="0" applyFont="1" applyFill="1" applyAlignment="1">
      <alignment horizontal="right" vertical="top"/>
    </xf>
    <xf numFmtId="0" fontId="5" fillId="43" borderId="44" xfId="0" applyFont="1" applyFill="1" applyBorder="1" applyAlignment="1">
      <alignment horizontal="right" vertical="top"/>
    </xf>
    <xf numFmtId="0" fontId="5" fillId="43" borderId="91" xfId="0" applyFont="1" applyFill="1" applyBorder="1" applyAlignment="1">
      <alignment horizontal="right" vertical="top"/>
    </xf>
    <xf numFmtId="0" fontId="5" fillId="43" borderId="131" xfId="0" applyFont="1" applyFill="1" applyBorder="1" applyAlignment="1">
      <alignment horizontal="right" vertical="top"/>
    </xf>
    <xf numFmtId="170" fontId="3" fillId="43" borderId="66" xfId="0" applyNumberFormat="1" applyFont="1" applyFill="1" applyBorder="1" applyAlignment="1">
      <alignment horizontal="right" vertical="top"/>
    </xf>
    <xf numFmtId="170" fontId="5" fillId="43" borderId="25" xfId="0" applyNumberFormat="1" applyFont="1" applyFill="1" applyBorder="1" applyAlignment="1">
      <alignment horizontal="center" vertical="top"/>
    </xf>
    <xf numFmtId="4" fontId="5" fillId="40" borderId="75" xfId="0" applyNumberFormat="1" applyFont="1" applyFill="1" applyBorder="1" applyAlignment="1">
      <alignment vertical="top"/>
    </xf>
    <xf numFmtId="4" fontId="5" fillId="40" borderId="135" xfId="0" applyNumberFormat="1" applyFont="1" applyFill="1" applyBorder="1" applyAlignment="1">
      <alignment vertical="top"/>
    </xf>
    <xf numFmtId="4" fontId="5" fillId="40" borderId="76" xfId="0" applyNumberFormat="1" applyFont="1" applyFill="1" applyBorder="1" applyAlignment="1">
      <alignment vertical="top"/>
    </xf>
    <xf numFmtId="4" fontId="5" fillId="40" borderId="77" xfId="0" applyNumberFormat="1" applyFont="1" applyFill="1" applyBorder="1" applyAlignment="1">
      <alignment vertical="top"/>
    </xf>
    <xf numFmtId="170" fontId="3" fillId="43" borderId="0" xfId="0" applyNumberFormat="1" applyFont="1" applyFill="1" applyAlignment="1">
      <alignment horizontal="left" vertical="top"/>
    </xf>
    <xf numFmtId="170" fontId="3" fillId="43" borderId="0" xfId="0" applyNumberFormat="1" applyFont="1" applyFill="1" applyAlignment="1">
      <alignment horizontal="right" vertical="top"/>
    </xf>
    <xf numFmtId="170" fontId="3" fillId="43" borderId="185" xfId="0" applyNumberFormat="1" applyFont="1" applyFill="1" applyBorder="1" applyAlignment="1">
      <alignment horizontal="right" vertical="top"/>
    </xf>
    <xf numFmtId="170" fontId="3" fillId="43" borderId="19" xfId="0" applyNumberFormat="1" applyFont="1" applyFill="1" applyBorder="1" applyAlignment="1">
      <alignment horizontal="center" vertical="top"/>
    </xf>
    <xf numFmtId="4" fontId="3" fillId="40" borderId="106" xfId="0" applyNumberFormat="1" applyFont="1" applyFill="1" applyBorder="1" applyAlignment="1">
      <alignment vertical="top"/>
    </xf>
    <xf numFmtId="170" fontId="3" fillId="43" borderId="23" xfId="0" applyNumberFormat="1" applyFont="1" applyFill="1" applyBorder="1" applyAlignment="1">
      <alignment horizontal="center" vertical="top"/>
    </xf>
    <xf numFmtId="4" fontId="3" fillId="40" borderId="97" xfId="0" applyNumberFormat="1" applyFont="1" applyFill="1" applyBorder="1" applyAlignment="1">
      <alignment vertical="top"/>
    </xf>
    <xf numFmtId="170" fontId="3" fillId="43" borderId="0" xfId="0" applyNumberFormat="1" applyFont="1" applyFill="1" applyAlignment="1">
      <alignment vertical="top"/>
    </xf>
    <xf numFmtId="170" fontId="3" fillId="43" borderId="185" xfId="0" applyNumberFormat="1" applyFont="1" applyFill="1" applyBorder="1" applyAlignment="1">
      <alignment vertical="top"/>
    </xf>
    <xf numFmtId="170" fontId="3" fillId="43" borderId="26" xfId="0" applyNumberFormat="1" applyFont="1" applyFill="1" applyBorder="1" applyAlignment="1">
      <alignment horizontal="center" vertical="top"/>
    </xf>
    <xf numFmtId="4" fontId="3" fillId="40" borderId="67" xfId="0" applyNumberFormat="1" applyFont="1" applyFill="1" applyBorder="1" applyAlignment="1">
      <alignment vertical="top"/>
    </xf>
    <xf numFmtId="170" fontId="3" fillId="43" borderId="16" xfId="0" applyNumberFormat="1" applyFont="1" applyFill="1" applyBorder="1" applyAlignment="1">
      <alignment vertical="top" wrapText="1"/>
    </xf>
    <xf numFmtId="0" fontId="3" fillId="43" borderId="65" xfId="0" applyFont="1" applyFill="1" applyBorder="1" applyAlignment="1">
      <alignment horizontal="left" vertical="top"/>
    </xf>
    <xf numFmtId="0" fontId="3" fillId="43" borderId="39" xfId="0" applyFont="1" applyFill="1" applyBorder="1" applyAlignment="1">
      <alignment horizontal="left" vertical="top"/>
    </xf>
    <xf numFmtId="0" fontId="3" fillId="43" borderId="39" xfId="0" applyFont="1" applyFill="1" applyBorder="1" applyAlignment="1">
      <alignment horizontal="right" vertical="top"/>
    </xf>
    <xf numFmtId="0" fontId="3" fillId="43" borderId="39" xfId="0" applyFont="1" applyFill="1" applyBorder="1" applyAlignment="1">
      <alignment vertical="top"/>
    </xf>
    <xf numFmtId="0" fontId="3" fillId="43" borderId="40" xfId="0" applyFont="1" applyFill="1" applyBorder="1" applyAlignment="1">
      <alignment vertical="top"/>
    </xf>
    <xf numFmtId="0" fontId="3" fillId="41" borderId="0" xfId="0" applyFont="1" applyFill="1" applyAlignment="1">
      <alignment horizontal="right" vertical="top"/>
    </xf>
    <xf numFmtId="0" fontId="5" fillId="43" borderId="25" xfId="0" applyFont="1" applyFill="1" applyBorder="1" applyAlignment="1">
      <alignment horizontal="center" vertical="top"/>
    </xf>
    <xf numFmtId="0" fontId="3" fillId="43" borderId="0" xfId="0" applyFont="1" applyFill="1" applyAlignment="1">
      <alignment horizontal="left" vertical="top"/>
    </xf>
    <xf numFmtId="0" fontId="3" fillId="43" borderId="185" xfId="0" applyFont="1" applyFill="1" applyBorder="1" applyAlignment="1">
      <alignment horizontal="right" vertical="top"/>
    </xf>
    <xf numFmtId="0" fontId="3" fillId="43" borderId="19" xfId="0" applyFont="1" applyFill="1" applyBorder="1" applyAlignment="1">
      <alignment horizontal="center" vertical="top"/>
    </xf>
    <xf numFmtId="0" fontId="3" fillId="43" borderId="23" xfId="0" applyFont="1" applyFill="1" applyBorder="1" applyAlignment="1">
      <alignment horizontal="center" vertical="top"/>
    </xf>
    <xf numFmtId="0" fontId="3" fillId="43" borderId="0" xfId="0" applyFont="1" applyFill="1" applyAlignment="1">
      <alignment vertical="top"/>
    </xf>
    <xf numFmtId="0" fontId="3" fillId="43" borderId="185" xfId="0" applyFont="1" applyFill="1" applyBorder="1" applyAlignment="1">
      <alignment vertical="top"/>
    </xf>
    <xf numFmtId="0" fontId="3" fillId="43" borderId="26" xfId="0" applyFont="1" applyFill="1" applyBorder="1" applyAlignment="1">
      <alignment horizontal="center" vertical="top"/>
    </xf>
    <xf numFmtId="0" fontId="3" fillId="43" borderId="16" xfId="0" applyFont="1" applyFill="1" applyBorder="1" applyAlignment="1">
      <alignment vertical="top" wrapText="1"/>
    </xf>
    <xf numFmtId="0" fontId="3" fillId="0" borderId="0" xfId="0" applyFont="1" applyAlignment="1">
      <alignment horizontal="center" vertical="top"/>
    </xf>
    <xf numFmtId="173" fontId="3" fillId="40" borderId="67" xfId="0" applyNumberFormat="1" applyFont="1" applyFill="1" applyBorder="1" applyAlignment="1">
      <alignment horizontal="right" vertical="top"/>
    </xf>
    <xf numFmtId="0" fontId="5" fillId="24" borderId="186" xfId="0" applyFont="1" applyFill="1" applyBorder="1" applyAlignment="1">
      <alignment horizontal="center" vertical="top"/>
    </xf>
    <xf numFmtId="170" fontId="72" fillId="27" borderId="67" xfId="0" applyNumberFormat="1" applyFont="1" applyFill="1" applyBorder="1" applyAlignment="1">
      <alignment horizontal="right" vertical="top"/>
    </xf>
    <xf numFmtId="170" fontId="3" fillId="27" borderId="49" xfId="0" applyNumberFormat="1" applyFont="1" applyFill="1" applyBorder="1" applyAlignment="1">
      <alignment horizontal="right" vertical="top"/>
    </xf>
    <xf numFmtId="170" fontId="3" fillId="40" borderId="67" xfId="0" applyNumberFormat="1" applyFont="1" applyFill="1" applyBorder="1" applyAlignment="1">
      <alignment horizontal="right" vertical="top"/>
    </xf>
    <xf numFmtId="176" fontId="72" fillId="27" borderId="67" xfId="0" applyNumberFormat="1" applyFont="1" applyFill="1" applyBorder="1" applyAlignment="1">
      <alignment horizontal="right" vertical="top"/>
    </xf>
    <xf numFmtId="176" fontId="3" fillId="27" borderId="49" xfId="0" applyNumberFormat="1" applyFont="1" applyFill="1" applyBorder="1" applyAlignment="1">
      <alignment horizontal="right" vertical="top"/>
    </xf>
    <xf numFmtId="176" fontId="3" fillId="40" borderId="67" xfId="0" applyNumberFormat="1" applyFont="1" applyFill="1" applyBorder="1" applyAlignment="1">
      <alignment horizontal="right" vertical="top"/>
    </xf>
    <xf numFmtId="170" fontId="72" fillId="27" borderId="49" xfId="0" applyNumberFormat="1" applyFont="1" applyFill="1" applyBorder="1" applyAlignment="1">
      <alignment horizontal="right" vertical="top"/>
    </xf>
    <xf numFmtId="0" fontId="3" fillId="24" borderId="32" xfId="0" applyFont="1" applyFill="1" applyBorder="1" applyAlignment="1">
      <alignment vertical="top"/>
    </xf>
    <xf numFmtId="0" fontId="3" fillId="24" borderId="139" xfId="0" applyFont="1" applyFill="1" applyBorder="1" applyAlignment="1">
      <alignment vertical="top"/>
    </xf>
    <xf numFmtId="0" fontId="74" fillId="24" borderId="14" xfId="0" applyFont="1" applyFill="1" applyBorder="1" applyAlignment="1">
      <alignment vertical="top"/>
    </xf>
    <xf numFmtId="0" fontId="3" fillId="41" borderId="14" xfId="0" quotePrefix="1" applyFont="1" applyFill="1" applyBorder="1" applyAlignment="1">
      <alignment horizontal="center" vertical="top"/>
    </xf>
    <xf numFmtId="0" fontId="75" fillId="24" borderId="14" xfId="0" applyFont="1" applyFill="1" applyBorder="1" applyAlignment="1">
      <alignment horizontal="center" vertical="top"/>
    </xf>
    <xf numFmtId="0" fontId="3" fillId="41" borderId="16" xfId="0" quotePrefix="1" applyFont="1" applyFill="1" applyBorder="1" applyAlignment="1">
      <alignment horizontal="center" vertical="top"/>
    </xf>
    <xf numFmtId="0" fontId="3" fillId="41" borderId="25" xfId="0" quotePrefix="1" applyFont="1" applyFill="1" applyBorder="1" applyAlignment="1">
      <alignment horizontal="center" vertical="top"/>
    </xf>
    <xf numFmtId="0" fontId="72" fillId="41" borderId="50" xfId="0" applyFont="1" applyFill="1" applyBorder="1" applyAlignment="1">
      <alignment horizontal="right" vertical="top"/>
    </xf>
    <xf numFmtId="0" fontId="72" fillId="41" borderId="39" xfId="0" applyFont="1" applyFill="1" applyBorder="1" applyAlignment="1">
      <alignment vertical="top"/>
    </xf>
    <xf numFmtId="0" fontId="72" fillId="41" borderId="0" xfId="0" applyFont="1" applyFill="1" applyAlignment="1">
      <alignment vertical="top"/>
    </xf>
    <xf numFmtId="0" fontId="5" fillId="24" borderId="144" xfId="0" applyFont="1" applyFill="1" applyBorder="1" applyAlignment="1">
      <alignment horizontal="center" vertical="top"/>
    </xf>
    <xf numFmtId="169" fontId="72" fillId="40" borderId="49" xfId="0" applyNumberFormat="1" applyFont="1" applyFill="1" applyBorder="1" applyAlignment="1">
      <alignment horizontal="right" vertical="top"/>
    </xf>
    <xf numFmtId="0" fontId="3" fillId="43" borderId="65" xfId="0" applyFont="1" applyFill="1" applyBorder="1" applyAlignment="1">
      <alignment horizontal="right" vertical="top"/>
    </xf>
    <xf numFmtId="0" fontId="3" fillId="52" borderId="57" xfId="0" applyFont="1" applyFill="1" applyBorder="1" applyAlignment="1">
      <alignment vertical="top"/>
    </xf>
    <xf numFmtId="0" fontId="3" fillId="52" borderId="66" xfId="0" applyFont="1" applyFill="1" applyBorder="1" applyAlignment="1">
      <alignment vertical="top"/>
    </xf>
    <xf numFmtId="0" fontId="3" fillId="52" borderId="0" xfId="0" applyFont="1" applyFill="1" applyAlignment="1">
      <alignment vertical="top"/>
    </xf>
    <xf numFmtId="0" fontId="5" fillId="43" borderId="24" xfId="0" applyFont="1" applyFill="1" applyBorder="1" applyAlignment="1">
      <alignment horizontal="right" vertical="top"/>
    </xf>
    <xf numFmtId="0" fontId="5" fillId="43" borderId="11" xfId="0" applyFont="1" applyFill="1" applyBorder="1" applyAlignment="1">
      <alignment horizontal="right" vertical="top"/>
    </xf>
    <xf numFmtId="0" fontId="5" fillId="43" borderId="25" xfId="0" applyFont="1" applyFill="1" applyBorder="1" applyAlignment="1">
      <alignment vertical="top" wrapText="1"/>
    </xf>
    <xf numFmtId="0" fontId="3" fillId="43" borderId="14" xfId="0" applyFont="1" applyFill="1" applyBorder="1" applyAlignment="1">
      <alignment vertical="top" wrapText="1"/>
    </xf>
    <xf numFmtId="0" fontId="3" fillId="43" borderId="25" xfId="0" applyFont="1" applyFill="1" applyBorder="1" applyAlignment="1">
      <alignment vertical="top" wrapText="1"/>
    </xf>
    <xf numFmtId="0" fontId="3" fillId="52" borderId="65" xfId="0" applyFont="1" applyFill="1" applyBorder="1" applyAlignment="1">
      <alignment vertical="top"/>
    </xf>
    <xf numFmtId="2" fontId="3" fillId="40" borderId="67" xfId="0" applyNumberFormat="1" applyFont="1" applyFill="1" applyBorder="1" applyAlignment="1">
      <alignment horizontal="right" vertical="top"/>
    </xf>
    <xf numFmtId="0" fontId="5" fillId="43" borderId="125" xfId="0" applyFont="1" applyFill="1" applyBorder="1" applyAlignment="1">
      <alignment horizontal="right" vertical="top"/>
    </xf>
    <xf numFmtId="176" fontId="3" fillId="24" borderId="13" xfId="0" applyNumberFormat="1" applyFont="1" applyFill="1" applyBorder="1" applyAlignment="1">
      <alignment vertical="top"/>
    </xf>
    <xf numFmtId="0" fontId="3" fillId="24" borderId="28" xfId="0" applyFont="1" applyFill="1" applyBorder="1" applyAlignment="1">
      <alignment horizontal="center" vertical="top"/>
    </xf>
    <xf numFmtId="169" fontId="3" fillId="27" borderId="13" xfId="0" applyNumberFormat="1" applyFont="1" applyFill="1" applyBorder="1" applyAlignment="1">
      <alignment vertical="top"/>
    </xf>
    <xf numFmtId="0" fontId="3" fillId="24" borderId="39" xfId="0" applyFont="1" applyFill="1" applyBorder="1" applyAlignment="1">
      <alignment horizontal="center" vertical="top"/>
    </xf>
    <xf numFmtId="0" fontId="3" fillId="24" borderId="47" xfId="0" applyFont="1" applyFill="1" applyBorder="1" applyAlignment="1">
      <alignment horizontal="center" vertical="top"/>
    </xf>
    <xf numFmtId="0" fontId="34" fillId="24" borderId="0" xfId="0" applyFont="1" applyFill="1" applyAlignment="1">
      <alignment vertical="top"/>
    </xf>
    <xf numFmtId="0" fontId="5" fillId="24" borderId="24" xfId="0" applyFont="1" applyFill="1" applyBorder="1" applyAlignment="1">
      <alignment horizontal="right" vertical="top"/>
    </xf>
    <xf numFmtId="0" fontId="3" fillId="24" borderId="12" xfId="0" applyFont="1" applyFill="1" applyBorder="1" applyAlignment="1">
      <alignment horizontal="left" vertical="top"/>
    </xf>
    <xf numFmtId="176" fontId="3" fillId="41" borderId="13" xfId="0" applyNumberFormat="1" applyFont="1" applyFill="1" applyBorder="1" applyAlignment="1">
      <alignment vertical="top"/>
    </xf>
    <xf numFmtId="176" fontId="3" fillId="27" borderId="13" xfId="0" applyNumberFormat="1" applyFont="1" applyFill="1" applyBorder="1" applyAlignment="1">
      <alignment vertical="top"/>
    </xf>
    <xf numFmtId="0" fontId="0" fillId="0" borderId="178" xfId="0" applyBorder="1"/>
    <xf numFmtId="0" fontId="31" fillId="24" borderId="0" xfId="0" applyFont="1" applyFill="1" applyAlignment="1">
      <alignment vertical="top"/>
    </xf>
    <xf numFmtId="0" fontId="3" fillId="24" borderId="14" xfId="0" applyFont="1" applyFill="1" applyBorder="1" applyAlignment="1">
      <alignment vertical="top" wrapText="1"/>
    </xf>
    <xf numFmtId="0" fontId="3" fillId="40" borderId="106" xfId="0" applyFont="1" applyFill="1" applyBorder="1" applyAlignment="1">
      <alignment horizontal="left" vertical="top"/>
    </xf>
    <xf numFmtId="0" fontId="3" fillId="24" borderId="15" xfId="0" applyFont="1" applyFill="1" applyBorder="1" applyAlignment="1">
      <alignment vertical="top" wrapText="1"/>
    </xf>
    <xf numFmtId="0" fontId="3" fillId="40" borderId="107" xfId="0" applyFont="1" applyFill="1" applyBorder="1" applyAlignment="1">
      <alignment horizontal="left" vertical="top"/>
    </xf>
    <xf numFmtId="0" fontId="3" fillId="24" borderId="16" xfId="0" applyFont="1" applyFill="1" applyBorder="1" applyAlignment="1">
      <alignment vertical="top" wrapText="1"/>
    </xf>
    <xf numFmtId="0" fontId="3" fillId="40" borderId="97" xfId="0" applyFont="1" applyFill="1" applyBorder="1" applyAlignment="1">
      <alignment horizontal="left" vertical="top"/>
    </xf>
    <xf numFmtId="0" fontId="5" fillId="24" borderId="18" xfId="0" applyFont="1" applyFill="1" applyBorder="1" applyAlignment="1">
      <alignment horizontal="right" indent="1"/>
    </xf>
    <xf numFmtId="0" fontId="5" fillId="24" borderId="78" xfId="0" applyFont="1" applyFill="1" applyBorder="1" applyAlignment="1">
      <alignment wrapText="1"/>
    </xf>
    <xf numFmtId="0" fontId="5" fillId="24" borderId="12" xfId="0" applyFont="1" applyFill="1" applyBorder="1" applyAlignment="1">
      <alignment wrapText="1"/>
    </xf>
    <xf numFmtId="0" fontId="5" fillId="24" borderId="24" xfId="0" applyFont="1" applyFill="1" applyBorder="1" applyAlignment="1">
      <alignment wrapText="1"/>
    </xf>
    <xf numFmtId="0" fontId="3" fillId="24" borderId="19" xfId="0" applyFont="1" applyFill="1" applyBorder="1" applyAlignment="1">
      <alignment horizontal="right" vertical="top" indent="1"/>
    </xf>
    <xf numFmtId="0" fontId="3" fillId="24" borderId="20" xfId="0" applyFont="1" applyFill="1" applyBorder="1" applyAlignment="1">
      <alignment horizontal="right" vertical="top" indent="1"/>
    </xf>
    <xf numFmtId="0" fontId="3" fillId="24" borderId="23" xfId="0" applyFont="1" applyFill="1" applyBorder="1" applyAlignment="1">
      <alignment horizontal="right" vertical="top" indent="1"/>
    </xf>
    <xf numFmtId="0" fontId="3" fillId="24" borderId="21" xfId="0" applyFont="1" applyFill="1" applyBorder="1" applyAlignment="1">
      <alignment vertical="top"/>
    </xf>
    <xf numFmtId="0" fontId="5" fillId="24" borderId="24" xfId="0" applyFont="1" applyFill="1" applyBorder="1" applyAlignment="1">
      <alignment horizontal="right"/>
    </xf>
    <xf numFmtId="0" fontId="3" fillId="24" borderId="22" xfId="0" applyFont="1" applyFill="1" applyBorder="1" applyAlignment="1">
      <alignment horizontal="right" vertical="top" indent="1"/>
    </xf>
    <xf numFmtId="0" fontId="5" fillId="24" borderId="91" xfId="0" applyFont="1" applyFill="1" applyBorder="1" applyAlignment="1">
      <alignment horizontal="center" wrapText="1"/>
    </xf>
    <xf numFmtId="0" fontId="5" fillId="24" borderId="91" xfId="0" applyFont="1" applyFill="1" applyBorder="1" applyAlignment="1">
      <alignment horizontal="center"/>
    </xf>
    <xf numFmtId="0" fontId="5" fillId="41" borderId="91" xfId="0" applyFont="1" applyFill="1" applyBorder="1" applyAlignment="1">
      <alignment horizontal="center"/>
    </xf>
    <xf numFmtId="0" fontId="3" fillId="41" borderId="11" xfId="0" applyFont="1" applyFill="1" applyBorder="1" applyAlignment="1">
      <alignment horizontal="center" wrapText="1"/>
    </xf>
    <xf numFmtId="0" fontId="3" fillId="24" borderId="11" xfId="0" applyFont="1" applyFill="1" applyBorder="1" applyAlignment="1">
      <alignment horizontal="center" wrapText="1"/>
    </xf>
    <xf numFmtId="0" fontId="36" fillId="24" borderId="19" xfId="0" applyFont="1" applyFill="1" applyBorder="1" applyAlignment="1">
      <alignment horizontal="right" vertical="top"/>
    </xf>
    <xf numFmtId="4" fontId="0" fillId="40" borderId="62" xfId="0" applyNumberFormat="1" applyFill="1" applyBorder="1" applyAlignment="1">
      <alignment horizontal="center" shrinkToFit="1"/>
    </xf>
    <xf numFmtId="3" fontId="0" fillId="40" borderId="63" xfId="0" applyNumberFormat="1" applyFill="1" applyBorder="1" applyAlignment="1">
      <alignment horizontal="center" shrinkToFit="1"/>
    </xf>
    <xf numFmtId="0" fontId="36" fillId="24" borderId="20" xfId="0" applyFont="1" applyFill="1" applyBorder="1" applyAlignment="1">
      <alignment horizontal="right" vertical="top"/>
    </xf>
    <xf numFmtId="4" fontId="0" fillId="40" borderId="63" xfId="0" applyNumberFormat="1" applyFill="1" applyBorder="1" applyAlignment="1">
      <alignment horizontal="center" shrinkToFit="1"/>
    </xf>
    <xf numFmtId="0" fontId="36" fillId="24" borderId="23" xfId="0" applyFont="1" applyFill="1" applyBorder="1" applyAlignment="1">
      <alignment horizontal="right" vertical="top"/>
    </xf>
    <xf numFmtId="4" fontId="0" fillId="40" borderId="64" xfId="0" applyNumberFormat="1" applyFill="1" applyBorder="1" applyAlignment="1">
      <alignment horizontal="center" shrinkToFit="1"/>
    </xf>
    <xf numFmtId="3" fontId="0" fillId="40" borderId="64" xfId="0" applyNumberFormat="1" applyFill="1" applyBorder="1" applyAlignment="1">
      <alignment horizontal="center" shrinkToFit="1"/>
    </xf>
    <xf numFmtId="0" fontId="5" fillId="27" borderId="70" xfId="0" applyFont="1" applyFill="1" applyBorder="1" applyAlignment="1">
      <alignment horizontal="center" vertical="top"/>
    </xf>
    <xf numFmtId="0" fontId="5" fillId="27" borderId="48" xfId="0" applyFont="1" applyFill="1" applyBorder="1" applyAlignment="1">
      <alignment horizontal="center" vertical="top"/>
    </xf>
    <xf numFmtId="0" fontId="3" fillId="27" borderId="46" xfId="0" applyFont="1" applyFill="1" applyBorder="1" applyAlignment="1">
      <alignment horizontal="center" vertical="top"/>
    </xf>
    <xf numFmtId="0" fontId="3" fillId="40" borderId="63" xfId="0" applyFont="1" applyFill="1" applyBorder="1" applyAlignment="1">
      <alignment horizontal="center" vertical="top"/>
    </xf>
    <xf numFmtId="0" fontId="4" fillId="26" borderId="0" xfId="0" applyFont="1" applyFill="1" applyAlignment="1">
      <alignment horizontal="left" vertical="top"/>
    </xf>
    <xf numFmtId="0" fontId="34" fillId="24" borderId="0" xfId="0" applyFont="1" applyFill="1" applyAlignment="1">
      <alignment horizontal="center" vertical="top"/>
    </xf>
    <xf numFmtId="0" fontId="3" fillId="27" borderId="25" xfId="0" applyFont="1" applyFill="1" applyBorder="1" applyAlignment="1">
      <alignment horizontal="center" vertical="top"/>
    </xf>
    <xf numFmtId="169" fontId="3" fillId="27" borderId="13" xfId="0" applyNumberFormat="1" applyFont="1" applyFill="1" applyBorder="1" applyAlignment="1">
      <alignment vertical="top" shrinkToFit="1"/>
    </xf>
    <xf numFmtId="169" fontId="3" fillId="27" borderId="67" xfId="0" applyNumberFormat="1" applyFont="1" applyFill="1" applyBorder="1" applyAlignment="1">
      <alignment vertical="top" shrinkToFit="1"/>
    </xf>
    <xf numFmtId="0" fontId="10" fillId="41" borderId="0" xfId="0" quotePrefix="1" applyFont="1" applyFill="1" applyAlignment="1">
      <alignment horizontal="right" vertical="top" wrapText="1"/>
    </xf>
    <xf numFmtId="0" fontId="3" fillId="49" borderId="57" xfId="0" applyFont="1" applyFill="1" applyBorder="1" applyAlignment="1">
      <alignment vertical="top"/>
    </xf>
    <xf numFmtId="0" fontId="10" fillId="49" borderId="28" xfId="0" quotePrefix="1" applyFont="1" applyFill="1" applyBorder="1" applyAlignment="1">
      <alignment horizontal="right" vertical="top" wrapText="1"/>
    </xf>
    <xf numFmtId="0" fontId="10" fillId="49" borderId="28" xfId="0" applyFont="1" applyFill="1" applyBorder="1" applyAlignment="1">
      <alignment vertical="top" wrapText="1"/>
    </xf>
    <xf numFmtId="0" fontId="3" fillId="49" borderId="28" xfId="0" applyFont="1" applyFill="1" applyBorder="1" applyAlignment="1">
      <alignment vertical="top" wrapText="1"/>
    </xf>
    <xf numFmtId="0" fontId="3" fillId="49" borderId="30" xfId="0" applyFont="1" applyFill="1" applyBorder="1" applyAlignment="1">
      <alignment vertical="top" wrapText="1"/>
    </xf>
    <xf numFmtId="0" fontId="5" fillId="49" borderId="66" xfId="0" applyFont="1" applyFill="1" applyBorder="1" applyAlignment="1">
      <alignment horizontal="center" vertical="top"/>
    </xf>
    <xf numFmtId="0" fontId="5" fillId="49" borderId="0" xfId="0" applyFont="1" applyFill="1" applyAlignment="1">
      <alignment vertical="top"/>
    </xf>
    <xf numFmtId="0" fontId="3" fillId="49" borderId="0" xfId="0" applyFont="1" applyFill="1" applyAlignment="1">
      <alignment vertical="top"/>
    </xf>
    <xf numFmtId="0" fontId="5" fillId="49" borderId="0" xfId="0" applyFont="1" applyFill="1" applyAlignment="1">
      <alignment horizontal="center" vertical="top"/>
    </xf>
    <xf numFmtId="0" fontId="5" fillId="49" borderId="78" xfId="0" applyFont="1" applyFill="1" applyBorder="1" applyAlignment="1">
      <alignment horizontal="center" vertical="top"/>
    </xf>
    <xf numFmtId="0" fontId="5" fillId="49" borderId="44" xfId="0" applyFont="1" applyFill="1" applyBorder="1" applyAlignment="1">
      <alignment horizontal="right" vertical="top"/>
    </xf>
    <xf numFmtId="0" fontId="5" fillId="49" borderId="91" xfId="0" applyFont="1" applyFill="1" applyBorder="1" applyAlignment="1">
      <alignment horizontal="right" vertical="top"/>
    </xf>
    <xf numFmtId="0" fontId="5" fillId="49" borderId="125" xfId="0" applyFont="1" applyFill="1" applyBorder="1" applyAlignment="1">
      <alignment horizontal="right" vertical="top"/>
    </xf>
    <xf numFmtId="0" fontId="3" fillId="49" borderId="66" xfId="0" applyFont="1" applyFill="1" applyBorder="1" applyAlignment="1">
      <alignment horizontal="right" vertical="top"/>
    </xf>
    <xf numFmtId="0" fontId="3" fillId="49" borderId="25" xfId="0" applyFont="1" applyFill="1" applyBorder="1" applyAlignment="1">
      <alignment vertical="top"/>
    </xf>
    <xf numFmtId="3" fontId="3" fillId="40" borderId="67" xfId="0" applyNumberFormat="1" applyFont="1" applyFill="1" applyBorder="1" applyAlignment="1">
      <alignment vertical="top"/>
    </xf>
    <xf numFmtId="0" fontId="3" fillId="49" borderId="66" xfId="0" applyFont="1" applyFill="1" applyBorder="1" applyAlignment="1">
      <alignment vertical="top"/>
    </xf>
    <xf numFmtId="0" fontId="3" fillId="49" borderId="21" xfId="0" applyFont="1" applyFill="1" applyBorder="1" applyAlignment="1">
      <alignment vertical="top"/>
    </xf>
    <xf numFmtId="0" fontId="3" fillId="49" borderId="21" xfId="0" quotePrefix="1" applyFont="1" applyFill="1" applyBorder="1" applyAlignment="1">
      <alignment horizontal="center" vertical="top"/>
    </xf>
    <xf numFmtId="0" fontId="3" fillId="49" borderId="25" xfId="0" quotePrefix="1" applyFont="1" applyFill="1" applyBorder="1" applyAlignment="1">
      <alignment horizontal="center" vertical="top"/>
    </xf>
    <xf numFmtId="0" fontId="3" fillId="49" borderId="185" xfId="0" applyFont="1" applyFill="1" applyBorder="1" applyAlignment="1">
      <alignment vertical="top"/>
    </xf>
    <xf numFmtId="0" fontId="5" fillId="49" borderId="12" xfId="0" applyFont="1" applyFill="1" applyBorder="1" applyAlignment="1">
      <alignment vertical="top"/>
    </xf>
    <xf numFmtId="0" fontId="3" fillId="49" borderId="65" xfId="0" applyFont="1" applyFill="1" applyBorder="1" applyAlignment="1">
      <alignment vertical="top"/>
    </xf>
    <xf numFmtId="0" fontId="3" fillId="49" borderId="39" xfId="0" applyFont="1" applyFill="1" applyBorder="1" applyAlignment="1">
      <alignment vertical="top"/>
    </xf>
    <xf numFmtId="0" fontId="3" fillId="49" borderId="40" xfId="0" applyFont="1" applyFill="1" applyBorder="1" applyAlignment="1">
      <alignment vertical="top"/>
    </xf>
    <xf numFmtId="0" fontId="5" fillId="24" borderId="12" xfId="0" applyFont="1" applyFill="1" applyBorder="1" applyAlignment="1">
      <alignment vertical="top" wrapText="1"/>
    </xf>
    <xf numFmtId="0" fontId="5" fillId="24" borderId="18" xfId="0" applyFont="1" applyFill="1" applyBorder="1" applyAlignment="1">
      <alignment horizontal="right" vertical="top"/>
    </xf>
    <xf numFmtId="3" fontId="3" fillId="40" borderId="62" xfId="0" applyNumberFormat="1" applyFont="1" applyFill="1" applyBorder="1" applyAlignment="1">
      <alignment vertical="top"/>
    </xf>
    <xf numFmtId="3" fontId="3" fillId="40" borderId="106" xfId="0" applyNumberFormat="1" applyFont="1" applyFill="1" applyBorder="1" applyAlignment="1">
      <alignment vertical="top"/>
    </xf>
    <xf numFmtId="4" fontId="3" fillId="40" borderId="107" xfId="0" applyNumberFormat="1" applyFont="1" applyFill="1" applyBorder="1" applyAlignment="1">
      <alignment vertical="top"/>
    </xf>
    <xf numFmtId="0" fontId="3" fillId="41" borderId="16" xfId="0" applyFont="1" applyFill="1" applyBorder="1" applyAlignment="1">
      <alignment vertical="top" wrapText="1"/>
    </xf>
    <xf numFmtId="0" fontId="3" fillId="41" borderId="24" xfId="0" applyFont="1" applyFill="1" applyBorder="1" applyAlignment="1">
      <alignment horizontal="center" vertical="top"/>
    </xf>
    <xf numFmtId="170" fontId="3" fillId="40" borderId="78" xfId="0" applyNumberFormat="1" applyFont="1" applyFill="1" applyBorder="1" applyAlignment="1">
      <alignment vertical="top"/>
    </xf>
    <xf numFmtId="3" fontId="3" fillId="27" borderId="64" xfId="0" applyNumberFormat="1" applyFont="1" applyFill="1" applyBorder="1" applyAlignment="1">
      <alignment vertical="top"/>
    </xf>
    <xf numFmtId="3" fontId="3" fillId="27" borderId="97" xfId="0" applyNumberFormat="1" applyFont="1" applyFill="1" applyBorder="1" applyAlignment="1">
      <alignment vertical="top"/>
    </xf>
    <xf numFmtId="0" fontId="0" fillId="24" borderId="44" xfId="0" applyFill="1" applyBorder="1" applyAlignment="1">
      <alignment vertical="top"/>
    </xf>
    <xf numFmtId="0" fontId="0" fillId="24" borderId="25" xfId="0" applyFill="1" applyBorder="1" applyAlignment="1">
      <alignment vertical="top"/>
    </xf>
    <xf numFmtId="0" fontId="3" fillId="24" borderId="26" xfId="0" quotePrefix="1" applyFont="1" applyFill="1" applyBorder="1" applyAlignment="1">
      <alignment horizontal="center" vertical="top"/>
    </xf>
    <xf numFmtId="171" fontId="0" fillId="40" borderId="13" xfId="0" applyNumberFormat="1" applyFill="1" applyBorder="1" applyAlignment="1">
      <alignment vertical="top"/>
    </xf>
    <xf numFmtId="171" fontId="0" fillId="40" borderId="67" xfId="0" applyNumberFormat="1" applyFill="1" applyBorder="1" applyAlignment="1">
      <alignment vertical="top"/>
    </xf>
    <xf numFmtId="0" fontId="3" fillId="49" borderId="28" xfId="0" applyFont="1" applyFill="1" applyBorder="1" applyAlignment="1">
      <alignment vertical="top"/>
    </xf>
    <xf numFmtId="0" fontId="3" fillId="49" borderId="30" xfId="0" applyFont="1" applyFill="1" applyBorder="1" applyAlignment="1">
      <alignment vertical="top"/>
    </xf>
    <xf numFmtId="0" fontId="3" fillId="49" borderId="25" xfId="0" applyFont="1" applyFill="1" applyBorder="1" applyAlignment="1">
      <alignment horizontal="center" vertical="top"/>
    </xf>
    <xf numFmtId="179" fontId="3" fillId="40" borderId="67" xfId="0" applyNumberFormat="1" applyFont="1" applyFill="1" applyBorder="1" applyAlignment="1">
      <alignment vertical="top"/>
    </xf>
    <xf numFmtId="0" fontId="0" fillId="49" borderId="65" xfId="0" applyFill="1" applyBorder="1" applyAlignment="1">
      <alignment vertical="top"/>
    </xf>
    <xf numFmtId="0" fontId="0" fillId="49" borderId="39" xfId="0" applyFill="1" applyBorder="1" applyAlignment="1">
      <alignment vertical="top"/>
    </xf>
    <xf numFmtId="0" fontId="3" fillId="24" borderId="25" xfId="0" applyFont="1" applyFill="1" applyBorder="1" applyAlignment="1">
      <alignment vertical="top" wrapText="1"/>
    </xf>
    <xf numFmtId="170" fontId="3" fillId="40" borderId="67" xfId="0" applyNumberFormat="1" applyFont="1" applyFill="1" applyBorder="1" applyAlignment="1">
      <alignment vertical="top"/>
    </xf>
    <xf numFmtId="0" fontId="3" fillId="41" borderId="14" xfId="0" applyFont="1" applyFill="1" applyBorder="1" applyAlignment="1">
      <alignment horizontal="center" vertical="top"/>
    </xf>
    <xf numFmtId="0" fontId="3" fillId="41" borderId="12" xfId="0" applyFont="1" applyFill="1" applyBorder="1" applyAlignment="1">
      <alignment horizontal="center" vertical="top"/>
    </xf>
    <xf numFmtId="0" fontId="45" fillId="24" borderId="0" xfId="0" applyFont="1" applyFill="1" applyAlignment="1">
      <alignment vertical="top"/>
    </xf>
    <xf numFmtId="0" fontId="0" fillId="49" borderId="28" xfId="0" applyFill="1" applyBorder="1" applyAlignment="1">
      <alignment vertical="top" wrapText="1"/>
    </xf>
    <xf numFmtId="0" fontId="0" fillId="49" borderId="30" xfId="0" applyFill="1" applyBorder="1" applyAlignment="1">
      <alignment vertical="top" wrapText="1"/>
    </xf>
    <xf numFmtId="0" fontId="45" fillId="49" borderId="39" xfId="0" applyFont="1" applyFill="1" applyBorder="1" applyAlignment="1">
      <alignment vertical="top"/>
    </xf>
    <xf numFmtId="0" fontId="5" fillId="24" borderId="24" xfId="0" applyFont="1" applyFill="1" applyBorder="1" applyAlignment="1">
      <alignment horizontal="center" vertical="top"/>
    </xf>
    <xf numFmtId="0" fontId="5" fillId="24" borderId="186" xfId="0" applyFont="1" applyFill="1" applyBorder="1" applyAlignment="1">
      <alignment horizontal="center" vertical="top" wrapText="1"/>
    </xf>
    <xf numFmtId="0" fontId="5" fillId="24" borderId="78" xfId="0" applyFont="1" applyFill="1" applyBorder="1" applyAlignment="1">
      <alignment vertical="top" wrapText="1"/>
    </xf>
    <xf numFmtId="0" fontId="5" fillId="24" borderId="11" xfId="0" applyFont="1" applyFill="1" applyBorder="1" applyAlignment="1">
      <alignment horizontal="center" vertical="top"/>
    </xf>
    <xf numFmtId="0" fontId="3" fillId="40" borderId="106" xfId="0" applyFont="1" applyFill="1" applyBorder="1" applyAlignment="1">
      <alignment vertical="top" wrapText="1"/>
    </xf>
    <xf numFmtId="0" fontId="3" fillId="40" borderId="62" xfId="0" applyFont="1" applyFill="1" applyBorder="1" applyAlignment="1">
      <alignment horizontal="center" vertical="top"/>
    </xf>
    <xf numFmtId="170" fontId="3" fillId="40" borderId="106" xfId="0" applyNumberFormat="1" applyFont="1" applyFill="1" applyBorder="1" applyAlignment="1">
      <alignment vertical="top"/>
    </xf>
    <xf numFmtId="170" fontId="3" fillId="40" borderId="31" xfId="0" applyNumberFormat="1" applyFont="1" applyFill="1" applyBorder="1" applyAlignment="1">
      <alignment vertical="top"/>
    </xf>
    <xf numFmtId="0" fontId="3" fillId="40" borderId="107" xfId="0" applyFont="1" applyFill="1" applyBorder="1" applyAlignment="1">
      <alignment vertical="top" wrapText="1"/>
    </xf>
    <xf numFmtId="170" fontId="3" fillId="40" borderId="107" xfId="0" applyNumberFormat="1" applyFont="1" applyFill="1" applyBorder="1" applyAlignment="1">
      <alignment vertical="top"/>
    </xf>
    <xf numFmtId="170" fontId="3" fillId="40" borderId="33" xfId="0" applyNumberFormat="1" applyFont="1" applyFill="1" applyBorder="1" applyAlignment="1">
      <alignment vertical="top"/>
    </xf>
    <xf numFmtId="0" fontId="3" fillId="40" borderId="97" xfId="0" applyFont="1" applyFill="1" applyBorder="1" applyAlignment="1">
      <alignment vertical="top" wrapText="1"/>
    </xf>
    <xf numFmtId="0" fontId="3" fillId="40" borderId="64" xfId="0" applyFont="1" applyFill="1" applyBorder="1" applyAlignment="1">
      <alignment horizontal="center" vertical="top"/>
    </xf>
    <xf numFmtId="170" fontId="3" fillId="40" borderId="97" xfId="0" applyNumberFormat="1" applyFont="1" applyFill="1" applyBorder="1" applyAlignment="1">
      <alignment vertical="top"/>
    </xf>
    <xf numFmtId="170" fontId="3" fillId="40" borderId="123" xfId="0" applyNumberFormat="1" applyFont="1" applyFill="1" applyBorder="1" applyAlignment="1">
      <alignment vertical="top"/>
    </xf>
    <xf numFmtId="0" fontId="3" fillId="24" borderId="26" xfId="0" applyFont="1" applyFill="1" applyBorder="1" applyAlignment="1">
      <alignment vertical="top"/>
    </xf>
    <xf numFmtId="0" fontId="3" fillId="24" borderId="67" xfId="0" applyFont="1" applyFill="1" applyBorder="1" applyAlignment="1">
      <alignment vertical="top" wrapText="1"/>
    </xf>
    <xf numFmtId="170" fontId="3" fillId="27" borderId="97" xfId="0" applyNumberFormat="1" applyFont="1" applyFill="1" applyBorder="1" applyAlignment="1">
      <alignment vertical="top"/>
    </xf>
    <xf numFmtId="170" fontId="3" fillId="27" borderId="123" xfId="0" applyNumberFormat="1" applyFont="1" applyFill="1" applyBorder="1" applyAlignment="1">
      <alignment vertical="top"/>
    </xf>
    <xf numFmtId="0" fontId="0" fillId="43" borderId="57" xfId="0" applyFill="1" applyBorder="1" applyAlignment="1">
      <alignment vertical="top"/>
    </xf>
    <xf numFmtId="0" fontId="0" fillId="43" borderId="28" xfId="0" applyFill="1" applyBorder="1" applyAlignment="1">
      <alignment vertical="top"/>
    </xf>
    <xf numFmtId="0" fontId="0" fillId="43" borderId="66" xfId="0" applyFill="1" applyBorder="1" applyAlignment="1">
      <alignment vertical="top"/>
    </xf>
    <xf numFmtId="0" fontId="0" fillId="43" borderId="0" xfId="0" applyFill="1" applyAlignment="1">
      <alignment vertical="top" wrapText="1"/>
    </xf>
    <xf numFmtId="0" fontId="0" fillId="43" borderId="185" xfId="0" applyFill="1" applyBorder="1" applyAlignment="1">
      <alignment vertical="top" wrapText="1"/>
    </xf>
    <xf numFmtId="0" fontId="3" fillId="43" borderId="66" xfId="0" applyFont="1" applyFill="1" applyBorder="1" applyAlignment="1">
      <alignment vertical="top"/>
    </xf>
    <xf numFmtId="0" fontId="0" fillId="43" borderId="0" xfId="0" applyFill="1" applyAlignment="1">
      <alignment vertical="top"/>
    </xf>
    <xf numFmtId="0" fontId="5" fillId="43" borderId="0" xfId="0" applyFont="1" applyFill="1" applyAlignment="1">
      <alignment horizontal="center" vertical="top"/>
    </xf>
    <xf numFmtId="0" fontId="5" fillId="43" borderId="0" xfId="0" applyFont="1" applyFill="1" applyAlignment="1">
      <alignment vertical="top" wrapText="1"/>
    </xf>
    <xf numFmtId="0" fontId="5" fillId="43" borderId="185" xfId="0" applyFont="1" applyFill="1" applyBorder="1" applyAlignment="1">
      <alignment vertical="top" wrapText="1"/>
    </xf>
    <xf numFmtId="0" fontId="10" fillId="43" borderId="0" xfId="0" quotePrefix="1" applyFont="1" applyFill="1" applyAlignment="1">
      <alignment horizontal="right" vertical="top" wrapText="1"/>
    </xf>
    <xf numFmtId="0" fontId="10" fillId="43" borderId="0" xfId="0" applyFont="1" applyFill="1" applyAlignment="1">
      <alignment vertical="top" wrapText="1"/>
    </xf>
    <xf numFmtId="0" fontId="5" fillId="43" borderId="18" xfId="0" applyFont="1" applyFill="1" applyBorder="1" applyAlignment="1">
      <alignment horizontal="center" vertical="top"/>
    </xf>
    <xf numFmtId="0" fontId="5" fillId="43" borderId="186" xfId="0" applyFont="1" applyFill="1" applyBorder="1" applyAlignment="1">
      <alignment horizontal="right" vertical="top"/>
    </xf>
    <xf numFmtId="0" fontId="5" fillId="43" borderId="12" xfId="0" applyFont="1" applyFill="1" applyBorder="1" applyAlignment="1">
      <alignment vertical="top" wrapText="1"/>
    </xf>
    <xf numFmtId="0" fontId="0" fillId="43" borderId="12" xfId="0" applyFill="1" applyBorder="1" applyAlignment="1">
      <alignment vertical="top" wrapText="1"/>
    </xf>
    <xf numFmtId="0" fontId="3" fillId="43" borderId="24" xfId="0" applyFont="1" applyFill="1" applyBorder="1" applyAlignment="1">
      <alignment horizontal="center" vertical="top"/>
    </xf>
    <xf numFmtId="0" fontId="0" fillId="43" borderId="185" xfId="0" applyFill="1" applyBorder="1" applyAlignment="1">
      <alignment vertical="top"/>
    </xf>
    <xf numFmtId="0" fontId="3" fillId="43" borderId="15" xfId="0" applyFont="1" applyFill="1" applyBorder="1" applyAlignment="1">
      <alignment horizontal="center" vertical="top"/>
    </xf>
    <xf numFmtId="0" fontId="3" fillId="43" borderId="20" xfId="0" applyFont="1" applyFill="1" applyBorder="1" applyAlignment="1">
      <alignment horizontal="center" vertical="top"/>
    </xf>
    <xf numFmtId="0" fontId="3" fillId="43" borderId="22" xfId="0" applyFont="1" applyFill="1" applyBorder="1" applyAlignment="1">
      <alignment horizontal="center" vertical="top"/>
    </xf>
    <xf numFmtId="169" fontId="3" fillId="27" borderId="92" xfId="0" applyNumberFormat="1" applyFont="1" applyFill="1" applyBorder="1" applyAlignment="1">
      <alignment vertical="top"/>
    </xf>
    <xf numFmtId="169" fontId="3" fillId="27" borderId="121" xfId="0" applyNumberFormat="1" applyFont="1" applyFill="1" applyBorder="1" applyAlignment="1">
      <alignment vertical="top"/>
    </xf>
    <xf numFmtId="0" fontId="53" fillId="43" borderId="105" xfId="0" applyFont="1" applyFill="1" applyBorder="1" applyAlignment="1">
      <alignment horizontal="center" vertical="top"/>
    </xf>
    <xf numFmtId="169" fontId="53" fillId="27" borderId="95" xfId="0" applyNumberFormat="1" applyFont="1" applyFill="1" applyBorder="1" applyAlignment="1">
      <alignment vertical="top"/>
    </xf>
    <xf numFmtId="169" fontId="53" fillId="27" borderId="129" xfId="0" applyNumberFormat="1" applyFont="1" applyFill="1" applyBorder="1" applyAlignment="1">
      <alignment vertical="top"/>
    </xf>
    <xf numFmtId="0" fontId="3" fillId="43" borderId="16" xfId="0" applyFont="1" applyFill="1" applyBorder="1" applyAlignment="1">
      <alignment horizontal="center" vertical="top"/>
    </xf>
    <xf numFmtId="0" fontId="3" fillId="43" borderId="103" xfId="0" applyFont="1" applyFill="1" applyBorder="1" applyAlignment="1">
      <alignment vertical="top"/>
    </xf>
    <xf numFmtId="0" fontId="70" fillId="27" borderId="13" xfId="0" applyFont="1" applyFill="1" applyBorder="1" applyAlignment="1">
      <alignment horizontal="left" vertical="top"/>
    </xf>
    <xf numFmtId="0" fontId="70" fillId="27" borderId="67" xfId="0" applyFont="1" applyFill="1" applyBorder="1" applyAlignment="1">
      <alignment horizontal="left" vertical="top"/>
    </xf>
    <xf numFmtId="170" fontId="3" fillId="40" borderId="10" xfId="0" applyNumberFormat="1" applyFont="1" applyFill="1" applyBorder="1" applyAlignment="1">
      <alignment vertical="top"/>
    </xf>
    <xf numFmtId="170" fontId="3" fillId="40" borderId="104" xfId="0" applyNumberFormat="1" applyFont="1" applyFill="1" applyBorder="1" applyAlignment="1">
      <alignment vertical="top"/>
    </xf>
    <xf numFmtId="0" fontId="10" fillId="43" borderId="185" xfId="0" applyFont="1" applyFill="1" applyBorder="1" applyAlignment="1">
      <alignment vertical="top" wrapText="1"/>
    </xf>
    <xf numFmtId="0" fontId="3" fillId="27" borderId="16" xfId="0" applyFont="1" applyFill="1" applyBorder="1" applyAlignment="1">
      <alignment horizontal="center" vertical="top"/>
    </xf>
    <xf numFmtId="0" fontId="3" fillId="43" borderId="25" xfId="0" applyFont="1" applyFill="1" applyBorder="1" applyAlignment="1">
      <alignment horizontal="center" vertical="top"/>
    </xf>
    <xf numFmtId="0" fontId="0" fillId="49" borderId="57" xfId="0" applyFill="1" applyBorder="1" applyAlignment="1">
      <alignment vertical="top"/>
    </xf>
    <xf numFmtId="0" fontId="0" fillId="49" borderId="28" xfId="0" applyFill="1" applyBorder="1" applyAlignment="1">
      <alignment vertical="top"/>
    </xf>
    <xf numFmtId="0" fontId="5" fillId="49" borderId="28" xfId="0" applyFont="1" applyFill="1" applyBorder="1" applyAlignment="1">
      <alignment vertical="top" wrapText="1"/>
    </xf>
    <xf numFmtId="0" fontId="3" fillId="49" borderId="25" xfId="0" applyFont="1" applyFill="1" applyBorder="1" applyAlignment="1">
      <alignment horizontal="left" vertical="top" wrapText="1"/>
    </xf>
    <xf numFmtId="0" fontId="5" fillId="49" borderId="39" xfId="0" applyFont="1" applyFill="1" applyBorder="1" applyAlignment="1">
      <alignment vertical="top" wrapText="1"/>
    </xf>
    <xf numFmtId="0" fontId="3" fillId="43" borderId="185" xfId="0" applyFont="1" applyFill="1" applyBorder="1" applyAlignment="1">
      <alignment horizontal="left" vertical="top"/>
    </xf>
    <xf numFmtId="0" fontId="3" fillId="27" borderId="14" xfId="0" applyFont="1" applyFill="1" applyBorder="1" applyAlignment="1">
      <alignment horizontal="center" vertical="top"/>
    </xf>
    <xf numFmtId="0" fontId="10" fillId="43" borderId="0" xfId="0" applyFont="1" applyFill="1" applyAlignment="1">
      <alignment vertical="top"/>
    </xf>
    <xf numFmtId="0" fontId="0" fillId="43" borderId="65" xfId="0" applyFill="1" applyBorder="1" applyAlignment="1">
      <alignment vertical="top"/>
    </xf>
    <xf numFmtId="0" fontId="0" fillId="43" borderId="39" xfId="0" applyFill="1" applyBorder="1" applyAlignment="1">
      <alignment vertical="top"/>
    </xf>
    <xf numFmtId="0" fontId="0" fillId="24" borderId="90" xfId="0" applyFill="1" applyBorder="1" applyAlignment="1">
      <alignment vertical="top"/>
    </xf>
    <xf numFmtId="170" fontId="3" fillId="27" borderId="67" xfId="0" applyNumberFormat="1" applyFont="1" applyFill="1" applyBorder="1" applyAlignment="1">
      <alignment vertical="top"/>
    </xf>
    <xf numFmtId="0" fontId="0" fillId="49" borderId="65" xfId="0" applyFill="1" applyBorder="1"/>
    <xf numFmtId="0" fontId="0" fillId="49" borderId="39" xfId="0" applyFill="1" applyBorder="1"/>
    <xf numFmtId="0" fontId="0" fillId="49" borderId="40" xfId="0" applyFill="1" applyBorder="1"/>
    <xf numFmtId="0" fontId="34" fillId="24" borderId="0" xfId="0" applyFont="1" applyFill="1"/>
    <xf numFmtId="0" fontId="10" fillId="24" borderId="0" xfId="0" applyFont="1" applyFill="1" applyAlignment="1">
      <alignment horizontal="right" vertical="top"/>
    </xf>
    <xf numFmtId="0" fontId="5" fillId="24" borderId="11" xfId="0" applyFont="1" applyFill="1" applyBorder="1" applyAlignment="1">
      <alignment horizontal="center" vertical="top" wrapText="1"/>
    </xf>
    <xf numFmtId="0" fontId="5" fillId="24" borderId="0" xfId="0" applyFont="1" applyFill="1" applyAlignment="1">
      <alignment horizontal="center"/>
    </xf>
    <xf numFmtId="0" fontId="5" fillId="24" borderId="24" xfId="0" applyFont="1" applyFill="1" applyBorder="1" applyAlignment="1">
      <alignment horizontal="center"/>
    </xf>
    <xf numFmtId="0" fontId="5" fillId="24" borderId="12" xfId="0" applyFont="1" applyFill="1" applyBorder="1" applyAlignment="1">
      <alignment horizontal="center"/>
    </xf>
    <xf numFmtId="0" fontId="5" fillId="24" borderId="186" xfId="0" applyFont="1" applyFill="1" applyBorder="1" applyAlignment="1">
      <alignment horizontal="right"/>
    </xf>
    <xf numFmtId="0" fontId="5" fillId="24" borderId="44" xfId="0" applyFont="1" applyFill="1" applyBorder="1" applyAlignment="1">
      <alignment horizontal="right"/>
    </xf>
    <xf numFmtId="0" fontId="5" fillId="24" borderId="91" xfId="0" applyFont="1" applyFill="1" applyBorder="1" applyAlignment="1">
      <alignment horizontal="right"/>
    </xf>
    <xf numFmtId="0" fontId="3" fillId="27" borderId="106" xfId="0" applyFont="1" applyFill="1" applyBorder="1" applyAlignment="1">
      <alignment vertical="top" wrapText="1"/>
    </xf>
    <xf numFmtId="0" fontId="3" fillId="27" borderId="107" xfId="0" applyFont="1" applyFill="1" applyBorder="1" applyAlignment="1">
      <alignment vertical="top" wrapText="1"/>
    </xf>
    <xf numFmtId="0" fontId="3" fillId="40" borderId="15" xfId="0" applyFont="1" applyFill="1" applyBorder="1" applyAlignment="1">
      <alignment horizontal="center" vertical="top"/>
    </xf>
    <xf numFmtId="0" fontId="3" fillId="27" borderId="97" xfId="0" applyFont="1" applyFill="1" applyBorder="1" applyAlignment="1">
      <alignment vertical="top" wrapText="1"/>
    </xf>
    <xf numFmtId="0" fontId="3" fillId="41" borderId="15" xfId="0" applyFont="1" applyFill="1" applyBorder="1" applyAlignment="1">
      <alignment horizontal="center" vertical="top"/>
    </xf>
    <xf numFmtId="0" fontId="3" fillId="41" borderId="16" xfId="0" applyFont="1" applyFill="1" applyBorder="1" applyAlignment="1">
      <alignment horizontal="center" vertical="top"/>
    </xf>
    <xf numFmtId="0" fontId="3" fillId="41" borderId="25" xfId="0" applyFont="1" applyFill="1" applyBorder="1" applyAlignment="1">
      <alignment horizontal="center" vertical="top"/>
    </xf>
    <xf numFmtId="0" fontId="3" fillId="40" borderId="25" xfId="0" applyFont="1" applyFill="1" applyBorder="1" applyAlignment="1">
      <alignment horizontal="center" vertical="center"/>
    </xf>
    <xf numFmtId="179" fontId="3" fillId="40" borderId="13" xfId="0" applyNumberFormat="1" applyFont="1" applyFill="1" applyBorder="1" applyAlignment="1">
      <alignment vertical="center" shrinkToFit="1"/>
    </xf>
    <xf numFmtId="171" fontId="3" fillId="40" borderId="13" xfId="0" applyNumberFormat="1" applyFont="1" applyFill="1" applyBorder="1" applyAlignment="1">
      <alignment vertical="center"/>
    </xf>
    <xf numFmtId="171" fontId="3" fillId="40" borderId="67" xfId="0" applyNumberFormat="1" applyFont="1" applyFill="1" applyBorder="1" applyAlignment="1">
      <alignment vertical="center"/>
    </xf>
    <xf numFmtId="0" fontId="45" fillId="49" borderId="28" xfId="0" applyFont="1" applyFill="1" applyBorder="1" applyAlignment="1">
      <alignment vertical="top"/>
    </xf>
    <xf numFmtId="0" fontId="5" fillId="49" borderId="131" xfId="0" applyFont="1" applyFill="1" applyBorder="1" applyAlignment="1">
      <alignment horizontal="right" vertical="top"/>
    </xf>
    <xf numFmtId="0" fontId="3" fillId="49" borderId="25" xfId="0" applyFont="1" applyFill="1" applyBorder="1" applyAlignment="1">
      <alignment horizontal="left" vertical="top"/>
    </xf>
    <xf numFmtId="0" fontId="3" fillId="40" borderId="26" xfId="0" applyFont="1" applyFill="1" applyBorder="1" applyAlignment="1">
      <alignment horizontal="center" vertical="top"/>
    </xf>
    <xf numFmtId="179" fontId="3" fillId="40" borderId="104" xfId="0" applyNumberFormat="1" applyFont="1" applyFill="1" applyBorder="1" applyAlignment="1">
      <alignment vertical="top" shrinkToFit="1"/>
    </xf>
    <xf numFmtId="0" fontId="0" fillId="49" borderId="66" xfId="0" applyFill="1" applyBorder="1"/>
    <xf numFmtId="0" fontId="0" fillId="49" borderId="50" xfId="0" applyFill="1" applyBorder="1" applyAlignment="1">
      <alignment vertical="top"/>
    </xf>
    <xf numFmtId="0" fontId="0" fillId="43" borderId="57" xfId="0" applyFill="1" applyBorder="1"/>
    <xf numFmtId="0" fontId="0" fillId="43" borderId="28" xfId="0" applyFill="1" applyBorder="1"/>
    <xf numFmtId="0" fontId="3" fillId="43" borderId="28" xfId="0" applyFont="1" applyFill="1" applyBorder="1"/>
    <xf numFmtId="0" fontId="3" fillId="43" borderId="30" xfId="0" applyFont="1" applyFill="1" applyBorder="1"/>
    <xf numFmtId="0" fontId="0" fillId="43" borderId="66" xfId="0" applyFill="1" applyBorder="1"/>
    <xf numFmtId="0" fontId="0" fillId="43" borderId="0" xfId="0" applyFill="1"/>
    <xf numFmtId="0" fontId="3" fillId="43" borderId="185" xfId="0" applyFont="1" applyFill="1" applyBorder="1" applyAlignment="1">
      <alignment horizontal="left"/>
    </xf>
    <xf numFmtId="0" fontId="3" fillId="43" borderId="0" xfId="0" applyFont="1" applyFill="1"/>
    <xf numFmtId="0" fontId="3" fillId="43" borderId="185" xfId="0" applyFont="1" applyFill="1" applyBorder="1"/>
    <xf numFmtId="0" fontId="3" fillId="43" borderId="0" xfId="0" applyFont="1" applyFill="1" applyAlignment="1">
      <alignment horizontal="right"/>
    </xf>
    <xf numFmtId="0" fontId="0" fillId="43" borderId="185" xfId="0" applyFill="1" applyBorder="1"/>
    <xf numFmtId="0" fontId="0" fillId="43" borderId="65" xfId="0" applyFill="1" applyBorder="1"/>
    <xf numFmtId="0" fontId="0" fillId="43" borderId="39" xfId="0" applyFill="1" applyBorder="1"/>
    <xf numFmtId="0" fontId="3" fillId="43" borderId="39" xfId="0" applyFont="1" applyFill="1" applyBorder="1"/>
    <xf numFmtId="0" fontId="3" fillId="43" borderId="40" xfId="0" applyFont="1" applyFill="1" applyBorder="1"/>
    <xf numFmtId="0" fontId="5" fillId="24" borderId="78" xfId="0" applyFont="1" applyFill="1" applyBorder="1" applyAlignment="1">
      <alignment horizontal="left" vertical="top" wrapText="1"/>
    </xf>
    <xf numFmtId="0" fontId="5" fillId="24" borderId="186" xfId="0" applyFont="1" applyFill="1" applyBorder="1" applyAlignment="1">
      <alignment horizontal="left" vertical="top" wrapText="1"/>
    </xf>
    <xf numFmtId="0" fontId="5" fillId="24" borderId="91" xfId="0" applyFont="1" applyFill="1" applyBorder="1" applyAlignment="1">
      <alignment horizontal="center" vertical="top" wrapText="1"/>
    </xf>
    <xf numFmtId="0" fontId="5" fillId="41" borderId="12" xfId="0" applyFont="1" applyFill="1" applyBorder="1" applyAlignment="1">
      <alignment vertical="top"/>
    </xf>
    <xf numFmtId="0" fontId="0" fillId="41" borderId="12" xfId="0" applyFill="1" applyBorder="1" applyAlignment="1">
      <alignment vertical="top" wrapText="1"/>
    </xf>
    <xf numFmtId="0" fontId="5" fillId="41" borderId="12" xfId="0" applyFont="1" applyFill="1" applyBorder="1" applyAlignment="1">
      <alignment horizontal="center" vertical="top"/>
    </xf>
    <xf numFmtId="0" fontId="5" fillId="41" borderId="91" xfId="0" applyFont="1" applyFill="1" applyBorder="1" applyAlignment="1">
      <alignment horizontal="right" vertical="top"/>
    </xf>
    <xf numFmtId="0" fontId="5" fillId="41" borderId="186" xfId="0" applyFont="1" applyFill="1" applyBorder="1" applyAlignment="1">
      <alignment horizontal="right" vertical="top"/>
    </xf>
    <xf numFmtId="0" fontId="5" fillId="41" borderId="44" xfId="0" applyFont="1" applyFill="1" applyBorder="1" applyAlignment="1">
      <alignment horizontal="right" vertical="top"/>
    </xf>
    <xf numFmtId="0" fontId="5" fillId="41" borderId="11" xfId="0" applyFont="1" applyFill="1" applyBorder="1" applyAlignment="1">
      <alignment horizontal="right" vertical="top"/>
    </xf>
    <xf numFmtId="0" fontId="5" fillId="24" borderId="78" xfId="0" applyFont="1" applyFill="1" applyBorder="1" applyAlignment="1">
      <alignment horizontal="left" vertical="top"/>
    </xf>
    <xf numFmtId="0" fontId="5" fillId="24" borderId="24" xfId="0" applyFont="1" applyFill="1" applyBorder="1" applyAlignment="1">
      <alignment horizontal="left" vertical="top"/>
    </xf>
    <xf numFmtId="0" fontId="10" fillId="24" borderId="0" xfId="0" applyFont="1" applyFill="1" applyAlignment="1">
      <alignment horizontal="right" vertical="top" indent="1"/>
    </xf>
    <xf numFmtId="0" fontId="5" fillId="24" borderId="12" xfId="0" applyFont="1" applyFill="1" applyBorder="1" applyAlignment="1">
      <alignment horizontal="right" vertical="top" indent="1"/>
    </xf>
    <xf numFmtId="0" fontId="5" fillId="24" borderId="78" xfId="0" applyFont="1" applyFill="1" applyBorder="1" applyAlignment="1">
      <alignment horizontal="right" vertical="top"/>
    </xf>
    <xf numFmtId="0" fontId="3" fillId="24" borderId="25" xfId="0" applyFont="1" applyFill="1" applyBorder="1" applyAlignment="1">
      <alignment horizontal="right" vertical="top" indent="1"/>
    </xf>
    <xf numFmtId="0" fontId="3" fillId="24" borderId="17" xfId="0" applyFont="1" applyFill="1" applyBorder="1" applyAlignment="1">
      <alignment horizontal="right" vertical="top" indent="1"/>
    </xf>
    <xf numFmtId="0" fontId="3" fillId="24" borderId="15" xfId="0" applyFont="1" applyFill="1" applyBorder="1" applyAlignment="1">
      <alignment horizontal="right" vertical="top" indent="1"/>
    </xf>
    <xf numFmtId="0" fontId="3" fillId="24" borderId="16" xfId="0" applyFont="1" applyFill="1" applyBorder="1" applyAlignment="1">
      <alignment horizontal="right" vertical="top" indent="1"/>
    </xf>
    <xf numFmtId="169" fontId="3" fillId="27" borderId="67" xfId="0" applyNumberFormat="1" applyFont="1" applyFill="1" applyBorder="1" applyAlignment="1">
      <alignment vertical="top"/>
    </xf>
    <xf numFmtId="169" fontId="3" fillId="27" borderId="49" xfId="0" applyNumberFormat="1" applyFont="1" applyFill="1" applyBorder="1" applyAlignment="1">
      <alignment vertical="top"/>
    </xf>
    <xf numFmtId="0" fontId="10" fillId="24" borderId="0" xfId="0" quotePrefix="1" applyFont="1" applyFill="1" applyAlignment="1">
      <alignment horizontal="right" vertical="top"/>
    </xf>
    <xf numFmtId="0" fontId="5" fillId="24" borderId="12" xfId="0" applyFont="1" applyFill="1" applyBorder="1" applyAlignment="1">
      <alignment horizontal="center" wrapText="1"/>
    </xf>
    <xf numFmtId="0" fontId="5" fillId="24" borderId="11" xfId="0" applyFont="1" applyFill="1" applyBorder="1" applyAlignment="1">
      <alignment horizontal="right"/>
    </xf>
    <xf numFmtId="0" fontId="5" fillId="24" borderId="78" xfId="0" applyFont="1" applyFill="1" applyBorder="1" applyAlignment="1">
      <alignment horizontal="right"/>
    </xf>
    <xf numFmtId="0" fontId="5" fillId="24" borderId="117" xfId="0" applyFont="1" applyFill="1" applyBorder="1" applyAlignment="1">
      <alignment horizontal="right"/>
    </xf>
    <xf numFmtId="169" fontId="3" fillId="27" borderId="62" xfId="0" applyNumberFormat="1" applyFont="1" applyFill="1" applyBorder="1" applyAlignment="1">
      <alignment vertical="top"/>
    </xf>
    <xf numFmtId="169" fontId="3" fillId="27" borderId="106" xfId="0" applyNumberFormat="1" applyFont="1" applyFill="1" applyBorder="1" applyAlignment="1">
      <alignment vertical="top"/>
    </xf>
    <xf numFmtId="169" fontId="3" fillId="27" borderId="91" xfId="0" applyNumberFormat="1" applyFont="1" applyFill="1" applyBorder="1" applyAlignment="1">
      <alignment vertical="top"/>
    </xf>
    <xf numFmtId="169" fontId="3" fillId="27" borderId="186" xfId="0" applyNumberFormat="1" applyFont="1" applyFill="1" applyBorder="1" applyAlignment="1">
      <alignment vertical="top"/>
    </xf>
    <xf numFmtId="169" fontId="3" fillId="27" borderId="64" xfId="0" applyNumberFormat="1" applyFont="1" applyFill="1" applyBorder="1" applyAlignment="1">
      <alignment vertical="top"/>
    </xf>
    <xf numFmtId="169" fontId="3" fillId="27" borderId="97" xfId="0" applyNumberFormat="1" applyFont="1" applyFill="1" applyBorder="1" applyAlignment="1">
      <alignment vertical="top"/>
    </xf>
    <xf numFmtId="0" fontId="0" fillId="49" borderId="0" xfId="0" applyFill="1"/>
    <xf numFmtId="0" fontId="5" fillId="49" borderId="11" xfId="0" applyFont="1" applyFill="1" applyBorder="1" applyAlignment="1">
      <alignment horizontal="right" vertical="top"/>
    </xf>
    <xf numFmtId="0" fontId="5" fillId="49" borderId="78" xfId="0" applyFont="1" applyFill="1" applyBorder="1" applyAlignment="1">
      <alignment horizontal="right" vertical="top"/>
    </xf>
    <xf numFmtId="0" fontId="5" fillId="49" borderId="117" xfId="0" applyFont="1" applyFill="1" applyBorder="1" applyAlignment="1">
      <alignment horizontal="right" vertical="top"/>
    </xf>
    <xf numFmtId="0" fontId="3" fillId="49" borderId="66" xfId="0" applyFont="1" applyFill="1" applyBorder="1"/>
    <xf numFmtId="0" fontId="3" fillId="49" borderId="0" xfId="0" applyFont="1" applyFill="1"/>
    <xf numFmtId="0" fontId="3" fillId="49" borderId="185" xfId="0" applyFont="1" applyFill="1" applyBorder="1"/>
    <xf numFmtId="0" fontId="3" fillId="49" borderId="39" xfId="0" applyFont="1" applyFill="1" applyBorder="1"/>
    <xf numFmtId="0" fontId="3" fillId="49" borderId="40" xfId="0" applyFont="1" applyFill="1" applyBorder="1"/>
    <xf numFmtId="0" fontId="3" fillId="41" borderId="25" xfId="0" applyFont="1" applyFill="1" applyBorder="1" applyAlignment="1">
      <alignment vertical="top" wrapText="1"/>
    </xf>
    <xf numFmtId="0" fontId="3" fillId="24" borderId="25" xfId="0" quotePrefix="1" applyFont="1" applyFill="1" applyBorder="1" applyAlignment="1">
      <alignment horizontal="center" vertical="top"/>
    </xf>
    <xf numFmtId="0" fontId="3" fillId="24" borderId="11" xfId="0" applyFont="1" applyFill="1" applyBorder="1" applyAlignment="1">
      <alignment horizontal="center" vertical="top"/>
    </xf>
    <xf numFmtId="0" fontId="3" fillId="24" borderId="62" xfId="0" applyFont="1" applyFill="1" applyBorder="1" applyAlignment="1">
      <alignment horizontal="center" vertical="top"/>
    </xf>
    <xf numFmtId="0" fontId="3" fillId="24" borderId="63" xfId="0" applyFont="1" applyFill="1" applyBorder="1" applyAlignment="1">
      <alignment horizontal="center" vertical="top"/>
    </xf>
    <xf numFmtId="0" fontId="3" fillId="24" borderId="64" xfId="0" applyFont="1" applyFill="1" applyBorder="1" applyAlignment="1">
      <alignment horizontal="center" vertical="top"/>
    </xf>
    <xf numFmtId="3" fontId="3" fillId="40" borderId="64" xfId="0" applyNumberFormat="1" applyFont="1" applyFill="1" applyBorder="1" applyAlignment="1">
      <alignment vertical="top"/>
    </xf>
    <xf numFmtId="170" fontId="3" fillId="40" borderId="121" xfId="0" applyNumberFormat="1" applyFont="1" applyFill="1" applyBorder="1" applyAlignment="1">
      <alignment vertical="top"/>
    </xf>
    <xf numFmtId="0" fontId="36" fillId="0" borderId="0" xfId="0" applyFont="1" applyAlignment="1">
      <alignment vertical="top"/>
    </xf>
    <xf numFmtId="0" fontId="3" fillId="39" borderId="0" xfId="0" applyFont="1" applyFill="1"/>
    <xf numFmtId="0" fontId="36" fillId="39" borderId="0" xfId="0" applyFont="1" applyFill="1" applyAlignment="1">
      <alignment vertical="top"/>
    </xf>
    <xf numFmtId="0" fontId="36" fillId="41" borderId="0" xfId="0" applyFont="1" applyFill="1" applyAlignment="1">
      <alignment vertical="top"/>
    </xf>
    <xf numFmtId="0" fontId="6" fillId="24" borderId="0" xfId="0" applyFont="1" applyFill="1"/>
    <xf numFmtId="0" fontId="36" fillId="104" borderId="0" xfId="0" applyFont="1" applyFill="1" applyAlignment="1">
      <alignment vertical="top"/>
    </xf>
    <xf numFmtId="0" fontId="3" fillId="39" borderId="10" xfId="0" applyFont="1" applyFill="1" applyBorder="1" applyAlignment="1">
      <alignment horizontal="center" vertical="top"/>
    </xf>
    <xf numFmtId="0" fontId="3" fillId="39" borderId="11" xfId="0" applyFont="1" applyFill="1" applyBorder="1" applyAlignment="1">
      <alignment horizontal="center"/>
    </xf>
    <xf numFmtId="0" fontId="36" fillId="24" borderId="0" xfId="0" applyFont="1" applyFill="1" applyAlignment="1">
      <alignment vertical="top"/>
    </xf>
    <xf numFmtId="0" fontId="36" fillId="0" borderId="0" xfId="0" applyFont="1" applyAlignment="1">
      <alignment vertical="center"/>
    </xf>
    <xf numFmtId="0" fontId="36" fillId="24" borderId="0" xfId="0" applyFont="1" applyFill="1" applyAlignment="1">
      <alignment vertical="center"/>
    </xf>
    <xf numFmtId="0" fontId="3" fillId="24" borderId="0" xfId="0" applyFont="1" applyFill="1" applyAlignment="1">
      <alignment vertical="center"/>
    </xf>
    <xf numFmtId="0" fontId="5" fillId="24" borderId="0" xfId="0" applyFont="1" applyFill="1" applyAlignment="1">
      <alignment horizontal="center" vertical="center"/>
    </xf>
    <xf numFmtId="0" fontId="3" fillId="39" borderId="0" xfId="0" applyFont="1" applyFill="1" applyAlignment="1">
      <alignment vertical="center"/>
    </xf>
    <xf numFmtId="0" fontId="5" fillId="39" borderId="74" xfId="0" applyFont="1" applyFill="1" applyBorder="1" applyAlignment="1">
      <alignment horizontal="center" vertical="center"/>
    </xf>
    <xf numFmtId="0" fontId="36" fillId="39" borderId="0" xfId="0" applyFont="1" applyFill="1" applyAlignment="1">
      <alignment vertical="center"/>
    </xf>
    <xf numFmtId="0" fontId="36" fillId="41" borderId="0" xfId="0" applyFont="1" applyFill="1" applyAlignment="1">
      <alignment vertical="center"/>
    </xf>
    <xf numFmtId="0" fontId="3" fillId="104" borderId="0" xfId="0" applyFont="1" applyFill="1" applyAlignment="1">
      <alignment vertical="center"/>
    </xf>
    <xf numFmtId="0" fontId="3" fillId="0" borderId="0" xfId="0" applyFont="1" applyAlignment="1">
      <alignment vertical="top" wrapText="1"/>
    </xf>
    <xf numFmtId="0" fontId="3" fillId="104" borderId="0" xfId="0" applyFont="1" applyFill="1" applyAlignment="1">
      <alignment vertical="top"/>
    </xf>
    <xf numFmtId="0" fontId="70" fillId="24" borderId="0" xfId="0" applyFont="1" applyFill="1" applyAlignment="1">
      <alignment vertical="top"/>
    </xf>
    <xf numFmtId="0" fontId="3" fillId="39" borderId="0" xfId="0" applyFont="1" applyFill="1" applyAlignment="1">
      <alignment vertical="top"/>
    </xf>
    <xf numFmtId="0" fontId="3" fillId="24" borderId="185" xfId="0" applyFont="1" applyFill="1" applyBorder="1"/>
    <xf numFmtId="0" fontId="5" fillId="39" borderId="74" xfId="0" quotePrefix="1" applyFont="1" applyFill="1" applyBorder="1" applyAlignment="1">
      <alignment horizontal="center"/>
    </xf>
    <xf numFmtId="0" fontId="36" fillId="39" borderId="13" xfId="0" applyFont="1" applyFill="1" applyBorder="1" applyAlignment="1">
      <alignment vertical="top"/>
    </xf>
    <xf numFmtId="0" fontId="174" fillId="41" borderId="138" xfId="0" quotePrefix="1" applyFont="1" applyFill="1" applyBorder="1" applyAlignment="1">
      <alignment horizontal="right" vertical="top" wrapText="1"/>
    </xf>
    <xf numFmtId="0" fontId="174" fillId="41" borderId="0" xfId="0" quotePrefix="1" applyFont="1" applyFill="1" applyAlignment="1">
      <alignment horizontal="right" vertical="top" wrapText="1"/>
    </xf>
    <xf numFmtId="0" fontId="123" fillId="41" borderId="185" xfId="0" applyFont="1" applyFill="1" applyBorder="1" applyAlignment="1">
      <alignment horizontal="left" vertical="top" wrapText="1"/>
    </xf>
    <xf numFmtId="0" fontId="174" fillId="41" borderId="17" xfId="0" quotePrefix="1" applyFont="1" applyFill="1" applyBorder="1" applyAlignment="1">
      <alignment horizontal="right" vertical="top" wrapText="1"/>
    </xf>
    <xf numFmtId="0" fontId="123" fillId="41" borderId="17" xfId="0" applyFont="1" applyFill="1" applyBorder="1" applyAlignment="1">
      <alignment horizontal="left" vertical="top" wrapText="1"/>
    </xf>
    <xf numFmtId="0" fontId="123" fillId="41" borderId="146" xfId="0" applyFont="1" applyFill="1" applyBorder="1" applyAlignment="1">
      <alignment horizontal="left" vertical="top" wrapText="1"/>
    </xf>
    <xf numFmtId="0" fontId="190" fillId="41" borderId="0" xfId="0" applyFont="1" applyFill="1" applyAlignment="1">
      <alignment horizontal="left"/>
    </xf>
    <xf numFmtId="0" fontId="191" fillId="41" borderId="0" xfId="0" applyFont="1" applyFill="1" applyAlignment="1">
      <alignment horizontal="center"/>
    </xf>
    <xf numFmtId="0" fontId="191" fillId="41" borderId="0" xfId="0" applyFont="1" applyFill="1" applyAlignment="1">
      <alignment vertical="top"/>
    </xf>
    <xf numFmtId="0" fontId="85" fillId="24" borderId="0" xfId="0" applyFont="1" applyFill="1"/>
    <xf numFmtId="0" fontId="4" fillId="26" borderId="0" xfId="0" applyFont="1" applyFill="1" applyAlignment="1">
      <alignment horizontal="left" vertical="center"/>
    </xf>
    <xf numFmtId="0" fontId="3" fillId="41" borderId="0" xfId="0" applyFont="1" applyFill="1" applyAlignment="1">
      <alignment horizontal="left" vertical="top"/>
    </xf>
    <xf numFmtId="0" fontId="78" fillId="41" borderId="0" xfId="0" applyFont="1" applyFill="1" applyAlignment="1">
      <alignment vertical="top" wrapText="1"/>
    </xf>
    <xf numFmtId="0" fontId="173" fillId="41" borderId="0" xfId="0" applyFont="1" applyFill="1" applyAlignment="1">
      <alignment horizontal="left" vertical="top"/>
    </xf>
    <xf numFmtId="0" fontId="85" fillId="24" borderId="0" xfId="0" applyFont="1" applyFill="1" applyAlignment="1">
      <alignment vertical="top"/>
    </xf>
    <xf numFmtId="0" fontId="71" fillId="24" borderId="0" xfId="0" applyFont="1" applyFill="1" applyAlignment="1">
      <alignment vertical="top"/>
    </xf>
    <xf numFmtId="0" fontId="78" fillId="24" borderId="0" xfId="0" applyFont="1" applyFill="1" applyAlignment="1">
      <alignment horizontal="center" vertical="top"/>
    </xf>
    <xf numFmtId="0" fontId="3" fillId="39" borderId="13" xfId="0" applyFont="1" applyFill="1" applyBorder="1" applyAlignment="1">
      <alignment vertical="top"/>
    </xf>
    <xf numFmtId="14" fontId="72" fillId="51" borderId="13" xfId="0" applyNumberFormat="1" applyFont="1" applyFill="1" applyBorder="1" applyAlignment="1">
      <alignment horizontal="left" vertical="top"/>
    </xf>
    <xf numFmtId="14" fontId="3" fillId="40" borderId="13" xfId="0" applyNumberFormat="1" applyFont="1" applyFill="1" applyBorder="1" applyAlignment="1">
      <alignment horizontal="left" vertical="top"/>
    </xf>
    <xf numFmtId="0" fontId="3" fillId="39" borderId="0" xfId="0" applyFont="1" applyFill="1" applyAlignment="1">
      <alignment horizontal="right" vertical="top"/>
    </xf>
    <xf numFmtId="0" fontId="3" fillId="24" borderId="0" xfId="0" applyFont="1" applyFill="1" applyAlignment="1">
      <alignment horizontal="right" indent="1"/>
    </xf>
    <xf numFmtId="0" fontId="173" fillId="24" borderId="0" xfId="0" applyFont="1" applyFill="1" applyAlignment="1">
      <alignment horizontal="right" vertical="top" indent="1"/>
    </xf>
    <xf numFmtId="0" fontId="3" fillId="0" borderId="21" xfId="0" applyFont="1" applyBorder="1" applyAlignment="1">
      <alignment horizontal="left" vertical="top"/>
    </xf>
    <xf numFmtId="49" fontId="0" fillId="24" borderId="0" xfId="0" applyNumberFormat="1" applyFill="1"/>
    <xf numFmtId="49" fontId="3" fillId="24" borderId="0" xfId="0" applyNumberFormat="1" applyFont="1" applyFill="1"/>
    <xf numFmtId="0" fontId="36" fillId="104" borderId="0" xfId="0" applyFont="1" applyFill="1" applyAlignment="1">
      <alignment vertical="center"/>
    </xf>
    <xf numFmtId="0" fontId="0" fillId="37" borderId="0" xfId="0" applyFill="1"/>
    <xf numFmtId="0" fontId="3" fillId="37" borderId="0" xfId="0" applyFont="1" applyFill="1" applyAlignment="1">
      <alignment horizontal="right" vertical="top" indent="1"/>
    </xf>
    <xf numFmtId="0" fontId="0" fillId="37" borderId="19" xfId="0" applyFill="1" applyBorder="1" applyAlignment="1">
      <alignment horizontal="center"/>
    </xf>
    <xf numFmtId="0" fontId="0" fillId="37" borderId="20" xfId="0" applyFill="1" applyBorder="1" applyAlignment="1">
      <alignment horizontal="center"/>
    </xf>
    <xf numFmtId="0" fontId="0" fillId="37" borderId="23" xfId="0" applyFill="1" applyBorder="1" applyAlignment="1">
      <alignment horizontal="center"/>
    </xf>
    <xf numFmtId="0" fontId="173" fillId="0" borderId="0" xfId="0" applyFont="1" applyAlignment="1">
      <alignment horizontal="right" vertical="top" indent="1"/>
    </xf>
    <xf numFmtId="0" fontId="51" fillId="24" borderId="0" xfId="0" applyFont="1" applyFill="1" applyAlignment="1">
      <alignment vertical="top"/>
    </xf>
    <xf numFmtId="0" fontId="173" fillId="0" borderId="0" xfId="0" applyFont="1"/>
    <xf numFmtId="0" fontId="173" fillId="0" borderId="21" xfId="0" applyFont="1" applyBorder="1" applyAlignment="1">
      <alignment horizontal="left" vertical="top"/>
    </xf>
    <xf numFmtId="0" fontId="5" fillId="24" borderId="24" xfId="0" applyFont="1" applyFill="1" applyBorder="1" applyAlignment="1">
      <alignment vertical="top"/>
    </xf>
    <xf numFmtId="0" fontId="3" fillId="24" borderId="12" xfId="0" applyFont="1" applyFill="1" applyBorder="1"/>
    <xf numFmtId="0" fontId="5" fillId="24" borderId="19" xfId="0" applyFont="1" applyFill="1" applyBorder="1" applyAlignment="1">
      <alignment horizontal="right" vertical="top" indent="1"/>
    </xf>
    <xf numFmtId="0" fontId="5" fillId="24" borderId="20" xfId="0" applyFont="1" applyFill="1" applyBorder="1" applyAlignment="1">
      <alignment horizontal="right" vertical="top" indent="1"/>
    </xf>
    <xf numFmtId="0" fontId="5" fillId="24" borderId="23" xfId="0" applyFont="1" applyFill="1" applyBorder="1" applyAlignment="1">
      <alignment horizontal="right" vertical="top" indent="1"/>
    </xf>
    <xf numFmtId="0" fontId="36" fillId="39" borderId="73" xfId="0" applyFont="1" applyFill="1" applyBorder="1" applyAlignment="1">
      <alignment vertical="top"/>
    </xf>
    <xf numFmtId="0" fontId="36" fillId="39" borderId="98" xfId="0" applyFont="1" applyFill="1" applyBorder="1" applyAlignment="1">
      <alignment vertical="top"/>
    </xf>
    <xf numFmtId="0" fontId="36" fillId="39" borderId="68" xfId="0" applyFont="1" applyFill="1" applyBorder="1" applyAlignment="1">
      <alignment vertical="top"/>
    </xf>
    <xf numFmtId="0" fontId="3" fillId="39" borderId="0" xfId="0" applyFont="1" applyFill="1" applyAlignment="1">
      <alignment horizontal="center" vertical="top"/>
    </xf>
    <xf numFmtId="0" fontId="5" fillId="39" borderId="0" xfId="0" applyFont="1" applyFill="1" applyAlignment="1">
      <alignment horizontal="left" vertical="top"/>
    </xf>
    <xf numFmtId="0" fontId="3" fillId="24" borderId="38" xfId="0" applyFont="1" applyFill="1" applyBorder="1"/>
    <xf numFmtId="169" fontId="3" fillId="24" borderId="19" xfId="0" applyNumberFormat="1" applyFont="1" applyFill="1" applyBorder="1" applyAlignment="1">
      <alignment horizontal="right" vertical="top" indent="1"/>
    </xf>
    <xf numFmtId="169" fontId="3" fillId="24" borderId="20" xfId="0" applyNumberFormat="1" applyFont="1" applyFill="1" applyBorder="1" applyAlignment="1">
      <alignment horizontal="right" vertical="top" indent="1"/>
    </xf>
    <xf numFmtId="169" fontId="3" fillId="24" borderId="23" xfId="0" applyNumberFormat="1" applyFont="1" applyFill="1" applyBorder="1" applyAlignment="1">
      <alignment horizontal="right" vertical="top" indent="1"/>
    </xf>
    <xf numFmtId="169" fontId="3" fillId="24" borderId="22" xfId="0" applyNumberFormat="1" applyFont="1" applyFill="1" applyBorder="1" applyAlignment="1">
      <alignment horizontal="right" vertical="top" indent="1"/>
    </xf>
    <xf numFmtId="0" fontId="3" fillId="39" borderId="0" xfId="0" applyFont="1" applyFill="1" applyAlignment="1">
      <alignment horizontal="left" vertical="top"/>
    </xf>
    <xf numFmtId="0" fontId="36" fillId="39" borderId="0" xfId="0" applyFont="1" applyFill="1" applyAlignment="1">
      <alignment horizontal="center" vertical="top"/>
    </xf>
    <xf numFmtId="0" fontId="36" fillId="39" borderId="73" xfId="0" applyFont="1" applyFill="1" applyBorder="1" applyAlignment="1">
      <alignment horizontal="center" vertical="top"/>
    </xf>
    <xf numFmtId="0" fontId="36" fillId="39" borderId="98" xfId="0" applyFont="1" applyFill="1" applyBorder="1" applyAlignment="1">
      <alignment horizontal="center" vertical="top"/>
    </xf>
    <xf numFmtId="0" fontId="36" fillId="39" borderId="68" xfId="0" applyFont="1" applyFill="1" applyBorder="1" applyAlignment="1">
      <alignment horizontal="center" vertical="top"/>
    </xf>
    <xf numFmtId="0" fontId="3" fillId="39" borderId="0" xfId="0" applyFont="1" applyFill="1" applyAlignment="1">
      <alignment horizontal="center"/>
    </xf>
    <xf numFmtId="0" fontId="36" fillId="25" borderId="0" xfId="0" applyFont="1" applyFill="1" applyAlignment="1">
      <alignment vertical="top"/>
    </xf>
    <xf numFmtId="0" fontId="5" fillId="0" borderId="57" xfId="0" applyFont="1" applyBorder="1" applyAlignment="1">
      <alignment vertical="top"/>
    </xf>
    <xf numFmtId="0" fontId="36" fillId="0" borderId="28" xfId="0" applyFont="1" applyBorder="1" applyAlignment="1">
      <alignment vertical="top"/>
    </xf>
    <xf numFmtId="0" fontId="36" fillId="0" borderId="30" xfId="0" applyFont="1" applyBorder="1" applyAlignment="1">
      <alignment vertical="top"/>
    </xf>
    <xf numFmtId="0" fontId="36" fillId="0" borderId="49" xfId="0" applyFont="1" applyBorder="1" applyAlignment="1">
      <alignment vertical="top"/>
    </xf>
    <xf numFmtId="0" fontId="36" fillId="0" borderId="13" xfId="0" applyFont="1" applyBorder="1" applyAlignment="1">
      <alignment vertical="top"/>
    </xf>
    <xf numFmtId="0" fontId="36" fillId="0" borderId="13" xfId="0" applyFont="1" applyBorder="1" applyAlignment="1">
      <alignment horizontal="center" vertical="top"/>
    </xf>
    <xf numFmtId="0" fontId="36" fillId="0" borderId="58" xfId="0" applyFont="1" applyBorder="1" applyAlignment="1">
      <alignment horizontal="center" vertical="top"/>
    </xf>
    <xf numFmtId="0" fontId="3" fillId="0" borderId="49" xfId="0" applyFont="1" applyBorder="1" applyAlignment="1">
      <alignment vertical="top"/>
    </xf>
    <xf numFmtId="0" fontId="3" fillId="0" borderId="13" xfId="0" applyFont="1" applyBorder="1" applyAlignment="1">
      <alignment vertical="top"/>
    </xf>
    <xf numFmtId="0" fontId="3" fillId="0" borderId="13" xfId="0" applyFont="1" applyBorder="1" applyAlignment="1">
      <alignment horizontal="center" vertical="top"/>
    </xf>
    <xf numFmtId="0" fontId="3" fillId="0" borderId="58" xfId="0" applyFont="1" applyBorder="1" applyAlignment="1">
      <alignment horizontal="center" vertical="top"/>
    </xf>
    <xf numFmtId="0" fontId="3" fillId="34" borderId="13" xfId="0" applyFont="1" applyFill="1" applyBorder="1" applyAlignment="1">
      <alignment vertical="top"/>
    </xf>
    <xf numFmtId="0" fontId="3" fillId="34" borderId="58" xfId="0" applyFont="1" applyFill="1" applyBorder="1" applyAlignment="1">
      <alignment vertical="top"/>
    </xf>
    <xf numFmtId="0" fontId="3" fillId="0" borderId="59" xfId="0" applyFont="1" applyBorder="1" applyAlignment="1">
      <alignment vertical="top"/>
    </xf>
    <xf numFmtId="0" fontId="3" fillId="0" borderId="60" xfId="0" applyFont="1" applyBorder="1" applyAlignment="1">
      <alignment vertical="top"/>
    </xf>
    <xf numFmtId="0" fontId="3" fillId="34" borderId="60" xfId="0" applyFont="1" applyFill="1" applyBorder="1" applyAlignment="1">
      <alignment vertical="top"/>
    </xf>
    <xf numFmtId="0" fontId="3" fillId="34" borderId="61" xfId="0" applyFont="1" applyFill="1" applyBorder="1" applyAlignment="1">
      <alignment vertical="top"/>
    </xf>
    <xf numFmtId="0" fontId="36" fillId="27" borderId="74" xfId="0" applyFont="1" applyFill="1" applyBorder="1" applyAlignment="1">
      <alignment vertical="top"/>
    </xf>
    <xf numFmtId="14" fontId="36" fillId="0" borderId="0" xfId="0" applyNumberFormat="1" applyFont="1" applyAlignment="1">
      <alignment vertical="top"/>
    </xf>
    <xf numFmtId="0" fontId="36" fillId="0" borderId="43" xfId="0" applyFont="1" applyBorder="1" applyAlignment="1">
      <alignment vertical="top"/>
    </xf>
    <xf numFmtId="0" fontId="36" fillId="0" borderId="41" xfId="0" applyFont="1" applyBorder="1" applyAlignment="1">
      <alignment vertical="top"/>
    </xf>
    <xf numFmtId="0" fontId="36" fillId="0" borderId="46" xfId="0" applyFont="1" applyBorder="1" applyAlignment="1">
      <alignment horizontal="center" vertical="top"/>
    </xf>
    <xf numFmtId="0" fontId="3" fillId="0" borderId="71" xfId="0" applyFont="1" applyBorder="1" applyAlignment="1">
      <alignment vertical="top"/>
    </xf>
    <xf numFmtId="0" fontId="36" fillId="0" borderId="71" xfId="0" applyFont="1" applyBorder="1" applyAlignment="1">
      <alignment vertical="top"/>
    </xf>
    <xf numFmtId="0" fontId="36" fillId="0" borderId="46" xfId="0" applyFont="1" applyBorder="1" applyAlignment="1">
      <alignment vertical="top"/>
    </xf>
    <xf numFmtId="0" fontId="36" fillId="0" borderId="42" xfId="0" applyFont="1" applyBorder="1" applyAlignment="1">
      <alignment vertical="top"/>
    </xf>
    <xf numFmtId="0" fontId="36" fillId="0" borderId="25" xfId="0" applyFont="1" applyBorder="1" applyAlignment="1">
      <alignment vertical="top"/>
    </xf>
    <xf numFmtId="0" fontId="36" fillId="0" borderId="26" xfId="0" applyFont="1" applyBorder="1" applyAlignment="1">
      <alignment horizontal="center" vertical="top"/>
    </xf>
    <xf numFmtId="0" fontId="46" fillId="40" borderId="25" xfId="0" applyFont="1" applyFill="1" applyBorder="1" applyAlignment="1">
      <alignment vertical="top"/>
    </xf>
    <xf numFmtId="0" fontId="36" fillId="0" borderId="26" xfId="0" applyFont="1" applyBorder="1" applyAlignment="1">
      <alignment vertical="top"/>
    </xf>
    <xf numFmtId="0" fontId="36" fillId="0" borderId="50" xfId="0" applyFont="1" applyBorder="1" applyAlignment="1">
      <alignment vertical="top"/>
    </xf>
    <xf numFmtId="169" fontId="36" fillId="0" borderId="44" xfId="0" applyNumberFormat="1" applyFont="1" applyBorder="1" applyAlignment="1">
      <alignment vertical="top"/>
    </xf>
    <xf numFmtId="0" fontId="36" fillId="0" borderId="0" xfId="0" applyFont="1" applyAlignment="1">
      <alignment horizontal="center" vertical="top"/>
    </xf>
    <xf numFmtId="0" fontId="36" fillId="0" borderId="18" xfId="0" applyFont="1" applyBorder="1" applyAlignment="1">
      <alignment horizontal="center" vertical="top"/>
    </xf>
    <xf numFmtId="0" fontId="36" fillId="40" borderId="0" xfId="0" applyFont="1" applyFill="1" applyAlignment="1">
      <alignment vertical="top"/>
    </xf>
    <xf numFmtId="0" fontId="36" fillId="40" borderId="91" xfId="0" applyFont="1" applyFill="1" applyBorder="1" applyAlignment="1">
      <alignment vertical="top"/>
    </xf>
    <xf numFmtId="0" fontId="36" fillId="0" borderId="18" xfId="0" applyFont="1" applyBorder="1" applyAlignment="1">
      <alignment vertical="top"/>
    </xf>
    <xf numFmtId="0" fontId="36" fillId="0" borderId="38" xfId="0" applyFont="1" applyBorder="1" applyAlignment="1">
      <alignment vertical="top"/>
    </xf>
    <xf numFmtId="169" fontId="36" fillId="0" borderId="45" xfId="0" applyNumberFormat="1" applyFont="1" applyBorder="1" applyAlignment="1">
      <alignment vertical="top"/>
    </xf>
    <xf numFmtId="0" fontId="36" fillId="0" borderId="39" xfId="0" applyFont="1" applyBorder="1" applyAlignment="1">
      <alignment horizontal="center" vertical="top"/>
    </xf>
    <xf numFmtId="0" fontId="36" fillId="0" borderId="47" xfId="0" applyFont="1" applyBorder="1" applyAlignment="1">
      <alignment horizontal="center" vertical="top"/>
    </xf>
    <xf numFmtId="0" fontId="36" fillId="40" borderId="39" xfId="0" applyFont="1" applyFill="1" applyBorder="1" applyAlignment="1">
      <alignment vertical="top"/>
    </xf>
    <xf numFmtId="0" fontId="36" fillId="0" borderId="39" xfId="0" applyFont="1" applyBorder="1" applyAlignment="1">
      <alignment vertical="top"/>
    </xf>
    <xf numFmtId="0" fontId="36" fillId="40" borderId="118" xfId="0" applyFont="1" applyFill="1" applyBorder="1" applyAlignment="1">
      <alignment vertical="top"/>
    </xf>
    <xf numFmtId="0" fontId="36" fillId="0" borderId="47" xfId="0" applyFont="1" applyBorder="1" applyAlignment="1">
      <alignment vertical="top"/>
    </xf>
    <xf numFmtId="0" fontId="36" fillId="0" borderId="40" xfId="0" applyFont="1" applyBorder="1" applyAlignment="1">
      <alignment vertical="top"/>
    </xf>
    <xf numFmtId="0" fontId="36" fillId="27" borderId="13" xfId="0" applyFont="1" applyFill="1" applyBorder="1" applyAlignment="1">
      <alignment vertical="top"/>
    </xf>
    <xf numFmtId="14" fontId="3" fillId="45" borderId="13" xfId="0" applyNumberFormat="1" applyFont="1" applyFill="1" applyBorder="1" applyAlignment="1" applyProtection="1">
      <alignment horizontal="left" vertical="top"/>
      <protection locked="0"/>
    </xf>
    <xf numFmtId="0" fontId="3" fillId="28" borderId="13" xfId="0" applyFont="1" applyFill="1" applyBorder="1" applyAlignment="1" applyProtection="1">
      <alignment horizontal="center" vertical="top"/>
      <protection locked="0"/>
    </xf>
    <xf numFmtId="0" fontId="0" fillId="39" borderId="0" xfId="0" applyFill="1"/>
    <xf numFmtId="0" fontId="3" fillId="25" borderId="0" xfId="0" applyFont="1" applyFill="1"/>
    <xf numFmtId="0" fontId="32" fillId="24" borderId="0" xfId="0" applyFont="1" applyFill="1" applyAlignment="1">
      <alignment horizontal="left" vertical="center"/>
    </xf>
    <xf numFmtId="0" fontId="3" fillId="25" borderId="10" xfId="0" applyFont="1" applyFill="1" applyBorder="1" applyAlignment="1">
      <alignment horizontal="center" vertical="top"/>
    </xf>
    <xf numFmtId="0" fontId="48" fillId="24" borderId="0" xfId="0" applyFont="1" applyFill="1" applyAlignment="1">
      <alignment horizontal="left" vertical="top"/>
    </xf>
    <xf numFmtId="0" fontId="3" fillId="25" borderId="11" xfId="0" applyFont="1" applyFill="1" applyBorder="1" applyAlignment="1">
      <alignment horizontal="center"/>
    </xf>
    <xf numFmtId="0" fontId="34" fillId="24" borderId="0" xfId="0" applyFont="1" applyFill="1" applyAlignment="1">
      <alignment horizontal="center" vertical="center"/>
    </xf>
    <xf numFmtId="0" fontId="5" fillId="39" borderId="67" xfId="0" applyFont="1" applyFill="1" applyBorder="1" applyAlignment="1">
      <alignment vertical="top"/>
    </xf>
    <xf numFmtId="0" fontId="36" fillId="39" borderId="25" xfId="0" applyFont="1" applyFill="1" applyBorder="1" applyAlignment="1">
      <alignment vertical="top"/>
    </xf>
    <xf numFmtId="0" fontId="36" fillId="39" borderId="26" xfId="0" applyFont="1" applyFill="1" applyBorder="1" applyAlignment="1">
      <alignment vertical="top"/>
    </xf>
    <xf numFmtId="0" fontId="56" fillId="41" borderId="17" xfId="0" applyFont="1" applyFill="1" applyBorder="1" applyAlignment="1">
      <alignment horizontal="left" vertical="top" wrapText="1"/>
    </xf>
    <xf numFmtId="0" fontId="36" fillId="39" borderId="186" xfId="0" applyFont="1" applyFill="1" applyBorder="1" applyAlignment="1">
      <alignment vertical="center"/>
    </xf>
    <xf numFmtId="0" fontId="36" fillId="39" borderId="18" xfId="0" applyFont="1" applyFill="1" applyBorder="1" applyAlignment="1">
      <alignment vertical="center"/>
    </xf>
    <xf numFmtId="0" fontId="56" fillId="24" borderId="17" xfId="0" applyFont="1" applyFill="1" applyBorder="1" applyAlignment="1">
      <alignment horizontal="left" vertical="top" wrapText="1"/>
    </xf>
    <xf numFmtId="0" fontId="56" fillId="24" borderId="17" xfId="0" applyFont="1" applyFill="1" applyBorder="1" applyAlignment="1">
      <alignment vertical="top" wrapText="1"/>
    </xf>
    <xf numFmtId="0" fontId="36" fillId="39" borderId="18" xfId="0" applyFont="1" applyFill="1" applyBorder="1" applyAlignment="1">
      <alignment vertical="top"/>
    </xf>
    <xf numFmtId="0" fontId="40" fillId="24" borderId="17" xfId="0" applyFont="1" applyFill="1" applyBorder="1" applyAlignment="1">
      <alignment vertical="top" wrapText="1"/>
    </xf>
    <xf numFmtId="0" fontId="36" fillId="39" borderId="78" xfId="0" applyFont="1" applyFill="1" applyBorder="1" applyAlignment="1">
      <alignment vertical="center"/>
    </xf>
    <xf numFmtId="0" fontId="36" fillId="39" borderId="12" xfId="0" applyFont="1" applyFill="1" applyBorder="1" applyAlignment="1">
      <alignment vertical="top"/>
    </xf>
    <xf numFmtId="0" fontId="36" fillId="39" borderId="24" xfId="0" applyFont="1" applyFill="1" applyBorder="1" applyAlignment="1">
      <alignment vertical="top"/>
    </xf>
    <xf numFmtId="0" fontId="0" fillId="39" borderId="0" xfId="0" applyFill="1" applyAlignment="1">
      <alignment vertical="center"/>
    </xf>
    <xf numFmtId="0" fontId="5" fillId="24" borderId="18" xfId="0" applyFont="1" applyFill="1" applyBorder="1" applyAlignment="1">
      <alignment horizontal="right" wrapText="1"/>
    </xf>
    <xf numFmtId="0" fontId="5" fillId="24" borderId="144" xfId="0" applyFont="1" applyFill="1" applyBorder="1" applyAlignment="1">
      <alignment horizontal="center" wrapText="1"/>
    </xf>
    <xf numFmtId="0" fontId="36" fillId="39" borderId="10" xfId="0" applyFont="1" applyFill="1" applyBorder="1" applyAlignment="1">
      <alignment horizontal="center" vertical="top" wrapText="1"/>
    </xf>
    <xf numFmtId="0" fontId="3" fillId="39" borderId="10" xfId="0" applyFont="1" applyFill="1" applyBorder="1" applyAlignment="1">
      <alignment horizontal="center" vertical="top" wrapText="1"/>
    </xf>
    <xf numFmtId="0" fontId="3" fillId="39" borderId="0" xfId="0" applyFont="1" applyFill="1" applyAlignment="1">
      <alignment horizontal="right" vertical="top" wrapText="1"/>
    </xf>
    <xf numFmtId="169" fontId="3" fillId="24" borderId="19" xfId="0" applyNumberFormat="1" applyFont="1" applyFill="1" applyBorder="1" applyAlignment="1">
      <alignment horizontal="right" vertical="top"/>
    </xf>
    <xf numFmtId="0" fontId="3" fillId="27" borderId="142" xfId="0" applyFont="1" applyFill="1" applyBorder="1" applyAlignment="1">
      <alignment horizontal="center" vertical="top"/>
    </xf>
    <xf numFmtId="0" fontId="36" fillId="39" borderId="110" xfId="0" applyFont="1" applyFill="1" applyBorder="1" applyAlignment="1">
      <alignment horizontal="center" vertical="top"/>
    </xf>
    <xf numFmtId="0" fontId="36" fillId="39" borderId="73" xfId="0" applyFont="1" applyFill="1" applyBorder="1" applyAlignment="1">
      <alignment horizontal="left" vertical="top"/>
    </xf>
    <xf numFmtId="0" fontId="36" fillId="39" borderId="11" xfId="0" applyFont="1" applyFill="1" applyBorder="1" applyAlignment="1">
      <alignment horizontal="center" vertical="top"/>
    </xf>
    <xf numFmtId="169" fontId="3" fillId="24" borderId="20" xfId="0" applyNumberFormat="1" applyFont="1" applyFill="1" applyBorder="1" applyAlignment="1">
      <alignment horizontal="right" vertical="top"/>
    </xf>
    <xf numFmtId="0" fontId="3" fillId="27" borderId="140" xfId="0" applyFont="1" applyFill="1" applyBorder="1" applyAlignment="1">
      <alignment horizontal="center" vertical="top"/>
    </xf>
    <xf numFmtId="0" fontId="36" fillId="39" borderId="111" xfId="0" applyFont="1" applyFill="1" applyBorder="1" applyAlignment="1">
      <alignment horizontal="center" vertical="top"/>
    </xf>
    <xf numFmtId="0" fontId="36" fillId="39" borderId="98" xfId="0" applyFont="1" applyFill="1" applyBorder="1" applyAlignment="1">
      <alignment horizontal="left" vertical="top"/>
    </xf>
    <xf numFmtId="169" fontId="3" fillId="24" borderId="23" xfId="0" applyNumberFormat="1" applyFont="1" applyFill="1" applyBorder="1" applyAlignment="1">
      <alignment horizontal="right" vertical="top"/>
    </xf>
    <xf numFmtId="0" fontId="3" fillId="27" borderId="177" xfId="0" applyFont="1" applyFill="1" applyBorder="1" applyAlignment="1">
      <alignment horizontal="center" vertical="top"/>
    </xf>
    <xf numFmtId="0" fontId="36" fillId="39" borderId="112" xfId="0" applyFont="1" applyFill="1" applyBorder="1" applyAlignment="1">
      <alignment horizontal="center" vertical="top"/>
    </xf>
    <xf numFmtId="0" fontId="36" fillId="39" borderId="68" xfId="0" applyFont="1" applyFill="1" applyBorder="1" applyAlignment="1">
      <alignment horizontal="left" vertical="top"/>
    </xf>
    <xf numFmtId="0" fontId="3" fillId="0" borderId="26" xfId="0" applyFont="1" applyBorder="1" applyAlignment="1">
      <alignment vertical="top"/>
    </xf>
    <xf numFmtId="0" fontId="36" fillId="39" borderId="113" xfId="0" applyFont="1" applyFill="1" applyBorder="1" applyAlignment="1">
      <alignment vertical="top"/>
    </xf>
    <xf numFmtId="0" fontId="36" fillId="39" borderId="114" xfId="0" applyFont="1" applyFill="1" applyBorder="1" applyAlignment="1">
      <alignment vertical="top"/>
    </xf>
    <xf numFmtId="0" fontId="36" fillId="39" borderId="114" xfId="0" applyFont="1" applyFill="1" applyBorder="1" applyAlignment="1">
      <alignment vertical="center"/>
    </xf>
    <xf numFmtId="169" fontId="36" fillId="39" borderId="186" xfId="0" applyNumberFormat="1" applyFont="1" applyFill="1" applyBorder="1" applyAlignment="1">
      <alignment vertical="center"/>
    </xf>
    <xf numFmtId="0" fontId="3" fillId="104" borderId="0" xfId="0" applyFont="1" applyFill="1" applyAlignment="1">
      <alignment horizontal="left" vertical="center"/>
    </xf>
    <xf numFmtId="0" fontId="174" fillId="24" borderId="17" xfId="0" applyFont="1" applyFill="1" applyBorder="1" applyAlignment="1">
      <alignment vertical="top" wrapText="1"/>
    </xf>
    <xf numFmtId="0" fontId="56" fillId="41" borderId="17" xfId="0" applyFont="1" applyFill="1" applyBorder="1" applyAlignment="1">
      <alignment vertical="top" wrapText="1"/>
    </xf>
    <xf numFmtId="169" fontId="36" fillId="39" borderId="78" xfId="0" applyNumberFormat="1" applyFont="1" applyFill="1" applyBorder="1" applyAlignment="1">
      <alignment vertical="center"/>
    </xf>
    <xf numFmtId="0" fontId="5" fillId="24" borderId="24" xfId="0" applyFont="1" applyFill="1" applyBorder="1" applyAlignment="1">
      <alignment horizontal="right" wrapText="1"/>
    </xf>
    <xf numFmtId="0" fontId="5" fillId="24" borderId="74" xfId="0" applyFont="1" applyFill="1" applyBorder="1" applyAlignment="1">
      <alignment horizontal="center" wrapText="1"/>
    </xf>
    <xf numFmtId="0" fontId="5" fillId="24" borderId="74" xfId="0" applyFont="1" applyFill="1" applyBorder="1" applyAlignment="1">
      <alignment wrapText="1"/>
    </xf>
    <xf numFmtId="0" fontId="36" fillId="39" borderId="60" xfId="0" applyFont="1" applyFill="1" applyBorder="1" applyAlignment="1">
      <alignment horizontal="center" vertical="top"/>
    </xf>
    <xf numFmtId="0" fontId="72" fillId="50" borderId="142" xfId="0" applyFont="1" applyFill="1" applyBorder="1" applyAlignment="1">
      <alignment horizontal="center" vertical="top"/>
    </xf>
    <xf numFmtId="0" fontId="3" fillId="24" borderId="142" xfId="0" applyFont="1" applyFill="1" applyBorder="1" applyAlignment="1">
      <alignment horizontal="center" vertical="top"/>
    </xf>
    <xf numFmtId="169" fontId="36" fillId="39" borderId="73" xfId="0" applyNumberFormat="1" applyFont="1" applyFill="1" applyBorder="1" applyAlignment="1">
      <alignment horizontal="center" vertical="top"/>
    </xf>
    <xf numFmtId="0" fontId="36" fillId="39" borderId="13" xfId="0" applyFont="1" applyFill="1" applyBorder="1" applyAlignment="1">
      <alignment horizontal="center" vertical="top"/>
    </xf>
    <xf numFmtId="0" fontId="72" fillId="50" borderId="140" xfId="0" applyFont="1" applyFill="1" applyBorder="1" applyAlignment="1">
      <alignment horizontal="center" vertical="top"/>
    </xf>
    <xf numFmtId="0" fontId="3" fillId="24" borderId="140" xfId="0" applyFont="1" applyFill="1" applyBorder="1" applyAlignment="1">
      <alignment horizontal="center" vertical="top"/>
    </xf>
    <xf numFmtId="0" fontId="72" fillId="50" borderId="143" xfId="0" applyFont="1" applyFill="1" applyBorder="1" applyAlignment="1">
      <alignment horizontal="center" vertical="top"/>
    </xf>
    <xf numFmtId="0" fontId="72" fillId="50" borderId="141" xfId="0" applyFont="1" applyFill="1" applyBorder="1" applyAlignment="1">
      <alignment horizontal="center" vertical="top"/>
    </xf>
    <xf numFmtId="0" fontId="3" fillId="24" borderId="141" xfId="0" applyFont="1" applyFill="1" applyBorder="1" applyAlignment="1">
      <alignment horizontal="center" vertical="top"/>
    </xf>
    <xf numFmtId="0" fontId="3" fillId="39" borderId="10" xfId="0" applyFont="1" applyFill="1" applyBorder="1" applyAlignment="1">
      <alignment vertical="center" wrapText="1"/>
    </xf>
    <xf numFmtId="0" fontId="3" fillId="39" borderId="74" xfId="0" quotePrefix="1" applyFont="1" applyFill="1" applyBorder="1" applyAlignment="1">
      <alignment vertical="top"/>
    </xf>
    <xf numFmtId="0" fontId="56" fillId="24" borderId="15" xfId="0" applyFont="1" applyFill="1" applyBorder="1" applyAlignment="1">
      <alignment vertical="top" wrapText="1"/>
    </xf>
    <xf numFmtId="0" fontId="3" fillId="39" borderId="13" xfId="0" applyFont="1" applyFill="1" applyBorder="1" applyAlignment="1">
      <alignment horizontal="center" vertical="top"/>
    </xf>
    <xf numFmtId="0" fontId="5" fillId="0" borderId="75" xfId="0" applyFont="1" applyBorder="1" applyAlignment="1">
      <alignment horizontal="center" vertical="center" wrapText="1"/>
    </xf>
    <xf numFmtId="0" fontId="5" fillId="0" borderId="76" xfId="0" applyFont="1" applyBorder="1" applyAlignment="1">
      <alignment horizontal="center" vertical="center" wrapText="1"/>
    </xf>
    <xf numFmtId="0" fontId="5" fillId="0" borderId="77" xfId="0" applyFont="1" applyBorder="1" applyAlignment="1">
      <alignment horizontal="center" vertical="center" wrapText="1"/>
    </xf>
    <xf numFmtId="49" fontId="3" fillId="39" borderId="13" xfId="0" applyNumberFormat="1" applyFont="1" applyFill="1" applyBorder="1" applyAlignment="1">
      <alignment horizontal="center" vertical="center" wrapText="1"/>
    </xf>
    <xf numFmtId="0" fontId="3" fillId="39" borderId="13" xfId="0" applyFont="1" applyFill="1" applyBorder="1" applyAlignment="1">
      <alignment horizontal="center" vertical="center" wrapText="1"/>
    </xf>
    <xf numFmtId="0" fontId="36" fillId="39" borderId="91" xfId="0" applyFont="1" applyFill="1" applyBorder="1" applyAlignment="1">
      <alignment horizontal="center" vertical="top"/>
    </xf>
    <xf numFmtId="14" fontId="36" fillId="39" borderId="13" xfId="0" applyNumberFormat="1" applyFont="1" applyFill="1" applyBorder="1" applyAlignment="1">
      <alignment vertical="top"/>
    </xf>
    <xf numFmtId="1" fontId="36" fillId="39" borderId="13" xfId="0" applyNumberFormat="1" applyFont="1" applyFill="1" applyBorder="1" applyAlignment="1">
      <alignment vertical="top"/>
    </xf>
    <xf numFmtId="0" fontId="36" fillId="39" borderId="60" xfId="0" applyFont="1" applyFill="1" applyBorder="1" applyAlignment="1">
      <alignment vertical="top"/>
    </xf>
    <xf numFmtId="14" fontId="36" fillId="39" borderId="60" xfId="0" applyNumberFormat="1" applyFont="1" applyFill="1" applyBorder="1" applyAlignment="1">
      <alignment vertical="top"/>
    </xf>
    <xf numFmtId="1" fontId="36" fillId="39" borderId="60" xfId="0" applyNumberFormat="1" applyFont="1" applyFill="1" applyBorder="1" applyAlignment="1">
      <alignment vertical="top"/>
    </xf>
    <xf numFmtId="0" fontId="36" fillId="39" borderId="11" xfId="0" applyFont="1" applyFill="1" applyBorder="1" applyAlignment="1">
      <alignment vertical="top"/>
    </xf>
    <xf numFmtId="14" fontId="36" fillId="39" borderId="11" xfId="0" applyNumberFormat="1" applyFont="1" applyFill="1" applyBorder="1" applyAlignment="1">
      <alignment vertical="top"/>
    </xf>
    <xf numFmtId="1" fontId="36" fillId="39" borderId="11" xfId="0" applyNumberFormat="1" applyFont="1" applyFill="1" applyBorder="1" applyAlignment="1">
      <alignment vertical="top"/>
    </xf>
    <xf numFmtId="169" fontId="3" fillId="24" borderId="0" xfId="0" applyNumberFormat="1" applyFont="1" applyFill="1" applyAlignment="1">
      <alignment horizontal="right" vertical="top"/>
    </xf>
    <xf numFmtId="0" fontId="3" fillId="24" borderId="0" xfId="0" applyFont="1" applyFill="1" applyAlignment="1">
      <alignment horizontal="left" wrapText="1"/>
    </xf>
    <xf numFmtId="0" fontId="71" fillId="39" borderId="0" xfId="0" applyFont="1" applyFill="1" applyAlignment="1">
      <alignment horizontal="left" vertical="top"/>
    </xf>
    <xf numFmtId="0" fontId="5" fillId="39" borderId="0" xfId="0" applyFont="1" applyFill="1"/>
    <xf numFmtId="0" fontId="5" fillId="41" borderId="91" xfId="0" applyFont="1" applyFill="1" applyBorder="1" applyAlignment="1">
      <alignment horizontal="center" wrapText="1"/>
    </xf>
    <xf numFmtId="0" fontId="3" fillId="41" borderId="11" xfId="0" applyFont="1" applyFill="1" applyBorder="1" applyAlignment="1">
      <alignment horizontal="center"/>
    </xf>
    <xf numFmtId="0" fontId="3" fillId="24" borderId="11" xfId="0" quotePrefix="1" applyFont="1" applyFill="1" applyBorder="1" applyAlignment="1">
      <alignment horizontal="center"/>
    </xf>
    <xf numFmtId="0" fontId="3" fillId="39" borderId="13" xfId="0" applyFont="1" applyFill="1" applyBorder="1" applyAlignment="1">
      <alignment vertical="center"/>
    </xf>
    <xf numFmtId="4" fontId="72" fillId="50" borderId="62" xfId="0" applyNumberFormat="1" applyFont="1" applyFill="1" applyBorder="1" applyAlignment="1">
      <alignment horizontal="center" shrinkToFit="1"/>
    </xf>
    <xf numFmtId="3" fontId="72" fillId="50" borderId="62" xfId="0" applyNumberFormat="1" applyFont="1" applyFill="1" applyBorder="1" applyAlignment="1">
      <alignment horizontal="center" shrinkToFit="1"/>
    </xf>
    <xf numFmtId="171" fontId="72" fillId="50" borderId="62" xfId="0" applyNumberFormat="1" applyFont="1" applyFill="1" applyBorder="1" applyAlignment="1">
      <alignment horizontal="center" vertical="top" shrinkToFit="1"/>
    </xf>
    <xf numFmtId="4" fontId="72" fillId="50" borderId="63" xfId="0" applyNumberFormat="1" applyFont="1" applyFill="1" applyBorder="1" applyAlignment="1">
      <alignment horizontal="center" shrinkToFit="1"/>
    </xf>
    <xf numFmtId="3" fontId="72" fillId="50" borderId="63" xfId="0" applyNumberFormat="1" applyFont="1" applyFill="1" applyBorder="1" applyAlignment="1">
      <alignment horizontal="center" shrinkToFit="1"/>
    </xf>
    <xf numFmtId="171" fontId="72" fillId="50" borderId="63" xfId="0" applyNumberFormat="1" applyFont="1" applyFill="1" applyBorder="1" applyAlignment="1">
      <alignment horizontal="center" vertical="top" shrinkToFit="1"/>
    </xf>
    <xf numFmtId="4" fontId="72" fillId="50" borderId="64" xfId="0" applyNumberFormat="1" applyFont="1" applyFill="1" applyBorder="1" applyAlignment="1">
      <alignment horizontal="center" shrinkToFit="1"/>
    </xf>
    <xf numFmtId="3" fontId="72" fillId="50" borderId="64" xfId="0" applyNumberFormat="1" applyFont="1" applyFill="1" applyBorder="1" applyAlignment="1">
      <alignment horizontal="center" shrinkToFit="1"/>
    </xf>
    <xf numFmtId="171" fontId="72" fillId="50" borderId="64" xfId="0" applyNumberFormat="1" applyFont="1" applyFill="1" applyBorder="1" applyAlignment="1">
      <alignment horizontal="center" vertical="top" shrinkToFit="1"/>
    </xf>
    <xf numFmtId="0" fontId="3" fillId="36" borderId="104" xfId="0" applyFont="1" applyFill="1" applyBorder="1" applyAlignment="1">
      <alignment vertical="top"/>
    </xf>
    <xf numFmtId="0" fontId="3" fillId="36" borderId="21" xfId="0" applyFont="1" applyFill="1" applyBorder="1" applyAlignment="1">
      <alignment vertical="top"/>
    </xf>
    <xf numFmtId="0" fontId="3" fillId="36" borderId="103" xfId="0" applyFont="1" applyFill="1" applyBorder="1" applyAlignment="1">
      <alignment horizontal="center" vertical="top"/>
    </xf>
    <xf numFmtId="0" fontId="3" fillId="36" borderId="186" xfId="0" applyFont="1" applyFill="1" applyBorder="1" applyAlignment="1">
      <alignment vertical="top"/>
    </xf>
    <xf numFmtId="0" fontId="3" fillId="36" borderId="0" xfId="0" applyFont="1" applyFill="1" applyAlignment="1">
      <alignment vertical="top"/>
    </xf>
    <xf numFmtId="0" fontId="3" fillId="36" borderId="18" xfId="0" applyFont="1" applyFill="1" applyBorder="1" applyAlignment="1">
      <alignment horizontal="center" vertical="top"/>
    </xf>
    <xf numFmtId="0" fontId="3" fillId="36" borderId="78" xfId="0" applyFont="1" applyFill="1" applyBorder="1" applyAlignment="1">
      <alignment vertical="top"/>
    </xf>
    <xf numFmtId="0" fontId="3" fillId="36" borderId="12" xfId="0" applyFont="1" applyFill="1" applyBorder="1" applyAlignment="1">
      <alignment vertical="top"/>
    </xf>
    <xf numFmtId="0" fontId="3" fillId="36" borderId="24" xfId="0" applyFont="1" applyFill="1" applyBorder="1" applyAlignment="1">
      <alignment horizontal="center" vertical="top"/>
    </xf>
    <xf numFmtId="0" fontId="56" fillId="24" borderId="138" xfId="0" applyFont="1" applyFill="1" applyBorder="1" applyAlignment="1">
      <alignment horizontal="left" vertical="top" wrapText="1"/>
    </xf>
    <xf numFmtId="0" fontId="40" fillId="24" borderId="0" xfId="0" applyFont="1" applyFill="1" applyAlignment="1">
      <alignment horizontal="left" vertical="top" wrapText="1"/>
    </xf>
    <xf numFmtId="0" fontId="3" fillId="39" borderId="10" xfId="0" applyFont="1" applyFill="1" applyBorder="1" applyAlignment="1">
      <alignment vertical="top"/>
    </xf>
    <xf numFmtId="0" fontId="3" fillId="40" borderId="62" xfId="0" applyFont="1" applyFill="1" applyBorder="1" applyAlignment="1">
      <alignment horizontal="center"/>
    </xf>
    <xf numFmtId="0" fontId="0" fillId="40" borderId="63" xfId="0" applyFill="1" applyBorder="1" applyAlignment="1">
      <alignment horizontal="center"/>
    </xf>
    <xf numFmtId="0" fontId="0" fillId="40" borderId="64" xfId="0" applyFill="1"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64" xfId="0" applyBorder="1" applyAlignment="1">
      <alignment horizontal="center"/>
    </xf>
    <xf numFmtId="3" fontId="0" fillId="40" borderId="62" xfId="0" applyNumberFormat="1" applyFill="1" applyBorder="1" applyAlignment="1">
      <alignment horizontal="center" shrinkToFit="1"/>
    </xf>
    <xf numFmtId="171" fontId="3" fillId="40" borderId="62" xfId="0" applyNumberFormat="1" applyFont="1" applyFill="1" applyBorder="1" applyAlignment="1">
      <alignment horizontal="center" vertical="top" shrinkToFit="1"/>
    </xf>
    <xf numFmtId="171" fontId="3" fillId="40" borderId="63" xfId="0" applyNumberFormat="1" applyFont="1" applyFill="1" applyBorder="1" applyAlignment="1">
      <alignment horizontal="center" vertical="top" shrinkToFit="1"/>
    </xf>
    <xf numFmtId="171" fontId="3" fillId="40" borderId="64" xfId="0" applyNumberFormat="1" applyFont="1" applyFill="1" applyBorder="1" applyAlignment="1">
      <alignment horizontal="center" vertical="top" shrinkToFit="1"/>
    </xf>
    <xf numFmtId="0" fontId="0" fillId="104" borderId="0" xfId="0" applyFill="1"/>
    <xf numFmtId="0" fontId="0" fillId="41" borderId="0" xfId="0" applyFill="1" applyAlignment="1">
      <alignment horizontal="center"/>
    </xf>
    <xf numFmtId="0" fontId="36" fillId="0" borderId="27" xfId="0" applyFont="1" applyBorder="1" applyAlignment="1">
      <alignment vertical="top"/>
    </xf>
    <xf numFmtId="0" fontId="36" fillId="0" borderId="29" xfId="0" applyFont="1" applyBorder="1" applyAlignment="1">
      <alignment vertical="top"/>
    </xf>
    <xf numFmtId="0" fontId="36" fillId="0" borderId="99" xfId="0" applyFont="1" applyBorder="1" applyAlignment="1">
      <alignment vertical="top"/>
    </xf>
    <xf numFmtId="0" fontId="3" fillId="0" borderId="99" xfId="0" applyFont="1" applyBorder="1" applyAlignment="1">
      <alignment vertical="top"/>
    </xf>
    <xf numFmtId="0" fontId="3" fillId="0" borderId="29" xfId="0" applyFont="1" applyBorder="1" applyAlignment="1">
      <alignment vertical="top"/>
    </xf>
    <xf numFmtId="169" fontId="36" fillId="0" borderId="31" xfId="0" applyNumberFormat="1" applyFont="1" applyBorder="1" applyAlignment="1">
      <alignment vertical="top"/>
    </xf>
    <xf numFmtId="0" fontId="36" fillId="40" borderId="106" xfId="0" applyFont="1" applyFill="1" applyBorder="1" applyAlignment="1">
      <alignment vertical="top"/>
    </xf>
    <xf numFmtId="0" fontId="36" fillId="0" borderId="14" xfId="0" applyFont="1" applyBorder="1" applyAlignment="1">
      <alignment vertical="top"/>
    </xf>
    <xf numFmtId="0" fontId="36" fillId="27" borderId="19" xfId="0" applyFont="1" applyFill="1" applyBorder="1" applyAlignment="1">
      <alignment vertical="top"/>
    </xf>
    <xf numFmtId="0" fontId="36" fillId="0" borderId="14" xfId="0" applyFont="1" applyBorder="1" applyAlignment="1">
      <alignment horizontal="center" vertical="top"/>
    </xf>
    <xf numFmtId="14" fontId="36" fillId="40" borderId="62" xfId="0" applyNumberFormat="1" applyFont="1" applyFill="1" applyBorder="1" applyAlignment="1">
      <alignment horizontal="center" vertical="top"/>
    </xf>
    <xf numFmtId="0" fontId="36" fillId="40" borderId="19" xfId="0" applyFont="1" applyFill="1" applyBorder="1" applyAlignment="1">
      <alignment horizontal="center" vertical="top"/>
    </xf>
    <xf numFmtId="0" fontId="36" fillId="0" borderId="32" xfId="0" applyFont="1" applyBorder="1" applyAlignment="1">
      <alignment vertical="top"/>
    </xf>
    <xf numFmtId="0" fontId="36" fillId="27" borderId="32" xfId="0" applyFont="1" applyFill="1" applyBorder="1" applyAlignment="1">
      <alignment vertical="top"/>
    </xf>
    <xf numFmtId="169" fontId="36" fillId="0" borderId="33" xfId="0" applyNumberFormat="1" applyFont="1" applyBorder="1" applyAlignment="1">
      <alignment vertical="top"/>
    </xf>
    <xf numFmtId="0" fontId="36" fillId="40" borderId="107" xfId="0" applyFont="1" applyFill="1" applyBorder="1" applyAlignment="1">
      <alignment vertical="top"/>
    </xf>
    <xf numFmtId="0" fontId="36" fillId="0" borderId="15" xfId="0" applyFont="1" applyBorder="1" applyAlignment="1">
      <alignment vertical="top"/>
    </xf>
    <xf numFmtId="0" fontId="36" fillId="27" borderId="20" xfId="0" applyFont="1" applyFill="1" applyBorder="1" applyAlignment="1">
      <alignment vertical="top"/>
    </xf>
    <xf numFmtId="0" fontId="36" fillId="0" borderId="15" xfId="0" applyFont="1" applyBorder="1" applyAlignment="1">
      <alignment horizontal="center" vertical="top"/>
    </xf>
    <xf numFmtId="14" fontId="36" fillId="40" borderId="63" xfId="0" applyNumberFormat="1" applyFont="1" applyFill="1" applyBorder="1" applyAlignment="1">
      <alignment horizontal="center" vertical="top"/>
    </xf>
    <xf numFmtId="0" fontId="36" fillId="40" borderId="20" xfId="0" applyFont="1" applyFill="1" applyBorder="1" applyAlignment="1">
      <alignment horizontal="center" vertical="top"/>
    </xf>
    <xf numFmtId="0" fontId="36" fillId="0" borderId="34" xfId="0" applyFont="1" applyBorder="1" applyAlignment="1">
      <alignment vertical="top"/>
    </xf>
    <xf numFmtId="0" fontId="36" fillId="27" borderId="34" xfId="0" applyFont="1" applyFill="1" applyBorder="1" applyAlignment="1">
      <alignment vertical="top"/>
    </xf>
    <xf numFmtId="14" fontId="0" fillId="24" borderId="0" xfId="0" applyNumberFormat="1" applyFill="1"/>
    <xf numFmtId="169" fontId="36" fillId="0" borderId="35" xfId="0" applyNumberFormat="1" applyFont="1" applyBorder="1" applyAlignment="1">
      <alignment vertical="top"/>
    </xf>
    <xf numFmtId="0" fontId="36" fillId="40" borderId="124" xfId="0" applyFont="1" applyFill="1" applyBorder="1" applyAlignment="1">
      <alignment vertical="top"/>
    </xf>
    <xf numFmtId="0" fontId="36" fillId="0" borderId="36" xfId="0" applyFont="1" applyBorder="1" applyAlignment="1">
      <alignment vertical="top"/>
    </xf>
    <xf numFmtId="0" fontId="36" fillId="27" borderId="48" xfId="0" applyFont="1" applyFill="1" applyBorder="1" applyAlignment="1">
      <alignment vertical="top"/>
    </xf>
    <xf numFmtId="0" fontId="36" fillId="0" borderId="36" xfId="0" applyFont="1" applyBorder="1" applyAlignment="1">
      <alignment horizontal="center" vertical="top"/>
    </xf>
    <xf numFmtId="14" fontId="36" fillId="40" borderId="53" xfId="0" applyNumberFormat="1" applyFont="1" applyFill="1" applyBorder="1" applyAlignment="1">
      <alignment horizontal="center" vertical="top"/>
    </xf>
    <xf numFmtId="0" fontId="36" fillId="40" borderId="48" xfId="0" applyFont="1" applyFill="1" applyBorder="1" applyAlignment="1">
      <alignment horizontal="center" vertical="top"/>
    </xf>
    <xf numFmtId="0" fontId="36" fillId="0" borderId="37" xfId="0" applyFont="1" applyBorder="1" applyAlignment="1">
      <alignment vertical="top"/>
    </xf>
    <xf numFmtId="0" fontId="36" fillId="27" borderId="37" xfId="0" applyFont="1" applyFill="1" applyBorder="1" applyAlignment="1">
      <alignment vertical="top"/>
    </xf>
    <xf numFmtId="0" fontId="36" fillId="44" borderId="11" xfId="0" applyFont="1" applyFill="1" applyBorder="1" applyAlignment="1" applyProtection="1">
      <alignment horizontal="center" vertical="top"/>
      <protection locked="0"/>
    </xf>
    <xf numFmtId="0" fontId="3" fillId="28" borderId="142" xfId="0" applyFont="1" applyFill="1" applyBorder="1" applyAlignment="1" applyProtection="1">
      <alignment horizontal="center" vertical="top"/>
      <protection locked="0"/>
    </xf>
    <xf numFmtId="0" fontId="3" fillId="28" borderId="140" xfId="0" applyFont="1" applyFill="1" applyBorder="1" applyAlignment="1" applyProtection="1">
      <alignment horizontal="center" vertical="top"/>
      <protection locked="0"/>
    </xf>
    <xf numFmtId="0" fontId="3" fillId="28" borderId="143" xfId="0" applyFont="1" applyFill="1" applyBorder="1" applyAlignment="1" applyProtection="1">
      <alignment horizontal="center" vertical="top"/>
      <protection locked="0"/>
    </xf>
    <xf numFmtId="0" fontId="3" fillId="28" borderId="141" xfId="0" applyFont="1" applyFill="1" applyBorder="1" applyAlignment="1" applyProtection="1">
      <alignment horizontal="center" vertical="top"/>
      <protection locked="0"/>
    </xf>
    <xf numFmtId="14" fontId="3" fillId="28" borderId="122" xfId="0" applyNumberFormat="1" applyFont="1" applyFill="1" applyBorder="1" applyAlignment="1" applyProtection="1">
      <alignment horizontal="center" vertical="top"/>
      <protection locked="0"/>
    </xf>
    <xf numFmtId="49" fontId="3" fillId="28" borderId="92" xfId="0" applyNumberFormat="1" applyFont="1" applyFill="1" applyBorder="1" applyAlignment="1" applyProtection="1">
      <alignment horizontal="center" vertical="top"/>
      <protection locked="0"/>
    </xf>
    <xf numFmtId="14" fontId="3" fillId="28" borderId="63" xfId="0" applyNumberFormat="1" applyFont="1" applyFill="1" applyBorder="1" applyAlignment="1" applyProtection="1">
      <alignment horizontal="center" vertical="top"/>
      <protection locked="0"/>
    </xf>
    <xf numFmtId="0" fontId="3" fillId="28" borderId="17" xfId="0" applyFont="1" applyFill="1" applyBorder="1" applyAlignment="1" applyProtection="1">
      <alignment horizontal="center" vertical="top"/>
      <protection locked="0"/>
    </xf>
    <xf numFmtId="14" fontId="85" fillId="45" borderId="93" xfId="0" applyNumberFormat="1" applyFont="1" applyFill="1" applyBorder="1" applyAlignment="1" applyProtection="1">
      <alignment vertical="top"/>
      <protection locked="0"/>
    </xf>
    <xf numFmtId="14" fontId="3" fillId="28" borderId="33" xfId="0" applyNumberFormat="1" applyFont="1" applyFill="1" applyBorder="1" applyAlignment="1" applyProtection="1">
      <alignment horizontal="center" vertical="top"/>
      <protection locked="0"/>
    </xf>
    <xf numFmtId="14" fontId="85" fillId="45" borderId="96" xfId="0" applyNumberFormat="1" applyFont="1" applyFill="1" applyBorder="1" applyAlignment="1" applyProtection="1">
      <alignment vertical="top"/>
      <protection locked="0"/>
    </xf>
    <xf numFmtId="14" fontId="3" fillId="28" borderId="35" xfId="0" applyNumberFormat="1" applyFont="1" applyFill="1" applyBorder="1" applyAlignment="1" applyProtection="1">
      <alignment horizontal="center" vertical="top"/>
      <protection locked="0"/>
    </xf>
    <xf numFmtId="49" fontId="3" fillId="28" borderId="53" xfId="0" applyNumberFormat="1" applyFont="1" applyFill="1" applyBorder="1" applyAlignment="1" applyProtection="1">
      <alignment horizontal="center" vertical="top"/>
      <protection locked="0"/>
    </xf>
    <xf numFmtId="14" fontId="3" fillId="28" borderId="53" xfId="0" applyNumberFormat="1" applyFont="1" applyFill="1" applyBorder="1" applyAlignment="1" applyProtection="1">
      <alignment horizontal="center" vertical="top"/>
      <protection locked="0"/>
    </xf>
    <xf numFmtId="0" fontId="3" fillId="28" borderId="39" xfId="0" applyFont="1" applyFill="1" applyBorder="1" applyAlignment="1" applyProtection="1">
      <alignment horizontal="center" vertical="top"/>
      <protection locked="0"/>
    </xf>
    <xf numFmtId="14" fontId="85" fillId="45" borderId="52" xfId="0" applyNumberFormat="1" applyFont="1" applyFill="1" applyBorder="1" applyAlignment="1" applyProtection="1">
      <alignment vertical="top"/>
      <protection locked="0"/>
    </xf>
    <xf numFmtId="14" fontId="3" fillId="28" borderId="92" xfId="0" applyNumberFormat="1" applyFont="1" applyFill="1" applyBorder="1" applyAlignment="1" applyProtection="1">
      <alignment horizontal="center" vertical="top"/>
      <protection locked="0"/>
    </xf>
    <xf numFmtId="14" fontId="85" fillId="45" borderId="132" xfId="0" applyNumberFormat="1" applyFont="1" applyFill="1" applyBorder="1" applyAlignment="1" applyProtection="1">
      <alignment vertical="top"/>
      <protection locked="0"/>
    </xf>
    <xf numFmtId="49" fontId="3" fillId="28" borderId="63" xfId="0" applyNumberFormat="1" applyFont="1" applyFill="1" applyBorder="1" applyAlignment="1" applyProtection="1">
      <alignment horizontal="center" vertical="top"/>
      <protection locked="0"/>
    </xf>
    <xf numFmtId="0" fontId="3" fillId="28" borderId="15" xfId="0" applyFont="1" applyFill="1" applyBorder="1" applyAlignment="1" applyProtection="1">
      <alignment horizontal="center" vertical="top"/>
      <protection locked="0"/>
    </xf>
    <xf numFmtId="0" fontId="3" fillId="28" borderId="36" xfId="0" applyFont="1" applyFill="1" applyBorder="1" applyAlignment="1" applyProtection="1">
      <alignment horizontal="center" vertical="top"/>
      <protection locked="0"/>
    </xf>
    <xf numFmtId="0" fontId="36" fillId="44" borderId="13" xfId="0" applyFont="1" applyFill="1" applyBorder="1" applyAlignment="1" applyProtection="1">
      <alignment vertical="top"/>
      <protection locked="0"/>
    </xf>
    <xf numFmtId="4" fontId="0" fillId="42" borderId="62" xfId="0" applyNumberFormat="1" applyFill="1" applyBorder="1" applyAlignment="1" applyProtection="1">
      <alignment horizontal="center" shrinkToFit="1"/>
      <protection locked="0"/>
    </xf>
    <xf numFmtId="3" fontId="0" fillId="42" borderId="62" xfId="0" applyNumberFormat="1" applyFill="1" applyBorder="1" applyAlignment="1" applyProtection="1">
      <alignment horizontal="center" shrinkToFit="1"/>
      <protection locked="0"/>
    </xf>
    <xf numFmtId="171" fontId="3" fillId="42" borderId="62" xfId="0" applyNumberFormat="1" applyFont="1" applyFill="1" applyBorder="1" applyAlignment="1" applyProtection="1">
      <alignment horizontal="center" vertical="top" shrinkToFit="1"/>
      <protection locked="0"/>
    </xf>
    <xf numFmtId="4" fontId="0" fillId="42" borderId="63" xfId="0" applyNumberFormat="1" applyFill="1" applyBorder="1" applyAlignment="1" applyProtection="1">
      <alignment horizontal="center" shrinkToFit="1"/>
      <protection locked="0"/>
    </xf>
    <xf numFmtId="3" fontId="0" fillId="42" borderId="63" xfId="0" applyNumberFormat="1" applyFill="1" applyBorder="1" applyAlignment="1" applyProtection="1">
      <alignment horizontal="center" shrinkToFit="1"/>
      <protection locked="0"/>
    </xf>
    <xf numFmtId="171" fontId="3" fillId="42" borderId="63" xfId="0" applyNumberFormat="1" applyFont="1" applyFill="1" applyBorder="1" applyAlignment="1" applyProtection="1">
      <alignment horizontal="center" vertical="top" shrinkToFit="1"/>
      <protection locked="0"/>
    </xf>
    <xf numFmtId="4" fontId="0" fillId="42" borderId="64" xfId="0" applyNumberFormat="1" applyFill="1" applyBorder="1" applyAlignment="1" applyProtection="1">
      <alignment horizontal="center" shrinkToFit="1"/>
      <protection locked="0"/>
    </xf>
    <xf numFmtId="3" fontId="0" fillId="42" borderId="64" xfId="0" applyNumberFormat="1" applyFill="1" applyBorder="1" applyAlignment="1" applyProtection="1">
      <alignment horizontal="center" shrinkToFit="1"/>
      <protection locked="0"/>
    </xf>
    <xf numFmtId="171" fontId="3" fillId="42" borderId="64" xfId="0" applyNumberFormat="1" applyFont="1" applyFill="1" applyBorder="1" applyAlignment="1" applyProtection="1">
      <alignment horizontal="center" vertical="top" shrinkToFit="1"/>
      <protection locked="0"/>
    </xf>
    <xf numFmtId="0" fontId="77" fillId="24" borderId="0" xfId="0" applyFont="1" applyFill="1" applyAlignment="1">
      <alignment vertical="top" wrapText="1"/>
    </xf>
    <xf numFmtId="0" fontId="175" fillId="24" borderId="0" xfId="0" applyFont="1" applyFill="1" applyAlignment="1">
      <alignment horizontal="right" vertical="top"/>
    </xf>
    <xf numFmtId="0" fontId="3" fillId="25" borderId="0" xfId="0" applyFont="1" applyFill="1" applyAlignment="1">
      <alignment vertical="top"/>
    </xf>
    <xf numFmtId="0" fontId="5" fillId="39" borderId="91" xfId="0" applyFont="1" applyFill="1" applyBorder="1" applyAlignment="1">
      <alignment horizontal="right" vertical="top"/>
    </xf>
    <xf numFmtId="0" fontId="3" fillId="39" borderId="0" xfId="0" applyFont="1" applyFill="1" applyAlignment="1">
      <alignment horizontal="right"/>
    </xf>
    <xf numFmtId="0" fontId="5" fillId="39" borderId="75" xfId="0" applyFont="1" applyFill="1" applyBorder="1" applyAlignment="1">
      <alignment vertical="top"/>
    </xf>
    <xf numFmtId="0" fontId="5" fillId="39" borderId="115" xfId="0" applyFont="1" applyFill="1" applyBorder="1" applyAlignment="1">
      <alignment vertical="top"/>
    </xf>
    <xf numFmtId="0" fontId="5" fillId="39" borderId="85" xfId="0" applyFont="1" applyFill="1" applyBorder="1" applyAlignment="1">
      <alignment vertical="top"/>
    </xf>
    <xf numFmtId="178" fontId="3" fillId="51" borderId="62" xfId="0" applyNumberFormat="1" applyFont="1" applyFill="1" applyBorder="1" applyAlignment="1">
      <alignment horizontal="right" vertical="top"/>
    </xf>
    <xf numFmtId="178" fontId="3" fillId="0" borderId="0" xfId="0" applyNumberFormat="1" applyFont="1" applyAlignment="1">
      <alignment horizontal="right" vertical="top"/>
    </xf>
    <xf numFmtId="0" fontId="36" fillId="25" borderId="13" xfId="0" applyFont="1" applyFill="1" applyBorder="1" applyAlignment="1">
      <alignment vertical="top"/>
    </xf>
    <xf numFmtId="178" fontId="36" fillId="39" borderId="136" xfId="0" applyNumberFormat="1" applyFont="1" applyFill="1" applyBorder="1" applyAlignment="1">
      <alignment horizontal="right" vertical="top"/>
    </xf>
    <xf numFmtId="178" fontId="36" fillId="39" borderId="94" xfId="0" applyNumberFormat="1" applyFont="1" applyFill="1" applyBorder="1" applyAlignment="1">
      <alignment horizontal="right" vertical="top"/>
    </xf>
    <xf numFmtId="178" fontId="36" fillId="39" borderId="93" xfId="0" applyNumberFormat="1" applyFont="1" applyFill="1" applyBorder="1" applyAlignment="1">
      <alignment horizontal="right" vertical="top"/>
    </xf>
    <xf numFmtId="178" fontId="3" fillId="51" borderId="63" xfId="0" applyNumberFormat="1" applyFont="1" applyFill="1" applyBorder="1" applyAlignment="1">
      <alignment horizontal="right" vertical="top"/>
    </xf>
    <xf numFmtId="178" fontId="3" fillId="39" borderId="33" xfId="0" applyNumberFormat="1" applyFont="1" applyFill="1" applyBorder="1" applyAlignment="1">
      <alignment horizontal="right" vertical="top"/>
    </xf>
    <xf numFmtId="178" fontId="3" fillId="39" borderId="63" xfId="0" applyNumberFormat="1" applyFont="1" applyFill="1" applyBorder="1" applyAlignment="1">
      <alignment horizontal="right" vertical="top"/>
    </xf>
    <xf numFmtId="178" fontId="3" fillId="39" borderId="96" xfId="0" applyNumberFormat="1" applyFont="1" applyFill="1" applyBorder="1" applyAlignment="1">
      <alignment horizontal="right" vertical="top"/>
    </xf>
    <xf numFmtId="178" fontId="36" fillId="39" borderId="33" xfId="0" applyNumberFormat="1" applyFont="1" applyFill="1" applyBorder="1" applyAlignment="1">
      <alignment horizontal="right" vertical="top"/>
    </xf>
    <xf numFmtId="178" fontId="36" fillId="39" borderId="63" xfId="0" applyNumberFormat="1" applyFont="1" applyFill="1" applyBorder="1" applyAlignment="1">
      <alignment horizontal="right" vertical="top"/>
    </xf>
    <xf numFmtId="178" fontId="36" fillId="39" borderId="96" xfId="0" applyNumberFormat="1" applyFont="1" applyFill="1" applyBorder="1" applyAlignment="1">
      <alignment horizontal="right" vertical="top"/>
    </xf>
    <xf numFmtId="178" fontId="3" fillId="51" borderId="95" xfId="0" applyNumberFormat="1" applyFont="1" applyFill="1" applyBorder="1" applyAlignment="1">
      <alignment horizontal="right" vertical="top"/>
    </xf>
    <xf numFmtId="178" fontId="36" fillId="39" borderId="130" xfId="0" applyNumberFormat="1" applyFont="1" applyFill="1" applyBorder="1" applyAlignment="1">
      <alignment horizontal="right" vertical="top"/>
    </xf>
    <xf numFmtId="178" fontId="36" fillId="39" borderId="95" xfId="0" applyNumberFormat="1" applyFont="1" applyFill="1" applyBorder="1" applyAlignment="1">
      <alignment horizontal="right" vertical="top"/>
    </xf>
    <xf numFmtId="178" fontId="36" fillId="39" borderId="133" xfId="0" applyNumberFormat="1" applyFont="1" applyFill="1" applyBorder="1" applyAlignment="1">
      <alignment horizontal="right" vertical="top"/>
    </xf>
    <xf numFmtId="178" fontId="3" fillId="40" borderId="13" xfId="0" applyNumberFormat="1" applyFont="1" applyFill="1" applyBorder="1" applyAlignment="1">
      <alignment horizontal="right" vertical="top"/>
    </xf>
    <xf numFmtId="178" fontId="3" fillId="27" borderId="13" xfId="0" applyNumberFormat="1" applyFont="1" applyFill="1" applyBorder="1" applyAlignment="1">
      <alignment horizontal="right" vertical="top"/>
    </xf>
    <xf numFmtId="178" fontId="5" fillId="0" borderId="0" xfId="0" applyNumberFormat="1" applyFont="1" applyAlignment="1">
      <alignment horizontal="right" vertical="top"/>
    </xf>
    <xf numFmtId="178" fontId="36" fillId="39" borderId="75" xfId="0" applyNumberFormat="1" applyFont="1" applyFill="1" applyBorder="1" applyAlignment="1">
      <alignment horizontal="right" vertical="top"/>
    </xf>
    <xf numFmtId="178" fontId="36" fillId="39" borderId="115" xfId="0" applyNumberFormat="1" applyFont="1" applyFill="1" applyBorder="1" applyAlignment="1">
      <alignment horizontal="right" vertical="top"/>
    </xf>
    <xf numFmtId="178" fontId="36" fillId="39" borderId="76" xfId="0" applyNumberFormat="1" applyFont="1" applyFill="1" applyBorder="1" applyAlignment="1">
      <alignment horizontal="right" vertical="top"/>
    </xf>
    <xf numFmtId="178" fontId="36" fillId="39" borderId="77" xfId="0" applyNumberFormat="1" applyFont="1" applyFill="1" applyBorder="1" applyAlignment="1">
      <alignment horizontal="right" vertical="top"/>
    </xf>
    <xf numFmtId="178" fontId="3" fillId="51" borderId="91" xfId="0" applyNumberFormat="1" applyFont="1" applyFill="1" applyBorder="1" applyAlignment="1">
      <alignment horizontal="right" vertical="top"/>
    </xf>
    <xf numFmtId="178" fontId="36" fillId="39" borderId="45" xfId="0" applyNumberFormat="1" applyFont="1" applyFill="1" applyBorder="1" applyAlignment="1">
      <alignment horizontal="right" vertical="top"/>
    </xf>
    <xf numFmtId="178" fontId="36" fillId="39" borderId="47" xfId="0" applyNumberFormat="1" applyFont="1" applyFill="1" applyBorder="1" applyAlignment="1">
      <alignment horizontal="right" vertical="top"/>
    </xf>
    <xf numFmtId="178" fontId="36" fillId="39" borderId="118" xfId="0" applyNumberFormat="1" applyFont="1" applyFill="1" applyBorder="1" applyAlignment="1">
      <alignment horizontal="right" vertical="top"/>
    </xf>
    <xf numFmtId="178" fontId="36" fillId="39" borderId="137" xfId="0" applyNumberFormat="1" applyFont="1" applyFill="1" applyBorder="1" applyAlignment="1">
      <alignment horizontal="right" vertical="top"/>
    </xf>
    <xf numFmtId="178" fontId="5" fillId="40" borderId="76" xfId="0" applyNumberFormat="1" applyFont="1" applyFill="1" applyBorder="1" applyAlignment="1">
      <alignment horizontal="right" vertical="top"/>
    </xf>
    <xf numFmtId="178" fontId="5" fillId="27" borderId="76" xfId="0" applyNumberFormat="1" applyFont="1" applyFill="1" applyBorder="1" applyAlignment="1">
      <alignment horizontal="right" vertical="top"/>
    </xf>
    <xf numFmtId="178" fontId="5" fillId="39" borderId="75" xfId="0" applyNumberFormat="1" applyFont="1" applyFill="1" applyBorder="1" applyAlignment="1">
      <alignment horizontal="right" vertical="top"/>
    </xf>
    <xf numFmtId="178" fontId="5" fillId="39" borderId="76" xfId="0" applyNumberFormat="1" applyFont="1" applyFill="1" applyBorder="1" applyAlignment="1">
      <alignment horizontal="right" vertical="top"/>
    </xf>
    <xf numFmtId="178" fontId="5" fillId="39" borderId="77" xfId="0" applyNumberFormat="1" applyFont="1" applyFill="1" applyBorder="1" applyAlignment="1">
      <alignment horizontal="right" vertical="top"/>
    </xf>
    <xf numFmtId="178" fontId="5" fillId="51" borderId="76" xfId="0" applyNumberFormat="1" applyFont="1" applyFill="1" applyBorder="1" applyAlignment="1">
      <alignment horizontal="right" vertical="top"/>
    </xf>
    <xf numFmtId="0" fontId="175" fillId="0" borderId="0" xfId="0" applyFont="1" applyAlignment="1">
      <alignment horizontal="right" vertical="top"/>
    </xf>
    <xf numFmtId="169" fontId="176" fillId="0" borderId="0" xfId="0" applyNumberFormat="1" applyFont="1" applyAlignment="1">
      <alignment vertical="top"/>
    </xf>
    <xf numFmtId="0" fontId="3" fillId="51" borderId="13" xfId="0" applyFont="1" applyFill="1" applyBorder="1" applyAlignment="1">
      <alignment horizontal="center" vertical="top"/>
    </xf>
    <xf numFmtId="170" fontId="3" fillId="51" borderId="13" xfId="0" applyNumberFormat="1" applyFont="1" applyFill="1" applyBorder="1" applyAlignment="1">
      <alignment vertical="top"/>
    </xf>
    <xf numFmtId="170" fontId="176" fillId="0" borderId="0" xfId="0" applyNumberFormat="1" applyFont="1" applyAlignment="1">
      <alignment vertical="top"/>
    </xf>
    <xf numFmtId="0" fontId="36" fillId="25" borderId="109" xfId="0" applyFont="1" applyFill="1" applyBorder="1" applyAlignment="1">
      <alignment vertical="top"/>
    </xf>
    <xf numFmtId="0" fontId="3" fillId="25" borderId="98" xfId="0" applyFont="1" applyFill="1" applyBorder="1" applyAlignment="1">
      <alignment vertical="top"/>
    </xf>
    <xf numFmtId="0" fontId="3" fillId="24" borderId="18" xfId="0" applyFont="1" applyFill="1" applyBorder="1" applyAlignment="1">
      <alignment horizontal="right" vertical="top"/>
    </xf>
    <xf numFmtId="10" fontId="3" fillId="41" borderId="13" xfId="0" applyNumberFormat="1" applyFont="1" applyFill="1" applyBorder="1" applyAlignment="1">
      <alignment vertical="top"/>
    </xf>
    <xf numFmtId="176" fontId="176" fillId="0" borderId="0" xfId="0" applyNumberFormat="1" applyFont="1" applyAlignment="1">
      <alignment vertical="top"/>
    </xf>
    <xf numFmtId="10" fontId="3" fillId="51" borderId="13" xfId="0" applyNumberFormat="1" applyFont="1" applyFill="1" applyBorder="1" applyAlignment="1">
      <alignment vertical="top"/>
    </xf>
    <xf numFmtId="10" fontId="176" fillId="0" borderId="0" xfId="0" applyNumberFormat="1" applyFont="1" applyAlignment="1">
      <alignment vertical="top"/>
    </xf>
    <xf numFmtId="0" fontId="36" fillId="25" borderId="13" xfId="0" applyFont="1" applyFill="1" applyBorder="1" applyAlignment="1">
      <alignment horizontal="center" vertical="top"/>
    </xf>
    <xf numFmtId="0" fontId="78" fillId="41" borderId="186" xfId="0" applyFont="1" applyFill="1" applyBorder="1" applyAlignment="1">
      <alignment horizontal="right" vertical="top"/>
    </xf>
    <xf numFmtId="0" fontId="78" fillId="41" borderId="0" xfId="0" applyFont="1" applyFill="1" applyAlignment="1">
      <alignment horizontal="right" vertical="top"/>
    </xf>
    <xf numFmtId="170" fontId="173" fillId="41" borderId="186" xfId="0" applyNumberFormat="1" applyFont="1" applyFill="1" applyBorder="1" applyAlignment="1">
      <alignment vertical="top"/>
    </xf>
    <xf numFmtId="170" fontId="173" fillId="41" borderId="0" xfId="0" applyNumberFormat="1" applyFont="1" applyFill="1" applyAlignment="1">
      <alignment vertical="top"/>
    </xf>
    <xf numFmtId="176" fontId="3" fillId="27" borderId="67" xfId="0" applyNumberFormat="1" applyFont="1" applyFill="1" applyBorder="1" applyAlignment="1">
      <alignment vertical="top"/>
    </xf>
    <xf numFmtId="176" fontId="173" fillId="41" borderId="186" xfId="0" applyNumberFormat="1" applyFont="1" applyFill="1" applyBorder="1" applyAlignment="1">
      <alignment vertical="top"/>
    </xf>
    <xf numFmtId="176" fontId="173" fillId="41" borderId="0" xfId="0" applyNumberFormat="1" applyFont="1" applyFill="1" applyAlignment="1">
      <alignment vertical="top"/>
    </xf>
    <xf numFmtId="10" fontId="173" fillId="41" borderId="186" xfId="0" applyNumberFormat="1" applyFont="1" applyFill="1" applyBorder="1" applyAlignment="1">
      <alignment vertical="top"/>
    </xf>
    <xf numFmtId="10" fontId="173" fillId="41" borderId="0" xfId="0" applyNumberFormat="1" applyFont="1" applyFill="1" applyAlignment="1">
      <alignment vertical="top"/>
    </xf>
    <xf numFmtId="0" fontId="3" fillId="25" borderId="68" xfId="0" applyFont="1" applyFill="1" applyBorder="1" applyAlignment="1">
      <alignment vertical="top"/>
    </xf>
    <xf numFmtId="0" fontId="5" fillId="24" borderId="0" xfId="0" quotePrefix="1" applyFont="1" applyFill="1" applyAlignment="1">
      <alignment horizontal="center" vertical="top"/>
    </xf>
    <xf numFmtId="0" fontId="36" fillId="25" borderId="98" xfId="0" applyFont="1" applyFill="1" applyBorder="1" applyAlignment="1">
      <alignment vertical="top"/>
    </xf>
    <xf numFmtId="0" fontId="3" fillId="51" borderId="25" xfId="0" applyFont="1" applyFill="1" applyBorder="1" applyAlignment="1">
      <alignment horizontal="center" vertical="top"/>
    </xf>
    <xf numFmtId="0" fontId="5" fillId="25" borderId="0" xfId="0" applyFont="1" applyFill="1" applyAlignment="1">
      <alignment horizontal="right" vertical="top"/>
    </xf>
    <xf numFmtId="0" fontId="5" fillId="25" borderId="0" xfId="0" applyFont="1" applyFill="1" applyAlignment="1">
      <alignment vertical="top"/>
    </xf>
    <xf numFmtId="0" fontId="36" fillId="25" borderId="67" xfId="0" applyFont="1" applyFill="1" applyBorder="1" applyAlignment="1">
      <alignment vertical="top"/>
    </xf>
    <xf numFmtId="0" fontId="3" fillId="24" borderId="13" xfId="0" applyFont="1" applyFill="1" applyBorder="1" applyAlignment="1">
      <alignment vertical="top"/>
    </xf>
    <xf numFmtId="0" fontId="3" fillId="24" borderId="26" xfId="0" applyFont="1" applyFill="1" applyBorder="1" applyAlignment="1">
      <alignment horizontal="center" vertical="top"/>
    </xf>
    <xf numFmtId="0" fontId="36" fillId="25" borderId="68" xfId="0" applyFont="1" applyFill="1" applyBorder="1" applyAlignment="1">
      <alignment vertical="top"/>
    </xf>
    <xf numFmtId="0" fontId="3" fillId="0" borderId="58" xfId="0" applyFont="1" applyBorder="1" applyAlignment="1">
      <alignment vertical="top"/>
    </xf>
    <xf numFmtId="0" fontId="3" fillId="0" borderId="61" xfId="0" applyFont="1" applyBorder="1" applyAlignment="1">
      <alignment vertical="top"/>
    </xf>
    <xf numFmtId="0" fontId="5" fillId="24" borderId="57" xfId="0" applyFont="1" applyFill="1" applyBorder="1" applyAlignment="1">
      <alignment vertical="top"/>
    </xf>
    <xf numFmtId="0" fontId="5" fillId="24" borderId="28" xfId="0" applyFont="1" applyFill="1" applyBorder="1" applyAlignment="1">
      <alignment vertical="top"/>
    </xf>
    <xf numFmtId="0" fontId="5" fillId="0" borderId="70" xfId="0" applyFont="1" applyBorder="1" applyAlignment="1">
      <alignment horizontal="center" vertical="top"/>
    </xf>
    <xf numFmtId="0" fontId="5" fillId="27" borderId="55" xfId="0" applyFont="1" applyFill="1" applyBorder="1" applyAlignment="1">
      <alignment vertical="top"/>
    </xf>
    <xf numFmtId="0" fontId="5" fillId="27" borderId="54" xfId="0" applyFont="1" applyFill="1" applyBorder="1" applyAlignment="1">
      <alignment vertical="top"/>
    </xf>
    <xf numFmtId="0" fontId="5" fillId="24" borderId="56" xfId="0" applyFont="1" applyFill="1" applyBorder="1" applyAlignment="1">
      <alignment vertical="top"/>
    </xf>
    <xf numFmtId="0" fontId="5" fillId="24" borderId="36" xfId="0" applyFont="1" applyFill="1" applyBorder="1" applyAlignment="1">
      <alignment vertical="top"/>
    </xf>
    <xf numFmtId="0" fontId="5" fillId="0" borderId="48" xfId="0" applyFont="1" applyBorder="1" applyAlignment="1">
      <alignment horizontal="center" vertical="top"/>
    </xf>
    <xf numFmtId="0" fontId="5" fillId="27" borderId="53" xfId="0" applyFont="1" applyFill="1" applyBorder="1" applyAlignment="1">
      <alignment vertical="top"/>
    </xf>
    <xf numFmtId="0" fontId="5" fillId="27" borderId="52" xfId="0" applyFont="1" applyFill="1" applyBorder="1" applyAlignment="1">
      <alignment vertical="top"/>
    </xf>
    <xf numFmtId="178" fontId="3" fillId="28" borderId="62" xfId="0" applyNumberFormat="1" applyFont="1" applyFill="1" applyBorder="1" applyAlignment="1" applyProtection="1">
      <alignment horizontal="right" vertical="top"/>
      <protection locked="0"/>
    </xf>
    <xf numFmtId="178" fontId="3" fillId="28" borderId="63" xfId="0" applyNumberFormat="1" applyFont="1" applyFill="1" applyBorder="1" applyAlignment="1" applyProtection="1">
      <alignment horizontal="right" vertical="top"/>
      <protection locked="0"/>
    </xf>
    <xf numFmtId="178" fontId="3" fillId="28" borderId="95" xfId="0" applyNumberFormat="1" applyFont="1" applyFill="1" applyBorder="1" applyAlignment="1" applyProtection="1">
      <alignment horizontal="right" vertical="top"/>
      <protection locked="0"/>
    </xf>
    <xf numFmtId="178" fontId="3" fillId="28" borderId="91" xfId="0" applyNumberFormat="1" applyFont="1" applyFill="1" applyBorder="1" applyAlignment="1" applyProtection="1">
      <alignment horizontal="right" vertical="top"/>
      <protection locked="0"/>
    </xf>
    <xf numFmtId="178" fontId="5" fillId="28" borderId="76" xfId="0" applyNumberFormat="1" applyFont="1" applyFill="1" applyBorder="1" applyAlignment="1" applyProtection="1">
      <alignment horizontal="right" vertical="top"/>
      <protection locked="0"/>
    </xf>
    <xf numFmtId="170" fontId="3" fillId="42" borderId="13" xfId="0" applyNumberFormat="1" applyFont="1" applyFill="1" applyBorder="1" applyAlignment="1" applyProtection="1">
      <alignment vertical="top"/>
      <protection locked="0"/>
    </xf>
    <xf numFmtId="0" fontId="3" fillId="44" borderId="73" xfId="0" applyFont="1" applyFill="1" applyBorder="1" applyAlignment="1" applyProtection="1">
      <alignment vertical="top"/>
      <protection locked="0"/>
    </xf>
    <xf numFmtId="10" fontId="3" fillId="42" borderId="13" xfId="0" applyNumberFormat="1" applyFont="1" applyFill="1" applyBorder="1" applyAlignment="1" applyProtection="1">
      <alignment vertical="top"/>
      <protection locked="0"/>
    </xf>
    <xf numFmtId="170" fontId="3" fillId="42" borderId="67" xfId="0" applyNumberFormat="1" applyFont="1" applyFill="1" applyBorder="1" applyAlignment="1" applyProtection="1">
      <alignment vertical="top"/>
      <protection locked="0"/>
    </xf>
    <xf numFmtId="10" fontId="3" fillId="42" borderId="67" xfId="0" applyNumberFormat="1" applyFont="1" applyFill="1" applyBorder="1" applyAlignment="1" applyProtection="1">
      <alignment vertical="top"/>
      <protection locked="0"/>
    </xf>
    <xf numFmtId="170" fontId="3" fillId="28" borderId="67" xfId="0" applyNumberFormat="1" applyFont="1" applyFill="1" applyBorder="1" applyAlignment="1" applyProtection="1">
      <alignment vertical="top"/>
      <protection locked="0"/>
    </xf>
    <xf numFmtId="170" fontId="3" fillId="29" borderId="67" xfId="0" applyNumberFormat="1" applyFont="1" applyFill="1" applyBorder="1" applyAlignment="1" applyProtection="1">
      <alignment vertical="top"/>
      <protection locked="0"/>
    </xf>
    <xf numFmtId="170" fontId="3" fillId="45" borderId="67" xfId="0" applyNumberFormat="1" applyFont="1" applyFill="1" applyBorder="1" applyAlignment="1" applyProtection="1">
      <alignment vertical="top"/>
      <protection locked="0"/>
    </xf>
    <xf numFmtId="0" fontId="5" fillId="39" borderId="13" xfId="0" applyFont="1" applyFill="1" applyBorder="1" applyAlignment="1">
      <alignment vertical="top"/>
    </xf>
    <xf numFmtId="0" fontId="39" fillId="27" borderId="13" xfId="0" applyFont="1" applyFill="1" applyBorder="1"/>
    <xf numFmtId="0" fontId="3" fillId="39" borderId="109" xfId="0" applyFont="1" applyFill="1" applyBorder="1" applyAlignment="1">
      <alignment vertical="top"/>
    </xf>
    <xf numFmtId="170" fontId="5" fillId="51" borderId="94" xfId="0" applyNumberFormat="1" applyFont="1" applyFill="1" applyBorder="1" applyAlignment="1">
      <alignment vertical="top"/>
    </xf>
    <xf numFmtId="170" fontId="78" fillId="41" borderId="186" xfId="0" applyNumberFormat="1" applyFont="1" applyFill="1" applyBorder="1" applyAlignment="1">
      <alignment vertical="top"/>
    </xf>
    <xf numFmtId="170" fontId="78" fillId="41" borderId="0" xfId="0" applyNumberFormat="1" applyFont="1" applyFill="1" applyAlignment="1">
      <alignment vertical="top"/>
    </xf>
    <xf numFmtId="0" fontId="3" fillId="39" borderId="103" xfId="0" applyFont="1" applyFill="1" applyBorder="1" applyAlignment="1">
      <alignment horizontal="center" vertical="top"/>
    </xf>
    <xf numFmtId="170" fontId="5" fillId="51" borderId="53" xfId="0" applyNumberFormat="1" applyFont="1" applyFill="1" applyBorder="1" applyAlignment="1">
      <alignment vertical="top"/>
    </xf>
    <xf numFmtId="0" fontId="3" fillId="39" borderId="24" xfId="0" applyFont="1" applyFill="1" applyBorder="1" applyAlignment="1">
      <alignment horizontal="center" vertical="top"/>
    </xf>
    <xf numFmtId="170" fontId="3" fillId="51" borderId="71" xfId="0" applyNumberFormat="1" applyFont="1" applyFill="1" applyBorder="1" applyAlignment="1">
      <alignment vertical="top"/>
    </xf>
    <xf numFmtId="0" fontId="3" fillId="27" borderId="24" xfId="0" applyFont="1" applyFill="1" applyBorder="1" applyAlignment="1">
      <alignment horizontal="center" vertical="top"/>
    </xf>
    <xf numFmtId="170" fontId="3" fillId="27" borderId="78" xfId="0" applyNumberFormat="1" applyFont="1" applyFill="1" applyBorder="1" applyAlignment="1">
      <alignment vertical="top"/>
    </xf>
    <xf numFmtId="0" fontId="3" fillId="39" borderId="109" xfId="0" applyFont="1" applyFill="1" applyBorder="1"/>
    <xf numFmtId="170" fontId="5" fillId="27" borderId="180" xfId="0" applyNumberFormat="1" applyFont="1" applyFill="1" applyBorder="1" applyAlignment="1">
      <alignment vertical="top"/>
    </xf>
    <xf numFmtId="0" fontId="3" fillId="39" borderId="73" xfId="0" applyFont="1" applyFill="1" applyBorder="1" applyAlignment="1">
      <alignment vertical="top"/>
    </xf>
    <xf numFmtId="170" fontId="5" fillId="27" borderId="124" xfId="0" applyNumberFormat="1" applyFont="1" applyFill="1" applyBorder="1" applyAlignment="1">
      <alignment vertical="top"/>
    </xf>
    <xf numFmtId="0" fontId="3" fillId="39" borderId="68" xfId="0" applyFont="1" applyFill="1" applyBorder="1" applyAlignment="1">
      <alignment vertical="top"/>
    </xf>
    <xf numFmtId="170" fontId="3" fillId="27" borderId="71" xfId="0" applyNumberFormat="1" applyFont="1" applyFill="1" applyBorder="1" applyAlignment="1">
      <alignment vertical="top"/>
    </xf>
    <xf numFmtId="170" fontId="3" fillId="27" borderId="99" xfId="0" applyNumberFormat="1" applyFont="1" applyFill="1" applyBorder="1" applyAlignment="1">
      <alignment vertical="top"/>
    </xf>
    <xf numFmtId="170" fontId="3" fillId="51" borderId="62" xfId="0" applyNumberFormat="1" applyFont="1" applyFill="1" applyBorder="1" applyAlignment="1">
      <alignment vertical="top"/>
    </xf>
    <xf numFmtId="0" fontId="3" fillId="0" borderId="0" xfId="0" applyFont="1" applyAlignment="1">
      <alignment vertical="center" wrapText="1"/>
    </xf>
    <xf numFmtId="0" fontId="56" fillId="24" borderId="0" xfId="0" applyFont="1" applyFill="1" applyAlignment="1">
      <alignment horizontal="left" vertical="top"/>
    </xf>
    <xf numFmtId="0" fontId="40" fillId="24" borderId="0" xfId="0" applyFont="1" applyFill="1" applyAlignment="1">
      <alignment vertical="center"/>
    </xf>
    <xf numFmtId="0" fontId="36" fillId="39" borderId="109" xfId="0" applyFont="1" applyFill="1" applyBorder="1" applyAlignment="1">
      <alignment vertical="top"/>
    </xf>
    <xf numFmtId="170" fontId="3" fillId="51" borderId="63" xfId="0" applyNumberFormat="1" applyFont="1" applyFill="1" applyBorder="1" applyAlignment="1">
      <alignment vertical="top"/>
    </xf>
    <xf numFmtId="170" fontId="3" fillId="51" borderId="64" xfId="0" applyNumberFormat="1" applyFont="1" applyFill="1" applyBorder="1" applyAlignment="1">
      <alignment vertical="top"/>
    </xf>
    <xf numFmtId="0" fontId="3" fillId="24" borderId="25" xfId="0" applyFont="1" applyFill="1" applyBorder="1" applyAlignment="1">
      <alignment vertical="center" wrapText="1"/>
    </xf>
    <xf numFmtId="0" fontId="3" fillId="41" borderId="19" xfId="0" applyFont="1" applyFill="1" applyBorder="1" applyAlignment="1">
      <alignment horizontal="center" vertical="top"/>
    </xf>
    <xf numFmtId="0" fontId="36" fillId="39" borderId="10" xfId="0" applyFont="1" applyFill="1" applyBorder="1" applyAlignment="1">
      <alignment horizontal="center" vertical="top"/>
    </xf>
    <xf numFmtId="0" fontId="3" fillId="41" borderId="20" xfId="0" applyFont="1" applyFill="1" applyBorder="1" applyAlignment="1">
      <alignment horizontal="center" vertical="top"/>
    </xf>
    <xf numFmtId="0" fontId="3" fillId="41" borderId="23" xfId="0" applyFont="1" applyFill="1" applyBorder="1" applyAlignment="1">
      <alignment horizontal="center" vertical="top"/>
    </xf>
    <xf numFmtId="0" fontId="3" fillId="24" borderId="22" xfId="0" applyFont="1" applyFill="1" applyBorder="1" applyAlignment="1">
      <alignment horizontal="center" vertical="top"/>
    </xf>
    <xf numFmtId="170" fontId="3" fillId="51" borderId="92" xfId="0" applyNumberFormat="1" applyFont="1" applyFill="1" applyBorder="1" applyAlignment="1">
      <alignment vertical="top"/>
    </xf>
    <xf numFmtId="170" fontId="3" fillId="27" borderId="106" xfId="0" applyNumberFormat="1" applyFont="1" applyFill="1" applyBorder="1" applyAlignment="1">
      <alignment vertical="top"/>
    </xf>
    <xf numFmtId="0" fontId="5" fillId="24" borderId="25" xfId="0" applyFont="1" applyFill="1" applyBorder="1" applyAlignment="1">
      <alignment horizontal="center" vertical="top"/>
    </xf>
    <xf numFmtId="170" fontId="5" fillId="27" borderId="67" xfId="0" applyNumberFormat="1" applyFont="1" applyFill="1" applyBorder="1" applyAlignment="1">
      <alignment vertical="top"/>
    </xf>
    <xf numFmtId="0" fontId="5" fillId="24" borderId="26" xfId="0" applyFont="1" applyFill="1" applyBorder="1" applyAlignment="1">
      <alignment horizontal="center" vertical="top"/>
    </xf>
    <xf numFmtId="0" fontId="3" fillId="27" borderId="51" xfId="0" applyFont="1" applyFill="1" applyBorder="1" applyAlignment="1">
      <alignment horizontal="center" vertical="top"/>
    </xf>
    <xf numFmtId="170" fontId="3" fillId="51" borderId="94" xfId="0" applyNumberFormat="1" applyFont="1" applyFill="1" applyBorder="1" applyAlignment="1">
      <alignment vertical="top"/>
    </xf>
    <xf numFmtId="0" fontId="3" fillId="27" borderId="15" xfId="0" applyFont="1" applyFill="1" applyBorder="1" applyAlignment="1">
      <alignment horizontal="center" vertical="top"/>
    </xf>
    <xf numFmtId="0" fontId="3" fillId="27" borderId="36" xfId="0" applyFont="1" applyFill="1" applyBorder="1" applyAlignment="1">
      <alignment horizontal="center" vertical="top"/>
    </xf>
    <xf numFmtId="170" fontId="3" fillId="51" borderId="53" xfId="0" applyNumberFormat="1" applyFont="1" applyFill="1" applyBorder="1" applyAlignment="1">
      <alignment vertical="top"/>
    </xf>
    <xf numFmtId="0" fontId="5" fillId="24" borderId="41" xfId="0" applyFont="1" applyFill="1" applyBorder="1" applyAlignment="1">
      <alignment vertical="center" wrapText="1"/>
    </xf>
    <xf numFmtId="0" fontId="0" fillId="0" borderId="41" xfId="0" applyBorder="1" applyAlignment="1">
      <alignment vertical="center" wrapText="1"/>
    </xf>
    <xf numFmtId="170" fontId="3" fillId="24" borderId="28" xfId="0" applyNumberFormat="1" applyFont="1" applyFill="1" applyBorder="1" applyAlignment="1">
      <alignment vertical="top"/>
    </xf>
    <xf numFmtId="0" fontId="3" fillId="27" borderId="20" xfId="0" applyFont="1" applyFill="1" applyBorder="1" applyAlignment="1">
      <alignment horizontal="center" vertical="top"/>
    </xf>
    <xf numFmtId="170" fontId="3" fillId="27" borderId="186" xfId="0" applyNumberFormat="1" applyFont="1" applyFill="1" applyBorder="1" applyAlignment="1">
      <alignment vertical="top"/>
    </xf>
    <xf numFmtId="0" fontId="3" fillId="27" borderId="23" xfId="0" applyFont="1" applyFill="1" applyBorder="1" applyAlignment="1">
      <alignment horizontal="center" vertical="top"/>
    </xf>
    <xf numFmtId="0" fontId="36" fillId="39" borderId="67" xfId="0" applyFont="1" applyFill="1" applyBorder="1" applyAlignment="1">
      <alignment vertical="top"/>
    </xf>
    <xf numFmtId="170" fontId="3" fillId="51" borderId="11" xfId="0" applyNumberFormat="1" applyFont="1" applyFill="1" applyBorder="1" applyAlignment="1">
      <alignment vertical="top"/>
    </xf>
    <xf numFmtId="0" fontId="3" fillId="51" borderId="13" xfId="0" applyFont="1" applyFill="1" applyBorder="1" applyAlignment="1">
      <alignment vertical="top"/>
    </xf>
    <xf numFmtId="0" fontId="3" fillId="39" borderId="74" xfId="0" applyFont="1" applyFill="1" applyBorder="1" applyAlignment="1">
      <alignment vertical="top"/>
    </xf>
    <xf numFmtId="0" fontId="5" fillId="24" borderId="101" xfId="0" applyFont="1" applyFill="1" applyBorder="1" applyAlignment="1">
      <alignment vertical="top"/>
    </xf>
    <xf numFmtId="0" fontId="5" fillId="24" borderId="51" xfId="0" applyFont="1" applyFill="1" applyBorder="1" applyAlignment="1">
      <alignment vertical="top"/>
    </xf>
    <xf numFmtId="0" fontId="5" fillId="27" borderId="94" xfId="0" applyFont="1" applyFill="1" applyBorder="1" applyAlignment="1">
      <alignment vertical="top"/>
    </xf>
    <xf numFmtId="0" fontId="5" fillId="27" borderId="93" xfId="0" applyFont="1" applyFill="1" applyBorder="1" applyAlignment="1">
      <alignment vertical="top"/>
    </xf>
    <xf numFmtId="0" fontId="5" fillId="24" borderId="108" xfId="0" applyFont="1" applyFill="1" applyBorder="1" applyAlignment="1">
      <alignment vertical="top"/>
    </xf>
    <xf numFmtId="0" fontId="5" fillId="24" borderId="15" xfId="0" applyFont="1" applyFill="1" applyBorder="1" applyAlignment="1">
      <alignment vertical="top"/>
    </xf>
    <xf numFmtId="0" fontId="5" fillId="0" borderId="20" xfId="0" applyFont="1" applyBorder="1" applyAlignment="1">
      <alignment horizontal="center" vertical="top"/>
    </xf>
    <xf numFmtId="0" fontId="5" fillId="27" borderId="63" xfId="0" applyFont="1" applyFill="1" applyBorder="1" applyAlignment="1">
      <alignment vertical="top"/>
    </xf>
    <xf numFmtId="0" fontId="5" fillId="27" borderId="96" xfId="0" applyFont="1" applyFill="1" applyBorder="1" applyAlignment="1">
      <alignment vertical="top"/>
    </xf>
    <xf numFmtId="0" fontId="45" fillId="0" borderId="0" xfId="0" applyFont="1" applyAlignment="1">
      <alignment vertical="top"/>
    </xf>
    <xf numFmtId="0" fontId="36" fillId="0" borderId="10" xfId="0" applyFont="1" applyBorder="1" applyAlignment="1">
      <alignment vertical="top"/>
    </xf>
    <xf numFmtId="0" fontId="36" fillId="27" borderId="43" xfId="0" applyFont="1" applyFill="1" applyBorder="1" applyAlignment="1">
      <alignment vertical="top"/>
    </xf>
    <xf numFmtId="0" fontId="36" fillId="27" borderId="28" xfId="0" applyFont="1" applyFill="1" applyBorder="1" applyAlignment="1">
      <alignment vertical="top"/>
    </xf>
    <xf numFmtId="0" fontId="36" fillId="27" borderId="71" xfId="0" applyFont="1" applyFill="1" applyBorder="1" applyAlignment="1">
      <alignment horizontal="center" vertical="top"/>
    </xf>
    <xf numFmtId="0" fontId="36" fillId="27" borderId="71" xfId="0" applyFont="1" applyFill="1" applyBorder="1" applyAlignment="1">
      <alignment vertical="top"/>
    </xf>
    <xf numFmtId="0" fontId="36" fillId="27" borderId="72" xfId="0" applyFont="1" applyFill="1" applyBorder="1" applyAlignment="1">
      <alignment vertical="top"/>
    </xf>
    <xf numFmtId="0" fontId="36" fillId="27" borderId="65" xfId="0" applyFont="1" applyFill="1" applyBorder="1" applyAlignment="1">
      <alignment vertical="top"/>
    </xf>
    <xf numFmtId="0" fontId="36" fillId="27" borderId="39" xfId="0" applyFont="1" applyFill="1" applyBorder="1" applyAlignment="1">
      <alignment vertical="top"/>
    </xf>
    <xf numFmtId="0" fontId="36" fillId="27" borderId="60" xfId="0" applyFont="1" applyFill="1" applyBorder="1" applyAlignment="1">
      <alignment horizontal="center" vertical="top"/>
    </xf>
    <xf numFmtId="0" fontId="36" fillId="27" borderId="60" xfId="0" applyFont="1" applyFill="1" applyBorder="1" applyAlignment="1">
      <alignment vertical="top"/>
    </xf>
    <xf numFmtId="0" fontId="36" fillId="27" borderId="61" xfId="0" applyFont="1" applyFill="1" applyBorder="1" applyAlignment="1">
      <alignment vertical="top"/>
    </xf>
    <xf numFmtId="0" fontId="3" fillId="44" borderId="11" xfId="0" applyFont="1" applyFill="1" applyBorder="1" applyAlignment="1" applyProtection="1">
      <alignment horizontal="center" vertical="top"/>
      <protection locked="0"/>
    </xf>
    <xf numFmtId="170" fontId="5" fillId="28" borderId="180" xfId="0" applyNumberFormat="1" applyFont="1" applyFill="1" applyBorder="1" applyAlignment="1" applyProtection="1">
      <alignment vertical="top"/>
      <protection locked="0"/>
    </xf>
    <xf numFmtId="170" fontId="5" fillId="28" borderId="124" xfId="0" applyNumberFormat="1" applyFont="1" applyFill="1" applyBorder="1" applyAlignment="1" applyProtection="1">
      <alignment vertical="top"/>
      <protection locked="0"/>
    </xf>
    <xf numFmtId="0" fontId="3" fillId="44" borderId="68" xfId="0" applyFont="1" applyFill="1" applyBorder="1" applyAlignment="1" applyProtection="1">
      <alignment vertical="top"/>
      <protection locked="0"/>
    </xf>
    <xf numFmtId="170" fontId="3" fillId="28" borderId="99" xfId="0" applyNumberFormat="1" applyFont="1" applyFill="1" applyBorder="1" applyAlignment="1" applyProtection="1">
      <alignment vertical="top"/>
      <protection locked="0"/>
    </xf>
    <xf numFmtId="170" fontId="3" fillId="45" borderId="106" xfId="0" applyNumberFormat="1" applyFont="1" applyFill="1" applyBorder="1" applyAlignment="1" applyProtection="1">
      <alignment vertical="top"/>
      <protection locked="0"/>
    </xf>
    <xf numFmtId="0" fontId="3" fillId="28" borderId="10" xfId="0" applyFont="1" applyFill="1" applyBorder="1" applyAlignment="1" applyProtection="1">
      <alignment horizontal="center" vertical="top"/>
      <protection locked="0"/>
    </xf>
    <xf numFmtId="0" fontId="36" fillId="44" borderId="73" xfId="0" applyFont="1" applyFill="1" applyBorder="1" applyAlignment="1" applyProtection="1">
      <alignment vertical="top"/>
      <protection locked="0"/>
    </xf>
    <xf numFmtId="170" fontId="3" fillId="28" borderId="106" xfId="0" applyNumberFormat="1" applyFont="1" applyFill="1" applyBorder="1" applyAlignment="1" applyProtection="1">
      <alignment vertical="top"/>
      <protection locked="0"/>
    </xf>
    <xf numFmtId="170" fontId="3" fillId="28" borderId="107" xfId="0" applyNumberFormat="1" applyFont="1" applyFill="1" applyBorder="1" applyAlignment="1" applyProtection="1">
      <alignment vertical="top"/>
      <protection locked="0"/>
    </xf>
    <xf numFmtId="170" fontId="3" fillId="28" borderId="97" xfId="0" applyNumberFormat="1" applyFont="1" applyFill="1" applyBorder="1" applyAlignment="1" applyProtection="1">
      <alignment vertical="top"/>
      <protection locked="0"/>
    </xf>
    <xf numFmtId="0" fontId="36" fillId="44" borderId="98" xfId="0" applyFont="1" applyFill="1" applyBorder="1" applyAlignment="1" applyProtection="1">
      <alignment vertical="top"/>
      <protection locked="0"/>
    </xf>
    <xf numFmtId="0" fontId="36" fillId="44" borderId="68" xfId="0" applyFont="1" applyFill="1" applyBorder="1" applyAlignment="1" applyProtection="1">
      <alignment vertical="top"/>
      <protection locked="0"/>
    </xf>
    <xf numFmtId="170" fontId="3" fillId="28" borderId="121" xfId="0" applyNumberFormat="1" applyFont="1" applyFill="1" applyBorder="1" applyAlignment="1" applyProtection="1">
      <alignment vertical="top"/>
      <protection locked="0"/>
    </xf>
    <xf numFmtId="170" fontId="3" fillId="28" borderId="180" xfId="0" applyNumberFormat="1" applyFont="1" applyFill="1" applyBorder="1" applyAlignment="1" applyProtection="1">
      <alignment vertical="top"/>
      <protection locked="0"/>
    </xf>
    <xf numFmtId="170" fontId="3" fillId="28" borderId="124" xfId="0" applyNumberFormat="1" applyFont="1" applyFill="1" applyBorder="1" applyAlignment="1" applyProtection="1">
      <alignment vertical="top"/>
      <protection locked="0"/>
    </xf>
    <xf numFmtId="170" fontId="3" fillId="28" borderId="78" xfId="0" applyNumberFormat="1" applyFont="1" applyFill="1" applyBorder="1" applyAlignment="1" applyProtection="1">
      <alignment vertical="top"/>
      <protection locked="0"/>
    </xf>
    <xf numFmtId="0" fontId="3" fillId="35" borderId="0" xfId="70" applyFill="1" applyAlignment="1">
      <alignment horizontal="right" vertical="top"/>
    </xf>
    <xf numFmtId="0" fontId="3" fillId="25" borderId="0" xfId="0" applyFont="1" applyFill="1" applyAlignment="1">
      <alignment horizontal="center" vertical="top"/>
    </xf>
    <xf numFmtId="0" fontId="0" fillId="46" borderId="0" xfId="0" applyFill="1" applyAlignment="1">
      <alignment horizontal="center" vertical="top" wrapText="1"/>
    </xf>
    <xf numFmtId="0" fontId="6" fillId="24" borderId="0" xfId="0" applyFont="1" applyFill="1" applyAlignment="1">
      <alignment vertical="top"/>
    </xf>
    <xf numFmtId="0" fontId="80" fillId="24" borderId="0" xfId="0" applyFont="1" applyFill="1" applyAlignment="1">
      <alignment vertical="center" wrapText="1"/>
    </xf>
    <xf numFmtId="0" fontId="3" fillId="25" borderId="91" xfId="0" applyFont="1" applyFill="1" applyBorder="1" applyAlignment="1">
      <alignment horizontal="center" vertical="top"/>
    </xf>
    <xf numFmtId="0" fontId="3" fillId="25" borderId="74" xfId="0" applyFont="1" applyFill="1" applyBorder="1" applyAlignment="1">
      <alignment vertical="top"/>
    </xf>
    <xf numFmtId="0" fontId="36" fillId="25" borderId="84" xfId="0" applyFont="1" applyFill="1" applyBorder="1" applyAlignment="1">
      <alignment vertical="top"/>
    </xf>
    <xf numFmtId="0" fontId="36" fillId="25" borderId="74" xfId="0" applyFont="1" applyFill="1" applyBorder="1" applyAlignment="1">
      <alignment horizontal="center" vertical="top"/>
    </xf>
    <xf numFmtId="0" fontId="36" fillId="25" borderId="85" xfId="0" applyFont="1" applyFill="1" applyBorder="1" applyAlignment="1">
      <alignment vertical="top"/>
    </xf>
    <xf numFmtId="0" fontId="3" fillId="25" borderId="0" xfId="0" applyFont="1" applyFill="1" applyAlignment="1">
      <alignment horizontal="right" vertical="top"/>
    </xf>
    <xf numFmtId="14" fontId="3" fillId="25" borderId="13" xfId="0" applyNumberFormat="1" applyFont="1" applyFill="1" applyBorder="1" applyAlignment="1">
      <alignment horizontal="center" vertical="top"/>
    </xf>
    <xf numFmtId="0" fontId="3" fillId="25" borderId="13" xfId="0" applyFont="1" applyFill="1" applyBorder="1" applyAlignment="1">
      <alignment horizontal="center" vertical="top"/>
    </xf>
    <xf numFmtId="0" fontId="186" fillId="24" borderId="0" xfId="0" applyFont="1" applyFill="1" applyAlignment="1">
      <alignment vertical="top"/>
    </xf>
    <xf numFmtId="0" fontId="78" fillId="24" borderId="0" xfId="0" applyFont="1" applyFill="1" applyAlignment="1">
      <alignment horizontal="right" vertical="top"/>
    </xf>
    <xf numFmtId="0" fontId="36" fillId="25" borderId="47" xfId="0" applyFont="1" applyFill="1" applyBorder="1" applyAlignment="1">
      <alignment vertical="top"/>
    </xf>
    <xf numFmtId="0" fontId="3" fillId="40" borderId="10" xfId="0" applyFont="1" applyFill="1" applyBorder="1" applyAlignment="1">
      <alignment horizontal="center" vertical="top"/>
    </xf>
    <xf numFmtId="169" fontId="3" fillId="0" borderId="0" xfId="0" applyNumberFormat="1" applyFont="1" applyAlignment="1">
      <alignment vertical="top" shrinkToFit="1"/>
    </xf>
    <xf numFmtId="0" fontId="3" fillId="25" borderId="67" xfId="0" applyFont="1" applyFill="1" applyBorder="1" applyAlignment="1">
      <alignment vertical="top"/>
    </xf>
    <xf numFmtId="0" fontId="3" fillId="25" borderId="76" xfId="0" applyFont="1" applyFill="1" applyBorder="1" applyAlignment="1">
      <alignment horizontal="center" vertical="top"/>
    </xf>
    <xf numFmtId="0" fontId="3" fillId="25" borderId="77" xfId="0" applyFont="1" applyFill="1" applyBorder="1" applyAlignment="1">
      <alignment horizontal="center" vertical="top"/>
    </xf>
    <xf numFmtId="0" fontId="3" fillId="25" borderId="13" xfId="0" applyFont="1" applyFill="1" applyBorder="1" applyAlignment="1">
      <alignment vertical="top"/>
    </xf>
    <xf numFmtId="169" fontId="3" fillId="27" borderId="11" xfId="0" applyNumberFormat="1" applyFont="1" applyFill="1" applyBorder="1" applyAlignment="1">
      <alignment vertical="top" shrinkToFit="1"/>
    </xf>
    <xf numFmtId="0" fontId="176" fillId="0" borderId="0" xfId="0" applyFont="1" applyAlignment="1">
      <alignment vertical="top" wrapText="1"/>
    </xf>
    <xf numFmtId="0" fontId="5" fillId="49" borderId="109" xfId="0" applyFont="1" applyFill="1" applyBorder="1" applyAlignment="1">
      <alignment horizontal="right" vertical="top"/>
    </xf>
    <xf numFmtId="0" fontId="3" fillId="25" borderId="57" xfId="0" applyFont="1" applyFill="1" applyBorder="1" applyAlignment="1">
      <alignment vertical="top"/>
    </xf>
    <xf numFmtId="0" fontId="5" fillId="25" borderId="71" xfId="0" applyFont="1" applyFill="1" applyBorder="1" applyAlignment="1">
      <alignment vertical="top"/>
    </xf>
    <xf numFmtId="0" fontId="5" fillId="25" borderId="72" xfId="0" applyFont="1" applyFill="1" applyBorder="1" applyAlignment="1">
      <alignment vertical="top"/>
    </xf>
    <xf numFmtId="3" fontId="3" fillId="40" borderId="98" xfId="0" applyNumberFormat="1" applyFont="1" applyFill="1" applyBorder="1" applyAlignment="1">
      <alignment vertical="top" shrinkToFit="1"/>
    </xf>
    <xf numFmtId="3" fontId="176" fillId="0" borderId="0" xfId="0" applyNumberFormat="1" applyFont="1" applyAlignment="1">
      <alignment vertical="top" shrinkToFit="1"/>
    </xf>
    <xf numFmtId="0" fontId="3" fillId="25" borderId="66" xfId="0" applyFont="1" applyFill="1" applyBorder="1" applyAlignment="1">
      <alignment horizontal="right" vertical="top" indent="1"/>
    </xf>
    <xf numFmtId="0" fontId="3" fillId="25" borderId="58" xfId="0" applyFont="1" applyFill="1" applyBorder="1" applyAlignment="1">
      <alignment horizontal="center" vertical="top"/>
    </xf>
    <xf numFmtId="174" fontId="3" fillId="49" borderId="21" xfId="0" applyNumberFormat="1" applyFont="1" applyFill="1" applyBorder="1" applyAlignment="1">
      <alignment vertical="top"/>
    </xf>
    <xf numFmtId="0" fontId="3" fillId="39" borderId="58" xfId="0" applyFont="1" applyFill="1" applyBorder="1" applyAlignment="1">
      <alignment vertical="top"/>
    </xf>
    <xf numFmtId="174" fontId="3" fillId="49" borderId="25" xfId="0" applyNumberFormat="1" applyFont="1" applyFill="1" applyBorder="1" applyAlignment="1">
      <alignment vertical="top"/>
    </xf>
    <xf numFmtId="174" fontId="3" fillId="40" borderId="98" xfId="0" applyNumberFormat="1" applyFont="1" applyFill="1" applyBorder="1" applyAlignment="1">
      <alignment vertical="top" shrinkToFit="1"/>
    </xf>
    <xf numFmtId="174" fontId="176" fillId="0" borderId="0" xfId="0" applyNumberFormat="1" applyFont="1" applyAlignment="1">
      <alignment vertical="top" shrinkToFit="1"/>
    </xf>
    <xf numFmtId="3" fontId="3" fillId="39" borderId="13" xfId="0" applyNumberFormat="1" applyFont="1" applyFill="1" applyBorder="1" applyAlignment="1">
      <alignment vertical="top"/>
    </xf>
    <xf numFmtId="3" fontId="3" fillId="39" borderId="58" xfId="0" applyNumberFormat="1" applyFont="1" applyFill="1" applyBorder="1" applyAlignment="1">
      <alignment vertical="top"/>
    </xf>
    <xf numFmtId="0" fontId="176" fillId="0" borderId="0" xfId="0" applyFont="1" applyAlignment="1">
      <alignment vertical="top"/>
    </xf>
    <xf numFmtId="0" fontId="3" fillId="25" borderId="66" xfId="0" applyFont="1" applyFill="1" applyBorder="1" applyAlignment="1">
      <alignment vertical="top"/>
    </xf>
    <xf numFmtId="0" fontId="36" fillId="25" borderId="38" xfId="0" applyFont="1" applyFill="1" applyBorder="1" applyAlignment="1">
      <alignment vertical="top"/>
    </xf>
    <xf numFmtId="0" fontId="36" fillId="25" borderId="66" xfId="0" applyFont="1" applyFill="1" applyBorder="1" applyAlignment="1">
      <alignment vertical="top"/>
    </xf>
    <xf numFmtId="0" fontId="3" fillId="40" borderId="98" xfId="0" applyFont="1" applyFill="1" applyBorder="1" applyAlignment="1">
      <alignment vertical="top"/>
    </xf>
    <xf numFmtId="9" fontId="3" fillId="49" borderId="25" xfId="0" applyNumberFormat="1" applyFont="1" applyFill="1" applyBorder="1" applyAlignment="1">
      <alignment vertical="top"/>
    </xf>
    <xf numFmtId="174" fontId="5" fillId="40" borderId="74" xfId="0" applyNumberFormat="1" applyFont="1" applyFill="1" applyBorder="1" applyAlignment="1">
      <alignment vertical="top"/>
    </xf>
    <xf numFmtId="174" fontId="175" fillId="0" borderId="0" xfId="0" applyNumberFormat="1" applyFont="1" applyAlignment="1">
      <alignment vertical="top"/>
    </xf>
    <xf numFmtId="0" fontId="5" fillId="25" borderId="11" xfId="0" applyFont="1" applyFill="1" applyBorder="1" applyAlignment="1">
      <alignment vertical="top"/>
    </xf>
    <xf numFmtId="0" fontId="5" fillId="25" borderId="125" xfId="0" applyFont="1" applyFill="1" applyBorder="1" applyAlignment="1">
      <alignment vertical="top"/>
    </xf>
    <xf numFmtId="3" fontId="5" fillId="40" borderId="74" xfId="0" applyNumberFormat="1" applyFont="1" applyFill="1" applyBorder="1" applyAlignment="1">
      <alignment vertical="top"/>
    </xf>
    <xf numFmtId="3" fontId="175" fillId="0" borderId="0" xfId="0" applyNumberFormat="1" applyFont="1" applyAlignment="1">
      <alignment vertical="top"/>
    </xf>
    <xf numFmtId="0" fontId="72" fillId="39" borderId="59" xfId="0" applyFont="1" applyFill="1" applyBorder="1" applyAlignment="1">
      <alignment vertical="top"/>
    </xf>
    <xf numFmtId="0" fontId="3" fillId="39" borderId="60" xfId="0" applyFont="1" applyFill="1" applyBorder="1" applyAlignment="1">
      <alignment vertical="top"/>
    </xf>
    <xf numFmtId="0" fontId="3" fillId="39" borderId="61" xfId="0" applyFont="1" applyFill="1" applyBorder="1" applyAlignment="1">
      <alignment vertical="top"/>
    </xf>
    <xf numFmtId="0" fontId="78" fillId="0" borderId="0" xfId="0" applyFont="1" applyAlignment="1">
      <alignment horizontal="right" vertical="top"/>
    </xf>
    <xf numFmtId="3" fontId="3" fillId="51" borderId="62" xfId="0" applyNumberFormat="1" applyFont="1" applyFill="1" applyBorder="1" applyAlignment="1">
      <alignment vertical="top"/>
    </xf>
    <xf numFmtId="3" fontId="173" fillId="0" borderId="0" xfId="0" applyNumberFormat="1" applyFont="1" applyAlignment="1">
      <alignment vertical="top"/>
    </xf>
    <xf numFmtId="0" fontId="3" fillId="25" borderId="71" xfId="0" applyFont="1" applyFill="1" applyBorder="1" applyAlignment="1">
      <alignment horizontal="center" vertical="top"/>
    </xf>
    <xf numFmtId="0" fontId="3" fillId="25" borderId="72" xfId="0" applyFont="1" applyFill="1" applyBorder="1" applyAlignment="1">
      <alignment horizontal="center" vertical="top"/>
    </xf>
    <xf numFmtId="4" fontId="173" fillId="0" borderId="0" xfId="0" applyNumberFormat="1" applyFont="1" applyAlignment="1">
      <alignment vertical="top"/>
    </xf>
    <xf numFmtId="0" fontId="3" fillId="25" borderId="38" xfId="0" applyFont="1" applyFill="1" applyBorder="1" applyAlignment="1">
      <alignment vertical="top"/>
    </xf>
    <xf numFmtId="170" fontId="173" fillId="0" borderId="0" xfId="0" applyNumberFormat="1" applyFont="1" applyAlignment="1">
      <alignment vertical="top"/>
    </xf>
    <xf numFmtId="0" fontId="3" fillId="25" borderId="59" xfId="0" applyFont="1" applyFill="1" applyBorder="1" applyAlignment="1">
      <alignment vertical="top"/>
    </xf>
    <xf numFmtId="0" fontId="3" fillId="25" borderId="60" xfId="0" applyFont="1" applyFill="1" applyBorder="1" applyAlignment="1">
      <alignment vertical="top"/>
    </xf>
    <xf numFmtId="0" fontId="3" fillId="25" borderId="61" xfId="0" applyFont="1" applyFill="1" applyBorder="1" applyAlignment="1">
      <alignment vertical="top"/>
    </xf>
    <xf numFmtId="0" fontId="173" fillId="0" borderId="0" xfId="0" applyFont="1" applyAlignment="1">
      <alignment vertical="top"/>
    </xf>
    <xf numFmtId="171" fontId="0" fillId="40" borderId="11" xfId="0" applyNumberFormat="1" applyFill="1" applyBorder="1" applyAlignment="1">
      <alignment vertical="top"/>
    </xf>
    <xf numFmtId="171" fontId="173" fillId="0" borderId="0" xfId="0" applyNumberFormat="1" applyFont="1" applyAlignment="1">
      <alignment vertical="top"/>
    </xf>
    <xf numFmtId="179" fontId="3" fillId="40" borderId="179" xfId="0" applyNumberFormat="1" applyFont="1" applyFill="1" applyBorder="1" applyAlignment="1">
      <alignment vertical="top" shrinkToFit="1"/>
    </xf>
    <xf numFmtId="179" fontId="176" fillId="0" borderId="0" xfId="0" applyNumberFormat="1" applyFont="1" applyAlignment="1">
      <alignment vertical="top" shrinkToFit="1"/>
    </xf>
    <xf numFmtId="0" fontId="3" fillId="25" borderId="66" xfId="0" applyFont="1" applyFill="1" applyBorder="1" applyAlignment="1">
      <alignment horizontal="right" vertical="top"/>
    </xf>
    <xf numFmtId="0" fontId="36" fillId="25" borderId="66" xfId="0" applyFont="1" applyFill="1" applyBorder="1" applyAlignment="1">
      <alignment horizontal="right" vertical="top"/>
    </xf>
    <xf numFmtId="179" fontId="3" fillId="40" borderId="98" xfId="0" applyNumberFormat="1" applyFont="1" applyFill="1" applyBorder="1" applyAlignment="1">
      <alignment vertical="top" shrinkToFit="1"/>
    </xf>
    <xf numFmtId="179" fontId="3" fillId="39" borderId="13" xfId="0" applyNumberFormat="1" applyFont="1" applyFill="1" applyBorder="1" applyAlignment="1">
      <alignment vertical="top"/>
    </xf>
    <xf numFmtId="179" fontId="3" fillId="39" borderId="58" xfId="0" applyNumberFormat="1" applyFont="1" applyFill="1" applyBorder="1" applyAlignment="1">
      <alignment vertical="top"/>
    </xf>
    <xf numFmtId="179" fontId="5" fillId="40" borderId="74" xfId="0" applyNumberFormat="1" applyFont="1" applyFill="1" applyBorder="1" applyAlignment="1">
      <alignment vertical="top"/>
    </xf>
    <xf numFmtId="179" fontId="175" fillId="0" borderId="0" xfId="0" applyNumberFormat="1" applyFont="1" applyAlignment="1">
      <alignment vertical="top"/>
    </xf>
    <xf numFmtId="0" fontId="0" fillId="49" borderId="40" xfId="0" applyFill="1" applyBorder="1" applyAlignment="1">
      <alignment vertical="top"/>
    </xf>
    <xf numFmtId="4" fontId="36" fillId="25" borderId="71" xfId="0" applyNumberFormat="1" applyFont="1" applyFill="1" applyBorder="1" applyAlignment="1">
      <alignment vertical="top"/>
    </xf>
    <xf numFmtId="0" fontId="45" fillId="25" borderId="0" xfId="0" applyFont="1" applyFill="1" applyAlignment="1">
      <alignment vertical="top"/>
    </xf>
    <xf numFmtId="3" fontId="3" fillId="40" borderId="179" xfId="0" applyNumberFormat="1" applyFont="1" applyFill="1" applyBorder="1" applyAlignment="1">
      <alignment vertical="top" shrinkToFit="1"/>
    </xf>
    <xf numFmtId="169" fontId="3" fillId="25" borderId="13" xfId="0" applyNumberFormat="1" applyFont="1" applyFill="1" applyBorder="1" applyAlignment="1">
      <alignment vertical="top"/>
    </xf>
    <xf numFmtId="4" fontId="3" fillId="39" borderId="13" xfId="0" applyNumberFormat="1" applyFont="1" applyFill="1" applyBorder="1" applyAlignment="1">
      <alignment vertical="top"/>
    </xf>
    <xf numFmtId="4" fontId="3" fillId="39" borderId="58" xfId="0" applyNumberFormat="1" applyFont="1" applyFill="1" applyBorder="1" applyAlignment="1">
      <alignment vertical="top"/>
    </xf>
    <xf numFmtId="0" fontId="182" fillId="24" borderId="0" xfId="0" applyFont="1" applyFill="1" applyAlignment="1">
      <alignment vertical="center" wrapText="1"/>
    </xf>
    <xf numFmtId="0" fontId="182" fillId="24" borderId="12" xfId="0" applyFont="1" applyFill="1" applyBorder="1" applyAlignment="1">
      <alignment vertical="center" wrapText="1"/>
    </xf>
    <xf numFmtId="0" fontId="3" fillId="25" borderId="10" xfId="0" applyFont="1" applyFill="1" applyBorder="1" applyAlignment="1">
      <alignment vertical="top" wrapText="1"/>
    </xf>
    <xf numFmtId="0" fontId="3" fillId="25" borderId="104" xfId="0" applyFont="1" applyFill="1" applyBorder="1" applyAlignment="1">
      <alignment vertical="top"/>
    </xf>
    <xf numFmtId="0" fontId="3" fillId="51" borderId="106" xfId="0" applyFont="1" applyFill="1" applyBorder="1" applyAlignment="1">
      <alignment horizontal="left" vertical="top" wrapText="1"/>
    </xf>
    <xf numFmtId="0" fontId="3" fillId="51" borderId="106" xfId="0" applyFont="1" applyFill="1" applyBorder="1" applyAlignment="1">
      <alignment horizontal="center" vertical="top" wrapText="1"/>
    </xf>
    <xf numFmtId="4" fontId="3" fillId="51" borderId="106" xfId="0" applyNumberFormat="1" applyFont="1" applyFill="1" applyBorder="1" applyAlignment="1">
      <alignment horizontal="right" vertical="top" wrapText="1"/>
    </xf>
    <xf numFmtId="0" fontId="173" fillId="0" borderId="0" xfId="0" applyFont="1" applyAlignment="1">
      <alignment horizontal="right" vertical="top"/>
    </xf>
    <xf numFmtId="0" fontId="3" fillId="25" borderId="91" xfId="0" applyFont="1" applyFill="1" applyBorder="1" applyAlignment="1">
      <alignment vertical="top"/>
    </xf>
    <xf numFmtId="0" fontId="3" fillId="25" borderId="18" xfId="0" applyFont="1" applyFill="1" applyBorder="1" applyAlignment="1">
      <alignment vertical="top"/>
    </xf>
    <xf numFmtId="0" fontId="3" fillId="51" borderId="107" xfId="0" applyFont="1" applyFill="1" applyBorder="1" applyAlignment="1">
      <alignment horizontal="left" vertical="top" wrapText="1"/>
    </xf>
    <xf numFmtId="0" fontId="3" fillId="51" borderId="63" xfId="0" applyFont="1" applyFill="1" applyBorder="1" applyAlignment="1">
      <alignment horizontal="center" vertical="top"/>
    </xf>
    <xf numFmtId="4" fontId="3" fillId="51" borderId="63" xfId="0" applyNumberFormat="1" applyFont="1" applyFill="1" applyBorder="1" applyAlignment="1">
      <alignment horizontal="right" vertical="top"/>
    </xf>
    <xf numFmtId="0" fontId="3" fillId="51" borderId="97" xfId="0" applyFont="1" applyFill="1" applyBorder="1" applyAlignment="1">
      <alignment horizontal="left" vertical="top" wrapText="1"/>
    </xf>
    <xf numFmtId="0" fontId="3" fillId="51" borderId="64" xfId="0" applyFont="1" applyFill="1" applyBorder="1" applyAlignment="1">
      <alignment horizontal="center" vertical="top"/>
    </xf>
    <xf numFmtId="4" fontId="3" fillId="51" borderId="64" xfId="0" applyNumberFormat="1" applyFont="1" applyFill="1" applyBorder="1" applyAlignment="1">
      <alignment horizontal="right" vertical="top"/>
    </xf>
    <xf numFmtId="4" fontId="3" fillId="103" borderId="92" xfId="0" applyNumberFormat="1" applyFont="1" applyFill="1" applyBorder="1" applyAlignment="1">
      <alignment horizontal="right" vertical="top"/>
    </xf>
    <xf numFmtId="4" fontId="3" fillId="103" borderId="63" xfId="0" applyNumberFormat="1" applyFont="1" applyFill="1" applyBorder="1" applyAlignment="1">
      <alignment horizontal="right" vertical="top"/>
    </xf>
    <xf numFmtId="4" fontId="3" fillId="103" borderId="64" xfId="0" applyNumberFormat="1" applyFont="1" applyFill="1" applyBorder="1" applyAlignment="1">
      <alignment horizontal="right" vertical="top"/>
    </xf>
    <xf numFmtId="0" fontId="3" fillId="25" borderId="11" xfId="0" applyFont="1" applyFill="1" applyBorder="1" applyAlignment="1">
      <alignment vertical="top"/>
    </xf>
    <xf numFmtId="0" fontId="3" fillId="40" borderId="106" xfId="0" applyFont="1" applyFill="1" applyBorder="1" applyAlignment="1">
      <alignment horizontal="center" vertical="top"/>
    </xf>
    <xf numFmtId="4" fontId="3" fillId="40" borderId="106" xfId="0" applyNumberFormat="1" applyFont="1" applyFill="1" applyBorder="1" applyAlignment="1">
      <alignment horizontal="right" vertical="top"/>
    </xf>
    <xf numFmtId="4" fontId="3" fillId="40" borderId="62" xfId="0" applyNumberFormat="1" applyFont="1" applyFill="1" applyBorder="1" applyAlignment="1">
      <alignment horizontal="right" vertical="top"/>
    </xf>
    <xf numFmtId="0" fontId="36" fillId="25" borderId="43" xfId="0" applyFont="1" applyFill="1" applyBorder="1" applyAlignment="1">
      <alignment vertical="top"/>
    </xf>
    <xf numFmtId="0" fontId="36" fillId="25" borderId="71" xfId="0" applyFont="1" applyFill="1" applyBorder="1" applyAlignment="1">
      <alignment vertical="top"/>
    </xf>
    <xf numFmtId="0" fontId="3" fillId="25" borderId="46" xfId="0" applyFont="1" applyFill="1" applyBorder="1" applyAlignment="1">
      <alignment horizontal="center" vertical="top"/>
    </xf>
    <xf numFmtId="0" fontId="3" fillId="40" borderId="107" xfId="0" applyFont="1" applyFill="1" applyBorder="1" applyAlignment="1">
      <alignment horizontal="center" vertical="top"/>
    </xf>
    <xf numFmtId="4" fontId="3" fillId="40" borderId="107" xfId="0" applyNumberFormat="1" applyFont="1" applyFill="1" applyBorder="1" applyAlignment="1">
      <alignment horizontal="right" vertical="top"/>
    </xf>
    <xf numFmtId="4" fontId="3" fillId="40" borderId="63" xfId="0" applyNumberFormat="1" applyFont="1" applyFill="1" applyBorder="1" applyAlignment="1">
      <alignment horizontal="right" vertical="top"/>
    </xf>
    <xf numFmtId="0" fontId="36" fillId="25" borderId="49" xfId="0" applyFont="1" applyFill="1" applyBorder="1" applyAlignment="1">
      <alignment vertical="top"/>
    </xf>
    <xf numFmtId="0" fontId="36" fillId="25" borderId="58" xfId="0" applyFont="1" applyFill="1" applyBorder="1" applyAlignment="1">
      <alignment vertical="top"/>
    </xf>
    <xf numFmtId="0" fontId="36" fillId="25" borderId="26" xfId="0" applyFont="1" applyFill="1" applyBorder="1" applyAlignment="1">
      <alignment vertical="top"/>
    </xf>
    <xf numFmtId="0" fontId="3" fillId="40" borderId="129" xfId="0" applyFont="1" applyFill="1" applyBorder="1" applyAlignment="1">
      <alignment horizontal="center" vertical="top"/>
    </xf>
    <xf numFmtId="4" fontId="3" fillId="40" borderId="129" xfId="0" applyNumberFormat="1" applyFont="1" applyFill="1" applyBorder="1" applyAlignment="1">
      <alignment horizontal="right" vertical="top"/>
    </xf>
    <xf numFmtId="4" fontId="3" fillId="40" borderId="95" xfId="0" applyNumberFormat="1" applyFont="1" applyFill="1" applyBorder="1" applyAlignment="1">
      <alignment horizontal="right" vertical="top"/>
    </xf>
    <xf numFmtId="0" fontId="36" fillId="25" borderId="59" xfId="0" applyFont="1" applyFill="1" applyBorder="1" applyAlignment="1">
      <alignment vertical="top"/>
    </xf>
    <xf numFmtId="0" fontId="36" fillId="25" borderId="60" xfId="0" applyFont="1" applyFill="1" applyBorder="1" applyAlignment="1">
      <alignment vertical="top"/>
    </xf>
    <xf numFmtId="0" fontId="36" fillId="25" borderId="61" xfId="0" applyFont="1" applyFill="1" applyBorder="1" applyAlignment="1">
      <alignment vertical="top"/>
    </xf>
    <xf numFmtId="0" fontId="36" fillId="25" borderId="69" xfId="0" applyFont="1" applyFill="1" applyBorder="1" applyAlignment="1">
      <alignment vertical="top"/>
    </xf>
    <xf numFmtId="4" fontId="3" fillId="27" borderId="13" xfId="0" applyNumberFormat="1" applyFont="1" applyFill="1" applyBorder="1" applyAlignment="1">
      <alignment horizontal="right" vertical="top"/>
    </xf>
    <xf numFmtId="0" fontId="178" fillId="52" borderId="0" xfId="0" applyFont="1" applyFill="1" applyAlignment="1">
      <alignment horizontal="right" vertical="top"/>
    </xf>
    <xf numFmtId="0" fontId="178" fillId="52" borderId="185" xfId="0" applyFont="1" applyFill="1" applyBorder="1" applyAlignment="1">
      <alignment horizontal="right" vertical="top"/>
    </xf>
    <xf numFmtId="0" fontId="5" fillId="25" borderId="28" xfId="0" applyFont="1" applyFill="1" applyBorder="1" applyAlignment="1">
      <alignment vertical="top"/>
    </xf>
    <xf numFmtId="0" fontId="5" fillId="25" borderId="30" xfId="0" applyFont="1" applyFill="1" applyBorder="1" applyAlignment="1">
      <alignment vertical="top"/>
    </xf>
    <xf numFmtId="170" fontId="180" fillId="52" borderId="0" xfId="0" applyNumberFormat="1" applyFont="1" applyFill="1" applyAlignment="1">
      <alignment vertical="top"/>
    </xf>
    <xf numFmtId="170" fontId="180" fillId="52" borderId="185" xfId="0" applyNumberFormat="1" applyFont="1" applyFill="1" applyBorder="1" applyAlignment="1">
      <alignment vertical="top"/>
    </xf>
    <xf numFmtId="0" fontId="5" fillId="25" borderId="59" xfId="0" applyFont="1" applyFill="1" applyBorder="1" applyAlignment="1">
      <alignment horizontal="left" vertical="top"/>
    </xf>
    <xf numFmtId="169" fontId="180" fillId="52" borderId="0" xfId="0" applyNumberFormat="1" applyFont="1" applyFill="1" applyAlignment="1">
      <alignment vertical="top"/>
    </xf>
    <xf numFmtId="169" fontId="180" fillId="52" borderId="185" xfId="0" applyNumberFormat="1" applyFont="1" applyFill="1" applyBorder="1" applyAlignment="1">
      <alignment vertical="top"/>
    </xf>
    <xf numFmtId="169" fontId="181" fillId="52" borderId="0" xfId="0" applyNumberFormat="1" applyFont="1" applyFill="1" applyAlignment="1">
      <alignment vertical="top"/>
    </xf>
    <xf numFmtId="169" fontId="181" fillId="52" borderId="185" xfId="0" applyNumberFormat="1" applyFont="1" applyFill="1" applyBorder="1" applyAlignment="1">
      <alignment vertical="top"/>
    </xf>
    <xf numFmtId="0" fontId="180" fillId="52" borderId="0" xfId="0" applyFont="1" applyFill="1" applyAlignment="1">
      <alignment horizontal="left" vertical="top"/>
    </xf>
    <xf numFmtId="0" fontId="180" fillId="52" borderId="185" xfId="0" applyFont="1" applyFill="1" applyBorder="1" applyAlignment="1">
      <alignment horizontal="left" vertical="top"/>
    </xf>
    <xf numFmtId="0" fontId="180" fillId="52" borderId="0" xfId="0" applyFont="1" applyFill="1" applyAlignment="1">
      <alignment vertical="top"/>
    </xf>
    <xf numFmtId="0" fontId="180" fillId="52" borderId="185" xfId="0" applyFont="1" applyFill="1" applyBorder="1" applyAlignment="1">
      <alignment vertical="top"/>
    </xf>
    <xf numFmtId="170" fontId="3" fillId="51" borderId="10" xfId="0" applyNumberFormat="1" applyFont="1" applyFill="1" applyBorder="1" applyAlignment="1">
      <alignment vertical="top"/>
    </xf>
    <xf numFmtId="0" fontId="3" fillId="51" borderId="14" xfId="0" applyFont="1" applyFill="1" applyBorder="1" applyAlignment="1">
      <alignment horizontal="center" vertical="top"/>
    </xf>
    <xf numFmtId="0" fontId="3" fillId="40" borderId="11" xfId="0" applyFont="1" applyFill="1" applyBorder="1" applyAlignment="1">
      <alignment vertical="top"/>
    </xf>
    <xf numFmtId="0" fontId="0" fillId="49" borderId="30" xfId="0" applyFill="1" applyBorder="1" applyAlignment="1">
      <alignment vertical="top"/>
    </xf>
    <xf numFmtId="3" fontId="180" fillId="52" borderId="0" xfId="0" applyNumberFormat="1" applyFont="1" applyFill="1" applyAlignment="1">
      <alignment vertical="top" shrinkToFit="1"/>
    </xf>
    <xf numFmtId="3" fontId="180" fillId="52" borderId="185" xfId="0" applyNumberFormat="1" applyFont="1" applyFill="1" applyBorder="1" applyAlignment="1">
      <alignment vertical="top" shrinkToFit="1"/>
    </xf>
    <xf numFmtId="174" fontId="180" fillId="52" borderId="0" xfId="0" applyNumberFormat="1" applyFont="1" applyFill="1" applyAlignment="1">
      <alignment vertical="top" shrinkToFit="1"/>
    </xf>
    <xf numFmtId="174" fontId="180" fillId="52" borderId="185" xfId="0" applyNumberFormat="1" applyFont="1" applyFill="1" applyBorder="1" applyAlignment="1">
      <alignment vertical="top" shrinkToFit="1"/>
    </xf>
    <xf numFmtId="174" fontId="178" fillId="52" borderId="0" xfId="0" applyNumberFormat="1" applyFont="1" applyFill="1" applyAlignment="1">
      <alignment vertical="top"/>
    </xf>
    <xf numFmtId="174" fontId="178" fillId="52" borderId="185" xfId="0" applyNumberFormat="1" applyFont="1" applyFill="1" applyBorder="1" applyAlignment="1">
      <alignment vertical="top"/>
    </xf>
    <xf numFmtId="3" fontId="178" fillId="52" borderId="0" xfId="0" applyNumberFormat="1" applyFont="1" applyFill="1" applyAlignment="1">
      <alignment vertical="top"/>
    </xf>
    <xf numFmtId="3" fontId="178" fillId="52" borderId="185" xfId="0" applyNumberFormat="1" applyFont="1" applyFill="1" applyBorder="1" applyAlignment="1">
      <alignment vertical="top"/>
    </xf>
    <xf numFmtId="169" fontId="3" fillId="51" borderId="62" xfId="0" applyNumberFormat="1" applyFont="1" applyFill="1" applyBorder="1" applyAlignment="1">
      <alignment vertical="top"/>
    </xf>
    <xf numFmtId="169" fontId="3" fillId="51" borderId="13" xfId="0" applyNumberFormat="1" applyFont="1" applyFill="1" applyBorder="1" applyAlignment="1">
      <alignment vertical="top"/>
    </xf>
    <xf numFmtId="0" fontId="180" fillId="52" borderId="0" xfId="0" applyFont="1" applyFill="1" applyAlignment="1">
      <alignment horizontal="right" vertical="top"/>
    </xf>
    <xf numFmtId="0" fontId="180" fillId="52" borderId="185" xfId="0" applyFont="1" applyFill="1" applyBorder="1" applyAlignment="1">
      <alignment horizontal="right" vertical="top"/>
    </xf>
    <xf numFmtId="170" fontId="36" fillId="25" borderId="0" xfId="0" applyNumberFormat="1" applyFont="1" applyFill="1" applyAlignment="1">
      <alignment vertical="top"/>
    </xf>
    <xf numFmtId="0" fontId="56" fillId="43" borderId="0" xfId="0" applyFont="1" applyFill="1" applyAlignment="1">
      <alignment vertical="top"/>
    </xf>
    <xf numFmtId="0" fontId="0" fillId="39" borderId="90" xfId="0" applyFill="1" applyBorder="1" applyAlignment="1">
      <alignment vertical="top"/>
    </xf>
    <xf numFmtId="169" fontId="3" fillId="27" borderId="104" xfId="0" applyNumberFormat="1" applyFont="1" applyFill="1" applyBorder="1" applyAlignment="1">
      <alignment horizontal="center" vertical="top" shrinkToFit="1"/>
    </xf>
    <xf numFmtId="169" fontId="3" fillId="51" borderId="104" xfId="0" applyNumberFormat="1" applyFont="1" applyFill="1" applyBorder="1" applyAlignment="1">
      <alignment vertical="top" shrinkToFit="1"/>
    </xf>
    <xf numFmtId="169" fontId="173" fillId="0" borderId="0" xfId="0" applyNumberFormat="1" applyFont="1" applyAlignment="1">
      <alignment vertical="top" shrinkToFit="1"/>
    </xf>
    <xf numFmtId="169" fontId="3" fillId="40" borderId="26" xfId="0" applyNumberFormat="1" applyFont="1" applyFill="1" applyBorder="1" applyAlignment="1">
      <alignment vertical="top" shrinkToFit="1"/>
    </xf>
    <xf numFmtId="169" fontId="3" fillId="27" borderId="25" xfId="0" applyNumberFormat="1" applyFont="1" applyFill="1" applyBorder="1" applyAlignment="1">
      <alignment vertical="top" shrinkToFit="1"/>
    </xf>
    <xf numFmtId="3" fontId="173" fillId="41" borderId="186" xfId="0" applyNumberFormat="1" applyFont="1" applyFill="1" applyBorder="1" applyAlignment="1">
      <alignment vertical="top"/>
    </xf>
    <xf numFmtId="3" fontId="173" fillId="41" borderId="0" xfId="0" applyNumberFormat="1" applyFont="1" applyFill="1" applyAlignment="1">
      <alignment vertical="top"/>
    </xf>
    <xf numFmtId="4" fontId="173" fillId="41" borderId="186" xfId="0" applyNumberFormat="1" applyFont="1" applyFill="1" applyBorder="1" applyAlignment="1">
      <alignment vertical="top"/>
    </xf>
    <xf numFmtId="4" fontId="173" fillId="41" borderId="0" xfId="0" applyNumberFormat="1" applyFont="1" applyFill="1" applyAlignment="1">
      <alignment vertical="top"/>
    </xf>
    <xf numFmtId="0" fontId="173" fillId="41" borderId="186" xfId="0" applyFont="1" applyFill="1" applyBorder="1" applyAlignment="1">
      <alignment vertical="top"/>
    </xf>
    <xf numFmtId="0" fontId="173" fillId="41" borderId="0" xfId="0" applyFont="1" applyFill="1" applyAlignment="1">
      <alignment vertical="top"/>
    </xf>
    <xf numFmtId="171" fontId="173" fillId="41" borderId="186" xfId="0" applyNumberFormat="1" applyFont="1" applyFill="1" applyBorder="1" applyAlignment="1">
      <alignment vertical="top"/>
    </xf>
    <xf numFmtId="171" fontId="173" fillId="41" borderId="0" xfId="0" applyNumberFormat="1" applyFont="1" applyFill="1" applyAlignment="1">
      <alignment vertical="top"/>
    </xf>
    <xf numFmtId="179" fontId="173" fillId="41" borderId="0" xfId="0" applyNumberFormat="1" applyFont="1" applyFill="1" applyAlignment="1">
      <alignment vertical="top" shrinkToFit="1"/>
    </xf>
    <xf numFmtId="174" fontId="173" fillId="41" borderId="0" xfId="0" applyNumberFormat="1" applyFont="1" applyFill="1" applyAlignment="1">
      <alignment vertical="top" shrinkToFit="1"/>
    </xf>
    <xf numFmtId="174" fontId="78" fillId="41" borderId="0" xfId="0" applyNumberFormat="1" applyFont="1" applyFill="1" applyAlignment="1">
      <alignment vertical="top"/>
    </xf>
    <xf numFmtId="179" fontId="78" fillId="41" borderId="0" xfId="0" applyNumberFormat="1" applyFont="1" applyFill="1" applyAlignment="1">
      <alignment vertical="top"/>
    </xf>
    <xf numFmtId="0" fontId="173" fillId="41" borderId="0" xfId="0" applyFont="1" applyFill="1" applyAlignment="1">
      <alignment vertical="top" wrapText="1"/>
    </xf>
    <xf numFmtId="3" fontId="173" fillId="41" borderId="0" xfId="0" applyNumberFormat="1" applyFont="1" applyFill="1" applyAlignment="1">
      <alignment vertical="top" shrinkToFit="1"/>
    </xf>
    <xf numFmtId="3" fontId="78" fillId="41" borderId="0" xfId="0" applyNumberFormat="1" applyFont="1" applyFill="1" applyAlignment="1">
      <alignment vertical="top"/>
    </xf>
    <xf numFmtId="0" fontId="5" fillId="0" borderId="66" xfId="0" applyFont="1" applyBorder="1" applyAlignment="1">
      <alignment horizontal="right" vertical="top"/>
    </xf>
    <xf numFmtId="0" fontId="5" fillId="0" borderId="0" xfId="0" applyFont="1" applyAlignment="1">
      <alignment horizontal="right" vertical="top"/>
    </xf>
    <xf numFmtId="0" fontId="36" fillId="25" borderId="18" xfId="0" applyFont="1" applyFill="1" applyBorder="1" applyAlignment="1">
      <alignment vertical="top"/>
    </xf>
    <xf numFmtId="170" fontId="3" fillId="0" borderId="66" xfId="0" applyNumberFormat="1" applyFont="1" applyBorder="1" applyAlignment="1">
      <alignment vertical="top"/>
    </xf>
    <xf numFmtId="170" fontId="3" fillId="0" borderId="0" xfId="0" applyNumberFormat="1" applyFont="1" applyAlignment="1">
      <alignment vertical="top"/>
    </xf>
    <xf numFmtId="4" fontId="3" fillId="40" borderId="64" xfId="0" applyNumberFormat="1" applyFont="1" applyFill="1" applyBorder="1" applyAlignment="1">
      <alignment horizontal="right" vertical="top"/>
    </xf>
    <xf numFmtId="4" fontId="3" fillId="40" borderId="97" xfId="0" applyNumberFormat="1" applyFont="1" applyFill="1" applyBorder="1" applyAlignment="1">
      <alignment horizontal="right" vertical="top"/>
    </xf>
    <xf numFmtId="4" fontId="3" fillId="27" borderId="64" xfId="0" applyNumberFormat="1" applyFont="1" applyFill="1" applyBorder="1" applyAlignment="1">
      <alignment horizontal="right" vertical="top"/>
    </xf>
    <xf numFmtId="4" fontId="3" fillId="27" borderId="97" xfId="0" applyNumberFormat="1" applyFont="1" applyFill="1" applyBorder="1" applyAlignment="1">
      <alignment horizontal="right" vertical="top"/>
    </xf>
    <xf numFmtId="0" fontId="178" fillId="52" borderId="186" xfId="0" applyFont="1" applyFill="1" applyBorder="1" applyAlignment="1">
      <alignment horizontal="right" vertical="top"/>
    </xf>
    <xf numFmtId="170" fontId="180" fillId="52" borderId="186" xfId="0" applyNumberFormat="1" applyFont="1" applyFill="1" applyBorder="1" applyAlignment="1">
      <alignment vertical="top"/>
    </xf>
    <xf numFmtId="169" fontId="180" fillId="52" borderId="186" xfId="0" applyNumberFormat="1" applyFont="1" applyFill="1" applyBorder="1" applyAlignment="1">
      <alignment vertical="top"/>
    </xf>
    <xf numFmtId="169" fontId="181" fillId="52" borderId="186" xfId="0" applyNumberFormat="1" applyFont="1" applyFill="1" applyBorder="1" applyAlignment="1">
      <alignment vertical="top"/>
    </xf>
    <xf numFmtId="0" fontId="180" fillId="52" borderId="186" xfId="0" applyFont="1" applyFill="1" applyBorder="1" applyAlignment="1">
      <alignment horizontal="left" vertical="top"/>
    </xf>
    <xf numFmtId="0" fontId="180" fillId="52" borderId="186" xfId="0" applyFont="1" applyFill="1" applyBorder="1" applyAlignment="1">
      <alignment vertical="top"/>
    </xf>
    <xf numFmtId="169" fontId="3" fillId="51" borderId="64" xfId="0" applyNumberFormat="1" applyFont="1" applyFill="1" applyBorder="1" applyAlignment="1">
      <alignment vertical="top"/>
    </xf>
    <xf numFmtId="0" fontId="180" fillId="52" borderId="186" xfId="0" applyFont="1" applyFill="1" applyBorder="1" applyAlignment="1">
      <alignment horizontal="right" vertical="top"/>
    </xf>
    <xf numFmtId="169" fontId="3" fillId="51" borderId="13" xfId="0" applyNumberFormat="1" applyFont="1" applyFill="1" applyBorder="1" applyAlignment="1">
      <alignment vertical="top" shrinkToFit="1"/>
    </xf>
    <xf numFmtId="169" fontId="173" fillId="41" borderId="186" xfId="0" applyNumberFormat="1" applyFont="1" applyFill="1" applyBorder="1" applyAlignment="1">
      <alignment vertical="top" shrinkToFit="1"/>
    </xf>
    <xf numFmtId="169" fontId="173" fillId="41" borderId="0" xfId="0" applyNumberFormat="1" applyFont="1" applyFill="1" applyAlignment="1">
      <alignment vertical="top" shrinkToFit="1"/>
    </xf>
    <xf numFmtId="0" fontId="173" fillId="49" borderId="30" xfId="0" applyFont="1" applyFill="1" applyBorder="1" applyAlignment="1">
      <alignment vertical="top" wrapText="1"/>
    </xf>
    <xf numFmtId="0" fontId="183" fillId="49" borderId="144" xfId="0" applyFont="1" applyFill="1" applyBorder="1" applyAlignment="1">
      <alignment horizontal="right" vertical="top"/>
    </xf>
    <xf numFmtId="3" fontId="85" fillId="40" borderId="144" xfId="0" applyNumberFormat="1" applyFont="1" applyFill="1" applyBorder="1" applyAlignment="1">
      <alignment vertical="top" shrinkToFit="1"/>
    </xf>
    <xf numFmtId="174" fontId="85" fillId="49" borderId="98" xfId="0" applyNumberFormat="1" applyFont="1" applyFill="1" applyBorder="1" applyAlignment="1">
      <alignment vertical="top" shrinkToFit="1"/>
    </xf>
    <xf numFmtId="3" fontId="85" fillId="49" borderId="58" xfId="0" applyNumberFormat="1" applyFont="1" applyFill="1" applyBorder="1" applyAlignment="1">
      <alignment vertical="top" shrinkToFit="1"/>
    </xf>
    <xf numFmtId="0" fontId="85" fillId="49" borderId="183" xfId="0" applyFont="1" applyFill="1" applyBorder="1" applyAlignment="1">
      <alignment vertical="top"/>
    </xf>
    <xf numFmtId="0" fontId="85" fillId="40" borderId="98" xfId="0" applyFont="1" applyFill="1" applyBorder="1" applyAlignment="1">
      <alignment vertical="top"/>
    </xf>
    <xf numFmtId="0" fontId="85" fillId="49" borderId="184" xfId="0" applyFont="1" applyFill="1" applyBorder="1" applyAlignment="1">
      <alignment vertical="top"/>
    </xf>
    <xf numFmtId="174" fontId="183" fillId="49" borderId="74" xfId="0" applyNumberFormat="1" applyFont="1" applyFill="1" applyBorder="1" applyAlignment="1">
      <alignment vertical="top"/>
    </xf>
    <xf numFmtId="3" fontId="183" fillId="40" borderId="74" xfId="0" applyNumberFormat="1" applyFont="1" applyFill="1" applyBorder="1" applyAlignment="1">
      <alignment vertical="top"/>
    </xf>
    <xf numFmtId="0" fontId="173" fillId="49" borderId="137" xfId="0" applyFont="1" applyFill="1" applyBorder="1" applyAlignment="1">
      <alignment vertical="top"/>
    </xf>
    <xf numFmtId="3" fontId="180" fillId="52" borderId="186" xfId="0" applyNumberFormat="1" applyFont="1" applyFill="1" applyBorder="1" applyAlignment="1">
      <alignment vertical="top" shrinkToFit="1"/>
    </xf>
    <xf numFmtId="174" fontId="180" fillId="52" borderId="186" xfId="0" applyNumberFormat="1" applyFont="1" applyFill="1" applyBorder="1" applyAlignment="1">
      <alignment vertical="top" shrinkToFit="1"/>
    </xf>
    <xf numFmtId="174" fontId="178" fillId="52" borderId="186" xfId="0" applyNumberFormat="1" applyFont="1" applyFill="1" applyBorder="1" applyAlignment="1">
      <alignment vertical="top"/>
    </xf>
    <xf numFmtId="3" fontId="178" fillId="52" borderId="186" xfId="0" applyNumberFormat="1" applyFont="1" applyFill="1" applyBorder="1" applyAlignment="1">
      <alignment vertical="top"/>
    </xf>
    <xf numFmtId="0" fontId="48" fillId="43" borderId="0" xfId="0" applyFont="1" applyFill="1" applyAlignment="1">
      <alignment vertical="top"/>
    </xf>
    <xf numFmtId="0" fontId="76" fillId="24" borderId="0" xfId="0" applyFont="1" applyFill="1" applyAlignment="1">
      <alignment horizontal="center" vertical="center" wrapText="1"/>
    </xf>
    <xf numFmtId="0" fontId="0" fillId="41" borderId="0" xfId="0" applyFill="1" applyAlignment="1">
      <alignment vertical="center"/>
    </xf>
    <xf numFmtId="0" fontId="0" fillId="104" borderId="0" xfId="0" applyFill="1" applyAlignment="1">
      <alignment vertical="center"/>
    </xf>
    <xf numFmtId="0" fontId="5" fillId="25" borderId="74" xfId="0" applyFont="1" applyFill="1" applyBorder="1" applyAlignment="1">
      <alignment vertical="top"/>
    </xf>
    <xf numFmtId="0" fontId="5" fillId="0" borderId="75" xfId="0" applyFont="1" applyBorder="1" applyAlignment="1">
      <alignment vertical="top"/>
    </xf>
    <xf numFmtId="0" fontId="5" fillId="0" borderId="76" xfId="0" applyFont="1" applyBorder="1" applyAlignment="1">
      <alignment vertical="top"/>
    </xf>
    <xf numFmtId="0" fontId="5" fillId="0" borderId="76" xfId="0" applyFont="1" applyBorder="1" applyAlignment="1">
      <alignment horizontal="center" vertical="top"/>
    </xf>
    <xf numFmtId="0" fontId="5" fillId="27" borderId="76" xfId="0" applyFont="1" applyFill="1" applyBorder="1" applyAlignment="1">
      <alignment vertical="top"/>
    </xf>
    <xf numFmtId="0" fontId="5" fillId="27" borderId="77" xfId="0" applyFont="1" applyFill="1" applyBorder="1" applyAlignment="1">
      <alignment vertical="top"/>
    </xf>
    <xf numFmtId="0" fontId="36" fillId="40" borderId="13" xfId="0" applyFont="1" applyFill="1" applyBorder="1" applyAlignment="1">
      <alignment vertical="top"/>
    </xf>
    <xf numFmtId="0" fontId="0" fillId="44" borderId="13" xfId="0" applyFill="1" applyBorder="1" applyAlignment="1" applyProtection="1">
      <alignment vertical="top"/>
      <protection locked="0"/>
    </xf>
    <xf numFmtId="0" fontId="36" fillId="44" borderId="74" xfId="0" applyFont="1" applyFill="1" applyBorder="1" applyAlignment="1" applyProtection="1">
      <alignment vertical="top"/>
      <protection locked="0"/>
    </xf>
    <xf numFmtId="169" fontId="3" fillId="28" borderId="13" xfId="0" applyNumberFormat="1" applyFont="1" applyFill="1" applyBorder="1" applyAlignment="1" applyProtection="1">
      <alignment vertical="top" shrinkToFit="1"/>
      <protection locked="0"/>
    </xf>
    <xf numFmtId="0" fontId="70" fillId="44" borderId="75" xfId="0" applyFont="1" applyFill="1" applyBorder="1" applyAlignment="1" applyProtection="1">
      <alignment vertical="top"/>
      <protection locked="0"/>
    </xf>
    <xf numFmtId="0" fontId="70" fillId="44" borderId="76" xfId="0" applyFont="1" applyFill="1" applyBorder="1" applyAlignment="1" applyProtection="1">
      <alignment vertical="top"/>
      <protection locked="0"/>
    </xf>
    <xf numFmtId="0" fontId="70" fillId="44" borderId="77" xfId="0" applyFont="1" applyFill="1" applyBorder="1" applyAlignment="1" applyProtection="1">
      <alignment vertical="top"/>
      <protection locked="0"/>
    </xf>
    <xf numFmtId="0" fontId="3" fillId="44" borderId="75" xfId="0" applyFont="1" applyFill="1" applyBorder="1" applyAlignment="1" applyProtection="1">
      <alignment horizontal="center" vertical="top"/>
      <protection locked="0"/>
    </xf>
    <xf numFmtId="3" fontId="3" fillId="42" borderId="62" xfId="0" applyNumberFormat="1" applyFont="1" applyFill="1" applyBorder="1" applyAlignment="1" applyProtection="1">
      <alignment vertical="top"/>
      <protection locked="0"/>
    </xf>
    <xf numFmtId="0" fontId="3" fillId="44" borderId="43" xfId="0" applyFont="1" applyFill="1" applyBorder="1" applyAlignment="1" applyProtection="1">
      <alignment horizontal="center" vertical="top"/>
      <protection locked="0"/>
    </xf>
    <xf numFmtId="170" fontId="3" fillId="42" borderId="11" xfId="0" applyNumberFormat="1" applyFont="1" applyFill="1" applyBorder="1" applyAlignment="1" applyProtection="1">
      <alignment vertical="top"/>
      <protection locked="0"/>
    </xf>
    <xf numFmtId="170" fontId="3" fillId="28" borderId="13" xfId="0" applyNumberFormat="1" applyFont="1" applyFill="1" applyBorder="1" applyAlignment="1" applyProtection="1">
      <alignment vertical="top"/>
      <protection locked="0"/>
    </xf>
    <xf numFmtId="4" fontId="3" fillId="42" borderId="62" xfId="0" applyNumberFormat="1" applyFont="1" applyFill="1" applyBorder="1" applyAlignment="1" applyProtection="1">
      <alignment horizontal="right" vertical="top"/>
      <protection locked="0"/>
    </xf>
    <xf numFmtId="4" fontId="3" fillId="42" borderId="63" xfId="0" applyNumberFormat="1" applyFont="1" applyFill="1" applyBorder="1" applyAlignment="1" applyProtection="1">
      <alignment horizontal="right" vertical="top"/>
      <protection locked="0"/>
    </xf>
    <xf numFmtId="4" fontId="3" fillId="42" borderId="64" xfId="0" applyNumberFormat="1" applyFont="1" applyFill="1" applyBorder="1" applyAlignment="1" applyProtection="1">
      <alignment horizontal="right" vertical="top"/>
      <protection locked="0"/>
    </xf>
    <xf numFmtId="0" fontId="3" fillId="42" borderId="121" xfId="0" applyFont="1" applyFill="1" applyBorder="1" applyAlignment="1" applyProtection="1">
      <alignment horizontal="left" vertical="top" wrapText="1"/>
      <protection locked="0"/>
    </xf>
    <xf numFmtId="0" fontId="3" fillId="42" borderId="92" xfId="0" applyFont="1" applyFill="1" applyBorder="1" applyAlignment="1" applyProtection="1">
      <alignment horizontal="center" vertical="top"/>
      <protection locked="0"/>
    </xf>
    <xf numFmtId="4" fontId="3" fillId="42" borderId="92" xfId="0" applyNumberFormat="1" applyFont="1" applyFill="1" applyBorder="1" applyAlignment="1" applyProtection="1">
      <alignment horizontal="right" vertical="top"/>
      <protection locked="0"/>
    </xf>
    <xf numFmtId="0" fontId="3" fillId="42" borderId="107" xfId="0" applyFont="1" applyFill="1" applyBorder="1" applyAlignment="1" applyProtection="1">
      <alignment horizontal="left" vertical="top" wrapText="1"/>
      <protection locked="0"/>
    </xf>
    <xf numFmtId="0" fontId="3" fillId="42" borderId="63" xfId="0" applyFont="1" applyFill="1" applyBorder="1" applyAlignment="1" applyProtection="1">
      <alignment horizontal="center" vertical="top"/>
      <protection locked="0"/>
    </xf>
    <xf numFmtId="0" fontId="3" fillId="42" borderId="97" xfId="0" applyFont="1" applyFill="1" applyBorder="1" applyAlignment="1" applyProtection="1">
      <alignment horizontal="left" vertical="top" wrapText="1"/>
      <protection locked="0"/>
    </xf>
    <xf numFmtId="0" fontId="3" fillId="42" borderId="64" xfId="0" applyFont="1" applyFill="1" applyBorder="1" applyAlignment="1" applyProtection="1">
      <alignment horizontal="center" vertical="top"/>
      <protection locked="0"/>
    </xf>
    <xf numFmtId="0" fontId="36" fillId="44" borderId="72" xfId="0" applyFont="1" applyFill="1" applyBorder="1" applyAlignment="1" applyProtection="1">
      <alignment vertical="top"/>
      <protection locked="0"/>
    </xf>
    <xf numFmtId="170" fontId="3" fillId="45" borderId="13" xfId="0" applyNumberFormat="1" applyFont="1" applyFill="1" applyBorder="1" applyAlignment="1" applyProtection="1">
      <alignment vertical="top"/>
      <protection locked="0"/>
    </xf>
    <xf numFmtId="170" fontId="3" fillId="45" borderId="11" xfId="0" applyNumberFormat="1" applyFont="1" applyFill="1" applyBorder="1" applyAlignment="1" applyProtection="1">
      <alignment vertical="top"/>
      <protection locked="0"/>
    </xf>
    <xf numFmtId="170" fontId="3" fillId="45" borderId="62" xfId="0" applyNumberFormat="1" applyFont="1" applyFill="1" applyBorder="1" applyAlignment="1" applyProtection="1">
      <alignment vertical="top"/>
      <protection locked="0"/>
    </xf>
    <xf numFmtId="170" fontId="3" fillId="45" borderId="63" xfId="0" applyNumberFormat="1" applyFont="1" applyFill="1" applyBorder="1" applyAlignment="1" applyProtection="1">
      <alignment vertical="top"/>
      <protection locked="0"/>
    </xf>
    <xf numFmtId="170" fontId="3" fillId="45" borderId="64" xfId="0" applyNumberFormat="1" applyFont="1" applyFill="1" applyBorder="1" applyAlignment="1" applyProtection="1">
      <alignment vertical="top"/>
      <protection locked="0"/>
    </xf>
    <xf numFmtId="0" fontId="3" fillId="44" borderId="49" xfId="0" applyFont="1" applyFill="1" applyBorder="1" applyAlignment="1" applyProtection="1">
      <alignment vertical="top"/>
      <protection locked="0"/>
    </xf>
    <xf numFmtId="170" fontId="3" fillId="45" borderId="10" xfId="0" applyNumberFormat="1" applyFont="1" applyFill="1" applyBorder="1" applyAlignment="1" applyProtection="1">
      <alignment vertical="top"/>
      <protection locked="0"/>
    </xf>
    <xf numFmtId="169" fontId="3" fillId="45" borderId="62" xfId="0" applyNumberFormat="1" applyFont="1" applyFill="1" applyBorder="1" applyAlignment="1" applyProtection="1">
      <alignment vertical="top"/>
      <protection locked="0"/>
    </xf>
    <xf numFmtId="169" fontId="3" fillId="45" borderId="13" xfId="0" applyNumberFormat="1" applyFont="1" applyFill="1" applyBorder="1" applyAlignment="1" applyProtection="1">
      <alignment vertical="top"/>
      <protection locked="0"/>
    </xf>
    <xf numFmtId="169" fontId="3" fillId="28" borderId="67" xfId="0" applyNumberFormat="1" applyFont="1" applyFill="1" applyBorder="1" applyAlignment="1" applyProtection="1">
      <alignment vertical="top" shrinkToFit="1"/>
      <protection locked="0"/>
    </xf>
    <xf numFmtId="3" fontId="3" fillId="42" borderId="106" xfId="0" applyNumberFormat="1" applyFont="1" applyFill="1" applyBorder="1" applyAlignment="1" applyProtection="1">
      <alignment vertical="top"/>
      <protection locked="0"/>
    </xf>
    <xf numFmtId="170" fontId="3" fillId="42" borderId="78" xfId="0" applyNumberFormat="1" applyFont="1" applyFill="1" applyBorder="1" applyAlignment="1" applyProtection="1">
      <alignment vertical="top"/>
      <protection locked="0"/>
    </xf>
    <xf numFmtId="0" fontId="3" fillId="45" borderId="64" xfId="0" applyFont="1" applyFill="1" applyBorder="1" applyAlignment="1" applyProtection="1">
      <alignment horizontal="center" vertical="top"/>
      <protection locked="0"/>
    </xf>
    <xf numFmtId="170" fontId="3" fillId="45" borderId="78" xfId="0" applyNumberFormat="1" applyFont="1" applyFill="1" applyBorder="1" applyAlignment="1" applyProtection="1">
      <alignment vertical="top"/>
      <protection locked="0"/>
    </xf>
    <xf numFmtId="170" fontId="3" fillId="45" borderId="107" xfId="0" applyNumberFormat="1" applyFont="1" applyFill="1" applyBorder="1" applyAlignment="1" applyProtection="1">
      <alignment vertical="top"/>
      <protection locked="0"/>
    </xf>
    <xf numFmtId="170" fontId="3" fillId="45" borderId="97" xfId="0" applyNumberFormat="1" applyFont="1" applyFill="1" applyBorder="1" applyAlignment="1" applyProtection="1">
      <alignment vertical="top"/>
      <protection locked="0"/>
    </xf>
    <xf numFmtId="170" fontId="3" fillId="45" borderId="104" xfId="0" applyNumberFormat="1" applyFont="1" applyFill="1" applyBorder="1" applyAlignment="1" applyProtection="1">
      <alignment vertical="top"/>
      <protection locked="0"/>
    </xf>
    <xf numFmtId="169" fontId="3" fillId="45" borderId="106" xfId="0" applyNumberFormat="1" applyFont="1" applyFill="1" applyBorder="1" applyAlignment="1" applyProtection="1">
      <alignment vertical="top"/>
      <protection locked="0"/>
    </xf>
    <xf numFmtId="169" fontId="3" fillId="45" borderId="97" xfId="0" applyNumberFormat="1" applyFont="1" applyFill="1" applyBorder="1" applyAlignment="1" applyProtection="1">
      <alignment vertical="top"/>
      <protection locked="0"/>
    </xf>
    <xf numFmtId="0" fontId="3" fillId="25" borderId="0" xfId="0" applyFont="1" applyFill="1" applyAlignment="1">
      <alignment horizontal="center"/>
    </xf>
    <xf numFmtId="0" fontId="3" fillId="25" borderId="13" xfId="0" applyFont="1" applyFill="1" applyBorder="1" applyAlignment="1">
      <alignment horizontal="center"/>
    </xf>
    <xf numFmtId="0" fontId="78" fillId="0" borderId="66" xfId="0" applyFont="1" applyBorder="1" applyAlignment="1">
      <alignment horizontal="right" vertical="top"/>
    </xf>
    <xf numFmtId="170" fontId="173" fillId="0" borderId="66" xfId="0" applyNumberFormat="1" applyFont="1" applyBorder="1" applyAlignment="1">
      <alignment vertical="top"/>
    </xf>
    <xf numFmtId="0" fontId="3" fillId="25" borderId="67" xfId="0" applyFont="1" applyFill="1" applyBorder="1"/>
    <xf numFmtId="0" fontId="3" fillId="25" borderId="0" xfId="0" applyFont="1" applyFill="1" applyAlignment="1">
      <alignment horizontal="right"/>
    </xf>
    <xf numFmtId="4" fontId="3" fillId="40" borderId="98" xfId="0" applyNumberFormat="1" applyFont="1" applyFill="1" applyBorder="1" applyAlignment="1">
      <alignment vertical="top" shrinkToFit="1"/>
    </xf>
    <xf numFmtId="4" fontId="173" fillId="41" borderId="0" xfId="0" applyNumberFormat="1" applyFont="1" applyFill="1" applyAlignment="1">
      <alignment vertical="top" shrinkToFit="1"/>
    </xf>
    <xf numFmtId="0" fontId="3" fillId="25" borderId="128" xfId="0" applyFont="1" applyFill="1" applyBorder="1" applyAlignment="1">
      <alignment horizontal="center" vertical="top"/>
    </xf>
    <xf numFmtId="0" fontId="3" fillId="25" borderId="65" xfId="0" applyFont="1" applyFill="1" applyBorder="1" applyAlignment="1">
      <alignment horizontal="right" vertical="top"/>
    </xf>
    <xf numFmtId="3" fontId="3" fillId="39" borderId="60" xfId="0" applyNumberFormat="1" applyFont="1" applyFill="1" applyBorder="1" applyAlignment="1">
      <alignment vertical="top"/>
    </xf>
    <xf numFmtId="3" fontId="3" fillId="39" borderId="61" xfId="0" applyNumberFormat="1" applyFont="1" applyFill="1" applyBorder="1" applyAlignment="1">
      <alignment vertical="top"/>
    </xf>
    <xf numFmtId="0" fontId="173" fillId="41" borderId="0" xfId="0" applyFont="1" applyFill="1"/>
    <xf numFmtId="0" fontId="3" fillId="51" borderId="62" xfId="0" applyFont="1" applyFill="1" applyBorder="1" applyAlignment="1">
      <alignment horizontal="center" vertical="top" wrapText="1"/>
    </xf>
    <xf numFmtId="0" fontId="3" fillId="51" borderId="63" xfId="0" applyFont="1" applyFill="1" applyBorder="1" applyAlignment="1">
      <alignment horizontal="center" vertical="top" wrapText="1"/>
    </xf>
    <xf numFmtId="0" fontId="3" fillId="51" borderId="64" xfId="0" applyFont="1" applyFill="1" applyBorder="1" applyAlignment="1">
      <alignment horizontal="center" vertical="top" wrapText="1"/>
    </xf>
    <xf numFmtId="0" fontId="3" fillId="25" borderId="10" xfId="0" applyFont="1" applyFill="1" applyBorder="1" applyAlignment="1">
      <alignment vertical="top"/>
    </xf>
    <xf numFmtId="0" fontId="36" fillId="0" borderId="0" xfId="0" applyFont="1"/>
    <xf numFmtId="0" fontId="36" fillId="24" borderId="0" xfId="0" applyFont="1" applyFill="1"/>
    <xf numFmtId="0" fontId="78" fillId="0" borderId="66" xfId="0" applyFont="1" applyBorder="1" applyAlignment="1">
      <alignment horizontal="right"/>
    </xf>
    <xf numFmtId="0" fontId="78" fillId="0" borderId="0" xfId="0" applyFont="1" applyAlignment="1">
      <alignment horizontal="right"/>
    </xf>
    <xf numFmtId="0" fontId="36" fillId="25" borderId="0" xfId="0" applyFont="1" applyFill="1"/>
    <xf numFmtId="0" fontId="36" fillId="39" borderId="0" xfId="0" applyFont="1" applyFill="1"/>
    <xf numFmtId="0" fontId="36" fillId="41" borderId="0" xfId="0" applyFont="1" applyFill="1"/>
    <xf numFmtId="0" fontId="36" fillId="104" borderId="0" xfId="0" applyFont="1" applyFill="1"/>
    <xf numFmtId="0" fontId="3" fillId="51" borderId="106" xfId="0" applyFont="1" applyFill="1" applyBorder="1" applyAlignment="1">
      <alignment vertical="top" wrapText="1"/>
    </xf>
    <xf numFmtId="170" fontId="3" fillId="51" borderId="106" xfId="0" applyNumberFormat="1" applyFont="1" applyFill="1" applyBorder="1" applyAlignment="1">
      <alignment vertical="top"/>
    </xf>
    <xf numFmtId="170" fontId="3" fillId="51" borderId="31" xfId="0" applyNumberFormat="1" applyFont="1" applyFill="1" applyBorder="1" applyAlignment="1">
      <alignment vertical="top"/>
    </xf>
    <xf numFmtId="0" fontId="3" fillId="51" borderId="107" xfId="0" applyFont="1" applyFill="1" applyBorder="1" applyAlignment="1">
      <alignment vertical="top" wrapText="1"/>
    </xf>
    <xf numFmtId="0" fontId="3" fillId="51" borderId="15" xfId="0" applyFont="1" applyFill="1" applyBorder="1" applyAlignment="1">
      <alignment horizontal="center" vertical="top"/>
    </xf>
    <xf numFmtId="170" fontId="3" fillId="51" borderId="107" xfId="0" applyNumberFormat="1" applyFont="1" applyFill="1" applyBorder="1" applyAlignment="1">
      <alignment vertical="top"/>
    </xf>
    <xf numFmtId="170" fontId="3" fillId="51" borderId="33" xfId="0" applyNumberFormat="1" applyFont="1" applyFill="1" applyBorder="1" applyAlignment="1">
      <alignment vertical="top"/>
    </xf>
    <xf numFmtId="0" fontId="3" fillId="51" borderId="97" xfId="0" applyFont="1" applyFill="1" applyBorder="1" applyAlignment="1">
      <alignment vertical="top" wrapText="1"/>
    </xf>
    <xf numFmtId="0" fontId="3" fillId="51" borderId="16" xfId="0" applyFont="1" applyFill="1" applyBorder="1" applyAlignment="1">
      <alignment horizontal="center" vertical="top"/>
    </xf>
    <xf numFmtId="170" fontId="3" fillId="51" borderId="97" xfId="0" applyNumberFormat="1" applyFont="1" applyFill="1" applyBorder="1" applyAlignment="1">
      <alignment vertical="top"/>
    </xf>
    <xf numFmtId="170" fontId="3" fillId="51" borderId="123" xfId="0" applyNumberFormat="1" applyFont="1" applyFill="1" applyBorder="1" applyAlignment="1">
      <alignment vertical="top"/>
    </xf>
    <xf numFmtId="170" fontId="3" fillId="103" borderId="31" xfId="0" applyNumberFormat="1" applyFont="1" applyFill="1" applyBorder="1" applyAlignment="1">
      <alignment vertical="top"/>
    </xf>
    <xf numFmtId="170" fontId="3" fillId="103" borderId="33" xfId="0" applyNumberFormat="1" applyFont="1" applyFill="1" applyBorder="1" applyAlignment="1">
      <alignment vertical="top"/>
    </xf>
    <xf numFmtId="170" fontId="3" fillId="103" borderId="123" xfId="0" applyNumberFormat="1" applyFont="1" applyFill="1" applyBorder="1" applyAlignment="1">
      <alignment vertical="top"/>
    </xf>
    <xf numFmtId="0" fontId="70" fillId="25" borderId="71" xfId="0" applyFont="1" applyFill="1" applyBorder="1" applyAlignment="1">
      <alignment horizontal="center" vertical="top"/>
    </xf>
    <xf numFmtId="0" fontId="70" fillId="39" borderId="71" xfId="0" applyFont="1" applyFill="1" applyBorder="1" applyAlignment="1">
      <alignment horizontal="center" vertical="top"/>
    </xf>
    <xf numFmtId="0" fontId="70" fillId="39" borderId="72" xfId="0" applyFont="1" applyFill="1" applyBorder="1" applyAlignment="1">
      <alignment horizontal="center" vertical="top"/>
    </xf>
    <xf numFmtId="0" fontId="70" fillId="25" borderId="49" xfId="0" applyFont="1" applyFill="1" applyBorder="1" applyAlignment="1">
      <alignment horizontal="center" vertical="top"/>
    </xf>
    <xf numFmtId="0" fontId="70" fillId="25" borderId="13" xfId="0" applyFont="1" applyFill="1" applyBorder="1" applyAlignment="1">
      <alignment horizontal="center" vertical="top"/>
    </xf>
    <xf numFmtId="0" fontId="70" fillId="39" borderId="13" xfId="0" applyFont="1" applyFill="1" applyBorder="1" applyAlignment="1">
      <alignment horizontal="center" vertical="top"/>
    </xf>
    <xf numFmtId="0" fontId="70" fillId="39" borderId="58" xfId="0" applyFont="1" applyFill="1" applyBorder="1" applyAlignment="1">
      <alignment horizontal="center" vertical="top"/>
    </xf>
    <xf numFmtId="0" fontId="70" fillId="25" borderId="59" xfId="0" applyFont="1" applyFill="1" applyBorder="1" applyAlignment="1">
      <alignment horizontal="center" vertical="top"/>
    </xf>
    <xf numFmtId="0" fontId="70" fillId="25" borderId="60" xfId="0" applyFont="1" applyFill="1" applyBorder="1" applyAlignment="1">
      <alignment horizontal="center" vertical="top"/>
    </xf>
    <xf numFmtId="0" fontId="70" fillId="39" borderId="60" xfId="0" applyFont="1" applyFill="1" applyBorder="1" applyAlignment="1">
      <alignment horizontal="center" vertical="top"/>
    </xf>
    <xf numFmtId="0" fontId="70" fillId="39" borderId="61" xfId="0" applyFont="1" applyFill="1" applyBorder="1" applyAlignment="1">
      <alignment horizontal="center" vertical="top"/>
    </xf>
    <xf numFmtId="0" fontId="0" fillId="39" borderId="13" xfId="0" applyFill="1" applyBorder="1" applyAlignment="1">
      <alignment horizontal="center"/>
    </xf>
    <xf numFmtId="171" fontId="36" fillId="25" borderId="43" xfId="0" applyNumberFormat="1" applyFont="1" applyFill="1" applyBorder="1" applyAlignment="1">
      <alignment vertical="top"/>
    </xf>
    <xf numFmtId="171" fontId="36" fillId="25" borderId="71" xfId="0" applyNumberFormat="1" applyFont="1" applyFill="1" applyBorder="1" applyAlignment="1">
      <alignment vertical="top"/>
    </xf>
    <xf numFmtId="171" fontId="36" fillId="25" borderId="72" xfId="0" applyNumberFormat="1" applyFont="1" applyFill="1" applyBorder="1" applyAlignment="1">
      <alignment vertical="top"/>
    </xf>
    <xf numFmtId="0" fontId="3" fillId="25" borderId="25" xfId="0" applyFont="1" applyFill="1" applyBorder="1" applyAlignment="1">
      <alignment vertical="top"/>
    </xf>
    <xf numFmtId="0" fontId="70" fillId="25" borderId="43" xfId="0" applyFont="1" applyFill="1" applyBorder="1" applyAlignment="1">
      <alignment horizontal="center" vertical="top"/>
    </xf>
    <xf numFmtId="171" fontId="36" fillId="25" borderId="49" xfId="0" applyNumberFormat="1" applyFont="1" applyFill="1" applyBorder="1" applyAlignment="1">
      <alignment vertical="top"/>
    </xf>
    <xf numFmtId="171" fontId="36" fillId="25" borderId="13" xfId="0" applyNumberFormat="1" applyFont="1" applyFill="1" applyBorder="1" applyAlignment="1">
      <alignment vertical="top"/>
    </xf>
    <xf numFmtId="171" fontId="36" fillId="25" borderId="58" xfId="0" applyNumberFormat="1" applyFont="1" applyFill="1" applyBorder="1" applyAlignment="1">
      <alignment vertical="top"/>
    </xf>
    <xf numFmtId="0" fontId="70" fillId="25" borderId="58" xfId="0" applyFont="1" applyFill="1" applyBorder="1" applyAlignment="1">
      <alignment horizontal="center" vertical="top"/>
    </xf>
    <xf numFmtId="171" fontId="36" fillId="25" borderId="59" xfId="0" applyNumberFormat="1" applyFont="1" applyFill="1" applyBorder="1" applyAlignment="1">
      <alignment vertical="top"/>
    </xf>
    <xf numFmtId="171" fontId="36" fillId="25" borderId="60" xfId="0" applyNumberFormat="1" applyFont="1" applyFill="1" applyBorder="1" applyAlignment="1">
      <alignment vertical="top"/>
    </xf>
    <xf numFmtId="171" fontId="36" fillId="25" borderId="61" xfId="0" applyNumberFormat="1" applyFont="1" applyFill="1" applyBorder="1" applyAlignment="1">
      <alignment vertical="top"/>
    </xf>
    <xf numFmtId="0" fontId="70" fillId="25" borderId="61" xfId="0" applyFont="1" applyFill="1" applyBorder="1" applyAlignment="1">
      <alignment horizontal="center" vertical="top"/>
    </xf>
    <xf numFmtId="0" fontId="78" fillId="41" borderId="186" xfId="0" applyFont="1" applyFill="1" applyBorder="1" applyAlignment="1">
      <alignment horizontal="right"/>
    </xf>
    <xf numFmtId="0" fontId="78" fillId="41" borderId="0" xfId="0" applyFont="1" applyFill="1" applyAlignment="1">
      <alignment horizontal="right"/>
    </xf>
    <xf numFmtId="0" fontId="5" fillId="25" borderId="0" xfId="0" applyFont="1" applyFill="1"/>
    <xf numFmtId="171" fontId="173" fillId="41" borderId="186" xfId="0" applyNumberFormat="1" applyFont="1" applyFill="1" applyBorder="1" applyAlignment="1">
      <alignment vertical="center"/>
    </xf>
    <xf numFmtId="171" fontId="173" fillId="41" borderId="0" xfId="0" applyNumberFormat="1" applyFont="1" applyFill="1" applyAlignment="1">
      <alignment vertical="center"/>
    </xf>
    <xf numFmtId="0" fontId="3" fillId="39" borderId="38" xfId="0" applyFont="1" applyFill="1" applyBorder="1" applyAlignment="1">
      <alignment vertical="top"/>
    </xf>
    <xf numFmtId="0" fontId="78" fillId="41" borderId="0" xfId="0" applyFont="1" applyFill="1" applyAlignment="1">
      <alignment vertical="top"/>
    </xf>
    <xf numFmtId="4" fontId="5" fillId="40" borderId="74" xfId="0" applyNumberFormat="1" applyFont="1" applyFill="1" applyBorder="1" applyAlignment="1">
      <alignment vertical="top"/>
    </xf>
    <xf numFmtId="4" fontId="78" fillId="41" borderId="0" xfId="0" applyNumberFormat="1" applyFont="1" applyFill="1" applyAlignment="1">
      <alignment vertical="top"/>
    </xf>
    <xf numFmtId="0" fontId="3" fillId="39" borderId="59" xfId="0" applyFont="1" applyFill="1" applyBorder="1" applyAlignment="1">
      <alignment vertical="top"/>
    </xf>
    <xf numFmtId="0" fontId="3" fillId="25" borderId="57" xfId="0" applyFont="1" applyFill="1" applyBorder="1"/>
    <xf numFmtId="0" fontId="3" fillId="25" borderId="13" xfId="0" applyFont="1" applyFill="1" applyBorder="1"/>
    <xf numFmtId="0" fontId="5" fillId="25" borderId="59" xfId="0" applyFont="1" applyFill="1" applyBorder="1" applyAlignment="1">
      <alignment horizontal="left"/>
    </xf>
    <xf numFmtId="0" fontId="180" fillId="52" borderId="186" xfId="0" applyFont="1" applyFill="1" applyBorder="1"/>
    <xf numFmtId="0" fontId="180" fillId="52" borderId="0" xfId="0" applyFont="1" applyFill="1"/>
    <xf numFmtId="0" fontId="180" fillId="52" borderId="185" xfId="0" applyFont="1" applyFill="1" applyBorder="1"/>
    <xf numFmtId="0" fontId="5" fillId="25" borderId="13" xfId="0" applyFont="1" applyFill="1" applyBorder="1" applyAlignment="1">
      <alignment horizontal="left"/>
    </xf>
    <xf numFmtId="0" fontId="0" fillId="39" borderId="90" xfId="0" applyFill="1" applyBorder="1"/>
    <xf numFmtId="0" fontId="3" fillId="39" borderId="13" xfId="0" applyFont="1" applyFill="1" applyBorder="1"/>
    <xf numFmtId="0" fontId="5" fillId="25" borderId="0" xfId="0" applyFont="1" applyFill="1" applyAlignment="1">
      <alignment horizontal="left"/>
    </xf>
    <xf numFmtId="0" fontId="5" fillId="24" borderId="186" xfId="0" applyFont="1" applyFill="1" applyBorder="1" applyAlignment="1">
      <alignment horizontal="left" vertical="top"/>
    </xf>
    <xf numFmtId="0" fontId="5" fillId="24" borderId="18" xfId="0" applyFont="1" applyFill="1" applyBorder="1" applyAlignment="1">
      <alignment horizontal="left" vertical="top"/>
    </xf>
    <xf numFmtId="0" fontId="3" fillId="51" borderId="95" xfId="0" applyFont="1" applyFill="1" applyBorder="1" applyAlignment="1">
      <alignment horizontal="center" vertical="top" wrapText="1"/>
    </xf>
    <xf numFmtId="0" fontId="78" fillId="0" borderId="186" xfId="0" applyFont="1" applyBorder="1" applyAlignment="1">
      <alignment horizontal="right" vertical="top"/>
    </xf>
    <xf numFmtId="0" fontId="3" fillId="51" borderId="62" xfId="0" applyFont="1" applyFill="1" applyBorder="1" applyAlignment="1">
      <alignment horizontal="center" vertical="top"/>
    </xf>
    <xf numFmtId="4" fontId="3" fillId="51" borderId="62" xfId="0" applyNumberFormat="1" applyFont="1" applyFill="1" applyBorder="1" applyAlignment="1">
      <alignment horizontal="right" vertical="top"/>
    </xf>
    <xf numFmtId="4" fontId="3" fillId="103" borderId="62" xfId="0" applyNumberFormat="1" applyFont="1" applyFill="1" applyBorder="1" applyAlignment="1">
      <alignment horizontal="right" vertical="top"/>
    </xf>
    <xf numFmtId="170" fontId="173" fillId="0" borderId="186" xfId="0" applyNumberFormat="1" applyFont="1" applyBorder="1" applyAlignment="1">
      <alignment vertical="top"/>
    </xf>
    <xf numFmtId="0" fontId="187" fillId="49" borderId="0" xfId="0" quotePrefix="1" applyFont="1" applyFill="1" applyAlignment="1">
      <alignment vertical="top"/>
    </xf>
    <xf numFmtId="0" fontId="3" fillId="44" borderId="75" xfId="0" applyFont="1" applyFill="1" applyBorder="1" applyProtection="1">
      <protection locked="0"/>
    </xf>
    <xf numFmtId="0" fontId="3" fillId="44" borderId="76" xfId="0" applyFont="1" applyFill="1" applyBorder="1" applyProtection="1">
      <protection locked="0"/>
    </xf>
    <xf numFmtId="0" fontId="3" fillId="44" borderId="77" xfId="0" applyFont="1" applyFill="1" applyBorder="1" applyProtection="1">
      <protection locked="0"/>
    </xf>
    <xf numFmtId="49" fontId="3" fillId="42" borderId="62" xfId="0" applyNumberFormat="1" applyFont="1" applyFill="1" applyBorder="1" applyAlignment="1" applyProtection="1">
      <alignment horizontal="center" vertical="top"/>
      <protection locked="0"/>
    </xf>
    <xf numFmtId="49" fontId="3" fillId="42" borderId="63" xfId="0" applyNumberFormat="1" applyFont="1" applyFill="1" applyBorder="1" applyAlignment="1" applyProtection="1">
      <alignment horizontal="center" vertical="top"/>
      <protection locked="0"/>
    </xf>
    <xf numFmtId="49" fontId="3" fillId="42" borderId="64" xfId="0" applyNumberFormat="1" applyFont="1" applyFill="1" applyBorder="1" applyAlignment="1" applyProtection="1">
      <alignment horizontal="center" vertical="top"/>
      <protection locked="0"/>
    </xf>
    <xf numFmtId="170" fontId="3" fillId="42" borderId="106" xfId="0" applyNumberFormat="1" applyFont="1" applyFill="1" applyBorder="1" applyAlignment="1" applyProtection="1">
      <alignment vertical="top"/>
      <protection locked="0"/>
    </xf>
    <xf numFmtId="170" fontId="3" fillId="42" borderId="107" xfId="0" applyNumberFormat="1" applyFont="1" applyFill="1" applyBorder="1" applyAlignment="1" applyProtection="1">
      <alignment vertical="top"/>
      <protection locked="0"/>
    </xf>
    <xf numFmtId="170" fontId="3" fillId="42" borderId="97" xfId="0" applyNumberFormat="1" applyFont="1" applyFill="1" applyBorder="1" applyAlignment="1" applyProtection="1">
      <alignment vertical="top"/>
      <protection locked="0"/>
    </xf>
    <xf numFmtId="0" fontId="3" fillId="42" borderId="14" xfId="0" applyFont="1" applyFill="1" applyBorder="1" applyAlignment="1" applyProtection="1">
      <alignment horizontal="center" vertical="top"/>
      <protection locked="0"/>
    </xf>
    <xf numFmtId="0" fontId="3" fillId="42" borderId="15" xfId="0" applyFont="1" applyFill="1" applyBorder="1" applyAlignment="1" applyProtection="1">
      <alignment horizontal="center" vertical="top"/>
      <protection locked="0"/>
    </xf>
    <xf numFmtId="0" fontId="3" fillId="42" borderId="16" xfId="0" applyFont="1" applyFill="1" applyBorder="1" applyAlignment="1" applyProtection="1">
      <alignment horizontal="center" vertical="top"/>
      <protection locked="0"/>
    </xf>
    <xf numFmtId="0" fontId="70" fillId="44" borderId="43" xfId="0" applyFont="1" applyFill="1" applyBorder="1" applyAlignment="1" applyProtection="1">
      <alignment horizontal="center" vertical="top"/>
      <protection locked="0"/>
    </xf>
    <xf numFmtId="0" fontId="70" fillId="44" borderId="71" xfId="0" applyFont="1" applyFill="1" applyBorder="1" applyAlignment="1" applyProtection="1">
      <alignment horizontal="center" vertical="top"/>
      <protection locked="0"/>
    </xf>
    <xf numFmtId="0" fontId="3" fillId="44" borderId="13" xfId="0" applyFont="1" applyFill="1" applyBorder="1" applyAlignment="1" applyProtection="1">
      <alignment vertical="top"/>
      <protection locked="0"/>
    </xf>
    <xf numFmtId="169" fontId="3" fillId="45" borderId="67" xfId="0" applyNumberFormat="1" applyFont="1" applyFill="1" applyBorder="1" applyAlignment="1" applyProtection="1">
      <alignment vertical="top"/>
      <protection locked="0"/>
    </xf>
    <xf numFmtId="0" fontId="3" fillId="44" borderId="13" xfId="0" applyFont="1" applyFill="1" applyBorder="1" applyProtection="1">
      <protection locked="0"/>
    </xf>
    <xf numFmtId="0" fontId="3" fillId="42" borderId="62" xfId="0" applyFont="1" applyFill="1" applyBorder="1" applyAlignment="1" applyProtection="1">
      <alignment horizontal="center" vertical="top" wrapText="1"/>
      <protection locked="0"/>
    </xf>
    <xf numFmtId="0" fontId="3" fillId="42" borderId="63" xfId="0" applyFont="1" applyFill="1" applyBorder="1" applyAlignment="1" applyProtection="1">
      <alignment horizontal="center" vertical="top" wrapText="1"/>
      <protection locked="0"/>
    </xf>
    <xf numFmtId="0" fontId="3" fillId="42" borderId="64" xfId="0" applyFont="1" applyFill="1" applyBorder="1" applyAlignment="1" applyProtection="1">
      <alignment horizontal="center" vertical="top" wrapText="1"/>
      <protection locked="0"/>
    </xf>
    <xf numFmtId="0" fontId="3" fillId="42" borderId="62" xfId="0" applyFont="1" applyFill="1" applyBorder="1" applyAlignment="1" applyProtection="1">
      <alignment horizontal="center" vertical="top"/>
      <protection locked="0"/>
    </xf>
    <xf numFmtId="0" fontId="5" fillId="25" borderId="13" xfId="0" applyFont="1" applyFill="1" applyBorder="1" applyAlignment="1">
      <alignment horizontal="center" vertical="top"/>
    </xf>
    <xf numFmtId="0" fontId="36" fillId="25" borderId="91" xfId="0" applyFont="1" applyFill="1" applyBorder="1" applyAlignment="1">
      <alignment vertical="top"/>
    </xf>
    <xf numFmtId="2" fontId="3" fillId="24" borderId="25" xfId="0" applyNumberFormat="1" applyFont="1" applyFill="1" applyBorder="1" applyAlignment="1">
      <alignment horizontal="right" vertical="top" indent="1"/>
    </xf>
    <xf numFmtId="177" fontId="3" fillId="51" borderId="13" xfId="0" applyNumberFormat="1" applyFont="1" applyFill="1" applyBorder="1" applyAlignment="1">
      <alignment vertical="top"/>
    </xf>
    <xf numFmtId="177" fontId="173" fillId="41" borderId="186" xfId="0" applyNumberFormat="1" applyFont="1" applyFill="1" applyBorder="1" applyAlignment="1">
      <alignment vertical="top"/>
    </xf>
    <xf numFmtId="177" fontId="173" fillId="41" borderId="0" xfId="0" applyNumberFormat="1" applyFont="1" applyFill="1" applyAlignment="1">
      <alignment vertical="top"/>
    </xf>
    <xf numFmtId="0" fontId="36" fillId="25" borderId="72" xfId="0" applyFont="1" applyFill="1" applyBorder="1" applyAlignment="1">
      <alignment vertical="top"/>
    </xf>
    <xf numFmtId="2" fontId="3" fillId="24" borderId="17" xfId="0" applyNumberFormat="1" applyFont="1" applyFill="1" applyBorder="1" applyAlignment="1">
      <alignment horizontal="right" vertical="top" indent="1"/>
    </xf>
    <xf numFmtId="177" fontId="3" fillId="51" borderId="92" xfId="0" applyNumberFormat="1" applyFont="1" applyFill="1" applyBorder="1" applyAlignment="1">
      <alignment vertical="top"/>
    </xf>
    <xf numFmtId="0" fontId="3" fillId="25" borderId="49" xfId="0" applyFont="1" applyFill="1" applyBorder="1"/>
    <xf numFmtId="0" fontId="3" fillId="25" borderId="58" xfId="0" applyFont="1" applyFill="1" applyBorder="1"/>
    <xf numFmtId="2" fontId="3" fillId="24" borderId="15" xfId="0" applyNumberFormat="1" applyFont="1" applyFill="1" applyBorder="1" applyAlignment="1">
      <alignment horizontal="right" vertical="top" indent="1"/>
    </xf>
    <xf numFmtId="177" fontId="3" fillId="51" borderId="63" xfId="0" applyNumberFormat="1" applyFont="1" applyFill="1" applyBorder="1" applyAlignment="1">
      <alignment vertical="top"/>
    </xf>
    <xf numFmtId="2" fontId="3" fillId="24" borderId="16" xfId="0" applyNumberFormat="1" applyFont="1" applyFill="1" applyBorder="1" applyAlignment="1">
      <alignment horizontal="right" vertical="top" indent="1"/>
    </xf>
    <xf numFmtId="177" fontId="3" fillId="51" borderId="64" xfId="0" applyNumberFormat="1" applyFont="1" applyFill="1" applyBorder="1" applyAlignment="1">
      <alignment vertical="top"/>
    </xf>
    <xf numFmtId="0" fontId="3" fillId="25" borderId="59" xfId="0" applyFont="1" applyFill="1" applyBorder="1"/>
    <xf numFmtId="0" fontId="3" fillId="25" borderId="60" xfId="0" applyFont="1" applyFill="1" applyBorder="1"/>
    <xf numFmtId="0" fontId="3" fillId="25" borderId="61" xfId="0" applyFont="1" applyFill="1" applyBorder="1"/>
    <xf numFmtId="169" fontId="173" fillId="41" borderId="186" xfId="0" applyNumberFormat="1" applyFont="1" applyFill="1" applyBorder="1" applyAlignment="1">
      <alignment vertical="top"/>
    </xf>
    <xf numFmtId="169" fontId="173" fillId="41" borderId="0" xfId="0" applyNumberFormat="1" applyFont="1" applyFill="1" applyAlignment="1">
      <alignment vertical="top"/>
    </xf>
    <xf numFmtId="0" fontId="3" fillId="25" borderId="66" xfId="0" applyFont="1" applyFill="1" applyBorder="1"/>
    <xf numFmtId="0" fontId="3" fillId="25" borderId="38" xfId="0" applyFont="1" applyFill="1" applyBorder="1"/>
    <xf numFmtId="177" fontId="3" fillId="51" borderId="62" xfId="0" applyNumberFormat="1" applyFont="1" applyFill="1" applyBorder="1" applyAlignment="1">
      <alignment vertical="top"/>
    </xf>
    <xf numFmtId="0" fontId="5" fillId="49" borderId="144" xfId="0" applyFont="1" applyFill="1" applyBorder="1" applyAlignment="1">
      <alignment horizontal="right" vertical="top"/>
    </xf>
    <xf numFmtId="169" fontId="3" fillId="27" borderId="98" xfId="0" applyNumberFormat="1" applyFont="1" applyFill="1" applyBorder="1" applyAlignment="1">
      <alignment vertical="top"/>
    </xf>
    <xf numFmtId="0" fontId="0" fillId="49" borderId="185" xfId="0" applyFill="1" applyBorder="1"/>
    <xf numFmtId="4" fontId="3" fillId="40" borderId="179" xfId="0" applyNumberFormat="1" applyFont="1" applyFill="1" applyBorder="1" applyAlignment="1">
      <alignment vertical="top" shrinkToFit="1"/>
    </xf>
    <xf numFmtId="4" fontId="3" fillId="39" borderId="60" xfId="0" applyNumberFormat="1" applyFont="1" applyFill="1" applyBorder="1" applyAlignment="1">
      <alignment vertical="top"/>
    </xf>
    <xf numFmtId="4" fontId="3" fillId="39" borderId="61" xfId="0" applyNumberFormat="1" applyFont="1" applyFill="1" applyBorder="1" applyAlignment="1">
      <alignment vertical="top"/>
    </xf>
    <xf numFmtId="175" fontId="173" fillId="41" borderId="186" xfId="0" applyNumberFormat="1" applyFont="1" applyFill="1" applyBorder="1" applyAlignment="1">
      <alignment vertical="top"/>
    </xf>
    <xf numFmtId="175" fontId="173" fillId="41" borderId="0" xfId="0" applyNumberFormat="1" applyFont="1" applyFill="1" applyAlignment="1">
      <alignment vertical="top"/>
    </xf>
    <xf numFmtId="175" fontId="3" fillId="51" borderId="92" xfId="0" applyNumberFormat="1" applyFont="1" applyFill="1" applyBorder="1" applyAlignment="1">
      <alignment vertical="top"/>
    </xf>
    <xf numFmtId="175" fontId="3" fillId="51" borderId="63" xfId="0" applyNumberFormat="1" applyFont="1" applyFill="1" applyBorder="1" applyAlignment="1">
      <alignment vertical="top"/>
    </xf>
    <xf numFmtId="175" fontId="3" fillId="51" borderId="64" xfId="0" applyNumberFormat="1" applyFont="1" applyFill="1" applyBorder="1" applyAlignment="1">
      <alignment vertical="top"/>
    </xf>
    <xf numFmtId="172" fontId="3" fillId="24" borderId="62" xfId="0" applyNumberFormat="1" applyFont="1" applyFill="1" applyBorder="1" applyAlignment="1">
      <alignment horizontal="center" vertical="top"/>
    </xf>
    <xf numFmtId="172" fontId="3" fillId="24" borderId="63" xfId="0" applyNumberFormat="1" applyFont="1" applyFill="1" applyBorder="1" applyAlignment="1">
      <alignment horizontal="center" vertical="top"/>
    </xf>
    <xf numFmtId="172" fontId="3" fillId="24" borderId="64" xfId="0" applyNumberFormat="1" applyFont="1" applyFill="1" applyBorder="1" applyAlignment="1">
      <alignment horizontal="center" vertical="top"/>
    </xf>
    <xf numFmtId="0" fontId="173" fillId="41" borderId="186" xfId="0" applyFont="1" applyFill="1" applyBorder="1"/>
    <xf numFmtId="177" fontId="3" fillId="28" borderId="67" xfId="0" applyNumberFormat="1" applyFont="1" applyFill="1" applyBorder="1" applyAlignment="1" applyProtection="1">
      <alignment vertical="top"/>
      <protection locked="0"/>
    </xf>
    <xf numFmtId="0" fontId="36" fillId="44" borderId="43" xfId="0" applyFont="1" applyFill="1" applyBorder="1" applyAlignment="1" applyProtection="1">
      <alignment vertical="top"/>
      <protection locked="0"/>
    </xf>
    <xf numFmtId="177" fontId="3" fillId="28" borderId="121" xfId="0" applyNumberFormat="1" applyFont="1" applyFill="1" applyBorder="1" applyAlignment="1" applyProtection="1">
      <alignment vertical="top"/>
      <protection locked="0"/>
    </xf>
    <xf numFmtId="177" fontId="3" fillId="28" borderId="107" xfId="0" applyNumberFormat="1" applyFont="1" applyFill="1" applyBorder="1" applyAlignment="1" applyProtection="1">
      <alignment vertical="top"/>
      <protection locked="0"/>
    </xf>
    <xf numFmtId="177" fontId="3" fillId="28" borderId="97" xfId="0" applyNumberFormat="1" applyFont="1" applyFill="1" applyBorder="1" applyAlignment="1" applyProtection="1">
      <alignment vertical="top"/>
      <protection locked="0"/>
    </xf>
    <xf numFmtId="3" fontId="3" fillId="28" borderId="67" xfId="0" applyNumberFormat="1" applyFont="1" applyFill="1" applyBorder="1" applyAlignment="1" applyProtection="1">
      <alignment vertical="top"/>
      <protection locked="0"/>
    </xf>
    <xf numFmtId="169" fontId="3" fillId="28" borderId="67" xfId="0" applyNumberFormat="1" applyFont="1" applyFill="1" applyBorder="1" applyAlignment="1" applyProtection="1">
      <alignment vertical="top"/>
      <protection locked="0"/>
    </xf>
    <xf numFmtId="169" fontId="3" fillId="28" borderId="106" xfId="0" applyNumberFormat="1" applyFont="1" applyFill="1" applyBorder="1" applyAlignment="1" applyProtection="1">
      <alignment vertical="top"/>
      <protection locked="0"/>
    </xf>
    <xf numFmtId="169" fontId="3" fillId="28" borderId="186" xfId="0" applyNumberFormat="1" applyFont="1" applyFill="1" applyBorder="1" applyAlignment="1" applyProtection="1">
      <alignment vertical="top"/>
      <protection locked="0"/>
    </xf>
    <xf numFmtId="169" fontId="3" fillId="28" borderId="97" xfId="0" applyNumberFormat="1" applyFont="1" applyFill="1" applyBorder="1" applyAlignment="1" applyProtection="1">
      <alignment vertical="top"/>
      <protection locked="0"/>
    </xf>
    <xf numFmtId="175" fontId="3" fillId="28" borderId="107" xfId="0" applyNumberFormat="1" applyFont="1" applyFill="1" applyBorder="1" applyAlignment="1" applyProtection="1">
      <alignment vertical="top"/>
      <protection locked="0"/>
    </xf>
    <xf numFmtId="175" fontId="3" fillId="28" borderId="97" xfId="0" applyNumberFormat="1" applyFont="1" applyFill="1" applyBorder="1" applyAlignment="1" applyProtection="1">
      <alignment vertical="top"/>
      <protection locked="0"/>
    </xf>
    <xf numFmtId="176" fontId="3" fillId="28" borderId="67" xfId="0" applyNumberFormat="1" applyFont="1" applyFill="1" applyBorder="1" applyAlignment="1" applyProtection="1">
      <alignment vertical="top"/>
      <protection locked="0"/>
    </xf>
    <xf numFmtId="3" fontId="3" fillId="28" borderId="106" xfId="0" applyNumberFormat="1" applyFont="1" applyFill="1" applyBorder="1" applyAlignment="1" applyProtection="1">
      <alignment vertical="top"/>
      <protection locked="0"/>
    </xf>
    <xf numFmtId="3" fontId="3" fillId="28" borderId="107" xfId="0" applyNumberFormat="1" applyFont="1" applyFill="1" applyBorder="1" applyAlignment="1" applyProtection="1">
      <alignment vertical="top"/>
      <protection locked="0"/>
    </xf>
    <xf numFmtId="3" fontId="3" fillId="28" borderId="97" xfId="0" applyNumberFormat="1" applyFont="1" applyFill="1" applyBorder="1" applyAlignment="1" applyProtection="1">
      <alignment vertical="top"/>
      <protection locked="0"/>
    </xf>
    <xf numFmtId="0" fontId="3" fillId="44" borderId="13" xfId="0" applyFont="1" applyFill="1" applyBorder="1" applyAlignment="1" applyProtection="1">
      <alignment horizontal="center" vertical="top"/>
      <protection locked="0"/>
    </xf>
    <xf numFmtId="0" fontId="5" fillId="46" borderId="83" xfId="0" applyFont="1" applyFill="1" applyBorder="1"/>
    <xf numFmtId="0" fontId="0" fillId="46" borderId="74" xfId="0" applyFill="1" applyBorder="1"/>
    <xf numFmtId="0" fontId="36" fillId="24" borderId="0" xfId="0" applyFont="1" applyFill="1" applyAlignment="1">
      <alignment vertical="top" wrapText="1"/>
    </xf>
    <xf numFmtId="0" fontId="36" fillId="0" borderId="0" xfId="0" applyFont="1" applyAlignment="1">
      <alignment vertical="top" wrapText="1"/>
    </xf>
    <xf numFmtId="0" fontId="0" fillId="40" borderId="13" xfId="0" applyFill="1" applyBorder="1" applyAlignment="1">
      <alignment horizontal="center"/>
    </xf>
    <xf numFmtId="0" fontId="34" fillId="24" borderId="12" xfId="0" applyFont="1" applyFill="1" applyBorder="1" applyAlignment="1">
      <alignment horizontal="center"/>
    </xf>
    <xf numFmtId="0" fontId="36" fillId="29" borderId="0" xfId="0" applyFont="1" applyFill="1" applyAlignment="1">
      <alignment vertical="top"/>
    </xf>
    <xf numFmtId="0" fontId="0" fillId="42" borderId="67" xfId="0" applyFill="1" applyBorder="1" applyProtection="1">
      <protection locked="0"/>
    </xf>
    <xf numFmtId="0" fontId="3" fillId="24" borderId="0" xfId="0" applyFont="1" applyFill="1" applyAlignment="1">
      <alignment horizontal="center"/>
    </xf>
    <xf numFmtId="0" fontId="192" fillId="24" borderId="0" xfId="0" applyFont="1" applyFill="1" applyAlignment="1">
      <alignment horizontal="right" vertical="top"/>
    </xf>
    <xf numFmtId="49" fontId="3" fillId="24" borderId="0" xfId="0" applyNumberFormat="1" applyFont="1" applyFill="1" applyAlignment="1">
      <alignment horizontal="left" vertical="top"/>
    </xf>
    <xf numFmtId="0" fontId="3" fillId="39" borderId="98" xfId="0" applyFont="1" applyFill="1" applyBorder="1" applyAlignment="1">
      <alignment vertical="top"/>
    </xf>
    <xf numFmtId="0" fontId="126" fillId="24" borderId="0" xfId="0" applyFont="1" applyFill="1" applyAlignment="1">
      <alignment vertical="top"/>
    </xf>
    <xf numFmtId="0" fontId="5" fillId="27" borderId="26" xfId="0" applyFont="1" applyFill="1" applyBorder="1" applyAlignment="1">
      <alignment vertical="top"/>
    </xf>
    <xf numFmtId="169" fontId="3" fillId="27" borderId="106" xfId="0" applyNumberFormat="1" applyFont="1" applyFill="1" applyBorder="1" applyAlignment="1">
      <alignment horizontal="right" vertical="top"/>
    </xf>
    <xf numFmtId="169" fontId="173" fillId="41" borderId="186" xfId="0" applyNumberFormat="1" applyFont="1" applyFill="1" applyBorder="1" applyAlignment="1">
      <alignment horizontal="right" vertical="top"/>
    </xf>
    <xf numFmtId="169" fontId="173" fillId="41" borderId="0" xfId="0" applyNumberFormat="1" applyFont="1" applyFill="1" applyAlignment="1">
      <alignment horizontal="right" vertical="top"/>
    </xf>
    <xf numFmtId="169" fontId="3" fillId="27" borderId="107" xfId="0" applyNumberFormat="1" applyFont="1" applyFill="1" applyBorder="1" applyAlignment="1">
      <alignment horizontal="right" vertical="top"/>
    </xf>
    <xf numFmtId="169" fontId="3" fillId="27" borderId="129" xfId="0" applyNumberFormat="1" applyFont="1" applyFill="1" applyBorder="1" applyAlignment="1">
      <alignment horizontal="right" vertical="top"/>
    </xf>
    <xf numFmtId="169" fontId="3" fillId="27" borderId="25" xfId="0" applyNumberFormat="1" applyFont="1" applyFill="1" applyBorder="1" applyAlignment="1">
      <alignment horizontal="right" vertical="top"/>
    </xf>
    <xf numFmtId="169" fontId="3" fillId="27" borderId="120" xfId="0" applyNumberFormat="1" applyFont="1" applyFill="1" applyBorder="1" applyAlignment="1">
      <alignment horizontal="right" vertical="top"/>
    </xf>
    <xf numFmtId="169" fontId="5" fillId="27" borderId="135" xfId="0" applyNumberFormat="1" applyFont="1" applyFill="1" applyBorder="1" applyAlignment="1">
      <alignment horizontal="right" vertical="top"/>
    </xf>
    <xf numFmtId="169" fontId="78" fillId="41" borderId="186" xfId="0" applyNumberFormat="1" applyFont="1" applyFill="1" applyBorder="1" applyAlignment="1">
      <alignment horizontal="right" vertical="top"/>
    </xf>
    <xf numFmtId="169" fontId="78" fillId="41" borderId="0" xfId="0" applyNumberFormat="1" applyFont="1" applyFill="1" applyAlignment="1">
      <alignment horizontal="right" vertical="top"/>
    </xf>
    <xf numFmtId="170" fontId="5" fillId="27" borderId="135" xfId="0" applyNumberFormat="1" applyFont="1" applyFill="1" applyBorder="1" applyAlignment="1">
      <alignment horizontal="right" vertical="top"/>
    </xf>
    <xf numFmtId="170" fontId="78" fillId="41" borderId="186" xfId="0" applyNumberFormat="1" applyFont="1" applyFill="1" applyBorder="1" applyAlignment="1">
      <alignment horizontal="right" vertical="top"/>
    </xf>
    <xf numFmtId="170" fontId="78" fillId="41" borderId="0" xfId="0" applyNumberFormat="1" applyFont="1" applyFill="1" applyAlignment="1">
      <alignment horizontal="right" vertical="top"/>
    </xf>
    <xf numFmtId="0" fontId="123" fillId="24" borderId="0" xfId="0" applyFont="1" applyFill="1" applyAlignment="1">
      <alignment vertical="top" wrapText="1"/>
    </xf>
    <xf numFmtId="0" fontId="123" fillId="24" borderId="0" xfId="0" quotePrefix="1" applyFont="1" applyFill="1" applyAlignment="1">
      <alignment horizontal="right" vertical="top" wrapText="1"/>
    </xf>
    <xf numFmtId="0" fontId="3" fillId="41" borderId="22" xfId="0" applyFont="1" applyFill="1" applyBorder="1" applyAlignment="1">
      <alignment horizontal="center" vertical="top"/>
    </xf>
    <xf numFmtId="170" fontId="3" fillId="27" borderId="121" xfId="0" applyNumberFormat="1" applyFont="1" applyFill="1" applyBorder="1" applyAlignment="1">
      <alignment vertical="top"/>
    </xf>
    <xf numFmtId="0" fontId="3" fillId="39" borderId="18" xfId="0" applyFont="1" applyFill="1" applyBorder="1" applyAlignment="1">
      <alignment horizontal="center" vertical="top"/>
    </xf>
    <xf numFmtId="0" fontId="3" fillId="41" borderId="105" xfId="0" applyFont="1" applyFill="1" applyBorder="1" applyAlignment="1">
      <alignment horizontal="center" vertical="top"/>
    </xf>
    <xf numFmtId="170" fontId="3" fillId="27" borderId="129" xfId="0" applyNumberFormat="1" applyFont="1" applyFill="1" applyBorder="1" applyAlignment="1">
      <alignment vertical="top"/>
    </xf>
    <xf numFmtId="170" fontId="3" fillId="27" borderId="107" xfId="0" applyNumberFormat="1" applyFont="1" applyFill="1" applyBorder="1" applyAlignment="1">
      <alignment vertical="top"/>
    </xf>
    <xf numFmtId="0" fontId="3" fillId="41" borderId="48" xfId="0" applyFont="1" applyFill="1" applyBorder="1" applyAlignment="1">
      <alignment horizontal="center" vertical="top"/>
    </xf>
    <xf numFmtId="170" fontId="3" fillId="27" borderId="124" xfId="0" applyNumberFormat="1" applyFont="1" applyFill="1" applyBorder="1" applyAlignment="1">
      <alignment vertical="top"/>
    </xf>
    <xf numFmtId="0" fontId="3" fillId="39" borderId="117" xfId="0" applyFont="1" applyFill="1" applyBorder="1" applyAlignment="1">
      <alignment horizontal="center" vertical="top"/>
    </xf>
    <xf numFmtId="0" fontId="5" fillId="41" borderId="70" xfId="0" applyFont="1" applyFill="1" applyBorder="1" applyAlignment="1">
      <alignment horizontal="center" vertical="top"/>
    </xf>
    <xf numFmtId="170" fontId="5" fillId="27" borderId="182" xfId="0" applyNumberFormat="1" applyFont="1" applyFill="1" applyBorder="1" applyAlignment="1">
      <alignment vertical="top"/>
    </xf>
    <xf numFmtId="0" fontId="5" fillId="41" borderId="48" xfId="0" applyFont="1" applyFill="1" applyBorder="1" applyAlignment="1">
      <alignment horizontal="center" vertical="top"/>
    </xf>
    <xf numFmtId="0" fontId="123" fillId="24" borderId="0" xfId="0" applyFont="1" applyFill="1" applyAlignment="1">
      <alignment horizontal="left" vertical="top"/>
    </xf>
    <xf numFmtId="0" fontId="173" fillId="41" borderId="186" xfId="0" applyFont="1" applyFill="1" applyBorder="1" applyAlignment="1">
      <alignment horizontal="left" vertical="top"/>
    </xf>
    <xf numFmtId="176" fontId="3" fillId="27" borderId="106" xfId="0" applyNumberFormat="1" applyFont="1" applyFill="1" applyBorder="1" applyAlignment="1">
      <alignment vertical="top"/>
    </xf>
    <xf numFmtId="176" fontId="3" fillId="27" borderId="97" xfId="0" applyNumberFormat="1" applyFont="1" applyFill="1" applyBorder="1" applyAlignment="1">
      <alignment vertical="top"/>
    </xf>
    <xf numFmtId="10" fontId="3" fillId="40" borderId="106" xfId="0" applyNumberFormat="1" applyFont="1" applyFill="1" applyBorder="1" applyAlignment="1">
      <alignment vertical="top"/>
    </xf>
    <xf numFmtId="10" fontId="3" fillId="40" borderId="97" xfId="0" applyNumberFormat="1" applyFont="1" applyFill="1" applyBorder="1" applyAlignment="1">
      <alignment vertical="top"/>
    </xf>
    <xf numFmtId="4" fontId="5" fillId="27" borderId="67" xfId="0" applyNumberFormat="1" applyFont="1" applyFill="1" applyBorder="1" applyAlignment="1">
      <alignment vertical="top"/>
    </xf>
    <xf numFmtId="4" fontId="78" fillId="41" borderId="186" xfId="0" applyNumberFormat="1" applyFont="1" applyFill="1" applyBorder="1" applyAlignment="1">
      <alignment vertical="top"/>
    </xf>
    <xf numFmtId="0" fontId="3" fillId="24" borderId="21" xfId="0" applyFont="1" applyFill="1" applyBorder="1" applyAlignment="1">
      <alignment horizontal="center" vertical="top"/>
    </xf>
    <xf numFmtId="0" fontId="3" fillId="24" borderId="41" xfId="0" applyFont="1" applyFill="1" applyBorder="1" applyAlignment="1">
      <alignment horizontal="center" vertical="top"/>
    </xf>
    <xf numFmtId="0" fontId="3" fillId="24" borderId="120" xfId="0" applyFont="1" applyFill="1" applyBorder="1" applyAlignment="1">
      <alignment horizontal="center" vertical="top"/>
    </xf>
    <xf numFmtId="0" fontId="3" fillId="39" borderId="10" xfId="0" applyFont="1" applyFill="1" applyBorder="1"/>
    <xf numFmtId="0" fontId="3" fillId="24" borderId="0" xfId="0" applyFont="1" applyFill="1" applyAlignment="1">
      <alignment horizontal="right"/>
    </xf>
    <xf numFmtId="4" fontId="3" fillId="40" borderId="121" xfId="0" applyNumberFormat="1" applyFont="1" applyFill="1" applyBorder="1" applyAlignment="1">
      <alignment vertical="top"/>
    </xf>
    <xf numFmtId="4" fontId="3" fillId="27" borderId="78" xfId="0" applyNumberFormat="1" applyFont="1" applyFill="1" applyBorder="1" applyAlignment="1">
      <alignment vertical="top"/>
    </xf>
    <xf numFmtId="0" fontId="5" fillId="0" borderId="46" xfId="0" applyFont="1" applyBorder="1" applyAlignment="1">
      <alignment horizontal="center" vertical="top"/>
    </xf>
    <xf numFmtId="4" fontId="3" fillId="27" borderId="99" xfId="0" applyNumberFormat="1" applyFont="1" applyFill="1" applyBorder="1" applyAlignment="1">
      <alignment vertical="top"/>
    </xf>
    <xf numFmtId="0" fontId="5" fillId="0" borderId="26" xfId="0" applyFont="1" applyBorder="1" applyAlignment="1">
      <alignment horizontal="center" vertical="top"/>
    </xf>
    <xf numFmtId="0" fontId="5" fillId="0" borderId="69" xfId="0" applyFont="1" applyBorder="1" applyAlignment="1">
      <alignment horizontal="center" vertical="top"/>
    </xf>
    <xf numFmtId="4" fontId="3" fillId="27" borderId="119" xfId="0" applyNumberFormat="1" applyFont="1" applyFill="1" applyBorder="1" applyAlignment="1">
      <alignment vertical="top"/>
    </xf>
    <xf numFmtId="0" fontId="3" fillId="24" borderId="90" xfId="0" applyFont="1" applyFill="1" applyBorder="1"/>
    <xf numFmtId="0" fontId="3" fillId="0" borderId="0" xfId="0" applyFont="1" applyAlignment="1">
      <alignment horizontal="center" vertical="top" wrapText="1"/>
    </xf>
    <xf numFmtId="0" fontId="3" fillId="24" borderId="0" xfId="0" applyFont="1" applyFill="1" applyAlignment="1">
      <alignment wrapText="1"/>
    </xf>
    <xf numFmtId="0" fontId="3" fillId="39" borderId="0" xfId="0" applyFont="1" applyFill="1" applyAlignment="1">
      <alignment wrapText="1"/>
    </xf>
    <xf numFmtId="0" fontId="3" fillId="39" borderId="0" xfId="0" applyFont="1" applyFill="1" applyAlignment="1">
      <alignment vertical="top" wrapText="1"/>
    </xf>
    <xf numFmtId="0" fontId="34" fillId="39" borderId="74" xfId="0" applyFont="1" applyFill="1" applyBorder="1" applyAlignment="1">
      <alignment horizontal="center"/>
    </xf>
    <xf numFmtId="0" fontId="37" fillId="39" borderId="74" xfId="0" applyFont="1" applyFill="1" applyBorder="1" applyAlignment="1">
      <alignment vertical="top"/>
    </xf>
    <xf numFmtId="0" fontId="5" fillId="24" borderId="66" xfId="0" applyFont="1" applyFill="1" applyBorder="1" applyAlignment="1">
      <alignment horizontal="right" vertical="top"/>
    </xf>
    <xf numFmtId="0" fontId="3" fillId="39" borderId="43" xfId="0" applyFont="1" applyFill="1" applyBorder="1" applyAlignment="1">
      <alignment vertical="top"/>
    </xf>
    <xf numFmtId="0" fontId="3" fillId="39" borderId="71" xfId="0" applyFont="1" applyFill="1" applyBorder="1" applyAlignment="1">
      <alignment vertical="top"/>
    </xf>
    <xf numFmtId="0" fontId="3" fillId="39" borderId="72" xfId="0" applyFont="1" applyFill="1" applyBorder="1" applyAlignment="1">
      <alignment vertical="top"/>
    </xf>
    <xf numFmtId="169" fontId="3" fillId="27" borderId="111" xfId="0" applyNumberFormat="1" applyFont="1" applyFill="1" applyBorder="1" applyAlignment="1">
      <alignment horizontal="right" vertical="top"/>
    </xf>
    <xf numFmtId="0" fontId="185" fillId="41" borderId="186" xfId="0" applyFont="1" applyFill="1" applyBorder="1" applyAlignment="1">
      <alignment horizontal="center"/>
    </xf>
    <xf numFmtId="0" fontId="185" fillId="41" borderId="0" xfId="0" applyFont="1" applyFill="1" applyAlignment="1">
      <alignment horizontal="center"/>
    </xf>
    <xf numFmtId="0" fontId="5" fillId="24" borderId="176" xfId="0" applyFont="1" applyFill="1" applyBorder="1" applyAlignment="1">
      <alignment horizontal="right" vertical="top"/>
    </xf>
    <xf numFmtId="0" fontId="74" fillId="27" borderId="154" xfId="0" applyFont="1" applyFill="1" applyBorder="1" applyAlignment="1">
      <alignment horizontal="center" vertical="top"/>
    </xf>
    <xf numFmtId="0" fontId="173" fillId="41" borderId="186" xfId="0" applyFont="1" applyFill="1" applyBorder="1" applyAlignment="1">
      <alignment horizontal="center" vertical="top"/>
    </xf>
    <xf numFmtId="0" fontId="173" fillId="41" borderId="0" xfId="0" applyFont="1" applyFill="1" applyAlignment="1">
      <alignment horizontal="center" vertical="top"/>
    </xf>
    <xf numFmtId="0" fontId="74" fillId="27" borderId="153" xfId="0" applyFont="1" applyFill="1" applyBorder="1" applyAlignment="1">
      <alignment horizontal="center" vertical="top"/>
    </xf>
    <xf numFmtId="169" fontId="72" fillId="27" borderId="111" xfId="0" applyNumberFormat="1" applyFont="1" applyFill="1" applyBorder="1" applyAlignment="1">
      <alignment horizontal="right" vertical="top"/>
    </xf>
    <xf numFmtId="169" fontId="72" fillId="27" borderId="154" xfId="0" applyNumberFormat="1" applyFont="1" applyFill="1" applyBorder="1" applyAlignment="1">
      <alignment horizontal="right" vertical="top"/>
    </xf>
    <xf numFmtId="169" fontId="72" fillId="40" borderId="108" xfId="0" applyNumberFormat="1" applyFont="1" applyFill="1" applyBorder="1" applyAlignment="1">
      <alignment horizontal="right" vertical="top"/>
    </xf>
    <xf numFmtId="176" fontId="72" fillId="27" borderId="108" xfId="0" applyNumberFormat="1" applyFont="1" applyFill="1" applyBorder="1" applyAlignment="1">
      <alignment horizontal="right" vertical="top"/>
    </xf>
    <xf numFmtId="176" fontId="173" fillId="41" borderId="186" xfId="0" applyNumberFormat="1" applyFont="1" applyFill="1" applyBorder="1" applyAlignment="1">
      <alignment horizontal="right" vertical="top"/>
    </xf>
    <xf numFmtId="176" fontId="173" fillId="41" borderId="0" xfId="0" applyNumberFormat="1" applyFont="1" applyFill="1" applyAlignment="1">
      <alignment horizontal="right" vertical="top"/>
    </xf>
    <xf numFmtId="176" fontId="72" fillId="27" borderId="176" xfId="0" applyNumberFormat="1" applyFont="1" applyFill="1" applyBorder="1" applyAlignment="1">
      <alignment horizontal="right" vertical="top"/>
    </xf>
    <xf numFmtId="169" fontId="3" fillId="27" borderId="154" xfId="0" applyNumberFormat="1" applyFont="1" applyFill="1" applyBorder="1" applyAlignment="1">
      <alignment horizontal="right" vertical="top"/>
    </xf>
    <xf numFmtId="0" fontId="74" fillId="27" borderId="108" xfId="0" applyFont="1" applyFill="1" applyBorder="1" applyAlignment="1">
      <alignment horizontal="center" vertical="top"/>
    </xf>
    <xf numFmtId="169" fontId="3" fillId="27" borderId="153" xfId="0" applyNumberFormat="1" applyFont="1" applyFill="1" applyBorder="1" applyAlignment="1">
      <alignment horizontal="right" vertical="top"/>
    </xf>
    <xf numFmtId="0" fontId="74" fillId="27" borderId="111" xfId="0" applyFont="1" applyFill="1" applyBorder="1" applyAlignment="1">
      <alignment horizontal="center" vertical="top"/>
    </xf>
    <xf numFmtId="169" fontId="72" fillId="40" borderId="181" xfId="0" applyNumberFormat="1" applyFont="1" applyFill="1" applyBorder="1" applyAlignment="1">
      <alignment horizontal="right" vertical="top"/>
    </xf>
    <xf numFmtId="176" fontId="3" fillId="27" borderId="154" xfId="0" applyNumberFormat="1" applyFont="1" applyFill="1" applyBorder="1" applyAlignment="1">
      <alignment horizontal="right" vertical="top"/>
    </xf>
    <xf numFmtId="176" fontId="3" fillId="27" borderId="153" xfId="0" applyNumberFormat="1" applyFont="1" applyFill="1" applyBorder="1" applyAlignment="1">
      <alignment horizontal="right" vertical="top"/>
    </xf>
    <xf numFmtId="169" fontId="3" fillId="40" borderId="154" xfId="0" applyNumberFormat="1" applyFont="1" applyFill="1" applyBorder="1" applyAlignment="1">
      <alignment horizontal="right" vertical="top"/>
    </xf>
    <xf numFmtId="169" fontId="3" fillId="40" borderId="153" xfId="0" applyNumberFormat="1" applyFont="1" applyFill="1" applyBorder="1" applyAlignment="1">
      <alignment horizontal="right" vertical="top"/>
    </xf>
    <xf numFmtId="176" fontId="72" fillId="27" borderId="175" xfId="0" applyNumberFormat="1" applyFont="1" applyFill="1" applyBorder="1" applyAlignment="1">
      <alignment horizontal="right" vertical="top"/>
    </xf>
    <xf numFmtId="176" fontId="72" fillId="27" borderId="181" xfId="0" applyNumberFormat="1" applyFont="1" applyFill="1" applyBorder="1" applyAlignment="1">
      <alignment horizontal="right" vertical="top"/>
    </xf>
    <xf numFmtId="0" fontId="5" fillId="39" borderId="13" xfId="0" applyFont="1" applyFill="1" applyBorder="1" applyAlignment="1">
      <alignment horizontal="center" vertical="top"/>
    </xf>
    <xf numFmtId="169" fontId="72" fillId="39" borderId="62" xfId="0" applyNumberFormat="1" applyFont="1" applyFill="1" applyBorder="1" applyAlignment="1">
      <alignment horizontal="right" vertical="top"/>
    </xf>
    <xf numFmtId="169" fontId="3" fillId="27" borderId="175" xfId="0" applyNumberFormat="1" applyFont="1" applyFill="1" applyBorder="1" applyAlignment="1">
      <alignment horizontal="right" vertical="top"/>
    </xf>
    <xf numFmtId="169" fontId="72" fillId="39" borderId="92" xfId="0" applyNumberFormat="1" applyFont="1" applyFill="1" applyBorder="1" applyAlignment="1">
      <alignment horizontal="right" vertical="top"/>
    </xf>
    <xf numFmtId="169" fontId="3" fillId="40" borderId="108" xfId="0" applyNumberFormat="1" applyFont="1" applyFill="1" applyBorder="1" applyAlignment="1">
      <alignment horizontal="right" vertical="top"/>
    </xf>
    <xf numFmtId="169" fontId="72" fillId="39" borderId="63" xfId="0" applyNumberFormat="1" applyFont="1" applyFill="1" applyBorder="1" applyAlignment="1">
      <alignment horizontal="right" vertical="top"/>
    </xf>
    <xf numFmtId="176" fontId="3" fillId="27" borderId="108" xfId="0" applyNumberFormat="1" applyFont="1" applyFill="1" applyBorder="1" applyAlignment="1">
      <alignment horizontal="right" vertical="top"/>
    </xf>
    <xf numFmtId="176" fontId="72" fillId="39" borderId="63" xfId="0" applyNumberFormat="1" applyFont="1" applyFill="1" applyBorder="1" applyAlignment="1">
      <alignment horizontal="right" vertical="top"/>
    </xf>
    <xf numFmtId="176" fontId="3" fillId="27" borderId="176" xfId="0" applyNumberFormat="1" applyFont="1" applyFill="1" applyBorder="1" applyAlignment="1">
      <alignment horizontal="right" vertical="top"/>
    </xf>
    <xf numFmtId="176" fontId="72" fillId="39" borderId="11" xfId="0" applyNumberFormat="1" applyFont="1" applyFill="1" applyBorder="1" applyAlignment="1">
      <alignment horizontal="right" vertical="top"/>
    </xf>
    <xf numFmtId="169" fontId="72" fillId="39" borderId="13" xfId="0" applyNumberFormat="1" applyFont="1" applyFill="1" applyBorder="1" applyAlignment="1">
      <alignment horizontal="right" vertical="top"/>
    </xf>
    <xf numFmtId="0" fontId="5" fillId="43" borderId="66" xfId="0" applyFont="1" applyFill="1" applyBorder="1" applyAlignment="1">
      <alignment horizontal="right" vertical="top"/>
    </xf>
    <xf numFmtId="4" fontId="5" fillId="40" borderId="83" xfId="0" applyNumberFormat="1" applyFont="1" applyFill="1" applyBorder="1" applyAlignment="1">
      <alignment vertical="top"/>
    </xf>
    <xf numFmtId="4" fontId="3" fillId="43" borderId="0" xfId="0" applyNumberFormat="1" applyFont="1" applyFill="1" applyAlignment="1">
      <alignment horizontal="right" vertical="top"/>
    </xf>
    <xf numFmtId="4" fontId="173" fillId="41" borderId="186" xfId="0" applyNumberFormat="1" applyFont="1" applyFill="1" applyBorder="1" applyAlignment="1">
      <alignment horizontal="right" vertical="top"/>
    </xf>
    <xf numFmtId="4" fontId="173" fillId="41" borderId="0" xfId="0" applyNumberFormat="1" applyFont="1" applyFill="1" applyAlignment="1">
      <alignment horizontal="right" vertical="top"/>
    </xf>
    <xf numFmtId="4" fontId="3" fillId="40" borderId="154" xfId="0" applyNumberFormat="1" applyFont="1" applyFill="1" applyBorder="1" applyAlignment="1">
      <alignment vertical="top"/>
    </xf>
    <xf numFmtId="4" fontId="3" fillId="40" borderId="153" xfId="0" applyNumberFormat="1" applyFont="1" applyFill="1" applyBorder="1" applyAlignment="1">
      <alignment vertical="top"/>
    </xf>
    <xf numFmtId="4" fontId="3" fillId="43" borderId="0" xfId="0" applyNumberFormat="1" applyFont="1" applyFill="1" applyAlignment="1">
      <alignment vertical="top"/>
    </xf>
    <xf numFmtId="4" fontId="3" fillId="40" borderId="111" xfId="0" applyNumberFormat="1" applyFont="1" applyFill="1" applyBorder="1" applyAlignment="1">
      <alignment vertical="top"/>
    </xf>
    <xf numFmtId="3" fontId="3" fillId="39" borderId="0" xfId="0" applyNumberFormat="1" applyFont="1" applyFill="1"/>
    <xf numFmtId="170" fontId="3" fillId="27" borderId="111" xfId="0" applyNumberFormat="1" applyFont="1" applyFill="1" applyBorder="1" applyAlignment="1">
      <alignment horizontal="right" vertical="top"/>
    </xf>
    <xf numFmtId="170" fontId="173" fillId="41" borderId="186" xfId="0" applyNumberFormat="1" applyFont="1" applyFill="1" applyBorder="1" applyAlignment="1">
      <alignment horizontal="right" vertical="top"/>
    </xf>
    <xf numFmtId="170" fontId="173" fillId="41" borderId="0" xfId="0" applyNumberFormat="1" applyFont="1" applyFill="1" applyAlignment="1">
      <alignment horizontal="right" vertical="top"/>
    </xf>
    <xf numFmtId="176" fontId="3" fillId="27" borderId="111" xfId="0" applyNumberFormat="1" applyFont="1" applyFill="1" applyBorder="1" applyAlignment="1">
      <alignment horizontal="right" vertical="top"/>
    </xf>
    <xf numFmtId="170" fontId="72" fillId="27" borderId="111" xfId="0" applyNumberFormat="1" applyFont="1" applyFill="1" applyBorder="1" applyAlignment="1">
      <alignment horizontal="right" vertical="top"/>
    </xf>
    <xf numFmtId="170" fontId="3" fillId="27" borderId="154" xfId="0" applyNumberFormat="1" applyFont="1" applyFill="1" applyBorder="1" applyAlignment="1">
      <alignment horizontal="right" vertical="top"/>
    </xf>
    <xf numFmtId="170" fontId="3" fillId="27" borderId="153" xfId="0" applyNumberFormat="1" applyFont="1" applyFill="1" applyBorder="1" applyAlignment="1">
      <alignment horizontal="right" vertical="top"/>
    </xf>
    <xf numFmtId="0" fontId="3" fillId="39" borderId="11" xfId="0" applyFont="1" applyFill="1" applyBorder="1" applyAlignment="1">
      <alignment vertical="top"/>
    </xf>
    <xf numFmtId="169" fontId="72" fillId="41" borderId="50" xfId="0" applyNumberFormat="1" applyFont="1" applyFill="1" applyBorder="1" applyAlignment="1">
      <alignment horizontal="right" vertical="top"/>
    </xf>
    <xf numFmtId="0" fontId="5" fillId="43" borderId="12" xfId="0" applyFont="1" applyFill="1" applyBorder="1" applyAlignment="1">
      <alignment horizontal="right" vertical="top"/>
    </xf>
    <xf numFmtId="170" fontId="176" fillId="0" borderId="0" xfId="0" applyNumberFormat="1" applyFont="1" applyAlignment="1">
      <alignment horizontal="right" vertical="top"/>
    </xf>
    <xf numFmtId="0" fontId="177" fillId="0" borderId="0" xfId="0" applyFont="1" applyAlignment="1">
      <alignment horizontal="center"/>
    </xf>
    <xf numFmtId="0" fontId="5" fillId="24" borderId="144" xfId="0" applyFont="1" applyFill="1" applyBorder="1" applyAlignment="1">
      <alignment horizontal="right" vertical="top"/>
    </xf>
    <xf numFmtId="0" fontId="74" fillId="27" borderId="145" xfId="0" applyFont="1" applyFill="1" applyBorder="1" applyAlignment="1">
      <alignment horizontal="center" vertical="top"/>
    </xf>
    <xf numFmtId="0" fontId="176" fillId="0" borderId="0" xfId="0" applyFont="1" applyAlignment="1">
      <alignment horizontal="center" vertical="top"/>
    </xf>
    <xf numFmtId="0" fontId="74" fillId="27" borderId="177" xfId="0" applyFont="1" applyFill="1" applyBorder="1" applyAlignment="1">
      <alignment horizontal="center" vertical="top"/>
    </xf>
    <xf numFmtId="0" fontId="5" fillId="24" borderId="109" xfId="0" applyFont="1" applyFill="1" applyBorder="1" applyAlignment="1">
      <alignment horizontal="right" vertical="top"/>
    </xf>
    <xf numFmtId="170" fontId="72" fillId="27" borderId="98" xfId="0" applyNumberFormat="1" applyFont="1" applyFill="1" applyBorder="1" applyAlignment="1">
      <alignment horizontal="right" vertical="top"/>
    </xf>
    <xf numFmtId="169" fontId="3" fillId="27" borderId="98" xfId="0" applyNumberFormat="1" applyFont="1" applyFill="1" applyBorder="1" applyAlignment="1">
      <alignment horizontal="right" vertical="top"/>
    </xf>
    <xf numFmtId="169" fontId="176" fillId="0" borderId="0" xfId="0" applyNumberFormat="1" applyFont="1" applyAlignment="1">
      <alignment horizontal="right" vertical="top"/>
    </xf>
    <xf numFmtId="170" fontId="3" fillId="27" borderId="145" xfId="0" applyNumberFormat="1" applyFont="1" applyFill="1" applyBorder="1" applyAlignment="1">
      <alignment horizontal="right" vertical="top"/>
    </xf>
    <xf numFmtId="0" fontId="74" fillId="27" borderId="140" xfId="0" applyFont="1" applyFill="1" applyBorder="1" applyAlignment="1">
      <alignment horizontal="center" vertical="top"/>
    </xf>
    <xf numFmtId="170" fontId="3" fillId="27" borderId="177" xfId="0" applyNumberFormat="1" applyFont="1" applyFill="1" applyBorder="1" applyAlignment="1">
      <alignment horizontal="right" vertical="top"/>
    </xf>
    <xf numFmtId="0" fontId="74" fillId="27" borderId="98" xfId="0" applyFont="1" applyFill="1" applyBorder="1" applyAlignment="1">
      <alignment horizontal="center" vertical="top"/>
    </xf>
    <xf numFmtId="170" fontId="3" fillId="27" borderId="98" xfId="0" applyNumberFormat="1" applyFont="1" applyFill="1" applyBorder="1" applyAlignment="1">
      <alignment horizontal="right" vertical="top"/>
    </xf>
    <xf numFmtId="0" fontId="5" fillId="43" borderId="152" xfId="0" applyFont="1" applyFill="1" applyBorder="1" applyAlignment="1">
      <alignment horizontal="right" vertical="top"/>
    </xf>
    <xf numFmtId="4" fontId="175" fillId="0" borderId="0" xfId="0" applyNumberFormat="1" applyFont="1" applyAlignment="1">
      <alignment vertical="top"/>
    </xf>
    <xf numFmtId="4" fontId="178" fillId="0" borderId="0" xfId="0" applyNumberFormat="1" applyFont="1" applyAlignment="1">
      <alignment vertical="top"/>
    </xf>
    <xf numFmtId="0" fontId="3" fillId="0" borderId="0" xfId="0" applyFont="1" applyAlignment="1">
      <alignment horizontal="center" vertical="center"/>
    </xf>
    <xf numFmtId="0" fontId="3" fillId="41" borderId="0" xfId="0" applyFont="1" applyFill="1" applyAlignment="1">
      <alignment vertical="center"/>
    </xf>
    <xf numFmtId="169" fontId="3" fillId="27" borderId="43" xfId="0" applyNumberFormat="1" applyFont="1" applyFill="1" applyBorder="1" applyAlignment="1">
      <alignment vertical="top"/>
    </xf>
    <xf numFmtId="169" fontId="3" fillId="27" borderId="59" xfId="0" applyNumberFormat="1" applyFont="1" applyFill="1" applyBorder="1" applyAlignment="1">
      <alignment vertical="top"/>
    </xf>
    <xf numFmtId="169" fontId="3" fillId="27" borderId="117" xfId="0" applyNumberFormat="1" applyFont="1" applyFill="1" applyBorder="1" applyAlignment="1">
      <alignment vertical="top"/>
    </xf>
    <xf numFmtId="169" fontId="3" fillId="27" borderId="126" xfId="0" applyNumberFormat="1" applyFont="1" applyFill="1" applyBorder="1" applyAlignment="1">
      <alignment vertical="top"/>
    </xf>
    <xf numFmtId="169" fontId="5" fillId="27" borderId="117" xfId="0" applyNumberFormat="1" applyFont="1" applyFill="1" applyBorder="1" applyAlignment="1">
      <alignment vertical="top"/>
    </xf>
    <xf numFmtId="169" fontId="78" fillId="41" borderId="0" xfId="0" applyNumberFormat="1" applyFont="1" applyFill="1" applyAlignment="1">
      <alignment vertical="top"/>
    </xf>
    <xf numFmtId="0" fontId="5" fillId="24" borderId="12" xfId="0" applyFont="1" applyFill="1" applyBorder="1" applyAlignment="1">
      <alignment horizontal="right" vertical="top"/>
    </xf>
    <xf numFmtId="176" fontId="3" fillId="27" borderId="117" xfId="0" applyNumberFormat="1" applyFont="1" applyFill="1" applyBorder="1" applyAlignment="1">
      <alignment vertical="top"/>
    </xf>
    <xf numFmtId="169" fontId="5" fillId="0" borderId="0" xfId="0" applyNumberFormat="1" applyFont="1" applyAlignment="1">
      <alignment vertical="top"/>
    </xf>
    <xf numFmtId="169" fontId="175" fillId="41" borderId="0" xfId="0" applyNumberFormat="1" applyFont="1" applyFill="1" applyAlignment="1">
      <alignment vertical="top"/>
    </xf>
    <xf numFmtId="169" fontId="183" fillId="41" borderId="0" xfId="0" applyNumberFormat="1" applyFont="1" applyFill="1" applyAlignment="1">
      <alignment vertical="top"/>
    </xf>
    <xf numFmtId="169" fontId="5" fillId="27" borderId="24" xfId="0" applyNumberFormat="1" applyFont="1" applyFill="1" applyBorder="1" applyAlignment="1">
      <alignment vertical="top"/>
    </xf>
    <xf numFmtId="0" fontId="5" fillId="41" borderId="0" xfId="0" applyFont="1" applyFill="1" applyAlignment="1">
      <alignment horizontal="right" vertical="top"/>
    </xf>
    <xf numFmtId="0" fontId="3" fillId="39" borderId="13" xfId="0" applyFont="1" applyFill="1" applyBorder="1" applyAlignment="1">
      <alignment horizontal="center" vertical="center"/>
    </xf>
    <xf numFmtId="0" fontId="3" fillId="39" borderId="25" xfId="0" applyFont="1" applyFill="1" applyBorder="1" applyAlignment="1">
      <alignment horizontal="center" vertical="center"/>
    </xf>
    <xf numFmtId="0" fontId="3" fillId="39" borderId="26" xfId="0" applyFont="1" applyFill="1" applyBorder="1" applyAlignment="1">
      <alignment vertical="top"/>
    </xf>
    <xf numFmtId="169" fontId="3" fillId="41" borderId="0" xfId="0" applyNumberFormat="1" applyFont="1" applyFill="1" applyAlignment="1">
      <alignment vertical="top"/>
    </xf>
    <xf numFmtId="0" fontId="3" fillId="39" borderId="91" xfId="0" applyFont="1" applyFill="1" applyBorder="1" applyAlignment="1">
      <alignment horizontal="center" vertical="center"/>
    </xf>
    <xf numFmtId="0" fontId="3" fillId="39" borderId="0" xfId="0" applyFont="1" applyFill="1" applyAlignment="1">
      <alignment horizontal="center" vertical="center"/>
    </xf>
    <xf numFmtId="0" fontId="3" fillId="39" borderId="18" xfId="0" applyFont="1" applyFill="1" applyBorder="1" applyAlignment="1">
      <alignment horizontal="center" vertical="center"/>
    </xf>
    <xf numFmtId="0" fontId="3" fillId="39" borderId="18" xfId="0" applyFont="1" applyFill="1" applyBorder="1" applyAlignment="1">
      <alignment vertical="top"/>
    </xf>
    <xf numFmtId="0" fontId="3" fillId="39" borderId="11" xfId="0" applyFont="1" applyFill="1" applyBorder="1" applyAlignment="1">
      <alignment horizontal="center" vertical="center"/>
    </xf>
    <xf numFmtId="0" fontId="3" fillId="39" borderId="12" xfId="0" applyFont="1" applyFill="1" applyBorder="1" applyAlignment="1">
      <alignment horizontal="center" vertical="center"/>
    </xf>
    <xf numFmtId="0" fontId="3" fillId="39" borderId="24" xfId="0" applyFont="1" applyFill="1" applyBorder="1" applyAlignment="1">
      <alignment vertical="top"/>
    </xf>
    <xf numFmtId="169" fontId="5" fillId="41" borderId="0" xfId="0" applyNumberFormat="1" applyFont="1" applyFill="1" applyAlignment="1">
      <alignment vertical="top"/>
    </xf>
    <xf numFmtId="3" fontId="3" fillId="40" borderId="71" xfId="0" applyNumberFormat="1" applyFont="1" applyFill="1" applyBorder="1" applyAlignment="1">
      <alignment horizontal="right" vertical="top"/>
    </xf>
    <xf numFmtId="3" fontId="3" fillId="40" borderId="13" xfId="0" applyNumberFormat="1" applyFont="1" applyFill="1" applyBorder="1" applyAlignment="1">
      <alignment horizontal="right" vertical="top"/>
    </xf>
    <xf numFmtId="3" fontId="3" fillId="40" borderId="10" xfId="0" applyNumberFormat="1" applyFont="1" applyFill="1" applyBorder="1" applyAlignment="1">
      <alignment horizontal="right" vertical="top"/>
    </xf>
    <xf numFmtId="3" fontId="3" fillId="40" borderId="55" xfId="0" applyNumberFormat="1" applyFont="1" applyFill="1" applyBorder="1" applyAlignment="1">
      <alignment horizontal="right" vertical="top"/>
    </xf>
    <xf numFmtId="3" fontId="3" fillId="40" borderId="60" xfId="0" applyNumberFormat="1" applyFont="1" applyFill="1" applyBorder="1" applyAlignment="1">
      <alignment horizontal="right" vertical="top"/>
    </xf>
    <xf numFmtId="3" fontId="5" fillId="40" borderId="11" xfId="0" applyNumberFormat="1" applyFont="1" applyFill="1" applyBorder="1" applyAlignment="1">
      <alignment horizontal="right" vertical="top"/>
    </xf>
    <xf numFmtId="0" fontId="3" fillId="24" borderId="0" xfId="0" applyFont="1" applyFill="1" applyAlignment="1">
      <alignment horizontal="center" vertical="center"/>
    </xf>
    <xf numFmtId="0" fontId="3" fillId="41" borderId="0" xfId="0" applyFont="1" applyFill="1" applyAlignment="1">
      <alignment horizontal="center" vertical="center"/>
    </xf>
    <xf numFmtId="0" fontId="38" fillId="24" borderId="0" xfId="0" applyFont="1" applyFill="1"/>
    <xf numFmtId="0" fontId="3" fillId="0" borderId="28" xfId="0" applyFont="1" applyBorder="1" applyAlignment="1">
      <alignment vertical="top"/>
    </xf>
    <xf numFmtId="0" fontId="3" fillId="0" borderId="30" xfId="0" applyFont="1" applyBorder="1" applyAlignment="1">
      <alignment vertical="top"/>
    </xf>
    <xf numFmtId="0" fontId="3" fillId="56" borderId="57" xfId="0" applyFont="1" applyFill="1" applyBorder="1" applyAlignment="1">
      <alignment vertical="top"/>
    </xf>
    <xf numFmtId="0" fontId="3" fillId="56" borderId="28" xfId="0" applyFont="1" applyFill="1" applyBorder="1" applyAlignment="1">
      <alignment vertical="top"/>
    </xf>
    <xf numFmtId="0" fontId="3" fillId="56" borderId="30" xfId="0" applyFont="1" applyFill="1" applyBorder="1" applyAlignment="1">
      <alignment vertical="top"/>
    </xf>
    <xf numFmtId="0" fontId="3" fillId="56" borderId="66" xfId="0" applyFont="1" applyFill="1" applyBorder="1" applyAlignment="1">
      <alignment vertical="top"/>
    </xf>
    <xf numFmtId="0" fontId="3" fillId="56" borderId="0" xfId="0" applyFont="1" applyFill="1" applyAlignment="1">
      <alignment vertical="top"/>
    </xf>
    <xf numFmtId="0" fontId="5" fillId="56" borderId="0" xfId="0" applyFont="1" applyFill="1" applyAlignment="1">
      <alignment vertical="top"/>
    </xf>
    <xf numFmtId="0" fontId="5" fillId="40" borderId="74" xfId="0" applyFont="1" applyFill="1" applyBorder="1" applyAlignment="1">
      <alignment horizontal="center" vertical="top"/>
    </xf>
    <xf numFmtId="0" fontId="3" fillId="56" borderId="185" xfId="0" applyFont="1" applyFill="1" applyBorder="1" applyAlignment="1">
      <alignment vertical="top"/>
    </xf>
    <xf numFmtId="0" fontId="3" fillId="56" borderId="65" xfId="0" applyFont="1" applyFill="1" applyBorder="1" applyAlignment="1">
      <alignment vertical="top"/>
    </xf>
    <xf numFmtId="0" fontId="3" fillId="56" borderId="39" xfId="0" applyFont="1" applyFill="1" applyBorder="1" applyAlignment="1">
      <alignment vertical="top"/>
    </xf>
    <xf numFmtId="0" fontId="3" fillId="56" borderId="40" xfId="0" applyFont="1" applyFill="1" applyBorder="1" applyAlignment="1">
      <alignment vertical="top"/>
    </xf>
    <xf numFmtId="0" fontId="5" fillId="0" borderId="12" xfId="0" applyFont="1" applyBorder="1"/>
    <xf numFmtId="0" fontId="0" fillId="0" borderId="12" xfId="0" applyBorder="1"/>
    <xf numFmtId="0" fontId="3" fillId="38" borderId="0" xfId="0" applyFont="1" applyFill="1"/>
    <xf numFmtId="171" fontId="3" fillId="47" borderId="0" xfId="0" applyNumberFormat="1" applyFont="1" applyFill="1" applyAlignment="1">
      <alignment vertical="top"/>
    </xf>
    <xf numFmtId="0" fontId="0" fillId="25" borderId="0" xfId="0" applyFill="1"/>
    <xf numFmtId="0" fontId="0" fillId="25" borderId="0" xfId="0" applyFill="1" applyAlignment="1">
      <alignment horizontal="center"/>
    </xf>
    <xf numFmtId="172" fontId="36" fillId="25" borderId="0" xfId="0" applyNumberFormat="1" applyFont="1" applyFill="1" applyAlignment="1">
      <alignment vertical="top"/>
    </xf>
    <xf numFmtId="10" fontId="36" fillId="25" borderId="0" xfId="0" applyNumberFormat="1" applyFont="1" applyFill="1" applyAlignment="1">
      <alignment vertical="top"/>
    </xf>
    <xf numFmtId="0" fontId="0" fillId="38" borderId="0" xfId="0" applyFill="1"/>
    <xf numFmtId="171" fontId="36" fillId="25" borderId="0" xfId="0" applyNumberFormat="1" applyFont="1" applyFill="1" applyAlignment="1">
      <alignment vertical="top"/>
    </xf>
    <xf numFmtId="171" fontId="3" fillId="25" borderId="0" xfId="0" applyNumberFormat="1" applyFont="1" applyFill="1" applyAlignment="1">
      <alignment vertical="top"/>
    </xf>
    <xf numFmtId="0" fontId="41" fillId="26" borderId="0" xfId="0" applyFont="1" applyFill="1"/>
    <xf numFmtId="0" fontId="71" fillId="26" borderId="0" xfId="0" applyFont="1" applyFill="1"/>
    <xf numFmtId="0" fontId="42" fillId="25" borderId="0" xfId="0" applyFont="1" applyFill="1" applyAlignment="1">
      <alignment horizontal="left"/>
    </xf>
    <xf numFmtId="0" fontId="0" fillId="39" borderId="13" xfId="0" applyFill="1" applyBorder="1" applyAlignment="1">
      <alignment vertical="top" wrapText="1"/>
    </xf>
    <xf numFmtId="0" fontId="44" fillId="39" borderId="13" xfId="0" applyFont="1" applyFill="1" applyBorder="1" applyAlignment="1">
      <alignment vertical="top" wrapText="1"/>
    </xf>
    <xf numFmtId="0" fontId="3" fillId="39" borderId="13" xfId="0" applyFont="1" applyFill="1" applyBorder="1" applyAlignment="1">
      <alignment vertical="top" wrapText="1"/>
    </xf>
    <xf numFmtId="0" fontId="42" fillId="39" borderId="13" xfId="0" applyFont="1" applyFill="1" applyBorder="1" applyAlignment="1">
      <alignment horizontal="left"/>
    </xf>
    <xf numFmtId="0" fontId="0" fillId="39" borderId="13" xfId="0" applyFill="1" applyBorder="1"/>
    <xf numFmtId="0" fontId="44" fillId="39" borderId="13" xfId="0" applyFont="1" applyFill="1" applyBorder="1"/>
    <xf numFmtId="172" fontId="0" fillId="39" borderId="26" xfId="0" applyNumberFormat="1" applyFill="1" applyBorder="1"/>
    <xf numFmtId="172" fontId="0" fillId="39" borderId="13" xfId="0" applyNumberFormat="1" applyFill="1" applyBorder="1"/>
    <xf numFmtId="0" fontId="39" fillId="39" borderId="13" xfId="0" applyFont="1" applyFill="1" applyBorder="1"/>
    <xf numFmtId="0" fontId="43" fillId="0" borderId="0" xfId="0" applyFont="1" applyAlignment="1">
      <alignment horizontal="left"/>
    </xf>
    <xf numFmtId="0" fontId="43" fillId="0" borderId="0" xfId="0" applyFont="1" applyAlignment="1">
      <alignment horizontal="left" indent="1"/>
    </xf>
    <xf numFmtId="0" fontId="0" fillId="39" borderId="13" xfId="0" applyFill="1" applyBorder="1" applyAlignment="1">
      <alignment wrapText="1"/>
    </xf>
    <xf numFmtId="0" fontId="36" fillId="39" borderId="13" xfId="0" applyFont="1" applyFill="1" applyBorder="1" applyAlignment="1">
      <alignment horizontal="left" vertical="top"/>
    </xf>
    <xf numFmtId="0" fontId="3" fillId="39" borderId="13" xfId="0" applyFont="1" applyFill="1" applyBorder="1" applyAlignment="1">
      <alignment horizontal="left" vertical="top"/>
    </xf>
    <xf numFmtId="0" fontId="0" fillId="44" borderId="13" xfId="0" applyFill="1" applyBorder="1" applyAlignment="1" applyProtection="1">
      <alignment vertical="top" wrapText="1"/>
      <protection locked="0"/>
    </xf>
    <xf numFmtId="0" fontId="3" fillId="44" borderId="10" xfId="0" applyFont="1" applyFill="1" applyBorder="1" applyAlignment="1" applyProtection="1">
      <alignment vertical="top" wrapText="1"/>
      <protection locked="0"/>
    </xf>
    <xf numFmtId="171" fontId="0" fillId="44" borderId="13" xfId="0" applyNumberFormat="1" applyFill="1" applyBorder="1" applyProtection="1">
      <protection locked="0"/>
    </xf>
    <xf numFmtId="10" fontId="62" fillId="44" borderId="13" xfId="66" applyNumberFormat="1" applyFont="1" applyFill="1" applyBorder="1" applyProtection="1">
      <protection locked="0"/>
    </xf>
    <xf numFmtId="10" fontId="62" fillId="44" borderId="67" xfId="66" applyNumberFormat="1" applyFont="1" applyFill="1" applyBorder="1" applyProtection="1">
      <protection locked="0"/>
    </xf>
    <xf numFmtId="10" fontId="62" fillId="44" borderId="73" xfId="66" applyNumberFormat="1" applyFont="1" applyFill="1" applyBorder="1" applyProtection="1">
      <protection locked="0"/>
    </xf>
    <xf numFmtId="10" fontId="62" fillId="44" borderId="98" xfId="66" applyNumberFormat="1" applyFont="1" applyFill="1" applyBorder="1" applyProtection="1">
      <protection locked="0"/>
    </xf>
    <xf numFmtId="10" fontId="62" fillId="44" borderId="68" xfId="66" applyNumberFormat="1" applyFont="1" applyFill="1" applyBorder="1" applyProtection="1">
      <protection locked="0"/>
    </xf>
    <xf numFmtId="0" fontId="0" fillId="44" borderId="13" xfId="0" applyFill="1" applyBorder="1" applyAlignment="1" applyProtection="1">
      <alignment wrapText="1"/>
      <protection locked="0"/>
    </xf>
    <xf numFmtId="0" fontId="0" fillId="44" borderId="10" xfId="0" applyFill="1" applyBorder="1" applyAlignment="1" applyProtection="1">
      <alignment wrapText="1"/>
      <protection locked="0"/>
    </xf>
    <xf numFmtId="0" fontId="0" fillId="55" borderId="0" xfId="0" applyFill="1"/>
    <xf numFmtId="0" fontId="5" fillId="0" borderId="0" xfId="0" applyFont="1"/>
    <xf numFmtId="0" fontId="0" fillId="0" borderId="79" xfId="0" applyBorder="1"/>
    <xf numFmtId="0" fontId="0" fillId="30" borderId="80" xfId="0" applyFill="1" applyBorder="1"/>
    <xf numFmtId="0" fontId="0" fillId="0" borderId="81" xfId="0" applyBorder="1"/>
    <xf numFmtId="14" fontId="0" fillId="32" borderId="82" xfId="0" applyNumberFormat="1" applyFill="1" applyBorder="1" applyAlignment="1">
      <alignment horizontal="left"/>
    </xf>
    <xf numFmtId="0" fontId="0" fillId="27" borderId="83" xfId="0" applyFill="1" applyBorder="1"/>
    <xf numFmtId="0" fontId="0" fillId="27" borderId="84" xfId="0" applyFill="1" applyBorder="1"/>
    <xf numFmtId="0" fontId="0" fillId="27" borderId="85" xfId="0" applyFill="1" applyBorder="1"/>
    <xf numFmtId="0" fontId="0" fillId="0" borderId="86" xfId="0" applyBorder="1"/>
    <xf numFmtId="0" fontId="0" fillId="31" borderId="87" xfId="0" applyFill="1" applyBorder="1"/>
    <xf numFmtId="0" fontId="0" fillId="0" borderId="88" xfId="0" applyBorder="1"/>
    <xf numFmtId="0" fontId="0" fillId="33" borderId="89" xfId="0" applyFill="1" applyBorder="1"/>
    <xf numFmtId="0" fontId="3" fillId="30" borderId="0" xfId="0" applyFont="1" applyFill="1"/>
    <xf numFmtId="0" fontId="0" fillId="30" borderId="0" xfId="0" applyFill="1"/>
    <xf numFmtId="0" fontId="5" fillId="0" borderId="67" xfId="0" applyFont="1" applyBorder="1"/>
    <xf numFmtId="0" fontId="5" fillId="0" borderId="25" xfId="0" applyFont="1" applyBorder="1"/>
    <xf numFmtId="0" fontId="0" fillId="0" borderId="26" xfId="0" applyBorder="1"/>
    <xf numFmtId="14" fontId="0" fillId="32" borderId="10" xfId="0" applyNumberFormat="1" applyFill="1" applyBorder="1" applyAlignment="1">
      <alignment horizontal="center"/>
    </xf>
    <xf numFmtId="0" fontId="0" fillId="27" borderId="10" xfId="0" applyFill="1" applyBorder="1"/>
    <xf numFmtId="0" fontId="3" fillId="27" borderId="104" xfId="0" applyFont="1" applyFill="1" applyBorder="1"/>
    <xf numFmtId="0" fontId="0" fillId="27" borderId="103" xfId="0" applyFill="1" applyBorder="1"/>
    <xf numFmtId="14" fontId="0" fillId="32" borderId="91" xfId="0" applyNumberFormat="1" applyFill="1" applyBorder="1" applyAlignment="1">
      <alignment horizontal="center"/>
    </xf>
    <xf numFmtId="0" fontId="0" fillId="27" borderId="91" xfId="0" applyFill="1" applyBorder="1"/>
    <xf numFmtId="0" fontId="3" fillId="27" borderId="100" xfId="0" applyFont="1" applyFill="1" applyBorder="1"/>
    <xf numFmtId="0" fontId="0" fillId="27" borderId="18" xfId="0" applyFill="1" applyBorder="1"/>
    <xf numFmtId="0" fontId="0" fillId="27" borderId="100" xfId="0" applyFill="1" applyBorder="1"/>
    <xf numFmtId="14" fontId="0" fillId="32" borderId="11" xfId="0" applyNumberFormat="1" applyFill="1" applyBorder="1" applyAlignment="1">
      <alignment horizontal="center"/>
    </xf>
    <xf numFmtId="0" fontId="0" fillId="27" borderId="11" xfId="0" applyFill="1" applyBorder="1"/>
    <xf numFmtId="0" fontId="0" fillId="27" borderId="78" xfId="0" applyFill="1" applyBorder="1"/>
    <xf numFmtId="0" fontId="0" fillId="27" borderId="24" xfId="0" applyFill="1" applyBorder="1"/>
    <xf numFmtId="0" fontId="0" fillId="31" borderId="0" xfId="0" applyFill="1"/>
    <xf numFmtId="0" fontId="3" fillId="33" borderId="0" xfId="0" applyFont="1" applyFill="1" applyAlignment="1">
      <alignment horizontal="left" vertical="top" wrapText="1"/>
    </xf>
    <xf numFmtId="0" fontId="7" fillId="24" borderId="0" xfId="59" applyFill="1" applyBorder="1" applyAlignment="1" applyProtection="1">
      <alignment horizontal="left" vertical="top" wrapText="1"/>
    </xf>
    <xf numFmtId="0" fontId="0" fillId="27" borderId="180" xfId="0" applyFill="1" applyBorder="1" applyAlignment="1">
      <alignment horizontal="left" vertical="top"/>
    </xf>
    <xf numFmtId="0" fontId="0" fillId="27" borderId="51" xfId="0" applyFill="1" applyBorder="1" applyAlignment="1">
      <alignment horizontal="left" vertical="top"/>
    </xf>
    <xf numFmtId="0" fontId="0" fillId="27" borderId="102" xfId="0" applyFill="1" applyBorder="1" applyAlignment="1">
      <alignment horizontal="left" vertical="top"/>
    </xf>
    <xf numFmtId="0" fontId="0" fillId="27" borderId="107" xfId="0" applyFill="1" applyBorder="1" applyAlignment="1">
      <alignment horizontal="left" vertical="top"/>
    </xf>
    <xf numFmtId="0" fontId="0" fillId="27" borderId="15" xfId="0" applyFill="1" applyBorder="1" applyAlignment="1">
      <alignment horizontal="left" vertical="top"/>
    </xf>
    <xf numFmtId="0" fontId="0" fillId="27" borderId="34" xfId="0" applyFill="1" applyBorder="1" applyAlignment="1">
      <alignment horizontal="left" vertical="top"/>
    </xf>
    <xf numFmtId="0" fontId="3" fillId="40" borderId="124" xfId="0" applyFont="1" applyFill="1" applyBorder="1" applyAlignment="1">
      <alignment horizontal="left"/>
    </xf>
    <xf numFmtId="0" fontId="3" fillId="40" borderId="36" xfId="0" applyFont="1" applyFill="1" applyBorder="1" applyAlignment="1">
      <alignment horizontal="left"/>
    </xf>
    <xf numFmtId="0" fontId="3" fillId="40" borderId="37" xfId="0" applyFont="1" applyFill="1" applyBorder="1" applyAlignment="1">
      <alignment horizontal="left"/>
    </xf>
    <xf numFmtId="0" fontId="0" fillId="24" borderId="101" xfId="0" applyFill="1" applyBorder="1" applyAlignment="1">
      <alignment horizontal="left" vertical="top"/>
    </xf>
    <xf numFmtId="0" fontId="0" fillId="24" borderId="51" xfId="0" applyFill="1" applyBorder="1" applyAlignment="1">
      <alignment horizontal="left" vertical="top"/>
    </xf>
    <xf numFmtId="0" fontId="0" fillId="24" borderId="70" xfId="0" applyFill="1" applyBorder="1" applyAlignment="1">
      <alignment horizontal="left" vertical="top"/>
    </xf>
    <xf numFmtId="0" fontId="0" fillId="24" borderId="108" xfId="0" applyFill="1" applyBorder="1" applyAlignment="1">
      <alignment horizontal="left" vertical="top"/>
    </xf>
    <xf numFmtId="0" fontId="0" fillId="24" borderId="15" xfId="0" applyFill="1" applyBorder="1" applyAlignment="1">
      <alignment horizontal="left" vertical="top"/>
    </xf>
    <xf numFmtId="0" fontId="0" fillId="24" borderId="20" xfId="0" applyFill="1" applyBorder="1" applyAlignment="1">
      <alignment horizontal="left" vertical="top"/>
    </xf>
    <xf numFmtId="0" fontId="3" fillId="24" borderId="56" xfId="0" applyFont="1" applyFill="1" applyBorder="1" applyAlignment="1">
      <alignment horizontal="left"/>
    </xf>
    <xf numFmtId="0" fontId="3" fillId="24" borderId="36" xfId="0" applyFont="1" applyFill="1" applyBorder="1" applyAlignment="1">
      <alignment horizontal="left"/>
    </xf>
    <xf numFmtId="0" fontId="3" fillId="24" borderId="48" xfId="0" applyFont="1" applyFill="1" applyBorder="1" applyAlignment="1">
      <alignment horizontal="left"/>
    </xf>
    <xf numFmtId="0" fontId="7" fillId="24" borderId="0" xfId="59" applyFill="1" applyBorder="1" applyAlignment="1" applyProtection="1">
      <alignment vertical="top" wrapText="1"/>
    </xf>
    <xf numFmtId="0" fontId="7" fillId="24" borderId="0" xfId="59" applyFill="1" applyBorder="1" applyAlignment="1" applyProtection="1">
      <alignment vertical="top"/>
    </xf>
    <xf numFmtId="0" fontId="5" fillId="24" borderId="0" xfId="59" applyFont="1" applyFill="1" applyBorder="1" applyAlignment="1" applyProtection="1">
      <alignment vertical="top"/>
    </xf>
    <xf numFmtId="0" fontId="5" fillId="0" borderId="0" xfId="0" applyFont="1" applyAlignment="1">
      <alignment vertical="top"/>
    </xf>
    <xf numFmtId="0" fontId="7" fillId="0" borderId="0" xfId="59" applyBorder="1" applyAlignment="1" applyProtection="1">
      <alignment vertical="top"/>
    </xf>
    <xf numFmtId="0" fontId="5" fillId="46" borderId="57" xfId="0" applyFont="1" applyFill="1" applyBorder="1" applyAlignment="1">
      <alignment horizontal="center" vertical="center" wrapText="1"/>
    </xf>
    <xf numFmtId="0" fontId="5" fillId="46" borderId="28" xfId="0" applyFont="1" applyFill="1" applyBorder="1" applyAlignment="1">
      <alignment horizontal="center" vertical="center" wrapText="1"/>
    </xf>
    <xf numFmtId="0" fontId="5" fillId="46" borderId="30" xfId="0" applyFont="1" applyFill="1" applyBorder="1" applyAlignment="1">
      <alignment horizontal="center" vertical="center" wrapText="1"/>
    </xf>
    <xf numFmtId="0" fontId="5" fillId="46" borderId="66" xfId="0" applyFont="1" applyFill="1" applyBorder="1" applyAlignment="1">
      <alignment horizontal="center" vertical="center" wrapText="1"/>
    </xf>
    <xf numFmtId="0" fontId="5" fillId="46" borderId="0" xfId="0" applyFont="1" applyFill="1" applyAlignment="1">
      <alignment horizontal="center" vertical="center" wrapText="1"/>
    </xf>
    <xf numFmtId="0" fontId="5" fillId="46" borderId="185" xfId="0" applyFont="1" applyFill="1" applyBorder="1" applyAlignment="1">
      <alignment horizontal="center" vertical="center" wrapText="1"/>
    </xf>
    <xf numFmtId="0" fontId="5" fillId="46" borderId="65" xfId="0" applyFont="1" applyFill="1" applyBorder="1" applyAlignment="1">
      <alignment horizontal="center" vertical="center" wrapText="1"/>
    </xf>
    <xf numFmtId="0" fontId="5" fillId="46" borderId="39" xfId="0" applyFont="1" applyFill="1" applyBorder="1" applyAlignment="1">
      <alignment horizontal="center" vertical="center" wrapText="1"/>
    </xf>
    <xf numFmtId="0" fontId="5" fillId="46" borderId="40" xfId="0" applyFont="1" applyFill="1" applyBorder="1" applyAlignment="1">
      <alignment horizontal="center" vertical="center" wrapText="1"/>
    </xf>
    <xf numFmtId="0" fontId="5" fillId="46" borderId="83" xfId="0" applyFont="1" applyFill="1" applyBorder="1" applyAlignment="1">
      <alignment horizontal="center"/>
    </xf>
    <xf numFmtId="0" fontId="5" fillId="46" borderId="85" xfId="0" applyFont="1" applyFill="1" applyBorder="1" applyAlignment="1">
      <alignment horizontal="center"/>
    </xf>
    <xf numFmtId="0" fontId="7" fillId="46" borderId="83" xfId="59" applyFill="1" applyBorder="1" applyAlignment="1" applyProtection="1">
      <alignment horizontal="center" vertical="top" wrapText="1"/>
    </xf>
    <xf numFmtId="0" fontId="7" fillId="46" borderId="85" xfId="59" applyFill="1" applyBorder="1" applyAlignment="1" applyProtection="1">
      <alignment horizontal="center" vertical="top" wrapText="1"/>
    </xf>
    <xf numFmtId="0" fontId="7" fillId="46" borderId="108" xfId="59" applyFill="1" applyBorder="1" applyAlignment="1" applyProtection="1">
      <alignment horizontal="center" vertical="top" wrapText="1"/>
    </xf>
    <xf numFmtId="0" fontId="7" fillId="46" borderId="156" xfId="59" applyFill="1" applyBorder="1" applyAlignment="1" applyProtection="1">
      <alignment horizontal="center" vertical="top" wrapText="1"/>
    </xf>
    <xf numFmtId="0" fontId="7" fillId="46" borderId="155" xfId="59" applyFill="1" applyBorder="1" applyAlignment="1" applyProtection="1">
      <alignment horizontal="center" vertical="top" wrapText="1"/>
    </xf>
    <xf numFmtId="0" fontId="0" fillId="0" borderId="0" xfId="0" applyAlignment="1">
      <alignment vertical="top"/>
    </xf>
    <xf numFmtId="0" fontId="65" fillId="24" borderId="83" xfId="0" applyFont="1" applyFill="1" applyBorder="1" applyAlignment="1">
      <alignment horizontal="center" vertical="center"/>
    </xf>
    <xf numFmtId="0" fontId="65" fillId="24" borderId="84" xfId="0" applyFont="1" applyFill="1" applyBorder="1" applyAlignment="1">
      <alignment horizontal="center" vertical="center"/>
    </xf>
    <xf numFmtId="0" fontId="65" fillId="24" borderId="85" xfId="0" applyFont="1" applyFill="1" applyBorder="1" applyAlignment="1">
      <alignment horizontal="center" vertical="center"/>
    </xf>
    <xf numFmtId="0" fontId="7" fillId="0" borderId="0" xfId="59" applyAlignment="1" applyProtection="1">
      <alignment vertical="top"/>
    </xf>
    <xf numFmtId="0" fontId="29" fillId="24" borderId="0" xfId="0" applyFont="1" applyFill="1" applyAlignment="1">
      <alignment horizontal="center" vertical="center" wrapText="1"/>
    </xf>
    <xf numFmtId="0" fontId="7" fillId="24" borderId="0" xfId="59" applyFill="1" applyBorder="1" applyAlignment="1" applyProtection="1">
      <alignment horizontal="left" vertical="top"/>
    </xf>
    <xf numFmtId="0" fontId="0" fillId="24" borderId="21" xfId="0" applyFill="1" applyBorder="1" applyAlignment="1">
      <alignment horizontal="center" vertical="top" wrapText="1"/>
    </xf>
    <xf numFmtId="0" fontId="0" fillId="0" borderId="21" xfId="0" applyBorder="1" applyAlignment="1">
      <alignment vertical="top" wrapText="1"/>
    </xf>
    <xf numFmtId="0" fontId="5" fillId="24" borderId="0" xfId="0" applyFont="1" applyFill="1" applyAlignment="1">
      <alignment vertical="top" wrapText="1"/>
    </xf>
    <xf numFmtId="0" fontId="28" fillId="24" borderId="0" xfId="0" applyFont="1" applyFill="1" applyAlignment="1">
      <alignment vertical="top" wrapText="1"/>
    </xf>
    <xf numFmtId="0" fontId="7" fillId="0" borderId="0" xfId="59" applyBorder="1" applyAlignment="1" applyProtection="1">
      <alignment horizontal="left" vertical="top"/>
    </xf>
    <xf numFmtId="0" fontId="7" fillId="46" borderId="101" xfId="59" applyFill="1" applyBorder="1" applyAlignment="1" applyProtection="1">
      <alignment horizontal="center" vertical="top" wrapText="1"/>
    </xf>
    <xf numFmtId="0" fontId="7" fillId="46" borderId="188" xfId="59" applyFill="1" applyBorder="1" applyAlignment="1" applyProtection="1">
      <alignment horizontal="center" vertical="top" wrapText="1"/>
    </xf>
    <xf numFmtId="0" fontId="7" fillId="46" borderId="189" xfId="59" applyFill="1" applyBorder="1" applyAlignment="1" applyProtection="1">
      <alignment horizontal="center" vertical="top" wrapText="1"/>
    </xf>
    <xf numFmtId="0" fontId="196" fillId="0" borderId="0" xfId="0" applyFont="1" applyAlignment="1">
      <alignment horizontal="left" vertical="top" wrapText="1"/>
    </xf>
    <xf numFmtId="0" fontId="3" fillId="0" borderId="0" xfId="0" applyFont="1" applyAlignment="1">
      <alignment horizontal="left" vertical="top" wrapText="1"/>
    </xf>
    <xf numFmtId="0" fontId="3" fillId="24" borderId="0" xfId="0" applyFont="1" applyFill="1" applyAlignment="1">
      <alignment horizontal="left" vertical="top" wrapText="1"/>
    </xf>
    <xf numFmtId="0" fontId="0" fillId="41" borderId="0" xfId="0" applyFill="1" applyAlignment="1">
      <alignment horizontal="left"/>
    </xf>
    <xf numFmtId="0" fontId="0" fillId="24" borderId="0" xfId="0" applyFill="1" applyAlignment="1">
      <alignment horizontal="left" vertical="top"/>
    </xf>
    <xf numFmtId="0" fontId="0" fillId="24" borderId="0" xfId="0" applyFill="1" applyAlignment="1">
      <alignment horizontal="left"/>
    </xf>
    <xf numFmtId="0" fontId="56" fillId="24" borderId="0" xfId="0" applyFont="1" applyFill="1" applyAlignment="1">
      <alignment vertical="top" wrapText="1"/>
    </xf>
    <xf numFmtId="0" fontId="3" fillId="24" borderId="0" xfId="0" applyFont="1" applyFill="1" applyAlignment="1">
      <alignment vertical="top" wrapText="1"/>
    </xf>
    <xf numFmtId="0" fontId="0" fillId="24" borderId="0" xfId="0" applyFill="1" applyAlignment="1">
      <alignment vertical="top" wrapText="1"/>
    </xf>
    <xf numFmtId="0" fontId="3" fillId="0" borderId="0" xfId="0" applyFont="1" applyAlignment="1">
      <alignment horizontal="left" vertical="center" wrapText="1"/>
    </xf>
    <xf numFmtId="0" fontId="3" fillId="46" borderId="0" xfId="0" applyFont="1" applyFill="1" applyAlignment="1">
      <alignment horizontal="center" vertical="center" wrapText="1"/>
    </xf>
    <xf numFmtId="0" fontId="50" fillId="24" borderId="0" xfId="0" applyFont="1" applyFill="1" applyAlignment="1">
      <alignment horizontal="left" vertical="top" wrapText="1"/>
    </xf>
    <xf numFmtId="0" fontId="0" fillId="0" borderId="0" xfId="0" applyAlignment="1">
      <alignment horizontal="left" vertical="top" wrapText="1"/>
    </xf>
    <xf numFmtId="0" fontId="39" fillId="24" borderId="0" xfId="0" applyFont="1" applyFill="1" applyAlignment="1">
      <alignment horizontal="left" vertical="top" wrapText="1"/>
    </xf>
    <xf numFmtId="0" fontId="39" fillId="0" borderId="0" xfId="0" applyFont="1" applyAlignment="1">
      <alignment horizontal="left" vertical="top" wrapText="1"/>
    </xf>
    <xf numFmtId="0" fontId="3" fillId="0" borderId="0" xfId="0" applyFont="1" applyAlignment="1">
      <alignment horizontal="left" vertical="top"/>
    </xf>
    <xf numFmtId="0" fontId="5" fillId="34" borderId="83" xfId="0" applyFont="1" applyFill="1" applyBorder="1" applyAlignment="1">
      <alignment horizontal="left" vertical="center" wrapText="1"/>
    </xf>
    <xf numFmtId="0" fontId="5" fillId="34" borderId="84" xfId="0" applyFont="1" applyFill="1" applyBorder="1" applyAlignment="1">
      <alignment horizontal="left" vertical="center" wrapText="1"/>
    </xf>
    <xf numFmtId="0" fontId="5" fillId="34" borderId="85" xfId="0" applyFont="1" applyFill="1" applyBorder="1" applyAlignment="1">
      <alignment horizontal="left" vertical="center" wrapText="1"/>
    </xf>
    <xf numFmtId="0" fontId="3" fillId="49" borderId="18" xfId="0" applyFont="1" applyFill="1" applyBorder="1" applyAlignment="1">
      <alignment horizontal="center" vertical="center"/>
    </xf>
    <xf numFmtId="0" fontId="3" fillId="49" borderId="100" xfId="0" applyFont="1" applyFill="1" applyBorder="1" applyAlignment="1">
      <alignment horizontal="center" vertical="center"/>
    </xf>
    <xf numFmtId="0" fontId="0" fillId="0" borderId="0" xfId="0" applyAlignment="1">
      <alignment vertical="top" wrapText="1"/>
    </xf>
    <xf numFmtId="0" fontId="3" fillId="41" borderId="0" xfId="0" applyFont="1" applyFill="1" applyAlignment="1">
      <alignment horizontal="left" vertical="top" wrapText="1"/>
    </xf>
    <xf numFmtId="0" fontId="0" fillId="48" borderId="0" xfId="0" applyFill="1" applyAlignment="1">
      <alignment horizontal="left" vertical="top" wrapText="1"/>
    </xf>
    <xf numFmtId="0" fontId="3" fillId="48" borderId="0" xfId="0" applyFont="1" applyFill="1" applyAlignment="1">
      <alignment horizontal="left"/>
    </xf>
    <xf numFmtId="0" fontId="0" fillId="24" borderId="0" xfId="0" applyFill="1" applyAlignment="1">
      <alignment horizontal="left" vertical="top" wrapText="1"/>
    </xf>
    <xf numFmtId="0" fontId="7" fillId="0" borderId="0" xfId="59" applyFill="1" applyAlignment="1" applyProtection="1">
      <alignment horizontal="left" vertical="top" wrapText="1"/>
    </xf>
    <xf numFmtId="0" fontId="7" fillId="24" borderId="0" xfId="59" applyFill="1" applyAlignment="1" applyProtection="1">
      <alignment horizontal="left" vertical="top" wrapText="1"/>
    </xf>
    <xf numFmtId="0" fontId="189" fillId="24" borderId="0" xfId="0" applyFont="1" applyFill="1" applyAlignment="1">
      <alignment horizontal="left"/>
    </xf>
    <xf numFmtId="0" fontId="4" fillId="26" borderId="0" xfId="0" applyFont="1" applyFill="1" applyAlignment="1">
      <alignment vertical="top" wrapText="1"/>
    </xf>
    <xf numFmtId="0" fontId="50" fillId="24" borderId="67" xfId="0" applyFont="1" applyFill="1" applyBorder="1" applyAlignment="1">
      <alignment horizontal="left" vertical="top" wrapText="1"/>
    </xf>
    <xf numFmtId="0" fontId="0" fillId="0" borderId="25" xfId="0" applyBorder="1" applyAlignment="1">
      <alignment horizontal="left" vertical="top" wrapText="1"/>
    </xf>
    <xf numFmtId="0" fontId="3" fillId="37" borderId="67" xfId="0" applyFont="1" applyFill="1" applyBorder="1" applyAlignment="1">
      <alignment horizontal="center" vertical="center" wrapText="1"/>
    </xf>
    <xf numFmtId="0" fontId="3" fillId="0" borderId="26" xfId="0" applyFont="1" applyBorder="1" applyAlignment="1">
      <alignment horizontal="center" vertical="center" wrapText="1"/>
    </xf>
    <xf numFmtId="0" fontId="3" fillId="28" borderId="67" xfId="0" applyFont="1" applyFill="1" applyBorder="1" applyAlignment="1" applyProtection="1">
      <alignment horizontal="center" vertical="center" wrapText="1"/>
      <protection locked="0"/>
    </xf>
    <xf numFmtId="0" fontId="3" fillId="0" borderId="26" xfId="0" applyFont="1" applyBorder="1" applyAlignment="1" applyProtection="1">
      <alignment horizontal="center" vertical="center" wrapText="1"/>
      <protection locked="0"/>
    </xf>
    <xf numFmtId="0" fontId="72" fillId="50" borderId="67" xfId="0" applyFont="1" applyFill="1" applyBorder="1" applyAlignment="1">
      <alignment horizontal="center" vertical="center" wrapText="1"/>
    </xf>
    <xf numFmtId="0" fontId="72" fillId="50" borderId="26" xfId="0" applyFont="1" applyFill="1" applyBorder="1" applyAlignment="1">
      <alignment horizontal="center" vertical="center" wrapText="1"/>
    </xf>
    <xf numFmtId="0" fontId="78" fillId="53" borderId="13" xfId="0" applyFont="1" applyFill="1" applyBorder="1" applyAlignment="1" applyProtection="1">
      <alignment horizontal="center" vertical="center"/>
      <protection locked="0"/>
    </xf>
    <xf numFmtId="169" fontId="3" fillId="29" borderId="67" xfId="0" applyNumberFormat="1" applyFont="1" applyFill="1" applyBorder="1" applyAlignment="1" applyProtection="1">
      <alignment horizontal="center" vertical="center" wrapText="1"/>
      <protection locked="0"/>
    </xf>
    <xf numFmtId="0" fontId="7" fillId="46" borderId="0" xfId="59" applyFill="1" applyAlignment="1" applyProtection="1">
      <alignment vertical="top"/>
    </xf>
    <xf numFmtId="0" fontId="10" fillId="24" borderId="12" xfId="0" applyFont="1" applyFill="1" applyBorder="1" applyAlignment="1">
      <alignment vertical="top" wrapText="1"/>
    </xf>
    <xf numFmtId="0" fontId="0" fillId="0" borderId="12" xfId="0" applyBorder="1" applyAlignment="1">
      <alignment vertical="top" wrapText="1"/>
    </xf>
    <xf numFmtId="0" fontId="3" fillId="43" borderId="103" xfId="0" quotePrefix="1" applyFont="1" applyFill="1" applyBorder="1" applyAlignment="1">
      <alignment horizontal="center" vertical="center" wrapText="1"/>
    </xf>
    <xf numFmtId="0" fontId="3" fillId="43" borderId="104" xfId="0" quotePrefix="1" applyFont="1" applyFill="1" applyBorder="1" applyAlignment="1">
      <alignment horizontal="center" vertical="center" wrapText="1"/>
    </xf>
    <xf numFmtId="0" fontId="9" fillId="24" borderId="0" xfId="0" applyFont="1" applyFill="1" applyAlignment="1">
      <alignment vertical="top" wrapText="1"/>
    </xf>
    <xf numFmtId="0" fontId="3" fillId="48" borderId="0" xfId="0" applyFont="1" applyFill="1" applyAlignment="1">
      <alignment horizontal="left" vertical="top" wrapText="1"/>
    </xf>
    <xf numFmtId="0" fontId="32" fillId="24" borderId="0" xfId="0" applyFont="1" applyFill="1" applyAlignment="1">
      <alignment vertical="top" wrapText="1"/>
    </xf>
    <xf numFmtId="0" fontId="56" fillId="24" borderId="100" xfId="0" applyFont="1" applyFill="1" applyBorder="1" applyAlignment="1">
      <alignment vertical="top" wrapText="1"/>
    </xf>
    <xf numFmtId="169" fontId="3" fillId="27" borderId="67" xfId="0" applyNumberFormat="1" applyFont="1" applyFill="1" applyBorder="1" applyAlignment="1">
      <alignment horizontal="center" vertical="center" wrapText="1"/>
    </xf>
    <xf numFmtId="0" fontId="83" fillId="57" borderId="0" xfId="0" applyFont="1" applyFill="1" applyAlignment="1">
      <alignment horizontal="left" vertical="top" wrapText="1"/>
    </xf>
    <xf numFmtId="0" fontId="3" fillId="48" borderId="0" xfId="0" applyFont="1" applyFill="1" applyAlignment="1">
      <alignment horizontal="center" vertical="center" wrapText="1"/>
    </xf>
    <xf numFmtId="0" fontId="50" fillId="24" borderId="0" xfId="0" applyFont="1" applyFill="1" applyAlignment="1">
      <alignment horizontal="left" vertical="top"/>
    </xf>
    <xf numFmtId="0" fontId="0" fillId="41" borderId="0" xfId="0" applyFill="1" applyAlignment="1">
      <alignment horizontal="left" vertical="top"/>
    </xf>
    <xf numFmtId="0" fontId="57" fillId="24" borderId="0" xfId="0" applyFont="1" applyFill="1" applyAlignment="1">
      <alignment vertical="top" wrapText="1"/>
    </xf>
    <xf numFmtId="0" fontId="0" fillId="0" borderId="66" xfId="0" applyBorder="1" applyAlignment="1">
      <alignment horizontal="center"/>
    </xf>
    <xf numFmtId="0" fontId="0" fillId="0" borderId="0" xfId="0" applyAlignment="1">
      <alignment horizontal="center"/>
    </xf>
    <xf numFmtId="0" fontId="0" fillId="0" borderId="185" xfId="0" applyBorder="1" applyAlignment="1">
      <alignment horizontal="center"/>
    </xf>
    <xf numFmtId="0" fontId="0" fillId="0" borderId="65"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5" fillId="0" borderId="0" xfId="0" applyFont="1" applyAlignment="1">
      <alignment horizontal="center"/>
    </xf>
    <xf numFmtId="0" fontId="78" fillId="58" borderId="0" xfId="0" applyFont="1" applyFill="1" applyAlignment="1">
      <alignment horizontal="left" vertical="center" wrapText="1"/>
    </xf>
    <xf numFmtId="0" fontId="0" fillId="0" borderId="0" xfId="0" applyAlignment="1">
      <alignment horizontal="left" vertical="center" wrapText="1"/>
    </xf>
    <xf numFmtId="0" fontId="3" fillId="46" borderId="28" xfId="0" applyFont="1" applyFill="1" applyBorder="1" applyAlignment="1">
      <alignment horizontal="center" vertical="center" wrapText="1"/>
    </xf>
    <xf numFmtId="0" fontId="3" fillId="46" borderId="30" xfId="0" applyFont="1" applyFill="1" applyBorder="1" applyAlignment="1">
      <alignment horizontal="center" vertical="center" wrapText="1"/>
    </xf>
    <xf numFmtId="0" fontId="0" fillId="46" borderId="66" xfId="0" applyFill="1" applyBorder="1" applyAlignment="1">
      <alignment horizontal="center" vertical="center" wrapText="1"/>
    </xf>
    <xf numFmtId="0" fontId="0" fillId="46" borderId="0" xfId="0" applyFill="1" applyAlignment="1">
      <alignment horizontal="center" vertical="center" wrapText="1"/>
    </xf>
    <xf numFmtId="0" fontId="0" fillId="46" borderId="185" xfId="0" applyFill="1" applyBorder="1" applyAlignment="1">
      <alignment horizontal="center" vertical="center" wrapText="1"/>
    </xf>
    <xf numFmtId="0" fontId="0" fillId="46" borderId="65" xfId="0" applyFill="1" applyBorder="1" applyAlignment="1">
      <alignment horizontal="center" vertical="center" wrapText="1"/>
    </xf>
    <xf numFmtId="0" fontId="0" fillId="46" borderId="39" xfId="0" applyFill="1" applyBorder="1" applyAlignment="1">
      <alignment horizontal="center" vertical="center" wrapText="1"/>
    </xf>
    <xf numFmtId="0" fontId="0" fillId="46" borderId="40" xfId="0" applyFill="1" applyBorder="1" applyAlignment="1">
      <alignment horizontal="center" vertical="center" wrapText="1"/>
    </xf>
    <xf numFmtId="0" fontId="7" fillId="46" borderId="74" xfId="59" applyFill="1" applyBorder="1" applyAlignment="1" applyProtection="1">
      <alignment horizontal="center" vertical="top" wrapText="1"/>
    </xf>
    <xf numFmtId="0" fontId="7" fillId="46" borderId="86" xfId="59" applyFill="1" applyBorder="1" applyAlignment="1" applyProtection="1">
      <alignment horizontal="center" vertical="top" wrapText="1"/>
    </xf>
    <xf numFmtId="0" fontId="7" fillId="46" borderId="150" xfId="59" applyFill="1" applyBorder="1" applyAlignment="1" applyProtection="1">
      <alignment horizontal="center" vertical="top" wrapText="1"/>
    </xf>
    <xf numFmtId="0" fontId="7" fillId="46" borderId="116" xfId="59" applyFill="1" applyBorder="1" applyAlignment="1" applyProtection="1">
      <alignment horizontal="center" vertical="top" wrapText="1"/>
    </xf>
    <xf numFmtId="0" fontId="7" fillId="46" borderId="149" xfId="59" applyFill="1" applyBorder="1" applyAlignment="1" applyProtection="1">
      <alignment horizontal="center" vertical="top" wrapText="1"/>
    </xf>
    <xf numFmtId="0" fontId="7" fillId="46" borderId="148" xfId="59" applyFill="1" applyBorder="1" applyAlignment="1" applyProtection="1">
      <alignment horizontal="center" vertical="top" wrapText="1"/>
    </xf>
    <xf numFmtId="0" fontId="123" fillId="41" borderId="0" xfId="0" applyFont="1" applyFill="1" applyAlignment="1">
      <alignment horizontal="left" vertical="center" wrapText="1"/>
    </xf>
    <xf numFmtId="0" fontId="193" fillId="41" borderId="0" xfId="0" applyFont="1" applyFill="1" applyAlignment="1">
      <alignment horizontal="left" vertical="top" wrapText="1"/>
    </xf>
    <xf numFmtId="0" fontId="193" fillId="41" borderId="185" xfId="0" applyFont="1" applyFill="1" applyBorder="1" applyAlignment="1">
      <alignment horizontal="left" vertical="top" wrapText="1"/>
    </xf>
    <xf numFmtId="0" fontId="10" fillId="41" borderId="0" xfId="0" applyFont="1" applyFill="1" applyAlignment="1">
      <alignment horizontal="center" vertical="top" wrapText="1"/>
    </xf>
    <xf numFmtId="0" fontId="71" fillId="24" borderId="0" xfId="0" applyFont="1" applyFill="1" applyAlignment="1">
      <alignment horizontal="left" vertical="center"/>
    </xf>
    <xf numFmtId="0" fontId="7" fillId="46" borderId="0" xfId="59" applyFill="1" applyBorder="1" applyAlignment="1" applyProtection="1">
      <alignment horizontal="left" vertical="center" wrapText="1"/>
    </xf>
    <xf numFmtId="0" fontId="174" fillId="41" borderId="0" xfId="0" applyFont="1" applyFill="1" applyAlignment="1">
      <alignment horizontal="left" vertical="center" wrapText="1"/>
    </xf>
    <xf numFmtId="0" fontId="34" fillId="24" borderId="0" xfId="0" applyFont="1" applyFill="1" applyAlignment="1">
      <alignment horizontal="left" vertical="top" wrapText="1"/>
    </xf>
    <xf numFmtId="0" fontId="10" fillId="24" borderId="0" xfId="0" applyFont="1" applyFill="1" applyAlignment="1">
      <alignment vertical="top" wrapText="1"/>
    </xf>
    <xf numFmtId="0" fontId="40" fillId="24" borderId="0" xfId="0" applyFont="1" applyFill="1" applyAlignment="1">
      <alignment vertical="top" wrapText="1"/>
    </xf>
    <xf numFmtId="0" fontId="5" fillId="0" borderId="0" xfId="0" applyFont="1" applyAlignment="1">
      <alignment vertical="top" wrapText="1"/>
    </xf>
    <xf numFmtId="0" fontId="3" fillId="24" borderId="13" xfId="0" applyFont="1" applyFill="1" applyBorder="1" applyAlignment="1">
      <alignment horizontal="left" vertical="top"/>
    </xf>
    <xf numFmtId="0" fontId="3" fillId="24" borderId="13" xfId="0" applyFont="1" applyFill="1" applyBorder="1" applyAlignment="1">
      <alignment horizontal="center" vertical="top"/>
    </xf>
    <xf numFmtId="0" fontId="5" fillId="43" borderId="25" xfId="0" applyFont="1" applyFill="1" applyBorder="1" applyAlignment="1">
      <alignment horizontal="left" vertical="top" wrapText="1"/>
    </xf>
    <xf numFmtId="0" fontId="3" fillId="43" borderId="14" xfId="0" applyFont="1" applyFill="1" applyBorder="1" applyAlignment="1">
      <alignment horizontal="left" vertical="top" wrapText="1"/>
    </xf>
    <xf numFmtId="0" fontId="0" fillId="0" borderId="14" xfId="0" applyBorder="1" applyAlignment="1">
      <alignment horizontal="left" vertical="top" wrapText="1"/>
    </xf>
    <xf numFmtId="0" fontId="3" fillId="43" borderId="16" xfId="0" applyFont="1" applyFill="1" applyBorder="1" applyAlignment="1">
      <alignment horizontal="left" vertical="top" wrapText="1"/>
    </xf>
    <xf numFmtId="0" fontId="0" fillId="0" borderId="16" xfId="0" applyBorder="1" applyAlignment="1">
      <alignment horizontal="left" vertical="top" wrapText="1"/>
    </xf>
    <xf numFmtId="0" fontId="3" fillId="43" borderId="25" xfId="0" applyFont="1" applyFill="1" applyBorder="1" applyAlignment="1">
      <alignment horizontal="left" vertical="top" wrapText="1"/>
    </xf>
    <xf numFmtId="0" fontId="37" fillId="27" borderId="83" xfId="0" applyFont="1" applyFill="1" applyBorder="1" applyAlignment="1" applyProtection="1">
      <alignment horizontal="center"/>
      <protection locked="0"/>
    </xf>
    <xf numFmtId="0" fontId="37" fillId="27" borderId="85" xfId="0" applyFont="1" applyFill="1" applyBorder="1" applyAlignment="1" applyProtection="1">
      <alignment horizontal="center"/>
      <protection locked="0"/>
    </xf>
    <xf numFmtId="0" fontId="3" fillId="24" borderId="12" xfId="0" applyFont="1" applyFill="1" applyBorder="1" applyAlignment="1">
      <alignment horizontal="left" vertical="top"/>
    </xf>
    <xf numFmtId="0" fontId="0" fillId="0" borderId="24" xfId="0" applyBorder="1" applyAlignment="1">
      <alignment horizontal="left" vertical="top"/>
    </xf>
    <xf numFmtId="0" fontId="3" fillId="24" borderId="24" xfId="0" applyFont="1" applyFill="1" applyBorder="1" applyAlignment="1">
      <alignment horizontal="left" vertical="top"/>
    </xf>
    <xf numFmtId="0" fontId="0" fillId="0" borderId="13" xfId="0" applyBorder="1" applyAlignment="1">
      <alignment horizontal="left" vertical="top"/>
    </xf>
    <xf numFmtId="0" fontId="34" fillId="24" borderId="0" xfId="0" applyFont="1" applyFill="1" applyAlignment="1">
      <alignment vertical="top" wrapText="1"/>
    </xf>
    <xf numFmtId="0" fontId="34" fillId="24" borderId="18" xfId="0" applyFont="1" applyFill="1" applyBorder="1" applyAlignment="1">
      <alignment vertical="top" wrapText="1"/>
    </xf>
    <xf numFmtId="0" fontId="37" fillId="27" borderId="67" xfId="0" applyFont="1" applyFill="1" applyBorder="1" applyAlignment="1" applyProtection="1">
      <alignment horizontal="left" vertical="top" wrapText="1"/>
      <protection locked="0"/>
    </xf>
    <xf numFmtId="0" fontId="37" fillId="27" borderId="25" xfId="0" applyFont="1" applyFill="1" applyBorder="1" applyAlignment="1" applyProtection="1">
      <alignment horizontal="left" vertical="top" wrapText="1"/>
      <protection locked="0"/>
    </xf>
    <xf numFmtId="0" fontId="37" fillId="27" borderId="50" xfId="0" applyFont="1" applyFill="1" applyBorder="1" applyAlignment="1" applyProtection="1">
      <alignment horizontal="left" vertical="top" wrapText="1"/>
      <protection locked="0"/>
    </xf>
    <xf numFmtId="0" fontId="3" fillId="40" borderId="25" xfId="0" applyFont="1" applyFill="1" applyBorder="1" applyAlignment="1" applyProtection="1">
      <alignment horizontal="left" vertical="top" wrapText="1"/>
      <protection locked="0"/>
    </xf>
    <xf numFmtId="0" fontId="0" fillId="0" borderId="25" xfId="0" applyBorder="1" applyAlignment="1" applyProtection="1">
      <alignment horizontal="left" vertical="top" wrapText="1"/>
      <protection locked="0"/>
    </xf>
    <xf numFmtId="0" fontId="37" fillId="27" borderId="67" xfId="0" applyFont="1" applyFill="1" applyBorder="1" applyAlignment="1" applyProtection="1">
      <alignment vertical="top" wrapText="1"/>
      <protection locked="0"/>
    </xf>
    <xf numFmtId="0" fontId="37" fillId="27" borderId="25" xfId="0" applyFont="1" applyFill="1" applyBorder="1" applyAlignment="1" applyProtection="1">
      <alignment vertical="top" wrapText="1"/>
      <protection locked="0"/>
    </xf>
    <xf numFmtId="0" fontId="37" fillId="27" borderId="26" xfId="0" applyFont="1" applyFill="1" applyBorder="1" applyAlignment="1" applyProtection="1">
      <alignment vertical="top" wrapText="1"/>
      <protection locked="0"/>
    </xf>
    <xf numFmtId="0" fontId="3" fillId="43" borderId="12" xfId="0" applyFont="1" applyFill="1" applyBorder="1" applyAlignment="1">
      <alignment horizontal="left" vertical="top" wrapText="1"/>
    </xf>
    <xf numFmtId="0" fontId="0" fillId="0" borderId="12" xfId="0" applyBorder="1" applyAlignment="1">
      <alignment horizontal="left" vertical="top" wrapText="1"/>
    </xf>
    <xf numFmtId="0" fontId="10" fillId="24" borderId="15" xfId="0" applyFont="1" applyFill="1" applyBorder="1" applyAlignment="1">
      <alignment vertical="top"/>
    </xf>
    <xf numFmtId="0" fontId="10" fillId="24" borderId="15" xfId="0" applyFont="1" applyFill="1" applyBorder="1" applyAlignment="1">
      <alignment vertical="top" wrapText="1"/>
    </xf>
    <xf numFmtId="0" fontId="82" fillId="24" borderId="15" xfId="0" applyFont="1" applyFill="1" applyBorder="1" applyAlignment="1">
      <alignment vertical="top" wrapText="1"/>
    </xf>
    <xf numFmtId="170" fontId="3" fillId="43" borderId="25" xfId="0" applyNumberFormat="1" applyFont="1" applyFill="1" applyBorder="1" applyAlignment="1">
      <alignment horizontal="left" vertical="top" wrapText="1"/>
    </xf>
    <xf numFmtId="170" fontId="0" fillId="0" borderId="25" xfId="0" applyNumberFormat="1" applyBorder="1" applyAlignment="1">
      <alignment horizontal="left" vertical="top" wrapText="1"/>
    </xf>
    <xf numFmtId="170" fontId="3" fillId="43" borderId="14" xfId="0" applyNumberFormat="1" applyFont="1" applyFill="1" applyBorder="1" applyAlignment="1">
      <alignment horizontal="left" vertical="top" wrapText="1"/>
    </xf>
    <xf numFmtId="170" fontId="0" fillId="0" borderId="14" xfId="0" applyNumberFormat="1" applyBorder="1" applyAlignment="1">
      <alignment horizontal="left" vertical="top" wrapText="1"/>
    </xf>
    <xf numFmtId="0" fontId="46" fillId="34" borderId="83" xfId="0" applyFont="1" applyFill="1" applyBorder="1" applyAlignment="1">
      <alignment horizontal="left" vertical="center" wrapText="1"/>
    </xf>
    <xf numFmtId="0" fontId="46" fillId="34" borderId="84" xfId="0" applyFont="1" applyFill="1" applyBorder="1" applyAlignment="1">
      <alignment horizontal="left" vertical="center" wrapText="1"/>
    </xf>
    <xf numFmtId="0" fontId="46" fillId="34" borderId="85" xfId="0" applyFont="1" applyFill="1" applyBorder="1" applyAlignment="1">
      <alignment horizontal="left" vertical="center" wrapText="1"/>
    </xf>
    <xf numFmtId="0" fontId="10" fillId="41" borderId="15" xfId="0" applyFont="1" applyFill="1" applyBorder="1" applyAlignment="1">
      <alignment vertical="top" wrapText="1"/>
    </xf>
    <xf numFmtId="0" fontId="0" fillId="0" borderId="15" xfId="0" applyBorder="1" applyAlignment="1">
      <alignment vertical="top"/>
    </xf>
    <xf numFmtId="0" fontId="3" fillId="40" borderId="15" xfId="0" applyFont="1" applyFill="1" applyBorder="1" applyAlignment="1" applyProtection="1">
      <alignment horizontal="left" vertical="top" wrapText="1"/>
      <protection locked="0"/>
    </xf>
    <xf numFmtId="170" fontId="0" fillId="0" borderId="15" xfId="0" applyNumberFormat="1" applyBorder="1" applyAlignment="1" applyProtection="1">
      <alignment horizontal="left" vertical="top" wrapText="1"/>
      <protection locked="0"/>
    </xf>
    <xf numFmtId="0" fontId="5" fillId="24" borderId="0" xfId="0" applyFont="1" applyFill="1" applyAlignment="1">
      <alignment horizontal="left" vertical="top" wrapText="1"/>
    </xf>
    <xf numFmtId="0" fontId="5" fillId="24" borderId="12" xfId="0" applyFont="1" applyFill="1" applyBorder="1" applyAlignment="1">
      <alignment horizontal="left" vertical="top" wrapText="1"/>
    </xf>
    <xf numFmtId="170" fontId="3" fillId="24" borderId="25" xfId="0" applyNumberFormat="1" applyFont="1" applyFill="1" applyBorder="1" applyAlignment="1">
      <alignment horizontal="left" vertical="top" wrapText="1"/>
    </xf>
    <xf numFmtId="0" fontId="10" fillId="24" borderId="17" xfId="0" applyFont="1" applyFill="1" applyBorder="1" applyAlignment="1">
      <alignment vertical="top" wrapText="1"/>
    </xf>
    <xf numFmtId="0" fontId="0" fillId="0" borderId="18" xfId="0" applyBorder="1" applyAlignment="1">
      <alignment horizontal="left" vertical="top" wrapText="1"/>
    </xf>
    <xf numFmtId="0" fontId="3" fillId="40" borderId="14" xfId="0" applyFont="1" applyFill="1" applyBorder="1" applyAlignment="1" applyProtection="1">
      <alignment horizontal="left" vertical="top" wrapText="1"/>
      <protection locked="0"/>
    </xf>
    <xf numFmtId="170" fontId="0" fillId="0" borderId="14" xfId="0" applyNumberFormat="1" applyBorder="1" applyAlignment="1" applyProtection="1">
      <alignment horizontal="left" vertical="top" wrapText="1"/>
      <protection locked="0"/>
    </xf>
    <xf numFmtId="170" fontId="3" fillId="24" borderId="15" xfId="0" applyNumberFormat="1" applyFont="1" applyFill="1" applyBorder="1" applyAlignment="1">
      <alignment horizontal="left" vertical="top" wrapText="1"/>
    </xf>
    <xf numFmtId="170" fontId="0" fillId="0" borderId="15" xfId="0" applyNumberFormat="1" applyBorder="1" applyAlignment="1">
      <alignment horizontal="left" vertical="top" wrapText="1"/>
    </xf>
    <xf numFmtId="170" fontId="3" fillId="41" borderId="16" xfId="0" applyNumberFormat="1" applyFont="1" applyFill="1" applyBorder="1" applyAlignment="1">
      <alignment horizontal="left" vertical="top" wrapText="1"/>
    </xf>
    <xf numFmtId="170" fontId="0" fillId="0" borderId="16" xfId="0" applyNumberFormat="1" applyBorder="1" applyAlignment="1">
      <alignment horizontal="left" vertical="top" wrapText="1"/>
    </xf>
    <xf numFmtId="170" fontId="3" fillId="41" borderId="25" xfId="0" applyNumberFormat="1" applyFont="1" applyFill="1" applyBorder="1" applyAlignment="1">
      <alignment horizontal="left" vertical="top" wrapText="1"/>
    </xf>
    <xf numFmtId="0" fontId="3" fillId="40" borderId="16" xfId="0" applyFont="1" applyFill="1" applyBorder="1" applyAlignment="1" applyProtection="1">
      <alignment horizontal="left" vertical="top" wrapText="1"/>
      <protection locked="0"/>
    </xf>
    <xf numFmtId="170" fontId="0" fillId="0" borderId="16" xfId="0" applyNumberFormat="1" applyBorder="1" applyAlignment="1" applyProtection="1">
      <alignment horizontal="left" vertical="top" wrapText="1"/>
      <protection locked="0"/>
    </xf>
    <xf numFmtId="170" fontId="5" fillId="24" borderId="25" xfId="0" applyNumberFormat="1" applyFont="1" applyFill="1" applyBorder="1" applyAlignment="1">
      <alignment horizontal="left" vertical="top" wrapText="1"/>
    </xf>
    <xf numFmtId="170" fontId="3" fillId="24" borderId="14" xfId="0" applyNumberFormat="1" applyFont="1" applyFill="1" applyBorder="1" applyAlignment="1">
      <alignment horizontal="left" vertical="top" wrapText="1"/>
    </xf>
    <xf numFmtId="170" fontId="3" fillId="24" borderId="36" xfId="0" applyNumberFormat="1" applyFont="1" applyFill="1" applyBorder="1" applyAlignment="1">
      <alignment horizontal="left" vertical="top" wrapText="1"/>
    </xf>
    <xf numFmtId="170" fontId="0" fillId="0" borderId="36" xfId="0" applyNumberFormat="1" applyBorder="1" applyAlignment="1">
      <alignment horizontal="left" vertical="top" wrapText="1"/>
    </xf>
    <xf numFmtId="170" fontId="5" fillId="24" borderId="101" xfId="0" applyNumberFormat="1" applyFont="1" applyFill="1" applyBorder="1" applyAlignment="1">
      <alignment horizontal="left" vertical="top" wrapText="1"/>
    </xf>
    <xf numFmtId="170" fontId="0" fillId="0" borderId="51" xfId="0" applyNumberFormat="1" applyBorder="1" applyAlignment="1">
      <alignment horizontal="left" vertical="top" wrapText="1"/>
    </xf>
    <xf numFmtId="170" fontId="5" fillId="24" borderId="56" xfId="0" applyNumberFormat="1" applyFont="1" applyFill="1" applyBorder="1" applyAlignment="1">
      <alignment horizontal="left" vertical="top" wrapText="1"/>
    </xf>
    <xf numFmtId="170" fontId="3" fillId="41" borderId="41" xfId="0" applyNumberFormat="1" applyFont="1" applyFill="1" applyBorder="1" applyAlignment="1">
      <alignment horizontal="left" vertical="top" wrapText="1"/>
    </xf>
    <xf numFmtId="170" fontId="0" fillId="0" borderId="41" xfId="0" applyNumberFormat="1" applyBorder="1" applyAlignment="1">
      <alignment horizontal="left" vertical="top" wrapText="1"/>
    </xf>
    <xf numFmtId="0" fontId="3" fillId="24" borderId="78" xfId="0" applyFont="1" applyFill="1" applyBorder="1" applyAlignment="1">
      <alignment vertical="top" wrapText="1"/>
    </xf>
    <xf numFmtId="0" fontId="3" fillId="41" borderId="12" xfId="0" applyFont="1" applyFill="1" applyBorder="1" applyAlignment="1">
      <alignment vertical="top" wrapText="1"/>
    </xf>
    <xf numFmtId="0" fontId="3" fillId="27" borderId="67" xfId="0" applyFont="1" applyFill="1" applyBorder="1" applyAlignment="1" applyProtection="1">
      <alignment vertical="top" wrapText="1"/>
      <protection locked="0"/>
    </xf>
    <xf numFmtId="0" fontId="0" fillId="0" borderId="25" xfId="0" applyBorder="1" applyAlignment="1" applyProtection="1">
      <alignment vertical="top" wrapText="1"/>
      <protection locked="0"/>
    </xf>
    <xf numFmtId="0" fontId="0" fillId="0" borderId="26" xfId="0" applyBorder="1" applyAlignment="1" applyProtection="1">
      <alignment vertical="top" wrapText="1"/>
      <protection locked="0"/>
    </xf>
    <xf numFmtId="0" fontId="3" fillId="27" borderId="67" xfId="0" applyFont="1" applyFill="1" applyBorder="1" applyAlignment="1" applyProtection="1">
      <alignment horizontal="left" vertical="top" wrapText="1"/>
      <protection locked="0"/>
    </xf>
    <xf numFmtId="0" fontId="3" fillId="27" borderId="26" xfId="0" applyFont="1" applyFill="1" applyBorder="1" applyAlignment="1" applyProtection="1">
      <alignment horizontal="left" vertical="top" wrapText="1"/>
      <protection locked="0"/>
    </xf>
    <xf numFmtId="0" fontId="3" fillId="40" borderId="25" xfId="0" applyFont="1" applyFill="1" applyBorder="1" applyAlignment="1" applyProtection="1">
      <alignment vertical="top" wrapText="1"/>
      <protection locked="0"/>
    </xf>
    <xf numFmtId="0" fontId="3" fillId="27" borderId="26" xfId="0" applyFont="1" applyFill="1" applyBorder="1" applyAlignment="1" applyProtection="1">
      <alignment vertical="top" wrapText="1"/>
      <protection locked="0"/>
    </xf>
    <xf numFmtId="0" fontId="5" fillId="27" borderId="10" xfId="0" applyFont="1" applyFill="1" applyBorder="1" applyAlignment="1" applyProtection="1">
      <alignment horizontal="center" vertical="top"/>
      <protection locked="0"/>
    </xf>
    <xf numFmtId="0" fontId="3" fillId="27" borderId="10" xfId="0" applyFont="1" applyFill="1" applyBorder="1" applyAlignment="1" applyProtection="1">
      <alignment horizontal="left" vertical="top"/>
      <protection locked="0"/>
    </xf>
    <xf numFmtId="0" fontId="3" fillId="40" borderId="13" xfId="0" applyFont="1" applyFill="1" applyBorder="1" applyAlignment="1" applyProtection="1">
      <alignment horizontal="left" vertical="top"/>
      <protection locked="0"/>
    </xf>
    <xf numFmtId="0" fontId="3" fillId="40" borderId="67" xfId="0" applyFont="1" applyFill="1" applyBorder="1" applyAlignment="1" applyProtection="1">
      <alignment horizontal="left" vertical="top"/>
      <protection locked="0"/>
    </xf>
    <xf numFmtId="0" fontId="3" fillId="40" borderId="25" xfId="0" applyFont="1" applyFill="1" applyBorder="1" applyAlignment="1" applyProtection="1">
      <alignment horizontal="left" vertical="top"/>
      <protection locked="0"/>
    </xf>
    <xf numFmtId="0" fontId="3" fillId="40" borderId="26" xfId="0" applyFont="1" applyFill="1" applyBorder="1" applyAlignment="1" applyProtection="1">
      <alignment horizontal="left" vertical="top"/>
      <protection locked="0"/>
    </xf>
    <xf numFmtId="0" fontId="5" fillId="24" borderId="0" xfId="0" applyFont="1" applyFill="1" applyAlignment="1">
      <alignment horizontal="left" vertical="top"/>
    </xf>
    <xf numFmtId="0" fontId="0" fillId="0" borderId="0" xfId="0" applyAlignment="1">
      <alignment horizontal="left" vertical="top"/>
    </xf>
    <xf numFmtId="0" fontId="0" fillId="0" borderId="18" xfId="0" applyBorder="1" applyAlignment="1">
      <alignment horizontal="left" vertical="top"/>
    </xf>
    <xf numFmtId="0" fontId="3" fillId="24" borderId="60" xfId="0" applyFont="1" applyFill="1" applyBorder="1" applyAlignment="1">
      <alignment horizontal="left" vertical="top"/>
    </xf>
    <xf numFmtId="0" fontId="0" fillId="0" borderId="60" xfId="0" applyBorder="1" applyAlignment="1">
      <alignment horizontal="left" vertical="top"/>
    </xf>
    <xf numFmtId="0" fontId="3" fillId="24" borderId="11" xfId="0" applyFont="1" applyFill="1" applyBorder="1" applyAlignment="1">
      <alignment horizontal="left" vertical="top"/>
    </xf>
    <xf numFmtId="0" fontId="0" fillId="0" borderId="11" xfId="0" applyBorder="1" applyAlignment="1">
      <alignment horizontal="left" vertical="top"/>
    </xf>
    <xf numFmtId="0" fontId="3" fillId="24" borderId="10" xfId="0" applyFont="1" applyFill="1" applyBorder="1" applyAlignment="1">
      <alignment horizontal="left" vertical="top"/>
    </xf>
    <xf numFmtId="0" fontId="0" fillId="0" borderId="10" xfId="0" applyBorder="1" applyAlignment="1">
      <alignment horizontal="left" vertical="top"/>
    </xf>
    <xf numFmtId="0" fontId="3" fillId="24" borderId="71" xfId="0" applyFont="1" applyFill="1" applyBorder="1" applyAlignment="1">
      <alignment horizontal="left" vertical="top"/>
    </xf>
    <xf numFmtId="0" fontId="0" fillId="0" borderId="71" xfId="0" applyBorder="1" applyAlignment="1">
      <alignment horizontal="left" vertical="top"/>
    </xf>
    <xf numFmtId="170" fontId="3" fillId="43" borderId="12" xfId="0" applyNumberFormat="1" applyFont="1" applyFill="1" applyBorder="1" applyAlignment="1">
      <alignment horizontal="left" vertical="top" wrapText="1"/>
    </xf>
    <xf numFmtId="170" fontId="0" fillId="0" borderId="12" xfId="0" applyNumberFormat="1" applyBorder="1" applyAlignment="1">
      <alignment horizontal="left" vertical="top" wrapText="1"/>
    </xf>
    <xf numFmtId="170" fontId="0" fillId="0" borderId="25" xfId="0" applyNumberFormat="1" applyBorder="1" applyAlignment="1" applyProtection="1">
      <alignment horizontal="left" vertical="top" wrapText="1"/>
      <protection locked="0"/>
    </xf>
    <xf numFmtId="170" fontId="3" fillId="43" borderId="16" xfId="0" applyNumberFormat="1" applyFont="1" applyFill="1" applyBorder="1" applyAlignment="1">
      <alignment horizontal="left" vertical="top" wrapText="1"/>
    </xf>
    <xf numFmtId="170" fontId="5" fillId="43" borderId="25" xfId="0" applyNumberFormat="1" applyFont="1" applyFill="1" applyBorder="1" applyAlignment="1">
      <alignment horizontal="left" vertical="top" wrapText="1"/>
    </xf>
    <xf numFmtId="170" fontId="5" fillId="24" borderId="112" xfId="0" applyNumberFormat="1" applyFont="1" applyFill="1" applyBorder="1" applyAlignment="1">
      <alignment horizontal="left" vertical="top" wrapText="1"/>
    </xf>
    <xf numFmtId="170" fontId="0" fillId="0" borderId="120" xfId="0" applyNumberFormat="1" applyBorder="1" applyAlignment="1">
      <alignment horizontal="left" vertical="top" wrapText="1"/>
    </xf>
    <xf numFmtId="170" fontId="5" fillId="24" borderId="110" xfId="0" applyNumberFormat="1" applyFont="1" applyFill="1" applyBorder="1" applyAlignment="1">
      <alignment horizontal="left" vertical="top" wrapText="1"/>
    </xf>
    <xf numFmtId="170" fontId="5" fillId="24" borderId="111" xfId="0" applyNumberFormat="1" applyFont="1" applyFill="1" applyBorder="1" applyAlignment="1">
      <alignment horizontal="left" vertical="top" wrapText="1"/>
    </xf>
    <xf numFmtId="170" fontId="3" fillId="0" borderId="14" xfId="0" applyNumberFormat="1" applyFont="1" applyBorder="1" applyAlignment="1">
      <alignment horizontal="left" vertical="top" wrapText="1"/>
    </xf>
    <xf numFmtId="170" fontId="3" fillId="0" borderId="16" xfId="0" applyNumberFormat="1" applyFont="1" applyBorder="1" applyAlignment="1">
      <alignment horizontal="left" vertical="top" wrapText="1"/>
    </xf>
    <xf numFmtId="170" fontId="3" fillId="24" borderId="14" xfId="0" applyNumberFormat="1" applyFont="1" applyFill="1" applyBorder="1" applyAlignment="1">
      <alignment horizontal="left" vertical="center" wrapText="1"/>
    </xf>
    <xf numFmtId="170" fontId="3" fillId="24" borderId="15" xfId="0" applyNumberFormat="1" applyFont="1" applyFill="1" applyBorder="1" applyAlignment="1">
      <alignment horizontal="left" vertical="center" wrapText="1"/>
    </xf>
    <xf numFmtId="170" fontId="3" fillId="24" borderId="16" xfId="0" applyNumberFormat="1" applyFont="1" applyFill="1" applyBorder="1" applyAlignment="1">
      <alignment horizontal="left" vertical="center" wrapText="1"/>
    </xf>
    <xf numFmtId="170" fontId="0" fillId="0" borderId="16" xfId="0" applyNumberFormat="1" applyBorder="1" applyAlignment="1">
      <alignment horizontal="left" vertical="center" wrapText="1"/>
    </xf>
    <xf numFmtId="0" fontId="35" fillId="40" borderId="67" xfId="0" applyFont="1" applyFill="1" applyBorder="1" applyAlignment="1" applyProtection="1">
      <alignment horizontal="left"/>
      <protection locked="0"/>
    </xf>
    <xf numFmtId="0" fontId="35" fillId="40" borderId="25" xfId="0" applyFont="1" applyFill="1" applyBorder="1" applyAlignment="1" applyProtection="1">
      <alignment horizontal="left"/>
      <protection locked="0"/>
    </xf>
    <xf numFmtId="0" fontId="35" fillId="40" borderId="26" xfId="0" applyFont="1" applyFill="1" applyBorder="1" applyAlignment="1" applyProtection="1">
      <alignment horizontal="left"/>
      <protection locked="0"/>
    </xf>
    <xf numFmtId="0" fontId="3" fillId="24" borderId="17" xfId="0" applyFont="1" applyFill="1" applyBorder="1" applyAlignment="1">
      <alignment horizontal="left" vertical="top" wrapText="1"/>
    </xf>
    <xf numFmtId="0" fontId="5" fillId="24" borderId="0" xfId="0" applyFont="1" applyFill="1" applyAlignment="1">
      <alignment vertical="center" wrapText="1"/>
    </xf>
    <xf numFmtId="0" fontId="0" fillId="0" borderId="0" xfId="0" applyAlignment="1">
      <alignment vertical="center" wrapText="1"/>
    </xf>
    <xf numFmtId="0" fontId="0" fillId="0" borderId="17" xfId="0" applyBorder="1" applyAlignment="1">
      <alignment horizontal="left" vertical="top" wrapText="1"/>
    </xf>
    <xf numFmtId="170" fontId="3" fillId="41" borderId="120" xfId="0" applyNumberFormat="1" applyFont="1" applyFill="1" applyBorder="1" applyAlignment="1">
      <alignment horizontal="left" vertical="top" wrapText="1"/>
    </xf>
    <xf numFmtId="0" fontId="5" fillId="24" borderId="18" xfId="0" applyFont="1" applyFill="1" applyBorder="1" applyAlignment="1">
      <alignment horizontal="left" vertical="top" wrapText="1"/>
    </xf>
    <xf numFmtId="0" fontId="10" fillId="41" borderId="0" xfId="0" applyFont="1" applyFill="1" applyAlignment="1">
      <alignment horizontal="left" vertical="top" wrapText="1"/>
    </xf>
    <xf numFmtId="170" fontId="3" fillId="40" borderId="14" xfId="0" applyNumberFormat="1" applyFont="1" applyFill="1" applyBorder="1" applyAlignment="1" applyProtection="1">
      <alignment horizontal="left" vertical="top" wrapText="1"/>
      <protection locked="0"/>
    </xf>
    <xf numFmtId="0" fontId="3" fillId="24" borderId="18" xfId="0" applyFont="1" applyFill="1" applyBorder="1" applyAlignment="1">
      <alignment horizontal="left" vertical="top" wrapText="1"/>
    </xf>
    <xf numFmtId="0" fontId="3" fillId="41" borderId="0" xfId="0" applyFont="1" applyFill="1" applyAlignment="1">
      <alignment vertical="top" wrapText="1"/>
    </xf>
    <xf numFmtId="0" fontId="0" fillId="0" borderId="18" xfId="0" applyBorder="1" applyAlignment="1">
      <alignment vertical="top" wrapText="1"/>
    </xf>
    <xf numFmtId="0" fontId="3" fillId="41" borderId="16" xfId="0" applyFont="1" applyFill="1" applyBorder="1" applyAlignment="1">
      <alignment horizontal="left" vertical="top" wrapText="1"/>
    </xf>
    <xf numFmtId="0" fontId="3" fillId="41" borderId="25" xfId="0" applyFont="1" applyFill="1" applyBorder="1" applyAlignment="1">
      <alignment horizontal="left" vertical="top" wrapText="1"/>
    </xf>
    <xf numFmtId="0" fontId="3" fillId="24" borderId="120" xfId="0" applyFont="1" applyFill="1" applyBorder="1" applyAlignment="1">
      <alignment horizontal="left" vertical="top" wrapText="1"/>
    </xf>
    <xf numFmtId="0" fontId="0" fillId="0" borderId="120" xfId="0" applyBorder="1" applyAlignment="1">
      <alignment horizontal="left" vertical="top" wrapText="1"/>
    </xf>
    <xf numFmtId="0" fontId="5" fillId="24" borderId="83" xfId="0" applyFont="1" applyFill="1" applyBorder="1" applyAlignment="1">
      <alignment horizontal="left" vertical="top" wrapText="1"/>
    </xf>
    <xf numFmtId="0" fontId="0" fillId="0" borderId="84" xfId="0" applyBorder="1" applyAlignment="1">
      <alignment horizontal="left" vertical="top" wrapText="1"/>
    </xf>
    <xf numFmtId="0" fontId="3" fillId="41" borderId="18" xfId="0" applyFont="1" applyFill="1" applyBorder="1" applyAlignment="1">
      <alignment horizontal="left" vertical="top" wrapText="1"/>
    </xf>
    <xf numFmtId="0" fontId="5" fillId="24" borderId="185" xfId="0" applyFont="1" applyFill="1" applyBorder="1" applyAlignment="1">
      <alignment horizontal="left" vertical="top" wrapText="1"/>
    </xf>
    <xf numFmtId="0" fontId="3" fillId="24" borderId="0" xfId="0" applyFont="1" applyFill="1" applyAlignment="1">
      <alignment horizontal="right" vertical="top" wrapText="1"/>
    </xf>
    <xf numFmtId="0" fontId="3" fillId="24" borderId="18" xfId="0" applyFont="1" applyFill="1" applyBorder="1" applyAlignment="1">
      <alignment horizontal="right" vertical="top" wrapText="1"/>
    </xf>
    <xf numFmtId="0" fontId="3" fillId="24" borderId="14" xfId="0" applyFont="1" applyFill="1" applyBorder="1" applyAlignment="1">
      <alignment vertical="top" wrapText="1"/>
    </xf>
    <xf numFmtId="0" fontId="3" fillId="24" borderId="19" xfId="0" applyFont="1" applyFill="1" applyBorder="1" applyAlignment="1">
      <alignment vertical="top" wrapText="1"/>
    </xf>
    <xf numFmtId="0" fontId="3" fillId="40" borderId="106" xfId="0" applyFont="1" applyFill="1" applyBorder="1" applyAlignment="1" applyProtection="1">
      <alignment horizontal="left" vertical="top"/>
      <protection locked="0"/>
    </xf>
    <xf numFmtId="0" fontId="3" fillId="40" borderId="14" xfId="0" applyFont="1" applyFill="1" applyBorder="1" applyAlignment="1" applyProtection="1">
      <alignment horizontal="left" vertical="top"/>
      <protection locked="0"/>
    </xf>
    <xf numFmtId="0" fontId="3" fillId="24" borderId="15" xfId="0" applyFont="1" applyFill="1" applyBorder="1" applyAlignment="1">
      <alignment vertical="top" wrapText="1"/>
    </xf>
    <xf numFmtId="0" fontId="3" fillId="24" borderId="20" xfId="0" applyFont="1" applyFill="1" applyBorder="1" applyAlignment="1">
      <alignment vertical="top" wrapText="1"/>
    </xf>
    <xf numFmtId="0" fontId="3" fillId="40" borderId="107" xfId="0" applyFont="1" applyFill="1" applyBorder="1" applyAlignment="1" applyProtection="1">
      <alignment horizontal="left" vertical="top"/>
      <protection locked="0"/>
    </xf>
    <xf numFmtId="0" fontId="3" fillId="40" borderId="15" xfId="0" applyFont="1" applyFill="1" applyBorder="1" applyAlignment="1" applyProtection="1">
      <alignment horizontal="left" vertical="top"/>
      <protection locked="0"/>
    </xf>
    <xf numFmtId="0" fontId="5" fillId="24" borderId="18" xfId="0" applyFont="1" applyFill="1" applyBorder="1" applyAlignment="1">
      <alignment vertical="top" wrapText="1"/>
    </xf>
    <xf numFmtId="0" fontId="3" fillId="24" borderId="24" xfId="0" applyFont="1" applyFill="1" applyBorder="1" applyAlignment="1">
      <alignment vertical="top" wrapText="1"/>
    </xf>
    <xf numFmtId="0" fontId="3" fillId="24" borderId="14" xfId="0" applyFont="1" applyFill="1" applyBorder="1" applyAlignment="1">
      <alignment horizontal="left" vertical="top" wrapText="1"/>
    </xf>
    <xf numFmtId="0" fontId="53" fillId="24" borderId="15" xfId="0" applyFont="1" applyFill="1" applyBorder="1" applyAlignment="1">
      <alignment horizontal="left" vertical="top" wrapText="1"/>
    </xf>
    <xf numFmtId="0" fontId="0" fillId="0" borderId="15" xfId="0" applyBorder="1" applyAlignment="1">
      <alignment horizontal="left" vertical="top" wrapText="1"/>
    </xf>
    <xf numFmtId="0" fontId="3" fillId="24" borderId="15" xfId="0" applyFont="1" applyFill="1" applyBorder="1" applyAlignment="1">
      <alignment horizontal="left" vertical="top" wrapText="1"/>
    </xf>
    <xf numFmtId="0" fontId="3" fillId="24" borderId="16" xfId="0" applyFont="1" applyFill="1" applyBorder="1" applyAlignment="1">
      <alignment vertical="top" wrapText="1"/>
    </xf>
    <xf numFmtId="0" fontId="3" fillId="24" borderId="23" xfId="0" applyFont="1" applyFill="1" applyBorder="1" applyAlignment="1">
      <alignment vertical="top" wrapText="1"/>
    </xf>
    <xf numFmtId="0" fontId="3" fillId="40" borderId="97" xfId="0" applyFont="1" applyFill="1" applyBorder="1" applyAlignment="1" applyProtection="1">
      <alignment horizontal="left" vertical="top"/>
      <protection locked="0"/>
    </xf>
    <xf numFmtId="0" fontId="3" fillId="40" borderId="16" xfId="0" applyFont="1" applyFill="1" applyBorder="1" applyAlignment="1" applyProtection="1">
      <alignment horizontal="left" vertical="top"/>
      <protection locked="0"/>
    </xf>
    <xf numFmtId="0" fontId="5" fillId="24" borderId="78" xfId="0" applyFont="1" applyFill="1" applyBorder="1" applyAlignment="1">
      <alignment wrapText="1"/>
    </xf>
    <xf numFmtId="0" fontId="5" fillId="24" borderId="12" xfId="0" applyFont="1" applyFill="1" applyBorder="1" applyAlignment="1">
      <alignment wrapText="1"/>
    </xf>
    <xf numFmtId="0" fontId="5" fillId="24" borderId="24" xfId="0" applyFont="1" applyFill="1" applyBorder="1" applyAlignment="1">
      <alignment wrapText="1"/>
    </xf>
    <xf numFmtId="0" fontId="3" fillId="40" borderId="19" xfId="0" applyFont="1" applyFill="1" applyBorder="1" applyAlignment="1" applyProtection="1">
      <alignment horizontal="left" vertical="top"/>
      <protection locked="0"/>
    </xf>
    <xf numFmtId="0" fontId="3" fillId="40" borderId="106" xfId="0" applyFont="1" applyFill="1" applyBorder="1" applyAlignment="1" applyProtection="1">
      <alignment vertical="top"/>
      <protection locked="0"/>
    </xf>
    <xf numFmtId="0" fontId="3" fillId="40" borderId="14" xfId="0" applyFont="1" applyFill="1" applyBorder="1" applyAlignment="1" applyProtection="1">
      <alignment vertical="top"/>
      <protection locked="0"/>
    </xf>
    <xf numFmtId="0" fontId="3" fillId="40" borderId="20" xfId="0" applyFont="1" applyFill="1" applyBorder="1" applyAlignment="1" applyProtection="1">
      <alignment horizontal="left" vertical="top"/>
      <protection locked="0"/>
    </xf>
    <xf numFmtId="0" fontId="3" fillId="40" borderId="107" xfId="0" applyFont="1" applyFill="1" applyBorder="1" applyAlignment="1" applyProtection="1">
      <alignment vertical="top"/>
      <protection locked="0"/>
    </xf>
    <xf numFmtId="0" fontId="3" fillId="40" borderId="15" xfId="0" applyFont="1" applyFill="1" applyBorder="1" applyAlignment="1" applyProtection="1">
      <alignment vertical="top"/>
      <protection locked="0"/>
    </xf>
    <xf numFmtId="0" fontId="5" fillId="0" borderId="78" xfId="0" applyFont="1" applyBorder="1" applyAlignment="1">
      <alignment wrapText="1"/>
    </xf>
    <xf numFmtId="0" fontId="5" fillId="0" borderId="12" xfId="0" applyFont="1" applyBorder="1" applyAlignment="1">
      <alignment wrapText="1"/>
    </xf>
    <xf numFmtId="0" fontId="5" fillId="0" borderId="24" xfId="0" applyFont="1" applyBorder="1" applyAlignment="1">
      <alignment wrapText="1"/>
    </xf>
    <xf numFmtId="0" fontId="3" fillId="40" borderId="19" xfId="0" applyFont="1" applyFill="1" applyBorder="1" applyAlignment="1" applyProtection="1">
      <alignment vertical="top"/>
      <protection locked="0"/>
    </xf>
    <xf numFmtId="0" fontId="3" fillId="40" borderId="23" xfId="0" applyFont="1" applyFill="1" applyBorder="1" applyAlignment="1" applyProtection="1">
      <alignment horizontal="left" vertical="top"/>
      <protection locked="0"/>
    </xf>
    <xf numFmtId="0" fontId="3" fillId="40" borderId="97" xfId="0" applyFont="1" applyFill="1" applyBorder="1" applyAlignment="1" applyProtection="1">
      <alignment vertical="top"/>
      <protection locked="0"/>
    </xf>
    <xf numFmtId="0" fontId="3" fillId="40" borderId="16" xfId="0" applyFont="1" applyFill="1" applyBorder="1" applyAlignment="1" applyProtection="1">
      <alignment vertical="top"/>
      <protection locked="0"/>
    </xf>
    <xf numFmtId="0" fontId="5" fillId="24" borderId="18" xfId="0" applyFont="1" applyFill="1" applyBorder="1" applyAlignment="1">
      <alignment horizontal="left" wrapText="1"/>
    </xf>
    <xf numFmtId="0" fontId="0" fillId="0" borderId="24" xfId="0" applyBorder="1" applyAlignment="1">
      <alignment horizontal="left" wrapText="1"/>
    </xf>
    <xf numFmtId="0" fontId="5" fillId="24" borderId="100" xfId="0" applyFont="1" applyFill="1" applyBorder="1" applyAlignment="1">
      <alignment horizontal="left" wrapText="1"/>
    </xf>
    <xf numFmtId="0" fontId="5" fillId="24" borderId="0" xfId="0" applyFont="1" applyFill="1" applyAlignment="1">
      <alignment horizontal="left" wrapText="1"/>
    </xf>
    <xf numFmtId="0" fontId="5" fillId="24" borderId="78" xfId="0" applyFont="1" applyFill="1" applyBorder="1" applyAlignment="1">
      <alignment horizontal="left" wrapText="1"/>
    </xf>
    <xf numFmtId="0" fontId="5" fillId="24" borderId="12" xfId="0" applyFont="1" applyFill="1" applyBorder="1" applyAlignment="1">
      <alignment horizontal="left" wrapText="1"/>
    </xf>
    <xf numFmtId="0" fontId="5" fillId="24" borderId="24" xfId="0" applyFont="1" applyFill="1" applyBorder="1" applyAlignment="1">
      <alignment horizontal="left" wrapText="1"/>
    </xf>
    <xf numFmtId="0" fontId="36" fillId="40" borderId="106" xfId="0" applyFont="1" applyFill="1" applyBorder="1" applyAlignment="1" applyProtection="1">
      <alignment horizontal="left"/>
      <protection locked="0"/>
    </xf>
    <xf numFmtId="0" fontId="36" fillId="40" borderId="14" xfId="0" applyFont="1" applyFill="1" applyBorder="1" applyAlignment="1" applyProtection="1">
      <alignment horizontal="left"/>
      <protection locked="0"/>
    </xf>
    <xf numFmtId="0" fontId="36" fillId="40" borderId="19" xfId="0" applyFont="1" applyFill="1" applyBorder="1" applyAlignment="1" applyProtection="1">
      <alignment horizontal="left"/>
      <protection locked="0"/>
    </xf>
    <xf numFmtId="0" fontId="36" fillId="40" borderId="107" xfId="0" applyFont="1" applyFill="1" applyBorder="1" applyAlignment="1" applyProtection="1">
      <alignment horizontal="left"/>
      <protection locked="0"/>
    </xf>
    <xf numFmtId="0" fontId="36" fillId="40" borderId="15" xfId="0" applyFont="1" applyFill="1" applyBorder="1" applyAlignment="1" applyProtection="1">
      <alignment horizontal="left"/>
      <protection locked="0"/>
    </xf>
    <xf numFmtId="0" fontId="36" fillId="40" borderId="20" xfId="0" applyFont="1" applyFill="1" applyBorder="1" applyAlignment="1" applyProtection="1">
      <alignment horizontal="left"/>
      <protection locked="0"/>
    </xf>
    <xf numFmtId="0" fontId="3" fillId="40" borderId="20" xfId="0" applyFont="1" applyFill="1" applyBorder="1" applyAlignment="1" applyProtection="1">
      <alignment vertical="top"/>
      <protection locked="0"/>
    </xf>
    <xf numFmtId="0" fontId="3" fillId="40" borderId="23" xfId="0" applyFont="1" applyFill="1" applyBorder="1" applyAlignment="1" applyProtection="1">
      <alignment vertical="top"/>
      <protection locked="0"/>
    </xf>
    <xf numFmtId="0" fontId="10" fillId="43" borderId="0" xfId="0" applyFont="1" applyFill="1" applyAlignment="1">
      <alignment vertical="top" wrapText="1"/>
    </xf>
    <xf numFmtId="0" fontId="3" fillId="43" borderId="0" xfId="0" applyFont="1" applyFill="1" applyAlignment="1">
      <alignment vertical="top" wrapText="1"/>
    </xf>
    <xf numFmtId="0" fontId="3" fillId="43" borderId="185" xfId="0" applyFont="1" applyFill="1" applyBorder="1" applyAlignment="1">
      <alignment vertical="top" wrapText="1"/>
    </xf>
    <xf numFmtId="0" fontId="5" fillId="43" borderId="12" xfId="0" applyFont="1" applyFill="1" applyBorder="1" applyAlignment="1">
      <alignment horizontal="left" vertical="top" wrapText="1"/>
    </xf>
    <xf numFmtId="0" fontId="5" fillId="43" borderId="0" xfId="0" applyFont="1" applyFill="1" applyAlignment="1">
      <alignment horizontal="left" vertical="top" wrapText="1"/>
    </xf>
    <xf numFmtId="0" fontId="0" fillId="0" borderId="185" xfId="0" applyBorder="1" applyAlignment="1">
      <alignment horizontal="left" vertical="top" wrapText="1"/>
    </xf>
    <xf numFmtId="0" fontId="10" fillId="41" borderId="0" xfId="0" applyFont="1" applyFill="1" applyAlignment="1">
      <alignment vertical="top" wrapText="1"/>
    </xf>
    <xf numFmtId="0" fontId="7" fillId="46" borderId="67" xfId="0" applyFont="1" applyFill="1" applyBorder="1" applyAlignment="1">
      <alignment vertical="top" wrapText="1"/>
    </xf>
    <xf numFmtId="0" fontId="0" fillId="46" borderId="25" xfId="0" applyFill="1" applyBorder="1" applyAlignment="1">
      <alignment vertical="top" wrapText="1"/>
    </xf>
    <xf numFmtId="0" fontId="0" fillId="46" borderId="26" xfId="0" applyFill="1" applyBorder="1" applyAlignment="1">
      <alignment vertical="top" wrapText="1"/>
    </xf>
    <xf numFmtId="0" fontId="9" fillId="24" borderId="0" xfId="0" applyFont="1" applyFill="1" applyAlignment="1">
      <alignment horizontal="left" vertical="center" wrapText="1"/>
    </xf>
    <xf numFmtId="0" fontId="9" fillId="24" borderId="0" xfId="0" applyFont="1" applyFill="1" applyAlignment="1">
      <alignment horizontal="left" vertical="top" wrapText="1"/>
    </xf>
    <xf numFmtId="0" fontId="36" fillId="40" borderId="97" xfId="0" applyFont="1" applyFill="1" applyBorder="1" applyAlignment="1" applyProtection="1">
      <alignment horizontal="left"/>
      <protection locked="0"/>
    </xf>
    <xf numFmtId="0" fontId="36" fillId="40" borderId="16" xfId="0" applyFont="1" applyFill="1" applyBorder="1" applyAlignment="1" applyProtection="1">
      <alignment horizontal="left"/>
      <protection locked="0"/>
    </xf>
    <xf numFmtId="0" fontId="36" fillId="40" borderId="23" xfId="0" applyFont="1" applyFill="1" applyBorder="1" applyAlignment="1" applyProtection="1">
      <alignment horizontal="left"/>
      <protection locked="0"/>
    </xf>
    <xf numFmtId="0" fontId="36" fillId="24" borderId="106" xfId="0" applyFont="1" applyFill="1" applyBorder="1" applyAlignment="1">
      <alignment horizontal="left"/>
    </xf>
    <xf numFmtId="0" fontId="0" fillId="0" borderId="14" xfId="0" applyBorder="1" applyAlignment="1">
      <alignment horizontal="left"/>
    </xf>
    <xf numFmtId="0" fontId="0" fillId="0" borderId="19" xfId="0" applyBorder="1" applyAlignment="1">
      <alignment horizontal="left"/>
    </xf>
    <xf numFmtId="0" fontId="36" fillId="24" borderId="107" xfId="0" applyFont="1" applyFill="1" applyBorder="1" applyAlignment="1">
      <alignment horizontal="left"/>
    </xf>
    <xf numFmtId="0" fontId="0" fillId="0" borderId="15" xfId="0" applyBorder="1" applyAlignment="1">
      <alignment horizontal="left"/>
    </xf>
    <xf numFmtId="0" fontId="0" fillId="0" borderId="20" xfId="0" applyBorder="1" applyAlignment="1">
      <alignment horizontal="left"/>
    </xf>
    <xf numFmtId="0" fontId="36" fillId="24" borderId="97" xfId="0" applyFont="1" applyFill="1" applyBorder="1" applyAlignment="1">
      <alignment horizontal="left"/>
    </xf>
    <xf numFmtId="0" fontId="0" fillId="0" borderId="16" xfId="0" applyBorder="1" applyAlignment="1">
      <alignment horizontal="left"/>
    </xf>
    <xf numFmtId="0" fontId="0" fillId="0" borderId="23" xfId="0" applyBorder="1" applyAlignment="1">
      <alignment horizontal="left"/>
    </xf>
    <xf numFmtId="0" fontId="10" fillId="43" borderId="0" xfId="0" applyFont="1" applyFill="1" applyAlignment="1">
      <alignment horizontal="left" vertical="top" wrapText="1"/>
    </xf>
    <xf numFmtId="0" fontId="53" fillId="43" borderId="15" xfId="0" applyFont="1" applyFill="1" applyBorder="1" applyAlignment="1">
      <alignment horizontal="left" vertical="top" wrapText="1"/>
    </xf>
    <xf numFmtId="0" fontId="5" fillId="43" borderId="0" xfId="0" applyFont="1" applyFill="1" applyAlignment="1">
      <alignment vertical="top" wrapText="1"/>
    </xf>
    <xf numFmtId="0" fontId="0" fillId="43" borderId="0" xfId="0" applyFill="1" applyAlignment="1">
      <alignment vertical="top" wrapText="1"/>
    </xf>
    <xf numFmtId="0" fontId="0" fillId="43" borderId="185" xfId="0" applyFill="1" applyBorder="1" applyAlignment="1">
      <alignment vertical="top" wrapText="1"/>
    </xf>
    <xf numFmtId="0" fontId="10" fillId="43" borderId="0" xfId="0" quotePrefix="1" applyFont="1" applyFill="1" applyAlignment="1">
      <alignment horizontal="left" vertical="top" wrapText="1"/>
    </xf>
    <xf numFmtId="0" fontId="10" fillId="43" borderId="185" xfId="0" quotePrefix="1" applyFont="1" applyFill="1" applyBorder="1" applyAlignment="1">
      <alignment horizontal="left" vertical="top" wrapText="1"/>
    </xf>
    <xf numFmtId="0" fontId="40" fillId="43" borderId="0" xfId="0" applyFont="1" applyFill="1" applyAlignment="1">
      <alignment horizontal="left" vertical="top" wrapText="1"/>
    </xf>
    <xf numFmtId="0" fontId="7" fillId="24" borderId="0" xfId="0" applyFont="1" applyFill="1" applyAlignment="1">
      <alignment horizontal="left" vertical="top"/>
    </xf>
    <xf numFmtId="0" fontId="34" fillId="43" borderId="0" xfId="0" applyFont="1" applyFill="1" applyAlignment="1">
      <alignment vertical="top" wrapText="1"/>
    </xf>
    <xf numFmtId="0" fontId="55" fillId="43" borderId="0" xfId="0" applyFont="1" applyFill="1" applyAlignment="1">
      <alignment vertical="top" wrapText="1"/>
    </xf>
    <xf numFmtId="0" fontId="3" fillId="43" borderId="18" xfId="0" applyFont="1" applyFill="1" applyBorder="1" applyAlignment="1">
      <alignment vertical="top" wrapText="1"/>
    </xf>
    <xf numFmtId="0" fontId="0" fillId="0" borderId="50" xfId="0" applyBorder="1" applyAlignment="1" applyProtection="1">
      <alignment vertical="top" wrapText="1"/>
      <protection locked="0"/>
    </xf>
    <xf numFmtId="0" fontId="3" fillId="43" borderId="0" xfId="0" applyFont="1" applyFill="1" applyAlignment="1">
      <alignment horizontal="left" vertical="top" wrapText="1"/>
    </xf>
    <xf numFmtId="0" fontId="3" fillId="40" borderId="67" xfId="0" applyFont="1" applyFill="1" applyBorder="1" applyAlignment="1" applyProtection="1">
      <alignment horizontal="left" vertical="top" wrapText="1"/>
      <protection locked="0"/>
    </xf>
    <xf numFmtId="0" fontId="3" fillId="40" borderId="26" xfId="0" applyFont="1" applyFill="1" applyBorder="1" applyAlignment="1" applyProtection="1">
      <alignment horizontal="left" vertical="top" wrapText="1"/>
      <protection locked="0"/>
    </xf>
    <xf numFmtId="0" fontId="3" fillId="43" borderId="15" xfId="0" applyFont="1" applyFill="1" applyBorder="1" applyAlignment="1">
      <alignment horizontal="left" vertical="top" wrapText="1"/>
    </xf>
    <xf numFmtId="0" fontId="0" fillId="0" borderId="26" xfId="0" applyBorder="1" applyAlignment="1" applyProtection="1">
      <alignment horizontal="left" vertical="top" wrapText="1"/>
      <protection locked="0"/>
    </xf>
    <xf numFmtId="0" fontId="3" fillId="43" borderId="21" xfId="0" applyFont="1" applyFill="1" applyBorder="1" applyAlignment="1">
      <alignment horizontal="left" vertical="top" wrapText="1"/>
    </xf>
    <xf numFmtId="0" fontId="0" fillId="0" borderId="21" xfId="0" applyBorder="1" applyAlignment="1">
      <alignment horizontal="left" vertical="top" wrapText="1"/>
    </xf>
    <xf numFmtId="0" fontId="7" fillId="46" borderId="25" xfId="0" applyFont="1" applyFill="1" applyBorder="1" applyAlignment="1">
      <alignment vertical="top" wrapText="1"/>
    </xf>
    <xf numFmtId="0" fontId="7" fillId="46" borderId="26" xfId="0" applyFont="1" applyFill="1" applyBorder="1" applyAlignment="1">
      <alignment vertical="top" wrapText="1"/>
    </xf>
    <xf numFmtId="0" fontId="79" fillId="54" borderId="0" xfId="0" quotePrefix="1" applyFont="1" applyFill="1" applyAlignment="1">
      <alignment horizontal="left" vertical="top" wrapText="1"/>
    </xf>
    <xf numFmtId="0" fontId="79" fillId="54" borderId="185" xfId="0" quotePrefix="1" applyFont="1" applyFill="1" applyBorder="1" applyAlignment="1">
      <alignment horizontal="left" vertical="top" wrapText="1"/>
    </xf>
    <xf numFmtId="0" fontId="7" fillId="46" borderId="0" xfId="59" applyNumberFormat="1" applyFill="1" applyBorder="1" applyAlignment="1" applyProtection="1">
      <alignment horizontal="left" vertical="top" wrapText="1"/>
    </xf>
    <xf numFmtId="0" fontId="0" fillId="46" borderId="185" xfId="0" applyFill="1" applyBorder="1" applyAlignment="1">
      <alignment horizontal="left" vertical="top" wrapText="1"/>
    </xf>
    <xf numFmtId="0" fontId="59" fillId="46" borderId="0" xfId="59" applyNumberFormat="1" applyFont="1" applyFill="1" applyBorder="1" applyAlignment="1" applyProtection="1">
      <alignment horizontal="left" vertical="top" wrapText="1"/>
    </xf>
    <xf numFmtId="0" fontId="3" fillId="27" borderId="25" xfId="0" applyFont="1" applyFill="1" applyBorder="1" applyAlignment="1" applyProtection="1">
      <alignment horizontal="left" vertical="top" wrapText="1"/>
      <protection locked="0"/>
    </xf>
    <xf numFmtId="0" fontId="58" fillId="46" borderId="0" xfId="59" applyNumberFormat="1" applyFont="1" applyFill="1" applyBorder="1" applyAlignment="1" applyProtection="1">
      <alignment horizontal="left" vertical="top" wrapText="1"/>
    </xf>
    <xf numFmtId="0" fontId="0" fillId="46" borderId="0" xfId="0" applyFill="1" applyAlignment="1">
      <alignment horizontal="left" vertical="top" wrapText="1"/>
    </xf>
    <xf numFmtId="0" fontId="3" fillId="40" borderId="104" xfId="0" applyFont="1" applyFill="1" applyBorder="1" applyAlignment="1" applyProtection="1">
      <alignment horizontal="left" vertical="top"/>
      <protection locked="0"/>
    </xf>
    <xf numFmtId="0" fontId="3" fillId="40" borderId="21" xfId="0" applyFont="1" applyFill="1" applyBorder="1" applyAlignment="1" applyProtection="1">
      <alignment horizontal="left" vertical="top"/>
      <protection locked="0"/>
    </xf>
    <xf numFmtId="0" fontId="3" fillId="40" borderId="103" xfId="0" applyFont="1" applyFill="1" applyBorder="1" applyAlignment="1" applyProtection="1">
      <alignment horizontal="left" vertical="top"/>
      <protection locked="0"/>
    </xf>
    <xf numFmtId="0" fontId="3" fillId="40" borderId="78" xfId="0" applyFont="1" applyFill="1" applyBorder="1" applyAlignment="1" applyProtection="1">
      <alignment horizontal="left" vertical="top"/>
      <protection locked="0"/>
    </xf>
    <xf numFmtId="0" fontId="3" fillId="40" borderId="12" xfId="0" applyFont="1" applyFill="1" applyBorder="1" applyAlignment="1" applyProtection="1">
      <alignment horizontal="left" vertical="top"/>
      <protection locked="0"/>
    </xf>
    <xf numFmtId="0" fontId="3" fillId="40" borderId="24" xfId="0" applyFont="1" applyFill="1" applyBorder="1" applyAlignment="1" applyProtection="1">
      <alignment horizontal="left" vertical="top"/>
      <protection locked="0"/>
    </xf>
    <xf numFmtId="0" fontId="0" fillId="0" borderId="14"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40" fillId="43" borderId="12" xfId="0" applyFont="1" applyFill="1" applyBorder="1" applyAlignment="1">
      <alignment horizontal="left" vertical="top" wrapText="1"/>
    </xf>
    <xf numFmtId="0" fontId="0" fillId="0" borderId="152" xfId="0" applyBorder="1" applyAlignment="1">
      <alignment horizontal="left" vertical="top" wrapText="1"/>
    </xf>
    <xf numFmtId="0" fontId="37" fillId="27" borderId="67" xfId="0" quotePrefix="1" applyFont="1" applyFill="1" applyBorder="1" applyAlignment="1" applyProtection="1">
      <alignment vertical="top" wrapText="1"/>
      <protection locked="0"/>
    </xf>
    <xf numFmtId="0" fontId="3" fillId="27" borderId="25" xfId="0" quotePrefix="1" applyFont="1" applyFill="1" applyBorder="1" applyAlignment="1" applyProtection="1">
      <alignment horizontal="left" vertical="top" wrapText="1"/>
      <protection locked="0"/>
    </xf>
    <xf numFmtId="0" fontId="40" fillId="43" borderId="0" xfId="0" applyFont="1" applyFill="1" applyAlignment="1">
      <alignment vertical="top" wrapText="1"/>
    </xf>
    <xf numFmtId="0" fontId="5" fillId="43" borderId="185" xfId="0" applyFont="1" applyFill="1" applyBorder="1" applyAlignment="1">
      <alignment vertical="top" wrapText="1"/>
    </xf>
    <xf numFmtId="0" fontId="5" fillId="49" borderId="12" xfId="0" applyFont="1" applyFill="1" applyBorder="1" applyAlignment="1">
      <alignment horizontal="left" vertical="top" wrapText="1"/>
    </xf>
    <xf numFmtId="0" fontId="3" fillId="49" borderId="25" xfId="0" applyFont="1" applyFill="1" applyBorder="1" applyAlignment="1">
      <alignment horizontal="left" vertical="top" wrapText="1"/>
    </xf>
    <xf numFmtId="0" fontId="0" fillId="0" borderId="50" xfId="0" applyBorder="1" applyAlignment="1">
      <alignment horizontal="left" vertical="top" wrapText="1"/>
    </xf>
    <xf numFmtId="0" fontId="3" fillId="46" borderId="67" xfId="0" applyFont="1" applyFill="1" applyBorder="1" applyAlignment="1">
      <alignment horizontal="left" vertical="top"/>
    </xf>
    <xf numFmtId="0" fontId="3" fillId="46" borderId="25" xfId="0" applyFont="1" applyFill="1" applyBorder="1" applyAlignment="1">
      <alignment horizontal="left" vertical="top"/>
    </xf>
    <xf numFmtId="0" fontId="3" fillId="46" borderId="12" xfId="0" applyFont="1" applyFill="1" applyBorder="1" applyAlignment="1">
      <alignment horizontal="left" vertical="top"/>
    </xf>
    <xf numFmtId="0" fontId="3" fillId="46" borderId="24" xfId="0" applyFont="1" applyFill="1" applyBorder="1" applyAlignment="1">
      <alignment horizontal="left" vertical="top"/>
    </xf>
    <xf numFmtId="0" fontId="58" fillId="46" borderId="0" xfId="59" applyNumberFormat="1" applyFont="1" applyFill="1" applyAlignment="1" applyProtection="1">
      <alignment vertical="top" wrapText="1"/>
    </xf>
    <xf numFmtId="0" fontId="0" fillId="41" borderId="0" xfId="0" applyFill="1" applyAlignment="1">
      <alignment vertical="top" wrapText="1"/>
    </xf>
    <xf numFmtId="0" fontId="0" fillId="0" borderId="0" xfId="0"/>
    <xf numFmtId="0" fontId="5" fillId="24" borderId="78" xfId="0" applyFont="1" applyFill="1" applyBorder="1" applyAlignment="1">
      <alignment vertical="top" wrapText="1"/>
    </xf>
    <xf numFmtId="0" fontId="0" fillId="0" borderId="24" xfId="0" applyBorder="1" applyAlignment="1">
      <alignment vertical="top" wrapText="1"/>
    </xf>
    <xf numFmtId="0" fontId="0" fillId="40" borderId="14" xfId="0" applyFill="1" applyBorder="1" applyAlignment="1" applyProtection="1">
      <alignment vertical="top"/>
      <protection locked="0"/>
    </xf>
    <xf numFmtId="49" fontId="3" fillId="40" borderId="104" xfId="0" applyNumberFormat="1" applyFont="1" applyFill="1" applyBorder="1" applyAlignment="1" applyProtection="1">
      <alignment horizontal="left" vertical="top"/>
      <protection locked="0"/>
    </xf>
    <xf numFmtId="0" fontId="0" fillId="40" borderId="21" xfId="0" applyFill="1" applyBorder="1" applyAlignment="1" applyProtection="1">
      <alignment vertical="top"/>
      <protection locked="0"/>
    </xf>
    <xf numFmtId="0" fontId="0" fillId="40" borderId="103" xfId="0" applyFill="1" applyBorder="1" applyAlignment="1" applyProtection="1">
      <alignment vertical="top"/>
      <protection locked="0"/>
    </xf>
    <xf numFmtId="0" fontId="0" fillId="40" borderId="15" xfId="0" applyFill="1" applyBorder="1" applyAlignment="1" applyProtection="1">
      <alignment vertical="top"/>
      <protection locked="0"/>
    </xf>
    <xf numFmtId="49" fontId="3" fillId="40" borderId="107" xfId="0" applyNumberFormat="1" applyFont="1" applyFill="1" applyBorder="1" applyAlignment="1" applyProtection="1">
      <alignment horizontal="left" vertical="top"/>
      <protection locked="0"/>
    </xf>
    <xf numFmtId="0" fontId="0" fillId="40" borderId="20" xfId="0" applyFill="1" applyBorder="1" applyAlignment="1" applyProtection="1">
      <alignment vertical="top"/>
      <protection locked="0"/>
    </xf>
    <xf numFmtId="0" fontId="0" fillId="40" borderId="16" xfId="0" applyFill="1" applyBorder="1" applyAlignment="1" applyProtection="1">
      <alignment vertical="top"/>
      <protection locked="0"/>
    </xf>
    <xf numFmtId="49" fontId="3" fillId="40" borderId="97" xfId="0" applyNumberFormat="1" applyFont="1" applyFill="1" applyBorder="1" applyAlignment="1" applyProtection="1">
      <alignment horizontal="left" vertical="top"/>
      <protection locked="0"/>
    </xf>
    <xf numFmtId="0" fontId="0" fillId="40" borderId="23" xfId="0" applyFill="1" applyBorder="1" applyAlignment="1" applyProtection="1">
      <alignment vertical="top"/>
      <protection locked="0"/>
    </xf>
    <xf numFmtId="0" fontId="3" fillId="49" borderId="25" xfId="0" applyFont="1" applyFill="1" applyBorder="1" applyAlignment="1">
      <alignment horizontal="left" vertical="top"/>
    </xf>
    <xf numFmtId="0" fontId="0" fillId="0" borderId="25" xfId="0" applyBorder="1" applyAlignment="1">
      <alignment horizontal="left" vertical="top"/>
    </xf>
    <xf numFmtId="0" fontId="0" fillId="0" borderId="50" xfId="0" applyBorder="1" applyAlignment="1">
      <alignment horizontal="left" vertical="top"/>
    </xf>
    <xf numFmtId="0" fontId="5" fillId="49" borderId="0" xfId="0" applyFont="1" applyFill="1" applyAlignment="1">
      <alignment vertical="top" wrapText="1"/>
    </xf>
    <xf numFmtId="0" fontId="0" fillId="49" borderId="0" xfId="0" applyFill="1" applyAlignment="1">
      <alignment vertical="top" wrapText="1"/>
    </xf>
    <xf numFmtId="0" fontId="0" fillId="49" borderId="185" xfId="0" applyFill="1" applyBorder="1" applyAlignment="1">
      <alignment vertical="top" wrapText="1"/>
    </xf>
    <xf numFmtId="0" fontId="3" fillId="49" borderId="50" xfId="0" applyFont="1" applyFill="1" applyBorder="1" applyAlignment="1">
      <alignment horizontal="left" vertical="top"/>
    </xf>
    <xf numFmtId="0" fontId="10" fillId="49" borderId="0" xfId="0" applyFont="1" applyFill="1" applyAlignment="1">
      <alignment vertical="top" wrapText="1"/>
    </xf>
    <xf numFmtId="0" fontId="40" fillId="49" borderId="0" xfId="0" applyFont="1" applyFill="1" applyAlignment="1">
      <alignment vertical="top" wrapText="1"/>
    </xf>
    <xf numFmtId="0" fontId="5" fillId="49" borderId="185" xfId="0" applyFont="1" applyFill="1" applyBorder="1" applyAlignment="1">
      <alignment vertical="top" wrapText="1"/>
    </xf>
    <xf numFmtId="0" fontId="79" fillId="54" borderId="0" xfId="0" quotePrefix="1" applyFont="1" applyFill="1" applyAlignment="1">
      <alignment horizontal="left" vertical="center" wrapText="1"/>
    </xf>
    <xf numFmtId="0" fontId="40" fillId="43" borderId="0" xfId="0" quotePrefix="1" applyFont="1" applyFill="1" applyAlignment="1">
      <alignment horizontal="left" vertical="top" wrapText="1"/>
    </xf>
    <xf numFmtId="0" fontId="40" fillId="43" borderId="185" xfId="0" quotePrefix="1" applyFont="1" applyFill="1" applyBorder="1" applyAlignment="1">
      <alignment horizontal="left" vertical="top" wrapText="1"/>
    </xf>
    <xf numFmtId="0" fontId="10" fillId="43" borderId="185" xfId="0" applyFont="1" applyFill="1" applyBorder="1" applyAlignment="1">
      <alignment vertical="top" wrapText="1"/>
    </xf>
    <xf numFmtId="0" fontId="5" fillId="43" borderId="185" xfId="0" applyFont="1" applyFill="1" applyBorder="1" applyAlignment="1">
      <alignment horizontal="left" vertical="top" wrapText="1"/>
    </xf>
    <xf numFmtId="0" fontId="5" fillId="24" borderId="78" xfId="0" applyFont="1" applyFill="1" applyBorder="1" applyAlignment="1">
      <alignment horizontal="left" vertical="top" wrapText="1"/>
    </xf>
    <xf numFmtId="0" fontId="5" fillId="24" borderId="24" xfId="0" applyFont="1" applyFill="1" applyBorder="1" applyAlignment="1">
      <alignment horizontal="left" vertical="top" wrapText="1"/>
    </xf>
    <xf numFmtId="0" fontId="3" fillId="41" borderId="106" xfId="0" applyFont="1" applyFill="1" applyBorder="1" applyAlignment="1">
      <alignment horizontal="left" vertical="top"/>
    </xf>
    <xf numFmtId="0" fontId="3" fillId="41" borderId="19" xfId="0" applyFont="1" applyFill="1" applyBorder="1" applyAlignment="1">
      <alignment horizontal="left" vertical="top"/>
    </xf>
    <xf numFmtId="0" fontId="3" fillId="41" borderId="107" xfId="0" applyFont="1" applyFill="1" applyBorder="1" applyAlignment="1">
      <alignment horizontal="left" vertical="top"/>
    </xf>
    <xf numFmtId="0" fontId="3" fillId="41" borderId="20" xfId="0" applyFont="1" applyFill="1" applyBorder="1" applyAlignment="1">
      <alignment horizontal="left" vertical="top"/>
    </xf>
    <xf numFmtId="0" fontId="3" fillId="41" borderId="97" xfId="0" applyFont="1" applyFill="1" applyBorder="1" applyAlignment="1">
      <alignment horizontal="left" vertical="top"/>
    </xf>
    <xf numFmtId="0" fontId="3" fillId="41" borderId="23" xfId="0" applyFont="1" applyFill="1" applyBorder="1" applyAlignment="1">
      <alignment horizontal="left" vertical="top"/>
    </xf>
    <xf numFmtId="0" fontId="5" fillId="24" borderId="186" xfId="0" applyFont="1" applyFill="1" applyBorder="1" applyAlignment="1">
      <alignment horizontal="left" vertical="top" wrapText="1"/>
    </xf>
    <xf numFmtId="49" fontId="3" fillId="40" borderId="106" xfId="0" applyNumberFormat="1" applyFont="1" applyFill="1" applyBorder="1" applyAlignment="1" applyProtection="1">
      <alignment horizontal="left" vertical="top"/>
      <protection locked="0"/>
    </xf>
    <xf numFmtId="0" fontId="0" fillId="0" borderId="15" xfId="0" applyBorder="1" applyAlignment="1" applyProtection="1">
      <alignment horizontal="left" vertical="top"/>
      <protection locked="0"/>
    </xf>
    <xf numFmtId="0" fontId="0" fillId="0" borderId="20" xfId="0" applyBorder="1" applyAlignment="1" applyProtection="1">
      <alignment horizontal="left" vertical="top"/>
      <protection locked="0"/>
    </xf>
    <xf numFmtId="0" fontId="0" fillId="0" borderId="16" xfId="0" applyBorder="1" applyAlignment="1" applyProtection="1">
      <alignment horizontal="left" vertical="top"/>
      <protection locked="0"/>
    </xf>
    <xf numFmtId="0" fontId="0" fillId="0" borderId="23" xfId="0" applyBorder="1" applyAlignment="1" applyProtection="1">
      <alignment horizontal="left" vertical="top"/>
      <protection locked="0"/>
    </xf>
    <xf numFmtId="0" fontId="64" fillId="46" borderId="0" xfId="59" applyNumberFormat="1" applyFont="1" applyFill="1" applyAlignment="1" applyProtection="1">
      <alignment vertical="top" wrapText="1"/>
    </xf>
    <xf numFmtId="0" fontId="3" fillId="40" borderId="106" xfId="0" applyFont="1" applyFill="1" applyBorder="1" applyAlignment="1" applyProtection="1">
      <alignment horizontal="left" vertical="top" wrapText="1"/>
      <protection locked="0"/>
    </xf>
    <xf numFmtId="0" fontId="0" fillId="40" borderId="14" xfId="0" applyFill="1" applyBorder="1" applyAlignment="1" applyProtection="1">
      <alignment horizontal="left" vertical="top" wrapText="1"/>
      <protection locked="0"/>
    </xf>
    <xf numFmtId="0" fontId="0" fillId="40" borderId="19" xfId="0" applyFill="1" applyBorder="1" applyAlignment="1" applyProtection="1">
      <alignment horizontal="left" vertical="top" wrapText="1"/>
      <protection locked="0"/>
    </xf>
    <xf numFmtId="0" fontId="3" fillId="40" borderId="107" xfId="0" applyFont="1" applyFill="1" applyBorder="1" applyAlignment="1" applyProtection="1">
      <alignment horizontal="left" vertical="top" wrapText="1"/>
      <protection locked="0"/>
    </xf>
    <xf numFmtId="0" fontId="0" fillId="40" borderId="15" xfId="0" applyFill="1" applyBorder="1" applyAlignment="1" applyProtection="1">
      <alignment horizontal="left" vertical="top" wrapText="1"/>
      <protection locked="0"/>
    </xf>
    <xf numFmtId="0" fontId="0" fillId="40" borderId="20" xfId="0" applyFill="1" applyBorder="1" applyAlignment="1" applyProtection="1">
      <alignment horizontal="left" vertical="top" wrapText="1"/>
      <protection locked="0"/>
    </xf>
    <xf numFmtId="0" fontId="3" fillId="40" borderId="97" xfId="0" applyFont="1" applyFill="1" applyBorder="1" applyAlignment="1" applyProtection="1">
      <alignment horizontal="left" vertical="top" wrapText="1"/>
      <protection locked="0"/>
    </xf>
    <xf numFmtId="0" fontId="0" fillId="40" borderId="16" xfId="0" applyFill="1" applyBorder="1" applyAlignment="1" applyProtection="1">
      <alignment horizontal="left" vertical="top" wrapText="1"/>
      <protection locked="0"/>
    </xf>
    <xf numFmtId="0" fontId="0" fillId="40" borderId="23" xfId="0" applyFill="1" applyBorder="1" applyAlignment="1" applyProtection="1">
      <alignment horizontal="left" vertical="top" wrapText="1"/>
      <protection locked="0"/>
    </xf>
    <xf numFmtId="0" fontId="3" fillId="27" borderId="106" xfId="0" applyFont="1" applyFill="1" applyBorder="1" applyAlignment="1" applyProtection="1">
      <alignment horizontal="left" vertical="top" wrapText="1"/>
      <protection locked="0"/>
    </xf>
    <xf numFmtId="0" fontId="3" fillId="27" borderId="107" xfId="0" applyFont="1" applyFill="1"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3" fillId="27" borderId="97" xfId="0" applyFont="1" applyFill="1" applyBorder="1" applyAlignment="1" applyProtection="1">
      <alignment horizontal="left" vertical="top" wrapText="1"/>
      <protection locked="0"/>
    </xf>
    <xf numFmtId="0" fontId="3" fillId="24" borderId="67" xfId="0" applyFont="1" applyFill="1" applyBorder="1" applyAlignment="1">
      <alignment horizontal="left" vertical="top" wrapText="1"/>
    </xf>
    <xf numFmtId="0" fontId="37" fillId="27" borderId="67" xfId="0" applyFont="1" applyFill="1" applyBorder="1" applyAlignment="1" applyProtection="1">
      <alignment horizontal="left"/>
      <protection locked="0"/>
    </xf>
    <xf numFmtId="0" fontId="37" fillId="27" borderId="25" xfId="0" applyFont="1" applyFill="1" applyBorder="1" applyAlignment="1" applyProtection="1">
      <alignment horizontal="left"/>
      <protection locked="0"/>
    </xf>
    <xf numFmtId="0" fontId="37" fillId="27" borderId="26" xfId="0" applyFont="1" applyFill="1" applyBorder="1" applyAlignment="1" applyProtection="1">
      <alignment horizontal="left"/>
      <protection locked="0"/>
    </xf>
    <xf numFmtId="0" fontId="60" fillId="46" borderId="67" xfId="0" applyFont="1" applyFill="1" applyBorder="1" applyAlignment="1">
      <alignment vertical="top" wrapText="1"/>
    </xf>
    <xf numFmtId="0" fontId="60" fillId="46" borderId="25" xfId="0" applyFont="1" applyFill="1" applyBorder="1" applyAlignment="1">
      <alignment vertical="top" wrapText="1"/>
    </xf>
    <xf numFmtId="0" fontId="60" fillId="46" borderId="26" xfId="0" applyFont="1" applyFill="1" applyBorder="1" applyAlignment="1">
      <alignment vertical="top" wrapText="1"/>
    </xf>
    <xf numFmtId="0" fontId="5" fillId="49" borderId="12" xfId="0" applyFont="1" applyFill="1" applyBorder="1" applyAlignment="1">
      <alignment horizontal="left" vertical="top"/>
    </xf>
    <xf numFmtId="0" fontId="0" fillId="0" borderId="12" xfId="0" applyBorder="1" applyAlignment="1">
      <alignment horizontal="left" vertical="top"/>
    </xf>
    <xf numFmtId="0" fontId="0" fillId="0" borderId="152" xfId="0" applyBorder="1" applyAlignment="1">
      <alignment horizontal="left" vertical="top"/>
    </xf>
    <xf numFmtId="0" fontId="3" fillId="24" borderId="25" xfId="0" applyFont="1" applyFill="1" applyBorder="1" applyAlignment="1">
      <alignment horizontal="left" vertical="top" wrapText="1"/>
    </xf>
    <xf numFmtId="0" fontId="0" fillId="46" borderId="159" xfId="0" applyFill="1" applyBorder="1" applyAlignment="1">
      <alignment horizontal="center" vertical="top" wrapText="1"/>
    </xf>
    <xf numFmtId="0" fontId="0" fillId="46" borderId="138" xfId="0" applyFill="1" applyBorder="1" applyAlignment="1">
      <alignment horizontal="center" vertical="top" wrapText="1"/>
    </xf>
    <xf numFmtId="0" fontId="5" fillId="24" borderId="12" xfId="0" applyFont="1" applyFill="1" applyBorder="1" applyAlignment="1">
      <alignment horizontal="left" vertical="center" wrapText="1"/>
    </xf>
    <xf numFmtId="0" fontId="3" fillId="24" borderId="25" xfId="0" applyFont="1" applyFill="1" applyBorder="1" applyAlignment="1">
      <alignment horizontal="left" vertical="center" wrapText="1"/>
    </xf>
    <xf numFmtId="0" fontId="0" fillId="0" borderId="26" xfId="0" applyBorder="1" applyAlignment="1">
      <alignment horizontal="left" vertical="center" wrapText="1"/>
    </xf>
    <xf numFmtId="0" fontId="3" fillId="41" borderId="120" xfId="0" applyFont="1" applyFill="1" applyBorder="1" applyAlignment="1">
      <alignment horizontal="left" vertical="center" wrapText="1"/>
    </xf>
    <xf numFmtId="0" fontId="0" fillId="0" borderId="69" xfId="0" applyBorder="1" applyAlignment="1">
      <alignment horizontal="left" vertical="center" wrapText="1"/>
    </xf>
    <xf numFmtId="0" fontId="5" fillId="24" borderId="101" xfId="0" applyFont="1" applyFill="1" applyBorder="1" applyAlignment="1">
      <alignment horizontal="left" vertical="center" wrapText="1"/>
    </xf>
    <xf numFmtId="0" fontId="0" fillId="0" borderId="70" xfId="0" applyBorder="1" applyAlignment="1">
      <alignment horizontal="left" vertical="center" wrapText="1"/>
    </xf>
    <xf numFmtId="0" fontId="5" fillId="24" borderId="56" xfId="0" applyFont="1" applyFill="1" applyBorder="1" applyAlignment="1">
      <alignment horizontal="left" vertical="center" wrapText="1"/>
    </xf>
    <xf numFmtId="0" fontId="0" fillId="0" borderId="48" xfId="0" applyBorder="1" applyAlignment="1">
      <alignment horizontal="left" vertical="center" wrapText="1"/>
    </xf>
    <xf numFmtId="0" fontId="3" fillId="41" borderId="41" xfId="0" applyFont="1" applyFill="1" applyBorder="1" applyAlignment="1">
      <alignment horizontal="left" vertical="center" wrapText="1"/>
    </xf>
    <xf numFmtId="0" fontId="0" fillId="0" borderId="46" xfId="0" applyBorder="1" applyAlignment="1">
      <alignment horizontal="left" vertical="center" wrapText="1"/>
    </xf>
    <xf numFmtId="0" fontId="5" fillId="24" borderId="0" xfId="0" applyFont="1" applyFill="1" applyAlignment="1">
      <alignment horizontal="left" vertical="center" wrapText="1"/>
    </xf>
    <xf numFmtId="0" fontId="5" fillId="24" borderId="39" xfId="0" applyFont="1" applyFill="1" applyBorder="1" applyAlignment="1">
      <alignment horizontal="left" vertical="center" wrapText="1"/>
    </xf>
    <xf numFmtId="0" fontId="0" fillId="0" borderId="39" xfId="0" applyBorder="1" applyAlignment="1">
      <alignment horizontal="left" vertical="center" wrapText="1"/>
    </xf>
    <xf numFmtId="0" fontId="3" fillId="24" borderId="101" xfId="0" applyFont="1" applyFill="1" applyBorder="1" applyAlignment="1">
      <alignment horizontal="left" vertical="center" wrapText="1"/>
    </xf>
    <xf numFmtId="0" fontId="0" fillId="0" borderId="51" xfId="0" applyBorder="1" applyAlignment="1">
      <alignment horizontal="left" vertical="center" wrapText="1"/>
    </xf>
    <xf numFmtId="0" fontId="3" fillId="24" borderId="108" xfId="0" applyFont="1" applyFill="1" applyBorder="1" applyAlignment="1">
      <alignment horizontal="left" vertical="center"/>
    </xf>
    <xf numFmtId="0" fontId="0" fillId="0" borderId="15" xfId="0" applyBorder="1" applyAlignment="1">
      <alignment horizontal="left" vertical="center"/>
    </xf>
    <xf numFmtId="0" fontId="3" fillId="24" borderId="56" xfId="0" applyFont="1" applyFill="1" applyBorder="1" applyAlignment="1">
      <alignment horizontal="left" vertical="center" wrapText="1"/>
    </xf>
    <xf numFmtId="0" fontId="0" fillId="0" borderId="36" xfId="0" applyBorder="1" applyAlignment="1">
      <alignment horizontal="left" vertical="center" wrapText="1"/>
    </xf>
    <xf numFmtId="0" fontId="0" fillId="40" borderId="67" xfId="0" applyFill="1" applyBorder="1" applyAlignment="1" applyProtection="1">
      <alignment horizontal="left"/>
      <protection locked="0"/>
    </xf>
    <xf numFmtId="0" fontId="0" fillId="40" borderId="26" xfId="0" applyFill="1" applyBorder="1" applyAlignment="1" applyProtection="1">
      <alignment horizontal="left"/>
      <protection locked="0"/>
    </xf>
    <xf numFmtId="0" fontId="4" fillId="26" borderId="0" xfId="0" applyFont="1" applyFill="1" applyAlignment="1">
      <alignment vertical="center" wrapText="1"/>
    </xf>
    <xf numFmtId="0" fontId="5" fillId="24" borderId="18" xfId="0" applyFont="1" applyFill="1" applyBorder="1" applyAlignment="1">
      <alignment vertical="center" wrapText="1"/>
    </xf>
    <xf numFmtId="0" fontId="3" fillId="104" borderId="0" xfId="0" applyFont="1" applyFill="1" applyAlignment="1">
      <alignment horizontal="center" vertical="center" wrapText="1"/>
    </xf>
    <xf numFmtId="0" fontId="36" fillId="104" borderId="0" xfId="0" applyFont="1" applyFill="1" applyAlignment="1">
      <alignment horizontal="center" vertical="center" wrapText="1"/>
    </xf>
    <xf numFmtId="0" fontId="56" fillId="24" borderId="0" xfId="0" applyFont="1" applyFill="1" applyAlignment="1">
      <alignment horizontal="left" vertical="top" wrapText="1"/>
    </xf>
    <xf numFmtId="0" fontId="5" fillId="40" borderId="97" xfId="0" applyFont="1" applyFill="1" applyBorder="1" applyAlignment="1">
      <alignment vertical="top"/>
    </xf>
    <xf numFmtId="0" fontId="5" fillId="40" borderId="23" xfId="0" applyFont="1" applyFill="1" applyBorder="1" applyAlignment="1">
      <alignment vertical="top"/>
    </xf>
    <xf numFmtId="0" fontId="3" fillId="40" borderId="97" xfId="0" applyFont="1" applyFill="1" applyBorder="1" applyAlignment="1">
      <alignment horizontal="left" vertical="top"/>
    </xf>
    <xf numFmtId="0" fontId="3" fillId="40" borderId="23" xfId="0" applyFont="1" applyFill="1" applyBorder="1" applyAlignment="1">
      <alignment horizontal="left" vertical="top"/>
    </xf>
    <xf numFmtId="0" fontId="3" fillId="40" borderId="16" xfId="0" applyFont="1" applyFill="1" applyBorder="1" applyAlignment="1">
      <alignment horizontal="left" vertical="top"/>
    </xf>
    <xf numFmtId="0" fontId="5" fillId="40" borderId="107" xfId="0" applyFont="1" applyFill="1" applyBorder="1" applyAlignment="1">
      <alignment vertical="top"/>
    </xf>
    <xf numFmtId="0" fontId="5" fillId="40" borderId="20" xfId="0" applyFont="1" applyFill="1" applyBorder="1" applyAlignment="1">
      <alignment vertical="top"/>
    </xf>
    <xf numFmtId="0" fontId="3" fillId="40" borderId="107" xfId="0" applyFont="1" applyFill="1" applyBorder="1" applyAlignment="1">
      <alignment horizontal="left" vertical="top"/>
    </xf>
    <xf numFmtId="0" fontId="3" fillId="40" borderId="20" xfId="0" applyFont="1" applyFill="1" applyBorder="1" applyAlignment="1">
      <alignment horizontal="left" vertical="top"/>
    </xf>
    <xf numFmtId="0" fontId="3" fillId="40" borderId="15" xfId="0" applyFont="1" applyFill="1" applyBorder="1" applyAlignment="1">
      <alignment horizontal="left" vertical="top"/>
    </xf>
    <xf numFmtId="0" fontId="5" fillId="40" borderId="106" xfId="0" applyFont="1" applyFill="1" applyBorder="1" applyAlignment="1">
      <alignment vertical="top"/>
    </xf>
    <xf numFmtId="49" fontId="5" fillId="40" borderId="19" xfId="0" applyNumberFormat="1" applyFont="1" applyFill="1" applyBorder="1" applyAlignment="1">
      <alignment vertical="top"/>
    </xf>
    <xf numFmtId="0" fontId="3" fillId="40" borderId="106" xfId="0" applyFont="1" applyFill="1" applyBorder="1" applyAlignment="1">
      <alignment horizontal="left" vertical="top"/>
    </xf>
    <xf numFmtId="0" fontId="3" fillId="40" borderId="19" xfId="0" applyFont="1" applyFill="1" applyBorder="1" applyAlignment="1">
      <alignment horizontal="left" vertical="top"/>
    </xf>
    <xf numFmtId="49" fontId="3" fillId="40" borderId="14" xfId="0" applyNumberFormat="1" applyFont="1" applyFill="1" applyBorder="1" applyAlignment="1">
      <alignment horizontal="left" vertical="top"/>
    </xf>
    <xf numFmtId="49" fontId="3" fillId="40" borderId="19" xfId="0" applyNumberFormat="1" applyFont="1" applyFill="1" applyBorder="1" applyAlignment="1">
      <alignment horizontal="left" vertical="top"/>
    </xf>
    <xf numFmtId="0" fontId="3" fillId="40" borderId="97" xfId="0" applyFont="1" applyFill="1" applyBorder="1" applyAlignment="1">
      <alignment vertical="top"/>
    </xf>
    <xf numFmtId="0" fontId="3" fillId="40" borderId="16" xfId="0" applyFont="1" applyFill="1" applyBorder="1" applyAlignment="1">
      <alignment vertical="top"/>
    </xf>
    <xf numFmtId="0" fontId="0" fillId="0" borderId="24" xfId="0" applyBorder="1" applyAlignment="1">
      <alignment wrapText="1"/>
    </xf>
    <xf numFmtId="0" fontId="0" fillId="0" borderId="12" xfId="0" applyBorder="1" applyAlignment="1">
      <alignment wrapText="1"/>
    </xf>
    <xf numFmtId="0" fontId="3" fillId="40" borderId="107" xfId="0" applyFont="1" applyFill="1" applyBorder="1" applyAlignment="1">
      <alignment vertical="top"/>
    </xf>
    <xf numFmtId="0" fontId="3" fillId="40" borderId="15" xfId="0" applyFont="1" applyFill="1" applyBorder="1" applyAlignment="1">
      <alignment vertical="top"/>
    </xf>
    <xf numFmtId="0" fontId="3" fillId="51" borderId="97" xfId="0" applyFont="1" applyFill="1" applyBorder="1" applyAlignment="1">
      <alignment horizontal="left" vertical="top"/>
    </xf>
    <xf numFmtId="49" fontId="3" fillId="51" borderId="23" xfId="0" applyNumberFormat="1" applyFont="1" applyFill="1" applyBorder="1" applyAlignment="1">
      <alignment horizontal="left" vertical="top"/>
    </xf>
    <xf numFmtId="49" fontId="3" fillId="51" borderId="16" xfId="0" applyNumberFormat="1" applyFont="1" applyFill="1" applyBorder="1" applyAlignment="1">
      <alignment horizontal="left" vertical="top"/>
    </xf>
    <xf numFmtId="49" fontId="3" fillId="42" borderId="107" xfId="0" applyNumberFormat="1" applyFont="1" applyFill="1" applyBorder="1" applyAlignment="1" applyProtection="1">
      <alignment horizontal="left" vertical="top"/>
      <protection locked="0"/>
    </xf>
    <xf numFmtId="49" fontId="3" fillId="42" borderId="15" xfId="0" applyNumberFormat="1" applyFont="1" applyFill="1" applyBorder="1" applyAlignment="1" applyProtection="1">
      <alignment horizontal="left" vertical="top"/>
      <protection locked="0"/>
    </xf>
    <xf numFmtId="49" fontId="3" fillId="42" borderId="20" xfId="0" applyNumberFormat="1" applyFont="1" applyFill="1" applyBorder="1" applyAlignment="1" applyProtection="1">
      <alignment horizontal="left" vertical="top"/>
      <protection locked="0"/>
    </xf>
    <xf numFmtId="0" fontId="3" fillId="0" borderId="0" xfId="0" applyFont="1" applyAlignment="1">
      <alignment vertical="top" wrapText="1"/>
    </xf>
    <xf numFmtId="49" fontId="3" fillId="28" borderId="107" xfId="0" applyNumberFormat="1" applyFont="1" applyFill="1" applyBorder="1" applyAlignment="1" applyProtection="1">
      <alignment vertical="top"/>
      <protection locked="0"/>
    </xf>
    <xf numFmtId="49" fontId="0" fillId="0" borderId="20" xfId="0" applyNumberFormat="1" applyBorder="1" applyAlignment="1" applyProtection="1">
      <alignment vertical="top"/>
      <protection locked="0"/>
    </xf>
    <xf numFmtId="49" fontId="0" fillId="0" borderId="20" xfId="0" applyNumberFormat="1" applyBorder="1" applyAlignment="1" applyProtection="1">
      <alignment horizontal="left" vertical="top"/>
      <protection locked="0"/>
    </xf>
    <xf numFmtId="0" fontId="56" fillId="41" borderId="0" xfId="0" applyFont="1" applyFill="1" applyAlignment="1">
      <alignment horizontal="left" vertical="top" wrapText="1"/>
    </xf>
    <xf numFmtId="0" fontId="5" fillId="51" borderId="107" xfId="0" applyFont="1" applyFill="1" applyBorder="1" applyAlignment="1">
      <alignment vertical="top"/>
    </xf>
    <xf numFmtId="49" fontId="5" fillId="51" borderId="20" xfId="0" applyNumberFormat="1" applyFont="1" applyFill="1" applyBorder="1" applyAlignment="1">
      <alignment vertical="top"/>
    </xf>
    <xf numFmtId="0" fontId="3" fillId="51" borderId="107" xfId="0" applyFont="1" applyFill="1" applyBorder="1" applyAlignment="1">
      <alignment horizontal="left" vertical="top"/>
    </xf>
    <xf numFmtId="49" fontId="3" fillId="51" borderId="20" xfId="0" applyNumberFormat="1" applyFont="1" applyFill="1" applyBorder="1" applyAlignment="1">
      <alignment horizontal="left" vertical="top"/>
    </xf>
    <xf numFmtId="49" fontId="3" fillId="51" borderId="15" xfId="0" applyNumberFormat="1" applyFont="1" applyFill="1" applyBorder="1" applyAlignment="1">
      <alignment horizontal="left" vertical="top"/>
    </xf>
    <xf numFmtId="0" fontId="5" fillId="51" borderId="97" xfId="0" applyFont="1" applyFill="1" applyBorder="1" applyAlignment="1">
      <alignment vertical="top"/>
    </xf>
    <xf numFmtId="49" fontId="5" fillId="51" borderId="23" xfId="0" applyNumberFormat="1" applyFont="1" applyFill="1" applyBorder="1" applyAlignment="1">
      <alignment vertical="top"/>
    </xf>
    <xf numFmtId="0" fontId="5" fillId="51" borderId="106" xfId="0" applyFont="1" applyFill="1" applyBorder="1" applyAlignment="1">
      <alignment vertical="top"/>
    </xf>
    <xf numFmtId="49" fontId="5" fillId="51" borderId="19" xfId="0" applyNumberFormat="1" applyFont="1" applyFill="1" applyBorder="1" applyAlignment="1">
      <alignment vertical="top"/>
    </xf>
    <xf numFmtId="0" fontId="3" fillId="51" borderId="106" xfId="0" applyFont="1" applyFill="1" applyBorder="1" applyAlignment="1">
      <alignment horizontal="left" vertical="top"/>
    </xf>
    <xf numFmtId="49" fontId="3" fillId="51" borderId="19" xfId="0" applyNumberFormat="1" applyFont="1" applyFill="1" applyBorder="1" applyAlignment="1">
      <alignment horizontal="left" vertical="top"/>
    </xf>
    <xf numFmtId="49" fontId="3" fillId="51" borderId="14" xfId="0" applyNumberFormat="1" applyFont="1" applyFill="1" applyBorder="1" applyAlignment="1">
      <alignment horizontal="left" vertical="top"/>
    </xf>
    <xf numFmtId="0" fontId="3" fillId="51" borderId="97" xfId="0" applyFont="1" applyFill="1" applyBorder="1" applyAlignment="1">
      <alignment vertical="top"/>
    </xf>
    <xf numFmtId="49" fontId="3" fillId="51" borderId="16" xfId="0" applyNumberFormat="1" applyFont="1" applyFill="1" applyBorder="1" applyAlignment="1">
      <alignment vertical="top"/>
    </xf>
    <xf numFmtId="0" fontId="3" fillId="51" borderId="107" xfId="0" applyFont="1" applyFill="1" applyBorder="1" applyAlignment="1">
      <alignment vertical="top"/>
    </xf>
    <xf numFmtId="49" fontId="3" fillId="51" borderId="15" xfId="0" applyNumberFormat="1" applyFont="1" applyFill="1" applyBorder="1" applyAlignment="1">
      <alignment vertical="top"/>
    </xf>
    <xf numFmtId="0" fontId="3" fillId="51" borderId="106" xfId="0" applyFont="1" applyFill="1" applyBorder="1" applyAlignment="1">
      <alignment vertical="top"/>
    </xf>
    <xf numFmtId="49" fontId="0" fillId="51" borderId="14" xfId="0" applyNumberFormat="1" applyFill="1" applyBorder="1" applyAlignment="1">
      <alignment vertical="top"/>
    </xf>
    <xf numFmtId="49" fontId="0" fillId="51" borderId="19" xfId="0" applyNumberFormat="1" applyFill="1" applyBorder="1" applyAlignment="1">
      <alignment horizontal="left" vertical="top"/>
    </xf>
    <xf numFmtId="0" fontId="49" fillId="24" borderId="0" xfId="0" applyFont="1" applyFill="1" applyAlignment="1">
      <alignment horizontal="left" vertical="top" wrapText="1"/>
    </xf>
    <xf numFmtId="0" fontId="39" fillId="27" borderId="0" xfId="0" applyFont="1" applyFill="1" applyAlignment="1">
      <alignment vertical="top" wrapText="1"/>
    </xf>
    <xf numFmtId="0" fontId="3" fillId="40" borderId="67" xfId="0" applyFont="1" applyFill="1" applyBorder="1" applyAlignment="1">
      <alignment horizontal="left" vertical="top"/>
    </xf>
    <xf numFmtId="0" fontId="3" fillId="40" borderId="25" xfId="0" applyFont="1" applyFill="1" applyBorder="1" applyAlignment="1">
      <alignment horizontal="left" vertical="top"/>
    </xf>
    <xf numFmtId="0" fontId="3" fillId="40" borderId="26" xfId="0" applyFont="1" applyFill="1" applyBorder="1" applyAlignment="1">
      <alignment horizontal="left" vertical="top"/>
    </xf>
    <xf numFmtId="0" fontId="3" fillId="28" borderId="67" xfId="0" applyFont="1" applyFill="1" applyBorder="1" applyAlignment="1" applyProtection="1">
      <alignment horizontal="left" vertical="top"/>
      <protection locked="0"/>
    </xf>
    <xf numFmtId="0" fontId="3" fillId="28" borderId="25" xfId="0" applyFont="1" applyFill="1" applyBorder="1" applyAlignment="1" applyProtection="1">
      <alignment horizontal="left" vertical="top"/>
      <protection locked="0"/>
    </xf>
    <xf numFmtId="0" fontId="3" fillId="28" borderId="26" xfId="0" applyFont="1" applyFill="1" applyBorder="1" applyAlignment="1" applyProtection="1">
      <alignment horizontal="left" vertical="top"/>
      <protection locked="0"/>
    </xf>
    <xf numFmtId="0" fontId="73" fillId="50" borderId="67" xfId="0" applyFont="1" applyFill="1" applyBorder="1" applyAlignment="1">
      <alignment horizontal="left" vertical="top"/>
    </xf>
    <xf numFmtId="49" fontId="73" fillId="50" borderId="26" xfId="0" applyNumberFormat="1" applyFont="1" applyFill="1" applyBorder="1" applyAlignment="1">
      <alignment horizontal="left" vertical="top"/>
    </xf>
    <xf numFmtId="49" fontId="5" fillId="28" borderId="67" xfId="0" applyNumberFormat="1" applyFont="1" applyFill="1" applyBorder="1" applyAlignment="1" applyProtection="1">
      <alignment horizontal="left" vertical="top"/>
      <protection locked="0"/>
    </xf>
    <xf numFmtId="49" fontId="5" fillId="28" borderId="26" xfId="0" applyNumberFormat="1" applyFont="1" applyFill="1" applyBorder="1" applyAlignment="1" applyProtection="1">
      <alignment horizontal="left" vertical="top"/>
      <protection locked="0"/>
    </xf>
    <xf numFmtId="0" fontId="5" fillId="40" borderId="67" xfId="0" applyFont="1" applyFill="1" applyBorder="1" applyAlignment="1">
      <alignment horizontal="left" vertical="top"/>
    </xf>
    <xf numFmtId="49" fontId="5" fillId="40" borderId="26" xfId="0" applyNumberFormat="1" applyFont="1" applyFill="1" applyBorder="1" applyAlignment="1">
      <alignment horizontal="left" vertical="top"/>
    </xf>
    <xf numFmtId="0" fontId="52" fillId="24" borderId="0" xfId="0" applyFont="1" applyFill="1" applyAlignment="1">
      <alignment vertical="top" wrapText="1"/>
    </xf>
    <xf numFmtId="0" fontId="3" fillId="28" borderId="67" xfId="0" applyFont="1" applyFill="1" applyBorder="1" applyAlignment="1" applyProtection="1">
      <alignment horizontal="left" vertical="top" wrapText="1"/>
      <protection locked="0"/>
    </xf>
    <xf numFmtId="0" fontId="3" fillId="28" borderId="25" xfId="0" applyFont="1" applyFill="1" applyBorder="1" applyAlignment="1" applyProtection="1">
      <alignment horizontal="left" vertical="top" wrapText="1"/>
      <protection locked="0"/>
    </xf>
    <xf numFmtId="0" fontId="3" fillId="28" borderId="26" xfId="0" applyFont="1" applyFill="1" applyBorder="1" applyAlignment="1" applyProtection="1">
      <alignment horizontal="left" vertical="top" wrapText="1"/>
      <protection locked="0"/>
    </xf>
    <xf numFmtId="0" fontId="72" fillId="50" borderId="107" xfId="0" applyFont="1" applyFill="1" applyBorder="1" applyAlignment="1">
      <alignment vertical="top"/>
    </xf>
    <xf numFmtId="49" fontId="72" fillId="50" borderId="15" xfId="0" applyNumberFormat="1" applyFont="1" applyFill="1" applyBorder="1" applyAlignment="1">
      <alignment vertical="top"/>
    </xf>
    <xf numFmtId="49" fontId="72" fillId="50" borderId="20" xfId="0" applyNumberFormat="1" applyFont="1" applyFill="1" applyBorder="1" applyAlignment="1">
      <alignment vertical="top"/>
    </xf>
    <xf numFmtId="0" fontId="3" fillId="28" borderId="107" xfId="0" applyFont="1" applyFill="1" applyBorder="1" applyAlignment="1" applyProtection="1">
      <alignment vertical="top"/>
      <protection locked="0"/>
    </xf>
    <xf numFmtId="0" fontId="3" fillId="28" borderId="15" xfId="0" applyFont="1" applyFill="1" applyBorder="1" applyAlignment="1" applyProtection="1">
      <alignment vertical="top"/>
      <protection locked="0"/>
    </xf>
    <xf numFmtId="0" fontId="3" fillId="28" borderId="20" xfId="0" applyFont="1" applyFill="1" applyBorder="1" applyAlignment="1" applyProtection="1">
      <alignment vertical="top"/>
      <protection locked="0"/>
    </xf>
    <xf numFmtId="0" fontId="3" fillId="40" borderId="13" xfId="0" applyFont="1" applyFill="1" applyBorder="1" applyAlignment="1">
      <alignment horizontal="center" vertical="top"/>
    </xf>
    <xf numFmtId="49" fontId="3" fillId="40" borderId="13" xfId="0" applyNumberFormat="1" applyFont="1" applyFill="1" applyBorder="1" applyAlignment="1">
      <alignment horizontal="center" vertical="top"/>
    </xf>
    <xf numFmtId="49" fontId="3" fillId="45" borderId="13" xfId="0" applyNumberFormat="1" applyFont="1" applyFill="1" applyBorder="1" applyAlignment="1" applyProtection="1">
      <alignment horizontal="center" vertical="top"/>
      <protection locked="0"/>
    </xf>
    <xf numFmtId="49" fontId="3" fillId="28" borderId="13" xfId="0" applyNumberFormat="1" applyFont="1" applyFill="1" applyBorder="1" applyAlignment="1" applyProtection="1">
      <alignment horizontal="center" vertical="top"/>
      <protection locked="0"/>
    </xf>
    <xf numFmtId="0" fontId="72" fillId="50" borderId="13" xfId="0" applyFont="1" applyFill="1" applyBorder="1" applyAlignment="1">
      <alignment horizontal="center" vertical="top"/>
    </xf>
    <xf numFmtId="49" fontId="72" fillId="50" borderId="13" xfId="0" applyNumberFormat="1" applyFont="1" applyFill="1" applyBorder="1" applyAlignment="1">
      <alignment horizontal="center" vertical="top"/>
    </xf>
    <xf numFmtId="0" fontId="3" fillId="28" borderId="107" xfId="0" applyFont="1" applyFill="1" applyBorder="1" applyAlignment="1" applyProtection="1">
      <alignment horizontal="left" vertical="top"/>
      <protection locked="0"/>
    </xf>
    <xf numFmtId="0" fontId="3" fillId="0" borderId="15" xfId="0" applyFont="1" applyBorder="1" applyAlignment="1" applyProtection="1">
      <alignment horizontal="left" vertical="top"/>
      <protection locked="0"/>
    </xf>
    <xf numFmtId="0" fontId="3" fillId="0" borderId="20" xfId="0" applyFont="1" applyBorder="1" applyAlignment="1" applyProtection="1">
      <alignment horizontal="left" vertical="top"/>
      <protection locked="0"/>
    </xf>
    <xf numFmtId="0" fontId="3" fillId="28" borderId="129" xfId="0" applyFont="1" applyFill="1" applyBorder="1" applyAlignment="1" applyProtection="1">
      <alignment horizontal="left" vertical="top"/>
      <protection locked="0"/>
    </xf>
    <xf numFmtId="0" fontId="3" fillId="0" borderId="138" xfId="0" applyFont="1" applyBorder="1" applyAlignment="1" applyProtection="1">
      <alignment horizontal="left" vertical="top"/>
      <protection locked="0"/>
    </xf>
    <xf numFmtId="0" fontId="3" fillId="0" borderId="105" xfId="0" applyFont="1" applyBorder="1" applyAlignment="1" applyProtection="1">
      <alignment horizontal="left" vertical="top"/>
      <protection locked="0"/>
    </xf>
    <xf numFmtId="0" fontId="3" fillId="29" borderId="129" xfId="0" applyFont="1" applyFill="1" applyBorder="1" applyAlignment="1" applyProtection="1">
      <alignment horizontal="left" vertical="top"/>
      <protection locked="0"/>
    </xf>
    <xf numFmtId="0" fontId="3" fillId="29" borderId="138" xfId="0" applyFont="1" applyFill="1" applyBorder="1" applyAlignment="1" applyProtection="1">
      <alignment horizontal="left" vertical="top"/>
      <protection locked="0"/>
    </xf>
    <xf numFmtId="0" fontId="3" fillId="29" borderId="105" xfId="0" applyFont="1" applyFill="1" applyBorder="1" applyAlignment="1" applyProtection="1">
      <alignment horizontal="left" vertical="top"/>
      <protection locked="0"/>
    </xf>
    <xf numFmtId="0" fontId="3" fillId="42" borderId="106" xfId="0" applyFont="1" applyFill="1" applyBorder="1" applyAlignment="1" applyProtection="1">
      <alignment horizontal="left" vertical="top"/>
      <protection locked="0"/>
    </xf>
    <xf numFmtId="0" fontId="3" fillId="0" borderId="14" xfId="0" applyFont="1" applyBorder="1" applyAlignment="1" applyProtection="1">
      <alignment horizontal="left" vertical="top"/>
      <protection locked="0"/>
    </xf>
    <xf numFmtId="0" fontId="3" fillId="0" borderId="19" xfId="0" applyFont="1" applyBorder="1" applyAlignment="1" applyProtection="1">
      <alignment horizontal="left" vertical="top"/>
      <protection locked="0"/>
    </xf>
    <xf numFmtId="0" fontId="3" fillId="24" borderId="138" xfId="0" applyFont="1" applyFill="1" applyBorder="1" applyAlignment="1">
      <alignment vertical="top" wrapText="1"/>
    </xf>
    <xf numFmtId="0" fontId="0" fillId="0" borderId="138" xfId="0" applyBorder="1" applyAlignment="1">
      <alignment vertical="top" wrapText="1"/>
    </xf>
    <xf numFmtId="0" fontId="0" fillId="0" borderId="105" xfId="0" applyBorder="1" applyAlignment="1">
      <alignment vertical="top" wrapText="1"/>
    </xf>
    <xf numFmtId="0" fontId="173" fillId="0" borderId="21" xfId="0" applyFont="1" applyBorder="1" applyAlignment="1">
      <alignment vertical="top" wrapText="1"/>
    </xf>
    <xf numFmtId="49" fontId="173" fillId="0" borderId="21" xfId="0" applyNumberFormat="1" applyFont="1" applyBorder="1" applyAlignment="1">
      <alignment horizontal="left" vertical="top"/>
    </xf>
    <xf numFmtId="49" fontId="3" fillId="59" borderId="63" xfId="0" applyNumberFormat="1" applyFont="1" applyFill="1" applyBorder="1" applyAlignment="1" applyProtection="1">
      <alignment horizontal="left" vertical="top"/>
      <protection locked="0"/>
    </xf>
    <xf numFmtId="0" fontId="0" fillId="0" borderId="16" xfId="0" applyBorder="1" applyAlignment="1">
      <alignment vertical="top" wrapText="1"/>
    </xf>
    <xf numFmtId="0" fontId="0" fillId="0" borderId="23" xfId="0" applyBorder="1" applyAlignment="1">
      <alignment vertical="top" wrapText="1"/>
    </xf>
    <xf numFmtId="0" fontId="3" fillId="37" borderId="13" xfId="0" applyFont="1" applyFill="1" applyBorder="1" applyAlignment="1">
      <alignment vertical="top" wrapText="1"/>
    </xf>
    <xf numFmtId="0" fontId="0" fillId="36" borderId="13" xfId="0" applyFill="1" applyBorder="1" applyAlignment="1">
      <alignment vertical="top" wrapText="1"/>
    </xf>
    <xf numFmtId="0" fontId="3" fillId="40" borderId="106" xfId="0" applyFont="1" applyFill="1" applyBorder="1" applyAlignment="1">
      <alignment vertical="top"/>
    </xf>
    <xf numFmtId="49" fontId="3" fillId="40" borderId="14" xfId="0" applyNumberFormat="1" applyFont="1" applyFill="1" applyBorder="1"/>
    <xf numFmtId="49" fontId="3" fillId="40" borderId="19" xfId="0" applyNumberFormat="1" applyFont="1" applyFill="1" applyBorder="1"/>
    <xf numFmtId="0" fontId="72" fillId="50" borderId="106" xfId="0" applyFont="1" applyFill="1" applyBorder="1" applyAlignment="1">
      <alignment vertical="top"/>
    </xf>
    <xf numFmtId="49" fontId="72" fillId="50" borderId="14" xfId="0" applyNumberFormat="1" applyFont="1" applyFill="1" applyBorder="1"/>
    <xf numFmtId="49" fontId="72" fillId="50" borderId="19" xfId="0" applyNumberFormat="1" applyFont="1" applyFill="1" applyBorder="1"/>
    <xf numFmtId="0" fontId="3" fillId="28" borderId="97" xfId="0" applyFont="1" applyFill="1" applyBorder="1" applyAlignment="1" applyProtection="1">
      <alignment horizontal="left" vertical="top"/>
      <protection locked="0"/>
    </xf>
    <xf numFmtId="0" fontId="3" fillId="0" borderId="16" xfId="0" applyFont="1" applyBorder="1" applyAlignment="1" applyProtection="1">
      <alignment horizontal="left" vertical="top"/>
      <protection locked="0"/>
    </xf>
    <xf numFmtId="0" fontId="3" fillId="28" borderId="97" xfId="0" applyFont="1" applyFill="1" applyBorder="1" applyAlignment="1" applyProtection="1">
      <alignment vertical="top"/>
      <protection locked="0"/>
    </xf>
    <xf numFmtId="0" fontId="3" fillId="28" borderId="16" xfId="0" applyFont="1" applyFill="1" applyBorder="1" applyAlignment="1" applyProtection="1">
      <alignment vertical="top"/>
      <protection locked="0"/>
    </xf>
    <xf numFmtId="0" fontId="3" fillId="28" borderId="23" xfId="0" applyFont="1" applyFill="1" applyBorder="1" applyAlignment="1" applyProtection="1">
      <alignment vertical="top"/>
      <protection locked="0"/>
    </xf>
    <xf numFmtId="0" fontId="72" fillId="50" borderId="97" xfId="0" applyFont="1" applyFill="1" applyBorder="1" applyAlignment="1">
      <alignment vertical="top"/>
    </xf>
    <xf numFmtId="49" fontId="72" fillId="50" borderId="16" xfId="0" applyNumberFormat="1" applyFont="1" applyFill="1" applyBorder="1" applyAlignment="1">
      <alignment vertical="top"/>
    </xf>
    <xf numFmtId="49" fontId="72" fillId="50" borderId="23" xfId="0" applyNumberFormat="1" applyFont="1" applyFill="1" applyBorder="1" applyAlignment="1">
      <alignment vertical="top"/>
    </xf>
    <xf numFmtId="0" fontId="3" fillId="28" borderId="106" xfId="0" applyFont="1" applyFill="1" applyBorder="1" applyAlignment="1" applyProtection="1">
      <alignment vertical="top"/>
      <protection locked="0"/>
    </xf>
    <xf numFmtId="0" fontId="3" fillId="0" borderId="14" xfId="0" applyFont="1" applyBorder="1" applyProtection="1">
      <protection locked="0"/>
    </xf>
    <xf numFmtId="0" fontId="3" fillId="0" borderId="19" xfId="0" applyFont="1" applyBorder="1" applyProtection="1">
      <protection locked="0"/>
    </xf>
    <xf numFmtId="0" fontId="3" fillId="41" borderId="16" xfId="0" applyFont="1" applyFill="1" applyBorder="1" applyAlignment="1">
      <alignment vertical="top" wrapText="1"/>
    </xf>
    <xf numFmtId="0" fontId="67" fillId="46" borderId="147" xfId="59" applyFont="1" applyFill="1" applyBorder="1" applyAlignment="1" applyProtection="1">
      <alignment horizontal="center" vertical="center" wrapText="1"/>
    </xf>
    <xf numFmtId="0" fontId="67" fillId="46" borderId="109" xfId="59" applyFont="1" applyFill="1" applyBorder="1" applyAlignment="1" applyProtection="1">
      <alignment horizontal="center" vertical="center" wrapText="1"/>
    </xf>
    <xf numFmtId="0" fontId="67" fillId="46" borderId="116" xfId="59" applyFont="1" applyFill="1" applyBorder="1" applyAlignment="1" applyProtection="1">
      <alignment horizontal="center" vertical="center" wrapText="1"/>
    </xf>
    <xf numFmtId="0" fontId="173" fillId="41" borderId="0" xfId="0" applyFont="1" applyFill="1" applyAlignment="1">
      <alignment horizontal="left" vertical="top"/>
    </xf>
    <xf numFmtId="0" fontId="56" fillId="37" borderId="0" xfId="0" applyFont="1" applyFill="1" applyAlignment="1">
      <alignment vertical="top" wrapText="1"/>
    </xf>
    <xf numFmtId="0" fontId="3" fillId="36" borderId="0" xfId="0" applyFont="1" applyFill="1" applyAlignment="1">
      <alignment vertical="top" wrapText="1"/>
    </xf>
    <xf numFmtId="0" fontId="3" fillId="37" borderId="13" xfId="0" applyFont="1" applyFill="1" applyBorder="1" applyAlignment="1">
      <alignment horizontal="left" vertical="top" wrapText="1"/>
    </xf>
    <xf numFmtId="0" fontId="3" fillId="37" borderId="67" xfId="0" applyFont="1" applyFill="1" applyBorder="1" applyAlignment="1">
      <alignment horizontal="left" vertical="top" wrapText="1"/>
    </xf>
    <xf numFmtId="0" fontId="0" fillId="0" borderId="14" xfId="0" applyBorder="1" applyAlignment="1">
      <alignment vertical="top" wrapText="1"/>
    </xf>
    <xf numFmtId="0" fontId="0" fillId="0" borderId="19" xfId="0" applyBorder="1" applyAlignment="1">
      <alignment vertical="top" wrapText="1"/>
    </xf>
    <xf numFmtId="0" fontId="173" fillId="24" borderId="21" xfId="0" applyFont="1" applyFill="1" applyBorder="1" applyAlignment="1">
      <alignment vertical="top" wrapText="1"/>
    </xf>
    <xf numFmtId="0" fontId="72" fillId="50" borderId="106" xfId="0" applyFont="1" applyFill="1" applyBorder="1" applyAlignment="1">
      <alignment horizontal="left" vertical="top"/>
    </xf>
    <xf numFmtId="49" fontId="72" fillId="50" borderId="14" xfId="0" applyNumberFormat="1" applyFont="1" applyFill="1" applyBorder="1" applyAlignment="1">
      <alignment horizontal="left" vertical="top"/>
    </xf>
    <xf numFmtId="49" fontId="72" fillId="50" borderId="19" xfId="0" applyNumberFormat="1" applyFont="1" applyFill="1" applyBorder="1" applyAlignment="1">
      <alignment horizontal="left" vertical="top"/>
    </xf>
    <xf numFmtId="0" fontId="192" fillId="24" borderId="0" xfId="0" applyFont="1" applyFill="1" applyAlignment="1">
      <alignment vertical="top" wrapText="1"/>
    </xf>
    <xf numFmtId="0" fontId="78" fillId="24" borderId="0" xfId="0" applyFont="1" applyFill="1" applyAlignment="1">
      <alignment vertical="top" wrapText="1"/>
    </xf>
    <xf numFmtId="0" fontId="0" fillId="0" borderId="15" xfId="0" applyBorder="1" applyAlignment="1">
      <alignment vertical="top" wrapText="1"/>
    </xf>
    <xf numFmtId="0" fontId="0" fillId="0" borderId="20" xfId="0" applyBorder="1" applyAlignment="1">
      <alignment vertical="top" wrapText="1"/>
    </xf>
    <xf numFmtId="49" fontId="3" fillId="59" borderId="64" xfId="0" applyNumberFormat="1" applyFont="1" applyFill="1" applyBorder="1" applyAlignment="1" applyProtection="1">
      <alignment horizontal="left" vertical="top"/>
      <protection locked="0"/>
    </xf>
    <xf numFmtId="0" fontId="3" fillId="37" borderId="67" xfId="0" applyFont="1" applyFill="1" applyBorder="1" applyAlignment="1">
      <alignment horizontal="left" wrapText="1"/>
    </xf>
    <xf numFmtId="0" fontId="3" fillId="37" borderId="25" xfId="0" applyFont="1" applyFill="1" applyBorder="1" applyAlignment="1">
      <alignment horizontal="left" wrapText="1"/>
    </xf>
    <xf numFmtId="0" fontId="3" fillId="37" borderId="26" xfId="0" applyFont="1" applyFill="1" applyBorder="1" applyAlignment="1">
      <alignment horizontal="left" wrapText="1"/>
    </xf>
    <xf numFmtId="0" fontId="72" fillId="50" borderId="107" xfId="0" applyFont="1" applyFill="1" applyBorder="1" applyAlignment="1">
      <alignment horizontal="left" vertical="top"/>
    </xf>
    <xf numFmtId="49" fontId="72" fillId="50" borderId="15" xfId="0" applyNumberFormat="1" applyFont="1" applyFill="1" applyBorder="1" applyAlignment="1">
      <alignment horizontal="left" vertical="top"/>
    </xf>
    <xf numFmtId="49" fontId="72" fillId="50" borderId="20" xfId="0" applyNumberFormat="1" applyFont="1" applyFill="1" applyBorder="1" applyAlignment="1">
      <alignment horizontal="left" vertical="top"/>
    </xf>
    <xf numFmtId="0" fontId="3" fillId="24" borderId="17" xfId="0" applyFont="1" applyFill="1" applyBorder="1" applyAlignment="1">
      <alignment vertical="top" wrapText="1"/>
    </xf>
    <xf numFmtId="0" fontId="0" fillId="0" borderId="17" xfId="0" applyBorder="1" applyAlignment="1">
      <alignment vertical="top" wrapText="1"/>
    </xf>
    <xf numFmtId="0" fontId="0" fillId="0" borderId="22" xfId="0" applyBorder="1" applyAlignment="1">
      <alignment vertical="top" wrapText="1"/>
    </xf>
    <xf numFmtId="49" fontId="3" fillId="59" borderId="13" xfId="0" applyNumberFormat="1" applyFont="1" applyFill="1" applyBorder="1" applyAlignment="1" applyProtection="1">
      <alignment horizontal="left" vertical="top"/>
      <protection locked="0"/>
    </xf>
    <xf numFmtId="49" fontId="3" fillId="36" borderId="13" xfId="0" applyNumberFormat="1" applyFont="1" applyFill="1" applyBorder="1" applyAlignment="1" applyProtection="1">
      <alignment horizontal="left" vertical="top"/>
      <protection locked="0"/>
    </xf>
    <xf numFmtId="0" fontId="3" fillId="29" borderId="97" xfId="0" applyFont="1" applyFill="1" applyBorder="1" applyAlignment="1" applyProtection="1">
      <alignment horizontal="left" vertical="top"/>
      <protection locked="0"/>
    </xf>
    <xf numFmtId="0" fontId="3" fillId="29" borderId="16" xfId="0" applyFont="1" applyFill="1" applyBorder="1" applyAlignment="1" applyProtection="1">
      <alignment horizontal="left" vertical="top"/>
      <protection locked="0"/>
    </xf>
    <xf numFmtId="0" fontId="3" fillId="29" borderId="23" xfId="0" applyFont="1" applyFill="1" applyBorder="1" applyAlignment="1" applyProtection="1">
      <alignment horizontal="left" vertical="top"/>
      <protection locked="0"/>
    </xf>
    <xf numFmtId="0" fontId="72" fillId="50" borderId="129" xfId="0" applyFont="1" applyFill="1" applyBorder="1" applyAlignment="1">
      <alignment horizontal="left" vertical="top"/>
    </xf>
    <xf numFmtId="49" fontId="72" fillId="50" borderId="138" xfId="0" applyNumberFormat="1" applyFont="1" applyFill="1" applyBorder="1" applyAlignment="1">
      <alignment horizontal="left" vertical="top"/>
    </xf>
    <xf numFmtId="49" fontId="72" fillId="50" borderId="105" xfId="0" applyNumberFormat="1" applyFont="1" applyFill="1" applyBorder="1" applyAlignment="1">
      <alignment horizontal="left" vertical="top"/>
    </xf>
    <xf numFmtId="0" fontId="5" fillId="28" borderId="83" xfId="0" applyFont="1" applyFill="1" applyBorder="1" applyAlignment="1" applyProtection="1">
      <alignment horizontal="center" vertical="top"/>
      <protection locked="0"/>
    </xf>
    <xf numFmtId="0" fontId="5" fillId="28" borderId="84" xfId="0" applyFont="1" applyFill="1" applyBorder="1" applyAlignment="1" applyProtection="1">
      <alignment horizontal="center" vertical="top"/>
      <protection locked="0"/>
    </xf>
    <xf numFmtId="0" fontId="5" fillId="28" borderId="85" xfId="0" applyFont="1" applyFill="1" applyBorder="1" applyAlignment="1" applyProtection="1">
      <alignment horizontal="center" vertical="top"/>
      <protection locked="0"/>
    </xf>
    <xf numFmtId="0" fontId="56" fillId="41" borderId="138" xfId="0" applyFont="1" applyFill="1" applyBorder="1" applyAlignment="1">
      <alignment horizontal="left" vertical="top" wrapText="1"/>
    </xf>
    <xf numFmtId="0" fontId="56" fillId="41" borderId="151" xfId="0" applyFont="1" applyFill="1" applyBorder="1" applyAlignment="1">
      <alignment horizontal="left" vertical="top" wrapText="1"/>
    </xf>
    <xf numFmtId="0" fontId="56" fillId="41" borderId="185" xfId="0" applyFont="1" applyFill="1" applyBorder="1" applyAlignment="1">
      <alignment horizontal="left" vertical="top" wrapText="1"/>
    </xf>
    <xf numFmtId="0" fontId="188" fillId="24" borderId="0" xfId="0" applyFont="1" applyFill="1" applyAlignment="1">
      <alignment vertical="top" wrapText="1"/>
    </xf>
    <xf numFmtId="0" fontId="85" fillId="0" borderId="0" xfId="0" applyFont="1" applyAlignment="1">
      <alignment vertical="top" wrapText="1"/>
    </xf>
    <xf numFmtId="0" fontId="68" fillId="46" borderId="0" xfId="59" applyFont="1" applyFill="1" applyBorder="1" applyAlignment="1" applyProtection="1">
      <alignment horizontal="left" vertical="center" wrapText="1"/>
    </xf>
    <xf numFmtId="0" fontId="10" fillId="40" borderId="13" xfId="0" applyFont="1" applyFill="1" applyBorder="1" applyAlignment="1">
      <alignment horizontal="center" vertical="top" wrapText="1"/>
    </xf>
    <xf numFmtId="0" fontId="3" fillId="42" borderId="67" xfId="0" applyFont="1" applyFill="1" applyBorder="1" applyAlignment="1" applyProtection="1">
      <alignment horizontal="left" vertical="top"/>
      <protection locked="0"/>
    </xf>
    <xf numFmtId="0" fontId="3" fillId="42" borderId="25" xfId="0" applyFont="1" applyFill="1" applyBorder="1" applyAlignment="1" applyProtection="1">
      <alignment horizontal="left" vertical="top"/>
      <protection locked="0"/>
    </xf>
    <xf numFmtId="0" fontId="3" fillId="42" borderId="26" xfId="0" applyFont="1" applyFill="1" applyBorder="1" applyAlignment="1" applyProtection="1">
      <alignment horizontal="left" vertical="top"/>
      <protection locked="0"/>
    </xf>
    <xf numFmtId="0" fontId="72" fillId="51" borderId="67" xfId="0" applyFont="1" applyFill="1" applyBorder="1" applyAlignment="1">
      <alignment horizontal="left" vertical="top"/>
    </xf>
    <xf numFmtId="49" fontId="72" fillId="51" borderId="25" xfId="0" applyNumberFormat="1" applyFont="1" applyFill="1" applyBorder="1" applyAlignment="1">
      <alignment horizontal="left" vertical="top"/>
    </xf>
    <xf numFmtId="49" fontId="72" fillId="51" borderId="26" xfId="0" applyNumberFormat="1" applyFont="1" applyFill="1" applyBorder="1" applyAlignment="1">
      <alignment horizontal="left" vertical="top"/>
    </xf>
    <xf numFmtId="0" fontId="3" fillId="41" borderId="0" xfId="0" applyFont="1" applyFill="1" applyAlignment="1">
      <alignment horizontal="right" vertical="top" wrapText="1"/>
    </xf>
    <xf numFmtId="0" fontId="3" fillId="41" borderId="18" xfId="0" applyFont="1" applyFill="1" applyBorder="1" applyAlignment="1">
      <alignment horizontal="right" vertical="top" wrapText="1"/>
    </xf>
    <xf numFmtId="0" fontId="10" fillId="41" borderId="185" xfId="0" applyFont="1" applyFill="1" applyBorder="1" applyAlignment="1">
      <alignment horizontal="left" vertical="top" wrapText="1"/>
    </xf>
    <xf numFmtId="49" fontId="173" fillId="41" borderId="0" xfId="0" applyNumberFormat="1" applyFont="1" applyFill="1" applyAlignment="1">
      <alignment horizontal="left" vertical="top"/>
    </xf>
    <xf numFmtId="49" fontId="3" fillId="40" borderId="25" xfId="0" applyNumberFormat="1" applyFont="1" applyFill="1" applyBorder="1" applyAlignment="1">
      <alignment horizontal="left" vertical="top"/>
    </xf>
    <xf numFmtId="49" fontId="3" fillId="40" borderId="26" xfId="0" applyNumberFormat="1" applyFont="1" applyFill="1" applyBorder="1" applyAlignment="1">
      <alignment horizontal="left" vertical="top"/>
    </xf>
    <xf numFmtId="0" fontId="3" fillId="0" borderId="25" xfId="0" applyFont="1" applyBorder="1" applyAlignment="1" applyProtection="1">
      <alignment horizontal="left" vertical="top"/>
      <protection locked="0"/>
    </xf>
    <xf numFmtId="0" fontId="3" fillId="0" borderId="26" xfId="0" applyFont="1" applyBorder="1" applyAlignment="1" applyProtection="1">
      <alignment horizontal="left" vertical="top"/>
      <protection locked="0"/>
    </xf>
    <xf numFmtId="0" fontId="72" fillId="50" borderId="67" xfId="0" applyFont="1" applyFill="1" applyBorder="1" applyAlignment="1">
      <alignment horizontal="left" vertical="top"/>
    </xf>
    <xf numFmtId="49" fontId="72" fillId="50" borderId="25" xfId="0" applyNumberFormat="1" applyFont="1" applyFill="1" applyBorder="1" applyAlignment="1">
      <alignment horizontal="left" vertical="top"/>
    </xf>
    <xf numFmtId="49" fontId="72" fillId="50" borderId="26" xfId="0" applyNumberFormat="1" applyFont="1" applyFill="1" applyBorder="1" applyAlignment="1">
      <alignment horizontal="left" vertical="top"/>
    </xf>
    <xf numFmtId="0" fontId="34" fillId="24" borderId="0" xfId="0" applyFont="1" applyFill="1" applyAlignment="1">
      <alignment wrapText="1"/>
    </xf>
    <xf numFmtId="0" fontId="0" fillId="0" borderId="0" xfId="0" applyAlignment="1">
      <alignment wrapText="1"/>
    </xf>
    <xf numFmtId="0" fontId="5" fillId="24" borderId="186" xfId="0" applyFont="1" applyFill="1" applyBorder="1" applyAlignment="1">
      <alignment wrapText="1"/>
    </xf>
    <xf numFmtId="49" fontId="3" fillId="42" borderId="106" xfId="0" applyNumberFormat="1" applyFont="1" applyFill="1" applyBorder="1" applyAlignment="1" applyProtection="1">
      <alignment horizontal="left" vertical="top"/>
      <protection locked="0"/>
    </xf>
    <xf numFmtId="49" fontId="3" fillId="42" borderId="19" xfId="0" applyNumberFormat="1" applyFont="1" applyFill="1" applyBorder="1" applyAlignment="1" applyProtection="1">
      <alignment horizontal="left" vertical="top"/>
      <protection locked="0"/>
    </xf>
    <xf numFmtId="49" fontId="3" fillId="42" borderId="14" xfId="0" applyNumberFormat="1" applyFont="1" applyFill="1" applyBorder="1" applyAlignment="1" applyProtection="1">
      <alignment horizontal="left" vertical="top"/>
      <protection locked="0"/>
    </xf>
    <xf numFmtId="49" fontId="0" fillId="0" borderId="19" xfId="0" applyNumberFormat="1" applyBorder="1" applyAlignment="1" applyProtection="1">
      <alignment horizontal="left" vertical="top"/>
      <protection locked="0"/>
    </xf>
    <xf numFmtId="49" fontId="3" fillId="28" borderId="106" xfId="0" applyNumberFormat="1" applyFont="1" applyFill="1" applyBorder="1" applyAlignment="1" applyProtection="1">
      <alignment vertical="top"/>
      <protection locked="0"/>
    </xf>
    <xf numFmtId="49" fontId="0" fillId="0" borderId="19" xfId="0" applyNumberFormat="1" applyBorder="1" applyAlignment="1" applyProtection="1">
      <alignment vertical="top"/>
      <protection locked="0"/>
    </xf>
    <xf numFmtId="49" fontId="5" fillId="28" borderId="107" xfId="0" applyNumberFormat="1" applyFont="1" applyFill="1" applyBorder="1" applyAlignment="1" applyProtection="1">
      <alignment vertical="top"/>
      <protection locked="0"/>
    </xf>
    <xf numFmtId="49" fontId="5" fillId="28" borderId="20" xfId="0" applyNumberFormat="1" applyFont="1" applyFill="1" applyBorder="1" applyAlignment="1" applyProtection="1">
      <alignment vertical="top"/>
      <protection locked="0"/>
    </xf>
    <xf numFmtId="49" fontId="5" fillId="28" borderId="97" xfId="0" applyNumberFormat="1" applyFont="1" applyFill="1" applyBorder="1" applyAlignment="1" applyProtection="1">
      <alignment vertical="top"/>
      <protection locked="0"/>
    </xf>
    <xf numFmtId="49" fontId="5" fillId="28" borderId="23" xfId="0" applyNumberFormat="1" applyFont="1" applyFill="1" applyBorder="1" applyAlignment="1" applyProtection="1">
      <alignment vertical="top"/>
      <protection locked="0"/>
    </xf>
    <xf numFmtId="49" fontId="3" fillId="42" borderId="97" xfId="0" applyNumberFormat="1" applyFont="1" applyFill="1" applyBorder="1" applyAlignment="1" applyProtection="1">
      <alignment horizontal="left" vertical="top"/>
      <protection locked="0"/>
    </xf>
    <xf numFmtId="49" fontId="3" fillId="42" borderId="16" xfId="0" applyNumberFormat="1" applyFont="1" applyFill="1" applyBorder="1" applyAlignment="1" applyProtection="1">
      <alignment horizontal="left" vertical="top"/>
      <protection locked="0"/>
    </xf>
    <xf numFmtId="49" fontId="3" fillId="42" borderId="23" xfId="0" applyNumberFormat="1" applyFont="1" applyFill="1" applyBorder="1" applyAlignment="1" applyProtection="1">
      <alignment horizontal="left" vertical="top"/>
      <protection locked="0"/>
    </xf>
    <xf numFmtId="0" fontId="0" fillId="0" borderId="18" xfId="0" applyBorder="1" applyAlignment="1">
      <alignment wrapText="1"/>
    </xf>
    <xf numFmtId="49" fontId="0" fillId="0" borderId="23" xfId="0" applyNumberFormat="1" applyBorder="1" applyAlignment="1" applyProtection="1">
      <alignment horizontal="left" vertical="top"/>
      <protection locked="0"/>
    </xf>
    <xf numFmtId="49" fontId="0" fillId="40" borderId="14" xfId="0" applyNumberFormat="1" applyFill="1" applyBorder="1" applyAlignment="1">
      <alignment vertical="top"/>
    </xf>
    <xf numFmtId="49" fontId="5" fillId="28" borderId="106" xfId="0" applyNumberFormat="1" applyFont="1" applyFill="1" applyBorder="1" applyAlignment="1" applyProtection="1">
      <alignment vertical="top"/>
      <protection locked="0"/>
    </xf>
    <xf numFmtId="49" fontId="5" fillId="28" borderId="19" xfId="0" applyNumberFormat="1" applyFont="1" applyFill="1" applyBorder="1" applyAlignment="1" applyProtection="1">
      <alignment vertical="top"/>
      <protection locked="0"/>
    </xf>
    <xf numFmtId="49" fontId="3" fillId="28" borderId="97" xfId="0" applyNumberFormat="1" applyFont="1" applyFill="1" applyBorder="1" applyAlignment="1" applyProtection="1">
      <alignment vertical="top"/>
      <protection locked="0"/>
    </xf>
    <xf numFmtId="49" fontId="0" fillId="0" borderId="23" xfId="0" applyNumberFormat="1" applyBorder="1" applyAlignment="1" applyProtection="1">
      <alignment vertical="top"/>
      <protection locked="0"/>
    </xf>
    <xf numFmtId="0" fontId="3" fillId="24" borderId="105" xfId="0" applyFont="1" applyFill="1" applyBorder="1" applyAlignment="1">
      <alignment vertical="top" wrapText="1"/>
    </xf>
    <xf numFmtId="0" fontId="7" fillId="28" borderId="107" xfId="59" applyNumberFormat="1" applyFill="1" applyBorder="1" applyAlignment="1" applyProtection="1">
      <alignment horizontal="left" vertical="top"/>
      <protection locked="0"/>
    </xf>
    <xf numFmtId="0" fontId="3" fillId="42" borderId="97" xfId="0" applyFont="1" applyFill="1" applyBorder="1" applyAlignment="1" applyProtection="1">
      <alignment horizontal="left" vertical="top"/>
      <protection locked="0"/>
    </xf>
    <xf numFmtId="0" fontId="3" fillId="42" borderId="16" xfId="0" applyFont="1" applyFill="1" applyBorder="1" applyAlignment="1" applyProtection="1">
      <alignment horizontal="left" vertical="top"/>
      <protection locked="0"/>
    </xf>
    <xf numFmtId="0" fontId="3" fillId="42" borderId="23" xfId="0" applyFont="1" applyFill="1" applyBorder="1" applyAlignment="1" applyProtection="1">
      <alignment horizontal="left" vertical="top"/>
      <protection locked="0"/>
    </xf>
    <xf numFmtId="0" fontId="3" fillId="29" borderId="107" xfId="0" applyFont="1" applyFill="1" applyBorder="1" applyAlignment="1" applyProtection="1">
      <alignment horizontal="left" vertical="top"/>
      <protection locked="0"/>
    </xf>
    <xf numFmtId="0" fontId="3" fillId="29" borderId="15" xfId="0" applyFont="1" applyFill="1" applyBorder="1" applyAlignment="1" applyProtection="1">
      <alignment horizontal="left" vertical="top"/>
      <protection locked="0"/>
    </xf>
    <xf numFmtId="0" fontId="3" fillId="29" borderId="20" xfId="0" applyFont="1" applyFill="1" applyBorder="1" applyAlignment="1" applyProtection="1">
      <alignment horizontal="left" vertical="top"/>
      <protection locked="0"/>
    </xf>
    <xf numFmtId="49" fontId="3" fillId="59" borderId="62" xfId="0" applyNumberFormat="1" applyFont="1" applyFill="1" applyBorder="1" applyAlignment="1" applyProtection="1">
      <alignment horizontal="left" vertical="top"/>
      <protection locked="0"/>
    </xf>
    <xf numFmtId="0" fontId="5" fillId="37" borderId="0" xfId="0" applyFont="1" applyFill="1" applyAlignment="1">
      <alignment vertical="top" wrapText="1"/>
    </xf>
    <xf numFmtId="0" fontId="0" fillId="36" borderId="0" xfId="0" applyFill="1" applyAlignment="1">
      <alignment vertical="top" wrapText="1"/>
    </xf>
    <xf numFmtId="0" fontId="3" fillId="29" borderId="106" xfId="0" applyFont="1" applyFill="1" applyBorder="1" applyAlignment="1" applyProtection="1">
      <alignment horizontal="left" vertical="top"/>
      <protection locked="0"/>
    </xf>
    <xf numFmtId="0" fontId="3" fillId="29" borderId="14" xfId="0" applyFont="1" applyFill="1" applyBorder="1" applyAlignment="1" applyProtection="1">
      <alignment horizontal="left" vertical="top"/>
      <protection locked="0"/>
    </xf>
    <xf numFmtId="0" fontId="3" fillId="29" borderId="19" xfId="0" applyFont="1" applyFill="1" applyBorder="1" applyAlignment="1" applyProtection="1">
      <alignment horizontal="left" vertical="top"/>
      <protection locked="0"/>
    </xf>
    <xf numFmtId="0" fontId="7" fillId="37" borderId="0" xfId="59" applyFill="1" applyAlignment="1" applyProtection="1">
      <alignment vertical="center" wrapText="1"/>
    </xf>
    <xf numFmtId="0" fontId="3" fillId="36" borderId="0" xfId="0" applyFont="1" applyFill="1" applyAlignment="1">
      <alignment vertical="center" wrapText="1"/>
    </xf>
    <xf numFmtId="0" fontId="72" fillId="50" borderId="97" xfId="0" applyFont="1" applyFill="1" applyBorder="1" applyAlignment="1">
      <alignment horizontal="left" vertical="top"/>
    </xf>
    <xf numFmtId="49" fontId="72" fillId="50" borderId="16" xfId="0" applyNumberFormat="1" applyFont="1" applyFill="1" applyBorder="1" applyAlignment="1">
      <alignment horizontal="left" vertical="top"/>
    </xf>
    <xf numFmtId="49" fontId="72" fillId="50" borderId="23" xfId="0" applyNumberFormat="1" applyFont="1" applyFill="1" applyBorder="1" applyAlignment="1">
      <alignment horizontal="left" vertical="top"/>
    </xf>
    <xf numFmtId="0" fontId="5" fillId="24" borderId="12" xfId="0" applyFont="1" applyFill="1" applyBorder="1" applyAlignment="1">
      <alignment vertical="top" wrapText="1"/>
    </xf>
    <xf numFmtId="0" fontId="72" fillId="50" borderId="25" xfId="0" applyFont="1" applyFill="1" applyBorder="1" applyAlignment="1">
      <alignment horizontal="left" vertical="top"/>
    </xf>
    <xf numFmtId="0" fontId="72" fillId="50" borderId="26" xfId="0" applyFont="1" applyFill="1" applyBorder="1" applyAlignment="1">
      <alignment horizontal="left" vertical="top"/>
    </xf>
    <xf numFmtId="0" fontId="3" fillId="0" borderId="0" xfId="0" applyFont="1" applyAlignment="1">
      <alignment wrapText="1"/>
    </xf>
    <xf numFmtId="0" fontId="0" fillId="0" borderId="18" xfId="0" applyBorder="1" applyAlignment="1">
      <alignment vertical="center" wrapText="1"/>
    </xf>
    <xf numFmtId="0" fontId="56" fillId="41" borderId="0" xfId="0" applyFont="1" applyFill="1" applyAlignment="1">
      <alignment vertical="top" wrapText="1"/>
    </xf>
    <xf numFmtId="0" fontId="3" fillId="0" borderId="185" xfId="0" applyFont="1" applyBorder="1" applyAlignment="1">
      <alignment vertical="top" wrapText="1"/>
    </xf>
    <xf numFmtId="0" fontId="5" fillId="40" borderId="83" xfId="0" applyFont="1" applyFill="1" applyBorder="1" applyAlignment="1">
      <alignment horizontal="center"/>
    </xf>
    <xf numFmtId="0" fontId="5" fillId="40" borderId="84" xfId="0" applyFont="1" applyFill="1" applyBorder="1" applyAlignment="1">
      <alignment horizontal="center"/>
    </xf>
    <xf numFmtId="0" fontId="5" fillId="40" borderId="85" xfId="0" applyFont="1" applyFill="1" applyBorder="1" applyAlignment="1">
      <alignment horizontal="center"/>
    </xf>
    <xf numFmtId="0" fontId="123" fillId="41" borderId="0" xfId="0" applyFont="1" applyFill="1" applyAlignment="1">
      <alignment vertical="top" wrapText="1"/>
    </xf>
    <xf numFmtId="0" fontId="3" fillId="50" borderId="13" xfId="0" applyFont="1" applyFill="1" applyBorder="1" applyAlignment="1">
      <alignment horizontal="center" vertical="top"/>
    </xf>
    <xf numFmtId="0" fontId="78" fillId="41" borderId="0" xfId="0" applyFont="1" applyFill="1" applyAlignment="1">
      <alignment vertical="top" wrapText="1"/>
    </xf>
    <xf numFmtId="0" fontId="56" fillId="24" borderId="0" xfId="0" applyFont="1" applyFill="1" applyAlignment="1">
      <alignment horizontal="left" vertical="center" wrapText="1"/>
    </xf>
    <xf numFmtId="0" fontId="9" fillId="40" borderId="83" xfId="0" applyFont="1" applyFill="1" applyBorder="1" applyAlignment="1">
      <alignment horizontal="center" vertical="center"/>
    </xf>
    <xf numFmtId="0" fontId="9" fillId="40" borderId="84" xfId="0" applyFont="1" applyFill="1" applyBorder="1" applyAlignment="1">
      <alignment horizontal="center" vertical="center"/>
    </xf>
    <xf numFmtId="0" fontId="9" fillId="40" borderId="85" xfId="0" applyFont="1" applyFill="1" applyBorder="1" applyAlignment="1">
      <alignment horizontal="center" vertical="center"/>
    </xf>
    <xf numFmtId="0" fontId="123" fillId="41" borderId="0" xfId="0" applyFont="1" applyFill="1" applyAlignment="1">
      <alignment horizontal="left" vertical="top" wrapText="1"/>
    </xf>
    <xf numFmtId="0" fontId="123" fillId="41" borderId="185" xfId="0" applyFont="1" applyFill="1" applyBorder="1" applyAlignment="1">
      <alignment horizontal="left" vertical="top" wrapText="1"/>
    </xf>
    <xf numFmtId="0" fontId="4" fillId="26" borderId="0" xfId="0" applyFont="1" applyFill="1" applyAlignment="1">
      <alignment horizontal="left" vertical="center"/>
    </xf>
    <xf numFmtId="0" fontId="3" fillId="39" borderId="57" xfId="0" applyFont="1" applyFill="1" applyBorder="1" applyAlignment="1">
      <alignment horizontal="left" vertical="top" wrapText="1"/>
    </xf>
    <xf numFmtId="0" fontId="3" fillId="39" borderId="28" xfId="0" applyFont="1" applyFill="1" applyBorder="1" applyAlignment="1">
      <alignment horizontal="left" vertical="top" wrapText="1"/>
    </xf>
    <xf numFmtId="0" fontId="3" fillId="39" borderId="30" xfId="0" applyFont="1" applyFill="1" applyBorder="1" applyAlignment="1">
      <alignment horizontal="left" vertical="top" wrapText="1"/>
    </xf>
    <xf numFmtId="0" fontId="3" fillId="39" borderId="66" xfId="0" applyFont="1" applyFill="1" applyBorder="1" applyAlignment="1">
      <alignment horizontal="left" vertical="top" wrapText="1"/>
    </xf>
    <xf numFmtId="0" fontId="3" fillId="39" borderId="0" xfId="0" applyFont="1" applyFill="1" applyAlignment="1">
      <alignment horizontal="left" vertical="top" wrapText="1"/>
    </xf>
    <xf numFmtId="0" fontId="3" fillId="39" borderId="185" xfId="0" applyFont="1" applyFill="1" applyBorder="1" applyAlignment="1">
      <alignment horizontal="left" vertical="top" wrapText="1"/>
    </xf>
    <xf numFmtId="0" fontId="3" fillId="39" borderId="65" xfId="0" applyFont="1" applyFill="1" applyBorder="1" applyAlignment="1">
      <alignment horizontal="left" vertical="top" wrapText="1"/>
    </xf>
    <xf numFmtId="0" fontId="3" fillId="39" borderId="39" xfId="0" applyFont="1" applyFill="1" applyBorder="1" applyAlignment="1">
      <alignment horizontal="left" vertical="top" wrapText="1"/>
    </xf>
    <xf numFmtId="0" fontId="3" fillId="39" borderId="40" xfId="0" applyFont="1" applyFill="1" applyBorder="1" applyAlignment="1">
      <alignment horizontal="left" vertical="top" wrapText="1"/>
    </xf>
    <xf numFmtId="0" fontId="5" fillId="24" borderId="186" xfId="0" applyFont="1" applyFill="1" applyBorder="1" applyAlignment="1">
      <alignment horizontal="left" wrapText="1"/>
    </xf>
    <xf numFmtId="0" fontId="72" fillId="50" borderId="107" xfId="0" applyFont="1" applyFill="1" applyBorder="1" applyAlignment="1">
      <alignment horizontal="left"/>
    </xf>
    <xf numFmtId="0" fontId="72" fillId="50" borderId="15" xfId="0" applyFont="1" applyFill="1" applyBorder="1" applyAlignment="1">
      <alignment horizontal="left"/>
    </xf>
    <xf numFmtId="0" fontId="72" fillId="50" borderId="20" xfId="0" applyFont="1" applyFill="1" applyBorder="1" applyAlignment="1">
      <alignment horizontal="left"/>
    </xf>
    <xf numFmtId="0" fontId="3" fillId="24" borderId="107" xfId="0" applyFont="1" applyFill="1" applyBorder="1" applyAlignment="1">
      <alignment horizontal="left" wrapText="1"/>
    </xf>
    <xf numFmtId="0" fontId="0" fillId="0" borderId="34" xfId="0" applyBorder="1" applyAlignment="1">
      <alignment horizontal="left" wrapText="1"/>
    </xf>
    <xf numFmtId="0" fontId="5" fillId="24" borderId="152" xfId="0" applyFont="1" applyFill="1" applyBorder="1" applyAlignment="1">
      <alignment horizontal="left" wrapText="1"/>
    </xf>
    <xf numFmtId="0" fontId="3" fillId="24" borderId="106" xfId="0" applyFont="1" applyFill="1" applyBorder="1" applyAlignment="1">
      <alignment horizontal="left" wrapText="1"/>
    </xf>
    <xf numFmtId="0" fontId="0" fillId="0" borderId="32" xfId="0" applyBorder="1" applyAlignment="1">
      <alignment horizontal="left" wrapText="1"/>
    </xf>
    <xf numFmtId="0" fontId="39" fillId="27" borderId="78" xfId="0" applyFont="1" applyFill="1" applyBorder="1" applyAlignment="1">
      <alignment horizontal="left" vertical="top"/>
    </xf>
    <xf numFmtId="0" fontId="39" fillId="27" borderId="12" xfId="0" applyFont="1" applyFill="1" applyBorder="1" applyAlignment="1">
      <alignment horizontal="left" vertical="top"/>
    </xf>
    <xf numFmtId="0" fontId="39" fillId="27" borderId="24" xfId="0" applyFont="1" applyFill="1" applyBorder="1" applyAlignment="1">
      <alignment horizontal="left" vertical="top"/>
    </xf>
    <xf numFmtId="14" fontId="3" fillId="28" borderId="63" xfId="0" applyNumberFormat="1" applyFont="1" applyFill="1" applyBorder="1" applyAlignment="1" applyProtection="1">
      <alignment horizontal="left" vertical="top"/>
      <protection locked="0"/>
    </xf>
    <xf numFmtId="14" fontId="3" fillId="28" borderId="53" xfId="0" applyNumberFormat="1" applyFont="1" applyFill="1" applyBorder="1" applyAlignment="1" applyProtection="1">
      <alignment horizontal="left" vertical="top"/>
      <protection locked="0"/>
    </xf>
    <xf numFmtId="0" fontId="34" fillId="24" borderId="0" xfId="0" applyFont="1" applyFill="1" applyAlignment="1">
      <alignment horizontal="left" vertical="center" wrapText="1"/>
    </xf>
    <xf numFmtId="0" fontId="56" fillId="41" borderId="17" xfId="0" applyFont="1" applyFill="1" applyBorder="1" applyAlignment="1">
      <alignment horizontal="left" vertical="top" wrapText="1"/>
    </xf>
    <xf numFmtId="0" fontId="5" fillId="0" borderId="76" xfId="0" applyFont="1" applyBorder="1" applyAlignment="1">
      <alignment horizontal="center" vertical="center" wrapText="1"/>
    </xf>
    <xf numFmtId="0" fontId="3" fillId="40" borderId="107" xfId="0" applyFont="1" applyFill="1" applyBorder="1" applyAlignment="1">
      <alignment horizontal="left" wrapText="1"/>
    </xf>
    <xf numFmtId="0" fontId="0" fillId="0" borderId="15" xfId="0" applyBorder="1" applyAlignment="1">
      <alignment horizontal="left" wrapText="1"/>
    </xf>
    <xf numFmtId="0" fontId="0" fillId="0" borderId="20" xfId="0" applyBorder="1" applyAlignment="1">
      <alignment horizontal="left" wrapText="1"/>
    </xf>
    <xf numFmtId="0" fontId="3" fillId="24" borderId="97" xfId="0" applyFont="1" applyFill="1" applyBorder="1" applyAlignment="1">
      <alignment horizontal="left" wrapText="1"/>
    </xf>
    <xf numFmtId="0" fontId="0" fillId="0" borderId="139" xfId="0" applyBorder="1" applyAlignment="1">
      <alignment horizontal="left" wrapText="1"/>
    </xf>
    <xf numFmtId="169" fontId="3" fillId="40" borderId="106" xfId="0" applyNumberFormat="1" applyFont="1" applyFill="1" applyBorder="1" applyAlignment="1">
      <alignment horizontal="left" vertical="top"/>
    </xf>
    <xf numFmtId="169" fontId="3" fillId="40" borderId="19" xfId="0" applyNumberFormat="1" applyFont="1" applyFill="1" applyBorder="1" applyAlignment="1">
      <alignment horizontal="left" vertical="top"/>
    </xf>
    <xf numFmtId="169" fontId="3" fillId="40" borderId="107" xfId="0" applyNumberFormat="1" applyFont="1" applyFill="1" applyBorder="1" applyAlignment="1">
      <alignment horizontal="left" vertical="top"/>
    </xf>
    <xf numFmtId="169" fontId="3" fillId="40" borderId="34" xfId="0" applyNumberFormat="1" applyFont="1" applyFill="1" applyBorder="1" applyAlignment="1">
      <alignment horizontal="left" vertical="top"/>
    </xf>
    <xf numFmtId="169" fontId="3" fillId="40" borderId="97" xfId="0" applyNumberFormat="1" applyFont="1" applyFill="1" applyBorder="1" applyAlignment="1">
      <alignment horizontal="left" vertical="top"/>
    </xf>
    <xf numFmtId="169" fontId="3" fillId="40" borderId="139" xfId="0" applyNumberFormat="1" applyFont="1" applyFill="1" applyBorder="1" applyAlignment="1">
      <alignment horizontal="left" vertical="top"/>
    </xf>
    <xf numFmtId="0" fontId="39" fillId="27" borderId="153" xfId="0" applyFont="1" applyFill="1" applyBorder="1" applyAlignment="1">
      <alignment horizontal="left" vertical="top"/>
    </xf>
    <xf numFmtId="0" fontId="0" fillId="0" borderId="16" xfId="0" applyBorder="1" applyAlignment="1">
      <alignment horizontal="left" vertical="top"/>
    </xf>
    <xf numFmtId="0" fontId="39" fillId="27" borderId="108" xfId="0" applyFont="1" applyFill="1" applyBorder="1" applyAlignment="1">
      <alignment horizontal="left" vertical="top"/>
    </xf>
    <xf numFmtId="0" fontId="0" fillId="0" borderId="15" xfId="0" applyBorder="1" applyAlignment="1">
      <alignment horizontal="left" vertical="top"/>
    </xf>
    <xf numFmtId="0" fontId="3" fillId="28" borderId="107" xfId="0" applyFont="1" applyFill="1" applyBorder="1" applyAlignment="1" applyProtection="1">
      <alignment horizontal="left" wrapText="1"/>
      <protection locked="0"/>
    </xf>
    <xf numFmtId="0" fontId="0" fillId="0" borderId="34" xfId="0" applyBorder="1" applyAlignment="1" applyProtection="1">
      <alignment horizontal="left" wrapText="1"/>
      <protection locked="0"/>
    </xf>
    <xf numFmtId="0" fontId="72" fillId="50" borderId="107" xfId="0" applyFont="1" applyFill="1" applyBorder="1" applyAlignment="1">
      <alignment horizontal="left" wrapText="1"/>
    </xf>
    <xf numFmtId="0" fontId="72" fillId="50" borderId="20" xfId="0" applyFont="1" applyFill="1" applyBorder="1" applyAlignment="1">
      <alignment horizontal="left" wrapText="1"/>
    </xf>
    <xf numFmtId="0" fontId="56" fillId="24" borderId="17" xfId="0" applyFont="1" applyFill="1" applyBorder="1" applyAlignment="1">
      <alignment vertical="top" wrapText="1"/>
    </xf>
    <xf numFmtId="14" fontId="3" fillId="28" borderId="108" xfId="0" applyNumberFormat="1" applyFont="1" applyFill="1" applyBorder="1" applyAlignment="1" applyProtection="1">
      <alignment horizontal="left" vertical="top"/>
      <protection locked="0"/>
    </xf>
    <xf numFmtId="14" fontId="3" fillId="28" borderId="15" xfId="0" applyNumberFormat="1" applyFont="1" applyFill="1" applyBorder="1" applyAlignment="1" applyProtection="1">
      <alignment horizontal="left" vertical="top"/>
      <protection locked="0"/>
    </xf>
    <xf numFmtId="14" fontId="3" fillId="28" borderId="34" xfId="0" applyNumberFormat="1" applyFont="1" applyFill="1" applyBorder="1" applyAlignment="1" applyProtection="1">
      <alignment horizontal="left" vertical="top"/>
      <protection locked="0"/>
    </xf>
    <xf numFmtId="0" fontId="28" fillId="46" borderId="28" xfId="0" applyFont="1" applyFill="1" applyBorder="1" applyAlignment="1">
      <alignment horizontal="center" vertical="center" wrapText="1"/>
    </xf>
    <xf numFmtId="0" fontId="28" fillId="46" borderId="30" xfId="0" applyFont="1" applyFill="1" applyBorder="1" applyAlignment="1">
      <alignment horizontal="center" vertical="center" wrapText="1"/>
    </xf>
    <xf numFmtId="0" fontId="0" fillId="46" borderId="38" xfId="0" applyFill="1" applyBorder="1" applyAlignment="1">
      <alignment horizontal="center" vertical="center" wrapText="1"/>
    </xf>
    <xf numFmtId="0" fontId="72" fillId="50" borderId="106" xfId="0" applyFont="1" applyFill="1" applyBorder="1" applyAlignment="1">
      <alignment horizontal="left" wrapText="1"/>
    </xf>
    <xf numFmtId="0" fontId="72" fillId="50" borderId="19" xfId="0" applyFont="1" applyFill="1" applyBorder="1" applyAlignment="1">
      <alignment horizontal="left" wrapText="1"/>
    </xf>
    <xf numFmtId="0" fontId="34" fillId="24" borderId="0" xfId="0" applyFont="1" applyFill="1" applyAlignment="1">
      <alignment vertical="center" wrapText="1"/>
    </xf>
    <xf numFmtId="0" fontId="5" fillId="41" borderId="91" xfId="0" applyFont="1" applyFill="1" applyBorder="1" applyAlignment="1">
      <alignment horizontal="center" wrapText="1"/>
    </xf>
    <xf numFmtId="0" fontId="5" fillId="24" borderId="11" xfId="0" applyFont="1" applyFill="1" applyBorder="1" applyAlignment="1">
      <alignment horizontal="center" wrapText="1"/>
    </xf>
    <xf numFmtId="0" fontId="3" fillId="24" borderId="107" xfId="0" applyFont="1" applyFill="1" applyBorder="1" applyAlignment="1">
      <alignment horizontal="left"/>
    </xf>
    <xf numFmtId="169" fontId="70" fillId="40" borderId="67" xfId="0" applyNumberFormat="1" applyFont="1" applyFill="1" applyBorder="1" applyAlignment="1">
      <alignment horizontal="left" vertical="top"/>
    </xf>
    <xf numFmtId="169" fontId="70" fillId="40" borderId="25" xfId="0" applyNumberFormat="1" applyFont="1" applyFill="1" applyBorder="1" applyAlignment="1">
      <alignment horizontal="left" vertical="top"/>
    </xf>
    <xf numFmtId="169" fontId="70" fillId="40" borderId="26" xfId="0" applyNumberFormat="1" applyFont="1" applyFill="1" applyBorder="1" applyAlignment="1">
      <alignment horizontal="left" vertical="top"/>
    </xf>
    <xf numFmtId="0" fontId="39" fillId="27" borderId="67" xfId="0" applyFont="1" applyFill="1" applyBorder="1" applyAlignment="1">
      <alignment vertical="top" wrapText="1"/>
    </xf>
    <xf numFmtId="0" fontId="39" fillId="0" borderId="25" xfId="0" applyFont="1" applyBorder="1" applyAlignment="1">
      <alignment vertical="top" wrapText="1"/>
    </xf>
    <xf numFmtId="0" fontId="39" fillId="0" borderId="26" xfId="0" applyFont="1" applyBorder="1" applyAlignment="1">
      <alignment vertical="top" wrapText="1"/>
    </xf>
    <xf numFmtId="0" fontId="56" fillId="41" borderId="15" xfId="0" applyFont="1" applyFill="1" applyBorder="1" applyAlignment="1">
      <alignment horizontal="left" vertical="top" wrapText="1"/>
    </xf>
    <xf numFmtId="14" fontId="3" fillId="28" borderId="94" xfId="0" applyNumberFormat="1" applyFont="1" applyFill="1" applyBorder="1" applyAlignment="1" applyProtection="1">
      <alignment horizontal="left" vertical="top"/>
      <protection locked="0"/>
    </xf>
    <xf numFmtId="0" fontId="39" fillId="27" borderId="154" xfId="0" applyFont="1" applyFill="1" applyBorder="1" applyAlignment="1">
      <alignment horizontal="left" vertical="top"/>
    </xf>
    <xf numFmtId="0" fontId="39" fillId="27" borderId="14" xfId="0" applyFont="1" applyFill="1" applyBorder="1" applyAlignment="1">
      <alignment horizontal="left" vertical="top"/>
    </xf>
    <xf numFmtId="0" fontId="3" fillId="28" borderId="97" xfId="0" applyFont="1" applyFill="1" applyBorder="1" applyAlignment="1" applyProtection="1">
      <alignment horizontal="left" wrapText="1"/>
      <protection locked="0"/>
    </xf>
    <xf numFmtId="0" fontId="0" fillId="0" borderId="139" xfId="0" applyBorder="1" applyAlignment="1" applyProtection="1">
      <alignment horizontal="left" wrapText="1"/>
      <protection locked="0"/>
    </xf>
    <xf numFmtId="14" fontId="3" fillId="28" borderId="153" xfId="0" applyNumberFormat="1" applyFont="1" applyFill="1" applyBorder="1" applyAlignment="1" applyProtection="1">
      <alignment horizontal="left" vertical="top"/>
      <protection locked="0"/>
    </xf>
    <xf numFmtId="14" fontId="3" fillId="28" borderId="16" xfId="0" applyNumberFormat="1" applyFont="1" applyFill="1" applyBorder="1" applyAlignment="1" applyProtection="1">
      <alignment horizontal="left" vertical="top"/>
      <protection locked="0"/>
    </xf>
    <xf numFmtId="14" fontId="3" fillId="28" borderId="139" xfId="0" applyNumberFormat="1" applyFont="1" applyFill="1" applyBorder="1" applyAlignment="1" applyProtection="1">
      <alignment horizontal="left" vertical="top"/>
      <protection locked="0"/>
    </xf>
    <xf numFmtId="0" fontId="72" fillId="50" borderId="97" xfId="0" applyFont="1" applyFill="1" applyBorder="1" applyAlignment="1">
      <alignment horizontal="left" wrapText="1"/>
    </xf>
    <xf numFmtId="0" fontId="72" fillId="50" borderId="23" xfId="0" applyFont="1" applyFill="1" applyBorder="1" applyAlignment="1">
      <alignment horizontal="left" wrapText="1"/>
    </xf>
    <xf numFmtId="0" fontId="3" fillId="28" borderId="106" xfId="0" applyFont="1" applyFill="1" applyBorder="1" applyAlignment="1" applyProtection="1">
      <alignment horizontal="left" wrapText="1"/>
      <protection locked="0"/>
    </xf>
    <xf numFmtId="0" fontId="3" fillId="28" borderId="32" xfId="0" applyFont="1" applyFill="1" applyBorder="1" applyAlignment="1" applyProtection="1">
      <alignment horizontal="left" wrapText="1"/>
      <protection locked="0"/>
    </xf>
    <xf numFmtId="0" fontId="10" fillId="41" borderId="17" xfId="0" applyFont="1" applyFill="1" applyBorder="1" applyAlignment="1">
      <alignment horizontal="left" vertical="top" wrapText="1"/>
    </xf>
    <xf numFmtId="0" fontId="56" fillId="41" borderId="0" xfId="0" applyFont="1" applyFill="1" applyAlignment="1">
      <alignment horizontal="left" vertical="center" wrapText="1"/>
    </xf>
    <xf numFmtId="0" fontId="5" fillId="0" borderId="176" xfId="0" applyFont="1" applyBorder="1" applyAlignment="1">
      <alignment horizontal="left" wrapText="1"/>
    </xf>
    <xf numFmtId="0" fontId="5" fillId="0" borderId="12" xfId="0" applyFont="1" applyBorder="1" applyAlignment="1">
      <alignment horizontal="left" wrapText="1"/>
    </xf>
    <xf numFmtId="0" fontId="5" fillId="0" borderId="152" xfId="0" applyFont="1" applyBorder="1" applyAlignment="1">
      <alignment horizontal="left" wrapText="1"/>
    </xf>
    <xf numFmtId="14" fontId="3" fillId="28" borderId="175" xfId="0" applyNumberFormat="1" applyFont="1" applyFill="1" applyBorder="1" applyAlignment="1" applyProtection="1">
      <alignment horizontal="left" vertical="top"/>
      <protection locked="0"/>
    </xf>
    <xf numFmtId="14" fontId="3" fillId="28" borderId="17" xfId="0" applyNumberFormat="1" applyFont="1" applyFill="1" applyBorder="1" applyAlignment="1" applyProtection="1">
      <alignment horizontal="left" vertical="top"/>
      <protection locked="0"/>
    </xf>
    <xf numFmtId="14" fontId="3" fillId="28" borderId="146" xfId="0" applyNumberFormat="1" applyFont="1" applyFill="1" applyBorder="1" applyAlignment="1" applyProtection="1">
      <alignment horizontal="left" vertical="top"/>
      <protection locked="0"/>
    </xf>
    <xf numFmtId="0" fontId="3" fillId="40" borderId="106" xfId="0" applyFont="1" applyFill="1" applyBorder="1" applyAlignment="1">
      <alignment horizontal="left" wrapText="1"/>
    </xf>
    <xf numFmtId="0" fontId="3" fillId="40" borderId="14" xfId="0" applyFont="1" applyFill="1" applyBorder="1" applyAlignment="1">
      <alignment horizontal="left" wrapText="1"/>
    </xf>
    <xf numFmtId="0" fontId="0" fillId="0" borderId="19" xfId="0" applyBorder="1" applyAlignment="1">
      <alignment horizontal="left" wrapText="1"/>
    </xf>
    <xf numFmtId="0" fontId="3" fillId="24" borderId="97" xfId="0" applyFont="1" applyFill="1" applyBorder="1" applyAlignment="1">
      <alignment horizontal="left"/>
    </xf>
    <xf numFmtId="0" fontId="3" fillId="40" borderId="107" xfId="0" applyFont="1" applyFill="1" applyBorder="1" applyAlignment="1">
      <alignment horizontal="left"/>
    </xf>
    <xf numFmtId="0" fontId="3" fillId="40" borderId="97" xfId="0" applyFont="1" applyFill="1" applyBorder="1" applyAlignment="1">
      <alignment horizontal="left"/>
    </xf>
    <xf numFmtId="0" fontId="3" fillId="24" borderId="106" xfId="0" applyFont="1" applyFill="1" applyBorder="1" applyAlignment="1">
      <alignment horizontal="left"/>
    </xf>
    <xf numFmtId="0" fontId="0" fillId="0" borderId="16" xfId="0" applyBorder="1" applyAlignment="1">
      <alignment horizontal="left" wrapText="1"/>
    </xf>
    <xf numFmtId="0" fontId="0" fillId="0" borderId="23" xfId="0" applyBorder="1" applyAlignment="1">
      <alignment horizontal="left" wrapText="1"/>
    </xf>
    <xf numFmtId="0" fontId="3" fillId="40" borderId="97" xfId="0" applyFont="1" applyFill="1" applyBorder="1" applyAlignment="1">
      <alignment horizontal="left" wrapText="1"/>
    </xf>
    <xf numFmtId="0" fontId="3" fillId="24" borderId="14" xfId="0" applyFont="1" applyFill="1" applyBorder="1" applyAlignment="1">
      <alignment horizontal="left" wrapText="1"/>
    </xf>
    <xf numFmtId="0" fontId="3" fillId="40" borderId="106" xfId="0" applyFont="1" applyFill="1" applyBorder="1" applyAlignment="1">
      <alignment horizontal="left"/>
    </xf>
    <xf numFmtId="0" fontId="3" fillId="40" borderId="14" xfId="0" applyFont="1" applyFill="1" applyBorder="1" applyAlignment="1">
      <alignment horizontal="left"/>
    </xf>
    <xf numFmtId="0" fontId="3" fillId="40" borderId="19" xfId="0" applyFont="1" applyFill="1" applyBorder="1" applyAlignment="1">
      <alignment horizontal="left"/>
    </xf>
    <xf numFmtId="0" fontId="56" fillId="24" borderId="138" xfId="0" applyFont="1" applyFill="1" applyBorder="1" applyAlignment="1">
      <alignment horizontal="left" vertical="top" wrapText="1"/>
    </xf>
    <xf numFmtId="0" fontId="72" fillId="50" borderId="106" xfId="0" applyFont="1" applyFill="1" applyBorder="1" applyAlignment="1">
      <alignment horizontal="left"/>
    </xf>
    <xf numFmtId="0" fontId="72" fillId="50" borderId="14" xfId="0" applyFont="1" applyFill="1" applyBorder="1" applyAlignment="1">
      <alignment horizontal="left"/>
    </xf>
    <xf numFmtId="0" fontId="72" fillId="50" borderId="19" xfId="0" applyFont="1" applyFill="1" applyBorder="1" applyAlignment="1">
      <alignment horizontal="left"/>
    </xf>
    <xf numFmtId="0" fontId="72" fillId="50" borderId="97" xfId="0" applyFont="1" applyFill="1" applyBorder="1" applyAlignment="1">
      <alignment horizontal="left"/>
    </xf>
    <xf numFmtId="0" fontId="72" fillId="50" borderId="16" xfId="0" applyFont="1" applyFill="1" applyBorder="1" applyAlignment="1">
      <alignment horizontal="left"/>
    </xf>
    <xf numFmtId="0" fontId="72" fillId="50" borderId="23" xfId="0" applyFont="1" applyFill="1" applyBorder="1" applyAlignment="1">
      <alignment horizontal="left"/>
    </xf>
    <xf numFmtId="0" fontId="3" fillId="39" borderId="13" xfId="0" applyFont="1" applyFill="1" applyBorder="1" applyAlignment="1">
      <alignment horizontal="center" vertical="top"/>
    </xf>
    <xf numFmtId="0" fontId="36" fillId="39" borderId="13" xfId="0" applyFont="1" applyFill="1" applyBorder="1" applyAlignment="1">
      <alignment horizontal="center" vertical="top"/>
    </xf>
    <xf numFmtId="0" fontId="3" fillId="39" borderId="12" xfId="0" quotePrefix="1" applyFont="1" applyFill="1" applyBorder="1" applyAlignment="1">
      <alignment horizontal="center" vertical="top"/>
    </xf>
    <xf numFmtId="0" fontId="36" fillId="39" borderId="12" xfId="0" applyFont="1" applyFill="1" applyBorder="1" applyAlignment="1">
      <alignment horizontal="center" vertical="top"/>
    </xf>
    <xf numFmtId="0" fontId="5" fillId="0" borderId="83" xfId="0" applyFont="1" applyBorder="1" applyAlignment="1">
      <alignment horizontal="left" wrapText="1"/>
    </xf>
    <xf numFmtId="0" fontId="5" fillId="0" borderId="84" xfId="0" applyFont="1" applyBorder="1" applyAlignment="1">
      <alignment horizontal="left" wrapText="1"/>
    </xf>
    <xf numFmtId="0" fontId="5" fillId="0" borderId="85" xfId="0" applyFont="1" applyBorder="1" applyAlignment="1">
      <alignment horizontal="left" wrapText="1"/>
    </xf>
    <xf numFmtId="14" fontId="3" fillId="28" borderId="101" xfId="0" applyNumberFormat="1" applyFont="1" applyFill="1" applyBorder="1" applyAlignment="1" applyProtection="1">
      <alignment horizontal="left" vertical="top"/>
      <protection locked="0"/>
    </xf>
    <xf numFmtId="14" fontId="3" fillId="28" borderId="51" xfId="0" applyNumberFormat="1" applyFont="1" applyFill="1" applyBorder="1" applyAlignment="1" applyProtection="1">
      <alignment horizontal="left" vertical="top"/>
      <protection locked="0"/>
    </xf>
    <xf numFmtId="14" fontId="3" fillId="28" borderId="102" xfId="0" applyNumberFormat="1" applyFont="1" applyFill="1" applyBorder="1" applyAlignment="1" applyProtection="1">
      <alignment horizontal="left" vertical="top"/>
      <protection locked="0"/>
    </xf>
    <xf numFmtId="14" fontId="3" fillId="28" borderId="56" xfId="0" applyNumberFormat="1" applyFont="1" applyFill="1" applyBorder="1" applyAlignment="1" applyProtection="1">
      <alignment horizontal="left" vertical="top"/>
      <protection locked="0"/>
    </xf>
    <xf numFmtId="14" fontId="3" fillId="28" borderId="36" xfId="0" applyNumberFormat="1" applyFont="1" applyFill="1" applyBorder="1" applyAlignment="1" applyProtection="1">
      <alignment horizontal="left" vertical="top"/>
      <protection locked="0"/>
    </xf>
    <xf numFmtId="14" fontId="3" fillId="28" borderId="37" xfId="0" applyNumberFormat="1" applyFont="1" applyFill="1" applyBorder="1" applyAlignment="1" applyProtection="1">
      <alignment horizontal="left" vertical="top"/>
      <protection locked="0"/>
    </xf>
    <xf numFmtId="0" fontId="7" fillId="46" borderId="0" xfId="59" applyFill="1" applyAlignment="1" applyProtection="1">
      <alignment vertical="top" wrapText="1"/>
    </xf>
    <xf numFmtId="0" fontId="35" fillId="51" borderId="67" xfId="0" applyFont="1" applyFill="1" applyBorder="1" applyAlignment="1">
      <alignment horizontal="left"/>
    </xf>
    <xf numFmtId="0" fontId="35" fillId="51" borderId="25" xfId="0" applyFont="1" applyFill="1" applyBorder="1" applyAlignment="1">
      <alignment horizontal="left"/>
    </xf>
    <xf numFmtId="0" fontId="35" fillId="51" borderId="26" xfId="0" applyFont="1" applyFill="1" applyBorder="1" applyAlignment="1">
      <alignment horizontal="left"/>
    </xf>
    <xf numFmtId="0" fontId="38" fillId="46" borderId="0" xfId="59" applyFont="1" applyFill="1" applyAlignment="1" applyProtection="1">
      <alignment horizontal="left" vertical="top" wrapText="1"/>
    </xf>
    <xf numFmtId="0" fontId="3" fillId="0" borderId="15" xfId="0" applyFont="1" applyBorder="1" applyAlignment="1">
      <alignment horizontal="left" vertical="top" wrapText="1"/>
    </xf>
    <xf numFmtId="0" fontId="81" fillId="24" borderId="0" xfId="0" applyFont="1" applyFill="1" applyAlignment="1">
      <alignment horizontal="left" vertical="top" wrapText="1"/>
    </xf>
    <xf numFmtId="0" fontId="3" fillId="51" borderId="67" xfId="0" applyFont="1" applyFill="1" applyBorder="1" applyAlignment="1">
      <alignment horizontal="left" vertical="top"/>
    </xf>
    <xf numFmtId="0" fontId="3" fillId="51" borderId="25" xfId="0" applyFont="1" applyFill="1" applyBorder="1" applyAlignment="1">
      <alignment horizontal="left" vertical="top"/>
    </xf>
    <xf numFmtId="0" fontId="3" fillId="51" borderId="26" xfId="0" applyFont="1" applyFill="1" applyBorder="1" applyAlignment="1">
      <alignment horizontal="left" vertical="top"/>
    </xf>
    <xf numFmtId="0" fontId="3" fillId="28" borderId="104" xfId="0" applyFont="1" applyFill="1" applyBorder="1" applyAlignment="1" applyProtection="1">
      <alignment horizontal="left" vertical="top" wrapText="1"/>
      <protection locked="0"/>
    </xf>
    <xf numFmtId="0" fontId="3" fillId="0" borderId="21" xfId="0" applyFont="1" applyBorder="1" applyAlignment="1" applyProtection="1">
      <alignment horizontal="left" vertical="top" wrapText="1"/>
      <protection locked="0"/>
    </xf>
    <xf numFmtId="0" fontId="3" fillId="0" borderId="103" xfId="0" applyFont="1" applyBorder="1" applyAlignment="1" applyProtection="1">
      <alignment horizontal="left" vertical="top" wrapText="1"/>
      <protection locked="0"/>
    </xf>
    <xf numFmtId="0" fontId="3" fillId="0" borderId="78" xfId="0" applyFont="1" applyBorder="1" applyAlignment="1" applyProtection="1">
      <alignment horizontal="left" vertical="top" wrapText="1"/>
      <protection locked="0"/>
    </xf>
    <xf numFmtId="0" fontId="3" fillId="0" borderId="12" xfId="0" applyFont="1" applyBorder="1" applyAlignment="1" applyProtection="1">
      <alignment horizontal="left" vertical="top" wrapText="1"/>
      <protection locked="0"/>
    </xf>
    <xf numFmtId="0" fontId="3" fillId="0" borderId="24" xfId="0" applyFont="1" applyBorder="1" applyAlignment="1" applyProtection="1">
      <alignment horizontal="left" vertical="top" wrapText="1"/>
      <protection locked="0"/>
    </xf>
    <xf numFmtId="0" fontId="37" fillId="28" borderId="67" xfId="0" applyFont="1" applyFill="1" applyBorder="1" applyAlignment="1" applyProtection="1">
      <alignment horizontal="left"/>
      <protection locked="0"/>
    </xf>
    <xf numFmtId="0" fontId="37" fillId="28" borderId="25" xfId="0" applyFont="1" applyFill="1" applyBorder="1" applyAlignment="1" applyProtection="1">
      <alignment horizontal="left"/>
      <protection locked="0"/>
    </xf>
    <xf numFmtId="0" fontId="37" fillId="28" borderId="26" xfId="0" applyFont="1" applyFill="1" applyBorder="1" applyAlignment="1" applyProtection="1">
      <alignment horizontal="left"/>
      <protection locked="0"/>
    </xf>
    <xf numFmtId="0" fontId="56" fillId="24" borderId="12" xfId="0" applyFont="1" applyFill="1" applyBorder="1" applyAlignment="1">
      <alignment vertical="top" wrapText="1"/>
    </xf>
    <xf numFmtId="0" fontId="3" fillId="0" borderId="12" xfId="0" applyFont="1" applyBorder="1" applyAlignment="1">
      <alignment vertical="top" wrapText="1"/>
    </xf>
    <xf numFmtId="0" fontId="35" fillId="51" borderId="67" xfId="0" applyFont="1" applyFill="1" applyBorder="1" applyAlignment="1">
      <alignment horizontal="left" vertical="top" wrapText="1"/>
    </xf>
    <xf numFmtId="0" fontId="0" fillId="51" borderId="25" xfId="0" applyFill="1" applyBorder="1" applyAlignment="1">
      <alignment horizontal="left" vertical="top" wrapText="1"/>
    </xf>
    <xf numFmtId="0" fontId="0" fillId="51" borderId="26" xfId="0" applyFill="1" applyBorder="1" applyAlignment="1">
      <alignment horizontal="left" vertical="top" wrapText="1"/>
    </xf>
    <xf numFmtId="0" fontId="37" fillId="28" borderId="67" xfId="0" applyFont="1" applyFill="1" applyBorder="1" applyAlignment="1" applyProtection="1">
      <alignment horizontal="left" vertical="top" wrapText="1"/>
      <protection locked="0"/>
    </xf>
    <xf numFmtId="0" fontId="3" fillId="24" borderId="22" xfId="0" applyFont="1" applyFill="1" applyBorder="1" applyAlignment="1">
      <alignment horizontal="left" vertical="top" wrapText="1"/>
    </xf>
    <xf numFmtId="0" fontId="0" fillId="0" borderId="22" xfId="0" applyBorder="1" applyAlignment="1">
      <alignment horizontal="left" vertical="top" wrapText="1"/>
    </xf>
    <xf numFmtId="0" fontId="3" fillId="51" borderId="67" xfId="0" applyFont="1" applyFill="1" applyBorder="1" applyAlignment="1">
      <alignment horizontal="left" vertical="top" wrapText="1"/>
    </xf>
    <xf numFmtId="0" fontId="0" fillId="0" borderId="21" xfId="0" applyBorder="1" applyAlignment="1" applyProtection="1">
      <alignment horizontal="left" vertical="top" wrapText="1"/>
      <protection locked="0"/>
    </xf>
    <xf numFmtId="0" fontId="0" fillId="0" borderId="103" xfId="0" applyBorder="1" applyAlignment="1" applyProtection="1">
      <alignment horizontal="left" vertical="top" wrapText="1"/>
      <protection locked="0"/>
    </xf>
    <xf numFmtId="0" fontId="0" fillId="0" borderId="78"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3" fillId="51" borderId="15" xfId="0" applyFont="1" applyFill="1" applyBorder="1" applyAlignment="1">
      <alignment horizontal="left" vertical="center" wrapText="1"/>
    </xf>
    <xf numFmtId="0" fontId="3" fillId="51" borderId="16" xfId="0" applyFont="1" applyFill="1" applyBorder="1" applyAlignment="1">
      <alignment horizontal="left" vertical="center" wrapText="1"/>
    </xf>
    <xf numFmtId="0" fontId="3" fillId="51" borderId="14" xfId="0" applyFont="1" applyFill="1" applyBorder="1" applyAlignment="1">
      <alignment horizontal="left" vertical="center" wrapText="1"/>
    </xf>
    <xf numFmtId="0" fontId="0" fillId="51" borderId="14" xfId="0" applyFill="1" applyBorder="1" applyAlignment="1">
      <alignment horizontal="left" vertical="center" wrapText="1"/>
    </xf>
    <xf numFmtId="0" fontId="0" fillId="0" borderId="25" xfId="0" applyBorder="1" applyAlignment="1">
      <alignment horizontal="left" vertical="center" wrapText="1"/>
    </xf>
    <xf numFmtId="0" fontId="0" fillId="0" borderId="12" xfId="0" applyBorder="1" applyAlignment="1">
      <alignment horizontal="left" vertical="center" wrapText="1"/>
    </xf>
    <xf numFmtId="0" fontId="56" fillId="24" borderId="12" xfId="0" applyFont="1" applyFill="1" applyBorder="1" applyAlignment="1">
      <alignment horizontal="left" vertical="center" wrapText="1"/>
    </xf>
    <xf numFmtId="0" fontId="3" fillId="0" borderId="12" xfId="0" applyFont="1" applyBorder="1" applyAlignment="1">
      <alignment horizontal="left" vertical="center" wrapText="1"/>
    </xf>
    <xf numFmtId="0" fontId="193" fillId="24" borderId="0" xfId="0" applyFont="1" applyFill="1" applyAlignment="1">
      <alignment vertical="center" wrapText="1"/>
    </xf>
    <xf numFmtId="0" fontId="3" fillId="0" borderId="0" xfId="0" applyFont="1" applyAlignment="1">
      <alignment vertical="center" wrapText="1"/>
    </xf>
    <xf numFmtId="0" fontId="3" fillId="40" borderId="14" xfId="0" applyFont="1" applyFill="1" applyBorder="1" applyAlignment="1">
      <alignment horizontal="left" vertical="center" wrapText="1"/>
    </xf>
    <xf numFmtId="0" fontId="0" fillId="0" borderId="14" xfId="0" applyBorder="1" applyAlignment="1">
      <alignment horizontal="left" vertical="center" wrapText="1"/>
    </xf>
    <xf numFmtId="0" fontId="193" fillId="41" borderId="0" xfId="0" applyFont="1" applyFill="1" applyAlignment="1">
      <alignment horizontal="left" vertical="center" wrapText="1"/>
    </xf>
    <xf numFmtId="0" fontId="3" fillId="24" borderId="106" xfId="0" applyFont="1" applyFill="1" applyBorder="1" applyAlignment="1">
      <alignment horizontal="left" vertical="center" wrapText="1"/>
    </xf>
    <xf numFmtId="0" fontId="3" fillId="24" borderId="107" xfId="0" applyFont="1" applyFill="1" applyBorder="1" applyAlignment="1">
      <alignment horizontal="left" vertical="center" wrapText="1"/>
    </xf>
    <xf numFmtId="0" fontId="0" fillId="0" borderId="15" xfId="0" applyBorder="1" applyAlignment="1">
      <alignment horizontal="left" vertical="center" wrapText="1"/>
    </xf>
    <xf numFmtId="0" fontId="3" fillId="24" borderId="97" xfId="0" applyFont="1" applyFill="1" applyBorder="1" applyAlignment="1">
      <alignment horizontal="left" vertical="center" wrapText="1"/>
    </xf>
    <xf numFmtId="0" fontId="0" fillId="0" borderId="16" xfId="0" applyBorder="1" applyAlignment="1">
      <alignment horizontal="left" vertical="center" wrapText="1"/>
    </xf>
    <xf numFmtId="0" fontId="5" fillId="24" borderId="25" xfId="0" applyFont="1" applyFill="1" applyBorder="1" applyAlignment="1">
      <alignment horizontal="left" vertical="center" wrapText="1"/>
    </xf>
    <xf numFmtId="0" fontId="3" fillId="40" borderId="15" xfId="0" applyFont="1" applyFill="1" applyBorder="1" applyAlignment="1">
      <alignment horizontal="left" vertical="center" wrapText="1"/>
    </xf>
    <xf numFmtId="0" fontId="3" fillId="24" borderId="16" xfId="0" applyFont="1" applyFill="1" applyBorder="1" applyAlignment="1">
      <alignment horizontal="left" vertical="center" wrapText="1"/>
    </xf>
    <xf numFmtId="0" fontId="3" fillId="24" borderId="14" xfId="0" applyFont="1" applyFill="1" applyBorder="1" applyAlignment="1">
      <alignment horizontal="left" vertical="center" wrapText="1"/>
    </xf>
    <xf numFmtId="0" fontId="56" fillId="24" borderId="0" xfId="0" applyFont="1" applyFill="1" applyAlignment="1">
      <alignment vertical="center" wrapText="1"/>
    </xf>
    <xf numFmtId="0" fontId="7" fillId="46" borderId="157" xfId="59" applyFill="1" applyBorder="1" applyAlignment="1" applyProtection="1">
      <alignment horizontal="center" vertical="top" wrapText="1"/>
    </xf>
    <xf numFmtId="0" fontId="3" fillId="0" borderId="0" xfId="0" applyFont="1" applyAlignment="1">
      <alignment vertical="top"/>
    </xf>
    <xf numFmtId="0" fontId="3" fillId="40" borderId="16" xfId="0" applyFont="1" applyFill="1" applyBorder="1" applyAlignment="1">
      <alignment horizontal="left" vertical="center" wrapText="1"/>
    </xf>
    <xf numFmtId="0" fontId="0" fillId="51" borderId="67" xfId="0" applyFill="1" applyBorder="1" applyAlignment="1">
      <alignment horizontal="left"/>
    </xf>
    <xf numFmtId="0" fontId="0" fillId="51" borderId="26" xfId="0" applyFill="1" applyBorder="1" applyAlignment="1">
      <alignment horizontal="left"/>
    </xf>
    <xf numFmtId="0" fontId="3" fillId="0" borderId="16" xfId="0" applyFont="1" applyBorder="1" applyAlignment="1">
      <alignment horizontal="left" vertical="center" wrapText="1"/>
    </xf>
    <xf numFmtId="0" fontId="7" fillId="46" borderId="0" xfId="59" applyFill="1" applyAlignment="1" applyProtection="1">
      <alignment horizontal="left" vertical="top" wrapText="1"/>
    </xf>
    <xf numFmtId="0" fontId="3" fillId="41" borderId="25" xfId="0" applyFont="1" applyFill="1" applyBorder="1" applyAlignment="1">
      <alignment horizontal="left" vertical="center" wrapText="1"/>
    </xf>
    <xf numFmtId="0" fontId="7" fillId="46" borderId="81" xfId="59" applyFill="1" applyBorder="1" applyAlignment="1" applyProtection="1">
      <alignment horizontal="center" vertical="top" wrapText="1"/>
    </xf>
    <xf numFmtId="0" fontId="0" fillId="46" borderId="150" xfId="0" applyFill="1" applyBorder="1" applyAlignment="1">
      <alignment horizontal="center" vertical="top" wrapText="1"/>
    </xf>
    <xf numFmtId="0" fontId="7" fillId="46" borderId="67" xfId="0" applyFont="1" applyFill="1" applyBorder="1" applyAlignment="1">
      <alignment horizontal="left" vertical="top" wrapText="1"/>
    </xf>
    <xf numFmtId="0" fontId="7" fillId="46" borderId="25" xfId="0" applyFont="1" applyFill="1" applyBorder="1" applyAlignment="1">
      <alignment horizontal="left" vertical="top" wrapText="1"/>
    </xf>
    <xf numFmtId="0" fontId="7" fillId="46" borderId="26" xfId="0" applyFont="1" applyFill="1" applyBorder="1" applyAlignment="1">
      <alignment horizontal="left" vertical="top" wrapText="1"/>
    </xf>
    <xf numFmtId="0" fontId="56" fillId="24" borderId="0" xfId="0" applyFont="1" applyFill="1" applyAlignment="1">
      <alignment horizontal="left" vertical="top"/>
    </xf>
    <xf numFmtId="0" fontId="56" fillId="24" borderId="0" xfId="0" applyFont="1" applyFill="1" applyAlignment="1">
      <alignment vertical="top"/>
    </xf>
    <xf numFmtId="0" fontId="56" fillId="0" borderId="0" xfId="0" applyFont="1" applyAlignment="1">
      <alignment vertical="top" wrapText="1"/>
    </xf>
    <xf numFmtId="0" fontId="56" fillId="0" borderId="0" xfId="0" applyFont="1" applyAlignment="1">
      <alignment vertical="top"/>
    </xf>
    <xf numFmtId="0" fontId="0" fillId="0" borderId="41" xfId="0" applyBorder="1" applyAlignment="1">
      <alignment horizontal="left" vertical="center" wrapText="1"/>
    </xf>
    <xf numFmtId="0" fontId="193" fillId="24" borderId="0" xfId="0" applyFont="1" applyFill="1" applyAlignment="1">
      <alignment vertical="top" wrapText="1"/>
    </xf>
    <xf numFmtId="0" fontId="0" fillId="0" borderId="120" xfId="0" applyBorder="1" applyAlignment="1">
      <alignment horizontal="left" vertical="center" wrapText="1"/>
    </xf>
    <xf numFmtId="0" fontId="3" fillId="24" borderId="15" xfId="0" applyFont="1" applyFill="1" applyBorder="1" applyAlignment="1">
      <alignment horizontal="left" vertical="center" wrapText="1"/>
    </xf>
    <xf numFmtId="0" fontId="5" fillId="24" borderId="12" xfId="0" applyFont="1" applyFill="1" applyBorder="1" applyAlignment="1">
      <alignment horizontal="left" vertical="center"/>
    </xf>
    <xf numFmtId="0" fontId="5" fillId="24" borderId="0" xfId="0" applyFont="1" applyFill="1" applyAlignment="1">
      <alignment horizontal="left" vertical="center"/>
    </xf>
    <xf numFmtId="0" fontId="0" fillId="0" borderId="12" xfId="0" applyBorder="1" applyAlignment="1">
      <alignment horizontal="left" vertical="center"/>
    </xf>
    <xf numFmtId="0" fontId="0" fillId="0" borderId="0" xfId="0" applyAlignment="1">
      <alignment horizontal="left" vertical="center"/>
    </xf>
    <xf numFmtId="0" fontId="3" fillId="0" borderId="14" xfId="0" applyFont="1" applyBorder="1" applyAlignment="1">
      <alignment horizontal="left" vertical="center" wrapText="1"/>
    </xf>
    <xf numFmtId="0" fontId="3" fillId="41" borderId="16" xfId="0" applyFont="1" applyFill="1" applyBorder="1" applyAlignment="1">
      <alignment horizontal="left" vertical="center" wrapText="1"/>
    </xf>
    <xf numFmtId="0" fontId="56" fillId="43" borderId="0" xfId="0" applyFont="1" applyFill="1" applyAlignment="1">
      <alignment horizontal="left" vertical="top" wrapText="1"/>
    </xf>
    <xf numFmtId="0" fontId="3" fillId="0" borderId="185" xfId="0" applyFont="1" applyBorder="1" applyAlignment="1">
      <alignment horizontal="left" vertical="top" wrapText="1"/>
    </xf>
    <xf numFmtId="0" fontId="7" fillId="46" borderId="0" xfId="59" applyFill="1" applyBorder="1" applyAlignment="1" applyProtection="1">
      <alignment horizontal="left" vertical="top" wrapText="1"/>
    </xf>
    <xf numFmtId="0" fontId="3" fillId="46" borderId="0" xfId="0" applyFont="1" applyFill="1" applyAlignment="1">
      <alignment horizontal="left" vertical="top" wrapText="1"/>
    </xf>
    <xf numFmtId="0" fontId="3" fillId="46" borderId="185" xfId="0" applyFont="1" applyFill="1" applyBorder="1" applyAlignment="1">
      <alignment horizontal="left" vertical="top" wrapText="1"/>
    </xf>
    <xf numFmtId="0" fontId="193" fillId="43" borderId="0" xfId="0" applyFont="1" applyFill="1" applyAlignment="1">
      <alignment horizontal="left" vertical="top" wrapText="1"/>
    </xf>
    <xf numFmtId="0" fontId="3" fillId="45" borderId="104" xfId="0" applyFont="1" applyFill="1" applyBorder="1" applyAlignment="1" applyProtection="1">
      <alignment horizontal="left" vertical="top"/>
      <protection locked="0"/>
    </xf>
    <xf numFmtId="0" fontId="3" fillId="45" borderId="21" xfId="0" applyFont="1" applyFill="1" applyBorder="1" applyAlignment="1" applyProtection="1">
      <alignment horizontal="left" vertical="top"/>
      <protection locked="0"/>
    </xf>
    <xf numFmtId="0" fontId="3" fillId="45" borderId="103" xfId="0" applyFont="1" applyFill="1" applyBorder="1" applyAlignment="1" applyProtection="1">
      <alignment horizontal="left" vertical="top"/>
      <protection locked="0"/>
    </xf>
    <xf numFmtId="0" fontId="3" fillId="45" borderId="78" xfId="0" applyFont="1" applyFill="1" applyBorder="1" applyAlignment="1" applyProtection="1">
      <alignment horizontal="left" vertical="top"/>
      <protection locked="0"/>
    </xf>
    <xf numFmtId="0" fontId="3" fillId="45" borderId="12" xfId="0" applyFont="1" applyFill="1" applyBorder="1" applyAlignment="1" applyProtection="1">
      <alignment horizontal="left" vertical="top"/>
      <protection locked="0"/>
    </xf>
    <xf numFmtId="0" fontId="3" fillId="45" borderId="24" xfId="0" applyFont="1" applyFill="1" applyBorder="1" applyAlignment="1" applyProtection="1">
      <alignment horizontal="left" vertical="top"/>
      <protection locked="0"/>
    </xf>
    <xf numFmtId="0" fontId="3" fillId="51" borderId="14" xfId="0" applyFont="1" applyFill="1" applyBorder="1" applyAlignment="1">
      <alignment horizontal="left" vertical="top" wrapText="1"/>
    </xf>
    <xf numFmtId="0" fontId="0" fillId="51" borderId="14" xfId="0" applyFill="1" applyBorder="1" applyAlignment="1">
      <alignment horizontal="left" vertical="top" wrapText="1"/>
    </xf>
    <xf numFmtId="0" fontId="3" fillId="51" borderId="16" xfId="0" applyFont="1" applyFill="1" applyBorder="1" applyAlignment="1">
      <alignment horizontal="left" vertical="top" wrapText="1"/>
    </xf>
    <xf numFmtId="0" fontId="0" fillId="51" borderId="16" xfId="0" applyFill="1" applyBorder="1" applyAlignment="1">
      <alignment horizontal="left" vertical="top" wrapText="1"/>
    </xf>
    <xf numFmtId="0" fontId="193" fillId="43" borderId="12" xfId="0" applyFont="1" applyFill="1" applyBorder="1" applyAlignment="1">
      <alignment horizontal="left" vertical="top" wrapText="1"/>
    </xf>
    <xf numFmtId="0" fontId="3" fillId="0" borderId="12" xfId="0" applyFont="1" applyBorder="1" applyAlignment="1">
      <alignment horizontal="left" vertical="top" wrapText="1"/>
    </xf>
    <xf numFmtId="0" fontId="3" fillId="40" borderId="25" xfId="0" applyFont="1" applyFill="1" applyBorder="1" applyAlignment="1">
      <alignment horizontal="left" vertical="top" wrapText="1"/>
    </xf>
    <xf numFmtId="0" fontId="3" fillId="51" borderId="25" xfId="0" applyFont="1" applyFill="1" applyBorder="1" applyAlignment="1">
      <alignment horizontal="left" vertical="top" wrapText="1"/>
    </xf>
    <xf numFmtId="0" fontId="3" fillId="51" borderId="26" xfId="0" applyFont="1" applyFill="1" applyBorder="1" applyAlignment="1">
      <alignment horizontal="left" vertical="top" wrapText="1"/>
    </xf>
    <xf numFmtId="0" fontId="56" fillId="43" borderId="0" xfId="0" quotePrefix="1" applyFont="1" applyFill="1" applyAlignment="1">
      <alignment horizontal="left" vertical="top" wrapText="1"/>
    </xf>
    <xf numFmtId="0" fontId="56" fillId="43" borderId="185" xfId="0" quotePrefix="1" applyFont="1" applyFill="1" applyBorder="1" applyAlignment="1">
      <alignment horizontal="left" vertical="top" wrapText="1"/>
    </xf>
    <xf numFmtId="0" fontId="56" fillId="43" borderId="0" xfId="0" applyFont="1" applyFill="1" applyAlignment="1">
      <alignment vertical="top" wrapText="1"/>
    </xf>
    <xf numFmtId="0" fontId="59" fillId="46" borderId="0" xfId="59" applyFont="1" applyFill="1" applyBorder="1" applyAlignment="1" applyProtection="1">
      <alignment horizontal="left" vertical="top" wrapText="1"/>
    </xf>
    <xf numFmtId="0" fontId="193" fillId="43" borderId="0" xfId="0" applyFont="1" applyFill="1" applyAlignment="1">
      <alignment vertical="top" wrapText="1"/>
    </xf>
    <xf numFmtId="0" fontId="37" fillId="27" borderId="67" xfId="0" applyFont="1" applyFill="1" applyBorder="1" applyAlignment="1">
      <alignment vertical="top" wrapText="1"/>
    </xf>
    <xf numFmtId="0" fontId="0" fillId="0" borderId="25" xfId="0" applyBorder="1" applyAlignment="1">
      <alignment vertical="top" wrapText="1"/>
    </xf>
    <xf numFmtId="0" fontId="0" fillId="0" borderId="50" xfId="0" applyBorder="1" applyAlignment="1">
      <alignment vertical="top" wrapText="1"/>
    </xf>
    <xf numFmtId="0" fontId="3" fillId="27" borderId="25" xfId="0" applyFont="1" applyFill="1" applyBorder="1" applyAlignment="1">
      <alignment horizontal="left" vertical="top" wrapText="1"/>
    </xf>
    <xf numFmtId="0" fontId="0" fillId="0" borderId="26" xfId="0" applyBorder="1" applyAlignment="1">
      <alignment vertical="top" wrapText="1"/>
    </xf>
    <xf numFmtId="0" fontId="56" fillId="43" borderId="185" xfId="0" applyFont="1" applyFill="1" applyBorder="1" applyAlignment="1">
      <alignment horizontal="left" vertical="top" wrapText="1"/>
    </xf>
    <xf numFmtId="0" fontId="48" fillId="43" borderId="0" xfId="0" applyFont="1" applyFill="1" applyAlignment="1">
      <alignment horizontal="left" vertical="top" wrapText="1"/>
    </xf>
    <xf numFmtId="0" fontId="49" fillId="43" borderId="0" xfId="0" applyFont="1" applyFill="1" applyAlignment="1">
      <alignment vertical="top" wrapText="1"/>
    </xf>
    <xf numFmtId="0" fontId="48" fillId="43" borderId="0" xfId="0" quotePrefix="1" applyFont="1" applyFill="1" applyAlignment="1">
      <alignment horizontal="left" vertical="top" wrapText="1"/>
    </xf>
    <xf numFmtId="0" fontId="48" fillId="43" borderId="185" xfId="0" quotePrefix="1" applyFont="1" applyFill="1" applyBorder="1" applyAlignment="1">
      <alignment horizontal="left" vertical="top" wrapText="1"/>
    </xf>
    <xf numFmtId="0" fontId="184" fillId="52" borderId="186" xfId="0" applyFont="1" applyFill="1" applyBorder="1" applyAlignment="1">
      <alignment horizontal="left" vertical="top" wrapText="1"/>
    </xf>
    <xf numFmtId="0" fontId="180" fillId="52" borderId="0" xfId="0" applyFont="1" applyFill="1" applyAlignment="1">
      <alignment horizontal="left" vertical="top" wrapText="1"/>
    </xf>
    <xf numFmtId="0" fontId="180" fillId="52" borderId="185" xfId="0" applyFont="1" applyFill="1" applyBorder="1" applyAlignment="1">
      <alignment horizontal="left" vertical="top" wrapText="1"/>
    </xf>
    <xf numFmtId="0" fontId="7" fillId="24" borderId="0" xfId="59" applyFill="1" applyAlignment="1" applyProtection="1">
      <alignment horizontal="left" vertical="top"/>
    </xf>
    <xf numFmtId="0" fontId="34" fillId="43" borderId="0" xfId="0" applyFont="1" applyFill="1" applyAlignment="1">
      <alignment horizontal="left" vertical="top" wrapText="1"/>
    </xf>
    <xf numFmtId="0" fontId="34" fillId="43" borderId="185" xfId="0" applyFont="1" applyFill="1" applyBorder="1" applyAlignment="1">
      <alignment horizontal="left" vertical="top" wrapText="1"/>
    </xf>
    <xf numFmtId="0" fontId="3" fillId="27" borderId="26" xfId="0" applyFont="1" applyFill="1" applyBorder="1" applyAlignment="1">
      <alignment horizontal="left" vertical="top" wrapText="1"/>
    </xf>
    <xf numFmtId="0" fontId="38" fillId="46" borderId="0" xfId="59" applyFont="1" applyFill="1" applyBorder="1" applyAlignment="1" applyProtection="1">
      <alignment horizontal="left" vertical="top" wrapText="1"/>
    </xf>
    <xf numFmtId="0" fontId="5" fillId="46" borderId="57" xfId="0" applyFont="1" applyFill="1" applyBorder="1" applyAlignment="1">
      <alignment horizontal="center" vertical="top" wrapText="1"/>
    </xf>
    <xf numFmtId="0" fontId="28" fillId="46" borderId="28" xfId="0" applyFont="1" applyFill="1" applyBorder="1" applyAlignment="1">
      <alignment horizontal="center" vertical="top" wrapText="1"/>
    </xf>
    <xf numFmtId="0" fontId="28" fillId="46" borderId="30" xfId="0" applyFont="1" applyFill="1" applyBorder="1" applyAlignment="1">
      <alignment horizontal="center" vertical="top" wrapText="1"/>
    </xf>
    <xf numFmtId="0" fontId="0" fillId="46" borderId="66" xfId="0" applyFill="1" applyBorder="1" applyAlignment="1">
      <alignment horizontal="center" vertical="top" wrapText="1"/>
    </xf>
    <xf numFmtId="0" fontId="0" fillId="46" borderId="0" xfId="0" applyFill="1" applyAlignment="1">
      <alignment horizontal="center" vertical="top" wrapText="1"/>
    </xf>
    <xf numFmtId="0" fontId="0" fillId="46" borderId="38" xfId="0" applyFill="1" applyBorder="1" applyAlignment="1">
      <alignment horizontal="center" vertical="top" wrapText="1"/>
    </xf>
    <xf numFmtId="0" fontId="0" fillId="46" borderId="65" xfId="0" applyFill="1" applyBorder="1" applyAlignment="1">
      <alignment horizontal="center" vertical="top" wrapText="1"/>
    </xf>
    <xf numFmtId="0" fontId="0" fillId="46" borderId="39" xfId="0" applyFill="1" applyBorder="1" applyAlignment="1">
      <alignment horizontal="center" vertical="top" wrapText="1"/>
    </xf>
    <xf numFmtId="0" fontId="0" fillId="46" borderId="40" xfId="0" applyFill="1" applyBorder="1" applyAlignment="1">
      <alignment horizontal="center" vertical="top" wrapText="1"/>
    </xf>
    <xf numFmtId="0" fontId="0" fillId="46" borderId="156" xfId="0" applyFill="1" applyBorder="1" applyAlignment="1">
      <alignment horizontal="center" vertical="top" wrapText="1"/>
    </xf>
    <xf numFmtId="0" fontId="7" fillId="46" borderId="150" xfId="59" applyFill="1" applyBorder="1" applyAlignment="1" applyProtection="1">
      <alignment horizontal="left" vertical="top"/>
    </xf>
    <xf numFmtId="0" fontId="61" fillId="46" borderId="150" xfId="0" applyFont="1" applyFill="1" applyBorder="1" applyAlignment="1">
      <alignment horizontal="left" vertical="top"/>
    </xf>
    <xf numFmtId="0" fontId="0" fillId="46" borderId="157" xfId="0" applyFill="1" applyBorder="1" applyAlignment="1">
      <alignment horizontal="center" vertical="top" wrapText="1"/>
    </xf>
    <xf numFmtId="0" fontId="0" fillId="46" borderId="17" xfId="0" applyFill="1" applyBorder="1" applyAlignment="1">
      <alignment horizontal="center" vertical="top"/>
    </xf>
    <xf numFmtId="0" fontId="0" fillId="46" borderId="158" xfId="0" applyFill="1" applyBorder="1" applyAlignment="1">
      <alignment horizontal="center" vertical="top"/>
    </xf>
    <xf numFmtId="0" fontId="61" fillId="46" borderId="157" xfId="0" applyFont="1" applyFill="1" applyBorder="1" applyAlignment="1">
      <alignment horizontal="left" vertical="top"/>
    </xf>
    <xf numFmtId="0" fontId="61" fillId="46" borderId="156" xfId="0" applyFont="1" applyFill="1" applyBorder="1" applyAlignment="1">
      <alignment horizontal="left" vertical="top"/>
    </xf>
    <xf numFmtId="0" fontId="7" fillId="46" borderId="158" xfId="59" applyFill="1" applyBorder="1" applyAlignment="1" applyProtection="1">
      <alignment horizontal="left" vertical="top"/>
    </xf>
    <xf numFmtId="0" fontId="61" fillId="46" borderId="150" xfId="0" applyFont="1" applyFill="1" applyBorder="1" applyAlignment="1">
      <alignment horizontal="left" vertical="top" wrapText="1"/>
    </xf>
    <xf numFmtId="0" fontId="3" fillId="40" borderId="14" xfId="0" applyFont="1" applyFill="1" applyBorder="1" applyAlignment="1">
      <alignment horizontal="left" vertical="top" wrapText="1"/>
    </xf>
    <xf numFmtId="0" fontId="0" fillId="40" borderId="14" xfId="0" applyFill="1" applyBorder="1" applyAlignment="1">
      <alignment horizontal="left" vertical="top" wrapText="1"/>
    </xf>
    <xf numFmtId="0" fontId="3" fillId="40" borderId="16" xfId="0" applyFont="1" applyFill="1" applyBorder="1" applyAlignment="1">
      <alignment horizontal="left" vertical="top" wrapText="1"/>
    </xf>
    <xf numFmtId="0" fontId="0" fillId="40" borderId="16" xfId="0" applyFill="1" applyBorder="1" applyAlignment="1">
      <alignment horizontal="left" vertical="top" wrapText="1"/>
    </xf>
    <xf numFmtId="0" fontId="3" fillId="42" borderId="62" xfId="0" applyFont="1" applyFill="1" applyBorder="1" applyAlignment="1" applyProtection="1">
      <alignment horizontal="left" vertical="top" wrapText="1"/>
      <protection locked="0"/>
    </xf>
    <xf numFmtId="0" fontId="3" fillId="42" borderId="63" xfId="0" applyFont="1" applyFill="1" applyBorder="1" applyAlignment="1" applyProtection="1">
      <alignment horizontal="left" vertical="top"/>
      <protection locked="0"/>
    </xf>
    <xf numFmtId="0" fontId="3" fillId="42" borderId="63" xfId="0" applyFont="1" applyFill="1" applyBorder="1" applyAlignment="1" applyProtection="1">
      <alignment horizontal="left" vertical="top" wrapText="1"/>
      <protection locked="0"/>
    </xf>
    <xf numFmtId="0" fontId="3" fillId="42" borderId="107" xfId="0" applyFont="1" applyFill="1" applyBorder="1" applyAlignment="1" applyProtection="1">
      <alignment horizontal="left" vertical="top"/>
      <protection locked="0"/>
    </xf>
    <xf numFmtId="0" fontId="3" fillId="42" borderId="15" xfId="0" applyFont="1" applyFill="1" applyBorder="1" applyAlignment="1" applyProtection="1">
      <alignment horizontal="left" vertical="top"/>
      <protection locked="0"/>
    </xf>
    <xf numFmtId="0" fontId="3" fillId="42" borderId="20" xfId="0" applyFont="1" applyFill="1" applyBorder="1" applyAlignment="1" applyProtection="1">
      <alignment horizontal="left" vertical="top"/>
      <protection locked="0"/>
    </xf>
    <xf numFmtId="0" fontId="3" fillId="42" borderId="107" xfId="0" applyFont="1" applyFill="1" applyBorder="1" applyAlignment="1" applyProtection="1">
      <alignment horizontal="left" vertical="top" wrapText="1"/>
      <protection locked="0"/>
    </xf>
    <xf numFmtId="0" fontId="3" fillId="42" borderId="15" xfId="0" applyFont="1" applyFill="1" applyBorder="1" applyAlignment="1" applyProtection="1">
      <alignment horizontal="left" vertical="top" wrapText="1"/>
      <protection locked="0"/>
    </xf>
    <xf numFmtId="0" fontId="3" fillId="42" borderId="20" xfId="0" applyFont="1" applyFill="1" applyBorder="1" applyAlignment="1" applyProtection="1">
      <alignment horizontal="left" vertical="top" wrapText="1"/>
      <protection locked="0"/>
    </xf>
    <xf numFmtId="0" fontId="3" fillId="51" borderId="97" xfId="0" applyFont="1" applyFill="1" applyBorder="1" applyAlignment="1">
      <alignment horizontal="left" vertical="top" wrapText="1"/>
    </xf>
    <xf numFmtId="0" fontId="3" fillId="51" borderId="23" xfId="0" applyFont="1" applyFill="1" applyBorder="1" applyAlignment="1">
      <alignment horizontal="left" vertical="top" wrapText="1"/>
    </xf>
    <xf numFmtId="0" fontId="3" fillId="51" borderId="107" xfId="0" applyFont="1" applyFill="1" applyBorder="1" applyAlignment="1">
      <alignment horizontal="left" vertical="top" wrapText="1"/>
    </xf>
    <xf numFmtId="0" fontId="3" fillId="51" borderId="15" xfId="0" applyFont="1" applyFill="1" applyBorder="1" applyAlignment="1">
      <alignment horizontal="left" vertical="top" wrapText="1"/>
    </xf>
    <xf numFmtId="0" fontId="3" fillId="51" borderId="20" xfId="0" applyFont="1" applyFill="1" applyBorder="1" applyAlignment="1">
      <alignment horizontal="left" vertical="top" wrapText="1"/>
    </xf>
    <xf numFmtId="0" fontId="3" fillId="40" borderId="107" xfId="0" applyFont="1" applyFill="1" applyBorder="1" applyAlignment="1">
      <alignment horizontal="left" vertical="top" wrapText="1"/>
    </xf>
    <xf numFmtId="0" fontId="3" fillId="40" borderId="20" xfId="0" applyFont="1" applyFill="1" applyBorder="1" applyAlignment="1">
      <alignment horizontal="left" vertical="top" wrapText="1"/>
    </xf>
    <xf numFmtId="0" fontId="3" fillId="40" borderId="97" xfId="0" applyFont="1" applyFill="1" applyBorder="1" applyAlignment="1">
      <alignment horizontal="left" vertical="top" wrapText="1"/>
    </xf>
    <xf numFmtId="0" fontId="3" fillId="40" borderId="23" xfId="0" applyFont="1" applyFill="1" applyBorder="1" applyAlignment="1">
      <alignment horizontal="left" vertical="top" wrapText="1"/>
    </xf>
    <xf numFmtId="0" fontId="3" fillId="40" borderId="62" xfId="0" applyFont="1" applyFill="1" applyBorder="1" applyAlignment="1">
      <alignment horizontal="left" vertical="top" wrapText="1"/>
    </xf>
    <xf numFmtId="0" fontId="3" fillId="51" borderId="62" xfId="0" applyFont="1" applyFill="1" applyBorder="1" applyAlignment="1">
      <alignment horizontal="left" vertical="top" wrapText="1"/>
    </xf>
    <xf numFmtId="0" fontId="3" fillId="42" borderId="64" xfId="0" applyFont="1" applyFill="1" applyBorder="1" applyAlignment="1" applyProtection="1">
      <alignment horizontal="left" vertical="top" wrapText="1"/>
      <protection locked="0"/>
    </xf>
    <xf numFmtId="0" fontId="3" fillId="42" borderId="62" xfId="0" applyFont="1" applyFill="1" applyBorder="1" applyAlignment="1" applyProtection="1">
      <alignment horizontal="left" vertical="top"/>
      <protection locked="0"/>
    </xf>
    <xf numFmtId="0" fontId="3" fillId="42" borderId="64" xfId="0" applyFont="1" applyFill="1" applyBorder="1" applyAlignment="1" applyProtection="1">
      <alignment horizontal="left" vertical="top"/>
      <protection locked="0"/>
    </xf>
    <xf numFmtId="0" fontId="3" fillId="51" borderId="62" xfId="0" applyFont="1" applyFill="1" applyBorder="1" applyAlignment="1">
      <alignment horizontal="left" vertical="top"/>
    </xf>
    <xf numFmtId="0" fontId="3" fillId="51" borderId="15" xfId="0" applyFont="1" applyFill="1" applyBorder="1" applyAlignment="1">
      <alignment horizontal="left" vertical="top"/>
    </xf>
    <xf numFmtId="0" fontId="3" fillId="51" borderId="20" xfId="0" applyFont="1" applyFill="1" applyBorder="1" applyAlignment="1">
      <alignment horizontal="left" vertical="top"/>
    </xf>
    <xf numFmtId="0" fontId="3" fillId="51" borderId="16" xfId="0" applyFont="1" applyFill="1" applyBorder="1" applyAlignment="1">
      <alignment horizontal="left" vertical="top"/>
    </xf>
    <xf numFmtId="0" fontId="3" fillId="51" borderId="23" xfId="0" applyFont="1" applyFill="1" applyBorder="1" applyAlignment="1">
      <alignment horizontal="left" vertical="top"/>
    </xf>
    <xf numFmtId="0" fontId="3" fillId="40" borderId="15" xfId="0" applyFont="1" applyFill="1" applyBorder="1" applyAlignment="1">
      <alignment horizontal="left" vertical="top" wrapText="1"/>
    </xf>
    <xf numFmtId="0" fontId="3" fillId="42" borderId="14" xfId="0" applyFont="1" applyFill="1" applyBorder="1" applyAlignment="1" applyProtection="1">
      <alignment horizontal="left" vertical="top"/>
      <protection locked="0"/>
    </xf>
    <xf numFmtId="0" fontId="3" fillId="42" borderId="19" xfId="0" applyFont="1" applyFill="1" applyBorder="1" applyAlignment="1" applyProtection="1">
      <alignment horizontal="left" vertical="top"/>
      <protection locked="0"/>
    </xf>
    <xf numFmtId="0" fontId="3" fillId="40" borderId="20" xfId="0" applyFont="1" applyFill="1" applyBorder="1" applyAlignment="1">
      <alignment vertical="top"/>
    </xf>
    <xf numFmtId="0" fontId="193" fillId="43" borderId="0" xfId="0" quotePrefix="1" applyFont="1" applyFill="1" applyAlignment="1">
      <alignment horizontal="left" vertical="top" wrapText="1"/>
    </xf>
    <xf numFmtId="0" fontId="193" fillId="43" borderId="185" xfId="0" quotePrefix="1" applyFont="1" applyFill="1" applyBorder="1" applyAlignment="1">
      <alignment horizontal="left" vertical="top" wrapText="1"/>
    </xf>
    <xf numFmtId="0" fontId="3" fillId="42" borderId="107" xfId="0" applyFont="1" applyFill="1" applyBorder="1" applyAlignment="1" applyProtection="1">
      <alignment vertical="top"/>
      <protection locked="0"/>
    </xf>
    <xf numFmtId="0" fontId="0" fillId="42" borderId="15" xfId="0" applyFill="1" applyBorder="1" applyAlignment="1" applyProtection="1">
      <alignment vertical="top"/>
      <protection locked="0"/>
    </xf>
    <xf numFmtId="0" fontId="37" fillId="27" borderId="83" xfId="0" applyFont="1" applyFill="1" applyBorder="1" applyAlignment="1">
      <alignment horizontal="center"/>
    </xf>
    <xf numFmtId="0" fontId="37" fillId="27" borderId="85" xfId="0" applyFont="1" applyFill="1" applyBorder="1" applyAlignment="1">
      <alignment horizontal="center"/>
    </xf>
    <xf numFmtId="49" fontId="0" fillId="28" borderId="15" xfId="0" applyNumberFormat="1" applyFill="1" applyBorder="1" applyAlignment="1" applyProtection="1">
      <alignment vertical="top"/>
      <protection locked="0"/>
    </xf>
    <xf numFmtId="49" fontId="0" fillId="28" borderId="20" xfId="0" applyNumberFormat="1" applyFill="1" applyBorder="1" applyAlignment="1" applyProtection="1">
      <alignment vertical="top"/>
      <protection locked="0"/>
    </xf>
    <xf numFmtId="0" fontId="3" fillId="42" borderId="97" xfId="0" applyFont="1" applyFill="1" applyBorder="1" applyAlignment="1" applyProtection="1">
      <alignment vertical="top"/>
      <protection locked="0"/>
    </xf>
    <xf numFmtId="0" fontId="0" fillId="42" borderId="16" xfId="0" applyFill="1" applyBorder="1" applyAlignment="1" applyProtection="1">
      <alignment vertical="top"/>
      <protection locked="0"/>
    </xf>
    <xf numFmtId="49" fontId="0" fillId="28" borderId="16" xfId="0" applyNumberFormat="1" applyFill="1" applyBorder="1" applyAlignment="1" applyProtection="1">
      <alignment vertical="top"/>
      <protection locked="0"/>
    </xf>
    <xf numFmtId="49" fontId="0" fillId="28" borderId="23" xfId="0" applyNumberFormat="1" applyFill="1" applyBorder="1" applyAlignment="1" applyProtection="1">
      <alignment vertical="top"/>
      <protection locked="0"/>
    </xf>
    <xf numFmtId="0" fontId="56" fillId="43" borderId="185" xfId="0" applyFont="1" applyFill="1" applyBorder="1" applyAlignment="1">
      <alignment vertical="top" wrapText="1"/>
    </xf>
    <xf numFmtId="0" fontId="3" fillId="40" borderId="14" xfId="0" applyFont="1" applyFill="1" applyBorder="1" applyAlignment="1">
      <alignment horizontal="left" vertical="top"/>
    </xf>
    <xf numFmtId="0" fontId="0" fillId="40" borderId="14" xfId="0" applyFill="1" applyBorder="1" applyAlignment="1">
      <alignment vertical="top"/>
    </xf>
    <xf numFmtId="49" fontId="0" fillId="40" borderId="19" xfId="0" applyNumberFormat="1" applyFill="1" applyBorder="1" applyAlignment="1">
      <alignment vertical="top"/>
    </xf>
    <xf numFmtId="0" fontId="3" fillId="51" borderId="106" xfId="0" applyFont="1" applyFill="1" applyBorder="1" applyAlignment="1">
      <alignment horizontal="left" vertical="top" wrapText="1"/>
    </xf>
    <xf numFmtId="0" fontId="3" fillId="51" borderId="19" xfId="0" applyFont="1" applyFill="1" applyBorder="1" applyAlignment="1">
      <alignment horizontal="left" vertical="top" wrapText="1"/>
    </xf>
    <xf numFmtId="49" fontId="0" fillId="40" borderId="15" xfId="0" applyNumberFormat="1" applyFill="1" applyBorder="1" applyAlignment="1">
      <alignment vertical="top"/>
    </xf>
    <xf numFmtId="49" fontId="0" fillId="40" borderId="20" xfId="0" applyNumberFormat="1" applyFill="1" applyBorder="1" applyAlignment="1">
      <alignment vertical="top"/>
    </xf>
    <xf numFmtId="0" fontId="3" fillId="42" borderId="106" xfId="0" applyFont="1" applyFill="1" applyBorder="1" applyAlignment="1" applyProtection="1">
      <alignment vertical="top"/>
      <protection locked="0"/>
    </xf>
    <xf numFmtId="0" fontId="0" fillId="42" borderId="14" xfId="0" applyFill="1" applyBorder="1" applyAlignment="1" applyProtection="1">
      <alignment vertical="top"/>
      <protection locked="0"/>
    </xf>
    <xf numFmtId="49" fontId="3" fillId="28" borderId="104" xfId="0" applyNumberFormat="1" applyFont="1" applyFill="1" applyBorder="1" applyAlignment="1" applyProtection="1">
      <alignment horizontal="left" vertical="top"/>
      <protection locked="0"/>
    </xf>
    <xf numFmtId="49" fontId="0" fillId="28" borderId="21" xfId="0" applyNumberFormat="1" applyFill="1" applyBorder="1" applyAlignment="1" applyProtection="1">
      <alignment vertical="top"/>
      <protection locked="0"/>
    </xf>
    <xf numFmtId="49" fontId="0" fillId="28" borderId="103" xfId="0" applyNumberFormat="1" applyFill="1" applyBorder="1" applyAlignment="1" applyProtection="1">
      <alignment vertical="top"/>
      <protection locked="0"/>
    </xf>
    <xf numFmtId="49" fontId="0" fillId="40" borderId="16" xfId="0" applyNumberFormat="1" applyFill="1" applyBorder="1" applyAlignment="1">
      <alignment vertical="top"/>
    </xf>
    <xf numFmtId="49" fontId="0" fillId="40" borderId="23" xfId="0" applyNumberFormat="1" applyFill="1" applyBorder="1" applyAlignment="1">
      <alignment vertical="top"/>
    </xf>
    <xf numFmtId="0" fontId="0" fillId="40" borderId="15" xfId="0" applyFill="1" applyBorder="1" applyAlignment="1">
      <alignment vertical="top"/>
    </xf>
    <xf numFmtId="0" fontId="0" fillId="40" borderId="16" xfId="0" applyFill="1" applyBorder="1" applyAlignment="1">
      <alignment vertical="top"/>
    </xf>
    <xf numFmtId="0" fontId="56" fillId="49" borderId="0" xfId="0" applyFont="1" applyFill="1" applyAlignment="1">
      <alignment horizontal="left" vertical="top" wrapText="1"/>
    </xf>
    <xf numFmtId="0" fontId="56" fillId="49" borderId="185" xfId="0" applyFont="1" applyFill="1" applyBorder="1" applyAlignment="1">
      <alignment horizontal="left" vertical="top" wrapText="1"/>
    </xf>
    <xf numFmtId="0" fontId="3" fillId="40" borderId="104" xfId="0" applyFont="1" applyFill="1" applyBorder="1" applyAlignment="1">
      <alignment horizontal="left" vertical="top"/>
    </xf>
    <xf numFmtId="49" fontId="0" fillId="40" borderId="21" xfId="0" applyNumberFormat="1" applyFill="1" applyBorder="1" applyAlignment="1">
      <alignment vertical="top"/>
    </xf>
    <xf numFmtId="49" fontId="0" fillId="40" borderId="103" xfId="0" applyNumberFormat="1" applyFill="1" applyBorder="1" applyAlignment="1">
      <alignment vertical="top"/>
    </xf>
    <xf numFmtId="0" fontId="64" fillId="46" borderId="156" xfId="0" applyFont="1" applyFill="1" applyBorder="1" applyAlignment="1">
      <alignment horizontal="left"/>
    </xf>
    <xf numFmtId="0" fontId="64" fillId="46" borderId="150" xfId="0" applyFont="1" applyFill="1" applyBorder="1" applyAlignment="1">
      <alignment horizontal="left"/>
    </xf>
    <xf numFmtId="49" fontId="3" fillId="40" borderId="15" xfId="0" applyNumberFormat="1" applyFont="1" applyFill="1" applyBorder="1" applyAlignment="1">
      <alignment horizontal="left" vertical="top"/>
    </xf>
    <xf numFmtId="49" fontId="3" fillId="40" borderId="20" xfId="0" applyNumberFormat="1" applyFont="1" applyFill="1" applyBorder="1" applyAlignment="1">
      <alignment horizontal="left" vertical="top"/>
    </xf>
    <xf numFmtId="0" fontId="56" fillId="49" borderId="21" xfId="0" applyFont="1" applyFill="1" applyBorder="1" applyAlignment="1">
      <alignment horizontal="left" vertical="top" wrapText="1"/>
    </xf>
    <xf numFmtId="0" fontId="56" fillId="49" borderId="183" xfId="0" applyFont="1" applyFill="1" applyBorder="1" applyAlignment="1">
      <alignment horizontal="left" vertical="top" wrapText="1"/>
    </xf>
    <xf numFmtId="0" fontId="40" fillId="49" borderId="21" xfId="0" applyFont="1" applyFill="1" applyBorder="1" applyAlignment="1">
      <alignment horizontal="left" vertical="top" wrapText="1"/>
    </xf>
    <xf numFmtId="0" fontId="40" fillId="49" borderId="183" xfId="0" applyFont="1" applyFill="1" applyBorder="1" applyAlignment="1">
      <alignment horizontal="left" vertical="top" wrapText="1"/>
    </xf>
    <xf numFmtId="0" fontId="10" fillId="49" borderId="0" xfId="0" applyFont="1" applyFill="1" applyAlignment="1">
      <alignment horizontal="left" vertical="top" wrapText="1"/>
    </xf>
    <xf numFmtId="0" fontId="10" fillId="49" borderId="185" xfId="0" applyFont="1" applyFill="1" applyBorder="1" applyAlignment="1">
      <alignment horizontal="left" vertical="top" wrapText="1"/>
    </xf>
    <xf numFmtId="0" fontId="5" fillId="49" borderId="0" xfId="0" applyFont="1" applyFill="1" applyAlignment="1">
      <alignment horizontal="left" vertical="top" wrapText="1"/>
    </xf>
    <xf numFmtId="0" fontId="5" fillId="49" borderId="185" xfId="0" applyFont="1" applyFill="1" applyBorder="1" applyAlignment="1">
      <alignment horizontal="left" vertical="top" wrapText="1"/>
    </xf>
    <xf numFmtId="0" fontId="3" fillId="40" borderId="23" xfId="0" applyFont="1" applyFill="1" applyBorder="1" applyAlignment="1">
      <alignment vertical="top"/>
    </xf>
    <xf numFmtId="49" fontId="3" fillId="40" borderId="16" xfId="0" applyNumberFormat="1" applyFont="1" applyFill="1" applyBorder="1" applyAlignment="1">
      <alignment horizontal="left" vertical="top"/>
    </xf>
    <xf numFmtId="49" fontId="3" fillId="40" borderId="23" xfId="0" applyNumberFormat="1" applyFont="1" applyFill="1" applyBorder="1" applyAlignment="1">
      <alignment horizontal="left" vertical="top"/>
    </xf>
    <xf numFmtId="0" fontId="3" fillId="40" borderId="62" xfId="0" applyFont="1" applyFill="1" applyBorder="1" applyAlignment="1">
      <alignment horizontal="left" vertical="top"/>
    </xf>
    <xf numFmtId="0" fontId="3" fillId="40" borderId="106" xfId="0" applyFont="1" applyFill="1" applyBorder="1" applyAlignment="1">
      <alignment horizontal="left" vertical="top" wrapText="1"/>
    </xf>
    <xf numFmtId="0" fontId="0" fillId="40" borderId="62" xfId="0" applyFill="1" applyBorder="1" applyAlignment="1">
      <alignment horizontal="left" vertical="top" wrapText="1"/>
    </xf>
    <xf numFmtId="49" fontId="182" fillId="24" borderId="0" xfId="0" applyNumberFormat="1" applyFont="1" applyFill="1" applyAlignment="1">
      <alignment horizontal="center" vertical="top" wrapText="1"/>
    </xf>
    <xf numFmtId="0" fontId="37" fillId="27" borderId="67" xfId="0" applyFont="1" applyFill="1" applyBorder="1" applyAlignment="1">
      <alignment horizontal="left"/>
    </xf>
    <xf numFmtId="0" fontId="37" fillId="27" borderId="25" xfId="0" applyFont="1" applyFill="1" applyBorder="1" applyAlignment="1">
      <alignment horizontal="left"/>
    </xf>
    <xf numFmtId="0" fontId="37" fillId="27" borderId="26" xfId="0" applyFont="1" applyFill="1" applyBorder="1" applyAlignment="1">
      <alignment horizontal="left"/>
    </xf>
    <xf numFmtId="0" fontId="7" fillId="46" borderId="158" xfId="59" applyFill="1" applyBorder="1" applyAlignment="1" applyProtection="1">
      <alignment horizontal="center" vertical="top" wrapText="1"/>
    </xf>
    <xf numFmtId="0" fontId="7" fillId="46" borderId="0" xfId="59" applyNumberFormat="1" applyFill="1" applyAlignment="1" applyProtection="1">
      <alignment vertical="top" wrapText="1"/>
    </xf>
    <xf numFmtId="0" fontId="38" fillId="46" borderId="0" xfId="59" applyFont="1" applyFill="1" applyAlignment="1" applyProtection="1">
      <alignment vertical="top" wrapText="1"/>
    </xf>
    <xf numFmtId="0" fontId="38" fillId="46" borderId="0" xfId="59" applyNumberFormat="1" applyFont="1" applyFill="1" applyBorder="1" applyAlignment="1" applyProtection="1">
      <alignment vertical="top" wrapText="1"/>
    </xf>
    <xf numFmtId="0" fontId="38" fillId="46" borderId="74" xfId="59" applyFont="1" applyFill="1" applyBorder="1" applyAlignment="1" applyProtection="1">
      <alignment horizontal="center" vertical="top" wrapText="1"/>
    </xf>
    <xf numFmtId="0" fontId="38" fillId="46" borderId="116" xfId="59" applyFont="1" applyFill="1" applyBorder="1" applyAlignment="1" applyProtection="1">
      <alignment horizontal="center" vertical="top" wrapText="1"/>
    </xf>
    <xf numFmtId="0" fontId="38" fillId="46" borderId="85" xfId="59" applyFont="1" applyFill="1" applyBorder="1" applyAlignment="1" applyProtection="1">
      <alignment horizontal="center" vertical="top" wrapText="1"/>
    </xf>
    <xf numFmtId="0" fontId="0" fillId="42" borderId="13" xfId="0" applyFill="1" applyBorder="1" applyAlignment="1" applyProtection="1">
      <alignment horizontal="left"/>
      <protection locked="0"/>
    </xf>
    <xf numFmtId="0" fontId="0" fillId="42" borderId="67" xfId="0" applyFill="1" applyBorder="1" applyAlignment="1" applyProtection="1">
      <alignment horizontal="left"/>
      <protection locked="0"/>
    </xf>
    <xf numFmtId="0" fontId="0" fillId="42" borderId="26" xfId="0" applyFill="1" applyBorder="1" applyAlignment="1" applyProtection="1">
      <alignment horizontal="left"/>
      <protection locked="0"/>
    </xf>
    <xf numFmtId="0" fontId="0" fillId="29" borderId="20" xfId="0" applyFill="1" applyBorder="1" applyAlignment="1" applyProtection="1">
      <alignment horizontal="left" vertical="top"/>
      <protection locked="0"/>
    </xf>
    <xf numFmtId="0" fontId="0" fillId="29" borderId="23" xfId="0" applyFill="1" applyBorder="1" applyAlignment="1" applyProtection="1">
      <alignment horizontal="left" vertical="top"/>
      <protection locked="0"/>
    </xf>
    <xf numFmtId="0" fontId="0" fillId="29" borderId="15" xfId="0" applyFill="1" applyBorder="1" applyAlignment="1" applyProtection="1">
      <alignment horizontal="left" vertical="top"/>
      <protection locked="0"/>
    </xf>
    <xf numFmtId="0" fontId="0" fillId="29" borderId="16" xfId="0" applyFill="1" applyBorder="1" applyAlignment="1" applyProtection="1">
      <alignment horizontal="left" vertical="top"/>
      <protection locked="0"/>
    </xf>
    <xf numFmtId="0" fontId="0" fillId="29" borderId="19" xfId="0" applyFill="1" applyBorder="1" applyAlignment="1" applyProtection="1">
      <alignment horizontal="left" vertical="top"/>
      <protection locked="0"/>
    </xf>
    <xf numFmtId="0" fontId="0" fillId="29" borderId="14" xfId="0" applyFill="1" applyBorder="1" applyAlignment="1" applyProtection="1">
      <alignment horizontal="left" vertical="top"/>
      <protection locked="0"/>
    </xf>
    <xf numFmtId="0" fontId="3" fillId="28" borderId="14" xfId="0" applyFont="1" applyFill="1" applyBorder="1" applyAlignment="1" applyProtection="1">
      <alignment horizontal="left" vertical="top"/>
      <protection locked="0"/>
    </xf>
    <xf numFmtId="0" fontId="0" fillId="0" borderId="19" xfId="0" applyBorder="1" applyAlignment="1" applyProtection="1">
      <alignment horizontal="left" vertical="top"/>
      <protection locked="0"/>
    </xf>
    <xf numFmtId="0" fontId="3" fillId="28" borderId="106" xfId="0" applyFont="1" applyFill="1" applyBorder="1" applyAlignment="1" applyProtection="1">
      <alignment horizontal="left" vertical="top"/>
      <protection locked="0"/>
    </xf>
    <xf numFmtId="0" fontId="0" fillId="0" borderId="14" xfId="0" applyBorder="1" applyAlignment="1" applyProtection="1">
      <alignment horizontal="left" vertical="top"/>
      <protection locked="0"/>
    </xf>
    <xf numFmtId="0" fontId="36" fillId="29" borderId="0" xfId="0" applyFont="1" applyFill="1" applyAlignment="1" applyProtection="1">
      <alignment horizontal="left" vertical="top"/>
      <protection locked="0"/>
    </xf>
    <xf numFmtId="0" fontId="34" fillId="24" borderId="12" xfId="0" applyFont="1" applyFill="1" applyBorder="1" applyAlignment="1">
      <alignment horizontal="left" vertical="top" wrapText="1"/>
    </xf>
    <xf numFmtId="0" fontId="4" fillId="26" borderId="0" xfId="0" applyFont="1" applyFill="1" applyAlignment="1">
      <alignment horizontal="left"/>
    </xf>
    <xf numFmtId="0" fontId="4" fillId="26" borderId="187" xfId="0" applyFont="1" applyFill="1" applyBorder="1" applyAlignment="1">
      <alignment horizontal="left"/>
    </xf>
    <xf numFmtId="0" fontId="3" fillId="24" borderId="99" xfId="0" applyFont="1" applyFill="1" applyBorder="1" applyAlignment="1">
      <alignment horizontal="left" vertical="top"/>
    </xf>
    <xf numFmtId="0" fontId="3" fillId="0" borderId="41" xfId="0" applyFont="1" applyBorder="1" applyAlignment="1">
      <alignment horizontal="left" vertical="top"/>
    </xf>
    <xf numFmtId="0" fontId="3" fillId="0" borderId="46" xfId="0" applyFont="1" applyBorder="1" applyAlignment="1">
      <alignment horizontal="left" vertical="top"/>
    </xf>
    <xf numFmtId="0" fontId="3" fillId="24" borderId="67" xfId="0" applyFont="1" applyFill="1" applyBorder="1" applyAlignment="1">
      <alignment horizontal="left" vertical="top"/>
    </xf>
    <xf numFmtId="0" fontId="3" fillId="0" borderId="25" xfId="0" applyFont="1" applyBorder="1" applyAlignment="1">
      <alignment horizontal="left" vertical="top"/>
    </xf>
    <xf numFmtId="0" fontId="3" fillId="0" borderId="26" xfId="0" applyFont="1" applyBorder="1" applyAlignment="1">
      <alignment horizontal="left" vertical="top"/>
    </xf>
    <xf numFmtId="0" fontId="3" fillId="24" borderId="25" xfId="0" applyFont="1" applyFill="1" applyBorder="1" applyAlignment="1">
      <alignment horizontal="left" vertical="top"/>
    </xf>
    <xf numFmtId="0" fontId="3" fillId="24" borderId="26" xfId="0" applyFont="1" applyFill="1" applyBorder="1" applyAlignment="1">
      <alignment horizontal="left" vertical="top"/>
    </xf>
    <xf numFmtId="0" fontId="3" fillId="24" borderId="119" xfId="0" applyFont="1" applyFill="1" applyBorder="1" applyAlignment="1">
      <alignment horizontal="left" vertical="top"/>
    </xf>
    <xf numFmtId="0" fontId="3" fillId="24" borderId="120" xfId="0" applyFont="1" applyFill="1" applyBorder="1" applyAlignment="1">
      <alignment horizontal="left" vertical="top"/>
    </xf>
    <xf numFmtId="0" fontId="3" fillId="24" borderId="69" xfId="0" applyFont="1" applyFill="1" applyBorder="1" applyAlignment="1">
      <alignment horizontal="left" vertical="top"/>
    </xf>
    <xf numFmtId="0" fontId="3" fillId="24" borderId="41" xfId="0" applyFont="1" applyFill="1" applyBorder="1" applyAlignment="1">
      <alignment horizontal="left" vertical="top"/>
    </xf>
    <xf numFmtId="0" fontId="3" fillId="24" borderId="46" xfId="0" applyFont="1" applyFill="1" applyBorder="1" applyAlignment="1">
      <alignment horizontal="left" vertical="top"/>
    </xf>
    <xf numFmtId="0" fontId="123" fillId="24" borderId="0" xfId="0" applyFont="1" applyFill="1" applyAlignment="1">
      <alignment horizontal="left" vertical="center" wrapText="1"/>
    </xf>
    <xf numFmtId="0" fontId="5" fillId="24" borderId="39" xfId="0" applyFont="1" applyFill="1" applyBorder="1" applyAlignment="1">
      <alignment horizontal="left" vertical="top"/>
    </xf>
    <xf numFmtId="0" fontId="3" fillId="0" borderId="25" xfId="0" applyFont="1" applyBorder="1" applyAlignment="1">
      <alignment horizontal="left" vertical="top" wrapText="1"/>
    </xf>
    <xf numFmtId="0" fontId="35" fillId="40" borderId="67" xfId="0" applyFont="1" applyFill="1" applyBorder="1" applyAlignment="1">
      <alignment horizontal="left"/>
    </xf>
    <xf numFmtId="0" fontId="35" fillId="40" borderId="25" xfId="0" applyFont="1" applyFill="1" applyBorder="1" applyAlignment="1">
      <alignment horizontal="left"/>
    </xf>
    <xf numFmtId="0" fontId="35" fillId="40" borderId="26" xfId="0" applyFont="1" applyFill="1" applyBorder="1" applyAlignment="1">
      <alignment horizontal="left"/>
    </xf>
    <xf numFmtId="0" fontId="3" fillId="0" borderId="18" xfId="0" applyFont="1" applyBorder="1" applyAlignment="1">
      <alignment horizontal="left" vertical="top" wrapText="1"/>
    </xf>
    <xf numFmtId="0" fontId="3" fillId="0" borderId="16" xfId="0" applyFont="1" applyBorder="1" applyAlignment="1">
      <alignment horizontal="left" vertical="top" wrapText="1"/>
    </xf>
    <xf numFmtId="0" fontId="3" fillId="0" borderId="14" xfId="0" applyFont="1" applyBorder="1" applyAlignment="1">
      <alignment horizontal="left" vertical="top" wrapText="1"/>
    </xf>
    <xf numFmtId="0" fontId="5" fillId="27" borderId="10" xfId="0" applyFont="1" applyFill="1" applyBorder="1" applyAlignment="1">
      <alignment horizontal="center" vertical="top"/>
    </xf>
    <xf numFmtId="0" fontId="3" fillId="0" borderId="17" xfId="0" applyFont="1" applyBorder="1" applyAlignment="1">
      <alignment horizontal="left" vertical="top" wrapText="1"/>
    </xf>
    <xf numFmtId="0" fontId="5" fillId="24" borderId="25" xfId="0" applyFont="1" applyFill="1" applyBorder="1" applyAlignment="1">
      <alignment horizontal="left" vertical="top" wrapText="1"/>
    </xf>
    <xf numFmtId="0" fontId="37" fillId="27" borderId="25" xfId="0" applyFont="1" applyFill="1" applyBorder="1" applyAlignment="1">
      <alignment vertical="top" wrapText="1"/>
    </xf>
    <xf numFmtId="0" fontId="37" fillId="27" borderId="26" xfId="0" applyFont="1" applyFill="1" applyBorder="1" applyAlignment="1">
      <alignment vertical="top" wrapText="1"/>
    </xf>
    <xf numFmtId="0" fontId="37" fillId="27" borderId="67" xfId="0" applyFont="1" applyFill="1" applyBorder="1" applyAlignment="1">
      <alignment horizontal="left" vertical="top" wrapText="1"/>
    </xf>
    <xf numFmtId="0" fontId="37" fillId="27" borderId="25" xfId="0" applyFont="1" applyFill="1" applyBorder="1" applyAlignment="1">
      <alignment horizontal="left" vertical="top" wrapText="1"/>
    </xf>
    <xf numFmtId="0" fontId="37" fillId="27" borderId="50" xfId="0" applyFont="1" applyFill="1" applyBorder="1" applyAlignment="1">
      <alignment horizontal="left" vertical="top" wrapText="1"/>
    </xf>
    <xf numFmtId="0" fontId="123" fillId="24" borderId="15" xfId="0" applyFont="1" applyFill="1" applyBorder="1" applyAlignment="1">
      <alignment vertical="top"/>
    </xf>
    <xf numFmtId="0" fontId="123" fillId="24" borderId="15" xfId="0" applyFont="1" applyFill="1" applyBorder="1" applyAlignment="1">
      <alignment vertical="top" wrapText="1"/>
    </xf>
    <xf numFmtId="0" fontId="3" fillId="0" borderId="13" xfId="0" applyFont="1" applyBorder="1" applyAlignment="1">
      <alignment horizontal="left" vertical="top"/>
    </xf>
    <xf numFmtId="0" fontId="3" fillId="0" borderId="67" xfId="0" applyFont="1" applyBorder="1" applyAlignment="1">
      <alignment horizontal="left" vertical="top"/>
    </xf>
    <xf numFmtId="0" fontId="3" fillId="0" borderId="60" xfId="0" applyFont="1" applyBorder="1" applyAlignment="1">
      <alignment horizontal="left" vertical="top"/>
    </xf>
    <xf numFmtId="0" fontId="3" fillId="0" borderId="119" xfId="0" applyFont="1" applyBorder="1" applyAlignment="1">
      <alignment horizontal="left" vertical="top"/>
    </xf>
    <xf numFmtId="0" fontId="123" fillId="24" borderId="0" xfId="0" applyFont="1" applyFill="1" applyAlignment="1">
      <alignment vertical="top" wrapText="1"/>
    </xf>
    <xf numFmtId="0" fontId="3" fillId="0" borderId="11" xfId="0" applyFont="1" applyBorder="1" applyAlignment="1">
      <alignment horizontal="left" vertical="top"/>
    </xf>
    <xf numFmtId="0" fontId="3" fillId="0" borderId="78" xfId="0" applyFont="1" applyBorder="1" applyAlignment="1">
      <alignment horizontal="left" vertical="top"/>
    </xf>
    <xf numFmtId="0" fontId="3" fillId="0" borderId="24" xfId="0" applyFont="1" applyBorder="1" applyAlignment="1">
      <alignment horizontal="left" vertical="top"/>
    </xf>
    <xf numFmtId="0" fontId="3" fillId="0" borderId="12" xfId="0" applyFont="1" applyBorder="1" applyAlignment="1">
      <alignment horizontal="left" vertical="top"/>
    </xf>
    <xf numFmtId="0" fontId="3" fillId="24" borderId="36" xfId="0" applyFont="1" applyFill="1" applyBorder="1" applyAlignment="1">
      <alignment horizontal="left" vertical="top" wrapText="1"/>
    </xf>
    <xf numFmtId="0" fontId="3" fillId="0" borderId="36" xfId="0" applyFont="1" applyBorder="1" applyAlignment="1">
      <alignment horizontal="left" vertical="top" wrapText="1"/>
    </xf>
    <xf numFmtId="0" fontId="5" fillId="24" borderId="101" xfId="0" applyFont="1" applyFill="1" applyBorder="1" applyAlignment="1">
      <alignment horizontal="left" vertical="top" wrapText="1"/>
    </xf>
    <xf numFmtId="0" fontId="3" fillId="0" borderId="51" xfId="0" applyFont="1" applyBorder="1" applyAlignment="1">
      <alignment horizontal="left" vertical="top" wrapText="1"/>
    </xf>
    <xf numFmtId="0" fontId="5" fillId="24" borderId="56" xfId="0" applyFont="1" applyFill="1" applyBorder="1" applyAlignment="1">
      <alignment horizontal="left" vertical="top" wrapText="1"/>
    </xf>
    <xf numFmtId="0" fontId="3" fillId="41" borderId="41" xfId="0" applyFont="1" applyFill="1" applyBorder="1" applyAlignment="1">
      <alignment horizontal="left" vertical="top" wrapText="1"/>
    </xf>
    <xf numFmtId="0" fontId="3" fillId="0" borderId="41" xfId="0" applyFont="1" applyBorder="1" applyAlignment="1">
      <alignment horizontal="left" vertical="top" wrapText="1"/>
    </xf>
    <xf numFmtId="0" fontId="123" fillId="41" borderId="15" xfId="0" applyFont="1" applyFill="1" applyBorder="1" applyAlignment="1">
      <alignment vertical="top" wrapText="1"/>
    </xf>
    <xf numFmtId="0" fontId="195" fillId="24" borderId="15" xfId="0" applyFont="1" applyFill="1" applyBorder="1" applyAlignment="1">
      <alignment vertical="top" wrapText="1"/>
    </xf>
    <xf numFmtId="0" fontId="174" fillId="24" borderId="0" xfId="0" applyFont="1" applyFill="1" applyAlignment="1">
      <alignment vertical="top" wrapText="1"/>
    </xf>
    <xf numFmtId="0" fontId="3" fillId="27" borderId="67" xfId="0" applyFont="1" applyFill="1" applyBorder="1" applyAlignment="1">
      <alignment vertical="top" wrapText="1"/>
    </xf>
    <xf numFmtId="0" fontId="3" fillId="0" borderId="25" xfId="0" applyFont="1" applyBorder="1" applyAlignment="1">
      <alignment vertical="top" wrapText="1"/>
    </xf>
    <xf numFmtId="0" fontId="3" fillId="0" borderId="26" xfId="0" applyFont="1" applyBorder="1" applyAlignment="1">
      <alignment vertical="top" wrapText="1"/>
    </xf>
    <xf numFmtId="0" fontId="3" fillId="27" borderId="67" xfId="0" applyFont="1" applyFill="1" applyBorder="1" applyAlignment="1">
      <alignment horizontal="left" vertical="top" wrapText="1"/>
    </xf>
    <xf numFmtId="0" fontId="3" fillId="40" borderId="25" xfId="0" applyFont="1" applyFill="1" applyBorder="1" applyAlignment="1">
      <alignment vertical="top" wrapText="1"/>
    </xf>
    <xf numFmtId="0" fontId="3" fillId="27" borderId="26" xfId="0" applyFont="1" applyFill="1" applyBorder="1" applyAlignment="1">
      <alignment vertical="top" wrapText="1"/>
    </xf>
    <xf numFmtId="0" fontId="3" fillId="0" borderId="18" xfId="0" applyFont="1" applyBorder="1" applyAlignment="1">
      <alignment vertical="top" wrapText="1"/>
    </xf>
    <xf numFmtId="0" fontId="3" fillId="0" borderId="120" xfId="0" applyFont="1" applyBorder="1" applyAlignment="1">
      <alignment horizontal="left" vertical="top" wrapText="1"/>
    </xf>
    <xf numFmtId="0" fontId="3" fillId="46" borderId="138" xfId="0" applyFont="1" applyFill="1" applyBorder="1" applyAlignment="1">
      <alignment horizontal="center" vertical="top" wrapText="1"/>
    </xf>
    <xf numFmtId="0" fontId="3" fillId="46" borderId="159" xfId="0" applyFont="1" applyFill="1" applyBorder="1" applyAlignment="1">
      <alignment horizontal="center" vertical="top" wrapText="1"/>
    </xf>
    <xf numFmtId="0" fontId="3" fillId="40" borderId="13" xfId="0" applyFont="1" applyFill="1" applyBorder="1" applyAlignment="1">
      <alignment horizontal="left" vertical="top"/>
    </xf>
    <xf numFmtId="49" fontId="3" fillId="40" borderId="13" xfId="0" applyNumberFormat="1" applyFont="1" applyFill="1" applyBorder="1" applyAlignment="1">
      <alignment horizontal="left" vertical="top"/>
    </xf>
    <xf numFmtId="0" fontId="3" fillId="27" borderId="10" xfId="0" applyFont="1" applyFill="1" applyBorder="1" applyAlignment="1">
      <alignment horizontal="left" vertical="top"/>
    </xf>
    <xf numFmtId="0" fontId="173" fillId="0" borderId="0" xfId="0" applyFont="1" applyAlignment="1">
      <alignment horizontal="left" vertical="top"/>
    </xf>
    <xf numFmtId="49" fontId="173" fillId="0" borderId="0" xfId="0" applyNumberFormat="1" applyFont="1" applyAlignment="1">
      <alignment horizontal="left" vertical="top"/>
    </xf>
    <xf numFmtId="0" fontId="38" fillId="46" borderId="83" xfId="59" applyFont="1" applyFill="1" applyBorder="1" applyAlignment="1" applyProtection="1">
      <alignment horizontal="center" vertical="center" wrapText="1"/>
    </xf>
    <xf numFmtId="0" fontId="38" fillId="46" borderId="84" xfId="59" applyFont="1" applyFill="1" applyBorder="1" applyAlignment="1" applyProtection="1">
      <alignment horizontal="center" vertical="center" wrapText="1"/>
    </xf>
    <xf numFmtId="0" fontId="38" fillId="46" borderId="85" xfId="59" applyFont="1" applyFill="1" applyBorder="1" applyAlignment="1" applyProtection="1">
      <alignment horizontal="center" vertical="center" wrapText="1"/>
    </xf>
    <xf numFmtId="0" fontId="5" fillId="46" borderId="74" xfId="0" applyFont="1" applyFill="1" applyBorder="1" applyAlignment="1">
      <alignment horizontal="center" vertical="top" wrapText="1"/>
    </xf>
    <xf numFmtId="0" fontId="3" fillId="46" borderId="66" xfId="0" applyFont="1" applyFill="1" applyBorder="1" applyAlignment="1">
      <alignment horizontal="center" vertical="center" wrapText="1"/>
    </xf>
    <xf numFmtId="0" fontId="3" fillId="46" borderId="38" xfId="0" applyFont="1" applyFill="1" applyBorder="1" applyAlignment="1">
      <alignment horizontal="center" vertical="center" wrapText="1"/>
    </xf>
    <xf numFmtId="0" fontId="3" fillId="46" borderId="65" xfId="0" applyFont="1" applyFill="1" applyBorder="1" applyAlignment="1">
      <alignment horizontal="center" vertical="center" wrapText="1"/>
    </xf>
    <xf numFmtId="0" fontId="3" fillId="46" borderId="39" xfId="0" applyFont="1" applyFill="1" applyBorder="1" applyAlignment="1">
      <alignment horizontal="center" vertical="center" wrapText="1"/>
    </xf>
    <xf numFmtId="0" fontId="3" fillId="46" borderId="40" xfId="0" applyFont="1" applyFill="1" applyBorder="1" applyAlignment="1">
      <alignment horizontal="center" vertical="center" wrapText="1"/>
    </xf>
    <xf numFmtId="0" fontId="3" fillId="0" borderId="71" xfId="0" applyFont="1" applyBorder="1" applyAlignment="1">
      <alignment horizontal="left" vertical="top"/>
    </xf>
    <xf numFmtId="0" fontId="3" fillId="0" borderId="99" xfId="0" applyFont="1" applyBorder="1" applyAlignment="1">
      <alignment horizontal="left" vertical="top"/>
    </xf>
    <xf numFmtId="0" fontId="3" fillId="0" borderId="10" xfId="0" applyFont="1" applyBorder="1" applyAlignment="1">
      <alignment horizontal="left" vertical="top"/>
    </xf>
    <xf numFmtId="0" fontId="3" fillId="0" borderId="104" xfId="0" applyFont="1" applyBorder="1" applyAlignment="1">
      <alignment horizontal="left" vertical="top"/>
    </xf>
    <xf numFmtId="0" fontId="5" fillId="24" borderId="112" xfId="0" applyFont="1" applyFill="1" applyBorder="1" applyAlignment="1">
      <alignment horizontal="left" vertical="top" wrapText="1"/>
    </xf>
    <xf numFmtId="0" fontId="123" fillId="24" borderId="17" xfId="0" applyFont="1" applyFill="1" applyBorder="1" applyAlignment="1">
      <alignment vertical="top" wrapText="1"/>
    </xf>
    <xf numFmtId="0" fontId="3" fillId="0" borderId="15" xfId="0" applyFont="1" applyBorder="1" applyAlignment="1">
      <alignment vertical="top"/>
    </xf>
    <xf numFmtId="0" fontId="3" fillId="0" borderId="84" xfId="0" applyFont="1" applyBorder="1" applyAlignment="1">
      <alignment horizontal="left" vertical="top" wrapText="1"/>
    </xf>
    <xf numFmtId="0" fontId="3" fillId="41" borderId="120" xfId="0" applyFont="1" applyFill="1" applyBorder="1" applyAlignment="1">
      <alignment horizontal="left" vertical="top" wrapText="1"/>
    </xf>
    <xf numFmtId="0" fontId="5" fillId="24" borderId="110" xfId="0" applyFont="1" applyFill="1" applyBorder="1" applyAlignment="1">
      <alignment horizontal="left" vertical="top" wrapText="1"/>
    </xf>
    <xf numFmtId="0" fontId="5" fillId="24" borderId="111" xfId="0" applyFont="1" applyFill="1" applyBorder="1" applyAlignment="1">
      <alignment horizontal="left" vertical="top" wrapText="1"/>
    </xf>
    <xf numFmtId="0" fontId="3" fillId="39" borderId="67" xfId="0" applyFont="1" applyFill="1" applyBorder="1" applyAlignment="1">
      <alignment horizontal="left" vertical="top"/>
    </xf>
    <xf numFmtId="0" fontId="3" fillId="39" borderId="25" xfId="0" applyFont="1" applyFill="1" applyBorder="1" applyAlignment="1">
      <alignment horizontal="left" vertical="top"/>
    </xf>
    <xf numFmtId="0" fontId="3" fillId="39" borderId="26" xfId="0" applyFont="1" applyFill="1" applyBorder="1" applyAlignment="1">
      <alignment horizontal="left" vertical="top"/>
    </xf>
    <xf numFmtId="0" fontId="10" fillId="24" borderId="0" xfId="0" applyFont="1" applyFill="1" applyAlignment="1">
      <alignment vertical="center" wrapText="1"/>
    </xf>
  </cellXfs>
  <cellStyles count="6189">
    <cellStyle name="%" xfId="2030" xr:uid="{00000000-0005-0000-0000-000000000000}"/>
    <cellStyle name="% 2" xfId="2031" xr:uid="{00000000-0005-0000-0000-000001000000}"/>
    <cellStyle name="%_freight lifted Q4" xfId="2032" xr:uid="{00000000-0005-0000-0000-000002000000}"/>
    <cellStyle name="??? ?????" xfId="117" xr:uid="{00000000-0005-0000-0000-000003000000}"/>
    <cellStyle name="?????" xfId="118" xr:uid="{00000000-0005-0000-0000-000004000000}"/>
    <cellStyle name="????_SGI-Capex 0303" xfId="119" xr:uid="{00000000-0005-0000-0000-000005000000}"/>
    <cellStyle name="??_Action Plan Reporting 5" xfId="120" xr:uid="{00000000-0005-0000-0000-000006000000}"/>
    <cellStyle name="20 % - Accent1" xfId="121" xr:uid="{00000000-0005-0000-0000-000007000000}"/>
    <cellStyle name="20 % - Accent1 2" xfId="2270" xr:uid="{00000000-0005-0000-0000-000008000000}"/>
    <cellStyle name="20 % - Accent1 2 2" xfId="2271" xr:uid="{00000000-0005-0000-0000-000009000000}"/>
    <cellStyle name="20 % - Accent1 2 2 2" xfId="2272" xr:uid="{00000000-0005-0000-0000-00000A000000}"/>
    <cellStyle name="20 % - Accent1 2 2_For GOLD" xfId="2273" xr:uid="{00000000-0005-0000-0000-00000B000000}"/>
    <cellStyle name="20 % - Accent1 2 3" xfId="2274" xr:uid="{00000000-0005-0000-0000-00000C000000}"/>
    <cellStyle name="20 % - Accent1 2_For GOLD" xfId="2275" xr:uid="{00000000-0005-0000-0000-00000D000000}"/>
    <cellStyle name="20 % - Accent1 3" xfId="2276" xr:uid="{00000000-0005-0000-0000-00000E000000}"/>
    <cellStyle name="20 % - Accent1 4" xfId="2277" xr:uid="{00000000-0005-0000-0000-00000F000000}"/>
    <cellStyle name="20 % - Accent1 4 2" xfId="2278" xr:uid="{00000000-0005-0000-0000-000010000000}"/>
    <cellStyle name="20 % - Accent1 4_For GOLD" xfId="2279" xr:uid="{00000000-0005-0000-0000-000011000000}"/>
    <cellStyle name="20 % - Accent1_Feuil1" xfId="2280" xr:uid="{00000000-0005-0000-0000-000012000000}"/>
    <cellStyle name="20 % - Accent2" xfId="122" xr:uid="{00000000-0005-0000-0000-000013000000}"/>
    <cellStyle name="20 % - Accent2 2" xfId="2281" xr:uid="{00000000-0005-0000-0000-000014000000}"/>
    <cellStyle name="20 % - Accent2 2 2" xfId="2282" xr:uid="{00000000-0005-0000-0000-000015000000}"/>
    <cellStyle name="20 % - Accent2 2 2 2" xfId="2283" xr:uid="{00000000-0005-0000-0000-000016000000}"/>
    <cellStyle name="20 % - Accent2 2 2_For GOLD" xfId="2284" xr:uid="{00000000-0005-0000-0000-000017000000}"/>
    <cellStyle name="20 % - Accent2 2 3" xfId="2285" xr:uid="{00000000-0005-0000-0000-000018000000}"/>
    <cellStyle name="20 % - Accent2 2_For GOLD" xfId="2286" xr:uid="{00000000-0005-0000-0000-000019000000}"/>
    <cellStyle name="20 % - Accent2 3" xfId="2287" xr:uid="{00000000-0005-0000-0000-00001A000000}"/>
    <cellStyle name="20 % - Accent2 4" xfId="2288" xr:uid="{00000000-0005-0000-0000-00001B000000}"/>
    <cellStyle name="20 % - Accent2 4 2" xfId="2289" xr:uid="{00000000-0005-0000-0000-00001C000000}"/>
    <cellStyle name="20 % - Accent2 4_For GOLD" xfId="2290" xr:uid="{00000000-0005-0000-0000-00001D000000}"/>
    <cellStyle name="20 % - Accent2_Feuil1" xfId="2291" xr:uid="{00000000-0005-0000-0000-00001E000000}"/>
    <cellStyle name="20 % - Accent3" xfId="123" xr:uid="{00000000-0005-0000-0000-00001F000000}"/>
    <cellStyle name="20 % - Accent3 2" xfId="2292" xr:uid="{00000000-0005-0000-0000-000020000000}"/>
    <cellStyle name="20 % - Accent3 2 2" xfId="2293" xr:uid="{00000000-0005-0000-0000-000021000000}"/>
    <cellStyle name="20 % - Accent3 2 2 2" xfId="2294" xr:uid="{00000000-0005-0000-0000-000022000000}"/>
    <cellStyle name="20 % - Accent3 2 2_For GOLD" xfId="2295" xr:uid="{00000000-0005-0000-0000-000023000000}"/>
    <cellStyle name="20 % - Accent3 2 3" xfId="2296" xr:uid="{00000000-0005-0000-0000-000024000000}"/>
    <cellStyle name="20 % - Accent3 2_For GOLD" xfId="2297" xr:uid="{00000000-0005-0000-0000-000025000000}"/>
    <cellStyle name="20 % - Accent3 3" xfId="2298" xr:uid="{00000000-0005-0000-0000-000026000000}"/>
    <cellStyle name="20 % - Accent3 4" xfId="2299" xr:uid="{00000000-0005-0000-0000-000027000000}"/>
    <cellStyle name="20 % - Accent3 4 2" xfId="2300" xr:uid="{00000000-0005-0000-0000-000028000000}"/>
    <cellStyle name="20 % - Accent3 4_For GOLD" xfId="2301" xr:uid="{00000000-0005-0000-0000-000029000000}"/>
    <cellStyle name="20 % - Accent3_Feuil1" xfId="2302" xr:uid="{00000000-0005-0000-0000-00002A000000}"/>
    <cellStyle name="20 % - Accent4" xfId="124" xr:uid="{00000000-0005-0000-0000-00002B000000}"/>
    <cellStyle name="20 % - Accent4 2" xfId="2303" xr:uid="{00000000-0005-0000-0000-00002C000000}"/>
    <cellStyle name="20 % - Accent4 2 2" xfId="2304" xr:uid="{00000000-0005-0000-0000-00002D000000}"/>
    <cellStyle name="20 % - Accent4 2 2 2" xfId="2305" xr:uid="{00000000-0005-0000-0000-00002E000000}"/>
    <cellStyle name="20 % - Accent4 2 2_For GOLD" xfId="2306" xr:uid="{00000000-0005-0000-0000-00002F000000}"/>
    <cellStyle name="20 % - Accent4 2 3" xfId="2307" xr:uid="{00000000-0005-0000-0000-000030000000}"/>
    <cellStyle name="20 % - Accent4 2_For GOLD" xfId="2308" xr:uid="{00000000-0005-0000-0000-000031000000}"/>
    <cellStyle name="20 % - Accent4 3" xfId="2309" xr:uid="{00000000-0005-0000-0000-000032000000}"/>
    <cellStyle name="20 % - Accent4 4" xfId="2310" xr:uid="{00000000-0005-0000-0000-000033000000}"/>
    <cellStyle name="20 % - Accent4 4 2" xfId="2311" xr:uid="{00000000-0005-0000-0000-000034000000}"/>
    <cellStyle name="20 % - Accent4 4_For GOLD" xfId="2312" xr:uid="{00000000-0005-0000-0000-000035000000}"/>
    <cellStyle name="20 % - Accent4_Feuil1" xfId="2313" xr:uid="{00000000-0005-0000-0000-000036000000}"/>
    <cellStyle name="20 % - Accent5" xfId="125" xr:uid="{00000000-0005-0000-0000-000037000000}"/>
    <cellStyle name="20 % - Accent5 2" xfId="2314" xr:uid="{00000000-0005-0000-0000-000038000000}"/>
    <cellStyle name="20 % - Accent5 2 2" xfId="2315" xr:uid="{00000000-0005-0000-0000-000039000000}"/>
    <cellStyle name="20 % - Accent5 2 2 2" xfId="2316" xr:uid="{00000000-0005-0000-0000-00003A000000}"/>
    <cellStyle name="20 % - Accent5 2 2_For GOLD" xfId="2317" xr:uid="{00000000-0005-0000-0000-00003B000000}"/>
    <cellStyle name="20 % - Accent5 2 3" xfId="2318" xr:uid="{00000000-0005-0000-0000-00003C000000}"/>
    <cellStyle name="20 % - Accent5 2_For GOLD" xfId="2319" xr:uid="{00000000-0005-0000-0000-00003D000000}"/>
    <cellStyle name="20 % - Accent5 3" xfId="2320" xr:uid="{00000000-0005-0000-0000-00003E000000}"/>
    <cellStyle name="20 % - Accent5 4" xfId="2321" xr:uid="{00000000-0005-0000-0000-00003F000000}"/>
    <cellStyle name="20 % - Accent5 4 2" xfId="2322" xr:uid="{00000000-0005-0000-0000-000040000000}"/>
    <cellStyle name="20 % - Accent5 4_For GOLD" xfId="2323" xr:uid="{00000000-0005-0000-0000-000041000000}"/>
    <cellStyle name="20 % - Accent5_Feuil1" xfId="2324" xr:uid="{00000000-0005-0000-0000-000042000000}"/>
    <cellStyle name="20 % - Accent6" xfId="126" xr:uid="{00000000-0005-0000-0000-000043000000}"/>
    <cellStyle name="20 % - Accent6 2" xfId="2325" xr:uid="{00000000-0005-0000-0000-000044000000}"/>
    <cellStyle name="20 % - Accent6 2 2" xfId="2326" xr:uid="{00000000-0005-0000-0000-000045000000}"/>
    <cellStyle name="20 % - Accent6 2 2 2" xfId="2327" xr:uid="{00000000-0005-0000-0000-000046000000}"/>
    <cellStyle name="20 % - Accent6 2 2_For GOLD" xfId="2328" xr:uid="{00000000-0005-0000-0000-000047000000}"/>
    <cellStyle name="20 % - Accent6 2 3" xfId="2329" xr:uid="{00000000-0005-0000-0000-000048000000}"/>
    <cellStyle name="20 % - Accent6 2_For GOLD" xfId="2330" xr:uid="{00000000-0005-0000-0000-000049000000}"/>
    <cellStyle name="20 % - Accent6 3" xfId="2331" xr:uid="{00000000-0005-0000-0000-00004A000000}"/>
    <cellStyle name="20 % - Accent6 4" xfId="2332" xr:uid="{00000000-0005-0000-0000-00004B000000}"/>
    <cellStyle name="20 % - Accent6 4 2" xfId="2333" xr:uid="{00000000-0005-0000-0000-00004C000000}"/>
    <cellStyle name="20 % - Accent6 4_For GOLD" xfId="2334" xr:uid="{00000000-0005-0000-0000-00004D000000}"/>
    <cellStyle name="20 % - Accent6_Feuil1" xfId="2335" xr:uid="{00000000-0005-0000-0000-00004E000000}"/>
    <cellStyle name="20% - Accent1 2" xfId="1" xr:uid="{00000000-0005-0000-0000-00004F000000}"/>
    <cellStyle name="20% - Accent1 3" xfId="2034" xr:uid="{00000000-0005-0000-0000-000050000000}"/>
    <cellStyle name="20% - Accent1 4" xfId="2033" xr:uid="{00000000-0005-0000-0000-000051000000}"/>
    <cellStyle name="20% - Accent2 2" xfId="2" xr:uid="{00000000-0005-0000-0000-000052000000}"/>
    <cellStyle name="20% - Accent2 3" xfId="2036" xr:uid="{00000000-0005-0000-0000-000053000000}"/>
    <cellStyle name="20% - Accent2 4" xfId="2035" xr:uid="{00000000-0005-0000-0000-000054000000}"/>
    <cellStyle name="20% - Accent3 2" xfId="3" xr:uid="{00000000-0005-0000-0000-000055000000}"/>
    <cellStyle name="20% - Accent3 3" xfId="2038" xr:uid="{00000000-0005-0000-0000-000056000000}"/>
    <cellStyle name="20% - Accent3 4" xfId="2037" xr:uid="{00000000-0005-0000-0000-000057000000}"/>
    <cellStyle name="20% - Accent4 2" xfId="4" xr:uid="{00000000-0005-0000-0000-000058000000}"/>
    <cellStyle name="20% - Accent4 3" xfId="2040" xr:uid="{00000000-0005-0000-0000-000059000000}"/>
    <cellStyle name="20% - Accent4 4" xfId="2039" xr:uid="{00000000-0005-0000-0000-00005A000000}"/>
    <cellStyle name="20% - Accent5 2" xfId="5" xr:uid="{00000000-0005-0000-0000-00005B000000}"/>
    <cellStyle name="20% - Accent5 3" xfId="2042" xr:uid="{00000000-0005-0000-0000-00005C000000}"/>
    <cellStyle name="20% - Accent5 4" xfId="2041" xr:uid="{00000000-0005-0000-0000-00005D000000}"/>
    <cellStyle name="20% - Accent6 2" xfId="6" xr:uid="{00000000-0005-0000-0000-00005E000000}"/>
    <cellStyle name="20% - Accent6 3" xfId="2044" xr:uid="{00000000-0005-0000-0000-00005F000000}"/>
    <cellStyle name="20% - Accent6 4" xfId="2043" xr:uid="{00000000-0005-0000-0000-000060000000}"/>
    <cellStyle name="20% - Akzent1" xfId="7" xr:uid="{00000000-0005-0000-0000-000061000000}"/>
    <cellStyle name="20% - Akzent2" xfId="8" xr:uid="{00000000-0005-0000-0000-000062000000}"/>
    <cellStyle name="20% - Akzent3" xfId="9" xr:uid="{00000000-0005-0000-0000-000063000000}"/>
    <cellStyle name="20% - Akzent4" xfId="10" xr:uid="{00000000-0005-0000-0000-000064000000}"/>
    <cellStyle name="20% - Akzent5" xfId="11" xr:uid="{00000000-0005-0000-0000-000065000000}"/>
    <cellStyle name="20% - Akzent6" xfId="12" xr:uid="{00000000-0005-0000-0000-000066000000}"/>
    <cellStyle name="20% - Colore 1" xfId="127" xr:uid="{00000000-0005-0000-0000-000067000000}"/>
    <cellStyle name="20% - Colore 2" xfId="128" xr:uid="{00000000-0005-0000-0000-000068000000}"/>
    <cellStyle name="20% - Colore 3" xfId="129" xr:uid="{00000000-0005-0000-0000-000069000000}"/>
    <cellStyle name="20% - Colore 4" xfId="130" xr:uid="{00000000-0005-0000-0000-00006A000000}"/>
    <cellStyle name="20% - Colore 5" xfId="131" xr:uid="{00000000-0005-0000-0000-00006B000000}"/>
    <cellStyle name="20% - Colore 6" xfId="132" xr:uid="{00000000-0005-0000-0000-00006C000000}"/>
    <cellStyle name="20% - Énfasis1" xfId="133" xr:uid="{00000000-0005-0000-0000-00006D000000}"/>
    <cellStyle name="20% - Énfasis2" xfId="134" xr:uid="{00000000-0005-0000-0000-00006E000000}"/>
    <cellStyle name="20% - Énfasis3" xfId="135" xr:uid="{00000000-0005-0000-0000-00006F000000}"/>
    <cellStyle name="20% - Énfasis4" xfId="136" xr:uid="{00000000-0005-0000-0000-000070000000}"/>
    <cellStyle name="20% - Énfasis5" xfId="137" xr:uid="{00000000-0005-0000-0000-000071000000}"/>
    <cellStyle name="20% - Énfasis6" xfId="138" xr:uid="{00000000-0005-0000-0000-000072000000}"/>
    <cellStyle name="40 % - Accent1" xfId="139" xr:uid="{00000000-0005-0000-0000-000073000000}"/>
    <cellStyle name="40 % - Accent1 2" xfId="2336" xr:uid="{00000000-0005-0000-0000-000074000000}"/>
    <cellStyle name="40 % - Accent1 2 2" xfId="2337" xr:uid="{00000000-0005-0000-0000-000075000000}"/>
    <cellStyle name="40 % - Accent1 2 2 2" xfId="2338" xr:uid="{00000000-0005-0000-0000-000076000000}"/>
    <cellStyle name="40 % - Accent1 2 2_For GOLD" xfId="2339" xr:uid="{00000000-0005-0000-0000-000077000000}"/>
    <cellStyle name="40 % - Accent1 2 3" xfId="2340" xr:uid="{00000000-0005-0000-0000-000078000000}"/>
    <cellStyle name="40 % - Accent1 2_For GOLD" xfId="2341" xr:uid="{00000000-0005-0000-0000-000079000000}"/>
    <cellStyle name="40 % - Accent1 3" xfId="2342" xr:uid="{00000000-0005-0000-0000-00007A000000}"/>
    <cellStyle name="40 % - Accent1 4" xfId="2343" xr:uid="{00000000-0005-0000-0000-00007B000000}"/>
    <cellStyle name="40 % - Accent1 4 2" xfId="2344" xr:uid="{00000000-0005-0000-0000-00007C000000}"/>
    <cellStyle name="40 % - Accent1 4_For GOLD" xfId="2345" xr:uid="{00000000-0005-0000-0000-00007D000000}"/>
    <cellStyle name="40 % - Accent1_Feuil1" xfId="2346" xr:uid="{00000000-0005-0000-0000-00007E000000}"/>
    <cellStyle name="40 % - Accent2" xfId="140" xr:uid="{00000000-0005-0000-0000-00007F000000}"/>
    <cellStyle name="40 % - Accent2 2" xfId="2347" xr:uid="{00000000-0005-0000-0000-000080000000}"/>
    <cellStyle name="40 % - Accent2 2 2" xfId="2348" xr:uid="{00000000-0005-0000-0000-000081000000}"/>
    <cellStyle name="40 % - Accent2 2 2 2" xfId="2349" xr:uid="{00000000-0005-0000-0000-000082000000}"/>
    <cellStyle name="40 % - Accent2 2 2_For GOLD" xfId="2350" xr:uid="{00000000-0005-0000-0000-000083000000}"/>
    <cellStyle name="40 % - Accent2 2 3" xfId="2351" xr:uid="{00000000-0005-0000-0000-000084000000}"/>
    <cellStyle name="40 % - Accent2 2_For GOLD" xfId="2352" xr:uid="{00000000-0005-0000-0000-000085000000}"/>
    <cellStyle name="40 % - Accent2 3" xfId="2353" xr:uid="{00000000-0005-0000-0000-000086000000}"/>
    <cellStyle name="40 % - Accent2 4" xfId="2354" xr:uid="{00000000-0005-0000-0000-000087000000}"/>
    <cellStyle name="40 % - Accent2 4 2" xfId="2355" xr:uid="{00000000-0005-0000-0000-000088000000}"/>
    <cellStyle name="40 % - Accent2 4_For GOLD" xfId="2356" xr:uid="{00000000-0005-0000-0000-000089000000}"/>
    <cellStyle name="40 % - Accent2_Feuil1" xfId="2357" xr:uid="{00000000-0005-0000-0000-00008A000000}"/>
    <cellStyle name="40 % - Accent3" xfId="141" xr:uid="{00000000-0005-0000-0000-00008B000000}"/>
    <cellStyle name="40 % - Accent3 2" xfId="2358" xr:uid="{00000000-0005-0000-0000-00008C000000}"/>
    <cellStyle name="40 % - Accent3 2 2" xfId="2359" xr:uid="{00000000-0005-0000-0000-00008D000000}"/>
    <cellStyle name="40 % - Accent3 2 2 2" xfId="2360" xr:uid="{00000000-0005-0000-0000-00008E000000}"/>
    <cellStyle name="40 % - Accent3 2 2_For GOLD" xfId="2361" xr:uid="{00000000-0005-0000-0000-00008F000000}"/>
    <cellStyle name="40 % - Accent3 2 3" xfId="2362" xr:uid="{00000000-0005-0000-0000-000090000000}"/>
    <cellStyle name="40 % - Accent3 2_For GOLD" xfId="2363" xr:uid="{00000000-0005-0000-0000-000091000000}"/>
    <cellStyle name="40 % - Accent3 3" xfId="2364" xr:uid="{00000000-0005-0000-0000-000092000000}"/>
    <cellStyle name="40 % - Accent3 4" xfId="2365" xr:uid="{00000000-0005-0000-0000-000093000000}"/>
    <cellStyle name="40 % - Accent3 4 2" xfId="2366" xr:uid="{00000000-0005-0000-0000-000094000000}"/>
    <cellStyle name="40 % - Accent3 4_For GOLD" xfId="2367" xr:uid="{00000000-0005-0000-0000-000095000000}"/>
    <cellStyle name="40 % - Accent3_Feuil1" xfId="2368" xr:uid="{00000000-0005-0000-0000-000096000000}"/>
    <cellStyle name="40 % - Accent4" xfId="142" xr:uid="{00000000-0005-0000-0000-000097000000}"/>
    <cellStyle name="40 % - Accent4 2" xfId="2369" xr:uid="{00000000-0005-0000-0000-000098000000}"/>
    <cellStyle name="40 % - Accent4 2 2" xfId="2370" xr:uid="{00000000-0005-0000-0000-000099000000}"/>
    <cellStyle name="40 % - Accent4 2 2 2" xfId="2371" xr:uid="{00000000-0005-0000-0000-00009A000000}"/>
    <cellStyle name="40 % - Accent4 2 2_For GOLD" xfId="2372" xr:uid="{00000000-0005-0000-0000-00009B000000}"/>
    <cellStyle name="40 % - Accent4 2 3" xfId="2373" xr:uid="{00000000-0005-0000-0000-00009C000000}"/>
    <cellStyle name="40 % - Accent4 2_For GOLD" xfId="2374" xr:uid="{00000000-0005-0000-0000-00009D000000}"/>
    <cellStyle name="40 % - Accent4 3" xfId="2375" xr:uid="{00000000-0005-0000-0000-00009E000000}"/>
    <cellStyle name="40 % - Accent4 4" xfId="2376" xr:uid="{00000000-0005-0000-0000-00009F000000}"/>
    <cellStyle name="40 % - Accent4 4 2" xfId="2377" xr:uid="{00000000-0005-0000-0000-0000A0000000}"/>
    <cellStyle name="40 % - Accent4 4_For GOLD" xfId="2378" xr:uid="{00000000-0005-0000-0000-0000A1000000}"/>
    <cellStyle name="40 % - Accent4_Feuil1" xfId="2379" xr:uid="{00000000-0005-0000-0000-0000A2000000}"/>
    <cellStyle name="40 % - Accent5" xfId="143" xr:uid="{00000000-0005-0000-0000-0000A3000000}"/>
    <cellStyle name="40 % - Accent5 2" xfId="2380" xr:uid="{00000000-0005-0000-0000-0000A4000000}"/>
    <cellStyle name="40 % - Accent5 2 2" xfId="2381" xr:uid="{00000000-0005-0000-0000-0000A5000000}"/>
    <cellStyle name="40 % - Accent5 2 2 2" xfId="2382" xr:uid="{00000000-0005-0000-0000-0000A6000000}"/>
    <cellStyle name="40 % - Accent5 2 2_For GOLD" xfId="2383" xr:uid="{00000000-0005-0000-0000-0000A7000000}"/>
    <cellStyle name="40 % - Accent5 2 3" xfId="2384" xr:uid="{00000000-0005-0000-0000-0000A8000000}"/>
    <cellStyle name="40 % - Accent5 2_For GOLD" xfId="2385" xr:uid="{00000000-0005-0000-0000-0000A9000000}"/>
    <cellStyle name="40 % - Accent5 3" xfId="2386" xr:uid="{00000000-0005-0000-0000-0000AA000000}"/>
    <cellStyle name="40 % - Accent5 4" xfId="2387" xr:uid="{00000000-0005-0000-0000-0000AB000000}"/>
    <cellStyle name="40 % - Accent5 4 2" xfId="2388" xr:uid="{00000000-0005-0000-0000-0000AC000000}"/>
    <cellStyle name="40 % - Accent5 4_For GOLD" xfId="2389" xr:uid="{00000000-0005-0000-0000-0000AD000000}"/>
    <cellStyle name="40 % - Accent5_Feuil1" xfId="2390" xr:uid="{00000000-0005-0000-0000-0000AE000000}"/>
    <cellStyle name="40 % - Accent6" xfId="144" xr:uid="{00000000-0005-0000-0000-0000AF000000}"/>
    <cellStyle name="40 % - Accent6 2" xfId="2391" xr:uid="{00000000-0005-0000-0000-0000B0000000}"/>
    <cellStyle name="40 % - Accent6 2 2" xfId="2392" xr:uid="{00000000-0005-0000-0000-0000B1000000}"/>
    <cellStyle name="40 % - Accent6 2 2 2" xfId="2393" xr:uid="{00000000-0005-0000-0000-0000B2000000}"/>
    <cellStyle name="40 % - Accent6 2 2_For GOLD" xfId="2394" xr:uid="{00000000-0005-0000-0000-0000B3000000}"/>
    <cellStyle name="40 % - Accent6 2 3" xfId="2395" xr:uid="{00000000-0005-0000-0000-0000B4000000}"/>
    <cellStyle name="40 % - Accent6 2_For GOLD" xfId="2396" xr:uid="{00000000-0005-0000-0000-0000B5000000}"/>
    <cellStyle name="40 % - Accent6 3" xfId="2397" xr:uid="{00000000-0005-0000-0000-0000B6000000}"/>
    <cellStyle name="40 % - Accent6 4" xfId="2398" xr:uid="{00000000-0005-0000-0000-0000B7000000}"/>
    <cellStyle name="40 % - Accent6 4 2" xfId="2399" xr:uid="{00000000-0005-0000-0000-0000B8000000}"/>
    <cellStyle name="40 % - Accent6 4_For GOLD" xfId="2400" xr:uid="{00000000-0005-0000-0000-0000B9000000}"/>
    <cellStyle name="40 % - Accent6_Feuil1" xfId="2401" xr:uid="{00000000-0005-0000-0000-0000BA000000}"/>
    <cellStyle name="40% - Accent1 2" xfId="13" xr:uid="{00000000-0005-0000-0000-0000BB000000}"/>
    <cellStyle name="40% - Accent1 3" xfId="2046" xr:uid="{00000000-0005-0000-0000-0000BC000000}"/>
    <cellStyle name="40% - Accent1 4" xfId="2045" xr:uid="{00000000-0005-0000-0000-0000BD000000}"/>
    <cellStyle name="40% - Accent2 2" xfId="14" xr:uid="{00000000-0005-0000-0000-0000BE000000}"/>
    <cellStyle name="40% - Accent2 3" xfId="2048" xr:uid="{00000000-0005-0000-0000-0000BF000000}"/>
    <cellStyle name="40% - Accent2 4" xfId="2047" xr:uid="{00000000-0005-0000-0000-0000C0000000}"/>
    <cellStyle name="40% - Accent3 2" xfId="15" xr:uid="{00000000-0005-0000-0000-0000C1000000}"/>
    <cellStyle name="40% - Accent3 3" xfId="2050" xr:uid="{00000000-0005-0000-0000-0000C2000000}"/>
    <cellStyle name="40% - Accent3 4" xfId="2049" xr:uid="{00000000-0005-0000-0000-0000C3000000}"/>
    <cellStyle name="40% - Accent4 2" xfId="16" xr:uid="{00000000-0005-0000-0000-0000C4000000}"/>
    <cellStyle name="40% - Accent4 3" xfId="2052" xr:uid="{00000000-0005-0000-0000-0000C5000000}"/>
    <cellStyle name="40% - Accent4 4" xfId="2051" xr:uid="{00000000-0005-0000-0000-0000C6000000}"/>
    <cellStyle name="40% - Accent5 2" xfId="17" xr:uid="{00000000-0005-0000-0000-0000C7000000}"/>
    <cellStyle name="40% - Accent5 3" xfId="2054" xr:uid="{00000000-0005-0000-0000-0000C8000000}"/>
    <cellStyle name="40% - Accent5 4" xfId="2053" xr:uid="{00000000-0005-0000-0000-0000C9000000}"/>
    <cellStyle name="40% - Accent6 2" xfId="18" xr:uid="{00000000-0005-0000-0000-0000CA000000}"/>
    <cellStyle name="40% - Accent6 3" xfId="2056" xr:uid="{00000000-0005-0000-0000-0000CB000000}"/>
    <cellStyle name="40% - Accent6 4" xfId="2055" xr:uid="{00000000-0005-0000-0000-0000CC000000}"/>
    <cellStyle name="40% - Akzent1" xfId="19" xr:uid="{00000000-0005-0000-0000-0000CD000000}"/>
    <cellStyle name="40% - Akzent2" xfId="20" xr:uid="{00000000-0005-0000-0000-0000CE000000}"/>
    <cellStyle name="40% - Akzent3" xfId="21" xr:uid="{00000000-0005-0000-0000-0000CF000000}"/>
    <cellStyle name="40% - Akzent4" xfId="22" xr:uid="{00000000-0005-0000-0000-0000D0000000}"/>
    <cellStyle name="40% - Akzent5" xfId="23" xr:uid="{00000000-0005-0000-0000-0000D1000000}"/>
    <cellStyle name="40% - Akzent6" xfId="24" xr:uid="{00000000-0005-0000-0000-0000D2000000}"/>
    <cellStyle name="40% - Colore 1" xfId="145" xr:uid="{00000000-0005-0000-0000-0000D3000000}"/>
    <cellStyle name="40% - Colore 2" xfId="146" xr:uid="{00000000-0005-0000-0000-0000D4000000}"/>
    <cellStyle name="40% - Colore 3" xfId="147" xr:uid="{00000000-0005-0000-0000-0000D5000000}"/>
    <cellStyle name="40% - Colore 4" xfId="148" xr:uid="{00000000-0005-0000-0000-0000D6000000}"/>
    <cellStyle name="40% - Colore 5" xfId="149" xr:uid="{00000000-0005-0000-0000-0000D7000000}"/>
    <cellStyle name="40% - Colore 6" xfId="150" xr:uid="{00000000-0005-0000-0000-0000D8000000}"/>
    <cellStyle name="40% - Énfasis1" xfId="151" xr:uid="{00000000-0005-0000-0000-0000D9000000}"/>
    <cellStyle name="40% - Énfasis2" xfId="152" xr:uid="{00000000-0005-0000-0000-0000DA000000}"/>
    <cellStyle name="40% - Énfasis3" xfId="153" xr:uid="{00000000-0005-0000-0000-0000DB000000}"/>
    <cellStyle name="40% - Énfasis4" xfId="154" xr:uid="{00000000-0005-0000-0000-0000DC000000}"/>
    <cellStyle name="40% - Énfasis5" xfId="155" xr:uid="{00000000-0005-0000-0000-0000DD000000}"/>
    <cellStyle name="40% - Énfasis6" xfId="156" xr:uid="{00000000-0005-0000-0000-0000DE000000}"/>
    <cellStyle name="5x indented GHG Textfiels" xfId="25" xr:uid="{00000000-0005-0000-0000-0000DF000000}"/>
    <cellStyle name="5x indented GHG Textfiels 2" xfId="2057" xr:uid="{00000000-0005-0000-0000-0000E0000000}"/>
    <cellStyle name="60 % - Accent1" xfId="157" xr:uid="{00000000-0005-0000-0000-0000E1000000}"/>
    <cellStyle name="60 % - Accent1 2" xfId="2402" xr:uid="{00000000-0005-0000-0000-0000E2000000}"/>
    <cellStyle name="60 % - Accent1 3" xfId="2403" xr:uid="{00000000-0005-0000-0000-0000E3000000}"/>
    <cellStyle name="60 % - Accent1 4" xfId="2404" xr:uid="{00000000-0005-0000-0000-0000E4000000}"/>
    <cellStyle name="60 % - Accent2" xfId="158" xr:uid="{00000000-0005-0000-0000-0000E5000000}"/>
    <cellStyle name="60 % - Accent2 2" xfId="2405" xr:uid="{00000000-0005-0000-0000-0000E6000000}"/>
    <cellStyle name="60 % - Accent2 3" xfId="2406" xr:uid="{00000000-0005-0000-0000-0000E7000000}"/>
    <cellStyle name="60 % - Accent2 4" xfId="2407" xr:uid="{00000000-0005-0000-0000-0000E8000000}"/>
    <cellStyle name="60 % - Accent3" xfId="159" xr:uid="{00000000-0005-0000-0000-0000E9000000}"/>
    <cellStyle name="60 % - Accent3 2" xfId="2408" xr:uid="{00000000-0005-0000-0000-0000EA000000}"/>
    <cellStyle name="60 % - Accent3 3" xfId="2409" xr:uid="{00000000-0005-0000-0000-0000EB000000}"/>
    <cellStyle name="60 % - Accent3 4" xfId="2410" xr:uid="{00000000-0005-0000-0000-0000EC000000}"/>
    <cellStyle name="60 % - Accent4" xfId="160" xr:uid="{00000000-0005-0000-0000-0000ED000000}"/>
    <cellStyle name="60 % - Accent4 2" xfId="2411" xr:uid="{00000000-0005-0000-0000-0000EE000000}"/>
    <cellStyle name="60 % - Accent4 3" xfId="2412" xr:uid="{00000000-0005-0000-0000-0000EF000000}"/>
    <cellStyle name="60 % - Accent4 4" xfId="2413" xr:uid="{00000000-0005-0000-0000-0000F0000000}"/>
    <cellStyle name="60 % - Accent5" xfId="161" xr:uid="{00000000-0005-0000-0000-0000F1000000}"/>
    <cellStyle name="60 % - Accent5 2" xfId="2414" xr:uid="{00000000-0005-0000-0000-0000F2000000}"/>
    <cellStyle name="60 % - Accent5 3" xfId="2415" xr:uid="{00000000-0005-0000-0000-0000F3000000}"/>
    <cellStyle name="60 % - Accent5 4" xfId="2416" xr:uid="{00000000-0005-0000-0000-0000F4000000}"/>
    <cellStyle name="60 % - Accent6" xfId="162" xr:uid="{00000000-0005-0000-0000-0000F5000000}"/>
    <cellStyle name="60 % - Accent6 2" xfId="2417" xr:uid="{00000000-0005-0000-0000-0000F6000000}"/>
    <cellStyle name="60 % - Accent6 3" xfId="2418" xr:uid="{00000000-0005-0000-0000-0000F7000000}"/>
    <cellStyle name="60 % - Accent6 4" xfId="2419" xr:uid="{00000000-0005-0000-0000-0000F8000000}"/>
    <cellStyle name="60% - Accent1 2" xfId="2059" xr:uid="{00000000-0005-0000-0000-0000F9000000}"/>
    <cellStyle name="60% - Accent1 3" xfId="2060" xr:uid="{00000000-0005-0000-0000-0000FA000000}"/>
    <cellStyle name="60% - Accent1 4" xfId="2058" xr:uid="{00000000-0005-0000-0000-0000FB000000}"/>
    <cellStyle name="60% - Accent1 5" xfId="83" xr:uid="{00000000-0005-0000-0000-0000FC000000}"/>
    <cellStyle name="60% - Accent2 2" xfId="2062" xr:uid="{00000000-0005-0000-0000-0000FD000000}"/>
    <cellStyle name="60% - Accent2 3" xfId="2063" xr:uid="{00000000-0005-0000-0000-0000FE000000}"/>
    <cellStyle name="60% - Accent2 4" xfId="2061" xr:uid="{00000000-0005-0000-0000-0000FF000000}"/>
    <cellStyle name="60% - Accent2 5" xfId="84" xr:uid="{00000000-0005-0000-0000-000000010000}"/>
    <cellStyle name="60% - Accent3 2" xfId="2065" xr:uid="{00000000-0005-0000-0000-000001010000}"/>
    <cellStyle name="60% - Accent3 3" xfId="2066" xr:uid="{00000000-0005-0000-0000-000002010000}"/>
    <cellStyle name="60% - Accent3 4" xfId="2064" xr:uid="{00000000-0005-0000-0000-000003010000}"/>
    <cellStyle name="60% - Accent3 5" xfId="85" xr:uid="{00000000-0005-0000-0000-000004010000}"/>
    <cellStyle name="60% - Accent4 2" xfId="2068" xr:uid="{00000000-0005-0000-0000-000005010000}"/>
    <cellStyle name="60% - Accent4 3" xfId="2069" xr:uid="{00000000-0005-0000-0000-000006010000}"/>
    <cellStyle name="60% - Accent4 4" xfId="2067" xr:uid="{00000000-0005-0000-0000-000007010000}"/>
    <cellStyle name="60% - Accent4 5" xfId="86" xr:uid="{00000000-0005-0000-0000-000008010000}"/>
    <cellStyle name="60% - Accent5 2" xfId="2071" xr:uid="{00000000-0005-0000-0000-000009010000}"/>
    <cellStyle name="60% - Accent5 3" xfId="2072" xr:uid="{00000000-0005-0000-0000-00000A010000}"/>
    <cellStyle name="60% - Accent5 4" xfId="2070" xr:uid="{00000000-0005-0000-0000-00000B010000}"/>
    <cellStyle name="60% - Accent5 5" xfId="87" xr:uid="{00000000-0005-0000-0000-00000C010000}"/>
    <cellStyle name="60% - Accent6 2" xfId="2074" xr:uid="{00000000-0005-0000-0000-00000D010000}"/>
    <cellStyle name="60% - Accent6 3" xfId="2075" xr:uid="{00000000-0005-0000-0000-00000E010000}"/>
    <cellStyle name="60% - Accent6 4" xfId="2073" xr:uid="{00000000-0005-0000-0000-00000F010000}"/>
    <cellStyle name="60% - Accent6 5" xfId="88" xr:uid="{00000000-0005-0000-0000-000010010000}"/>
    <cellStyle name="60% - Akzent1" xfId="26" xr:uid="{00000000-0005-0000-0000-000011010000}"/>
    <cellStyle name="60% - Akzent2" xfId="27" xr:uid="{00000000-0005-0000-0000-000012010000}"/>
    <cellStyle name="60% - Akzent3" xfId="28" xr:uid="{00000000-0005-0000-0000-000013010000}"/>
    <cellStyle name="60% - Akzent4" xfId="29" xr:uid="{00000000-0005-0000-0000-000014010000}"/>
    <cellStyle name="60% - Akzent5" xfId="30" xr:uid="{00000000-0005-0000-0000-000015010000}"/>
    <cellStyle name="60% - Akzent6" xfId="31" xr:uid="{00000000-0005-0000-0000-000016010000}"/>
    <cellStyle name="60% - Colore 1" xfId="163" xr:uid="{00000000-0005-0000-0000-000017010000}"/>
    <cellStyle name="60% - Colore 2" xfId="164" xr:uid="{00000000-0005-0000-0000-000018010000}"/>
    <cellStyle name="60% - Colore 3" xfId="165" xr:uid="{00000000-0005-0000-0000-000019010000}"/>
    <cellStyle name="60% - Colore 4" xfId="166" xr:uid="{00000000-0005-0000-0000-00001A010000}"/>
    <cellStyle name="60% - Colore 5" xfId="167" xr:uid="{00000000-0005-0000-0000-00001B010000}"/>
    <cellStyle name="60% - Colore 6" xfId="168" xr:uid="{00000000-0005-0000-0000-00001C010000}"/>
    <cellStyle name="60% - Énfasis1" xfId="169" xr:uid="{00000000-0005-0000-0000-00001D010000}"/>
    <cellStyle name="60% - Énfasis2" xfId="170" xr:uid="{00000000-0005-0000-0000-00001E010000}"/>
    <cellStyle name="60% - Énfasis3" xfId="171" xr:uid="{00000000-0005-0000-0000-00001F010000}"/>
    <cellStyle name="60% - Énfasis4" xfId="172" xr:uid="{00000000-0005-0000-0000-000020010000}"/>
    <cellStyle name="60% - Énfasis5" xfId="173" xr:uid="{00000000-0005-0000-0000-000021010000}"/>
    <cellStyle name="60% - Énfasis6" xfId="174" xr:uid="{00000000-0005-0000-0000-000022010000}"/>
    <cellStyle name="Accent1" xfId="32" xr:uid="{00000000-0005-0000-0000-000023010000}"/>
    <cellStyle name="Accent1 - 20%" xfId="175" xr:uid="{00000000-0005-0000-0000-000024010000}"/>
    <cellStyle name="Accent1 - 40%" xfId="176" xr:uid="{00000000-0005-0000-0000-000025010000}"/>
    <cellStyle name="Accent1 - 60%" xfId="177" xr:uid="{00000000-0005-0000-0000-000026010000}"/>
    <cellStyle name="Accent1 10" xfId="178" xr:uid="{00000000-0005-0000-0000-000027010000}"/>
    <cellStyle name="Accent1 11" xfId="179" xr:uid="{00000000-0005-0000-0000-000028010000}"/>
    <cellStyle name="Accent1 12" xfId="180" xr:uid="{00000000-0005-0000-0000-000029010000}"/>
    <cellStyle name="Accent1 12 2" xfId="2420" xr:uid="{00000000-0005-0000-0000-00002A010000}"/>
    <cellStyle name="Accent1 12_For GOLD" xfId="2421" xr:uid="{00000000-0005-0000-0000-00002B010000}"/>
    <cellStyle name="Accent1 13" xfId="181" xr:uid="{00000000-0005-0000-0000-00002C010000}"/>
    <cellStyle name="Accent1 13 2" xfId="2422" xr:uid="{00000000-0005-0000-0000-00002D010000}"/>
    <cellStyle name="Accent1 13_For GOLD" xfId="2423" xr:uid="{00000000-0005-0000-0000-00002E010000}"/>
    <cellStyle name="Accent1 14" xfId="182" xr:uid="{00000000-0005-0000-0000-00002F010000}"/>
    <cellStyle name="Accent1 15" xfId="183" xr:uid="{00000000-0005-0000-0000-000030010000}"/>
    <cellStyle name="Accent1 16" xfId="184" xr:uid="{00000000-0005-0000-0000-000031010000}"/>
    <cellStyle name="Accent1 16 2" xfId="2424" xr:uid="{00000000-0005-0000-0000-000032010000}"/>
    <cellStyle name="Accent1 17" xfId="185" xr:uid="{00000000-0005-0000-0000-000033010000}"/>
    <cellStyle name="Accent1 17 2" xfId="2425" xr:uid="{00000000-0005-0000-0000-000034010000}"/>
    <cellStyle name="Accent1 18" xfId="186" xr:uid="{00000000-0005-0000-0000-000035010000}"/>
    <cellStyle name="Accent1 18 2" xfId="2426" xr:uid="{00000000-0005-0000-0000-000036010000}"/>
    <cellStyle name="Accent1 19" xfId="187" xr:uid="{00000000-0005-0000-0000-000037010000}"/>
    <cellStyle name="Accent1 19 2" xfId="2427" xr:uid="{00000000-0005-0000-0000-000038010000}"/>
    <cellStyle name="Accent1 2" xfId="188" xr:uid="{00000000-0005-0000-0000-000039010000}"/>
    <cellStyle name="Accent1 2 2" xfId="2077" xr:uid="{00000000-0005-0000-0000-00003A010000}"/>
    <cellStyle name="Accent1 2_For GOLD" xfId="2428" xr:uid="{00000000-0005-0000-0000-00003B010000}"/>
    <cellStyle name="Accent1 20" xfId="189" xr:uid="{00000000-0005-0000-0000-00003C010000}"/>
    <cellStyle name="Accent1 20 2" xfId="2429" xr:uid="{00000000-0005-0000-0000-00003D010000}"/>
    <cellStyle name="Accent1 21" xfId="190" xr:uid="{00000000-0005-0000-0000-00003E010000}"/>
    <cellStyle name="Accent1 21 2" xfId="2430" xr:uid="{00000000-0005-0000-0000-00003F010000}"/>
    <cellStyle name="Accent1 22" xfId="191" xr:uid="{00000000-0005-0000-0000-000040010000}"/>
    <cellStyle name="Accent1 22 2" xfId="2431" xr:uid="{00000000-0005-0000-0000-000041010000}"/>
    <cellStyle name="Accent1 23" xfId="192" xr:uid="{00000000-0005-0000-0000-000042010000}"/>
    <cellStyle name="Accent1 23 2" xfId="2432" xr:uid="{00000000-0005-0000-0000-000043010000}"/>
    <cellStyle name="Accent1 24" xfId="193" xr:uid="{00000000-0005-0000-0000-000044010000}"/>
    <cellStyle name="Accent1 24 2" xfId="2433" xr:uid="{00000000-0005-0000-0000-000045010000}"/>
    <cellStyle name="Accent1 25" xfId="194" xr:uid="{00000000-0005-0000-0000-000046010000}"/>
    <cellStyle name="Accent1 25 2" xfId="2434" xr:uid="{00000000-0005-0000-0000-000047010000}"/>
    <cellStyle name="Accent1 26" xfId="195" xr:uid="{00000000-0005-0000-0000-000048010000}"/>
    <cellStyle name="Accent1 26 2" xfId="2435" xr:uid="{00000000-0005-0000-0000-000049010000}"/>
    <cellStyle name="Accent1 27" xfId="196" xr:uid="{00000000-0005-0000-0000-00004A010000}"/>
    <cellStyle name="Accent1 27 2" xfId="2436" xr:uid="{00000000-0005-0000-0000-00004B010000}"/>
    <cellStyle name="Accent1 28" xfId="197" xr:uid="{00000000-0005-0000-0000-00004C010000}"/>
    <cellStyle name="Accent1 28 2" xfId="2437" xr:uid="{00000000-0005-0000-0000-00004D010000}"/>
    <cellStyle name="Accent1 29" xfId="198" xr:uid="{00000000-0005-0000-0000-00004E010000}"/>
    <cellStyle name="Accent1 29 2" xfId="2438" xr:uid="{00000000-0005-0000-0000-00004F010000}"/>
    <cellStyle name="Accent1 3" xfId="199" xr:uid="{00000000-0005-0000-0000-000050010000}"/>
    <cellStyle name="Accent1 3 2" xfId="2078" xr:uid="{00000000-0005-0000-0000-000051010000}"/>
    <cellStyle name="Accent1 30" xfId="200" xr:uid="{00000000-0005-0000-0000-000052010000}"/>
    <cellStyle name="Accent1 30 2" xfId="2439" xr:uid="{00000000-0005-0000-0000-000053010000}"/>
    <cellStyle name="Accent1 31" xfId="201" xr:uid="{00000000-0005-0000-0000-000054010000}"/>
    <cellStyle name="Accent1 32" xfId="202" xr:uid="{00000000-0005-0000-0000-000055010000}"/>
    <cellStyle name="Accent1 33" xfId="203" xr:uid="{00000000-0005-0000-0000-000056010000}"/>
    <cellStyle name="Accent1 34" xfId="204" xr:uid="{00000000-0005-0000-0000-000057010000}"/>
    <cellStyle name="Accent1 35" xfId="205" xr:uid="{00000000-0005-0000-0000-000058010000}"/>
    <cellStyle name="Accent1 36" xfId="206" xr:uid="{00000000-0005-0000-0000-000059010000}"/>
    <cellStyle name="Accent1 36 2" xfId="2440" xr:uid="{00000000-0005-0000-0000-00005A010000}"/>
    <cellStyle name="Accent1 36_For GOLD" xfId="2441" xr:uid="{00000000-0005-0000-0000-00005B010000}"/>
    <cellStyle name="Accent1 37" xfId="207" xr:uid="{00000000-0005-0000-0000-00005C010000}"/>
    <cellStyle name="Accent1 37 2" xfId="2442" xr:uid="{00000000-0005-0000-0000-00005D010000}"/>
    <cellStyle name="Accent1 37_For GOLD" xfId="2443" xr:uid="{00000000-0005-0000-0000-00005E010000}"/>
    <cellStyle name="Accent1 38" xfId="208" xr:uid="{00000000-0005-0000-0000-00005F010000}"/>
    <cellStyle name="Accent1 39" xfId="209" xr:uid="{00000000-0005-0000-0000-000060010000}"/>
    <cellStyle name="Accent1 4" xfId="210" xr:uid="{00000000-0005-0000-0000-000061010000}"/>
    <cellStyle name="Accent1 40" xfId="211" xr:uid="{00000000-0005-0000-0000-000062010000}"/>
    <cellStyle name="Accent1 41" xfId="212" xr:uid="{00000000-0005-0000-0000-000063010000}"/>
    <cellStyle name="Accent1 42" xfId="213" xr:uid="{00000000-0005-0000-0000-000064010000}"/>
    <cellStyle name="Accent1 43" xfId="214" xr:uid="{00000000-0005-0000-0000-000065010000}"/>
    <cellStyle name="Accent1 44" xfId="215" xr:uid="{00000000-0005-0000-0000-000066010000}"/>
    <cellStyle name="Accent1 45" xfId="216" xr:uid="{00000000-0005-0000-0000-000067010000}"/>
    <cellStyle name="Accent1 46" xfId="217" xr:uid="{00000000-0005-0000-0000-000068010000}"/>
    <cellStyle name="Accent1 47" xfId="218" xr:uid="{00000000-0005-0000-0000-000069010000}"/>
    <cellStyle name="Accent1 48" xfId="219" xr:uid="{00000000-0005-0000-0000-00006A010000}"/>
    <cellStyle name="Accent1 49" xfId="220" xr:uid="{00000000-0005-0000-0000-00006B010000}"/>
    <cellStyle name="Accent1 5" xfId="221" xr:uid="{00000000-0005-0000-0000-00006C010000}"/>
    <cellStyle name="Accent1 50" xfId="222" xr:uid="{00000000-0005-0000-0000-00006D010000}"/>
    <cellStyle name="Accent1 51" xfId="223" xr:uid="{00000000-0005-0000-0000-00006E010000}"/>
    <cellStyle name="Accent1 52" xfId="224" xr:uid="{00000000-0005-0000-0000-00006F010000}"/>
    <cellStyle name="Accent1 53" xfId="2076" xr:uid="{00000000-0005-0000-0000-000070010000}"/>
    <cellStyle name="Accent1 54" xfId="2262" xr:uid="{00000000-0005-0000-0000-000071010000}"/>
    <cellStyle name="Accent1 55" xfId="2444" xr:uid="{00000000-0005-0000-0000-000072010000}"/>
    <cellStyle name="Accent1 56" xfId="2445" xr:uid="{00000000-0005-0000-0000-000073010000}"/>
    <cellStyle name="Accent1 57" xfId="2446" xr:uid="{00000000-0005-0000-0000-000074010000}"/>
    <cellStyle name="Accent1 58" xfId="2447" xr:uid="{00000000-0005-0000-0000-000075010000}"/>
    <cellStyle name="Accent1 59" xfId="2448" xr:uid="{00000000-0005-0000-0000-000076010000}"/>
    <cellStyle name="Accent1 6" xfId="225" xr:uid="{00000000-0005-0000-0000-000077010000}"/>
    <cellStyle name="Accent1 60" xfId="2449" xr:uid="{00000000-0005-0000-0000-000078010000}"/>
    <cellStyle name="Accent1 61" xfId="2450" xr:uid="{00000000-0005-0000-0000-000079010000}"/>
    <cellStyle name="Accent1 62" xfId="2451" xr:uid="{00000000-0005-0000-0000-00007A010000}"/>
    <cellStyle name="Accent1 63" xfId="2452" xr:uid="{00000000-0005-0000-0000-00007B010000}"/>
    <cellStyle name="Accent1 64" xfId="2453" xr:uid="{00000000-0005-0000-0000-00007C010000}"/>
    <cellStyle name="Accent1 65" xfId="2454" xr:uid="{00000000-0005-0000-0000-00007D010000}"/>
    <cellStyle name="Accent1 66" xfId="2455" xr:uid="{00000000-0005-0000-0000-00007E010000}"/>
    <cellStyle name="Accent1 67" xfId="2456" xr:uid="{00000000-0005-0000-0000-00007F010000}"/>
    <cellStyle name="Accent1 68" xfId="2457" xr:uid="{00000000-0005-0000-0000-000080010000}"/>
    <cellStyle name="Accent1 69" xfId="2458" xr:uid="{00000000-0005-0000-0000-000081010000}"/>
    <cellStyle name="Accent1 7" xfId="226" xr:uid="{00000000-0005-0000-0000-000082010000}"/>
    <cellStyle name="Accent1 70" xfId="2459" xr:uid="{00000000-0005-0000-0000-000083010000}"/>
    <cellStyle name="Accent1 71" xfId="2460" xr:uid="{00000000-0005-0000-0000-000084010000}"/>
    <cellStyle name="Accent1 72" xfId="2461" xr:uid="{00000000-0005-0000-0000-000085010000}"/>
    <cellStyle name="Accent1 73" xfId="2462" xr:uid="{00000000-0005-0000-0000-000086010000}"/>
    <cellStyle name="Accent1 74" xfId="2463" xr:uid="{00000000-0005-0000-0000-000087010000}"/>
    <cellStyle name="Accent1 75" xfId="2464" xr:uid="{00000000-0005-0000-0000-000088010000}"/>
    <cellStyle name="Accent1 76" xfId="2465" xr:uid="{00000000-0005-0000-0000-000089010000}"/>
    <cellStyle name="Accent1 77" xfId="2466" xr:uid="{00000000-0005-0000-0000-00008A010000}"/>
    <cellStyle name="Accent1 78" xfId="89" xr:uid="{00000000-0005-0000-0000-00008B010000}"/>
    <cellStyle name="Accent1 8" xfId="227" xr:uid="{00000000-0005-0000-0000-00008C010000}"/>
    <cellStyle name="Accent1 9" xfId="228" xr:uid="{00000000-0005-0000-0000-00008D010000}"/>
    <cellStyle name="Accent2" xfId="33" xr:uid="{00000000-0005-0000-0000-00008E010000}"/>
    <cellStyle name="Accent2 - 20%" xfId="229" xr:uid="{00000000-0005-0000-0000-00008F010000}"/>
    <cellStyle name="Accent2 - 40%" xfId="230" xr:uid="{00000000-0005-0000-0000-000090010000}"/>
    <cellStyle name="Accent2 - 60%" xfId="231" xr:uid="{00000000-0005-0000-0000-000091010000}"/>
    <cellStyle name="Accent2 10" xfId="232" xr:uid="{00000000-0005-0000-0000-000092010000}"/>
    <cellStyle name="Accent2 11" xfId="233" xr:uid="{00000000-0005-0000-0000-000093010000}"/>
    <cellStyle name="Accent2 12" xfId="234" xr:uid="{00000000-0005-0000-0000-000094010000}"/>
    <cellStyle name="Accent2 12 2" xfId="2467" xr:uid="{00000000-0005-0000-0000-000095010000}"/>
    <cellStyle name="Accent2 12_For GOLD" xfId="2468" xr:uid="{00000000-0005-0000-0000-000096010000}"/>
    <cellStyle name="Accent2 13" xfId="235" xr:uid="{00000000-0005-0000-0000-000097010000}"/>
    <cellStyle name="Accent2 13 2" xfId="2469" xr:uid="{00000000-0005-0000-0000-000098010000}"/>
    <cellStyle name="Accent2 13_For GOLD" xfId="2470" xr:uid="{00000000-0005-0000-0000-000099010000}"/>
    <cellStyle name="Accent2 14" xfId="236" xr:uid="{00000000-0005-0000-0000-00009A010000}"/>
    <cellStyle name="Accent2 15" xfId="237" xr:uid="{00000000-0005-0000-0000-00009B010000}"/>
    <cellStyle name="Accent2 16" xfId="238" xr:uid="{00000000-0005-0000-0000-00009C010000}"/>
    <cellStyle name="Accent2 16 2" xfId="2471" xr:uid="{00000000-0005-0000-0000-00009D010000}"/>
    <cellStyle name="Accent2 17" xfId="239" xr:uid="{00000000-0005-0000-0000-00009E010000}"/>
    <cellStyle name="Accent2 17 2" xfId="2472" xr:uid="{00000000-0005-0000-0000-00009F010000}"/>
    <cellStyle name="Accent2 18" xfId="240" xr:uid="{00000000-0005-0000-0000-0000A0010000}"/>
    <cellStyle name="Accent2 18 2" xfId="2473" xr:uid="{00000000-0005-0000-0000-0000A1010000}"/>
    <cellStyle name="Accent2 19" xfId="241" xr:uid="{00000000-0005-0000-0000-0000A2010000}"/>
    <cellStyle name="Accent2 19 2" xfId="2474" xr:uid="{00000000-0005-0000-0000-0000A3010000}"/>
    <cellStyle name="Accent2 2" xfId="242" xr:uid="{00000000-0005-0000-0000-0000A4010000}"/>
    <cellStyle name="Accent2 2 2" xfId="2080" xr:uid="{00000000-0005-0000-0000-0000A5010000}"/>
    <cellStyle name="Accent2 2_For GOLD" xfId="2475" xr:uid="{00000000-0005-0000-0000-0000A6010000}"/>
    <cellStyle name="Accent2 20" xfId="243" xr:uid="{00000000-0005-0000-0000-0000A7010000}"/>
    <cellStyle name="Accent2 20 2" xfId="2476" xr:uid="{00000000-0005-0000-0000-0000A8010000}"/>
    <cellStyle name="Accent2 21" xfId="244" xr:uid="{00000000-0005-0000-0000-0000A9010000}"/>
    <cellStyle name="Accent2 21 2" xfId="2477" xr:uid="{00000000-0005-0000-0000-0000AA010000}"/>
    <cellStyle name="Accent2 22" xfId="245" xr:uid="{00000000-0005-0000-0000-0000AB010000}"/>
    <cellStyle name="Accent2 22 2" xfId="2478" xr:uid="{00000000-0005-0000-0000-0000AC010000}"/>
    <cellStyle name="Accent2 23" xfId="246" xr:uid="{00000000-0005-0000-0000-0000AD010000}"/>
    <cellStyle name="Accent2 23 2" xfId="2479" xr:uid="{00000000-0005-0000-0000-0000AE010000}"/>
    <cellStyle name="Accent2 24" xfId="247" xr:uid="{00000000-0005-0000-0000-0000AF010000}"/>
    <cellStyle name="Accent2 24 2" xfId="2480" xr:uid="{00000000-0005-0000-0000-0000B0010000}"/>
    <cellStyle name="Accent2 25" xfId="248" xr:uid="{00000000-0005-0000-0000-0000B1010000}"/>
    <cellStyle name="Accent2 25 2" xfId="2481" xr:uid="{00000000-0005-0000-0000-0000B2010000}"/>
    <cellStyle name="Accent2 26" xfId="249" xr:uid="{00000000-0005-0000-0000-0000B3010000}"/>
    <cellStyle name="Accent2 26 2" xfId="2482" xr:uid="{00000000-0005-0000-0000-0000B4010000}"/>
    <cellStyle name="Accent2 27" xfId="250" xr:uid="{00000000-0005-0000-0000-0000B5010000}"/>
    <cellStyle name="Accent2 27 2" xfId="2483" xr:uid="{00000000-0005-0000-0000-0000B6010000}"/>
    <cellStyle name="Accent2 28" xfId="251" xr:uid="{00000000-0005-0000-0000-0000B7010000}"/>
    <cellStyle name="Accent2 28 2" xfId="2484" xr:uid="{00000000-0005-0000-0000-0000B8010000}"/>
    <cellStyle name="Accent2 29" xfId="252" xr:uid="{00000000-0005-0000-0000-0000B9010000}"/>
    <cellStyle name="Accent2 29 2" xfId="2485" xr:uid="{00000000-0005-0000-0000-0000BA010000}"/>
    <cellStyle name="Accent2 3" xfId="253" xr:uid="{00000000-0005-0000-0000-0000BB010000}"/>
    <cellStyle name="Accent2 3 2" xfId="2081" xr:uid="{00000000-0005-0000-0000-0000BC010000}"/>
    <cellStyle name="Accent2 30" xfId="254" xr:uid="{00000000-0005-0000-0000-0000BD010000}"/>
    <cellStyle name="Accent2 30 2" xfId="2486" xr:uid="{00000000-0005-0000-0000-0000BE010000}"/>
    <cellStyle name="Accent2 31" xfId="255" xr:uid="{00000000-0005-0000-0000-0000BF010000}"/>
    <cellStyle name="Accent2 32" xfId="256" xr:uid="{00000000-0005-0000-0000-0000C0010000}"/>
    <cellStyle name="Accent2 33" xfId="257" xr:uid="{00000000-0005-0000-0000-0000C1010000}"/>
    <cellStyle name="Accent2 34" xfId="258" xr:uid="{00000000-0005-0000-0000-0000C2010000}"/>
    <cellStyle name="Accent2 35" xfId="259" xr:uid="{00000000-0005-0000-0000-0000C3010000}"/>
    <cellStyle name="Accent2 36" xfId="260" xr:uid="{00000000-0005-0000-0000-0000C4010000}"/>
    <cellStyle name="Accent2 36 2" xfId="2487" xr:uid="{00000000-0005-0000-0000-0000C5010000}"/>
    <cellStyle name="Accent2 36_For GOLD" xfId="2488" xr:uid="{00000000-0005-0000-0000-0000C6010000}"/>
    <cellStyle name="Accent2 37" xfId="261" xr:uid="{00000000-0005-0000-0000-0000C7010000}"/>
    <cellStyle name="Accent2 37 2" xfId="2489" xr:uid="{00000000-0005-0000-0000-0000C8010000}"/>
    <cellStyle name="Accent2 37_For GOLD" xfId="2490" xr:uid="{00000000-0005-0000-0000-0000C9010000}"/>
    <cellStyle name="Accent2 38" xfId="262" xr:uid="{00000000-0005-0000-0000-0000CA010000}"/>
    <cellStyle name="Accent2 39" xfId="263" xr:uid="{00000000-0005-0000-0000-0000CB010000}"/>
    <cellStyle name="Accent2 4" xfId="264" xr:uid="{00000000-0005-0000-0000-0000CC010000}"/>
    <cellStyle name="Accent2 40" xfId="265" xr:uid="{00000000-0005-0000-0000-0000CD010000}"/>
    <cellStyle name="Accent2 41" xfId="266" xr:uid="{00000000-0005-0000-0000-0000CE010000}"/>
    <cellStyle name="Accent2 42" xfId="267" xr:uid="{00000000-0005-0000-0000-0000CF010000}"/>
    <cellStyle name="Accent2 43" xfId="268" xr:uid="{00000000-0005-0000-0000-0000D0010000}"/>
    <cellStyle name="Accent2 44" xfId="269" xr:uid="{00000000-0005-0000-0000-0000D1010000}"/>
    <cellStyle name="Accent2 45" xfId="270" xr:uid="{00000000-0005-0000-0000-0000D2010000}"/>
    <cellStyle name="Accent2 46" xfId="271" xr:uid="{00000000-0005-0000-0000-0000D3010000}"/>
    <cellStyle name="Accent2 47" xfId="272" xr:uid="{00000000-0005-0000-0000-0000D4010000}"/>
    <cellStyle name="Accent2 48" xfId="273" xr:uid="{00000000-0005-0000-0000-0000D5010000}"/>
    <cellStyle name="Accent2 49" xfId="274" xr:uid="{00000000-0005-0000-0000-0000D6010000}"/>
    <cellStyle name="Accent2 5" xfId="275" xr:uid="{00000000-0005-0000-0000-0000D7010000}"/>
    <cellStyle name="Accent2 50" xfId="276" xr:uid="{00000000-0005-0000-0000-0000D8010000}"/>
    <cellStyle name="Accent2 51" xfId="277" xr:uid="{00000000-0005-0000-0000-0000D9010000}"/>
    <cellStyle name="Accent2 52" xfId="278" xr:uid="{00000000-0005-0000-0000-0000DA010000}"/>
    <cellStyle name="Accent2 53" xfId="2079" xr:uid="{00000000-0005-0000-0000-0000DB010000}"/>
    <cellStyle name="Accent2 54" xfId="2263" xr:uid="{00000000-0005-0000-0000-0000DC010000}"/>
    <cellStyle name="Accent2 55" xfId="2491" xr:uid="{00000000-0005-0000-0000-0000DD010000}"/>
    <cellStyle name="Accent2 56" xfId="2492" xr:uid="{00000000-0005-0000-0000-0000DE010000}"/>
    <cellStyle name="Accent2 57" xfId="2493" xr:uid="{00000000-0005-0000-0000-0000DF010000}"/>
    <cellStyle name="Accent2 58" xfId="2494" xr:uid="{00000000-0005-0000-0000-0000E0010000}"/>
    <cellStyle name="Accent2 59" xfId="2495" xr:uid="{00000000-0005-0000-0000-0000E1010000}"/>
    <cellStyle name="Accent2 6" xfId="279" xr:uid="{00000000-0005-0000-0000-0000E2010000}"/>
    <cellStyle name="Accent2 60" xfId="2496" xr:uid="{00000000-0005-0000-0000-0000E3010000}"/>
    <cellStyle name="Accent2 61" xfId="2497" xr:uid="{00000000-0005-0000-0000-0000E4010000}"/>
    <cellStyle name="Accent2 62" xfId="2498" xr:uid="{00000000-0005-0000-0000-0000E5010000}"/>
    <cellStyle name="Accent2 63" xfId="2499" xr:uid="{00000000-0005-0000-0000-0000E6010000}"/>
    <cellStyle name="Accent2 64" xfId="2500" xr:uid="{00000000-0005-0000-0000-0000E7010000}"/>
    <cellStyle name="Accent2 65" xfId="2501" xr:uid="{00000000-0005-0000-0000-0000E8010000}"/>
    <cellStyle name="Accent2 66" xfId="2502" xr:uid="{00000000-0005-0000-0000-0000E9010000}"/>
    <cellStyle name="Accent2 67" xfId="2503" xr:uid="{00000000-0005-0000-0000-0000EA010000}"/>
    <cellStyle name="Accent2 68" xfId="2504" xr:uid="{00000000-0005-0000-0000-0000EB010000}"/>
    <cellStyle name="Accent2 69" xfId="2505" xr:uid="{00000000-0005-0000-0000-0000EC010000}"/>
    <cellStyle name="Accent2 7" xfId="280" xr:uid="{00000000-0005-0000-0000-0000ED010000}"/>
    <cellStyle name="Accent2 70" xfId="2506" xr:uid="{00000000-0005-0000-0000-0000EE010000}"/>
    <cellStyle name="Accent2 71" xfId="2507" xr:uid="{00000000-0005-0000-0000-0000EF010000}"/>
    <cellStyle name="Accent2 72" xfId="2508" xr:uid="{00000000-0005-0000-0000-0000F0010000}"/>
    <cellStyle name="Accent2 73" xfId="2509" xr:uid="{00000000-0005-0000-0000-0000F1010000}"/>
    <cellStyle name="Accent2 74" xfId="2510" xr:uid="{00000000-0005-0000-0000-0000F2010000}"/>
    <cellStyle name="Accent2 75" xfId="2511" xr:uid="{00000000-0005-0000-0000-0000F3010000}"/>
    <cellStyle name="Accent2 76" xfId="2512" xr:uid="{00000000-0005-0000-0000-0000F4010000}"/>
    <cellStyle name="Accent2 77" xfId="2513" xr:uid="{00000000-0005-0000-0000-0000F5010000}"/>
    <cellStyle name="Accent2 78" xfId="90" xr:uid="{00000000-0005-0000-0000-0000F6010000}"/>
    <cellStyle name="Accent2 8" xfId="281" xr:uid="{00000000-0005-0000-0000-0000F7010000}"/>
    <cellStyle name="Accent2 9" xfId="282" xr:uid="{00000000-0005-0000-0000-0000F8010000}"/>
    <cellStyle name="Accent3" xfId="34" xr:uid="{00000000-0005-0000-0000-0000F9010000}"/>
    <cellStyle name="Accent3 - 20%" xfId="283" xr:uid="{00000000-0005-0000-0000-0000FA010000}"/>
    <cellStyle name="Accent3 - 40%" xfId="284" xr:uid="{00000000-0005-0000-0000-0000FB010000}"/>
    <cellStyle name="Accent3 - 60%" xfId="285" xr:uid="{00000000-0005-0000-0000-0000FC010000}"/>
    <cellStyle name="Accent3 10" xfId="286" xr:uid="{00000000-0005-0000-0000-0000FD010000}"/>
    <cellStyle name="Accent3 11" xfId="287" xr:uid="{00000000-0005-0000-0000-0000FE010000}"/>
    <cellStyle name="Accent3 12" xfId="288" xr:uid="{00000000-0005-0000-0000-0000FF010000}"/>
    <cellStyle name="Accent3 12 2" xfId="2514" xr:uid="{00000000-0005-0000-0000-000000020000}"/>
    <cellStyle name="Accent3 12_For GOLD" xfId="2515" xr:uid="{00000000-0005-0000-0000-000001020000}"/>
    <cellStyle name="Accent3 13" xfId="289" xr:uid="{00000000-0005-0000-0000-000002020000}"/>
    <cellStyle name="Accent3 13 2" xfId="2516" xr:uid="{00000000-0005-0000-0000-000003020000}"/>
    <cellStyle name="Accent3 13_For GOLD" xfId="2517" xr:uid="{00000000-0005-0000-0000-000004020000}"/>
    <cellStyle name="Accent3 14" xfId="290" xr:uid="{00000000-0005-0000-0000-000005020000}"/>
    <cellStyle name="Accent3 15" xfId="291" xr:uid="{00000000-0005-0000-0000-000006020000}"/>
    <cellStyle name="Accent3 16" xfId="292" xr:uid="{00000000-0005-0000-0000-000007020000}"/>
    <cellStyle name="Accent3 16 2" xfId="2518" xr:uid="{00000000-0005-0000-0000-000008020000}"/>
    <cellStyle name="Accent3 17" xfId="293" xr:uid="{00000000-0005-0000-0000-000009020000}"/>
    <cellStyle name="Accent3 17 2" xfId="2519" xr:uid="{00000000-0005-0000-0000-00000A020000}"/>
    <cellStyle name="Accent3 18" xfId="294" xr:uid="{00000000-0005-0000-0000-00000B020000}"/>
    <cellStyle name="Accent3 18 2" xfId="2520" xr:uid="{00000000-0005-0000-0000-00000C020000}"/>
    <cellStyle name="Accent3 19" xfId="295" xr:uid="{00000000-0005-0000-0000-00000D020000}"/>
    <cellStyle name="Accent3 19 2" xfId="2521" xr:uid="{00000000-0005-0000-0000-00000E020000}"/>
    <cellStyle name="Accent3 2" xfId="296" xr:uid="{00000000-0005-0000-0000-00000F020000}"/>
    <cellStyle name="Accent3 2 2" xfId="2083" xr:uid="{00000000-0005-0000-0000-000010020000}"/>
    <cellStyle name="Accent3 2_For GOLD" xfId="2522" xr:uid="{00000000-0005-0000-0000-000011020000}"/>
    <cellStyle name="Accent3 20" xfId="297" xr:uid="{00000000-0005-0000-0000-000012020000}"/>
    <cellStyle name="Accent3 20 2" xfId="2523" xr:uid="{00000000-0005-0000-0000-000013020000}"/>
    <cellStyle name="Accent3 21" xfId="298" xr:uid="{00000000-0005-0000-0000-000014020000}"/>
    <cellStyle name="Accent3 21 2" xfId="2524" xr:uid="{00000000-0005-0000-0000-000015020000}"/>
    <cellStyle name="Accent3 22" xfId="299" xr:uid="{00000000-0005-0000-0000-000016020000}"/>
    <cellStyle name="Accent3 22 2" xfId="2525" xr:uid="{00000000-0005-0000-0000-000017020000}"/>
    <cellStyle name="Accent3 23" xfId="300" xr:uid="{00000000-0005-0000-0000-000018020000}"/>
    <cellStyle name="Accent3 23 2" xfId="2526" xr:uid="{00000000-0005-0000-0000-000019020000}"/>
    <cellStyle name="Accent3 24" xfId="301" xr:uid="{00000000-0005-0000-0000-00001A020000}"/>
    <cellStyle name="Accent3 24 2" xfId="2527" xr:uid="{00000000-0005-0000-0000-00001B020000}"/>
    <cellStyle name="Accent3 25" xfId="302" xr:uid="{00000000-0005-0000-0000-00001C020000}"/>
    <cellStyle name="Accent3 25 2" xfId="2528" xr:uid="{00000000-0005-0000-0000-00001D020000}"/>
    <cellStyle name="Accent3 26" xfId="303" xr:uid="{00000000-0005-0000-0000-00001E020000}"/>
    <cellStyle name="Accent3 26 2" xfId="2529" xr:uid="{00000000-0005-0000-0000-00001F020000}"/>
    <cellStyle name="Accent3 27" xfId="304" xr:uid="{00000000-0005-0000-0000-000020020000}"/>
    <cellStyle name="Accent3 27 2" xfId="2530" xr:uid="{00000000-0005-0000-0000-000021020000}"/>
    <cellStyle name="Accent3 28" xfId="305" xr:uid="{00000000-0005-0000-0000-000022020000}"/>
    <cellStyle name="Accent3 28 2" xfId="2531" xr:uid="{00000000-0005-0000-0000-000023020000}"/>
    <cellStyle name="Accent3 29" xfId="306" xr:uid="{00000000-0005-0000-0000-000024020000}"/>
    <cellStyle name="Accent3 29 2" xfId="2532" xr:uid="{00000000-0005-0000-0000-000025020000}"/>
    <cellStyle name="Accent3 3" xfId="307" xr:uid="{00000000-0005-0000-0000-000026020000}"/>
    <cellStyle name="Accent3 3 2" xfId="2084" xr:uid="{00000000-0005-0000-0000-000027020000}"/>
    <cellStyle name="Accent3 30" xfId="308" xr:uid="{00000000-0005-0000-0000-000028020000}"/>
    <cellStyle name="Accent3 30 2" xfId="2533" xr:uid="{00000000-0005-0000-0000-000029020000}"/>
    <cellStyle name="Accent3 31" xfId="309" xr:uid="{00000000-0005-0000-0000-00002A020000}"/>
    <cellStyle name="Accent3 32" xfId="310" xr:uid="{00000000-0005-0000-0000-00002B020000}"/>
    <cellStyle name="Accent3 33" xfId="311" xr:uid="{00000000-0005-0000-0000-00002C020000}"/>
    <cellStyle name="Accent3 34" xfId="312" xr:uid="{00000000-0005-0000-0000-00002D020000}"/>
    <cellStyle name="Accent3 35" xfId="313" xr:uid="{00000000-0005-0000-0000-00002E020000}"/>
    <cellStyle name="Accent3 36" xfId="314" xr:uid="{00000000-0005-0000-0000-00002F020000}"/>
    <cellStyle name="Accent3 36 2" xfId="2534" xr:uid="{00000000-0005-0000-0000-000030020000}"/>
    <cellStyle name="Accent3 36_For GOLD" xfId="2535" xr:uid="{00000000-0005-0000-0000-000031020000}"/>
    <cellStyle name="Accent3 37" xfId="315" xr:uid="{00000000-0005-0000-0000-000032020000}"/>
    <cellStyle name="Accent3 37 2" xfId="2536" xr:uid="{00000000-0005-0000-0000-000033020000}"/>
    <cellStyle name="Accent3 37_For GOLD" xfId="2537" xr:uid="{00000000-0005-0000-0000-000034020000}"/>
    <cellStyle name="Accent3 38" xfId="316" xr:uid="{00000000-0005-0000-0000-000035020000}"/>
    <cellStyle name="Accent3 39" xfId="317" xr:uid="{00000000-0005-0000-0000-000036020000}"/>
    <cellStyle name="Accent3 4" xfId="318" xr:uid="{00000000-0005-0000-0000-000037020000}"/>
    <cellStyle name="Accent3 40" xfId="319" xr:uid="{00000000-0005-0000-0000-000038020000}"/>
    <cellStyle name="Accent3 41" xfId="320" xr:uid="{00000000-0005-0000-0000-000039020000}"/>
    <cellStyle name="Accent3 42" xfId="321" xr:uid="{00000000-0005-0000-0000-00003A020000}"/>
    <cellStyle name="Accent3 43" xfId="322" xr:uid="{00000000-0005-0000-0000-00003B020000}"/>
    <cellStyle name="Accent3 44" xfId="323" xr:uid="{00000000-0005-0000-0000-00003C020000}"/>
    <cellStyle name="Accent3 45" xfId="324" xr:uid="{00000000-0005-0000-0000-00003D020000}"/>
    <cellStyle name="Accent3 46" xfId="325" xr:uid="{00000000-0005-0000-0000-00003E020000}"/>
    <cellStyle name="Accent3 47" xfId="326" xr:uid="{00000000-0005-0000-0000-00003F020000}"/>
    <cellStyle name="Accent3 48" xfId="327" xr:uid="{00000000-0005-0000-0000-000040020000}"/>
    <cellStyle name="Accent3 49" xfId="328" xr:uid="{00000000-0005-0000-0000-000041020000}"/>
    <cellStyle name="Accent3 5" xfId="329" xr:uid="{00000000-0005-0000-0000-000042020000}"/>
    <cellStyle name="Accent3 50" xfId="330" xr:uid="{00000000-0005-0000-0000-000043020000}"/>
    <cellStyle name="Accent3 51" xfId="331" xr:uid="{00000000-0005-0000-0000-000044020000}"/>
    <cellStyle name="Accent3 52" xfId="332" xr:uid="{00000000-0005-0000-0000-000045020000}"/>
    <cellStyle name="Accent3 53" xfId="2082" xr:uid="{00000000-0005-0000-0000-000046020000}"/>
    <cellStyle name="Accent3 54" xfId="2264" xr:uid="{00000000-0005-0000-0000-000047020000}"/>
    <cellStyle name="Accent3 55" xfId="2538" xr:uid="{00000000-0005-0000-0000-000048020000}"/>
    <cellStyle name="Accent3 56" xfId="2539" xr:uid="{00000000-0005-0000-0000-000049020000}"/>
    <cellStyle name="Accent3 57" xfId="2540" xr:uid="{00000000-0005-0000-0000-00004A020000}"/>
    <cellStyle name="Accent3 58" xfId="2541" xr:uid="{00000000-0005-0000-0000-00004B020000}"/>
    <cellStyle name="Accent3 59" xfId="2542" xr:uid="{00000000-0005-0000-0000-00004C020000}"/>
    <cellStyle name="Accent3 6" xfId="333" xr:uid="{00000000-0005-0000-0000-00004D020000}"/>
    <cellStyle name="Accent3 60" xfId="2543" xr:uid="{00000000-0005-0000-0000-00004E020000}"/>
    <cellStyle name="Accent3 61" xfId="2544" xr:uid="{00000000-0005-0000-0000-00004F020000}"/>
    <cellStyle name="Accent3 62" xfId="2545" xr:uid="{00000000-0005-0000-0000-000050020000}"/>
    <cellStyle name="Accent3 63" xfId="2546" xr:uid="{00000000-0005-0000-0000-000051020000}"/>
    <cellStyle name="Accent3 64" xfId="2547" xr:uid="{00000000-0005-0000-0000-000052020000}"/>
    <cellStyle name="Accent3 65" xfId="2548" xr:uid="{00000000-0005-0000-0000-000053020000}"/>
    <cellStyle name="Accent3 66" xfId="2549" xr:uid="{00000000-0005-0000-0000-000054020000}"/>
    <cellStyle name="Accent3 67" xfId="2550" xr:uid="{00000000-0005-0000-0000-000055020000}"/>
    <cellStyle name="Accent3 68" xfId="2551" xr:uid="{00000000-0005-0000-0000-000056020000}"/>
    <cellStyle name="Accent3 69" xfId="2552" xr:uid="{00000000-0005-0000-0000-000057020000}"/>
    <cellStyle name="Accent3 7" xfId="334" xr:uid="{00000000-0005-0000-0000-000058020000}"/>
    <cellStyle name="Accent3 70" xfId="2553" xr:uid="{00000000-0005-0000-0000-000059020000}"/>
    <cellStyle name="Accent3 71" xfId="2554" xr:uid="{00000000-0005-0000-0000-00005A020000}"/>
    <cellStyle name="Accent3 72" xfId="2555" xr:uid="{00000000-0005-0000-0000-00005B020000}"/>
    <cellStyle name="Accent3 73" xfId="2556" xr:uid="{00000000-0005-0000-0000-00005C020000}"/>
    <cellStyle name="Accent3 74" xfId="2557" xr:uid="{00000000-0005-0000-0000-00005D020000}"/>
    <cellStyle name="Accent3 75" xfId="2558" xr:uid="{00000000-0005-0000-0000-00005E020000}"/>
    <cellStyle name="Accent3 76" xfId="2559" xr:uid="{00000000-0005-0000-0000-00005F020000}"/>
    <cellStyle name="Accent3 77" xfId="2560" xr:uid="{00000000-0005-0000-0000-000060020000}"/>
    <cellStyle name="Accent3 78" xfId="91" xr:uid="{00000000-0005-0000-0000-000061020000}"/>
    <cellStyle name="Accent3 8" xfId="335" xr:uid="{00000000-0005-0000-0000-000062020000}"/>
    <cellStyle name="Accent3 9" xfId="336" xr:uid="{00000000-0005-0000-0000-000063020000}"/>
    <cellStyle name="Accent4" xfId="35" xr:uid="{00000000-0005-0000-0000-000064020000}"/>
    <cellStyle name="Accent4 - 20%" xfId="337" xr:uid="{00000000-0005-0000-0000-000065020000}"/>
    <cellStyle name="Accent4 - 40%" xfId="338" xr:uid="{00000000-0005-0000-0000-000066020000}"/>
    <cellStyle name="Accent4 - 60%" xfId="339" xr:uid="{00000000-0005-0000-0000-000067020000}"/>
    <cellStyle name="Accent4 10" xfId="340" xr:uid="{00000000-0005-0000-0000-000068020000}"/>
    <cellStyle name="Accent4 11" xfId="341" xr:uid="{00000000-0005-0000-0000-000069020000}"/>
    <cellStyle name="Accent4 12" xfId="342" xr:uid="{00000000-0005-0000-0000-00006A020000}"/>
    <cellStyle name="Accent4 12 2" xfId="2561" xr:uid="{00000000-0005-0000-0000-00006B020000}"/>
    <cellStyle name="Accent4 12_For GOLD" xfId="2562" xr:uid="{00000000-0005-0000-0000-00006C020000}"/>
    <cellStyle name="Accent4 13" xfId="343" xr:uid="{00000000-0005-0000-0000-00006D020000}"/>
    <cellStyle name="Accent4 13 2" xfId="2563" xr:uid="{00000000-0005-0000-0000-00006E020000}"/>
    <cellStyle name="Accent4 13_For GOLD" xfId="2564" xr:uid="{00000000-0005-0000-0000-00006F020000}"/>
    <cellStyle name="Accent4 14" xfId="344" xr:uid="{00000000-0005-0000-0000-000070020000}"/>
    <cellStyle name="Accent4 15" xfId="345" xr:uid="{00000000-0005-0000-0000-000071020000}"/>
    <cellStyle name="Accent4 16" xfId="346" xr:uid="{00000000-0005-0000-0000-000072020000}"/>
    <cellStyle name="Accent4 16 2" xfId="2565" xr:uid="{00000000-0005-0000-0000-000073020000}"/>
    <cellStyle name="Accent4 17" xfId="347" xr:uid="{00000000-0005-0000-0000-000074020000}"/>
    <cellStyle name="Accent4 17 2" xfId="2566" xr:uid="{00000000-0005-0000-0000-000075020000}"/>
    <cellStyle name="Accent4 18" xfId="348" xr:uid="{00000000-0005-0000-0000-000076020000}"/>
    <cellStyle name="Accent4 18 2" xfId="2567" xr:uid="{00000000-0005-0000-0000-000077020000}"/>
    <cellStyle name="Accent4 19" xfId="349" xr:uid="{00000000-0005-0000-0000-000078020000}"/>
    <cellStyle name="Accent4 19 2" xfId="2568" xr:uid="{00000000-0005-0000-0000-000079020000}"/>
    <cellStyle name="Accent4 2" xfId="350" xr:uid="{00000000-0005-0000-0000-00007A020000}"/>
    <cellStyle name="Accent4 2 2" xfId="2086" xr:uid="{00000000-0005-0000-0000-00007B020000}"/>
    <cellStyle name="Accent4 2_For GOLD" xfId="2569" xr:uid="{00000000-0005-0000-0000-00007C020000}"/>
    <cellStyle name="Accent4 20" xfId="351" xr:uid="{00000000-0005-0000-0000-00007D020000}"/>
    <cellStyle name="Accent4 20 2" xfId="2570" xr:uid="{00000000-0005-0000-0000-00007E020000}"/>
    <cellStyle name="Accent4 21" xfId="352" xr:uid="{00000000-0005-0000-0000-00007F020000}"/>
    <cellStyle name="Accent4 21 2" xfId="2571" xr:uid="{00000000-0005-0000-0000-000080020000}"/>
    <cellStyle name="Accent4 22" xfId="353" xr:uid="{00000000-0005-0000-0000-000081020000}"/>
    <cellStyle name="Accent4 22 2" xfId="2572" xr:uid="{00000000-0005-0000-0000-000082020000}"/>
    <cellStyle name="Accent4 23" xfId="354" xr:uid="{00000000-0005-0000-0000-000083020000}"/>
    <cellStyle name="Accent4 23 2" xfId="2573" xr:uid="{00000000-0005-0000-0000-000084020000}"/>
    <cellStyle name="Accent4 24" xfId="355" xr:uid="{00000000-0005-0000-0000-000085020000}"/>
    <cellStyle name="Accent4 24 2" xfId="2574" xr:uid="{00000000-0005-0000-0000-000086020000}"/>
    <cellStyle name="Accent4 25" xfId="356" xr:uid="{00000000-0005-0000-0000-000087020000}"/>
    <cellStyle name="Accent4 25 2" xfId="2575" xr:uid="{00000000-0005-0000-0000-000088020000}"/>
    <cellStyle name="Accent4 26" xfId="357" xr:uid="{00000000-0005-0000-0000-000089020000}"/>
    <cellStyle name="Accent4 26 2" xfId="2576" xr:uid="{00000000-0005-0000-0000-00008A020000}"/>
    <cellStyle name="Accent4 27" xfId="358" xr:uid="{00000000-0005-0000-0000-00008B020000}"/>
    <cellStyle name="Accent4 27 2" xfId="2577" xr:uid="{00000000-0005-0000-0000-00008C020000}"/>
    <cellStyle name="Accent4 28" xfId="359" xr:uid="{00000000-0005-0000-0000-00008D020000}"/>
    <cellStyle name="Accent4 28 2" xfId="2578" xr:uid="{00000000-0005-0000-0000-00008E020000}"/>
    <cellStyle name="Accent4 29" xfId="360" xr:uid="{00000000-0005-0000-0000-00008F020000}"/>
    <cellStyle name="Accent4 29 2" xfId="2579" xr:uid="{00000000-0005-0000-0000-000090020000}"/>
    <cellStyle name="Accent4 3" xfId="361" xr:uid="{00000000-0005-0000-0000-000091020000}"/>
    <cellStyle name="Accent4 3 2" xfId="2087" xr:uid="{00000000-0005-0000-0000-000092020000}"/>
    <cellStyle name="Accent4 30" xfId="362" xr:uid="{00000000-0005-0000-0000-000093020000}"/>
    <cellStyle name="Accent4 30 2" xfId="2580" xr:uid="{00000000-0005-0000-0000-000094020000}"/>
    <cellStyle name="Accent4 31" xfId="363" xr:uid="{00000000-0005-0000-0000-000095020000}"/>
    <cellStyle name="Accent4 32" xfId="364" xr:uid="{00000000-0005-0000-0000-000096020000}"/>
    <cellStyle name="Accent4 33" xfId="365" xr:uid="{00000000-0005-0000-0000-000097020000}"/>
    <cellStyle name="Accent4 34" xfId="366" xr:uid="{00000000-0005-0000-0000-000098020000}"/>
    <cellStyle name="Accent4 35" xfId="367" xr:uid="{00000000-0005-0000-0000-000099020000}"/>
    <cellStyle name="Accent4 36" xfId="368" xr:uid="{00000000-0005-0000-0000-00009A020000}"/>
    <cellStyle name="Accent4 36 2" xfId="2581" xr:uid="{00000000-0005-0000-0000-00009B020000}"/>
    <cellStyle name="Accent4 36_For GOLD" xfId="2582" xr:uid="{00000000-0005-0000-0000-00009C020000}"/>
    <cellStyle name="Accent4 37" xfId="369" xr:uid="{00000000-0005-0000-0000-00009D020000}"/>
    <cellStyle name="Accent4 37 2" xfId="2583" xr:uid="{00000000-0005-0000-0000-00009E020000}"/>
    <cellStyle name="Accent4 37_For GOLD" xfId="2584" xr:uid="{00000000-0005-0000-0000-00009F020000}"/>
    <cellStyle name="Accent4 38" xfId="370" xr:uid="{00000000-0005-0000-0000-0000A0020000}"/>
    <cellStyle name="Accent4 39" xfId="371" xr:uid="{00000000-0005-0000-0000-0000A1020000}"/>
    <cellStyle name="Accent4 4" xfId="372" xr:uid="{00000000-0005-0000-0000-0000A2020000}"/>
    <cellStyle name="Accent4 40" xfId="373" xr:uid="{00000000-0005-0000-0000-0000A3020000}"/>
    <cellStyle name="Accent4 41" xfId="374" xr:uid="{00000000-0005-0000-0000-0000A4020000}"/>
    <cellStyle name="Accent4 42" xfId="375" xr:uid="{00000000-0005-0000-0000-0000A5020000}"/>
    <cellStyle name="Accent4 43" xfId="376" xr:uid="{00000000-0005-0000-0000-0000A6020000}"/>
    <cellStyle name="Accent4 44" xfId="377" xr:uid="{00000000-0005-0000-0000-0000A7020000}"/>
    <cellStyle name="Accent4 45" xfId="378" xr:uid="{00000000-0005-0000-0000-0000A8020000}"/>
    <cellStyle name="Accent4 46" xfId="379" xr:uid="{00000000-0005-0000-0000-0000A9020000}"/>
    <cellStyle name="Accent4 47" xfId="380" xr:uid="{00000000-0005-0000-0000-0000AA020000}"/>
    <cellStyle name="Accent4 48" xfId="381" xr:uid="{00000000-0005-0000-0000-0000AB020000}"/>
    <cellStyle name="Accent4 49" xfId="382" xr:uid="{00000000-0005-0000-0000-0000AC020000}"/>
    <cellStyle name="Accent4 5" xfId="383" xr:uid="{00000000-0005-0000-0000-0000AD020000}"/>
    <cellStyle name="Accent4 50" xfId="384" xr:uid="{00000000-0005-0000-0000-0000AE020000}"/>
    <cellStyle name="Accent4 51" xfId="385" xr:uid="{00000000-0005-0000-0000-0000AF020000}"/>
    <cellStyle name="Accent4 52" xfId="386" xr:uid="{00000000-0005-0000-0000-0000B0020000}"/>
    <cellStyle name="Accent4 53" xfId="2085" xr:uid="{00000000-0005-0000-0000-0000B1020000}"/>
    <cellStyle name="Accent4 54" xfId="2265" xr:uid="{00000000-0005-0000-0000-0000B2020000}"/>
    <cellStyle name="Accent4 55" xfId="2585" xr:uid="{00000000-0005-0000-0000-0000B3020000}"/>
    <cellStyle name="Accent4 56" xfId="2586" xr:uid="{00000000-0005-0000-0000-0000B4020000}"/>
    <cellStyle name="Accent4 57" xfId="2587" xr:uid="{00000000-0005-0000-0000-0000B5020000}"/>
    <cellStyle name="Accent4 58" xfId="2588" xr:uid="{00000000-0005-0000-0000-0000B6020000}"/>
    <cellStyle name="Accent4 59" xfId="2589" xr:uid="{00000000-0005-0000-0000-0000B7020000}"/>
    <cellStyle name="Accent4 6" xfId="387" xr:uid="{00000000-0005-0000-0000-0000B8020000}"/>
    <cellStyle name="Accent4 60" xfId="2590" xr:uid="{00000000-0005-0000-0000-0000B9020000}"/>
    <cellStyle name="Accent4 61" xfId="2591" xr:uid="{00000000-0005-0000-0000-0000BA020000}"/>
    <cellStyle name="Accent4 62" xfId="2592" xr:uid="{00000000-0005-0000-0000-0000BB020000}"/>
    <cellStyle name="Accent4 63" xfId="2593" xr:uid="{00000000-0005-0000-0000-0000BC020000}"/>
    <cellStyle name="Accent4 64" xfId="2594" xr:uid="{00000000-0005-0000-0000-0000BD020000}"/>
    <cellStyle name="Accent4 65" xfId="2595" xr:uid="{00000000-0005-0000-0000-0000BE020000}"/>
    <cellStyle name="Accent4 66" xfId="2596" xr:uid="{00000000-0005-0000-0000-0000BF020000}"/>
    <cellStyle name="Accent4 67" xfId="2597" xr:uid="{00000000-0005-0000-0000-0000C0020000}"/>
    <cellStyle name="Accent4 68" xfId="2598" xr:uid="{00000000-0005-0000-0000-0000C1020000}"/>
    <cellStyle name="Accent4 69" xfId="2599" xr:uid="{00000000-0005-0000-0000-0000C2020000}"/>
    <cellStyle name="Accent4 7" xfId="388" xr:uid="{00000000-0005-0000-0000-0000C3020000}"/>
    <cellStyle name="Accent4 70" xfId="2600" xr:uid="{00000000-0005-0000-0000-0000C4020000}"/>
    <cellStyle name="Accent4 71" xfId="2601" xr:uid="{00000000-0005-0000-0000-0000C5020000}"/>
    <cellStyle name="Accent4 72" xfId="2602" xr:uid="{00000000-0005-0000-0000-0000C6020000}"/>
    <cellStyle name="Accent4 73" xfId="2603" xr:uid="{00000000-0005-0000-0000-0000C7020000}"/>
    <cellStyle name="Accent4 74" xfId="2604" xr:uid="{00000000-0005-0000-0000-0000C8020000}"/>
    <cellStyle name="Accent4 75" xfId="2605" xr:uid="{00000000-0005-0000-0000-0000C9020000}"/>
    <cellStyle name="Accent4 76" xfId="2606" xr:uid="{00000000-0005-0000-0000-0000CA020000}"/>
    <cellStyle name="Accent4 77" xfId="2607" xr:uid="{00000000-0005-0000-0000-0000CB020000}"/>
    <cellStyle name="Accent4 78" xfId="92" xr:uid="{00000000-0005-0000-0000-0000CC020000}"/>
    <cellStyle name="Accent4 8" xfId="389" xr:uid="{00000000-0005-0000-0000-0000CD020000}"/>
    <cellStyle name="Accent4 9" xfId="390" xr:uid="{00000000-0005-0000-0000-0000CE020000}"/>
    <cellStyle name="Accent5" xfId="36" xr:uid="{00000000-0005-0000-0000-0000CF020000}"/>
    <cellStyle name="Accent5 - 20%" xfId="391" xr:uid="{00000000-0005-0000-0000-0000D0020000}"/>
    <cellStyle name="Accent5 - 40%" xfId="392" xr:uid="{00000000-0005-0000-0000-0000D1020000}"/>
    <cellStyle name="Accent5 - 60%" xfId="393" xr:uid="{00000000-0005-0000-0000-0000D2020000}"/>
    <cellStyle name="Accent5 10" xfId="394" xr:uid="{00000000-0005-0000-0000-0000D3020000}"/>
    <cellStyle name="Accent5 11" xfId="395" xr:uid="{00000000-0005-0000-0000-0000D4020000}"/>
    <cellStyle name="Accent5 12" xfId="396" xr:uid="{00000000-0005-0000-0000-0000D5020000}"/>
    <cellStyle name="Accent5 12 2" xfId="2608" xr:uid="{00000000-0005-0000-0000-0000D6020000}"/>
    <cellStyle name="Accent5 12_For GOLD" xfId="2609" xr:uid="{00000000-0005-0000-0000-0000D7020000}"/>
    <cellStyle name="Accent5 13" xfId="397" xr:uid="{00000000-0005-0000-0000-0000D8020000}"/>
    <cellStyle name="Accent5 13 2" xfId="2610" xr:uid="{00000000-0005-0000-0000-0000D9020000}"/>
    <cellStyle name="Accent5 13_For GOLD" xfId="2611" xr:uid="{00000000-0005-0000-0000-0000DA020000}"/>
    <cellStyle name="Accent5 14" xfId="398" xr:uid="{00000000-0005-0000-0000-0000DB020000}"/>
    <cellStyle name="Accent5 15" xfId="399" xr:uid="{00000000-0005-0000-0000-0000DC020000}"/>
    <cellStyle name="Accent5 16" xfId="400" xr:uid="{00000000-0005-0000-0000-0000DD020000}"/>
    <cellStyle name="Accent5 16 2" xfId="2612" xr:uid="{00000000-0005-0000-0000-0000DE020000}"/>
    <cellStyle name="Accent5 17" xfId="401" xr:uid="{00000000-0005-0000-0000-0000DF020000}"/>
    <cellStyle name="Accent5 17 2" xfId="2613" xr:uid="{00000000-0005-0000-0000-0000E0020000}"/>
    <cellStyle name="Accent5 18" xfId="402" xr:uid="{00000000-0005-0000-0000-0000E1020000}"/>
    <cellStyle name="Accent5 18 2" xfId="2614" xr:uid="{00000000-0005-0000-0000-0000E2020000}"/>
    <cellStyle name="Accent5 19" xfId="403" xr:uid="{00000000-0005-0000-0000-0000E3020000}"/>
    <cellStyle name="Accent5 19 2" xfId="2615" xr:uid="{00000000-0005-0000-0000-0000E4020000}"/>
    <cellStyle name="Accent5 2" xfId="404" xr:uid="{00000000-0005-0000-0000-0000E5020000}"/>
    <cellStyle name="Accent5 2 2" xfId="2089" xr:uid="{00000000-0005-0000-0000-0000E6020000}"/>
    <cellStyle name="Accent5 2_For GOLD" xfId="2616" xr:uid="{00000000-0005-0000-0000-0000E7020000}"/>
    <cellStyle name="Accent5 20" xfId="405" xr:uid="{00000000-0005-0000-0000-0000E8020000}"/>
    <cellStyle name="Accent5 20 2" xfId="2617" xr:uid="{00000000-0005-0000-0000-0000E9020000}"/>
    <cellStyle name="Accent5 21" xfId="406" xr:uid="{00000000-0005-0000-0000-0000EA020000}"/>
    <cellStyle name="Accent5 21 2" xfId="2618" xr:uid="{00000000-0005-0000-0000-0000EB020000}"/>
    <cellStyle name="Accent5 22" xfId="407" xr:uid="{00000000-0005-0000-0000-0000EC020000}"/>
    <cellStyle name="Accent5 22 2" xfId="2619" xr:uid="{00000000-0005-0000-0000-0000ED020000}"/>
    <cellStyle name="Accent5 23" xfId="408" xr:uid="{00000000-0005-0000-0000-0000EE020000}"/>
    <cellStyle name="Accent5 23 2" xfId="2620" xr:uid="{00000000-0005-0000-0000-0000EF020000}"/>
    <cellStyle name="Accent5 24" xfId="409" xr:uid="{00000000-0005-0000-0000-0000F0020000}"/>
    <cellStyle name="Accent5 24 2" xfId="2621" xr:uid="{00000000-0005-0000-0000-0000F1020000}"/>
    <cellStyle name="Accent5 25" xfId="410" xr:uid="{00000000-0005-0000-0000-0000F2020000}"/>
    <cellStyle name="Accent5 25 2" xfId="2622" xr:uid="{00000000-0005-0000-0000-0000F3020000}"/>
    <cellStyle name="Accent5 26" xfId="411" xr:uid="{00000000-0005-0000-0000-0000F4020000}"/>
    <cellStyle name="Accent5 26 2" xfId="2623" xr:uid="{00000000-0005-0000-0000-0000F5020000}"/>
    <cellStyle name="Accent5 27" xfId="412" xr:uid="{00000000-0005-0000-0000-0000F6020000}"/>
    <cellStyle name="Accent5 27 2" xfId="2624" xr:uid="{00000000-0005-0000-0000-0000F7020000}"/>
    <cellStyle name="Accent5 28" xfId="413" xr:uid="{00000000-0005-0000-0000-0000F8020000}"/>
    <cellStyle name="Accent5 28 2" xfId="2625" xr:uid="{00000000-0005-0000-0000-0000F9020000}"/>
    <cellStyle name="Accent5 29" xfId="414" xr:uid="{00000000-0005-0000-0000-0000FA020000}"/>
    <cellStyle name="Accent5 29 2" xfId="2626" xr:uid="{00000000-0005-0000-0000-0000FB020000}"/>
    <cellStyle name="Accent5 3" xfId="415" xr:uid="{00000000-0005-0000-0000-0000FC020000}"/>
    <cellStyle name="Accent5 3 2" xfId="2090" xr:uid="{00000000-0005-0000-0000-0000FD020000}"/>
    <cellStyle name="Accent5 30" xfId="416" xr:uid="{00000000-0005-0000-0000-0000FE020000}"/>
    <cellStyle name="Accent5 30 2" xfId="2627" xr:uid="{00000000-0005-0000-0000-0000FF020000}"/>
    <cellStyle name="Accent5 31" xfId="417" xr:uid="{00000000-0005-0000-0000-000000030000}"/>
    <cellStyle name="Accent5 32" xfId="418" xr:uid="{00000000-0005-0000-0000-000001030000}"/>
    <cellStyle name="Accent5 33" xfId="419" xr:uid="{00000000-0005-0000-0000-000002030000}"/>
    <cellStyle name="Accent5 34" xfId="420" xr:uid="{00000000-0005-0000-0000-000003030000}"/>
    <cellStyle name="Accent5 35" xfId="421" xr:uid="{00000000-0005-0000-0000-000004030000}"/>
    <cellStyle name="Accent5 36" xfId="422" xr:uid="{00000000-0005-0000-0000-000005030000}"/>
    <cellStyle name="Accent5 36 2" xfId="2628" xr:uid="{00000000-0005-0000-0000-000006030000}"/>
    <cellStyle name="Accent5 36_For GOLD" xfId="2629" xr:uid="{00000000-0005-0000-0000-000007030000}"/>
    <cellStyle name="Accent5 37" xfId="423" xr:uid="{00000000-0005-0000-0000-000008030000}"/>
    <cellStyle name="Accent5 37 2" xfId="2630" xr:uid="{00000000-0005-0000-0000-000009030000}"/>
    <cellStyle name="Accent5 37_For GOLD" xfId="2631" xr:uid="{00000000-0005-0000-0000-00000A030000}"/>
    <cellStyle name="Accent5 38" xfId="424" xr:uid="{00000000-0005-0000-0000-00000B030000}"/>
    <cellStyle name="Accent5 39" xfId="425" xr:uid="{00000000-0005-0000-0000-00000C030000}"/>
    <cellStyle name="Accent5 4" xfId="426" xr:uid="{00000000-0005-0000-0000-00000D030000}"/>
    <cellStyle name="Accent5 40" xfId="427" xr:uid="{00000000-0005-0000-0000-00000E030000}"/>
    <cellStyle name="Accent5 41" xfId="428" xr:uid="{00000000-0005-0000-0000-00000F030000}"/>
    <cellStyle name="Accent5 42" xfId="429" xr:uid="{00000000-0005-0000-0000-000010030000}"/>
    <cellStyle name="Accent5 43" xfId="430" xr:uid="{00000000-0005-0000-0000-000011030000}"/>
    <cellStyle name="Accent5 44" xfId="431" xr:uid="{00000000-0005-0000-0000-000012030000}"/>
    <cellStyle name="Accent5 45" xfId="432" xr:uid="{00000000-0005-0000-0000-000013030000}"/>
    <cellStyle name="Accent5 46" xfId="433" xr:uid="{00000000-0005-0000-0000-000014030000}"/>
    <cellStyle name="Accent5 47" xfId="434" xr:uid="{00000000-0005-0000-0000-000015030000}"/>
    <cellStyle name="Accent5 48" xfId="435" xr:uid="{00000000-0005-0000-0000-000016030000}"/>
    <cellStyle name="Accent5 49" xfId="436" xr:uid="{00000000-0005-0000-0000-000017030000}"/>
    <cellStyle name="Accent5 5" xfId="437" xr:uid="{00000000-0005-0000-0000-000018030000}"/>
    <cellStyle name="Accent5 50" xfId="438" xr:uid="{00000000-0005-0000-0000-000019030000}"/>
    <cellStyle name="Accent5 51" xfId="439" xr:uid="{00000000-0005-0000-0000-00001A030000}"/>
    <cellStyle name="Accent5 52" xfId="440" xr:uid="{00000000-0005-0000-0000-00001B030000}"/>
    <cellStyle name="Accent5 53" xfId="2088" xr:uid="{00000000-0005-0000-0000-00001C030000}"/>
    <cellStyle name="Accent5 54" xfId="2266" xr:uid="{00000000-0005-0000-0000-00001D030000}"/>
    <cellStyle name="Accent5 55" xfId="2632" xr:uid="{00000000-0005-0000-0000-00001E030000}"/>
    <cellStyle name="Accent5 56" xfId="2633" xr:uid="{00000000-0005-0000-0000-00001F030000}"/>
    <cellStyle name="Accent5 57" xfId="2634" xr:uid="{00000000-0005-0000-0000-000020030000}"/>
    <cellStyle name="Accent5 58" xfId="2635" xr:uid="{00000000-0005-0000-0000-000021030000}"/>
    <cellStyle name="Accent5 59" xfId="2636" xr:uid="{00000000-0005-0000-0000-000022030000}"/>
    <cellStyle name="Accent5 6" xfId="441" xr:uid="{00000000-0005-0000-0000-000023030000}"/>
    <cellStyle name="Accent5 60" xfId="2637" xr:uid="{00000000-0005-0000-0000-000024030000}"/>
    <cellStyle name="Accent5 61" xfId="2638" xr:uid="{00000000-0005-0000-0000-000025030000}"/>
    <cellStyle name="Accent5 62" xfId="2639" xr:uid="{00000000-0005-0000-0000-000026030000}"/>
    <cellStyle name="Accent5 63" xfId="2640" xr:uid="{00000000-0005-0000-0000-000027030000}"/>
    <cellStyle name="Accent5 64" xfId="2641" xr:uid="{00000000-0005-0000-0000-000028030000}"/>
    <cellStyle name="Accent5 65" xfId="2642" xr:uid="{00000000-0005-0000-0000-000029030000}"/>
    <cellStyle name="Accent5 66" xfId="2643" xr:uid="{00000000-0005-0000-0000-00002A030000}"/>
    <cellStyle name="Accent5 67" xfId="2644" xr:uid="{00000000-0005-0000-0000-00002B030000}"/>
    <cellStyle name="Accent5 68" xfId="2645" xr:uid="{00000000-0005-0000-0000-00002C030000}"/>
    <cellStyle name="Accent5 69" xfId="2646" xr:uid="{00000000-0005-0000-0000-00002D030000}"/>
    <cellStyle name="Accent5 7" xfId="442" xr:uid="{00000000-0005-0000-0000-00002E030000}"/>
    <cellStyle name="Accent5 70" xfId="2647" xr:uid="{00000000-0005-0000-0000-00002F030000}"/>
    <cellStyle name="Accent5 71" xfId="2648" xr:uid="{00000000-0005-0000-0000-000030030000}"/>
    <cellStyle name="Accent5 72" xfId="2649" xr:uid="{00000000-0005-0000-0000-000031030000}"/>
    <cellStyle name="Accent5 73" xfId="2650" xr:uid="{00000000-0005-0000-0000-000032030000}"/>
    <cellStyle name="Accent5 74" xfId="2651" xr:uid="{00000000-0005-0000-0000-000033030000}"/>
    <cellStyle name="Accent5 75" xfId="2652" xr:uid="{00000000-0005-0000-0000-000034030000}"/>
    <cellStyle name="Accent5 76" xfId="2653" xr:uid="{00000000-0005-0000-0000-000035030000}"/>
    <cellStyle name="Accent5 77" xfId="2654" xr:uid="{00000000-0005-0000-0000-000036030000}"/>
    <cellStyle name="Accent5 78" xfId="93" xr:uid="{00000000-0005-0000-0000-000037030000}"/>
    <cellStyle name="Accent5 8" xfId="443" xr:uid="{00000000-0005-0000-0000-000038030000}"/>
    <cellStyle name="Accent5 9" xfId="444" xr:uid="{00000000-0005-0000-0000-000039030000}"/>
    <cellStyle name="Accent6" xfId="37" xr:uid="{00000000-0005-0000-0000-00003A030000}"/>
    <cellStyle name="Accent6 - 20%" xfId="445" xr:uid="{00000000-0005-0000-0000-00003B030000}"/>
    <cellStyle name="Accent6 - 40%" xfId="446" xr:uid="{00000000-0005-0000-0000-00003C030000}"/>
    <cellStyle name="Accent6 - 60%" xfId="447" xr:uid="{00000000-0005-0000-0000-00003D030000}"/>
    <cellStyle name="Accent6 10" xfId="448" xr:uid="{00000000-0005-0000-0000-00003E030000}"/>
    <cellStyle name="Accent6 11" xfId="449" xr:uid="{00000000-0005-0000-0000-00003F030000}"/>
    <cellStyle name="Accent6 12" xfId="450" xr:uid="{00000000-0005-0000-0000-000040030000}"/>
    <cellStyle name="Accent6 12 2" xfId="2655" xr:uid="{00000000-0005-0000-0000-000041030000}"/>
    <cellStyle name="Accent6 12_For GOLD" xfId="2656" xr:uid="{00000000-0005-0000-0000-000042030000}"/>
    <cellStyle name="Accent6 13" xfId="451" xr:uid="{00000000-0005-0000-0000-000043030000}"/>
    <cellStyle name="Accent6 13 2" xfId="2657" xr:uid="{00000000-0005-0000-0000-000044030000}"/>
    <cellStyle name="Accent6 13_For GOLD" xfId="2658" xr:uid="{00000000-0005-0000-0000-000045030000}"/>
    <cellStyle name="Accent6 14" xfId="452" xr:uid="{00000000-0005-0000-0000-000046030000}"/>
    <cellStyle name="Accent6 15" xfId="453" xr:uid="{00000000-0005-0000-0000-000047030000}"/>
    <cellStyle name="Accent6 16" xfId="454" xr:uid="{00000000-0005-0000-0000-000048030000}"/>
    <cellStyle name="Accent6 16 2" xfId="2659" xr:uid="{00000000-0005-0000-0000-000049030000}"/>
    <cellStyle name="Accent6 17" xfId="455" xr:uid="{00000000-0005-0000-0000-00004A030000}"/>
    <cellStyle name="Accent6 17 2" xfId="2660" xr:uid="{00000000-0005-0000-0000-00004B030000}"/>
    <cellStyle name="Accent6 18" xfId="456" xr:uid="{00000000-0005-0000-0000-00004C030000}"/>
    <cellStyle name="Accent6 18 2" xfId="2661" xr:uid="{00000000-0005-0000-0000-00004D030000}"/>
    <cellStyle name="Accent6 19" xfId="457" xr:uid="{00000000-0005-0000-0000-00004E030000}"/>
    <cellStyle name="Accent6 19 2" xfId="2662" xr:uid="{00000000-0005-0000-0000-00004F030000}"/>
    <cellStyle name="Accent6 2" xfId="458" xr:uid="{00000000-0005-0000-0000-000050030000}"/>
    <cellStyle name="Accent6 2 2" xfId="2092" xr:uid="{00000000-0005-0000-0000-000051030000}"/>
    <cellStyle name="Accent6 2_For GOLD" xfId="2663" xr:uid="{00000000-0005-0000-0000-000052030000}"/>
    <cellStyle name="Accent6 20" xfId="459" xr:uid="{00000000-0005-0000-0000-000053030000}"/>
    <cellStyle name="Accent6 20 2" xfId="2664" xr:uid="{00000000-0005-0000-0000-000054030000}"/>
    <cellStyle name="Accent6 21" xfId="460" xr:uid="{00000000-0005-0000-0000-000055030000}"/>
    <cellStyle name="Accent6 21 2" xfId="2665" xr:uid="{00000000-0005-0000-0000-000056030000}"/>
    <cellStyle name="Accent6 22" xfId="461" xr:uid="{00000000-0005-0000-0000-000057030000}"/>
    <cellStyle name="Accent6 22 2" xfId="2666" xr:uid="{00000000-0005-0000-0000-000058030000}"/>
    <cellStyle name="Accent6 23" xfId="462" xr:uid="{00000000-0005-0000-0000-000059030000}"/>
    <cellStyle name="Accent6 23 2" xfId="2667" xr:uid="{00000000-0005-0000-0000-00005A030000}"/>
    <cellStyle name="Accent6 24" xfId="463" xr:uid="{00000000-0005-0000-0000-00005B030000}"/>
    <cellStyle name="Accent6 24 2" xfId="2668" xr:uid="{00000000-0005-0000-0000-00005C030000}"/>
    <cellStyle name="Accent6 25" xfId="464" xr:uid="{00000000-0005-0000-0000-00005D030000}"/>
    <cellStyle name="Accent6 25 2" xfId="2669" xr:uid="{00000000-0005-0000-0000-00005E030000}"/>
    <cellStyle name="Accent6 26" xfId="465" xr:uid="{00000000-0005-0000-0000-00005F030000}"/>
    <cellStyle name="Accent6 26 2" xfId="2670" xr:uid="{00000000-0005-0000-0000-000060030000}"/>
    <cellStyle name="Accent6 27" xfId="466" xr:uid="{00000000-0005-0000-0000-000061030000}"/>
    <cellStyle name="Accent6 27 2" xfId="2671" xr:uid="{00000000-0005-0000-0000-000062030000}"/>
    <cellStyle name="Accent6 28" xfId="467" xr:uid="{00000000-0005-0000-0000-000063030000}"/>
    <cellStyle name="Accent6 28 2" xfId="2672" xr:uid="{00000000-0005-0000-0000-000064030000}"/>
    <cellStyle name="Accent6 29" xfId="468" xr:uid="{00000000-0005-0000-0000-000065030000}"/>
    <cellStyle name="Accent6 29 2" xfId="2673" xr:uid="{00000000-0005-0000-0000-000066030000}"/>
    <cellStyle name="Accent6 3" xfId="469" xr:uid="{00000000-0005-0000-0000-000067030000}"/>
    <cellStyle name="Accent6 3 2" xfId="2093" xr:uid="{00000000-0005-0000-0000-000068030000}"/>
    <cellStyle name="Accent6 30" xfId="470" xr:uid="{00000000-0005-0000-0000-000069030000}"/>
    <cellStyle name="Accent6 30 2" xfId="2674" xr:uid="{00000000-0005-0000-0000-00006A030000}"/>
    <cellStyle name="Accent6 31" xfId="471" xr:uid="{00000000-0005-0000-0000-00006B030000}"/>
    <cellStyle name="Accent6 32" xfId="472" xr:uid="{00000000-0005-0000-0000-00006C030000}"/>
    <cellStyle name="Accent6 33" xfId="473" xr:uid="{00000000-0005-0000-0000-00006D030000}"/>
    <cellStyle name="Accent6 34" xfId="474" xr:uid="{00000000-0005-0000-0000-00006E030000}"/>
    <cellStyle name="Accent6 35" xfId="475" xr:uid="{00000000-0005-0000-0000-00006F030000}"/>
    <cellStyle name="Accent6 36" xfId="476" xr:uid="{00000000-0005-0000-0000-000070030000}"/>
    <cellStyle name="Accent6 36 2" xfId="2675" xr:uid="{00000000-0005-0000-0000-000071030000}"/>
    <cellStyle name="Accent6 36_For GOLD" xfId="2676" xr:uid="{00000000-0005-0000-0000-000072030000}"/>
    <cellStyle name="Accent6 37" xfId="477" xr:uid="{00000000-0005-0000-0000-000073030000}"/>
    <cellStyle name="Accent6 37 2" xfId="2677" xr:uid="{00000000-0005-0000-0000-000074030000}"/>
    <cellStyle name="Accent6 37_For GOLD" xfId="2678" xr:uid="{00000000-0005-0000-0000-000075030000}"/>
    <cellStyle name="Accent6 38" xfId="478" xr:uid="{00000000-0005-0000-0000-000076030000}"/>
    <cellStyle name="Accent6 39" xfId="479" xr:uid="{00000000-0005-0000-0000-000077030000}"/>
    <cellStyle name="Accent6 4" xfId="480" xr:uid="{00000000-0005-0000-0000-000078030000}"/>
    <cellStyle name="Accent6 40" xfId="481" xr:uid="{00000000-0005-0000-0000-000079030000}"/>
    <cellStyle name="Accent6 41" xfId="482" xr:uid="{00000000-0005-0000-0000-00007A030000}"/>
    <cellStyle name="Accent6 42" xfId="483" xr:uid="{00000000-0005-0000-0000-00007B030000}"/>
    <cellStyle name="Accent6 43" xfId="484" xr:uid="{00000000-0005-0000-0000-00007C030000}"/>
    <cellStyle name="Accent6 44" xfId="485" xr:uid="{00000000-0005-0000-0000-00007D030000}"/>
    <cellStyle name="Accent6 45" xfId="486" xr:uid="{00000000-0005-0000-0000-00007E030000}"/>
    <cellStyle name="Accent6 46" xfId="487" xr:uid="{00000000-0005-0000-0000-00007F030000}"/>
    <cellStyle name="Accent6 47" xfId="488" xr:uid="{00000000-0005-0000-0000-000080030000}"/>
    <cellStyle name="Accent6 48" xfId="489" xr:uid="{00000000-0005-0000-0000-000081030000}"/>
    <cellStyle name="Accent6 49" xfId="490" xr:uid="{00000000-0005-0000-0000-000082030000}"/>
    <cellStyle name="Accent6 5" xfId="491" xr:uid="{00000000-0005-0000-0000-000083030000}"/>
    <cellStyle name="Accent6 50" xfId="492" xr:uid="{00000000-0005-0000-0000-000084030000}"/>
    <cellStyle name="Accent6 51" xfId="493" xr:uid="{00000000-0005-0000-0000-000085030000}"/>
    <cellStyle name="Accent6 52" xfId="494" xr:uid="{00000000-0005-0000-0000-000086030000}"/>
    <cellStyle name="Accent6 53" xfId="2091" xr:uid="{00000000-0005-0000-0000-000087030000}"/>
    <cellStyle name="Accent6 54" xfId="2267" xr:uid="{00000000-0005-0000-0000-000088030000}"/>
    <cellStyle name="Accent6 55" xfId="2679" xr:uid="{00000000-0005-0000-0000-000089030000}"/>
    <cellStyle name="Accent6 56" xfId="2680" xr:uid="{00000000-0005-0000-0000-00008A030000}"/>
    <cellStyle name="Accent6 57" xfId="2681" xr:uid="{00000000-0005-0000-0000-00008B030000}"/>
    <cellStyle name="Accent6 58" xfId="2682" xr:uid="{00000000-0005-0000-0000-00008C030000}"/>
    <cellStyle name="Accent6 59" xfId="2683" xr:uid="{00000000-0005-0000-0000-00008D030000}"/>
    <cellStyle name="Accent6 6" xfId="495" xr:uid="{00000000-0005-0000-0000-00008E030000}"/>
    <cellStyle name="Accent6 60" xfId="2684" xr:uid="{00000000-0005-0000-0000-00008F030000}"/>
    <cellStyle name="Accent6 61" xfId="2685" xr:uid="{00000000-0005-0000-0000-000090030000}"/>
    <cellStyle name="Accent6 62" xfId="2686" xr:uid="{00000000-0005-0000-0000-000091030000}"/>
    <cellStyle name="Accent6 63" xfId="2687" xr:uid="{00000000-0005-0000-0000-000092030000}"/>
    <cellStyle name="Accent6 64" xfId="2688" xr:uid="{00000000-0005-0000-0000-000093030000}"/>
    <cellStyle name="Accent6 65" xfId="2689" xr:uid="{00000000-0005-0000-0000-000094030000}"/>
    <cellStyle name="Accent6 66" xfId="2690" xr:uid="{00000000-0005-0000-0000-000095030000}"/>
    <cellStyle name="Accent6 67" xfId="2691" xr:uid="{00000000-0005-0000-0000-000096030000}"/>
    <cellStyle name="Accent6 68" xfId="2692" xr:uid="{00000000-0005-0000-0000-000097030000}"/>
    <cellStyle name="Accent6 69" xfId="2693" xr:uid="{00000000-0005-0000-0000-000098030000}"/>
    <cellStyle name="Accent6 7" xfId="496" xr:uid="{00000000-0005-0000-0000-000099030000}"/>
    <cellStyle name="Accent6 70" xfId="2694" xr:uid="{00000000-0005-0000-0000-00009A030000}"/>
    <cellStyle name="Accent6 71" xfId="2695" xr:uid="{00000000-0005-0000-0000-00009B030000}"/>
    <cellStyle name="Accent6 72" xfId="2696" xr:uid="{00000000-0005-0000-0000-00009C030000}"/>
    <cellStyle name="Accent6 73" xfId="2697" xr:uid="{00000000-0005-0000-0000-00009D030000}"/>
    <cellStyle name="Accent6 74" xfId="2698" xr:uid="{00000000-0005-0000-0000-00009E030000}"/>
    <cellStyle name="Accent6 75" xfId="2699" xr:uid="{00000000-0005-0000-0000-00009F030000}"/>
    <cellStyle name="Accent6 76" xfId="2700" xr:uid="{00000000-0005-0000-0000-0000A0030000}"/>
    <cellStyle name="Accent6 77" xfId="2701" xr:uid="{00000000-0005-0000-0000-0000A1030000}"/>
    <cellStyle name="Accent6 78" xfId="94" xr:uid="{00000000-0005-0000-0000-0000A2030000}"/>
    <cellStyle name="Accent6 8" xfId="497" xr:uid="{00000000-0005-0000-0000-0000A3030000}"/>
    <cellStyle name="Accent6 9" xfId="498" xr:uid="{00000000-0005-0000-0000-0000A4030000}"/>
    <cellStyle name="AggblueCels_1x" xfId="2094" xr:uid="{00000000-0005-0000-0000-0000A5030000}"/>
    <cellStyle name="Akzent1" xfId="38" xr:uid="{00000000-0005-0000-0000-0000A6030000}"/>
    <cellStyle name="Akzent2" xfId="39" xr:uid="{00000000-0005-0000-0000-0000A7030000}"/>
    <cellStyle name="Akzent3" xfId="40" xr:uid="{00000000-0005-0000-0000-0000A8030000}"/>
    <cellStyle name="Akzent4" xfId="41" xr:uid="{00000000-0005-0000-0000-0000A9030000}"/>
    <cellStyle name="Akzent5" xfId="42" xr:uid="{00000000-0005-0000-0000-0000AA030000}"/>
    <cellStyle name="Akzent6" xfId="43" xr:uid="{00000000-0005-0000-0000-0000AB030000}"/>
    <cellStyle name="Ausgabe" xfId="44" xr:uid="{00000000-0005-0000-0000-0000AC030000}"/>
    <cellStyle name="Avertissement" xfId="499" xr:uid="{00000000-0005-0000-0000-0000AD030000}"/>
    <cellStyle name="Avertissement 2" xfId="2702" xr:uid="{00000000-0005-0000-0000-0000AE030000}"/>
    <cellStyle name="Avertissement 3" xfId="2703" xr:uid="{00000000-0005-0000-0000-0000AF030000}"/>
    <cellStyle name="Avertissement 4" xfId="2704" xr:uid="{00000000-0005-0000-0000-0000B0030000}"/>
    <cellStyle name="Avertissement_Feuil1" xfId="2705" xr:uid="{00000000-0005-0000-0000-0000B1030000}"/>
    <cellStyle name="Bad" xfId="45" xr:uid="{00000000-0005-0000-0000-0000B2030000}"/>
    <cellStyle name="Bad 2" xfId="500" xr:uid="{00000000-0005-0000-0000-0000B3030000}"/>
    <cellStyle name="Bad 2 2" xfId="2096" xr:uid="{00000000-0005-0000-0000-0000B4030000}"/>
    <cellStyle name="Bad 2_For GOLD" xfId="2706" xr:uid="{00000000-0005-0000-0000-0000B5030000}"/>
    <cellStyle name="Bad 3" xfId="2097" xr:uid="{00000000-0005-0000-0000-0000B6030000}"/>
    <cellStyle name="Bad 4" xfId="2098" xr:uid="{00000000-0005-0000-0000-0000B7030000}"/>
    <cellStyle name="Bad 5" xfId="2095" xr:uid="{00000000-0005-0000-0000-0000B8030000}"/>
    <cellStyle name="Bad 6" xfId="95" xr:uid="{00000000-0005-0000-0000-0000B9030000}"/>
    <cellStyle name="Berechnung" xfId="46" xr:uid="{00000000-0005-0000-0000-0000BA030000}"/>
    <cellStyle name="Bold GHG Numbers (0.00)" xfId="2099" xr:uid="{00000000-0005-0000-0000-0000BB030000}"/>
    <cellStyle name="Brand Align Left Text" xfId="501" xr:uid="{00000000-0005-0000-0000-0000BC030000}"/>
    <cellStyle name="Brand Default" xfId="502" xr:uid="{00000000-0005-0000-0000-0000BD030000}"/>
    <cellStyle name="Brand Percent" xfId="503" xr:uid="{00000000-0005-0000-0000-0000BE030000}"/>
    <cellStyle name="Brand Percent 2" xfId="2707" xr:uid="{00000000-0005-0000-0000-0000BF030000}"/>
    <cellStyle name="Brand Percent_Monthly Energy Log" xfId="2708" xr:uid="{00000000-0005-0000-0000-0000C0030000}"/>
    <cellStyle name="Brand Source" xfId="504" xr:uid="{00000000-0005-0000-0000-0000C1030000}"/>
    <cellStyle name="Brand Source 2" xfId="2709" xr:uid="{00000000-0005-0000-0000-0000C2030000}"/>
    <cellStyle name="Brand Source_Monthly Energy Log" xfId="2710" xr:uid="{00000000-0005-0000-0000-0000C3030000}"/>
    <cellStyle name="Brand Subtitle with Underline" xfId="505" xr:uid="{00000000-0005-0000-0000-0000C4030000}"/>
    <cellStyle name="Brand Subtitle without Underline" xfId="506" xr:uid="{00000000-0005-0000-0000-0000C5030000}"/>
    <cellStyle name="Brand Title" xfId="507" xr:uid="{00000000-0005-0000-0000-0000C6030000}"/>
    <cellStyle name="Buena" xfId="508" xr:uid="{00000000-0005-0000-0000-0000C7030000}"/>
    <cellStyle name="Calc Currency (0)" xfId="509" xr:uid="{00000000-0005-0000-0000-0000C8030000}"/>
    <cellStyle name="Calcolo" xfId="510" xr:uid="{00000000-0005-0000-0000-0000C9030000}"/>
    <cellStyle name="Calcul" xfId="511" xr:uid="{00000000-0005-0000-0000-0000CA030000}"/>
    <cellStyle name="Calcul 2" xfId="2711" xr:uid="{00000000-0005-0000-0000-0000CB030000}"/>
    <cellStyle name="Calcul 3" xfId="2712" xr:uid="{00000000-0005-0000-0000-0000CC030000}"/>
    <cellStyle name="Calcul 4" xfId="2713" xr:uid="{00000000-0005-0000-0000-0000CD030000}"/>
    <cellStyle name="Calcul_Feuil1" xfId="2714" xr:uid="{00000000-0005-0000-0000-0000CE030000}"/>
    <cellStyle name="Calculation" xfId="47" xr:uid="{00000000-0005-0000-0000-0000CF030000}"/>
    <cellStyle name="Calculation 2" xfId="512" xr:uid="{00000000-0005-0000-0000-0000D0030000}"/>
    <cellStyle name="Calculation 2 2" xfId="2101" xr:uid="{00000000-0005-0000-0000-0000D1030000}"/>
    <cellStyle name="Calculation 2_For GOLD" xfId="2715" xr:uid="{00000000-0005-0000-0000-0000D2030000}"/>
    <cellStyle name="Calculation 3" xfId="2102" xr:uid="{00000000-0005-0000-0000-0000D3030000}"/>
    <cellStyle name="Calculation 4" xfId="2100" xr:uid="{00000000-0005-0000-0000-0000D4030000}"/>
    <cellStyle name="Calculation 5" xfId="96" xr:uid="{00000000-0005-0000-0000-0000D5030000}"/>
    <cellStyle name="Cálculo" xfId="513" xr:uid="{00000000-0005-0000-0000-0000D6030000}"/>
    <cellStyle name="Celda de comprobación" xfId="514" xr:uid="{00000000-0005-0000-0000-0000D7030000}"/>
    <cellStyle name="Celda vinculada" xfId="515" xr:uid="{00000000-0005-0000-0000-0000D8030000}"/>
    <cellStyle name="Cella collegata" xfId="516" xr:uid="{00000000-0005-0000-0000-0000D9030000}"/>
    <cellStyle name="Cella da controllare" xfId="517" xr:uid="{00000000-0005-0000-0000-0000DA030000}"/>
    <cellStyle name="Cellule liée" xfId="518" xr:uid="{00000000-0005-0000-0000-0000DB030000}"/>
    <cellStyle name="Cellule liée 2" xfId="2716" xr:uid="{00000000-0005-0000-0000-0000DC030000}"/>
    <cellStyle name="Cellule liée 3" xfId="2717" xr:uid="{00000000-0005-0000-0000-0000DD030000}"/>
    <cellStyle name="Cellule liée 4" xfId="2718" xr:uid="{00000000-0005-0000-0000-0000DE030000}"/>
    <cellStyle name="Cellule liée_Feuil1" xfId="2719" xr:uid="{00000000-0005-0000-0000-0000DF030000}"/>
    <cellStyle name="cf1" xfId="114" xr:uid="{00000000-0005-0000-0000-0000E0030000}"/>
    <cellStyle name="cf2" xfId="115" xr:uid="{00000000-0005-0000-0000-0000E1030000}"/>
    <cellStyle name="Check Cell" xfId="48" xr:uid="{00000000-0005-0000-0000-0000E2030000}"/>
    <cellStyle name="Check Cell 2" xfId="519" xr:uid="{00000000-0005-0000-0000-0000E3030000}"/>
    <cellStyle name="Check Cell 2 2" xfId="2104" xr:uid="{00000000-0005-0000-0000-0000E4030000}"/>
    <cellStyle name="Check Cell 2_For GOLD" xfId="2720" xr:uid="{00000000-0005-0000-0000-0000E5030000}"/>
    <cellStyle name="Check Cell 3" xfId="2105" xr:uid="{00000000-0005-0000-0000-0000E6030000}"/>
    <cellStyle name="Check Cell 4" xfId="2103" xr:uid="{00000000-0005-0000-0000-0000E7030000}"/>
    <cellStyle name="Check Cell 5" xfId="97" xr:uid="{00000000-0005-0000-0000-0000E8030000}"/>
    <cellStyle name="Colore 1" xfId="520" xr:uid="{00000000-0005-0000-0000-0000E9030000}"/>
    <cellStyle name="Colore 2" xfId="521" xr:uid="{00000000-0005-0000-0000-0000EA030000}"/>
    <cellStyle name="Colore 3" xfId="522" xr:uid="{00000000-0005-0000-0000-0000EB030000}"/>
    <cellStyle name="Colore 4" xfId="523" xr:uid="{00000000-0005-0000-0000-0000EC030000}"/>
    <cellStyle name="Colore 5" xfId="524" xr:uid="{00000000-0005-0000-0000-0000ED030000}"/>
    <cellStyle name="Colore 6" xfId="525" xr:uid="{00000000-0005-0000-0000-0000EE030000}"/>
    <cellStyle name="Column_Title" xfId="526" xr:uid="{00000000-0005-0000-0000-0000EF030000}"/>
    <cellStyle name="ColumnAttributeAbovePrompt" xfId="527" xr:uid="{00000000-0005-0000-0000-0000F0030000}"/>
    <cellStyle name="ColumnAttributePrompt" xfId="528" xr:uid="{00000000-0005-0000-0000-0000F1030000}"/>
    <cellStyle name="ColumnAttributeValue" xfId="529" xr:uid="{00000000-0005-0000-0000-0000F2030000}"/>
    <cellStyle name="ColumnHeadingPrompt" xfId="530" xr:uid="{00000000-0005-0000-0000-0000F3030000}"/>
    <cellStyle name="ColumnHeadingValue" xfId="531" xr:uid="{00000000-0005-0000-0000-0000F4030000}"/>
    <cellStyle name="Comma" xfId="6188" builtinId="3"/>
    <cellStyle name="Comma 10" xfId="2106" xr:uid="{00000000-0005-0000-0000-0000F5030000}"/>
    <cellStyle name="Comma 10 2" xfId="2721" xr:uid="{00000000-0005-0000-0000-0000F6030000}"/>
    <cellStyle name="Comma 11" xfId="2107" xr:uid="{00000000-0005-0000-0000-0000F7030000}"/>
    <cellStyle name="Comma 12" xfId="2108" xr:uid="{00000000-0005-0000-0000-0000F8030000}"/>
    <cellStyle name="Comma 13" xfId="98" xr:uid="{00000000-0005-0000-0000-0000F9030000}"/>
    <cellStyle name="Comma 2" xfId="532" xr:uid="{00000000-0005-0000-0000-0000FA030000}"/>
    <cellStyle name="Comma 2 10" xfId="2722" xr:uid="{00000000-0005-0000-0000-0000FB030000}"/>
    <cellStyle name="Comma 2 11" xfId="2723" xr:uid="{00000000-0005-0000-0000-0000FC030000}"/>
    <cellStyle name="Comma 2 12" xfId="2724" xr:uid="{00000000-0005-0000-0000-0000FD030000}"/>
    <cellStyle name="Comma 2 13" xfId="2725" xr:uid="{00000000-0005-0000-0000-0000FE030000}"/>
    <cellStyle name="Comma 2 2" xfId="533" xr:uid="{00000000-0005-0000-0000-0000FF030000}"/>
    <cellStyle name="Comma 2 2 10" xfId="534" xr:uid="{00000000-0005-0000-0000-000000040000}"/>
    <cellStyle name="Comma 2 2 11" xfId="535" xr:uid="{00000000-0005-0000-0000-000001040000}"/>
    <cellStyle name="Comma 2 2 12" xfId="536" xr:uid="{00000000-0005-0000-0000-000002040000}"/>
    <cellStyle name="Comma 2 2 13" xfId="537" xr:uid="{00000000-0005-0000-0000-000003040000}"/>
    <cellStyle name="Comma 2 2 14" xfId="538" xr:uid="{00000000-0005-0000-0000-000004040000}"/>
    <cellStyle name="Comma 2 2 15" xfId="539" xr:uid="{00000000-0005-0000-0000-000005040000}"/>
    <cellStyle name="Comma 2 2 16" xfId="540" xr:uid="{00000000-0005-0000-0000-000006040000}"/>
    <cellStyle name="Comma 2 2 17" xfId="541" xr:uid="{00000000-0005-0000-0000-000007040000}"/>
    <cellStyle name="Comma 2 2 18" xfId="542" xr:uid="{00000000-0005-0000-0000-000008040000}"/>
    <cellStyle name="Comma 2 2 19" xfId="543" xr:uid="{00000000-0005-0000-0000-000009040000}"/>
    <cellStyle name="Comma 2 2 2" xfId="544" xr:uid="{00000000-0005-0000-0000-00000A040000}"/>
    <cellStyle name="Comma 2 2 2 2" xfId="2111" xr:uid="{00000000-0005-0000-0000-00000B040000}"/>
    <cellStyle name="Comma 2 2 20" xfId="545" xr:uid="{00000000-0005-0000-0000-00000C040000}"/>
    <cellStyle name="Comma 2 2 21" xfId="546" xr:uid="{00000000-0005-0000-0000-00000D040000}"/>
    <cellStyle name="Comma 2 2 22" xfId="547" xr:uid="{00000000-0005-0000-0000-00000E040000}"/>
    <cellStyle name="Comma 2 2 23" xfId="2110" xr:uid="{00000000-0005-0000-0000-00000F040000}"/>
    <cellStyle name="Comma 2 2 3" xfId="548" xr:uid="{00000000-0005-0000-0000-000010040000}"/>
    <cellStyle name="Comma 2 2 4" xfId="549" xr:uid="{00000000-0005-0000-0000-000011040000}"/>
    <cellStyle name="Comma 2 2 5" xfId="550" xr:uid="{00000000-0005-0000-0000-000012040000}"/>
    <cellStyle name="Comma 2 2 6" xfId="551" xr:uid="{00000000-0005-0000-0000-000013040000}"/>
    <cellStyle name="Comma 2 2 7" xfId="552" xr:uid="{00000000-0005-0000-0000-000014040000}"/>
    <cellStyle name="Comma 2 2 8" xfId="553" xr:uid="{00000000-0005-0000-0000-000015040000}"/>
    <cellStyle name="Comma 2 2 9" xfId="554" xr:uid="{00000000-0005-0000-0000-000016040000}"/>
    <cellStyle name="Comma 2 3" xfId="2112" xr:uid="{00000000-0005-0000-0000-000017040000}"/>
    <cellStyle name="Comma 2 3 2" xfId="2726" xr:uid="{00000000-0005-0000-0000-000018040000}"/>
    <cellStyle name="Comma 2 3 2 2" xfId="2727" xr:uid="{00000000-0005-0000-0000-000019040000}"/>
    <cellStyle name="Comma 2 3 2 3" xfId="2728" xr:uid="{00000000-0005-0000-0000-00001A040000}"/>
    <cellStyle name="Comma 2 3 3" xfId="2729" xr:uid="{00000000-0005-0000-0000-00001B040000}"/>
    <cellStyle name="Comma 2 3 4" xfId="2730" xr:uid="{00000000-0005-0000-0000-00001C040000}"/>
    <cellStyle name="Comma 2 3_For GOLD" xfId="2731" xr:uid="{00000000-0005-0000-0000-00001D040000}"/>
    <cellStyle name="Comma 2 4" xfId="2109" xr:uid="{00000000-0005-0000-0000-00001E040000}"/>
    <cellStyle name="Comma 2 5" xfId="2732" xr:uid="{00000000-0005-0000-0000-00001F040000}"/>
    <cellStyle name="Comma 2 6" xfId="2733" xr:uid="{00000000-0005-0000-0000-000020040000}"/>
    <cellStyle name="Comma 2 7" xfId="2734" xr:uid="{00000000-0005-0000-0000-000021040000}"/>
    <cellStyle name="Comma 2 8" xfId="2735" xr:uid="{00000000-0005-0000-0000-000022040000}"/>
    <cellStyle name="Comma 2 9" xfId="2736" xr:uid="{00000000-0005-0000-0000-000023040000}"/>
    <cellStyle name="Comma 2_2017 Summary" xfId="555" xr:uid="{00000000-0005-0000-0000-000024040000}"/>
    <cellStyle name="Comma 3" xfId="556" xr:uid="{00000000-0005-0000-0000-000025040000}"/>
    <cellStyle name="Comma 3 10" xfId="2737" xr:uid="{00000000-0005-0000-0000-000026040000}"/>
    <cellStyle name="Comma 3 11" xfId="2738" xr:uid="{00000000-0005-0000-0000-000027040000}"/>
    <cellStyle name="Comma 3 12" xfId="2739" xr:uid="{00000000-0005-0000-0000-000028040000}"/>
    <cellStyle name="Comma 3 13" xfId="2740" xr:uid="{00000000-0005-0000-0000-000029040000}"/>
    <cellStyle name="Comma 3 14" xfId="2741" xr:uid="{00000000-0005-0000-0000-00002A040000}"/>
    <cellStyle name="Comma 3 15" xfId="2742" xr:uid="{00000000-0005-0000-0000-00002B040000}"/>
    <cellStyle name="Comma 3 16" xfId="2743" xr:uid="{00000000-0005-0000-0000-00002C040000}"/>
    <cellStyle name="Comma 3 17" xfId="2744" xr:uid="{00000000-0005-0000-0000-00002D040000}"/>
    <cellStyle name="Comma 3 18" xfId="2745" xr:uid="{00000000-0005-0000-0000-00002E040000}"/>
    <cellStyle name="Comma 3 19" xfId="2746" xr:uid="{00000000-0005-0000-0000-00002F040000}"/>
    <cellStyle name="Comma 3 2" xfId="557" xr:uid="{00000000-0005-0000-0000-000030040000}"/>
    <cellStyle name="Comma 3 2 10" xfId="2747" xr:uid="{00000000-0005-0000-0000-000031040000}"/>
    <cellStyle name="Comma 3 2 11" xfId="2748" xr:uid="{00000000-0005-0000-0000-000032040000}"/>
    <cellStyle name="Comma 3 2 12" xfId="2749" xr:uid="{00000000-0005-0000-0000-000033040000}"/>
    <cellStyle name="Comma 3 2 13" xfId="2750" xr:uid="{00000000-0005-0000-0000-000034040000}"/>
    <cellStyle name="Comma 3 2 14" xfId="2751" xr:uid="{00000000-0005-0000-0000-000035040000}"/>
    <cellStyle name="Comma 3 2 2" xfId="558" xr:uid="{00000000-0005-0000-0000-000036040000}"/>
    <cellStyle name="Comma 3 2 2 2" xfId="2752" xr:uid="{00000000-0005-0000-0000-000037040000}"/>
    <cellStyle name="Comma 3 2 2 2 2" xfId="2753" xr:uid="{00000000-0005-0000-0000-000038040000}"/>
    <cellStyle name="Comma 3 2 2 2 3" xfId="2754" xr:uid="{00000000-0005-0000-0000-000039040000}"/>
    <cellStyle name="Comma 3 2 2 3" xfId="2755" xr:uid="{00000000-0005-0000-0000-00003A040000}"/>
    <cellStyle name="Comma 3 2 2 4" xfId="2756" xr:uid="{00000000-0005-0000-0000-00003B040000}"/>
    <cellStyle name="Comma 3 2 2 5" xfId="2757" xr:uid="{00000000-0005-0000-0000-00003C040000}"/>
    <cellStyle name="Comma 3 2 2 6" xfId="2758" xr:uid="{00000000-0005-0000-0000-00003D040000}"/>
    <cellStyle name="Comma 3 2 2 7" xfId="2759" xr:uid="{00000000-0005-0000-0000-00003E040000}"/>
    <cellStyle name="Comma 3 2 2 8" xfId="2760" xr:uid="{00000000-0005-0000-0000-00003F040000}"/>
    <cellStyle name="Comma 3 2 2 9" xfId="2761" xr:uid="{00000000-0005-0000-0000-000040040000}"/>
    <cellStyle name="Comma 3 2 3" xfId="2114" xr:uid="{00000000-0005-0000-0000-000041040000}"/>
    <cellStyle name="Comma 3 2 3 2" xfId="2762" xr:uid="{00000000-0005-0000-0000-000042040000}"/>
    <cellStyle name="Comma 3 2 3 2 2" xfId="2763" xr:uid="{00000000-0005-0000-0000-000043040000}"/>
    <cellStyle name="Comma 3 2 3 2 3" xfId="2764" xr:uid="{00000000-0005-0000-0000-000044040000}"/>
    <cellStyle name="Comma 3 2 3 3" xfId="2765" xr:uid="{00000000-0005-0000-0000-000045040000}"/>
    <cellStyle name="Comma 3 2 3 4" xfId="2766" xr:uid="{00000000-0005-0000-0000-000046040000}"/>
    <cellStyle name="Comma 3 2 3 5" xfId="2767" xr:uid="{00000000-0005-0000-0000-000047040000}"/>
    <cellStyle name="Comma 3 2 3 6" xfId="2768" xr:uid="{00000000-0005-0000-0000-000048040000}"/>
    <cellStyle name="Comma 3 2 3 7" xfId="2769" xr:uid="{00000000-0005-0000-0000-000049040000}"/>
    <cellStyle name="Comma 3 2 4" xfId="2770" xr:uid="{00000000-0005-0000-0000-00004A040000}"/>
    <cellStyle name="Comma 3 2 4 2" xfId="2771" xr:uid="{00000000-0005-0000-0000-00004B040000}"/>
    <cellStyle name="Comma 3 2 4 2 2" xfId="2772" xr:uid="{00000000-0005-0000-0000-00004C040000}"/>
    <cellStyle name="Comma 3 2 4 2 3" xfId="2773" xr:uid="{00000000-0005-0000-0000-00004D040000}"/>
    <cellStyle name="Comma 3 2 4 3" xfId="2774" xr:uid="{00000000-0005-0000-0000-00004E040000}"/>
    <cellStyle name="Comma 3 2 4 4" xfId="2775" xr:uid="{00000000-0005-0000-0000-00004F040000}"/>
    <cellStyle name="Comma 3 2 4 5" xfId="2776" xr:uid="{00000000-0005-0000-0000-000050040000}"/>
    <cellStyle name="Comma 3 2 4 6" xfId="2777" xr:uid="{00000000-0005-0000-0000-000051040000}"/>
    <cellStyle name="Comma 3 2 5" xfId="2778" xr:uid="{00000000-0005-0000-0000-000052040000}"/>
    <cellStyle name="Comma 3 2 5 2" xfId="2779" xr:uid="{00000000-0005-0000-0000-000053040000}"/>
    <cellStyle name="Comma 3 2 5 2 2" xfId="2780" xr:uid="{00000000-0005-0000-0000-000054040000}"/>
    <cellStyle name="Comma 3 2 5 2 3" xfId="2781" xr:uid="{00000000-0005-0000-0000-000055040000}"/>
    <cellStyle name="Comma 3 2 5 3" xfId="2782" xr:uid="{00000000-0005-0000-0000-000056040000}"/>
    <cellStyle name="Comma 3 2 5 4" xfId="2783" xr:uid="{00000000-0005-0000-0000-000057040000}"/>
    <cellStyle name="Comma 3 2 6" xfId="2784" xr:uid="{00000000-0005-0000-0000-000058040000}"/>
    <cellStyle name="Comma 3 2 6 2" xfId="2785" xr:uid="{00000000-0005-0000-0000-000059040000}"/>
    <cellStyle name="Comma 3 2 6 2 2" xfId="2786" xr:uid="{00000000-0005-0000-0000-00005A040000}"/>
    <cellStyle name="Comma 3 2 6 2 3" xfId="2787" xr:uid="{00000000-0005-0000-0000-00005B040000}"/>
    <cellStyle name="Comma 3 2 6 3" xfId="2788" xr:uid="{00000000-0005-0000-0000-00005C040000}"/>
    <cellStyle name="Comma 3 2 6 4" xfId="2789" xr:uid="{00000000-0005-0000-0000-00005D040000}"/>
    <cellStyle name="Comma 3 2 7" xfId="2790" xr:uid="{00000000-0005-0000-0000-00005E040000}"/>
    <cellStyle name="Comma 3 2 7 2" xfId="2791" xr:uid="{00000000-0005-0000-0000-00005F040000}"/>
    <cellStyle name="Comma 3 2 7 2 2" xfId="2792" xr:uid="{00000000-0005-0000-0000-000060040000}"/>
    <cellStyle name="Comma 3 2 7 2 3" xfId="2793" xr:uid="{00000000-0005-0000-0000-000061040000}"/>
    <cellStyle name="Comma 3 2 7 3" xfId="2794" xr:uid="{00000000-0005-0000-0000-000062040000}"/>
    <cellStyle name="Comma 3 2 7 4" xfId="2795" xr:uid="{00000000-0005-0000-0000-000063040000}"/>
    <cellStyle name="Comma 3 2 8" xfId="2796" xr:uid="{00000000-0005-0000-0000-000064040000}"/>
    <cellStyle name="Comma 3 2 8 2" xfId="2797" xr:uid="{00000000-0005-0000-0000-000065040000}"/>
    <cellStyle name="Comma 3 2 8 3" xfId="2798" xr:uid="{00000000-0005-0000-0000-000066040000}"/>
    <cellStyle name="Comma 3 2 9" xfId="2799" xr:uid="{00000000-0005-0000-0000-000067040000}"/>
    <cellStyle name="Comma 3 2_For GOLD" xfId="2800" xr:uid="{00000000-0005-0000-0000-000068040000}"/>
    <cellStyle name="Comma 3 20" xfId="2801" xr:uid="{00000000-0005-0000-0000-000069040000}"/>
    <cellStyle name="Comma 3 3" xfId="559" xr:uid="{00000000-0005-0000-0000-00006A040000}"/>
    <cellStyle name="Comma 3 3 10" xfId="2802" xr:uid="{00000000-0005-0000-0000-00006B040000}"/>
    <cellStyle name="Comma 3 3 11" xfId="2803" xr:uid="{00000000-0005-0000-0000-00006C040000}"/>
    <cellStyle name="Comma 3 3 12" xfId="2804" xr:uid="{00000000-0005-0000-0000-00006D040000}"/>
    <cellStyle name="Comma 3 3 13" xfId="2805" xr:uid="{00000000-0005-0000-0000-00006E040000}"/>
    <cellStyle name="Comma 3 3 14" xfId="2806" xr:uid="{00000000-0005-0000-0000-00006F040000}"/>
    <cellStyle name="Comma 3 3 2" xfId="560" xr:uid="{00000000-0005-0000-0000-000070040000}"/>
    <cellStyle name="Comma 3 3 2 2" xfId="2807" xr:uid="{00000000-0005-0000-0000-000071040000}"/>
    <cellStyle name="Comma 3 3 2 2 2" xfId="2808" xr:uid="{00000000-0005-0000-0000-000072040000}"/>
    <cellStyle name="Comma 3 3 2 2 3" xfId="2809" xr:uid="{00000000-0005-0000-0000-000073040000}"/>
    <cellStyle name="Comma 3 3 2 3" xfId="2810" xr:uid="{00000000-0005-0000-0000-000074040000}"/>
    <cellStyle name="Comma 3 3 2 4" xfId="2811" xr:uid="{00000000-0005-0000-0000-000075040000}"/>
    <cellStyle name="Comma 3 3 2 5" xfId="2812" xr:uid="{00000000-0005-0000-0000-000076040000}"/>
    <cellStyle name="Comma 3 3 2 6" xfId="2813" xr:uid="{00000000-0005-0000-0000-000077040000}"/>
    <cellStyle name="Comma 3 3 2 7" xfId="2814" xr:uid="{00000000-0005-0000-0000-000078040000}"/>
    <cellStyle name="Comma 3 3 2 8" xfId="2815" xr:uid="{00000000-0005-0000-0000-000079040000}"/>
    <cellStyle name="Comma 3 3 2 9" xfId="2816" xr:uid="{00000000-0005-0000-0000-00007A040000}"/>
    <cellStyle name="Comma 3 3 3" xfId="2817" xr:uid="{00000000-0005-0000-0000-00007B040000}"/>
    <cellStyle name="Comma 3 3 3 2" xfId="2818" xr:uid="{00000000-0005-0000-0000-00007C040000}"/>
    <cellStyle name="Comma 3 3 3 2 2" xfId="2819" xr:uid="{00000000-0005-0000-0000-00007D040000}"/>
    <cellStyle name="Comma 3 3 3 2 3" xfId="2820" xr:uid="{00000000-0005-0000-0000-00007E040000}"/>
    <cellStyle name="Comma 3 3 3 3" xfId="2821" xr:uid="{00000000-0005-0000-0000-00007F040000}"/>
    <cellStyle name="Comma 3 3 3 4" xfId="2822" xr:uid="{00000000-0005-0000-0000-000080040000}"/>
    <cellStyle name="Comma 3 3 3 5" xfId="2823" xr:uid="{00000000-0005-0000-0000-000081040000}"/>
    <cellStyle name="Comma 3 3 3 6" xfId="2824" xr:uid="{00000000-0005-0000-0000-000082040000}"/>
    <cellStyle name="Comma 3 3 3 7" xfId="2825" xr:uid="{00000000-0005-0000-0000-000083040000}"/>
    <cellStyle name="Comma 3 3 4" xfId="2826" xr:uid="{00000000-0005-0000-0000-000084040000}"/>
    <cellStyle name="Comma 3 3 4 2" xfId="2827" xr:uid="{00000000-0005-0000-0000-000085040000}"/>
    <cellStyle name="Comma 3 3 4 2 2" xfId="2828" xr:uid="{00000000-0005-0000-0000-000086040000}"/>
    <cellStyle name="Comma 3 3 4 2 3" xfId="2829" xr:uid="{00000000-0005-0000-0000-000087040000}"/>
    <cellStyle name="Comma 3 3 4 3" xfId="2830" xr:uid="{00000000-0005-0000-0000-000088040000}"/>
    <cellStyle name="Comma 3 3 4 4" xfId="2831" xr:uid="{00000000-0005-0000-0000-000089040000}"/>
    <cellStyle name="Comma 3 3 4 5" xfId="2832" xr:uid="{00000000-0005-0000-0000-00008A040000}"/>
    <cellStyle name="Comma 3 3 4 6" xfId="2833" xr:uid="{00000000-0005-0000-0000-00008B040000}"/>
    <cellStyle name="Comma 3 3 5" xfId="2834" xr:uid="{00000000-0005-0000-0000-00008C040000}"/>
    <cellStyle name="Comma 3 3 5 2" xfId="2835" xr:uid="{00000000-0005-0000-0000-00008D040000}"/>
    <cellStyle name="Comma 3 3 5 2 2" xfId="2836" xr:uid="{00000000-0005-0000-0000-00008E040000}"/>
    <cellStyle name="Comma 3 3 5 2 3" xfId="2837" xr:uid="{00000000-0005-0000-0000-00008F040000}"/>
    <cellStyle name="Comma 3 3 5 3" xfId="2838" xr:uid="{00000000-0005-0000-0000-000090040000}"/>
    <cellStyle name="Comma 3 3 5 4" xfId="2839" xr:uid="{00000000-0005-0000-0000-000091040000}"/>
    <cellStyle name="Comma 3 3 6" xfId="2840" xr:uid="{00000000-0005-0000-0000-000092040000}"/>
    <cellStyle name="Comma 3 3 6 2" xfId="2841" xr:uid="{00000000-0005-0000-0000-000093040000}"/>
    <cellStyle name="Comma 3 3 6 2 2" xfId="2842" xr:uid="{00000000-0005-0000-0000-000094040000}"/>
    <cellStyle name="Comma 3 3 6 2 3" xfId="2843" xr:uid="{00000000-0005-0000-0000-000095040000}"/>
    <cellStyle name="Comma 3 3 6 3" xfId="2844" xr:uid="{00000000-0005-0000-0000-000096040000}"/>
    <cellStyle name="Comma 3 3 6 4" xfId="2845" xr:uid="{00000000-0005-0000-0000-000097040000}"/>
    <cellStyle name="Comma 3 3 7" xfId="2846" xr:uid="{00000000-0005-0000-0000-000098040000}"/>
    <cellStyle name="Comma 3 3 7 2" xfId="2847" xr:uid="{00000000-0005-0000-0000-000099040000}"/>
    <cellStyle name="Comma 3 3 7 2 2" xfId="2848" xr:uid="{00000000-0005-0000-0000-00009A040000}"/>
    <cellStyle name="Comma 3 3 7 2 3" xfId="2849" xr:uid="{00000000-0005-0000-0000-00009B040000}"/>
    <cellStyle name="Comma 3 3 7 3" xfId="2850" xr:uid="{00000000-0005-0000-0000-00009C040000}"/>
    <cellStyle name="Comma 3 3 7 4" xfId="2851" xr:uid="{00000000-0005-0000-0000-00009D040000}"/>
    <cellStyle name="Comma 3 3 8" xfId="2852" xr:uid="{00000000-0005-0000-0000-00009E040000}"/>
    <cellStyle name="Comma 3 3 8 2" xfId="2853" xr:uid="{00000000-0005-0000-0000-00009F040000}"/>
    <cellStyle name="Comma 3 3 8 3" xfId="2854" xr:uid="{00000000-0005-0000-0000-0000A0040000}"/>
    <cellStyle name="Comma 3 3 9" xfId="2855" xr:uid="{00000000-0005-0000-0000-0000A1040000}"/>
    <cellStyle name="Comma 3 4" xfId="561" xr:uid="{00000000-0005-0000-0000-0000A2040000}"/>
    <cellStyle name="Comma 3 4 10" xfId="2856" xr:uid="{00000000-0005-0000-0000-0000A3040000}"/>
    <cellStyle name="Comma 3 4 11" xfId="2857" xr:uid="{00000000-0005-0000-0000-0000A4040000}"/>
    <cellStyle name="Comma 3 4 12" xfId="2858" xr:uid="{00000000-0005-0000-0000-0000A5040000}"/>
    <cellStyle name="Comma 3 4 13" xfId="2859" xr:uid="{00000000-0005-0000-0000-0000A6040000}"/>
    <cellStyle name="Comma 3 4 14" xfId="2860" xr:uid="{00000000-0005-0000-0000-0000A7040000}"/>
    <cellStyle name="Comma 3 4 2" xfId="562" xr:uid="{00000000-0005-0000-0000-0000A8040000}"/>
    <cellStyle name="Comma 3 4 2 2" xfId="2861" xr:uid="{00000000-0005-0000-0000-0000A9040000}"/>
    <cellStyle name="Comma 3 4 2 2 2" xfId="2862" xr:uid="{00000000-0005-0000-0000-0000AA040000}"/>
    <cellStyle name="Comma 3 4 2 2 3" xfId="2863" xr:uid="{00000000-0005-0000-0000-0000AB040000}"/>
    <cellStyle name="Comma 3 4 2 3" xfId="2864" xr:uid="{00000000-0005-0000-0000-0000AC040000}"/>
    <cellStyle name="Comma 3 4 2 4" xfId="2865" xr:uid="{00000000-0005-0000-0000-0000AD040000}"/>
    <cellStyle name="Comma 3 4 2 5" xfId="2866" xr:uid="{00000000-0005-0000-0000-0000AE040000}"/>
    <cellStyle name="Comma 3 4 2 6" xfId="2867" xr:uid="{00000000-0005-0000-0000-0000AF040000}"/>
    <cellStyle name="Comma 3 4 2 7" xfId="2868" xr:uid="{00000000-0005-0000-0000-0000B0040000}"/>
    <cellStyle name="Comma 3 4 2 8" xfId="2869" xr:uid="{00000000-0005-0000-0000-0000B1040000}"/>
    <cellStyle name="Comma 3 4 2 9" xfId="2870" xr:uid="{00000000-0005-0000-0000-0000B2040000}"/>
    <cellStyle name="Comma 3 4 3" xfId="2871" xr:uid="{00000000-0005-0000-0000-0000B3040000}"/>
    <cellStyle name="Comma 3 4 3 2" xfId="2872" xr:uid="{00000000-0005-0000-0000-0000B4040000}"/>
    <cellStyle name="Comma 3 4 3 2 2" xfId="2873" xr:uid="{00000000-0005-0000-0000-0000B5040000}"/>
    <cellStyle name="Comma 3 4 3 2 3" xfId="2874" xr:uid="{00000000-0005-0000-0000-0000B6040000}"/>
    <cellStyle name="Comma 3 4 3 3" xfId="2875" xr:uid="{00000000-0005-0000-0000-0000B7040000}"/>
    <cellStyle name="Comma 3 4 3 4" xfId="2876" xr:uid="{00000000-0005-0000-0000-0000B8040000}"/>
    <cellStyle name="Comma 3 4 3 5" xfId="2877" xr:uid="{00000000-0005-0000-0000-0000B9040000}"/>
    <cellStyle name="Comma 3 4 3 6" xfId="2878" xr:uid="{00000000-0005-0000-0000-0000BA040000}"/>
    <cellStyle name="Comma 3 4 3 7" xfId="2879" xr:uid="{00000000-0005-0000-0000-0000BB040000}"/>
    <cellStyle name="Comma 3 4 4" xfId="2880" xr:uid="{00000000-0005-0000-0000-0000BC040000}"/>
    <cellStyle name="Comma 3 4 4 2" xfId="2881" xr:uid="{00000000-0005-0000-0000-0000BD040000}"/>
    <cellStyle name="Comma 3 4 4 2 2" xfId="2882" xr:uid="{00000000-0005-0000-0000-0000BE040000}"/>
    <cellStyle name="Comma 3 4 4 2 3" xfId="2883" xr:uid="{00000000-0005-0000-0000-0000BF040000}"/>
    <cellStyle name="Comma 3 4 4 3" xfId="2884" xr:uid="{00000000-0005-0000-0000-0000C0040000}"/>
    <cellStyle name="Comma 3 4 4 4" xfId="2885" xr:uid="{00000000-0005-0000-0000-0000C1040000}"/>
    <cellStyle name="Comma 3 4 4 5" xfId="2886" xr:uid="{00000000-0005-0000-0000-0000C2040000}"/>
    <cellStyle name="Comma 3 4 4 6" xfId="2887" xr:uid="{00000000-0005-0000-0000-0000C3040000}"/>
    <cellStyle name="Comma 3 4 5" xfId="2888" xr:uid="{00000000-0005-0000-0000-0000C4040000}"/>
    <cellStyle name="Comma 3 4 5 2" xfId="2889" xr:uid="{00000000-0005-0000-0000-0000C5040000}"/>
    <cellStyle name="Comma 3 4 5 2 2" xfId="2890" xr:uid="{00000000-0005-0000-0000-0000C6040000}"/>
    <cellStyle name="Comma 3 4 5 2 3" xfId="2891" xr:uid="{00000000-0005-0000-0000-0000C7040000}"/>
    <cellStyle name="Comma 3 4 5 3" xfId="2892" xr:uid="{00000000-0005-0000-0000-0000C8040000}"/>
    <cellStyle name="Comma 3 4 5 4" xfId="2893" xr:uid="{00000000-0005-0000-0000-0000C9040000}"/>
    <cellStyle name="Comma 3 4 6" xfId="2894" xr:uid="{00000000-0005-0000-0000-0000CA040000}"/>
    <cellStyle name="Comma 3 4 6 2" xfId="2895" xr:uid="{00000000-0005-0000-0000-0000CB040000}"/>
    <cellStyle name="Comma 3 4 6 2 2" xfId="2896" xr:uid="{00000000-0005-0000-0000-0000CC040000}"/>
    <cellStyle name="Comma 3 4 6 2 3" xfId="2897" xr:uid="{00000000-0005-0000-0000-0000CD040000}"/>
    <cellStyle name="Comma 3 4 6 3" xfId="2898" xr:uid="{00000000-0005-0000-0000-0000CE040000}"/>
    <cellStyle name="Comma 3 4 6 4" xfId="2899" xr:uid="{00000000-0005-0000-0000-0000CF040000}"/>
    <cellStyle name="Comma 3 4 7" xfId="2900" xr:uid="{00000000-0005-0000-0000-0000D0040000}"/>
    <cellStyle name="Comma 3 4 7 2" xfId="2901" xr:uid="{00000000-0005-0000-0000-0000D1040000}"/>
    <cellStyle name="Comma 3 4 7 2 2" xfId="2902" xr:uid="{00000000-0005-0000-0000-0000D2040000}"/>
    <cellStyle name="Comma 3 4 7 2 3" xfId="2903" xr:uid="{00000000-0005-0000-0000-0000D3040000}"/>
    <cellStyle name="Comma 3 4 7 3" xfId="2904" xr:uid="{00000000-0005-0000-0000-0000D4040000}"/>
    <cellStyle name="Comma 3 4 7 4" xfId="2905" xr:uid="{00000000-0005-0000-0000-0000D5040000}"/>
    <cellStyle name="Comma 3 4 8" xfId="2906" xr:uid="{00000000-0005-0000-0000-0000D6040000}"/>
    <cellStyle name="Comma 3 4 8 2" xfId="2907" xr:uid="{00000000-0005-0000-0000-0000D7040000}"/>
    <cellStyle name="Comma 3 4 8 3" xfId="2908" xr:uid="{00000000-0005-0000-0000-0000D8040000}"/>
    <cellStyle name="Comma 3 4 9" xfId="2909" xr:uid="{00000000-0005-0000-0000-0000D9040000}"/>
    <cellStyle name="Comma 3 5" xfId="563" xr:uid="{00000000-0005-0000-0000-0000DA040000}"/>
    <cellStyle name="Comma 3 5 10" xfId="2910" xr:uid="{00000000-0005-0000-0000-0000DB040000}"/>
    <cellStyle name="Comma 3 5 11" xfId="2911" xr:uid="{00000000-0005-0000-0000-0000DC040000}"/>
    <cellStyle name="Comma 3 5 12" xfId="2912" xr:uid="{00000000-0005-0000-0000-0000DD040000}"/>
    <cellStyle name="Comma 3 5 13" xfId="2913" xr:uid="{00000000-0005-0000-0000-0000DE040000}"/>
    <cellStyle name="Comma 3 5 2" xfId="564" xr:uid="{00000000-0005-0000-0000-0000DF040000}"/>
    <cellStyle name="Comma 3 5 2 2" xfId="2914" xr:uid="{00000000-0005-0000-0000-0000E0040000}"/>
    <cellStyle name="Comma 3 5 2 2 2" xfId="2915" xr:uid="{00000000-0005-0000-0000-0000E1040000}"/>
    <cellStyle name="Comma 3 5 2 2 3" xfId="2916" xr:uid="{00000000-0005-0000-0000-0000E2040000}"/>
    <cellStyle name="Comma 3 5 2 3" xfId="2917" xr:uid="{00000000-0005-0000-0000-0000E3040000}"/>
    <cellStyle name="Comma 3 5 2 4" xfId="2918" xr:uid="{00000000-0005-0000-0000-0000E4040000}"/>
    <cellStyle name="Comma 3 5 2 5" xfId="2919" xr:uid="{00000000-0005-0000-0000-0000E5040000}"/>
    <cellStyle name="Comma 3 5 2 6" xfId="2920" xr:uid="{00000000-0005-0000-0000-0000E6040000}"/>
    <cellStyle name="Comma 3 5 2 7" xfId="2921" xr:uid="{00000000-0005-0000-0000-0000E7040000}"/>
    <cellStyle name="Comma 3 5 2 8" xfId="2922" xr:uid="{00000000-0005-0000-0000-0000E8040000}"/>
    <cellStyle name="Comma 3 5 2 9" xfId="2923" xr:uid="{00000000-0005-0000-0000-0000E9040000}"/>
    <cellStyle name="Comma 3 5 3" xfId="2924" xr:uid="{00000000-0005-0000-0000-0000EA040000}"/>
    <cellStyle name="Comma 3 5 3 2" xfId="2925" xr:uid="{00000000-0005-0000-0000-0000EB040000}"/>
    <cellStyle name="Comma 3 5 3 2 2" xfId="2926" xr:uid="{00000000-0005-0000-0000-0000EC040000}"/>
    <cellStyle name="Comma 3 5 3 2 3" xfId="2927" xr:uid="{00000000-0005-0000-0000-0000ED040000}"/>
    <cellStyle name="Comma 3 5 3 3" xfId="2928" xr:uid="{00000000-0005-0000-0000-0000EE040000}"/>
    <cellStyle name="Comma 3 5 3 4" xfId="2929" xr:uid="{00000000-0005-0000-0000-0000EF040000}"/>
    <cellStyle name="Comma 3 5 3 5" xfId="2930" xr:uid="{00000000-0005-0000-0000-0000F0040000}"/>
    <cellStyle name="Comma 3 5 3 6" xfId="2931" xr:uid="{00000000-0005-0000-0000-0000F1040000}"/>
    <cellStyle name="Comma 3 5 3 7" xfId="2932" xr:uid="{00000000-0005-0000-0000-0000F2040000}"/>
    <cellStyle name="Comma 3 5 4" xfId="2933" xr:uid="{00000000-0005-0000-0000-0000F3040000}"/>
    <cellStyle name="Comma 3 5 4 2" xfId="2934" xr:uid="{00000000-0005-0000-0000-0000F4040000}"/>
    <cellStyle name="Comma 3 5 4 2 2" xfId="2935" xr:uid="{00000000-0005-0000-0000-0000F5040000}"/>
    <cellStyle name="Comma 3 5 4 2 3" xfId="2936" xr:uid="{00000000-0005-0000-0000-0000F6040000}"/>
    <cellStyle name="Comma 3 5 4 3" xfId="2937" xr:uid="{00000000-0005-0000-0000-0000F7040000}"/>
    <cellStyle name="Comma 3 5 4 4" xfId="2938" xr:uid="{00000000-0005-0000-0000-0000F8040000}"/>
    <cellStyle name="Comma 3 5 4 5" xfId="2939" xr:uid="{00000000-0005-0000-0000-0000F9040000}"/>
    <cellStyle name="Comma 3 5 4 6" xfId="2940" xr:uid="{00000000-0005-0000-0000-0000FA040000}"/>
    <cellStyle name="Comma 3 5 5" xfId="2941" xr:uid="{00000000-0005-0000-0000-0000FB040000}"/>
    <cellStyle name="Comma 3 5 5 2" xfId="2942" xr:uid="{00000000-0005-0000-0000-0000FC040000}"/>
    <cellStyle name="Comma 3 5 5 2 2" xfId="2943" xr:uid="{00000000-0005-0000-0000-0000FD040000}"/>
    <cellStyle name="Comma 3 5 5 2 3" xfId="2944" xr:uid="{00000000-0005-0000-0000-0000FE040000}"/>
    <cellStyle name="Comma 3 5 5 3" xfId="2945" xr:uid="{00000000-0005-0000-0000-0000FF040000}"/>
    <cellStyle name="Comma 3 5 5 4" xfId="2946" xr:uid="{00000000-0005-0000-0000-000000050000}"/>
    <cellStyle name="Comma 3 5 6" xfId="2947" xr:uid="{00000000-0005-0000-0000-000001050000}"/>
    <cellStyle name="Comma 3 5 6 2" xfId="2948" xr:uid="{00000000-0005-0000-0000-000002050000}"/>
    <cellStyle name="Comma 3 5 6 2 2" xfId="2949" xr:uid="{00000000-0005-0000-0000-000003050000}"/>
    <cellStyle name="Comma 3 5 6 2 3" xfId="2950" xr:uid="{00000000-0005-0000-0000-000004050000}"/>
    <cellStyle name="Comma 3 5 6 3" xfId="2951" xr:uid="{00000000-0005-0000-0000-000005050000}"/>
    <cellStyle name="Comma 3 5 6 4" xfId="2952" xr:uid="{00000000-0005-0000-0000-000006050000}"/>
    <cellStyle name="Comma 3 5 7" xfId="2953" xr:uid="{00000000-0005-0000-0000-000007050000}"/>
    <cellStyle name="Comma 3 5 7 2" xfId="2954" xr:uid="{00000000-0005-0000-0000-000008050000}"/>
    <cellStyle name="Comma 3 5 7 2 2" xfId="2955" xr:uid="{00000000-0005-0000-0000-000009050000}"/>
    <cellStyle name="Comma 3 5 7 2 3" xfId="2956" xr:uid="{00000000-0005-0000-0000-00000A050000}"/>
    <cellStyle name="Comma 3 5 7 3" xfId="2957" xr:uid="{00000000-0005-0000-0000-00000B050000}"/>
    <cellStyle name="Comma 3 5 7 4" xfId="2958" xr:uid="{00000000-0005-0000-0000-00000C050000}"/>
    <cellStyle name="Comma 3 5 8" xfId="2959" xr:uid="{00000000-0005-0000-0000-00000D050000}"/>
    <cellStyle name="Comma 3 5 8 2" xfId="2960" xr:uid="{00000000-0005-0000-0000-00000E050000}"/>
    <cellStyle name="Comma 3 5 8 3" xfId="2961" xr:uid="{00000000-0005-0000-0000-00000F050000}"/>
    <cellStyle name="Comma 3 5 9" xfId="2962" xr:uid="{00000000-0005-0000-0000-000010050000}"/>
    <cellStyle name="Comma 3 6" xfId="565" xr:uid="{00000000-0005-0000-0000-000011050000}"/>
    <cellStyle name="Comma 3 6 10" xfId="2963" xr:uid="{00000000-0005-0000-0000-000012050000}"/>
    <cellStyle name="Comma 3 6 11" xfId="2964" xr:uid="{00000000-0005-0000-0000-000013050000}"/>
    <cellStyle name="Comma 3 6 12" xfId="2965" xr:uid="{00000000-0005-0000-0000-000014050000}"/>
    <cellStyle name="Comma 3 6 13" xfId="2966" xr:uid="{00000000-0005-0000-0000-000015050000}"/>
    <cellStyle name="Comma 3 6 2" xfId="566" xr:uid="{00000000-0005-0000-0000-000016050000}"/>
    <cellStyle name="Comma 3 6 2 2" xfId="2967" xr:uid="{00000000-0005-0000-0000-000017050000}"/>
    <cellStyle name="Comma 3 6 2 2 2" xfId="2968" xr:uid="{00000000-0005-0000-0000-000018050000}"/>
    <cellStyle name="Comma 3 6 2 2 3" xfId="2969" xr:uid="{00000000-0005-0000-0000-000019050000}"/>
    <cellStyle name="Comma 3 6 2 3" xfId="2970" xr:uid="{00000000-0005-0000-0000-00001A050000}"/>
    <cellStyle name="Comma 3 6 2 4" xfId="2971" xr:uid="{00000000-0005-0000-0000-00001B050000}"/>
    <cellStyle name="Comma 3 6 2 5" xfId="2972" xr:uid="{00000000-0005-0000-0000-00001C050000}"/>
    <cellStyle name="Comma 3 6 2 6" xfId="2973" xr:uid="{00000000-0005-0000-0000-00001D050000}"/>
    <cellStyle name="Comma 3 6 2 7" xfId="2974" xr:uid="{00000000-0005-0000-0000-00001E050000}"/>
    <cellStyle name="Comma 3 6 2 8" xfId="2975" xr:uid="{00000000-0005-0000-0000-00001F050000}"/>
    <cellStyle name="Comma 3 6 2 9" xfId="2976" xr:uid="{00000000-0005-0000-0000-000020050000}"/>
    <cellStyle name="Comma 3 6 3" xfId="2977" xr:uid="{00000000-0005-0000-0000-000021050000}"/>
    <cellStyle name="Comma 3 6 3 2" xfId="2978" xr:uid="{00000000-0005-0000-0000-000022050000}"/>
    <cellStyle name="Comma 3 6 3 2 2" xfId="2979" xr:uid="{00000000-0005-0000-0000-000023050000}"/>
    <cellStyle name="Comma 3 6 3 2 3" xfId="2980" xr:uid="{00000000-0005-0000-0000-000024050000}"/>
    <cellStyle name="Comma 3 6 3 3" xfId="2981" xr:uid="{00000000-0005-0000-0000-000025050000}"/>
    <cellStyle name="Comma 3 6 3 4" xfId="2982" xr:uid="{00000000-0005-0000-0000-000026050000}"/>
    <cellStyle name="Comma 3 6 3 5" xfId="2983" xr:uid="{00000000-0005-0000-0000-000027050000}"/>
    <cellStyle name="Comma 3 6 3 6" xfId="2984" xr:uid="{00000000-0005-0000-0000-000028050000}"/>
    <cellStyle name="Comma 3 6 3 7" xfId="2985" xr:uid="{00000000-0005-0000-0000-000029050000}"/>
    <cellStyle name="Comma 3 6 4" xfId="2986" xr:uid="{00000000-0005-0000-0000-00002A050000}"/>
    <cellStyle name="Comma 3 6 4 2" xfId="2987" xr:uid="{00000000-0005-0000-0000-00002B050000}"/>
    <cellStyle name="Comma 3 6 4 2 2" xfId="2988" xr:uid="{00000000-0005-0000-0000-00002C050000}"/>
    <cellStyle name="Comma 3 6 4 2 3" xfId="2989" xr:uid="{00000000-0005-0000-0000-00002D050000}"/>
    <cellStyle name="Comma 3 6 4 3" xfId="2990" xr:uid="{00000000-0005-0000-0000-00002E050000}"/>
    <cellStyle name="Comma 3 6 4 4" xfId="2991" xr:uid="{00000000-0005-0000-0000-00002F050000}"/>
    <cellStyle name="Comma 3 6 4 5" xfId="2992" xr:uid="{00000000-0005-0000-0000-000030050000}"/>
    <cellStyle name="Comma 3 6 4 6" xfId="2993" xr:uid="{00000000-0005-0000-0000-000031050000}"/>
    <cellStyle name="Comma 3 6 5" xfId="2994" xr:uid="{00000000-0005-0000-0000-000032050000}"/>
    <cellStyle name="Comma 3 6 5 2" xfId="2995" xr:uid="{00000000-0005-0000-0000-000033050000}"/>
    <cellStyle name="Comma 3 6 5 2 2" xfId="2996" xr:uid="{00000000-0005-0000-0000-000034050000}"/>
    <cellStyle name="Comma 3 6 5 2 3" xfId="2997" xr:uid="{00000000-0005-0000-0000-000035050000}"/>
    <cellStyle name="Comma 3 6 5 3" xfId="2998" xr:uid="{00000000-0005-0000-0000-000036050000}"/>
    <cellStyle name="Comma 3 6 5 4" xfId="2999" xr:uid="{00000000-0005-0000-0000-000037050000}"/>
    <cellStyle name="Comma 3 6 6" xfId="3000" xr:uid="{00000000-0005-0000-0000-000038050000}"/>
    <cellStyle name="Comma 3 6 6 2" xfId="3001" xr:uid="{00000000-0005-0000-0000-000039050000}"/>
    <cellStyle name="Comma 3 6 6 2 2" xfId="3002" xr:uid="{00000000-0005-0000-0000-00003A050000}"/>
    <cellStyle name="Comma 3 6 6 2 3" xfId="3003" xr:uid="{00000000-0005-0000-0000-00003B050000}"/>
    <cellStyle name="Comma 3 6 6 3" xfId="3004" xr:uid="{00000000-0005-0000-0000-00003C050000}"/>
    <cellStyle name="Comma 3 6 6 4" xfId="3005" xr:uid="{00000000-0005-0000-0000-00003D050000}"/>
    <cellStyle name="Comma 3 6 7" xfId="3006" xr:uid="{00000000-0005-0000-0000-00003E050000}"/>
    <cellStyle name="Comma 3 6 7 2" xfId="3007" xr:uid="{00000000-0005-0000-0000-00003F050000}"/>
    <cellStyle name="Comma 3 6 7 2 2" xfId="3008" xr:uid="{00000000-0005-0000-0000-000040050000}"/>
    <cellStyle name="Comma 3 6 7 2 3" xfId="3009" xr:uid="{00000000-0005-0000-0000-000041050000}"/>
    <cellStyle name="Comma 3 6 7 3" xfId="3010" xr:uid="{00000000-0005-0000-0000-000042050000}"/>
    <cellStyle name="Comma 3 6 7 4" xfId="3011" xr:uid="{00000000-0005-0000-0000-000043050000}"/>
    <cellStyle name="Comma 3 6 8" xfId="3012" xr:uid="{00000000-0005-0000-0000-000044050000}"/>
    <cellStyle name="Comma 3 6 8 2" xfId="3013" xr:uid="{00000000-0005-0000-0000-000045050000}"/>
    <cellStyle name="Comma 3 6 8 3" xfId="3014" xr:uid="{00000000-0005-0000-0000-000046050000}"/>
    <cellStyle name="Comma 3 6 9" xfId="3015" xr:uid="{00000000-0005-0000-0000-000047050000}"/>
    <cellStyle name="Comma 3 7" xfId="567" xr:uid="{00000000-0005-0000-0000-000048050000}"/>
    <cellStyle name="Comma 3 7 10" xfId="3016" xr:uid="{00000000-0005-0000-0000-000049050000}"/>
    <cellStyle name="Comma 3 7 11" xfId="3017" xr:uid="{00000000-0005-0000-0000-00004A050000}"/>
    <cellStyle name="Comma 3 7 12" xfId="3018" xr:uid="{00000000-0005-0000-0000-00004B050000}"/>
    <cellStyle name="Comma 3 7 13" xfId="3019" xr:uid="{00000000-0005-0000-0000-00004C050000}"/>
    <cellStyle name="Comma 3 7 2" xfId="568" xr:uid="{00000000-0005-0000-0000-00004D050000}"/>
    <cellStyle name="Comma 3 7 2 2" xfId="3020" xr:uid="{00000000-0005-0000-0000-00004E050000}"/>
    <cellStyle name="Comma 3 7 2 2 2" xfId="3021" xr:uid="{00000000-0005-0000-0000-00004F050000}"/>
    <cellStyle name="Comma 3 7 2 2 3" xfId="3022" xr:uid="{00000000-0005-0000-0000-000050050000}"/>
    <cellStyle name="Comma 3 7 2 3" xfId="3023" xr:uid="{00000000-0005-0000-0000-000051050000}"/>
    <cellStyle name="Comma 3 7 2 4" xfId="3024" xr:uid="{00000000-0005-0000-0000-000052050000}"/>
    <cellStyle name="Comma 3 7 2 5" xfId="3025" xr:uid="{00000000-0005-0000-0000-000053050000}"/>
    <cellStyle name="Comma 3 7 2 6" xfId="3026" xr:uid="{00000000-0005-0000-0000-000054050000}"/>
    <cellStyle name="Comma 3 7 2 7" xfId="3027" xr:uid="{00000000-0005-0000-0000-000055050000}"/>
    <cellStyle name="Comma 3 7 2 8" xfId="3028" xr:uid="{00000000-0005-0000-0000-000056050000}"/>
    <cellStyle name="Comma 3 7 2 9" xfId="3029" xr:uid="{00000000-0005-0000-0000-000057050000}"/>
    <cellStyle name="Comma 3 7 3" xfId="3030" xr:uid="{00000000-0005-0000-0000-000058050000}"/>
    <cellStyle name="Comma 3 7 3 2" xfId="3031" xr:uid="{00000000-0005-0000-0000-000059050000}"/>
    <cellStyle name="Comma 3 7 3 2 2" xfId="3032" xr:uid="{00000000-0005-0000-0000-00005A050000}"/>
    <cellStyle name="Comma 3 7 3 2 3" xfId="3033" xr:uid="{00000000-0005-0000-0000-00005B050000}"/>
    <cellStyle name="Comma 3 7 3 3" xfId="3034" xr:uid="{00000000-0005-0000-0000-00005C050000}"/>
    <cellStyle name="Comma 3 7 3 4" xfId="3035" xr:uid="{00000000-0005-0000-0000-00005D050000}"/>
    <cellStyle name="Comma 3 7 3 5" xfId="3036" xr:uid="{00000000-0005-0000-0000-00005E050000}"/>
    <cellStyle name="Comma 3 7 3 6" xfId="3037" xr:uid="{00000000-0005-0000-0000-00005F050000}"/>
    <cellStyle name="Comma 3 7 3 7" xfId="3038" xr:uid="{00000000-0005-0000-0000-000060050000}"/>
    <cellStyle name="Comma 3 7 4" xfId="3039" xr:uid="{00000000-0005-0000-0000-000061050000}"/>
    <cellStyle name="Comma 3 7 4 2" xfId="3040" xr:uid="{00000000-0005-0000-0000-000062050000}"/>
    <cellStyle name="Comma 3 7 4 2 2" xfId="3041" xr:uid="{00000000-0005-0000-0000-000063050000}"/>
    <cellStyle name="Comma 3 7 4 2 3" xfId="3042" xr:uid="{00000000-0005-0000-0000-000064050000}"/>
    <cellStyle name="Comma 3 7 4 3" xfId="3043" xr:uid="{00000000-0005-0000-0000-000065050000}"/>
    <cellStyle name="Comma 3 7 4 4" xfId="3044" xr:uid="{00000000-0005-0000-0000-000066050000}"/>
    <cellStyle name="Comma 3 7 4 5" xfId="3045" xr:uid="{00000000-0005-0000-0000-000067050000}"/>
    <cellStyle name="Comma 3 7 4 6" xfId="3046" xr:uid="{00000000-0005-0000-0000-000068050000}"/>
    <cellStyle name="Comma 3 7 5" xfId="3047" xr:uid="{00000000-0005-0000-0000-000069050000}"/>
    <cellStyle name="Comma 3 7 5 2" xfId="3048" xr:uid="{00000000-0005-0000-0000-00006A050000}"/>
    <cellStyle name="Comma 3 7 5 2 2" xfId="3049" xr:uid="{00000000-0005-0000-0000-00006B050000}"/>
    <cellStyle name="Comma 3 7 5 2 3" xfId="3050" xr:uid="{00000000-0005-0000-0000-00006C050000}"/>
    <cellStyle name="Comma 3 7 5 3" xfId="3051" xr:uid="{00000000-0005-0000-0000-00006D050000}"/>
    <cellStyle name="Comma 3 7 5 4" xfId="3052" xr:uid="{00000000-0005-0000-0000-00006E050000}"/>
    <cellStyle name="Comma 3 7 6" xfId="3053" xr:uid="{00000000-0005-0000-0000-00006F050000}"/>
    <cellStyle name="Comma 3 7 6 2" xfId="3054" xr:uid="{00000000-0005-0000-0000-000070050000}"/>
    <cellStyle name="Comma 3 7 6 2 2" xfId="3055" xr:uid="{00000000-0005-0000-0000-000071050000}"/>
    <cellStyle name="Comma 3 7 6 2 3" xfId="3056" xr:uid="{00000000-0005-0000-0000-000072050000}"/>
    <cellStyle name="Comma 3 7 6 3" xfId="3057" xr:uid="{00000000-0005-0000-0000-000073050000}"/>
    <cellStyle name="Comma 3 7 6 4" xfId="3058" xr:uid="{00000000-0005-0000-0000-000074050000}"/>
    <cellStyle name="Comma 3 7 7" xfId="3059" xr:uid="{00000000-0005-0000-0000-000075050000}"/>
    <cellStyle name="Comma 3 7 7 2" xfId="3060" xr:uid="{00000000-0005-0000-0000-000076050000}"/>
    <cellStyle name="Comma 3 7 7 2 2" xfId="3061" xr:uid="{00000000-0005-0000-0000-000077050000}"/>
    <cellStyle name="Comma 3 7 7 2 3" xfId="3062" xr:uid="{00000000-0005-0000-0000-000078050000}"/>
    <cellStyle name="Comma 3 7 7 3" xfId="3063" xr:uid="{00000000-0005-0000-0000-000079050000}"/>
    <cellStyle name="Comma 3 7 7 4" xfId="3064" xr:uid="{00000000-0005-0000-0000-00007A050000}"/>
    <cellStyle name="Comma 3 7 8" xfId="3065" xr:uid="{00000000-0005-0000-0000-00007B050000}"/>
    <cellStyle name="Comma 3 7 8 2" xfId="3066" xr:uid="{00000000-0005-0000-0000-00007C050000}"/>
    <cellStyle name="Comma 3 7 8 3" xfId="3067" xr:uid="{00000000-0005-0000-0000-00007D050000}"/>
    <cellStyle name="Comma 3 7 9" xfId="3068" xr:uid="{00000000-0005-0000-0000-00007E050000}"/>
    <cellStyle name="Comma 3 8" xfId="569" xr:uid="{00000000-0005-0000-0000-00007F050000}"/>
    <cellStyle name="Comma 3 8 10" xfId="3069" xr:uid="{00000000-0005-0000-0000-000080050000}"/>
    <cellStyle name="Comma 3 8 11" xfId="3070" xr:uid="{00000000-0005-0000-0000-000081050000}"/>
    <cellStyle name="Comma 3 8 12" xfId="3071" xr:uid="{00000000-0005-0000-0000-000082050000}"/>
    <cellStyle name="Comma 3 8 2" xfId="3072" xr:uid="{00000000-0005-0000-0000-000083050000}"/>
    <cellStyle name="Comma 3 8 2 2" xfId="3073" xr:uid="{00000000-0005-0000-0000-000084050000}"/>
    <cellStyle name="Comma 3 8 2 3" xfId="3074" xr:uid="{00000000-0005-0000-0000-000085050000}"/>
    <cellStyle name="Comma 3 8 3" xfId="3075" xr:uid="{00000000-0005-0000-0000-000086050000}"/>
    <cellStyle name="Comma 3 8 4" xfId="3076" xr:uid="{00000000-0005-0000-0000-000087050000}"/>
    <cellStyle name="Comma 3 8 5" xfId="3077" xr:uid="{00000000-0005-0000-0000-000088050000}"/>
    <cellStyle name="Comma 3 8 6" xfId="3078" xr:uid="{00000000-0005-0000-0000-000089050000}"/>
    <cellStyle name="Comma 3 8 7" xfId="3079" xr:uid="{00000000-0005-0000-0000-00008A050000}"/>
    <cellStyle name="Comma 3 8 8" xfId="3080" xr:uid="{00000000-0005-0000-0000-00008B050000}"/>
    <cellStyle name="Comma 3 8 9" xfId="3081" xr:uid="{00000000-0005-0000-0000-00008C050000}"/>
    <cellStyle name="Comma 3 9" xfId="2113" xr:uid="{00000000-0005-0000-0000-00008D050000}"/>
    <cellStyle name="Comma 3 9 2" xfId="3082" xr:uid="{00000000-0005-0000-0000-00008E050000}"/>
    <cellStyle name="Comma 3 9 3" xfId="3083" xr:uid="{00000000-0005-0000-0000-00008F050000}"/>
    <cellStyle name="Comma 3_2018 Raw" xfId="570" xr:uid="{00000000-0005-0000-0000-000090050000}"/>
    <cellStyle name="Comma 4" xfId="571" xr:uid="{00000000-0005-0000-0000-000091050000}"/>
    <cellStyle name="Comma 4 10" xfId="3084" xr:uid="{00000000-0005-0000-0000-000092050000}"/>
    <cellStyle name="Comma 4 11" xfId="3085" xr:uid="{00000000-0005-0000-0000-000093050000}"/>
    <cellStyle name="Comma 4 12" xfId="3086" xr:uid="{00000000-0005-0000-0000-000094050000}"/>
    <cellStyle name="Comma 4 13" xfId="3087" xr:uid="{00000000-0005-0000-0000-000095050000}"/>
    <cellStyle name="Comma 4 14" xfId="3088" xr:uid="{00000000-0005-0000-0000-000096050000}"/>
    <cellStyle name="Comma 4 15" xfId="3089" xr:uid="{00000000-0005-0000-0000-000097050000}"/>
    <cellStyle name="Comma 4 16" xfId="3090" xr:uid="{00000000-0005-0000-0000-000098050000}"/>
    <cellStyle name="Comma 4 17" xfId="3091" xr:uid="{00000000-0005-0000-0000-000099050000}"/>
    <cellStyle name="Comma 4 18" xfId="3092" xr:uid="{00000000-0005-0000-0000-00009A050000}"/>
    <cellStyle name="Comma 4 19" xfId="3093" xr:uid="{00000000-0005-0000-0000-00009B050000}"/>
    <cellStyle name="Comma 4 2" xfId="572" xr:uid="{00000000-0005-0000-0000-00009C050000}"/>
    <cellStyle name="Comma 4 2 10" xfId="3094" xr:uid="{00000000-0005-0000-0000-00009D050000}"/>
    <cellStyle name="Comma 4 2 11" xfId="3095" xr:uid="{00000000-0005-0000-0000-00009E050000}"/>
    <cellStyle name="Comma 4 2 12" xfId="3096" xr:uid="{00000000-0005-0000-0000-00009F050000}"/>
    <cellStyle name="Comma 4 2 13" xfId="3097" xr:uid="{00000000-0005-0000-0000-0000A0050000}"/>
    <cellStyle name="Comma 4 2 14" xfId="3098" xr:uid="{00000000-0005-0000-0000-0000A1050000}"/>
    <cellStyle name="Comma 4 2 2" xfId="573" xr:uid="{00000000-0005-0000-0000-0000A2050000}"/>
    <cellStyle name="Comma 4 2 2 2" xfId="3099" xr:uid="{00000000-0005-0000-0000-0000A3050000}"/>
    <cellStyle name="Comma 4 2 2 2 2" xfId="3100" xr:uid="{00000000-0005-0000-0000-0000A4050000}"/>
    <cellStyle name="Comma 4 2 2 2 3" xfId="3101" xr:uid="{00000000-0005-0000-0000-0000A5050000}"/>
    <cellStyle name="Comma 4 2 2 3" xfId="3102" xr:uid="{00000000-0005-0000-0000-0000A6050000}"/>
    <cellStyle name="Comma 4 2 2 4" xfId="3103" xr:uid="{00000000-0005-0000-0000-0000A7050000}"/>
    <cellStyle name="Comma 4 2 2 5" xfId="3104" xr:uid="{00000000-0005-0000-0000-0000A8050000}"/>
    <cellStyle name="Comma 4 2 2 6" xfId="3105" xr:uid="{00000000-0005-0000-0000-0000A9050000}"/>
    <cellStyle name="Comma 4 2 2 7" xfId="3106" xr:uid="{00000000-0005-0000-0000-0000AA050000}"/>
    <cellStyle name="Comma 4 2 2 8" xfId="3107" xr:uid="{00000000-0005-0000-0000-0000AB050000}"/>
    <cellStyle name="Comma 4 2 2 9" xfId="3108" xr:uid="{00000000-0005-0000-0000-0000AC050000}"/>
    <cellStyle name="Comma 4 2 3" xfId="3109" xr:uid="{00000000-0005-0000-0000-0000AD050000}"/>
    <cellStyle name="Comma 4 2 3 2" xfId="3110" xr:uid="{00000000-0005-0000-0000-0000AE050000}"/>
    <cellStyle name="Comma 4 2 3 2 2" xfId="3111" xr:uid="{00000000-0005-0000-0000-0000AF050000}"/>
    <cellStyle name="Comma 4 2 3 2 3" xfId="3112" xr:uid="{00000000-0005-0000-0000-0000B0050000}"/>
    <cellStyle name="Comma 4 2 3 3" xfId="3113" xr:uid="{00000000-0005-0000-0000-0000B1050000}"/>
    <cellStyle name="Comma 4 2 3 4" xfId="3114" xr:uid="{00000000-0005-0000-0000-0000B2050000}"/>
    <cellStyle name="Comma 4 2 3 5" xfId="3115" xr:uid="{00000000-0005-0000-0000-0000B3050000}"/>
    <cellStyle name="Comma 4 2 3 6" xfId="3116" xr:uid="{00000000-0005-0000-0000-0000B4050000}"/>
    <cellStyle name="Comma 4 2 3 7" xfId="3117" xr:uid="{00000000-0005-0000-0000-0000B5050000}"/>
    <cellStyle name="Comma 4 2 4" xfId="3118" xr:uid="{00000000-0005-0000-0000-0000B6050000}"/>
    <cellStyle name="Comma 4 2 4 2" xfId="3119" xr:uid="{00000000-0005-0000-0000-0000B7050000}"/>
    <cellStyle name="Comma 4 2 4 2 2" xfId="3120" xr:uid="{00000000-0005-0000-0000-0000B8050000}"/>
    <cellStyle name="Comma 4 2 4 2 3" xfId="3121" xr:uid="{00000000-0005-0000-0000-0000B9050000}"/>
    <cellStyle name="Comma 4 2 4 3" xfId="3122" xr:uid="{00000000-0005-0000-0000-0000BA050000}"/>
    <cellStyle name="Comma 4 2 4 4" xfId="3123" xr:uid="{00000000-0005-0000-0000-0000BB050000}"/>
    <cellStyle name="Comma 4 2 4 5" xfId="3124" xr:uid="{00000000-0005-0000-0000-0000BC050000}"/>
    <cellStyle name="Comma 4 2 4 6" xfId="3125" xr:uid="{00000000-0005-0000-0000-0000BD050000}"/>
    <cellStyle name="Comma 4 2 5" xfId="3126" xr:uid="{00000000-0005-0000-0000-0000BE050000}"/>
    <cellStyle name="Comma 4 2 5 2" xfId="3127" xr:uid="{00000000-0005-0000-0000-0000BF050000}"/>
    <cellStyle name="Comma 4 2 5 2 2" xfId="3128" xr:uid="{00000000-0005-0000-0000-0000C0050000}"/>
    <cellStyle name="Comma 4 2 5 2 3" xfId="3129" xr:uid="{00000000-0005-0000-0000-0000C1050000}"/>
    <cellStyle name="Comma 4 2 5 3" xfId="3130" xr:uid="{00000000-0005-0000-0000-0000C2050000}"/>
    <cellStyle name="Comma 4 2 5 4" xfId="3131" xr:uid="{00000000-0005-0000-0000-0000C3050000}"/>
    <cellStyle name="Comma 4 2 6" xfId="3132" xr:uid="{00000000-0005-0000-0000-0000C4050000}"/>
    <cellStyle name="Comma 4 2 6 2" xfId="3133" xr:uid="{00000000-0005-0000-0000-0000C5050000}"/>
    <cellStyle name="Comma 4 2 6 2 2" xfId="3134" xr:uid="{00000000-0005-0000-0000-0000C6050000}"/>
    <cellStyle name="Comma 4 2 6 2 3" xfId="3135" xr:uid="{00000000-0005-0000-0000-0000C7050000}"/>
    <cellStyle name="Comma 4 2 6 3" xfId="3136" xr:uid="{00000000-0005-0000-0000-0000C8050000}"/>
    <cellStyle name="Comma 4 2 6 4" xfId="3137" xr:uid="{00000000-0005-0000-0000-0000C9050000}"/>
    <cellStyle name="Comma 4 2 7" xfId="3138" xr:uid="{00000000-0005-0000-0000-0000CA050000}"/>
    <cellStyle name="Comma 4 2 7 2" xfId="3139" xr:uid="{00000000-0005-0000-0000-0000CB050000}"/>
    <cellStyle name="Comma 4 2 7 2 2" xfId="3140" xr:uid="{00000000-0005-0000-0000-0000CC050000}"/>
    <cellStyle name="Comma 4 2 7 2 3" xfId="3141" xr:uid="{00000000-0005-0000-0000-0000CD050000}"/>
    <cellStyle name="Comma 4 2 7 3" xfId="3142" xr:uid="{00000000-0005-0000-0000-0000CE050000}"/>
    <cellStyle name="Comma 4 2 7 4" xfId="3143" xr:uid="{00000000-0005-0000-0000-0000CF050000}"/>
    <cellStyle name="Comma 4 2 8" xfId="3144" xr:uid="{00000000-0005-0000-0000-0000D0050000}"/>
    <cellStyle name="Comma 4 2 8 2" xfId="3145" xr:uid="{00000000-0005-0000-0000-0000D1050000}"/>
    <cellStyle name="Comma 4 2 8 3" xfId="3146" xr:uid="{00000000-0005-0000-0000-0000D2050000}"/>
    <cellStyle name="Comma 4 2 9" xfId="3147" xr:uid="{00000000-0005-0000-0000-0000D3050000}"/>
    <cellStyle name="Comma 4 2_For GOLD" xfId="3148" xr:uid="{00000000-0005-0000-0000-0000D4050000}"/>
    <cellStyle name="Comma 4 20" xfId="3149" xr:uid="{00000000-0005-0000-0000-0000D5050000}"/>
    <cellStyle name="Comma 4 3" xfId="574" xr:uid="{00000000-0005-0000-0000-0000D6050000}"/>
    <cellStyle name="Comma 4 3 10" xfId="3150" xr:uid="{00000000-0005-0000-0000-0000D7050000}"/>
    <cellStyle name="Comma 4 3 11" xfId="3151" xr:uid="{00000000-0005-0000-0000-0000D8050000}"/>
    <cellStyle name="Comma 4 3 12" xfId="3152" xr:uid="{00000000-0005-0000-0000-0000D9050000}"/>
    <cellStyle name="Comma 4 3 13" xfId="3153" xr:uid="{00000000-0005-0000-0000-0000DA050000}"/>
    <cellStyle name="Comma 4 3 14" xfId="3154" xr:uid="{00000000-0005-0000-0000-0000DB050000}"/>
    <cellStyle name="Comma 4 3 2" xfId="575" xr:uid="{00000000-0005-0000-0000-0000DC050000}"/>
    <cellStyle name="Comma 4 3 2 2" xfId="3155" xr:uid="{00000000-0005-0000-0000-0000DD050000}"/>
    <cellStyle name="Comma 4 3 2 2 2" xfId="3156" xr:uid="{00000000-0005-0000-0000-0000DE050000}"/>
    <cellStyle name="Comma 4 3 2 2 3" xfId="3157" xr:uid="{00000000-0005-0000-0000-0000DF050000}"/>
    <cellStyle name="Comma 4 3 2 3" xfId="3158" xr:uid="{00000000-0005-0000-0000-0000E0050000}"/>
    <cellStyle name="Comma 4 3 2 4" xfId="3159" xr:uid="{00000000-0005-0000-0000-0000E1050000}"/>
    <cellStyle name="Comma 4 3 2 5" xfId="3160" xr:uid="{00000000-0005-0000-0000-0000E2050000}"/>
    <cellStyle name="Comma 4 3 2 6" xfId="3161" xr:uid="{00000000-0005-0000-0000-0000E3050000}"/>
    <cellStyle name="Comma 4 3 2 7" xfId="3162" xr:uid="{00000000-0005-0000-0000-0000E4050000}"/>
    <cellStyle name="Comma 4 3 2 8" xfId="3163" xr:uid="{00000000-0005-0000-0000-0000E5050000}"/>
    <cellStyle name="Comma 4 3 2 9" xfId="3164" xr:uid="{00000000-0005-0000-0000-0000E6050000}"/>
    <cellStyle name="Comma 4 3 3" xfId="3165" xr:uid="{00000000-0005-0000-0000-0000E7050000}"/>
    <cellStyle name="Comma 4 3 3 2" xfId="3166" xr:uid="{00000000-0005-0000-0000-0000E8050000}"/>
    <cellStyle name="Comma 4 3 3 2 2" xfId="3167" xr:uid="{00000000-0005-0000-0000-0000E9050000}"/>
    <cellStyle name="Comma 4 3 3 2 3" xfId="3168" xr:uid="{00000000-0005-0000-0000-0000EA050000}"/>
    <cellStyle name="Comma 4 3 3 3" xfId="3169" xr:uid="{00000000-0005-0000-0000-0000EB050000}"/>
    <cellStyle name="Comma 4 3 3 4" xfId="3170" xr:uid="{00000000-0005-0000-0000-0000EC050000}"/>
    <cellStyle name="Comma 4 3 3 5" xfId="3171" xr:uid="{00000000-0005-0000-0000-0000ED050000}"/>
    <cellStyle name="Comma 4 3 3 6" xfId="3172" xr:uid="{00000000-0005-0000-0000-0000EE050000}"/>
    <cellStyle name="Comma 4 3 3 7" xfId="3173" xr:uid="{00000000-0005-0000-0000-0000EF050000}"/>
    <cellStyle name="Comma 4 3 4" xfId="3174" xr:uid="{00000000-0005-0000-0000-0000F0050000}"/>
    <cellStyle name="Comma 4 3 4 2" xfId="3175" xr:uid="{00000000-0005-0000-0000-0000F1050000}"/>
    <cellStyle name="Comma 4 3 4 2 2" xfId="3176" xr:uid="{00000000-0005-0000-0000-0000F2050000}"/>
    <cellStyle name="Comma 4 3 4 2 3" xfId="3177" xr:uid="{00000000-0005-0000-0000-0000F3050000}"/>
    <cellStyle name="Comma 4 3 4 3" xfId="3178" xr:uid="{00000000-0005-0000-0000-0000F4050000}"/>
    <cellStyle name="Comma 4 3 4 4" xfId="3179" xr:uid="{00000000-0005-0000-0000-0000F5050000}"/>
    <cellStyle name="Comma 4 3 4 5" xfId="3180" xr:uid="{00000000-0005-0000-0000-0000F6050000}"/>
    <cellStyle name="Comma 4 3 4 6" xfId="3181" xr:uid="{00000000-0005-0000-0000-0000F7050000}"/>
    <cellStyle name="Comma 4 3 5" xfId="3182" xr:uid="{00000000-0005-0000-0000-0000F8050000}"/>
    <cellStyle name="Comma 4 3 5 2" xfId="3183" xr:uid="{00000000-0005-0000-0000-0000F9050000}"/>
    <cellStyle name="Comma 4 3 5 2 2" xfId="3184" xr:uid="{00000000-0005-0000-0000-0000FA050000}"/>
    <cellStyle name="Comma 4 3 5 2 3" xfId="3185" xr:uid="{00000000-0005-0000-0000-0000FB050000}"/>
    <cellStyle name="Comma 4 3 5 3" xfId="3186" xr:uid="{00000000-0005-0000-0000-0000FC050000}"/>
    <cellStyle name="Comma 4 3 5 4" xfId="3187" xr:uid="{00000000-0005-0000-0000-0000FD050000}"/>
    <cellStyle name="Comma 4 3 6" xfId="3188" xr:uid="{00000000-0005-0000-0000-0000FE050000}"/>
    <cellStyle name="Comma 4 3 6 2" xfId="3189" xr:uid="{00000000-0005-0000-0000-0000FF050000}"/>
    <cellStyle name="Comma 4 3 6 2 2" xfId="3190" xr:uid="{00000000-0005-0000-0000-000000060000}"/>
    <cellStyle name="Comma 4 3 6 2 3" xfId="3191" xr:uid="{00000000-0005-0000-0000-000001060000}"/>
    <cellStyle name="Comma 4 3 6 3" xfId="3192" xr:uid="{00000000-0005-0000-0000-000002060000}"/>
    <cellStyle name="Comma 4 3 6 4" xfId="3193" xr:uid="{00000000-0005-0000-0000-000003060000}"/>
    <cellStyle name="Comma 4 3 7" xfId="3194" xr:uid="{00000000-0005-0000-0000-000004060000}"/>
    <cellStyle name="Comma 4 3 7 2" xfId="3195" xr:uid="{00000000-0005-0000-0000-000005060000}"/>
    <cellStyle name="Comma 4 3 7 2 2" xfId="3196" xr:uid="{00000000-0005-0000-0000-000006060000}"/>
    <cellStyle name="Comma 4 3 7 2 3" xfId="3197" xr:uid="{00000000-0005-0000-0000-000007060000}"/>
    <cellStyle name="Comma 4 3 7 3" xfId="3198" xr:uid="{00000000-0005-0000-0000-000008060000}"/>
    <cellStyle name="Comma 4 3 7 4" xfId="3199" xr:uid="{00000000-0005-0000-0000-000009060000}"/>
    <cellStyle name="Comma 4 3 8" xfId="3200" xr:uid="{00000000-0005-0000-0000-00000A060000}"/>
    <cellStyle name="Comma 4 3 8 2" xfId="3201" xr:uid="{00000000-0005-0000-0000-00000B060000}"/>
    <cellStyle name="Comma 4 3 8 3" xfId="3202" xr:uid="{00000000-0005-0000-0000-00000C060000}"/>
    <cellStyle name="Comma 4 3 9" xfId="3203" xr:uid="{00000000-0005-0000-0000-00000D060000}"/>
    <cellStyle name="Comma 4 4" xfId="576" xr:uid="{00000000-0005-0000-0000-00000E060000}"/>
    <cellStyle name="Comma 4 4 10" xfId="3204" xr:uid="{00000000-0005-0000-0000-00000F060000}"/>
    <cellStyle name="Comma 4 4 11" xfId="3205" xr:uid="{00000000-0005-0000-0000-000010060000}"/>
    <cellStyle name="Comma 4 4 12" xfId="3206" xr:uid="{00000000-0005-0000-0000-000011060000}"/>
    <cellStyle name="Comma 4 4 13" xfId="3207" xr:uid="{00000000-0005-0000-0000-000012060000}"/>
    <cellStyle name="Comma 4 4 14" xfId="3208" xr:uid="{00000000-0005-0000-0000-000013060000}"/>
    <cellStyle name="Comma 4 4 2" xfId="577" xr:uid="{00000000-0005-0000-0000-000014060000}"/>
    <cellStyle name="Comma 4 4 2 2" xfId="3209" xr:uid="{00000000-0005-0000-0000-000015060000}"/>
    <cellStyle name="Comma 4 4 2 2 2" xfId="3210" xr:uid="{00000000-0005-0000-0000-000016060000}"/>
    <cellStyle name="Comma 4 4 2 2 3" xfId="3211" xr:uid="{00000000-0005-0000-0000-000017060000}"/>
    <cellStyle name="Comma 4 4 2 3" xfId="3212" xr:uid="{00000000-0005-0000-0000-000018060000}"/>
    <cellStyle name="Comma 4 4 2 4" xfId="3213" xr:uid="{00000000-0005-0000-0000-000019060000}"/>
    <cellStyle name="Comma 4 4 2 5" xfId="3214" xr:uid="{00000000-0005-0000-0000-00001A060000}"/>
    <cellStyle name="Comma 4 4 2 6" xfId="3215" xr:uid="{00000000-0005-0000-0000-00001B060000}"/>
    <cellStyle name="Comma 4 4 2 7" xfId="3216" xr:uid="{00000000-0005-0000-0000-00001C060000}"/>
    <cellStyle name="Comma 4 4 2 8" xfId="3217" xr:uid="{00000000-0005-0000-0000-00001D060000}"/>
    <cellStyle name="Comma 4 4 2 9" xfId="3218" xr:uid="{00000000-0005-0000-0000-00001E060000}"/>
    <cellStyle name="Comma 4 4 3" xfId="3219" xr:uid="{00000000-0005-0000-0000-00001F060000}"/>
    <cellStyle name="Comma 4 4 3 2" xfId="3220" xr:uid="{00000000-0005-0000-0000-000020060000}"/>
    <cellStyle name="Comma 4 4 3 2 2" xfId="3221" xr:uid="{00000000-0005-0000-0000-000021060000}"/>
    <cellStyle name="Comma 4 4 3 2 3" xfId="3222" xr:uid="{00000000-0005-0000-0000-000022060000}"/>
    <cellStyle name="Comma 4 4 3 3" xfId="3223" xr:uid="{00000000-0005-0000-0000-000023060000}"/>
    <cellStyle name="Comma 4 4 3 4" xfId="3224" xr:uid="{00000000-0005-0000-0000-000024060000}"/>
    <cellStyle name="Comma 4 4 3 5" xfId="3225" xr:uid="{00000000-0005-0000-0000-000025060000}"/>
    <cellStyle name="Comma 4 4 3 6" xfId="3226" xr:uid="{00000000-0005-0000-0000-000026060000}"/>
    <cellStyle name="Comma 4 4 3 7" xfId="3227" xr:uid="{00000000-0005-0000-0000-000027060000}"/>
    <cellStyle name="Comma 4 4 4" xfId="3228" xr:uid="{00000000-0005-0000-0000-000028060000}"/>
    <cellStyle name="Comma 4 4 4 2" xfId="3229" xr:uid="{00000000-0005-0000-0000-000029060000}"/>
    <cellStyle name="Comma 4 4 4 2 2" xfId="3230" xr:uid="{00000000-0005-0000-0000-00002A060000}"/>
    <cellStyle name="Comma 4 4 4 2 3" xfId="3231" xr:uid="{00000000-0005-0000-0000-00002B060000}"/>
    <cellStyle name="Comma 4 4 4 3" xfId="3232" xr:uid="{00000000-0005-0000-0000-00002C060000}"/>
    <cellStyle name="Comma 4 4 4 4" xfId="3233" xr:uid="{00000000-0005-0000-0000-00002D060000}"/>
    <cellStyle name="Comma 4 4 4 5" xfId="3234" xr:uid="{00000000-0005-0000-0000-00002E060000}"/>
    <cellStyle name="Comma 4 4 4 6" xfId="3235" xr:uid="{00000000-0005-0000-0000-00002F060000}"/>
    <cellStyle name="Comma 4 4 5" xfId="3236" xr:uid="{00000000-0005-0000-0000-000030060000}"/>
    <cellStyle name="Comma 4 4 5 2" xfId="3237" xr:uid="{00000000-0005-0000-0000-000031060000}"/>
    <cellStyle name="Comma 4 4 5 2 2" xfId="3238" xr:uid="{00000000-0005-0000-0000-000032060000}"/>
    <cellStyle name="Comma 4 4 5 2 3" xfId="3239" xr:uid="{00000000-0005-0000-0000-000033060000}"/>
    <cellStyle name="Comma 4 4 5 3" xfId="3240" xr:uid="{00000000-0005-0000-0000-000034060000}"/>
    <cellStyle name="Comma 4 4 5 4" xfId="3241" xr:uid="{00000000-0005-0000-0000-000035060000}"/>
    <cellStyle name="Comma 4 4 6" xfId="3242" xr:uid="{00000000-0005-0000-0000-000036060000}"/>
    <cellStyle name="Comma 4 4 6 2" xfId="3243" xr:uid="{00000000-0005-0000-0000-000037060000}"/>
    <cellStyle name="Comma 4 4 6 2 2" xfId="3244" xr:uid="{00000000-0005-0000-0000-000038060000}"/>
    <cellStyle name="Comma 4 4 6 2 3" xfId="3245" xr:uid="{00000000-0005-0000-0000-000039060000}"/>
    <cellStyle name="Comma 4 4 6 3" xfId="3246" xr:uid="{00000000-0005-0000-0000-00003A060000}"/>
    <cellStyle name="Comma 4 4 6 4" xfId="3247" xr:uid="{00000000-0005-0000-0000-00003B060000}"/>
    <cellStyle name="Comma 4 4 7" xfId="3248" xr:uid="{00000000-0005-0000-0000-00003C060000}"/>
    <cellStyle name="Comma 4 4 7 2" xfId="3249" xr:uid="{00000000-0005-0000-0000-00003D060000}"/>
    <cellStyle name="Comma 4 4 7 2 2" xfId="3250" xr:uid="{00000000-0005-0000-0000-00003E060000}"/>
    <cellStyle name="Comma 4 4 7 2 3" xfId="3251" xr:uid="{00000000-0005-0000-0000-00003F060000}"/>
    <cellStyle name="Comma 4 4 7 3" xfId="3252" xr:uid="{00000000-0005-0000-0000-000040060000}"/>
    <cellStyle name="Comma 4 4 7 4" xfId="3253" xr:uid="{00000000-0005-0000-0000-000041060000}"/>
    <cellStyle name="Comma 4 4 8" xfId="3254" xr:uid="{00000000-0005-0000-0000-000042060000}"/>
    <cellStyle name="Comma 4 4 8 2" xfId="3255" xr:uid="{00000000-0005-0000-0000-000043060000}"/>
    <cellStyle name="Comma 4 4 8 3" xfId="3256" xr:uid="{00000000-0005-0000-0000-000044060000}"/>
    <cellStyle name="Comma 4 4 9" xfId="3257" xr:uid="{00000000-0005-0000-0000-000045060000}"/>
    <cellStyle name="Comma 4 5" xfId="578" xr:uid="{00000000-0005-0000-0000-000046060000}"/>
    <cellStyle name="Comma 4 5 10" xfId="3258" xr:uid="{00000000-0005-0000-0000-000047060000}"/>
    <cellStyle name="Comma 4 5 11" xfId="3259" xr:uid="{00000000-0005-0000-0000-000048060000}"/>
    <cellStyle name="Comma 4 5 12" xfId="3260" xr:uid="{00000000-0005-0000-0000-000049060000}"/>
    <cellStyle name="Comma 4 5 13" xfId="3261" xr:uid="{00000000-0005-0000-0000-00004A060000}"/>
    <cellStyle name="Comma 4 5 2" xfId="579" xr:uid="{00000000-0005-0000-0000-00004B060000}"/>
    <cellStyle name="Comma 4 5 2 2" xfId="3262" xr:uid="{00000000-0005-0000-0000-00004C060000}"/>
    <cellStyle name="Comma 4 5 2 2 2" xfId="3263" xr:uid="{00000000-0005-0000-0000-00004D060000}"/>
    <cellStyle name="Comma 4 5 2 2 3" xfId="3264" xr:uid="{00000000-0005-0000-0000-00004E060000}"/>
    <cellStyle name="Comma 4 5 2 3" xfId="3265" xr:uid="{00000000-0005-0000-0000-00004F060000}"/>
    <cellStyle name="Comma 4 5 2 4" xfId="3266" xr:uid="{00000000-0005-0000-0000-000050060000}"/>
    <cellStyle name="Comma 4 5 2 5" xfId="3267" xr:uid="{00000000-0005-0000-0000-000051060000}"/>
    <cellStyle name="Comma 4 5 2 6" xfId="3268" xr:uid="{00000000-0005-0000-0000-000052060000}"/>
    <cellStyle name="Comma 4 5 2 7" xfId="3269" xr:uid="{00000000-0005-0000-0000-000053060000}"/>
    <cellStyle name="Comma 4 5 2 8" xfId="3270" xr:uid="{00000000-0005-0000-0000-000054060000}"/>
    <cellStyle name="Comma 4 5 2 9" xfId="3271" xr:uid="{00000000-0005-0000-0000-000055060000}"/>
    <cellStyle name="Comma 4 5 3" xfId="3272" xr:uid="{00000000-0005-0000-0000-000056060000}"/>
    <cellStyle name="Comma 4 5 3 2" xfId="3273" xr:uid="{00000000-0005-0000-0000-000057060000}"/>
    <cellStyle name="Comma 4 5 3 2 2" xfId="3274" xr:uid="{00000000-0005-0000-0000-000058060000}"/>
    <cellStyle name="Comma 4 5 3 2 3" xfId="3275" xr:uid="{00000000-0005-0000-0000-000059060000}"/>
    <cellStyle name="Comma 4 5 3 3" xfId="3276" xr:uid="{00000000-0005-0000-0000-00005A060000}"/>
    <cellStyle name="Comma 4 5 3 4" xfId="3277" xr:uid="{00000000-0005-0000-0000-00005B060000}"/>
    <cellStyle name="Comma 4 5 3 5" xfId="3278" xr:uid="{00000000-0005-0000-0000-00005C060000}"/>
    <cellStyle name="Comma 4 5 3 6" xfId="3279" xr:uid="{00000000-0005-0000-0000-00005D060000}"/>
    <cellStyle name="Comma 4 5 3 7" xfId="3280" xr:uid="{00000000-0005-0000-0000-00005E060000}"/>
    <cellStyle name="Comma 4 5 4" xfId="3281" xr:uid="{00000000-0005-0000-0000-00005F060000}"/>
    <cellStyle name="Comma 4 5 4 2" xfId="3282" xr:uid="{00000000-0005-0000-0000-000060060000}"/>
    <cellStyle name="Comma 4 5 4 2 2" xfId="3283" xr:uid="{00000000-0005-0000-0000-000061060000}"/>
    <cellStyle name="Comma 4 5 4 2 3" xfId="3284" xr:uid="{00000000-0005-0000-0000-000062060000}"/>
    <cellStyle name="Comma 4 5 4 3" xfId="3285" xr:uid="{00000000-0005-0000-0000-000063060000}"/>
    <cellStyle name="Comma 4 5 4 4" xfId="3286" xr:uid="{00000000-0005-0000-0000-000064060000}"/>
    <cellStyle name="Comma 4 5 4 5" xfId="3287" xr:uid="{00000000-0005-0000-0000-000065060000}"/>
    <cellStyle name="Comma 4 5 4 6" xfId="3288" xr:uid="{00000000-0005-0000-0000-000066060000}"/>
    <cellStyle name="Comma 4 5 5" xfId="3289" xr:uid="{00000000-0005-0000-0000-000067060000}"/>
    <cellStyle name="Comma 4 5 5 2" xfId="3290" xr:uid="{00000000-0005-0000-0000-000068060000}"/>
    <cellStyle name="Comma 4 5 5 2 2" xfId="3291" xr:uid="{00000000-0005-0000-0000-000069060000}"/>
    <cellStyle name="Comma 4 5 5 2 3" xfId="3292" xr:uid="{00000000-0005-0000-0000-00006A060000}"/>
    <cellStyle name="Comma 4 5 5 3" xfId="3293" xr:uid="{00000000-0005-0000-0000-00006B060000}"/>
    <cellStyle name="Comma 4 5 5 4" xfId="3294" xr:uid="{00000000-0005-0000-0000-00006C060000}"/>
    <cellStyle name="Comma 4 5 6" xfId="3295" xr:uid="{00000000-0005-0000-0000-00006D060000}"/>
    <cellStyle name="Comma 4 5 6 2" xfId="3296" xr:uid="{00000000-0005-0000-0000-00006E060000}"/>
    <cellStyle name="Comma 4 5 6 2 2" xfId="3297" xr:uid="{00000000-0005-0000-0000-00006F060000}"/>
    <cellStyle name="Comma 4 5 6 2 3" xfId="3298" xr:uid="{00000000-0005-0000-0000-000070060000}"/>
    <cellStyle name="Comma 4 5 6 3" xfId="3299" xr:uid="{00000000-0005-0000-0000-000071060000}"/>
    <cellStyle name="Comma 4 5 6 4" xfId="3300" xr:uid="{00000000-0005-0000-0000-000072060000}"/>
    <cellStyle name="Comma 4 5 7" xfId="3301" xr:uid="{00000000-0005-0000-0000-000073060000}"/>
    <cellStyle name="Comma 4 5 7 2" xfId="3302" xr:uid="{00000000-0005-0000-0000-000074060000}"/>
    <cellStyle name="Comma 4 5 7 2 2" xfId="3303" xr:uid="{00000000-0005-0000-0000-000075060000}"/>
    <cellStyle name="Comma 4 5 7 2 3" xfId="3304" xr:uid="{00000000-0005-0000-0000-000076060000}"/>
    <cellStyle name="Comma 4 5 7 3" xfId="3305" xr:uid="{00000000-0005-0000-0000-000077060000}"/>
    <cellStyle name="Comma 4 5 7 4" xfId="3306" xr:uid="{00000000-0005-0000-0000-000078060000}"/>
    <cellStyle name="Comma 4 5 8" xfId="3307" xr:uid="{00000000-0005-0000-0000-000079060000}"/>
    <cellStyle name="Comma 4 5 8 2" xfId="3308" xr:uid="{00000000-0005-0000-0000-00007A060000}"/>
    <cellStyle name="Comma 4 5 8 3" xfId="3309" xr:uid="{00000000-0005-0000-0000-00007B060000}"/>
    <cellStyle name="Comma 4 5 9" xfId="3310" xr:uid="{00000000-0005-0000-0000-00007C060000}"/>
    <cellStyle name="Comma 4 6" xfId="580" xr:uid="{00000000-0005-0000-0000-00007D060000}"/>
    <cellStyle name="Comma 4 6 10" xfId="3311" xr:uid="{00000000-0005-0000-0000-00007E060000}"/>
    <cellStyle name="Comma 4 6 11" xfId="3312" xr:uid="{00000000-0005-0000-0000-00007F060000}"/>
    <cellStyle name="Comma 4 6 12" xfId="3313" xr:uid="{00000000-0005-0000-0000-000080060000}"/>
    <cellStyle name="Comma 4 6 13" xfId="3314" xr:uid="{00000000-0005-0000-0000-000081060000}"/>
    <cellStyle name="Comma 4 6 2" xfId="581" xr:uid="{00000000-0005-0000-0000-000082060000}"/>
    <cellStyle name="Comma 4 6 2 2" xfId="3315" xr:uid="{00000000-0005-0000-0000-000083060000}"/>
    <cellStyle name="Comma 4 6 2 2 2" xfId="3316" xr:uid="{00000000-0005-0000-0000-000084060000}"/>
    <cellStyle name="Comma 4 6 2 2 3" xfId="3317" xr:uid="{00000000-0005-0000-0000-000085060000}"/>
    <cellStyle name="Comma 4 6 2 3" xfId="3318" xr:uid="{00000000-0005-0000-0000-000086060000}"/>
    <cellStyle name="Comma 4 6 2 4" xfId="3319" xr:uid="{00000000-0005-0000-0000-000087060000}"/>
    <cellStyle name="Comma 4 6 2 5" xfId="3320" xr:uid="{00000000-0005-0000-0000-000088060000}"/>
    <cellStyle name="Comma 4 6 2 6" xfId="3321" xr:uid="{00000000-0005-0000-0000-000089060000}"/>
    <cellStyle name="Comma 4 6 2 7" xfId="3322" xr:uid="{00000000-0005-0000-0000-00008A060000}"/>
    <cellStyle name="Comma 4 6 2 8" xfId="3323" xr:uid="{00000000-0005-0000-0000-00008B060000}"/>
    <cellStyle name="Comma 4 6 2 9" xfId="3324" xr:uid="{00000000-0005-0000-0000-00008C060000}"/>
    <cellStyle name="Comma 4 6 3" xfId="3325" xr:uid="{00000000-0005-0000-0000-00008D060000}"/>
    <cellStyle name="Comma 4 6 3 2" xfId="3326" xr:uid="{00000000-0005-0000-0000-00008E060000}"/>
    <cellStyle name="Comma 4 6 3 2 2" xfId="3327" xr:uid="{00000000-0005-0000-0000-00008F060000}"/>
    <cellStyle name="Comma 4 6 3 2 3" xfId="3328" xr:uid="{00000000-0005-0000-0000-000090060000}"/>
    <cellStyle name="Comma 4 6 3 3" xfId="3329" xr:uid="{00000000-0005-0000-0000-000091060000}"/>
    <cellStyle name="Comma 4 6 3 4" xfId="3330" xr:uid="{00000000-0005-0000-0000-000092060000}"/>
    <cellStyle name="Comma 4 6 3 5" xfId="3331" xr:uid="{00000000-0005-0000-0000-000093060000}"/>
    <cellStyle name="Comma 4 6 3 6" xfId="3332" xr:uid="{00000000-0005-0000-0000-000094060000}"/>
    <cellStyle name="Comma 4 6 3 7" xfId="3333" xr:uid="{00000000-0005-0000-0000-000095060000}"/>
    <cellStyle name="Comma 4 6 4" xfId="3334" xr:uid="{00000000-0005-0000-0000-000096060000}"/>
    <cellStyle name="Comma 4 6 4 2" xfId="3335" xr:uid="{00000000-0005-0000-0000-000097060000}"/>
    <cellStyle name="Comma 4 6 4 2 2" xfId="3336" xr:uid="{00000000-0005-0000-0000-000098060000}"/>
    <cellStyle name="Comma 4 6 4 2 3" xfId="3337" xr:uid="{00000000-0005-0000-0000-000099060000}"/>
    <cellStyle name="Comma 4 6 4 3" xfId="3338" xr:uid="{00000000-0005-0000-0000-00009A060000}"/>
    <cellStyle name="Comma 4 6 4 4" xfId="3339" xr:uid="{00000000-0005-0000-0000-00009B060000}"/>
    <cellStyle name="Comma 4 6 4 5" xfId="3340" xr:uid="{00000000-0005-0000-0000-00009C060000}"/>
    <cellStyle name="Comma 4 6 4 6" xfId="3341" xr:uid="{00000000-0005-0000-0000-00009D060000}"/>
    <cellStyle name="Comma 4 6 5" xfId="3342" xr:uid="{00000000-0005-0000-0000-00009E060000}"/>
    <cellStyle name="Comma 4 6 5 2" xfId="3343" xr:uid="{00000000-0005-0000-0000-00009F060000}"/>
    <cellStyle name="Comma 4 6 5 2 2" xfId="3344" xr:uid="{00000000-0005-0000-0000-0000A0060000}"/>
    <cellStyle name="Comma 4 6 5 2 3" xfId="3345" xr:uid="{00000000-0005-0000-0000-0000A1060000}"/>
    <cellStyle name="Comma 4 6 5 3" xfId="3346" xr:uid="{00000000-0005-0000-0000-0000A2060000}"/>
    <cellStyle name="Comma 4 6 5 4" xfId="3347" xr:uid="{00000000-0005-0000-0000-0000A3060000}"/>
    <cellStyle name="Comma 4 6 6" xfId="3348" xr:uid="{00000000-0005-0000-0000-0000A4060000}"/>
    <cellStyle name="Comma 4 6 6 2" xfId="3349" xr:uid="{00000000-0005-0000-0000-0000A5060000}"/>
    <cellStyle name="Comma 4 6 6 2 2" xfId="3350" xr:uid="{00000000-0005-0000-0000-0000A6060000}"/>
    <cellStyle name="Comma 4 6 6 2 3" xfId="3351" xr:uid="{00000000-0005-0000-0000-0000A7060000}"/>
    <cellStyle name="Comma 4 6 6 3" xfId="3352" xr:uid="{00000000-0005-0000-0000-0000A8060000}"/>
    <cellStyle name="Comma 4 6 6 4" xfId="3353" xr:uid="{00000000-0005-0000-0000-0000A9060000}"/>
    <cellStyle name="Comma 4 6 7" xfId="3354" xr:uid="{00000000-0005-0000-0000-0000AA060000}"/>
    <cellStyle name="Comma 4 6 7 2" xfId="3355" xr:uid="{00000000-0005-0000-0000-0000AB060000}"/>
    <cellStyle name="Comma 4 6 7 2 2" xfId="3356" xr:uid="{00000000-0005-0000-0000-0000AC060000}"/>
    <cellStyle name="Comma 4 6 7 2 3" xfId="3357" xr:uid="{00000000-0005-0000-0000-0000AD060000}"/>
    <cellStyle name="Comma 4 6 7 3" xfId="3358" xr:uid="{00000000-0005-0000-0000-0000AE060000}"/>
    <cellStyle name="Comma 4 6 7 4" xfId="3359" xr:uid="{00000000-0005-0000-0000-0000AF060000}"/>
    <cellStyle name="Comma 4 6 8" xfId="3360" xr:uid="{00000000-0005-0000-0000-0000B0060000}"/>
    <cellStyle name="Comma 4 6 8 2" xfId="3361" xr:uid="{00000000-0005-0000-0000-0000B1060000}"/>
    <cellStyle name="Comma 4 6 8 3" xfId="3362" xr:uid="{00000000-0005-0000-0000-0000B2060000}"/>
    <cellStyle name="Comma 4 6 9" xfId="3363" xr:uid="{00000000-0005-0000-0000-0000B3060000}"/>
    <cellStyle name="Comma 4 7" xfId="582" xr:uid="{00000000-0005-0000-0000-0000B4060000}"/>
    <cellStyle name="Comma 4 7 10" xfId="3364" xr:uid="{00000000-0005-0000-0000-0000B5060000}"/>
    <cellStyle name="Comma 4 7 11" xfId="3365" xr:uid="{00000000-0005-0000-0000-0000B6060000}"/>
    <cellStyle name="Comma 4 7 12" xfId="3366" xr:uid="{00000000-0005-0000-0000-0000B7060000}"/>
    <cellStyle name="Comma 4 7 13" xfId="3367" xr:uid="{00000000-0005-0000-0000-0000B8060000}"/>
    <cellStyle name="Comma 4 7 2" xfId="583" xr:uid="{00000000-0005-0000-0000-0000B9060000}"/>
    <cellStyle name="Comma 4 7 2 2" xfId="3368" xr:uid="{00000000-0005-0000-0000-0000BA060000}"/>
    <cellStyle name="Comma 4 7 2 2 2" xfId="3369" xr:uid="{00000000-0005-0000-0000-0000BB060000}"/>
    <cellStyle name="Comma 4 7 2 2 3" xfId="3370" xr:uid="{00000000-0005-0000-0000-0000BC060000}"/>
    <cellStyle name="Comma 4 7 2 3" xfId="3371" xr:uid="{00000000-0005-0000-0000-0000BD060000}"/>
    <cellStyle name="Comma 4 7 2 4" xfId="3372" xr:uid="{00000000-0005-0000-0000-0000BE060000}"/>
    <cellStyle name="Comma 4 7 2 5" xfId="3373" xr:uid="{00000000-0005-0000-0000-0000BF060000}"/>
    <cellStyle name="Comma 4 7 2 6" xfId="3374" xr:uid="{00000000-0005-0000-0000-0000C0060000}"/>
    <cellStyle name="Comma 4 7 2 7" xfId="3375" xr:uid="{00000000-0005-0000-0000-0000C1060000}"/>
    <cellStyle name="Comma 4 7 2 8" xfId="3376" xr:uid="{00000000-0005-0000-0000-0000C2060000}"/>
    <cellStyle name="Comma 4 7 2 9" xfId="3377" xr:uid="{00000000-0005-0000-0000-0000C3060000}"/>
    <cellStyle name="Comma 4 7 3" xfId="3378" xr:uid="{00000000-0005-0000-0000-0000C4060000}"/>
    <cellStyle name="Comma 4 7 3 2" xfId="3379" xr:uid="{00000000-0005-0000-0000-0000C5060000}"/>
    <cellStyle name="Comma 4 7 3 2 2" xfId="3380" xr:uid="{00000000-0005-0000-0000-0000C6060000}"/>
    <cellStyle name="Comma 4 7 3 2 3" xfId="3381" xr:uid="{00000000-0005-0000-0000-0000C7060000}"/>
    <cellStyle name="Comma 4 7 3 3" xfId="3382" xr:uid="{00000000-0005-0000-0000-0000C8060000}"/>
    <cellStyle name="Comma 4 7 3 4" xfId="3383" xr:uid="{00000000-0005-0000-0000-0000C9060000}"/>
    <cellStyle name="Comma 4 7 3 5" xfId="3384" xr:uid="{00000000-0005-0000-0000-0000CA060000}"/>
    <cellStyle name="Comma 4 7 3 6" xfId="3385" xr:uid="{00000000-0005-0000-0000-0000CB060000}"/>
    <cellStyle name="Comma 4 7 3 7" xfId="3386" xr:uid="{00000000-0005-0000-0000-0000CC060000}"/>
    <cellStyle name="Comma 4 7 4" xfId="3387" xr:uid="{00000000-0005-0000-0000-0000CD060000}"/>
    <cellStyle name="Comma 4 7 4 2" xfId="3388" xr:uid="{00000000-0005-0000-0000-0000CE060000}"/>
    <cellStyle name="Comma 4 7 4 2 2" xfId="3389" xr:uid="{00000000-0005-0000-0000-0000CF060000}"/>
    <cellStyle name="Comma 4 7 4 2 3" xfId="3390" xr:uid="{00000000-0005-0000-0000-0000D0060000}"/>
    <cellStyle name="Comma 4 7 4 3" xfId="3391" xr:uid="{00000000-0005-0000-0000-0000D1060000}"/>
    <cellStyle name="Comma 4 7 4 4" xfId="3392" xr:uid="{00000000-0005-0000-0000-0000D2060000}"/>
    <cellStyle name="Comma 4 7 4 5" xfId="3393" xr:uid="{00000000-0005-0000-0000-0000D3060000}"/>
    <cellStyle name="Comma 4 7 4 6" xfId="3394" xr:uid="{00000000-0005-0000-0000-0000D4060000}"/>
    <cellStyle name="Comma 4 7 5" xfId="3395" xr:uid="{00000000-0005-0000-0000-0000D5060000}"/>
    <cellStyle name="Comma 4 7 5 2" xfId="3396" xr:uid="{00000000-0005-0000-0000-0000D6060000}"/>
    <cellStyle name="Comma 4 7 5 2 2" xfId="3397" xr:uid="{00000000-0005-0000-0000-0000D7060000}"/>
    <cellStyle name="Comma 4 7 5 2 3" xfId="3398" xr:uid="{00000000-0005-0000-0000-0000D8060000}"/>
    <cellStyle name="Comma 4 7 5 3" xfId="3399" xr:uid="{00000000-0005-0000-0000-0000D9060000}"/>
    <cellStyle name="Comma 4 7 5 4" xfId="3400" xr:uid="{00000000-0005-0000-0000-0000DA060000}"/>
    <cellStyle name="Comma 4 7 6" xfId="3401" xr:uid="{00000000-0005-0000-0000-0000DB060000}"/>
    <cellStyle name="Comma 4 7 6 2" xfId="3402" xr:uid="{00000000-0005-0000-0000-0000DC060000}"/>
    <cellStyle name="Comma 4 7 6 2 2" xfId="3403" xr:uid="{00000000-0005-0000-0000-0000DD060000}"/>
    <cellStyle name="Comma 4 7 6 2 3" xfId="3404" xr:uid="{00000000-0005-0000-0000-0000DE060000}"/>
    <cellStyle name="Comma 4 7 6 3" xfId="3405" xr:uid="{00000000-0005-0000-0000-0000DF060000}"/>
    <cellStyle name="Comma 4 7 6 4" xfId="3406" xr:uid="{00000000-0005-0000-0000-0000E0060000}"/>
    <cellStyle name="Comma 4 7 7" xfId="3407" xr:uid="{00000000-0005-0000-0000-0000E1060000}"/>
    <cellStyle name="Comma 4 7 7 2" xfId="3408" xr:uid="{00000000-0005-0000-0000-0000E2060000}"/>
    <cellStyle name="Comma 4 7 7 2 2" xfId="3409" xr:uid="{00000000-0005-0000-0000-0000E3060000}"/>
    <cellStyle name="Comma 4 7 7 2 3" xfId="3410" xr:uid="{00000000-0005-0000-0000-0000E4060000}"/>
    <cellStyle name="Comma 4 7 7 3" xfId="3411" xr:uid="{00000000-0005-0000-0000-0000E5060000}"/>
    <cellStyle name="Comma 4 7 7 4" xfId="3412" xr:uid="{00000000-0005-0000-0000-0000E6060000}"/>
    <cellStyle name="Comma 4 7 8" xfId="3413" xr:uid="{00000000-0005-0000-0000-0000E7060000}"/>
    <cellStyle name="Comma 4 7 8 2" xfId="3414" xr:uid="{00000000-0005-0000-0000-0000E8060000}"/>
    <cellStyle name="Comma 4 7 8 3" xfId="3415" xr:uid="{00000000-0005-0000-0000-0000E9060000}"/>
    <cellStyle name="Comma 4 7 9" xfId="3416" xr:uid="{00000000-0005-0000-0000-0000EA060000}"/>
    <cellStyle name="Comma 4 8" xfId="584" xr:uid="{00000000-0005-0000-0000-0000EB060000}"/>
    <cellStyle name="Comma 4 8 10" xfId="3417" xr:uid="{00000000-0005-0000-0000-0000EC060000}"/>
    <cellStyle name="Comma 4 8 11" xfId="3418" xr:uid="{00000000-0005-0000-0000-0000ED060000}"/>
    <cellStyle name="Comma 4 8 12" xfId="3419" xr:uid="{00000000-0005-0000-0000-0000EE060000}"/>
    <cellStyle name="Comma 4 8 2" xfId="3420" xr:uid="{00000000-0005-0000-0000-0000EF060000}"/>
    <cellStyle name="Comma 4 8 2 2" xfId="3421" xr:uid="{00000000-0005-0000-0000-0000F0060000}"/>
    <cellStyle name="Comma 4 8 2 3" xfId="3422" xr:uid="{00000000-0005-0000-0000-0000F1060000}"/>
    <cellStyle name="Comma 4 8 3" xfId="3423" xr:uid="{00000000-0005-0000-0000-0000F2060000}"/>
    <cellStyle name="Comma 4 8 4" xfId="3424" xr:uid="{00000000-0005-0000-0000-0000F3060000}"/>
    <cellStyle name="Comma 4 8 5" xfId="3425" xr:uid="{00000000-0005-0000-0000-0000F4060000}"/>
    <cellStyle name="Comma 4 8 6" xfId="3426" xr:uid="{00000000-0005-0000-0000-0000F5060000}"/>
    <cellStyle name="Comma 4 8 7" xfId="3427" xr:uid="{00000000-0005-0000-0000-0000F6060000}"/>
    <cellStyle name="Comma 4 8 8" xfId="3428" xr:uid="{00000000-0005-0000-0000-0000F7060000}"/>
    <cellStyle name="Comma 4 8 9" xfId="3429" xr:uid="{00000000-0005-0000-0000-0000F8060000}"/>
    <cellStyle name="Comma 4 9" xfId="2115" xr:uid="{00000000-0005-0000-0000-0000F9060000}"/>
    <cellStyle name="Comma 4 9 2" xfId="3430" xr:uid="{00000000-0005-0000-0000-0000FA060000}"/>
    <cellStyle name="Comma 4 9 3" xfId="3431" xr:uid="{00000000-0005-0000-0000-0000FB060000}"/>
    <cellStyle name="Comma 4_2018 Raw" xfId="585" xr:uid="{00000000-0005-0000-0000-0000FC060000}"/>
    <cellStyle name="Comma 5" xfId="2116" xr:uid="{00000000-0005-0000-0000-0000FD060000}"/>
    <cellStyle name="Comma 5 2" xfId="3432" xr:uid="{00000000-0005-0000-0000-0000FE060000}"/>
    <cellStyle name="Comma 5 2 2" xfId="3433" xr:uid="{00000000-0005-0000-0000-0000FF060000}"/>
    <cellStyle name="Comma 5_For GOLD" xfId="3434" xr:uid="{00000000-0005-0000-0000-000000070000}"/>
    <cellStyle name="Comma 6" xfId="2117" xr:uid="{00000000-0005-0000-0000-000001070000}"/>
    <cellStyle name="Comma 6 2" xfId="3435" xr:uid="{00000000-0005-0000-0000-000002070000}"/>
    <cellStyle name="Comma 7" xfId="2118" xr:uid="{00000000-0005-0000-0000-000003070000}"/>
    <cellStyle name="Comma 7 2" xfId="3436" xr:uid="{00000000-0005-0000-0000-000004070000}"/>
    <cellStyle name="Comma 8" xfId="2119" xr:uid="{00000000-0005-0000-0000-000005070000}"/>
    <cellStyle name="Comma 8 2" xfId="3437" xr:uid="{00000000-0005-0000-0000-000006070000}"/>
    <cellStyle name="Comma 9" xfId="2120" xr:uid="{00000000-0005-0000-0000-000007070000}"/>
    <cellStyle name="Comma 9 2" xfId="3438" xr:uid="{00000000-0005-0000-0000-000008070000}"/>
    <cellStyle name="Commentaire" xfId="586" xr:uid="{00000000-0005-0000-0000-000009070000}"/>
    <cellStyle name="Commentaire 2" xfId="3439" xr:uid="{00000000-0005-0000-0000-00000A070000}"/>
    <cellStyle name="Commentaire 3" xfId="3440" xr:uid="{00000000-0005-0000-0000-00000B070000}"/>
    <cellStyle name="Commentaire 4" xfId="3441" xr:uid="{00000000-0005-0000-0000-00000C070000}"/>
    <cellStyle name="Commentaire_Feuil1" xfId="3442" xr:uid="{00000000-0005-0000-0000-00000D070000}"/>
    <cellStyle name="Currency 2" xfId="587" xr:uid="{00000000-0005-0000-0000-00000E070000}"/>
    <cellStyle name="Currency 2 10" xfId="3443" xr:uid="{00000000-0005-0000-0000-00000F070000}"/>
    <cellStyle name="Currency 2 11" xfId="3444" xr:uid="{00000000-0005-0000-0000-000010070000}"/>
    <cellStyle name="Currency 2 12" xfId="3445" xr:uid="{00000000-0005-0000-0000-000011070000}"/>
    <cellStyle name="Currency 2 13" xfId="3446" xr:uid="{00000000-0005-0000-0000-000012070000}"/>
    <cellStyle name="Currency 2 14" xfId="3447" xr:uid="{00000000-0005-0000-0000-000013070000}"/>
    <cellStyle name="Currency 2 15" xfId="3448" xr:uid="{00000000-0005-0000-0000-000014070000}"/>
    <cellStyle name="Currency 2 16" xfId="3449" xr:uid="{00000000-0005-0000-0000-000015070000}"/>
    <cellStyle name="Currency 2 17" xfId="3450" xr:uid="{00000000-0005-0000-0000-000016070000}"/>
    <cellStyle name="Currency 2 18" xfId="3451" xr:uid="{00000000-0005-0000-0000-000017070000}"/>
    <cellStyle name="Currency 2 19" xfId="3452" xr:uid="{00000000-0005-0000-0000-000018070000}"/>
    <cellStyle name="Currency 2 2" xfId="588" xr:uid="{00000000-0005-0000-0000-000019070000}"/>
    <cellStyle name="Currency 2 2 10" xfId="3453" xr:uid="{00000000-0005-0000-0000-00001A070000}"/>
    <cellStyle name="Currency 2 2 11" xfId="3454" xr:uid="{00000000-0005-0000-0000-00001B070000}"/>
    <cellStyle name="Currency 2 2 12" xfId="3455" xr:uid="{00000000-0005-0000-0000-00001C070000}"/>
    <cellStyle name="Currency 2 2 13" xfId="3456" xr:uid="{00000000-0005-0000-0000-00001D070000}"/>
    <cellStyle name="Currency 2 2 14" xfId="3457" xr:uid="{00000000-0005-0000-0000-00001E070000}"/>
    <cellStyle name="Currency 2 2 2" xfId="589" xr:uid="{00000000-0005-0000-0000-00001F070000}"/>
    <cellStyle name="Currency 2 2 2 2" xfId="3458" xr:uid="{00000000-0005-0000-0000-000020070000}"/>
    <cellStyle name="Currency 2 2 2 2 2" xfId="3459" xr:uid="{00000000-0005-0000-0000-000021070000}"/>
    <cellStyle name="Currency 2 2 2 2 3" xfId="3460" xr:uid="{00000000-0005-0000-0000-000022070000}"/>
    <cellStyle name="Currency 2 2 2 3" xfId="3461" xr:uid="{00000000-0005-0000-0000-000023070000}"/>
    <cellStyle name="Currency 2 2 2 4" xfId="3462" xr:uid="{00000000-0005-0000-0000-000024070000}"/>
    <cellStyle name="Currency 2 2 2 5" xfId="3463" xr:uid="{00000000-0005-0000-0000-000025070000}"/>
    <cellStyle name="Currency 2 2 2 6" xfId="3464" xr:uid="{00000000-0005-0000-0000-000026070000}"/>
    <cellStyle name="Currency 2 2 2 7" xfId="3465" xr:uid="{00000000-0005-0000-0000-000027070000}"/>
    <cellStyle name="Currency 2 2 2 8" xfId="3466" xr:uid="{00000000-0005-0000-0000-000028070000}"/>
    <cellStyle name="Currency 2 2 2 9" xfId="3467" xr:uid="{00000000-0005-0000-0000-000029070000}"/>
    <cellStyle name="Currency 2 2 3" xfId="2122" xr:uid="{00000000-0005-0000-0000-00002A070000}"/>
    <cellStyle name="Currency 2 2 3 2" xfId="3468" xr:uid="{00000000-0005-0000-0000-00002B070000}"/>
    <cellStyle name="Currency 2 2 3 2 2" xfId="3469" xr:uid="{00000000-0005-0000-0000-00002C070000}"/>
    <cellStyle name="Currency 2 2 3 2 3" xfId="3470" xr:uid="{00000000-0005-0000-0000-00002D070000}"/>
    <cellStyle name="Currency 2 2 3 3" xfId="3471" xr:uid="{00000000-0005-0000-0000-00002E070000}"/>
    <cellStyle name="Currency 2 2 3 4" xfId="3472" xr:uid="{00000000-0005-0000-0000-00002F070000}"/>
    <cellStyle name="Currency 2 2 3 5" xfId="3473" xr:uid="{00000000-0005-0000-0000-000030070000}"/>
    <cellStyle name="Currency 2 2 3 6" xfId="3474" xr:uid="{00000000-0005-0000-0000-000031070000}"/>
    <cellStyle name="Currency 2 2 3 7" xfId="3475" xr:uid="{00000000-0005-0000-0000-000032070000}"/>
    <cellStyle name="Currency 2 2 4" xfId="3476" xr:uid="{00000000-0005-0000-0000-000033070000}"/>
    <cellStyle name="Currency 2 2 4 2" xfId="3477" xr:uid="{00000000-0005-0000-0000-000034070000}"/>
    <cellStyle name="Currency 2 2 4 2 2" xfId="3478" xr:uid="{00000000-0005-0000-0000-000035070000}"/>
    <cellStyle name="Currency 2 2 4 2 3" xfId="3479" xr:uid="{00000000-0005-0000-0000-000036070000}"/>
    <cellStyle name="Currency 2 2 4 3" xfId="3480" xr:uid="{00000000-0005-0000-0000-000037070000}"/>
    <cellStyle name="Currency 2 2 4 4" xfId="3481" xr:uid="{00000000-0005-0000-0000-000038070000}"/>
    <cellStyle name="Currency 2 2 4 5" xfId="3482" xr:uid="{00000000-0005-0000-0000-000039070000}"/>
    <cellStyle name="Currency 2 2 4 6" xfId="3483" xr:uid="{00000000-0005-0000-0000-00003A070000}"/>
    <cellStyle name="Currency 2 2 5" xfId="3484" xr:uid="{00000000-0005-0000-0000-00003B070000}"/>
    <cellStyle name="Currency 2 2 5 2" xfId="3485" xr:uid="{00000000-0005-0000-0000-00003C070000}"/>
    <cellStyle name="Currency 2 2 5 2 2" xfId="3486" xr:uid="{00000000-0005-0000-0000-00003D070000}"/>
    <cellStyle name="Currency 2 2 5 2 3" xfId="3487" xr:uid="{00000000-0005-0000-0000-00003E070000}"/>
    <cellStyle name="Currency 2 2 5 3" xfId="3488" xr:uid="{00000000-0005-0000-0000-00003F070000}"/>
    <cellStyle name="Currency 2 2 5 4" xfId="3489" xr:uid="{00000000-0005-0000-0000-000040070000}"/>
    <cellStyle name="Currency 2 2 6" xfId="3490" xr:uid="{00000000-0005-0000-0000-000041070000}"/>
    <cellStyle name="Currency 2 2 6 2" xfId="3491" xr:uid="{00000000-0005-0000-0000-000042070000}"/>
    <cellStyle name="Currency 2 2 6 2 2" xfId="3492" xr:uid="{00000000-0005-0000-0000-000043070000}"/>
    <cellStyle name="Currency 2 2 6 2 3" xfId="3493" xr:uid="{00000000-0005-0000-0000-000044070000}"/>
    <cellStyle name="Currency 2 2 6 3" xfId="3494" xr:uid="{00000000-0005-0000-0000-000045070000}"/>
    <cellStyle name="Currency 2 2 6 4" xfId="3495" xr:uid="{00000000-0005-0000-0000-000046070000}"/>
    <cellStyle name="Currency 2 2 7" xfId="3496" xr:uid="{00000000-0005-0000-0000-000047070000}"/>
    <cellStyle name="Currency 2 2 7 2" xfId="3497" xr:uid="{00000000-0005-0000-0000-000048070000}"/>
    <cellStyle name="Currency 2 2 7 2 2" xfId="3498" xr:uid="{00000000-0005-0000-0000-000049070000}"/>
    <cellStyle name="Currency 2 2 7 2 3" xfId="3499" xr:uid="{00000000-0005-0000-0000-00004A070000}"/>
    <cellStyle name="Currency 2 2 7 3" xfId="3500" xr:uid="{00000000-0005-0000-0000-00004B070000}"/>
    <cellStyle name="Currency 2 2 7 4" xfId="3501" xr:uid="{00000000-0005-0000-0000-00004C070000}"/>
    <cellStyle name="Currency 2 2 8" xfId="3502" xr:uid="{00000000-0005-0000-0000-00004D070000}"/>
    <cellStyle name="Currency 2 2 8 2" xfId="3503" xr:uid="{00000000-0005-0000-0000-00004E070000}"/>
    <cellStyle name="Currency 2 2 8 3" xfId="3504" xr:uid="{00000000-0005-0000-0000-00004F070000}"/>
    <cellStyle name="Currency 2 2 9" xfId="3505" xr:uid="{00000000-0005-0000-0000-000050070000}"/>
    <cellStyle name="Currency 2 20" xfId="3506" xr:uid="{00000000-0005-0000-0000-000051070000}"/>
    <cellStyle name="Currency 2 3" xfId="590" xr:uid="{00000000-0005-0000-0000-000052070000}"/>
    <cellStyle name="Currency 2 3 10" xfId="3507" xr:uid="{00000000-0005-0000-0000-000053070000}"/>
    <cellStyle name="Currency 2 3 11" xfId="3508" xr:uid="{00000000-0005-0000-0000-000054070000}"/>
    <cellStyle name="Currency 2 3 12" xfId="3509" xr:uid="{00000000-0005-0000-0000-000055070000}"/>
    <cellStyle name="Currency 2 3 13" xfId="3510" xr:uid="{00000000-0005-0000-0000-000056070000}"/>
    <cellStyle name="Currency 2 3 14" xfId="3511" xr:uid="{00000000-0005-0000-0000-000057070000}"/>
    <cellStyle name="Currency 2 3 2" xfId="591" xr:uid="{00000000-0005-0000-0000-000058070000}"/>
    <cellStyle name="Currency 2 3 2 2" xfId="3512" xr:uid="{00000000-0005-0000-0000-000059070000}"/>
    <cellStyle name="Currency 2 3 2 2 2" xfId="3513" xr:uid="{00000000-0005-0000-0000-00005A070000}"/>
    <cellStyle name="Currency 2 3 2 2 3" xfId="3514" xr:uid="{00000000-0005-0000-0000-00005B070000}"/>
    <cellStyle name="Currency 2 3 2 3" xfId="3515" xr:uid="{00000000-0005-0000-0000-00005C070000}"/>
    <cellStyle name="Currency 2 3 2 4" xfId="3516" xr:uid="{00000000-0005-0000-0000-00005D070000}"/>
    <cellStyle name="Currency 2 3 2 5" xfId="3517" xr:uid="{00000000-0005-0000-0000-00005E070000}"/>
    <cellStyle name="Currency 2 3 2 6" xfId="3518" xr:uid="{00000000-0005-0000-0000-00005F070000}"/>
    <cellStyle name="Currency 2 3 2 7" xfId="3519" xr:uid="{00000000-0005-0000-0000-000060070000}"/>
    <cellStyle name="Currency 2 3 2 8" xfId="3520" xr:uid="{00000000-0005-0000-0000-000061070000}"/>
    <cellStyle name="Currency 2 3 2 9" xfId="3521" xr:uid="{00000000-0005-0000-0000-000062070000}"/>
    <cellStyle name="Currency 2 3 3" xfId="3522" xr:uid="{00000000-0005-0000-0000-000063070000}"/>
    <cellStyle name="Currency 2 3 3 2" xfId="3523" xr:uid="{00000000-0005-0000-0000-000064070000}"/>
    <cellStyle name="Currency 2 3 3 2 2" xfId="3524" xr:uid="{00000000-0005-0000-0000-000065070000}"/>
    <cellStyle name="Currency 2 3 3 2 3" xfId="3525" xr:uid="{00000000-0005-0000-0000-000066070000}"/>
    <cellStyle name="Currency 2 3 3 3" xfId="3526" xr:uid="{00000000-0005-0000-0000-000067070000}"/>
    <cellStyle name="Currency 2 3 3 4" xfId="3527" xr:uid="{00000000-0005-0000-0000-000068070000}"/>
    <cellStyle name="Currency 2 3 3 5" xfId="3528" xr:uid="{00000000-0005-0000-0000-000069070000}"/>
    <cellStyle name="Currency 2 3 3 6" xfId="3529" xr:uid="{00000000-0005-0000-0000-00006A070000}"/>
    <cellStyle name="Currency 2 3 3 7" xfId="3530" xr:uid="{00000000-0005-0000-0000-00006B070000}"/>
    <cellStyle name="Currency 2 3 4" xfId="3531" xr:uid="{00000000-0005-0000-0000-00006C070000}"/>
    <cellStyle name="Currency 2 3 4 2" xfId="3532" xr:uid="{00000000-0005-0000-0000-00006D070000}"/>
    <cellStyle name="Currency 2 3 4 2 2" xfId="3533" xr:uid="{00000000-0005-0000-0000-00006E070000}"/>
    <cellStyle name="Currency 2 3 4 2 3" xfId="3534" xr:uid="{00000000-0005-0000-0000-00006F070000}"/>
    <cellStyle name="Currency 2 3 4 3" xfId="3535" xr:uid="{00000000-0005-0000-0000-000070070000}"/>
    <cellStyle name="Currency 2 3 4 4" xfId="3536" xr:uid="{00000000-0005-0000-0000-000071070000}"/>
    <cellStyle name="Currency 2 3 4 5" xfId="3537" xr:uid="{00000000-0005-0000-0000-000072070000}"/>
    <cellStyle name="Currency 2 3 4 6" xfId="3538" xr:uid="{00000000-0005-0000-0000-000073070000}"/>
    <cellStyle name="Currency 2 3 5" xfId="3539" xr:uid="{00000000-0005-0000-0000-000074070000}"/>
    <cellStyle name="Currency 2 3 5 2" xfId="3540" xr:uid="{00000000-0005-0000-0000-000075070000}"/>
    <cellStyle name="Currency 2 3 5 2 2" xfId="3541" xr:uid="{00000000-0005-0000-0000-000076070000}"/>
    <cellStyle name="Currency 2 3 5 2 3" xfId="3542" xr:uid="{00000000-0005-0000-0000-000077070000}"/>
    <cellStyle name="Currency 2 3 5 3" xfId="3543" xr:uid="{00000000-0005-0000-0000-000078070000}"/>
    <cellStyle name="Currency 2 3 5 4" xfId="3544" xr:uid="{00000000-0005-0000-0000-000079070000}"/>
    <cellStyle name="Currency 2 3 6" xfId="3545" xr:uid="{00000000-0005-0000-0000-00007A070000}"/>
    <cellStyle name="Currency 2 3 6 2" xfId="3546" xr:uid="{00000000-0005-0000-0000-00007B070000}"/>
    <cellStyle name="Currency 2 3 6 2 2" xfId="3547" xr:uid="{00000000-0005-0000-0000-00007C070000}"/>
    <cellStyle name="Currency 2 3 6 2 3" xfId="3548" xr:uid="{00000000-0005-0000-0000-00007D070000}"/>
    <cellStyle name="Currency 2 3 6 3" xfId="3549" xr:uid="{00000000-0005-0000-0000-00007E070000}"/>
    <cellStyle name="Currency 2 3 6 4" xfId="3550" xr:uid="{00000000-0005-0000-0000-00007F070000}"/>
    <cellStyle name="Currency 2 3 7" xfId="3551" xr:uid="{00000000-0005-0000-0000-000080070000}"/>
    <cellStyle name="Currency 2 3 7 2" xfId="3552" xr:uid="{00000000-0005-0000-0000-000081070000}"/>
    <cellStyle name="Currency 2 3 7 2 2" xfId="3553" xr:uid="{00000000-0005-0000-0000-000082070000}"/>
    <cellStyle name="Currency 2 3 7 2 3" xfId="3554" xr:uid="{00000000-0005-0000-0000-000083070000}"/>
    <cellStyle name="Currency 2 3 7 3" xfId="3555" xr:uid="{00000000-0005-0000-0000-000084070000}"/>
    <cellStyle name="Currency 2 3 7 4" xfId="3556" xr:uid="{00000000-0005-0000-0000-000085070000}"/>
    <cellStyle name="Currency 2 3 8" xfId="3557" xr:uid="{00000000-0005-0000-0000-000086070000}"/>
    <cellStyle name="Currency 2 3 8 2" xfId="3558" xr:uid="{00000000-0005-0000-0000-000087070000}"/>
    <cellStyle name="Currency 2 3 8 3" xfId="3559" xr:uid="{00000000-0005-0000-0000-000088070000}"/>
    <cellStyle name="Currency 2 3 9" xfId="3560" xr:uid="{00000000-0005-0000-0000-000089070000}"/>
    <cellStyle name="Currency 2 4" xfId="592" xr:uid="{00000000-0005-0000-0000-00008A070000}"/>
    <cellStyle name="Currency 2 4 10" xfId="3561" xr:uid="{00000000-0005-0000-0000-00008B070000}"/>
    <cellStyle name="Currency 2 4 11" xfId="3562" xr:uid="{00000000-0005-0000-0000-00008C070000}"/>
    <cellStyle name="Currency 2 4 12" xfId="3563" xr:uid="{00000000-0005-0000-0000-00008D070000}"/>
    <cellStyle name="Currency 2 4 13" xfId="3564" xr:uid="{00000000-0005-0000-0000-00008E070000}"/>
    <cellStyle name="Currency 2 4 14" xfId="3565" xr:uid="{00000000-0005-0000-0000-00008F070000}"/>
    <cellStyle name="Currency 2 4 2" xfId="593" xr:uid="{00000000-0005-0000-0000-000090070000}"/>
    <cellStyle name="Currency 2 4 2 2" xfId="3566" xr:uid="{00000000-0005-0000-0000-000091070000}"/>
    <cellStyle name="Currency 2 4 2 2 2" xfId="3567" xr:uid="{00000000-0005-0000-0000-000092070000}"/>
    <cellStyle name="Currency 2 4 2 2 3" xfId="3568" xr:uid="{00000000-0005-0000-0000-000093070000}"/>
    <cellStyle name="Currency 2 4 2 3" xfId="3569" xr:uid="{00000000-0005-0000-0000-000094070000}"/>
    <cellStyle name="Currency 2 4 2 4" xfId="3570" xr:uid="{00000000-0005-0000-0000-000095070000}"/>
    <cellStyle name="Currency 2 4 2 5" xfId="3571" xr:uid="{00000000-0005-0000-0000-000096070000}"/>
    <cellStyle name="Currency 2 4 2 6" xfId="3572" xr:uid="{00000000-0005-0000-0000-000097070000}"/>
    <cellStyle name="Currency 2 4 2 7" xfId="3573" xr:uid="{00000000-0005-0000-0000-000098070000}"/>
    <cellStyle name="Currency 2 4 2 8" xfId="3574" xr:uid="{00000000-0005-0000-0000-000099070000}"/>
    <cellStyle name="Currency 2 4 2 9" xfId="3575" xr:uid="{00000000-0005-0000-0000-00009A070000}"/>
    <cellStyle name="Currency 2 4 3" xfId="3576" xr:uid="{00000000-0005-0000-0000-00009B070000}"/>
    <cellStyle name="Currency 2 4 3 2" xfId="3577" xr:uid="{00000000-0005-0000-0000-00009C070000}"/>
    <cellStyle name="Currency 2 4 3 2 2" xfId="3578" xr:uid="{00000000-0005-0000-0000-00009D070000}"/>
    <cellStyle name="Currency 2 4 3 2 3" xfId="3579" xr:uid="{00000000-0005-0000-0000-00009E070000}"/>
    <cellStyle name="Currency 2 4 3 3" xfId="3580" xr:uid="{00000000-0005-0000-0000-00009F070000}"/>
    <cellStyle name="Currency 2 4 3 4" xfId="3581" xr:uid="{00000000-0005-0000-0000-0000A0070000}"/>
    <cellStyle name="Currency 2 4 3 5" xfId="3582" xr:uid="{00000000-0005-0000-0000-0000A1070000}"/>
    <cellStyle name="Currency 2 4 3 6" xfId="3583" xr:uid="{00000000-0005-0000-0000-0000A2070000}"/>
    <cellStyle name="Currency 2 4 3 7" xfId="3584" xr:uid="{00000000-0005-0000-0000-0000A3070000}"/>
    <cellStyle name="Currency 2 4 4" xfId="3585" xr:uid="{00000000-0005-0000-0000-0000A4070000}"/>
    <cellStyle name="Currency 2 4 4 2" xfId="3586" xr:uid="{00000000-0005-0000-0000-0000A5070000}"/>
    <cellStyle name="Currency 2 4 4 2 2" xfId="3587" xr:uid="{00000000-0005-0000-0000-0000A6070000}"/>
    <cellStyle name="Currency 2 4 4 2 3" xfId="3588" xr:uid="{00000000-0005-0000-0000-0000A7070000}"/>
    <cellStyle name="Currency 2 4 4 3" xfId="3589" xr:uid="{00000000-0005-0000-0000-0000A8070000}"/>
    <cellStyle name="Currency 2 4 4 4" xfId="3590" xr:uid="{00000000-0005-0000-0000-0000A9070000}"/>
    <cellStyle name="Currency 2 4 4 5" xfId="3591" xr:uid="{00000000-0005-0000-0000-0000AA070000}"/>
    <cellStyle name="Currency 2 4 4 6" xfId="3592" xr:uid="{00000000-0005-0000-0000-0000AB070000}"/>
    <cellStyle name="Currency 2 4 5" xfId="3593" xr:uid="{00000000-0005-0000-0000-0000AC070000}"/>
    <cellStyle name="Currency 2 4 5 2" xfId="3594" xr:uid="{00000000-0005-0000-0000-0000AD070000}"/>
    <cellStyle name="Currency 2 4 5 2 2" xfId="3595" xr:uid="{00000000-0005-0000-0000-0000AE070000}"/>
    <cellStyle name="Currency 2 4 5 2 3" xfId="3596" xr:uid="{00000000-0005-0000-0000-0000AF070000}"/>
    <cellStyle name="Currency 2 4 5 3" xfId="3597" xr:uid="{00000000-0005-0000-0000-0000B0070000}"/>
    <cellStyle name="Currency 2 4 5 4" xfId="3598" xr:uid="{00000000-0005-0000-0000-0000B1070000}"/>
    <cellStyle name="Currency 2 4 6" xfId="3599" xr:uid="{00000000-0005-0000-0000-0000B2070000}"/>
    <cellStyle name="Currency 2 4 6 2" xfId="3600" xr:uid="{00000000-0005-0000-0000-0000B3070000}"/>
    <cellStyle name="Currency 2 4 6 2 2" xfId="3601" xr:uid="{00000000-0005-0000-0000-0000B4070000}"/>
    <cellStyle name="Currency 2 4 6 2 3" xfId="3602" xr:uid="{00000000-0005-0000-0000-0000B5070000}"/>
    <cellStyle name="Currency 2 4 6 3" xfId="3603" xr:uid="{00000000-0005-0000-0000-0000B6070000}"/>
    <cellStyle name="Currency 2 4 6 4" xfId="3604" xr:uid="{00000000-0005-0000-0000-0000B7070000}"/>
    <cellStyle name="Currency 2 4 7" xfId="3605" xr:uid="{00000000-0005-0000-0000-0000B8070000}"/>
    <cellStyle name="Currency 2 4 7 2" xfId="3606" xr:uid="{00000000-0005-0000-0000-0000B9070000}"/>
    <cellStyle name="Currency 2 4 7 2 2" xfId="3607" xr:uid="{00000000-0005-0000-0000-0000BA070000}"/>
    <cellStyle name="Currency 2 4 7 2 3" xfId="3608" xr:uid="{00000000-0005-0000-0000-0000BB070000}"/>
    <cellStyle name="Currency 2 4 7 3" xfId="3609" xr:uid="{00000000-0005-0000-0000-0000BC070000}"/>
    <cellStyle name="Currency 2 4 7 4" xfId="3610" xr:uid="{00000000-0005-0000-0000-0000BD070000}"/>
    <cellStyle name="Currency 2 4 8" xfId="3611" xr:uid="{00000000-0005-0000-0000-0000BE070000}"/>
    <cellStyle name="Currency 2 4 8 2" xfId="3612" xr:uid="{00000000-0005-0000-0000-0000BF070000}"/>
    <cellStyle name="Currency 2 4 8 3" xfId="3613" xr:uid="{00000000-0005-0000-0000-0000C0070000}"/>
    <cellStyle name="Currency 2 4 9" xfId="3614" xr:uid="{00000000-0005-0000-0000-0000C1070000}"/>
    <cellStyle name="Currency 2 5" xfId="594" xr:uid="{00000000-0005-0000-0000-0000C2070000}"/>
    <cellStyle name="Currency 2 5 10" xfId="3615" xr:uid="{00000000-0005-0000-0000-0000C3070000}"/>
    <cellStyle name="Currency 2 5 11" xfId="3616" xr:uid="{00000000-0005-0000-0000-0000C4070000}"/>
    <cellStyle name="Currency 2 5 12" xfId="3617" xr:uid="{00000000-0005-0000-0000-0000C5070000}"/>
    <cellStyle name="Currency 2 5 13" xfId="3618" xr:uid="{00000000-0005-0000-0000-0000C6070000}"/>
    <cellStyle name="Currency 2 5 2" xfId="595" xr:uid="{00000000-0005-0000-0000-0000C7070000}"/>
    <cellStyle name="Currency 2 5 2 2" xfId="3619" xr:uid="{00000000-0005-0000-0000-0000C8070000}"/>
    <cellStyle name="Currency 2 5 2 2 2" xfId="3620" xr:uid="{00000000-0005-0000-0000-0000C9070000}"/>
    <cellStyle name="Currency 2 5 2 2 3" xfId="3621" xr:uid="{00000000-0005-0000-0000-0000CA070000}"/>
    <cellStyle name="Currency 2 5 2 3" xfId="3622" xr:uid="{00000000-0005-0000-0000-0000CB070000}"/>
    <cellStyle name="Currency 2 5 2 4" xfId="3623" xr:uid="{00000000-0005-0000-0000-0000CC070000}"/>
    <cellStyle name="Currency 2 5 2 5" xfId="3624" xr:uid="{00000000-0005-0000-0000-0000CD070000}"/>
    <cellStyle name="Currency 2 5 2 6" xfId="3625" xr:uid="{00000000-0005-0000-0000-0000CE070000}"/>
    <cellStyle name="Currency 2 5 2 7" xfId="3626" xr:uid="{00000000-0005-0000-0000-0000CF070000}"/>
    <cellStyle name="Currency 2 5 2 8" xfId="3627" xr:uid="{00000000-0005-0000-0000-0000D0070000}"/>
    <cellStyle name="Currency 2 5 2 9" xfId="3628" xr:uid="{00000000-0005-0000-0000-0000D1070000}"/>
    <cellStyle name="Currency 2 5 3" xfId="3629" xr:uid="{00000000-0005-0000-0000-0000D2070000}"/>
    <cellStyle name="Currency 2 5 3 2" xfId="3630" xr:uid="{00000000-0005-0000-0000-0000D3070000}"/>
    <cellStyle name="Currency 2 5 3 2 2" xfId="3631" xr:uid="{00000000-0005-0000-0000-0000D4070000}"/>
    <cellStyle name="Currency 2 5 3 2 3" xfId="3632" xr:uid="{00000000-0005-0000-0000-0000D5070000}"/>
    <cellStyle name="Currency 2 5 3 3" xfId="3633" xr:uid="{00000000-0005-0000-0000-0000D6070000}"/>
    <cellStyle name="Currency 2 5 3 4" xfId="3634" xr:uid="{00000000-0005-0000-0000-0000D7070000}"/>
    <cellStyle name="Currency 2 5 3 5" xfId="3635" xr:uid="{00000000-0005-0000-0000-0000D8070000}"/>
    <cellStyle name="Currency 2 5 3 6" xfId="3636" xr:uid="{00000000-0005-0000-0000-0000D9070000}"/>
    <cellStyle name="Currency 2 5 3 7" xfId="3637" xr:uid="{00000000-0005-0000-0000-0000DA070000}"/>
    <cellStyle name="Currency 2 5 4" xfId="3638" xr:uid="{00000000-0005-0000-0000-0000DB070000}"/>
    <cellStyle name="Currency 2 5 4 2" xfId="3639" xr:uid="{00000000-0005-0000-0000-0000DC070000}"/>
    <cellStyle name="Currency 2 5 4 2 2" xfId="3640" xr:uid="{00000000-0005-0000-0000-0000DD070000}"/>
    <cellStyle name="Currency 2 5 4 2 3" xfId="3641" xr:uid="{00000000-0005-0000-0000-0000DE070000}"/>
    <cellStyle name="Currency 2 5 4 3" xfId="3642" xr:uid="{00000000-0005-0000-0000-0000DF070000}"/>
    <cellStyle name="Currency 2 5 4 4" xfId="3643" xr:uid="{00000000-0005-0000-0000-0000E0070000}"/>
    <cellStyle name="Currency 2 5 4 5" xfId="3644" xr:uid="{00000000-0005-0000-0000-0000E1070000}"/>
    <cellStyle name="Currency 2 5 4 6" xfId="3645" xr:uid="{00000000-0005-0000-0000-0000E2070000}"/>
    <cellStyle name="Currency 2 5 5" xfId="3646" xr:uid="{00000000-0005-0000-0000-0000E3070000}"/>
    <cellStyle name="Currency 2 5 5 2" xfId="3647" xr:uid="{00000000-0005-0000-0000-0000E4070000}"/>
    <cellStyle name="Currency 2 5 5 2 2" xfId="3648" xr:uid="{00000000-0005-0000-0000-0000E5070000}"/>
    <cellStyle name="Currency 2 5 5 2 3" xfId="3649" xr:uid="{00000000-0005-0000-0000-0000E6070000}"/>
    <cellStyle name="Currency 2 5 5 3" xfId="3650" xr:uid="{00000000-0005-0000-0000-0000E7070000}"/>
    <cellStyle name="Currency 2 5 5 4" xfId="3651" xr:uid="{00000000-0005-0000-0000-0000E8070000}"/>
    <cellStyle name="Currency 2 5 6" xfId="3652" xr:uid="{00000000-0005-0000-0000-0000E9070000}"/>
    <cellStyle name="Currency 2 5 6 2" xfId="3653" xr:uid="{00000000-0005-0000-0000-0000EA070000}"/>
    <cellStyle name="Currency 2 5 6 2 2" xfId="3654" xr:uid="{00000000-0005-0000-0000-0000EB070000}"/>
    <cellStyle name="Currency 2 5 6 2 3" xfId="3655" xr:uid="{00000000-0005-0000-0000-0000EC070000}"/>
    <cellStyle name="Currency 2 5 6 3" xfId="3656" xr:uid="{00000000-0005-0000-0000-0000ED070000}"/>
    <cellStyle name="Currency 2 5 6 4" xfId="3657" xr:uid="{00000000-0005-0000-0000-0000EE070000}"/>
    <cellStyle name="Currency 2 5 7" xfId="3658" xr:uid="{00000000-0005-0000-0000-0000EF070000}"/>
    <cellStyle name="Currency 2 5 7 2" xfId="3659" xr:uid="{00000000-0005-0000-0000-0000F0070000}"/>
    <cellStyle name="Currency 2 5 7 2 2" xfId="3660" xr:uid="{00000000-0005-0000-0000-0000F1070000}"/>
    <cellStyle name="Currency 2 5 7 2 3" xfId="3661" xr:uid="{00000000-0005-0000-0000-0000F2070000}"/>
    <cellStyle name="Currency 2 5 7 3" xfId="3662" xr:uid="{00000000-0005-0000-0000-0000F3070000}"/>
    <cellStyle name="Currency 2 5 7 4" xfId="3663" xr:uid="{00000000-0005-0000-0000-0000F4070000}"/>
    <cellStyle name="Currency 2 5 8" xfId="3664" xr:uid="{00000000-0005-0000-0000-0000F5070000}"/>
    <cellStyle name="Currency 2 5 8 2" xfId="3665" xr:uid="{00000000-0005-0000-0000-0000F6070000}"/>
    <cellStyle name="Currency 2 5 8 3" xfId="3666" xr:uid="{00000000-0005-0000-0000-0000F7070000}"/>
    <cellStyle name="Currency 2 5 9" xfId="3667" xr:uid="{00000000-0005-0000-0000-0000F8070000}"/>
    <cellStyle name="Currency 2 6" xfId="596" xr:uid="{00000000-0005-0000-0000-0000F9070000}"/>
    <cellStyle name="Currency 2 6 10" xfId="3668" xr:uid="{00000000-0005-0000-0000-0000FA070000}"/>
    <cellStyle name="Currency 2 6 11" xfId="3669" xr:uid="{00000000-0005-0000-0000-0000FB070000}"/>
    <cellStyle name="Currency 2 6 12" xfId="3670" xr:uid="{00000000-0005-0000-0000-0000FC070000}"/>
    <cellStyle name="Currency 2 6 13" xfId="3671" xr:uid="{00000000-0005-0000-0000-0000FD070000}"/>
    <cellStyle name="Currency 2 6 2" xfId="597" xr:uid="{00000000-0005-0000-0000-0000FE070000}"/>
    <cellStyle name="Currency 2 6 2 2" xfId="3672" xr:uid="{00000000-0005-0000-0000-0000FF070000}"/>
    <cellStyle name="Currency 2 6 2 2 2" xfId="3673" xr:uid="{00000000-0005-0000-0000-000000080000}"/>
    <cellStyle name="Currency 2 6 2 2 3" xfId="3674" xr:uid="{00000000-0005-0000-0000-000001080000}"/>
    <cellStyle name="Currency 2 6 2 3" xfId="3675" xr:uid="{00000000-0005-0000-0000-000002080000}"/>
    <cellStyle name="Currency 2 6 2 4" xfId="3676" xr:uid="{00000000-0005-0000-0000-000003080000}"/>
    <cellStyle name="Currency 2 6 2 5" xfId="3677" xr:uid="{00000000-0005-0000-0000-000004080000}"/>
    <cellStyle name="Currency 2 6 2 6" xfId="3678" xr:uid="{00000000-0005-0000-0000-000005080000}"/>
    <cellStyle name="Currency 2 6 2 7" xfId="3679" xr:uid="{00000000-0005-0000-0000-000006080000}"/>
    <cellStyle name="Currency 2 6 2 8" xfId="3680" xr:uid="{00000000-0005-0000-0000-000007080000}"/>
    <cellStyle name="Currency 2 6 2 9" xfId="3681" xr:uid="{00000000-0005-0000-0000-000008080000}"/>
    <cellStyle name="Currency 2 6 3" xfId="3682" xr:uid="{00000000-0005-0000-0000-000009080000}"/>
    <cellStyle name="Currency 2 6 3 2" xfId="3683" xr:uid="{00000000-0005-0000-0000-00000A080000}"/>
    <cellStyle name="Currency 2 6 3 2 2" xfId="3684" xr:uid="{00000000-0005-0000-0000-00000B080000}"/>
    <cellStyle name="Currency 2 6 3 2 3" xfId="3685" xr:uid="{00000000-0005-0000-0000-00000C080000}"/>
    <cellStyle name="Currency 2 6 3 3" xfId="3686" xr:uid="{00000000-0005-0000-0000-00000D080000}"/>
    <cellStyle name="Currency 2 6 3 4" xfId="3687" xr:uid="{00000000-0005-0000-0000-00000E080000}"/>
    <cellStyle name="Currency 2 6 3 5" xfId="3688" xr:uid="{00000000-0005-0000-0000-00000F080000}"/>
    <cellStyle name="Currency 2 6 3 6" xfId="3689" xr:uid="{00000000-0005-0000-0000-000010080000}"/>
    <cellStyle name="Currency 2 6 3 7" xfId="3690" xr:uid="{00000000-0005-0000-0000-000011080000}"/>
    <cellStyle name="Currency 2 6 4" xfId="3691" xr:uid="{00000000-0005-0000-0000-000012080000}"/>
    <cellStyle name="Currency 2 6 4 2" xfId="3692" xr:uid="{00000000-0005-0000-0000-000013080000}"/>
    <cellStyle name="Currency 2 6 4 2 2" xfId="3693" xr:uid="{00000000-0005-0000-0000-000014080000}"/>
    <cellStyle name="Currency 2 6 4 2 3" xfId="3694" xr:uid="{00000000-0005-0000-0000-000015080000}"/>
    <cellStyle name="Currency 2 6 4 3" xfId="3695" xr:uid="{00000000-0005-0000-0000-000016080000}"/>
    <cellStyle name="Currency 2 6 4 4" xfId="3696" xr:uid="{00000000-0005-0000-0000-000017080000}"/>
    <cellStyle name="Currency 2 6 4 5" xfId="3697" xr:uid="{00000000-0005-0000-0000-000018080000}"/>
    <cellStyle name="Currency 2 6 4 6" xfId="3698" xr:uid="{00000000-0005-0000-0000-000019080000}"/>
    <cellStyle name="Currency 2 6 5" xfId="3699" xr:uid="{00000000-0005-0000-0000-00001A080000}"/>
    <cellStyle name="Currency 2 6 5 2" xfId="3700" xr:uid="{00000000-0005-0000-0000-00001B080000}"/>
    <cellStyle name="Currency 2 6 5 2 2" xfId="3701" xr:uid="{00000000-0005-0000-0000-00001C080000}"/>
    <cellStyle name="Currency 2 6 5 2 3" xfId="3702" xr:uid="{00000000-0005-0000-0000-00001D080000}"/>
    <cellStyle name="Currency 2 6 5 3" xfId="3703" xr:uid="{00000000-0005-0000-0000-00001E080000}"/>
    <cellStyle name="Currency 2 6 5 4" xfId="3704" xr:uid="{00000000-0005-0000-0000-00001F080000}"/>
    <cellStyle name="Currency 2 6 6" xfId="3705" xr:uid="{00000000-0005-0000-0000-000020080000}"/>
    <cellStyle name="Currency 2 6 6 2" xfId="3706" xr:uid="{00000000-0005-0000-0000-000021080000}"/>
    <cellStyle name="Currency 2 6 6 2 2" xfId="3707" xr:uid="{00000000-0005-0000-0000-000022080000}"/>
    <cellStyle name="Currency 2 6 6 2 3" xfId="3708" xr:uid="{00000000-0005-0000-0000-000023080000}"/>
    <cellStyle name="Currency 2 6 6 3" xfId="3709" xr:uid="{00000000-0005-0000-0000-000024080000}"/>
    <cellStyle name="Currency 2 6 6 4" xfId="3710" xr:uid="{00000000-0005-0000-0000-000025080000}"/>
    <cellStyle name="Currency 2 6 7" xfId="3711" xr:uid="{00000000-0005-0000-0000-000026080000}"/>
    <cellStyle name="Currency 2 6 7 2" xfId="3712" xr:uid="{00000000-0005-0000-0000-000027080000}"/>
    <cellStyle name="Currency 2 6 7 2 2" xfId="3713" xr:uid="{00000000-0005-0000-0000-000028080000}"/>
    <cellStyle name="Currency 2 6 7 2 3" xfId="3714" xr:uid="{00000000-0005-0000-0000-000029080000}"/>
    <cellStyle name="Currency 2 6 7 3" xfId="3715" xr:uid="{00000000-0005-0000-0000-00002A080000}"/>
    <cellStyle name="Currency 2 6 7 4" xfId="3716" xr:uid="{00000000-0005-0000-0000-00002B080000}"/>
    <cellStyle name="Currency 2 6 8" xfId="3717" xr:uid="{00000000-0005-0000-0000-00002C080000}"/>
    <cellStyle name="Currency 2 6 8 2" xfId="3718" xr:uid="{00000000-0005-0000-0000-00002D080000}"/>
    <cellStyle name="Currency 2 6 8 3" xfId="3719" xr:uid="{00000000-0005-0000-0000-00002E080000}"/>
    <cellStyle name="Currency 2 6 9" xfId="3720" xr:uid="{00000000-0005-0000-0000-00002F080000}"/>
    <cellStyle name="Currency 2 7" xfId="598" xr:uid="{00000000-0005-0000-0000-000030080000}"/>
    <cellStyle name="Currency 2 7 10" xfId="3721" xr:uid="{00000000-0005-0000-0000-000031080000}"/>
    <cellStyle name="Currency 2 7 11" xfId="3722" xr:uid="{00000000-0005-0000-0000-000032080000}"/>
    <cellStyle name="Currency 2 7 12" xfId="3723" xr:uid="{00000000-0005-0000-0000-000033080000}"/>
    <cellStyle name="Currency 2 7 13" xfId="3724" xr:uid="{00000000-0005-0000-0000-000034080000}"/>
    <cellStyle name="Currency 2 7 2" xfId="599" xr:uid="{00000000-0005-0000-0000-000035080000}"/>
    <cellStyle name="Currency 2 7 2 2" xfId="3725" xr:uid="{00000000-0005-0000-0000-000036080000}"/>
    <cellStyle name="Currency 2 7 2 2 2" xfId="3726" xr:uid="{00000000-0005-0000-0000-000037080000}"/>
    <cellStyle name="Currency 2 7 2 2 3" xfId="3727" xr:uid="{00000000-0005-0000-0000-000038080000}"/>
    <cellStyle name="Currency 2 7 2 3" xfId="3728" xr:uid="{00000000-0005-0000-0000-000039080000}"/>
    <cellStyle name="Currency 2 7 2 4" xfId="3729" xr:uid="{00000000-0005-0000-0000-00003A080000}"/>
    <cellStyle name="Currency 2 7 2 5" xfId="3730" xr:uid="{00000000-0005-0000-0000-00003B080000}"/>
    <cellStyle name="Currency 2 7 2 6" xfId="3731" xr:uid="{00000000-0005-0000-0000-00003C080000}"/>
    <cellStyle name="Currency 2 7 2 7" xfId="3732" xr:uid="{00000000-0005-0000-0000-00003D080000}"/>
    <cellStyle name="Currency 2 7 2 8" xfId="3733" xr:uid="{00000000-0005-0000-0000-00003E080000}"/>
    <cellStyle name="Currency 2 7 2 9" xfId="3734" xr:uid="{00000000-0005-0000-0000-00003F080000}"/>
    <cellStyle name="Currency 2 7 3" xfId="3735" xr:uid="{00000000-0005-0000-0000-000040080000}"/>
    <cellStyle name="Currency 2 7 3 2" xfId="3736" xr:uid="{00000000-0005-0000-0000-000041080000}"/>
    <cellStyle name="Currency 2 7 3 2 2" xfId="3737" xr:uid="{00000000-0005-0000-0000-000042080000}"/>
    <cellStyle name="Currency 2 7 3 2 3" xfId="3738" xr:uid="{00000000-0005-0000-0000-000043080000}"/>
    <cellStyle name="Currency 2 7 3 3" xfId="3739" xr:uid="{00000000-0005-0000-0000-000044080000}"/>
    <cellStyle name="Currency 2 7 3 4" xfId="3740" xr:uid="{00000000-0005-0000-0000-000045080000}"/>
    <cellStyle name="Currency 2 7 3 5" xfId="3741" xr:uid="{00000000-0005-0000-0000-000046080000}"/>
    <cellStyle name="Currency 2 7 3 6" xfId="3742" xr:uid="{00000000-0005-0000-0000-000047080000}"/>
    <cellStyle name="Currency 2 7 3 7" xfId="3743" xr:uid="{00000000-0005-0000-0000-000048080000}"/>
    <cellStyle name="Currency 2 7 4" xfId="3744" xr:uid="{00000000-0005-0000-0000-000049080000}"/>
    <cellStyle name="Currency 2 7 4 2" xfId="3745" xr:uid="{00000000-0005-0000-0000-00004A080000}"/>
    <cellStyle name="Currency 2 7 4 2 2" xfId="3746" xr:uid="{00000000-0005-0000-0000-00004B080000}"/>
    <cellStyle name="Currency 2 7 4 2 3" xfId="3747" xr:uid="{00000000-0005-0000-0000-00004C080000}"/>
    <cellStyle name="Currency 2 7 4 3" xfId="3748" xr:uid="{00000000-0005-0000-0000-00004D080000}"/>
    <cellStyle name="Currency 2 7 4 4" xfId="3749" xr:uid="{00000000-0005-0000-0000-00004E080000}"/>
    <cellStyle name="Currency 2 7 4 5" xfId="3750" xr:uid="{00000000-0005-0000-0000-00004F080000}"/>
    <cellStyle name="Currency 2 7 4 6" xfId="3751" xr:uid="{00000000-0005-0000-0000-000050080000}"/>
    <cellStyle name="Currency 2 7 5" xfId="3752" xr:uid="{00000000-0005-0000-0000-000051080000}"/>
    <cellStyle name="Currency 2 7 5 2" xfId="3753" xr:uid="{00000000-0005-0000-0000-000052080000}"/>
    <cellStyle name="Currency 2 7 5 2 2" xfId="3754" xr:uid="{00000000-0005-0000-0000-000053080000}"/>
    <cellStyle name="Currency 2 7 5 2 3" xfId="3755" xr:uid="{00000000-0005-0000-0000-000054080000}"/>
    <cellStyle name="Currency 2 7 5 3" xfId="3756" xr:uid="{00000000-0005-0000-0000-000055080000}"/>
    <cellStyle name="Currency 2 7 5 4" xfId="3757" xr:uid="{00000000-0005-0000-0000-000056080000}"/>
    <cellStyle name="Currency 2 7 6" xfId="3758" xr:uid="{00000000-0005-0000-0000-000057080000}"/>
    <cellStyle name="Currency 2 7 6 2" xfId="3759" xr:uid="{00000000-0005-0000-0000-000058080000}"/>
    <cellStyle name="Currency 2 7 6 2 2" xfId="3760" xr:uid="{00000000-0005-0000-0000-000059080000}"/>
    <cellStyle name="Currency 2 7 6 2 3" xfId="3761" xr:uid="{00000000-0005-0000-0000-00005A080000}"/>
    <cellStyle name="Currency 2 7 6 3" xfId="3762" xr:uid="{00000000-0005-0000-0000-00005B080000}"/>
    <cellStyle name="Currency 2 7 6 4" xfId="3763" xr:uid="{00000000-0005-0000-0000-00005C080000}"/>
    <cellStyle name="Currency 2 7 7" xfId="3764" xr:uid="{00000000-0005-0000-0000-00005D080000}"/>
    <cellStyle name="Currency 2 7 7 2" xfId="3765" xr:uid="{00000000-0005-0000-0000-00005E080000}"/>
    <cellStyle name="Currency 2 7 7 2 2" xfId="3766" xr:uid="{00000000-0005-0000-0000-00005F080000}"/>
    <cellStyle name="Currency 2 7 7 2 3" xfId="3767" xr:uid="{00000000-0005-0000-0000-000060080000}"/>
    <cellStyle name="Currency 2 7 7 3" xfId="3768" xr:uid="{00000000-0005-0000-0000-000061080000}"/>
    <cellStyle name="Currency 2 7 7 4" xfId="3769" xr:uid="{00000000-0005-0000-0000-000062080000}"/>
    <cellStyle name="Currency 2 7 8" xfId="3770" xr:uid="{00000000-0005-0000-0000-000063080000}"/>
    <cellStyle name="Currency 2 7 8 2" xfId="3771" xr:uid="{00000000-0005-0000-0000-000064080000}"/>
    <cellStyle name="Currency 2 7 8 3" xfId="3772" xr:uid="{00000000-0005-0000-0000-000065080000}"/>
    <cellStyle name="Currency 2 7 9" xfId="3773" xr:uid="{00000000-0005-0000-0000-000066080000}"/>
    <cellStyle name="Currency 2 8" xfId="600" xr:uid="{00000000-0005-0000-0000-000067080000}"/>
    <cellStyle name="Currency 2 8 10" xfId="3774" xr:uid="{00000000-0005-0000-0000-000068080000}"/>
    <cellStyle name="Currency 2 8 11" xfId="3775" xr:uid="{00000000-0005-0000-0000-000069080000}"/>
    <cellStyle name="Currency 2 8 12" xfId="3776" xr:uid="{00000000-0005-0000-0000-00006A080000}"/>
    <cellStyle name="Currency 2 8 2" xfId="3777" xr:uid="{00000000-0005-0000-0000-00006B080000}"/>
    <cellStyle name="Currency 2 8 2 2" xfId="3778" xr:uid="{00000000-0005-0000-0000-00006C080000}"/>
    <cellStyle name="Currency 2 8 2 3" xfId="3779" xr:uid="{00000000-0005-0000-0000-00006D080000}"/>
    <cellStyle name="Currency 2 8 3" xfId="3780" xr:uid="{00000000-0005-0000-0000-00006E080000}"/>
    <cellStyle name="Currency 2 8 4" xfId="3781" xr:uid="{00000000-0005-0000-0000-00006F080000}"/>
    <cellStyle name="Currency 2 8 5" xfId="3782" xr:uid="{00000000-0005-0000-0000-000070080000}"/>
    <cellStyle name="Currency 2 8 6" xfId="3783" xr:uid="{00000000-0005-0000-0000-000071080000}"/>
    <cellStyle name="Currency 2 8 7" xfId="3784" xr:uid="{00000000-0005-0000-0000-000072080000}"/>
    <cellStyle name="Currency 2 8 8" xfId="3785" xr:uid="{00000000-0005-0000-0000-000073080000}"/>
    <cellStyle name="Currency 2 8 9" xfId="3786" xr:uid="{00000000-0005-0000-0000-000074080000}"/>
    <cellStyle name="Currency 2 9" xfId="2121" xr:uid="{00000000-0005-0000-0000-000075080000}"/>
    <cellStyle name="Currency 2 9 2" xfId="3787" xr:uid="{00000000-0005-0000-0000-000076080000}"/>
    <cellStyle name="Currency 2 9 3" xfId="3788" xr:uid="{00000000-0005-0000-0000-000077080000}"/>
    <cellStyle name="Currency 2_2018 Raw" xfId="601" xr:uid="{00000000-0005-0000-0000-000078080000}"/>
    <cellStyle name="Currency 3" xfId="3789" xr:uid="{00000000-0005-0000-0000-000079080000}"/>
    <cellStyle name="Currency 3 2" xfId="3790" xr:uid="{00000000-0005-0000-0000-00007A080000}"/>
    <cellStyle name="Currency 4" xfId="3791" xr:uid="{00000000-0005-0000-0000-00007B080000}"/>
    <cellStyle name="Dezimal [0]_Appendix 04 - Manag. accounts package" xfId="602" xr:uid="{00000000-0005-0000-0000-00007C080000}"/>
    <cellStyle name="Dezimal_Appendix 04 - Manag. accounts package" xfId="603" xr:uid="{00000000-0005-0000-0000-00007D080000}"/>
    <cellStyle name="Dziesiêtny [0]_12" xfId="604" xr:uid="{00000000-0005-0000-0000-00007E080000}"/>
    <cellStyle name="Dziesiętny 3" xfId="3792" xr:uid="{00000000-0005-0000-0000-00007F080000}"/>
    <cellStyle name="Dziesiętny 3 2" xfId="3793" xr:uid="{00000000-0005-0000-0000-000080080000}"/>
    <cellStyle name="Dziesiêtny_12" xfId="605" xr:uid="{00000000-0005-0000-0000-000081080000}"/>
    <cellStyle name="Dziesiętny_Excellence YTD March 2009" xfId="606" xr:uid="{00000000-0005-0000-0000-000082080000}"/>
    <cellStyle name="Eingabe" xfId="49" xr:uid="{00000000-0005-0000-0000-000083080000}"/>
    <cellStyle name="Encabezado 4" xfId="607" xr:uid="{00000000-0005-0000-0000-000084080000}"/>
    <cellStyle name="Énfasis1" xfId="608" xr:uid="{00000000-0005-0000-0000-000085080000}"/>
    <cellStyle name="Énfasis2" xfId="609" xr:uid="{00000000-0005-0000-0000-000086080000}"/>
    <cellStyle name="Énfasis3" xfId="610" xr:uid="{00000000-0005-0000-0000-000087080000}"/>
    <cellStyle name="Énfasis4" xfId="611" xr:uid="{00000000-0005-0000-0000-000088080000}"/>
    <cellStyle name="Énfasis5" xfId="612" xr:uid="{00000000-0005-0000-0000-000089080000}"/>
    <cellStyle name="Énfasis6" xfId="613" xr:uid="{00000000-0005-0000-0000-00008A080000}"/>
    <cellStyle name="Entrada" xfId="614" xr:uid="{00000000-0005-0000-0000-00008B080000}"/>
    <cellStyle name="Entrée" xfId="615" xr:uid="{00000000-0005-0000-0000-00008C080000}"/>
    <cellStyle name="Entrée 2" xfId="3794" xr:uid="{00000000-0005-0000-0000-00008D080000}"/>
    <cellStyle name="Entrée 3" xfId="3795" xr:uid="{00000000-0005-0000-0000-00008E080000}"/>
    <cellStyle name="Entrée 4" xfId="3796" xr:uid="{00000000-0005-0000-0000-00008F080000}"/>
    <cellStyle name="Entrée_Feuil1" xfId="3797" xr:uid="{00000000-0005-0000-0000-000090080000}"/>
    <cellStyle name="Ergebnis" xfId="50" xr:uid="{00000000-0005-0000-0000-000091080000}"/>
    <cellStyle name="Erklärender Text" xfId="51" xr:uid="{00000000-0005-0000-0000-000092080000}"/>
    <cellStyle name="Euro" xfId="616" xr:uid="{00000000-0005-0000-0000-000093080000}"/>
    <cellStyle name="Euro 2" xfId="617" xr:uid="{00000000-0005-0000-0000-000094080000}"/>
    <cellStyle name="Euro 2 10" xfId="618" xr:uid="{00000000-0005-0000-0000-000095080000}"/>
    <cellStyle name="Euro 2 11" xfId="619" xr:uid="{00000000-0005-0000-0000-000096080000}"/>
    <cellStyle name="Euro 2 12" xfId="620" xr:uid="{00000000-0005-0000-0000-000097080000}"/>
    <cellStyle name="Euro 2 13" xfId="621" xr:uid="{00000000-0005-0000-0000-000098080000}"/>
    <cellStyle name="Euro 2 14" xfId="622" xr:uid="{00000000-0005-0000-0000-000099080000}"/>
    <cellStyle name="Euro 2 15" xfId="623" xr:uid="{00000000-0005-0000-0000-00009A080000}"/>
    <cellStyle name="Euro 2 16" xfId="624" xr:uid="{00000000-0005-0000-0000-00009B080000}"/>
    <cellStyle name="Euro 2 17" xfId="625" xr:uid="{00000000-0005-0000-0000-00009C080000}"/>
    <cellStyle name="Euro 2 18" xfId="626" xr:uid="{00000000-0005-0000-0000-00009D080000}"/>
    <cellStyle name="Euro 2 19" xfId="627" xr:uid="{00000000-0005-0000-0000-00009E080000}"/>
    <cellStyle name="Euro 2 2" xfId="628" xr:uid="{00000000-0005-0000-0000-00009F080000}"/>
    <cellStyle name="Euro 2 20" xfId="629" xr:uid="{00000000-0005-0000-0000-0000A0080000}"/>
    <cellStyle name="Euro 2 21" xfId="630" xr:uid="{00000000-0005-0000-0000-0000A1080000}"/>
    <cellStyle name="Euro 2 22" xfId="631" xr:uid="{00000000-0005-0000-0000-0000A2080000}"/>
    <cellStyle name="Euro 2 3" xfId="632" xr:uid="{00000000-0005-0000-0000-0000A3080000}"/>
    <cellStyle name="Euro 2 4" xfId="633" xr:uid="{00000000-0005-0000-0000-0000A4080000}"/>
    <cellStyle name="Euro 2 5" xfId="634" xr:uid="{00000000-0005-0000-0000-0000A5080000}"/>
    <cellStyle name="Euro 2 6" xfId="635" xr:uid="{00000000-0005-0000-0000-0000A6080000}"/>
    <cellStyle name="Euro 2 7" xfId="636" xr:uid="{00000000-0005-0000-0000-0000A7080000}"/>
    <cellStyle name="Euro 2 8" xfId="637" xr:uid="{00000000-0005-0000-0000-0000A8080000}"/>
    <cellStyle name="Euro 2 9" xfId="638" xr:uid="{00000000-0005-0000-0000-0000A9080000}"/>
    <cellStyle name="Euro 3" xfId="639" xr:uid="{00000000-0005-0000-0000-0000AA080000}"/>
    <cellStyle name="Euro 3 10" xfId="640" xr:uid="{00000000-0005-0000-0000-0000AB080000}"/>
    <cellStyle name="Euro 3 11" xfId="641" xr:uid="{00000000-0005-0000-0000-0000AC080000}"/>
    <cellStyle name="Euro 3 12" xfId="642" xr:uid="{00000000-0005-0000-0000-0000AD080000}"/>
    <cellStyle name="Euro 3 13" xfId="643" xr:uid="{00000000-0005-0000-0000-0000AE080000}"/>
    <cellStyle name="Euro 3 14" xfId="644" xr:uid="{00000000-0005-0000-0000-0000AF080000}"/>
    <cellStyle name="Euro 3 15" xfId="645" xr:uid="{00000000-0005-0000-0000-0000B0080000}"/>
    <cellStyle name="Euro 3 16" xfId="646" xr:uid="{00000000-0005-0000-0000-0000B1080000}"/>
    <cellStyle name="Euro 3 17" xfId="647" xr:uid="{00000000-0005-0000-0000-0000B2080000}"/>
    <cellStyle name="Euro 3 18" xfId="648" xr:uid="{00000000-0005-0000-0000-0000B3080000}"/>
    <cellStyle name="Euro 3 19" xfId="649" xr:uid="{00000000-0005-0000-0000-0000B4080000}"/>
    <cellStyle name="Euro 3 2" xfId="650" xr:uid="{00000000-0005-0000-0000-0000B5080000}"/>
    <cellStyle name="Euro 3 20" xfId="651" xr:uid="{00000000-0005-0000-0000-0000B6080000}"/>
    <cellStyle name="Euro 3 21" xfId="652" xr:uid="{00000000-0005-0000-0000-0000B7080000}"/>
    <cellStyle name="Euro 3 22" xfId="653" xr:uid="{00000000-0005-0000-0000-0000B8080000}"/>
    <cellStyle name="Euro 3 3" xfId="654" xr:uid="{00000000-0005-0000-0000-0000B9080000}"/>
    <cellStyle name="Euro 3 4" xfId="655" xr:uid="{00000000-0005-0000-0000-0000BA080000}"/>
    <cellStyle name="Euro 3 5" xfId="656" xr:uid="{00000000-0005-0000-0000-0000BB080000}"/>
    <cellStyle name="Euro 3 6" xfId="657" xr:uid="{00000000-0005-0000-0000-0000BC080000}"/>
    <cellStyle name="Euro 3 7" xfId="658" xr:uid="{00000000-0005-0000-0000-0000BD080000}"/>
    <cellStyle name="Euro 3 8" xfId="659" xr:uid="{00000000-0005-0000-0000-0000BE080000}"/>
    <cellStyle name="Euro 3 9" xfId="660" xr:uid="{00000000-0005-0000-0000-0000BF080000}"/>
    <cellStyle name="Euro 4" xfId="661" xr:uid="{00000000-0005-0000-0000-0000C0080000}"/>
    <cellStyle name="Euro 4 10" xfId="662" xr:uid="{00000000-0005-0000-0000-0000C1080000}"/>
    <cellStyle name="Euro 4 11" xfId="663" xr:uid="{00000000-0005-0000-0000-0000C2080000}"/>
    <cellStyle name="Euro 4 12" xfId="664" xr:uid="{00000000-0005-0000-0000-0000C3080000}"/>
    <cellStyle name="Euro 4 13" xfId="665" xr:uid="{00000000-0005-0000-0000-0000C4080000}"/>
    <cellStyle name="Euro 4 14" xfId="666" xr:uid="{00000000-0005-0000-0000-0000C5080000}"/>
    <cellStyle name="Euro 4 15" xfId="667" xr:uid="{00000000-0005-0000-0000-0000C6080000}"/>
    <cellStyle name="Euro 4 16" xfId="668" xr:uid="{00000000-0005-0000-0000-0000C7080000}"/>
    <cellStyle name="Euro 4 17" xfId="669" xr:uid="{00000000-0005-0000-0000-0000C8080000}"/>
    <cellStyle name="Euro 4 18" xfId="670" xr:uid="{00000000-0005-0000-0000-0000C9080000}"/>
    <cellStyle name="Euro 4 19" xfId="671" xr:uid="{00000000-0005-0000-0000-0000CA080000}"/>
    <cellStyle name="Euro 4 2" xfId="672" xr:uid="{00000000-0005-0000-0000-0000CB080000}"/>
    <cellStyle name="Euro 4 20" xfId="673" xr:uid="{00000000-0005-0000-0000-0000CC080000}"/>
    <cellStyle name="Euro 4 21" xfId="674" xr:uid="{00000000-0005-0000-0000-0000CD080000}"/>
    <cellStyle name="Euro 4 22" xfId="675" xr:uid="{00000000-0005-0000-0000-0000CE080000}"/>
    <cellStyle name="Euro 4 3" xfId="676" xr:uid="{00000000-0005-0000-0000-0000CF080000}"/>
    <cellStyle name="Euro 4 4" xfId="677" xr:uid="{00000000-0005-0000-0000-0000D0080000}"/>
    <cellStyle name="Euro 4 5" xfId="678" xr:uid="{00000000-0005-0000-0000-0000D1080000}"/>
    <cellStyle name="Euro 4 6" xfId="679" xr:uid="{00000000-0005-0000-0000-0000D2080000}"/>
    <cellStyle name="Euro 4 7" xfId="680" xr:uid="{00000000-0005-0000-0000-0000D3080000}"/>
    <cellStyle name="Euro 4 8" xfId="681" xr:uid="{00000000-0005-0000-0000-0000D4080000}"/>
    <cellStyle name="Euro 4 9" xfId="682" xr:uid="{00000000-0005-0000-0000-0000D5080000}"/>
    <cellStyle name="Euro 5" xfId="683" xr:uid="{00000000-0005-0000-0000-0000D6080000}"/>
    <cellStyle name="Euro 5 10" xfId="684" xr:uid="{00000000-0005-0000-0000-0000D7080000}"/>
    <cellStyle name="Euro 5 11" xfId="685" xr:uid="{00000000-0005-0000-0000-0000D8080000}"/>
    <cellStyle name="Euro 5 12" xfId="686" xr:uid="{00000000-0005-0000-0000-0000D9080000}"/>
    <cellStyle name="Euro 5 13" xfId="687" xr:uid="{00000000-0005-0000-0000-0000DA080000}"/>
    <cellStyle name="Euro 5 14" xfId="688" xr:uid="{00000000-0005-0000-0000-0000DB080000}"/>
    <cellStyle name="Euro 5 15" xfId="689" xr:uid="{00000000-0005-0000-0000-0000DC080000}"/>
    <cellStyle name="Euro 5 16" xfId="690" xr:uid="{00000000-0005-0000-0000-0000DD080000}"/>
    <cellStyle name="Euro 5 17" xfId="691" xr:uid="{00000000-0005-0000-0000-0000DE080000}"/>
    <cellStyle name="Euro 5 18" xfId="692" xr:uid="{00000000-0005-0000-0000-0000DF080000}"/>
    <cellStyle name="Euro 5 19" xfId="693" xr:uid="{00000000-0005-0000-0000-0000E0080000}"/>
    <cellStyle name="Euro 5 2" xfId="694" xr:uid="{00000000-0005-0000-0000-0000E1080000}"/>
    <cellStyle name="Euro 5 20" xfId="695" xr:uid="{00000000-0005-0000-0000-0000E2080000}"/>
    <cellStyle name="Euro 5 21" xfId="696" xr:uid="{00000000-0005-0000-0000-0000E3080000}"/>
    <cellStyle name="Euro 5 22" xfId="697" xr:uid="{00000000-0005-0000-0000-0000E4080000}"/>
    <cellStyle name="Euro 5 3" xfId="698" xr:uid="{00000000-0005-0000-0000-0000E5080000}"/>
    <cellStyle name="Euro 5 4" xfId="699" xr:uid="{00000000-0005-0000-0000-0000E6080000}"/>
    <cellStyle name="Euro 5 5" xfId="700" xr:uid="{00000000-0005-0000-0000-0000E7080000}"/>
    <cellStyle name="Euro 5 6" xfId="701" xr:uid="{00000000-0005-0000-0000-0000E8080000}"/>
    <cellStyle name="Euro 5 7" xfId="702" xr:uid="{00000000-0005-0000-0000-0000E9080000}"/>
    <cellStyle name="Euro 5 8" xfId="703" xr:uid="{00000000-0005-0000-0000-0000EA080000}"/>
    <cellStyle name="Euro 5 9" xfId="704" xr:uid="{00000000-0005-0000-0000-0000EB080000}"/>
    <cellStyle name="Euro 6" xfId="705" xr:uid="{00000000-0005-0000-0000-0000EC080000}"/>
    <cellStyle name="Euro 6 10" xfId="706" xr:uid="{00000000-0005-0000-0000-0000ED080000}"/>
    <cellStyle name="Euro 6 11" xfId="707" xr:uid="{00000000-0005-0000-0000-0000EE080000}"/>
    <cellStyle name="Euro 6 12" xfId="708" xr:uid="{00000000-0005-0000-0000-0000EF080000}"/>
    <cellStyle name="Euro 6 13" xfId="709" xr:uid="{00000000-0005-0000-0000-0000F0080000}"/>
    <cellStyle name="Euro 6 14" xfId="710" xr:uid="{00000000-0005-0000-0000-0000F1080000}"/>
    <cellStyle name="Euro 6 15" xfId="711" xr:uid="{00000000-0005-0000-0000-0000F2080000}"/>
    <cellStyle name="Euro 6 16" xfId="712" xr:uid="{00000000-0005-0000-0000-0000F3080000}"/>
    <cellStyle name="Euro 6 17" xfId="713" xr:uid="{00000000-0005-0000-0000-0000F4080000}"/>
    <cellStyle name="Euro 6 18" xfId="714" xr:uid="{00000000-0005-0000-0000-0000F5080000}"/>
    <cellStyle name="Euro 6 19" xfId="715" xr:uid="{00000000-0005-0000-0000-0000F6080000}"/>
    <cellStyle name="Euro 6 2" xfId="716" xr:uid="{00000000-0005-0000-0000-0000F7080000}"/>
    <cellStyle name="Euro 6 20" xfId="717" xr:uid="{00000000-0005-0000-0000-0000F8080000}"/>
    <cellStyle name="Euro 6 21" xfId="718" xr:uid="{00000000-0005-0000-0000-0000F9080000}"/>
    <cellStyle name="Euro 6 22" xfId="719" xr:uid="{00000000-0005-0000-0000-0000FA080000}"/>
    <cellStyle name="Euro 6 3" xfId="720" xr:uid="{00000000-0005-0000-0000-0000FB080000}"/>
    <cellStyle name="Euro 6 4" xfId="721" xr:uid="{00000000-0005-0000-0000-0000FC080000}"/>
    <cellStyle name="Euro 6 5" xfId="722" xr:uid="{00000000-0005-0000-0000-0000FD080000}"/>
    <cellStyle name="Euro 6 6" xfId="723" xr:uid="{00000000-0005-0000-0000-0000FE080000}"/>
    <cellStyle name="Euro 6 7" xfId="724" xr:uid="{00000000-0005-0000-0000-0000FF080000}"/>
    <cellStyle name="Euro 6 8" xfId="725" xr:uid="{00000000-0005-0000-0000-000000090000}"/>
    <cellStyle name="Euro 6 9" xfId="726" xr:uid="{00000000-0005-0000-0000-000001090000}"/>
    <cellStyle name="Euro 7" xfId="2123" xr:uid="{00000000-0005-0000-0000-000002090000}"/>
    <cellStyle name="Euro_UKNO model 3_v66j (Checks)" xfId="727" xr:uid="{00000000-0005-0000-0000-000003090000}"/>
    <cellStyle name="Explanatory Text" xfId="52" xr:uid="{00000000-0005-0000-0000-000004090000}"/>
    <cellStyle name="Explanatory Text 2" xfId="2125" xr:uid="{00000000-0005-0000-0000-000005090000}"/>
    <cellStyle name="Explanatory Text 3" xfId="2126" xr:uid="{00000000-0005-0000-0000-000006090000}"/>
    <cellStyle name="Explanatory Text 4" xfId="2124" xr:uid="{00000000-0005-0000-0000-000007090000}"/>
    <cellStyle name="Explanatory Text 5" xfId="99" xr:uid="{00000000-0005-0000-0000-000008090000}"/>
    <cellStyle name="External" xfId="116" xr:uid="{00000000-0005-0000-0000-000009090000}"/>
    <cellStyle name="Financ - Style1" xfId="728" xr:uid="{00000000-0005-0000-0000-00000A090000}"/>
    <cellStyle name="Good" xfId="53" xr:uid="{00000000-0005-0000-0000-00000B090000}"/>
    <cellStyle name="Good 2" xfId="729" xr:uid="{00000000-0005-0000-0000-00000C090000}"/>
    <cellStyle name="Good 2 2" xfId="2128" xr:uid="{00000000-0005-0000-0000-00000D090000}"/>
    <cellStyle name="Good 2_For GOLD" xfId="3798" xr:uid="{00000000-0005-0000-0000-00000E090000}"/>
    <cellStyle name="Good 3" xfId="730" xr:uid="{00000000-0005-0000-0000-00000F090000}"/>
    <cellStyle name="Good 3 2" xfId="2129" xr:uid="{00000000-0005-0000-0000-000010090000}"/>
    <cellStyle name="Good 4" xfId="2130" xr:uid="{00000000-0005-0000-0000-000011090000}"/>
    <cellStyle name="Good 5" xfId="2127" xr:uid="{00000000-0005-0000-0000-000012090000}"/>
    <cellStyle name="Good 6" xfId="100" xr:uid="{00000000-0005-0000-0000-000013090000}"/>
    <cellStyle name="Grey" xfId="731" xr:uid="{00000000-0005-0000-0000-000014090000}"/>
    <cellStyle name="Grey 2" xfId="3799" xr:uid="{00000000-0005-0000-0000-000015090000}"/>
    <cellStyle name="Grey_Monthly Energy Log" xfId="3800" xr:uid="{00000000-0005-0000-0000-000016090000}"/>
    <cellStyle name="Gut" xfId="54" xr:uid="{00000000-0005-0000-0000-000017090000}"/>
    <cellStyle name="Header1" xfId="732" xr:uid="{00000000-0005-0000-0000-000018090000}"/>
    <cellStyle name="Header2" xfId="733" xr:uid="{00000000-0005-0000-0000-000019090000}"/>
    <cellStyle name="Heading" xfId="2131" xr:uid="{00000000-0005-0000-0000-00001A090000}"/>
    <cellStyle name="Heading 1" xfId="55" xr:uid="{00000000-0005-0000-0000-00001B090000}"/>
    <cellStyle name="Heading 1 2" xfId="734" xr:uid="{00000000-0005-0000-0000-00001C090000}"/>
    <cellStyle name="Heading 1 2 2" xfId="2133" xr:uid="{00000000-0005-0000-0000-00001D090000}"/>
    <cellStyle name="Heading 1 2_For GOLD" xfId="3801" xr:uid="{00000000-0005-0000-0000-00001E090000}"/>
    <cellStyle name="Heading 1 3" xfId="2134" xr:uid="{00000000-0005-0000-0000-00001F090000}"/>
    <cellStyle name="Heading 1 4" xfId="2132" xr:uid="{00000000-0005-0000-0000-000020090000}"/>
    <cellStyle name="Heading 1 5" xfId="101" xr:uid="{00000000-0005-0000-0000-000021090000}"/>
    <cellStyle name="Heading 2" xfId="56" xr:uid="{00000000-0005-0000-0000-000022090000}"/>
    <cellStyle name="Heading 2 2" xfId="735" xr:uid="{00000000-0005-0000-0000-000023090000}"/>
    <cellStyle name="Heading 2 2 2" xfId="2136" xr:uid="{00000000-0005-0000-0000-000024090000}"/>
    <cellStyle name="Heading 2 2_For GOLD" xfId="3802" xr:uid="{00000000-0005-0000-0000-000025090000}"/>
    <cellStyle name="Heading 2 3" xfId="2137" xr:uid="{00000000-0005-0000-0000-000026090000}"/>
    <cellStyle name="Heading 2 4" xfId="2135" xr:uid="{00000000-0005-0000-0000-000027090000}"/>
    <cellStyle name="Heading 2 5" xfId="102" xr:uid="{00000000-0005-0000-0000-000028090000}"/>
    <cellStyle name="Heading 3" xfId="57" xr:uid="{00000000-0005-0000-0000-000029090000}"/>
    <cellStyle name="Heading 3 2" xfId="736" xr:uid="{00000000-0005-0000-0000-00002A090000}"/>
    <cellStyle name="Heading 3 2 2" xfId="2139" xr:uid="{00000000-0005-0000-0000-00002B090000}"/>
    <cellStyle name="Heading 3 2_For GOLD" xfId="3803" xr:uid="{00000000-0005-0000-0000-00002C090000}"/>
    <cellStyle name="Heading 3 3" xfId="2140" xr:uid="{00000000-0005-0000-0000-00002D090000}"/>
    <cellStyle name="Heading 3 4" xfId="2138" xr:uid="{00000000-0005-0000-0000-00002E090000}"/>
    <cellStyle name="Heading 3 5" xfId="103" xr:uid="{00000000-0005-0000-0000-00002F090000}"/>
    <cellStyle name="Heading 4" xfId="58" xr:uid="{00000000-0005-0000-0000-000030090000}"/>
    <cellStyle name="Heading 4 2" xfId="737" xr:uid="{00000000-0005-0000-0000-000031090000}"/>
    <cellStyle name="Heading 4 2 2" xfId="2142" xr:uid="{00000000-0005-0000-0000-000032090000}"/>
    <cellStyle name="Heading 4 2_For GOLD" xfId="3804" xr:uid="{00000000-0005-0000-0000-000033090000}"/>
    <cellStyle name="Heading 4 3" xfId="2143" xr:uid="{00000000-0005-0000-0000-000034090000}"/>
    <cellStyle name="Heading 4 4" xfId="2141" xr:uid="{00000000-0005-0000-0000-000035090000}"/>
    <cellStyle name="Heading 4 5" xfId="104" xr:uid="{00000000-0005-0000-0000-000036090000}"/>
    <cellStyle name="Heading 5" xfId="2144" xr:uid="{00000000-0005-0000-0000-000037090000}"/>
    <cellStyle name="Heading 6" xfId="2145" xr:uid="{00000000-0005-0000-0000-000038090000}"/>
    <cellStyle name="Hide Errors" xfId="738" xr:uid="{00000000-0005-0000-0000-000039090000}"/>
    <cellStyle name="Hyperlink" xfId="59" builtinId="8"/>
    <cellStyle name="Hyperlink 10" xfId="2147" xr:uid="{00000000-0005-0000-0000-00003B090000}"/>
    <cellStyle name="Hyperlink 11" xfId="2146" xr:uid="{00000000-0005-0000-0000-00003C090000}"/>
    <cellStyle name="Hyperlink 12" xfId="2028" xr:uid="{00000000-0005-0000-0000-00003D090000}"/>
    <cellStyle name="Hyperlink 2" xfId="2148" xr:uid="{00000000-0005-0000-0000-00003E090000}"/>
    <cellStyle name="Hyperlink 2 2" xfId="2149" xr:uid="{00000000-0005-0000-0000-00003F090000}"/>
    <cellStyle name="Hyperlink 2_tCO2 Meter Reads" xfId="3805" xr:uid="{00000000-0005-0000-0000-000040090000}"/>
    <cellStyle name="Hyperlink 3" xfId="2150" xr:uid="{00000000-0005-0000-0000-000041090000}"/>
    <cellStyle name="Hyperlink 4" xfId="2151" xr:uid="{00000000-0005-0000-0000-000042090000}"/>
    <cellStyle name="Hyperlink 5" xfId="2152" xr:uid="{00000000-0005-0000-0000-000043090000}"/>
    <cellStyle name="Hyperlink 6" xfId="2153" xr:uid="{00000000-0005-0000-0000-000044090000}"/>
    <cellStyle name="Hyperlink 7" xfId="2154" xr:uid="{00000000-0005-0000-0000-000045090000}"/>
    <cellStyle name="Hyperlink 8" xfId="2155" xr:uid="{00000000-0005-0000-0000-000046090000}"/>
    <cellStyle name="Hyperlink 9" xfId="2156" xr:uid="{00000000-0005-0000-0000-000047090000}"/>
    <cellStyle name="Incorrecto" xfId="739" xr:uid="{00000000-0005-0000-0000-000048090000}"/>
    <cellStyle name="Input" xfId="60" xr:uid="{00000000-0005-0000-0000-000049090000}"/>
    <cellStyle name="Input [yellow]" xfId="740" xr:uid="{00000000-0005-0000-0000-00004A090000}"/>
    <cellStyle name="Input [yellow] 2" xfId="3806" xr:uid="{00000000-0005-0000-0000-00004B090000}"/>
    <cellStyle name="Input [yellow]_Monthly Energy Log" xfId="3807" xr:uid="{00000000-0005-0000-0000-00004C090000}"/>
    <cellStyle name="Input 10" xfId="741" xr:uid="{00000000-0005-0000-0000-00004D090000}"/>
    <cellStyle name="Input 11" xfId="742" xr:uid="{00000000-0005-0000-0000-00004E090000}"/>
    <cellStyle name="Input 12" xfId="743" xr:uid="{00000000-0005-0000-0000-00004F090000}"/>
    <cellStyle name="Input 12 2" xfId="3808" xr:uid="{00000000-0005-0000-0000-000050090000}"/>
    <cellStyle name="Input 12_For GOLD" xfId="3809" xr:uid="{00000000-0005-0000-0000-000051090000}"/>
    <cellStyle name="Input 13" xfId="744" xr:uid="{00000000-0005-0000-0000-000052090000}"/>
    <cellStyle name="Input 13 2" xfId="3810" xr:uid="{00000000-0005-0000-0000-000053090000}"/>
    <cellStyle name="Input 13_For GOLD" xfId="3811" xr:uid="{00000000-0005-0000-0000-000054090000}"/>
    <cellStyle name="Input 14" xfId="745" xr:uid="{00000000-0005-0000-0000-000055090000}"/>
    <cellStyle name="Input 15" xfId="746" xr:uid="{00000000-0005-0000-0000-000056090000}"/>
    <cellStyle name="Input 16" xfId="747" xr:uid="{00000000-0005-0000-0000-000057090000}"/>
    <cellStyle name="Input 17" xfId="748" xr:uid="{00000000-0005-0000-0000-000058090000}"/>
    <cellStyle name="Input 18" xfId="749" xr:uid="{00000000-0005-0000-0000-000059090000}"/>
    <cellStyle name="Input 19" xfId="750" xr:uid="{00000000-0005-0000-0000-00005A090000}"/>
    <cellStyle name="Input 2" xfId="751" xr:uid="{00000000-0005-0000-0000-00005B090000}"/>
    <cellStyle name="Input 2 2" xfId="2158" xr:uid="{00000000-0005-0000-0000-00005C090000}"/>
    <cellStyle name="Input 2_For GOLD" xfId="3812" xr:uid="{00000000-0005-0000-0000-00005D090000}"/>
    <cellStyle name="Input 20" xfId="752" xr:uid="{00000000-0005-0000-0000-00005E090000}"/>
    <cellStyle name="Input 21" xfId="753" xr:uid="{00000000-0005-0000-0000-00005F090000}"/>
    <cellStyle name="Input 22" xfId="754" xr:uid="{00000000-0005-0000-0000-000060090000}"/>
    <cellStyle name="Input 23" xfId="755" xr:uid="{00000000-0005-0000-0000-000061090000}"/>
    <cellStyle name="Input 24" xfId="756" xr:uid="{00000000-0005-0000-0000-000062090000}"/>
    <cellStyle name="Input 25" xfId="757" xr:uid="{00000000-0005-0000-0000-000063090000}"/>
    <cellStyle name="Input 26" xfId="758" xr:uid="{00000000-0005-0000-0000-000064090000}"/>
    <cellStyle name="Input 27" xfId="759" xr:uid="{00000000-0005-0000-0000-000065090000}"/>
    <cellStyle name="Input 28" xfId="760" xr:uid="{00000000-0005-0000-0000-000066090000}"/>
    <cellStyle name="Input 29" xfId="761" xr:uid="{00000000-0005-0000-0000-000067090000}"/>
    <cellStyle name="Input 3" xfId="762" xr:uid="{00000000-0005-0000-0000-000068090000}"/>
    <cellStyle name="Input 3 2" xfId="2159" xr:uid="{00000000-0005-0000-0000-000069090000}"/>
    <cellStyle name="Input 30" xfId="763" xr:uid="{00000000-0005-0000-0000-00006A090000}"/>
    <cellStyle name="Input 31" xfId="764" xr:uid="{00000000-0005-0000-0000-00006B090000}"/>
    <cellStyle name="Input 32" xfId="765" xr:uid="{00000000-0005-0000-0000-00006C090000}"/>
    <cellStyle name="Input 33" xfId="766" xr:uid="{00000000-0005-0000-0000-00006D090000}"/>
    <cellStyle name="Input 34" xfId="767" xr:uid="{00000000-0005-0000-0000-00006E090000}"/>
    <cellStyle name="Input 35" xfId="768" xr:uid="{00000000-0005-0000-0000-00006F090000}"/>
    <cellStyle name="Input 36" xfId="769" xr:uid="{00000000-0005-0000-0000-000070090000}"/>
    <cellStyle name="Input 36 2" xfId="3813" xr:uid="{00000000-0005-0000-0000-000071090000}"/>
    <cellStyle name="Input 36_For GOLD" xfId="3814" xr:uid="{00000000-0005-0000-0000-000072090000}"/>
    <cellStyle name="Input 37" xfId="770" xr:uid="{00000000-0005-0000-0000-000073090000}"/>
    <cellStyle name="Input 37 2" xfId="3815" xr:uid="{00000000-0005-0000-0000-000074090000}"/>
    <cellStyle name="Input 37_For GOLD" xfId="3816" xr:uid="{00000000-0005-0000-0000-000075090000}"/>
    <cellStyle name="Input 38" xfId="771" xr:uid="{00000000-0005-0000-0000-000076090000}"/>
    <cellStyle name="Input 39" xfId="772" xr:uid="{00000000-0005-0000-0000-000077090000}"/>
    <cellStyle name="Input 4" xfId="773" xr:uid="{00000000-0005-0000-0000-000078090000}"/>
    <cellStyle name="Input 40" xfId="774" xr:uid="{00000000-0005-0000-0000-000079090000}"/>
    <cellStyle name="Input 41" xfId="775" xr:uid="{00000000-0005-0000-0000-00007A090000}"/>
    <cellStyle name="Input 42" xfId="776" xr:uid="{00000000-0005-0000-0000-00007B090000}"/>
    <cellStyle name="Input 43" xfId="777" xr:uid="{00000000-0005-0000-0000-00007C090000}"/>
    <cellStyle name="Input 44" xfId="778" xr:uid="{00000000-0005-0000-0000-00007D090000}"/>
    <cellStyle name="Input 45" xfId="779" xr:uid="{00000000-0005-0000-0000-00007E090000}"/>
    <cellStyle name="Input 46" xfId="780" xr:uid="{00000000-0005-0000-0000-00007F090000}"/>
    <cellStyle name="Input 47" xfId="781" xr:uid="{00000000-0005-0000-0000-000080090000}"/>
    <cellStyle name="Input 48" xfId="782" xr:uid="{00000000-0005-0000-0000-000081090000}"/>
    <cellStyle name="Input 49" xfId="783" xr:uid="{00000000-0005-0000-0000-000082090000}"/>
    <cellStyle name="Input 5" xfId="784" xr:uid="{00000000-0005-0000-0000-000083090000}"/>
    <cellStyle name="Input 50" xfId="785" xr:uid="{00000000-0005-0000-0000-000084090000}"/>
    <cellStyle name="Input 51" xfId="786" xr:uid="{00000000-0005-0000-0000-000085090000}"/>
    <cellStyle name="Input 52" xfId="787" xr:uid="{00000000-0005-0000-0000-000086090000}"/>
    <cellStyle name="Input 53" xfId="2157" xr:uid="{00000000-0005-0000-0000-000087090000}"/>
    <cellStyle name="Input 54" xfId="2268" xr:uid="{00000000-0005-0000-0000-000088090000}"/>
    <cellStyle name="Input 55" xfId="3817" xr:uid="{00000000-0005-0000-0000-000089090000}"/>
    <cellStyle name="Input 56" xfId="3818" xr:uid="{00000000-0005-0000-0000-00008A090000}"/>
    <cellStyle name="Input 57" xfId="3819" xr:uid="{00000000-0005-0000-0000-00008B090000}"/>
    <cellStyle name="Input 58" xfId="3820" xr:uid="{00000000-0005-0000-0000-00008C090000}"/>
    <cellStyle name="Input 59" xfId="3821" xr:uid="{00000000-0005-0000-0000-00008D090000}"/>
    <cellStyle name="Input 6" xfId="788" xr:uid="{00000000-0005-0000-0000-00008E090000}"/>
    <cellStyle name="Input 60" xfId="3822" xr:uid="{00000000-0005-0000-0000-00008F090000}"/>
    <cellStyle name="Input 61" xfId="3823" xr:uid="{00000000-0005-0000-0000-000090090000}"/>
    <cellStyle name="Input 62" xfId="3824" xr:uid="{00000000-0005-0000-0000-000091090000}"/>
    <cellStyle name="Input 63" xfId="3825" xr:uid="{00000000-0005-0000-0000-000092090000}"/>
    <cellStyle name="Input 64" xfId="3826" xr:uid="{00000000-0005-0000-0000-000093090000}"/>
    <cellStyle name="Input 65" xfId="3827" xr:uid="{00000000-0005-0000-0000-000094090000}"/>
    <cellStyle name="Input 66" xfId="3828" xr:uid="{00000000-0005-0000-0000-000095090000}"/>
    <cellStyle name="Input 67" xfId="3829" xr:uid="{00000000-0005-0000-0000-000096090000}"/>
    <cellStyle name="Input 68" xfId="3830" xr:uid="{00000000-0005-0000-0000-000097090000}"/>
    <cellStyle name="Input 69" xfId="3831" xr:uid="{00000000-0005-0000-0000-000098090000}"/>
    <cellStyle name="Input 7" xfId="789" xr:uid="{00000000-0005-0000-0000-000099090000}"/>
    <cellStyle name="Input 70" xfId="3832" xr:uid="{00000000-0005-0000-0000-00009A090000}"/>
    <cellStyle name="Input 71" xfId="3833" xr:uid="{00000000-0005-0000-0000-00009B090000}"/>
    <cellStyle name="Input 72" xfId="3834" xr:uid="{00000000-0005-0000-0000-00009C090000}"/>
    <cellStyle name="Input 73" xfId="3835" xr:uid="{00000000-0005-0000-0000-00009D090000}"/>
    <cellStyle name="Input 74" xfId="3836" xr:uid="{00000000-0005-0000-0000-00009E090000}"/>
    <cellStyle name="Input 75" xfId="3837" xr:uid="{00000000-0005-0000-0000-00009F090000}"/>
    <cellStyle name="Input 76" xfId="3838" xr:uid="{00000000-0005-0000-0000-0000A0090000}"/>
    <cellStyle name="Input 77" xfId="3839" xr:uid="{00000000-0005-0000-0000-0000A1090000}"/>
    <cellStyle name="Input 78" xfId="105" xr:uid="{00000000-0005-0000-0000-0000A2090000}"/>
    <cellStyle name="Input 8" xfId="790" xr:uid="{00000000-0005-0000-0000-0000A3090000}"/>
    <cellStyle name="Input 9" xfId="791" xr:uid="{00000000-0005-0000-0000-0000A4090000}"/>
    <cellStyle name="InputCells12_BBorder_CRFReport-template" xfId="2160" xr:uid="{00000000-0005-0000-0000-0000A5090000}"/>
    <cellStyle name="Insatisfaisant" xfId="792" xr:uid="{00000000-0005-0000-0000-0000A6090000}"/>
    <cellStyle name="Insatisfaisant 2" xfId="3840" xr:uid="{00000000-0005-0000-0000-0000A7090000}"/>
    <cellStyle name="KKK" xfId="793" xr:uid="{00000000-0005-0000-0000-0000A8090000}"/>
    <cellStyle name="Komma [0]_=iso-8859-1QCapital_expenditure_format_V_March_2000" xfId="794" xr:uid="{00000000-0005-0000-0000-0000A9090000}"/>
    <cellStyle name="Komma_=iso-8859-1QCapital_expenditure_format_V_March_2000" xfId="795" xr:uid="{00000000-0005-0000-0000-0000AA090000}"/>
    <cellStyle name="Leading Zero" xfId="796" xr:uid="{00000000-0005-0000-0000-0000AB090000}"/>
    <cellStyle name="LineItemPrompt" xfId="797" xr:uid="{00000000-0005-0000-0000-0000AC090000}"/>
    <cellStyle name="LineItemValue" xfId="798" xr:uid="{00000000-0005-0000-0000-0000AD090000}"/>
    <cellStyle name="Linked Cell" xfId="61" xr:uid="{00000000-0005-0000-0000-0000AE090000}"/>
    <cellStyle name="Linked Cell 2" xfId="799" xr:uid="{00000000-0005-0000-0000-0000AF090000}"/>
    <cellStyle name="Linked Cell 2 2" xfId="2162" xr:uid="{00000000-0005-0000-0000-0000B0090000}"/>
    <cellStyle name="Linked Cell 2_For GOLD" xfId="3841" xr:uid="{00000000-0005-0000-0000-0000B1090000}"/>
    <cellStyle name="Linked Cell 3" xfId="2163" xr:uid="{00000000-0005-0000-0000-0000B2090000}"/>
    <cellStyle name="Linked Cell 4" xfId="2161" xr:uid="{00000000-0005-0000-0000-0000B3090000}"/>
    <cellStyle name="Linked Cell 5" xfId="106" xr:uid="{00000000-0005-0000-0000-0000B4090000}"/>
    <cellStyle name="Migliaia (0)_07 Appendix 06a - Flag 2003 June" xfId="800" xr:uid="{00000000-0005-0000-0000-0000B5090000}"/>
    <cellStyle name="Migliaia_BOSS" xfId="801" xr:uid="{00000000-0005-0000-0000-0000B6090000}"/>
    <cellStyle name="Millares [0]_Commentaires BPEG" xfId="802" xr:uid="{00000000-0005-0000-0000-0000B7090000}"/>
    <cellStyle name="Millares_Base Monthly VAP OCT" xfId="803" xr:uid="{00000000-0005-0000-0000-0000B8090000}"/>
    <cellStyle name="Milliers [0]_Classeur1 Graphique 2" xfId="804" xr:uid="{00000000-0005-0000-0000-0000B9090000}"/>
    <cellStyle name="Milliers_Classeur1 Graphique 2" xfId="805" xr:uid="{00000000-0005-0000-0000-0000BA090000}"/>
    <cellStyle name="Minus (0)" xfId="806" xr:uid="{00000000-0005-0000-0000-0000BB090000}"/>
    <cellStyle name="Minus (0) 2" xfId="3842" xr:uid="{00000000-0005-0000-0000-0000BC090000}"/>
    <cellStyle name="Minus (0)_Gas Hut and Dryer" xfId="3843" xr:uid="{00000000-0005-0000-0000-0000BD090000}"/>
    <cellStyle name="Minus (0.0)" xfId="807" xr:uid="{00000000-0005-0000-0000-0000BE090000}"/>
    <cellStyle name="Minus (0.00)" xfId="808" xr:uid="{00000000-0005-0000-0000-0000BF090000}"/>
    <cellStyle name="Minus (0.00) 2" xfId="3844" xr:uid="{00000000-0005-0000-0000-0000C0090000}"/>
    <cellStyle name="Minus (0.00)_Gas Hut and Dryer" xfId="3845" xr:uid="{00000000-0005-0000-0000-0000C1090000}"/>
    <cellStyle name="Moeda [0]_~0064074" xfId="809" xr:uid="{00000000-0005-0000-0000-0000C2090000}"/>
    <cellStyle name="Moeda_~0064074" xfId="810" xr:uid="{00000000-0005-0000-0000-0000C3090000}"/>
    <cellStyle name="Mon?aire [0]_~4033433" xfId="811" xr:uid="{00000000-0005-0000-0000-0000C4090000}"/>
    <cellStyle name="Mon?aire_~4033433" xfId="812" xr:uid="{00000000-0005-0000-0000-0000C5090000}"/>
    <cellStyle name="Mon?taire [0]_~4033433" xfId="813" xr:uid="{00000000-0005-0000-0000-0000C6090000}"/>
    <cellStyle name="Mon?taire_~4033433" xfId="814" xr:uid="{00000000-0005-0000-0000-0000C7090000}"/>
    <cellStyle name="Moneda [0]_Commentaires BPEG" xfId="815" xr:uid="{00000000-0005-0000-0000-0000C8090000}"/>
    <cellStyle name="Moneda_Commentaires BPEG" xfId="816" xr:uid="{00000000-0005-0000-0000-0000C9090000}"/>
    <cellStyle name="Monétaire [0]_Classeur1 Graphique 2" xfId="817" xr:uid="{00000000-0005-0000-0000-0000CA090000}"/>
    <cellStyle name="Monétaire_Classeur1 Graphique 2" xfId="818" xr:uid="{00000000-0005-0000-0000-0000CB090000}"/>
    <cellStyle name="MS_Arabe" xfId="819" xr:uid="{00000000-0005-0000-0000-0000CC090000}"/>
    <cellStyle name="Neutral" xfId="62" xr:uid="{00000000-0005-0000-0000-0000CD090000}"/>
    <cellStyle name="Neutral 2" xfId="820" xr:uid="{00000000-0005-0000-0000-0000CE090000}"/>
    <cellStyle name="Neutral 2 2" xfId="2165" xr:uid="{00000000-0005-0000-0000-0000CF090000}"/>
    <cellStyle name="Neutral 2_For GOLD" xfId="3846" xr:uid="{00000000-0005-0000-0000-0000D0090000}"/>
    <cellStyle name="Neutral 3" xfId="821" xr:uid="{00000000-0005-0000-0000-0000D1090000}"/>
    <cellStyle name="Neutral 3 2" xfId="2166" xr:uid="{00000000-0005-0000-0000-0000D2090000}"/>
    <cellStyle name="Neutral 4" xfId="2164" xr:uid="{00000000-0005-0000-0000-0000D3090000}"/>
    <cellStyle name="Neutral 5" xfId="3847" xr:uid="{00000000-0005-0000-0000-0000D4090000}"/>
    <cellStyle name="Neutral 6" xfId="107" xr:uid="{00000000-0005-0000-0000-0000D5090000}"/>
    <cellStyle name="Neutrale" xfId="822" xr:uid="{00000000-0005-0000-0000-0000D6090000}"/>
    <cellStyle name="Neutre" xfId="823" xr:uid="{00000000-0005-0000-0000-0000D7090000}"/>
    <cellStyle name="Neutre 2" xfId="3848" xr:uid="{00000000-0005-0000-0000-0000D8090000}"/>
    <cellStyle name="Nombre" xfId="824" xr:uid="{00000000-0005-0000-0000-0000D9090000}"/>
    <cellStyle name="Non_definito" xfId="825" xr:uid="{00000000-0005-0000-0000-0000DA090000}"/>
    <cellStyle name="norm?ln?_RPi  MPC (2)" xfId="826" xr:uid="{00000000-0005-0000-0000-0000DB090000}"/>
    <cellStyle name="Normaal" xfId="827" xr:uid="{00000000-0005-0000-0000-0000DC090000}"/>
    <cellStyle name="Normal" xfId="0" builtinId="0"/>
    <cellStyle name="Normal - Style1" xfId="828" xr:uid="{00000000-0005-0000-0000-0000DE090000}"/>
    <cellStyle name="Normal 10" xfId="829" xr:uid="{00000000-0005-0000-0000-0000DF090000}"/>
    <cellStyle name="Normal 10 2" xfId="2167" xr:uid="{00000000-0005-0000-0000-0000E0090000}"/>
    <cellStyle name="Normal 10_Energy &amp; Production Data" xfId="3849" xr:uid="{00000000-0005-0000-0000-0000E1090000}"/>
    <cellStyle name="Normal 100" xfId="830" xr:uid="{00000000-0005-0000-0000-0000E2090000}"/>
    <cellStyle name="Normal 100 10" xfId="3850" xr:uid="{00000000-0005-0000-0000-0000E3090000}"/>
    <cellStyle name="Normal 100 11" xfId="3851" xr:uid="{00000000-0005-0000-0000-0000E4090000}"/>
    <cellStyle name="Normal 100 12" xfId="3852" xr:uid="{00000000-0005-0000-0000-0000E5090000}"/>
    <cellStyle name="Normal 100 13" xfId="3853" xr:uid="{00000000-0005-0000-0000-0000E6090000}"/>
    <cellStyle name="Normal 100 2" xfId="3854" xr:uid="{00000000-0005-0000-0000-0000E7090000}"/>
    <cellStyle name="Normal 100 3" xfId="3855" xr:uid="{00000000-0005-0000-0000-0000E8090000}"/>
    <cellStyle name="Normal 100 4" xfId="3856" xr:uid="{00000000-0005-0000-0000-0000E9090000}"/>
    <cellStyle name="Normal 100 5" xfId="3857" xr:uid="{00000000-0005-0000-0000-0000EA090000}"/>
    <cellStyle name="Normal 100 6" xfId="3858" xr:uid="{00000000-0005-0000-0000-0000EB090000}"/>
    <cellStyle name="Normal 100 7" xfId="3859" xr:uid="{00000000-0005-0000-0000-0000EC090000}"/>
    <cellStyle name="Normal 100 8" xfId="3860" xr:uid="{00000000-0005-0000-0000-0000ED090000}"/>
    <cellStyle name="Normal 100 9" xfId="3861" xr:uid="{00000000-0005-0000-0000-0000EE090000}"/>
    <cellStyle name="Normal 100_For GOLD" xfId="3862" xr:uid="{00000000-0005-0000-0000-0000EF090000}"/>
    <cellStyle name="Normal 101" xfId="831" xr:uid="{00000000-0005-0000-0000-0000F0090000}"/>
    <cellStyle name="Normal 101 10" xfId="3863" xr:uid="{00000000-0005-0000-0000-0000F1090000}"/>
    <cellStyle name="Normal 101 11" xfId="3864" xr:uid="{00000000-0005-0000-0000-0000F2090000}"/>
    <cellStyle name="Normal 101 12" xfId="3865" xr:uid="{00000000-0005-0000-0000-0000F3090000}"/>
    <cellStyle name="Normal 101 13" xfId="3866" xr:uid="{00000000-0005-0000-0000-0000F4090000}"/>
    <cellStyle name="Normal 101 2" xfId="3867" xr:uid="{00000000-0005-0000-0000-0000F5090000}"/>
    <cellStyle name="Normal 101 3" xfId="3868" xr:uid="{00000000-0005-0000-0000-0000F6090000}"/>
    <cellStyle name="Normal 101 4" xfId="3869" xr:uid="{00000000-0005-0000-0000-0000F7090000}"/>
    <cellStyle name="Normal 101 5" xfId="3870" xr:uid="{00000000-0005-0000-0000-0000F8090000}"/>
    <cellStyle name="Normal 101 6" xfId="3871" xr:uid="{00000000-0005-0000-0000-0000F9090000}"/>
    <cellStyle name="Normal 101 7" xfId="3872" xr:uid="{00000000-0005-0000-0000-0000FA090000}"/>
    <cellStyle name="Normal 101 8" xfId="3873" xr:uid="{00000000-0005-0000-0000-0000FB090000}"/>
    <cellStyle name="Normal 101 9" xfId="3874" xr:uid="{00000000-0005-0000-0000-0000FC090000}"/>
    <cellStyle name="Normal 101_For GOLD" xfId="3875" xr:uid="{00000000-0005-0000-0000-0000FD090000}"/>
    <cellStyle name="Normal 102" xfId="832" xr:uid="{00000000-0005-0000-0000-0000FE090000}"/>
    <cellStyle name="Normal 102 10" xfId="3876" xr:uid="{00000000-0005-0000-0000-0000FF090000}"/>
    <cellStyle name="Normal 102 11" xfId="3877" xr:uid="{00000000-0005-0000-0000-0000000A0000}"/>
    <cellStyle name="Normal 102 12" xfId="3878" xr:uid="{00000000-0005-0000-0000-0000010A0000}"/>
    <cellStyle name="Normal 102 13" xfId="3879" xr:uid="{00000000-0005-0000-0000-0000020A0000}"/>
    <cellStyle name="Normal 102 2" xfId="3880" xr:uid="{00000000-0005-0000-0000-0000030A0000}"/>
    <cellStyle name="Normal 102 3" xfId="3881" xr:uid="{00000000-0005-0000-0000-0000040A0000}"/>
    <cellStyle name="Normal 102 4" xfId="3882" xr:uid="{00000000-0005-0000-0000-0000050A0000}"/>
    <cellStyle name="Normal 102 5" xfId="3883" xr:uid="{00000000-0005-0000-0000-0000060A0000}"/>
    <cellStyle name="Normal 102 6" xfId="3884" xr:uid="{00000000-0005-0000-0000-0000070A0000}"/>
    <cellStyle name="Normal 102 7" xfId="3885" xr:uid="{00000000-0005-0000-0000-0000080A0000}"/>
    <cellStyle name="Normal 102 8" xfId="3886" xr:uid="{00000000-0005-0000-0000-0000090A0000}"/>
    <cellStyle name="Normal 102 9" xfId="3887" xr:uid="{00000000-0005-0000-0000-00000A0A0000}"/>
    <cellStyle name="Normal 102_For GOLD" xfId="3888" xr:uid="{00000000-0005-0000-0000-00000B0A0000}"/>
    <cellStyle name="Normal 103" xfId="833" xr:uid="{00000000-0005-0000-0000-00000C0A0000}"/>
    <cellStyle name="Normal 103 10" xfId="3889" xr:uid="{00000000-0005-0000-0000-00000D0A0000}"/>
    <cellStyle name="Normal 103 11" xfId="3890" xr:uid="{00000000-0005-0000-0000-00000E0A0000}"/>
    <cellStyle name="Normal 103 12" xfId="3891" xr:uid="{00000000-0005-0000-0000-00000F0A0000}"/>
    <cellStyle name="Normal 103 13" xfId="3892" xr:uid="{00000000-0005-0000-0000-0000100A0000}"/>
    <cellStyle name="Normal 103 2" xfId="3893" xr:uid="{00000000-0005-0000-0000-0000110A0000}"/>
    <cellStyle name="Normal 103 3" xfId="3894" xr:uid="{00000000-0005-0000-0000-0000120A0000}"/>
    <cellStyle name="Normal 103 4" xfId="3895" xr:uid="{00000000-0005-0000-0000-0000130A0000}"/>
    <cellStyle name="Normal 103 5" xfId="3896" xr:uid="{00000000-0005-0000-0000-0000140A0000}"/>
    <cellStyle name="Normal 103 6" xfId="3897" xr:uid="{00000000-0005-0000-0000-0000150A0000}"/>
    <cellStyle name="Normal 103 7" xfId="3898" xr:uid="{00000000-0005-0000-0000-0000160A0000}"/>
    <cellStyle name="Normal 103 8" xfId="3899" xr:uid="{00000000-0005-0000-0000-0000170A0000}"/>
    <cellStyle name="Normal 103 9" xfId="3900" xr:uid="{00000000-0005-0000-0000-0000180A0000}"/>
    <cellStyle name="Normal 103_For GOLD" xfId="3901" xr:uid="{00000000-0005-0000-0000-0000190A0000}"/>
    <cellStyle name="Normal 104" xfId="834" xr:uid="{00000000-0005-0000-0000-00001A0A0000}"/>
    <cellStyle name="Normal 104 10" xfId="3902" xr:uid="{00000000-0005-0000-0000-00001B0A0000}"/>
    <cellStyle name="Normal 104 11" xfId="3903" xr:uid="{00000000-0005-0000-0000-00001C0A0000}"/>
    <cellStyle name="Normal 104 12" xfId="3904" xr:uid="{00000000-0005-0000-0000-00001D0A0000}"/>
    <cellStyle name="Normal 104 13" xfId="3905" xr:uid="{00000000-0005-0000-0000-00001E0A0000}"/>
    <cellStyle name="Normal 104 2" xfId="3906" xr:uid="{00000000-0005-0000-0000-00001F0A0000}"/>
    <cellStyle name="Normal 104 3" xfId="3907" xr:uid="{00000000-0005-0000-0000-0000200A0000}"/>
    <cellStyle name="Normal 104 4" xfId="3908" xr:uid="{00000000-0005-0000-0000-0000210A0000}"/>
    <cellStyle name="Normal 104 5" xfId="3909" xr:uid="{00000000-0005-0000-0000-0000220A0000}"/>
    <cellStyle name="Normal 104 6" xfId="3910" xr:uid="{00000000-0005-0000-0000-0000230A0000}"/>
    <cellStyle name="Normal 104 7" xfId="3911" xr:uid="{00000000-0005-0000-0000-0000240A0000}"/>
    <cellStyle name="Normal 104 8" xfId="3912" xr:uid="{00000000-0005-0000-0000-0000250A0000}"/>
    <cellStyle name="Normal 104 9" xfId="3913" xr:uid="{00000000-0005-0000-0000-0000260A0000}"/>
    <cellStyle name="Normal 104_For GOLD" xfId="3914" xr:uid="{00000000-0005-0000-0000-0000270A0000}"/>
    <cellStyle name="Normal 105" xfId="835" xr:uid="{00000000-0005-0000-0000-0000280A0000}"/>
    <cellStyle name="Normal 105 10" xfId="3915" xr:uid="{00000000-0005-0000-0000-0000290A0000}"/>
    <cellStyle name="Normal 105 11" xfId="3916" xr:uid="{00000000-0005-0000-0000-00002A0A0000}"/>
    <cellStyle name="Normal 105 12" xfId="3917" xr:uid="{00000000-0005-0000-0000-00002B0A0000}"/>
    <cellStyle name="Normal 105 13" xfId="3918" xr:uid="{00000000-0005-0000-0000-00002C0A0000}"/>
    <cellStyle name="Normal 105 2" xfId="3919" xr:uid="{00000000-0005-0000-0000-00002D0A0000}"/>
    <cellStyle name="Normal 105 3" xfId="3920" xr:uid="{00000000-0005-0000-0000-00002E0A0000}"/>
    <cellStyle name="Normal 105 4" xfId="3921" xr:uid="{00000000-0005-0000-0000-00002F0A0000}"/>
    <cellStyle name="Normal 105 5" xfId="3922" xr:uid="{00000000-0005-0000-0000-0000300A0000}"/>
    <cellStyle name="Normal 105 6" xfId="3923" xr:uid="{00000000-0005-0000-0000-0000310A0000}"/>
    <cellStyle name="Normal 105 7" xfId="3924" xr:uid="{00000000-0005-0000-0000-0000320A0000}"/>
    <cellStyle name="Normal 105 8" xfId="3925" xr:uid="{00000000-0005-0000-0000-0000330A0000}"/>
    <cellStyle name="Normal 105 9" xfId="3926" xr:uid="{00000000-0005-0000-0000-0000340A0000}"/>
    <cellStyle name="Normal 105_For GOLD" xfId="3927" xr:uid="{00000000-0005-0000-0000-0000350A0000}"/>
    <cellStyle name="Normal 106" xfId="836" xr:uid="{00000000-0005-0000-0000-0000360A0000}"/>
    <cellStyle name="Normal 106 10" xfId="3928" xr:uid="{00000000-0005-0000-0000-0000370A0000}"/>
    <cellStyle name="Normal 106 11" xfId="3929" xr:uid="{00000000-0005-0000-0000-0000380A0000}"/>
    <cellStyle name="Normal 106 12" xfId="3930" xr:uid="{00000000-0005-0000-0000-0000390A0000}"/>
    <cellStyle name="Normal 106 13" xfId="3931" xr:uid="{00000000-0005-0000-0000-00003A0A0000}"/>
    <cellStyle name="Normal 106 2" xfId="3932" xr:uid="{00000000-0005-0000-0000-00003B0A0000}"/>
    <cellStyle name="Normal 106 3" xfId="3933" xr:uid="{00000000-0005-0000-0000-00003C0A0000}"/>
    <cellStyle name="Normal 106 4" xfId="3934" xr:uid="{00000000-0005-0000-0000-00003D0A0000}"/>
    <cellStyle name="Normal 106 5" xfId="3935" xr:uid="{00000000-0005-0000-0000-00003E0A0000}"/>
    <cellStyle name="Normal 106 6" xfId="3936" xr:uid="{00000000-0005-0000-0000-00003F0A0000}"/>
    <cellStyle name="Normal 106 7" xfId="3937" xr:uid="{00000000-0005-0000-0000-0000400A0000}"/>
    <cellStyle name="Normal 106 8" xfId="3938" xr:uid="{00000000-0005-0000-0000-0000410A0000}"/>
    <cellStyle name="Normal 106 9" xfId="3939" xr:uid="{00000000-0005-0000-0000-0000420A0000}"/>
    <cellStyle name="Normal 106_For GOLD" xfId="3940" xr:uid="{00000000-0005-0000-0000-0000430A0000}"/>
    <cellStyle name="Normal 107" xfId="837" xr:uid="{00000000-0005-0000-0000-0000440A0000}"/>
    <cellStyle name="Normal 107 10" xfId="3941" xr:uid="{00000000-0005-0000-0000-0000450A0000}"/>
    <cellStyle name="Normal 107 11" xfId="3942" xr:uid="{00000000-0005-0000-0000-0000460A0000}"/>
    <cellStyle name="Normal 107 12" xfId="3943" xr:uid="{00000000-0005-0000-0000-0000470A0000}"/>
    <cellStyle name="Normal 107 13" xfId="3944" xr:uid="{00000000-0005-0000-0000-0000480A0000}"/>
    <cellStyle name="Normal 107 2" xfId="3945" xr:uid="{00000000-0005-0000-0000-0000490A0000}"/>
    <cellStyle name="Normal 107 3" xfId="3946" xr:uid="{00000000-0005-0000-0000-00004A0A0000}"/>
    <cellStyle name="Normal 107 4" xfId="3947" xr:uid="{00000000-0005-0000-0000-00004B0A0000}"/>
    <cellStyle name="Normal 107 5" xfId="3948" xr:uid="{00000000-0005-0000-0000-00004C0A0000}"/>
    <cellStyle name="Normal 107 6" xfId="3949" xr:uid="{00000000-0005-0000-0000-00004D0A0000}"/>
    <cellStyle name="Normal 107 7" xfId="3950" xr:uid="{00000000-0005-0000-0000-00004E0A0000}"/>
    <cellStyle name="Normal 107 8" xfId="3951" xr:uid="{00000000-0005-0000-0000-00004F0A0000}"/>
    <cellStyle name="Normal 107 9" xfId="3952" xr:uid="{00000000-0005-0000-0000-0000500A0000}"/>
    <cellStyle name="Normal 107_For GOLD" xfId="3953" xr:uid="{00000000-0005-0000-0000-0000510A0000}"/>
    <cellStyle name="Normal 108" xfId="838" xr:uid="{00000000-0005-0000-0000-0000520A0000}"/>
    <cellStyle name="Normal 108 10" xfId="3954" xr:uid="{00000000-0005-0000-0000-0000530A0000}"/>
    <cellStyle name="Normal 108 11" xfId="3955" xr:uid="{00000000-0005-0000-0000-0000540A0000}"/>
    <cellStyle name="Normal 108 12" xfId="3956" xr:uid="{00000000-0005-0000-0000-0000550A0000}"/>
    <cellStyle name="Normal 108 13" xfId="3957" xr:uid="{00000000-0005-0000-0000-0000560A0000}"/>
    <cellStyle name="Normal 108 2" xfId="3958" xr:uid="{00000000-0005-0000-0000-0000570A0000}"/>
    <cellStyle name="Normal 108 3" xfId="3959" xr:uid="{00000000-0005-0000-0000-0000580A0000}"/>
    <cellStyle name="Normal 108 4" xfId="3960" xr:uid="{00000000-0005-0000-0000-0000590A0000}"/>
    <cellStyle name="Normal 108 5" xfId="3961" xr:uid="{00000000-0005-0000-0000-00005A0A0000}"/>
    <cellStyle name="Normal 108 6" xfId="3962" xr:uid="{00000000-0005-0000-0000-00005B0A0000}"/>
    <cellStyle name="Normal 108 7" xfId="3963" xr:uid="{00000000-0005-0000-0000-00005C0A0000}"/>
    <cellStyle name="Normal 108 8" xfId="3964" xr:uid="{00000000-0005-0000-0000-00005D0A0000}"/>
    <cellStyle name="Normal 108 9" xfId="3965" xr:uid="{00000000-0005-0000-0000-00005E0A0000}"/>
    <cellStyle name="Normal 108_For GOLD" xfId="3966" xr:uid="{00000000-0005-0000-0000-00005F0A0000}"/>
    <cellStyle name="Normal 109" xfId="839" xr:uid="{00000000-0005-0000-0000-0000600A0000}"/>
    <cellStyle name="Normal 109 10" xfId="3967" xr:uid="{00000000-0005-0000-0000-0000610A0000}"/>
    <cellStyle name="Normal 109 11" xfId="3968" xr:uid="{00000000-0005-0000-0000-0000620A0000}"/>
    <cellStyle name="Normal 109 12" xfId="3969" xr:uid="{00000000-0005-0000-0000-0000630A0000}"/>
    <cellStyle name="Normal 109 13" xfId="3970" xr:uid="{00000000-0005-0000-0000-0000640A0000}"/>
    <cellStyle name="Normal 109 2" xfId="3971" xr:uid="{00000000-0005-0000-0000-0000650A0000}"/>
    <cellStyle name="Normal 109 3" xfId="3972" xr:uid="{00000000-0005-0000-0000-0000660A0000}"/>
    <cellStyle name="Normal 109 4" xfId="3973" xr:uid="{00000000-0005-0000-0000-0000670A0000}"/>
    <cellStyle name="Normal 109 5" xfId="3974" xr:uid="{00000000-0005-0000-0000-0000680A0000}"/>
    <cellStyle name="Normal 109 6" xfId="3975" xr:uid="{00000000-0005-0000-0000-0000690A0000}"/>
    <cellStyle name="Normal 109 7" xfId="3976" xr:uid="{00000000-0005-0000-0000-00006A0A0000}"/>
    <cellStyle name="Normal 109 8" xfId="3977" xr:uid="{00000000-0005-0000-0000-00006B0A0000}"/>
    <cellStyle name="Normal 109 9" xfId="3978" xr:uid="{00000000-0005-0000-0000-00006C0A0000}"/>
    <cellStyle name="Normal 109_For GOLD" xfId="3979" xr:uid="{00000000-0005-0000-0000-00006D0A0000}"/>
    <cellStyle name="Normal 11" xfId="840" xr:uid="{00000000-0005-0000-0000-00006E0A0000}"/>
    <cellStyle name="Normal 11 10" xfId="3980" xr:uid="{00000000-0005-0000-0000-00006F0A0000}"/>
    <cellStyle name="Normal 11 11" xfId="3981" xr:uid="{00000000-0005-0000-0000-0000700A0000}"/>
    <cellStyle name="Normal 11 12" xfId="3982" xr:uid="{00000000-0005-0000-0000-0000710A0000}"/>
    <cellStyle name="Normal 11 13" xfId="3983" xr:uid="{00000000-0005-0000-0000-0000720A0000}"/>
    <cellStyle name="Normal 11 14" xfId="3984" xr:uid="{00000000-0005-0000-0000-0000730A0000}"/>
    <cellStyle name="Normal 11 2" xfId="2168" xr:uid="{00000000-0005-0000-0000-0000740A0000}"/>
    <cellStyle name="Normal 11 3" xfId="3985" xr:uid="{00000000-0005-0000-0000-0000750A0000}"/>
    <cellStyle name="Normal 11 3 2" xfId="3986" xr:uid="{00000000-0005-0000-0000-0000760A0000}"/>
    <cellStyle name="Normal 11 3_For GOLD" xfId="3987" xr:uid="{00000000-0005-0000-0000-0000770A0000}"/>
    <cellStyle name="Normal 11 4" xfId="3988" xr:uid="{00000000-0005-0000-0000-0000780A0000}"/>
    <cellStyle name="Normal 11 5" xfId="3989" xr:uid="{00000000-0005-0000-0000-0000790A0000}"/>
    <cellStyle name="Normal 11 6" xfId="3990" xr:uid="{00000000-0005-0000-0000-00007A0A0000}"/>
    <cellStyle name="Normal 11 7" xfId="3991" xr:uid="{00000000-0005-0000-0000-00007B0A0000}"/>
    <cellStyle name="Normal 11 8" xfId="3992" xr:uid="{00000000-0005-0000-0000-00007C0A0000}"/>
    <cellStyle name="Normal 11 9" xfId="3993" xr:uid="{00000000-0005-0000-0000-00007D0A0000}"/>
    <cellStyle name="Normal 11_Energy &amp; Production Data" xfId="3994" xr:uid="{00000000-0005-0000-0000-00007E0A0000}"/>
    <cellStyle name="Normal 110" xfId="841" xr:uid="{00000000-0005-0000-0000-00007F0A0000}"/>
    <cellStyle name="Normal 110 10" xfId="3995" xr:uid="{00000000-0005-0000-0000-0000800A0000}"/>
    <cellStyle name="Normal 110 11" xfId="3996" xr:uid="{00000000-0005-0000-0000-0000810A0000}"/>
    <cellStyle name="Normal 110 12" xfId="3997" xr:uid="{00000000-0005-0000-0000-0000820A0000}"/>
    <cellStyle name="Normal 110 13" xfId="3998" xr:uid="{00000000-0005-0000-0000-0000830A0000}"/>
    <cellStyle name="Normal 110 2" xfId="3999" xr:uid="{00000000-0005-0000-0000-0000840A0000}"/>
    <cellStyle name="Normal 110 3" xfId="4000" xr:uid="{00000000-0005-0000-0000-0000850A0000}"/>
    <cellStyle name="Normal 110 4" xfId="4001" xr:uid="{00000000-0005-0000-0000-0000860A0000}"/>
    <cellStyle name="Normal 110 5" xfId="4002" xr:uid="{00000000-0005-0000-0000-0000870A0000}"/>
    <cellStyle name="Normal 110 6" xfId="4003" xr:uid="{00000000-0005-0000-0000-0000880A0000}"/>
    <cellStyle name="Normal 110 7" xfId="4004" xr:uid="{00000000-0005-0000-0000-0000890A0000}"/>
    <cellStyle name="Normal 110 8" xfId="4005" xr:uid="{00000000-0005-0000-0000-00008A0A0000}"/>
    <cellStyle name="Normal 110 9" xfId="4006" xr:uid="{00000000-0005-0000-0000-00008B0A0000}"/>
    <cellStyle name="Normal 110_For GOLD" xfId="4007" xr:uid="{00000000-0005-0000-0000-00008C0A0000}"/>
    <cellStyle name="Normal 111" xfId="842" xr:uid="{00000000-0005-0000-0000-00008D0A0000}"/>
    <cellStyle name="Normal 111 10" xfId="4008" xr:uid="{00000000-0005-0000-0000-00008E0A0000}"/>
    <cellStyle name="Normal 111 11" xfId="4009" xr:uid="{00000000-0005-0000-0000-00008F0A0000}"/>
    <cellStyle name="Normal 111 12" xfId="4010" xr:uid="{00000000-0005-0000-0000-0000900A0000}"/>
    <cellStyle name="Normal 111 13" xfId="4011" xr:uid="{00000000-0005-0000-0000-0000910A0000}"/>
    <cellStyle name="Normal 111 2" xfId="4012" xr:uid="{00000000-0005-0000-0000-0000920A0000}"/>
    <cellStyle name="Normal 111 3" xfId="4013" xr:uid="{00000000-0005-0000-0000-0000930A0000}"/>
    <cellStyle name="Normal 111 4" xfId="4014" xr:uid="{00000000-0005-0000-0000-0000940A0000}"/>
    <cellStyle name="Normal 111 5" xfId="4015" xr:uid="{00000000-0005-0000-0000-0000950A0000}"/>
    <cellStyle name="Normal 111 6" xfId="4016" xr:uid="{00000000-0005-0000-0000-0000960A0000}"/>
    <cellStyle name="Normal 111 7" xfId="4017" xr:uid="{00000000-0005-0000-0000-0000970A0000}"/>
    <cellStyle name="Normal 111 8" xfId="4018" xr:uid="{00000000-0005-0000-0000-0000980A0000}"/>
    <cellStyle name="Normal 111 9" xfId="4019" xr:uid="{00000000-0005-0000-0000-0000990A0000}"/>
    <cellStyle name="Normal 111_For GOLD" xfId="4020" xr:uid="{00000000-0005-0000-0000-00009A0A0000}"/>
    <cellStyle name="Normal 112" xfId="2029" xr:uid="{00000000-0005-0000-0000-00009B0A0000}"/>
    <cellStyle name="Normal 112 2" xfId="4021" xr:uid="{00000000-0005-0000-0000-00009C0A0000}"/>
    <cellStyle name="Normal 112_For GOLD" xfId="4022" xr:uid="{00000000-0005-0000-0000-00009D0A0000}"/>
    <cellStyle name="Normal 113" xfId="2252" xr:uid="{00000000-0005-0000-0000-00009E0A0000}"/>
    <cellStyle name="Normal 113 2" xfId="4023" xr:uid="{00000000-0005-0000-0000-00009F0A0000}"/>
    <cellStyle name="Normal 113_For GOLD" xfId="4024" xr:uid="{00000000-0005-0000-0000-0000A00A0000}"/>
    <cellStyle name="Normal 114" xfId="4025" xr:uid="{00000000-0005-0000-0000-0000A10A0000}"/>
    <cellStyle name="Normal 114 2" xfId="4026" xr:uid="{00000000-0005-0000-0000-0000A20A0000}"/>
    <cellStyle name="Normal 114_For GOLD" xfId="4027" xr:uid="{00000000-0005-0000-0000-0000A30A0000}"/>
    <cellStyle name="Normal 115" xfId="4028" xr:uid="{00000000-0005-0000-0000-0000A40A0000}"/>
    <cellStyle name="Normal 115 2" xfId="4029" xr:uid="{00000000-0005-0000-0000-0000A50A0000}"/>
    <cellStyle name="Normal 115_For GOLD" xfId="4030" xr:uid="{00000000-0005-0000-0000-0000A60A0000}"/>
    <cellStyle name="Normal 116" xfId="4031" xr:uid="{00000000-0005-0000-0000-0000A70A0000}"/>
    <cellStyle name="Normal 117" xfId="4032" xr:uid="{00000000-0005-0000-0000-0000A80A0000}"/>
    <cellStyle name="Normal 118" xfId="4033" xr:uid="{00000000-0005-0000-0000-0000A90A0000}"/>
    <cellStyle name="Normal 119" xfId="4034" xr:uid="{00000000-0005-0000-0000-0000AA0A0000}"/>
    <cellStyle name="Normal 12" xfId="843" xr:uid="{00000000-0005-0000-0000-0000AB0A0000}"/>
    <cellStyle name="Normal 12 2" xfId="844" xr:uid="{00000000-0005-0000-0000-0000AC0A0000}"/>
    <cellStyle name="Normal 12 2 2" xfId="4035" xr:uid="{00000000-0005-0000-0000-0000AD0A0000}"/>
    <cellStyle name="Normal 12 2_Monthly Energy Log" xfId="4036" xr:uid="{00000000-0005-0000-0000-0000AE0A0000}"/>
    <cellStyle name="Normal 12 3" xfId="2169" xr:uid="{00000000-0005-0000-0000-0000AF0A0000}"/>
    <cellStyle name="Normal 12_BP ME Calc." xfId="4037" xr:uid="{00000000-0005-0000-0000-0000B00A0000}"/>
    <cellStyle name="Normal 120" xfId="4038" xr:uid="{00000000-0005-0000-0000-0000B10A0000}"/>
    <cellStyle name="Normal 121" xfId="4039" xr:uid="{00000000-0005-0000-0000-0000B20A0000}"/>
    <cellStyle name="Normal 122" xfId="4040" xr:uid="{00000000-0005-0000-0000-0000B30A0000}"/>
    <cellStyle name="Normal 123" xfId="4041" xr:uid="{00000000-0005-0000-0000-0000B40A0000}"/>
    <cellStyle name="Normal 124" xfId="4042" xr:uid="{00000000-0005-0000-0000-0000B50A0000}"/>
    <cellStyle name="Normal 125" xfId="4043" xr:uid="{00000000-0005-0000-0000-0000B60A0000}"/>
    <cellStyle name="Normal 126" xfId="4044" xr:uid="{00000000-0005-0000-0000-0000B70A0000}"/>
    <cellStyle name="Normal 127" xfId="4045" xr:uid="{00000000-0005-0000-0000-0000B80A0000}"/>
    <cellStyle name="Normal 128" xfId="4046" xr:uid="{00000000-0005-0000-0000-0000B90A0000}"/>
    <cellStyle name="Normal 129" xfId="4047" xr:uid="{00000000-0005-0000-0000-0000BA0A0000}"/>
    <cellStyle name="Normal 13" xfId="845" xr:uid="{00000000-0005-0000-0000-0000BB0A0000}"/>
    <cellStyle name="Normal 13 2" xfId="846" xr:uid="{00000000-0005-0000-0000-0000BC0A0000}"/>
    <cellStyle name="Normal 13 2 2" xfId="4048" xr:uid="{00000000-0005-0000-0000-0000BD0A0000}"/>
    <cellStyle name="Normal 13 2_Monthly Energy Log" xfId="4049" xr:uid="{00000000-0005-0000-0000-0000BE0A0000}"/>
    <cellStyle name="Normal 13 3" xfId="2170" xr:uid="{00000000-0005-0000-0000-0000BF0A0000}"/>
    <cellStyle name="Normal 13_BP ME Calc." xfId="4050" xr:uid="{00000000-0005-0000-0000-0000C00A0000}"/>
    <cellStyle name="Normal 130" xfId="4051" xr:uid="{00000000-0005-0000-0000-0000C10A0000}"/>
    <cellStyle name="Normal 131" xfId="4052" xr:uid="{00000000-0005-0000-0000-0000C20A0000}"/>
    <cellStyle name="Normal 132" xfId="4053" xr:uid="{00000000-0005-0000-0000-0000C30A0000}"/>
    <cellStyle name="Normal 133" xfId="4054" xr:uid="{00000000-0005-0000-0000-0000C40A0000}"/>
    <cellStyle name="Normal 134" xfId="4055" xr:uid="{00000000-0005-0000-0000-0000C50A0000}"/>
    <cellStyle name="Normal 135" xfId="4056" xr:uid="{00000000-0005-0000-0000-0000C60A0000}"/>
    <cellStyle name="Normal 136" xfId="4057" xr:uid="{00000000-0005-0000-0000-0000C70A0000}"/>
    <cellStyle name="Normal 137" xfId="4058" xr:uid="{00000000-0005-0000-0000-0000C80A0000}"/>
    <cellStyle name="Normal 138" xfId="4059" xr:uid="{00000000-0005-0000-0000-0000C90A0000}"/>
    <cellStyle name="Normal 139" xfId="4060" xr:uid="{00000000-0005-0000-0000-0000CA0A0000}"/>
    <cellStyle name="Normal 14" xfId="847" xr:uid="{00000000-0005-0000-0000-0000CB0A0000}"/>
    <cellStyle name="Normal 14 2" xfId="848" xr:uid="{00000000-0005-0000-0000-0000CC0A0000}"/>
    <cellStyle name="Normal 14 2 2" xfId="4061" xr:uid="{00000000-0005-0000-0000-0000CD0A0000}"/>
    <cellStyle name="Normal 14 2 2 2" xfId="4062" xr:uid="{00000000-0005-0000-0000-0000CE0A0000}"/>
    <cellStyle name="Normal 14 2 2 2 2" xfId="4063" xr:uid="{00000000-0005-0000-0000-0000CF0A0000}"/>
    <cellStyle name="Normal 14 2 2 2_For GOLD" xfId="4064" xr:uid="{00000000-0005-0000-0000-0000D00A0000}"/>
    <cellStyle name="Normal 14 2 2 3" xfId="4065" xr:uid="{00000000-0005-0000-0000-0000D10A0000}"/>
    <cellStyle name="Normal 14 2 2_Energy &amp; Production Data" xfId="4066" xr:uid="{00000000-0005-0000-0000-0000D20A0000}"/>
    <cellStyle name="Normal 14 2_Aims and Constants" xfId="4067" xr:uid="{00000000-0005-0000-0000-0000D30A0000}"/>
    <cellStyle name="Normal 14 3" xfId="2171" xr:uid="{00000000-0005-0000-0000-0000D40A0000}"/>
    <cellStyle name="Normal 14 3 2" xfId="4068" xr:uid="{00000000-0005-0000-0000-0000D50A0000}"/>
    <cellStyle name="Normal 14 3 2 2" xfId="4069" xr:uid="{00000000-0005-0000-0000-0000D60A0000}"/>
    <cellStyle name="Normal 14 3 2_For GOLD" xfId="4070" xr:uid="{00000000-0005-0000-0000-0000D70A0000}"/>
    <cellStyle name="Normal 14 3 3" xfId="4071" xr:uid="{00000000-0005-0000-0000-0000D80A0000}"/>
    <cellStyle name="Normal 14 3_Energy &amp; Production Data" xfId="4072" xr:uid="{00000000-0005-0000-0000-0000D90A0000}"/>
    <cellStyle name="Normal 14 4" xfId="4073" xr:uid="{00000000-0005-0000-0000-0000DA0A0000}"/>
    <cellStyle name="Normal 14 4 2" xfId="4074" xr:uid="{00000000-0005-0000-0000-0000DB0A0000}"/>
    <cellStyle name="Normal 14 4 2 2" xfId="4075" xr:uid="{00000000-0005-0000-0000-0000DC0A0000}"/>
    <cellStyle name="Normal 14 4 2_For GOLD" xfId="4076" xr:uid="{00000000-0005-0000-0000-0000DD0A0000}"/>
    <cellStyle name="Normal 14 4 3" xfId="4077" xr:uid="{00000000-0005-0000-0000-0000DE0A0000}"/>
    <cellStyle name="Normal 14 4_For GOLD" xfId="4078" xr:uid="{00000000-0005-0000-0000-0000DF0A0000}"/>
    <cellStyle name="Normal 14_Aims and Constants" xfId="4079" xr:uid="{00000000-0005-0000-0000-0000E00A0000}"/>
    <cellStyle name="Normal 140" xfId="4080" xr:uid="{00000000-0005-0000-0000-0000E10A0000}"/>
    <cellStyle name="Normal 141" xfId="4081" xr:uid="{00000000-0005-0000-0000-0000E20A0000}"/>
    <cellStyle name="Normal 142" xfId="4082" xr:uid="{00000000-0005-0000-0000-0000E30A0000}"/>
    <cellStyle name="Normal 143" xfId="4083" xr:uid="{00000000-0005-0000-0000-0000E40A0000}"/>
    <cellStyle name="Normal 144" xfId="4084" xr:uid="{00000000-0005-0000-0000-0000E50A0000}"/>
    <cellStyle name="Normal 145" xfId="4085" xr:uid="{00000000-0005-0000-0000-0000E60A0000}"/>
    <cellStyle name="Normal 146" xfId="4086" xr:uid="{00000000-0005-0000-0000-0000E70A0000}"/>
    <cellStyle name="Normal 147" xfId="4087" xr:uid="{00000000-0005-0000-0000-0000E80A0000}"/>
    <cellStyle name="Normal 148" xfId="4088" xr:uid="{00000000-0005-0000-0000-0000E90A0000}"/>
    <cellStyle name="Normal 149" xfId="4089" xr:uid="{00000000-0005-0000-0000-0000EA0A0000}"/>
    <cellStyle name="Normal 15" xfId="849" xr:uid="{00000000-0005-0000-0000-0000EB0A0000}"/>
    <cellStyle name="Normal 15 2" xfId="850" xr:uid="{00000000-0005-0000-0000-0000EC0A0000}"/>
    <cellStyle name="Normal 15 2 2" xfId="4090" xr:uid="{00000000-0005-0000-0000-0000ED0A0000}"/>
    <cellStyle name="Normal 15 2 2 2" xfId="4091" xr:uid="{00000000-0005-0000-0000-0000EE0A0000}"/>
    <cellStyle name="Normal 15 2 2 2 2" xfId="4092" xr:uid="{00000000-0005-0000-0000-0000EF0A0000}"/>
    <cellStyle name="Normal 15 2 2 2_For GOLD" xfId="4093" xr:uid="{00000000-0005-0000-0000-0000F00A0000}"/>
    <cellStyle name="Normal 15 2 2 3" xfId="4094" xr:uid="{00000000-0005-0000-0000-0000F10A0000}"/>
    <cellStyle name="Normal 15 2 2_Energy &amp; Production Data" xfId="4095" xr:uid="{00000000-0005-0000-0000-0000F20A0000}"/>
    <cellStyle name="Normal 15 2_Aims and Constants" xfId="4096" xr:uid="{00000000-0005-0000-0000-0000F30A0000}"/>
    <cellStyle name="Normal 15 3" xfId="2172" xr:uid="{00000000-0005-0000-0000-0000F40A0000}"/>
    <cellStyle name="Normal 15 3 2" xfId="4097" xr:uid="{00000000-0005-0000-0000-0000F50A0000}"/>
    <cellStyle name="Normal 15 3 2 2" xfId="4098" xr:uid="{00000000-0005-0000-0000-0000F60A0000}"/>
    <cellStyle name="Normal 15 3 2_For GOLD" xfId="4099" xr:uid="{00000000-0005-0000-0000-0000F70A0000}"/>
    <cellStyle name="Normal 15 3 3" xfId="4100" xr:uid="{00000000-0005-0000-0000-0000F80A0000}"/>
    <cellStyle name="Normal 15 3_Energy &amp; Production Data" xfId="4101" xr:uid="{00000000-0005-0000-0000-0000F90A0000}"/>
    <cellStyle name="Normal 15_Aims and Constants" xfId="4102" xr:uid="{00000000-0005-0000-0000-0000FA0A0000}"/>
    <cellStyle name="Normal 16" xfId="851" xr:uid="{00000000-0005-0000-0000-0000FB0A0000}"/>
    <cellStyle name="Normal 16 10" xfId="4103" xr:uid="{00000000-0005-0000-0000-0000FC0A0000}"/>
    <cellStyle name="Normal 16 11" xfId="4104" xr:uid="{00000000-0005-0000-0000-0000FD0A0000}"/>
    <cellStyle name="Normal 16 12" xfId="4105" xr:uid="{00000000-0005-0000-0000-0000FE0A0000}"/>
    <cellStyle name="Normal 16 13" xfId="4106" xr:uid="{00000000-0005-0000-0000-0000FF0A0000}"/>
    <cellStyle name="Normal 16 14" xfId="4107" xr:uid="{00000000-0005-0000-0000-0000000B0000}"/>
    <cellStyle name="Normal 16 2" xfId="2173" xr:uid="{00000000-0005-0000-0000-0000010B0000}"/>
    <cellStyle name="Normal 16 3" xfId="4108" xr:uid="{00000000-0005-0000-0000-0000020B0000}"/>
    <cellStyle name="Normal 16 3 2" xfId="4109" xr:uid="{00000000-0005-0000-0000-0000030B0000}"/>
    <cellStyle name="Normal 16 3_For GOLD" xfId="4110" xr:uid="{00000000-0005-0000-0000-0000040B0000}"/>
    <cellStyle name="Normal 16 4" xfId="4111" xr:uid="{00000000-0005-0000-0000-0000050B0000}"/>
    <cellStyle name="Normal 16 5" xfId="4112" xr:uid="{00000000-0005-0000-0000-0000060B0000}"/>
    <cellStyle name="Normal 16 6" xfId="4113" xr:uid="{00000000-0005-0000-0000-0000070B0000}"/>
    <cellStyle name="Normal 16 7" xfId="4114" xr:uid="{00000000-0005-0000-0000-0000080B0000}"/>
    <cellStyle name="Normal 16 8" xfId="4115" xr:uid="{00000000-0005-0000-0000-0000090B0000}"/>
    <cellStyle name="Normal 16 9" xfId="4116" xr:uid="{00000000-0005-0000-0000-00000A0B0000}"/>
    <cellStyle name="Normal 16_Energy &amp; Production Data" xfId="4117" xr:uid="{00000000-0005-0000-0000-00000B0B0000}"/>
    <cellStyle name="Normal 17" xfId="852" xr:uid="{00000000-0005-0000-0000-00000C0B0000}"/>
    <cellStyle name="Normal 17 2" xfId="853" xr:uid="{00000000-0005-0000-0000-00000D0B0000}"/>
    <cellStyle name="Normal 17 2 2" xfId="4118" xr:uid="{00000000-0005-0000-0000-00000E0B0000}"/>
    <cellStyle name="Normal 17 2_Monthly Energy Log" xfId="4119" xr:uid="{00000000-0005-0000-0000-00000F0B0000}"/>
    <cellStyle name="Normal 17 3" xfId="2174" xr:uid="{00000000-0005-0000-0000-0000100B0000}"/>
    <cellStyle name="Normal 17 3 2" xfId="4120" xr:uid="{00000000-0005-0000-0000-0000110B0000}"/>
    <cellStyle name="Normal 17 3 2 2" xfId="4121" xr:uid="{00000000-0005-0000-0000-0000120B0000}"/>
    <cellStyle name="Normal 17 3 2_For GOLD" xfId="4122" xr:uid="{00000000-0005-0000-0000-0000130B0000}"/>
    <cellStyle name="Normal 17 3 3" xfId="4123" xr:uid="{00000000-0005-0000-0000-0000140B0000}"/>
    <cellStyle name="Normal 17 3_For GOLD" xfId="4124" xr:uid="{00000000-0005-0000-0000-0000150B0000}"/>
    <cellStyle name="Normal 17_Aims and Constants" xfId="4125" xr:uid="{00000000-0005-0000-0000-0000160B0000}"/>
    <cellStyle name="Normal 18" xfId="854" xr:uid="{00000000-0005-0000-0000-0000170B0000}"/>
    <cellStyle name="Normal 18 2" xfId="855" xr:uid="{00000000-0005-0000-0000-0000180B0000}"/>
    <cellStyle name="Normal 18 2 2" xfId="4126" xr:uid="{00000000-0005-0000-0000-0000190B0000}"/>
    <cellStyle name="Normal 18 2_Monthly Energy Log" xfId="4127" xr:uid="{00000000-0005-0000-0000-00001A0B0000}"/>
    <cellStyle name="Normal 18 3" xfId="2175" xr:uid="{00000000-0005-0000-0000-00001B0B0000}"/>
    <cellStyle name="Normal 18_BP ME Calc." xfId="4128" xr:uid="{00000000-0005-0000-0000-00001C0B0000}"/>
    <cellStyle name="Normal 19" xfId="856" xr:uid="{00000000-0005-0000-0000-00001D0B0000}"/>
    <cellStyle name="Normal 19 2" xfId="857" xr:uid="{00000000-0005-0000-0000-00001E0B0000}"/>
    <cellStyle name="Normal 19 2 2" xfId="4129" xr:uid="{00000000-0005-0000-0000-00001F0B0000}"/>
    <cellStyle name="Normal 19 2_Monthly Energy Log" xfId="4130" xr:uid="{00000000-0005-0000-0000-0000200B0000}"/>
    <cellStyle name="Normal 19 3" xfId="2176" xr:uid="{00000000-0005-0000-0000-0000210B0000}"/>
    <cellStyle name="Normal 19_BP ME Calc." xfId="4131" xr:uid="{00000000-0005-0000-0000-0000220B0000}"/>
    <cellStyle name="Normal 2" xfId="108" xr:uid="{00000000-0005-0000-0000-0000230B0000}"/>
    <cellStyle name="Normal 2 10" xfId="858" xr:uid="{00000000-0005-0000-0000-0000240B0000}"/>
    <cellStyle name="Normal 2 10 2" xfId="4132" xr:uid="{00000000-0005-0000-0000-0000250B0000}"/>
    <cellStyle name="Normal 2 10_Monthly Energy Log" xfId="4133" xr:uid="{00000000-0005-0000-0000-0000260B0000}"/>
    <cellStyle name="Normal 2 11" xfId="859" xr:uid="{00000000-0005-0000-0000-0000270B0000}"/>
    <cellStyle name="Normal 2 11 2" xfId="4134" xr:uid="{00000000-0005-0000-0000-0000280B0000}"/>
    <cellStyle name="Normal 2 11 2 2" xfId="4135" xr:uid="{00000000-0005-0000-0000-0000290B0000}"/>
    <cellStyle name="Normal 2 11 2_For GOLD" xfId="4136" xr:uid="{00000000-0005-0000-0000-00002A0B0000}"/>
    <cellStyle name="Normal 2 11 3" xfId="4137" xr:uid="{00000000-0005-0000-0000-00002B0B0000}"/>
    <cellStyle name="Normal 2 11_For GOLD" xfId="4138" xr:uid="{00000000-0005-0000-0000-00002C0B0000}"/>
    <cellStyle name="Normal 2 12" xfId="860" xr:uid="{00000000-0005-0000-0000-00002D0B0000}"/>
    <cellStyle name="Normal 2 13" xfId="861" xr:uid="{00000000-0005-0000-0000-00002E0B0000}"/>
    <cellStyle name="Normal 2 14" xfId="862" xr:uid="{00000000-0005-0000-0000-00002F0B0000}"/>
    <cellStyle name="Normal 2 15" xfId="863" xr:uid="{00000000-0005-0000-0000-0000300B0000}"/>
    <cellStyle name="Normal 2 16" xfId="864" xr:uid="{00000000-0005-0000-0000-0000310B0000}"/>
    <cellStyle name="Normal 2 17" xfId="865" xr:uid="{00000000-0005-0000-0000-0000320B0000}"/>
    <cellStyle name="Normal 2 18" xfId="866" xr:uid="{00000000-0005-0000-0000-0000330B0000}"/>
    <cellStyle name="Normal 2 19" xfId="867" xr:uid="{00000000-0005-0000-0000-0000340B0000}"/>
    <cellStyle name="Normal 2 19 2" xfId="4139" xr:uid="{00000000-0005-0000-0000-0000350B0000}"/>
    <cellStyle name="Normal 2 19 2 2" xfId="4140" xr:uid="{00000000-0005-0000-0000-0000360B0000}"/>
    <cellStyle name="Normal 2 19 2_For GOLD" xfId="4141" xr:uid="{00000000-0005-0000-0000-0000370B0000}"/>
    <cellStyle name="Normal 2 19 3" xfId="4142" xr:uid="{00000000-0005-0000-0000-0000380B0000}"/>
    <cellStyle name="Normal 2 19_For GOLD" xfId="4143" xr:uid="{00000000-0005-0000-0000-0000390B0000}"/>
    <cellStyle name="Normal 2 2" xfId="868" xr:uid="{00000000-0005-0000-0000-00003A0B0000}"/>
    <cellStyle name="Normal 2 2 10" xfId="869" xr:uid="{00000000-0005-0000-0000-00003B0B0000}"/>
    <cellStyle name="Normal 2 2 11" xfId="870" xr:uid="{00000000-0005-0000-0000-00003C0B0000}"/>
    <cellStyle name="Normal 2 2 12" xfId="871" xr:uid="{00000000-0005-0000-0000-00003D0B0000}"/>
    <cellStyle name="Normal 2 2 13" xfId="872" xr:uid="{00000000-0005-0000-0000-00003E0B0000}"/>
    <cellStyle name="Normal 2 2 14" xfId="873" xr:uid="{00000000-0005-0000-0000-00003F0B0000}"/>
    <cellStyle name="Normal 2 2 15" xfId="874" xr:uid="{00000000-0005-0000-0000-0000400B0000}"/>
    <cellStyle name="Normal 2 2 16" xfId="875" xr:uid="{00000000-0005-0000-0000-0000410B0000}"/>
    <cellStyle name="Normal 2 2 17" xfId="876" xr:uid="{00000000-0005-0000-0000-0000420B0000}"/>
    <cellStyle name="Normal 2 2 18" xfId="877" xr:uid="{00000000-0005-0000-0000-0000430B0000}"/>
    <cellStyle name="Normal 2 2 19" xfId="878" xr:uid="{00000000-0005-0000-0000-0000440B0000}"/>
    <cellStyle name="Normal 2 2 2" xfId="879" xr:uid="{00000000-0005-0000-0000-0000450B0000}"/>
    <cellStyle name="Normal 2 2 20" xfId="880" xr:uid="{00000000-0005-0000-0000-0000460B0000}"/>
    <cellStyle name="Normal 2 2 21" xfId="881" xr:uid="{00000000-0005-0000-0000-0000470B0000}"/>
    <cellStyle name="Normal 2 2 22" xfId="882" xr:uid="{00000000-0005-0000-0000-0000480B0000}"/>
    <cellStyle name="Normal 2 2 23" xfId="4144" xr:uid="{00000000-0005-0000-0000-0000490B0000}"/>
    <cellStyle name="Normal 2 2 23 2" xfId="4145" xr:uid="{00000000-0005-0000-0000-00004A0B0000}"/>
    <cellStyle name="Normal 2 2 23_For GOLD" xfId="4146" xr:uid="{00000000-0005-0000-0000-00004B0B0000}"/>
    <cellStyle name="Normal 2 2 24" xfId="4147" xr:uid="{00000000-0005-0000-0000-00004C0B0000}"/>
    <cellStyle name="Normal 2 2 25" xfId="4148" xr:uid="{00000000-0005-0000-0000-00004D0B0000}"/>
    <cellStyle name="Normal 2 2 3" xfId="883" xr:uid="{00000000-0005-0000-0000-00004E0B0000}"/>
    <cellStyle name="Normal 2 2 3 2" xfId="2177" xr:uid="{00000000-0005-0000-0000-00004F0B0000}"/>
    <cellStyle name="Normal 2 2 4" xfId="884" xr:uid="{00000000-0005-0000-0000-0000500B0000}"/>
    <cellStyle name="Normal 2 2 5" xfId="885" xr:uid="{00000000-0005-0000-0000-0000510B0000}"/>
    <cellStyle name="Normal 2 2 6" xfId="886" xr:uid="{00000000-0005-0000-0000-0000520B0000}"/>
    <cellStyle name="Normal 2 2 7" xfId="887" xr:uid="{00000000-0005-0000-0000-0000530B0000}"/>
    <cellStyle name="Normal 2 2 8" xfId="888" xr:uid="{00000000-0005-0000-0000-0000540B0000}"/>
    <cellStyle name="Normal 2 2 9" xfId="889" xr:uid="{00000000-0005-0000-0000-0000550B0000}"/>
    <cellStyle name="Normal 2 2_Energy &amp; Production Data" xfId="4149" xr:uid="{00000000-0005-0000-0000-0000560B0000}"/>
    <cellStyle name="Normal 2 20" xfId="890" xr:uid="{00000000-0005-0000-0000-0000570B0000}"/>
    <cellStyle name="Normal 2 20 2" xfId="4150" xr:uid="{00000000-0005-0000-0000-0000580B0000}"/>
    <cellStyle name="Normal 2 20 2 2" xfId="4151" xr:uid="{00000000-0005-0000-0000-0000590B0000}"/>
    <cellStyle name="Normal 2 20 2_For GOLD" xfId="4152" xr:uid="{00000000-0005-0000-0000-00005A0B0000}"/>
    <cellStyle name="Normal 2 20 3" xfId="4153" xr:uid="{00000000-0005-0000-0000-00005B0B0000}"/>
    <cellStyle name="Normal 2 20_For GOLD" xfId="4154" xr:uid="{00000000-0005-0000-0000-00005C0B0000}"/>
    <cellStyle name="Normal 2 21" xfId="891" xr:uid="{00000000-0005-0000-0000-00005D0B0000}"/>
    <cellStyle name="Normal 2 21 2" xfId="4155" xr:uid="{00000000-0005-0000-0000-00005E0B0000}"/>
    <cellStyle name="Normal 2 21_For GOLD" xfId="4156" xr:uid="{00000000-0005-0000-0000-00005F0B0000}"/>
    <cellStyle name="Normal 2 22" xfId="892" xr:uid="{00000000-0005-0000-0000-0000600B0000}"/>
    <cellStyle name="Normal 2 23" xfId="893" xr:uid="{00000000-0005-0000-0000-0000610B0000}"/>
    <cellStyle name="Normal 2 24" xfId="894" xr:uid="{00000000-0005-0000-0000-0000620B0000}"/>
    <cellStyle name="Normal 2 25" xfId="4157" xr:uid="{00000000-0005-0000-0000-0000630B0000}"/>
    <cellStyle name="Normal 2 26" xfId="4158" xr:uid="{00000000-0005-0000-0000-0000640B0000}"/>
    <cellStyle name="Normal 2 27" xfId="4159" xr:uid="{00000000-0005-0000-0000-0000650B0000}"/>
    <cellStyle name="Normal 2 28" xfId="4160" xr:uid="{00000000-0005-0000-0000-0000660B0000}"/>
    <cellStyle name="Normal 2 29" xfId="4161" xr:uid="{00000000-0005-0000-0000-0000670B0000}"/>
    <cellStyle name="Normal 2 3" xfId="895" xr:uid="{00000000-0005-0000-0000-0000680B0000}"/>
    <cellStyle name="Normal 2 3 10" xfId="896" xr:uid="{00000000-0005-0000-0000-0000690B0000}"/>
    <cellStyle name="Normal 2 3 11" xfId="897" xr:uid="{00000000-0005-0000-0000-00006A0B0000}"/>
    <cellStyle name="Normal 2 3 12" xfId="898" xr:uid="{00000000-0005-0000-0000-00006B0B0000}"/>
    <cellStyle name="Normal 2 3 13" xfId="899" xr:uid="{00000000-0005-0000-0000-00006C0B0000}"/>
    <cellStyle name="Normal 2 3 14" xfId="900" xr:uid="{00000000-0005-0000-0000-00006D0B0000}"/>
    <cellStyle name="Normal 2 3 15" xfId="901" xr:uid="{00000000-0005-0000-0000-00006E0B0000}"/>
    <cellStyle name="Normal 2 3 16" xfId="902" xr:uid="{00000000-0005-0000-0000-00006F0B0000}"/>
    <cellStyle name="Normal 2 3 17" xfId="903" xr:uid="{00000000-0005-0000-0000-0000700B0000}"/>
    <cellStyle name="Normal 2 3 18" xfId="904" xr:uid="{00000000-0005-0000-0000-0000710B0000}"/>
    <cellStyle name="Normal 2 3 19" xfId="905" xr:uid="{00000000-0005-0000-0000-0000720B0000}"/>
    <cellStyle name="Normal 2 3 2" xfId="906" xr:uid="{00000000-0005-0000-0000-0000730B0000}"/>
    <cellStyle name="Normal 2 3 20" xfId="907" xr:uid="{00000000-0005-0000-0000-0000740B0000}"/>
    <cellStyle name="Normal 2 3 21" xfId="908" xr:uid="{00000000-0005-0000-0000-0000750B0000}"/>
    <cellStyle name="Normal 2 3 22" xfId="909" xr:uid="{00000000-0005-0000-0000-0000760B0000}"/>
    <cellStyle name="Normal 2 3 3" xfId="910" xr:uid="{00000000-0005-0000-0000-0000770B0000}"/>
    <cellStyle name="Normal 2 3 4" xfId="911" xr:uid="{00000000-0005-0000-0000-0000780B0000}"/>
    <cellStyle name="Normal 2 3 5" xfId="912" xr:uid="{00000000-0005-0000-0000-0000790B0000}"/>
    <cellStyle name="Normal 2 3 6" xfId="913" xr:uid="{00000000-0005-0000-0000-00007A0B0000}"/>
    <cellStyle name="Normal 2 3 7" xfId="914" xr:uid="{00000000-0005-0000-0000-00007B0B0000}"/>
    <cellStyle name="Normal 2 3 8" xfId="915" xr:uid="{00000000-0005-0000-0000-00007C0B0000}"/>
    <cellStyle name="Normal 2 3 9" xfId="916" xr:uid="{00000000-0005-0000-0000-00007D0B0000}"/>
    <cellStyle name="Normal 2 3_Aims and Constants" xfId="4162" xr:uid="{00000000-0005-0000-0000-00007E0B0000}"/>
    <cellStyle name="Normal 2 30" xfId="4163" xr:uid="{00000000-0005-0000-0000-00007F0B0000}"/>
    <cellStyle name="Normal 2 31" xfId="4164" xr:uid="{00000000-0005-0000-0000-0000800B0000}"/>
    <cellStyle name="Normal 2 32" xfId="4165" xr:uid="{00000000-0005-0000-0000-0000810B0000}"/>
    <cellStyle name="Normal 2 33" xfId="4166" xr:uid="{00000000-0005-0000-0000-0000820B0000}"/>
    <cellStyle name="Normal 2 34" xfId="4167" xr:uid="{00000000-0005-0000-0000-0000830B0000}"/>
    <cellStyle name="Normal 2 35" xfId="4168" xr:uid="{00000000-0005-0000-0000-0000840B0000}"/>
    <cellStyle name="Normal 2 36" xfId="4169" xr:uid="{00000000-0005-0000-0000-0000850B0000}"/>
    <cellStyle name="Normal 2 37" xfId="4170" xr:uid="{00000000-0005-0000-0000-0000860B0000}"/>
    <cellStyle name="Normal 2 38" xfId="4171" xr:uid="{00000000-0005-0000-0000-0000870B0000}"/>
    <cellStyle name="Normal 2 39" xfId="4172" xr:uid="{00000000-0005-0000-0000-0000880B0000}"/>
    <cellStyle name="Normal 2 4" xfId="917" xr:uid="{00000000-0005-0000-0000-0000890B0000}"/>
    <cellStyle name="Normal 2 4 10" xfId="918" xr:uid="{00000000-0005-0000-0000-00008A0B0000}"/>
    <cellStyle name="Normal 2 4 11" xfId="919" xr:uid="{00000000-0005-0000-0000-00008B0B0000}"/>
    <cellStyle name="Normal 2 4 12" xfId="920" xr:uid="{00000000-0005-0000-0000-00008C0B0000}"/>
    <cellStyle name="Normal 2 4 13" xfId="921" xr:uid="{00000000-0005-0000-0000-00008D0B0000}"/>
    <cellStyle name="Normal 2 4 14" xfId="922" xr:uid="{00000000-0005-0000-0000-00008E0B0000}"/>
    <cellStyle name="Normal 2 4 15" xfId="923" xr:uid="{00000000-0005-0000-0000-00008F0B0000}"/>
    <cellStyle name="Normal 2 4 16" xfId="924" xr:uid="{00000000-0005-0000-0000-0000900B0000}"/>
    <cellStyle name="Normal 2 4 17" xfId="925" xr:uid="{00000000-0005-0000-0000-0000910B0000}"/>
    <cellStyle name="Normal 2 4 18" xfId="926" xr:uid="{00000000-0005-0000-0000-0000920B0000}"/>
    <cellStyle name="Normal 2 4 19" xfId="927" xr:uid="{00000000-0005-0000-0000-0000930B0000}"/>
    <cellStyle name="Normal 2 4 2" xfId="928" xr:uid="{00000000-0005-0000-0000-0000940B0000}"/>
    <cellStyle name="Normal 2 4 2 2" xfId="2179" xr:uid="{00000000-0005-0000-0000-0000950B0000}"/>
    <cellStyle name="Normal 2 4 20" xfId="929" xr:uid="{00000000-0005-0000-0000-0000960B0000}"/>
    <cellStyle name="Normal 2 4 21" xfId="930" xr:uid="{00000000-0005-0000-0000-0000970B0000}"/>
    <cellStyle name="Normal 2 4 22" xfId="931" xr:uid="{00000000-0005-0000-0000-0000980B0000}"/>
    <cellStyle name="Normal 2 4 23" xfId="2178" xr:uid="{00000000-0005-0000-0000-0000990B0000}"/>
    <cellStyle name="Normal 2 4 23 2" xfId="4173" xr:uid="{00000000-0005-0000-0000-00009A0B0000}"/>
    <cellStyle name="Normal 2 4 23_For GOLD" xfId="4174" xr:uid="{00000000-0005-0000-0000-00009B0B0000}"/>
    <cellStyle name="Normal 2 4 24" xfId="4175" xr:uid="{00000000-0005-0000-0000-00009C0B0000}"/>
    <cellStyle name="Normal 2 4 3" xfId="932" xr:uid="{00000000-0005-0000-0000-00009D0B0000}"/>
    <cellStyle name="Normal 2 4 4" xfId="933" xr:uid="{00000000-0005-0000-0000-00009E0B0000}"/>
    <cellStyle name="Normal 2 4 5" xfId="934" xr:uid="{00000000-0005-0000-0000-00009F0B0000}"/>
    <cellStyle name="Normal 2 4 6" xfId="935" xr:uid="{00000000-0005-0000-0000-0000A00B0000}"/>
    <cellStyle name="Normal 2 4 7" xfId="936" xr:uid="{00000000-0005-0000-0000-0000A10B0000}"/>
    <cellStyle name="Normal 2 4 8" xfId="937" xr:uid="{00000000-0005-0000-0000-0000A20B0000}"/>
    <cellStyle name="Normal 2 4 9" xfId="938" xr:uid="{00000000-0005-0000-0000-0000A30B0000}"/>
    <cellStyle name="Normal 2 4_Energy &amp; Production Data" xfId="4176" xr:uid="{00000000-0005-0000-0000-0000A40B0000}"/>
    <cellStyle name="Normal 2 40" xfId="4177" xr:uid="{00000000-0005-0000-0000-0000A50B0000}"/>
    <cellStyle name="Normal 2 41" xfId="4178" xr:uid="{00000000-0005-0000-0000-0000A60B0000}"/>
    <cellStyle name="Normal 2 42" xfId="4179" xr:uid="{00000000-0005-0000-0000-0000A70B0000}"/>
    <cellStyle name="Normal 2 43" xfId="4180" xr:uid="{00000000-0005-0000-0000-0000A80B0000}"/>
    <cellStyle name="Normal 2 44" xfId="4181" xr:uid="{00000000-0005-0000-0000-0000A90B0000}"/>
    <cellStyle name="Normal 2 45" xfId="4182" xr:uid="{00000000-0005-0000-0000-0000AA0B0000}"/>
    <cellStyle name="Normal 2 46" xfId="4183" xr:uid="{00000000-0005-0000-0000-0000AB0B0000}"/>
    <cellStyle name="Normal 2 47" xfId="4184" xr:uid="{00000000-0005-0000-0000-0000AC0B0000}"/>
    <cellStyle name="Normal 2 48" xfId="4185" xr:uid="{00000000-0005-0000-0000-0000AD0B0000}"/>
    <cellStyle name="Normal 2 49" xfId="4186" xr:uid="{00000000-0005-0000-0000-0000AE0B0000}"/>
    <cellStyle name="Normal 2 5" xfId="939" xr:uid="{00000000-0005-0000-0000-0000AF0B0000}"/>
    <cellStyle name="Normal 2 5 10" xfId="940" xr:uid="{00000000-0005-0000-0000-0000B00B0000}"/>
    <cellStyle name="Normal 2 5 11" xfId="941" xr:uid="{00000000-0005-0000-0000-0000B10B0000}"/>
    <cellStyle name="Normal 2 5 12" xfId="942" xr:uid="{00000000-0005-0000-0000-0000B20B0000}"/>
    <cellStyle name="Normal 2 5 13" xfId="943" xr:uid="{00000000-0005-0000-0000-0000B30B0000}"/>
    <cellStyle name="Normal 2 5 14" xfId="944" xr:uid="{00000000-0005-0000-0000-0000B40B0000}"/>
    <cellStyle name="Normal 2 5 15" xfId="945" xr:uid="{00000000-0005-0000-0000-0000B50B0000}"/>
    <cellStyle name="Normal 2 5 16" xfId="946" xr:uid="{00000000-0005-0000-0000-0000B60B0000}"/>
    <cellStyle name="Normal 2 5 17" xfId="947" xr:uid="{00000000-0005-0000-0000-0000B70B0000}"/>
    <cellStyle name="Normal 2 5 18" xfId="948" xr:uid="{00000000-0005-0000-0000-0000B80B0000}"/>
    <cellStyle name="Normal 2 5 19" xfId="949" xr:uid="{00000000-0005-0000-0000-0000B90B0000}"/>
    <cellStyle name="Normal 2 5 2" xfId="950" xr:uid="{00000000-0005-0000-0000-0000BA0B0000}"/>
    <cellStyle name="Normal 2 5 20" xfId="951" xr:uid="{00000000-0005-0000-0000-0000BB0B0000}"/>
    <cellStyle name="Normal 2 5 21" xfId="952" xr:uid="{00000000-0005-0000-0000-0000BC0B0000}"/>
    <cellStyle name="Normal 2 5 22" xfId="953" xr:uid="{00000000-0005-0000-0000-0000BD0B0000}"/>
    <cellStyle name="Normal 2 5 23" xfId="2180" xr:uid="{00000000-0005-0000-0000-0000BE0B0000}"/>
    <cellStyle name="Normal 2 5 23 2" xfId="4187" xr:uid="{00000000-0005-0000-0000-0000BF0B0000}"/>
    <cellStyle name="Normal 2 5 23_For GOLD" xfId="4188" xr:uid="{00000000-0005-0000-0000-0000C00B0000}"/>
    <cellStyle name="Normal 2 5 24" xfId="4189" xr:uid="{00000000-0005-0000-0000-0000C10B0000}"/>
    <cellStyle name="Normal 2 5 3" xfId="954" xr:uid="{00000000-0005-0000-0000-0000C20B0000}"/>
    <cellStyle name="Normal 2 5 4" xfId="955" xr:uid="{00000000-0005-0000-0000-0000C30B0000}"/>
    <cellStyle name="Normal 2 5 5" xfId="956" xr:uid="{00000000-0005-0000-0000-0000C40B0000}"/>
    <cellStyle name="Normal 2 5 6" xfId="957" xr:uid="{00000000-0005-0000-0000-0000C50B0000}"/>
    <cellStyle name="Normal 2 5 7" xfId="958" xr:uid="{00000000-0005-0000-0000-0000C60B0000}"/>
    <cellStyle name="Normal 2 5 8" xfId="959" xr:uid="{00000000-0005-0000-0000-0000C70B0000}"/>
    <cellStyle name="Normal 2 5 9" xfId="960" xr:uid="{00000000-0005-0000-0000-0000C80B0000}"/>
    <cellStyle name="Normal 2 5_For GOLD" xfId="4190" xr:uid="{00000000-0005-0000-0000-0000C90B0000}"/>
    <cellStyle name="Normal 2 50" xfId="4191" xr:uid="{00000000-0005-0000-0000-0000CA0B0000}"/>
    <cellStyle name="Normal 2 51" xfId="4192" xr:uid="{00000000-0005-0000-0000-0000CB0B0000}"/>
    <cellStyle name="Normal 2 52" xfId="4193" xr:uid="{00000000-0005-0000-0000-0000CC0B0000}"/>
    <cellStyle name="Normal 2 53" xfId="4194" xr:uid="{00000000-0005-0000-0000-0000CD0B0000}"/>
    <cellStyle name="Normal 2 54" xfId="4195" xr:uid="{00000000-0005-0000-0000-0000CE0B0000}"/>
    <cellStyle name="Normal 2 55" xfId="4196" xr:uid="{00000000-0005-0000-0000-0000CF0B0000}"/>
    <cellStyle name="Normal 2 56" xfId="4197" xr:uid="{00000000-0005-0000-0000-0000D00B0000}"/>
    <cellStyle name="Normal 2 57" xfId="4198" xr:uid="{00000000-0005-0000-0000-0000D10B0000}"/>
    <cellStyle name="Normal 2 58" xfId="4199" xr:uid="{00000000-0005-0000-0000-0000D20B0000}"/>
    <cellStyle name="Normal 2 59" xfId="4200" xr:uid="{00000000-0005-0000-0000-0000D30B0000}"/>
    <cellStyle name="Normal 2 6" xfId="961" xr:uid="{00000000-0005-0000-0000-0000D40B0000}"/>
    <cellStyle name="Normal 2 6 2" xfId="4201" xr:uid="{00000000-0005-0000-0000-0000D50B0000}"/>
    <cellStyle name="Normal 2 6 2 2" xfId="4202" xr:uid="{00000000-0005-0000-0000-0000D60B0000}"/>
    <cellStyle name="Normal 2 6 2_For GOLD" xfId="4203" xr:uid="{00000000-0005-0000-0000-0000D70B0000}"/>
    <cellStyle name="Normal 2 6 3" xfId="4204" xr:uid="{00000000-0005-0000-0000-0000D80B0000}"/>
    <cellStyle name="Normal 2 6_For GOLD" xfId="4205" xr:uid="{00000000-0005-0000-0000-0000D90B0000}"/>
    <cellStyle name="Normal 2 60" xfId="4206" xr:uid="{00000000-0005-0000-0000-0000DA0B0000}"/>
    <cellStyle name="Normal 2 61" xfId="4207" xr:uid="{00000000-0005-0000-0000-0000DB0B0000}"/>
    <cellStyle name="Normal 2 62" xfId="4208" xr:uid="{00000000-0005-0000-0000-0000DC0B0000}"/>
    <cellStyle name="Normal 2 63" xfId="4209" xr:uid="{00000000-0005-0000-0000-0000DD0B0000}"/>
    <cellStyle name="Normal 2 64" xfId="4210" xr:uid="{00000000-0005-0000-0000-0000DE0B0000}"/>
    <cellStyle name="Normal 2 65" xfId="4211" xr:uid="{00000000-0005-0000-0000-0000DF0B0000}"/>
    <cellStyle name="Normal 2 66" xfId="4212" xr:uid="{00000000-0005-0000-0000-0000E00B0000}"/>
    <cellStyle name="Normal 2 67" xfId="4213" xr:uid="{00000000-0005-0000-0000-0000E10B0000}"/>
    <cellStyle name="Normal 2 68" xfId="4214" xr:uid="{00000000-0005-0000-0000-0000E20B0000}"/>
    <cellStyle name="Normal 2 69" xfId="4215" xr:uid="{00000000-0005-0000-0000-0000E30B0000}"/>
    <cellStyle name="Normal 2 7" xfId="962" xr:uid="{00000000-0005-0000-0000-0000E40B0000}"/>
    <cellStyle name="Normal 2 7 2" xfId="4216" xr:uid="{00000000-0005-0000-0000-0000E50B0000}"/>
    <cellStyle name="Normal 2 7_Monthly Energy Log" xfId="4217" xr:uid="{00000000-0005-0000-0000-0000E60B0000}"/>
    <cellStyle name="Normal 2 70" xfId="4218" xr:uid="{00000000-0005-0000-0000-0000E70B0000}"/>
    <cellStyle name="Normal 2 8" xfId="963" xr:uid="{00000000-0005-0000-0000-0000E80B0000}"/>
    <cellStyle name="Normal 2 8 2" xfId="4219" xr:uid="{00000000-0005-0000-0000-0000E90B0000}"/>
    <cellStyle name="Normal 2 8_Monthly Energy Log" xfId="4220" xr:uid="{00000000-0005-0000-0000-0000EA0B0000}"/>
    <cellStyle name="Normal 2 9" xfId="964" xr:uid="{00000000-0005-0000-0000-0000EB0B0000}"/>
    <cellStyle name="Normal 2 9 2" xfId="4221" xr:uid="{00000000-0005-0000-0000-0000EC0B0000}"/>
    <cellStyle name="Normal 2 9_Monthly Energy Log" xfId="4222" xr:uid="{00000000-0005-0000-0000-0000ED0B0000}"/>
    <cellStyle name="Normal 2_2017 Raw" xfId="965" xr:uid="{00000000-0005-0000-0000-0000EE0B0000}"/>
    <cellStyle name="Normal 20" xfId="966" xr:uid="{00000000-0005-0000-0000-0000EF0B0000}"/>
    <cellStyle name="Normal 20 2" xfId="967" xr:uid="{00000000-0005-0000-0000-0000F00B0000}"/>
    <cellStyle name="Normal 20 2 2" xfId="4223" xr:uid="{00000000-0005-0000-0000-0000F10B0000}"/>
    <cellStyle name="Normal 20 2_Monthly Energy Log" xfId="4224" xr:uid="{00000000-0005-0000-0000-0000F20B0000}"/>
    <cellStyle name="Normal 20 3" xfId="2181" xr:uid="{00000000-0005-0000-0000-0000F30B0000}"/>
    <cellStyle name="Normal 20_BP ME Calc." xfId="4225" xr:uid="{00000000-0005-0000-0000-0000F40B0000}"/>
    <cellStyle name="Normal 21" xfId="968" xr:uid="{00000000-0005-0000-0000-0000F50B0000}"/>
    <cellStyle name="Normal 21 2" xfId="969" xr:uid="{00000000-0005-0000-0000-0000F60B0000}"/>
    <cellStyle name="Normal 21 2 2" xfId="4226" xr:uid="{00000000-0005-0000-0000-0000F70B0000}"/>
    <cellStyle name="Normal 21 2_Monthly Energy Log" xfId="4227" xr:uid="{00000000-0005-0000-0000-0000F80B0000}"/>
    <cellStyle name="Normal 21 3" xfId="2182" xr:uid="{00000000-0005-0000-0000-0000F90B0000}"/>
    <cellStyle name="Normal 21_BP ME Calc." xfId="4228" xr:uid="{00000000-0005-0000-0000-0000FA0B0000}"/>
    <cellStyle name="Normal 22" xfId="970" xr:uid="{00000000-0005-0000-0000-0000FB0B0000}"/>
    <cellStyle name="Normal 22 10" xfId="4229" xr:uid="{00000000-0005-0000-0000-0000FC0B0000}"/>
    <cellStyle name="Normal 22 11" xfId="4230" xr:uid="{00000000-0005-0000-0000-0000FD0B0000}"/>
    <cellStyle name="Normal 22 12" xfId="4231" xr:uid="{00000000-0005-0000-0000-0000FE0B0000}"/>
    <cellStyle name="Normal 22 13" xfId="4232" xr:uid="{00000000-0005-0000-0000-0000FF0B0000}"/>
    <cellStyle name="Normal 22 14" xfId="4233" xr:uid="{00000000-0005-0000-0000-0000000C0000}"/>
    <cellStyle name="Normal 22 2" xfId="2183" xr:uid="{00000000-0005-0000-0000-0000010C0000}"/>
    <cellStyle name="Normal 22 2 2" xfId="4234" xr:uid="{00000000-0005-0000-0000-0000020C0000}"/>
    <cellStyle name="Normal 22 2_For GOLD" xfId="4235" xr:uid="{00000000-0005-0000-0000-0000030C0000}"/>
    <cellStyle name="Normal 22 3" xfId="4236" xr:uid="{00000000-0005-0000-0000-0000040C0000}"/>
    <cellStyle name="Normal 22 4" xfId="4237" xr:uid="{00000000-0005-0000-0000-0000050C0000}"/>
    <cellStyle name="Normal 22 5" xfId="4238" xr:uid="{00000000-0005-0000-0000-0000060C0000}"/>
    <cellStyle name="Normal 22 6" xfId="4239" xr:uid="{00000000-0005-0000-0000-0000070C0000}"/>
    <cellStyle name="Normal 22 7" xfId="4240" xr:uid="{00000000-0005-0000-0000-0000080C0000}"/>
    <cellStyle name="Normal 22 8" xfId="4241" xr:uid="{00000000-0005-0000-0000-0000090C0000}"/>
    <cellStyle name="Normal 22 9" xfId="4242" xr:uid="{00000000-0005-0000-0000-00000A0C0000}"/>
    <cellStyle name="Normal 22_For GOLD" xfId="4243" xr:uid="{00000000-0005-0000-0000-00000B0C0000}"/>
    <cellStyle name="Normal 23" xfId="971" xr:uid="{00000000-0005-0000-0000-00000C0C0000}"/>
    <cellStyle name="Normal 23 10" xfId="4244" xr:uid="{00000000-0005-0000-0000-00000D0C0000}"/>
    <cellStyle name="Normal 23 11" xfId="4245" xr:uid="{00000000-0005-0000-0000-00000E0C0000}"/>
    <cellStyle name="Normal 23 12" xfId="4246" xr:uid="{00000000-0005-0000-0000-00000F0C0000}"/>
    <cellStyle name="Normal 23 13" xfId="4247" xr:uid="{00000000-0005-0000-0000-0000100C0000}"/>
    <cellStyle name="Normal 23 14" xfId="4248" xr:uid="{00000000-0005-0000-0000-0000110C0000}"/>
    <cellStyle name="Normal 23 15" xfId="4249" xr:uid="{00000000-0005-0000-0000-0000120C0000}"/>
    <cellStyle name="Normal 23 2" xfId="972" xr:uid="{00000000-0005-0000-0000-0000130C0000}"/>
    <cellStyle name="Normal 23 2 2" xfId="4250" xr:uid="{00000000-0005-0000-0000-0000140C0000}"/>
    <cellStyle name="Normal 23 2_Monthly Energy Log" xfId="4251" xr:uid="{00000000-0005-0000-0000-0000150C0000}"/>
    <cellStyle name="Normal 23 3" xfId="2184" xr:uid="{00000000-0005-0000-0000-0000160C0000}"/>
    <cellStyle name="Normal 23 3 2" xfId="4252" xr:uid="{00000000-0005-0000-0000-0000170C0000}"/>
    <cellStyle name="Normal 23 3_For GOLD" xfId="4253" xr:uid="{00000000-0005-0000-0000-0000180C0000}"/>
    <cellStyle name="Normal 23 4" xfId="4254" xr:uid="{00000000-0005-0000-0000-0000190C0000}"/>
    <cellStyle name="Normal 23 5" xfId="4255" xr:uid="{00000000-0005-0000-0000-00001A0C0000}"/>
    <cellStyle name="Normal 23 6" xfId="4256" xr:uid="{00000000-0005-0000-0000-00001B0C0000}"/>
    <cellStyle name="Normal 23 7" xfId="4257" xr:uid="{00000000-0005-0000-0000-00001C0C0000}"/>
    <cellStyle name="Normal 23 8" xfId="4258" xr:uid="{00000000-0005-0000-0000-00001D0C0000}"/>
    <cellStyle name="Normal 23 9" xfId="4259" xr:uid="{00000000-0005-0000-0000-00001E0C0000}"/>
    <cellStyle name="Normal 23_Estimated Stucco per Month" xfId="973" xr:uid="{00000000-0005-0000-0000-00001F0C0000}"/>
    <cellStyle name="Normal 24" xfId="974" xr:uid="{00000000-0005-0000-0000-0000200C0000}"/>
    <cellStyle name="Normal 24 10" xfId="4260" xr:uid="{00000000-0005-0000-0000-0000210C0000}"/>
    <cellStyle name="Normal 24 11" xfId="4261" xr:uid="{00000000-0005-0000-0000-0000220C0000}"/>
    <cellStyle name="Normal 24 12" xfId="4262" xr:uid="{00000000-0005-0000-0000-0000230C0000}"/>
    <cellStyle name="Normal 24 13" xfId="4263" xr:uid="{00000000-0005-0000-0000-0000240C0000}"/>
    <cellStyle name="Normal 24 14" xfId="4264" xr:uid="{00000000-0005-0000-0000-0000250C0000}"/>
    <cellStyle name="Normal 24 15" xfId="4265" xr:uid="{00000000-0005-0000-0000-0000260C0000}"/>
    <cellStyle name="Normal 24 2" xfId="975" xr:uid="{00000000-0005-0000-0000-0000270C0000}"/>
    <cellStyle name="Normal 24 2 2" xfId="4266" xr:uid="{00000000-0005-0000-0000-0000280C0000}"/>
    <cellStyle name="Normal 24 2_Monthly Energy Log" xfId="4267" xr:uid="{00000000-0005-0000-0000-0000290C0000}"/>
    <cellStyle name="Normal 24 3" xfId="2185" xr:uid="{00000000-0005-0000-0000-00002A0C0000}"/>
    <cellStyle name="Normal 24 3 2" xfId="4268" xr:uid="{00000000-0005-0000-0000-00002B0C0000}"/>
    <cellStyle name="Normal 24 3_For GOLD" xfId="4269" xr:uid="{00000000-0005-0000-0000-00002C0C0000}"/>
    <cellStyle name="Normal 24 4" xfId="4270" xr:uid="{00000000-0005-0000-0000-00002D0C0000}"/>
    <cellStyle name="Normal 24 5" xfId="4271" xr:uid="{00000000-0005-0000-0000-00002E0C0000}"/>
    <cellStyle name="Normal 24 6" xfId="4272" xr:uid="{00000000-0005-0000-0000-00002F0C0000}"/>
    <cellStyle name="Normal 24 7" xfId="4273" xr:uid="{00000000-0005-0000-0000-0000300C0000}"/>
    <cellStyle name="Normal 24 8" xfId="4274" xr:uid="{00000000-0005-0000-0000-0000310C0000}"/>
    <cellStyle name="Normal 24 9" xfId="4275" xr:uid="{00000000-0005-0000-0000-0000320C0000}"/>
    <cellStyle name="Normal 24_Estimated Stucco per Month" xfId="976" xr:uid="{00000000-0005-0000-0000-0000330C0000}"/>
    <cellStyle name="Normal 25" xfId="977" xr:uid="{00000000-0005-0000-0000-0000340C0000}"/>
    <cellStyle name="Normal 25 10" xfId="4276" xr:uid="{00000000-0005-0000-0000-0000350C0000}"/>
    <cellStyle name="Normal 25 11" xfId="4277" xr:uid="{00000000-0005-0000-0000-0000360C0000}"/>
    <cellStyle name="Normal 25 12" xfId="4278" xr:uid="{00000000-0005-0000-0000-0000370C0000}"/>
    <cellStyle name="Normal 25 13" xfId="4279" xr:uid="{00000000-0005-0000-0000-0000380C0000}"/>
    <cellStyle name="Normal 25 14" xfId="4280" xr:uid="{00000000-0005-0000-0000-0000390C0000}"/>
    <cellStyle name="Normal 25 15" xfId="4281" xr:uid="{00000000-0005-0000-0000-00003A0C0000}"/>
    <cellStyle name="Normal 25 2" xfId="978" xr:uid="{00000000-0005-0000-0000-00003B0C0000}"/>
    <cellStyle name="Normal 25 2 2" xfId="4282" xr:uid="{00000000-0005-0000-0000-00003C0C0000}"/>
    <cellStyle name="Normal 25 2_Monthly Energy Log" xfId="4283" xr:uid="{00000000-0005-0000-0000-00003D0C0000}"/>
    <cellStyle name="Normal 25 3" xfId="2186" xr:uid="{00000000-0005-0000-0000-00003E0C0000}"/>
    <cellStyle name="Normal 25 3 2" xfId="4284" xr:uid="{00000000-0005-0000-0000-00003F0C0000}"/>
    <cellStyle name="Normal 25 3_For GOLD" xfId="4285" xr:uid="{00000000-0005-0000-0000-0000400C0000}"/>
    <cellStyle name="Normal 25 4" xfId="4286" xr:uid="{00000000-0005-0000-0000-0000410C0000}"/>
    <cellStyle name="Normal 25 5" xfId="4287" xr:uid="{00000000-0005-0000-0000-0000420C0000}"/>
    <cellStyle name="Normal 25 6" xfId="4288" xr:uid="{00000000-0005-0000-0000-0000430C0000}"/>
    <cellStyle name="Normal 25 7" xfId="4289" xr:uid="{00000000-0005-0000-0000-0000440C0000}"/>
    <cellStyle name="Normal 25 8" xfId="4290" xr:uid="{00000000-0005-0000-0000-0000450C0000}"/>
    <cellStyle name="Normal 25 9" xfId="4291" xr:uid="{00000000-0005-0000-0000-0000460C0000}"/>
    <cellStyle name="Normal 25_Estimated Stucco per Month" xfId="979" xr:uid="{00000000-0005-0000-0000-0000470C0000}"/>
    <cellStyle name="Normal 26" xfId="980" xr:uid="{00000000-0005-0000-0000-0000480C0000}"/>
    <cellStyle name="Normal 26 10" xfId="4292" xr:uid="{00000000-0005-0000-0000-0000490C0000}"/>
    <cellStyle name="Normal 26 11" xfId="4293" xr:uid="{00000000-0005-0000-0000-00004A0C0000}"/>
    <cellStyle name="Normal 26 12" xfId="4294" xr:uid="{00000000-0005-0000-0000-00004B0C0000}"/>
    <cellStyle name="Normal 26 13" xfId="4295" xr:uid="{00000000-0005-0000-0000-00004C0C0000}"/>
    <cellStyle name="Normal 26 14" xfId="4296" xr:uid="{00000000-0005-0000-0000-00004D0C0000}"/>
    <cellStyle name="Normal 26 2" xfId="2187" xr:uid="{00000000-0005-0000-0000-00004E0C0000}"/>
    <cellStyle name="Normal 26 2 2" xfId="4297" xr:uid="{00000000-0005-0000-0000-00004F0C0000}"/>
    <cellStyle name="Normal 26 2_For GOLD" xfId="4298" xr:uid="{00000000-0005-0000-0000-0000500C0000}"/>
    <cellStyle name="Normal 26 3" xfId="4299" xr:uid="{00000000-0005-0000-0000-0000510C0000}"/>
    <cellStyle name="Normal 26 4" xfId="4300" xr:uid="{00000000-0005-0000-0000-0000520C0000}"/>
    <cellStyle name="Normal 26 5" xfId="4301" xr:uid="{00000000-0005-0000-0000-0000530C0000}"/>
    <cellStyle name="Normal 26 6" xfId="4302" xr:uid="{00000000-0005-0000-0000-0000540C0000}"/>
    <cellStyle name="Normal 26 7" xfId="4303" xr:uid="{00000000-0005-0000-0000-0000550C0000}"/>
    <cellStyle name="Normal 26 8" xfId="4304" xr:uid="{00000000-0005-0000-0000-0000560C0000}"/>
    <cellStyle name="Normal 26 9" xfId="4305" xr:uid="{00000000-0005-0000-0000-0000570C0000}"/>
    <cellStyle name="Normal 26_For GOLD" xfId="4306" xr:uid="{00000000-0005-0000-0000-0000580C0000}"/>
    <cellStyle name="Normal 27" xfId="981" xr:uid="{00000000-0005-0000-0000-0000590C0000}"/>
    <cellStyle name="Normal 27 10" xfId="4307" xr:uid="{00000000-0005-0000-0000-00005A0C0000}"/>
    <cellStyle name="Normal 27 11" xfId="4308" xr:uid="{00000000-0005-0000-0000-00005B0C0000}"/>
    <cellStyle name="Normal 27 12" xfId="4309" xr:uid="{00000000-0005-0000-0000-00005C0C0000}"/>
    <cellStyle name="Normal 27 13" xfId="4310" xr:uid="{00000000-0005-0000-0000-00005D0C0000}"/>
    <cellStyle name="Normal 27 14" xfId="4311" xr:uid="{00000000-0005-0000-0000-00005E0C0000}"/>
    <cellStyle name="Normal 27 15" xfId="4312" xr:uid="{00000000-0005-0000-0000-00005F0C0000}"/>
    <cellStyle name="Normal 27 2" xfId="982" xr:uid="{00000000-0005-0000-0000-0000600C0000}"/>
    <cellStyle name="Normal 27 2 2" xfId="4313" xr:uid="{00000000-0005-0000-0000-0000610C0000}"/>
    <cellStyle name="Normal 27 2_Monthly Energy Log" xfId="4314" xr:uid="{00000000-0005-0000-0000-0000620C0000}"/>
    <cellStyle name="Normal 27 3" xfId="2188" xr:uid="{00000000-0005-0000-0000-0000630C0000}"/>
    <cellStyle name="Normal 27 3 2" xfId="4315" xr:uid="{00000000-0005-0000-0000-0000640C0000}"/>
    <cellStyle name="Normal 27 3_For GOLD" xfId="4316" xr:uid="{00000000-0005-0000-0000-0000650C0000}"/>
    <cellStyle name="Normal 27 4" xfId="4317" xr:uid="{00000000-0005-0000-0000-0000660C0000}"/>
    <cellStyle name="Normal 27 5" xfId="4318" xr:uid="{00000000-0005-0000-0000-0000670C0000}"/>
    <cellStyle name="Normal 27 6" xfId="4319" xr:uid="{00000000-0005-0000-0000-0000680C0000}"/>
    <cellStyle name="Normal 27 7" xfId="4320" xr:uid="{00000000-0005-0000-0000-0000690C0000}"/>
    <cellStyle name="Normal 27 8" xfId="4321" xr:uid="{00000000-0005-0000-0000-00006A0C0000}"/>
    <cellStyle name="Normal 27 9" xfId="4322" xr:uid="{00000000-0005-0000-0000-00006B0C0000}"/>
    <cellStyle name="Normal 27_Estimated Stucco per Month" xfId="983" xr:uid="{00000000-0005-0000-0000-00006C0C0000}"/>
    <cellStyle name="Normal 28" xfId="984" xr:uid="{00000000-0005-0000-0000-00006D0C0000}"/>
    <cellStyle name="Normal 28 10" xfId="4323" xr:uid="{00000000-0005-0000-0000-00006E0C0000}"/>
    <cellStyle name="Normal 28 11" xfId="4324" xr:uid="{00000000-0005-0000-0000-00006F0C0000}"/>
    <cellStyle name="Normal 28 12" xfId="4325" xr:uid="{00000000-0005-0000-0000-0000700C0000}"/>
    <cellStyle name="Normal 28 13" xfId="4326" xr:uid="{00000000-0005-0000-0000-0000710C0000}"/>
    <cellStyle name="Normal 28 14" xfId="4327" xr:uid="{00000000-0005-0000-0000-0000720C0000}"/>
    <cellStyle name="Normal 28 15" xfId="4328" xr:uid="{00000000-0005-0000-0000-0000730C0000}"/>
    <cellStyle name="Normal 28 2" xfId="985" xr:uid="{00000000-0005-0000-0000-0000740C0000}"/>
    <cellStyle name="Normal 28 2 2" xfId="4329" xr:uid="{00000000-0005-0000-0000-0000750C0000}"/>
    <cellStyle name="Normal 28 2_Monthly Energy Log" xfId="4330" xr:uid="{00000000-0005-0000-0000-0000760C0000}"/>
    <cellStyle name="Normal 28 3" xfId="2189" xr:uid="{00000000-0005-0000-0000-0000770C0000}"/>
    <cellStyle name="Normal 28 3 2" xfId="4331" xr:uid="{00000000-0005-0000-0000-0000780C0000}"/>
    <cellStyle name="Normal 28 3_For GOLD" xfId="4332" xr:uid="{00000000-0005-0000-0000-0000790C0000}"/>
    <cellStyle name="Normal 28 4" xfId="4333" xr:uid="{00000000-0005-0000-0000-00007A0C0000}"/>
    <cellStyle name="Normal 28 5" xfId="4334" xr:uid="{00000000-0005-0000-0000-00007B0C0000}"/>
    <cellStyle name="Normal 28 6" xfId="4335" xr:uid="{00000000-0005-0000-0000-00007C0C0000}"/>
    <cellStyle name="Normal 28 7" xfId="4336" xr:uid="{00000000-0005-0000-0000-00007D0C0000}"/>
    <cellStyle name="Normal 28 8" xfId="4337" xr:uid="{00000000-0005-0000-0000-00007E0C0000}"/>
    <cellStyle name="Normal 28 9" xfId="4338" xr:uid="{00000000-0005-0000-0000-00007F0C0000}"/>
    <cellStyle name="Normal 28_Estimated Stucco per Month" xfId="986" xr:uid="{00000000-0005-0000-0000-0000800C0000}"/>
    <cellStyle name="Normal 29" xfId="987" xr:uid="{00000000-0005-0000-0000-0000810C0000}"/>
    <cellStyle name="Normal 29 10" xfId="4339" xr:uid="{00000000-0005-0000-0000-0000820C0000}"/>
    <cellStyle name="Normal 29 11" xfId="4340" xr:uid="{00000000-0005-0000-0000-0000830C0000}"/>
    <cellStyle name="Normal 29 12" xfId="4341" xr:uid="{00000000-0005-0000-0000-0000840C0000}"/>
    <cellStyle name="Normal 29 13" xfId="4342" xr:uid="{00000000-0005-0000-0000-0000850C0000}"/>
    <cellStyle name="Normal 29 14" xfId="4343" xr:uid="{00000000-0005-0000-0000-0000860C0000}"/>
    <cellStyle name="Normal 29 15" xfId="4344" xr:uid="{00000000-0005-0000-0000-0000870C0000}"/>
    <cellStyle name="Normal 29 2" xfId="988" xr:uid="{00000000-0005-0000-0000-0000880C0000}"/>
    <cellStyle name="Normal 29 2 2" xfId="4345" xr:uid="{00000000-0005-0000-0000-0000890C0000}"/>
    <cellStyle name="Normal 29 2_Monthly Energy Log" xfId="4346" xr:uid="{00000000-0005-0000-0000-00008A0C0000}"/>
    <cellStyle name="Normal 29 3" xfId="2190" xr:uid="{00000000-0005-0000-0000-00008B0C0000}"/>
    <cellStyle name="Normal 29 3 2" xfId="4347" xr:uid="{00000000-0005-0000-0000-00008C0C0000}"/>
    <cellStyle name="Normal 29 3_For GOLD" xfId="4348" xr:uid="{00000000-0005-0000-0000-00008D0C0000}"/>
    <cellStyle name="Normal 29 4" xfId="4349" xr:uid="{00000000-0005-0000-0000-00008E0C0000}"/>
    <cellStyle name="Normal 29 5" xfId="4350" xr:uid="{00000000-0005-0000-0000-00008F0C0000}"/>
    <cellStyle name="Normal 29 6" xfId="4351" xr:uid="{00000000-0005-0000-0000-0000900C0000}"/>
    <cellStyle name="Normal 29 7" xfId="4352" xr:uid="{00000000-0005-0000-0000-0000910C0000}"/>
    <cellStyle name="Normal 29 8" xfId="4353" xr:uid="{00000000-0005-0000-0000-0000920C0000}"/>
    <cellStyle name="Normal 29 9" xfId="4354" xr:uid="{00000000-0005-0000-0000-0000930C0000}"/>
    <cellStyle name="Normal 29_Estimated Stucco per Month" xfId="989" xr:uid="{00000000-0005-0000-0000-0000940C0000}"/>
    <cellStyle name="Normal 3" xfId="990" xr:uid="{00000000-0005-0000-0000-0000950C0000}"/>
    <cellStyle name="Normal 3 10" xfId="991" xr:uid="{00000000-0005-0000-0000-0000960C0000}"/>
    <cellStyle name="Normal 3 11" xfId="992" xr:uid="{00000000-0005-0000-0000-0000970C0000}"/>
    <cellStyle name="Normal 3 12" xfId="993" xr:uid="{00000000-0005-0000-0000-0000980C0000}"/>
    <cellStyle name="Normal 3 13" xfId="994" xr:uid="{00000000-0005-0000-0000-0000990C0000}"/>
    <cellStyle name="Normal 3 14" xfId="995" xr:uid="{00000000-0005-0000-0000-00009A0C0000}"/>
    <cellStyle name="Normal 3 15" xfId="996" xr:uid="{00000000-0005-0000-0000-00009B0C0000}"/>
    <cellStyle name="Normal 3 16" xfId="997" xr:uid="{00000000-0005-0000-0000-00009C0C0000}"/>
    <cellStyle name="Normal 3 17" xfId="998" xr:uid="{00000000-0005-0000-0000-00009D0C0000}"/>
    <cellStyle name="Normal 3 18" xfId="999" xr:uid="{00000000-0005-0000-0000-00009E0C0000}"/>
    <cellStyle name="Normal 3 19" xfId="1000" xr:uid="{00000000-0005-0000-0000-00009F0C0000}"/>
    <cellStyle name="Normal 3 2" xfId="1001" xr:uid="{00000000-0005-0000-0000-0000A00C0000}"/>
    <cellStyle name="Normal 3 2 10" xfId="1002" xr:uid="{00000000-0005-0000-0000-0000A10C0000}"/>
    <cellStyle name="Normal 3 2 11" xfId="1003" xr:uid="{00000000-0005-0000-0000-0000A20C0000}"/>
    <cellStyle name="Normal 3 2 12" xfId="1004" xr:uid="{00000000-0005-0000-0000-0000A30C0000}"/>
    <cellStyle name="Normal 3 2 13" xfId="1005" xr:uid="{00000000-0005-0000-0000-0000A40C0000}"/>
    <cellStyle name="Normal 3 2 14" xfId="1006" xr:uid="{00000000-0005-0000-0000-0000A50C0000}"/>
    <cellStyle name="Normal 3 2 15" xfId="1007" xr:uid="{00000000-0005-0000-0000-0000A60C0000}"/>
    <cellStyle name="Normal 3 2 16" xfId="1008" xr:uid="{00000000-0005-0000-0000-0000A70C0000}"/>
    <cellStyle name="Normal 3 2 17" xfId="1009" xr:uid="{00000000-0005-0000-0000-0000A80C0000}"/>
    <cellStyle name="Normal 3 2 18" xfId="1010" xr:uid="{00000000-0005-0000-0000-0000A90C0000}"/>
    <cellStyle name="Normal 3 2 19" xfId="1011" xr:uid="{00000000-0005-0000-0000-0000AA0C0000}"/>
    <cellStyle name="Normal 3 2 2" xfId="1012" xr:uid="{00000000-0005-0000-0000-0000AB0C0000}"/>
    <cellStyle name="Normal 3 2 20" xfId="1013" xr:uid="{00000000-0005-0000-0000-0000AC0C0000}"/>
    <cellStyle name="Normal 3 2 21" xfId="1014" xr:uid="{00000000-0005-0000-0000-0000AD0C0000}"/>
    <cellStyle name="Normal 3 2 22" xfId="1015" xr:uid="{00000000-0005-0000-0000-0000AE0C0000}"/>
    <cellStyle name="Normal 3 2 23" xfId="4355" xr:uid="{00000000-0005-0000-0000-0000AF0C0000}"/>
    <cellStyle name="Normal 3 2 23 2" xfId="4356" xr:uid="{00000000-0005-0000-0000-0000B00C0000}"/>
    <cellStyle name="Normal 3 2 23_For GOLD" xfId="4357" xr:uid="{00000000-0005-0000-0000-0000B10C0000}"/>
    <cellStyle name="Normal 3 2 3" xfId="1016" xr:uid="{00000000-0005-0000-0000-0000B20C0000}"/>
    <cellStyle name="Normal 3 2 4" xfId="1017" xr:uid="{00000000-0005-0000-0000-0000B30C0000}"/>
    <cellStyle name="Normal 3 2 5" xfId="1018" xr:uid="{00000000-0005-0000-0000-0000B40C0000}"/>
    <cellStyle name="Normal 3 2 6" xfId="1019" xr:uid="{00000000-0005-0000-0000-0000B50C0000}"/>
    <cellStyle name="Normal 3 2 7" xfId="1020" xr:uid="{00000000-0005-0000-0000-0000B60C0000}"/>
    <cellStyle name="Normal 3 2 8" xfId="1021" xr:uid="{00000000-0005-0000-0000-0000B70C0000}"/>
    <cellStyle name="Normal 3 2 9" xfId="1022" xr:uid="{00000000-0005-0000-0000-0000B80C0000}"/>
    <cellStyle name="Normal 3 2_Solver_Model_Values" xfId="1023" xr:uid="{00000000-0005-0000-0000-0000B90C0000}"/>
    <cellStyle name="Normal 3 20" xfId="1024" xr:uid="{00000000-0005-0000-0000-0000BA0C0000}"/>
    <cellStyle name="Normal 3 21" xfId="1025" xr:uid="{00000000-0005-0000-0000-0000BB0C0000}"/>
    <cellStyle name="Normal 3 22" xfId="1026" xr:uid="{00000000-0005-0000-0000-0000BC0C0000}"/>
    <cellStyle name="Normal 3 23" xfId="1027" xr:uid="{00000000-0005-0000-0000-0000BD0C0000}"/>
    <cellStyle name="Normal 3 24" xfId="1028" xr:uid="{00000000-0005-0000-0000-0000BE0C0000}"/>
    <cellStyle name="Normal 3 25" xfId="1029" xr:uid="{00000000-0005-0000-0000-0000BF0C0000}"/>
    <cellStyle name="Normal 3 26" xfId="2191" xr:uid="{00000000-0005-0000-0000-0000C00C0000}"/>
    <cellStyle name="Normal 3 26 2" xfId="4358" xr:uid="{00000000-0005-0000-0000-0000C10C0000}"/>
    <cellStyle name="Normal 3 26 2 2" xfId="4359" xr:uid="{00000000-0005-0000-0000-0000C20C0000}"/>
    <cellStyle name="Normal 3 26 2_For GOLD" xfId="4360" xr:uid="{00000000-0005-0000-0000-0000C30C0000}"/>
    <cellStyle name="Normal 3 26 3" xfId="4361" xr:uid="{00000000-0005-0000-0000-0000C40C0000}"/>
    <cellStyle name="Normal 3 26_For GOLD" xfId="4362" xr:uid="{00000000-0005-0000-0000-0000C50C0000}"/>
    <cellStyle name="Normal 3 27" xfId="2269" xr:uid="{00000000-0005-0000-0000-0000C60C0000}"/>
    <cellStyle name="Normal 3 27 2" xfId="4363" xr:uid="{00000000-0005-0000-0000-0000C70C0000}"/>
    <cellStyle name="Normal 3 27 2 2" xfId="4364" xr:uid="{00000000-0005-0000-0000-0000C80C0000}"/>
    <cellStyle name="Normal 3 27 2_For GOLD" xfId="4365" xr:uid="{00000000-0005-0000-0000-0000C90C0000}"/>
    <cellStyle name="Normal 3 27 3" xfId="4366" xr:uid="{00000000-0005-0000-0000-0000CA0C0000}"/>
    <cellStyle name="Normal 3 27_For GOLD" xfId="4367" xr:uid="{00000000-0005-0000-0000-0000CB0C0000}"/>
    <cellStyle name="Normal 3 28" xfId="4368" xr:uid="{00000000-0005-0000-0000-0000CC0C0000}"/>
    <cellStyle name="Normal 3 28 2" xfId="4369" xr:uid="{00000000-0005-0000-0000-0000CD0C0000}"/>
    <cellStyle name="Normal 3 28 2 2" xfId="4370" xr:uid="{00000000-0005-0000-0000-0000CE0C0000}"/>
    <cellStyle name="Normal 3 28 2_For GOLD" xfId="4371" xr:uid="{00000000-0005-0000-0000-0000CF0C0000}"/>
    <cellStyle name="Normal 3 28 3" xfId="4372" xr:uid="{00000000-0005-0000-0000-0000D00C0000}"/>
    <cellStyle name="Normal 3 28_For GOLD" xfId="4373" xr:uid="{00000000-0005-0000-0000-0000D10C0000}"/>
    <cellStyle name="Normal 3 29" xfId="4374" xr:uid="{00000000-0005-0000-0000-0000D20C0000}"/>
    <cellStyle name="Normal 3 29 2" xfId="4375" xr:uid="{00000000-0005-0000-0000-0000D30C0000}"/>
    <cellStyle name="Normal 3 29 2 2" xfId="4376" xr:uid="{00000000-0005-0000-0000-0000D40C0000}"/>
    <cellStyle name="Normal 3 29 2_For GOLD" xfId="4377" xr:uid="{00000000-0005-0000-0000-0000D50C0000}"/>
    <cellStyle name="Normal 3 29 3" xfId="4378" xr:uid="{00000000-0005-0000-0000-0000D60C0000}"/>
    <cellStyle name="Normal 3 29_For GOLD" xfId="4379" xr:uid="{00000000-0005-0000-0000-0000D70C0000}"/>
    <cellStyle name="Normal 3 3" xfId="1030" xr:uid="{00000000-0005-0000-0000-0000D80C0000}"/>
    <cellStyle name="Normal 3 3 10" xfId="1031" xr:uid="{00000000-0005-0000-0000-0000D90C0000}"/>
    <cellStyle name="Normal 3 3 11" xfId="1032" xr:uid="{00000000-0005-0000-0000-0000DA0C0000}"/>
    <cellStyle name="Normal 3 3 12" xfId="1033" xr:uid="{00000000-0005-0000-0000-0000DB0C0000}"/>
    <cellStyle name="Normal 3 3 13" xfId="1034" xr:uid="{00000000-0005-0000-0000-0000DC0C0000}"/>
    <cellStyle name="Normal 3 3 14" xfId="1035" xr:uid="{00000000-0005-0000-0000-0000DD0C0000}"/>
    <cellStyle name="Normal 3 3 15" xfId="1036" xr:uid="{00000000-0005-0000-0000-0000DE0C0000}"/>
    <cellStyle name="Normal 3 3 16" xfId="1037" xr:uid="{00000000-0005-0000-0000-0000DF0C0000}"/>
    <cellStyle name="Normal 3 3 17" xfId="1038" xr:uid="{00000000-0005-0000-0000-0000E00C0000}"/>
    <cellStyle name="Normal 3 3 18" xfId="1039" xr:uid="{00000000-0005-0000-0000-0000E10C0000}"/>
    <cellStyle name="Normal 3 3 19" xfId="1040" xr:uid="{00000000-0005-0000-0000-0000E20C0000}"/>
    <cellStyle name="Normal 3 3 2" xfId="1041" xr:uid="{00000000-0005-0000-0000-0000E30C0000}"/>
    <cellStyle name="Normal 3 3 20" xfId="1042" xr:uid="{00000000-0005-0000-0000-0000E40C0000}"/>
    <cellStyle name="Normal 3 3 21" xfId="1043" xr:uid="{00000000-0005-0000-0000-0000E50C0000}"/>
    <cellStyle name="Normal 3 3 22" xfId="1044" xr:uid="{00000000-0005-0000-0000-0000E60C0000}"/>
    <cellStyle name="Normal 3 3 23" xfId="4380" xr:uid="{00000000-0005-0000-0000-0000E70C0000}"/>
    <cellStyle name="Normal 3 3 3" xfId="1045" xr:uid="{00000000-0005-0000-0000-0000E80C0000}"/>
    <cellStyle name="Normal 3 3 4" xfId="1046" xr:uid="{00000000-0005-0000-0000-0000E90C0000}"/>
    <cellStyle name="Normal 3 3 5" xfId="1047" xr:uid="{00000000-0005-0000-0000-0000EA0C0000}"/>
    <cellStyle name="Normal 3 3 6" xfId="1048" xr:uid="{00000000-0005-0000-0000-0000EB0C0000}"/>
    <cellStyle name="Normal 3 3 7" xfId="1049" xr:uid="{00000000-0005-0000-0000-0000EC0C0000}"/>
    <cellStyle name="Normal 3 3 8" xfId="1050" xr:uid="{00000000-0005-0000-0000-0000ED0C0000}"/>
    <cellStyle name="Normal 3 3 9" xfId="1051" xr:uid="{00000000-0005-0000-0000-0000EE0C0000}"/>
    <cellStyle name="Normal 3 3_Energy &amp; Production Data" xfId="4381" xr:uid="{00000000-0005-0000-0000-0000EF0C0000}"/>
    <cellStyle name="Normal 3 30" xfId="4382" xr:uid="{00000000-0005-0000-0000-0000F00C0000}"/>
    <cellStyle name="Normal 3 30 2" xfId="4383" xr:uid="{00000000-0005-0000-0000-0000F10C0000}"/>
    <cellStyle name="Normal 3 30 2 2" xfId="4384" xr:uid="{00000000-0005-0000-0000-0000F20C0000}"/>
    <cellStyle name="Normal 3 30 2_For GOLD" xfId="4385" xr:uid="{00000000-0005-0000-0000-0000F30C0000}"/>
    <cellStyle name="Normal 3 30 3" xfId="4386" xr:uid="{00000000-0005-0000-0000-0000F40C0000}"/>
    <cellStyle name="Normal 3 30_For GOLD" xfId="4387" xr:uid="{00000000-0005-0000-0000-0000F50C0000}"/>
    <cellStyle name="Normal 3 31" xfId="4388" xr:uid="{00000000-0005-0000-0000-0000F60C0000}"/>
    <cellStyle name="Normal 3 31 2" xfId="4389" xr:uid="{00000000-0005-0000-0000-0000F70C0000}"/>
    <cellStyle name="Normal 3 31 2 2" xfId="4390" xr:uid="{00000000-0005-0000-0000-0000F80C0000}"/>
    <cellStyle name="Normal 3 31 2_For GOLD" xfId="4391" xr:uid="{00000000-0005-0000-0000-0000F90C0000}"/>
    <cellStyle name="Normal 3 31 3" xfId="4392" xr:uid="{00000000-0005-0000-0000-0000FA0C0000}"/>
    <cellStyle name="Normal 3 31_For GOLD" xfId="4393" xr:uid="{00000000-0005-0000-0000-0000FB0C0000}"/>
    <cellStyle name="Normal 3 32" xfId="4394" xr:uid="{00000000-0005-0000-0000-0000FC0C0000}"/>
    <cellStyle name="Normal 3 32 2" xfId="4395" xr:uid="{00000000-0005-0000-0000-0000FD0C0000}"/>
    <cellStyle name="Normal 3 32_For GOLD" xfId="4396" xr:uid="{00000000-0005-0000-0000-0000FE0C0000}"/>
    <cellStyle name="Normal 3 33" xfId="4397" xr:uid="{00000000-0005-0000-0000-0000FF0C0000}"/>
    <cellStyle name="Normal 3 34" xfId="4398" xr:uid="{00000000-0005-0000-0000-0000000D0000}"/>
    <cellStyle name="Normal 3 35" xfId="4399" xr:uid="{00000000-0005-0000-0000-0000010D0000}"/>
    <cellStyle name="Normal 3 36" xfId="4400" xr:uid="{00000000-0005-0000-0000-0000020D0000}"/>
    <cellStyle name="Normal 3 37" xfId="4401" xr:uid="{00000000-0005-0000-0000-0000030D0000}"/>
    <cellStyle name="Normal 3 38" xfId="4402" xr:uid="{00000000-0005-0000-0000-0000040D0000}"/>
    <cellStyle name="Normal 3 39" xfId="4403" xr:uid="{00000000-0005-0000-0000-0000050D0000}"/>
    <cellStyle name="Normal 3 4" xfId="1052" xr:uid="{00000000-0005-0000-0000-0000060D0000}"/>
    <cellStyle name="Normal 3 4 2" xfId="4404" xr:uid="{00000000-0005-0000-0000-0000070D0000}"/>
    <cellStyle name="Normal 3 4 2 2" xfId="4405" xr:uid="{00000000-0005-0000-0000-0000080D0000}"/>
    <cellStyle name="Normal 3 4 2 2 2" xfId="4406" xr:uid="{00000000-0005-0000-0000-0000090D0000}"/>
    <cellStyle name="Normal 3 4 2 2 2 2" xfId="4407" xr:uid="{00000000-0005-0000-0000-00000A0D0000}"/>
    <cellStyle name="Normal 3 4 2 2 2_For GOLD" xfId="4408" xr:uid="{00000000-0005-0000-0000-00000B0D0000}"/>
    <cellStyle name="Normal 3 4 2 2 3" xfId="4409" xr:uid="{00000000-0005-0000-0000-00000C0D0000}"/>
    <cellStyle name="Normal 3 4 2 2_Energy &amp; Production Data" xfId="4410" xr:uid="{00000000-0005-0000-0000-00000D0D0000}"/>
    <cellStyle name="Normal 3 4 2 3" xfId="4411" xr:uid="{00000000-0005-0000-0000-00000E0D0000}"/>
    <cellStyle name="Normal 3 4 2 3 2" xfId="4412" xr:uid="{00000000-0005-0000-0000-00000F0D0000}"/>
    <cellStyle name="Normal 3 4 2 3_For GOLD" xfId="4413" xr:uid="{00000000-0005-0000-0000-0000100D0000}"/>
    <cellStyle name="Normal 3 4 2 4" xfId="4414" xr:uid="{00000000-0005-0000-0000-0000110D0000}"/>
    <cellStyle name="Normal 3 4 2_Aims and Constants" xfId="4415" xr:uid="{00000000-0005-0000-0000-0000120D0000}"/>
    <cellStyle name="Normal 3 4 3" xfId="4416" xr:uid="{00000000-0005-0000-0000-0000130D0000}"/>
    <cellStyle name="Normal 3 4 3 2" xfId="4417" xr:uid="{00000000-0005-0000-0000-0000140D0000}"/>
    <cellStyle name="Normal 3 4 3 2 2" xfId="4418" xr:uid="{00000000-0005-0000-0000-0000150D0000}"/>
    <cellStyle name="Normal 3 4 3 2_For GOLD" xfId="4419" xr:uid="{00000000-0005-0000-0000-0000160D0000}"/>
    <cellStyle name="Normal 3 4 3 3" xfId="4420" xr:uid="{00000000-0005-0000-0000-0000170D0000}"/>
    <cellStyle name="Normal 3 4 3_Energy &amp; Production Data" xfId="4421" xr:uid="{00000000-0005-0000-0000-0000180D0000}"/>
    <cellStyle name="Normal 3 4_Aims and Constants" xfId="4422" xr:uid="{00000000-0005-0000-0000-0000190D0000}"/>
    <cellStyle name="Normal 3 40" xfId="4423" xr:uid="{00000000-0005-0000-0000-00001A0D0000}"/>
    <cellStyle name="Normal 3 41" xfId="4424" xr:uid="{00000000-0005-0000-0000-00001B0D0000}"/>
    <cellStyle name="Normal 3 42" xfId="4425" xr:uid="{00000000-0005-0000-0000-00001C0D0000}"/>
    <cellStyle name="Normal 3 43" xfId="4426" xr:uid="{00000000-0005-0000-0000-00001D0D0000}"/>
    <cellStyle name="Normal 3 44" xfId="4427" xr:uid="{00000000-0005-0000-0000-00001E0D0000}"/>
    <cellStyle name="Normal 3 45" xfId="4428" xr:uid="{00000000-0005-0000-0000-00001F0D0000}"/>
    <cellStyle name="Normal 3 46" xfId="4429" xr:uid="{00000000-0005-0000-0000-0000200D0000}"/>
    <cellStyle name="Normal 3 47" xfId="4430" xr:uid="{00000000-0005-0000-0000-0000210D0000}"/>
    <cellStyle name="Normal 3 48" xfId="4431" xr:uid="{00000000-0005-0000-0000-0000220D0000}"/>
    <cellStyle name="Normal 3 49" xfId="4432" xr:uid="{00000000-0005-0000-0000-0000230D0000}"/>
    <cellStyle name="Normal 3 5" xfId="1053" xr:uid="{00000000-0005-0000-0000-0000240D0000}"/>
    <cellStyle name="Normal 3 5 2" xfId="4433" xr:uid="{00000000-0005-0000-0000-0000250D0000}"/>
    <cellStyle name="Normal 3 5 2 2" xfId="4434" xr:uid="{00000000-0005-0000-0000-0000260D0000}"/>
    <cellStyle name="Normal 3 5 2 2 2" xfId="4435" xr:uid="{00000000-0005-0000-0000-0000270D0000}"/>
    <cellStyle name="Normal 3 5 2 2_For GOLD" xfId="4436" xr:uid="{00000000-0005-0000-0000-0000280D0000}"/>
    <cellStyle name="Normal 3 5 2 3" xfId="4437" xr:uid="{00000000-0005-0000-0000-0000290D0000}"/>
    <cellStyle name="Normal 3 5 2_Energy &amp; Production Data" xfId="4438" xr:uid="{00000000-0005-0000-0000-00002A0D0000}"/>
    <cellStyle name="Normal 3 5_Aims and Constants" xfId="4439" xr:uid="{00000000-0005-0000-0000-00002B0D0000}"/>
    <cellStyle name="Normal 3 50" xfId="4440" xr:uid="{00000000-0005-0000-0000-00002C0D0000}"/>
    <cellStyle name="Normal 3 51" xfId="4441" xr:uid="{00000000-0005-0000-0000-00002D0D0000}"/>
    <cellStyle name="Normal 3 52" xfId="4442" xr:uid="{00000000-0005-0000-0000-00002E0D0000}"/>
    <cellStyle name="Normal 3 53" xfId="4443" xr:uid="{00000000-0005-0000-0000-00002F0D0000}"/>
    <cellStyle name="Normal 3 54" xfId="4444" xr:uid="{00000000-0005-0000-0000-0000300D0000}"/>
    <cellStyle name="Normal 3 55" xfId="4445" xr:uid="{00000000-0005-0000-0000-0000310D0000}"/>
    <cellStyle name="Normal 3 56" xfId="4446" xr:uid="{00000000-0005-0000-0000-0000320D0000}"/>
    <cellStyle name="Normal 3 57" xfId="4447" xr:uid="{00000000-0005-0000-0000-0000330D0000}"/>
    <cellStyle name="Normal 3 58" xfId="4448" xr:uid="{00000000-0005-0000-0000-0000340D0000}"/>
    <cellStyle name="Normal 3 6" xfId="1054" xr:uid="{00000000-0005-0000-0000-0000350D0000}"/>
    <cellStyle name="Normal 3 7" xfId="1055" xr:uid="{00000000-0005-0000-0000-0000360D0000}"/>
    <cellStyle name="Normal 3 8" xfId="1056" xr:uid="{00000000-0005-0000-0000-0000370D0000}"/>
    <cellStyle name="Normal 3 9" xfId="1057" xr:uid="{00000000-0005-0000-0000-0000380D0000}"/>
    <cellStyle name="Normal 3_Aims and Constants" xfId="4449" xr:uid="{00000000-0005-0000-0000-0000390D0000}"/>
    <cellStyle name="Normal 30" xfId="1058" xr:uid="{00000000-0005-0000-0000-00003A0D0000}"/>
    <cellStyle name="Normal 30 10" xfId="4450" xr:uid="{00000000-0005-0000-0000-00003B0D0000}"/>
    <cellStyle name="Normal 30 11" xfId="4451" xr:uid="{00000000-0005-0000-0000-00003C0D0000}"/>
    <cellStyle name="Normal 30 12" xfId="4452" xr:uid="{00000000-0005-0000-0000-00003D0D0000}"/>
    <cellStyle name="Normal 30 13" xfId="4453" xr:uid="{00000000-0005-0000-0000-00003E0D0000}"/>
    <cellStyle name="Normal 30 14" xfId="4454" xr:uid="{00000000-0005-0000-0000-00003F0D0000}"/>
    <cellStyle name="Normal 30 15" xfId="4455" xr:uid="{00000000-0005-0000-0000-0000400D0000}"/>
    <cellStyle name="Normal 30 2" xfId="1059" xr:uid="{00000000-0005-0000-0000-0000410D0000}"/>
    <cellStyle name="Normal 30 2 2" xfId="4456" xr:uid="{00000000-0005-0000-0000-0000420D0000}"/>
    <cellStyle name="Normal 30 2_Monthly Energy Log" xfId="4457" xr:uid="{00000000-0005-0000-0000-0000430D0000}"/>
    <cellStyle name="Normal 30 3" xfId="2192" xr:uid="{00000000-0005-0000-0000-0000440D0000}"/>
    <cellStyle name="Normal 30 3 2" xfId="4458" xr:uid="{00000000-0005-0000-0000-0000450D0000}"/>
    <cellStyle name="Normal 30 3_For GOLD" xfId="4459" xr:uid="{00000000-0005-0000-0000-0000460D0000}"/>
    <cellStyle name="Normal 30 4" xfId="4460" xr:uid="{00000000-0005-0000-0000-0000470D0000}"/>
    <cellStyle name="Normal 30 5" xfId="4461" xr:uid="{00000000-0005-0000-0000-0000480D0000}"/>
    <cellStyle name="Normal 30 6" xfId="4462" xr:uid="{00000000-0005-0000-0000-0000490D0000}"/>
    <cellStyle name="Normal 30 7" xfId="4463" xr:uid="{00000000-0005-0000-0000-00004A0D0000}"/>
    <cellStyle name="Normal 30 8" xfId="4464" xr:uid="{00000000-0005-0000-0000-00004B0D0000}"/>
    <cellStyle name="Normal 30 9" xfId="4465" xr:uid="{00000000-0005-0000-0000-00004C0D0000}"/>
    <cellStyle name="Normal 30_Estimated Stucco per Month" xfId="1060" xr:uid="{00000000-0005-0000-0000-00004D0D0000}"/>
    <cellStyle name="Normal 31" xfId="1061" xr:uid="{00000000-0005-0000-0000-00004E0D0000}"/>
    <cellStyle name="Normal 31 10" xfId="4466" xr:uid="{00000000-0005-0000-0000-00004F0D0000}"/>
    <cellStyle name="Normal 31 11" xfId="4467" xr:uid="{00000000-0005-0000-0000-0000500D0000}"/>
    <cellStyle name="Normal 31 12" xfId="4468" xr:uid="{00000000-0005-0000-0000-0000510D0000}"/>
    <cellStyle name="Normal 31 13" xfId="4469" xr:uid="{00000000-0005-0000-0000-0000520D0000}"/>
    <cellStyle name="Normal 31 14" xfId="4470" xr:uid="{00000000-0005-0000-0000-0000530D0000}"/>
    <cellStyle name="Normal 31 15" xfId="4471" xr:uid="{00000000-0005-0000-0000-0000540D0000}"/>
    <cellStyle name="Normal 31 2" xfId="1062" xr:uid="{00000000-0005-0000-0000-0000550D0000}"/>
    <cellStyle name="Normal 31 2 2" xfId="4472" xr:uid="{00000000-0005-0000-0000-0000560D0000}"/>
    <cellStyle name="Normal 31 2_Monthly Energy Log" xfId="4473" xr:uid="{00000000-0005-0000-0000-0000570D0000}"/>
    <cellStyle name="Normal 31 3" xfId="2193" xr:uid="{00000000-0005-0000-0000-0000580D0000}"/>
    <cellStyle name="Normal 31 3 2" xfId="4474" xr:uid="{00000000-0005-0000-0000-0000590D0000}"/>
    <cellStyle name="Normal 31 3_For GOLD" xfId="4475" xr:uid="{00000000-0005-0000-0000-00005A0D0000}"/>
    <cellStyle name="Normal 31 4" xfId="4476" xr:uid="{00000000-0005-0000-0000-00005B0D0000}"/>
    <cellStyle name="Normal 31 5" xfId="4477" xr:uid="{00000000-0005-0000-0000-00005C0D0000}"/>
    <cellStyle name="Normal 31 6" xfId="4478" xr:uid="{00000000-0005-0000-0000-00005D0D0000}"/>
    <cellStyle name="Normal 31 7" xfId="4479" xr:uid="{00000000-0005-0000-0000-00005E0D0000}"/>
    <cellStyle name="Normal 31 8" xfId="4480" xr:uid="{00000000-0005-0000-0000-00005F0D0000}"/>
    <cellStyle name="Normal 31 9" xfId="4481" xr:uid="{00000000-0005-0000-0000-0000600D0000}"/>
    <cellStyle name="Normal 31_Estimated Stucco per Month" xfId="1063" xr:uid="{00000000-0005-0000-0000-0000610D0000}"/>
    <cellStyle name="Normal 32" xfId="1064" xr:uid="{00000000-0005-0000-0000-0000620D0000}"/>
    <cellStyle name="Normal 32 10" xfId="4482" xr:uid="{00000000-0005-0000-0000-0000630D0000}"/>
    <cellStyle name="Normal 32 11" xfId="4483" xr:uid="{00000000-0005-0000-0000-0000640D0000}"/>
    <cellStyle name="Normal 32 12" xfId="4484" xr:uid="{00000000-0005-0000-0000-0000650D0000}"/>
    <cellStyle name="Normal 32 13" xfId="4485" xr:uid="{00000000-0005-0000-0000-0000660D0000}"/>
    <cellStyle name="Normal 32 14" xfId="4486" xr:uid="{00000000-0005-0000-0000-0000670D0000}"/>
    <cellStyle name="Normal 32 2" xfId="2194" xr:uid="{00000000-0005-0000-0000-0000680D0000}"/>
    <cellStyle name="Normal 32 2 2" xfId="4487" xr:uid="{00000000-0005-0000-0000-0000690D0000}"/>
    <cellStyle name="Normal 32 2_For GOLD" xfId="4488" xr:uid="{00000000-0005-0000-0000-00006A0D0000}"/>
    <cellStyle name="Normal 32 3" xfId="4489" xr:uid="{00000000-0005-0000-0000-00006B0D0000}"/>
    <cellStyle name="Normal 32 4" xfId="4490" xr:uid="{00000000-0005-0000-0000-00006C0D0000}"/>
    <cellStyle name="Normal 32 5" xfId="4491" xr:uid="{00000000-0005-0000-0000-00006D0D0000}"/>
    <cellStyle name="Normal 32 6" xfId="4492" xr:uid="{00000000-0005-0000-0000-00006E0D0000}"/>
    <cellStyle name="Normal 32 7" xfId="4493" xr:uid="{00000000-0005-0000-0000-00006F0D0000}"/>
    <cellStyle name="Normal 32 8" xfId="4494" xr:uid="{00000000-0005-0000-0000-0000700D0000}"/>
    <cellStyle name="Normal 32 9" xfId="4495" xr:uid="{00000000-0005-0000-0000-0000710D0000}"/>
    <cellStyle name="Normal 32_For GOLD" xfId="4496" xr:uid="{00000000-0005-0000-0000-0000720D0000}"/>
    <cellStyle name="Normal 33" xfId="1065" xr:uid="{00000000-0005-0000-0000-0000730D0000}"/>
    <cellStyle name="Normal 33 10" xfId="4497" xr:uid="{00000000-0005-0000-0000-0000740D0000}"/>
    <cellStyle name="Normal 33 11" xfId="4498" xr:uid="{00000000-0005-0000-0000-0000750D0000}"/>
    <cellStyle name="Normal 33 12" xfId="4499" xr:uid="{00000000-0005-0000-0000-0000760D0000}"/>
    <cellStyle name="Normal 33 13" xfId="4500" xr:uid="{00000000-0005-0000-0000-0000770D0000}"/>
    <cellStyle name="Normal 33 14" xfId="4501" xr:uid="{00000000-0005-0000-0000-0000780D0000}"/>
    <cellStyle name="Normal 33 15" xfId="4502" xr:uid="{00000000-0005-0000-0000-0000790D0000}"/>
    <cellStyle name="Normal 33 2" xfId="1066" xr:uid="{00000000-0005-0000-0000-00007A0D0000}"/>
    <cellStyle name="Normal 33 2 2" xfId="4503" xr:uid="{00000000-0005-0000-0000-00007B0D0000}"/>
    <cellStyle name="Normal 33 2_Monthly Energy Log" xfId="4504" xr:uid="{00000000-0005-0000-0000-00007C0D0000}"/>
    <cellStyle name="Normal 33 3" xfId="2195" xr:uid="{00000000-0005-0000-0000-00007D0D0000}"/>
    <cellStyle name="Normal 33 3 2" xfId="4505" xr:uid="{00000000-0005-0000-0000-00007E0D0000}"/>
    <cellStyle name="Normal 33 3_For GOLD" xfId="4506" xr:uid="{00000000-0005-0000-0000-00007F0D0000}"/>
    <cellStyle name="Normal 33 4" xfId="4507" xr:uid="{00000000-0005-0000-0000-0000800D0000}"/>
    <cellStyle name="Normal 33 5" xfId="4508" xr:uid="{00000000-0005-0000-0000-0000810D0000}"/>
    <cellStyle name="Normal 33 6" xfId="4509" xr:uid="{00000000-0005-0000-0000-0000820D0000}"/>
    <cellStyle name="Normal 33 7" xfId="4510" xr:uid="{00000000-0005-0000-0000-0000830D0000}"/>
    <cellStyle name="Normal 33 8" xfId="4511" xr:uid="{00000000-0005-0000-0000-0000840D0000}"/>
    <cellStyle name="Normal 33 9" xfId="4512" xr:uid="{00000000-0005-0000-0000-0000850D0000}"/>
    <cellStyle name="Normal 33_Estimated Stucco per Month" xfId="1067" xr:uid="{00000000-0005-0000-0000-0000860D0000}"/>
    <cellStyle name="Normal 34" xfId="1068" xr:uid="{00000000-0005-0000-0000-0000870D0000}"/>
    <cellStyle name="Normal 34 10" xfId="4513" xr:uid="{00000000-0005-0000-0000-0000880D0000}"/>
    <cellStyle name="Normal 34 11" xfId="4514" xr:uid="{00000000-0005-0000-0000-0000890D0000}"/>
    <cellStyle name="Normal 34 12" xfId="4515" xr:uid="{00000000-0005-0000-0000-00008A0D0000}"/>
    <cellStyle name="Normal 34 13" xfId="4516" xr:uid="{00000000-0005-0000-0000-00008B0D0000}"/>
    <cellStyle name="Normal 34 14" xfId="4517" xr:uid="{00000000-0005-0000-0000-00008C0D0000}"/>
    <cellStyle name="Normal 34 15" xfId="4518" xr:uid="{00000000-0005-0000-0000-00008D0D0000}"/>
    <cellStyle name="Normal 34 2" xfId="1069" xr:uid="{00000000-0005-0000-0000-00008E0D0000}"/>
    <cellStyle name="Normal 34 2 2" xfId="4519" xr:uid="{00000000-0005-0000-0000-00008F0D0000}"/>
    <cellStyle name="Normal 34 2_Monthly Energy Log" xfId="4520" xr:uid="{00000000-0005-0000-0000-0000900D0000}"/>
    <cellStyle name="Normal 34 3" xfId="2196" xr:uid="{00000000-0005-0000-0000-0000910D0000}"/>
    <cellStyle name="Normal 34 3 2" xfId="4521" xr:uid="{00000000-0005-0000-0000-0000920D0000}"/>
    <cellStyle name="Normal 34 3_For GOLD" xfId="4522" xr:uid="{00000000-0005-0000-0000-0000930D0000}"/>
    <cellStyle name="Normal 34 4" xfId="4523" xr:uid="{00000000-0005-0000-0000-0000940D0000}"/>
    <cellStyle name="Normal 34 5" xfId="4524" xr:uid="{00000000-0005-0000-0000-0000950D0000}"/>
    <cellStyle name="Normal 34 6" xfId="4525" xr:uid="{00000000-0005-0000-0000-0000960D0000}"/>
    <cellStyle name="Normal 34 7" xfId="4526" xr:uid="{00000000-0005-0000-0000-0000970D0000}"/>
    <cellStyle name="Normal 34 8" xfId="4527" xr:uid="{00000000-0005-0000-0000-0000980D0000}"/>
    <cellStyle name="Normal 34 9" xfId="4528" xr:uid="{00000000-0005-0000-0000-0000990D0000}"/>
    <cellStyle name="Normal 34_Estimated Stucco per Month" xfId="1070" xr:uid="{00000000-0005-0000-0000-00009A0D0000}"/>
    <cellStyle name="Normal 35" xfId="1071" xr:uid="{00000000-0005-0000-0000-00009B0D0000}"/>
    <cellStyle name="Normal 35 10" xfId="4529" xr:uid="{00000000-0005-0000-0000-00009C0D0000}"/>
    <cellStyle name="Normal 35 11" xfId="4530" xr:uid="{00000000-0005-0000-0000-00009D0D0000}"/>
    <cellStyle name="Normal 35 12" xfId="4531" xr:uid="{00000000-0005-0000-0000-00009E0D0000}"/>
    <cellStyle name="Normal 35 13" xfId="4532" xr:uid="{00000000-0005-0000-0000-00009F0D0000}"/>
    <cellStyle name="Normal 35 14" xfId="4533" xr:uid="{00000000-0005-0000-0000-0000A00D0000}"/>
    <cellStyle name="Normal 35 15" xfId="4534" xr:uid="{00000000-0005-0000-0000-0000A10D0000}"/>
    <cellStyle name="Normal 35 2" xfId="1072" xr:uid="{00000000-0005-0000-0000-0000A20D0000}"/>
    <cellStyle name="Normal 35 2 2" xfId="4535" xr:uid="{00000000-0005-0000-0000-0000A30D0000}"/>
    <cellStyle name="Normal 35 2_Monthly Energy Log" xfId="4536" xr:uid="{00000000-0005-0000-0000-0000A40D0000}"/>
    <cellStyle name="Normal 35 3" xfId="2197" xr:uid="{00000000-0005-0000-0000-0000A50D0000}"/>
    <cellStyle name="Normal 35 3 2" xfId="4537" xr:uid="{00000000-0005-0000-0000-0000A60D0000}"/>
    <cellStyle name="Normal 35 3_For GOLD" xfId="4538" xr:uid="{00000000-0005-0000-0000-0000A70D0000}"/>
    <cellStyle name="Normal 35 4" xfId="4539" xr:uid="{00000000-0005-0000-0000-0000A80D0000}"/>
    <cellStyle name="Normal 35 5" xfId="4540" xr:uid="{00000000-0005-0000-0000-0000A90D0000}"/>
    <cellStyle name="Normal 35 6" xfId="4541" xr:uid="{00000000-0005-0000-0000-0000AA0D0000}"/>
    <cellStyle name="Normal 35 7" xfId="4542" xr:uid="{00000000-0005-0000-0000-0000AB0D0000}"/>
    <cellStyle name="Normal 35 8" xfId="4543" xr:uid="{00000000-0005-0000-0000-0000AC0D0000}"/>
    <cellStyle name="Normal 35 9" xfId="4544" xr:uid="{00000000-0005-0000-0000-0000AD0D0000}"/>
    <cellStyle name="Normal 35_Estimated Stucco per Month" xfId="1073" xr:uid="{00000000-0005-0000-0000-0000AE0D0000}"/>
    <cellStyle name="Normal 36" xfId="1074" xr:uid="{00000000-0005-0000-0000-0000AF0D0000}"/>
    <cellStyle name="Normal 36 10" xfId="4545" xr:uid="{00000000-0005-0000-0000-0000B00D0000}"/>
    <cellStyle name="Normal 36 11" xfId="4546" xr:uid="{00000000-0005-0000-0000-0000B10D0000}"/>
    <cellStyle name="Normal 36 12" xfId="4547" xr:uid="{00000000-0005-0000-0000-0000B20D0000}"/>
    <cellStyle name="Normal 36 13" xfId="4548" xr:uid="{00000000-0005-0000-0000-0000B30D0000}"/>
    <cellStyle name="Normal 36 14" xfId="4549" xr:uid="{00000000-0005-0000-0000-0000B40D0000}"/>
    <cellStyle name="Normal 36 2" xfId="2198" xr:uid="{00000000-0005-0000-0000-0000B50D0000}"/>
    <cellStyle name="Normal 36 2 2" xfId="4550" xr:uid="{00000000-0005-0000-0000-0000B60D0000}"/>
    <cellStyle name="Normal 36 2_For GOLD" xfId="4551" xr:uid="{00000000-0005-0000-0000-0000B70D0000}"/>
    <cellStyle name="Normal 36 3" xfId="4552" xr:uid="{00000000-0005-0000-0000-0000B80D0000}"/>
    <cellStyle name="Normal 36 4" xfId="4553" xr:uid="{00000000-0005-0000-0000-0000B90D0000}"/>
    <cellStyle name="Normal 36 5" xfId="4554" xr:uid="{00000000-0005-0000-0000-0000BA0D0000}"/>
    <cellStyle name="Normal 36 6" xfId="4555" xr:uid="{00000000-0005-0000-0000-0000BB0D0000}"/>
    <cellStyle name="Normal 36 7" xfId="4556" xr:uid="{00000000-0005-0000-0000-0000BC0D0000}"/>
    <cellStyle name="Normal 36 8" xfId="4557" xr:uid="{00000000-0005-0000-0000-0000BD0D0000}"/>
    <cellStyle name="Normal 36 9" xfId="4558" xr:uid="{00000000-0005-0000-0000-0000BE0D0000}"/>
    <cellStyle name="Normal 36_For GOLD" xfId="4559" xr:uid="{00000000-0005-0000-0000-0000BF0D0000}"/>
    <cellStyle name="Normal 37" xfId="1075" xr:uid="{00000000-0005-0000-0000-0000C00D0000}"/>
    <cellStyle name="Normal 37 10" xfId="4560" xr:uid="{00000000-0005-0000-0000-0000C10D0000}"/>
    <cellStyle name="Normal 37 11" xfId="4561" xr:uid="{00000000-0005-0000-0000-0000C20D0000}"/>
    <cellStyle name="Normal 37 12" xfId="4562" xr:uid="{00000000-0005-0000-0000-0000C30D0000}"/>
    <cellStyle name="Normal 37 13" xfId="4563" xr:uid="{00000000-0005-0000-0000-0000C40D0000}"/>
    <cellStyle name="Normal 37 14" xfId="4564" xr:uid="{00000000-0005-0000-0000-0000C50D0000}"/>
    <cellStyle name="Normal 37 15" xfId="4565" xr:uid="{00000000-0005-0000-0000-0000C60D0000}"/>
    <cellStyle name="Normal 37 2" xfId="1076" xr:uid="{00000000-0005-0000-0000-0000C70D0000}"/>
    <cellStyle name="Normal 37 2 2" xfId="4566" xr:uid="{00000000-0005-0000-0000-0000C80D0000}"/>
    <cellStyle name="Normal 37 2_Monthly Energy Log" xfId="4567" xr:uid="{00000000-0005-0000-0000-0000C90D0000}"/>
    <cellStyle name="Normal 37 3" xfId="2199" xr:uid="{00000000-0005-0000-0000-0000CA0D0000}"/>
    <cellStyle name="Normal 37 3 2" xfId="4568" xr:uid="{00000000-0005-0000-0000-0000CB0D0000}"/>
    <cellStyle name="Normal 37 3_For GOLD" xfId="4569" xr:uid="{00000000-0005-0000-0000-0000CC0D0000}"/>
    <cellStyle name="Normal 37 4" xfId="4570" xr:uid="{00000000-0005-0000-0000-0000CD0D0000}"/>
    <cellStyle name="Normal 37 5" xfId="4571" xr:uid="{00000000-0005-0000-0000-0000CE0D0000}"/>
    <cellStyle name="Normal 37 6" xfId="4572" xr:uid="{00000000-0005-0000-0000-0000CF0D0000}"/>
    <cellStyle name="Normal 37 7" xfId="4573" xr:uid="{00000000-0005-0000-0000-0000D00D0000}"/>
    <cellStyle name="Normal 37 8" xfId="4574" xr:uid="{00000000-0005-0000-0000-0000D10D0000}"/>
    <cellStyle name="Normal 37 9" xfId="4575" xr:uid="{00000000-0005-0000-0000-0000D20D0000}"/>
    <cellStyle name="Normal 37_Estimated Stucco per Month" xfId="1077" xr:uid="{00000000-0005-0000-0000-0000D30D0000}"/>
    <cellStyle name="Normal 38" xfId="1078" xr:uid="{00000000-0005-0000-0000-0000D40D0000}"/>
    <cellStyle name="Normal 38 10" xfId="4576" xr:uid="{00000000-0005-0000-0000-0000D50D0000}"/>
    <cellStyle name="Normal 38 11" xfId="4577" xr:uid="{00000000-0005-0000-0000-0000D60D0000}"/>
    <cellStyle name="Normal 38 12" xfId="4578" xr:uid="{00000000-0005-0000-0000-0000D70D0000}"/>
    <cellStyle name="Normal 38 13" xfId="4579" xr:uid="{00000000-0005-0000-0000-0000D80D0000}"/>
    <cellStyle name="Normal 38 14" xfId="4580" xr:uid="{00000000-0005-0000-0000-0000D90D0000}"/>
    <cellStyle name="Normal 38 15" xfId="4581" xr:uid="{00000000-0005-0000-0000-0000DA0D0000}"/>
    <cellStyle name="Normal 38 2" xfId="1079" xr:uid="{00000000-0005-0000-0000-0000DB0D0000}"/>
    <cellStyle name="Normal 38 2 2" xfId="4582" xr:uid="{00000000-0005-0000-0000-0000DC0D0000}"/>
    <cellStyle name="Normal 38 2_Monthly Energy Log" xfId="4583" xr:uid="{00000000-0005-0000-0000-0000DD0D0000}"/>
    <cellStyle name="Normal 38 3" xfId="2200" xr:uid="{00000000-0005-0000-0000-0000DE0D0000}"/>
    <cellStyle name="Normal 38 3 2" xfId="4584" xr:uid="{00000000-0005-0000-0000-0000DF0D0000}"/>
    <cellStyle name="Normal 38 3_For GOLD" xfId="4585" xr:uid="{00000000-0005-0000-0000-0000E00D0000}"/>
    <cellStyle name="Normal 38 4" xfId="4586" xr:uid="{00000000-0005-0000-0000-0000E10D0000}"/>
    <cellStyle name="Normal 38 5" xfId="4587" xr:uid="{00000000-0005-0000-0000-0000E20D0000}"/>
    <cellStyle name="Normal 38 6" xfId="4588" xr:uid="{00000000-0005-0000-0000-0000E30D0000}"/>
    <cellStyle name="Normal 38 7" xfId="4589" xr:uid="{00000000-0005-0000-0000-0000E40D0000}"/>
    <cellStyle name="Normal 38 8" xfId="4590" xr:uid="{00000000-0005-0000-0000-0000E50D0000}"/>
    <cellStyle name="Normal 38 9" xfId="4591" xr:uid="{00000000-0005-0000-0000-0000E60D0000}"/>
    <cellStyle name="Normal 38_Estimated Stucco per Month" xfId="1080" xr:uid="{00000000-0005-0000-0000-0000E70D0000}"/>
    <cellStyle name="Normal 39" xfId="1081" xr:uid="{00000000-0005-0000-0000-0000E80D0000}"/>
    <cellStyle name="Normal 39 10" xfId="4592" xr:uid="{00000000-0005-0000-0000-0000E90D0000}"/>
    <cellStyle name="Normal 39 11" xfId="4593" xr:uid="{00000000-0005-0000-0000-0000EA0D0000}"/>
    <cellStyle name="Normal 39 12" xfId="4594" xr:uid="{00000000-0005-0000-0000-0000EB0D0000}"/>
    <cellStyle name="Normal 39 13" xfId="4595" xr:uid="{00000000-0005-0000-0000-0000EC0D0000}"/>
    <cellStyle name="Normal 39 14" xfId="4596" xr:uid="{00000000-0005-0000-0000-0000ED0D0000}"/>
    <cellStyle name="Normal 39 2" xfId="2201" xr:uid="{00000000-0005-0000-0000-0000EE0D0000}"/>
    <cellStyle name="Normal 39 2 2" xfId="4597" xr:uid="{00000000-0005-0000-0000-0000EF0D0000}"/>
    <cellStyle name="Normal 39 2_For GOLD" xfId="4598" xr:uid="{00000000-0005-0000-0000-0000F00D0000}"/>
    <cellStyle name="Normal 39 3" xfId="4599" xr:uid="{00000000-0005-0000-0000-0000F10D0000}"/>
    <cellStyle name="Normal 39 4" xfId="4600" xr:uid="{00000000-0005-0000-0000-0000F20D0000}"/>
    <cellStyle name="Normal 39 5" xfId="4601" xr:uid="{00000000-0005-0000-0000-0000F30D0000}"/>
    <cellStyle name="Normal 39 6" xfId="4602" xr:uid="{00000000-0005-0000-0000-0000F40D0000}"/>
    <cellStyle name="Normal 39 7" xfId="4603" xr:uid="{00000000-0005-0000-0000-0000F50D0000}"/>
    <cellStyle name="Normal 39 8" xfId="4604" xr:uid="{00000000-0005-0000-0000-0000F60D0000}"/>
    <cellStyle name="Normal 39 9" xfId="4605" xr:uid="{00000000-0005-0000-0000-0000F70D0000}"/>
    <cellStyle name="Normal 39_For GOLD" xfId="4606" xr:uid="{00000000-0005-0000-0000-0000F80D0000}"/>
    <cellStyle name="Normal 4" xfId="1082" xr:uid="{00000000-0005-0000-0000-0000F90D0000}"/>
    <cellStyle name="Normal 4 10" xfId="1083" xr:uid="{00000000-0005-0000-0000-0000FA0D0000}"/>
    <cellStyle name="Normal 4 11" xfId="1084" xr:uid="{00000000-0005-0000-0000-0000FB0D0000}"/>
    <cellStyle name="Normal 4 12" xfId="1085" xr:uid="{00000000-0005-0000-0000-0000FC0D0000}"/>
    <cellStyle name="Normal 4 13" xfId="1086" xr:uid="{00000000-0005-0000-0000-0000FD0D0000}"/>
    <cellStyle name="Normal 4 14" xfId="1087" xr:uid="{00000000-0005-0000-0000-0000FE0D0000}"/>
    <cellStyle name="Normal 4 15" xfId="1088" xr:uid="{00000000-0005-0000-0000-0000FF0D0000}"/>
    <cellStyle name="Normal 4 16" xfId="1089" xr:uid="{00000000-0005-0000-0000-0000000E0000}"/>
    <cellStyle name="Normal 4 17" xfId="1090" xr:uid="{00000000-0005-0000-0000-0000010E0000}"/>
    <cellStyle name="Normal 4 18" xfId="1091" xr:uid="{00000000-0005-0000-0000-0000020E0000}"/>
    <cellStyle name="Normal 4 19" xfId="1092" xr:uid="{00000000-0005-0000-0000-0000030E0000}"/>
    <cellStyle name="Normal 4 2" xfId="1093" xr:uid="{00000000-0005-0000-0000-0000040E0000}"/>
    <cellStyle name="Normal 4 2 10" xfId="1094" xr:uid="{00000000-0005-0000-0000-0000050E0000}"/>
    <cellStyle name="Normal 4 2 11" xfId="1095" xr:uid="{00000000-0005-0000-0000-0000060E0000}"/>
    <cellStyle name="Normal 4 2 12" xfId="1096" xr:uid="{00000000-0005-0000-0000-0000070E0000}"/>
    <cellStyle name="Normal 4 2 13" xfId="1097" xr:uid="{00000000-0005-0000-0000-0000080E0000}"/>
    <cellStyle name="Normal 4 2 14" xfId="1098" xr:uid="{00000000-0005-0000-0000-0000090E0000}"/>
    <cellStyle name="Normal 4 2 15" xfId="1099" xr:uid="{00000000-0005-0000-0000-00000A0E0000}"/>
    <cellStyle name="Normal 4 2 16" xfId="1100" xr:uid="{00000000-0005-0000-0000-00000B0E0000}"/>
    <cellStyle name="Normal 4 2 17" xfId="1101" xr:uid="{00000000-0005-0000-0000-00000C0E0000}"/>
    <cellStyle name="Normal 4 2 18" xfId="1102" xr:uid="{00000000-0005-0000-0000-00000D0E0000}"/>
    <cellStyle name="Normal 4 2 19" xfId="1103" xr:uid="{00000000-0005-0000-0000-00000E0E0000}"/>
    <cellStyle name="Normal 4 2 2" xfId="1104" xr:uid="{00000000-0005-0000-0000-00000F0E0000}"/>
    <cellStyle name="Normal 4 2 20" xfId="1105" xr:uid="{00000000-0005-0000-0000-0000100E0000}"/>
    <cellStyle name="Normal 4 2 21" xfId="1106" xr:uid="{00000000-0005-0000-0000-0000110E0000}"/>
    <cellStyle name="Normal 4 2 22" xfId="1107" xr:uid="{00000000-0005-0000-0000-0000120E0000}"/>
    <cellStyle name="Normal 4 2 23" xfId="2202" xr:uid="{00000000-0005-0000-0000-0000130E0000}"/>
    <cellStyle name="Normal 4 2 3" xfId="1108" xr:uid="{00000000-0005-0000-0000-0000140E0000}"/>
    <cellStyle name="Normal 4 2 4" xfId="1109" xr:uid="{00000000-0005-0000-0000-0000150E0000}"/>
    <cellStyle name="Normal 4 2 5" xfId="1110" xr:uid="{00000000-0005-0000-0000-0000160E0000}"/>
    <cellStyle name="Normal 4 2 6" xfId="1111" xr:uid="{00000000-0005-0000-0000-0000170E0000}"/>
    <cellStyle name="Normal 4 2 7" xfId="1112" xr:uid="{00000000-0005-0000-0000-0000180E0000}"/>
    <cellStyle name="Normal 4 2 8" xfId="1113" xr:uid="{00000000-0005-0000-0000-0000190E0000}"/>
    <cellStyle name="Normal 4 2 9" xfId="1114" xr:uid="{00000000-0005-0000-0000-00001A0E0000}"/>
    <cellStyle name="Normal 4 2_Energy &amp; Production Data" xfId="4607" xr:uid="{00000000-0005-0000-0000-00001B0E0000}"/>
    <cellStyle name="Normal 4 20" xfId="1115" xr:uid="{00000000-0005-0000-0000-00001C0E0000}"/>
    <cellStyle name="Normal 4 21" xfId="1116" xr:uid="{00000000-0005-0000-0000-00001D0E0000}"/>
    <cellStyle name="Normal 4 22" xfId="1117" xr:uid="{00000000-0005-0000-0000-00001E0E0000}"/>
    <cellStyle name="Normal 4 23" xfId="1118" xr:uid="{00000000-0005-0000-0000-00001F0E0000}"/>
    <cellStyle name="Normal 4 24" xfId="4608" xr:uid="{00000000-0005-0000-0000-0000200E0000}"/>
    <cellStyle name="Normal 4 25" xfId="4609" xr:uid="{00000000-0005-0000-0000-0000210E0000}"/>
    <cellStyle name="Normal 4 3" xfId="1119" xr:uid="{00000000-0005-0000-0000-0000220E0000}"/>
    <cellStyle name="Normal 4 3 2" xfId="2203" xr:uid="{00000000-0005-0000-0000-0000230E0000}"/>
    <cellStyle name="Normal 4 4" xfId="1120" xr:uid="{00000000-0005-0000-0000-0000240E0000}"/>
    <cellStyle name="Normal 4 5" xfId="1121" xr:uid="{00000000-0005-0000-0000-0000250E0000}"/>
    <cellStyle name="Normal 4 6" xfId="1122" xr:uid="{00000000-0005-0000-0000-0000260E0000}"/>
    <cellStyle name="Normal 4 7" xfId="1123" xr:uid="{00000000-0005-0000-0000-0000270E0000}"/>
    <cellStyle name="Normal 4 8" xfId="1124" xr:uid="{00000000-0005-0000-0000-0000280E0000}"/>
    <cellStyle name="Normal 4 9" xfId="1125" xr:uid="{00000000-0005-0000-0000-0000290E0000}"/>
    <cellStyle name="Normal 4_Energy &amp; Production Data" xfId="4610" xr:uid="{00000000-0005-0000-0000-00002A0E0000}"/>
    <cellStyle name="Normal 40" xfId="1126" xr:uid="{00000000-0005-0000-0000-00002B0E0000}"/>
    <cellStyle name="Normal 40 10" xfId="4611" xr:uid="{00000000-0005-0000-0000-00002C0E0000}"/>
    <cellStyle name="Normal 40 11" xfId="4612" xr:uid="{00000000-0005-0000-0000-00002D0E0000}"/>
    <cellStyle name="Normal 40 12" xfId="4613" xr:uid="{00000000-0005-0000-0000-00002E0E0000}"/>
    <cellStyle name="Normal 40 13" xfId="4614" xr:uid="{00000000-0005-0000-0000-00002F0E0000}"/>
    <cellStyle name="Normal 40 14" xfId="4615" xr:uid="{00000000-0005-0000-0000-0000300E0000}"/>
    <cellStyle name="Normal 40 15" xfId="4616" xr:uid="{00000000-0005-0000-0000-0000310E0000}"/>
    <cellStyle name="Normal 40 2" xfId="1127" xr:uid="{00000000-0005-0000-0000-0000320E0000}"/>
    <cellStyle name="Normal 40 2 2" xfId="4617" xr:uid="{00000000-0005-0000-0000-0000330E0000}"/>
    <cellStyle name="Normal 40 2_Monthly Energy Log" xfId="4618" xr:uid="{00000000-0005-0000-0000-0000340E0000}"/>
    <cellStyle name="Normal 40 3" xfId="2204" xr:uid="{00000000-0005-0000-0000-0000350E0000}"/>
    <cellStyle name="Normal 40 3 2" xfId="4619" xr:uid="{00000000-0005-0000-0000-0000360E0000}"/>
    <cellStyle name="Normal 40 3_For GOLD" xfId="4620" xr:uid="{00000000-0005-0000-0000-0000370E0000}"/>
    <cellStyle name="Normal 40 4" xfId="4621" xr:uid="{00000000-0005-0000-0000-0000380E0000}"/>
    <cellStyle name="Normal 40 5" xfId="4622" xr:uid="{00000000-0005-0000-0000-0000390E0000}"/>
    <cellStyle name="Normal 40 6" xfId="4623" xr:uid="{00000000-0005-0000-0000-00003A0E0000}"/>
    <cellStyle name="Normal 40 7" xfId="4624" xr:uid="{00000000-0005-0000-0000-00003B0E0000}"/>
    <cellStyle name="Normal 40 8" xfId="4625" xr:uid="{00000000-0005-0000-0000-00003C0E0000}"/>
    <cellStyle name="Normal 40 9" xfId="4626" xr:uid="{00000000-0005-0000-0000-00003D0E0000}"/>
    <cellStyle name="Normal 40_Estimated Stucco per Month" xfId="1128" xr:uid="{00000000-0005-0000-0000-00003E0E0000}"/>
    <cellStyle name="Normal 41" xfId="1129" xr:uid="{00000000-0005-0000-0000-00003F0E0000}"/>
    <cellStyle name="Normal 41 2" xfId="1130" xr:uid="{00000000-0005-0000-0000-0000400E0000}"/>
    <cellStyle name="Normal 41 2 2" xfId="4627" xr:uid="{00000000-0005-0000-0000-0000410E0000}"/>
    <cellStyle name="Normal 41 2_Monthly Energy Log" xfId="4628" xr:uid="{00000000-0005-0000-0000-0000420E0000}"/>
    <cellStyle name="Normal 41 3" xfId="2205" xr:uid="{00000000-0005-0000-0000-0000430E0000}"/>
    <cellStyle name="Normal 41_BP ME Calc." xfId="4629" xr:uid="{00000000-0005-0000-0000-0000440E0000}"/>
    <cellStyle name="Normal 42" xfId="1131" xr:uid="{00000000-0005-0000-0000-0000450E0000}"/>
    <cellStyle name="Normal 42 10" xfId="4630" xr:uid="{00000000-0005-0000-0000-0000460E0000}"/>
    <cellStyle name="Normal 42 11" xfId="4631" xr:uid="{00000000-0005-0000-0000-0000470E0000}"/>
    <cellStyle name="Normal 42 12" xfId="4632" xr:uid="{00000000-0005-0000-0000-0000480E0000}"/>
    <cellStyle name="Normal 42 13" xfId="4633" xr:uid="{00000000-0005-0000-0000-0000490E0000}"/>
    <cellStyle name="Normal 42 14" xfId="4634" xr:uid="{00000000-0005-0000-0000-00004A0E0000}"/>
    <cellStyle name="Normal 42 2" xfId="2206" xr:uid="{00000000-0005-0000-0000-00004B0E0000}"/>
    <cellStyle name="Normal 42 2 2" xfId="4635" xr:uid="{00000000-0005-0000-0000-00004C0E0000}"/>
    <cellStyle name="Normal 42 2_For GOLD" xfId="4636" xr:uid="{00000000-0005-0000-0000-00004D0E0000}"/>
    <cellStyle name="Normal 42 3" xfId="4637" xr:uid="{00000000-0005-0000-0000-00004E0E0000}"/>
    <cellStyle name="Normal 42 4" xfId="4638" xr:uid="{00000000-0005-0000-0000-00004F0E0000}"/>
    <cellStyle name="Normal 42 5" xfId="4639" xr:uid="{00000000-0005-0000-0000-0000500E0000}"/>
    <cellStyle name="Normal 42 6" xfId="4640" xr:uid="{00000000-0005-0000-0000-0000510E0000}"/>
    <cellStyle name="Normal 42 7" xfId="4641" xr:uid="{00000000-0005-0000-0000-0000520E0000}"/>
    <cellStyle name="Normal 42 8" xfId="4642" xr:uid="{00000000-0005-0000-0000-0000530E0000}"/>
    <cellStyle name="Normal 42 9" xfId="4643" xr:uid="{00000000-0005-0000-0000-0000540E0000}"/>
    <cellStyle name="Normal 42_For GOLD" xfId="4644" xr:uid="{00000000-0005-0000-0000-0000550E0000}"/>
    <cellStyle name="Normal 43" xfId="1132" xr:uid="{00000000-0005-0000-0000-0000560E0000}"/>
    <cellStyle name="Normal 43 2" xfId="1133" xr:uid="{00000000-0005-0000-0000-0000570E0000}"/>
    <cellStyle name="Normal 43 2 2" xfId="4645" xr:uid="{00000000-0005-0000-0000-0000580E0000}"/>
    <cellStyle name="Normal 43 2_Monthly Energy Log" xfId="4646" xr:uid="{00000000-0005-0000-0000-0000590E0000}"/>
    <cellStyle name="Normal 43 3" xfId="2207" xr:uid="{00000000-0005-0000-0000-00005A0E0000}"/>
    <cellStyle name="Normal 43_BP ME Calc." xfId="4647" xr:uid="{00000000-0005-0000-0000-00005B0E0000}"/>
    <cellStyle name="Normal 44" xfId="1134" xr:uid="{00000000-0005-0000-0000-00005C0E0000}"/>
    <cellStyle name="Normal 44 2" xfId="1135" xr:uid="{00000000-0005-0000-0000-00005D0E0000}"/>
    <cellStyle name="Normal 44 2 2" xfId="4648" xr:uid="{00000000-0005-0000-0000-00005E0E0000}"/>
    <cellStyle name="Normal 44 2_Monthly Energy Log" xfId="4649" xr:uid="{00000000-0005-0000-0000-00005F0E0000}"/>
    <cellStyle name="Normal 44 3" xfId="2208" xr:uid="{00000000-0005-0000-0000-0000600E0000}"/>
    <cellStyle name="Normal 44_BP ME Calc." xfId="4650" xr:uid="{00000000-0005-0000-0000-0000610E0000}"/>
    <cellStyle name="Normal 45" xfId="1136" xr:uid="{00000000-0005-0000-0000-0000620E0000}"/>
    <cellStyle name="Normal 45 2" xfId="1137" xr:uid="{00000000-0005-0000-0000-0000630E0000}"/>
    <cellStyle name="Normal 45 2 2" xfId="4651" xr:uid="{00000000-0005-0000-0000-0000640E0000}"/>
    <cellStyle name="Normal 45 2_Monthly Energy Log" xfId="4652" xr:uid="{00000000-0005-0000-0000-0000650E0000}"/>
    <cellStyle name="Normal 45 3" xfId="2209" xr:uid="{00000000-0005-0000-0000-0000660E0000}"/>
    <cellStyle name="Normal 45_BP ME Calc." xfId="4653" xr:uid="{00000000-0005-0000-0000-0000670E0000}"/>
    <cellStyle name="Normal 46" xfId="1138" xr:uid="{00000000-0005-0000-0000-0000680E0000}"/>
    <cellStyle name="Normal 46 10" xfId="4654" xr:uid="{00000000-0005-0000-0000-0000690E0000}"/>
    <cellStyle name="Normal 46 11" xfId="4655" xr:uid="{00000000-0005-0000-0000-00006A0E0000}"/>
    <cellStyle name="Normal 46 12" xfId="4656" xr:uid="{00000000-0005-0000-0000-00006B0E0000}"/>
    <cellStyle name="Normal 46 13" xfId="4657" xr:uid="{00000000-0005-0000-0000-00006C0E0000}"/>
    <cellStyle name="Normal 46 14" xfId="4658" xr:uid="{00000000-0005-0000-0000-00006D0E0000}"/>
    <cellStyle name="Normal 46 2" xfId="2210" xr:uid="{00000000-0005-0000-0000-00006E0E0000}"/>
    <cellStyle name="Normal 46 2 2" xfId="4659" xr:uid="{00000000-0005-0000-0000-00006F0E0000}"/>
    <cellStyle name="Normal 46 2_For GOLD" xfId="4660" xr:uid="{00000000-0005-0000-0000-0000700E0000}"/>
    <cellStyle name="Normal 46 3" xfId="4661" xr:uid="{00000000-0005-0000-0000-0000710E0000}"/>
    <cellStyle name="Normal 46 4" xfId="4662" xr:uid="{00000000-0005-0000-0000-0000720E0000}"/>
    <cellStyle name="Normal 46 5" xfId="4663" xr:uid="{00000000-0005-0000-0000-0000730E0000}"/>
    <cellStyle name="Normal 46 6" xfId="4664" xr:uid="{00000000-0005-0000-0000-0000740E0000}"/>
    <cellStyle name="Normal 46 7" xfId="4665" xr:uid="{00000000-0005-0000-0000-0000750E0000}"/>
    <cellStyle name="Normal 46 8" xfId="4666" xr:uid="{00000000-0005-0000-0000-0000760E0000}"/>
    <cellStyle name="Normal 46 9" xfId="4667" xr:uid="{00000000-0005-0000-0000-0000770E0000}"/>
    <cellStyle name="Normal 46_For GOLD" xfId="4668" xr:uid="{00000000-0005-0000-0000-0000780E0000}"/>
    <cellStyle name="Normal 47" xfId="1139" xr:uid="{00000000-0005-0000-0000-0000790E0000}"/>
    <cellStyle name="Normal 47 2" xfId="1140" xr:uid="{00000000-0005-0000-0000-00007A0E0000}"/>
    <cellStyle name="Normal 47 2 2" xfId="4669" xr:uid="{00000000-0005-0000-0000-00007B0E0000}"/>
    <cellStyle name="Normal 47 2_Monthly Energy Log" xfId="4670" xr:uid="{00000000-0005-0000-0000-00007C0E0000}"/>
    <cellStyle name="Normal 47 3" xfId="2211" xr:uid="{00000000-0005-0000-0000-00007D0E0000}"/>
    <cellStyle name="Normal 47_BP ME Calc." xfId="4671" xr:uid="{00000000-0005-0000-0000-00007E0E0000}"/>
    <cellStyle name="Normal 48" xfId="1141" xr:uid="{00000000-0005-0000-0000-00007F0E0000}"/>
    <cellStyle name="Normal 48 2" xfId="1142" xr:uid="{00000000-0005-0000-0000-0000800E0000}"/>
    <cellStyle name="Normal 48 2 2" xfId="4672" xr:uid="{00000000-0005-0000-0000-0000810E0000}"/>
    <cellStyle name="Normal 48 2_Monthly Energy Log" xfId="4673" xr:uid="{00000000-0005-0000-0000-0000820E0000}"/>
    <cellStyle name="Normal 48 3" xfId="4674" xr:uid="{00000000-0005-0000-0000-0000830E0000}"/>
    <cellStyle name="Normal 48_BP ME Calc." xfId="4675" xr:uid="{00000000-0005-0000-0000-0000840E0000}"/>
    <cellStyle name="Normal 49" xfId="1143" xr:uid="{00000000-0005-0000-0000-0000850E0000}"/>
    <cellStyle name="Normal 49 2" xfId="1144" xr:uid="{00000000-0005-0000-0000-0000860E0000}"/>
    <cellStyle name="Normal 49 2 2" xfId="4676" xr:uid="{00000000-0005-0000-0000-0000870E0000}"/>
    <cellStyle name="Normal 49 2_Monthly Energy Log" xfId="4677" xr:uid="{00000000-0005-0000-0000-0000880E0000}"/>
    <cellStyle name="Normal 49 3" xfId="4678" xr:uid="{00000000-0005-0000-0000-0000890E0000}"/>
    <cellStyle name="Normal 49_BP ME Calc." xfId="4679" xr:uid="{00000000-0005-0000-0000-00008A0E0000}"/>
    <cellStyle name="Normal 5" xfId="1145" xr:uid="{00000000-0005-0000-0000-00008B0E0000}"/>
    <cellStyle name="Normal 5 10" xfId="4680" xr:uid="{00000000-0005-0000-0000-00008C0E0000}"/>
    <cellStyle name="Normal 5 11" xfId="4681" xr:uid="{00000000-0005-0000-0000-00008D0E0000}"/>
    <cellStyle name="Normal 5 12" xfId="4682" xr:uid="{00000000-0005-0000-0000-00008E0E0000}"/>
    <cellStyle name="Normal 5 13" xfId="4683" xr:uid="{00000000-0005-0000-0000-00008F0E0000}"/>
    <cellStyle name="Normal 5 14" xfId="4684" xr:uid="{00000000-0005-0000-0000-0000900E0000}"/>
    <cellStyle name="Normal 5 15" xfId="4685" xr:uid="{00000000-0005-0000-0000-0000910E0000}"/>
    <cellStyle name="Normal 5 16" xfId="4686" xr:uid="{00000000-0005-0000-0000-0000920E0000}"/>
    <cellStyle name="Normal 5 17" xfId="4687" xr:uid="{00000000-0005-0000-0000-0000930E0000}"/>
    <cellStyle name="Normal 5 18" xfId="4688" xr:uid="{00000000-0005-0000-0000-0000940E0000}"/>
    <cellStyle name="Normal 5 19" xfId="4689" xr:uid="{00000000-0005-0000-0000-0000950E0000}"/>
    <cellStyle name="Normal 5 2" xfId="1146" xr:uid="{00000000-0005-0000-0000-0000960E0000}"/>
    <cellStyle name="Normal 5 2 10" xfId="1147" xr:uid="{00000000-0005-0000-0000-0000970E0000}"/>
    <cellStyle name="Normal 5 2 11" xfId="1148" xr:uid="{00000000-0005-0000-0000-0000980E0000}"/>
    <cellStyle name="Normal 5 2 12" xfId="1149" xr:uid="{00000000-0005-0000-0000-0000990E0000}"/>
    <cellStyle name="Normal 5 2 13" xfId="1150" xr:uid="{00000000-0005-0000-0000-00009A0E0000}"/>
    <cellStyle name="Normal 5 2 14" xfId="1151" xr:uid="{00000000-0005-0000-0000-00009B0E0000}"/>
    <cellStyle name="Normal 5 2 15" xfId="1152" xr:uid="{00000000-0005-0000-0000-00009C0E0000}"/>
    <cellStyle name="Normal 5 2 16" xfId="1153" xr:uid="{00000000-0005-0000-0000-00009D0E0000}"/>
    <cellStyle name="Normal 5 2 17" xfId="1154" xr:uid="{00000000-0005-0000-0000-00009E0E0000}"/>
    <cellStyle name="Normal 5 2 18" xfId="1155" xr:uid="{00000000-0005-0000-0000-00009F0E0000}"/>
    <cellStyle name="Normal 5 2 19" xfId="1156" xr:uid="{00000000-0005-0000-0000-0000A00E0000}"/>
    <cellStyle name="Normal 5 2 2" xfId="1157" xr:uid="{00000000-0005-0000-0000-0000A10E0000}"/>
    <cellStyle name="Normal 5 2 20" xfId="1158" xr:uid="{00000000-0005-0000-0000-0000A20E0000}"/>
    <cellStyle name="Normal 5 2 21" xfId="1159" xr:uid="{00000000-0005-0000-0000-0000A30E0000}"/>
    <cellStyle name="Normal 5 2 22" xfId="1160" xr:uid="{00000000-0005-0000-0000-0000A40E0000}"/>
    <cellStyle name="Normal 5 2 23" xfId="2212" xr:uid="{00000000-0005-0000-0000-0000A50E0000}"/>
    <cellStyle name="Normal 5 2 3" xfId="1161" xr:uid="{00000000-0005-0000-0000-0000A60E0000}"/>
    <cellStyle name="Normal 5 2 4" xfId="1162" xr:uid="{00000000-0005-0000-0000-0000A70E0000}"/>
    <cellStyle name="Normal 5 2 5" xfId="1163" xr:uid="{00000000-0005-0000-0000-0000A80E0000}"/>
    <cellStyle name="Normal 5 2 6" xfId="1164" xr:uid="{00000000-0005-0000-0000-0000A90E0000}"/>
    <cellStyle name="Normal 5 2 7" xfId="1165" xr:uid="{00000000-0005-0000-0000-0000AA0E0000}"/>
    <cellStyle name="Normal 5 2 8" xfId="1166" xr:uid="{00000000-0005-0000-0000-0000AB0E0000}"/>
    <cellStyle name="Normal 5 2 9" xfId="1167" xr:uid="{00000000-0005-0000-0000-0000AC0E0000}"/>
    <cellStyle name="Normal 5 2_Energy &amp; Production Data" xfId="4690" xr:uid="{00000000-0005-0000-0000-0000AD0E0000}"/>
    <cellStyle name="Normal 5 20" xfId="4691" xr:uid="{00000000-0005-0000-0000-0000AE0E0000}"/>
    <cellStyle name="Normal 5 21" xfId="4692" xr:uid="{00000000-0005-0000-0000-0000AF0E0000}"/>
    <cellStyle name="Normal 5 3" xfId="2213" xr:uid="{00000000-0005-0000-0000-0000B00E0000}"/>
    <cellStyle name="Normal 5 3 2" xfId="4693" xr:uid="{00000000-0005-0000-0000-0000B10E0000}"/>
    <cellStyle name="Normal 5 3_For GOLD" xfId="4694" xr:uid="{00000000-0005-0000-0000-0000B20E0000}"/>
    <cellStyle name="Normal 5 4" xfId="2214" xr:uid="{00000000-0005-0000-0000-0000B30E0000}"/>
    <cellStyle name="Normal 5 5" xfId="4695" xr:uid="{00000000-0005-0000-0000-0000B40E0000}"/>
    <cellStyle name="Normal 5 6" xfId="4696" xr:uid="{00000000-0005-0000-0000-0000B50E0000}"/>
    <cellStyle name="Normal 5 7" xfId="4697" xr:uid="{00000000-0005-0000-0000-0000B60E0000}"/>
    <cellStyle name="Normal 5 8" xfId="4698" xr:uid="{00000000-0005-0000-0000-0000B70E0000}"/>
    <cellStyle name="Normal 5 9" xfId="4699" xr:uid="{00000000-0005-0000-0000-0000B80E0000}"/>
    <cellStyle name="Normal 5_Energy &amp; Production Data" xfId="4700" xr:uid="{00000000-0005-0000-0000-0000B90E0000}"/>
    <cellStyle name="Normal 50" xfId="1168" xr:uid="{00000000-0005-0000-0000-0000BA0E0000}"/>
    <cellStyle name="Normal 50 10" xfId="4701" xr:uid="{00000000-0005-0000-0000-0000BB0E0000}"/>
    <cellStyle name="Normal 50 11" xfId="4702" xr:uid="{00000000-0005-0000-0000-0000BC0E0000}"/>
    <cellStyle name="Normal 50 12" xfId="4703" xr:uid="{00000000-0005-0000-0000-0000BD0E0000}"/>
    <cellStyle name="Normal 50 13" xfId="4704" xr:uid="{00000000-0005-0000-0000-0000BE0E0000}"/>
    <cellStyle name="Normal 50 14" xfId="4705" xr:uid="{00000000-0005-0000-0000-0000BF0E0000}"/>
    <cellStyle name="Normal 50 2" xfId="4706" xr:uid="{00000000-0005-0000-0000-0000C00E0000}"/>
    <cellStyle name="Normal 50 2 2" xfId="4707" xr:uid="{00000000-0005-0000-0000-0000C10E0000}"/>
    <cellStyle name="Normal 50 2_For GOLD" xfId="4708" xr:uid="{00000000-0005-0000-0000-0000C20E0000}"/>
    <cellStyle name="Normal 50 3" xfId="4709" xr:uid="{00000000-0005-0000-0000-0000C30E0000}"/>
    <cellStyle name="Normal 50 4" xfId="4710" xr:uid="{00000000-0005-0000-0000-0000C40E0000}"/>
    <cellStyle name="Normal 50 5" xfId="4711" xr:uid="{00000000-0005-0000-0000-0000C50E0000}"/>
    <cellStyle name="Normal 50 6" xfId="4712" xr:uid="{00000000-0005-0000-0000-0000C60E0000}"/>
    <cellStyle name="Normal 50 7" xfId="4713" xr:uid="{00000000-0005-0000-0000-0000C70E0000}"/>
    <cellStyle name="Normal 50 8" xfId="4714" xr:uid="{00000000-0005-0000-0000-0000C80E0000}"/>
    <cellStyle name="Normal 50 9" xfId="4715" xr:uid="{00000000-0005-0000-0000-0000C90E0000}"/>
    <cellStyle name="Normal 50_For GOLD" xfId="4716" xr:uid="{00000000-0005-0000-0000-0000CA0E0000}"/>
    <cellStyle name="Normal 51" xfId="1169" xr:uid="{00000000-0005-0000-0000-0000CB0E0000}"/>
    <cellStyle name="Normal 51 10" xfId="4717" xr:uid="{00000000-0005-0000-0000-0000CC0E0000}"/>
    <cellStyle name="Normal 51 11" xfId="4718" xr:uid="{00000000-0005-0000-0000-0000CD0E0000}"/>
    <cellStyle name="Normal 51 12" xfId="4719" xr:uid="{00000000-0005-0000-0000-0000CE0E0000}"/>
    <cellStyle name="Normal 51 13" xfId="4720" xr:uid="{00000000-0005-0000-0000-0000CF0E0000}"/>
    <cellStyle name="Normal 51 14" xfId="4721" xr:uid="{00000000-0005-0000-0000-0000D00E0000}"/>
    <cellStyle name="Normal 51 2" xfId="4722" xr:uid="{00000000-0005-0000-0000-0000D10E0000}"/>
    <cellStyle name="Normal 51 2 2" xfId="4723" xr:uid="{00000000-0005-0000-0000-0000D20E0000}"/>
    <cellStyle name="Normal 51 2_For GOLD" xfId="4724" xr:uid="{00000000-0005-0000-0000-0000D30E0000}"/>
    <cellStyle name="Normal 51 3" xfId="4725" xr:uid="{00000000-0005-0000-0000-0000D40E0000}"/>
    <cellStyle name="Normal 51 4" xfId="4726" xr:uid="{00000000-0005-0000-0000-0000D50E0000}"/>
    <cellStyle name="Normal 51 5" xfId="4727" xr:uid="{00000000-0005-0000-0000-0000D60E0000}"/>
    <cellStyle name="Normal 51 6" xfId="4728" xr:uid="{00000000-0005-0000-0000-0000D70E0000}"/>
    <cellStyle name="Normal 51 7" xfId="4729" xr:uid="{00000000-0005-0000-0000-0000D80E0000}"/>
    <cellStyle name="Normal 51 8" xfId="4730" xr:uid="{00000000-0005-0000-0000-0000D90E0000}"/>
    <cellStyle name="Normal 51 9" xfId="4731" xr:uid="{00000000-0005-0000-0000-0000DA0E0000}"/>
    <cellStyle name="Normal 51_For GOLD" xfId="4732" xr:uid="{00000000-0005-0000-0000-0000DB0E0000}"/>
    <cellStyle name="Normal 52" xfId="1170" xr:uid="{00000000-0005-0000-0000-0000DC0E0000}"/>
    <cellStyle name="Normal 52 10" xfId="4733" xr:uid="{00000000-0005-0000-0000-0000DD0E0000}"/>
    <cellStyle name="Normal 52 11" xfId="4734" xr:uid="{00000000-0005-0000-0000-0000DE0E0000}"/>
    <cellStyle name="Normal 52 12" xfId="4735" xr:uid="{00000000-0005-0000-0000-0000DF0E0000}"/>
    <cellStyle name="Normal 52 13" xfId="4736" xr:uid="{00000000-0005-0000-0000-0000E00E0000}"/>
    <cellStyle name="Normal 52 14" xfId="4737" xr:uid="{00000000-0005-0000-0000-0000E10E0000}"/>
    <cellStyle name="Normal 52 2" xfId="4738" xr:uid="{00000000-0005-0000-0000-0000E20E0000}"/>
    <cellStyle name="Normal 52 2 2" xfId="4739" xr:uid="{00000000-0005-0000-0000-0000E30E0000}"/>
    <cellStyle name="Normal 52 2_For GOLD" xfId="4740" xr:uid="{00000000-0005-0000-0000-0000E40E0000}"/>
    <cellStyle name="Normal 52 3" xfId="4741" xr:uid="{00000000-0005-0000-0000-0000E50E0000}"/>
    <cellStyle name="Normal 52 4" xfId="4742" xr:uid="{00000000-0005-0000-0000-0000E60E0000}"/>
    <cellStyle name="Normal 52 5" xfId="4743" xr:uid="{00000000-0005-0000-0000-0000E70E0000}"/>
    <cellStyle name="Normal 52 6" xfId="4744" xr:uid="{00000000-0005-0000-0000-0000E80E0000}"/>
    <cellStyle name="Normal 52 7" xfId="4745" xr:uid="{00000000-0005-0000-0000-0000E90E0000}"/>
    <cellStyle name="Normal 52 8" xfId="4746" xr:uid="{00000000-0005-0000-0000-0000EA0E0000}"/>
    <cellStyle name="Normal 52 9" xfId="4747" xr:uid="{00000000-0005-0000-0000-0000EB0E0000}"/>
    <cellStyle name="Normal 52_For GOLD" xfId="4748" xr:uid="{00000000-0005-0000-0000-0000EC0E0000}"/>
    <cellStyle name="Normal 53" xfId="1171" xr:uid="{00000000-0005-0000-0000-0000ED0E0000}"/>
    <cellStyle name="Normal 53 2" xfId="4749" xr:uid="{00000000-0005-0000-0000-0000EE0E0000}"/>
    <cellStyle name="Normal 53_Monthly Energy Log" xfId="4750" xr:uid="{00000000-0005-0000-0000-0000EF0E0000}"/>
    <cellStyle name="Normal 54" xfId="1172" xr:uid="{00000000-0005-0000-0000-0000F00E0000}"/>
    <cellStyle name="Normal 54 2" xfId="4751" xr:uid="{00000000-0005-0000-0000-0000F10E0000}"/>
    <cellStyle name="Normal 54_Monthly Energy Log" xfId="4752" xr:uid="{00000000-0005-0000-0000-0000F20E0000}"/>
    <cellStyle name="Normal 55" xfId="1173" xr:uid="{00000000-0005-0000-0000-0000F30E0000}"/>
    <cellStyle name="Normal 55 2" xfId="4753" xr:uid="{00000000-0005-0000-0000-0000F40E0000}"/>
    <cellStyle name="Normal 55_Monthly Energy Log" xfId="4754" xr:uid="{00000000-0005-0000-0000-0000F50E0000}"/>
    <cellStyle name="Normal 56" xfId="1174" xr:uid="{00000000-0005-0000-0000-0000F60E0000}"/>
    <cellStyle name="Normal 56 10" xfId="4755" xr:uid="{00000000-0005-0000-0000-0000F70E0000}"/>
    <cellStyle name="Normal 56 11" xfId="4756" xr:uid="{00000000-0005-0000-0000-0000F80E0000}"/>
    <cellStyle name="Normal 56 12" xfId="4757" xr:uid="{00000000-0005-0000-0000-0000F90E0000}"/>
    <cellStyle name="Normal 56 13" xfId="4758" xr:uid="{00000000-0005-0000-0000-0000FA0E0000}"/>
    <cellStyle name="Normal 56 14" xfId="4759" xr:uid="{00000000-0005-0000-0000-0000FB0E0000}"/>
    <cellStyle name="Normal 56 2" xfId="4760" xr:uid="{00000000-0005-0000-0000-0000FC0E0000}"/>
    <cellStyle name="Normal 56 3" xfId="4761" xr:uid="{00000000-0005-0000-0000-0000FD0E0000}"/>
    <cellStyle name="Normal 56 4" xfId="4762" xr:uid="{00000000-0005-0000-0000-0000FE0E0000}"/>
    <cellStyle name="Normal 56 5" xfId="4763" xr:uid="{00000000-0005-0000-0000-0000FF0E0000}"/>
    <cellStyle name="Normal 56 6" xfId="4764" xr:uid="{00000000-0005-0000-0000-0000000F0000}"/>
    <cellStyle name="Normal 56 7" xfId="4765" xr:uid="{00000000-0005-0000-0000-0000010F0000}"/>
    <cellStyle name="Normal 56 8" xfId="4766" xr:uid="{00000000-0005-0000-0000-0000020F0000}"/>
    <cellStyle name="Normal 56 9" xfId="4767" xr:uid="{00000000-0005-0000-0000-0000030F0000}"/>
    <cellStyle name="Normal 56_For GOLD" xfId="4768" xr:uid="{00000000-0005-0000-0000-0000040F0000}"/>
    <cellStyle name="Normal 57" xfId="1175" xr:uid="{00000000-0005-0000-0000-0000050F0000}"/>
    <cellStyle name="Normal 57 10" xfId="4769" xr:uid="{00000000-0005-0000-0000-0000060F0000}"/>
    <cellStyle name="Normal 57 11" xfId="4770" xr:uid="{00000000-0005-0000-0000-0000070F0000}"/>
    <cellStyle name="Normal 57 12" xfId="4771" xr:uid="{00000000-0005-0000-0000-0000080F0000}"/>
    <cellStyle name="Normal 57 13" xfId="4772" xr:uid="{00000000-0005-0000-0000-0000090F0000}"/>
    <cellStyle name="Normal 57 14" xfId="4773" xr:uid="{00000000-0005-0000-0000-00000A0F0000}"/>
    <cellStyle name="Normal 57 15" xfId="4774" xr:uid="{00000000-0005-0000-0000-00000B0F0000}"/>
    <cellStyle name="Normal 57 2" xfId="1176" xr:uid="{00000000-0005-0000-0000-00000C0F0000}"/>
    <cellStyle name="Normal 57 2 2" xfId="4775" xr:uid="{00000000-0005-0000-0000-00000D0F0000}"/>
    <cellStyle name="Normal 57 2_For GOLD" xfId="4776" xr:uid="{00000000-0005-0000-0000-00000E0F0000}"/>
    <cellStyle name="Normal 57 3" xfId="4777" xr:uid="{00000000-0005-0000-0000-00000F0F0000}"/>
    <cellStyle name="Normal 57 4" xfId="4778" xr:uid="{00000000-0005-0000-0000-0000100F0000}"/>
    <cellStyle name="Normal 57 5" xfId="4779" xr:uid="{00000000-0005-0000-0000-0000110F0000}"/>
    <cellStyle name="Normal 57 6" xfId="4780" xr:uid="{00000000-0005-0000-0000-0000120F0000}"/>
    <cellStyle name="Normal 57 7" xfId="4781" xr:uid="{00000000-0005-0000-0000-0000130F0000}"/>
    <cellStyle name="Normal 57 8" xfId="4782" xr:uid="{00000000-0005-0000-0000-0000140F0000}"/>
    <cellStyle name="Normal 57 9" xfId="4783" xr:uid="{00000000-0005-0000-0000-0000150F0000}"/>
    <cellStyle name="Normal 57_Estimated Stucco per Month" xfId="1177" xr:uid="{00000000-0005-0000-0000-0000160F0000}"/>
    <cellStyle name="Normal 58" xfId="1178" xr:uid="{00000000-0005-0000-0000-0000170F0000}"/>
    <cellStyle name="Normal 58 10" xfId="4784" xr:uid="{00000000-0005-0000-0000-0000180F0000}"/>
    <cellStyle name="Normal 58 11" xfId="4785" xr:uid="{00000000-0005-0000-0000-0000190F0000}"/>
    <cellStyle name="Normal 58 12" xfId="4786" xr:uid="{00000000-0005-0000-0000-00001A0F0000}"/>
    <cellStyle name="Normal 58 13" xfId="4787" xr:uid="{00000000-0005-0000-0000-00001B0F0000}"/>
    <cellStyle name="Normal 58 14" xfId="4788" xr:uid="{00000000-0005-0000-0000-00001C0F0000}"/>
    <cellStyle name="Normal 58 15" xfId="4789" xr:uid="{00000000-0005-0000-0000-00001D0F0000}"/>
    <cellStyle name="Normal 58 2" xfId="1179" xr:uid="{00000000-0005-0000-0000-00001E0F0000}"/>
    <cellStyle name="Normal 58 2 2" xfId="4790" xr:uid="{00000000-0005-0000-0000-00001F0F0000}"/>
    <cellStyle name="Normal 58 2_For GOLD" xfId="4791" xr:uid="{00000000-0005-0000-0000-0000200F0000}"/>
    <cellStyle name="Normal 58 3" xfId="4792" xr:uid="{00000000-0005-0000-0000-0000210F0000}"/>
    <cellStyle name="Normal 58 4" xfId="4793" xr:uid="{00000000-0005-0000-0000-0000220F0000}"/>
    <cellStyle name="Normal 58 5" xfId="4794" xr:uid="{00000000-0005-0000-0000-0000230F0000}"/>
    <cellStyle name="Normal 58 6" xfId="4795" xr:uid="{00000000-0005-0000-0000-0000240F0000}"/>
    <cellStyle name="Normal 58 7" xfId="4796" xr:uid="{00000000-0005-0000-0000-0000250F0000}"/>
    <cellStyle name="Normal 58 8" xfId="4797" xr:uid="{00000000-0005-0000-0000-0000260F0000}"/>
    <cellStyle name="Normal 58 9" xfId="4798" xr:uid="{00000000-0005-0000-0000-0000270F0000}"/>
    <cellStyle name="Normal 58_Estimated Stucco per Month" xfId="1180" xr:uid="{00000000-0005-0000-0000-0000280F0000}"/>
    <cellStyle name="Normal 59" xfId="1181" xr:uid="{00000000-0005-0000-0000-0000290F0000}"/>
    <cellStyle name="Normal 59 2" xfId="1182" xr:uid="{00000000-0005-0000-0000-00002A0F0000}"/>
    <cellStyle name="Normal 59 2 2" xfId="4799" xr:uid="{00000000-0005-0000-0000-00002B0F0000}"/>
    <cellStyle name="Normal 59 2 2 2" xfId="4800" xr:uid="{00000000-0005-0000-0000-00002C0F0000}"/>
    <cellStyle name="Normal 59 2 2_For GOLD" xfId="4801" xr:uid="{00000000-0005-0000-0000-00002D0F0000}"/>
    <cellStyle name="Normal 59 2 3" xfId="4802" xr:uid="{00000000-0005-0000-0000-00002E0F0000}"/>
    <cellStyle name="Normal 59 2_Monthly Energy Log" xfId="4803" xr:uid="{00000000-0005-0000-0000-00002F0F0000}"/>
    <cellStyle name="Normal 59 3" xfId="4804" xr:uid="{00000000-0005-0000-0000-0000300F0000}"/>
    <cellStyle name="Normal 59 3 2" xfId="4805" xr:uid="{00000000-0005-0000-0000-0000310F0000}"/>
    <cellStyle name="Normal 59 3_For GOLD" xfId="4806" xr:uid="{00000000-0005-0000-0000-0000320F0000}"/>
    <cellStyle name="Normal 59_For GOLD" xfId="4807" xr:uid="{00000000-0005-0000-0000-0000330F0000}"/>
    <cellStyle name="Normal 6" xfId="1183" xr:uid="{00000000-0005-0000-0000-0000340F0000}"/>
    <cellStyle name="Normal 6 10" xfId="4808" xr:uid="{00000000-0005-0000-0000-0000350F0000}"/>
    <cellStyle name="Normal 6 11" xfId="4809" xr:uid="{00000000-0005-0000-0000-0000360F0000}"/>
    <cellStyle name="Normal 6 12" xfId="4810" xr:uid="{00000000-0005-0000-0000-0000370F0000}"/>
    <cellStyle name="Normal 6 13" xfId="4811" xr:uid="{00000000-0005-0000-0000-0000380F0000}"/>
    <cellStyle name="Normal 6 14" xfId="4812" xr:uid="{00000000-0005-0000-0000-0000390F0000}"/>
    <cellStyle name="Normal 6 2" xfId="2216" xr:uid="{00000000-0005-0000-0000-00003A0F0000}"/>
    <cellStyle name="Normal 6 3" xfId="2215" xr:uid="{00000000-0005-0000-0000-00003B0F0000}"/>
    <cellStyle name="Normal 6 4" xfId="4813" xr:uid="{00000000-0005-0000-0000-00003C0F0000}"/>
    <cellStyle name="Normal 6 4 2" xfId="4814" xr:uid="{00000000-0005-0000-0000-00003D0F0000}"/>
    <cellStyle name="Normal 6 4_For GOLD" xfId="4815" xr:uid="{00000000-0005-0000-0000-00003E0F0000}"/>
    <cellStyle name="Normal 6 5" xfId="4816" xr:uid="{00000000-0005-0000-0000-00003F0F0000}"/>
    <cellStyle name="Normal 6 6" xfId="4817" xr:uid="{00000000-0005-0000-0000-0000400F0000}"/>
    <cellStyle name="Normal 6 7" xfId="4818" xr:uid="{00000000-0005-0000-0000-0000410F0000}"/>
    <cellStyle name="Normal 6 8" xfId="4819" xr:uid="{00000000-0005-0000-0000-0000420F0000}"/>
    <cellStyle name="Normal 6 9" xfId="4820" xr:uid="{00000000-0005-0000-0000-0000430F0000}"/>
    <cellStyle name="Normal 6_Energy &amp; Production Data" xfId="4821" xr:uid="{00000000-0005-0000-0000-0000440F0000}"/>
    <cellStyle name="Normal 60" xfId="1184" xr:uid="{00000000-0005-0000-0000-0000450F0000}"/>
    <cellStyle name="Normal 60 2" xfId="1185" xr:uid="{00000000-0005-0000-0000-0000460F0000}"/>
    <cellStyle name="Normal 60 2 2" xfId="4822" xr:uid="{00000000-0005-0000-0000-0000470F0000}"/>
    <cellStyle name="Normal 60 2_Monthly Energy Log" xfId="4823" xr:uid="{00000000-0005-0000-0000-0000480F0000}"/>
    <cellStyle name="Normal 60 3" xfId="4824" xr:uid="{00000000-0005-0000-0000-0000490F0000}"/>
    <cellStyle name="Normal 60_BP ME Calc." xfId="4825" xr:uid="{00000000-0005-0000-0000-00004A0F0000}"/>
    <cellStyle name="Normal 61" xfId="1186" xr:uid="{00000000-0005-0000-0000-00004B0F0000}"/>
    <cellStyle name="Normal 61 2" xfId="1187" xr:uid="{00000000-0005-0000-0000-00004C0F0000}"/>
    <cellStyle name="Normal 61 2 2" xfId="4826" xr:uid="{00000000-0005-0000-0000-00004D0F0000}"/>
    <cellStyle name="Normal 61 2_Monthly Energy Log" xfId="4827" xr:uid="{00000000-0005-0000-0000-00004E0F0000}"/>
    <cellStyle name="Normal 61 3" xfId="4828" xr:uid="{00000000-0005-0000-0000-00004F0F0000}"/>
    <cellStyle name="Normal 61_BP ME Calc." xfId="4829" xr:uid="{00000000-0005-0000-0000-0000500F0000}"/>
    <cellStyle name="Normal 62" xfId="1188" xr:uid="{00000000-0005-0000-0000-0000510F0000}"/>
    <cellStyle name="Normal 62 2" xfId="4830" xr:uid="{00000000-0005-0000-0000-0000520F0000}"/>
    <cellStyle name="Normal 62_For GOLD" xfId="4831" xr:uid="{00000000-0005-0000-0000-0000530F0000}"/>
    <cellStyle name="Normal 63" xfId="1189" xr:uid="{00000000-0005-0000-0000-0000540F0000}"/>
    <cellStyle name="Normal 63 2" xfId="1190" xr:uid="{00000000-0005-0000-0000-0000550F0000}"/>
    <cellStyle name="Normal 63 2 2" xfId="4832" xr:uid="{00000000-0005-0000-0000-0000560F0000}"/>
    <cellStyle name="Normal 63 2_For GOLD" xfId="4833" xr:uid="{00000000-0005-0000-0000-0000570F0000}"/>
    <cellStyle name="Normal 63 3" xfId="4834" xr:uid="{00000000-0005-0000-0000-0000580F0000}"/>
    <cellStyle name="Normal 63_BP ME Calc." xfId="4835" xr:uid="{00000000-0005-0000-0000-0000590F0000}"/>
    <cellStyle name="Normal 64" xfId="1191" xr:uid="{00000000-0005-0000-0000-00005A0F0000}"/>
    <cellStyle name="Normal 64 2" xfId="1192" xr:uid="{00000000-0005-0000-0000-00005B0F0000}"/>
    <cellStyle name="Normal 64 2 2" xfId="4836" xr:uid="{00000000-0005-0000-0000-00005C0F0000}"/>
    <cellStyle name="Normal 64 2_For GOLD" xfId="4837" xr:uid="{00000000-0005-0000-0000-00005D0F0000}"/>
    <cellStyle name="Normal 64 3" xfId="4838" xr:uid="{00000000-0005-0000-0000-00005E0F0000}"/>
    <cellStyle name="Normal 64_BP ME Calc." xfId="4839" xr:uid="{00000000-0005-0000-0000-00005F0F0000}"/>
    <cellStyle name="Normal 65" xfId="1193" xr:uid="{00000000-0005-0000-0000-0000600F0000}"/>
    <cellStyle name="Normal 65 2" xfId="4840" xr:uid="{00000000-0005-0000-0000-0000610F0000}"/>
    <cellStyle name="Normal 65_For GOLD" xfId="4841" xr:uid="{00000000-0005-0000-0000-0000620F0000}"/>
    <cellStyle name="Normal 66" xfId="1194" xr:uid="{00000000-0005-0000-0000-0000630F0000}"/>
    <cellStyle name="Normal 66 2" xfId="1195" xr:uid="{00000000-0005-0000-0000-0000640F0000}"/>
    <cellStyle name="Normal 66 2 2" xfId="4842" xr:uid="{00000000-0005-0000-0000-0000650F0000}"/>
    <cellStyle name="Normal 66 2_Monthly Energy Log" xfId="4843" xr:uid="{00000000-0005-0000-0000-0000660F0000}"/>
    <cellStyle name="Normal 66 3" xfId="4844" xr:uid="{00000000-0005-0000-0000-0000670F0000}"/>
    <cellStyle name="Normal 66_BP ME Calc." xfId="4845" xr:uid="{00000000-0005-0000-0000-0000680F0000}"/>
    <cellStyle name="Normal 67" xfId="1196" xr:uid="{00000000-0005-0000-0000-0000690F0000}"/>
    <cellStyle name="Normal 67 2" xfId="1197" xr:uid="{00000000-0005-0000-0000-00006A0F0000}"/>
    <cellStyle name="Normal 67 2 2" xfId="4846" xr:uid="{00000000-0005-0000-0000-00006B0F0000}"/>
    <cellStyle name="Normal 67 2_Monthly Energy Log" xfId="4847" xr:uid="{00000000-0005-0000-0000-00006C0F0000}"/>
    <cellStyle name="Normal 67 3" xfId="4848" xr:uid="{00000000-0005-0000-0000-00006D0F0000}"/>
    <cellStyle name="Normal 67_BP ME Calc." xfId="4849" xr:uid="{00000000-0005-0000-0000-00006E0F0000}"/>
    <cellStyle name="Normal 68" xfId="1198" xr:uid="{00000000-0005-0000-0000-00006F0F0000}"/>
    <cellStyle name="Normal 68 2" xfId="1199" xr:uid="{00000000-0005-0000-0000-0000700F0000}"/>
    <cellStyle name="Normal 68 2 2" xfId="4850" xr:uid="{00000000-0005-0000-0000-0000710F0000}"/>
    <cellStyle name="Normal 68 2_Monthly Energy Log" xfId="4851" xr:uid="{00000000-0005-0000-0000-0000720F0000}"/>
    <cellStyle name="Normal 68 3" xfId="4852" xr:uid="{00000000-0005-0000-0000-0000730F0000}"/>
    <cellStyle name="Normal 68_BP ME Calc." xfId="4853" xr:uid="{00000000-0005-0000-0000-0000740F0000}"/>
    <cellStyle name="Normal 69" xfId="1200" xr:uid="{00000000-0005-0000-0000-0000750F0000}"/>
    <cellStyle name="Normal 7" xfId="1201" xr:uid="{00000000-0005-0000-0000-0000760F0000}"/>
    <cellStyle name="Normal 7 2" xfId="2217" xr:uid="{00000000-0005-0000-0000-0000770F0000}"/>
    <cellStyle name="Normal 70" xfId="1202" xr:uid="{00000000-0005-0000-0000-0000780F0000}"/>
    <cellStyle name="Normal 70 2" xfId="1203" xr:uid="{00000000-0005-0000-0000-0000790F0000}"/>
    <cellStyle name="Normal 70 2 2" xfId="4854" xr:uid="{00000000-0005-0000-0000-00007A0F0000}"/>
    <cellStyle name="Normal 70 2_Monthly Energy Log" xfId="4855" xr:uid="{00000000-0005-0000-0000-00007B0F0000}"/>
    <cellStyle name="Normal 70 3" xfId="4856" xr:uid="{00000000-0005-0000-0000-00007C0F0000}"/>
    <cellStyle name="Normal 70_BP ME Calc." xfId="4857" xr:uid="{00000000-0005-0000-0000-00007D0F0000}"/>
    <cellStyle name="Normal 71" xfId="1204" xr:uid="{00000000-0005-0000-0000-00007E0F0000}"/>
    <cellStyle name="Normal 71 2" xfId="1205" xr:uid="{00000000-0005-0000-0000-00007F0F0000}"/>
    <cellStyle name="Normal 71 2 2" xfId="4858" xr:uid="{00000000-0005-0000-0000-0000800F0000}"/>
    <cellStyle name="Normal 71 2_Monthly Energy Log" xfId="4859" xr:uid="{00000000-0005-0000-0000-0000810F0000}"/>
    <cellStyle name="Normal 71 3" xfId="4860" xr:uid="{00000000-0005-0000-0000-0000820F0000}"/>
    <cellStyle name="Normal 71_BP ME Calc." xfId="4861" xr:uid="{00000000-0005-0000-0000-0000830F0000}"/>
    <cellStyle name="Normal 72" xfId="1206" xr:uid="{00000000-0005-0000-0000-0000840F0000}"/>
    <cellStyle name="Normal 72 2" xfId="1207" xr:uid="{00000000-0005-0000-0000-0000850F0000}"/>
    <cellStyle name="Normal 72 2 2" xfId="4862" xr:uid="{00000000-0005-0000-0000-0000860F0000}"/>
    <cellStyle name="Normal 72 2_Monthly Energy Log" xfId="4863" xr:uid="{00000000-0005-0000-0000-0000870F0000}"/>
    <cellStyle name="Normal 72 3" xfId="4864" xr:uid="{00000000-0005-0000-0000-0000880F0000}"/>
    <cellStyle name="Normal 72_BP ME Calc." xfId="4865" xr:uid="{00000000-0005-0000-0000-0000890F0000}"/>
    <cellStyle name="Normal 73" xfId="1208" xr:uid="{00000000-0005-0000-0000-00008A0F0000}"/>
    <cellStyle name="Normal 73 2" xfId="1209" xr:uid="{00000000-0005-0000-0000-00008B0F0000}"/>
    <cellStyle name="Normal 73 2 2" xfId="4866" xr:uid="{00000000-0005-0000-0000-00008C0F0000}"/>
    <cellStyle name="Normal 73 2_Monthly Energy Log" xfId="4867" xr:uid="{00000000-0005-0000-0000-00008D0F0000}"/>
    <cellStyle name="Normal 73 3" xfId="4868" xr:uid="{00000000-0005-0000-0000-00008E0F0000}"/>
    <cellStyle name="Normal 73_BP ME Calc." xfId="4869" xr:uid="{00000000-0005-0000-0000-00008F0F0000}"/>
    <cellStyle name="Normal 74" xfId="1210" xr:uid="{00000000-0005-0000-0000-0000900F0000}"/>
    <cellStyle name="Normal 75" xfId="1211" xr:uid="{00000000-0005-0000-0000-0000910F0000}"/>
    <cellStyle name="Normal 76" xfId="1212" xr:uid="{00000000-0005-0000-0000-0000920F0000}"/>
    <cellStyle name="Normal 76 2" xfId="4870" xr:uid="{00000000-0005-0000-0000-0000930F0000}"/>
    <cellStyle name="Normal 76_For GOLD" xfId="4871" xr:uid="{00000000-0005-0000-0000-0000940F0000}"/>
    <cellStyle name="Normal 77" xfId="1213" xr:uid="{00000000-0005-0000-0000-0000950F0000}"/>
    <cellStyle name="Normal 77 2" xfId="4872" xr:uid="{00000000-0005-0000-0000-0000960F0000}"/>
    <cellStyle name="Normal 77_For GOLD" xfId="4873" xr:uid="{00000000-0005-0000-0000-0000970F0000}"/>
    <cellStyle name="Normal 78" xfId="1214" xr:uid="{00000000-0005-0000-0000-0000980F0000}"/>
    <cellStyle name="Normal 78 2" xfId="4874" xr:uid="{00000000-0005-0000-0000-0000990F0000}"/>
    <cellStyle name="Normal 78_For GOLD" xfId="4875" xr:uid="{00000000-0005-0000-0000-00009A0F0000}"/>
    <cellStyle name="Normal 79" xfId="1215" xr:uid="{00000000-0005-0000-0000-00009B0F0000}"/>
    <cellStyle name="Normal 79 2" xfId="4876" xr:uid="{00000000-0005-0000-0000-00009C0F0000}"/>
    <cellStyle name="Normal 79_For GOLD" xfId="4877" xr:uid="{00000000-0005-0000-0000-00009D0F0000}"/>
    <cellStyle name="Normal 8" xfId="1216" xr:uid="{00000000-0005-0000-0000-00009E0F0000}"/>
    <cellStyle name="Normal 8 2" xfId="2218" xr:uid="{00000000-0005-0000-0000-00009F0F0000}"/>
    <cellStyle name="Normal 80" xfId="1217" xr:uid="{00000000-0005-0000-0000-0000A00F0000}"/>
    <cellStyle name="Normal 80 10" xfId="4878" xr:uid="{00000000-0005-0000-0000-0000A10F0000}"/>
    <cellStyle name="Normal 80 11" xfId="4879" xr:uid="{00000000-0005-0000-0000-0000A20F0000}"/>
    <cellStyle name="Normal 80 12" xfId="4880" xr:uid="{00000000-0005-0000-0000-0000A30F0000}"/>
    <cellStyle name="Normal 80 13" xfId="4881" xr:uid="{00000000-0005-0000-0000-0000A40F0000}"/>
    <cellStyle name="Normal 80 14" xfId="4882" xr:uid="{00000000-0005-0000-0000-0000A50F0000}"/>
    <cellStyle name="Normal 80 2" xfId="4883" xr:uid="{00000000-0005-0000-0000-0000A60F0000}"/>
    <cellStyle name="Normal 80 3" xfId="4884" xr:uid="{00000000-0005-0000-0000-0000A70F0000}"/>
    <cellStyle name="Normal 80 4" xfId="4885" xr:uid="{00000000-0005-0000-0000-0000A80F0000}"/>
    <cellStyle name="Normal 80 5" xfId="4886" xr:uid="{00000000-0005-0000-0000-0000A90F0000}"/>
    <cellStyle name="Normal 80 6" xfId="4887" xr:uid="{00000000-0005-0000-0000-0000AA0F0000}"/>
    <cellStyle name="Normal 80 7" xfId="4888" xr:uid="{00000000-0005-0000-0000-0000AB0F0000}"/>
    <cellStyle name="Normal 80 8" xfId="4889" xr:uid="{00000000-0005-0000-0000-0000AC0F0000}"/>
    <cellStyle name="Normal 80 9" xfId="4890" xr:uid="{00000000-0005-0000-0000-0000AD0F0000}"/>
    <cellStyle name="Normal 80_For GOLD" xfId="4891" xr:uid="{00000000-0005-0000-0000-0000AE0F0000}"/>
    <cellStyle name="Normal 81" xfId="1218" xr:uid="{00000000-0005-0000-0000-0000AF0F0000}"/>
    <cellStyle name="Normal 81 10" xfId="4892" xr:uid="{00000000-0005-0000-0000-0000B00F0000}"/>
    <cellStyle name="Normal 81 11" xfId="4893" xr:uid="{00000000-0005-0000-0000-0000B10F0000}"/>
    <cellStyle name="Normal 81 12" xfId="4894" xr:uid="{00000000-0005-0000-0000-0000B20F0000}"/>
    <cellStyle name="Normal 81 13" xfId="4895" xr:uid="{00000000-0005-0000-0000-0000B30F0000}"/>
    <cellStyle name="Normal 81 14" xfId="4896" xr:uid="{00000000-0005-0000-0000-0000B40F0000}"/>
    <cellStyle name="Normal 81 2" xfId="4897" xr:uid="{00000000-0005-0000-0000-0000B50F0000}"/>
    <cellStyle name="Normal 81 3" xfId="4898" xr:uid="{00000000-0005-0000-0000-0000B60F0000}"/>
    <cellStyle name="Normal 81 4" xfId="4899" xr:uid="{00000000-0005-0000-0000-0000B70F0000}"/>
    <cellStyle name="Normal 81 5" xfId="4900" xr:uid="{00000000-0005-0000-0000-0000B80F0000}"/>
    <cellStyle name="Normal 81 6" xfId="4901" xr:uid="{00000000-0005-0000-0000-0000B90F0000}"/>
    <cellStyle name="Normal 81 7" xfId="4902" xr:uid="{00000000-0005-0000-0000-0000BA0F0000}"/>
    <cellStyle name="Normal 81 8" xfId="4903" xr:uid="{00000000-0005-0000-0000-0000BB0F0000}"/>
    <cellStyle name="Normal 81 9" xfId="4904" xr:uid="{00000000-0005-0000-0000-0000BC0F0000}"/>
    <cellStyle name="Normal 81_For GOLD" xfId="4905" xr:uid="{00000000-0005-0000-0000-0000BD0F0000}"/>
    <cellStyle name="Normal 82" xfId="1219" xr:uid="{00000000-0005-0000-0000-0000BE0F0000}"/>
    <cellStyle name="Normal 82 10" xfId="4906" xr:uid="{00000000-0005-0000-0000-0000BF0F0000}"/>
    <cellStyle name="Normal 82 11" xfId="4907" xr:uid="{00000000-0005-0000-0000-0000C00F0000}"/>
    <cellStyle name="Normal 82 12" xfId="4908" xr:uid="{00000000-0005-0000-0000-0000C10F0000}"/>
    <cellStyle name="Normal 82 13" xfId="4909" xr:uid="{00000000-0005-0000-0000-0000C20F0000}"/>
    <cellStyle name="Normal 82 14" xfId="4910" xr:uid="{00000000-0005-0000-0000-0000C30F0000}"/>
    <cellStyle name="Normal 82 2" xfId="4911" xr:uid="{00000000-0005-0000-0000-0000C40F0000}"/>
    <cellStyle name="Normal 82 3" xfId="4912" xr:uid="{00000000-0005-0000-0000-0000C50F0000}"/>
    <cellStyle name="Normal 82 4" xfId="4913" xr:uid="{00000000-0005-0000-0000-0000C60F0000}"/>
    <cellStyle name="Normal 82 5" xfId="4914" xr:uid="{00000000-0005-0000-0000-0000C70F0000}"/>
    <cellStyle name="Normal 82 6" xfId="4915" xr:uid="{00000000-0005-0000-0000-0000C80F0000}"/>
    <cellStyle name="Normal 82 7" xfId="4916" xr:uid="{00000000-0005-0000-0000-0000C90F0000}"/>
    <cellStyle name="Normal 82 8" xfId="4917" xr:uid="{00000000-0005-0000-0000-0000CA0F0000}"/>
    <cellStyle name="Normal 82 9" xfId="4918" xr:uid="{00000000-0005-0000-0000-0000CB0F0000}"/>
    <cellStyle name="Normal 82_For GOLD" xfId="4919" xr:uid="{00000000-0005-0000-0000-0000CC0F0000}"/>
    <cellStyle name="Normal 83" xfId="1220" xr:uid="{00000000-0005-0000-0000-0000CD0F0000}"/>
    <cellStyle name="Normal 83 10" xfId="4920" xr:uid="{00000000-0005-0000-0000-0000CE0F0000}"/>
    <cellStyle name="Normal 83 11" xfId="4921" xr:uid="{00000000-0005-0000-0000-0000CF0F0000}"/>
    <cellStyle name="Normal 83 12" xfId="4922" xr:uid="{00000000-0005-0000-0000-0000D00F0000}"/>
    <cellStyle name="Normal 83 13" xfId="4923" xr:uid="{00000000-0005-0000-0000-0000D10F0000}"/>
    <cellStyle name="Normal 83 14" xfId="4924" xr:uid="{00000000-0005-0000-0000-0000D20F0000}"/>
    <cellStyle name="Normal 83 2" xfId="4925" xr:uid="{00000000-0005-0000-0000-0000D30F0000}"/>
    <cellStyle name="Normal 83 3" xfId="4926" xr:uid="{00000000-0005-0000-0000-0000D40F0000}"/>
    <cellStyle name="Normal 83 4" xfId="4927" xr:uid="{00000000-0005-0000-0000-0000D50F0000}"/>
    <cellStyle name="Normal 83 5" xfId="4928" xr:uid="{00000000-0005-0000-0000-0000D60F0000}"/>
    <cellStyle name="Normal 83 6" xfId="4929" xr:uid="{00000000-0005-0000-0000-0000D70F0000}"/>
    <cellStyle name="Normal 83 7" xfId="4930" xr:uid="{00000000-0005-0000-0000-0000D80F0000}"/>
    <cellStyle name="Normal 83 8" xfId="4931" xr:uid="{00000000-0005-0000-0000-0000D90F0000}"/>
    <cellStyle name="Normal 83 9" xfId="4932" xr:uid="{00000000-0005-0000-0000-0000DA0F0000}"/>
    <cellStyle name="Normal 83_For GOLD" xfId="4933" xr:uid="{00000000-0005-0000-0000-0000DB0F0000}"/>
    <cellStyle name="Normal 84" xfId="1221" xr:uid="{00000000-0005-0000-0000-0000DC0F0000}"/>
    <cellStyle name="Normal 84 10" xfId="4934" xr:uid="{00000000-0005-0000-0000-0000DD0F0000}"/>
    <cellStyle name="Normal 84 11" xfId="4935" xr:uid="{00000000-0005-0000-0000-0000DE0F0000}"/>
    <cellStyle name="Normal 84 12" xfId="4936" xr:uid="{00000000-0005-0000-0000-0000DF0F0000}"/>
    <cellStyle name="Normal 84 13" xfId="4937" xr:uid="{00000000-0005-0000-0000-0000E00F0000}"/>
    <cellStyle name="Normal 84 14" xfId="4938" xr:uid="{00000000-0005-0000-0000-0000E10F0000}"/>
    <cellStyle name="Normal 84 2" xfId="4939" xr:uid="{00000000-0005-0000-0000-0000E20F0000}"/>
    <cellStyle name="Normal 84 3" xfId="4940" xr:uid="{00000000-0005-0000-0000-0000E30F0000}"/>
    <cellStyle name="Normal 84 4" xfId="4941" xr:uid="{00000000-0005-0000-0000-0000E40F0000}"/>
    <cellStyle name="Normal 84 5" xfId="4942" xr:uid="{00000000-0005-0000-0000-0000E50F0000}"/>
    <cellStyle name="Normal 84 6" xfId="4943" xr:uid="{00000000-0005-0000-0000-0000E60F0000}"/>
    <cellStyle name="Normal 84 7" xfId="4944" xr:uid="{00000000-0005-0000-0000-0000E70F0000}"/>
    <cellStyle name="Normal 84 8" xfId="4945" xr:uid="{00000000-0005-0000-0000-0000E80F0000}"/>
    <cellStyle name="Normal 84 9" xfId="4946" xr:uid="{00000000-0005-0000-0000-0000E90F0000}"/>
    <cellStyle name="Normal 84_For GOLD" xfId="4947" xr:uid="{00000000-0005-0000-0000-0000EA0F0000}"/>
    <cellStyle name="Normal 85" xfId="1222" xr:uid="{00000000-0005-0000-0000-0000EB0F0000}"/>
    <cellStyle name="Normal 85 10" xfId="4948" xr:uid="{00000000-0005-0000-0000-0000EC0F0000}"/>
    <cellStyle name="Normal 85 11" xfId="4949" xr:uid="{00000000-0005-0000-0000-0000ED0F0000}"/>
    <cellStyle name="Normal 85 12" xfId="4950" xr:uid="{00000000-0005-0000-0000-0000EE0F0000}"/>
    <cellStyle name="Normal 85 13" xfId="4951" xr:uid="{00000000-0005-0000-0000-0000EF0F0000}"/>
    <cellStyle name="Normal 85 14" xfId="4952" xr:uid="{00000000-0005-0000-0000-0000F00F0000}"/>
    <cellStyle name="Normal 85 2" xfId="4953" xr:uid="{00000000-0005-0000-0000-0000F10F0000}"/>
    <cellStyle name="Normal 85 3" xfId="4954" xr:uid="{00000000-0005-0000-0000-0000F20F0000}"/>
    <cellStyle name="Normal 85 4" xfId="4955" xr:uid="{00000000-0005-0000-0000-0000F30F0000}"/>
    <cellStyle name="Normal 85 5" xfId="4956" xr:uid="{00000000-0005-0000-0000-0000F40F0000}"/>
    <cellStyle name="Normal 85 6" xfId="4957" xr:uid="{00000000-0005-0000-0000-0000F50F0000}"/>
    <cellStyle name="Normal 85 7" xfId="4958" xr:uid="{00000000-0005-0000-0000-0000F60F0000}"/>
    <cellStyle name="Normal 85 8" xfId="4959" xr:uid="{00000000-0005-0000-0000-0000F70F0000}"/>
    <cellStyle name="Normal 85 9" xfId="4960" xr:uid="{00000000-0005-0000-0000-0000F80F0000}"/>
    <cellStyle name="Normal 85_For GOLD" xfId="4961" xr:uid="{00000000-0005-0000-0000-0000F90F0000}"/>
    <cellStyle name="Normal 86" xfId="1223" xr:uid="{00000000-0005-0000-0000-0000FA0F0000}"/>
    <cellStyle name="Normal 86 10" xfId="4962" xr:uid="{00000000-0005-0000-0000-0000FB0F0000}"/>
    <cellStyle name="Normal 86 11" xfId="4963" xr:uid="{00000000-0005-0000-0000-0000FC0F0000}"/>
    <cellStyle name="Normal 86 12" xfId="4964" xr:uid="{00000000-0005-0000-0000-0000FD0F0000}"/>
    <cellStyle name="Normal 86 13" xfId="4965" xr:uid="{00000000-0005-0000-0000-0000FE0F0000}"/>
    <cellStyle name="Normal 86 14" xfId="4966" xr:uid="{00000000-0005-0000-0000-0000FF0F0000}"/>
    <cellStyle name="Normal 86 2" xfId="4967" xr:uid="{00000000-0005-0000-0000-000000100000}"/>
    <cellStyle name="Normal 86 3" xfId="4968" xr:uid="{00000000-0005-0000-0000-000001100000}"/>
    <cellStyle name="Normal 86 4" xfId="4969" xr:uid="{00000000-0005-0000-0000-000002100000}"/>
    <cellStyle name="Normal 86 5" xfId="4970" xr:uid="{00000000-0005-0000-0000-000003100000}"/>
    <cellStyle name="Normal 86 6" xfId="4971" xr:uid="{00000000-0005-0000-0000-000004100000}"/>
    <cellStyle name="Normal 86 7" xfId="4972" xr:uid="{00000000-0005-0000-0000-000005100000}"/>
    <cellStyle name="Normal 86 8" xfId="4973" xr:uid="{00000000-0005-0000-0000-000006100000}"/>
    <cellStyle name="Normal 86 9" xfId="4974" xr:uid="{00000000-0005-0000-0000-000007100000}"/>
    <cellStyle name="Normal 86_For GOLD" xfId="4975" xr:uid="{00000000-0005-0000-0000-000008100000}"/>
    <cellStyle name="Normal 87" xfId="1224" xr:uid="{00000000-0005-0000-0000-000009100000}"/>
    <cellStyle name="Normal 87 10" xfId="4976" xr:uid="{00000000-0005-0000-0000-00000A100000}"/>
    <cellStyle name="Normal 87 11" xfId="4977" xr:uid="{00000000-0005-0000-0000-00000B100000}"/>
    <cellStyle name="Normal 87 12" xfId="4978" xr:uid="{00000000-0005-0000-0000-00000C100000}"/>
    <cellStyle name="Normal 87 13" xfId="4979" xr:uid="{00000000-0005-0000-0000-00000D100000}"/>
    <cellStyle name="Normal 87 14" xfId="4980" xr:uid="{00000000-0005-0000-0000-00000E100000}"/>
    <cellStyle name="Normal 87 2" xfId="4981" xr:uid="{00000000-0005-0000-0000-00000F100000}"/>
    <cellStyle name="Normal 87 3" xfId="4982" xr:uid="{00000000-0005-0000-0000-000010100000}"/>
    <cellStyle name="Normal 87 4" xfId="4983" xr:uid="{00000000-0005-0000-0000-000011100000}"/>
    <cellStyle name="Normal 87 5" xfId="4984" xr:uid="{00000000-0005-0000-0000-000012100000}"/>
    <cellStyle name="Normal 87 6" xfId="4985" xr:uid="{00000000-0005-0000-0000-000013100000}"/>
    <cellStyle name="Normal 87 7" xfId="4986" xr:uid="{00000000-0005-0000-0000-000014100000}"/>
    <cellStyle name="Normal 87 8" xfId="4987" xr:uid="{00000000-0005-0000-0000-000015100000}"/>
    <cellStyle name="Normal 87 9" xfId="4988" xr:uid="{00000000-0005-0000-0000-000016100000}"/>
    <cellStyle name="Normal 87_For GOLD" xfId="4989" xr:uid="{00000000-0005-0000-0000-000017100000}"/>
    <cellStyle name="Normal 88" xfId="1225" xr:uid="{00000000-0005-0000-0000-000018100000}"/>
    <cellStyle name="Normal 88 10" xfId="4990" xr:uid="{00000000-0005-0000-0000-000019100000}"/>
    <cellStyle name="Normal 88 11" xfId="4991" xr:uid="{00000000-0005-0000-0000-00001A100000}"/>
    <cellStyle name="Normal 88 12" xfId="4992" xr:uid="{00000000-0005-0000-0000-00001B100000}"/>
    <cellStyle name="Normal 88 13" xfId="4993" xr:uid="{00000000-0005-0000-0000-00001C100000}"/>
    <cellStyle name="Normal 88 14" xfId="4994" xr:uid="{00000000-0005-0000-0000-00001D100000}"/>
    <cellStyle name="Normal 88 2" xfId="4995" xr:uid="{00000000-0005-0000-0000-00001E100000}"/>
    <cellStyle name="Normal 88 3" xfId="4996" xr:uid="{00000000-0005-0000-0000-00001F100000}"/>
    <cellStyle name="Normal 88 4" xfId="4997" xr:uid="{00000000-0005-0000-0000-000020100000}"/>
    <cellStyle name="Normal 88 5" xfId="4998" xr:uid="{00000000-0005-0000-0000-000021100000}"/>
    <cellStyle name="Normal 88 6" xfId="4999" xr:uid="{00000000-0005-0000-0000-000022100000}"/>
    <cellStyle name="Normal 88 7" xfId="5000" xr:uid="{00000000-0005-0000-0000-000023100000}"/>
    <cellStyle name="Normal 88 8" xfId="5001" xr:uid="{00000000-0005-0000-0000-000024100000}"/>
    <cellStyle name="Normal 88 9" xfId="5002" xr:uid="{00000000-0005-0000-0000-000025100000}"/>
    <cellStyle name="Normal 88_For GOLD" xfId="5003" xr:uid="{00000000-0005-0000-0000-000026100000}"/>
    <cellStyle name="Normal 89" xfId="1226" xr:uid="{00000000-0005-0000-0000-000027100000}"/>
    <cellStyle name="Normal 89 10" xfId="5004" xr:uid="{00000000-0005-0000-0000-000028100000}"/>
    <cellStyle name="Normal 89 11" xfId="5005" xr:uid="{00000000-0005-0000-0000-000029100000}"/>
    <cellStyle name="Normal 89 12" xfId="5006" xr:uid="{00000000-0005-0000-0000-00002A100000}"/>
    <cellStyle name="Normal 89 13" xfId="5007" xr:uid="{00000000-0005-0000-0000-00002B100000}"/>
    <cellStyle name="Normal 89 14" xfId="5008" xr:uid="{00000000-0005-0000-0000-00002C100000}"/>
    <cellStyle name="Normal 89 2" xfId="5009" xr:uid="{00000000-0005-0000-0000-00002D100000}"/>
    <cellStyle name="Normal 89 3" xfId="5010" xr:uid="{00000000-0005-0000-0000-00002E100000}"/>
    <cellStyle name="Normal 89 4" xfId="5011" xr:uid="{00000000-0005-0000-0000-00002F100000}"/>
    <cellStyle name="Normal 89 5" xfId="5012" xr:uid="{00000000-0005-0000-0000-000030100000}"/>
    <cellStyle name="Normal 89 6" xfId="5013" xr:uid="{00000000-0005-0000-0000-000031100000}"/>
    <cellStyle name="Normal 89 7" xfId="5014" xr:uid="{00000000-0005-0000-0000-000032100000}"/>
    <cellStyle name="Normal 89 8" xfId="5015" xr:uid="{00000000-0005-0000-0000-000033100000}"/>
    <cellStyle name="Normal 89 9" xfId="5016" xr:uid="{00000000-0005-0000-0000-000034100000}"/>
    <cellStyle name="Normal 89_For GOLD" xfId="5017" xr:uid="{00000000-0005-0000-0000-000035100000}"/>
    <cellStyle name="Normal 9" xfId="1227" xr:uid="{00000000-0005-0000-0000-000036100000}"/>
    <cellStyle name="Normal 9 2" xfId="2219" xr:uid="{00000000-0005-0000-0000-000037100000}"/>
    <cellStyle name="Normal 9_tCO2 Meter Reads" xfId="5018" xr:uid="{00000000-0005-0000-0000-000038100000}"/>
    <cellStyle name="Normal 90" xfId="1228" xr:uid="{00000000-0005-0000-0000-000039100000}"/>
    <cellStyle name="Normal 90 10" xfId="5019" xr:uid="{00000000-0005-0000-0000-00003A100000}"/>
    <cellStyle name="Normal 90 11" xfId="5020" xr:uid="{00000000-0005-0000-0000-00003B100000}"/>
    <cellStyle name="Normal 90 12" xfId="5021" xr:uid="{00000000-0005-0000-0000-00003C100000}"/>
    <cellStyle name="Normal 90 13" xfId="5022" xr:uid="{00000000-0005-0000-0000-00003D100000}"/>
    <cellStyle name="Normal 90 14" xfId="5023" xr:uid="{00000000-0005-0000-0000-00003E100000}"/>
    <cellStyle name="Normal 90 2" xfId="5024" xr:uid="{00000000-0005-0000-0000-00003F100000}"/>
    <cellStyle name="Normal 90 3" xfId="5025" xr:uid="{00000000-0005-0000-0000-000040100000}"/>
    <cellStyle name="Normal 90 4" xfId="5026" xr:uid="{00000000-0005-0000-0000-000041100000}"/>
    <cellStyle name="Normal 90 5" xfId="5027" xr:uid="{00000000-0005-0000-0000-000042100000}"/>
    <cellStyle name="Normal 90 6" xfId="5028" xr:uid="{00000000-0005-0000-0000-000043100000}"/>
    <cellStyle name="Normal 90 7" xfId="5029" xr:uid="{00000000-0005-0000-0000-000044100000}"/>
    <cellStyle name="Normal 90 8" xfId="5030" xr:uid="{00000000-0005-0000-0000-000045100000}"/>
    <cellStyle name="Normal 90 9" xfId="5031" xr:uid="{00000000-0005-0000-0000-000046100000}"/>
    <cellStyle name="Normal 90_For GOLD" xfId="5032" xr:uid="{00000000-0005-0000-0000-000047100000}"/>
    <cellStyle name="Normal 91" xfId="1229" xr:uid="{00000000-0005-0000-0000-000048100000}"/>
    <cellStyle name="Normal 91 10" xfId="5033" xr:uid="{00000000-0005-0000-0000-000049100000}"/>
    <cellStyle name="Normal 91 11" xfId="5034" xr:uid="{00000000-0005-0000-0000-00004A100000}"/>
    <cellStyle name="Normal 91 12" xfId="5035" xr:uid="{00000000-0005-0000-0000-00004B100000}"/>
    <cellStyle name="Normal 91 13" xfId="5036" xr:uid="{00000000-0005-0000-0000-00004C100000}"/>
    <cellStyle name="Normal 91 14" xfId="5037" xr:uid="{00000000-0005-0000-0000-00004D100000}"/>
    <cellStyle name="Normal 91 2" xfId="5038" xr:uid="{00000000-0005-0000-0000-00004E100000}"/>
    <cellStyle name="Normal 91 3" xfId="5039" xr:uid="{00000000-0005-0000-0000-00004F100000}"/>
    <cellStyle name="Normal 91 4" xfId="5040" xr:uid="{00000000-0005-0000-0000-000050100000}"/>
    <cellStyle name="Normal 91 5" xfId="5041" xr:uid="{00000000-0005-0000-0000-000051100000}"/>
    <cellStyle name="Normal 91 6" xfId="5042" xr:uid="{00000000-0005-0000-0000-000052100000}"/>
    <cellStyle name="Normal 91 7" xfId="5043" xr:uid="{00000000-0005-0000-0000-000053100000}"/>
    <cellStyle name="Normal 91 8" xfId="5044" xr:uid="{00000000-0005-0000-0000-000054100000}"/>
    <cellStyle name="Normal 91 9" xfId="5045" xr:uid="{00000000-0005-0000-0000-000055100000}"/>
    <cellStyle name="Normal 91_For GOLD" xfId="5046" xr:uid="{00000000-0005-0000-0000-000056100000}"/>
    <cellStyle name="Normal 92" xfId="1230" xr:uid="{00000000-0005-0000-0000-000057100000}"/>
    <cellStyle name="Normal 92 10" xfId="5047" xr:uid="{00000000-0005-0000-0000-000058100000}"/>
    <cellStyle name="Normal 92 11" xfId="5048" xr:uid="{00000000-0005-0000-0000-000059100000}"/>
    <cellStyle name="Normal 92 12" xfId="5049" xr:uid="{00000000-0005-0000-0000-00005A100000}"/>
    <cellStyle name="Normal 92 13" xfId="5050" xr:uid="{00000000-0005-0000-0000-00005B100000}"/>
    <cellStyle name="Normal 92 14" xfId="5051" xr:uid="{00000000-0005-0000-0000-00005C100000}"/>
    <cellStyle name="Normal 92 2" xfId="5052" xr:uid="{00000000-0005-0000-0000-00005D100000}"/>
    <cellStyle name="Normal 92 3" xfId="5053" xr:uid="{00000000-0005-0000-0000-00005E100000}"/>
    <cellStyle name="Normal 92 4" xfId="5054" xr:uid="{00000000-0005-0000-0000-00005F100000}"/>
    <cellStyle name="Normal 92 5" xfId="5055" xr:uid="{00000000-0005-0000-0000-000060100000}"/>
    <cellStyle name="Normal 92 6" xfId="5056" xr:uid="{00000000-0005-0000-0000-000061100000}"/>
    <cellStyle name="Normal 92 7" xfId="5057" xr:uid="{00000000-0005-0000-0000-000062100000}"/>
    <cellStyle name="Normal 92 8" xfId="5058" xr:uid="{00000000-0005-0000-0000-000063100000}"/>
    <cellStyle name="Normal 92 9" xfId="5059" xr:uid="{00000000-0005-0000-0000-000064100000}"/>
    <cellStyle name="Normal 92_For GOLD" xfId="5060" xr:uid="{00000000-0005-0000-0000-000065100000}"/>
    <cellStyle name="Normal 93" xfId="1231" xr:uid="{00000000-0005-0000-0000-000066100000}"/>
    <cellStyle name="Normal 93 10" xfId="5061" xr:uid="{00000000-0005-0000-0000-000067100000}"/>
    <cellStyle name="Normal 93 11" xfId="5062" xr:uid="{00000000-0005-0000-0000-000068100000}"/>
    <cellStyle name="Normal 93 12" xfId="5063" xr:uid="{00000000-0005-0000-0000-000069100000}"/>
    <cellStyle name="Normal 93 13" xfId="5064" xr:uid="{00000000-0005-0000-0000-00006A100000}"/>
    <cellStyle name="Normal 93 14" xfId="5065" xr:uid="{00000000-0005-0000-0000-00006B100000}"/>
    <cellStyle name="Normal 93 2" xfId="5066" xr:uid="{00000000-0005-0000-0000-00006C100000}"/>
    <cellStyle name="Normal 93 3" xfId="5067" xr:uid="{00000000-0005-0000-0000-00006D100000}"/>
    <cellStyle name="Normal 93 4" xfId="5068" xr:uid="{00000000-0005-0000-0000-00006E100000}"/>
    <cellStyle name="Normal 93 5" xfId="5069" xr:uid="{00000000-0005-0000-0000-00006F100000}"/>
    <cellStyle name="Normal 93 6" xfId="5070" xr:uid="{00000000-0005-0000-0000-000070100000}"/>
    <cellStyle name="Normal 93 7" xfId="5071" xr:uid="{00000000-0005-0000-0000-000071100000}"/>
    <cellStyle name="Normal 93 8" xfId="5072" xr:uid="{00000000-0005-0000-0000-000072100000}"/>
    <cellStyle name="Normal 93 9" xfId="5073" xr:uid="{00000000-0005-0000-0000-000073100000}"/>
    <cellStyle name="Normal 93_For GOLD" xfId="5074" xr:uid="{00000000-0005-0000-0000-000074100000}"/>
    <cellStyle name="Normal 94" xfId="1232" xr:uid="{00000000-0005-0000-0000-000075100000}"/>
    <cellStyle name="Normal 94 10" xfId="5075" xr:uid="{00000000-0005-0000-0000-000076100000}"/>
    <cellStyle name="Normal 94 11" xfId="5076" xr:uid="{00000000-0005-0000-0000-000077100000}"/>
    <cellStyle name="Normal 94 12" xfId="5077" xr:uid="{00000000-0005-0000-0000-000078100000}"/>
    <cellStyle name="Normal 94 13" xfId="5078" xr:uid="{00000000-0005-0000-0000-000079100000}"/>
    <cellStyle name="Normal 94 14" xfId="5079" xr:uid="{00000000-0005-0000-0000-00007A100000}"/>
    <cellStyle name="Normal 94 2" xfId="5080" xr:uid="{00000000-0005-0000-0000-00007B100000}"/>
    <cellStyle name="Normal 94 3" xfId="5081" xr:uid="{00000000-0005-0000-0000-00007C100000}"/>
    <cellStyle name="Normal 94 4" xfId="5082" xr:uid="{00000000-0005-0000-0000-00007D100000}"/>
    <cellStyle name="Normal 94 5" xfId="5083" xr:uid="{00000000-0005-0000-0000-00007E100000}"/>
    <cellStyle name="Normal 94 6" xfId="5084" xr:uid="{00000000-0005-0000-0000-00007F100000}"/>
    <cellStyle name="Normal 94 7" xfId="5085" xr:uid="{00000000-0005-0000-0000-000080100000}"/>
    <cellStyle name="Normal 94 8" xfId="5086" xr:uid="{00000000-0005-0000-0000-000081100000}"/>
    <cellStyle name="Normal 94 9" xfId="5087" xr:uid="{00000000-0005-0000-0000-000082100000}"/>
    <cellStyle name="Normal 94_For GOLD" xfId="5088" xr:uid="{00000000-0005-0000-0000-000083100000}"/>
    <cellStyle name="Normal 95" xfId="1233" xr:uid="{00000000-0005-0000-0000-000084100000}"/>
    <cellStyle name="Normal 95 10" xfId="5089" xr:uid="{00000000-0005-0000-0000-000085100000}"/>
    <cellStyle name="Normal 95 11" xfId="5090" xr:uid="{00000000-0005-0000-0000-000086100000}"/>
    <cellStyle name="Normal 95 12" xfId="5091" xr:uid="{00000000-0005-0000-0000-000087100000}"/>
    <cellStyle name="Normal 95 13" xfId="5092" xr:uid="{00000000-0005-0000-0000-000088100000}"/>
    <cellStyle name="Normal 95 14" xfId="5093" xr:uid="{00000000-0005-0000-0000-000089100000}"/>
    <cellStyle name="Normal 95 2" xfId="5094" xr:uid="{00000000-0005-0000-0000-00008A100000}"/>
    <cellStyle name="Normal 95 3" xfId="5095" xr:uid="{00000000-0005-0000-0000-00008B100000}"/>
    <cellStyle name="Normal 95 4" xfId="5096" xr:uid="{00000000-0005-0000-0000-00008C100000}"/>
    <cellStyle name="Normal 95 5" xfId="5097" xr:uid="{00000000-0005-0000-0000-00008D100000}"/>
    <cellStyle name="Normal 95 6" xfId="5098" xr:uid="{00000000-0005-0000-0000-00008E100000}"/>
    <cellStyle name="Normal 95 7" xfId="5099" xr:uid="{00000000-0005-0000-0000-00008F100000}"/>
    <cellStyle name="Normal 95 8" xfId="5100" xr:uid="{00000000-0005-0000-0000-000090100000}"/>
    <cellStyle name="Normal 95 9" xfId="5101" xr:uid="{00000000-0005-0000-0000-000091100000}"/>
    <cellStyle name="Normal 95_For GOLD" xfId="5102" xr:uid="{00000000-0005-0000-0000-000092100000}"/>
    <cellStyle name="Normal 96" xfId="1234" xr:uid="{00000000-0005-0000-0000-000093100000}"/>
    <cellStyle name="Normal 96 10" xfId="5103" xr:uid="{00000000-0005-0000-0000-000094100000}"/>
    <cellStyle name="Normal 96 11" xfId="5104" xr:uid="{00000000-0005-0000-0000-000095100000}"/>
    <cellStyle name="Normal 96 12" xfId="5105" xr:uid="{00000000-0005-0000-0000-000096100000}"/>
    <cellStyle name="Normal 96 13" xfId="5106" xr:uid="{00000000-0005-0000-0000-000097100000}"/>
    <cellStyle name="Normal 96 14" xfId="5107" xr:uid="{00000000-0005-0000-0000-000098100000}"/>
    <cellStyle name="Normal 96 2" xfId="5108" xr:uid="{00000000-0005-0000-0000-000099100000}"/>
    <cellStyle name="Normal 96 3" xfId="5109" xr:uid="{00000000-0005-0000-0000-00009A100000}"/>
    <cellStyle name="Normal 96 4" xfId="5110" xr:uid="{00000000-0005-0000-0000-00009B100000}"/>
    <cellStyle name="Normal 96 5" xfId="5111" xr:uid="{00000000-0005-0000-0000-00009C100000}"/>
    <cellStyle name="Normal 96 6" xfId="5112" xr:uid="{00000000-0005-0000-0000-00009D100000}"/>
    <cellStyle name="Normal 96 7" xfId="5113" xr:uid="{00000000-0005-0000-0000-00009E100000}"/>
    <cellStyle name="Normal 96 8" xfId="5114" xr:uid="{00000000-0005-0000-0000-00009F100000}"/>
    <cellStyle name="Normal 96 9" xfId="5115" xr:uid="{00000000-0005-0000-0000-0000A0100000}"/>
    <cellStyle name="Normal 96_For GOLD" xfId="5116" xr:uid="{00000000-0005-0000-0000-0000A1100000}"/>
    <cellStyle name="Normal 97" xfId="1235" xr:uid="{00000000-0005-0000-0000-0000A2100000}"/>
    <cellStyle name="Normal 97 10" xfId="5117" xr:uid="{00000000-0005-0000-0000-0000A3100000}"/>
    <cellStyle name="Normal 97 11" xfId="5118" xr:uid="{00000000-0005-0000-0000-0000A4100000}"/>
    <cellStyle name="Normal 97 12" xfId="5119" xr:uid="{00000000-0005-0000-0000-0000A5100000}"/>
    <cellStyle name="Normal 97 13" xfId="5120" xr:uid="{00000000-0005-0000-0000-0000A6100000}"/>
    <cellStyle name="Normal 97 14" xfId="5121" xr:uid="{00000000-0005-0000-0000-0000A7100000}"/>
    <cellStyle name="Normal 97 2" xfId="5122" xr:uid="{00000000-0005-0000-0000-0000A8100000}"/>
    <cellStyle name="Normal 97 3" xfId="5123" xr:uid="{00000000-0005-0000-0000-0000A9100000}"/>
    <cellStyle name="Normal 97 4" xfId="5124" xr:uid="{00000000-0005-0000-0000-0000AA100000}"/>
    <cellStyle name="Normal 97 5" xfId="5125" xr:uid="{00000000-0005-0000-0000-0000AB100000}"/>
    <cellStyle name="Normal 97 6" xfId="5126" xr:uid="{00000000-0005-0000-0000-0000AC100000}"/>
    <cellStyle name="Normal 97 7" xfId="5127" xr:uid="{00000000-0005-0000-0000-0000AD100000}"/>
    <cellStyle name="Normal 97 8" xfId="5128" xr:uid="{00000000-0005-0000-0000-0000AE100000}"/>
    <cellStyle name="Normal 97 9" xfId="5129" xr:uid="{00000000-0005-0000-0000-0000AF100000}"/>
    <cellStyle name="Normal 97_For GOLD" xfId="5130" xr:uid="{00000000-0005-0000-0000-0000B0100000}"/>
    <cellStyle name="Normal 98" xfId="1236" xr:uid="{00000000-0005-0000-0000-0000B1100000}"/>
    <cellStyle name="Normal 98 10" xfId="5131" xr:uid="{00000000-0005-0000-0000-0000B2100000}"/>
    <cellStyle name="Normal 98 11" xfId="5132" xr:uid="{00000000-0005-0000-0000-0000B3100000}"/>
    <cellStyle name="Normal 98 12" xfId="5133" xr:uid="{00000000-0005-0000-0000-0000B4100000}"/>
    <cellStyle name="Normal 98 13" xfId="5134" xr:uid="{00000000-0005-0000-0000-0000B5100000}"/>
    <cellStyle name="Normal 98 14" xfId="5135" xr:uid="{00000000-0005-0000-0000-0000B6100000}"/>
    <cellStyle name="Normal 98 2" xfId="5136" xr:uid="{00000000-0005-0000-0000-0000B7100000}"/>
    <cellStyle name="Normal 98 3" xfId="5137" xr:uid="{00000000-0005-0000-0000-0000B8100000}"/>
    <cellStyle name="Normal 98 4" xfId="5138" xr:uid="{00000000-0005-0000-0000-0000B9100000}"/>
    <cellStyle name="Normal 98 5" xfId="5139" xr:uid="{00000000-0005-0000-0000-0000BA100000}"/>
    <cellStyle name="Normal 98 6" xfId="5140" xr:uid="{00000000-0005-0000-0000-0000BB100000}"/>
    <cellStyle name="Normal 98 7" xfId="5141" xr:uid="{00000000-0005-0000-0000-0000BC100000}"/>
    <cellStyle name="Normal 98 8" xfId="5142" xr:uid="{00000000-0005-0000-0000-0000BD100000}"/>
    <cellStyle name="Normal 98 9" xfId="5143" xr:uid="{00000000-0005-0000-0000-0000BE100000}"/>
    <cellStyle name="Normal 98_For GOLD" xfId="5144" xr:uid="{00000000-0005-0000-0000-0000BF100000}"/>
    <cellStyle name="Normal 99" xfId="1237" xr:uid="{00000000-0005-0000-0000-0000C0100000}"/>
    <cellStyle name="Normal 99 10" xfId="5145" xr:uid="{00000000-0005-0000-0000-0000C1100000}"/>
    <cellStyle name="Normal 99 11" xfId="5146" xr:uid="{00000000-0005-0000-0000-0000C2100000}"/>
    <cellStyle name="Normal 99 12" xfId="5147" xr:uid="{00000000-0005-0000-0000-0000C3100000}"/>
    <cellStyle name="Normal 99 13" xfId="5148" xr:uid="{00000000-0005-0000-0000-0000C4100000}"/>
    <cellStyle name="Normal 99 2" xfId="5149" xr:uid="{00000000-0005-0000-0000-0000C5100000}"/>
    <cellStyle name="Normal 99 3" xfId="5150" xr:uid="{00000000-0005-0000-0000-0000C6100000}"/>
    <cellStyle name="Normal 99 4" xfId="5151" xr:uid="{00000000-0005-0000-0000-0000C7100000}"/>
    <cellStyle name="Normal 99 5" xfId="5152" xr:uid="{00000000-0005-0000-0000-0000C8100000}"/>
    <cellStyle name="Normal 99 6" xfId="5153" xr:uid="{00000000-0005-0000-0000-0000C9100000}"/>
    <cellStyle name="Normal 99 7" xfId="5154" xr:uid="{00000000-0005-0000-0000-0000CA100000}"/>
    <cellStyle name="Normal 99 8" xfId="5155" xr:uid="{00000000-0005-0000-0000-0000CB100000}"/>
    <cellStyle name="Normal 99 9" xfId="5156" xr:uid="{00000000-0005-0000-0000-0000CC100000}"/>
    <cellStyle name="Normal 99_For GOLD" xfId="5157" xr:uid="{00000000-0005-0000-0000-0000CD100000}"/>
    <cellStyle name="Normal GHG-Shade" xfId="2220" xr:uid="{00000000-0005-0000-0000-0000CE100000}"/>
    <cellStyle name="Normale 2" xfId="1238" xr:uid="{00000000-0005-0000-0000-0000CF100000}"/>
    <cellStyle name="Normale_BOSS" xfId="1239" xr:uid="{00000000-0005-0000-0000-0000D0100000}"/>
    <cellStyle name="normální_RPi  MPC (2)" xfId="1240" xr:uid="{00000000-0005-0000-0000-0000D1100000}"/>
    <cellStyle name="Normalny 2" xfId="5158" xr:uid="{00000000-0005-0000-0000-0000D2100000}"/>
    <cellStyle name="Normalny 3" xfId="5159" xr:uid="{00000000-0005-0000-0000-0000D3100000}"/>
    <cellStyle name="Normalny 8" xfId="5160" xr:uid="{00000000-0005-0000-0000-0000D4100000}"/>
    <cellStyle name="Normalny_12" xfId="1241" xr:uid="{00000000-0005-0000-0000-0000D5100000}"/>
    <cellStyle name="Nota" xfId="1242" xr:uid="{00000000-0005-0000-0000-0000D6100000}"/>
    <cellStyle name="Notas" xfId="1243" xr:uid="{00000000-0005-0000-0000-0000D7100000}"/>
    <cellStyle name="Note" xfId="63" xr:uid="{00000000-0005-0000-0000-0000D8100000}"/>
    <cellStyle name="Note 2" xfId="1244" xr:uid="{00000000-0005-0000-0000-0000D9100000}"/>
    <cellStyle name="Note 2 2" xfId="2222" xr:uid="{00000000-0005-0000-0000-0000DA100000}"/>
    <cellStyle name="Note 2 3" xfId="5161" xr:uid="{00000000-0005-0000-0000-0000DB100000}"/>
    <cellStyle name="Note 2_For GOLD" xfId="5162" xr:uid="{00000000-0005-0000-0000-0000DC100000}"/>
    <cellStyle name="Note 3" xfId="1245" xr:uid="{00000000-0005-0000-0000-0000DD100000}"/>
    <cellStyle name="Note 3 2" xfId="2223" xr:uid="{00000000-0005-0000-0000-0000DE100000}"/>
    <cellStyle name="Note 3_Energy &amp; Production Data" xfId="5163" xr:uid="{00000000-0005-0000-0000-0000DF100000}"/>
    <cellStyle name="Note 4" xfId="1246" xr:uid="{00000000-0005-0000-0000-0000E0100000}"/>
    <cellStyle name="Note 4 2" xfId="1247" xr:uid="{00000000-0005-0000-0000-0000E1100000}"/>
    <cellStyle name="Note 4 2 2" xfId="5164" xr:uid="{00000000-0005-0000-0000-0000E2100000}"/>
    <cellStyle name="Note 4 2_Monthly Energy Log" xfId="5165" xr:uid="{00000000-0005-0000-0000-0000E3100000}"/>
    <cellStyle name="Note 4 3" xfId="5166" xr:uid="{00000000-0005-0000-0000-0000E4100000}"/>
    <cellStyle name="Note 4_Energy &amp; Production Data" xfId="5167" xr:uid="{00000000-0005-0000-0000-0000E5100000}"/>
    <cellStyle name="Note 5" xfId="1248" xr:uid="{00000000-0005-0000-0000-0000E6100000}"/>
    <cellStyle name="Note 5 2" xfId="5168" xr:uid="{00000000-0005-0000-0000-0000E7100000}"/>
    <cellStyle name="Note 5_Monthly Energy Log" xfId="5169" xr:uid="{00000000-0005-0000-0000-0000E8100000}"/>
    <cellStyle name="Note 6" xfId="2221" xr:uid="{00000000-0005-0000-0000-0000E9100000}"/>
    <cellStyle name="Note 6 2" xfId="5171" xr:uid="{00000000-0005-0000-0000-0000EA100000}"/>
    <cellStyle name="Note 6_tCO2 Meter Reads" xfId="5170" xr:uid="{00000000-0005-0000-0000-0000EB100000}"/>
    <cellStyle name="Note 7" xfId="5172" xr:uid="{00000000-0005-0000-0000-0000EC100000}"/>
    <cellStyle name="Note 8" xfId="109" xr:uid="{00000000-0005-0000-0000-0000ED100000}"/>
    <cellStyle name="Notiz" xfId="64" xr:uid="{00000000-0005-0000-0000-0000EE100000}"/>
    <cellStyle name="NPR" xfId="1249" xr:uid="{00000000-0005-0000-0000-0000EF100000}"/>
    <cellStyle name="Ongedefinieerd" xfId="1250" xr:uid="{00000000-0005-0000-0000-0000F0100000}"/>
    <cellStyle name="Output" xfId="65" xr:uid="{00000000-0005-0000-0000-0000F1100000}"/>
    <cellStyle name="Output 2" xfId="1251" xr:uid="{00000000-0005-0000-0000-0000F2100000}"/>
    <cellStyle name="Output 2 2" xfId="2225" xr:uid="{00000000-0005-0000-0000-0000F3100000}"/>
    <cellStyle name="Output 2_For GOLD" xfId="5173" xr:uid="{00000000-0005-0000-0000-0000F4100000}"/>
    <cellStyle name="Output 3" xfId="2226" xr:uid="{00000000-0005-0000-0000-0000F5100000}"/>
    <cellStyle name="Output 4" xfId="2224" xr:uid="{00000000-0005-0000-0000-0000F6100000}"/>
    <cellStyle name="Output 5" xfId="110" xr:uid="{00000000-0005-0000-0000-0000F7100000}"/>
    <cellStyle name="OUTPUT AMOUNTS" xfId="1252" xr:uid="{00000000-0005-0000-0000-0000F8100000}"/>
    <cellStyle name="OUTPUT COLUMN HEADINGS" xfId="1253" xr:uid="{00000000-0005-0000-0000-0000F9100000}"/>
    <cellStyle name="OUTPUT LINE ITEMS" xfId="1254" xr:uid="{00000000-0005-0000-0000-0000FA100000}"/>
    <cellStyle name="OUTPUT REPORT HEADING" xfId="1255" xr:uid="{00000000-0005-0000-0000-0000FB100000}"/>
    <cellStyle name="OUTPUT REPORT TITLE" xfId="1256" xr:uid="{00000000-0005-0000-0000-0000FC100000}"/>
    <cellStyle name="Per cent" xfId="66" builtinId="5"/>
    <cellStyle name="Percent [2]" xfId="1257" xr:uid="{00000000-0005-0000-0000-0000FE100000}"/>
    <cellStyle name="Percent 10" xfId="1258" xr:uid="{00000000-0005-0000-0000-0000FF100000}"/>
    <cellStyle name="Percent 10 2" xfId="2227" xr:uid="{00000000-0005-0000-0000-000000110000}"/>
    <cellStyle name="Percent 10_Monthly Energy Log" xfId="5174" xr:uid="{00000000-0005-0000-0000-000001110000}"/>
    <cellStyle name="Percent 11" xfId="1259" xr:uid="{00000000-0005-0000-0000-000002110000}"/>
    <cellStyle name="Percent 11 2" xfId="2228" xr:uid="{00000000-0005-0000-0000-000003110000}"/>
    <cellStyle name="Percent 11_tCO2 Meter Reads" xfId="5175" xr:uid="{00000000-0005-0000-0000-000004110000}"/>
    <cellStyle name="Percent 12" xfId="1260" xr:uid="{00000000-0005-0000-0000-000005110000}"/>
    <cellStyle name="Percent 13" xfId="1261" xr:uid="{00000000-0005-0000-0000-000006110000}"/>
    <cellStyle name="Percent 14" xfId="1262" xr:uid="{00000000-0005-0000-0000-000007110000}"/>
    <cellStyle name="Percent 15" xfId="1263" xr:uid="{00000000-0005-0000-0000-000008110000}"/>
    <cellStyle name="Percent 16" xfId="1264" xr:uid="{00000000-0005-0000-0000-000009110000}"/>
    <cellStyle name="Percent 17" xfId="1265" xr:uid="{00000000-0005-0000-0000-00000A110000}"/>
    <cellStyle name="Percent 18" xfId="1266" xr:uid="{00000000-0005-0000-0000-00000B110000}"/>
    <cellStyle name="Percent 19" xfId="1267" xr:uid="{00000000-0005-0000-0000-00000C110000}"/>
    <cellStyle name="Percent 19 2" xfId="5176" xr:uid="{00000000-0005-0000-0000-00000D110000}"/>
    <cellStyle name="Percent 19_Monthly Energy Log" xfId="5177" xr:uid="{00000000-0005-0000-0000-00000E110000}"/>
    <cellStyle name="Percent 2" xfId="1268" xr:uid="{00000000-0005-0000-0000-00000F110000}"/>
    <cellStyle name="Percent 2 2" xfId="1269" xr:uid="{00000000-0005-0000-0000-000010110000}"/>
    <cellStyle name="Percent 2 2 2" xfId="2230" xr:uid="{00000000-0005-0000-0000-000011110000}"/>
    <cellStyle name="Percent 2 2_tCO2 Meter Reads" xfId="5178" xr:uid="{00000000-0005-0000-0000-000012110000}"/>
    <cellStyle name="Percent 2 3" xfId="2231" xr:uid="{00000000-0005-0000-0000-000013110000}"/>
    <cellStyle name="Percent 2 4" xfId="2229" xr:uid="{00000000-0005-0000-0000-000014110000}"/>
    <cellStyle name="Percent 2_Monthly Energy Log" xfId="5179" xr:uid="{00000000-0005-0000-0000-000015110000}"/>
    <cellStyle name="Percent 20" xfId="1270" xr:uid="{00000000-0005-0000-0000-000016110000}"/>
    <cellStyle name="Percent 20 2" xfId="5180" xr:uid="{00000000-0005-0000-0000-000017110000}"/>
    <cellStyle name="Percent 20_Monthly Energy Log" xfId="5181" xr:uid="{00000000-0005-0000-0000-000018110000}"/>
    <cellStyle name="Percent 21" xfId="1271" xr:uid="{00000000-0005-0000-0000-000019110000}"/>
    <cellStyle name="Percent 21 2" xfId="5182" xr:uid="{00000000-0005-0000-0000-00001A110000}"/>
    <cellStyle name="Percent 21_Monthly Energy Log" xfId="5183" xr:uid="{00000000-0005-0000-0000-00001B110000}"/>
    <cellStyle name="Percent 22" xfId="1272" xr:uid="{00000000-0005-0000-0000-00001C110000}"/>
    <cellStyle name="Percent 23" xfId="1273" xr:uid="{00000000-0005-0000-0000-00001D110000}"/>
    <cellStyle name="Percent 24" xfId="1274" xr:uid="{00000000-0005-0000-0000-00001E110000}"/>
    <cellStyle name="Percent 25" xfId="1275" xr:uid="{00000000-0005-0000-0000-00001F110000}"/>
    <cellStyle name="Percent 26" xfId="1276" xr:uid="{00000000-0005-0000-0000-000020110000}"/>
    <cellStyle name="Percent 26 2" xfId="1277" xr:uid="{00000000-0005-0000-0000-000021110000}"/>
    <cellStyle name="Percent 26 2 2" xfId="5184" xr:uid="{00000000-0005-0000-0000-000022110000}"/>
    <cellStyle name="Percent 26 2 2 2" xfId="5185" xr:uid="{00000000-0005-0000-0000-000023110000}"/>
    <cellStyle name="Percent 26 2 2_Monthly Energy Log" xfId="5186" xr:uid="{00000000-0005-0000-0000-000024110000}"/>
    <cellStyle name="Percent 26 2 3" xfId="5187" xr:uid="{00000000-0005-0000-0000-000025110000}"/>
    <cellStyle name="Percent 26 2 4" xfId="5188" xr:uid="{00000000-0005-0000-0000-000026110000}"/>
    <cellStyle name="Percent 26 2_Monthly Energy Log" xfId="5189" xr:uid="{00000000-0005-0000-0000-000027110000}"/>
    <cellStyle name="Percent 26 3" xfId="5190" xr:uid="{00000000-0005-0000-0000-000028110000}"/>
    <cellStyle name="Percent 26 4" xfId="5191" xr:uid="{00000000-0005-0000-0000-000029110000}"/>
    <cellStyle name="Percent 26 5" xfId="5192" xr:uid="{00000000-0005-0000-0000-00002A110000}"/>
    <cellStyle name="Percent 26 6" xfId="5193" xr:uid="{00000000-0005-0000-0000-00002B110000}"/>
    <cellStyle name="Percent 26_Monthly Energy Log" xfId="5194" xr:uid="{00000000-0005-0000-0000-00002C110000}"/>
    <cellStyle name="Percent 27" xfId="5195" xr:uid="{00000000-0005-0000-0000-00002D110000}"/>
    <cellStyle name="Percent 28" xfId="5196" xr:uid="{00000000-0005-0000-0000-00002E110000}"/>
    <cellStyle name="Percent 29" xfId="5197" xr:uid="{00000000-0005-0000-0000-00002F110000}"/>
    <cellStyle name="Percent 3" xfId="1278" xr:uid="{00000000-0005-0000-0000-000030110000}"/>
    <cellStyle name="Percent 3 2" xfId="2232" xr:uid="{00000000-0005-0000-0000-000031110000}"/>
    <cellStyle name="Percent 3_Monthly Energy Log" xfId="5198" xr:uid="{00000000-0005-0000-0000-000032110000}"/>
    <cellStyle name="Percent 30" xfId="5199" xr:uid="{00000000-0005-0000-0000-000033110000}"/>
    <cellStyle name="Percent 31" xfId="5200" xr:uid="{00000000-0005-0000-0000-000034110000}"/>
    <cellStyle name="Percent 32" xfId="5201" xr:uid="{00000000-0005-0000-0000-000035110000}"/>
    <cellStyle name="Percent 33" xfId="5202" xr:uid="{00000000-0005-0000-0000-000036110000}"/>
    <cellStyle name="Percent 34" xfId="5203" xr:uid="{00000000-0005-0000-0000-000037110000}"/>
    <cellStyle name="Percent 35" xfId="5204" xr:uid="{00000000-0005-0000-0000-000038110000}"/>
    <cellStyle name="Percent 36" xfId="5205" xr:uid="{00000000-0005-0000-0000-000039110000}"/>
    <cellStyle name="Percent 37" xfId="5206" xr:uid="{00000000-0005-0000-0000-00003A110000}"/>
    <cellStyle name="Percent 38" xfId="5207" xr:uid="{00000000-0005-0000-0000-00003B110000}"/>
    <cellStyle name="Percent 39" xfId="5208" xr:uid="{00000000-0005-0000-0000-00003C110000}"/>
    <cellStyle name="Percent 4" xfId="1279" xr:uid="{00000000-0005-0000-0000-00003D110000}"/>
    <cellStyle name="Percent 4 2" xfId="2233" xr:uid="{00000000-0005-0000-0000-00003E110000}"/>
    <cellStyle name="Percent 4_tCO2 Meter Reads" xfId="5209" xr:uid="{00000000-0005-0000-0000-00003F110000}"/>
    <cellStyle name="Percent 40" xfId="5210" xr:uid="{00000000-0005-0000-0000-000040110000}"/>
    <cellStyle name="Percent 41" xfId="5211" xr:uid="{00000000-0005-0000-0000-000041110000}"/>
    <cellStyle name="Percent 42" xfId="5212" xr:uid="{00000000-0005-0000-0000-000042110000}"/>
    <cellStyle name="Percent 43" xfId="5213" xr:uid="{00000000-0005-0000-0000-000043110000}"/>
    <cellStyle name="Percent 44" xfId="5214" xr:uid="{00000000-0005-0000-0000-000044110000}"/>
    <cellStyle name="Percent 45" xfId="5215" xr:uid="{00000000-0005-0000-0000-000045110000}"/>
    <cellStyle name="Percent 46" xfId="5216" xr:uid="{00000000-0005-0000-0000-000046110000}"/>
    <cellStyle name="Percent 47" xfId="5217" xr:uid="{00000000-0005-0000-0000-000047110000}"/>
    <cellStyle name="Percent 48" xfId="5218" xr:uid="{00000000-0005-0000-0000-000048110000}"/>
    <cellStyle name="Percent 49" xfId="5219" xr:uid="{00000000-0005-0000-0000-000049110000}"/>
    <cellStyle name="Percent 5" xfId="1280" xr:uid="{00000000-0005-0000-0000-00004A110000}"/>
    <cellStyle name="Percent 50" xfId="5220" xr:uid="{00000000-0005-0000-0000-00004B110000}"/>
    <cellStyle name="Percent 51" xfId="5221" xr:uid="{00000000-0005-0000-0000-00004C110000}"/>
    <cellStyle name="Percent 52" xfId="5222" xr:uid="{00000000-0005-0000-0000-00004D110000}"/>
    <cellStyle name="Percent 53" xfId="5223" xr:uid="{00000000-0005-0000-0000-00004E110000}"/>
    <cellStyle name="Percent 54" xfId="5224" xr:uid="{00000000-0005-0000-0000-00004F110000}"/>
    <cellStyle name="Percent 6" xfId="1281" xr:uid="{00000000-0005-0000-0000-000050110000}"/>
    <cellStyle name="Percent 6 2" xfId="2234" xr:uid="{00000000-0005-0000-0000-000051110000}"/>
    <cellStyle name="Percent 6_tCO2 Meter Reads" xfId="5225" xr:uid="{00000000-0005-0000-0000-000052110000}"/>
    <cellStyle name="Percent 7" xfId="1282" xr:uid="{00000000-0005-0000-0000-000053110000}"/>
    <cellStyle name="Percent 7 2" xfId="2235" xr:uid="{00000000-0005-0000-0000-000054110000}"/>
    <cellStyle name="Percent 7_tCO2 Meter Reads" xfId="5226" xr:uid="{00000000-0005-0000-0000-000055110000}"/>
    <cellStyle name="Percent 8" xfId="1283" xr:uid="{00000000-0005-0000-0000-000056110000}"/>
    <cellStyle name="Percent 8 2" xfId="2236" xr:uid="{00000000-0005-0000-0000-000057110000}"/>
    <cellStyle name="Percent 8_tCO2 Meter Reads" xfId="5227" xr:uid="{00000000-0005-0000-0000-000058110000}"/>
    <cellStyle name="Percent 9" xfId="1284" xr:uid="{00000000-0005-0000-0000-000059110000}"/>
    <cellStyle name="Percent 9 2" xfId="2237" xr:uid="{00000000-0005-0000-0000-00005A110000}"/>
    <cellStyle name="Percent 9_Monthly Energy Log" xfId="5228" xr:uid="{00000000-0005-0000-0000-00005B110000}"/>
    <cellStyle name="Percentuale 2" xfId="1285" xr:uid="{00000000-0005-0000-0000-00005C110000}"/>
    <cellStyle name="PlainDollar" xfId="1286" xr:uid="{00000000-0005-0000-0000-00005D110000}"/>
    <cellStyle name="PlainDollarBoldwBorders" xfId="1287" xr:uid="{00000000-0005-0000-0000-00005E110000}"/>
    <cellStyle name="Pourcentage 2" xfId="5229" xr:uid="{00000000-0005-0000-0000-00005F110000}"/>
    <cellStyle name="Procentowy 2" xfId="5230" xr:uid="{00000000-0005-0000-0000-000060110000}"/>
    <cellStyle name="Prozent 2" xfId="67" xr:uid="{00000000-0005-0000-0000-000061110000}"/>
    <cellStyle name="Prozent_~0003509" xfId="1288" xr:uid="{00000000-0005-0000-0000-000062110000}"/>
    <cellStyle name="Publication_style" xfId="2238" xr:uid="{00000000-0005-0000-0000-000063110000}"/>
    <cellStyle name="Refdb standard" xfId="2239" xr:uid="{00000000-0005-0000-0000-000064110000}"/>
    <cellStyle name="Refdb standard 2" xfId="2240" xr:uid="{00000000-0005-0000-0000-000065110000}"/>
    <cellStyle name="ReportTitlePrompt" xfId="1289" xr:uid="{00000000-0005-0000-0000-000066110000}"/>
    <cellStyle name="ReportTitleValue" xfId="1290" xr:uid="{00000000-0005-0000-0000-000067110000}"/>
    <cellStyle name="RowAcctAbovePrompt" xfId="1291" xr:uid="{00000000-0005-0000-0000-000068110000}"/>
    <cellStyle name="RowAcctSOBAbovePrompt" xfId="1292" xr:uid="{00000000-0005-0000-0000-000069110000}"/>
    <cellStyle name="RowAcctSOBValue" xfId="1293" xr:uid="{00000000-0005-0000-0000-00006A110000}"/>
    <cellStyle name="RowAcctValue" xfId="1294" xr:uid="{00000000-0005-0000-0000-00006B110000}"/>
    <cellStyle name="RowAttrAbovePrompt" xfId="1295" xr:uid="{00000000-0005-0000-0000-00006C110000}"/>
    <cellStyle name="RowAttrValue" xfId="1296" xr:uid="{00000000-0005-0000-0000-00006D110000}"/>
    <cellStyle name="RowColSetAbovePrompt" xfId="1297" xr:uid="{00000000-0005-0000-0000-00006E110000}"/>
    <cellStyle name="RowColSetLeftPrompt" xfId="1298" xr:uid="{00000000-0005-0000-0000-00006F110000}"/>
    <cellStyle name="RowColSetValue" xfId="1299" xr:uid="{00000000-0005-0000-0000-000070110000}"/>
    <cellStyle name="RowLeftPrompt" xfId="1300" xr:uid="{00000000-0005-0000-0000-000071110000}"/>
    <cellStyle name="RowLevel_1_OUTPUT2" xfId="1301" xr:uid="{00000000-0005-0000-0000-000072110000}"/>
    <cellStyle name="Salida" xfId="1302" xr:uid="{00000000-0005-0000-0000-000073110000}"/>
    <cellStyle name="SampleUsingFormatMask" xfId="1303" xr:uid="{00000000-0005-0000-0000-000074110000}"/>
    <cellStyle name="SampleWithNoFormatMask" xfId="1304" xr:uid="{00000000-0005-0000-0000-000075110000}"/>
    <cellStyle name="SAPBEXaggData" xfId="1305" xr:uid="{00000000-0005-0000-0000-000076110000}"/>
    <cellStyle name="SAPBEXaggData 10" xfId="1306" xr:uid="{00000000-0005-0000-0000-000077110000}"/>
    <cellStyle name="SAPBEXaggData 10 2" xfId="5231" xr:uid="{00000000-0005-0000-0000-000078110000}"/>
    <cellStyle name="SAPBEXaggData 10_Monthly Energy Log" xfId="5232" xr:uid="{00000000-0005-0000-0000-000079110000}"/>
    <cellStyle name="SAPBEXaggData 11" xfId="1307" xr:uid="{00000000-0005-0000-0000-00007A110000}"/>
    <cellStyle name="SAPBEXaggData 11 2" xfId="5233" xr:uid="{00000000-0005-0000-0000-00007B110000}"/>
    <cellStyle name="SAPBEXaggData 11_Monthly Energy Log" xfId="5234" xr:uid="{00000000-0005-0000-0000-00007C110000}"/>
    <cellStyle name="SAPBEXaggData 12" xfId="1308" xr:uid="{00000000-0005-0000-0000-00007D110000}"/>
    <cellStyle name="SAPBEXaggData 12 2" xfId="5235" xr:uid="{00000000-0005-0000-0000-00007E110000}"/>
    <cellStyle name="SAPBEXaggData 12_Monthly Energy Log" xfId="5236" xr:uid="{00000000-0005-0000-0000-00007F110000}"/>
    <cellStyle name="SAPBEXaggData 13" xfId="1309" xr:uid="{00000000-0005-0000-0000-000080110000}"/>
    <cellStyle name="SAPBEXaggData 13 2" xfId="5237" xr:uid="{00000000-0005-0000-0000-000081110000}"/>
    <cellStyle name="SAPBEXaggData 13_Monthly Energy Log" xfId="5238" xr:uid="{00000000-0005-0000-0000-000082110000}"/>
    <cellStyle name="SAPBEXaggData 14" xfId="1310" xr:uid="{00000000-0005-0000-0000-000083110000}"/>
    <cellStyle name="SAPBEXaggData 14 2" xfId="5239" xr:uid="{00000000-0005-0000-0000-000084110000}"/>
    <cellStyle name="SAPBEXaggData 14_Monthly Energy Log" xfId="5240" xr:uid="{00000000-0005-0000-0000-000085110000}"/>
    <cellStyle name="SAPBEXaggData 15" xfId="1311" xr:uid="{00000000-0005-0000-0000-000086110000}"/>
    <cellStyle name="SAPBEXaggData 15 2" xfId="5241" xr:uid="{00000000-0005-0000-0000-000087110000}"/>
    <cellStyle name="SAPBEXaggData 15_Monthly Energy Log" xfId="5242" xr:uid="{00000000-0005-0000-0000-000088110000}"/>
    <cellStyle name="SAPBEXaggData 16" xfId="1312" xr:uid="{00000000-0005-0000-0000-000089110000}"/>
    <cellStyle name="SAPBEXaggData 16 2" xfId="5243" xr:uid="{00000000-0005-0000-0000-00008A110000}"/>
    <cellStyle name="SAPBEXaggData 16_Monthly Energy Log" xfId="5244" xr:uid="{00000000-0005-0000-0000-00008B110000}"/>
    <cellStyle name="SAPBEXaggData 17" xfId="1313" xr:uid="{00000000-0005-0000-0000-00008C110000}"/>
    <cellStyle name="SAPBEXaggData 17 2" xfId="5245" xr:uid="{00000000-0005-0000-0000-00008D110000}"/>
    <cellStyle name="SAPBEXaggData 17_Monthly Energy Log" xfId="5246" xr:uid="{00000000-0005-0000-0000-00008E110000}"/>
    <cellStyle name="SAPBEXaggData 18" xfId="1314" xr:uid="{00000000-0005-0000-0000-00008F110000}"/>
    <cellStyle name="SAPBEXaggData 18 2" xfId="5247" xr:uid="{00000000-0005-0000-0000-000090110000}"/>
    <cellStyle name="SAPBEXaggData 18_Monthly Energy Log" xfId="5248" xr:uid="{00000000-0005-0000-0000-000091110000}"/>
    <cellStyle name="SAPBEXaggData 19" xfId="5249" xr:uid="{00000000-0005-0000-0000-000092110000}"/>
    <cellStyle name="SAPBEXaggData 2" xfId="1315" xr:uid="{00000000-0005-0000-0000-000093110000}"/>
    <cellStyle name="SAPBEXaggData 2 2" xfId="1316" xr:uid="{00000000-0005-0000-0000-000094110000}"/>
    <cellStyle name="SAPBEXaggData 2 2 2" xfId="5250" xr:uid="{00000000-0005-0000-0000-000095110000}"/>
    <cellStyle name="SAPBEXaggData 2 2_Monthly Energy Log" xfId="5251" xr:uid="{00000000-0005-0000-0000-000096110000}"/>
    <cellStyle name="SAPBEXaggData 2 3" xfId="5252" xr:uid="{00000000-0005-0000-0000-000097110000}"/>
    <cellStyle name="SAPBEXaggData 2_BP ME Calc." xfId="5253" xr:uid="{00000000-0005-0000-0000-000098110000}"/>
    <cellStyle name="SAPBEXaggData 3" xfId="1317" xr:uid="{00000000-0005-0000-0000-000099110000}"/>
    <cellStyle name="SAPBEXaggData 3 2" xfId="5254" xr:uid="{00000000-0005-0000-0000-00009A110000}"/>
    <cellStyle name="SAPBEXaggData 3_Monthly Energy Log" xfId="5255" xr:uid="{00000000-0005-0000-0000-00009B110000}"/>
    <cellStyle name="SAPBEXaggData 4" xfId="1318" xr:uid="{00000000-0005-0000-0000-00009C110000}"/>
    <cellStyle name="SAPBEXaggData 4 2" xfId="5256" xr:uid="{00000000-0005-0000-0000-00009D110000}"/>
    <cellStyle name="SAPBEXaggData 4_Monthly Energy Log" xfId="5257" xr:uid="{00000000-0005-0000-0000-00009E110000}"/>
    <cellStyle name="SAPBEXaggData 5" xfId="1319" xr:uid="{00000000-0005-0000-0000-00009F110000}"/>
    <cellStyle name="SAPBEXaggData 5 2" xfId="5258" xr:uid="{00000000-0005-0000-0000-0000A0110000}"/>
    <cellStyle name="SAPBEXaggData 5_Monthly Energy Log" xfId="5259" xr:uid="{00000000-0005-0000-0000-0000A1110000}"/>
    <cellStyle name="SAPBEXaggData 6" xfId="1320" xr:uid="{00000000-0005-0000-0000-0000A2110000}"/>
    <cellStyle name="SAPBEXaggData 6 2" xfId="5260" xr:uid="{00000000-0005-0000-0000-0000A3110000}"/>
    <cellStyle name="SAPBEXaggData 6_Monthly Energy Log" xfId="5261" xr:uid="{00000000-0005-0000-0000-0000A4110000}"/>
    <cellStyle name="SAPBEXaggData 7" xfId="1321" xr:uid="{00000000-0005-0000-0000-0000A5110000}"/>
    <cellStyle name="SAPBEXaggData 7 2" xfId="5262" xr:uid="{00000000-0005-0000-0000-0000A6110000}"/>
    <cellStyle name="SAPBEXaggData 7_Monthly Energy Log" xfId="5263" xr:uid="{00000000-0005-0000-0000-0000A7110000}"/>
    <cellStyle name="SAPBEXaggData 8" xfId="1322" xr:uid="{00000000-0005-0000-0000-0000A8110000}"/>
    <cellStyle name="SAPBEXaggData 8 2" xfId="5264" xr:uid="{00000000-0005-0000-0000-0000A9110000}"/>
    <cellStyle name="SAPBEXaggData 8_Monthly Energy Log" xfId="5265" xr:uid="{00000000-0005-0000-0000-0000AA110000}"/>
    <cellStyle name="SAPBEXaggData 9" xfId="1323" xr:uid="{00000000-0005-0000-0000-0000AB110000}"/>
    <cellStyle name="SAPBEXaggData 9 2" xfId="5266" xr:uid="{00000000-0005-0000-0000-0000AC110000}"/>
    <cellStyle name="SAPBEXaggData 9_Monthly Energy Log" xfId="5267" xr:uid="{00000000-0005-0000-0000-0000AD110000}"/>
    <cellStyle name="SAPBEXaggData_BP ME Calc." xfId="5268" xr:uid="{00000000-0005-0000-0000-0000AE110000}"/>
    <cellStyle name="SAPBEXaggDataEmph" xfId="1324" xr:uid="{00000000-0005-0000-0000-0000AF110000}"/>
    <cellStyle name="SAPBEXaggDataEmph 10" xfId="1325" xr:uid="{00000000-0005-0000-0000-0000B0110000}"/>
    <cellStyle name="SAPBEXaggDataEmph 11" xfId="1326" xr:uid="{00000000-0005-0000-0000-0000B1110000}"/>
    <cellStyle name="SAPBEXaggDataEmph 12" xfId="1327" xr:uid="{00000000-0005-0000-0000-0000B2110000}"/>
    <cellStyle name="SAPBEXaggDataEmph 13" xfId="1328" xr:uid="{00000000-0005-0000-0000-0000B3110000}"/>
    <cellStyle name="SAPBEXaggDataEmph 14" xfId="1329" xr:uid="{00000000-0005-0000-0000-0000B4110000}"/>
    <cellStyle name="SAPBEXaggDataEmph 15" xfId="1330" xr:uid="{00000000-0005-0000-0000-0000B5110000}"/>
    <cellStyle name="SAPBEXaggDataEmph 16" xfId="1331" xr:uid="{00000000-0005-0000-0000-0000B6110000}"/>
    <cellStyle name="SAPBEXaggDataEmph 17" xfId="1332" xr:uid="{00000000-0005-0000-0000-0000B7110000}"/>
    <cellStyle name="SAPBEXaggDataEmph 18" xfId="1333" xr:uid="{00000000-0005-0000-0000-0000B8110000}"/>
    <cellStyle name="SAPBEXaggDataEmph 2" xfId="1334" xr:uid="{00000000-0005-0000-0000-0000B9110000}"/>
    <cellStyle name="SAPBEXaggDataEmph 3" xfId="1335" xr:uid="{00000000-0005-0000-0000-0000BA110000}"/>
    <cellStyle name="SAPBEXaggDataEmph 4" xfId="1336" xr:uid="{00000000-0005-0000-0000-0000BB110000}"/>
    <cellStyle name="SAPBEXaggDataEmph 5" xfId="1337" xr:uid="{00000000-0005-0000-0000-0000BC110000}"/>
    <cellStyle name="SAPBEXaggDataEmph 6" xfId="1338" xr:uid="{00000000-0005-0000-0000-0000BD110000}"/>
    <cellStyle name="SAPBEXaggDataEmph 7" xfId="1339" xr:uid="{00000000-0005-0000-0000-0000BE110000}"/>
    <cellStyle name="SAPBEXaggDataEmph 8" xfId="1340" xr:uid="{00000000-0005-0000-0000-0000BF110000}"/>
    <cellStyle name="SAPBEXaggDataEmph 9" xfId="1341" xr:uid="{00000000-0005-0000-0000-0000C0110000}"/>
    <cellStyle name="SAPBEXaggDataEmph_Monthly Energy Log" xfId="5269" xr:uid="{00000000-0005-0000-0000-0000C1110000}"/>
    <cellStyle name="SAPBEXaggItem" xfId="1342" xr:uid="{00000000-0005-0000-0000-0000C2110000}"/>
    <cellStyle name="SAPBEXaggItem 10" xfId="1343" xr:uid="{00000000-0005-0000-0000-0000C3110000}"/>
    <cellStyle name="SAPBEXaggItem 10 2" xfId="5270" xr:uid="{00000000-0005-0000-0000-0000C4110000}"/>
    <cellStyle name="SAPBEXaggItem 10_Monthly Energy Log" xfId="5271" xr:uid="{00000000-0005-0000-0000-0000C5110000}"/>
    <cellStyle name="SAPBEXaggItem 11" xfId="1344" xr:uid="{00000000-0005-0000-0000-0000C6110000}"/>
    <cellStyle name="SAPBEXaggItem 11 2" xfId="5272" xr:uid="{00000000-0005-0000-0000-0000C7110000}"/>
    <cellStyle name="SAPBEXaggItem 11_Monthly Energy Log" xfId="5273" xr:uid="{00000000-0005-0000-0000-0000C8110000}"/>
    <cellStyle name="SAPBEXaggItem 12" xfId="1345" xr:uid="{00000000-0005-0000-0000-0000C9110000}"/>
    <cellStyle name="SAPBEXaggItem 12 2" xfId="5274" xr:uid="{00000000-0005-0000-0000-0000CA110000}"/>
    <cellStyle name="SAPBEXaggItem 12_Monthly Energy Log" xfId="5275" xr:uid="{00000000-0005-0000-0000-0000CB110000}"/>
    <cellStyle name="SAPBEXaggItem 13" xfId="1346" xr:uid="{00000000-0005-0000-0000-0000CC110000}"/>
    <cellStyle name="SAPBEXaggItem 13 2" xfId="5276" xr:uid="{00000000-0005-0000-0000-0000CD110000}"/>
    <cellStyle name="SAPBEXaggItem 13_Monthly Energy Log" xfId="5277" xr:uid="{00000000-0005-0000-0000-0000CE110000}"/>
    <cellStyle name="SAPBEXaggItem 14" xfId="1347" xr:uid="{00000000-0005-0000-0000-0000CF110000}"/>
    <cellStyle name="SAPBEXaggItem 14 2" xfId="5278" xr:uid="{00000000-0005-0000-0000-0000D0110000}"/>
    <cellStyle name="SAPBEXaggItem 14_Monthly Energy Log" xfId="5279" xr:uid="{00000000-0005-0000-0000-0000D1110000}"/>
    <cellStyle name="SAPBEXaggItem 15" xfId="1348" xr:uid="{00000000-0005-0000-0000-0000D2110000}"/>
    <cellStyle name="SAPBEXaggItem 15 2" xfId="5280" xr:uid="{00000000-0005-0000-0000-0000D3110000}"/>
    <cellStyle name="SAPBEXaggItem 15_Monthly Energy Log" xfId="5281" xr:uid="{00000000-0005-0000-0000-0000D4110000}"/>
    <cellStyle name="SAPBEXaggItem 16" xfId="1349" xr:uid="{00000000-0005-0000-0000-0000D5110000}"/>
    <cellStyle name="SAPBEXaggItem 16 2" xfId="5282" xr:uid="{00000000-0005-0000-0000-0000D6110000}"/>
    <cellStyle name="SAPBEXaggItem 16_Monthly Energy Log" xfId="5283" xr:uid="{00000000-0005-0000-0000-0000D7110000}"/>
    <cellStyle name="SAPBEXaggItem 17" xfId="1350" xr:uid="{00000000-0005-0000-0000-0000D8110000}"/>
    <cellStyle name="SAPBEXaggItem 17 2" xfId="5284" xr:uid="{00000000-0005-0000-0000-0000D9110000}"/>
    <cellStyle name="SAPBEXaggItem 17_Monthly Energy Log" xfId="5285" xr:uid="{00000000-0005-0000-0000-0000DA110000}"/>
    <cellStyle name="SAPBEXaggItem 18" xfId="1351" xr:uid="{00000000-0005-0000-0000-0000DB110000}"/>
    <cellStyle name="SAPBEXaggItem 18 2" xfId="5286" xr:uid="{00000000-0005-0000-0000-0000DC110000}"/>
    <cellStyle name="SAPBEXaggItem 18_Monthly Energy Log" xfId="5287" xr:uid="{00000000-0005-0000-0000-0000DD110000}"/>
    <cellStyle name="SAPBEXaggItem 19" xfId="5288" xr:uid="{00000000-0005-0000-0000-0000DE110000}"/>
    <cellStyle name="SAPBEXaggItem 2" xfId="1352" xr:uid="{00000000-0005-0000-0000-0000DF110000}"/>
    <cellStyle name="SAPBEXaggItem 2 2" xfId="1353" xr:uid="{00000000-0005-0000-0000-0000E0110000}"/>
    <cellStyle name="SAPBEXaggItem 2 2 2" xfId="5289" xr:uid="{00000000-0005-0000-0000-0000E1110000}"/>
    <cellStyle name="SAPBEXaggItem 2 2_Monthly Energy Log" xfId="5290" xr:uid="{00000000-0005-0000-0000-0000E2110000}"/>
    <cellStyle name="SAPBEXaggItem 2 3" xfId="5291" xr:uid="{00000000-0005-0000-0000-0000E3110000}"/>
    <cellStyle name="SAPBEXaggItem 2_BP ME Calc." xfId="5292" xr:uid="{00000000-0005-0000-0000-0000E4110000}"/>
    <cellStyle name="SAPBEXaggItem 3" xfId="1354" xr:uid="{00000000-0005-0000-0000-0000E5110000}"/>
    <cellStyle name="SAPBEXaggItem 3 2" xfId="5293" xr:uid="{00000000-0005-0000-0000-0000E6110000}"/>
    <cellStyle name="SAPBEXaggItem 3_Monthly Energy Log" xfId="5294" xr:uid="{00000000-0005-0000-0000-0000E7110000}"/>
    <cellStyle name="SAPBEXaggItem 4" xfId="1355" xr:uid="{00000000-0005-0000-0000-0000E8110000}"/>
    <cellStyle name="SAPBEXaggItem 4 2" xfId="5295" xr:uid="{00000000-0005-0000-0000-0000E9110000}"/>
    <cellStyle name="SAPBEXaggItem 4_Monthly Energy Log" xfId="5296" xr:uid="{00000000-0005-0000-0000-0000EA110000}"/>
    <cellStyle name="SAPBEXaggItem 5" xfId="1356" xr:uid="{00000000-0005-0000-0000-0000EB110000}"/>
    <cellStyle name="SAPBEXaggItem 5 2" xfId="5297" xr:uid="{00000000-0005-0000-0000-0000EC110000}"/>
    <cellStyle name="SAPBEXaggItem 5_Monthly Energy Log" xfId="5298" xr:uid="{00000000-0005-0000-0000-0000ED110000}"/>
    <cellStyle name="SAPBEXaggItem 6" xfId="1357" xr:uid="{00000000-0005-0000-0000-0000EE110000}"/>
    <cellStyle name="SAPBEXaggItem 6 2" xfId="5299" xr:uid="{00000000-0005-0000-0000-0000EF110000}"/>
    <cellStyle name="SAPBEXaggItem 6_Monthly Energy Log" xfId="5300" xr:uid="{00000000-0005-0000-0000-0000F0110000}"/>
    <cellStyle name="SAPBEXaggItem 7" xfId="1358" xr:uid="{00000000-0005-0000-0000-0000F1110000}"/>
    <cellStyle name="SAPBEXaggItem 7 2" xfId="5301" xr:uid="{00000000-0005-0000-0000-0000F2110000}"/>
    <cellStyle name="SAPBEXaggItem 7_Monthly Energy Log" xfId="5302" xr:uid="{00000000-0005-0000-0000-0000F3110000}"/>
    <cellStyle name="SAPBEXaggItem 8" xfId="1359" xr:uid="{00000000-0005-0000-0000-0000F4110000}"/>
    <cellStyle name="SAPBEXaggItem 8 2" xfId="5303" xr:uid="{00000000-0005-0000-0000-0000F5110000}"/>
    <cellStyle name="SAPBEXaggItem 8_Monthly Energy Log" xfId="5304" xr:uid="{00000000-0005-0000-0000-0000F6110000}"/>
    <cellStyle name="SAPBEXaggItem 9" xfId="1360" xr:uid="{00000000-0005-0000-0000-0000F7110000}"/>
    <cellStyle name="SAPBEXaggItem 9 2" xfId="5305" xr:uid="{00000000-0005-0000-0000-0000F8110000}"/>
    <cellStyle name="SAPBEXaggItem 9_Monthly Energy Log" xfId="5306" xr:uid="{00000000-0005-0000-0000-0000F9110000}"/>
    <cellStyle name="SAPBEXaggItem_BP ME Calc." xfId="5307" xr:uid="{00000000-0005-0000-0000-0000FA110000}"/>
    <cellStyle name="SAPBEXaggItemX" xfId="1361" xr:uid="{00000000-0005-0000-0000-0000FB110000}"/>
    <cellStyle name="SAPBEXchaText" xfId="1362" xr:uid="{00000000-0005-0000-0000-0000FC110000}"/>
    <cellStyle name="SAPBEXchaText 10" xfId="1363" xr:uid="{00000000-0005-0000-0000-0000FD110000}"/>
    <cellStyle name="SAPBEXchaText 10 2" xfId="5308" xr:uid="{00000000-0005-0000-0000-0000FE110000}"/>
    <cellStyle name="SAPBEXchaText 10_Monthly Energy Log" xfId="5309" xr:uid="{00000000-0005-0000-0000-0000FF110000}"/>
    <cellStyle name="SAPBEXchaText 11" xfId="1364" xr:uid="{00000000-0005-0000-0000-000000120000}"/>
    <cellStyle name="SAPBEXchaText 11 2" xfId="5310" xr:uid="{00000000-0005-0000-0000-000001120000}"/>
    <cellStyle name="SAPBEXchaText 11_Monthly Energy Log" xfId="5311" xr:uid="{00000000-0005-0000-0000-000002120000}"/>
    <cellStyle name="SAPBEXchaText 12" xfId="1365" xr:uid="{00000000-0005-0000-0000-000003120000}"/>
    <cellStyle name="SAPBEXchaText 12 2" xfId="5312" xr:uid="{00000000-0005-0000-0000-000004120000}"/>
    <cellStyle name="SAPBEXchaText 12_Monthly Energy Log" xfId="5313" xr:uid="{00000000-0005-0000-0000-000005120000}"/>
    <cellStyle name="SAPBEXchaText 13" xfId="1366" xr:uid="{00000000-0005-0000-0000-000006120000}"/>
    <cellStyle name="SAPBEXchaText 13 2" xfId="5314" xr:uid="{00000000-0005-0000-0000-000007120000}"/>
    <cellStyle name="SAPBEXchaText 13_For GOLD" xfId="5315" xr:uid="{00000000-0005-0000-0000-000008120000}"/>
    <cellStyle name="SAPBEXchaText 14" xfId="1367" xr:uid="{00000000-0005-0000-0000-000009120000}"/>
    <cellStyle name="SAPBEXchaText 14 2" xfId="5316" xr:uid="{00000000-0005-0000-0000-00000A120000}"/>
    <cellStyle name="SAPBEXchaText 14_Monthly Energy Log" xfId="5317" xr:uid="{00000000-0005-0000-0000-00000B120000}"/>
    <cellStyle name="SAPBEXchaText 15" xfId="1368" xr:uid="{00000000-0005-0000-0000-00000C120000}"/>
    <cellStyle name="SAPBEXchaText 15 2" xfId="5318" xr:uid="{00000000-0005-0000-0000-00000D120000}"/>
    <cellStyle name="SAPBEXchaText 15_Monthly Energy Log" xfId="5319" xr:uid="{00000000-0005-0000-0000-00000E120000}"/>
    <cellStyle name="SAPBEXchaText 16" xfId="1369" xr:uid="{00000000-0005-0000-0000-00000F120000}"/>
    <cellStyle name="SAPBEXchaText 16 2" xfId="5320" xr:uid="{00000000-0005-0000-0000-000010120000}"/>
    <cellStyle name="SAPBEXchaText 16_Monthly Energy Log" xfId="5321" xr:uid="{00000000-0005-0000-0000-000011120000}"/>
    <cellStyle name="SAPBEXchaText 17" xfId="1370" xr:uid="{00000000-0005-0000-0000-000012120000}"/>
    <cellStyle name="SAPBEXchaText 17 2" xfId="5322" xr:uid="{00000000-0005-0000-0000-000013120000}"/>
    <cellStyle name="SAPBEXchaText 17_Monthly Energy Log" xfId="5323" xr:uid="{00000000-0005-0000-0000-000014120000}"/>
    <cellStyle name="SAPBEXchaText 18" xfId="1371" xr:uid="{00000000-0005-0000-0000-000015120000}"/>
    <cellStyle name="SAPBEXchaText 18 2" xfId="5324" xr:uid="{00000000-0005-0000-0000-000016120000}"/>
    <cellStyle name="SAPBEXchaText 18_Monthly Energy Log" xfId="5325" xr:uid="{00000000-0005-0000-0000-000017120000}"/>
    <cellStyle name="SAPBEXchaText 19" xfId="5326" xr:uid="{00000000-0005-0000-0000-000018120000}"/>
    <cellStyle name="SAPBEXchaText 2" xfId="1372" xr:uid="{00000000-0005-0000-0000-000019120000}"/>
    <cellStyle name="SAPBEXchaText 2 2" xfId="1373" xr:uid="{00000000-0005-0000-0000-00001A120000}"/>
    <cellStyle name="SAPBEXchaText 2 2 2" xfId="5327" xr:uid="{00000000-0005-0000-0000-00001B120000}"/>
    <cellStyle name="SAPBEXchaText 2 2_Monthly Energy Log" xfId="5328" xr:uid="{00000000-0005-0000-0000-00001C120000}"/>
    <cellStyle name="SAPBEXchaText 2 3" xfId="5329" xr:uid="{00000000-0005-0000-0000-00001D120000}"/>
    <cellStyle name="SAPBEXchaText 2_BP ME Calc." xfId="5330" xr:uid="{00000000-0005-0000-0000-00001E120000}"/>
    <cellStyle name="SAPBEXchaText 3" xfId="1374" xr:uid="{00000000-0005-0000-0000-00001F120000}"/>
    <cellStyle name="SAPBEXchaText 3 2" xfId="5331" xr:uid="{00000000-0005-0000-0000-000020120000}"/>
    <cellStyle name="SAPBEXchaText 3_Monthly Energy Log" xfId="5332" xr:uid="{00000000-0005-0000-0000-000021120000}"/>
    <cellStyle name="SAPBEXchaText 4" xfId="1375" xr:uid="{00000000-0005-0000-0000-000022120000}"/>
    <cellStyle name="SAPBEXchaText 4 2" xfId="5333" xr:uid="{00000000-0005-0000-0000-000023120000}"/>
    <cellStyle name="SAPBEXchaText 4_Monthly Energy Log" xfId="5334" xr:uid="{00000000-0005-0000-0000-000024120000}"/>
    <cellStyle name="SAPBEXchaText 5" xfId="1376" xr:uid="{00000000-0005-0000-0000-000025120000}"/>
    <cellStyle name="SAPBEXchaText 5 2" xfId="5335" xr:uid="{00000000-0005-0000-0000-000026120000}"/>
    <cellStyle name="SAPBEXchaText 5_Monthly Energy Log" xfId="5336" xr:uid="{00000000-0005-0000-0000-000027120000}"/>
    <cellStyle name="SAPBEXchaText 6" xfId="1377" xr:uid="{00000000-0005-0000-0000-000028120000}"/>
    <cellStyle name="SAPBEXchaText 6 2" xfId="5337" xr:uid="{00000000-0005-0000-0000-000029120000}"/>
    <cellStyle name="SAPBEXchaText 6_Monthly Energy Log" xfId="5338" xr:uid="{00000000-0005-0000-0000-00002A120000}"/>
    <cellStyle name="SAPBEXchaText 7" xfId="1378" xr:uid="{00000000-0005-0000-0000-00002B120000}"/>
    <cellStyle name="SAPBEXchaText 7 2" xfId="5339" xr:uid="{00000000-0005-0000-0000-00002C120000}"/>
    <cellStyle name="SAPBEXchaText 7_Monthly Energy Log" xfId="5340" xr:uid="{00000000-0005-0000-0000-00002D120000}"/>
    <cellStyle name="SAPBEXchaText 8" xfId="1379" xr:uid="{00000000-0005-0000-0000-00002E120000}"/>
    <cellStyle name="SAPBEXchaText 8 2" xfId="5341" xr:uid="{00000000-0005-0000-0000-00002F120000}"/>
    <cellStyle name="SAPBEXchaText 8_Monthly Energy Log" xfId="5342" xr:uid="{00000000-0005-0000-0000-000030120000}"/>
    <cellStyle name="SAPBEXchaText 9" xfId="1380" xr:uid="{00000000-0005-0000-0000-000031120000}"/>
    <cellStyle name="SAPBEXchaText 9 2" xfId="5343" xr:uid="{00000000-0005-0000-0000-000032120000}"/>
    <cellStyle name="SAPBEXchaText 9_Monthly Energy Log" xfId="5344" xr:uid="{00000000-0005-0000-0000-000033120000}"/>
    <cellStyle name="SAPBEXchaText_BP ME Calc." xfId="5345" xr:uid="{00000000-0005-0000-0000-000034120000}"/>
    <cellStyle name="SAPBEXexcBad7" xfId="1381" xr:uid="{00000000-0005-0000-0000-000035120000}"/>
    <cellStyle name="SAPBEXexcBad7 10" xfId="1382" xr:uid="{00000000-0005-0000-0000-000036120000}"/>
    <cellStyle name="SAPBEXexcBad7 10 2" xfId="5346" xr:uid="{00000000-0005-0000-0000-000037120000}"/>
    <cellStyle name="SAPBEXexcBad7 10_Monthly Energy Log" xfId="5347" xr:uid="{00000000-0005-0000-0000-000038120000}"/>
    <cellStyle name="SAPBEXexcBad7 11" xfId="1383" xr:uid="{00000000-0005-0000-0000-000039120000}"/>
    <cellStyle name="SAPBEXexcBad7 11 2" xfId="5348" xr:uid="{00000000-0005-0000-0000-00003A120000}"/>
    <cellStyle name="SAPBEXexcBad7 11_Monthly Energy Log" xfId="5349" xr:uid="{00000000-0005-0000-0000-00003B120000}"/>
    <cellStyle name="SAPBEXexcBad7 12" xfId="1384" xr:uid="{00000000-0005-0000-0000-00003C120000}"/>
    <cellStyle name="SAPBEXexcBad7 12 2" xfId="5350" xr:uid="{00000000-0005-0000-0000-00003D120000}"/>
    <cellStyle name="SAPBEXexcBad7 12_Monthly Energy Log" xfId="5351" xr:uid="{00000000-0005-0000-0000-00003E120000}"/>
    <cellStyle name="SAPBEXexcBad7 13" xfId="1385" xr:uid="{00000000-0005-0000-0000-00003F120000}"/>
    <cellStyle name="SAPBEXexcBad7 13 2" xfId="5352" xr:uid="{00000000-0005-0000-0000-000040120000}"/>
    <cellStyle name="SAPBEXexcBad7 13_Monthly Energy Log" xfId="5353" xr:uid="{00000000-0005-0000-0000-000041120000}"/>
    <cellStyle name="SAPBEXexcBad7 14" xfId="1386" xr:uid="{00000000-0005-0000-0000-000042120000}"/>
    <cellStyle name="SAPBEXexcBad7 14 2" xfId="5354" xr:uid="{00000000-0005-0000-0000-000043120000}"/>
    <cellStyle name="SAPBEXexcBad7 14_Monthly Energy Log" xfId="5355" xr:uid="{00000000-0005-0000-0000-000044120000}"/>
    <cellStyle name="SAPBEXexcBad7 15" xfId="1387" xr:uid="{00000000-0005-0000-0000-000045120000}"/>
    <cellStyle name="SAPBEXexcBad7 15 2" xfId="5356" xr:uid="{00000000-0005-0000-0000-000046120000}"/>
    <cellStyle name="SAPBEXexcBad7 15_Monthly Energy Log" xfId="5357" xr:uid="{00000000-0005-0000-0000-000047120000}"/>
    <cellStyle name="SAPBEXexcBad7 16" xfId="1388" xr:uid="{00000000-0005-0000-0000-000048120000}"/>
    <cellStyle name="SAPBEXexcBad7 16 2" xfId="5358" xr:uid="{00000000-0005-0000-0000-000049120000}"/>
    <cellStyle name="SAPBEXexcBad7 16_Monthly Energy Log" xfId="5359" xr:uid="{00000000-0005-0000-0000-00004A120000}"/>
    <cellStyle name="SAPBEXexcBad7 17" xfId="1389" xr:uid="{00000000-0005-0000-0000-00004B120000}"/>
    <cellStyle name="SAPBEXexcBad7 17 2" xfId="5360" xr:uid="{00000000-0005-0000-0000-00004C120000}"/>
    <cellStyle name="SAPBEXexcBad7 17_Monthly Energy Log" xfId="5361" xr:uid="{00000000-0005-0000-0000-00004D120000}"/>
    <cellStyle name="SAPBEXexcBad7 18" xfId="1390" xr:uid="{00000000-0005-0000-0000-00004E120000}"/>
    <cellStyle name="SAPBEXexcBad7 18 2" xfId="5362" xr:uid="{00000000-0005-0000-0000-00004F120000}"/>
    <cellStyle name="SAPBEXexcBad7 18_Monthly Energy Log" xfId="5363" xr:uid="{00000000-0005-0000-0000-000050120000}"/>
    <cellStyle name="SAPBEXexcBad7 19" xfId="5364" xr:uid="{00000000-0005-0000-0000-000051120000}"/>
    <cellStyle name="SAPBEXexcBad7 2" xfId="1391" xr:uid="{00000000-0005-0000-0000-000052120000}"/>
    <cellStyle name="SAPBEXexcBad7 2 2" xfId="1392" xr:uid="{00000000-0005-0000-0000-000053120000}"/>
    <cellStyle name="SAPBEXexcBad7 2 2 2" xfId="5365" xr:uid="{00000000-0005-0000-0000-000054120000}"/>
    <cellStyle name="SAPBEXexcBad7 2 2_Monthly Energy Log" xfId="5366" xr:uid="{00000000-0005-0000-0000-000055120000}"/>
    <cellStyle name="SAPBEXexcBad7 2 3" xfId="5367" xr:uid="{00000000-0005-0000-0000-000056120000}"/>
    <cellStyle name="SAPBEXexcBad7 2_BP ME Calc." xfId="5368" xr:uid="{00000000-0005-0000-0000-000057120000}"/>
    <cellStyle name="SAPBEXexcBad7 3" xfId="1393" xr:uid="{00000000-0005-0000-0000-000058120000}"/>
    <cellStyle name="SAPBEXexcBad7 3 2" xfId="5369" xr:uid="{00000000-0005-0000-0000-000059120000}"/>
    <cellStyle name="SAPBEXexcBad7 3_Monthly Energy Log" xfId="5370" xr:uid="{00000000-0005-0000-0000-00005A120000}"/>
    <cellStyle name="SAPBEXexcBad7 4" xfId="1394" xr:uid="{00000000-0005-0000-0000-00005B120000}"/>
    <cellStyle name="SAPBEXexcBad7 4 2" xfId="5371" xr:uid="{00000000-0005-0000-0000-00005C120000}"/>
    <cellStyle name="SAPBEXexcBad7 4_Monthly Energy Log" xfId="5372" xr:uid="{00000000-0005-0000-0000-00005D120000}"/>
    <cellStyle name="SAPBEXexcBad7 5" xfId="1395" xr:uid="{00000000-0005-0000-0000-00005E120000}"/>
    <cellStyle name="SAPBEXexcBad7 5 2" xfId="5373" xr:uid="{00000000-0005-0000-0000-00005F120000}"/>
    <cellStyle name="SAPBEXexcBad7 5_Monthly Energy Log" xfId="5374" xr:uid="{00000000-0005-0000-0000-000060120000}"/>
    <cellStyle name="SAPBEXexcBad7 6" xfId="1396" xr:uid="{00000000-0005-0000-0000-000061120000}"/>
    <cellStyle name="SAPBEXexcBad7 6 2" xfId="5375" xr:uid="{00000000-0005-0000-0000-000062120000}"/>
    <cellStyle name="SAPBEXexcBad7 6_Monthly Energy Log" xfId="5376" xr:uid="{00000000-0005-0000-0000-000063120000}"/>
    <cellStyle name="SAPBEXexcBad7 7" xfId="1397" xr:uid="{00000000-0005-0000-0000-000064120000}"/>
    <cellStyle name="SAPBEXexcBad7 7 2" xfId="5377" xr:uid="{00000000-0005-0000-0000-000065120000}"/>
    <cellStyle name="SAPBEXexcBad7 7_Monthly Energy Log" xfId="5378" xr:uid="{00000000-0005-0000-0000-000066120000}"/>
    <cellStyle name="SAPBEXexcBad7 8" xfId="1398" xr:uid="{00000000-0005-0000-0000-000067120000}"/>
    <cellStyle name="SAPBEXexcBad7 8 2" xfId="5379" xr:uid="{00000000-0005-0000-0000-000068120000}"/>
    <cellStyle name="SAPBEXexcBad7 8_Monthly Energy Log" xfId="5380" xr:uid="{00000000-0005-0000-0000-000069120000}"/>
    <cellStyle name="SAPBEXexcBad7 9" xfId="1399" xr:uid="{00000000-0005-0000-0000-00006A120000}"/>
    <cellStyle name="SAPBEXexcBad7 9 2" xfId="5381" xr:uid="{00000000-0005-0000-0000-00006B120000}"/>
    <cellStyle name="SAPBEXexcBad7 9_Monthly Energy Log" xfId="5382" xr:uid="{00000000-0005-0000-0000-00006C120000}"/>
    <cellStyle name="SAPBEXexcBad7_BP ME Calc." xfId="5383" xr:uid="{00000000-0005-0000-0000-00006D120000}"/>
    <cellStyle name="SAPBEXexcBad8" xfId="1400" xr:uid="{00000000-0005-0000-0000-00006E120000}"/>
    <cellStyle name="SAPBEXexcBad8 10" xfId="1401" xr:uid="{00000000-0005-0000-0000-00006F120000}"/>
    <cellStyle name="SAPBEXexcBad8 10 2" xfId="5384" xr:uid="{00000000-0005-0000-0000-000070120000}"/>
    <cellStyle name="SAPBEXexcBad8 10_Monthly Energy Log" xfId="5385" xr:uid="{00000000-0005-0000-0000-000071120000}"/>
    <cellStyle name="SAPBEXexcBad8 11" xfId="1402" xr:uid="{00000000-0005-0000-0000-000072120000}"/>
    <cellStyle name="SAPBEXexcBad8 11 2" xfId="5386" xr:uid="{00000000-0005-0000-0000-000073120000}"/>
    <cellStyle name="SAPBEXexcBad8 11_Monthly Energy Log" xfId="5387" xr:uid="{00000000-0005-0000-0000-000074120000}"/>
    <cellStyle name="SAPBEXexcBad8 12" xfId="1403" xr:uid="{00000000-0005-0000-0000-000075120000}"/>
    <cellStyle name="SAPBEXexcBad8 12 2" xfId="5388" xr:uid="{00000000-0005-0000-0000-000076120000}"/>
    <cellStyle name="SAPBEXexcBad8 12_Monthly Energy Log" xfId="5389" xr:uid="{00000000-0005-0000-0000-000077120000}"/>
    <cellStyle name="SAPBEXexcBad8 13" xfId="1404" xr:uid="{00000000-0005-0000-0000-000078120000}"/>
    <cellStyle name="SAPBEXexcBad8 13 2" xfId="5390" xr:uid="{00000000-0005-0000-0000-000079120000}"/>
    <cellStyle name="SAPBEXexcBad8 13_Monthly Energy Log" xfId="5391" xr:uid="{00000000-0005-0000-0000-00007A120000}"/>
    <cellStyle name="SAPBEXexcBad8 14" xfId="1405" xr:uid="{00000000-0005-0000-0000-00007B120000}"/>
    <cellStyle name="SAPBEXexcBad8 14 2" xfId="5392" xr:uid="{00000000-0005-0000-0000-00007C120000}"/>
    <cellStyle name="SAPBEXexcBad8 14_Monthly Energy Log" xfId="5393" xr:uid="{00000000-0005-0000-0000-00007D120000}"/>
    <cellStyle name="SAPBEXexcBad8 15" xfId="1406" xr:uid="{00000000-0005-0000-0000-00007E120000}"/>
    <cellStyle name="SAPBEXexcBad8 15 2" xfId="5394" xr:uid="{00000000-0005-0000-0000-00007F120000}"/>
    <cellStyle name="SAPBEXexcBad8 15_Monthly Energy Log" xfId="5395" xr:uid="{00000000-0005-0000-0000-000080120000}"/>
    <cellStyle name="SAPBEXexcBad8 16" xfId="1407" xr:uid="{00000000-0005-0000-0000-000081120000}"/>
    <cellStyle name="SAPBEXexcBad8 16 2" xfId="5396" xr:uid="{00000000-0005-0000-0000-000082120000}"/>
    <cellStyle name="SAPBEXexcBad8 16_Monthly Energy Log" xfId="5397" xr:uid="{00000000-0005-0000-0000-000083120000}"/>
    <cellStyle name="SAPBEXexcBad8 17" xfId="1408" xr:uid="{00000000-0005-0000-0000-000084120000}"/>
    <cellStyle name="SAPBEXexcBad8 17 2" xfId="5398" xr:uid="{00000000-0005-0000-0000-000085120000}"/>
    <cellStyle name="SAPBEXexcBad8 17_Monthly Energy Log" xfId="5399" xr:uid="{00000000-0005-0000-0000-000086120000}"/>
    <cellStyle name="SAPBEXexcBad8 18" xfId="1409" xr:uid="{00000000-0005-0000-0000-000087120000}"/>
    <cellStyle name="SAPBEXexcBad8 18 2" xfId="5400" xr:uid="{00000000-0005-0000-0000-000088120000}"/>
    <cellStyle name="SAPBEXexcBad8 18_Monthly Energy Log" xfId="5401" xr:uid="{00000000-0005-0000-0000-000089120000}"/>
    <cellStyle name="SAPBEXexcBad8 19" xfId="5402" xr:uid="{00000000-0005-0000-0000-00008A120000}"/>
    <cellStyle name="SAPBEXexcBad8 2" xfId="1410" xr:uid="{00000000-0005-0000-0000-00008B120000}"/>
    <cellStyle name="SAPBEXexcBad8 2 2" xfId="1411" xr:uid="{00000000-0005-0000-0000-00008C120000}"/>
    <cellStyle name="SAPBEXexcBad8 2 2 2" xfId="5403" xr:uid="{00000000-0005-0000-0000-00008D120000}"/>
    <cellStyle name="SAPBEXexcBad8 2 2_Monthly Energy Log" xfId="5404" xr:uid="{00000000-0005-0000-0000-00008E120000}"/>
    <cellStyle name="SAPBEXexcBad8 2 3" xfId="5405" xr:uid="{00000000-0005-0000-0000-00008F120000}"/>
    <cellStyle name="SAPBEXexcBad8 2_BP ME Calc." xfId="5406" xr:uid="{00000000-0005-0000-0000-000090120000}"/>
    <cellStyle name="SAPBEXexcBad8 3" xfId="1412" xr:uid="{00000000-0005-0000-0000-000091120000}"/>
    <cellStyle name="SAPBEXexcBad8 3 2" xfId="5407" xr:uid="{00000000-0005-0000-0000-000092120000}"/>
    <cellStyle name="SAPBEXexcBad8 3_Monthly Energy Log" xfId="5408" xr:uid="{00000000-0005-0000-0000-000093120000}"/>
    <cellStyle name="SAPBEXexcBad8 4" xfId="1413" xr:uid="{00000000-0005-0000-0000-000094120000}"/>
    <cellStyle name="SAPBEXexcBad8 4 2" xfId="5409" xr:uid="{00000000-0005-0000-0000-000095120000}"/>
    <cellStyle name="SAPBEXexcBad8 4_Monthly Energy Log" xfId="5410" xr:uid="{00000000-0005-0000-0000-000096120000}"/>
    <cellStyle name="SAPBEXexcBad8 5" xfId="1414" xr:uid="{00000000-0005-0000-0000-000097120000}"/>
    <cellStyle name="SAPBEXexcBad8 5 2" xfId="5411" xr:uid="{00000000-0005-0000-0000-000098120000}"/>
    <cellStyle name="SAPBEXexcBad8 5_Monthly Energy Log" xfId="5412" xr:uid="{00000000-0005-0000-0000-000099120000}"/>
    <cellStyle name="SAPBEXexcBad8 6" xfId="1415" xr:uid="{00000000-0005-0000-0000-00009A120000}"/>
    <cellStyle name="SAPBEXexcBad8 6 2" xfId="5413" xr:uid="{00000000-0005-0000-0000-00009B120000}"/>
    <cellStyle name="SAPBEXexcBad8 6_Monthly Energy Log" xfId="5414" xr:uid="{00000000-0005-0000-0000-00009C120000}"/>
    <cellStyle name="SAPBEXexcBad8 7" xfId="1416" xr:uid="{00000000-0005-0000-0000-00009D120000}"/>
    <cellStyle name="SAPBEXexcBad8 7 2" xfId="5415" xr:uid="{00000000-0005-0000-0000-00009E120000}"/>
    <cellStyle name="SAPBEXexcBad8 7_Monthly Energy Log" xfId="5416" xr:uid="{00000000-0005-0000-0000-00009F120000}"/>
    <cellStyle name="SAPBEXexcBad8 8" xfId="1417" xr:uid="{00000000-0005-0000-0000-0000A0120000}"/>
    <cellStyle name="SAPBEXexcBad8 8 2" xfId="5417" xr:uid="{00000000-0005-0000-0000-0000A1120000}"/>
    <cellStyle name="SAPBEXexcBad8 8_Monthly Energy Log" xfId="5418" xr:uid="{00000000-0005-0000-0000-0000A2120000}"/>
    <cellStyle name="SAPBEXexcBad8 9" xfId="1418" xr:uid="{00000000-0005-0000-0000-0000A3120000}"/>
    <cellStyle name="SAPBEXexcBad8 9 2" xfId="5419" xr:uid="{00000000-0005-0000-0000-0000A4120000}"/>
    <cellStyle name="SAPBEXexcBad8 9_Monthly Energy Log" xfId="5420" xr:uid="{00000000-0005-0000-0000-0000A5120000}"/>
    <cellStyle name="SAPBEXexcBad8_BP ME Calc." xfId="5421" xr:uid="{00000000-0005-0000-0000-0000A6120000}"/>
    <cellStyle name="SAPBEXexcBad9" xfId="1419" xr:uid="{00000000-0005-0000-0000-0000A7120000}"/>
    <cellStyle name="SAPBEXexcBad9 10" xfId="1420" xr:uid="{00000000-0005-0000-0000-0000A8120000}"/>
    <cellStyle name="SAPBEXexcBad9 10 2" xfId="5422" xr:uid="{00000000-0005-0000-0000-0000A9120000}"/>
    <cellStyle name="SAPBEXexcBad9 10_Monthly Energy Log" xfId="5423" xr:uid="{00000000-0005-0000-0000-0000AA120000}"/>
    <cellStyle name="SAPBEXexcBad9 11" xfId="1421" xr:uid="{00000000-0005-0000-0000-0000AB120000}"/>
    <cellStyle name="SAPBEXexcBad9 11 2" xfId="5424" xr:uid="{00000000-0005-0000-0000-0000AC120000}"/>
    <cellStyle name="SAPBEXexcBad9 11_Monthly Energy Log" xfId="5425" xr:uid="{00000000-0005-0000-0000-0000AD120000}"/>
    <cellStyle name="SAPBEXexcBad9 12" xfId="1422" xr:uid="{00000000-0005-0000-0000-0000AE120000}"/>
    <cellStyle name="SAPBEXexcBad9 12 2" xfId="5426" xr:uid="{00000000-0005-0000-0000-0000AF120000}"/>
    <cellStyle name="SAPBEXexcBad9 12_Monthly Energy Log" xfId="5427" xr:uid="{00000000-0005-0000-0000-0000B0120000}"/>
    <cellStyle name="SAPBEXexcBad9 13" xfId="1423" xr:uid="{00000000-0005-0000-0000-0000B1120000}"/>
    <cellStyle name="SAPBEXexcBad9 13 2" xfId="5428" xr:uid="{00000000-0005-0000-0000-0000B2120000}"/>
    <cellStyle name="SAPBEXexcBad9 13_Monthly Energy Log" xfId="5429" xr:uid="{00000000-0005-0000-0000-0000B3120000}"/>
    <cellStyle name="SAPBEXexcBad9 14" xfId="1424" xr:uid="{00000000-0005-0000-0000-0000B4120000}"/>
    <cellStyle name="SAPBEXexcBad9 14 2" xfId="5430" xr:uid="{00000000-0005-0000-0000-0000B5120000}"/>
    <cellStyle name="SAPBEXexcBad9 14_Monthly Energy Log" xfId="5431" xr:uid="{00000000-0005-0000-0000-0000B6120000}"/>
    <cellStyle name="SAPBEXexcBad9 15" xfId="1425" xr:uid="{00000000-0005-0000-0000-0000B7120000}"/>
    <cellStyle name="SAPBEXexcBad9 15 2" xfId="5432" xr:uid="{00000000-0005-0000-0000-0000B8120000}"/>
    <cellStyle name="SAPBEXexcBad9 15_Monthly Energy Log" xfId="5433" xr:uid="{00000000-0005-0000-0000-0000B9120000}"/>
    <cellStyle name="SAPBEXexcBad9 16" xfId="1426" xr:uid="{00000000-0005-0000-0000-0000BA120000}"/>
    <cellStyle name="SAPBEXexcBad9 16 2" xfId="5434" xr:uid="{00000000-0005-0000-0000-0000BB120000}"/>
    <cellStyle name="SAPBEXexcBad9 16_Monthly Energy Log" xfId="5435" xr:uid="{00000000-0005-0000-0000-0000BC120000}"/>
    <cellStyle name="SAPBEXexcBad9 17" xfId="5436" xr:uid="{00000000-0005-0000-0000-0000BD120000}"/>
    <cellStyle name="SAPBEXexcBad9 2" xfId="1427" xr:uid="{00000000-0005-0000-0000-0000BE120000}"/>
    <cellStyle name="SAPBEXexcBad9 2 2" xfId="5437" xr:uid="{00000000-0005-0000-0000-0000BF120000}"/>
    <cellStyle name="SAPBEXexcBad9 2_Monthly Energy Log" xfId="5438" xr:uid="{00000000-0005-0000-0000-0000C0120000}"/>
    <cellStyle name="SAPBEXexcBad9 3" xfId="1428" xr:uid="{00000000-0005-0000-0000-0000C1120000}"/>
    <cellStyle name="SAPBEXexcBad9 3 2" xfId="5439" xr:uid="{00000000-0005-0000-0000-0000C2120000}"/>
    <cellStyle name="SAPBEXexcBad9 3_Monthly Energy Log" xfId="5440" xr:uid="{00000000-0005-0000-0000-0000C3120000}"/>
    <cellStyle name="SAPBEXexcBad9 4" xfId="1429" xr:uid="{00000000-0005-0000-0000-0000C4120000}"/>
    <cellStyle name="SAPBEXexcBad9 4 2" xfId="5441" xr:uid="{00000000-0005-0000-0000-0000C5120000}"/>
    <cellStyle name="SAPBEXexcBad9 4_Monthly Energy Log" xfId="5442" xr:uid="{00000000-0005-0000-0000-0000C6120000}"/>
    <cellStyle name="SAPBEXexcBad9 5" xfId="1430" xr:uid="{00000000-0005-0000-0000-0000C7120000}"/>
    <cellStyle name="SAPBEXexcBad9 5 2" xfId="5443" xr:uid="{00000000-0005-0000-0000-0000C8120000}"/>
    <cellStyle name="SAPBEXexcBad9 5_Monthly Energy Log" xfId="5444" xr:uid="{00000000-0005-0000-0000-0000C9120000}"/>
    <cellStyle name="SAPBEXexcBad9 6" xfId="1431" xr:uid="{00000000-0005-0000-0000-0000CA120000}"/>
    <cellStyle name="SAPBEXexcBad9 6 2" xfId="5445" xr:uid="{00000000-0005-0000-0000-0000CB120000}"/>
    <cellStyle name="SAPBEXexcBad9 6_Monthly Energy Log" xfId="5446" xr:uid="{00000000-0005-0000-0000-0000CC120000}"/>
    <cellStyle name="SAPBEXexcBad9 7" xfId="1432" xr:uid="{00000000-0005-0000-0000-0000CD120000}"/>
    <cellStyle name="SAPBEXexcBad9 7 2" xfId="5447" xr:uid="{00000000-0005-0000-0000-0000CE120000}"/>
    <cellStyle name="SAPBEXexcBad9 7_Monthly Energy Log" xfId="5448" xr:uid="{00000000-0005-0000-0000-0000CF120000}"/>
    <cellStyle name="SAPBEXexcBad9 8" xfId="1433" xr:uid="{00000000-0005-0000-0000-0000D0120000}"/>
    <cellStyle name="SAPBEXexcBad9 8 2" xfId="5449" xr:uid="{00000000-0005-0000-0000-0000D1120000}"/>
    <cellStyle name="SAPBEXexcBad9 8_Monthly Energy Log" xfId="5450" xr:uid="{00000000-0005-0000-0000-0000D2120000}"/>
    <cellStyle name="SAPBEXexcBad9 9" xfId="1434" xr:uid="{00000000-0005-0000-0000-0000D3120000}"/>
    <cellStyle name="SAPBEXexcBad9 9 2" xfId="5451" xr:uid="{00000000-0005-0000-0000-0000D4120000}"/>
    <cellStyle name="SAPBEXexcBad9 9_Monthly Energy Log" xfId="5452" xr:uid="{00000000-0005-0000-0000-0000D5120000}"/>
    <cellStyle name="SAPBEXexcBad9_BP ME Calc." xfId="5453" xr:uid="{00000000-0005-0000-0000-0000D6120000}"/>
    <cellStyle name="SAPBEXexcCritical4" xfId="1435" xr:uid="{00000000-0005-0000-0000-0000D7120000}"/>
    <cellStyle name="SAPBEXexcCritical4 10" xfId="1436" xr:uid="{00000000-0005-0000-0000-0000D8120000}"/>
    <cellStyle name="SAPBEXexcCritical4 10 2" xfId="5454" xr:uid="{00000000-0005-0000-0000-0000D9120000}"/>
    <cellStyle name="SAPBEXexcCritical4 10_Monthly Energy Log" xfId="5455" xr:uid="{00000000-0005-0000-0000-0000DA120000}"/>
    <cellStyle name="SAPBEXexcCritical4 11" xfId="1437" xr:uid="{00000000-0005-0000-0000-0000DB120000}"/>
    <cellStyle name="SAPBEXexcCritical4 11 2" xfId="5456" xr:uid="{00000000-0005-0000-0000-0000DC120000}"/>
    <cellStyle name="SAPBEXexcCritical4 11_Monthly Energy Log" xfId="5457" xr:uid="{00000000-0005-0000-0000-0000DD120000}"/>
    <cellStyle name="SAPBEXexcCritical4 12" xfId="1438" xr:uid="{00000000-0005-0000-0000-0000DE120000}"/>
    <cellStyle name="SAPBEXexcCritical4 12 2" xfId="5458" xr:uid="{00000000-0005-0000-0000-0000DF120000}"/>
    <cellStyle name="SAPBEXexcCritical4 12_Monthly Energy Log" xfId="5459" xr:uid="{00000000-0005-0000-0000-0000E0120000}"/>
    <cellStyle name="SAPBEXexcCritical4 13" xfId="1439" xr:uid="{00000000-0005-0000-0000-0000E1120000}"/>
    <cellStyle name="SAPBEXexcCritical4 13 2" xfId="5460" xr:uid="{00000000-0005-0000-0000-0000E2120000}"/>
    <cellStyle name="SAPBEXexcCritical4 13_Monthly Energy Log" xfId="5461" xr:uid="{00000000-0005-0000-0000-0000E3120000}"/>
    <cellStyle name="SAPBEXexcCritical4 14" xfId="1440" xr:uid="{00000000-0005-0000-0000-0000E4120000}"/>
    <cellStyle name="SAPBEXexcCritical4 14 2" xfId="5462" xr:uid="{00000000-0005-0000-0000-0000E5120000}"/>
    <cellStyle name="SAPBEXexcCritical4 14_Monthly Energy Log" xfId="5463" xr:uid="{00000000-0005-0000-0000-0000E6120000}"/>
    <cellStyle name="SAPBEXexcCritical4 15" xfId="1441" xr:uid="{00000000-0005-0000-0000-0000E7120000}"/>
    <cellStyle name="SAPBEXexcCritical4 15 2" xfId="5464" xr:uid="{00000000-0005-0000-0000-0000E8120000}"/>
    <cellStyle name="SAPBEXexcCritical4 15_Monthly Energy Log" xfId="5465" xr:uid="{00000000-0005-0000-0000-0000E9120000}"/>
    <cellStyle name="SAPBEXexcCritical4 16" xfId="1442" xr:uid="{00000000-0005-0000-0000-0000EA120000}"/>
    <cellStyle name="SAPBEXexcCritical4 16 2" xfId="5466" xr:uid="{00000000-0005-0000-0000-0000EB120000}"/>
    <cellStyle name="SAPBEXexcCritical4 16_Monthly Energy Log" xfId="5467" xr:uid="{00000000-0005-0000-0000-0000EC120000}"/>
    <cellStyle name="SAPBEXexcCritical4 17" xfId="1443" xr:uid="{00000000-0005-0000-0000-0000ED120000}"/>
    <cellStyle name="SAPBEXexcCritical4 17 2" xfId="5468" xr:uid="{00000000-0005-0000-0000-0000EE120000}"/>
    <cellStyle name="SAPBEXexcCritical4 17_Monthly Energy Log" xfId="5469" xr:uid="{00000000-0005-0000-0000-0000EF120000}"/>
    <cellStyle name="SAPBEXexcCritical4 18" xfId="1444" xr:uid="{00000000-0005-0000-0000-0000F0120000}"/>
    <cellStyle name="SAPBEXexcCritical4 18 2" xfId="5470" xr:uid="{00000000-0005-0000-0000-0000F1120000}"/>
    <cellStyle name="SAPBEXexcCritical4 18_Monthly Energy Log" xfId="5471" xr:uid="{00000000-0005-0000-0000-0000F2120000}"/>
    <cellStyle name="SAPBEXexcCritical4 19" xfId="5472" xr:uid="{00000000-0005-0000-0000-0000F3120000}"/>
    <cellStyle name="SAPBEXexcCritical4 2" xfId="1445" xr:uid="{00000000-0005-0000-0000-0000F4120000}"/>
    <cellStyle name="SAPBEXexcCritical4 2 2" xfId="1446" xr:uid="{00000000-0005-0000-0000-0000F5120000}"/>
    <cellStyle name="SAPBEXexcCritical4 2 2 2" xfId="5473" xr:uid="{00000000-0005-0000-0000-0000F6120000}"/>
    <cellStyle name="SAPBEXexcCritical4 2 2_Monthly Energy Log" xfId="5474" xr:uid="{00000000-0005-0000-0000-0000F7120000}"/>
    <cellStyle name="SAPBEXexcCritical4 2 3" xfId="5475" xr:uid="{00000000-0005-0000-0000-0000F8120000}"/>
    <cellStyle name="SAPBEXexcCritical4 2_BP ME Calc." xfId="5476" xr:uid="{00000000-0005-0000-0000-0000F9120000}"/>
    <cellStyle name="SAPBEXexcCritical4 3" xfId="1447" xr:uid="{00000000-0005-0000-0000-0000FA120000}"/>
    <cellStyle name="SAPBEXexcCritical4 3 2" xfId="5477" xr:uid="{00000000-0005-0000-0000-0000FB120000}"/>
    <cellStyle name="SAPBEXexcCritical4 3_Monthly Energy Log" xfId="5478" xr:uid="{00000000-0005-0000-0000-0000FC120000}"/>
    <cellStyle name="SAPBEXexcCritical4 4" xfId="1448" xr:uid="{00000000-0005-0000-0000-0000FD120000}"/>
    <cellStyle name="SAPBEXexcCritical4 4 2" xfId="5479" xr:uid="{00000000-0005-0000-0000-0000FE120000}"/>
    <cellStyle name="SAPBEXexcCritical4 4_Monthly Energy Log" xfId="5480" xr:uid="{00000000-0005-0000-0000-0000FF120000}"/>
    <cellStyle name="SAPBEXexcCritical4 5" xfId="1449" xr:uid="{00000000-0005-0000-0000-000000130000}"/>
    <cellStyle name="SAPBEXexcCritical4 5 2" xfId="5481" xr:uid="{00000000-0005-0000-0000-000001130000}"/>
    <cellStyle name="SAPBEXexcCritical4 5_Monthly Energy Log" xfId="5482" xr:uid="{00000000-0005-0000-0000-000002130000}"/>
    <cellStyle name="SAPBEXexcCritical4 6" xfId="1450" xr:uid="{00000000-0005-0000-0000-000003130000}"/>
    <cellStyle name="SAPBEXexcCritical4 6 2" xfId="5483" xr:uid="{00000000-0005-0000-0000-000004130000}"/>
    <cellStyle name="SAPBEXexcCritical4 6_Monthly Energy Log" xfId="5484" xr:uid="{00000000-0005-0000-0000-000005130000}"/>
    <cellStyle name="SAPBEXexcCritical4 7" xfId="1451" xr:uid="{00000000-0005-0000-0000-000006130000}"/>
    <cellStyle name="SAPBEXexcCritical4 7 2" xfId="5485" xr:uid="{00000000-0005-0000-0000-000007130000}"/>
    <cellStyle name="SAPBEXexcCritical4 7_Monthly Energy Log" xfId="5486" xr:uid="{00000000-0005-0000-0000-000008130000}"/>
    <cellStyle name="SAPBEXexcCritical4 8" xfId="1452" xr:uid="{00000000-0005-0000-0000-000009130000}"/>
    <cellStyle name="SAPBEXexcCritical4 8 2" xfId="5487" xr:uid="{00000000-0005-0000-0000-00000A130000}"/>
    <cellStyle name="SAPBEXexcCritical4 8_Monthly Energy Log" xfId="5488" xr:uid="{00000000-0005-0000-0000-00000B130000}"/>
    <cellStyle name="SAPBEXexcCritical4 9" xfId="1453" xr:uid="{00000000-0005-0000-0000-00000C130000}"/>
    <cellStyle name="SAPBEXexcCritical4 9 2" xfId="5489" xr:uid="{00000000-0005-0000-0000-00000D130000}"/>
    <cellStyle name="SAPBEXexcCritical4 9_Monthly Energy Log" xfId="5490" xr:uid="{00000000-0005-0000-0000-00000E130000}"/>
    <cellStyle name="SAPBEXexcCritical4_BP ME Calc." xfId="5491" xr:uid="{00000000-0005-0000-0000-00000F130000}"/>
    <cellStyle name="SAPBEXexcCritical5" xfId="1454" xr:uid="{00000000-0005-0000-0000-000010130000}"/>
    <cellStyle name="SAPBEXexcCritical5 10" xfId="1455" xr:uid="{00000000-0005-0000-0000-000011130000}"/>
    <cellStyle name="SAPBEXexcCritical5 10 2" xfId="5492" xr:uid="{00000000-0005-0000-0000-000012130000}"/>
    <cellStyle name="SAPBEXexcCritical5 10_Monthly Energy Log" xfId="5493" xr:uid="{00000000-0005-0000-0000-000013130000}"/>
    <cellStyle name="SAPBEXexcCritical5 11" xfId="1456" xr:uid="{00000000-0005-0000-0000-000014130000}"/>
    <cellStyle name="SAPBEXexcCritical5 11 2" xfId="5494" xr:uid="{00000000-0005-0000-0000-000015130000}"/>
    <cellStyle name="SAPBEXexcCritical5 11_Monthly Energy Log" xfId="5495" xr:uid="{00000000-0005-0000-0000-000016130000}"/>
    <cellStyle name="SAPBEXexcCritical5 12" xfId="1457" xr:uid="{00000000-0005-0000-0000-000017130000}"/>
    <cellStyle name="SAPBEXexcCritical5 12 2" xfId="5496" xr:uid="{00000000-0005-0000-0000-000018130000}"/>
    <cellStyle name="SAPBEXexcCritical5 12_Monthly Energy Log" xfId="5497" xr:uid="{00000000-0005-0000-0000-000019130000}"/>
    <cellStyle name="SAPBEXexcCritical5 13" xfId="1458" xr:uid="{00000000-0005-0000-0000-00001A130000}"/>
    <cellStyle name="SAPBEXexcCritical5 13 2" xfId="5498" xr:uid="{00000000-0005-0000-0000-00001B130000}"/>
    <cellStyle name="SAPBEXexcCritical5 13_Monthly Energy Log" xfId="5499" xr:uid="{00000000-0005-0000-0000-00001C130000}"/>
    <cellStyle name="SAPBEXexcCritical5 14" xfId="1459" xr:uid="{00000000-0005-0000-0000-00001D130000}"/>
    <cellStyle name="SAPBEXexcCritical5 14 2" xfId="5500" xr:uid="{00000000-0005-0000-0000-00001E130000}"/>
    <cellStyle name="SAPBEXexcCritical5 14_Monthly Energy Log" xfId="5501" xr:uid="{00000000-0005-0000-0000-00001F130000}"/>
    <cellStyle name="SAPBEXexcCritical5 15" xfId="1460" xr:uid="{00000000-0005-0000-0000-000020130000}"/>
    <cellStyle name="SAPBEXexcCritical5 15 2" xfId="5502" xr:uid="{00000000-0005-0000-0000-000021130000}"/>
    <cellStyle name="SAPBEXexcCritical5 15_Monthly Energy Log" xfId="5503" xr:uid="{00000000-0005-0000-0000-000022130000}"/>
    <cellStyle name="SAPBEXexcCritical5 16" xfId="1461" xr:uid="{00000000-0005-0000-0000-000023130000}"/>
    <cellStyle name="SAPBEXexcCritical5 16 2" xfId="5504" xr:uid="{00000000-0005-0000-0000-000024130000}"/>
    <cellStyle name="SAPBEXexcCritical5 16_Monthly Energy Log" xfId="5505" xr:uid="{00000000-0005-0000-0000-000025130000}"/>
    <cellStyle name="SAPBEXexcCritical5 17" xfId="1462" xr:uid="{00000000-0005-0000-0000-000026130000}"/>
    <cellStyle name="SAPBEXexcCritical5 17 2" xfId="5506" xr:uid="{00000000-0005-0000-0000-000027130000}"/>
    <cellStyle name="SAPBEXexcCritical5 17_Monthly Energy Log" xfId="5507" xr:uid="{00000000-0005-0000-0000-000028130000}"/>
    <cellStyle name="SAPBEXexcCritical5 18" xfId="1463" xr:uid="{00000000-0005-0000-0000-000029130000}"/>
    <cellStyle name="SAPBEXexcCritical5 18 2" xfId="5508" xr:uid="{00000000-0005-0000-0000-00002A130000}"/>
    <cellStyle name="SAPBEXexcCritical5 18_Monthly Energy Log" xfId="5509" xr:uid="{00000000-0005-0000-0000-00002B130000}"/>
    <cellStyle name="SAPBEXexcCritical5 19" xfId="5510" xr:uid="{00000000-0005-0000-0000-00002C130000}"/>
    <cellStyle name="SAPBEXexcCritical5 2" xfId="1464" xr:uid="{00000000-0005-0000-0000-00002D130000}"/>
    <cellStyle name="SAPBEXexcCritical5 2 2" xfId="1465" xr:uid="{00000000-0005-0000-0000-00002E130000}"/>
    <cellStyle name="SAPBEXexcCritical5 2 2 2" xfId="5511" xr:uid="{00000000-0005-0000-0000-00002F130000}"/>
    <cellStyle name="SAPBEXexcCritical5 2 2_Monthly Energy Log" xfId="5512" xr:uid="{00000000-0005-0000-0000-000030130000}"/>
    <cellStyle name="SAPBEXexcCritical5 2 3" xfId="5513" xr:uid="{00000000-0005-0000-0000-000031130000}"/>
    <cellStyle name="SAPBEXexcCritical5 2_BP ME Calc." xfId="5514" xr:uid="{00000000-0005-0000-0000-000032130000}"/>
    <cellStyle name="SAPBEXexcCritical5 3" xfId="1466" xr:uid="{00000000-0005-0000-0000-000033130000}"/>
    <cellStyle name="SAPBEXexcCritical5 3 2" xfId="5515" xr:uid="{00000000-0005-0000-0000-000034130000}"/>
    <cellStyle name="SAPBEXexcCritical5 3_Monthly Energy Log" xfId="5516" xr:uid="{00000000-0005-0000-0000-000035130000}"/>
    <cellStyle name="SAPBEXexcCritical5 4" xfId="1467" xr:uid="{00000000-0005-0000-0000-000036130000}"/>
    <cellStyle name="SAPBEXexcCritical5 4 2" xfId="5517" xr:uid="{00000000-0005-0000-0000-000037130000}"/>
    <cellStyle name="SAPBEXexcCritical5 4_Monthly Energy Log" xfId="5518" xr:uid="{00000000-0005-0000-0000-000038130000}"/>
    <cellStyle name="SAPBEXexcCritical5 5" xfId="1468" xr:uid="{00000000-0005-0000-0000-000039130000}"/>
    <cellStyle name="SAPBEXexcCritical5 5 2" xfId="5519" xr:uid="{00000000-0005-0000-0000-00003A130000}"/>
    <cellStyle name="SAPBEXexcCritical5 5_Monthly Energy Log" xfId="5520" xr:uid="{00000000-0005-0000-0000-00003B130000}"/>
    <cellStyle name="SAPBEXexcCritical5 6" xfId="1469" xr:uid="{00000000-0005-0000-0000-00003C130000}"/>
    <cellStyle name="SAPBEXexcCritical5 6 2" xfId="5521" xr:uid="{00000000-0005-0000-0000-00003D130000}"/>
    <cellStyle name="SAPBEXexcCritical5 6_Monthly Energy Log" xfId="5522" xr:uid="{00000000-0005-0000-0000-00003E130000}"/>
    <cellStyle name="SAPBEXexcCritical5 7" xfId="1470" xr:uid="{00000000-0005-0000-0000-00003F130000}"/>
    <cellStyle name="SAPBEXexcCritical5 7 2" xfId="5523" xr:uid="{00000000-0005-0000-0000-000040130000}"/>
    <cellStyle name="SAPBEXexcCritical5 7_Monthly Energy Log" xfId="5524" xr:uid="{00000000-0005-0000-0000-000041130000}"/>
    <cellStyle name="SAPBEXexcCritical5 8" xfId="1471" xr:uid="{00000000-0005-0000-0000-000042130000}"/>
    <cellStyle name="SAPBEXexcCritical5 8 2" xfId="5525" xr:uid="{00000000-0005-0000-0000-000043130000}"/>
    <cellStyle name="SAPBEXexcCritical5 8_Monthly Energy Log" xfId="5526" xr:uid="{00000000-0005-0000-0000-000044130000}"/>
    <cellStyle name="SAPBEXexcCritical5 9" xfId="1472" xr:uid="{00000000-0005-0000-0000-000045130000}"/>
    <cellStyle name="SAPBEXexcCritical5 9 2" xfId="5527" xr:uid="{00000000-0005-0000-0000-000046130000}"/>
    <cellStyle name="SAPBEXexcCritical5 9_Monthly Energy Log" xfId="5528" xr:uid="{00000000-0005-0000-0000-000047130000}"/>
    <cellStyle name="SAPBEXexcCritical5_BP ME Calc." xfId="5529" xr:uid="{00000000-0005-0000-0000-000048130000}"/>
    <cellStyle name="SAPBEXexcCritical6" xfId="1473" xr:uid="{00000000-0005-0000-0000-000049130000}"/>
    <cellStyle name="SAPBEXexcCritical6 10" xfId="1474" xr:uid="{00000000-0005-0000-0000-00004A130000}"/>
    <cellStyle name="SAPBEXexcCritical6 10 2" xfId="5530" xr:uid="{00000000-0005-0000-0000-00004B130000}"/>
    <cellStyle name="SAPBEXexcCritical6 10_Monthly Energy Log" xfId="5531" xr:uid="{00000000-0005-0000-0000-00004C130000}"/>
    <cellStyle name="SAPBEXexcCritical6 11" xfId="1475" xr:uid="{00000000-0005-0000-0000-00004D130000}"/>
    <cellStyle name="SAPBEXexcCritical6 11 2" xfId="5532" xr:uid="{00000000-0005-0000-0000-00004E130000}"/>
    <cellStyle name="SAPBEXexcCritical6 11_Monthly Energy Log" xfId="5533" xr:uid="{00000000-0005-0000-0000-00004F130000}"/>
    <cellStyle name="SAPBEXexcCritical6 12" xfId="1476" xr:uid="{00000000-0005-0000-0000-000050130000}"/>
    <cellStyle name="SAPBEXexcCritical6 12 2" xfId="5534" xr:uid="{00000000-0005-0000-0000-000051130000}"/>
    <cellStyle name="SAPBEXexcCritical6 12_Monthly Energy Log" xfId="5535" xr:uid="{00000000-0005-0000-0000-000052130000}"/>
    <cellStyle name="SAPBEXexcCritical6 13" xfId="1477" xr:uid="{00000000-0005-0000-0000-000053130000}"/>
    <cellStyle name="SAPBEXexcCritical6 13 2" xfId="5536" xr:uid="{00000000-0005-0000-0000-000054130000}"/>
    <cellStyle name="SAPBEXexcCritical6 13_Monthly Energy Log" xfId="5537" xr:uid="{00000000-0005-0000-0000-000055130000}"/>
    <cellStyle name="SAPBEXexcCritical6 14" xfId="1478" xr:uid="{00000000-0005-0000-0000-000056130000}"/>
    <cellStyle name="SAPBEXexcCritical6 14 2" xfId="5538" xr:uid="{00000000-0005-0000-0000-000057130000}"/>
    <cellStyle name="SAPBEXexcCritical6 14_Monthly Energy Log" xfId="5539" xr:uid="{00000000-0005-0000-0000-000058130000}"/>
    <cellStyle name="SAPBEXexcCritical6 15" xfId="1479" xr:uid="{00000000-0005-0000-0000-000059130000}"/>
    <cellStyle name="SAPBEXexcCritical6 15 2" xfId="5540" xr:uid="{00000000-0005-0000-0000-00005A130000}"/>
    <cellStyle name="SAPBEXexcCritical6 15_Monthly Energy Log" xfId="5541" xr:uid="{00000000-0005-0000-0000-00005B130000}"/>
    <cellStyle name="SAPBEXexcCritical6 16" xfId="1480" xr:uid="{00000000-0005-0000-0000-00005C130000}"/>
    <cellStyle name="SAPBEXexcCritical6 16 2" xfId="5542" xr:uid="{00000000-0005-0000-0000-00005D130000}"/>
    <cellStyle name="SAPBEXexcCritical6 16_Monthly Energy Log" xfId="5543" xr:uid="{00000000-0005-0000-0000-00005E130000}"/>
    <cellStyle name="SAPBEXexcCritical6 17" xfId="1481" xr:uid="{00000000-0005-0000-0000-00005F130000}"/>
    <cellStyle name="SAPBEXexcCritical6 17 2" xfId="5544" xr:uid="{00000000-0005-0000-0000-000060130000}"/>
    <cellStyle name="SAPBEXexcCritical6 17_Monthly Energy Log" xfId="5545" xr:uid="{00000000-0005-0000-0000-000061130000}"/>
    <cellStyle name="SAPBEXexcCritical6 18" xfId="1482" xr:uid="{00000000-0005-0000-0000-000062130000}"/>
    <cellStyle name="SAPBEXexcCritical6 18 2" xfId="5546" xr:uid="{00000000-0005-0000-0000-000063130000}"/>
    <cellStyle name="SAPBEXexcCritical6 18_Monthly Energy Log" xfId="5547" xr:uid="{00000000-0005-0000-0000-000064130000}"/>
    <cellStyle name="SAPBEXexcCritical6 19" xfId="5548" xr:uid="{00000000-0005-0000-0000-000065130000}"/>
    <cellStyle name="SAPBEXexcCritical6 2" xfId="1483" xr:uid="{00000000-0005-0000-0000-000066130000}"/>
    <cellStyle name="SAPBEXexcCritical6 2 2" xfId="1484" xr:uid="{00000000-0005-0000-0000-000067130000}"/>
    <cellStyle name="SAPBEXexcCritical6 2 2 2" xfId="5549" xr:uid="{00000000-0005-0000-0000-000068130000}"/>
    <cellStyle name="SAPBEXexcCritical6 2 2_Monthly Energy Log" xfId="5550" xr:uid="{00000000-0005-0000-0000-000069130000}"/>
    <cellStyle name="SAPBEXexcCritical6 2 3" xfId="5551" xr:uid="{00000000-0005-0000-0000-00006A130000}"/>
    <cellStyle name="SAPBEXexcCritical6 2_BP ME Calc." xfId="5552" xr:uid="{00000000-0005-0000-0000-00006B130000}"/>
    <cellStyle name="SAPBEXexcCritical6 3" xfId="1485" xr:uid="{00000000-0005-0000-0000-00006C130000}"/>
    <cellStyle name="SAPBEXexcCritical6 3 2" xfId="5553" xr:uid="{00000000-0005-0000-0000-00006D130000}"/>
    <cellStyle name="SAPBEXexcCritical6 3_Monthly Energy Log" xfId="5554" xr:uid="{00000000-0005-0000-0000-00006E130000}"/>
    <cellStyle name="SAPBEXexcCritical6 4" xfId="1486" xr:uid="{00000000-0005-0000-0000-00006F130000}"/>
    <cellStyle name="SAPBEXexcCritical6 4 2" xfId="5555" xr:uid="{00000000-0005-0000-0000-000070130000}"/>
    <cellStyle name="SAPBEXexcCritical6 4_Monthly Energy Log" xfId="5556" xr:uid="{00000000-0005-0000-0000-000071130000}"/>
    <cellStyle name="SAPBEXexcCritical6 5" xfId="1487" xr:uid="{00000000-0005-0000-0000-000072130000}"/>
    <cellStyle name="SAPBEXexcCritical6 5 2" xfId="5557" xr:uid="{00000000-0005-0000-0000-000073130000}"/>
    <cellStyle name="SAPBEXexcCritical6 5_Monthly Energy Log" xfId="5558" xr:uid="{00000000-0005-0000-0000-000074130000}"/>
    <cellStyle name="SAPBEXexcCritical6 6" xfId="1488" xr:uid="{00000000-0005-0000-0000-000075130000}"/>
    <cellStyle name="SAPBEXexcCritical6 6 2" xfId="5559" xr:uid="{00000000-0005-0000-0000-000076130000}"/>
    <cellStyle name="SAPBEXexcCritical6 6_Monthly Energy Log" xfId="5560" xr:uid="{00000000-0005-0000-0000-000077130000}"/>
    <cellStyle name="SAPBEXexcCritical6 7" xfId="1489" xr:uid="{00000000-0005-0000-0000-000078130000}"/>
    <cellStyle name="SAPBEXexcCritical6 7 2" xfId="5561" xr:uid="{00000000-0005-0000-0000-000079130000}"/>
    <cellStyle name="SAPBEXexcCritical6 7_Monthly Energy Log" xfId="5562" xr:uid="{00000000-0005-0000-0000-00007A130000}"/>
    <cellStyle name="SAPBEXexcCritical6 8" xfId="1490" xr:uid="{00000000-0005-0000-0000-00007B130000}"/>
    <cellStyle name="SAPBEXexcCritical6 8 2" xfId="5563" xr:uid="{00000000-0005-0000-0000-00007C130000}"/>
    <cellStyle name="SAPBEXexcCritical6 8_Monthly Energy Log" xfId="5564" xr:uid="{00000000-0005-0000-0000-00007D130000}"/>
    <cellStyle name="SAPBEXexcCritical6 9" xfId="1491" xr:uid="{00000000-0005-0000-0000-00007E130000}"/>
    <cellStyle name="SAPBEXexcCritical6 9 2" xfId="5565" xr:uid="{00000000-0005-0000-0000-00007F130000}"/>
    <cellStyle name="SAPBEXexcCritical6 9_Monthly Energy Log" xfId="5566" xr:uid="{00000000-0005-0000-0000-000080130000}"/>
    <cellStyle name="SAPBEXexcCritical6_BP ME Calc." xfId="5567" xr:uid="{00000000-0005-0000-0000-000081130000}"/>
    <cellStyle name="SAPBEXexcGood1" xfId="1492" xr:uid="{00000000-0005-0000-0000-000082130000}"/>
    <cellStyle name="SAPBEXexcGood1 10" xfId="1493" xr:uid="{00000000-0005-0000-0000-000083130000}"/>
    <cellStyle name="SAPBEXexcGood1 10 2" xfId="5568" xr:uid="{00000000-0005-0000-0000-000084130000}"/>
    <cellStyle name="SAPBEXexcGood1 10_Monthly Energy Log" xfId="5569" xr:uid="{00000000-0005-0000-0000-000085130000}"/>
    <cellStyle name="SAPBEXexcGood1 11" xfId="1494" xr:uid="{00000000-0005-0000-0000-000086130000}"/>
    <cellStyle name="SAPBEXexcGood1 11 2" xfId="5570" xr:uid="{00000000-0005-0000-0000-000087130000}"/>
    <cellStyle name="SAPBEXexcGood1 11_Monthly Energy Log" xfId="5571" xr:uid="{00000000-0005-0000-0000-000088130000}"/>
    <cellStyle name="SAPBEXexcGood1 12" xfId="1495" xr:uid="{00000000-0005-0000-0000-000089130000}"/>
    <cellStyle name="SAPBEXexcGood1 12 2" xfId="5572" xr:uid="{00000000-0005-0000-0000-00008A130000}"/>
    <cellStyle name="SAPBEXexcGood1 12_Monthly Energy Log" xfId="5573" xr:uid="{00000000-0005-0000-0000-00008B130000}"/>
    <cellStyle name="SAPBEXexcGood1 13" xfId="1496" xr:uid="{00000000-0005-0000-0000-00008C130000}"/>
    <cellStyle name="SAPBEXexcGood1 13 2" xfId="5574" xr:uid="{00000000-0005-0000-0000-00008D130000}"/>
    <cellStyle name="SAPBEXexcGood1 13_Monthly Energy Log" xfId="5575" xr:uid="{00000000-0005-0000-0000-00008E130000}"/>
    <cellStyle name="SAPBEXexcGood1 14" xfId="1497" xr:uid="{00000000-0005-0000-0000-00008F130000}"/>
    <cellStyle name="SAPBEXexcGood1 14 2" xfId="5576" xr:uid="{00000000-0005-0000-0000-000090130000}"/>
    <cellStyle name="SAPBEXexcGood1 14_Monthly Energy Log" xfId="5577" xr:uid="{00000000-0005-0000-0000-000091130000}"/>
    <cellStyle name="SAPBEXexcGood1 15" xfId="1498" xr:uid="{00000000-0005-0000-0000-000092130000}"/>
    <cellStyle name="SAPBEXexcGood1 15 2" xfId="5578" xr:uid="{00000000-0005-0000-0000-000093130000}"/>
    <cellStyle name="SAPBEXexcGood1 15_Monthly Energy Log" xfId="5579" xr:uid="{00000000-0005-0000-0000-000094130000}"/>
    <cellStyle name="SAPBEXexcGood1 16" xfId="1499" xr:uid="{00000000-0005-0000-0000-000095130000}"/>
    <cellStyle name="SAPBEXexcGood1 16 2" xfId="5580" xr:uid="{00000000-0005-0000-0000-000096130000}"/>
    <cellStyle name="SAPBEXexcGood1 16_Monthly Energy Log" xfId="5581" xr:uid="{00000000-0005-0000-0000-000097130000}"/>
    <cellStyle name="SAPBEXexcGood1 17" xfId="1500" xr:uid="{00000000-0005-0000-0000-000098130000}"/>
    <cellStyle name="SAPBEXexcGood1 17 2" xfId="5582" xr:uid="{00000000-0005-0000-0000-000099130000}"/>
    <cellStyle name="SAPBEXexcGood1 17_Monthly Energy Log" xfId="5583" xr:uid="{00000000-0005-0000-0000-00009A130000}"/>
    <cellStyle name="SAPBEXexcGood1 18" xfId="1501" xr:uid="{00000000-0005-0000-0000-00009B130000}"/>
    <cellStyle name="SAPBEXexcGood1 18 2" xfId="5584" xr:uid="{00000000-0005-0000-0000-00009C130000}"/>
    <cellStyle name="SAPBEXexcGood1 18_Monthly Energy Log" xfId="5585" xr:uid="{00000000-0005-0000-0000-00009D130000}"/>
    <cellStyle name="SAPBEXexcGood1 19" xfId="5586" xr:uid="{00000000-0005-0000-0000-00009E130000}"/>
    <cellStyle name="SAPBEXexcGood1 2" xfId="1502" xr:uid="{00000000-0005-0000-0000-00009F130000}"/>
    <cellStyle name="SAPBEXexcGood1 2 2" xfId="1503" xr:uid="{00000000-0005-0000-0000-0000A0130000}"/>
    <cellStyle name="SAPBEXexcGood1 2 2 2" xfId="5587" xr:uid="{00000000-0005-0000-0000-0000A1130000}"/>
    <cellStyle name="SAPBEXexcGood1 2 2_Monthly Energy Log" xfId="5588" xr:uid="{00000000-0005-0000-0000-0000A2130000}"/>
    <cellStyle name="SAPBEXexcGood1 2 3" xfId="5589" xr:uid="{00000000-0005-0000-0000-0000A3130000}"/>
    <cellStyle name="SAPBEXexcGood1 2_BP ME Calc." xfId="5590" xr:uid="{00000000-0005-0000-0000-0000A4130000}"/>
    <cellStyle name="SAPBEXexcGood1 3" xfId="1504" xr:uid="{00000000-0005-0000-0000-0000A5130000}"/>
    <cellStyle name="SAPBEXexcGood1 3 2" xfId="5591" xr:uid="{00000000-0005-0000-0000-0000A6130000}"/>
    <cellStyle name="SAPBEXexcGood1 3_Monthly Energy Log" xfId="5592" xr:uid="{00000000-0005-0000-0000-0000A7130000}"/>
    <cellStyle name="SAPBEXexcGood1 4" xfId="1505" xr:uid="{00000000-0005-0000-0000-0000A8130000}"/>
    <cellStyle name="SAPBEXexcGood1 4 2" xfId="5593" xr:uid="{00000000-0005-0000-0000-0000A9130000}"/>
    <cellStyle name="SAPBEXexcGood1 4_Monthly Energy Log" xfId="5594" xr:uid="{00000000-0005-0000-0000-0000AA130000}"/>
    <cellStyle name="SAPBEXexcGood1 5" xfId="1506" xr:uid="{00000000-0005-0000-0000-0000AB130000}"/>
    <cellStyle name="SAPBEXexcGood1 5 2" xfId="5595" xr:uid="{00000000-0005-0000-0000-0000AC130000}"/>
    <cellStyle name="SAPBEXexcGood1 5_Monthly Energy Log" xfId="5596" xr:uid="{00000000-0005-0000-0000-0000AD130000}"/>
    <cellStyle name="SAPBEXexcGood1 6" xfId="1507" xr:uid="{00000000-0005-0000-0000-0000AE130000}"/>
    <cellStyle name="SAPBEXexcGood1 6 2" xfId="5597" xr:uid="{00000000-0005-0000-0000-0000AF130000}"/>
    <cellStyle name="SAPBEXexcGood1 6_Monthly Energy Log" xfId="5598" xr:uid="{00000000-0005-0000-0000-0000B0130000}"/>
    <cellStyle name="SAPBEXexcGood1 7" xfId="1508" xr:uid="{00000000-0005-0000-0000-0000B1130000}"/>
    <cellStyle name="SAPBEXexcGood1 7 2" xfId="5599" xr:uid="{00000000-0005-0000-0000-0000B2130000}"/>
    <cellStyle name="SAPBEXexcGood1 7_Monthly Energy Log" xfId="5600" xr:uid="{00000000-0005-0000-0000-0000B3130000}"/>
    <cellStyle name="SAPBEXexcGood1 8" xfId="1509" xr:uid="{00000000-0005-0000-0000-0000B4130000}"/>
    <cellStyle name="SAPBEXexcGood1 8 2" xfId="5601" xr:uid="{00000000-0005-0000-0000-0000B5130000}"/>
    <cellStyle name="SAPBEXexcGood1 8_Monthly Energy Log" xfId="5602" xr:uid="{00000000-0005-0000-0000-0000B6130000}"/>
    <cellStyle name="SAPBEXexcGood1 9" xfId="1510" xr:uid="{00000000-0005-0000-0000-0000B7130000}"/>
    <cellStyle name="SAPBEXexcGood1 9 2" xfId="5603" xr:uid="{00000000-0005-0000-0000-0000B8130000}"/>
    <cellStyle name="SAPBEXexcGood1 9_Monthly Energy Log" xfId="5604" xr:uid="{00000000-0005-0000-0000-0000B9130000}"/>
    <cellStyle name="SAPBEXexcGood1_BP ME Calc." xfId="5605" xr:uid="{00000000-0005-0000-0000-0000BA130000}"/>
    <cellStyle name="SAPBEXexcGood2" xfId="1511" xr:uid="{00000000-0005-0000-0000-0000BB130000}"/>
    <cellStyle name="SAPBEXexcGood2 10" xfId="1512" xr:uid="{00000000-0005-0000-0000-0000BC130000}"/>
    <cellStyle name="SAPBEXexcGood2 10 2" xfId="5606" xr:uid="{00000000-0005-0000-0000-0000BD130000}"/>
    <cellStyle name="SAPBEXexcGood2 10_Monthly Energy Log" xfId="5607" xr:uid="{00000000-0005-0000-0000-0000BE130000}"/>
    <cellStyle name="SAPBEXexcGood2 11" xfId="1513" xr:uid="{00000000-0005-0000-0000-0000BF130000}"/>
    <cellStyle name="SAPBEXexcGood2 11 2" xfId="5608" xr:uid="{00000000-0005-0000-0000-0000C0130000}"/>
    <cellStyle name="SAPBEXexcGood2 11_Monthly Energy Log" xfId="5609" xr:uid="{00000000-0005-0000-0000-0000C1130000}"/>
    <cellStyle name="SAPBEXexcGood2 12" xfId="1514" xr:uid="{00000000-0005-0000-0000-0000C2130000}"/>
    <cellStyle name="SAPBEXexcGood2 12 2" xfId="5610" xr:uid="{00000000-0005-0000-0000-0000C3130000}"/>
    <cellStyle name="SAPBEXexcGood2 12_Monthly Energy Log" xfId="5611" xr:uid="{00000000-0005-0000-0000-0000C4130000}"/>
    <cellStyle name="SAPBEXexcGood2 13" xfId="1515" xr:uid="{00000000-0005-0000-0000-0000C5130000}"/>
    <cellStyle name="SAPBEXexcGood2 13 2" xfId="5612" xr:uid="{00000000-0005-0000-0000-0000C6130000}"/>
    <cellStyle name="SAPBEXexcGood2 13_Monthly Energy Log" xfId="5613" xr:uid="{00000000-0005-0000-0000-0000C7130000}"/>
    <cellStyle name="SAPBEXexcGood2 14" xfId="1516" xr:uid="{00000000-0005-0000-0000-0000C8130000}"/>
    <cellStyle name="SAPBEXexcGood2 14 2" xfId="5614" xr:uid="{00000000-0005-0000-0000-0000C9130000}"/>
    <cellStyle name="SAPBEXexcGood2 14_Monthly Energy Log" xfId="5615" xr:uid="{00000000-0005-0000-0000-0000CA130000}"/>
    <cellStyle name="SAPBEXexcGood2 15" xfId="1517" xr:uid="{00000000-0005-0000-0000-0000CB130000}"/>
    <cellStyle name="SAPBEXexcGood2 15 2" xfId="5616" xr:uid="{00000000-0005-0000-0000-0000CC130000}"/>
    <cellStyle name="SAPBEXexcGood2 15_Monthly Energy Log" xfId="5617" xr:uid="{00000000-0005-0000-0000-0000CD130000}"/>
    <cellStyle name="SAPBEXexcGood2 16" xfId="1518" xr:uid="{00000000-0005-0000-0000-0000CE130000}"/>
    <cellStyle name="SAPBEXexcGood2 16 2" xfId="5618" xr:uid="{00000000-0005-0000-0000-0000CF130000}"/>
    <cellStyle name="SAPBEXexcGood2 16_Monthly Energy Log" xfId="5619" xr:uid="{00000000-0005-0000-0000-0000D0130000}"/>
    <cellStyle name="SAPBEXexcGood2 17" xfId="1519" xr:uid="{00000000-0005-0000-0000-0000D1130000}"/>
    <cellStyle name="SAPBEXexcGood2 17 2" xfId="5620" xr:uid="{00000000-0005-0000-0000-0000D2130000}"/>
    <cellStyle name="SAPBEXexcGood2 17_Monthly Energy Log" xfId="5621" xr:uid="{00000000-0005-0000-0000-0000D3130000}"/>
    <cellStyle name="SAPBEXexcGood2 18" xfId="1520" xr:uid="{00000000-0005-0000-0000-0000D4130000}"/>
    <cellStyle name="SAPBEXexcGood2 18 2" xfId="5622" xr:uid="{00000000-0005-0000-0000-0000D5130000}"/>
    <cellStyle name="SAPBEXexcGood2 18_Monthly Energy Log" xfId="5623" xr:uid="{00000000-0005-0000-0000-0000D6130000}"/>
    <cellStyle name="SAPBEXexcGood2 19" xfId="5624" xr:uid="{00000000-0005-0000-0000-0000D7130000}"/>
    <cellStyle name="SAPBEXexcGood2 2" xfId="1521" xr:uid="{00000000-0005-0000-0000-0000D8130000}"/>
    <cellStyle name="SAPBEXexcGood2 2 2" xfId="1522" xr:uid="{00000000-0005-0000-0000-0000D9130000}"/>
    <cellStyle name="SAPBEXexcGood2 2 2 2" xfId="5625" xr:uid="{00000000-0005-0000-0000-0000DA130000}"/>
    <cellStyle name="SAPBEXexcGood2 2 2_Monthly Energy Log" xfId="5626" xr:uid="{00000000-0005-0000-0000-0000DB130000}"/>
    <cellStyle name="SAPBEXexcGood2 2 3" xfId="5627" xr:uid="{00000000-0005-0000-0000-0000DC130000}"/>
    <cellStyle name="SAPBEXexcGood2 2_BP ME Calc." xfId="5628" xr:uid="{00000000-0005-0000-0000-0000DD130000}"/>
    <cellStyle name="SAPBEXexcGood2 3" xfId="1523" xr:uid="{00000000-0005-0000-0000-0000DE130000}"/>
    <cellStyle name="SAPBEXexcGood2 3 2" xfId="5629" xr:uid="{00000000-0005-0000-0000-0000DF130000}"/>
    <cellStyle name="SAPBEXexcGood2 3_Monthly Energy Log" xfId="5630" xr:uid="{00000000-0005-0000-0000-0000E0130000}"/>
    <cellStyle name="SAPBEXexcGood2 4" xfId="1524" xr:uid="{00000000-0005-0000-0000-0000E1130000}"/>
    <cellStyle name="SAPBEXexcGood2 4 2" xfId="5631" xr:uid="{00000000-0005-0000-0000-0000E2130000}"/>
    <cellStyle name="SAPBEXexcGood2 4_Monthly Energy Log" xfId="5632" xr:uid="{00000000-0005-0000-0000-0000E3130000}"/>
    <cellStyle name="SAPBEXexcGood2 5" xfId="1525" xr:uid="{00000000-0005-0000-0000-0000E4130000}"/>
    <cellStyle name="SAPBEXexcGood2 5 2" xfId="5633" xr:uid="{00000000-0005-0000-0000-0000E5130000}"/>
    <cellStyle name="SAPBEXexcGood2 5_Monthly Energy Log" xfId="5634" xr:uid="{00000000-0005-0000-0000-0000E6130000}"/>
    <cellStyle name="SAPBEXexcGood2 6" xfId="1526" xr:uid="{00000000-0005-0000-0000-0000E7130000}"/>
    <cellStyle name="SAPBEXexcGood2 6 2" xfId="5635" xr:uid="{00000000-0005-0000-0000-0000E8130000}"/>
    <cellStyle name="SAPBEXexcGood2 6_Monthly Energy Log" xfId="5636" xr:uid="{00000000-0005-0000-0000-0000E9130000}"/>
    <cellStyle name="SAPBEXexcGood2 7" xfId="1527" xr:uid="{00000000-0005-0000-0000-0000EA130000}"/>
    <cellStyle name="SAPBEXexcGood2 7 2" xfId="5637" xr:uid="{00000000-0005-0000-0000-0000EB130000}"/>
    <cellStyle name="SAPBEXexcGood2 7_Monthly Energy Log" xfId="5638" xr:uid="{00000000-0005-0000-0000-0000EC130000}"/>
    <cellStyle name="SAPBEXexcGood2 8" xfId="1528" xr:uid="{00000000-0005-0000-0000-0000ED130000}"/>
    <cellStyle name="SAPBEXexcGood2 8 2" xfId="5639" xr:uid="{00000000-0005-0000-0000-0000EE130000}"/>
    <cellStyle name="SAPBEXexcGood2 8_Monthly Energy Log" xfId="5640" xr:uid="{00000000-0005-0000-0000-0000EF130000}"/>
    <cellStyle name="SAPBEXexcGood2 9" xfId="1529" xr:uid="{00000000-0005-0000-0000-0000F0130000}"/>
    <cellStyle name="SAPBEXexcGood2 9 2" xfId="5641" xr:uid="{00000000-0005-0000-0000-0000F1130000}"/>
    <cellStyle name="SAPBEXexcGood2 9_Monthly Energy Log" xfId="5642" xr:uid="{00000000-0005-0000-0000-0000F2130000}"/>
    <cellStyle name="SAPBEXexcGood2_BP ME Calc." xfId="5643" xr:uid="{00000000-0005-0000-0000-0000F3130000}"/>
    <cellStyle name="SAPBEXexcGood3" xfId="1530" xr:uid="{00000000-0005-0000-0000-0000F4130000}"/>
    <cellStyle name="SAPBEXexcGood3 10" xfId="1531" xr:uid="{00000000-0005-0000-0000-0000F5130000}"/>
    <cellStyle name="SAPBEXexcGood3 10 2" xfId="5644" xr:uid="{00000000-0005-0000-0000-0000F6130000}"/>
    <cellStyle name="SAPBEXexcGood3 10_Monthly Energy Log" xfId="5645" xr:uid="{00000000-0005-0000-0000-0000F7130000}"/>
    <cellStyle name="SAPBEXexcGood3 11" xfId="1532" xr:uid="{00000000-0005-0000-0000-0000F8130000}"/>
    <cellStyle name="SAPBEXexcGood3 11 2" xfId="5646" xr:uid="{00000000-0005-0000-0000-0000F9130000}"/>
    <cellStyle name="SAPBEXexcGood3 11_Monthly Energy Log" xfId="5647" xr:uid="{00000000-0005-0000-0000-0000FA130000}"/>
    <cellStyle name="SAPBEXexcGood3 12" xfId="1533" xr:uid="{00000000-0005-0000-0000-0000FB130000}"/>
    <cellStyle name="SAPBEXexcGood3 12 2" xfId="5648" xr:uid="{00000000-0005-0000-0000-0000FC130000}"/>
    <cellStyle name="SAPBEXexcGood3 12_Monthly Energy Log" xfId="5649" xr:uid="{00000000-0005-0000-0000-0000FD130000}"/>
    <cellStyle name="SAPBEXexcGood3 13" xfId="1534" xr:uid="{00000000-0005-0000-0000-0000FE130000}"/>
    <cellStyle name="SAPBEXexcGood3 13 2" xfId="5650" xr:uid="{00000000-0005-0000-0000-0000FF130000}"/>
    <cellStyle name="SAPBEXexcGood3 13_Monthly Energy Log" xfId="5651" xr:uid="{00000000-0005-0000-0000-000000140000}"/>
    <cellStyle name="SAPBEXexcGood3 14" xfId="1535" xr:uid="{00000000-0005-0000-0000-000001140000}"/>
    <cellStyle name="SAPBEXexcGood3 14 2" xfId="5652" xr:uid="{00000000-0005-0000-0000-000002140000}"/>
    <cellStyle name="SAPBEXexcGood3 14_Monthly Energy Log" xfId="5653" xr:uid="{00000000-0005-0000-0000-000003140000}"/>
    <cellStyle name="SAPBEXexcGood3 15" xfId="1536" xr:uid="{00000000-0005-0000-0000-000004140000}"/>
    <cellStyle name="SAPBEXexcGood3 15 2" xfId="5654" xr:uid="{00000000-0005-0000-0000-000005140000}"/>
    <cellStyle name="SAPBEXexcGood3 15_Monthly Energy Log" xfId="5655" xr:uid="{00000000-0005-0000-0000-000006140000}"/>
    <cellStyle name="SAPBEXexcGood3 16" xfId="1537" xr:uid="{00000000-0005-0000-0000-000007140000}"/>
    <cellStyle name="SAPBEXexcGood3 16 2" xfId="5656" xr:uid="{00000000-0005-0000-0000-000008140000}"/>
    <cellStyle name="SAPBEXexcGood3 16_Monthly Energy Log" xfId="5657" xr:uid="{00000000-0005-0000-0000-000009140000}"/>
    <cellStyle name="SAPBEXexcGood3 17" xfId="1538" xr:uid="{00000000-0005-0000-0000-00000A140000}"/>
    <cellStyle name="SAPBEXexcGood3 17 2" xfId="5658" xr:uid="{00000000-0005-0000-0000-00000B140000}"/>
    <cellStyle name="SAPBEXexcGood3 17_Monthly Energy Log" xfId="5659" xr:uid="{00000000-0005-0000-0000-00000C140000}"/>
    <cellStyle name="SAPBEXexcGood3 18" xfId="1539" xr:uid="{00000000-0005-0000-0000-00000D140000}"/>
    <cellStyle name="SAPBEXexcGood3 18 2" xfId="5660" xr:uid="{00000000-0005-0000-0000-00000E140000}"/>
    <cellStyle name="SAPBEXexcGood3 18_Monthly Energy Log" xfId="5661" xr:uid="{00000000-0005-0000-0000-00000F140000}"/>
    <cellStyle name="SAPBEXexcGood3 19" xfId="5662" xr:uid="{00000000-0005-0000-0000-000010140000}"/>
    <cellStyle name="SAPBEXexcGood3 2" xfId="1540" xr:uid="{00000000-0005-0000-0000-000011140000}"/>
    <cellStyle name="SAPBEXexcGood3 2 2" xfId="1541" xr:uid="{00000000-0005-0000-0000-000012140000}"/>
    <cellStyle name="SAPBEXexcGood3 2 2 2" xfId="5663" xr:uid="{00000000-0005-0000-0000-000013140000}"/>
    <cellStyle name="SAPBEXexcGood3 2 2_Monthly Energy Log" xfId="5664" xr:uid="{00000000-0005-0000-0000-000014140000}"/>
    <cellStyle name="SAPBEXexcGood3 2 3" xfId="5665" xr:uid="{00000000-0005-0000-0000-000015140000}"/>
    <cellStyle name="SAPBEXexcGood3 2_BP ME Calc." xfId="5666" xr:uid="{00000000-0005-0000-0000-000016140000}"/>
    <cellStyle name="SAPBEXexcGood3 3" xfId="1542" xr:uid="{00000000-0005-0000-0000-000017140000}"/>
    <cellStyle name="SAPBEXexcGood3 3 2" xfId="5667" xr:uid="{00000000-0005-0000-0000-000018140000}"/>
    <cellStyle name="SAPBEXexcGood3 3_Monthly Energy Log" xfId="5668" xr:uid="{00000000-0005-0000-0000-000019140000}"/>
    <cellStyle name="SAPBEXexcGood3 4" xfId="1543" xr:uid="{00000000-0005-0000-0000-00001A140000}"/>
    <cellStyle name="SAPBEXexcGood3 4 2" xfId="5669" xr:uid="{00000000-0005-0000-0000-00001B140000}"/>
    <cellStyle name="SAPBEXexcGood3 4_Monthly Energy Log" xfId="5670" xr:uid="{00000000-0005-0000-0000-00001C140000}"/>
    <cellStyle name="SAPBEXexcGood3 5" xfId="1544" xr:uid="{00000000-0005-0000-0000-00001D140000}"/>
    <cellStyle name="SAPBEXexcGood3 5 2" xfId="5671" xr:uid="{00000000-0005-0000-0000-00001E140000}"/>
    <cellStyle name="SAPBEXexcGood3 5_Monthly Energy Log" xfId="5672" xr:uid="{00000000-0005-0000-0000-00001F140000}"/>
    <cellStyle name="SAPBEXexcGood3 6" xfId="1545" xr:uid="{00000000-0005-0000-0000-000020140000}"/>
    <cellStyle name="SAPBEXexcGood3 6 2" xfId="5673" xr:uid="{00000000-0005-0000-0000-000021140000}"/>
    <cellStyle name="SAPBEXexcGood3 6_Monthly Energy Log" xfId="5674" xr:uid="{00000000-0005-0000-0000-000022140000}"/>
    <cellStyle name="SAPBEXexcGood3 7" xfId="1546" xr:uid="{00000000-0005-0000-0000-000023140000}"/>
    <cellStyle name="SAPBEXexcGood3 7 2" xfId="5675" xr:uid="{00000000-0005-0000-0000-000024140000}"/>
    <cellStyle name="SAPBEXexcGood3 7_Monthly Energy Log" xfId="5676" xr:uid="{00000000-0005-0000-0000-000025140000}"/>
    <cellStyle name="SAPBEXexcGood3 8" xfId="1547" xr:uid="{00000000-0005-0000-0000-000026140000}"/>
    <cellStyle name="SAPBEXexcGood3 8 2" xfId="5677" xr:uid="{00000000-0005-0000-0000-000027140000}"/>
    <cellStyle name="SAPBEXexcGood3 8_Monthly Energy Log" xfId="5678" xr:uid="{00000000-0005-0000-0000-000028140000}"/>
    <cellStyle name="SAPBEXexcGood3 9" xfId="1548" xr:uid="{00000000-0005-0000-0000-000029140000}"/>
    <cellStyle name="SAPBEXexcGood3 9 2" xfId="5679" xr:uid="{00000000-0005-0000-0000-00002A140000}"/>
    <cellStyle name="SAPBEXexcGood3 9_Monthly Energy Log" xfId="5680" xr:uid="{00000000-0005-0000-0000-00002B140000}"/>
    <cellStyle name="SAPBEXexcGood3_BP ME Calc." xfId="5681" xr:uid="{00000000-0005-0000-0000-00002C140000}"/>
    <cellStyle name="SAPBEXfilterDrill" xfId="1549" xr:uid="{00000000-0005-0000-0000-00002D140000}"/>
    <cellStyle name="SAPBEXfilterDrill 10" xfId="1550" xr:uid="{00000000-0005-0000-0000-00002E140000}"/>
    <cellStyle name="SAPBEXfilterDrill 10 2" xfId="5682" xr:uid="{00000000-0005-0000-0000-00002F140000}"/>
    <cellStyle name="SAPBEXfilterDrill 10_Monthly Energy Log" xfId="5683" xr:uid="{00000000-0005-0000-0000-000030140000}"/>
    <cellStyle name="SAPBEXfilterDrill 11" xfId="1551" xr:uid="{00000000-0005-0000-0000-000031140000}"/>
    <cellStyle name="SAPBEXfilterDrill 11 2" xfId="5684" xr:uid="{00000000-0005-0000-0000-000032140000}"/>
    <cellStyle name="SAPBEXfilterDrill 11_Monthly Energy Log" xfId="5685" xr:uid="{00000000-0005-0000-0000-000033140000}"/>
    <cellStyle name="SAPBEXfilterDrill 12" xfId="1552" xr:uid="{00000000-0005-0000-0000-000034140000}"/>
    <cellStyle name="SAPBEXfilterDrill 12 2" xfId="5686" xr:uid="{00000000-0005-0000-0000-000035140000}"/>
    <cellStyle name="SAPBEXfilterDrill 12_Monthly Energy Log" xfId="5687" xr:uid="{00000000-0005-0000-0000-000036140000}"/>
    <cellStyle name="SAPBEXfilterDrill 13" xfId="1553" xr:uid="{00000000-0005-0000-0000-000037140000}"/>
    <cellStyle name="SAPBEXfilterDrill 13 2" xfId="5688" xr:uid="{00000000-0005-0000-0000-000038140000}"/>
    <cellStyle name="SAPBEXfilterDrill 13_For GOLD" xfId="5689" xr:uid="{00000000-0005-0000-0000-000039140000}"/>
    <cellStyle name="SAPBEXfilterDrill 14" xfId="1554" xr:uid="{00000000-0005-0000-0000-00003A140000}"/>
    <cellStyle name="SAPBEXfilterDrill 14 2" xfId="5690" xr:uid="{00000000-0005-0000-0000-00003B140000}"/>
    <cellStyle name="SAPBEXfilterDrill 14_Monthly Energy Log" xfId="5691" xr:uid="{00000000-0005-0000-0000-00003C140000}"/>
    <cellStyle name="SAPBEXfilterDrill 15" xfId="1555" xr:uid="{00000000-0005-0000-0000-00003D140000}"/>
    <cellStyle name="SAPBEXfilterDrill 15 2" xfId="5692" xr:uid="{00000000-0005-0000-0000-00003E140000}"/>
    <cellStyle name="SAPBEXfilterDrill 15_Monthly Energy Log" xfId="5693" xr:uid="{00000000-0005-0000-0000-00003F140000}"/>
    <cellStyle name="SAPBEXfilterDrill 16" xfId="1556" xr:uid="{00000000-0005-0000-0000-000040140000}"/>
    <cellStyle name="SAPBEXfilterDrill 16 2" xfId="5694" xr:uid="{00000000-0005-0000-0000-000041140000}"/>
    <cellStyle name="SAPBEXfilterDrill 16_Monthly Energy Log" xfId="5695" xr:uid="{00000000-0005-0000-0000-000042140000}"/>
    <cellStyle name="SAPBEXfilterDrill 17" xfId="1557" xr:uid="{00000000-0005-0000-0000-000043140000}"/>
    <cellStyle name="SAPBEXfilterDrill 17 2" xfId="5696" xr:uid="{00000000-0005-0000-0000-000044140000}"/>
    <cellStyle name="SAPBEXfilterDrill 17_Monthly Energy Log" xfId="5697" xr:uid="{00000000-0005-0000-0000-000045140000}"/>
    <cellStyle name="SAPBEXfilterDrill 18" xfId="1558" xr:uid="{00000000-0005-0000-0000-000046140000}"/>
    <cellStyle name="SAPBEXfilterDrill 18 2" xfId="5698" xr:uid="{00000000-0005-0000-0000-000047140000}"/>
    <cellStyle name="SAPBEXfilterDrill 18_Monthly Energy Log" xfId="5699" xr:uid="{00000000-0005-0000-0000-000048140000}"/>
    <cellStyle name="SAPBEXfilterDrill 19" xfId="5700" xr:uid="{00000000-0005-0000-0000-000049140000}"/>
    <cellStyle name="SAPBEXfilterDrill 2" xfId="1559" xr:uid="{00000000-0005-0000-0000-00004A140000}"/>
    <cellStyle name="SAPBEXfilterDrill 2 2" xfId="1560" xr:uid="{00000000-0005-0000-0000-00004B140000}"/>
    <cellStyle name="SAPBEXfilterDrill 2 2 2" xfId="5701" xr:uid="{00000000-0005-0000-0000-00004C140000}"/>
    <cellStyle name="SAPBEXfilterDrill 2 2_Monthly Energy Log" xfId="5702" xr:uid="{00000000-0005-0000-0000-00004D140000}"/>
    <cellStyle name="SAPBEXfilterDrill 2 3" xfId="5703" xr:uid="{00000000-0005-0000-0000-00004E140000}"/>
    <cellStyle name="SAPBEXfilterDrill 2_BP ME Calc." xfId="5704" xr:uid="{00000000-0005-0000-0000-00004F140000}"/>
    <cellStyle name="SAPBEXfilterDrill 3" xfId="1561" xr:uid="{00000000-0005-0000-0000-000050140000}"/>
    <cellStyle name="SAPBEXfilterDrill 3 2" xfId="5705" xr:uid="{00000000-0005-0000-0000-000051140000}"/>
    <cellStyle name="SAPBEXfilterDrill 3_Monthly Energy Log" xfId="5706" xr:uid="{00000000-0005-0000-0000-000052140000}"/>
    <cellStyle name="SAPBEXfilterDrill 4" xfId="1562" xr:uid="{00000000-0005-0000-0000-000053140000}"/>
    <cellStyle name="SAPBEXfilterDrill 4 2" xfId="5707" xr:uid="{00000000-0005-0000-0000-000054140000}"/>
    <cellStyle name="SAPBEXfilterDrill 4_Monthly Energy Log" xfId="5708" xr:uid="{00000000-0005-0000-0000-000055140000}"/>
    <cellStyle name="SAPBEXfilterDrill 5" xfId="1563" xr:uid="{00000000-0005-0000-0000-000056140000}"/>
    <cellStyle name="SAPBEXfilterDrill 5 2" xfId="5709" xr:uid="{00000000-0005-0000-0000-000057140000}"/>
    <cellStyle name="SAPBEXfilterDrill 5_Monthly Energy Log" xfId="5710" xr:uid="{00000000-0005-0000-0000-000058140000}"/>
    <cellStyle name="SAPBEXfilterDrill 6" xfId="1564" xr:uid="{00000000-0005-0000-0000-000059140000}"/>
    <cellStyle name="SAPBEXfilterDrill 6 2" xfId="5711" xr:uid="{00000000-0005-0000-0000-00005A140000}"/>
    <cellStyle name="SAPBEXfilterDrill 6_Monthly Energy Log" xfId="5712" xr:uid="{00000000-0005-0000-0000-00005B140000}"/>
    <cellStyle name="SAPBEXfilterDrill 7" xfId="1565" xr:uid="{00000000-0005-0000-0000-00005C140000}"/>
    <cellStyle name="SAPBEXfilterDrill 7 2" xfId="5713" xr:uid="{00000000-0005-0000-0000-00005D140000}"/>
    <cellStyle name="SAPBEXfilterDrill 7_Monthly Energy Log" xfId="5714" xr:uid="{00000000-0005-0000-0000-00005E140000}"/>
    <cellStyle name="SAPBEXfilterDrill 8" xfId="1566" xr:uid="{00000000-0005-0000-0000-00005F140000}"/>
    <cellStyle name="SAPBEXfilterDrill 8 2" xfId="5715" xr:uid="{00000000-0005-0000-0000-000060140000}"/>
    <cellStyle name="SAPBEXfilterDrill 8_Monthly Energy Log" xfId="5716" xr:uid="{00000000-0005-0000-0000-000061140000}"/>
    <cellStyle name="SAPBEXfilterDrill 9" xfId="1567" xr:uid="{00000000-0005-0000-0000-000062140000}"/>
    <cellStyle name="SAPBEXfilterDrill 9 2" xfId="5717" xr:uid="{00000000-0005-0000-0000-000063140000}"/>
    <cellStyle name="SAPBEXfilterDrill 9_Monthly Energy Log" xfId="5718" xr:uid="{00000000-0005-0000-0000-000064140000}"/>
    <cellStyle name="SAPBEXfilterDrill_BP ME Calc." xfId="5719" xr:uid="{00000000-0005-0000-0000-000065140000}"/>
    <cellStyle name="SAPBEXfilterItem" xfId="1568" xr:uid="{00000000-0005-0000-0000-000066140000}"/>
    <cellStyle name="SAPBEXfilterItem 10" xfId="1569" xr:uid="{00000000-0005-0000-0000-000067140000}"/>
    <cellStyle name="SAPBEXfilterItem 11" xfId="1570" xr:uid="{00000000-0005-0000-0000-000068140000}"/>
    <cellStyle name="SAPBEXfilterItem 12" xfId="1571" xr:uid="{00000000-0005-0000-0000-000069140000}"/>
    <cellStyle name="SAPBEXfilterItem 13" xfId="1572" xr:uid="{00000000-0005-0000-0000-00006A140000}"/>
    <cellStyle name="SAPBEXfilterItem 14" xfId="1573" xr:uid="{00000000-0005-0000-0000-00006B140000}"/>
    <cellStyle name="SAPBEXfilterItem 15" xfId="1574" xr:uid="{00000000-0005-0000-0000-00006C140000}"/>
    <cellStyle name="SAPBEXfilterItem 16" xfId="1575" xr:uid="{00000000-0005-0000-0000-00006D140000}"/>
    <cellStyle name="SAPBEXfilterItem 17" xfId="1576" xr:uid="{00000000-0005-0000-0000-00006E140000}"/>
    <cellStyle name="SAPBEXfilterItem 18" xfId="1577" xr:uid="{00000000-0005-0000-0000-00006F140000}"/>
    <cellStyle name="SAPBEXfilterItem 2" xfId="1578" xr:uid="{00000000-0005-0000-0000-000070140000}"/>
    <cellStyle name="SAPBEXfilterItem 3" xfId="1579" xr:uid="{00000000-0005-0000-0000-000071140000}"/>
    <cellStyle name="SAPBEXfilterItem 4" xfId="1580" xr:uid="{00000000-0005-0000-0000-000072140000}"/>
    <cellStyle name="SAPBEXfilterItem 5" xfId="1581" xr:uid="{00000000-0005-0000-0000-000073140000}"/>
    <cellStyle name="SAPBEXfilterItem 6" xfId="1582" xr:uid="{00000000-0005-0000-0000-000074140000}"/>
    <cellStyle name="SAPBEXfilterItem 7" xfId="1583" xr:uid="{00000000-0005-0000-0000-000075140000}"/>
    <cellStyle name="SAPBEXfilterItem 8" xfId="1584" xr:uid="{00000000-0005-0000-0000-000076140000}"/>
    <cellStyle name="SAPBEXfilterItem 9" xfId="1585" xr:uid="{00000000-0005-0000-0000-000077140000}"/>
    <cellStyle name="SAPBEXfilterItem_Monthly Energy Log" xfId="5720" xr:uid="{00000000-0005-0000-0000-000078140000}"/>
    <cellStyle name="SAPBEXfilterText" xfId="1586" xr:uid="{00000000-0005-0000-0000-000079140000}"/>
    <cellStyle name="SAPBEXformats" xfId="1587" xr:uid="{00000000-0005-0000-0000-00007A140000}"/>
    <cellStyle name="SAPBEXformats 10" xfId="1588" xr:uid="{00000000-0005-0000-0000-00007B140000}"/>
    <cellStyle name="SAPBEXformats 10 2" xfId="5721" xr:uid="{00000000-0005-0000-0000-00007C140000}"/>
    <cellStyle name="SAPBEXformats 10_Monthly Energy Log" xfId="5722" xr:uid="{00000000-0005-0000-0000-00007D140000}"/>
    <cellStyle name="SAPBEXformats 11" xfId="1589" xr:uid="{00000000-0005-0000-0000-00007E140000}"/>
    <cellStyle name="SAPBEXformats 11 2" xfId="5723" xr:uid="{00000000-0005-0000-0000-00007F140000}"/>
    <cellStyle name="SAPBEXformats 11_Monthly Energy Log" xfId="5724" xr:uid="{00000000-0005-0000-0000-000080140000}"/>
    <cellStyle name="SAPBEXformats 12" xfId="1590" xr:uid="{00000000-0005-0000-0000-000081140000}"/>
    <cellStyle name="SAPBEXformats 12 2" xfId="5725" xr:uid="{00000000-0005-0000-0000-000082140000}"/>
    <cellStyle name="SAPBEXformats 12_Monthly Energy Log" xfId="5726" xr:uid="{00000000-0005-0000-0000-000083140000}"/>
    <cellStyle name="SAPBEXformats 13" xfId="1591" xr:uid="{00000000-0005-0000-0000-000084140000}"/>
    <cellStyle name="SAPBEXformats 13 2" xfId="5727" xr:uid="{00000000-0005-0000-0000-000085140000}"/>
    <cellStyle name="SAPBEXformats 13_Monthly Energy Log" xfId="5728" xr:uid="{00000000-0005-0000-0000-000086140000}"/>
    <cellStyle name="SAPBEXformats 14" xfId="1592" xr:uid="{00000000-0005-0000-0000-000087140000}"/>
    <cellStyle name="SAPBEXformats 14 2" xfId="5729" xr:uid="{00000000-0005-0000-0000-000088140000}"/>
    <cellStyle name="SAPBEXformats 14_Monthly Energy Log" xfId="5730" xr:uid="{00000000-0005-0000-0000-000089140000}"/>
    <cellStyle name="SAPBEXformats 15" xfId="1593" xr:uid="{00000000-0005-0000-0000-00008A140000}"/>
    <cellStyle name="SAPBEXformats 15 2" xfId="5731" xr:uid="{00000000-0005-0000-0000-00008B140000}"/>
    <cellStyle name="SAPBEXformats 15_Monthly Energy Log" xfId="5732" xr:uid="{00000000-0005-0000-0000-00008C140000}"/>
    <cellStyle name="SAPBEXformats 16" xfId="1594" xr:uid="{00000000-0005-0000-0000-00008D140000}"/>
    <cellStyle name="SAPBEXformats 16 2" xfId="5733" xr:uid="{00000000-0005-0000-0000-00008E140000}"/>
    <cellStyle name="SAPBEXformats 16_Monthly Energy Log" xfId="5734" xr:uid="{00000000-0005-0000-0000-00008F140000}"/>
    <cellStyle name="SAPBEXformats 17" xfId="1595" xr:uid="{00000000-0005-0000-0000-000090140000}"/>
    <cellStyle name="SAPBEXformats 17 2" xfId="5735" xr:uid="{00000000-0005-0000-0000-000091140000}"/>
    <cellStyle name="SAPBEXformats 17_Monthly Energy Log" xfId="5736" xr:uid="{00000000-0005-0000-0000-000092140000}"/>
    <cellStyle name="SAPBEXformats 18" xfId="1596" xr:uid="{00000000-0005-0000-0000-000093140000}"/>
    <cellStyle name="SAPBEXformats 18 2" xfId="5737" xr:uid="{00000000-0005-0000-0000-000094140000}"/>
    <cellStyle name="SAPBEXformats 18_Monthly Energy Log" xfId="5738" xr:uid="{00000000-0005-0000-0000-000095140000}"/>
    <cellStyle name="SAPBEXformats 19" xfId="5739" xr:uid="{00000000-0005-0000-0000-000096140000}"/>
    <cellStyle name="SAPBEXformats 2" xfId="1597" xr:uid="{00000000-0005-0000-0000-000097140000}"/>
    <cellStyle name="SAPBEXformats 2 2" xfId="1598" xr:uid="{00000000-0005-0000-0000-000098140000}"/>
    <cellStyle name="SAPBEXformats 2 2 2" xfId="5740" xr:uid="{00000000-0005-0000-0000-000099140000}"/>
    <cellStyle name="SAPBEXformats 2 2_Monthly Energy Log" xfId="5741" xr:uid="{00000000-0005-0000-0000-00009A140000}"/>
    <cellStyle name="SAPBEXformats 2 3" xfId="5742" xr:uid="{00000000-0005-0000-0000-00009B140000}"/>
    <cellStyle name="SAPBEXformats 2_BP ME Calc." xfId="5743" xr:uid="{00000000-0005-0000-0000-00009C140000}"/>
    <cellStyle name="SAPBEXformats 3" xfId="1599" xr:uid="{00000000-0005-0000-0000-00009D140000}"/>
    <cellStyle name="SAPBEXformats 3 2" xfId="5744" xr:uid="{00000000-0005-0000-0000-00009E140000}"/>
    <cellStyle name="SAPBEXformats 3_Monthly Energy Log" xfId="5745" xr:uid="{00000000-0005-0000-0000-00009F140000}"/>
    <cellStyle name="SAPBEXformats 4" xfId="1600" xr:uid="{00000000-0005-0000-0000-0000A0140000}"/>
    <cellStyle name="SAPBEXformats 4 2" xfId="5746" xr:uid="{00000000-0005-0000-0000-0000A1140000}"/>
    <cellStyle name="SAPBEXformats 4_Monthly Energy Log" xfId="5747" xr:uid="{00000000-0005-0000-0000-0000A2140000}"/>
    <cellStyle name="SAPBEXformats 5" xfId="1601" xr:uid="{00000000-0005-0000-0000-0000A3140000}"/>
    <cellStyle name="SAPBEXformats 5 2" xfId="5748" xr:uid="{00000000-0005-0000-0000-0000A4140000}"/>
    <cellStyle name="SAPBEXformats 5_Monthly Energy Log" xfId="5749" xr:uid="{00000000-0005-0000-0000-0000A5140000}"/>
    <cellStyle name="SAPBEXformats 6" xfId="1602" xr:uid="{00000000-0005-0000-0000-0000A6140000}"/>
    <cellStyle name="SAPBEXformats 6 2" xfId="5750" xr:uid="{00000000-0005-0000-0000-0000A7140000}"/>
    <cellStyle name="SAPBEXformats 6_Monthly Energy Log" xfId="5751" xr:uid="{00000000-0005-0000-0000-0000A8140000}"/>
    <cellStyle name="SAPBEXformats 7" xfId="1603" xr:uid="{00000000-0005-0000-0000-0000A9140000}"/>
    <cellStyle name="SAPBEXformats 7 2" xfId="5752" xr:uid="{00000000-0005-0000-0000-0000AA140000}"/>
    <cellStyle name="SAPBEXformats 7_Monthly Energy Log" xfId="5753" xr:uid="{00000000-0005-0000-0000-0000AB140000}"/>
    <cellStyle name="SAPBEXformats 8" xfId="1604" xr:uid="{00000000-0005-0000-0000-0000AC140000}"/>
    <cellStyle name="SAPBEXformats 8 2" xfId="5754" xr:uid="{00000000-0005-0000-0000-0000AD140000}"/>
    <cellStyle name="SAPBEXformats 8_Monthly Energy Log" xfId="5755" xr:uid="{00000000-0005-0000-0000-0000AE140000}"/>
    <cellStyle name="SAPBEXformats 9" xfId="1605" xr:uid="{00000000-0005-0000-0000-0000AF140000}"/>
    <cellStyle name="SAPBEXformats 9 2" xfId="5756" xr:uid="{00000000-0005-0000-0000-0000B0140000}"/>
    <cellStyle name="SAPBEXformats 9_Monthly Energy Log" xfId="5757" xr:uid="{00000000-0005-0000-0000-0000B1140000}"/>
    <cellStyle name="SAPBEXformats_BP ME Calc." xfId="5758" xr:uid="{00000000-0005-0000-0000-0000B2140000}"/>
    <cellStyle name="SAPBEXheaderItem" xfId="1606" xr:uid="{00000000-0005-0000-0000-0000B3140000}"/>
    <cellStyle name="SAPBEXheaderItem 10" xfId="1607" xr:uid="{00000000-0005-0000-0000-0000B4140000}"/>
    <cellStyle name="SAPBEXheaderItem 10 2" xfId="5759" xr:uid="{00000000-0005-0000-0000-0000B5140000}"/>
    <cellStyle name="SAPBEXheaderItem 10_Monthly Energy Log" xfId="5760" xr:uid="{00000000-0005-0000-0000-0000B6140000}"/>
    <cellStyle name="SAPBEXheaderItem 11" xfId="1608" xr:uid="{00000000-0005-0000-0000-0000B7140000}"/>
    <cellStyle name="SAPBEXheaderItem 11 2" xfId="5761" xr:uid="{00000000-0005-0000-0000-0000B8140000}"/>
    <cellStyle name="SAPBEXheaderItem 11_Monthly Energy Log" xfId="5762" xr:uid="{00000000-0005-0000-0000-0000B9140000}"/>
    <cellStyle name="SAPBEXheaderItem 12" xfId="1609" xr:uid="{00000000-0005-0000-0000-0000BA140000}"/>
    <cellStyle name="SAPBEXheaderItem 12 2" xfId="5763" xr:uid="{00000000-0005-0000-0000-0000BB140000}"/>
    <cellStyle name="SAPBEXheaderItem 12_Monthly Energy Log" xfId="5764" xr:uid="{00000000-0005-0000-0000-0000BC140000}"/>
    <cellStyle name="SAPBEXheaderItem 13" xfId="1610" xr:uid="{00000000-0005-0000-0000-0000BD140000}"/>
    <cellStyle name="SAPBEXheaderItem 13 2" xfId="5765" xr:uid="{00000000-0005-0000-0000-0000BE140000}"/>
    <cellStyle name="SAPBEXheaderItem 13_Monthly Energy Log" xfId="5766" xr:uid="{00000000-0005-0000-0000-0000BF140000}"/>
    <cellStyle name="SAPBEXheaderItem 14" xfId="1611" xr:uid="{00000000-0005-0000-0000-0000C0140000}"/>
    <cellStyle name="SAPBEXheaderItem 14 2" xfId="5767" xr:uid="{00000000-0005-0000-0000-0000C1140000}"/>
    <cellStyle name="SAPBEXheaderItem 14_Monthly Energy Log" xfId="5768" xr:uid="{00000000-0005-0000-0000-0000C2140000}"/>
    <cellStyle name="SAPBEXheaderItem 15" xfId="1612" xr:uid="{00000000-0005-0000-0000-0000C3140000}"/>
    <cellStyle name="SAPBEXheaderItem 15 2" xfId="5769" xr:uid="{00000000-0005-0000-0000-0000C4140000}"/>
    <cellStyle name="SAPBEXheaderItem 15_Monthly Energy Log" xfId="5770" xr:uid="{00000000-0005-0000-0000-0000C5140000}"/>
    <cellStyle name="SAPBEXheaderItem 16" xfId="1613" xr:uid="{00000000-0005-0000-0000-0000C6140000}"/>
    <cellStyle name="SAPBEXheaderItem 16 2" xfId="5771" xr:uid="{00000000-0005-0000-0000-0000C7140000}"/>
    <cellStyle name="SAPBEXheaderItem 16_Monthly Energy Log" xfId="5772" xr:uid="{00000000-0005-0000-0000-0000C8140000}"/>
    <cellStyle name="SAPBEXheaderItem 17" xfId="1614" xr:uid="{00000000-0005-0000-0000-0000C9140000}"/>
    <cellStyle name="SAPBEXheaderItem 17 2" xfId="5773" xr:uid="{00000000-0005-0000-0000-0000CA140000}"/>
    <cellStyle name="SAPBEXheaderItem 17_Monthly Energy Log" xfId="5774" xr:uid="{00000000-0005-0000-0000-0000CB140000}"/>
    <cellStyle name="SAPBEXheaderItem 18" xfId="1615" xr:uid="{00000000-0005-0000-0000-0000CC140000}"/>
    <cellStyle name="SAPBEXheaderItem 18 2" xfId="5775" xr:uid="{00000000-0005-0000-0000-0000CD140000}"/>
    <cellStyle name="SAPBEXheaderItem 18_Monthly Energy Log" xfId="5776" xr:uid="{00000000-0005-0000-0000-0000CE140000}"/>
    <cellStyle name="SAPBEXheaderItem 19" xfId="5777" xr:uid="{00000000-0005-0000-0000-0000CF140000}"/>
    <cellStyle name="SAPBEXheaderItem 2" xfId="1616" xr:uid="{00000000-0005-0000-0000-0000D0140000}"/>
    <cellStyle name="SAPBEXheaderItem 2 2" xfId="1617" xr:uid="{00000000-0005-0000-0000-0000D1140000}"/>
    <cellStyle name="SAPBEXheaderItem 2 2 2" xfId="5778" xr:uid="{00000000-0005-0000-0000-0000D2140000}"/>
    <cellStyle name="SAPBEXheaderItem 2 2_Monthly Energy Log" xfId="5779" xr:uid="{00000000-0005-0000-0000-0000D3140000}"/>
    <cellStyle name="SAPBEXheaderItem 2 3" xfId="5780" xr:uid="{00000000-0005-0000-0000-0000D4140000}"/>
    <cellStyle name="SAPBEXheaderItem 2_BP ME Calc." xfId="5781" xr:uid="{00000000-0005-0000-0000-0000D5140000}"/>
    <cellStyle name="SAPBEXheaderItem 3" xfId="1618" xr:uid="{00000000-0005-0000-0000-0000D6140000}"/>
    <cellStyle name="SAPBEXheaderItem 3 2" xfId="5782" xr:uid="{00000000-0005-0000-0000-0000D7140000}"/>
    <cellStyle name="SAPBEXheaderItem 3_Monthly Energy Log" xfId="5783" xr:uid="{00000000-0005-0000-0000-0000D8140000}"/>
    <cellStyle name="SAPBEXheaderItem 4" xfId="1619" xr:uid="{00000000-0005-0000-0000-0000D9140000}"/>
    <cellStyle name="SAPBEXheaderItem 4 2" xfId="5784" xr:uid="{00000000-0005-0000-0000-0000DA140000}"/>
    <cellStyle name="SAPBEXheaderItem 4_Monthly Energy Log" xfId="5785" xr:uid="{00000000-0005-0000-0000-0000DB140000}"/>
    <cellStyle name="SAPBEXheaderItem 5" xfId="1620" xr:uid="{00000000-0005-0000-0000-0000DC140000}"/>
    <cellStyle name="SAPBEXheaderItem 5 2" xfId="5786" xr:uid="{00000000-0005-0000-0000-0000DD140000}"/>
    <cellStyle name="SAPBEXheaderItem 5_Monthly Energy Log" xfId="5787" xr:uid="{00000000-0005-0000-0000-0000DE140000}"/>
    <cellStyle name="SAPBEXheaderItem 6" xfId="1621" xr:uid="{00000000-0005-0000-0000-0000DF140000}"/>
    <cellStyle name="SAPBEXheaderItem 6 2" xfId="5788" xr:uid="{00000000-0005-0000-0000-0000E0140000}"/>
    <cellStyle name="SAPBEXheaderItem 6_Monthly Energy Log" xfId="5789" xr:uid="{00000000-0005-0000-0000-0000E1140000}"/>
    <cellStyle name="SAPBEXheaderItem 7" xfId="1622" xr:uid="{00000000-0005-0000-0000-0000E2140000}"/>
    <cellStyle name="SAPBEXheaderItem 7 2" xfId="5790" xr:uid="{00000000-0005-0000-0000-0000E3140000}"/>
    <cellStyle name="SAPBEXheaderItem 7_Monthly Energy Log" xfId="5791" xr:uid="{00000000-0005-0000-0000-0000E4140000}"/>
    <cellStyle name="SAPBEXheaderItem 8" xfId="1623" xr:uid="{00000000-0005-0000-0000-0000E5140000}"/>
    <cellStyle name="SAPBEXheaderItem 8 2" xfId="5792" xr:uid="{00000000-0005-0000-0000-0000E6140000}"/>
    <cellStyle name="SAPBEXheaderItem 8_Monthly Energy Log" xfId="5793" xr:uid="{00000000-0005-0000-0000-0000E7140000}"/>
    <cellStyle name="SAPBEXheaderItem 9" xfId="1624" xr:uid="{00000000-0005-0000-0000-0000E8140000}"/>
    <cellStyle name="SAPBEXheaderItem 9 2" xfId="5794" xr:uid="{00000000-0005-0000-0000-0000E9140000}"/>
    <cellStyle name="SAPBEXheaderItem 9_Monthly Energy Log" xfId="5795" xr:uid="{00000000-0005-0000-0000-0000EA140000}"/>
    <cellStyle name="SAPBEXheaderItem_BP ME Calc." xfId="5796" xr:uid="{00000000-0005-0000-0000-0000EB140000}"/>
    <cellStyle name="SAPBEXheaderText" xfId="1625" xr:uid="{00000000-0005-0000-0000-0000EC140000}"/>
    <cellStyle name="SAPBEXheaderText 10" xfId="1626" xr:uid="{00000000-0005-0000-0000-0000ED140000}"/>
    <cellStyle name="SAPBEXheaderText 10 2" xfId="5797" xr:uid="{00000000-0005-0000-0000-0000EE140000}"/>
    <cellStyle name="SAPBEXheaderText 10_Monthly Energy Log" xfId="5798" xr:uid="{00000000-0005-0000-0000-0000EF140000}"/>
    <cellStyle name="SAPBEXheaderText 11" xfId="1627" xr:uid="{00000000-0005-0000-0000-0000F0140000}"/>
    <cellStyle name="SAPBEXheaderText 11 2" xfId="5799" xr:uid="{00000000-0005-0000-0000-0000F1140000}"/>
    <cellStyle name="SAPBEXheaderText 11_Monthly Energy Log" xfId="5800" xr:uid="{00000000-0005-0000-0000-0000F2140000}"/>
    <cellStyle name="SAPBEXheaderText 12" xfId="1628" xr:uid="{00000000-0005-0000-0000-0000F3140000}"/>
    <cellStyle name="SAPBEXheaderText 12 2" xfId="5801" xr:uid="{00000000-0005-0000-0000-0000F4140000}"/>
    <cellStyle name="SAPBEXheaderText 12_Monthly Energy Log" xfId="5802" xr:uid="{00000000-0005-0000-0000-0000F5140000}"/>
    <cellStyle name="SAPBEXheaderText 13" xfId="1629" xr:uid="{00000000-0005-0000-0000-0000F6140000}"/>
    <cellStyle name="SAPBEXheaderText 13 2" xfId="5803" xr:uid="{00000000-0005-0000-0000-0000F7140000}"/>
    <cellStyle name="SAPBEXheaderText 13_Monthly Energy Log" xfId="5804" xr:uid="{00000000-0005-0000-0000-0000F8140000}"/>
    <cellStyle name="SAPBEXheaderText 14" xfId="1630" xr:uid="{00000000-0005-0000-0000-0000F9140000}"/>
    <cellStyle name="SAPBEXheaderText 14 2" xfId="5805" xr:uid="{00000000-0005-0000-0000-0000FA140000}"/>
    <cellStyle name="SAPBEXheaderText 14_Monthly Energy Log" xfId="5806" xr:uid="{00000000-0005-0000-0000-0000FB140000}"/>
    <cellStyle name="SAPBEXheaderText 15" xfId="1631" xr:uid="{00000000-0005-0000-0000-0000FC140000}"/>
    <cellStyle name="SAPBEXheaderText 15 2" xfId="5807" xr:uid="{00000000-0005-0000-0000-0000FD140000}"/>
    <cellStyle name="SAPBEXheaderText 15_Monthly Energy Log" xfId="5808" xr:uid="{00000000-0005-0000-0000-0000FE140000}"/>
    <cellStyle name="SAPBEXheaderText 16" xfId="1632" xr:uid="{00000000-0005-0000-0000-0000FF140000}"/>
    <cellStyle name="SAPBEXheaderText 16 2" xfId="5809" xr:uid="{00000000-0005-0000-0000-000000150000}"/>
    <cellStyle name="SAPBEXheaderText 16_Monthly Energy Log" xfId="5810" xr:uid="{00000000-0005-0000-0000-000001150000}"/>
    <cellStyle name="SAPBEXheaderText 17" xfId="1633" xr:uid="{00000000-0005-0000-0000-000002150000}"/>
    <cellStyle name="SAPBEXheaderText 17 2" xfId="5811" xr:uid="{00000000-0005-0000-0000-000003150000}"/>
    <cellStyle name="SAPBEXheaderText 17_Monthly Energy Log" xfId="5812" xr:uid="{00000000-0005-0000-0000-000004150000}"/>
    <cellStyle name="SAPBEXheaderText 18" xfId="1634" xr:uid="{00000000-0005-0000-0000-000005150000}"/>
    <cellStyle name="SAPBEXheaderText 18 2" xfId="5813" xr:uid="{00000000-0005-0000-0000-000006150000}"/>
    <cellStyle name="SAPBEXheaderText 18_Monthly Energy Log" xfId="5814" xr:uid="{00000000-0005-0000-0000-000007150000}"/>
    <cellStyle name="SAPBEXheaderText 19" xfId="5815" xr:uid="{00000000-0005-0000-0000-000008150000}"/>
    <cellStyle name="SAPBEXheaderText 2" xfId="1635" xr:uid="{00000000-0005-0000-0000-000009150000}"/>
    <cellStyle name="SAPBEXheaderText 2 2" xfId="1636" xr:uid="{00000000-0005-0000-0000-00000A150000}"/>
    <cellStyle name="SAPBEXheaderText 2 2 2" xfId="5816" xr:uid="{00000000-0005-0000-0000-00000B150000}"/>
    <cellStyle name="SAPBEXheaderText 2 2_Monthly Energy Log" xfId="5817" xr:uid="{00000000-0005-0000-0000-00000C150000}"/>
    <cellStyle name="SAPBEXheaderText 2 3" xfId="5818" xr:uid="{00000000-0005-0000-0000-00000D150000}"/>
    <cellStyle name="SAPBEXheaderText 2_BP ME Calc." xfId="5819" xr:uid="{00000000-0005-0000-0000-00000E150000}"/>
    <cellStyle name="SAPBEXheaderText 3" xfId="1637" xr:uid="{00000000-0005-0000-0000-00000F150000}"/>
    <cellStyle name="SAPBEXheaderText 3 2" xfId="5820" xr:uid="{00000000-0005-0000-0000-000010150000}"/>
    <cellStyle name="SAPBEXheaderText 3_Monthly Energy Log" xfId="5821" xr:uid="{00000000-0005-0000-0000-000011150000}"/>
    <cellStyle name="SAPBEXheaderText 4" xfId="1638" xr:uid="{00000000-0005-0000-0000-000012150000}"/>
    <cellStyle name="SAPBEXheaderText 4 2" xfId="5822" xr:uid="{00000000-0005-0000-0000-000013150000}"/>
    <cellStyle name="SAPBEXheaderText 4_Monthly Energy Log" xfId="5823" xr:uid="{00000000-0005-0000-0000-000014150000}"/>
    <cellStyle name="SAPBEXheaderText 5" xfId="1639" xr:uid="{00000000-0005-0000-0000-000015150000}"/>
    <cellStyle name="SAPBEXheaderText 5 2" xfId="5824" xr:uid="{00000000-0005-0000-0000-000016150000}"/>
    <cellStyle name="SAPBEXheaderText 5_Monthly Energy Log" xfId="5825" xr:uid="{00000000-0005-0000-0000-000017150000}"/>
    <cellStyle name="SAPBEXheaderText 6" xfId="1640" xr:uid="{00000000-0005-0000-0000-000018150000}"/>
    <cellStyle name="SAPBEXheaderText 6 2" xfId="5826" xr:uid="{00000000-0005-0000-0000-000019150000}"/>
    <cellStyle name="SAPBEXheaderText 6_Monthly Energy Log" xfId="5827" xr:uid="{00000000-0005-0000-0000-00001A150000}"/>
    <cellStyle name="SAPBEXheaderText 7" xfId="1641" xr:uid="{00000000-0005-0000-0000-00001B150000}"/>
    <cellStyle name="SAPBEXheaderText 7 2" xfId="5828" xr:uid="{00000000-0005-0000-0000-00001C150000}"/>
    <cellStyle name="SAPBEXheaderText 7_Monthly Energy Log" xfId="5829" xr:uid="{00000000-0005-0000-0000-00001D150000}"/>
    <cellStyle name="SAPBEXheaderText 8" xfId="1642" xr:uid="{00000000-0005-0000-0000-00001E150000}"/>
    <cellStyle name="SAPBEXheaderText 8 2" xfId="5830" xr:uid="{00000000-0005-0000-0000-00001F150000}"/>
    <cellStyle name="SAPBEXheaderText 8_Monthly Energy Log" xfId="5831" xr:uid="{00000000-0005-0000-0000-000020150000}"/>
    <cellStyle name="SAPBEXheaderText 9" xfId="1643" xr:uid="{00000000-0005-0000-0000-000021150000}"/>
    <cellStyle name="SAPBEXheaderText 9 2" xfId="5832" xr:uid="{00000000-0005-0000-0000-000022150000}"/>
    <cellStyle name="SAPBEXheaderText 9_Monthly Energy Log" xfId="5833" xr:uid="{00000000-0005-0000-0000-000023150000}"/>
    <cellStyle name="SAPBEXheaderText_BP ME Calc." xfId="5834" xr:uid="{00000000-0005-0000-0000-000024150000}"/>
    <cellStyle name="SAPBEXHLevel0" xfId="1644" xr:uid="{00000000-0005-0000-0000-000025150000}"/>
    <cellStyle name="SAPBEXHLevel0 10" xfId="1645" xr:uid="{00000000-0005-0000-0000-000026150000}"/>
    <cellStyle name="SAPBEXHLevel0 10 2" xfId="5835" xr:uid="{00000000-0005-0000-0000-000027150000}"/>
    <cellStyle name="SAPBEXHLevel0 10_Monthly Energy Log" xfId="5836" xr:uid="{00000000-0005-0000-0000-000028150000}"/>
    <cellStyle name="SAPBEXHLevel0 11" xfId="1646" xr:uid="{00000000-0005-0000-0000-000029150000}"/>
    <cellStyle name="SAPBEXHLevel0 11 2" xfId="5837" xr:uid="{00000000-0005-0000-0000-00002A150000}"/>
    <cellStyle name="SAPBEXHLevel0 11_Monthly Energy Log" xfId="5838" xr:uid="{00000000-0005-0000-0000-00002B150000}"/>
    <cellStyle name="SAPBEXHLevel0 12" xfId="1647" xr:uid="{00000000-0005-0000-0000-00002C150000}"/>
    <cellStyle name="SAPBEXHLevel0 12 2" xfId="5839" xr:uid="{00000000-0005-0000-0000-00002D150000}"/>
    <cellStyle name="SAPBEXHLevel0 12_Monthly Energy Log" xfId="5840" xr:uid="{00000000-0005-0000-0000-00002E150000}"/>
    <cellStyle name="SAPBEXHLevel0 13" xfId="1648" xr:uid="{00000000-0005-0000-0000-00002F150000}"/>
    <cellStyle name="SAPBEXHLevel0 13 2" xfId="5841" xr:uid="{00000000-0005-0000-0000-000030150000}"/>
    <cellStyle name="SAPBEXHLevel0 13_Monthly Energy Log" xfId="5842" xr:uid="{00000000-0005-0000-0000-000031150000}"/>
    <cellStyle name="SAPBEXHLevel0 14" xfId="1649" xr:uid="{00000000-0005-0000-0000-000032150000}"/>
    <cellStyle name="SAPBEXHLevel0 14 2" xfId="5843" xr:uid="{00000000-0005-0000-0000-000033150000}"/>
    <cellStyle name="SAPBEXHLevel0 14_Monthly Energy Log" xfId="5844" xr:uid="{00000000-0005-0000-0000-000034150000}"/>
    <cellStyle name="SAPBEXHLevel0 15" xfId="1650" xr:uid="{00000000-0005-0000-0000-000035150000}"/>
    <cellStyle name="SAPBEXHLevel0 15 2" xfId="5845" xr:uid="{00000000-0005-0000-0000-000036150000}"/>
    <cellStyle name="SAPBEXHLevel0 15_Monthly Energy Log" xfId="5846" xr:uid="{00000000-0005-0000-0000-000037150000}"/>
    <cellStyle name="SAPBEXHLevel0 16" xfId="1651" xr:uid="{00000000-0005-0000-0000-000038150000}"/>
    <cellStyle name="SAPBEXHLevel0 16 2" xfId="5847" xr:uid="{00000000-0005-0000-0000-000039150000}"/>
    <cellStyle name="SAPBEXHLevel0 16_Monthly Energy Log" xfId="5848" xr:uid="{00000000-0005-0000-0000-00003A150000}"/>
    <cellStyle name="SAPBEXHLevel0 17" xfId="1652" xr:uid="{00000000-0005-0000-0000-00003B150000}"/>
    <cellStyle name="SAPBEXHLevel0 17 2" xfId="5849" xr:uid="{00000000-0005-0000-0000-00003C150000}"/>
    <cellStyle name="SAPBEXHLevel0 17_Monthly Energy Log" xfId="5850" xr:uid="{00000000-0005-0000-0000-00003D150000}"/>
    <cellStyle name="SAPBEXHLevel0 18" xfId="1653" xr:uid="{00000000-0005-0000-0000-00003E150000}"/>
    <cellStyle name="SAPBEXHLevel0 18 2" xfId="5851" xr:uid="{00000000-0005-0000-0000-00003F150000}"/>
    <cellStyle name="SAPBEXHLevel0 18_Monthly Energy Log" xfId="5852" xr:uid="{00000000-0005-0000-0000-000040150000}"/>
    <cellStyle name="SAPBEXHLevel0 19" xfId="5853" xr:uid="{00000000-0005-0000-0000-000041150000}"/>
    <cellStyle name="SAPBEXHLevel0 2" xfId="1654" xr:uid="{00000000-0005-0000-0000-000042150000}"/>
    <cellStyle name="SAPBEXHLevel0 2 2" xfId="1655" xr:uid="{00000000-0005-0000-0000-000043150000}"/>
    <cellStyle name="SAPBEXHLevel0 2 2 2" xfId="5854" xr:uid="{00000000-0005-0000-0000-000044150000}"/>
    <cellStyle name="SAPBEXHLevel0 2 2_Monthly Energy Log" xfId="5855" xr:uid="{00000000-0005-0000-0000-000045150000}"/>
    <cellStyle name="SAPBEXHLevel0 2 3" xfId="5856" xr:uid="{00000000-0005-0000-0000-000046150000}"/>
    <cellStyle name="SAPBEXHLevel0 2_BP ME Calc." xfId="5857" xr:uid="{00000000-0005-0000-0000-000047150000}"/>
    <cellStyle name="SAPBEXHLevel0 3" xfId="1656" xr:uid="{00000000-0005-0000-0000-000048150000}"/>
    <cellStyle name="SAPBEXHLevel0 3 2" xfId="5858" xr:uid="{00000000-0005-0000-0000-000049150000}"/>
    <cellStyle name="SAPBEXHLevel0 3_Monthly Energy Log" xfId="5859" xr:uid="{00000000-0005-0000-0000-00004A150000}"/>
    <cellStyle name="SAPBEXHLevel0 4" xfId="1657" xr:uid="{00000000-0005-0000-0000-00004B150000}"/>
    <cellStyle name="SAPBEXHLevel0 4 2" xfId="5860" xr:uid="{00000000-0005-0000-0000-00004C150000}"/>
    <cellStyle name="SAPBEXHLevel0 4_Monthly Energy Log" xfId="5861" xr:uid="{00000000-0005-0000-0000-00004D150000}"/>
    <cellStyle name="SAPBEXHLevel0 5" xfId="1658" xr:uid="{00000000-0005-0000-0000-00004E150000}"/>
    <cellStyle name="SAPBEXHLevel0 5 2" xfId="5862" xr:uid="{00000000-0005-0000-0000-00004F150000}"/>
    <cellStyle name="SAPBEXHLevel0 5_Monthly Energy Log" xfId="5863" xr:uid="{00000000-0005-0000-0000-000050150000}"/>
    <cellStyle name="SAPBEXHLevel0 6" xfId="1659" xr:uid="{00000000-0005-0000-0000-000051150000}"/>
    <cellStyle name="SAPBEXHLevel0 6 2" xfId="5864" xr:uid="{00000000-0005-0000-0000-000052150000}"/>
    <cellStyle name="SAPBEXHLevel0 6_Monthly Energy Log" xfId="5865" xr:uid="{00000000-0005-0000-0000-000053150000}"/>
    <cellStyle name="SAPBEXHLevel0 7" xfId="1660" xr:uid="{00000000-0005-0000-0000-000054150000}"/>
    <cellStyle name="SAPBEXHLevel0 7 2" xfId="5866" xr:uid="{00000000-0005-0000-0000-000055150000}"/>
    <cellStyle name="SAPBEXHLevel0 7_Monthly Energy Log" xfId="5867" xr:uid="{00000000-0005-0000-0000-000056150000}"/>
    <cellStyle name="SAPBEXHLevel0 8" xfId="1661" xr:uid="{00000000-0005-0000-0000-000057150000}"/>
    <cellStyle name="SAPBEXHLevel0 8 2" xfId="5868" xr:uid="{00000000-0005-0000-0000-000058150000}"/>
    <cellStyle name="SAPBEXHLevel0 8_Monthly Energy Log" xfId="5869" xr:uid="{00000000-0005-0000-0000-000059150000}"/>
    <cellStyle name="SAPBEXHLevel0 9" xfId="1662" xr:uid="{00000000-0005-0000-0000-00005A150000}"/>
    <cellStyle name="SAPBEXHLevel0 9 2" xfId="5870" xr:uid="{00000000-0005-0000-0000-00005B150000}"/>
    <cellStyle name="SAPBEXHLevel0 9_Monthly Energy Log" xfId="5871" xr:uid="{00000000-0005-0000-0000-00005C150000}"/>
    <cellStyle name="SAPBEXHLevel0_BP ME Calc." xfId="5872" xr:uid="{00000000-0005-0000-0000-00005D150000}"/>
    <cellStyle name="SAPBEXHLevel0X" xfId="1663" xr:uid="{00000000-0005-0000-0000-00005E150000}"/>
    <cellStyle name="SAPBEXHLevel0X 10" xfId="1664" xr:uid="{00000000-0005-0000-0000-00005F150000}"/>
    <cellStyle name="SAPBEXHLevel0X 11" xfId="1665" xr:uid="{00000000-0005-0000-0000-000060150000}"/>
    <cellStyle name="SAPBEXHLevel0X 12" xfId="1666" xr:uid="{00000000-0005-0000-0000-000061150000}"/>
    <cellStyle name="SAPBEXHLevel0X 13" xfId="1667" xr:uid="{00000000-0005-0000-0000-000062150000}"/>
    <cellStyle name="SAPBEXHLevel0X 14" xfId="1668" xr:uid="{00000000-0005-0000-0000-000063150000}"/>
    <cellStyle name="SAPBEXHLevel0X 15" xfId="1669" xr:uid="{00000000-0005-0000-0000-000064150000}"/>
    <cellStyle name="SAPBEXHLevel0X 16" xfId="1670" xr:uid="{00000000-0005-0000-0000-000065150000}"/>
    <cellStyle name="SAPBEXHLevel0X 17" xfId="1671" xr:uid="{00000000-0005-0000-0000-000066150000}"/>
    <cellStyle name="SAPBEXHLevel0X 18" xfId="1672" xr:uid="{00000000-0005-0000-0000-000067150000}"/>
    <cellStyle name="SAPBEXHLevel0X 19" xfId="1673" xr:uid="{00000000-0005-0000-0000-000068150000}"/>
    <cellStyle name="SAPBEXHLevel0X 2" xfId="1674" xr:uid="{00000000-0005-0000-0000-000069150000}"/>
    <cellStyle name="SAPBEXHLevel0X 20" xfId="1675" xr:uid="{00000000-0005-0000-0000-00006A150000}"/>
    <cellStyle name="SAPBEXHLevel0X 3" xfId="1676" xr:uid="{00000000-0005-0000-0000-00006B150000}"/>
    <cellStyle name="SAPBEXHLevel0X 4" xfId="1677" xr:uid="{00000000-0005-0000-0000-00006C150000}"/>
    <cellStyle name="SAPBEXHLevel0X 4 2" xfId="1678" xr:uid="{00000000-0005-0000-0000-00006D150000}"/>
    <cellStyle name="SAPBEXHLevel0X 4 2 2" xfId="5873" xr:uid="{00000000-0005-0000-0000-00006E150000}"/>
    <cellStyle name="SAPBEXHLevel0X 4 2_Monthly Energy Log" xfId="5874" xr:uid="{00000000-0005-0000-0000-00006F150000}"/>
    <cellStyle name="SAPBEXHLevel0X 4 3" xfId="5875" xr:uid="{00000000-0005-0000-0000-000070150000}"/>
    <cellStyle name="SAPBEXHLevel0X 4_BP ME Calc." xfId="5876" xr:uid="{00000000-0005-0000-0000-000071150000}"/>
    <cellStyle name="SAPBEXHLevel0X 5" xfId="1679" xr:uid="{00000000-0005-0000-0000-000072150000}"/>
    <cellStyle name="SAPBEXHLevel0X 6" xfId="1680" xr:uid="{00000000-0005-0000-0000-000073150000}"/>
    <cellStyle name="SAPBEXHLevel0X 6 2" xfId="5877" xr:uid="{00000000-0005-0000-0000-000074150000}"/>
    <cellStyle name="SAPBEXHLevel0X 6_Monthly Energy Log" xfId="5878" xr:uid="{00000000-0005-0000-0000-000075150000}"/>
    <cellStyle name="SAPBEXHLevel0X 7" xfId="1681" xr:uid="{00000000-0005-0000-0000-000076150000}"/>
    <cellStyle name="SAPBEXHLevel0X 8" xfId="1682" xr:uid="{00000000-0005-0000-0000-000077150000}"/>
    <cellStyle name="SAPBEXHLevel0X 9" xfId="1683" xr:uid="{00000000-0005-0000-0000-000078150000}"/>
    <cellStyle name="SAPBEXHLevel0X_Monthly Energy Log" xfId="5879" xr:uid="{00000000-0005-0000-0000-000079150000}"/>
    <cellStyle name="SAPBEXHLevel1" xfId="1684" xr:uid="{00000000-0005-0000-0000-00007A150000}"/>
    <cellStyle name="SAPBEXHLevel1 10" xfId="1685" xr:uid="{00000000-0005-0000-0000-00007B150000}"/>
    <cellStyle name="SAPBEXHLevel1 10 2" xfId="5880" xr:uid="{00000000-0005-0000-0000-00007C150000}"/>
    <cellStyle name="SAPBEXHLevel1 10_Monthly Energy Log" xfId="5881" xr:uid="{00000000-0005-0000-0000-00007D150000}"/>
    <cellStyle name="SAPBEXHLevel1 11" xfId="1686" xr:uid="{00000000-0005-0000-0000-00007E150000}"/>
    <cellStyle name="SAPBEXHLevel1 11 2" xfId="5882" xr:uid="{00000000-0005-0000-0000-00007F150000}"/>
    <cellStyle name="SAPBEXHLevel1 11_Monthly Energy Log" xfId="5883" xr:uid="{00000000-0005-0000-0000-000080150000}"/>
    <cellStyle name="SAPBEXHLevel1 12" xfId="1687" xr:uid="{00000000-0005-0000-0000-000081150000}"/>
    <cellStyle name="SAPBEXHLevel1 12 2" xfId="5884" xr:uid="{00000000-0005-0000-0000-000082150000}"/>
    <cellStyle name="SAPBEXHLevel1 12_Monthly Energy Log" xfId="5885" xr:uid="{00000000-0005-0000-0000-000083150000}"/>
    <cellStyle name="SAPBEXHLevel1 13" xfId="1688" xr:uid="{00000000-0005-0000-0000-000084150000}"/>
    <cellStyle name="SAPBEXHLevel1 13 2" xfId="5886" xr:uid="{00000000-0005-0000-0000-000085150000}"/>
    <cellStyle name="SAPBEXHLevel1 13_Monthly Energy Log" xfId="5887" xr:uid="{00000000-0005-0000-0000-000086150000}"/>
    <cellStyle name="SAPBEXHLevel1 14" xfId="1689" xr:uid="{00000000-0005-0000-0000-000087150000}"/>
    <cellStyle name="SAPBEXHLevel1 14 2" xfId="5888" xr:uid="{00000000-0005-0000-0000-000088150000}"/>
    <cellStyle name="SAPBEXHLevel1 14_Monthly Energy Log" xfId="5889" xr:uid="{00000000-0005-0000-0000-000089150000}"/>
    <cellStyle name="SAPBEXHLevel1 15" xfId="1690" xr:uid="{00000000-0005-0000-0000-00008A150000}"/>
    <cellStyle name="SAPBEXHLevel1 15 2" xfId="5890" xr:uid="{00000000-0005-0000-0000-00008B150000}"/>
    <cellStyle name="SAPBEXHLevel1 15_Monthly Energy Log" xfId="5891" xr:uid="{00000000-0005-0000-0000-00008C150000}"/>
    <cellStyle name="SAPBEXHLevel1 16" xfId="1691" xr:uid="{00000000-0005-0000-0000-00008D150000}"/>
    <cellStyle name="SAPBEXHLevel1 16 2" xfId="5892" xr:uid="{00000000-0005-0000-0000-00008E150000}"/>
    <cellStyle name="SAPBEXHLevel1 16_Monthly Energy Log" xfId="5893" xr:uid="{00000000-0005-0000-0000-00008F150000}"/>
    <cellStyle name="SAPBEXHLevel1 17" xfId="1692" xr:uid="{00000000-0005-0000-0000-000090150000}"/>
    <cellStyle name="SAPBEXHLevel1 17 2" xfId="5894" xr:uid="{00000000-0005-0000-0000-000091150000}"/>
    <cellStyle name="SAPBEXHLevel1 17_Monthly Energy Log" xfId="5895" xr:uid="{00000000-0005-0000-0000-000092150000}"/>
    <cellStyle name="SAPBEXHLevel1 18" xfId="1693" xr:uid="{00000000-0005-0000-0000-000093150000}"/>
    <cellStyle name="SAPBEXHLevel1 18 2" xfId="5896" xr:uid="{00000000-0005-0000-0000-000094150000}"/>
    <cellStyle name="SAPBEXHLevel1 18_Monthly Energy Log" xfId="5897" xr:uid="{00000000-0005-0000-0000-000095150000}"/>
    <cellStyle name="SAPBEXHLevel1 19" xfId="5898" xr:uid="{00000000-0005-0000-0000-000096150000}"/>
    <cellStyle name="SAPBEXHLevel1 2" xfId="1694" xr:uid="{00000000-0005-0000-0000-000097150000}"/>
    <cellStyle name="SAPBEXHLevel1 2 2" xfId="1695" xr:uid="{00000000-0005-0000-0000-000098150000}"/>
    <cellStyle name="SAPBEXHLevel1 2 2 2" xfId="5899" xr:uid="{00000000-0005-0000-0000-000099150000}"/>
    <cellStyle name="SAPBEXHLevel1 2 2_Monthly Energy Log" xfId="5900" xr:uid="{00000000-0005-0000-0000-00009A150000}"/>
    <cellStyle name="SAPBEXHLevel1 2 3" xfId="5901" xr:uid="{00000000-0005-0000-0000-00009B150000}"/>
    <cellStyle name="SAPBEXHLevel1 2_BP ME Calc." xfId="5902" xr:uid="{00000000-0005-0000-0000-00009C150000}"/>
    <cellStyle name="SAPBEXHLevel1 3" xfId="1696" xr:uid="{00000000-0005-0000-0000-00009D150000}"/>
    <cellStyle name="SAPBEXHLevel1 3 2" xfId="5903" xr:uid="{00000000-0005-0000-0000-00009E150000}"/>
    <cellStyle name="SAPBEXHLevel1 3_Monthly Energy Log" xfId="5904" xr:uid="{00000000-0005-0000-0000-00009F150000}"/>
    <cellStyle name="SAPBEXHLevel1 4" xfId="1697" xr:uid="{00000000-0005-0000-0000-0000A0150000}"/>
    <cellStyle name="SAPBEXHLevel1 4 2" xfId="5905" xr:uid="{00000000-0005-0000-0000-0000A1150000}"/>
    <cellStyle name="SAPBEXHLevel1 4_Monthly Energy Log" xfId="5906" xr:uid="{00000000-0005-0000-0000-0000A2150000}"/>
    <cellStyle name="SAPBEXHLevel1 5" xfId="1698" xr:uid="{00000000-0005-0000-0000-0000A3150000}"/>
    <cellStyle name="SAPBEXHLevel1 5 2" xfId="5907" xr:uid="{00000000-0005-0000-0000-0000A4150000}"/>
    <cellStyle name="SAPBEXHLevel1 5_Monthly Energy Log" xfId="5908" xr:uid="{00000000-0005-0000-0000-0000A5150000}"/>
    <cellStyle name="SAPBEXHLevel1 6" xfId="1699" xr:uid="{00000000-0005-0000-0000-0000A6150000}"/>
    <cellStyle name="SAPBEXHLevel1 6 2" xfId="5909" xr:uid="{00000000-0005-0000-0000-0000A7150000}"/>
    <cellStyle name="SAPBEXHLevel1 6_Monthly Energy Log" xfId="5910" xr:uid="{00000000-0005-0000-0000-0000A8150000}"/>
    <cellStyle name="SAPBEXHLevel1 7" xfId="1700" xr:uid="{00000000-0005-0000-0000-0000A9150000}"/>
    <cellStyle name="SAPBEXHLevel1 7 2" xfId="5911" xr:uid="{00000000-0005-0000-0000-0000AA150000}"/>
    <cellStyle name="SAPBEXHLevel1 7_Monthly Energy Log" xfId="5912" xr:uid="{00000000-0005-0000-0000-0000AB150000}"/>
    <cellStyle name="SAPBEXHLevel1 8" xfId="1701" xr:uid="{00000000-0005-0000-0000-0000AC150000}"/>
    <cellStyle name="SAPBEXHLevel1 8 2" xfId="5913" xr:uid="{00000000-0005-0000-0000-0000AD150000}"/>
    <cellStyle name="SAPBEXHLevel1 8_Monthly Energy Log" xfId="5914" xr:uid="{00000000-0005-0000-0000-0000AE150000}"/>
    <cellStyle name="SAPBEXHLevel1 9" xfId="1702" xr:uid="{00000000-0005-0000-0000-0000AF150000}"/>
    <cellStyle name="SAPBEXHLevel1 9 2" xfId="5915" xr:uid="{00000000-0005-0000-0000-0000B0150000}"/>
    <cellStyle name="SAPBEXHLevel1 9_Monthly Energy Log" xfId="5916" xr:uid="{00000000-0005-0000-0000-0000B1150000}"/>
    <cellStyle name="SAPBEXHLevel1_BP ME Calc." xfId="5917" xr:uid="{00000000-0005-0000-0000-0000B2150000}"/>
    <cellStyle name="SAPBEXHLevel1X" xfId="1703" xr:uid="{00000000-0005-0000-0000-0000B3150000}"/>
    <cellStyle name="SAPBEXHLevel1X 10" xfId="1704" xr:uid="{00000000-0005-0000-0000-0000B4150000}"/>
    <cellStyle name="SAPBEXHLevel1X 11" xfId="1705" xr:uid="{00000000-0005-0000-0000-0000B5150000}"/>
    <cellStyle name="SAPBEXHLevel1X 12" xfId="1706" xr:uid="{00000000-0005-0000-0000-0000B6150000}"/>
    <cellStyle name="SAPBEXHLevel1X 13" xfId="1707" xr:uid="{00000000-0005-0000-0000-0000B7150000}"/>
    <cellStyle name="SAPBEXHLevel1X 14" xfId="1708" xr:uid="{00000000-0005-0000-0000-0000B8150000}"/>
    <cellStyle name="SAPBEXHLevel1X 15" xfId="1709" xr:uid="{00000000-0005-0000-0000-0000B9150000}"/>
    <cellStyle name="SAPBEXHLevel1X 16" xfId="1710" xr:uid="{00000000-0005-0000-0000-0000BA150000}"/>
    <cellStyle name="SAPBEXHLevel1X 17" xfId="1711" xr:uid="{00000000-0005-0000-0000-0000BB150000}"/>
    <cellStyle name="SAPBEXHLevel1X 18" xfId="1712" xr:uid="{00000000-0005-0000-0000-0000BC150000}"/>
    <cellStyle name="SAPBEXHLevel1X 19" xfId="1713" xr:uid="{00000000-0005-0000-0000-0000BD150000}"/>
    <cellStyle name="SAPBEXHLevel1X 2" xfId="1714" xr:uid="{00000000-0005-0000-0000-0000BE150000}"/>
    <cellStyle name="SAPBEXHLevel1X 20" xfId="1715" xr:uid="{00000000-0005-0000-0000-0000BF150000}"/>
    <cellStyle name="SAPBEXHLevel1X 3" xfId="1716" xr:uid="{00000000-0005-0000-0000-0000C0150000}"/>
    <cellStyle name="SAPBEXHLevel1X 4" xfId="1717" xr:uid="{00000000-0005-0000-0000-0000C1150000}"/>
    <cellStyle name="SAPBEXHLevel1X 4 2" xfId="1718" xr:uid="{00000000-0005-0000-0000-0000C2150000}"/>
    <cellStyle name="SAPBEXHLevel1X 4 2 2" xfId="5918" xr:uid="{00000000-0005-0000-0000-0000C3150000}"/>
    <cellStyle name="SAPBEXHLevel1X 4 2_Monthly Energy Log" xfId="5919" xr:uid="{00000000-0005-0000-0000-0000C4150000}"/>
    <cellStyle name="SAPBEXHLevel1X 4 3" xfId="5920" xr:uid="{00000000-0005-0000-0000-0000C5150000}"/>
    <cellStyle name="SAPBEXHLevel1X 4_BP ME Calc." xfId="5921" xr:uid="{00000000-0005-0000-0000-0000C6150000}"/>
    <cellStyle name="SAPBEXHLevel1X 5" xfId="1719" xr:uid="{00000000-0005-0000-0000-0000C7150000}"/>
    <cellStyle name="SAPBEXHLevel1X 6" xfId="1720" xr:uid="{00000000-0005-0000-0000-0000C8150000}"/>
    <cellStyle name="SAPBEXHLevel1X 6 2" xfId="5922" xr:uid="{00000000-0005-0000-0000-0000C9150000}"/>
    <cellStyle name="SAPBEXHLevel1X 6_Monthly Energy Log" xfId="5923" xr:uid="{00000000-0005-0000-0000-0000CA150000}"/>
    <cellStyle name="SAPBEXHLevel1X 7" xfId="1721" xr:uid="{00000000-0005-0000-0000-0000CB150000}"/>
    <cellStyle name="SAPBEXHLevel1X 8" xfId="1722" xr:uid="{00000000-0005-0000-0000-0000CC150000}"/>
    <cellStyle name="SAPBEXHLevel1X 9" xfId="1723" xr:uid="{00000000-0005-0000-0000-0000CD150000}"/>
    <cellStyle name="SAPBEXHLevel1X_Monthly Energy Log" xfId="5924" xr:uid="{00000000-0005-0000-0000-0000CE150000}"/>
    <cellStyle name="SAPBEXHLevel2" xfId="1724" xr:uid="{00000000-0005-0000-0000-0000CF150000}"/>
    <cellStyle name="SAPBEXHLevel2 10" xfId="1725" xr:uid="{00000000-0005-0000-0000-0000D0150000}"/>
    <cellStyle name="SAPBEXHLevel2 10 2" xfId="5925" xr:uid="{00000000-0005-0000-0000-0000D1150000}"/>
    <cellStyle name="SAPBEXHLevel2 10_Monthly Energy Log" xfId="5926" xr:uid="{00000000-0005-0000-0000-0000D2150000}"/>
    <cellStyle name="SAPBEXHLevel2 11" xfId="1726" xr:uid="{00000000-0005-0000-0000-0000D3150000}"/>
    <cellStyle name="SAPBEXHLevel2 11 2" xfId="5927" xr:uid="{00000000-0005-0000-0000-0000D4150000}"/>
    <cellStyle name="SAPBEXHLevel2 11_Monthly Energy Log" xfId="5928" xr:uid="{00000000-0005-0000-0000-0000D5150000}"/>
    <cellStyle name="SAPBEXHLevel2 12" xfId="1727" xr:uid="{00000000-0005-0000-0000-0000D6150000}"/>
    <cellStyle name="SAPBEXHLevel2 12 2" xfId="5929" xr:uid="{00000000-0005-0000-0000-0000D7150000}"/>
    <cellStyle name="SAPBEXHLevel2 12_Monthly Energy Log" xfId="5930" xr:uid="{00000000-0005-0000-0000-0000D8150000}"/>
    <cellStyle name="SAPBEXHLevel2 13" xfId="1728" xr:uid="{00000000-0005-0000-0000-0000D9150000}"/>
    <cellStyle name="SAPBEXHLevel2 13 2" xfId="5931" xr:uid="{00000000-0005-0000-0000-0000DA150000}"/>
    <cellStyle name="SAPBEXHLevel2 13_Monthly Energy Log" xfId="5932" xr:uid="{00000000-0005-0000-0000-0000DB150000}"/>
    <cellStyle name="SAPBEXHLevel2 14" xfId="1729" xr:uid="{00000000-0005-0000-0000-0000DC150000}"/>
    <cellStyle name="SAPBEXHLevel2 14 2" xfId="5933" xr:uid="{00000000-0005-0000-0000-0000DD150000}"/>
    <cellStyle name="SAPBEXHLevel2 14_Monthly Energy Log" xfId="5934" xr:uid="{00000000-0005-0000-0000-0000DE150000}"/>
    <cellStyle name="SAPBEXHLevel2 15" xfId="1730" xr:uid="{00000000-0005-0000-0000-0000DF150000}"/>
    <cellStyle name="SAPBEXHLevel2 15 2" xfId="5935" xr:uid="{00000000-0005-0000-0000-0000E0150000}"/>
    <cellStyle name="SAPBEXHLevel2 15_Monthly Energy Log" xfId="5936" xr:uid="{00000000-0005-0000-0000-0000E1150000}"/>
    <cellStyle name="SAPBEXHLevel2 16" xfId="1731" xr:uid="{00000000-0005-0000-0000-0000E2150000}"/>
    <cellStyle name="SAPBEXHLevel2 16 2" xfId="5937" xr:uid="{00000000-0005-0000-0000-0000E3150000}"/>
    <cellStyle name="SAPBEXHLevel2 16_Monthly Energy Log" xfId="5938" xr:uid="{00000000-0005-0000-0000-0000E4150000}"/>
    <cellStyle name="SAPBEXHLevel2 17" xfId="1732" xr:uid="{00000000-0005-0000-0000-0000E5150000}"/>
    <cellStyle name="SAPBEXHLevel2 17 2" xfId="5939" xr:uid="{00000000-0005-0000-0000-0000E6150000}"/>
    <cellStyle name="SAPBEXHLevel2 17_Monthly Energy Log" xfId="5940" xr:uid="{00000000-0005-0000-0000-0000E7150000}"/>
    <cellStyle name="SAPBEXHLevel2 18" xfId="1733" xr:uid="{00000000-0005-0000-0000-0000E8150000}"/>
    <cellStyle name="SAPBEXHLevel2 18 2" xfId="5941" xr:uid="{00000000-0005-0000-0000-0000E9150000}"/>
    <cellStyle name="SAPBEXHLevel2 18_Monthly Energy Log" xfId="5942" xr:uid="{00000000-0005-0000-0000-0000EA150000}"/>
    <cellStyle name="SAPBEXHLevel2 19" xfId="5943" xr:uid="{00000000-0005-0000-0000-0000EB150000}"/>
    <cellStyle name="SAPBEXHLevel2 2" xfId="1734" xr:uid="{00000000-0005-0000-0000-0000EC150000}"/>
    <cellStyle name="SAPBEXHLevel2 2 2" xfId="1735" xr:uid="{00000000-0005-0000-0000-0000ED150000}"/>
    <cellStyle name="SAPBEXHLevel2 2 2 2" xfId="5944" xr:uid="{00000000-0005-0000-0000-0000EE150000}"/>
    <cellStyle name="SAPBEXHLevel2 2 2_Monthly Energy Log" xfId="5945" xr:uid="{00000000-0005-0000-0000-0000EF150000}"/>
    <cellStyle name="SAPBEXHLevel2 2 3" xfId="5946" xr:uid="{00000000-0005-0000-0000-0000F0150000}"/>
    <cellStyle name="SAPBEXHLevel2 2_BP ME Calc." xfId="5947" xr:uid="{00000000-0005-0000-0000-0000F1150000}"/>
    <cellStyle name="SAPBEXHLevel2 3" xfId="1736" xr:uid="{00000000-0005-0000-0000-0000F2150000}"/>
    <cellStyle name="SAPBEXHLevel2 3 2" xfId="5948" xr:uid="{00000000-0005-0000-0000-0000F3150000}"/>
    <cellStyle name="SAPBEXHLevel2 3_Monthly Energy Log" xfId="5949" xr:uid="{00000000-0005-0000-0000-0000F4150000}"/>
    <cellStyle name="SAPBEXHLevel2 4" xfId="1737" xr:uid="{00000000-0005-0000-0000-0000F5150000}"/>
    <cellStyle name="SAPBEXHLevel2 4 2" xfId="5950" xr:uid="{00000000-0005-0000-0000-0000F6150000}"/>
    <cellStyle name="SAPBEXHLevel2 4_Monthly Energy Log" xfId="5951" xr:uid="{00000000-0005-0000-0000-0000F7150000}"/>
    <cellStyle name="SAPBEXHLevel2 5" xfId="1738" xr:uid="{00000000-0005-0000-0000-0000F8150000}"/>
    <cellStyle name="SAPBEXHLevel2 5 2" xfId="5952" xr:uid="{00000000-0005-0000-0000-0000F9150000}"/>
    <cellStyle name="SAPBEXHLevel2 5_Monthly Energy Log" xfId="5953" xr:uid="{00000000-0005-0000-0000-0000FA150000}"/>
    <cellStyle name="SAPBEXHLevel2 6" xfId="1739" xr:uid="{00000000-0005-0000-0000-0000FB150000}"/>
    <cellStyle name="SAPBEXHLevel2 6 2" xfId="5954" xr:uid="{00000000-0005-0000-0000-0000FC150000}"/>
    <cellStyle name="SAPBEXHLevel2 6_Monthly Energy Log" xfId="5955" xr:uid="{00000000-0005-0000-0000-0000FD150000}"/>
    <cellStyle name="SAPBEXHLevel2 7" xfId="1740" xr:uid="{00000000-0005-0000-0000-0000FE150000}"/>
    <cellStyle name="SAPBEXHLevel2 7 2" xfId="5956" xr:uid="{00000000-0005-0000-0000-0000FF150000}"/>
    <cellStyle name="SAPBEXHLevel2 7_Monthly Energy Log" xfId="5957" xr:uid="{00000000-0005-0000-0000-000000160000}"/>
    <cellStyle name="SAPBEXHLevel2 8" xfId="1741" xr:uid="{00000000-0005-0000-0000-000001160000}"/>
    <cellStyle name="SAPBEXHLevel2 8 2" xfId="5958" xr:uid="{00000000-0005-0000-0000-000002160000}"/>
    <cellStyle name="SAPBEXHLevel2 8_Monthly Energy Log" xfId="5959" xr:uid="{00000000-0005-0000-0000-000003160000}"/>
    <cellStyle name="SAPBEXHLevel2 9" xfId="1742" xr:uid="{00000000-0005-0000-0000-000004160000}"/>
    <cellStyle name="SAPBEXHLevel2 9 2" xfId="5960" xr:uid="{00000000-0005-0000-0000-000005160000}"/>
    <cellStyle name="SAPBEXHLevel2 9_Monthly Energy Log" xfId="5961" xr:uid="{00000000-0005-0000-0000-000006160000}"/>
    <cellStyle name="SAPBEXHLevel2_BP ME Calc." xfId="5962" xr:uid="{00000000-0005-0000-0000-000007160000}"/>
    <cellStyle name="SAPBEXHLevel2X" xfId="1743" xr:uid="{00000000-0005-0000-0000-000008160000}"/>
    <cellStyle name="SAPBEXHLevel2X 10" xfId="1744" xr:uid="{00000000-0005-0000-0000-000009160000}"/>
    <cellStyle name="SAPBEXHLevel2X 11" xfId="1745" xr:uid="{00000000-0005-0000-0000-00000A160000}"/>
    <cellStyle name="SAPBEXHLevel2X 12" xfId="1746" xr:uid="{00000000-0005-0000-0000-00000B160000}"/>
    <cellStyle name="SAPBEXHLevel2X 13" xfId="1747" xr:uid="{00000000-0005-0000-0000-00000C160000}"/>
    <cellStyle name="SAPBEXHLevel2X 14" xfId="1748" xr:uid="{00000000-0005-0000-0000-00000D160000}"/>
    <cellStyle name="SAPBEXHLevel2X 15" xfId="1749" xr:uid="{00000000-0005-0000-0000-00000E160000}"/>
    <cellStyle name="SAPBEXHLevel2X 16" xfId="1750" xr:uid="{00000000-0005-0000-0000-00000F160000}"/>
    <cellStyle name="SAPBEXHLevel2X 17" xfId="1751" xr:uid="{00000000-0005-0000-0000-000010160000}"/>
    <cellStyle name="SAPBEXHLevel2X 18" xfId="1752" xr:uid="{00000000-0005-0000-0000-000011160000}"/>
    <cellStyle name="SAPBEXHLevel2X 19" xfId="1753" xr:uid="{00000000-0005-0000-0000-000012160000}"/>
    <cellStyle name="SAPBEXHLevel2X 2" xfId="1754" xr:uid="{00000000-0005-0000-0000-000013160000}"/>
    <cellStyle name="SAPBEXHLevel2X 20" xfId="1755" xr:uid="{00000000-0005-0000-0000-000014160000}"/>
    <cellStyle name="SAPBEXHLevel2X 3" xfId="1756" xr:uid="{00000000-0005-0000-0000-000015160000}"/>
    <cellStyle name="SAPBEXHLevel2X 4" xfId="1757" xr:uid="{00000000-0005-0000-0000-000016160000}"/>
    <cellStyle name="SAPBEXHLevel2X 4 2" xfId="1758" xr:uid="{00000000-0005-0000-0000-000017160000}"/>
    <cellStyle name="SAPBEXHLevel2X 4 2 2" xfId="5963" xr:uid="{00000000-0005-0000-0000-000018160000}"/>
    <cellStyle name="SAPBEXHLevel2X 4 2_Monthly Energy Log" xfId="5964" xr:uid="{00000000-0005-0000-0000-000019160000}"/>
    <cellStyle name="SAPBEXHLevel2X 4 3" xfId="5965" xr:uid="{00000000-0005-0000-0000-00001A160000}"/>
    <cellStyle name="SAPBEXHLevel2X 4_BP ME Calc." xfId="5966" xr:uid="{00000000-0005-0000-0000-00001B160000}"/>
    <cellStyle name="SAPBEXHLevel2X 5" xfId="1759" xr:uid="{00000000-0005-0000-0000-00001C160000}"/>
    <cellStyle name="SAPBEXHLevel2X 6" xfId="1760" xr:uid="{00000000-0005-0000-0000-00001D160000}"/>
    <cellStyle name="SAPBEXHLevel2X 6 2" xfId="5967" xr:uid="{00000000-0005-0000-0000-00001E160000}"/>
    <cellStyle name="SAPBEXHLevel2X 6_Monthly Energy Log" xfId="5968" xr:uid="{00000000-0005-0000-0000-00001F160000}"/>
    <cellStyle name="SAPBEXHLevel2X 7" xfId="1761" xr:uid="{00000000-0005-0000-0000-000020160000}"/>
    <cellStyle name="SAPBEXHLevel2X 8" xfId="1762" xr:uid="{00000000-0005-0000-0000-000021160000}"/>
    <cellStyle name="SAPBEXHLevel2X 9" xfId="1763" xr:uid="{00000000-0005-0000-0000-000022160000}"/>
    <cellStyle name="SAPBEXHLevel2X_Monthly Energy Log" xfId="5969" xr:uid="{00000000-0005-0000-0000-000023160000}"/>
    <cellStyle name="SAPBEXHLevel3" xfId="1764" xr:uid="{00000000-0005-0000-0000-000024160000}"/>
    <cellStyle name="SAPBEXHLevel3 10" xfId="1765" xr:uid="{00000000-0005-0000-0000-000025160000}"/>
    <cellStyle name="SAPBEXHLevel3 10 2" xfId="5970" xr:uid="{00000000-0005-0000-0000-000026160000}"/>
    <cellStyle name="SAPBEXHLevel3 10_Monthly Energy Log" xfId="5971" xr:uid="{00000000-0005-0000-0000-000027160000}"/>
    <cellStyle name="SAPBEXHLevel3 11" xfId="1766" xr:uid="{00000000-0005-0000-0000-000028160000}"/>
    <cellStyle name="SAPBEXHLevel3 11 2" xfId="5972" xr:uid="{00000000-0005-0000-0000-000029160000}"/>
    <cellStyle name="SAPBEXHLevel3 11_Monthly Energy Log" xfId="5973" xr:uid="{00000000-0005-0000-0000-00002A160000}"/>
    <cellStyle name="SAPBEXHLevel3 12" xfId="1767" xr:uid="{00000000-0005-0000-0000-00002B160000}"/>
    <cellStyle name="SAPBEXHLevel3 12 2" xfId="5974" xr:uid="{00000000-0005-0000-0000-00002C160000}"/>
    <cellStyle name="SAPBEXHLevel3 12_Monthly Energy Log" xfId="5975" xr:uid="{00000000-0005-0000-0000-00002D160000}"/>
    <cellStyle name="SAPBEXHLevel3 13" xfId="1768" xr:uid="{00000000-0005-0000-0000-00002E160000}"/>
    <cellStyle name="SAPBEXHLevel3 13 2" xfId="5976" xr:uid="{00000000-0005-0000-0000-00002F160000}"/>
    <cellStyle name="SAPBEXHLevel3 13_Monthly Energy Log" xfId="5977" xr:uid="{00000000-0005-0000-0000-000030160000}"/>
    <cellStyle name="SAPBEXHLevel3 14" xfId="1769" xr:uid="{00000000-0005-0000-0000-000031160000}"/>
    <cellStyle name="SAPBEXHLevel3 14 2" xfId="5978" xr:uid="{00000000-0005-0000-0000-000032160000}"/>
    <cellStyle name="SAPBEXHLevel3 14_Monthly Energy Log" xfId="5979" xr:uid="{00000000-0005-0000-0000-000033160000}"/>
    <cellStyle name="SAPBEXHLevel3 15" xfId="1770" xr:uid="{00000000-0005-0000-0000-000034160000}"/>
    <cellStyle name="SAPBEXHLevel3 15 2" xfId="5980" xr:uid="{00000000-0005-0000-0000-000035160000}"/>
    <cellStyle name="SAPBEXHLevel3 15_Monthly Energy Log" xfId="5981" xr:uid="{00000000-0005-0000-0000-000036160000}"/>
    <cellStyle name="SAPBEXHLevel3 16" xfId="1771" xr:uid="{00000000-0005-0000-0000-000037160000}"/>
    <cellStyle name="SAPBEXHLevel3 16 2" xfId="5982" xr:uid="{00000000-0005-0000-0000-000038160000}"/>
    <cellStyle name="SAPBEXHLevel3 16_Monthly Energy Log" xfId="5983" xr:uid="{00000000-0005-0000-0000-000039160000}"/>
    <cellStyle name="SAPBEXHLevel3 17" xfId="1772" xr:uid="{00000000-0005-0000-0000-00003A160000}"/>
    <cellStyle name="SAPBEXHLevel3 17 2" xfId="5984" xr:uid="{00000000-0005-0000-0000-00003B160000}"/>
    <cellStyle name="SAPBEXHLevel3 17_Monthly Energy Log" xfId="5985" xr:uid="{00000000-0005-0000-0000-00003C160000}"/>
    <cellStyle name="SAPBEXHLevel3 18" xfId="1773" xr:uid="{00000000-0005-0000-0000-00003D160000}"/>
    <cellStyle name="SAPBEXHLevel3 18 2" xfId="5986" xr:uid="{00000000-0005-0000-0000-00003E160000}"/>
    <cellStyle name="SAPBEXHLevel3 18_Monthly Energy Log" xfId="5987" xr:uid="{00000000-0005-0000-0000-00003F160000}"/>
    <cellStyle name="SAPBEXHLevel3 19" xfId="5988" xr:uid="{00000000-0005-0000-0000-000040160000}"/>
    <cellStyle name="SAPBEXHLevel3 2" xfId="1774" xr:uid="{00000000-0005-0000-0000-000041160000}"/>
    <cellStyle name="SAPBEXHLevel3 2 2" xfId="1775" xr:uid="{00000000-0005-0000-0000-000042160000}"/>
    <cellStyle name="SAPBEXHLevel3 2 2 2" xfId="5989" xr:uid="{00000000-0005-0000-0000-000043160000}"/>
    <cellStyle name="SAPBEXHLevel3 2 2_Monthly Energy Log" xfId="5990" xr:uid="{00000000-0005-0000-0000-000044160000}"/>
    <cellStyle name="SAPBEXHLevel3 2 3" xfId="5991" xr:uid="{00000000-0005-0000-0000-000045160000}"/>
    <cellStyle name="SAPBEXHLevel3 2_BP ME Calc." xfId="5992" xr:uid="{00000000-0005-0000-0000-000046160000}"/>
    <cellStyle name="SAPBEXHLevel3 3" xfId="1776" xr:uid="{00000000-0005-0000-0000-000047160000}"/>
    <cellStyle name="SAPBEXHLevel3 3 2" xfId="5993" xr:uid="{00000000-0005-0000-0000-000048160000}"/>
    <cellStyle name="SAPBEXHLevel3 3_Monthly Energy Log" xfId="5994" xr:uid="{00000000-0005-0000-0000-000049160000}"/>
    <cellStyle name="SAPBEXHLevel3 4" xfId="1777" xr:uid="{00000000-0005-0000-0000-00004A160000}"/>
    <cellStyle name="SAPBEXHLevel3 4 2" xfId="5995" xr:uid="{00000000-0005-0000-0000-00004B160000}"/>
    <cellStyle name="SAPBEXHLevel3 4_Monthly Energy Log" xfId="5996" xr:uid="{00000000-0005-0000-0000-00004C160000}"/>
    <cellStyle name="SAPBEXHLevel3 5" xfId="1778" xr:uid="{00000000-0005-0000-0000-00004D160000}"/>
    <cellStyle name="SAPBEXHLevel3 5 2" xfId="5997" xr:uid="{00000000-0005-0000-0000-00004E160000}"/>
    <cellStyle name="SAPBEXHLevel3 5_Monthly Energy Log" xfId="5998" xr:uid="{00000000-0005-0000-0000-00004F160000}"/>
    <cellStyle name="SAPBEXHLevel3 6" xfId="1779" xr:uid="{00000000-0005-0000-0000-000050160000}"/>
    <cellStyle name="SAPBEXHLevel3 6 2" xfId="5999" xr:uid="{00000000-0005-0000-0000-000051160000}"/>
    <cellStyle name="SAPBEXHLevel3 6_Monthly Energy Log" xfId="6000" xr:uid="{00000000-0005-0000-0000-000052160000}"/>
    <cellStyle name="SAPBEXHLevel3 7" xfId="1780" xr:uid="{00000000-0005-0000-0000-000053160000}"/>
    <cellStyle name="SAPBEXHLevel3 7 2" xfId="6001" xr:uid="{00000000-0005-0000-0000-000054160000}"/>
    <cellStyle name="SAPBEXHLevel3 7_Monthly Energy Log" xfId="6002" xr:uid="{00000000-0005-0000-0000-000055160000}"/>
    <cellStyle name="SAPBEXHLevel3 8" xfId="1781" xr:uid="{00000000-0005-0000-0000-000056160000}"/>
    <cellStyle name="SAPBEXHLevel3 8 2" xfId="6003" xr:uid="{00000000-0005-0000-0000-000057160000}"/>
    <cellStyle name="SAPBEXHLevel3 8_Monthly Energy Log" xfId="6004" xr:uid="{00000000-0005-0000-0000-000058160000}"/>
    <cellStyle name="SAPBEXHLevel3 9" xfId="1782" xr:uid="{00000000-0005-0000-0000-000059160000}"/>
    <cellStyle name="SAPBEXHLevel3 9 2" xfId="6005" xr:uid="{00000000-0005-0000-0000-00005A160000}"/>
    <cellStyle name="SAPBEXHLevel3 9_Monthly Energy Log" xfId="6006" xr:uid="{00000000-0005-0000-0000-00005B160000}"/>
    <cellStyle name="SAPBEXHLevel3_BP ME Calc." xfId="6007" xr:uid="{00000000-0005-0000-0000-00005C160000}"/>
    <cellStyle name="SAPBEXHLevel3X" xfId="1783" xr:uid="{00000000-0005-0000-0000-00005D160000}"/>
    <cellStyle name="SAPBEXHLevel3X 10" xfId="1784" xr:uid="{00000000-0005-0000-0000-00005E160000}"/>
    <cellStyle name="SAPBEXHLevel3X 11" xfId="1785" xr:uid="{00000000-0005-0000-0000-00005F160000}"/>
    <cellStyle name="SAPBEXHLevel3X 12" xfId="1786" xr:uid="{00000000-0005-0000-0000-000060160000}"/>
    <cellStyle name="SAPBEXHLevel3X 13" xfId="1787" xr:uid="{00000000-0005-0000-0000-000061160000}"/>
    <cellStyle name="SAPBEXHLevel3X 14" xfId="1788" xr:uid="{00000000-0005-0000-0000-000062160000}"/>
    <cellStyle name="SAPBEXHLevel3X 15" xfId="1789" xr:uid="{00000000-0005-0000-0000-000063160000}"/>
    <cellStyle name="SAPBEXHLevel3X 16" xfId="1790" xr:uid="{00000000-0005-0000-0000-000064160000}"/>
    <cellStyle name="SAPBEXHLevel3X 17" xfId="1791" xr:uid="{00000000-0005-0000-0000-000065160000}"/>
    <cellStyle name="SAPBEXHLevel3X 18" xfId="1792" xr:uid="{00000000-0005-0000-0000-000066160000}"/>
    <cellStyle name="SAPBEXHLevel3X 19" xfId="1793" xr:uid="{00000000-0005-0000-0000-000067160000}"/>
    <cellStyle name="SAPBEXHLevel3X 2" xfId="1794" xr:uid="{00000000-0005-0000-0000-000068160000}"/>
    <cellStyle name="SAPBEXHLevel3X 20" xfId="1795" xr:uid="{00000000-0005-0000-0000-000069160000}"/>
    <cellStyle name="SAPBEXHLevel3X 3" xfId="1796" xr:uid="{00000000-0005-0000-0000-00006A160000}"/>
    <cellStyle name="SAPBEXHLevel3X 4" xfId="1797" xr:uid="{00000000-0005-0000-0000-00006B160000}"/>
    <cellStyle name="SAPBEXHLevel3X 4 2" xfId="1798" xr:uid="{00000000-0005-0000-0000-00006C160000}"/>
    <cellStyle name="SAPBEXHLevel3X 4 2 2" xfId="6008" xr:uid="{00000000-0005-0000-0000-00006D160000}"/>
    <cellStyle name="SAPBEXHLevel3X 4 2_Monthly Energy Log" xfId="6009" xr:uid="{00000000-0005-0000-0000-00006E160000}"/>
    <cellStyle name="SAPBEXHLevel3X 4 3" xfId="6010" xr:uid="{00000000-0005-0000-0000-00006F160000}"/>
    <cellStyle name="SAPBEXHLevel3X 4_BP ME Calc." xfId="6011" xr:uid="{00000000-0005-0000-0000-000070160000}"/>
    <cellStyle name="SAPBEXHLevel3X 5" xfId="1799" xr:uid="{00000000-0005-0000-0000-000071160000}"/>
    <cellStyle name="SAPBEXHLevel3X 6" xfId="1800" xr:uid="{00000000-0005-0000-0000-000072160000}"/>
    <cellStyle name="SAPBEXHLevel3X 6 2" xfId="6012" xr:uid="{00000000-0005-0000-0000-000073160000}"/>
    <cellStyle name="SAPBEXHLevel3X 6_Monthly Energy Log" xfId="6013" xr:uid="{00000000-0005-0000-0000-000074160000}"/>
    <cellStyle name="SAPBEXHLevel3X 7" xfId="1801" xr:uid="{00000000-0005-0000-0000-000075160000}"/>
    <cellStyle name="SAPBEXHLevel3X 8" xfId="1802" xr:uid="{00000000-0005-0000-0000-000076160000}"/>
    <cellStyle name="SAPBEXHLevel3X 9" xfId="1803" xr:uid="{00000000-0005-0000-0000-000077160000}"/>
    <cellStyle name="SAPBEXHLevel3X_Monthly Energy Log" xfId="6014" xr:uid="{00000000-0005-0000-0000-000078160000}"/>
    <cellStyle name="SAPBEXinputData" xfId="1804" xr:uid="{00000000-0005-0000-0000-000079160000}"/>
    <cellStyle name="SAPBEXinputData 10" xfId="1805" xr:uid="{00000000-0005-0000-0000-00007A160000}"/>
    <cellStyle name="SAPBEXinputData 11" xfId="1806" xr:uid="{00000000-0005-0000-0000-00007B160000}"/>
    <cellStyle name="SAPBEXinputData 12" xfId="1807" xr:uid="{00000000-0005-0000-0000-00007C160000}"/>
    <cellStyle name="SAPBEXinputData 13" xfId="1808" xr:uid="{00000000-0005-0000-0000-00007D160000}"/>
    <cellStyle name="SAPBEXinputData 14" xfId="1809" xr:uid="{00000000-0005-0000-0000-00007E160000}"/>
    <cellStyle name="SAPBEXinputData 15" xfId="1810" xr:uid="{00000000-0005-0000-0000-00007F160000}"/>
    <cellStyle name="SAPBEXinputData 16" xfId="1811" xr:uid="{00000000-0005-0000-0000-000080160000}"/>
    <cellStyle name="SAPBEXinputData 17" xfId="1812" xr:uid="{00000000-0005-0000-0000-000081160000}"/>
    <cellStyle name="SAPBEXinputData 18" xfId="1813" xr:uid="{00000000-0005-0000-0000-000082160000}"/>
    <cellStyle name="SAPBEXinputData 19" xfId="1814" xr:uid="{00000000-0005-0000-0000-000083160000}"/>
    <cellStyle name="SAPBEXinputData 2" xfId="1815" xr:uid="{00000000-0005-0000-0000-000084160000}"/>
    <cellStyle name="SAPBEXinputData 20" xfId="1816" xr:uid="{00000000-0005-0000-0000-000085160000}"/>
    <cellStyle name="SAPBEXinputData 3" xfId="1817" xr:uid="{00000000-0005-0000-0000-000086160000}"/>
    <cellStyle name="SAPBEXinputData 4" xfId="1818" xr:uid="{00000000-0005-0000-0000-000087160000}"/>
    <cellStyle name="SAPBEXinputData 4 2" xfId="1819" xr:uid="{00000000-0005-0000-0000-000088160000}"/>
    <cellStyle name="SAPBEXinputData 4 2 2" xfId="6015" xr:uid="{00000000-0005-0000-0000-000089160000}"/>
    <cellStyle name="SAPBEXinputData 4 2_Monthly Energy Log" xfId="6016" xr:uid="{00000000-0005-0000-0000-00008A160000}"/>
    <cellStyle name="SAPBEXinputData 4 3" xfId="6017" xr:uid="{00000000-0005-0000-0000-00008B160000}"/>
    <cellStyle name="SAPBEXinputData 4_BP ME Calc." xfId="6018" xr:uid="{00000000-0005-0000-0000-00008C160000}"/>
    <cellStyle name="SAPBEXinputData 5" xfId="1820" xr:uid="{00000000-0005-0000-0000-00008D160000}"/>
    <cellStyle name="SAPBEXinputData 6" xfId="1821" xr:uid="{00000000-0005-0000-0000-00008E160000}"/>
    <cellStyle name="SAPBEXinputData 6 2" xfId="6019" xr:uid="{00000000-0005-0000-0000-00008F160000}"/>
    <cellStyle name="SAPBEXinputData 6_Monthly Energy Log" xfId="6020" xr:uid="{00000000-0005-0000-0000-000090160000}"/>
    <cellStyle name="SAPBEXinputData 7" xfId="1822" xr:uid="{00000000-0005-0000-0000-000091160000}"/>
    <cellStyle name="SAPBEXinputData 8" xfId="1823" xr:uid="{00000000-0005-0000-0000-000092160000}"/>
    <cellStyle name="SAPBEXinputData 9" xfId="1824" xr:uid="{00000000-0005-0000-0000-000093160000}"/>
    <cellStyle name="SAPBEXinputData_Monthly Energy Log" xfId="6021" xr:uid="{00000000-0005-0000-0000-000094160000}"/>
    <cellStyle name="SAPBEXItemHeader" xfId="1825" xr:uid="{00000000-0005-0000-0000-000095160000}"/>
    <cellStyle name="SAPBEXresData" xfId="1826" xr:uid="{00000000-0005-0000-0000-000096160000}"/>
    <cellStyle name="SAPBEXresDataEmph" xfId="1827" xr:uid="{00000000-0005-0000-0000-000097160000}"/>
    <cellStyle name="SAPBEXresDataEmph 10" xfId="1828" xr:uid="{00000000-0005-0000-0000-000098160000}"/>
    <cellStyle name="SAPBEXresDataEmph 11" xfId="1829" xr:uid="{00000000-0005-0000-0000-000099160000}"/>
    <cellStyle name="SAPBEXresDataEmph 12" xfId="1830" xr:uid="{00000000-0005-0000-0000-00009A160000}"/>
    <cellStyle name="SAPBEXresDataEmph 13" xfId="1831" xr:uid="{00000000-0005-0000-0000-00009B160000}"/>
    <cellStyle name="SAPBEXresDataEmph 14" xfId="1832" xr:uid="{00000000-0005-0000-0000-00009C160000}"/>
    <cellStyle name="SAPBEXresDataEmph 15" xfId="1833" xr:uid="{00000000-0005-0000-0000-00009D160000}"/>
    <cellStyle name="SAPBEXresDataEmph 16" xfId="1834" xr:uid="{00000000-0005-0000-0000-00009E160000}"/>
    <cellStyle name="SAPBEXresDataEmph 17" xfId="1835" xr:uid="{00000000-0005-0000-0000-00009F160000}"/>
    <cellStyle name="SAPBEXresDataEmph 18" xfId="1836" xr:uid="{00000000-0005-0000-0000-0000A0160000}"/>
    <cellStyle name="SAPBEXresDataEmph 19" xfId="1837" xr:uid="{00000000-0005-0000-0000-0000A1160000}"/>
    <cellStyle name="SAPBEXresDataEmph 2" xfId="1838" xr:uid="{00000000-0005-0000-0000-0000A2160000}"/>
    <cellStyle name="SAPBEXresDataEmph 2 2" xfId="1839" xr:uid="{00000000-0005-0000-0000-0000A3160000}"/>
    <cellStyle name="SAPBEXresDataEmph 2 2 2" xfId="6022" xr:uid="{00000000-0005-0000-0000-0000A4160000}"/>
    <cellStyle name="SAPBEXresDataEmph 2 2_Monthly Energy Log" xfId="6023" xr:uid="{00000000-0005-0000-0000-0000A5160000}"/>
    <cellStyle name="SAPBEXresDataEmph 2_Monthly Energy Log" xfId="6024" xr:uid="{00000000-0005-0000-0000-0000A6160000}"/>
    <cellStyle name="SAPBEXresDataEmph 3" xfId="1840" xr:uid="{00000000-0005-0000-0000-0000A7160000}"/>
    <cellStyle name="SAPBEXresDataEmph 3 2" xfId="1841" xr:uid="{00000000-0005-0000-0000-0000A8160000}"/>
    <cellStyle name="SAPBEXresDataEmph 3 2 2" xfId="6025" xr:uid="{00000000-0005-0000-0000-0000A9160000}"/>
    <cellStyle name="SAPBEXresDataEmph 3 2_Monthly Energy Log" xfId="6026" xr:uid="{00000000-0005-0000-0000-0000AA160000}"/>
    <cellStyle name="SAPBEXresDataEmph 3 3" xfId="6027" xr:uid="{00000000-0005-0000-0000-0000AB160000}"/>
    <cellStyle name="SAPBEXresDataEmph 3_BP ME Calc." xfId="6028" xr:uid="{00000000-0005-0000-0000-0000AC160000}"/>
    <cellStyle name="SAPBEXresDataEmph 4" xfId="1842" xr:uid="{00000000-0005-0000-0000-0000AD160000}"/>
    <cellStyle name="SAPBEXresDataEmph 5" xfId="1843" xr:uid="{00000000-0005-0000-0000-0000AE160000}"/>
    <cellStyle name="SAPBEXresDataEmph 5 2" xfId="6029" xr:uid="{00000000-0005-0000-0000-0000AF160000}"/>
    <cellStyle name="SAPBEXresDataEmph 5_Monthly Energy Log" xfId="6030" xr:uid="{00000000-0005-0000-0000-0000B0160000}"/>
    <cellStyle name="SAPBEXresDataEmph 6" xfId="1844" xr:uid="{00000000-0005-0000-0000-0000B1160000}"/>
    <cellStyle name="SAPBEXresDataEmph 7" xfId="1845" xr:uid="{00000000-0005-0000-0000-0000B2160000}"/>
    <cellStyle name="SAPBEXresDataEmph 8" xfId="1846" xr:uid="{00000000-0005-0000-0000-0000B3160000}"/>
    <cellStyle name="SAPBEXresDataEmph 9" xfId="1847" xr:uid="{00000000-0005-0000-0000-0000B4160000}"/>
    <cellStyle name="SAPBEXresDataEmph_Monthly Energy Log" xfId="6031" xr:uid="{00000000-0005-0000-0000-0000B5160000}"/>
    <cellStyle name="SAPBEXresItem" xfId="1848" xr:uid="{00000000-0005-0000-0000-0000B6160000}"/>
    <cellStyle name="SAPBEXresItemX" xfId="1849" xr:uid="{00000000-0005-0000-0000-0000B7160000}"/>
    <cellStyle name="SAPBEXstdData" xfId="1850" xr:uid="{00000000-0005-0000-0000-0000B8160000}"/>
    <cellStyle name="SAPBEXstdData 10" xfId="1851" xr:uid="{00000000-0005-0000-0000-0000B9160000}"/>
    <cellStyle name="SAPBEXstdData 10 2" xfId="6032" xr:uid="{00000000-0005-0000-0000-0000BA160000}"/>
    <cellStyle name="SAPBEXstdData 10_Monthly Energy Log" xfId="6033" xr:uid="{00000000-0005-0000-0000-0000BB160000}"/>
    <cellStyle name="SAPBEXstdData 11" xfId="1852" xr:uid="{00000000-0005-0000-0000-0000BC160000}"/>
    <cellStyle name="SAPBEXstdData 11 2" xfId="6034" xr:uid="{00000000-0005-0000-0000-0000BD160000}"/>
    <cellStyle name="SAPBEXstdData 11_Monthly Energy Log" xfId="6035" xr:uid="{00000000-0005-0000-0000-0000BE160000}"/>
    <cellStyle name="SAPBEXstdData 12" xfId="1853" xr:uid="{00000000-0005-0000-0000-0000BF160000}"/>
    <cellStyle name="SAPBEXstdData 12 2" xfId="6036" xr:uid="{00000000-0005-0000-0000-0000C0160000}"/>
    <cellStyle name="SAPBEXstdData 12_Monthly Energy Log" xfId="6037" xr:uid="{00000000-0005-0000-0000-0000C1160000}"/>
    <cellStyle name="SAPBEXstdData 13" xfId="1854" xr:uid="{00000000-0005-0000-0000-0000C2160000}"/>
    <cellStyle name="SAPBEXstdData 13 2" xfId="6038" xr:uid="{00000000-0005-0000-0000-0000C3160000}"/>
    <cellStyle name="SAPBEXstdData 13_Monthly Energy Log" xfId="6039" xr:uid="{00000000-0005-0000-0000-0000C4160000}"/>
    <cellStyle name="SAPBEXstdData 14" xfId="1855" xr:uid="{00000000-0005-0000-0000-0000C5160000}"/>
    <cellStyle name="SAPBEXstdData 14 2" xfId="6040" xr:uid="{00000000-0005-0000-0000-0000C6160000}"/>
    <cellStyle name="SAPBEXstdData 14_Monthly Energy Log" xfId="6041" xr:uid="{00000000-0005-0000-0000-0000C7160000}"/>
    <cellStyle name="SAPBEXstdData 15" xfId="1856" xr:uid="{00000000-0005-0000-0000-0000C8160000}"/>
    <cellStyle name="SAPBEXstdData 15 2" xfId="6042" xr:uid="{00000000-0005-0000-0000-0000C9160000}"/>
    <cellStyle name="SAPBEXstdData 15_Monthly Energy Log" xfId="6043" xr:uid="{00000000-0005-0000-0000-0000CA160000}"/>
    <cellStyle name="SAPBEXstdData 16" xfId="1857" xr:uid="{00000000-0005-0000-0000-0000CB160000}"/>
    <cellStyle name="SAPBEXstdData 16 2" xfId="6044" xr:uid="{00000000-0005-0000-0000-0000CC160000}"/>
    <cellStyle name="SAPBEXstdData 16_Monthly Energy Log" xfId="6045" xr:uid="{00000000-0005-0000-0000-0000CD160000}"/>
    <cellStyle name="SAPBEXstdData 17" xfId="1858" xr:uid="{00000000-0005-0000-0000-0000CE160000}"/>
    <cellStyle name="SAPBEXstdData 17 2" xfId="6046" xr:uid="{00000000-0005-0000-0000-0000CF160000}"/>
    <cellStyle name="SAPBEXstdData 17_Monthly Energy Log" xfId="6047" xr:uid="{00000000-0005-0000-0000-0000D0160000}"/>
    <cellStyle name="SAPBEXstdData 18" xfId="1859" xr:uid="{00000000-0005-0000-0000-0000D1160000}"/>
    <cellStyle name="SAPBEXstdData 18 2" xfId="6048" xr:uid="{00000000-0005-0000-0000-0000D2160000}"/>
    <cellStyle name="SAPBEXstdData 18_Monthly Energy Log" xfId="6049" xr:uid="{00000000-0005-0000-0000-0000D3160000}"/>
    <cellStyle name="SAPBEXstdData 19" xfId="6050" xr:uid="{00000000-0005-0000-0000-0000D4160000}"/>
    <cellStyle name="SAPBEXstdData 2" xfId="1860" xr:uid="{00000000-0005-0000-0000-0000D5160000}"/>
    <cellStyle name="SAPBEXstdData 2 2" xfId="1861" xr:uid="{00000000-0005-0000-0000-0000D6160000}"/>
    <cellStyle name="SAPBEXstdData 2 2 2" xfId="6051" xr:uid="{00000000-0005-0000-0000-0000D7160000}"/>
    <cellStyle name="SAPBEXstdData 2 2_Monthly Energy Log" xfId="6052" xr:uid="{00000000-0005-0000-0000-0000D8160000}"/>
    <cellStyle name="SAPBEXstdData 2 3" xfId="6053" xr:uid="{00000000-0005-0000-0000-0000D9160000}"/>
    <cellStyle name="SAPBEXstdData 2_BP ME Calc." xfId="6054" xr:uid="{00000000-0005-0000-0000-0000DA160000}"/>
    <cellStyle name="SAPBEXstdData 3" xfId="1862" xr:uid="{00000000-0005-0000-0000-0000DB160000}"/>
    <cellStyle name="SAPBEXstdData 3 2" xfId="6055" xr:uid="{00000000-0005-0000-0000-0000DC160000}"/>
    <cellStyle name="SAPBEXstdData 3_Monthly Energy Log" xfId="6056" xr:uid="{00000000-0005-0000-0000-0000DD160000}"/>
    <cellStyle name="SAPBEXstdData 4" xfId="1863" xr:uid="{00000000-0005-0000-0000-0000DE160000}"/>
    <cellStyle name="SAPBEXstdData 4 2" xfId="6057" xr:uid="{00000000-0005-0000-0000-0000DF160000}"/>
    <cellStyle name="SAPBEXstdData 4_Monthly Energy Log" xfId="6058" xr:uid="{00000000-0005-0000-0000-0000E0160000}"/>
    <cellStyle name="SAPBEXstdData 5" xfId="1864" xr:uid="{00000000-0005-0000-0000-0000E1160000}"/>
    <cellStyle name="SAPBEXstdData 5 2" xfId="6059" xr:uid="{00000000-0005-0000-0000-0000E2160000}"/>
    <cellStyle name="SAPBEXstdData 5_Monthly Energy Log" xfId="6060" xr:uid="{00000000-0005-0000-0000-0000E3160000}"/>
    <cellStyle name="SAPBEXstdData 6" xfId="1865" xr:uid="{00000000-0005-0000-0000-0000E4160000}"/>
    <cellStyle name="SAPBEXstdData 6 2" xfId="6061" xr:uid="{00000000-0005-0000-0000-0000E5160000}"/>
    <cellStyle name="SAPBEXstdData 6_Monthly Energy Log" xfId="6062" xr:uid="{00000000-0005-0000-0000-0000E6160000}"/>
    <cellStyle name="SAPBEXstdData 7" xfId="1866" xr:uid="{00000000-0005-0000-0000-0000E7160000}"/>
    <cellStyle name="SAPBEXstdData 7 2" xfId="6063" xr:uid="{00000000-0005-0000-0000-0000E8160000}"/>
    <cellStyle name="SAPBEXstdData 7_Monthly Energy Log" xfId="6064" xr:uid="{00000000-0005-0000-0000-0000E9160000}"/>
    <cellStyle name="SAPBEXstdData 8" xfId="1867" xr:uid="{00000000-0005-0000-0000-0000EA160000}"/>
    <cellStyle name="SAPBEXstdData 8 2" xfId="6065" xr:uid="{00000000-0005-0000-0000-0000EB160000}"/>
    <cellStyle name="SAPBEXstdData 8_Monthly Energy Log" xfId="6066" xr:uid="{00000000-0005-0000-0000-0000EC160000}"/>
    <cellStyle name="SAPBEXstdData 9" xfId="1868" xr:uid="{00000000-0005-0000-0000-0000ED160000}"/>
    <cellStyle name="SAPBEXstdData 9 2" xfId="6067" xr:uid="{00000000-0005-0000-0000-0000EE160000}"/>
    <cellStyle name="SAPBEXstdData 9_Monthly Energy Log" xfId="6068" xr:uid="{00000000-0005-0000-0000-0000EF160000}"/>
    <cellStyle name="SAPBEXstdData_BP ME Calc." xfId="6069" xr:uid="{00000000-0005-0000-0000-0000F0160000}"/>
    <cellStyle name="SAPBEXstdDataEmph" xfId="1869" xr:uid="{00000000-0005-0000-0000-0000F1160000}"/>
    <cellStyle name="SAPBEXstdDataEmph 10" xfId="1870" xr:uid="{00000000-0005-0000-0000-0000F2160000}"/>
    <cellStyle name="SAPBEXstdDataEmph 11" xfId="1871" xr:uid="{00000000-0005-0000-0000-0000F3160000}"/>
    <cellStyle name="SAPBEXstdDataEmph 12" xfId="1872" xr:uid="{00000000-0005-0000-0000-0000F4160000}"/>
    <cellStyle name="SAPBEXstdDataEmph 13" xfId="1873" xr:uid="{00000000-0005-0000-0000-0000F5160000}"/>
    <cellStyle name="SAPBEXstdDataEmph 14" xfId="1874" xr:uid="{00000000-0005-0000-0000-0000F6160000}"/>
    <cellStyle name="SAPBEXstdDataEmph 15" xfId="1875" xr:uid="{00000000-0005-0000-0000-0000F7160000}"/>
    <cellStyle name="SAPBEXstdDataEmph 16" xfId="1876" xr:uid="{00000000-0005-0000-0000-0000F8160000}"/>
    <cellStyle name="SAPBEXstdDataEmph 17" xfId="1877" xr:uid="{00000000-0005-0000-0000-0000F9160000}"/>
    <cellStyle name="SAPBEXstdDataEmph 18" xfId="1878" xr:uid="{00000000-0005-0000-0000-0000FA160000}"/>
    <cellStyle name="SAPBEXstdDataEmph 2" xfId="1879" xr:uid="{00000000-0005-0000-0000-0000FB160000}"/>
    <cellStyle name="SAPBEXstdDataEmph 3" xfId="1880" xr:uid="{00000000-0005-0000-0000-0000FC160000}"/>
    <cellStyle name="SAPBEXstdDataEmph 4" xfId="1881" xr:uid="{00000000-0005-0000-0000-0000FD160000}"/>
    <cellStyle name="SAPBEXstdDataEmph 5" xfId="1882" xr:uid="{00000000-0005-0000-0000-0000FE160000}"/>
    <cellStyle name="SAPBEXstdDataEmph 6" xfId="1883" xr:uid="{00000000-0005-0000-0000-0000FF160000}"/>
    <cellStyle name="SAPBEXstdDataEmph 7" xfId="1884" xr:uid="{00000000-0005-0000-0000-000000170000}"/>
    <cellStyle name="SAPBEXstdDataEmph 8" xfId="1885" xr:uid="{00000000-0005-0000-0000-000001170000}"/>
    <cellStyle name="SAPBEXstdDataEmph 9" xfId="1886" xr:uid="{00000000-0005-0000-0000-000002170000}"/>
    <cellStyle name="SAPBEXstdDataEmph_Monthly Energy Log" xfId="6070" xr:uid="{00000000-0005-0000-0000-000003170000}"/>
    <cellStyle name="SAPBEXstdItem" xfId="1887" xr:uid="{00000000-0005-0000-0000-000004170000}"/>
    <cellStyle name="SAPBEXstdItem 10" xfId="1888" xr:uid="{00000000-0005-0000-0000-000005170000}"/>
    <cellStyle name="SAPBEXstdItem 10 2" xfId="6071" xr:uid="{00000000-0005-0000-0000-000006170000}"/>
    <cellStyle name="SAPBEXstdItem 10_Monthly Energy Log" xfId="6072" xr:uid="{00000000-0005-0000-0000-000007170000}"/>
    <cellStyle name="SAPBEXstdItem 11" xfId="1889" xr:uid="{00000000-0005-0000-0000-000008170000}"/>
    <cellStyle name="SAPBEXstdItem 11 2" xfId="6073" xr:uid="{00000000-0005-0000-0000-000009170000}"/>
    <cellStyle name="SAPBEXstdItem 11_Monthly Energy Log" xfId="6074" xr:uid="{00000000-0005-0000-0000-00000A170000}"/>
    <cellStyle name="SAPBEXstdItem 12" xfId="1890" xr:uid="{00000000-0005-0000-0000-00000B170000}"/>
    <cellStyle name="SAPBEXstdItem 12 2" xfId="6075" xr:uid="{00000000-0005-0000-0000-00000C170000}"/>
    <cellStyle name="SAPBEXstdItem 12_Monthly Energy Log" xfId="6076" xr:uid="{00000000-0005-0000-0000-00000D170000}"/>
    <cellStyle name="SAPBEXstdItem 13" xfId="1891" xr:uid="{00000000-0005-0000-0000-00000E170000}"/>
    <cellStyle name="SAPBEXstdItem 13 2" xfId="6077" xr:uid="{00000000-0005-0000-0000-00000F170000}"/>
    <cellStyle name="SAPBEXstdItem 13_Monthly Energy Log" xfId="6078" xr:uid="{00000000-0005-0000-0000-000010170000}"/>
    <cellStyle name="SAPBEXstdItem 14" xfId="1892" xr:uid="{00000000-0005-0000-0000-000011170000}"/>
    <cellStyle name="SAPBEXstdItem 14 2" xfId="6079" xr:uid="{00000000-0005-0000-0000-000012170000}"/>
    <cellStyle name="SAPBEXstdItem 14_Monthly Energy Log" xfId="6080" xr:uid="{00000000-0005-0000-0000-000013170000}"/>
    <cellStyle name="SAPBEXstdItem 15" xfId="1893" xr:uid="{00000000-0005-0000-0000-000014170000}"/>
    <cellStyle name="SAPBEXstdItem 15 2" xfId="6081" xr:uid="{00000000-0005-0000-0000-000015170000}"/>
    <cellStyle name="SAPBEXstdItem 15_Monthly Energy Log" xfId="6082" xr:uid="{00000000-0005-0000-0000-000016170000}"/>
    <cellStyle name="SAPBEXstdItem 16" xfId="1894" xr:uid="{00000000-0005-0000-0000-000017170000}"/>
    <cellStyle name="SAPBEXstdItem 16 2" xfId="6083" xr:uid="{00000000-0005-0000-0000-000018170000}"/>
    <cellStyle name="SAPBEXstdItem 16_Monthly Energy Log" xfId="6084" xr:uid="{00000000-0005-0000-0000-000019170000}"/>
    <cellStyle name="SAPBEXstdItem 17" xfId="1895" xr:uid="{00000000-0005-0000-0000-00001A170000}"/>
    <cellStyle name="SAPBEXstdItem 17 2" xfId="6085" xr:uid="{00000000-0005-0000-0000-00001B170000}"/>
    <cellStyle name="SAPBEXstdItem 17_Monthly Energy Log" xfId="6086" xr:uid="{00000000-0005-0000-0000-00001C170000}"/>
    <cellStyle name="SAPBEXstdItem 18" xfId="1896" xr:uid="{00000000-0005-0000-0000-00001D170000}"/>
    <cellStyle name="SAPBEXstdItem 18 2" xfId="6087" xr:uid="{00000000-0005-0000-0000-00001E170000}"/>
    <cellStyle name="SAPBEXstdItem 18_Monthly Energy Log" xfId="6088" xr:uid="{00000000-0005-0000-0000-00001F170000}"/>
    <cellStyle name="SAPBEXstdItem 19" xfId="6089" xr:uid="{00000000-0005-0000-0000-000020170000}"/>
    <cellStyle name="SAPBEXstdItem 2" xfId="1897" xr:uid="{00000000-0005-0000-0000-000021170000}"/>
    <cellStyle name="SAPBEXstdItem 2 2" xfId="1898" xr:uid="{00000000-0005-0000-0000-000022170000}"/>
    <cellStyle name="SAPBEXstdItem 2 2 2" xfId="6090" xr:uid="{00000000-0005-0000-0000-000023170000}"/>
    <cellStyle name="SAPBEXstdItem 2 2_Monthly Energy Log" xfId="6091" xr:uid="{00000000-0005-0000-0000-000024170000}"/>
    <cellStyle name="SAPBEXstdItem 2 3" xfId="6092" xr:uid="{00000000-0005-0000-0000-000025170000}"/>
    <cellStyle name="SAPBEXstdItem 2_BP ME Calc." xfId="6093" xr:uid="{00000000-0005-0000-0000-000026170000}"/>
    <cellStyle name="SAPBEXstdItem 3" xfId="1899" xr:uid="{00000000-0005-0000-0000-000027170000}"/>
    <cellStyle name="SAPBEXstdItem 3 2" xfId="6094" xr:uid="{00000000-0005-0000-0000-000028170000}"/>
    <cellStyle name="SAPBEXstdItem 3_Monthly Energy Log" xfId="6095" xr:uid="{00000000-0005-0000-0000-000029170000}"/>
    <cellStyle name="SAPBEXstdItem 4" xfId="1900" xr:uid="{00000000-0005-0000-0000-00002A170000}"/>
    <cellStyle name="SAPBEXstdItem 4 2" xfId="6096" xr:uid="{00000000-0005-0000-0000-00002B170000}"/>
    <cellStyle name="SAPBEXstdItem 4_Monthly Energy Log" xfId="6097" xr:uid="{00000000-0005-0000-0000-00002C170000}"/>
    <cellStyle name="SAPBEXstdItem 5" xfId="1901" xr:uid="{00000000-0005-0000-0000-00002D170000}"/>
    <cellStyle name="SAPBEXstdItem 5 2" xfId="6098" xr:uid="{00000000-0005-0000-0000-00002E170000}"/>
    <cellStyle name="SAPBEXstdItem 5_Monthly Energy Log" xfId="6099" xr:uid="{00000000-0005-0000-0000-00002F170000}"/>
    <cellStyle name="SAPBEXstdItem 6" xfId="1902" xr:uid="{00000000-0005-0000-0000-000030170000}"/>
    <cellStyle name="SAPBEXstdItem 6 2" xfId="6100" xr:uid="{00000000-0005-0000-0000-000031170000}"/>
    <cellStyle name="SAPBEXstdItem 6_Monthly Energy Log" xfId="6101" xr:uid="{00000000-0005-0000-0000-000032170000}"/>
    <cellStyle name="SAPBEXstdItem 7" xfId="1903" xr:uid="{00000000-0005-0000-0000-000033170000}"/>
    <cellStyle name="SAPBEXstdItem 7 2" xfId="6102" xr:uid="{00000000-0005-0000-0000-000034170000}"/>
    <cellStyle name="SAPBEXstdItem 7_Monthly Energy Log" xfId="6103" xr:uid="{00000000-0005-0000-0000-000035170000}"/>
    <cellStyle name="SAPBEXstdItem 8" xfId="1904" xr:uid="{00000000-0005-0000-0000-000036170000}"/>
    <cellStyle name="SAPBEXstdItem 8 2" xfId="6104" xr:uid="{00000000-0005-0000-0000-000037170000}"/>
    <cellStyle name="SAPBEXstdItem 8_Monthly Energy Log" xfId="6105" xr:uid="{00000000-0005-0000-0000-000038170000}"/>
    <cellStyle name="SAPBEXstdItem 9" xfId="1905" xr:uid="{00000000-0005-0000-0000-000039170000}"/>
    <cellStyle name="SAPBEXstdItem 9 2" xfId="6106" xr:uid="{00000000-0005-0000-0000-00003A170000}"/>
    <cellStyle name="SAPBEXstdItem 9_Monthly Energy Log" xfId="6107" xr:uid="{00000000-0005-0000-0000-00003B170000}"/>
    <cellStyle name="SAPBEXstdItem_BP ME Calc." xfId="6108" xr:uid="{00000000-0005-0000-0000-00003C170000}"/>
    <cellStyle name="SAPBEXstdItemX" xfId="1906" xr:uid="{00000000-0005-0000-0000-00003D170000}"/>
    <cellStyle name="SAPBEXtitle" xfId="1907" xr:uid="{00000000-0005-0000-0000-00003E170000}"/>
    <cellStyle name="SAPBEXtitle 10" xfId="1908" xr:uid="{00000000-0005-0000-0000-00003F170000}"/>
    <cellStyle name="SAPBEXtitle 11" xfId="1909" xr:uid="{00000000-0005-0000-0000-000040170000}"/>
    <cellStyle name="SAPBEXtitle 12" xfId="1910" xr:uid="{00000000-0005-0000-0000-000041170000}"/>
    <cellStyle name="SAPBEXtitle 13" xfId="1911" xr:uid="{00000000-0005-0000-0000-000042170000}"/>
    <cellStyle name="SAPBEXtitle 14" xfId="1912" xr:uid="{00000000-0005-0000-0000-000043170000}"/>
    <cellStyle name="SAPBEXtitle 15" xfId="1913" xr:uid="{00000000-0005-0000-0000-000044170000}"/>
    <cellStyle name="SAPBEXtitle 16" xfId="1914" xr:uid="{00000000-0005-0000-0000-000045170000}"/>
    <cellStyle name="SAPBEXtitle 17" xfId="1915" xr:uid="{00000000-0005-0000-0000-000046170000}"/>
    <cellStyle name="SAPBEXtitle 18" xfId="1916" xr:uid="{00000000-0005-0000-0000-000047170000}"/>
    <cellStyle name="SAPBEXtitle 2" xfId="1917" xr:uid="{00000000-0005-0000-0000-000048170000}"/>
    <cellStyle name="SAPBEXtitle 3" xfId="1918" xr:uid="{00000000-0005-0000-0000-000049170000}"/>
    <cellStyle name="SAPBEXtitle 4" xfId="1919" xr:uid="{00000000-0005-0000-0000-00004A170000}"/>
    <cellStyle name="SAPBEXtitle 5" xfId="1920" xr:uid="{00000000-0005-0000-0000-00004B170000}"/>
    <cellStyle name="SAPBEXtitle 6" xfId="1921" xr:uid="{00000000-0005-0000-0000-00004C170000}"/>
    <cellStyle name="SAPBEXtitle 7" xfId="1922" xr:uid="{00000000-0005-0000-0000-00004D170000}"/>
    <cellStyle name="SAPBEXtitle 8" xfId="1923" xr:uid="{00000000-0005-0000-0000-00004E170000}"/>
    <cellStyle name="SAPBEXtitle 9" xfId="1924" xr:uid="{00000000-0005-0000-0000-00004F170000}"/>
    <cellStyle name="SAPBEXtitle_Monthly Energy Log" xfId="6109" xr:uid="{00000000-0005-0000-0000-000050170000}"/>
    <cellStyle name="SAPBEXunassignedItem" xfId="1925" xr:uid="{00000000-0005-0000-0000-000051170000}"/>
    <cellStyle name="SAPBEXunassignedItem 10" xfId="1926" xr:uid="{00000000-0005-0000-0000-000052170000}"/>
    <cellStyle name="SAPBEXunassignedItem 10 2" xfId="6110" xr:uid="{00000000-0005-0000-0000-000053170000}"/>
    <cellStyle name="SAPBEXunassignedItem 10_Monthly Energy Log" xfId="6111" xr:uid="{00000000-0005-0000-0000-000054170000}"/>
    <cellStyle name="SAPBEXunassignedItem 11" xfId="1927" xr:uid="{00000000-0005-0000-0000-000055170000}"/>
    <cellStyle name="SAPBEXunassignedItem 11 2" xfId="6112" xr:uid="{00000000-0005-0000-0000-000056170000}"/>
    <cellStyle name="SAPBEXunassignedItem 11_Monthly Energy Log" xfId="6113" xr:uid="{00000000-0005-0000-0000-000057170000}"/>
    <cellStyle name="SAPBEXunassignedItem 12" xfId="1928" xr:uid="{00000000-0005-0000-0000-000058170000}"/>
    <cellStyle name="SAPBEXunassignedItem 12 2" xfId="6114" xr:uid="{00000000-0005-0000-0000-000059170000}"/>
    <cellStyle name="SAPBEXunassignedItem 12_Monthly Energy Log" xfId="6115" xr:uid="{00000000-0005-0000-0000-00005A170000}"/>
    <cellStyle name="SAPBEXunassignedItem 13" xfId="1929" xr:uid="{00000000-0005-0000-0000-00005B170000}"/>
    <cellStyle name="SAPBEXunassignedItem 13 2" xfId="6116" xr:uid="{00000000-0005-0000-0000-00005C170000}"/>
    <cellStyle name="SAPBEXunassignedItem 13_Monthly Energy Log" xfId="6117" xr:uid="{00000000-0005-0000-0000-00005D170000}"/>
    <cellStyle name="SAPBEXunassignedItem 14" xfId="1930" xr:uid="{00000000-0005-0000-0000-00005E170000}"/>
    <cellStyle name="SAPBEXunassignedItem 14 2" xfId="6118" xr:uid="{00000000-0005-0000-0000-00005F170000}"/>
    <cellStyle name="SAPBEXunassignedItem 14_Monthly Energy Log" xfId="6119" xr:uid="{00000000-0005-0000-0000-000060170000}"/>
    <cellStyle name="SAPBEXunassignedItem 15" xfId="1931" xr:uid="{00000000-0005-0000-0000-000061170000}"/>
    <cellStyle name="SAPBEXunassignedItem 15 2" xfId="6120" xr:uid="{00000000-0005-0000-0000-000062170000}"/>
    <cellStyle name="SAPBEXunassignedItem 15_Monthly Energy Log" xfId="6121" xr:uid="{00000000-0005-0000-0000-000063170000}"/>
    <cellStyle name="SAPBEXunassignedItem 16" xfId="1932" xr:uid="{00000000-0005-0000-0000-000064170000}"/>
    <cellStyle name="SAPBEXunassignedItem 16 2" xfId="6122" xr:uid="{00000000-0005-0000-0000-000065170000}"/>
    <cellStyle name="SAPBEXunassignedItem 16_Monthly Energy Log" xfId="6123" xr:uid="{00000000-0005-0000-0000-000066170000}"/>
    <cellStyle name="SAPBEXunassignedItem 17" xfId="1933" xr:uid="{00000000-0005-0000-0000-000067170000}"/>
    <cellStyle name="SAPBEXunassignedItem 17 2" xfId="6124" xr:uid="{00000000-0005-0000-0000-000068170000}"/>
    <cellStyle name="SAPBEXunassignedItem 17_Monthly Energy Log" xfId="6125" xr:uid="{00000000-0005-0000-0000-000069170000}"/>
    <cellStyle name="SAPBEXunassignedItem 18" xfId="1934" xr:uid="{00000000-0005-0000-0000-00006A170000}"/>
    <cellStyle name="SAPBEXunassignedItem 18 2" xfId="6126" xr:uid="{00000000-0005-0000-0000-00006B170000}"/>
    <cellStyle name="SAPBEXunassignedItem 18_Monthly Energy Log" xfId="6127" xr:uid="{00000000-0005-0000-0000-00006C170000}"/>
    <cellStyle name="SAPBEXunassignedItem 19" xfId="1935" xr:uid="{00000000-0005-0000-0000-00006D170000}"/>
    <cellStyle name="SAPBEXunassignedItem 19 2" xfId="6128" xr:uid="{00000000-0005-0000-0000-00006E170000}"/>
    <cellStyle name="SAPBEXunassignedItem 19_Monthly Energy Log" xfId="6129" xr:uid="{00000000-0005-0000-0000-00006F170000}"/>
    <cellStyle name="SAPBEXunassignedItem 2" xfId="1936" xr:uid="{00000000-0005-0000-0000-000070170000}"/>
    <cellStyle name="SAPBEXunassignedItem 2 2" xfId="1937" xr:uid="{00000000-0005-0000-0000-000071170000}"/>
    <cellStyle name="SAPBEXunassignedItem 2 2 2" xfId="6130" xr:uid="{00000000-0005-0000-0000-000072170000}"/>
    <cellStyle name="SAPBEXunassignedItem 2 2_Monthly Energy Log" xfId="6131" xr:uid="{00000000-0005-0000-0000-000073170000}"/>
    <cellStyle name="SAPBEXunassignedItem 2 3" xfId="6132" xr:uid="{00000000-0005-0000-0000-000074170000}"/>
    <cellStyle name="SAPBEXunassignedItem 2_BP ME Calc." xfId="6133" xr:uid="{00000000-0005-0000-0000-000075170000}"/>
    <cellStyle name="SAPBEXunassignedItem 20" xfId="6134" xr:uid="{00000000-0005-0000-0000-000076170000}"/>
    <cellStyle name="SAPBEXunassignedItem 3" xfId="1938" xr:uid="{00000000-0005-0000-0000-000077170000}"/>
    <cellStyle name="SAPBEXunassignedItem 3 2" xfId="1939" xr:uid="{00000000-0005-0000-0000-000078170000}"/>
    <cellStyle name="SAPBEXunassignedItem 3 2 2" xfId="6135" xr:uid="{00000000-0005-0000-0000-000079170000}"/>
    <cellStyle name="SAPBEXunassignedItem 3 2_Monthly Energy Log" xfId="6136" xr:uid="{00000000-0005-0000-0000-00007A170000}"/>
    <cellStyle name="SAPBEXunassignedItem 3 3" xfId="6137" xr:uid="{00000000-0005-0000-0000-00007B170000}"/>
    <cellStyle name="SAPBEXunassignedItem 3_BP ME Calc." xfId="6138" xr:uid="{00000000-0005-0000-0000-00007C170000}"/>
    <cellStyle name="SAPBEXunassignedItem 4" xfId="1940" xr:uid="{00000000-0005-0000-0000-00007D170000}"/>
    <cellStyle name="SAPBEXunassignedItem 4 2" xfId="6139" xr:uid="{00000000-0005-0000-0000-00007E170000}"/>
    <cellStyle name="SAPBEXunassignedItem 4_Monthly Energy Log" xfId="6140" xr:uid="{00000000-0005-0000-0000-00007F170000}"/>
    <cellStyle name="SAPBEXunassignedItem 5" xfId="1941" xr:uid="{00000000-0005-0000-0000-000080170000}"/>
    <cellStyle name="SAPBEXunassignedItem 5 2" xfId="6141" xr:uid="{00000000-0005-0000-0000-000081170000}"/>
    <cellStyle name="SAPBEXunassignedItem 5_Monthly Energy Log" xfId="6142" xr:uid="{00000000-0005-0000-0000-000082170000}"/>
    <cellStyle name="SAPBEXunassignedItem 6" xfId="1942" xr:uid="{00000000-0005-0000-0000-000083170000}"/>
    <cellStyle name="SAPBEXunassignedItem 6 2" xfId="6143" xr:uid="{00000000-0005-0000-0000-000084170000}"/>
    <cellStyle name="SAPBEXunassignedItem 6_Monthly Energy Log" xfId="6144" xr:uid="{00000000-0005-0000-0000-000085170000}"/>
    <cellStyle name="SAPBEXunassignedItem 7" xfId="1943" xr:uid="{00000000-0005-0000-0000-000086170000}"/>
    <cellStyle name="SAPBEXunassignedItem 7 2" xfId="6145" xr:uid="{00000000-0005-0000-0000-000087170000}"/>
    <cellStyle name="SAPBEXunassignedItem 7_Monthly Energy Log" xfId="6146" xr:uid="{00000000-0005-0000-0000-000088170000}"/>
    <cellStyle name="SAPBEXunassignedItem 8" xfId="1944" xr:uid="{00000000-0005-0000-0000-000089170000}"/>
    <cellStyle name="SAPBEXunassignedItem 8 2" xfId="6147" xr:uid="{00000000-0005-0000-0000-00008A170000}"/>
    <cellStyle name="SAPBEXunassignedItem 8_Monthly Energy Log" xfId="6148" xr:uid="{00000000-0005-0000-0000-00008B170000}"/>
    <cellStyle name="SAPBEXunassignedItem 9" xfId="1945" xr:uid="{00000000-0005-0000-0000-00008C170000}"/>
    <cellStyle name="SAPBEXunassignedItem 9 2" xfId="6149" xr:uid="{00000000-0005-0000-0000-00008D170000}"/>
    <cellStyle name="SAPBEXunassignedItem 9_Monthly Energy Log" xfId="6150" xr:uid="{00000000-0005-0000-0000-00008E170000}"/>
    <cellStyle name="SAPBEXunassignedItem_BP ME Calc." xfId="6151" xr:uid="{00000000-0005-0000-0000-00008F170000}"/>
    <cellStyle name="SAPBEXundefined" xfId="1946" xr:uid="{00000000-0005-0000-0000-000090170000}"/>
    <cellStyle name="SAPBEXundefined 10" xfId="1947" xr:uid="{00000000-0005-0000-0000-000091170000}"/>
    <cellStyle name="SAPBEXundefined 11" xfId="1948" xr:uid="{00000000-0005-0000-0000-000092170000}"/>
    <cellStyle name="SAPBEXundefined 12" xfId="1949" xr:uid="{00000000-0005-0000-0000-000093170000}"/>
    <cellStyle name="SAPBEXundefined 13" xfId="1950" xr:uid="{00000000-0005-0000-0000-000094170000}"/>
    <cellStyle name="SAPBEXundefined 14" xfId="1951" xr:uid="{00000000-0005-0000-0000-000095170000}"/>
    <cellStyle name="SAPBEXundefined 15" xfId="1952" xr:uid="{00000000-0005-0000-0000-000096170000}"/>
    <cellStyle name="SAPBEXundefined 16" xfId="1953" xr:uid="{00000000-0005-0000-0000-000097170000}"/>
    <cellStyle name="SAPBEXundefined 17" xfId="1954" xr:uid="{00000000-0005-0000-0000-000098170000}"/>
    <cellStyle name="SAPBEXundefined 18" xfId="1955" xr:uid="{00000000-0005-0000-0000-000099170000}"/>
    <cellStyle name="SAPBEXundefined 19" xfId="1956" xr:uid="{00000000-0005-0000-0000-00009A170000}"/>
    <cellStyle name="SAPBEXundefined 2" xfId="1957" xr:uid="{00000000-0005-0000-0000-00009B170000}"/>
    <cellStyle name="SAPBEXundefined 2 2" xfId="1958" xr:uid="{00000000-0005-0000-0000-00009C170000}"/>
    <cellStyle name="SAPBEXundefined 2 2 2" xfId="6152" xr:uid="{00000000-0005-0000-0000-00009D170000}"/>
    <cellStyle name="SAPBEXundefined 2 2_Monthly Energy Log" xfId="6153" xr:uid="{00000000-0005-0000-0000-00009E170000}"/>
    <cellStyle name="SAPBEXundefined 2_Monthly Energy Log" xfId="6154" xr:uid="{00000000-0005-0000-0000-00009F170000}"/>
    <cellStyle name="SAPBEXundefined 3" xfId="1959" xr:uid="{00000000-0005-0000-0000-0000A0170000}"/>
    <cellStyle name="SAPBEXundefined 3 2" xfId="1960" xr:uid="{00000000-0005-0000-0000-0000A1170000}"/>
    <cellStyle name="SAPBEXundefined 3 2 2" xfId="6155" xr:uid="{00000000-0005-0000-0000-0000A2170000}"/>
    <cellStyle name="SAPBEXundefined 3 2_Monthly Energy Log" xfId="6156" xr:uid="{00000000-0005-0000-0000-0000A3170000}"/>
    <cellStyle name="SAPBEXundefined 3 3" xfId="6157" xr:uid="{00000000-0005-0000-0000-0000A4170000}"/>
    <cellStyle name="SAPBEXundefined 3_BP ME Calc." xfId="6158" xr:uid="{00000000-0005-0000-0000-0000A5170000}"/>
    <cellStyle name="SAPBEXundefined 4" xfId="1961" xr:uid="{00000000-0005-0000-0000-0000A6170000}"/>
    <cellStyle name="SAPBEXundefined 5" xfId="1962" xr:uid="{00000000-0005-0000-0000-0000A7170000}"/>
    <cellStyle name="SAPBEXundefined 5 2" xfId="6159" xr:uid="{00000000-0005-0000-0000-0000A8170000}"/>
    <cellStyle name="SAPBEXundefined 5_Monthly Energy Log" xfId="6160" xr:uid="{00000000-0005-0000-0000-0000A9170000}"/>
    <cellStyle name="SAPBEXundefined 6" xfId="1963" xr:uid="{00000000-0005-0000-0000-0000AA170000}"/>
    <cellStyle name="SAPBEXundefined 7" xfId="1964" xr:uid="{00000000-0005-0000-0000-0000AB170000}"/>
    <cellStyle name="SAPBEXundefined 8" xfId="1965" xr:uid="{00000000-0005-0000-0000-0000AC170000}"/>
    <cellStyle name="SAPBEXundefined 9" xfId="1966" xr:uid="{00000000-0005-0000-0000-0000AD170000}"/>
    <cellStyle name="SAPBEXundefined_Monthly Energy Log" xfId="6161" xr:uid="{00000000-0005-0000-0000-0000AE170000}"/>
    <cellStyle name="Satisfaisant" xfId="1967" xr:uid="{00000000-0005-0000-0000-0000AF170000}"/>
    <cellStyle name="Satisfaisant 2" xfId="6162" xr:uid="{00000000-0005-0000-0000-0000B0170000}"/>
    <cellStyle name="Satisfaisant_Monthly Energy Log" xfId="6163" xr:uid="{00000000-0005-0000-0000-0000B1170000}"/>
    <cellStyle name="Schlecht" xfId="68" xr:uid="{00000000-0005-0000-0000-0000B2170000}"/>
    <cellStyle name="Separador de milhares [0]_~0064074" xfId="1968" xr:uid="{00000000-0005-0000-0000-0000B3170000}"/>
    <cellStyle name="Separador de milhares_~0064074" xfId="1969" xr:uid="{00000000-0005-0000-0000-0000B4170000}"/>
    <cellStyle name="Shade" xfId="2241" xr:uid="{00000000-0005-0000-0000-0000B5170000}"/>
    <cellStyle name="Sheet Title" xfId="1970" xr:uid="{00000000-0005-0000-0000-0000B6170000}"/>
    <cellStyle name="Sortie" xfId="1971" xr:uid="{00000000-0005-0000-0000-0000B7170000}"/>
    <cellStyle name="Sortie 2" xfId="6164" xr:uid="{00000000-0005-0000-0000-0000B8170000}"/>
    <cellStyle name="Sortie_Monthly Energy Log" xfId="6165" xr:uid="{00000000-0005-0000-0000-0000B9170000}"/>
    <cellStyle name="Source" xfId="2242" xr:uid="{00000000-0005-0000-0000-0000BA170000}"/>
    <cellStyle name="Source 2" xfId="2243" xr:uid="{00000000-0005-0000-0000-0000BB170000}"/>
    <cellStyle name="Source_1_1" xfId="2244" xr:uid="{00000000-0005-0000-0000-0000BC170000}"/>
    <cellStyle name="Standaard_012 FLV3 Rocal accounts" xfId="1972" xr:uid="{00000000-0005-0000-0000-0000BD170000}"/>
    <cellStyle name="Standard 2" xfId="69" xr:uid="{00000000-0005-0000-0000-0000BE170000}"/>
    <cellStyle name="Standard 3" xfId="70" xr:uid="{00000000-0005-0000-0000-0000BF170000}"/>
    <cellStyle name="Standard 4" xfId="71" xr:uid="{00000000-0005-0000-0000-0000C0170000}"/>
    <cellStyle name="Standard_~0003509" xfId="1973" xr:uid="{00000000-0005-0000-0000-0000C1170000}"/>
    <cellStyle name="Style 1" xfId="1974" xr:uid="{00000000-0005-0000-0000-0000C3170000}"/>
    <cellStyle name="Style 1 2" xfId="2245" xr:uid="{00000000-0005-0000-0000-0000C4170000}"/>
    <cellStyle name="Style 1_tCO2 Meter Reads" xfId="6166" xr:uid="{00000000-0005-0000-0000-0000C5170000}"/>
    <cellStyle name="Table Cells" xfId="2246" xr:uid="{00000000-0005-0000-0000-0000C6170000}"/>
    <cellStyle name="Table Column Headings" xfId="2247" xr:uid="{00000000-0005-0000-0000-0000C7170000}"/>
    <cellStyle name="Table Number" xfId="2248" xr:uid="{00000000-0005-0000-0000-0000C8170000}"/>
    <cellStyle name="Table Row Headings" xfId="2249" xr:uid="{00000000-0005-0000-0000-0000C9170000}"/>
    <cellStyle name="Table Title" xfId="2250" xr:uid="{00000000-0005-0000-0000-0000CA170000}"/>
    <cellStyle name="Tabref" xfId="2251" xr:uid="{00000000-0005-0000-0000-0000CB170000}"/>
    <cellStyle name="Testo avviso" xfId="1975" xr:uid="{00000000-0005-0000-0000-0000CC170000}"/>
    <cellStyle name="Testo descrittivo" xfId="1976" xr:uid="{00000000-0005-0000-0000-0000CD170000}"/>
    <cellStyle name="Texte explicatif" xfId="1977" xr:uid="{00000000-0005-0000-0000-0000CE170000}"/>
    <cellStyle name="Texte explicatif 2" xfId="6167" xr:uid="{00000000-0005-0000-0000-0000CF170000}"/>
    <cellStyle name="Texte explicatif 3" xfId="6168" xr:uid="{00000000-0005-0000-0000-0000D0170000}"/>
    <cellStyle name="Texte explicatif 4" xfId="6169" xr:uid="{00000000-0005-0000-0000-0000D1170000}"/>
    <cellStyle name="Texte explicatif_Monthly Energy Log" xfId="6170" xr:uid="{00000000-0005-0000-0000-0000D2170000}"/>
    <cellStyle name="Texto de advertencia" xfId="1978" xr:uid="{00000000-0005-0000-0000-0000D3170000}"/>
    <cellStyle name="Texto explicativo" xfId="1979" xr:uid="{00000000-0005-0000-0000-0000D4170000}"/>
    <cellStyle name="Title" xfId="72" xr:uid="{00000000-0005-0000-0000-0000D5170000}"/>
    <cellStyle name="Title 2" xfId="2253" xr:uid="{00000000-0005-0000-0000-0000D6170000}"/>
    <cellStyle name="Title 3" xfId="2254" xr:uid="{00000000-0005-0000-0000-0000D7170000}"/>
    <cellStyle name="Title 4" xfId="111" xr:uid="{00000000-0005-0000-0000-0000D8170000}"/>
    <cellStyle name="Titolo" xfId="1980" xr:uid="{00000000-0005-0000-0000-0000D9170000}"/>
    <cellStyle name="Titolo 1" xfId="1981" xr:uid="{00000000-0005-0000-0000-0000DA170000}"/>
    <cellStyle name="Titolo 2" xfId="1982" xr:uid="{00000000-0005-0000-0000-0000DB170000}"/>
    <cellStyle name="Titolo 3" xfId="1983" xr:uid="{00000000-0005-0000-0000-0000DC170000}"/>
    <cellStyle name="Titolo 4" xfId="1984" xr:uid="{00000000-0005-0000-0000-0000DD170000}"/>
    <cellStyle name="Titolo_Monthly Energy Log" xfId="6171" xr:uid="{00000000-0005-0000-0000-0000DE170000}"/>
    <cellStyle name="Titre" xfId="1985" xr:uid="{00000000-0005-0000-0000-0000DF170000}"/>
    <cellStyle name="Titre 2" xfId="6172" xr:uid="{00000000-0005-0000-0000-0000E0170000}"/>
    <cellStyle name="Titre 3" xfId="6173" xr:uid="{00000000-0005-0000-0000-0000E1170000}"/>
    <cellStyle name="Titre 4" xfId="6174" xr:uid="{00000000-0005-0000-0000-0000E2170000}"/>
    <cellStyle name="Titre 1" xfId="1986" xr:uid="{00000000-0005-0000-0000-0000E3170000}"/>
    <cellStyle name="Titre 1 2" xfId="6175" xr:uid="{00000000-0005-0000-0000-0000E4170000}"/>
    <cellStyle name="Titre 1_Monthly Energy Log" xfId="6176" xr:uid="{00000000-0005-0000-0000-0000E5170000}"/>
    <cellStyle name="Titre 2" xfId="1987" xr:uid="{00000000-0005-0000-0000-0000E6170000}"/>
    <cellStyle name="Titre 2 2" xfId="6177" xr:uid="{00000000-0005-0000-0000-0000E7170000}"/>
    <cellStyle name="Titre 2_Monthly Energy Log" xfId="6178" xr:uid="{00000000-0005-0000-0000-0000E8170000}"/>
    <cellStyle name="Titre 3" xfId="1988" xr:uid="{00000000-0005-0000-0000-0000E9170000}"/>
    <cellStyle name="Titre 3 2" xfId="6179" xr:uid="{00000000-0005-0000-0000-0000EA170000}"/>
    <cellStyle name="Titre 3_Monthly Energy Log" xfId="6180" xr:uid="{00000000-0005-0000-0000-0000EB170000}"/>
    <cellStyle name="Titre 4" xfId="1989" xr:uid="{00000000-0005-0000-0000-0000EC170000}"/>
    <cellStyle name="Titre 4 2" xfId="6181" xr:uid="{00000000-0005-0000-0000-0000ED170000}"/>
    <cellStyle name="Titre 4_Monthly Energy Log" xfId="6182" xr:uid="{00000000-0005-0000-0000-0000EE170000}"/>
    <cellStyle name="Titre_01 - LG France" xfId="1990" xr:uid="{00000000-0005-0000-0000-0000EF170000}"/>
    <cellStyle name="Título" xfId="1991" xr:uid="{00000000-0005-0000-0000-0000F0170000}"/>
    <cellStyle name="Título 1" xfId="1992" xr:uid="{00000000-0005-0000-0000-0000F1170000}"/>
    <cellStyle name="Título 2" xfId="1993" xr:uid="{00000000-0005-0000-0000-0000F2170000}"/>
    <cellStyle name="Título 3" xfId="1994" xr:uid="{00000000-0005-0000-0000-0000F3170000}"/>
    <cellStyle name="Título_Monthly Energy Log" xfId="6183" xr:uid="{00000000-0005-0000-0000-0000F4170000}"/>
    <cellStyle name="Total" xfId="73" xr:uid="{00000000-0005-0000-0000-0000F5170000}"/>
    <cellStyle name="Total 2" xfId="1995" xr:uid="{00000000-0005-0000-0000-0000F6170000}"/>
    <cellStyle name="Total 2 2" xfId="2256" xr:uid="{00000000-0005-0000-0000-0000F7170000}"/>
    <cellStyle name="Total 2_For GOLD" xfId="6184" xr:uid="{00000000-0005-0000-0000-0000F8170000}"/>
    <cellStyle name="Total 3" xfId="2257" xr:uid="{00000000-0005-0000-0000-0000F9170000}"/>
    <cellStyle name="Total 4" xfId="2255" xr:uid="{00000000-0005-0000-0000-0000FA170000}"/>
    <cellStyle name="Total 5" xfId="112" xr:uid="{00000000-0005-0000-0000-0000FB170000}"/>
    <cellStyle name="Totale" xfId="1996" xr:uid="{00000000-0005-0000-0000-0000FC170000}"/>
    <cellStyle name="Tusental_Appendix 1-Gypsum Division Flag Report 2007" xfId="1997" xr:uid="{00000000-0005-0000-0000-0000FD170000}"/>
    <cellStyle name="Überschrift" xfId="74" xr:uid="{00000000-0005-0000-0000-0000FE170000}"/>
    <cellStyle name="Überschrift 1" xfId="75" xr:uid="{00000000-0005-0000-0000-0000FF170000}"/>
    <cellStyle name="Überschrift 2" xfId="76" xr:uid="{00000000-0005-0000-0000-000000180000}"/>
    <cellStyle name="Überschrift 3" xfId="77" xr:uid="{00000000-0005-0000-0000-000001180000}"/>
    <cellStyle name="Überschrift 4" xfId="78" xr:uid="{00000000-0005-0000-0000-000002180000}"/>
    <cellStyle name="UploadThisRowValue" xfId="1998" xr:uid="{00000000-0005-0000-0000-000003180000}"/>
    <cellStyle name="Valore non valido" xfId="1999" xr:uid="{00000000-0005-0000-0000-000004180000}"/>
    <cellStyle name="Valore valido" xfId="2000" xr:uid="{00000000-0005-0000-0000-000005180000}"/>
    <cellStyle name="Valuta (0)_07 Appendix 06a - Flag 2003 June" xfId="2001" xr:uid="{00000000-0005-0000-0000-000006180000}"/>
    <cellStyle name="Valuta [0]_=iso-8859-1QCapital_expenditure_format_V_March_2000" xfId="2002" xr:uid="{00000000-0005-0000-0000-000007180000}"/>
    <cellStyle name="Valuta_=iso-8859-1QCapital_expenditure_format_V_March_2000" xfId="2003" xr:uid="{00000000-0005-0000-0000-000008180000}"/>
    <cellStyle name="Vérification" xfId="2004" xr:uid="{00000000-0005-0000-0000-000009180000}"/>
    <cellStyle name="Vérification 2" xfId="6185" xr:uid="{00000000-0005-0000-0000-00000A180000}"/>
    <cellStyle name="Vérification_Monthly Energy Log" xfId="6186" xr:uid="{00000000-0005-0000-0000-00000B180000}"/>
    <cellStyle name="Verknüpfte Zelle" xfId="79" xr:uid="{00000000-0005-0000-0000-00000C180000}"/>
    <cellStyle name="W?hrung [0]_Appendix 04 - Manag. accounts package" xfId="2005" xr:uid="{00000000-0005-0000-0000-00000D180000}"/>
    <cellStyle name="W?hrung_Appendix 04 - Manag. accounts package" xfId="2006" xr:uid="{00000000-0005-0000-0000-00000E180000}"/>
    <cellStyle name="W?rung [0]_Appendix 04 - Manag. accounts package" xfId="2007" xr:uid="{00000000-0005-0000-0000-00000F180000}"/>
    <cellStyle name="W?rung_Appendix 04 - Manag. accounts package" xfId="2008" xr:uid="{00000000-0005-0000-0000-000010180000}"/>
    <cellStyle name="Währung [0]_012 FSE capitalportfolio Prebudget 03" xfId="2009" xr:uid="{00000000-0005-0000-0000-000011180000}"/>
    <cellStyle name="Währung_012 FSE capitalportfolio Prebudget 03" xfId="2010" xr:uid="{00000000-0005-0000-0000-000012180000}"/>
    <cellStyle name="Walutowy [0]_12" xfId="2011" xr:uid="{00000000-0005-0000-0000-000013180000}"/>
    <cellStyle name="Walutowy_12" xfId="2012" xr:uid="{00000000-0005-0000-0000-000014180000}"/>
    <cellStyle name="Warnender Text" xfId="80" xr:uid="{00000000-0005-0000-0000-000015180000}"/>
    <cellStyle name="Warning Text" xfId="81" xr:uid="{00000000-0005-0000-0000-000016180000}"/>
    <cellStyle name="Warning Text 2" xfId="2013" xr:uid="{00000000-0005-0000-0000-000017180000}"/>
    <cellStyle name="Warning Text 2 2" xfId="2259" xr:uid="{00000000-0005-0000-0000-000018180000}"/>
    <cellStyle name="Warning Text 2_For GOLD" xfId="6187" xr:uid="{00000000-0005-0000-0000-000019180000}"/>
    <cellStyle name="Warning Text 3" xfId="2260" xr:uid="{00000000-0005-0000-0000-00001A180000}"/>
    <cellStyle name="Warning Text 4" xfId="2258" xr:uid="{00000000-0005-0000-0000-00001B180000}"/>
    <cellStyle name="Warning Text 5" xfId="113" xr:uid="{00000000-0005-0000-0000-00001C180000}"/>
    <cellStyle name="Zelle überprüfen" xfId="82" xr:uid="{00000000-0005-0000-0000-00001D180000}"/>
    <cellStyle name="Βασικό_Mom per VAP type" xfId="2014" xr:uid="{00000000-0005-0000-0000-00001E180000}"/>
    <cellStyle name="Обычный_2++_CRFReport-template" xfId="2261" xr:uid="{00000000-0005-0000-0000-00001F180000}"/>
    <cellStyle name="ปกติ_SGI-Capex 0303" xfId="2015" xr:uid="{00000000-0005-0000-0000-000020180000}"/>
    <cellStyle name="뒤에 오는 하이퍼링크_KOREA-0201-FLAG" xfId="2016" xr:uid="{00000000-0005-0000-0000-000021180000}"/>
    <cellStyle name="쉼표 [0]_BC by product(Yosu)-2007.5" xfId="2017" xr:uid="{00000000-0005-0000-0000-000022180000}"/>
    <cellStyle name="콤마 [0]_Action Plan Reporting 5" xfId="2018" xr:uid="{00000000-0005-0000-0000-000023180000}"/>
    <cellStyle name="콤마_Analysis EBIT-RP2" xfId="2019" xr:uid="{00000000-0005-0000-0000-000024180000}"/>
    <cellStyle name="통화 [0]_KOREA-0201-FLAG" xfId="2020" xr:uid="{00000000-0005-0000-0000-000025180000}"/>
    <cellStyle name="통화_KOREA-0201-FLAG" xfId="2021" xr:uid="{00000000-0005-0000-0000-000026180000}"/>
    <cellStyle name="표준_Action Plan Reporting 5" xfId="2022" xr:uid="{00000000-0005-0000-0000-000027180000}"/>
    <cellStyle name="하이퍼링크_KOREA-0201-FLAG" xfId="2023" xr:uid="{00000000-0005-0000-0000-000028180000}"/>
    <cellStyle name="凯绢夯 窍捞欺傅农" xfId="2024" xr:uid="{00000000-0005-0000-0000-000029180000}"/>
    <cellStyle name="窍捞欺傅农" xfId="2025" xr:uid="{00000000-0005-0000-0000-00002A180000}"/>
    <cellStyle name="霓付 [0]_Analysis EBIT-RP2" xfId="2026" xr:uid="{00000000-0005-0000-0000-00002B180000}"/>
    <cellStyle name="霓付_Analysis EBIT-RP2" xfId="2027" xr:uid="{00000000-0005-0000-0000-00002C180000}"/>
  </cellStyles>
  <dxfs count="853">
    <dxf>
      <font>
        <b/>
        <i val="0"/>
        <color rgb="FF000099"/>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color rgb="FF000099"/>
      </font>
    </dxf>
    <dxf>
      <font>
        <b/>
        <i val="0"/>
        <color rgb="FFFF0000"/>
      </font>
    </dxf>
    <dxf>
      <font>
        <b/>
        <i val="0"/>
      </font>
    </dxf>
    <dxf>
      <font>
        <b/>
        <i val="0"/>
      </font>
    </dxf>
    <dxf>
      <font>
        <b/>
        <i val="0"/>
      </font>
    </dxf>
    <dxf>
      <font>
        <b/>
        <i val="0"/>
      </font>
    </dxf>
    <dxf>
      <font>
        <b/>
        <i val="0"/>
      </font>
    </dxf>
    <dxf>
      <font>
        <b/>
        <i val="0"/>
      </font>
    </dxf>
    <dxf>
      <font>
        <b/>
        <i val="0"/>
      </font>
    </dxf>
    <dxf>
      <font>
        <b/>
        <i val="0"/>
        <color rgb="FF000099"/>
      </font>
    </dxf>
    <dxf>
      <font>
        <b/>
        <i val="0"/>
        <color rgb="FFFF000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color rgb="FF000099"/>
      </font>
    </dxf>
    <dxf>
      <font>
        <b/>
        <i val="0"/>
        <color rgb="FFFF0000"/>
      </font>
    </dxf>
    <dxf>
      <font>
        <b/>
        <i val="0"/>
      </font>
    </dxf>
    <dxf>
      <font>
        <b/>
        <i val="0"/>
      </font>
    </dxf>
    <dxf>
      <font>
        <b/>
        <i val="0"/>
      </font>
    </dxf>
    <dxf>
      <font>
        <b/>
        <i val="0"/>
      </font>
    </dxf>
    <dxf>
      <font>
        <b/>
        <i val="0"/>
      </font>
    </dxf>
    <dxf>
      <font>
        <b/>
        <i val="0"/>
      </font>
    </dxf>
    <dxf>
      <font>
        <b/>
        <i val="0"/>
      </font>
    </dxf>
    <dxf>
      <font>
        <b/>
        <i val="0"/>
        <color rgb="FF000099"/>
      </font>
    </dxf>
    <dxf>
      <font>
        <b/>
        <i val="0"/>
        <color rgb="FFFF000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ndense val="0"/>
        <extend val="0"/>
        <color indexed="10"/>
      </font>
    </dxf>
    <dxf>
      <font>
        <condense val="0"/>
        <extend val="0"/>
        <color indexed="1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ont>
        <strike val="0"/>
      </font>
      <fill>
        <patternFill patternType="lightUp">
          <bgColor theme="0"/>
        </patternFill>
      </fill>
    </dxf>
    <dxf>
      <fill>
        <patternFill>
          <bgColor rgb="FFFF000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theme="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theme="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theme="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theme="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theme="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theme="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theme="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theme="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theme="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theme="0"/>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ill>
        <patternFill>
          <bgColor rgb="FFFFFF00"/>
        </patternFill>
      </fill>
    </dxf>
    <dxf>
      <fill>
        <patternFill patternType="solid">
          <bgColor rgb="FFFFFFCC"/>
        </patternFill>
      </fill>
    </dxf>
    <dxf>
      <fill>
        <patternFill patternType="lightUp">
          <bgColor indexed="65"/>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ont>
        <b/>
        <i val="0"/>
        <condense val="0"/>
        <extend val="0"/>
        <color indexed="10"/>
      </font>
    </dxf>
    <dxf>
      <font>
        <b/>
        <i val="0"/>
        <condense val="0"/>
        <extend val="0"/>
        <color indexed="10"/>
      </font>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fgColor indexed="64"/>
          <bgColor rgb="FFFFFFCC"/>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bgColor rgb="FFFF000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indexed="65"/>
        </patternFill>
      </fill>
    </dxf>
    <dxf>
      <fill>
        <patternFill>
          <bgColor rgb="FFFF0000"/>
        </patternFill>
      </fill>
    </dxf>
    <dxf>
      <fill>
        <patternFill patternType="lightUp">
          <bgColor indexed="65"/>
        </patternFill>
      </fill>
    </dxf>
    <dxf>
      <fill>
        <patternFill>
          <bgColor rgb="FFFFFFCC"/>
        </patternFill>
      </fill>
    </dxf>
    <dxf>
      <fill>
        <patternFill patternType="lightUp">
          <bgColor theme="0"/>
        </patternFill>
      </fill>
    </dxf>
    <dxf>
      <fill>
        <patternFill>
          <bgColor indexed="10"/>
        </patternFill>
      </fill>
    </dxf>
    <dxf>
      <fill>
        <patternFill patternType="solid">
          <bgColor rgb="FFFFFFCC"/>
        </patternFill>
      </fill>
    </dxf>
    <dxf>
      <fill>
        <patternFill patternType="lightUp">
          <bgColor indexed="65"/>
        </patternFill>
      </fill>
    </dxf>
    <dxf>
      <fill>
        <patternFill>
          <bgColor indexed="10"/>
        </patternFill>
      </fill>
    </dxf>
    <dxf>
      <fill>
        <patternFill patternType="lightUp">
          <bgColor theme="0"/>
        </patternFill>
      </fill>
    </dxf>
    <dxf>
      <fill>
        <patternFill patternType="lightUp">
          <bgColor indexed="65"/>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bgColor indexed="10"/>
        </patternFill>
      </fill>
    </dxf>
    <dxf>
      <fill>
        <patternFill>
          <bgColor rgb="FFFF0000"/>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solid">
          <bgColor rgb="FFFFFF00"/>
        </patternFill>
      </fill>
    </dxf>
    <dxf>
      <fill>
        <patternFill patternType="lightUp">
          <bgColor indexed="65"/>
        </patternFill>
      </fill>
    </dxf>
    <dxf>
      <fill>
        <patternFill>
          <bgColor rgb="FFFFFFCC"/>
        </patternFill>
      </fill>
    </dxf>
    <dxf>
      <fill>
        <patternFill>
          <bgColor rgb="FFFFFFCC"/>
        </patternFill>
      </fill>
    </dxf>
    <dxf>
      <font>
        <color rgb="FFFF0000"/>
      </font>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indexed="10"/>
        </patternFill>
      </fill>
    </dxf>
    <dxf>
      <fill>
        <patternFill patternType="lightUp">
          <fgColor indexed="64"/>
          <bgColor indexed="9"/>
        </patternFill>
      </fill>
    </dxf>
    <dxf>
      <fill>
        <patternFill>
          <bgColor rgb="FFFFFFCC"/>
        </patternFill>
      </fill>
    </dxf>
    <dxf>
      <fill>
        <patternFill patternType="lightUp">
          <bgColor indexed="65"/>
        </patternFill>
      </fill>
    </dxf>
    <dxf>
      <font>
        <color rgb="FFFF0000"/>
      </font>
    </dxf>
    <dxf>
      <fill>
        <patternFill>
          <bgColor rgb="FFFFFFCC"/>
        </patternFill>
      </fill>
    </dxf>
    <dxf>
      <fill>
        <patternFill patternType="lightUp">
          <bgColor indexed="65"/>
        </patternFill>
      </fill>
    </dxf>
    <dxf>
      <fill>
        <patternFill>
          <bgColor indexed="26"/>
        </patternFill>
      </fill>
    </dxf>
    <dxf>
      <fill>
        <patternFill patternType="lightUp">
          <bgColor indexed="65"/>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patternType="lightUp">
          <bgColor indexed="65"/>
        </patternFill>
      </fill>
    </dxf>
    <dxf>
      <fill>
        <patternFill>
          <bgColor rgb="FFFF0000"/>
        </patternFill>
      </fill>
    </dxf>
    <dxf>
      <fill>
        <patternFill>
          <bgColor indexed="10"/>
        </patternFill>
      </fill>
    </dxf>
  </dxfs>
  <tableStyles count="0" defaultTableStyle="TableStyleMedium9" defaultPivotStyle="PivotStyleLight16"/>
  <colors>
    <mruColors>
      <color rgb="FFCCFFFF"/>
      <color rgb="FFCCFFCC"/>
      <color rgb="FFC4D79B"/>
      <color rgb="FFFFFFFF"/>
      <color rgb="FFFFFFCC"/>
      <color rgb="FFFFCC99"/>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27"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0</xdr:colOff>
      <xdr:row>7</xdr:row>
      <xdr:rowOff>0</xdr:rowOff>
    </xdr:from>
    <xdr:to>
      <xdr:col>10</xdr:col>
      <xdr:colOff>434975</xdr:colOff>
      <xdr:row>7</xdr:row>
      <xdr:rowOff>1000125</xdr:rowOff>
    </xdr:to>
    <xdr:pic>
      <xdr:nvPicPr>
        <xdr:cNvPr id="2" name="Grafik 1">
          <a:extLst>
            <a:ext uri="{FF2B5EF4-FFF2-40B4-BE49-F238E27FC236}">
              <a16:creationId xmlns:a16="http://schemas.microsoft.com/office/drawing/2014/main" id="{1D58A731-8C19-4219-90C1-2A3530CAB2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8968"/>
        <a:stretch>
          <a:fillRect/>
        </a:stretch>
      </xdr:blipFill>
      <xdr:spPr bwMode="auto">
        <a:xfrm>
          <a:off x="3352800" y="390525"/>
          <a:ext cx="29781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TS\Blank%20AL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_Contents"/>
      <sheetName val="b_Guidelines &amp; conditions"/>
      <sheetName val="Confidentiality Statement"/>
      <sheetName val="c_NIMsSummary"/>
      <sheetName val="A_InstallationData"/>
      <sheetName val="B+C_SubInstallations"/>
      <sheetName val="D_Emissions"/>
      <sheetName val="E_EnergyFlows"/>
      <sheetName val="F_ProductBM"/>
      <sheetName val="G_Fall-back"/>
      <sheetName val="H_SpecialBM"/>
      <sheetName val="I_MSspecific"/>
      <sheetName val="J_Comments"/>
      <sheetName val="K_Summary"/>
      <sheetName val="EUwideConstants"/>
      <sheetName val="MSParameters"/>
      <sheetName val="Translations"/>
      <sheetName val="VersionDocumentation"/>
    </sheetNames>
    <sheetDataSet>
      <sheetData sheetId="0"/>
      <sheetData sheetId="1"/>
      <sheetData sheetId="2"/>
      <sheetData sheetId="3"/>
      <sheetData sheetId="4">
        <row r="56">
          <cell r="J56">
            <v>0</v>
          </cell>
        </row>
        <row r="65">
          <cell r="J65">
            <v>0</v>
          </cell>
        </row>
        <row r="88">
          <cell r="J88" t="str">
            <v/>
          </cell>
        </row>
        <row r="120">
          <cell r="J120">
            <v>0</v>
          </cell>
        </row>
        <row r="121">
          <cell r="J121">
            <v>0</v>
          </cell>
        </row>
        <row r="122">
          <cell r="J122">
            <v>0</v>
          </cell>
        </row>
        <row r="123">
          <cell r="J123">
            <v>0</v>
          </cell>
        </row>
        <row r="124">
          <cell r="J124">
            <v>0</v>
          </cell>
        </row>
        <row r="125">
          <cell r="J125">
            <v>0</v>
          </cell>
        </row>
        <row r="126">
          <cell r="J126">
            <v>0</v>
          </cell>
        </row>
        <row r="127">
          <cell r="J127">
            <v>0</v>
          </cell>
        </row>
        <row r="128">
          <cell r="J128">
            <v>0</v>
          </cell>
        </row>
        <row r="141">
          <cell r="J141">
            <v>0</v>
          </cell>
        </row>
        <row r="142">
          <cell r="J142">
            <v>0</v>
          </cell>
        </row>
        <row r="143">
          <cell r="J143">
            <v>0</v>
          </cell>
        </row>
        <row r="144">
          <cell r="J144">
            <v>0</v>
          </cell>
        </row>
        <row r="177">
          <cell r="J177">
            <v>0</v>
          </cell>
        </row>
        <row r="178">
          <cell r="J178">
            <v>0</v>
          </cell>
        </row>
        <row r="179">
          <cell r="J179">
            <v>0</v>
          </cell>
        </row>
        <row r="180">
          <cell r="J180">
            <v>0</v>
          </cell>
        </row>
        <row r="383">
          <cell r="F383" t="str">
            <v/>
          </cell>
          <cell r="I383" t="str">
            <v/>
          </cell>
          <cell r="K383" t="str">
            <v/>
          </cell>
          <cell r="M383" t="str">
            <v/>
          </cell>
        </row>
        <row r="384">
          <cell r="F384" t="str">
            <v/>
          </cell>
          <cell r="I384" t="str">
            <v/>
          </cell>
          <cell r="K384" t="str">
            <v/>
          </cell>
          <cell r="M384" t="str">
            <v/>
          </cell>
        </row>
        <row r="385">
          <cell r="F385" t="str">
            <v/>
          </cell>
          <cell r="I385" t="str">
            <v/>
          </cell>
          <cell r="K385" t="str">
            <v/>
          </cell>
          <cell r="M385" t="str">
            <v/>
          </cell>
        </row>
        <row r="386">
          <cell r="F386" t="str">
            <v/>
          </cell>
          <cell r="I386" t="str">
            <v/>
          </cell>
          <cell r="K386" t="str">
            <v/>
          </cell>
          <cell r="M386" t="str">
            <v/>
          </cell>
        </row>
        <row r="387">
          <cell r="F387" t="str">
            <v/>
          </cell>
          <cell r="I387" t="str">
            <v/>
          </cell>
          <cell r="K387" t="str">
            <v/>
          </cell>
          <cell r="M387" t="str">
            <v/>
          </cell>
        </row>
        <row r="388">
          <cell r="F388" t="str">
            <v/>
          </cell>
          <cell r="I388" t="str">
            <v/>
          </cell>
          <cell r="K388" t="str">
            <v/>
          </cell>
          <cell r="M388" t="str">
            <v/>
          </cell>
        </row>
        <row r="389">
          <cell r="F389" t="str">
            <v/>
          </cell>
          <cell r="I389" t="str">
            <v/>
          </cell>
          <cell r="K389" t="str">
            <v/>
          </cell>
          <cell r="M389" t="str">
            <v/>
          </cell>
        </row>
        <row r="390">
          <cell r="F390" t="str">
            <v/>
          </cell>
          <cell r="I390" t="str">
            <v/>
          </cell>
          <cell r="K390" t="str">
            <v/>
          </cell>
          <cell r="M390" t="str">
            <v/>
          </cell>
        </row>
        <row r="391">
          <cell r="F391" t="str">
            <v/>
          </cell>
          <cell r="I391" t="str">
            <v/>
          </cell>
          <cell r="K391" t="str">
            <v/>
          </cell>
          <cell r="M391" t="str">
            <v/>
          </cell>
        </row>
        <row r="392">
          <cell r="F392" t="str">
            <v/>
          </cell>
          <cell r="I392" t="str">
            <v/>
          </cell>
          <cell r="K392" t="str">
            <v/>
          </cell>
          <cell r="M392" t="str">
            <v/>
          </cell>
        </row>
        <row r="395">
          <cell r="F395" t="str">
            <v/>
          </cell>
          <cell r="H395" t="str">
            <v/>
          </cell>
          <cell r="J395" t="str">
            <v/>
          </cell>
          <cell r="M395" t="str">
            <v/>
          </cell>
        </row>
        <row r="396">
          <cell r="F396" t="str">
            <v/>
          </cell>
          <cell r="H396" t="str">
            <v/>
          </cell>
          <cell r="J396" t="str">
            <v/>
          </cell>
          <cell r="M396" t="str">
            <v/>
          </cell>
        </row>
        <row r="397">
          <cell r="F397" t="str">
            <v/>
          </cell>
          <cell r="H397" t="str">
            <v/>
          </cell>
          <cell r="J397" t="str">
            <v/>
          </cell>
          <cell r="M397" t="str">
            <v/>
          </cell>
        </row>
        <row r="398">
          <cell r="F398" t="str">
            <v/>
          </cell>
          <cell r="H398" t="str">
            <v/>
          </cell>
          <cell r="J398" t="str">
            <v/>
          </cell>
          <cell r="M398" t="str">
            <v/>
          </cell>
        </row>
        <row r="399">
          <cell r="F399" t="str">
            <v/>
          </cell>
          <cell r="H399" t="str">
            <v/>
          </cell>
          <cell r="J399" t="str">
            <v/>
          </cell>
          <cell r="M399" t="str">
            <v/>
          </cell>
        </row>
        <row r="400">
          <cell r="F400" t="str">
            <v/>
          </cell>
          <cell r="H400" t="str">
            <v/>
          </cell>
          <cell r="J400" t="str">
            <v/>
          </cell>
          <cell r="M400" t="str">
            <v/>
          </cell>
        </row>
        <row r="401">
          <cell r="F401" t="str">
            <v/>
          </cell>
          <cell r="H401" t="str">
            <v/>
          </cell>
          <cell r="J401" t="str">
            <v/>
          </cell>
          <cell r="M401" t="str">
            <v/>
          </cell>
        </row>
        <row r="402">
          <cell r="F402" t="str">
            <v/>
          </cell>
          <cell r="H402" t="str">
            <v/>
          </cell>
          <cell r="J402" t="str">
            <v/>
          </cell>
          <cell r="M402" t="str">
            <v/>
          </cell>
        </row>
        <row r="403">
          <cell r="F403" t="str">
            <v/>
          </cell>
          <cell r="H403" t="str">
            <v/>
          </cell>
          <cell r="J403" t="str">
            <v/>
          </cell>
          <cell r="M403" t="str">
            <v/>
          </cell>
        </row>
        <row r="404">
          <cell r="F404" t="str">
            <v/>
          </cell>
          <cell r="H404" t="str">
            <v/>
          </cell>
          <cell r="J404" t="str">
            <v/>
          </cell>
          <cell r="M404" t="str">
            <v/>
          </cell>
        </row>
      </sheetData>
      <sheetData sheetId="5">
        <row r="131">
          <cell r="E131" t="str">
            <v/>
          </cell>
          <cell r="I131" t="str">
            <v/>
          </cell>
          <cell r="J131" t="str">
            <v/>
          </cell>
          <cell r="K131" t="str">
            <v/>
          </cell>
          <cell r="L131" t="str">
            <v/>
          </cell>
          <cell r="M131" t="str">
            <v/>
          </cell>
          <cell r="N131" t="str">
            <v/>
          </cell>
        </row>
        <row r="132">
          <cell r="E132" t="str">
            <v/>
          </cell>
          <cell r="I132" t="str">
            <v/>
          </cell>
          <cell r="J132" t="str">
            <v/>
          </cell>
          <cell r="K132" t="str">
            <v/>
          </cell>
          <cell r="L132" t="str">
            <v/>
          </cell>
          <cell r="M132" t="str">
            <v/>
          </cell>
          <cell r="N132" t="str">
            <v/>
          </cell>
        </row>
        <row r="133">
          <cell r="E133" t="str">
            <v/>
          </cell>
          <cell r="I133" t="str">
            <v/>
          </cell>
          <cell r="J133" t="str">
            <v/>
          </cell>
          <cell r="K133" t="str">
            <v/>
          </cell>
          <cell r="L133" t="str">
            <v/>
          </cell>
          <cell r="M133" t="str">
            <v/>
          </cell>
          <cell r="N133" t="str">
            <v/>
          </cell>
        </row>
        <row r="134">
          <cell r="E134" t="str">
            <v/>
          </cell>
          <cell r="I134" t="str">
            <v/>
          </cell>
          <cell r="J134" t="str">
            <v/>
          </cell>
          <cell r="K134" t="str">
            <v/>
          </cell>
          <cell r="L134" t="str">
            <v/>
          </cell>
          <cell r="M134" t="str">
            <v/>
          </cell>
          <cell r="N134" t="str">
            <v/>
          </cell>
        </row>
        <row r="135">
          <cell r="E135" t="str">
            <v/>
          </cell>
          <cell r="I135" t="str">
            <v/>
          </cell>
          <cell r="J135" t="str">
            <v/>
          </cell>
          <cell r="K135" t="str">
            <v/>
          </cell>
          <cell r="L135" t="str">
            <v/>
          </cell>
          <cell r="M135" t="str">
            <v/>
          </cell>
          <cell r="N135" t="str">
            <v/>
          </cell>
        </row>
        <row r="136">
          <cell r="E136" t="str">
            <v/>
          </cell>
          <cell r="I136" t="str">
            <v/>
          </cell>
          <cell r="J136" t="str">
            <v/>
          </cell>
          <cell r="K136" t="str">
            <v/>
          </cell>
          <cell r="L136" t="str">
            <v/>
          </cell>
          <cell r="M136" t="str">
            <v/>
          </cell>
          <cell r="N136" t="str">
            <v/>
          </cell>
        </row>
        <row r="137">
          <cell r="E137" t="str">
            <v/>
          </cell>
          <cell r="I137" t="str">
            <v/>
          </cell>
          <cell r="J137" t="str">
            <v/>
          </cell>
          <cell r="K137" t="str">
            <v/>
          </cell>
          <cell r="L137" t="str">
            <v/>
          </cell>
          <cell r="M137" t="str">
            <v/>
          </cell>
          <cell r="N137" t="str">
            <v/>
          </cell>
        </row>
        <row r="138">
          <cell r="E138" t="str">
            <v/>
          </cell>
          <cell r="I138" t="str">
            <v/>
          </cell>
          <cell r="J138" t="str">
            <v/>
          </cell>
          <cell r="K138" t="str">
            <v/>
          </cell>
          <cell r="L138" t="str">
            <v/>
          </cell>
          <cell r="M138" t="str">
            <v/>
          </cell>
          <cell r="N138" t="str">
            <v/>
          </cell>
        </row>
        <row r="139">
          <cell r="E139" t="str">
            <v/>
          </cell>
          <cell r="I139" t="str">
            <v/>
          </cell>
          <cell r="J139" t="str">
            <v/>
          </cell>
          <cell r="K139" t="str">
            <v/>
          </cell>
          <cell r="L139" t="str">
            <v/>
          </cell>
          <cell r="M139" t="str">
            <v/>
          </cell>
          <cell r="N139" t="str">
            <v/>
          </cell>
        </row>
        <row r="140">
          <cell r="E140" t="str">
            <v/>
          </cell>
          <cell r="I140" t="str">
            <v/>
          </cell>
          <cell r="J140" t="str">
            <v/>
          </cell>
          <cell r="K140" t="str">
            <v/>
          </cell>
          <cell r="L140" t="str">
            <v/>
          </cell>
          <cell r="M140" t="str">
            <v/>
          </cell>
          <cell r="N140" t="str">
            <v/>
          </cell>
        </row>
        <row r="141">
          <cell r="I141" t="str">
            <v/>
          </cell>
        </row>
        <row r="142">
          <cell r="I142" t="str">
            <v/>
          </cell>
        </row>
        <row r="143">
          <cell r="I143" t="str">
            <v/>
          </cell>
        </row>
        <row r="144">
          <cell r="I144" t="str">
            <v/>
          </cell>
        </row>
        <row r="145">
          <cell r="I145" t="str">
            <v/>
          </cell>
        </row>
        <row r="146">
          <cell r="I146" t="str">
            <v/>
          </cell>
        </row>
        <row r="147">
          <cell r="I147" t="str">
            <v/>
          </cell>
        </row>
      </sheetData>
      <sheetData sheetId="6"/>
      <sheetData sheetId="7">
        <row r="18">
          <cell r="I18"/>
        </row>
        <row r="35">
          <cell r="G35" t="str">
            <v>% or TJ / year</v>
          </cell>
          <cell r="H35"/>
          <cell r="I35"/>
          <cell r="J35"/>
          <cell r="K35"/>
          <cell r="L35"/>
          <cell r="M35"/>
          <cell r="N35"/>
        </row>
        <row r="36">
          <cell r="G36" t="str">
            <v>% or TJ / year</v>
          </cell>
          <cell r="H36"/>
          <cell r="I36"/>
          <cell r="J36"/>
          <cell r="K36"/>
          <cell r="L36"/>
          <cell r="M36"/>
          <cell r="N36"/>
        </row>
        <row r="37">
          <cell r="G37" t="str">
            <v>% or TJ / year</v>
          </cell>
          <cell r="H37"/>
          <cell r="I37"/>
          <cell r="J37"/>
          <cell r="K37"/>
          <cell r="L37"/>
          <cell r="M37"/>
          <cell r="N37"/>
        </row>
        <row r="38">
          <cell r="G38" t="str">
            <v>% or TJ / year</v>
          </cell>
          <cell r="H38"/>
          <cell r="I38"/>
          <cell r="J38"/>
          <cell r="K38"/>
          <cell r="L38"/>
          <cell r="M38"/>
          <cell r="N38"/>
        </row>
        <row r="39">
          <cell r="G39" t="str">
            <v>% or TJ / year</v>
          </cell>
          <cell r="H39"/>
          <cell r="I39"/>
          <cell r="J39"/>
          <cell r="K39"/>
          <cell r="L39"/>
          <cell r="M39"/>
          <cell r="N39"/>
        </row>
        <row r="230">
          <cell r="I230"/>
        </row>
        <row r="240">
          <cell r="G240" t="str">
            <v>% or TJ / year</v>
          </cell>
          <cell r="H240"/>
          <cell r="I240"/>
          <cell r="J240"/>
          <cell r="K240"/>
          <cell r="L240"/>
          <cell r="M240"/>
          <cell r="N240"/>
        </row>
        <row r="241">
          <cell r="G241" t="str">
            <v>% or TJ / year</v>
          </cell>
          <cell r="H241"/>
          <cell r="I241"/>
          <cell r="J241"/>
          <cell r="K241"/>
          <cell r="L241"/>
          <cell r="M241"/>
          <cell r="N241"/>
        </row>
        <row r="242">
          <cell r="G242" t="str">
            <v>% or TJ / year</v>
          </cell>
          <cell r="H242"/>
          <cell r="I242"/>
          <cell r="J242"/>
          <cell r="K242"/>
          <cell r="L242"/>
          <cell r="M242"/>
          <cell r="N242"/>
        </row>
      </sheetData>
      <sheetData sheetId="8">
        <row r="13">
          <cell r="I13" t="str">
            <v/>
          </cell>
        </row>
        <row r="21">
          <cell r="E21" t="str">
            <v/>
          </cell>
          <cell r="G21" t="str">
            <v>tonnes</v>
          </cell>
          <cell r="H21"/>
          <cell r="I21"/>
          <cell r="J21"/>
          <cell r="K21"/>
          <cell r="L21"/>
          <cell r="M21"/>
          <cell r="N21"/>
        </row>
        <row r="22">
          <cell r="E22" t="str">
            <v>From sheet "H_SpecialBM":</v>
          </cell>
          <cell r="G22" t="str">
            <v>tonnes</v>
          </cell>
          <cell r="H22" t="str">
            <v/>
          </cell>
          <cell r="I22" t="str">
            <v/>
          </cell>
          <cell r="J22" t="str">
            <v/>
          </cell>
          <cell r="K22" t="str">
            <v/>
          </cell>
          <cell r="L22" t="str">
            <v/>
          </cell>
          <cell r="M22" t="str">
            <v/>
          </cell>
          <cell r="N22" t="str">
            <v/>
          </cell>
        </row>
        <row r="23">
          <cell r="E23" t="str">
            <v>Values used for calculation:</v>
          </cell>
          <cell r="G23" t="str">
            <v>tonnes</v>
          </cell>
          <cell r="H23" t="str">
            <v/>
          </cell>
          <cell r="I23" t="str">
            <v/>
          </cell>
          <cell r="J23" t="str">
            <v/>
          </cell>
          <cell r="K23" t="str">
            <v/>
          </cell>
          <cell r="L23" t="str">
            <v/>
          </cell>
          <cell r="M23" t="str">
            <v/>
          </cell>
          <cell r="N23"/>
        </row>
        <row r="35">
          <cell r="H35" t="str">
            <v>tonnes</v>
          </cell>
          <cell r="I35" t="str">
            <v/>
          </cell>
          <cell r="J35" t="str">
            <v/>
          </cell>
          <cell r="K35" t="str">
            <v/>
          </cell>
          <cell r="L35" t="str">
            <v/>
          </cell>
          <cell r="M35" t="str">
            <v/>
          </cell>
          <cell r="N35" t="str">
            <v/>
          </cell>
        </row>
        <row r="36">
          <cell r="J36" t="str">
            <v/>
          </cell>
          <cell r="K36" t="str">
            <v/>
          </cell>
          <cell r="L36" t="str">
            <v/>
          </cell>
          <cell r="M36" t="str">
            <v/>
          </cell>
          <cell r="N36" t="str">
            <v/>
          </cell>
        </row>
        <row r="37">
          <cell r="J37" t="str">
            <v/>
          </cell>
          <cell r="K37" t="str">
            <v/>
          </cell>
          <cell r="L37" t="str">
            <v/>
          </cell>
          <cell r="M37" t="str">
            <v/>
          </cell>
          <cell r="N37" t="str">
            <v/>
          </cell>
        </row>
        <row r="38">
          <cell r="H38" t="str">
            <v>tonnes</v>
          </cell>
          <cell r="I38" t="str">
            <v/>
          </cell>
          <cell r="J38" t="str">
            <v/>
          </cell>
          <cell r="K38" t="str">
            <v/>
          </cell>
          <cell r="L38" t="str">
            <v/>
          </cell>
          <cell r="M38" t="str">
            <v/>
          </cell>
          <cell r="N38" t="str">
            <v/>
          </cell>
        </row>
        <row r="41">
          <cell r="J41" t="str">
            <v/>
          </cell>
          <cell r="K41" t="str">
            <v/>
          </cell>
          <cell r="L41" t="str">
            <v/>
          </cell>
          <cell r="M41" t="str">
            <v/>
          </cell>
          <cell r="N41" t="str">
            <v/>
          </cell>
        </row>
        <row r="43">
          <cell r="J43" t="str">
            <v/>
          </cell>
          <cell r="K43" t="str">
            <v/>
          </cell>
          <cell r="L43" t="str">
            <v/>
          </cell>
          <cell r="M43" t="str">
            <v/>
          </cell>
          <cell r="N43" t="str">
            <v/>
          </cell>
        </row>
        <row r="44">
          <cell r="H44" t="str">
            <v>tonnes</v>
          </cell>
          <cell r="I44" t="str">
            <v/>
          </cell>
          <cell r="J44" t="str">
            <v/>
          </cell>
          <cell r="K44" t="str">
            <v/>
          </cell>
          <cell r="L44" t="str">
            <v/>
          </cell>
          <cell r="M44" t="str">
            <v/>
          </cell>
          <cell r="N44" t="str">
            <v/>
          </cell>
        </row>
        <row r="54">
          <cell r="H54"/>
          <cell r="I54"/>
          <cell r="J54"/>
          <cell r="K54"/>
          <cell r="L54"/>
          <cell r="M54"/>
          <cell r="N54"/>
        </row>
        <row r="55">
          <cell r="H55" t="str">
            <v/>
          </cell>
          <cell r="I55" t="str">
            <v/>
          </cell>
          <cell r="J55" t="str">
            <v/>
          </cell>
          <cell r="K55" t="str">
            <v/>
          </cell>
          <cell r="L55" t="str">
            <v/>
          </cell>
          <cell r="M55" t="str">
            <v/>
          </cell>
          <cell r="N55" t="str">
            <v/>
          </cell>
        </row>
        <row r="56">
          <cell r="H56"/>
          <cell r="I56"/>
          <cell r="J56"/>
          <cell r="K56"/>
          <cell r="L56"/>
          <cell r="M56"/>
          <cell r="N56"/>
        </row>
        <row r="57">
          <cell r="H57" t="str">
            <v/>
          </cell>
          <cell r="I57" t="str">
            <v/>
          </cell>
          <cell r="J57" t="str">
            <v/>
          </cell>
          <cell r="K57" t="str">
            <v/>
          </cell>
          <cell r="L57" t="str">
            <v/>
          </cell>
          <cell r="M57" t="str">
            <v/>
          </cell>
          <cell r="N57" t="str">
            <v/>
          </cell>
        </row>
        <row r="58">
          <cell r="H58" t="str">
            <v/>
          </cell>
          <cell r="I58" t="str">
            <v/>
          </cell>
          <cell r="J58" t="str">
            <v/>
          </cell>
          <cell r="K58" t="str">
            <v/>
          </cell>
          <cell r="L58" t="str">
            <v/>
          </cell>
          <cell r="M58" t="str">
            <v/>
          </cell>
          <cell r="N58" t="str">
            <v/>
          </cell>
        </row>
        <row r="60">
          <cell r="H60" t="str">
            <v/>
          </cell>
          <cell r="I60" t="str">
            <v/>
          </cell>
          <cell r="J60" t="str">
            <v/>
          </cell>
          <cell r="K60" t="str">
            <v/>
          </cell>
          <cell r="L60" t="str">
            <v/>
          </cell>
          <cell r="M60" t="str">
            <v/>
          </cell>
          <cell r="N60" t="str">
            <v/>
          </cell>
        </row>
        <row r="65">
          <cell r="I65" t="str">
            <v/>
          </cell>
          <cell r="J65" t="str">
            <v/>
          </cell>
          <cell r="K65" t="str">
            <v/>
          </cell>
          <cell r="L65" t="str">
            <v/>
          </cell>
          <cell r="M65" t="str">
            <v/>
          </cell>
          <cell r="N65" t="str">
            <v/>
          </cell>
        </row>
        <row r="66">
          <cell r="J66" t="str">
            <v/>
          </cell>
          <cell r="K66" t="str">
            <v/>
          </cell>
          <cell r="L66" t="str">
            <v/>
          </cell>
          <cell r="M66" t="str">
            <v/>
          </cell>
          <cell r="N66" t="str">
            <v/>
          </cell>
        </row>
        <row r="67">
          <cell r="J67" t="str">
            <v/>
          </cell>
          <cell r="K67" t="str">
            <v/>
          </cell>
          <cell r="L67" t="str">
            <v/>
          </cell>
          <cell r="M67" t="str">
            <v/>
          </cell>
          <cell r="N67" t="str">
            <v/>
          </cell>
        </row>
        <row r="68">
          <cell r="I68" t="str">
            <v/>
          </cell>
          <cell r="J68" t="str">
            <v/>
          </cell>
          <cell r="K68" t="str">
            <v/>
          </cell>
          <cell r="L68" t="str">
            <v/>
          </cell>
          <cell r="M68" t="str">
            <v/>
          </cell>
          <cell r="N68" t="str">
            <v/>
          </cell>
        </row>
        <row r="71">
          <cell r="J71" t="str">
            <v/>
          </cell>
          <cell r="K71" t="str">
            <v/>
          </cell>
          <cell r="L71" t="str">
            <v/>
          </cell>
          <cell r="M71" t="str">
            <v/>
          </cell>
          <cell r="N71" t="str">
            <v/>
          </cell>
        </row>
        <row r="73">
          <cell r="J73" t="str">
            <v/>
          </cell>
          <cell r="K73" t="str">
            <v/>
          </cell>
          <cell r="L73" t="str">
            <v/>
          </cell>
          <cell r="M73" t="str">
            <v/>
          </cell>
          <cell r="N73" t="str">
            <v/>
          </cell>
        </row>
        <row r="74">
          <cell r="I74" t="str">
            <v/>
          </cell>
          <cell r="J74" t="str">
            <v/>
          </cell>
          <cell r="K74" t="str">
            <v/>
          </cell>
          <cell r="L74" t="str">
            <v/>
          </cell>
          <cell r="M74" t="str">
            <v/>
          </cell>
          <cell r="N74" t="str">
            <v/>
          </cell>
        </row>
        <row r="83">
          <cell r="H83"/>
          <cell r="I83"/>
          <cell r="J83"/>
          <cell r="K83"/>
          <cell r="L83"/>
          <cell r="M83"/>
          <cell r="N83"/>
        </row>
        <row r="84">
          <cell r="H84" t="str">
            <v/>
          </cell>
          <cell r="I84" t="str">
            <v/>
          </cell>
          <cell r="J84" t="str">
            <v/>
          </cell>
          <cell r="K84" t="str">
            <v/>
          </cell>
          <cell r="L84" t="str">
            <v/>
          </cell>
          <cell r="M84" t="str">
            <v/>
          </cell>
          <cell r="N84" t="str">
            <v/>
          </cell>
        </row>
        <row r="85">
          <cell r="H85" t="str">
            <v/>
          </cell>
          <cell r="I85" t="str">
            <v/>
          </cell>
          <cell r="J85" t="str">
            <v/>
          </cell>
          <cell r="K85" t="str">
            <v/>
          </cell>
          <cell r="L85" t="str">
            <v/>
          </cell>
          <cell r="M85" t="str">
            <v/>
          </cell>
          <cell r="N85" t="str">
            <v/>
          </cell>
        </row>
        <row r="90">
          <cell r="I90" t="str">
            <v/>
          </cell>
          <cell r="J90" t="str">
            <v/>
          </cell>
          <cell r="K90" t="str">
            <v/>
          </cell>
          <cell r="L90" t="str">
            <v/>
          </cell>
          <cell r="M90" t="str">
            <v/>
          </cell>
          <cell r="N90" t="str">
            <v/>
          </cell>
        </row>
        <row r="91">
          <cell r="J91" t="str">
            <v/>
          </cell>
          <cell r="K91" t="str">
            <v/>
          </cell>
          <cell r="L91" t="str">
            <v/>
          </cell>
          <cell r="M91" t="str">
            <v/>
          </cell>
          <cell r="N91" t="str">
            <v/>
          </cell>
        </row>
        <row r="92">
          <cell r="J92" t="str">
            <v/>
          </cell>
          <cell r="K92" t="str">
            <v/>
          </cell>
          <cell r="L92" t="str">
            <v/>
          </cell>
          <cell r="M92" t="str">
            <v/>
          </cell>
          <cell r="N92" t="str">
            <v/>
          </cell>
        </row>
        <row r="93">
          <cell r="I93" t="str">
            <v/>
          </cell>
          <cell r="J93" t="str">
            <v/>
          </cell>
          <cell r="K93" t="str">
            <v/>
          </cell>
          <cell r="L93" t="str">
            <v/>
          </cell>
          <cell r="M93" t="str">
            <v/>
          </cell>
          <cell r="N93" t="str">
            <v/>
          </cell>
        </row>
        <row r="96">
          <cell r="J96" t="str">
            <v/>
          </cell>
          <cell r="K96" t="str">
            <v/>
          </cell>
          <cell r="L96" t="str">
            <v/>
          </cell>
          <cell r="M96" t="str">
            <v/>
          </cell>
          <cell r="N96" t="str">
            <v/>
          </cell>
        </row>
        <row r="98">
          <cell r="J98" t="str">
            <v/>
          </cell>
          <cell r="K98" t="str">
            <v/>
          </cell>
          <cell r="L98" t="str">
            <v/>
          </cell>
          <cell r="M98" t="str">
            <v/>
          </cell>
          <cell r="N98" t="str">
            <v/>
          </cell>
        </row>
        <row r="99">
          <cell r="I99" t="str">
            <v/>
          </cell>
          <cell r="J99" t="str">
            <v/>
          </cell>
          <cell r="K99" t="str">
            <v/>
          </cell>
          <cell r="L99" t="str">
            <v/>
          </cell>
          <cell r="M99" t="str">
            <v/>
          </cell>
          <cell r="N99" t="str">
            <v/>
          </cell>
        </row>
        <row r="113">
          <cell r="E113"/>
          <cell r="F113"/>
          <cell r="G113"/>
          <cell r="H113"/>
          <cell r="I113"/>
          <cell r="J113"/>
          <cell r="K113"/>
          <cell r="L113"/>
          <cell r="M113"/>
          <cell r="N113"/>
        </row>
        <row r="114">
          <cell r="E114"/>
          <cell r="F114"/>
          <cell r="G114"/>
          <cell r="H114"/>
          <cell r="I114"/>
          <cell r="J114"/>
          <cell r="K114"/>
          <cell r="L114"/>
          <cell r="M114"/>
          <cell r="N114"/>
        </row>
        <row r="115">
          <cell r="E115"/>
          <cell r="F115"/>
          <cell r="G115"/>
          <cell r="H115"/>
          <cell r="I115"/>
          <cell r="J115"/>
          <cell r="K115"/>
          <cell r="L115"/>
          <cell r="M115"/>
          <cell r="N115"/>
        </row>
        <row r="116">
          <cell r="E116"/>
          <cell r="F116"/>
          <cell r="G116"/>
          <cell r="H116"/>
          <cell r="I116"/>
          <cell r="J116"/>
          <cell r="K116"/>
          <cell r="L116"/>
          <cell r="M116"/>
          <cell r="N116"/>
        </row>
        <row r="117">
          <cell r="E117"/>
          <cell r="F117"/>
          <cell r="G117"/>
          <cell r="H117"/>
          <cell r="I117"/>
          <cell r="J117"/>
          <cell r="K117"/>
          <cell r="L117"/>
          <cell r="M117"/>
          <cell r="N117"/>
        </row>
        <row r="118">
          <cell r="E118"/>
          <cell r="F118"/>
          <cell r="G118"/>
          <cell r="H118"/>
          <cell r="I118"/>
          <cell r="J118"/>
          <cell r="K118"/>
          <cell r="L118"/>
          <cell r="M118"/>
          <cell r="N118"/>
        </row>
        <row r="119">
          <cell r="E119"/>
          <cell r="F119"/>
          <cell r="G119"/>
          <cell r="H119"/>
          <cell r="I119"/>
          <cell r="J119"/>
          <cell r="K119"/>
          <cell r="L119"/>
          <cell r="M119"/>
          <cell r="N119"/>
        </row>
        <row r="120">
          <cell r="E120"/>
          <cell r="F120"/>
          <cell r="G120"/>
          <cell r="H120"/>
          <cell r="I120"/>
          <cell r="J120"/>
          <cell r="K120"/>
          <cell r="L120"/>
          <cell r="M120"/>
          <cell r="N120"/>
        </row>
        <row r="121">
          <cell r="E121"/>
          <cell r="F121"/>
          <cell r="G121"/>
          <cell r="H121"/>
          <cell r="I121"/>
          <cell r="J121"/>
          <cell r="K121"/>
          <cell r="L121"/>
          <cell r="M121"/>
          <cell r="N121"/>
        </row>
        <row r="122">
          <cell r="E122"/>
          <cell r="F122"/>
          <cell r="G122"/>
          <cell r="H122"/>
          <cell r="I122"/>
          <cell r="J122"/>
          <cell r="K122"/>
          <cell r="L122"/>
          <cell r="M122"/>
          <cell r="N122"/>
        </row>
        <row r="123">
          <cell r="G123"/>
          <cell r="H123" t="str">
            <v/>
          </cell>
          <cell r="I123" t="str">
            <v/>
          </cell>
          <cell r="J123" t="str">
            <v/>
          </cell>
          <cell r="K123" t="str">
            <v/>
          </cell>
          <cell r="L123" t="str">
            <v/>
          </cell>
          <cell r="M123" t="str">
            <v/>
          </cell>
          <cell r="N123" t="str">
            <v/>
          </cell>
        </row>
        <row r="128">
          <cell r="I128" t="str">
            <v/>
          </cell>
        </row>
        <row r="148">
          <cell r="E148" t="str">
            <v/>
          </cell>
          <cell r="H148"/>
          <cell r="I148"/>
          <cell r="J148"/>
          <cell r="K148"/>
          <cell r="L148"/>
          <cell r="M148"/>
          <cell r="N148"/>
        </row>
        <row r="156">
          <cell r="H156"/>
          <cell r="I156"/>
          <cell r="J156"/>
          <cell r="K156"/>
          <cell r="L156"/>
          <cell r="M156"/>
          <cell r="N156"/>
        </row>
        <row r="157">
          <cell r="H157"/>
          <cell r="I157"/>
          <cell r="J157"/>
          <cell r="K157"/>
          <cell r="L157"/>
          <cell r="M157"/>
          <cell r="N157"/>
        </row>
        <row r="166">
          <cell r="L166"/>
        </row>
        <row r="168">
          <cell r="I168"/>
        </row>
        <row r="171">
          <cell r="H171"/>
          <cell r="I171"/>
          <cell r="J171"/>
          <cell r="K171"/>
          <cell r="L171"/>
          <cell r="M171"/>
          <cell r="N171"/>
        </row>
        <row r="172">
          <cell r="H172"/>
          <cell r="I172"/>
          <cell r="J172"/>
          <cell r="K172"/>
          <cell r="L172"/>
          <cell r="M172"/>
          <cell r="N172"/>
        </row>
        <row r="173">
          <cell r="H173"/>
          <cell r="I173"/>
          <cell r="J173"/>
          <cell r="K173"/>
          <cell r="L173"/>
          <cell r="M173"/>
          <cell r="N173"/>
        </row>
        <row r="174">
          <cell r="H174"/>
          <cell r="I174"/>
          <cell r="J174"/>
          <cell r="K174"/>
          <cell r="L174"/>
          <cell r="M174"/>
          <cell r="N174"/>
        </row>
        <row r="175">
          <cell r="H175" t="str">
            <v/>
          </cell>
          <cell r="I175" t="str">
            <v/>
          </cell>
          <cell r="J175" t="str">
            <v/>
          </cell>
          <cell r="K175" t="str">
            <v/>
          </cell>
          <cell r="L175" t="str">
            <v/>
          </cell>
          <cell r="M175" t="str">
            <v/>
          </cell>
          <cell r="N175" t="str">
            <v/>
          </cell>
        </row>
        <row r="176">
          <cell r="H176" t="str">
            <v/>
          </cell>
          <cell r="I176" t="str">
            <v/>
          </cell>
          <cell r="J176" t="str">
            <v/>
          </cell>
          <cell r="K176" t="str">
            <v/>
          </cell>
          <cell r="L176" t="str">
            <v/>
          </cell>
          <cell r="M176" t="str">
            <v/>
          </cell>
          <cell r="N176" t="str">
            <v/>
          </cell>
        </row>
        <row r="177">
          <cell r="H177" t="str">
            <v/>
          </cell>
          <cell r="I177" t="str">
            <v/>
          </cell>
          <cell r="J177" t="str">
            <v/>
          </cell>
          <cell r="K177" t="str">
            <v/>
          </cell>
          <cell r="L177" t="str">
            <v/>
          </cell>
          <cell r="M177" t="str">
            <v/>
          </cell>
          <cell r="N177" t="str">
            <v/>
          </cell>
        </row>
        <row r="178">
          <cell r="H178" t="str">
            <v/>
          </cell>
          <cell r="I178" t="str">
            <v/>
          </cell>
          <cell r="J178" t="str">
            <v/>
          </cell>
          <cell r="K178" t="str">
            <v/>
          </cell>
          <cell r="L178" t="str">
            <v/>
          </cell>
          <cell r="M178" t="str">
            <v/>
          </cell>
          <cell r="N178" t="str">
            <v/>
          </cell>
        </row>
        <row r="180">
          <cell r="I180"/>
        </row>
        <row r="183">
          <cell r="H183"/>
          <cell r="I183"/>
          <cell r="J183"/>
          <cell r="K183"/>
          <cell r="L183"/>
          <cell r="M183"/>
          <cell r="N183"/>
        </row>
        <row r="184">
          <cell r="H184"/>
          <cell r="I184"/>
          <cell r="J184"/>
          <cell r="K184"/>
          <cell r="L184"/>
          <cell r="M184"/>
          <cell r="N184"/>
        </row>
        <row r="185">
          <cell r="H185"/>
          <cell r="I185"/>
          <cell r="J185"/>
          <cell r="K185"/>
          <cell r="L185"/>
          <cell r="M185"/>
          <cell r="N185"/>
        </row>
        <row r="186">
          <cell r="H186"/>
          <cell r="I186"/>
          <cell r="J186"/>
          <cell r="K186"/>
          <cell r="L186"/>
          <cell r="M186"/>
          <cell r="N186"/>
        </row>
        <row r="187">
          <cell r="H187" t="str">
            <v/>
          </cell>
          <cell r="I187" t="str">
            <v/>
          </cell>
          <cell r="J187" t="str">
            <v/>
          </cell>
          <cell r="K187" t="str">
            <v/>
          </cell>
          <cell r="L187" t="str">
            <v/>
          </cell>
          <cell r="M187" t="str">
            <v/>
          </cell>
          <cell r="N187" t="str">
            <v/>
          </cell>
        </row>
        <row r="188">
          <cell r="H188" t="str">
            <v/>
          </cell>
          <cell r="I188" t="str">
            <v/>
          </cell>
          <cell r="J188" t="str">
            <v/>
          </cell>
          <cell r="K188" t="str">
            <v/>
          </cell>
          <cell r="L188" t="str">
            <v/>
          </cell>
          <cell r="M188" t="str">
            <v/>
          </cell>
          <cell r="N188" t="str">
            <v/>
          </cell>
        </row>
        <row r="189">
          <cell r="H189" t="str">
            <v/>
          </cell>
          <cell r="I189" t="str">
            <v/>
          </cell>
          <cell r="J189" t="str">
            <v/>
          </cell>
          <cell r="K189" t="str">
            <v/>
          </cell>
          <cell r="L189" t="str">
            <v/>
          </cell>
          <cell r="M189" t="str">
            <v/>
          </cell>
          <cell r="N189" t="str">
            <v/>
          </cell>
        </row>
        <row r="190">
          <cell r="H190" t="str">
            <v/>
          </cell>
          <cell r="I190" t="str">
            <v/>
          </cell>
          <cell r="J190" t="str">
            <v/>
          </cell>
          <cell r="K190" t="str">
            <v/>
          </cell>
          <cell r="L190" t="str">
            <v/>
          </cell>
          <cell r="M190" t="str">
            <v/>
          </cell>
          <cell r="N190" t="str">
            <v/>
          </cell>
        </row>
        <row r="197">
          <cell r="H197"/>
          <cell r="I197"/>
          <cell r="J197"/>
          <cell r="K197"/>
          <cell r="L197"/>
          <cell r="M197"/>
          <cell r="N197"/>
        </row>
        <row r="206">
          <cell r="H206"/>
          <cell r="I206"/>
          <cell r="J206"/>
          <cell r="K206"/>
          <cell r="L206"/>
          <cell r="M206"/>
          <cell r="N206"/>
        </row>
        <row r="207">
          <cell r="H207"/>
          <cell r="I207"/>
          <cell r="J207"/>
          <cell r="K207"/>
          <cell r="L207"/>
          <cell r="M207"/>
          <cell r="N207"/>
        </row>
        <row r="210">
          <cell r="H210"/>
          <cell r="I210"/>
          <cell r="J210"/>
          <cell r="K210"/>
          <cell r="L210"/>
          <cell r="M210"/>
          <cell r="N210"/>
        </row>
        <row r="211">
          <cell r="H211"/>
          <cell r="I211"/>
          <cell r="J211"/>
          <cell r="K211"/>
          <cell r="L211"/>
          <cell r="M211"/>
          <cell r="N211"/>
        </row>
        <row r="214">
          <cell r="H214"/>
          <cell r="I214"/>
          <cell r="J214"/>
          <cell r="K214"/>
          <cell r="L214"/>
          <cell r="M214"/>
          <cell r="N214"/>
        </row>
        <row r="215">
          <cell r="H215"/>
          <cell r="I215"/>
          <cell r="J215"/>
          <cell r="K215"/>
          <cell r="L215"/>
          <cell r="M215"/>
          <cell r="N215"/>
        </row>
        <row r="219">
          <cell r="L219"/>
        </row>
        <row r="221">
          <cell r="I221"/>
        </row>
        <row r="225">
          <cell r="G225"/>
          <cell r="H225"/>
          <cell r="I225"/>
          <cell r="J225"/>
          <cell r="K225"/>
          <cell r="L225"/>
          <cell r="M225"/>
          <cell r="N225"/>
        </row>
        <row r="226">
          <cell r="G226" t="str">
            <v>GJ / Unit</v>
          </cell>
          <cell r="H226"/>
          <cell r="I226"/>
          <cell r="J226"/>
          <cell r="K226"/>
          <cell r="L226"/>
          <cell r="M226"/>
          <cell r="N226"/>
        </row>
        <row r="227">
          <cell r="H227" t="str">
            <v/>
          </cell>
          <cell r="I227" t="str">
            <v/>
          </cell>
          <cell r="J227" t="str">
            <v/>
          </cell>
          <cell r="K227" t="str">
            <v/>
          </cell>
          <cell r="L227" t="str">
            <v/>
          </cell>
          <cell r="M227" t="str">
            <v/>
          </cell>
          <cell r="N227" t="str">
            <v/>
          </cell>
        </row>
        <row r="228">
          <cell r="H228"/>
          <cell r="I228"/>
          <cell r="J228"/>
          <cell r="K228"/>
          <cell r="L228"/>
          <cell r="M228"/>
          <cell r="N228"/>
        </row>
        <row r="230">
          <cell r="I230"/>
        </row>
        <row r="234">
          <cell r="G234"/>
          <cell r="H234"/>
          <cell r="I234"/>
          <cell r="J234"/>
          <cell r="K234"/>
          <cell r="L234"/>
          <cell r="M234"/>
          <cell r="N234"/>
        </row>
        <row r="235">
          <cell r="G235" t="str">
            <v>GJ / Unit</v>
          </cell>
          <cell r="H235"/>
          <cell r="I235"/>
          <cell r="J235"/>
          <cell r="K235"/>
          <cell r="L235"/>
          <cell r="M235"/>
          <cell r="N235"/>
        </row>
        <row r="236">
          <cell r="H236" t="str">
            <v/>
          </cell>
          <cell r="I236" t="str">
            <v/>
          </cell>
          <cell r="J236" t="str">
            <v/>
          </cell>
          <cell r="K236" t="str">
            <v/>
          </cell>
          <cell r="L236" t="str">
            <v/>
          </cell>
          <cell r="M236" t="str">
            <v/>
          </cell>
          <cell r="N236" t="str">
            <v/>
          </cell>
        </row>
        <row r="237">
          <cell r="H237"/>
          <cell r="I237"/>
          <cell r="J237"/>
          <cell r="K237"/>
          <cell r="L237"/>
          <cell r="M237"/>
          <cell r="N237"/>
        </row>
        <row r="239">
          <cell r="I239"/>
        </row>
        <row r="244">
          <cell r="G244"/>
          <cell r="H244"/>
          <cell r="I244"/>
          <cell r="J244"/>
          <cell r="K244"/>
          <cell r="L244"/>
          <cell r="M244"/>
          <cell r="N244"/>
        </row>
        <row r="245">
          <cell r="G245" t="str">
            <v>GJ / Unit</v>
          </cell>
          <cell r="H245"/>
          <cell r="I245"/>
          <cell r="J245"/>
          <cell r="K245"/>
          <cell r="L245"/>
          <cell r="M245"/>
          <cell r="N245"/>
        </row>
        <row r="246">
          <cell r="H246" t="str">
            <v/>
          </cell>
          <cell r="I246" t="str">
            <v/>
          </cell>
          <cell r="J246" t="str">
            <v/>
          </cell>
          <cell r="K246" t="str">
            <v/>
          </cell>
          <cell r="L246" t="str">
            <v/>
          </cell>
          <cell r="M246" t="str">
            <v/>
          </cell>
          <cell r="N246" t="str">
            <v/>
          </cell>
        </row>
        <row r="247">
          <cell r="H247"/>
          <cell r="I247"/>
          <cell r="J247"/>
          <cell r="K247"/>
          <cell r="L247"/>
          <cell r="M247"/>
          <cell r="N247"/>
        </row>
        <row r="249">
          <cell r="H249" t="str">
            <v/>
          </cell>
          <cell r="I249" t="str">
            <v/>
          </cell>
          <cell r="J249" t="str">
            <v/>
          </cell>
          <cell r="K249" t="str">
            <v/>
          </cell>
          <cell r="L249" t="str">
            <v/>
          </cell>
          <cell r="M249" t="str">
            <v/>
          </cell>
          <cell r="N249" t="str">
            <v/>
          </cell>
        </row>
        <row r="253">
          <cell r="I253" t="str">
            <v/>
          </cell>
          <cell r="J253" t="str">
            <v/>
          </cell>
          <cell r="K253" t="str">
            <v/>
          </cell>
          <cell r="L253" t="str">
            <v/>
          </cell>
          <cell r="M253" t="str">
            <v/>
          </cell>
          <cell r="N253" t="str">
            <v/>
          </cell>
        </row>
        <row r="254">
          <cell r="J254" t="str">
            <v/>
          </cell>
          <cell r="K254" t="str">
            <v/>
          </cell>
          <cell r="L254" t="str">
            <v/>
          </cell>
          <cell r="M254" t="str">
            <v/>
          </cell>
          <cell r="N254" t="str">
            <v/>
          </cell>
        </row>
        <row r="255">
          <cell r="J255" t="str">
            <v/>
          </cell>
          <cell r="K255" t="str">
            <v/>
          </cell>
          <cell r="L255" t="str">
            <v/>
          </cell>
          <cell r="M255" t="str">
            <v/>
          </cell>
          <cell r="N255" t="str">
            <v/>
          </cell>
        </row>
        <row r="256">
          <cell r="I256" t="str">
            <v/>
          </cell>
          <cell r="J256" t="str">
            <v/>
          </cell>
          <cell r="K256" t="str">
            <v/>
          </cell>
          <cell r="L256" t="str">
            <v/>
          </cell>
          <cell r="M256" t="str">
            <v/>
          </cell>
          <cell r="N256" t="str">
            <v/>
          </cell>
        </row>
        <row r="259">
          <cell r="J259" t="str">
            <v/>
          </cell>
          <cell r="K259" t="str">
            <v/>
          </cell>
          <cell r="L259" t="str">
            <v/>
          </cell>
          <cell r="M259" t="str">
            <v/>
          </cell>
          <cell r="N259" t="str">
            <v/>
          </cell>
        </row>
        <row r="261">
          <cell r="J261" t="str">
            <v/>
          </cell>
          <cell r="K261" t="str">
            <v/>
          </cell>
          <cell r="L261" t="str">
            <v/>
          </cell>
          <cell r="M261" t="str">
            <v/>
          </cell>
          <cell r="N261" t="str">
            <v/>
          </cell>
        </row>
        <row r="262">
          <cell r="I262" t="str">
            <v/>
          </cell>
          <cell r="J262" t="str">
            <v/>
          </cell>
          <cell r="K262" t="str">
            <v/>
          </cell>
          <cell r="L262" t="str">
            <v/>
          </cell>
          <cell r="M262" t="str">
            <v/>
          </cell>
          <cell r="N262" t="str">
            <v/>
          </cell>
        </row>
        <row r="265">
          <cell r="I265"/>
        </row>
        <row r="269">
          <cell r="G269"/>
          <cell r="H269"/>
          <cell r="I269"/>
          <cell r="J269"/>
          <cell r="K269"/>
          <cell r="L269"/>
          <cell r="M269"/>
          <cell r="N269"/>
        </row>
        <row r="270">
          <cell r="G270" t="str">
            <v>GJ / Unit</v>
          </cell>
          <cell r="H270"/>
          <cell r="I270"/>
          <cell r="J270"/>
          <cell r="K270"/>
          <cell r="L270"/>
          <cell r="M270"/>
          <cell r="N270"/>
        </row>
        <row r="271">
          <cell r="H271" t="str">
            <v/>
          </cell>
          <cell r="I271" t="str">
            <v/>
          </cell>
          <cell r="J271" t="str">
            <v/>
          </cell>
          <cell r="K271" t="str">
            <v/>
          </cell>
          <cell r="L271" t="str">
            <v/>
          </cell>
          <cell r="M271" t="str">
            <v/>
          </cell>
          <cell r="N271" t="str">
            <v/>
          </cell>
        </row>
        <row r="272">
          <cell r="H272"/>
          <cell r="I272"/>
          <cell r="J272"/>
          <cell r="K272"/>
          <cell r="L272"/>
          <cell r="M272"/>
          <cell r="N272"/>
        </row>
        <row r="274">
          <cell r="I274"/>
        </row>
        <row r="278">
          <cell r="G278"/>
          <cell r="H278"/>
          <cell r="I278"/>
          <cell r="J278"/>
          <cell r="K278"/>
          <cell r="L278"/>
          <cell r="M278"/>
          <cell r="N278"/>
        </row>
        <row r="279">
          <cell r="G279" t="str">
            <v>GJ / Unit</v>
          </cell>
          <cell r="H279"/>
          <cell r="I279"/>
          <cell r="J279"/>
          <cell r="K279"/>
          <cell r="L279"/>
          <cell r="M279"/>
          <cell r="N279"/>
        </row>
        <row r="280">
          <cell r="H280" t="str">
            <v/>
          </cell>
          <cell r="I280" t="str">
            <v/>
          </cell>
          <cell r="J280" t="str">
            <v/>
          </cell>
          <cell r="K280" t="str">
            <v/>
          </cell>
          <cell r="L280" t="str">
            <v/>
          </cell>
          <cell r="M280" t="str">
            <v/>
          </cell>
          <cell r="N280" t="str">
            <v/>
          </cell>
        </row>
        <row r="281">
          <cell r="H281"/>
          <cell r="I281"/>
          <cell r="J281"/>
          <cell r="K281"/>
          <cell r="L281"/>
          <cell r="M281"/>
          <cell r="N281"/>
        </row>
        <row r="287">
          <cell r="H287"/>
          <cell r="I287"/>
          <cell r="J287"/>
          <cell r="K287"/>
          <cell r="L287"/>
          <cell r="M287"/>
          <cell r="N287"/>
        </row>
        <row r="293">
          <cell r="E293" t="str">
            <v/>
          </cell>
          <cell r="H293"/>
          <cell r="I293"/>
          <cell r="J293"/>
          <cell r="K293"/>
          <cell r="L293"/>
          <cell r="M293"/>
          <cell r="N293"/>
        </row>
        <row r="298">
          <cell r="L298"/>
        </row>
        <row r="301">
          <cell r="E301"/>
          <cell r="G301" t="str">
            <v>tonnes</v>
          </cell>
          <cell r="H301"/>
          <cell r="I301"/>
          <cell r="J301"/>
          <cell r="K301"/>
          <cell r="L301"/>
          <cell r="M301"/>
          <cell r="N301"/>
        </row>
        <row r="302">
          <cell r="E302"/>
          <cell r="G302" t="str">
            <v>tonnes</v>
          </cell>
          <cell r="H302"/>
          <cell r="I302"/>
          <cell r="J302"/>
          <cell r="K302"/>
          <cell r="L302"/>
          <cell r="M302"/>
          <cell r="N302"/>
        </row>
        <row r="305">
          <cell r="E305"/>
          <cell r="G305" t="str">
            <v>tonnes</v>
          </cell>
          <cell r="H305"/>
          <cell r="I305"/>
          <cell r="J305"/>
          <cell r="K305"/>
          <cell r="L305"/>
          <cell r="M305"/>
          <cell r="N305"/>
        </row>
        <row r="306">
          <cell r="E306"/>
          <cell r="G306" t="str">
            <v>tonnes</v>
          </cell>
          <cell r="H306"/>
          <cell r="I306"/>
          <cell r="J306"/>
          <cell r="K306"/>
          <cell r="L306"/>
          <cell r="M306"/>
          <cell r="N306"/>
        </row>
        <row r="310">
          <cell r="E310"/>
        </row>
        <row r="315">
          <cell r="I315" t="str">
            <v/>
          </cell>
        </row>
        <row r="323">
          <cell r="E323" t="str">
            <v/>
          </cell>
          <cell r="G323" t="str">
            <v>tonnes</v>
          </cell>
          <cell r="H323"/>
          <cell r="I323"/>
          <cell r="J323"/>
          <cell r="K323"/>
          <cell r="L323"/>
          <cell r="M323"/>
          <cell r="N323"/>
        </row>
        <row r="324">
          <cell r="E324" t="str">
            <v>From sheet "H_SpecialBM":</v>
          </cell>
          <cell r="G324" t="str">
            <v>tonnes</v>
          </cell>
          <cell r="H324" t="str">
            <v/>
          </cell>
          <cell r="I324" t="str">
            <v/>
          </cell>
          <cell r="J324" t="str">
            <v/>
          </cell>
          <cell r="K324" t="str">
            <v/>
          </cell>
          <cell r="L324" t="str">
            <v/>
          </cell>
          <cell r="M324" t="str">
            <v/>
          </cell>
          <cell r="N324" t="str">
            <v/>
          </cell>
        </row>
        <row r="325">
          <cell r="E325" t="str">
            <v>Values used for calculation:</v>
          </cell>
          <cell r="G325" t="str">
            <v>tonnes</v>
          </cell>
          <cell r="H325" t="str">
            <v/>
          </cell>
          <cell r="I325" t="str">
            <v/>
          </cell>
          <cell r="J325" t="str">
            <v/>
          </cell>
          <cell r="K325" t="str">
            <v/>
          </cell>
          <cell r="L325" t="str">
            <v/>
          </cell>
          <cell r="M325" t="str">
            <v/>
          </cell>
          <cell r="N325" t="str">
            <v/>
          </cell>
        </row>
        <row r="337">
          <cell r="H337" t="str">
            <v>tonnes</v>
          </cell>
          <cell r="I337" t="str">
            <v/>
          </cell>
          <cell r="J337" t="str">
            <v/>
          </cell>
          <cell r="K337" t="str">
            <v/>
          </cell>
          <cell r="L337" t="str">
            <v/>
          </cell>
          <cell r="M337" t="str">
            <v/>
          </cell>
          <cell r="N337" t="str">
            <v/>
          </cell>
        </row>
        <row r="338">
          <cell r="J338" t="str">
            <v/>
          </cell>
          <cell r="K338" t="str">
            <v/>
          </cell>
          <cell r="L338" t="str">
            <v/>
          </cell>
          <cell r="M338" t="str">
            <v/>
          </cell>
          <cell r="N338" t="str">
            <v/>
          </cell>
        </row>
        <row r="339">
          <cell r="J339" t="str">
            <v/>
          </cell>
          <cell r="K339" t="str">
            <v/>
          </cell>
          <cell r="L339" t="str">
            <v/>
          </cell>
          <cell r="M339" t="str">
            <v/>
          </cell>
          <cell r="N339" t="str">
            <v/>
          </cell>
        </row>
        <row r="340">
          <cell r="H340" t="str">
            <v>tonnes</v>
          </cell>
          <cell r="I340" t="str">
            <v/>
          </cell>
          <cell r="J340" t="str">
            <v/>
          </cell>
          <cell r="K340" t="str">
            <v/>
          </cell>
          <cell r="L340" t="str">
            <v/>
          </cell>
          <cell r="M340" t="str">
            <v/>
          </cell>
          <cell r="N340" t="str">
            <v/>
          </cell>
        </row>
        <row r="343">
          <cell r="J343" t="str">
            <v/>
          </cell>
          <cell r="K343" t="str">
            <v/>
          </cell>
          <cell r="L343" t="str">
            <v/>
          </cell>
          <cell r="M343" t="str">
            <v/>
          </cell>
          <cell r="N343" t="str">
            <v/>
          </cell>
        </row>
        <row r="345">
          <cell r="J345" t="str">
            <v/>
          </cell>
          <cell r="K345" t="str">
            <v/>
          </cell>
          <cell r="L345" t="str">
            <v/>
          </cell>
          <cell r="M345" t="str">
            <v/>
          </cell>
          <cell r="N345" t="str">
            <v/>
          </cell>
        </row>
        <row r="346">
          <cell r="H346" t="str">
            <v>tonnes</v>
          </cell>
          <cell r="I346" t="str">
            <v/>
          </cell>
          <cell r="J346" t="str">
            <v/>
          </cell>
          <cell r="K346" t="str">
            <v/>
          </cell>
          <cell r="L346" t="str">
            <v/>
          </cell>
          <cell r="M346" t="str">
            <v/>
          </cell>
          <cell r="N346" t="str">
            <v/>
          </cell>
        </row>
        <row r="356">
          <cell r="H356"/>
          <cell r="I356"/>
          <cell r="J356"/>
          <cell r="K356"/>
          <cell r="L356"/>
          <cell r="M356"/>
          <cell r="N356"/>
        </row>
        <row r="357">
          <cell r="H357" t="str">
            <v/>
          </cell>
          <cell r="I357" t="str">
            <v/>
          </cell>
          <cell r="J357" t="str">
            <v/>
          </cell>
          <cell r="K357" t="str">
            <v/>
          </cell>
          <cell r="L357" t="str">
            <v/>
          </cell>
          <cell r="M357" t="str">
            <v/>
          </cell>
          <cell r="N357" t="str">
            <v/>
          </cell>
        </row>
        <row r="358">
          <cell r="H358"/>
          <cell r="I358"/>
          <cell r="J358"/>
          <cell r="K358"/>
          <cell r="L358"/>
          <cell r="M358"/>
          <cell r="N358"/>
        </row>
        <row r="359">
          <cell r="H359" t="str">
            <v/>
          </cell>
          <cell r="I359" t="str">
            <v/>
          </cell>
          <cell r="J359" t="str">
            <v/>
          </cell>
          <cell r="K359" t="str">
            <v/>
          </cell>
          <cell r="L359" t="str">
            <v/>
          </cell>
          <cell r="M359" t="str">
            <v/>
          </cell>
          <cell r="N359" t="str">
            <v/>
          </cell>
        </row>
        <row r="360">
          <cell r="H360" t="str">
            <v/>
          </cell>
          <cell r="I360" t="str">
            <v/>
          </cell>
          <cell r="J360" t="str">
            <v/>
          </cell>
          <cell r="K360" t="str">
            <v/>
          </cell>
          <cell r="L360" t="str">
            <v/>
          </cell>
          <cell r="M360" t="str">
            <v/>
          </cell>
          <cell r="N360" t="str">
            <v/>
          </cell>
        </row>
        <row r="362">
          <cell r="H362" t="str">
            <v/>
          </cell>
          <cell r="I362" t="str">
            <v/>
          </cell>
          <cell r="J362" t="str">
            <v/>
          </cell>
          <cell r="K362" t="str">
            <v/>
          </cell>
          <cell r="L362" t="str">
            <v/>
          </cell>
          <cell r="M362" t="str">
            <v/>
          </cell>
          <cell r="N362" t="str">
            <v/>
          </cell>
        </row>
        <row r="367">
          <cell r="I367" t="str">
            <v/>
          </cell>
          <cell r="J367" t="str">
            <v/>
          </cell>
          <cell r="K367" t="str">
            <v/>
          </cell>
          <cell r="L367" t="str">
            <v/>
          </cell>
          <cell r="M367" t="str">
            <v/>
          </cell>
          <cell r="N367" t="str">
            <v/>
          </cell>
        </row>
        <row r="368">
          <cell r="J368" t="str">
            <v/>
          </cell>
          <cell r="K368" t="str">
            <v/>
          </cell>
          <cell r="L368" t="str">
            <v/>
          </cell>
          <cell r="M368" t="str">
            <v/>
          </cell>
          <cell r="N368" t="str">
            <v/>
          </cell>
        </row>
        <row r="369">
          <cell r="J369" t="str">
            <v/>
          </cell>
          <cell r="K369" t="str">
            <v/>
          </cell>
          <cell r="L369" t="str">
            <v/>
          </cell>
          <cell r="M369" t="str">
            <v/>
          </cell>
          <cell r="N369" t="str">
            <v/>
          </cell>
        </row>
        <row r="370">
          <cell r="I370" t="str">
            <v/>
          </cell>
          <cell r="J370" t="str">
            <v/>
          </cell>
          <cell r="K370" t="str">
            <v/>
          </cell>
          <cell r="L370" t="str">
            <v/>
          </cell>
          <cell r="M370" t="str">
            <v/>
          </cell>
          <cell r="N370" t="str">
            <v/>
          </cell>
        </row>
        <row r="373">
          <cell r="J373" t="str">
            <v/>
          </cell>
          <cell r="K373" t="str">
            <v/>
          </cell>
          <cell r="L373" t="str">
            <v/>
          </cell>
          <cell r="M373" t="str">
            <v/>
          </cell>
          <cell r="N373" t="str">
            <v/>
          </cell>
        </row>
        <row r="375">
          <cell r="J375" t="str">
            <v/>
          </cell>
          <cell r="K375" t="str">
            <v/>
          </cell>
          <cell r="L375" t="str">
            <v/>
          </cell>
          <cell r="M375" t="str">
            <v/>
          </cell>
          <cell r="N375" t="str">
            <v/>
          </cell>
        </row>
        <row r="376">
          <cell r="I376" t="str">
            <v/>
          </cell>
          <cell r="J376" t="str">
            <v/>
          </cell>
          <cell r="K376" t="str">
            <v/>
          </cell>
          <cell r="L376" t="str">
            <v/>
          </cell>
          <cell r="M376" t="str">
            <v/>
          </cell>
          <cell r="N376" t="str">
            <v/>
          </cell>
        </row>
        <row r="385">
          <cell r="H385"/>
          <cell r="I385"/>
          <cell r="J385"/>
          <cell r="K385"/>
          <cell r="L385"/>
          <cell r="M385"/>
          <cell r="N385"/>
        </row>
        <row r="386">
          <cell r="H386" t="str">
            <v/>
          </cell>
          <cell r="I386" t="str">
            <v/>
          </cell>
          <cell r="J386" t="str">
            <v/>
          </cell>
          <cell r="K386" t="str">
            <v/>
          </cell>
          <cell r="L386" t="str">
            <v/>
          </cell>
          <cell r="M386" t="str">
            <v/>
          </cell>
          <cell r="N386" t="str">
            <v/>
          </cell>
        </row>
        <row r="387">
          <cell r="H387" t="str">
            <v/>
          </cell>
          <cell r="I387" t="str">
            <v/>
          </cell>
          <cell r="J387" t="str">
            <v/>
          </cell>
          <cell r="K387" t="str">
            <v/>
          </cell>
          <cell r="L387" t="str">
            <v/>
          </cell>
          <cell r="M387" t="str">
            <v/>
          </cell>
          <cell r="N387" t="str">
            <v/>
          </cell>
        </row>
        <row r="392">
          <cell r="I392" t="str">
            <v/>
          </cell>
          <cell r="J392" t="str">
            <v/>
          </cell>
          <cell r="K392" t="str">
            <v/>
          </cell>
          <cell r="L392" t="str">
            <v/>
          </cell>
          <cell r="M392" t="str">
            <v/>
          </cell>
          <cell r="N392" t="str">
            <v/>
          </cell>
        </row>
        <row r="393">
          <cell r="J393" t="str">
            <v/>
          </cell>
          <cell r="K393" t="str">
            <v/>
          </cell>
          <cell r="L393" t="str">
            <v/>
          </cell>
          <cell r="M393" t="str">
            <v/>
          </cell>
          <cell r="N393" t="str">
            <v/>
          </cell>
        </row>
        <row r="394">
          <cell r="J394" t="str">
            <v/>
          </cell>
          <cell r="K394" t="str">
            <v/>
          </cell>
          <cell r="L394" t="str">
            <v/>
          </cell>
          <cell r="M394" t="str">
            <v/>
          </cell>
          <cell r="N394" t="str">
            <v/>
          </cell>
        </row>
        <row r="395">
          <cell r="I395" t="str">
            <v/>
          </cell>
          <cell r="J395" t="str">
            <v/>
          </cell>
          <cell r="K395" t="str">
            <v/>
          </cell>
          <cell r="L395" t="str">
            <v/>
          </cell>
          <cell r="M395" t="str">
            <v/>
          </cell>
          <cell r="N395" t="str">
            <v/>
          </cell>
        </row>
        <row r="398">
          <cell r="J398" t="str">
            <v/>
          </cell>
          <cell r="K398" t="str">
            <v/>
          </cell>
          <cell r="L398" t="str">
            <v/>
          </cell>
          <cell r="M398" t="str">
            <v/>
          </cell>
          <cell r="N398" t="str">
            <v/>
          </cell>
        </row>
        <row r="400">
          <cell r="J400" t="str">
            <v/>
          </cell>
          <cell r="K400" t="str">
            <v/>
          </cell>
          <cell r="L400" t="str">
            <v/>
          </cell>
          <cell r="M400" t="str">
            <v/>
          </cell>
          <cell r="N400" t="str">
            <v/>
          </cell>
        </row>
        <row r="401">
          <cell r="I401" t="str">
            <v/>
          </cell>
          <cell r="J401" t="str">
            <v/>
          </cell>
          <cell r="K401" t="str">
            <v/>
          </cell>
          <cell r="L401" t="str">
            <v/>
          </cell>
          <cell r="M401" t="str">
            <v/>
          </cell>
          <cell r="N401" t="str">
            <v/>
          </cell>
        </row>
        <row r="415">
          <cell r="E415"/>
          <cell r="F415"/>
          <cell r="G415"/>
          <cell r="H415"/>
          <cell r="I415"/>
          <cell r="J415"/>
          <cell r="K415"/>
          <cell r="L415"/>
          <cell r="M415"/>
          <cell r="N415"/>
        </row>
        <row r="416">
          <cell r="E416"/>
          <cell r="F416"/>
          <cell r="G416"/>
          <cell r="H416"/>
          <cell r="I416"/>
          <cell r="J416"/>
          <cell r="K416"/>
          <cell r="L416"/>
          <cell r="M416"/>
          <cell r="N416"/>
        </row>
        <row r="417">
          <cell r="E417"/>
          <cell r="F417"/>
          <cell r="G417"/>
          <cell r="H417"/>
          <cell r="I417"/>
          <cell r="J417"/>
          <cell r="K417"/>
          <cell r="L417"/>
          <cell r="M417"/>
          <cell r="N417"/>
        </row>
        <row r="418">
          <cell r="E418"/>
          <cell r="F418"/>
          <cell r="G418"/>
          <cell r="H418"/>
          <cell r="I418"/>
          <cell r="J418"/>
          <cell r="K418"/>
          <cell r="L418"/>
          <cell r="M418"/>
          <cell r="N418"/>
        </row>
        <row r="419">
          <cell r="E419"/>
          <cell r="F419"/>
          <cell r="G419"/>
          <cell r="H419"/>
          <cell r="I419"/>
          <cell r="J419"/>
          <cell r="K419"/>
          <cell r="L419"/>
          <cell r="M419"/>
          <cell r="N419"/>
        </row>
        <row r="420">
          <cell r="E420"/>
          <cell r="F420"/>
          <cell r="G420"/>
          <cell r="H420"/>
          <cell r="I420"/>
          <cell r="J420"/>
          <cell r="K420"/>
          <cell r="L420"/>
          <cell r="M420"/>
          <cell r="N420"/>
        </row>
        <row r="421">
          <cell r="E421"/>
          <cell r="F421"/>
          <cell r="G421"/>
          <cell r="H421"/>
          <cell r="I421"/>
          <cell r="J421"/>
          <cell r="K421"/>
          <cell r="L421"/>
          <cell r="M421"/>
          <cell r="N421"/>
        </row>
        <row r="422">
          <cell r="E422"/>
          <cell r="F422"/>
          <cell r="G422"/>
          <cell r="H422"/>
          <cell r="I422"/>
          <cell r="J422"/>
          <cell r="K422"/>
          <cell r="L422"/>
          <cell r="M422"/>
          <cell r="N422"/>
        </row>
        <row r="423">
          <cell r="E423"/>
          <cell r="F423"/>
          <cell r="G423"/>
          <cell r="H423"/>
          <cell r="I423"/>
          <cell r="J423"/>
          <cell r="K423"/>
          <cell r="L423"/>
          <cell r="M423"/>
          <cell r="N423"/>
        </row>
        <row r="424">
          <cell r="E424"/>
          <cell r="F424"/>
          <cell r="G424"/>
          <cell r="H424"/>
          <cell r="I424"/>
          <cell r="J424"/>
          <cell r="K424"/>
          <cell r="L424"/>
          <cell r="M424"/>
          <cell r="N424"/>
        </row>
        <row r="425">
          <cell r="G425"/>
          <cell r="H425" t="str">
            <v/>
          </cell>
          <cell r="I425" t="str">
            <v/>
          </cell>
          <cell r="J425" t="str">
            <v/>
          </cell>
          <cell r="K425" t="str">
            <v/>
          </cell>
          <cell r="L425" t="str">
            <v/>
          </cell>
          <cell r="M425" t="str">
            <v/>
          </cell>
          <cell r="N425" t="str">
            <v/>
          </cell>
        </row>
        <row r="430">
          <cell r="I430" t="str">
            <v/>
          </cell>
        </row>
        <row r="450">
          <cell r="E450" t="str">
            <v/>
          </cell>
          <cell r="H450"/>
          <cell r="I450"/>
          <cell r="J450"/>
          <cell r="K450"/>
          <cell r="L450"/>
          <cell r="M450"/>
          <cell r="N450"/>
        </row>
        <row r="458">
          <cell r="H458"/>
          <cell r="I458"/>
          <cell r="J458"/>
          <cell r="K458"/>
          <cell r="L458"/>
          <cell r="M458"/>
          <cell r="N458"/>
        </row>
        <row r="459">
          <cell r="H459"/>
          <cell r="I459"/>
          <cell r="J459"/>
          <cell r="K459"/>
          <cell r="L459"/>
          <cell r="M459"/>
          <cell r="N459"/>
        </row>
        <row r="468">
          <cell r="L468"/>
        </row>
        <row r="470">
          <cell r="I470"/>
        </row>
        <row r="473">
          <cell r="H473"/>
          <cell r="I473"/>
          <cell r="J473"/>
          <cell r="K473"/>
          <cell r="L473"/>
          <cell r="M473"/>
          <cell r="N473"/>
        </row>
        <row r="474">
          <cell r="H474"/>
          <cell r="I474"/>
          <cell r="J474"/>
          <cell r="K474"/>
          <cell r="L474"/>
          <cell r="M474"/>
          <cell r="N474"/>
        </row>
        <row r="475">
          <cell r="H475"/>
          <cell r="I475"/>
          <cell r="J475"/>
          <cell r="K475"/>
          <cell r="L475"/>
          <cell r="M475"/>
          <cell r="N475"/>
        </row>
        <row r="476">
          <cell r="H476"/>
          <cell r="I476"/>
          <cell r="J476"/>
          <cell r="K476"/>
          <cell r="L476"/>
          <cell r="M476"/>
          <cell r="N476"/>
        </row>
        <row r="477">
          <cell r="H477" t="str">
            <v/>
          </cell>
          <cell r="I477" t="str">
            <v/>
          </cell>
          <cell r="J477" t="str">
            <v/>
          </cell>
          <cell r="K477" t="str">
            <v/>
          </cell>
          <cell r="L477" t="str">
            <v/>
          </cell>
          <cell r="M477" t="str">
            <v/>
          </cell>
          <cell r="N477" t="str">
            <v/>
          </cell>
        </row>
        <row r="478">
          <cell r="H478" t="str">
            <v/>
          </cell>
          <cell r="I478" t="str">
            <v/>
          </cell>
          <cell r="J478" t="str">
            <v/>
          </cell>
          <cell r="K478" t="str">
            <v/>
          </cell>
          <cell r="L478" t="str">
            <v/>
          </cell>
          <cell r="M478" t="str">
            <v/>
          </cell>
          <cell r="N478" t="str">
            <v/>
          </cell>
        </row>
        <row r="479">
          <cell r="H479" t="str">
            <v/>
          </cell>
          <cell r="I479" t="str">
            <v/>
          </cell>
          <cell r="J479" t="str">
            <v/>
          </cell>
          <cell r="K479" t="str">
            <v/>
          </cell>
          <cell r="L479" t="str">
            <v/>
          </cell>
          <cell r="M479" t="str">
            <v/>
          </cell>
          <cell r="N479" t="str">
            <v/>
          </cell>
        </row>
        <row r="480">
          <cell r="H480" t="str">
            <v/>
          </cell>
          <cell r="I480" t="str">
            <v/>
          </cell>
          <cell r="J480" t="str">
            <v/>
          </cell>
          <cell r="K480" t="str">
            <v/>
          </cell>
          <cell r="L480" t="str">
            <v/>
          </cell>
          <cell r="M480" t="str">
            <v/>
          </cell>
          <cell r="N480" t="str">
            <v/>
          </cell>
        </row>
        <row r="482">
          <cell r="I482"/>
        </row>
        <row r="485">
          <cell r="H485"/>
          <cell r="I485"/>
          <cell r="J485"/>
          <cell r="K485"/>
          <cell r="L485"/>
          <cell r="M485"/>
          <cell r="N485"/>
        </row>
        <row r="486">
          <cell r="H486"/>
          <cell r="I486"/>
          <cell r="J486"/>
          <cell r="K486"/>
          <cell r="L486"/>
          <cell r="M486"/>
          <cell r="N486"/>
        </row>
        <row r="487">
          <cell r="H487"/>
          <cell r="I487"/>
          <cell r="J487"/>
          <cell r="K487"/>
          <cell r="L487"/>
          <cell r="M487"/>
          <cell r="N487"/>
        </row>
        <row r="488">
          <cell r="H488"/>
          <cell r="I488"/>
          <cell r="J488"/>
          <cell r="K488"/>
          <cell r="L488"/>
          <cell r="M488"/>
          <cell r="N488"/>
        </row>
        <row r="489">
          <cell r="H489" t="str">
            <v/>
          </cell>
          <cell r="I489" t="str">
            <v/>
          </cell>
          <cell r="J489" t="str">
            <v/>
          </cell>
          <cell r="K489" t="str">
            <v/>
          </cell>
          <cell r="L489" t="str">
            <v/>
          </cell>
          <cell r="M489" t="str">
            <v/>
          </cell>
          <cell r="N489" t="str">
            <v/>
          </cell>
        </row>
        <row r="490">
          <cell r="H490" t="str">
            <v/>
          </cell>
          <cell r="I490" t="str">
            <v/>
          </cell>
          <cell r="J490" t="str">
            <v/>
          </cell>
          <cell r="K490" t="str">
            <v/>
          </cell>
          <cell r="L490" t="str">
            <v/>
          </cell>
          <cell r="M490" t="str">
            <v/>
          </cell>
          <cell r="N490" t="str">
            <v/>
          </cell>
        </row>
        <row r="491">
          <cell r="H491" t="str">
            <v/>
          </cell>
          <cell r="I491" t="str">
            <v/>
          </cell>
          <cell r="J491" t="str">
            <v/>
          </cell>
          <cell r="K491" t="str">
            <v/>
          </cell>
          <cell r="L491" t="str">
            <v/>
          </cell>
          <cell r="M491" t="str">
            <v/>
          </cell>
          <cell r="N491" t="str">
            <v/>
          </cell>
        </row>
        <row r="492">
          <cell r="H492" t="str">
            <v/>
          </cell>
          <cell r="I492" t="str">
            <v/>
          </cell>
          <cell r="J492" t="str">
            <v/>
          </cell>
          <cell r="K492" t="str">
            <v/>
          </cell>
          <cell r="L492" t="str">
            <v/>
          </cell>
          <cell r="M492" t="str">
            <v/>
          </cell>
          <cell r="N492" t="str">
            <v/>
          </cell>
        </row>
        <row r="499">
          <cell r="H499"/>
          <cell r="I499"/>
          <cell r="J499"/>
          <cell r="K499"/>
          <cell r="L499"/>
          <cell r="M499"/>
          <cell r="N499"/>
        </row>
        <row r="508">
          <cell r="H508"/>
          <cell r="I508"/>
          <cell r="J508"/>
          <cell r="K508"/>
          <cell r="L508"/>
          <cell r="M508"/>
          <cell r="N508"/>
        </row>
        <row r="509">
          <cell r="H509"/>
          <cell r="I509"/>
          <cell r="J509"/>
          <cell r="K509"/>
          <cell r="L509"/>
          <cell r="M509"/>
          <cell r="N509"/>
        </row>
        <row r="512">
          <cell r="H512"/>
          <cell r="I512"/>
          <cell r="J512"/>
          <cell r="K512"/>
          <cell r="L512"/>
          <cell r="M512"/>
          <cell r="N512"/>
        </row>
        <row r="513">
          <cell r="H513"/>
          <cell r="I513"/>
          <cell r="J513"/>
          <cell r="K513"/>
          <cell r="L513"/>
          <cell r="M513"/>
          <cell r="N513"/>
        </row>
        <row r="516">
          <cell r="H516"/>
          <cell r="I516"/>
          <cell r="J516"/>
          <cell r="K516"/>
          <cell r="L516"/>
          <cell r="M516"/>
          <cell r="N516"/>
        </row>
        <row r="517">
          <cell r="H517"/>
          <cell r="I517"/>
          <cell r="J517"/>
          <cell r="K517"/>
          <cell r="L517"/>
          <cell r="M517"/>
          <cell r="N517"/>
        </row>
        <row r="521">
          <cell r="L521"/>
        </row>
        <row r="523">
          <cell r="I523"/>
        </row>
        <row r="527">
          <cell r="G527"/>
          <cell r="H527"/>
          <cell r="I527"/>
          <cell r="J527"/>
          <cell r="K527"/>
          <cell r="L527"/>
          <cell r="M527"/>
          <cell r="N527"/>
        </row>
        <row r="528">
          <cell r="G528" t="str">
            <v>GJ / Unit</v>
          </cell>
          <cell r="H528"/>
          <cell r="I528"/>
          <cell r="J528"/>
          <cell r="K528"/>
          <cell r="L528"/>
          <cell r="M528"/>
          <cell r="N528"/>
        </row>
        <row r="529">
          <cell r="H529" t="str">
            <v/>
          </cell>
          <cell r="I529" t="str">
            <v/>
          </cell>
          <cell r="J529" t="str">
            <v/>
          </cell>
          <cell r="K529" t="str">
            <v/>
          </cell>
          <cell r="L529" t="str">
            <v/>
          </cell>
          <cell r="M529" t="str">
            <v/>
          </cell>
          <cell r="N529" t="str">
            <v/>
          </cell>
        </row>
        <row r="530">
          <cell r="H530"/>
          <cell r="I530"/>
          <cell r="J530"/>
          <cell r="K530"/>
          <cell r="L530"/>
          <cell r="M530"/>
          <cell r="N530"/>
        </row>
        <row r="532">
          <cell r="I532"/>
        </row>
        <row r="536">
          <cell r="G536"/>
          <cell r="H536"/>
          <cell r="I536"/>
          <cell r="J536"/>
          <cell r="K536"/>
          <cell r="L536"/>
          <cell r="M536"/>
          <cell r="N536"/>
        </row>
        <row r="537">
          <cell r="G537" t="str">
            <v>GJ / Unit</v>
          </cell>
          <cell r="H537"/>
          <cell r="I537"/>
          <cell r="J537"/>
          <cell r="K537"/>
          <cell r="L537"/>
          <cell r="M537"/>
          <cell r="N537"/>
        </row>
        <row r="538">
          <cell r="H538" t="str">
            <v/>
          </cell>
          <cell r="I538" t="str">
            <v/>
          </cell>
          <cell r="J538" t="str">
            <v/>
          </cell>
          <cell r="K538" t="str">
            <v/>
          </cell>
          <cell r="L538" t="str">
            <v/>
          </cell>
          <cell r="M538" t="str">
            <v/>
          </cell>
          <cell r="N538" t="str">
            <v/>
          </cell>
        </row>
        <row r="539">
          <cell r="H539"/>
          <cell r="I539"/>
          <cell r="J539"/>
          <cell r="K539"/>
          <cell r="L539"/>
          <cell r="M539"/>
          <cell r="N539"/>
        </row>
        <row r="541">
          <cell r="I541"/>
        </row>
        <row r="546">
          <cell r="G546"/>
          <cell r="H546"/>
          <cell r="I546"/>
          <cell r="J546"/>
          <cell r="K546"/>
          <cell r="L546"/>
          <cell r="M546"/>
          <cell r="N546"/>
        </row>
        <row r="547">
          <cell r="G547" t="str">
            <v>GJ / Unit</v>
          </cell>
          <cell r="H547"/>
          <cell r="I547"/>
          <cell r="J547"/>
          <cell r="K547"/>
          <cell r="L547"/>
          <cell r="M547"/>
          <cell r="N547"/>
        </row>
        <row r="548">
          <cell r="H548" t="str">
            <v/>
          </cell>
          <cell r="I548" t="str">
            <v/>
          </cell>
          <cell r="J548" t="str">
            <v/>
          </cell>
          <cell r="K548" t="str">
            <v/>
          </cell>
          <cell r="L548" t="str">
            <v/>
          </cell>
          <cell r="M548" t="str">
            <v/>
          </cell>
          <cell r="N548" t="str">
            <v/>
          </cell>
        </row>
        <row r="549">
          <cell r="H549"/>
          <cell r="I549"/>
          <cell r="J549"/>
          <cell r="K549"/>
          <cell r="L549"/>
          <cell r="M549"/>
          <cell r="N549"/>
        </row>
        <row r="551">
          <cell r="H551" t="str">
            <v/>
          </cell>
          <cell r="I551" t="str">
            <v/>
          </cell>
          <cell r="J551" t="str">
            <v/>
          </cell>
          <cell r="K551" t="str">
            <v/>
          </cell>
          <cell r="L551" t="str">
            <v/>
          </cell>
          <cell r="M551" t="str">
            <v/>
          </cell>
          <cell r="N551" t="str">
            <v/>
          </cell>
        </row>
        <row r="555">
          <cell r="I555" t="str">
            <v/>
          </cell>
          <cell r="J555" t="str">
            <v/>
          </cell>
          <cell r="K555" t="str">
            <v/>
          </cell>
          <cell r="L555" t="str">
            <v/>
          </cell>
          <cell r="M555" t="str">
            <v/>
          </cell>
          <cell r="N555" t="str">
            <v/>
          </cell>
        </row>
        <row r="556">
          <cell r="J556" t="str">
            <v/>
          </cell>
          <cell r="K556" t="str">
            <v/>
          </cell>
          <cell r="L556" t="str">
            <v/>
          </cell>
          <cell r="M556" t="str">
            <v/>
          </cell>
          <cell r="N556" t="str">
            <v/>
          </cell>
        </row>
        <row r="557">
          <cell r="J557" t="str">
            <v/>
          </cell>
          <cell r="K557" t="str">
            <v/>
          </cell>
          <cell r="L557" t="str">
            <v/>
          </cell>
          <cell r="M557" t="str">
            <v/>
          </cell>
          <cell r="N557" t="str">
            <v/>
          </cell>
        </row>
        <row r="558">
          <cell r="I558" t="str">
            <v/>
          </cell>
          <cell r="J558" t="str">
            <v/>
          </cell>
          <cell r="K558" t="str">
            <v/>
          </cell>
          <cell r="L558" t="str">
            <v/>
          </cell>
          <cell r="M558" t="str">
            <v/>
          </cell>
          <cell r="N558" t="str">
            <v/>
          </cell>
        </row>
        <row r="561">
          <cell r="J561" t="str">
            <v/>
          </cell>
          <cell r="K561" t="str">
            <v/>
          </cell>
          <cell r="L561" t="str">
            <v/>
          </cell>
          <cell r="M561" t="str">
            <v/>
          </cell>
          <cell r="N561" t="str">
            <v/>
          </cell>
        </row>
        <row r="563">
          <cell r="J563" t="str">
            <v/>
          </cell>
          <cell r="K563" t="str">
            <v/>
          </cell>
          <cell r="L563" t="str">
            <v/>
          </cell>
          <cell r="M563" t="str">
            <v/>
          </cell>
          <cell r="N563" t="str">
            <v/>
          </cell>
        </row>
        <row r="564">
          <cell r="I564" t="str">
            <v/>
          </cell>
          <cell r="J564" t="str">
            <v/>
          </cell>
          <cell r="K564" t="str">
            <v/>
          </cell>
          <cell r="L564" t="str">
            <v/>
          </cell>
          <cell r="M564" t="str">
            <v/>
          </cell>
          <cell r="N564" t="str">
            <v/>
          </cell>
        </row>
        <row r="567">
          <cell r="I567"/>
        </row>
        <row r="571">
          <cell r="G571"/>
          <cell r="H571"/>
          <cell r="I571"/>
          <cell r="J571"/>
          <cell r="K571"/>
          <cell r="L571"/>
          <cell r="M571"/>
          <cell r="N571"/>
        </row>
        <row r="572">
          <cell r="G572" t="str">
            <v>GJ / Unit</v>
          </cell>
          <cell r="H572"/>
          <cell r="I572"/>
          <cell r="J572"/>
          <cell r="K572"/>
          <cell r="L572"/>
          <cell r="M572"/>
          <cell r="N572"/>
        </row>
        <row r="573">
          <cell r="H573" t="str">
            <v/>
          </cell>
          <cell r="I573" t="str">
            <v/>
          </cell>
          <cell r="J573" t="str">
            <v/>
          </cell>
          <cell r="K573" t="str">
            <v/>
          </cell>
          <cell r="L573" t="str">
            <v/>
          </cell>
          <cell r="M573" t="str">
            <v/>
          </cell>
          <cell r="N573" t="str">
            <v/>
          </cell>
        </row>
        <row r="574">
          <cell r="H574"/>
          <cell r="I574"/>
          <cell r="J574"/>
          <cell r="K574"/>
          <cell r="L574"/>
          <cell r="M574"/>
          <cell r="N574"/>
        </row>
        <row r="576">
          <cell r="I576"/>
        </row>
        <row r="580">
          <cell r="G580"/>
          <cell r="H580"/>
          <cell r="I580"/>
          <cell r="J580"/>
          <cell r="K580"/>
          <cell r="L580"/>
          <cell r="M580"/>
          <cell r="N580"/>
        </row>
        <row r="581">
          <cell r="G581" t="str">
            <v>GJ / Unit</v>
          </cell>
          <cell r="H581"/>
          <cell r="I581"/>
          <cell r="J581"/>
          <cell r="K581"/>
          <cell r="L581"/>
          <cell r="M581"/>
          <cell r="N581"/>
        </row>
        <row r="582">
          <cell r="H582" t="str">
            <v/>
          </cell>
          <cell r="I582" t="str">
            <v/>
          </cell>
          <cell r="J582" t="str">
            <v/>
          </cell>
          <cell r="K582" t="str">
            <v/>
          </cell>
          <cell r="L582" t="str">
            <v/>
          </cell>
          <cell r="M582" t="str">
            <v/>
          </cell>
          <cell r="N582" t="str">
            <v/>
          </cell>
        </row>
        <row r="583">
          <cell r="H583"/>
          <cell r="I583"/>
          <cell r="J583"/>
          <cell r="K583"/>
          <cell r="L583"/>
          <cell r="M583"/>
          <cell r="N583"/>
        </row>
        <row r="589">
          <cell r="H589"/>
          <cell r="I589"/>
          <cell r="J589"/>
          <cell r="K589"/>
          <cell r="L589"/>
          <cell r="M589"/>
          <cell r="N589"/>
        </row>
        <row r="595">
          <cell r="E595" t="str">
            <v/>
          </cell>
          <cell r="H595"/>
          <cell r="I595"/>
          <cell r="J595"/>
          <cell r="K595"/>
          <cell r="L595"/>
          <cell r="M595"/>
          <cell r="N595"/>
        </row>
        <row r="600">
          <cell r="L600"/>
        </row>
        <row r="603">
          <cell r="E603"/>
          <cell r="G603" t="str">
            <v>tonnes</v>
          </cell>
          <cell r="H603"/>
          <cell r="I603"/>
          <cell r="J603"/>
          <cell r="K603"/>
          <cell r="L603"/>
          <cell r="M603"/>
          <cell r="N603"/>
        </row>
        <row r="604">
          <cell r="E604"/>
          <cell r="G604" t="str">
            <v>tonnes</v>
          </cell>
          <cell r="H604"/>
          <cell r="I604"/>
          <cell r="J604"/>
          <cell r="K604"/>
          <cell r="L604"/>
          <cell r="M604"/>
          <cell r="N604"/>
        </row>
        <row r="607">
          <cell r="E607"/>
          <cell r="G607" t="str">
            <v>tonnes</v>
          </cell>
          <cell r="H607"/>
          <cell r="I607"/>
          <cell r="J607"/>
          <cell r="K607"/>
          <cell r="L607"/>
          <cell r="M607"/>
          <cell r="N607"/>
        </row>
        <row r="608">
          <cell r="E608"/>
          <cell r="G608" t="str">
            <v>tonnes</v>
          </cell>
          <cell r="H608"/>
          <cell r="I608"/>
          <cell r="J608"/>
          <cell r="K608"/>
          <cell r="L608"/>
          <cell r="M608"/>
          <cell r="N608"/>
        </row>
        <row r="612">
          <cell r="E612"/>
        </row>
        <row r="617">
          <cell r="I617" t="str">
            <v/>
          </cell>
        </row>
        <row r="625">
          <cell r="E625" t="str">
            <v/>
          </cell>
          <cell r="G625" t="str">
            <v>tonnes</v>
          </cell>
          <cell r="H625"/>
          <cell r="I625"/>
          <cell r="J625"/>
          <cell r="K625"/>
          <cell r="L625"/>
          <cell r="M625"/>
          <cell r="N625"/>
        </row>
        <row r="626">
          <cell r="E626" t="str">
            <v>From sheet "H_SpecialBM":</v>
          </cell>
          <cell r="G626" t="str">
            <v>tonnes</v>
          </cell>
          <cell r="H626" t="str">
            <v/>
          </cell>
          <cell r="I626" t="str">
            <v/>
          </cell>
          <cell r="J626" t="str">
            <v/>
          </cell>
          <cell r="K626" t="str">
            <v/>
          </cell>
          <cell r="L626" t="str">
            <v/>
          </cell>
          <cell r="M626" t="str">
            <v/>
          </cell>
          <cell r="N626" t="str">
            <v/>
          </cell>
        </row>
        <row r="627">
          <cell r="E627" t="str">
            <v>Values used for calculation:</v>
          </cell>
          <cell r="G627" t="str">
            <v>tonnes</v>
          </cell>
          <cell r="H627" t="str">
            <v/>
          </cell>
          <cell r="I627" t="str">
            <v/>
          </cell>
          <cell r="J627" t="str">
            <v/>
          </cell>
          <cell r="K627" t="str">
            <v/>
          </cell>
          <cell r="L627" t="str">
            <v/>
          </cell>
          <cell r="M627" t="str">
            <v/>
          </cell>
          <cell r="N627" t="str">
            <v/>
          </cell>
        </row>
        <row r="639">
          <cell r="H639" t="str">
            <v>tonnes</v>
          </cell>
          <cell r="I639" t="str">
            <v/>
          </cell>
          <cell r="J639" t="str">
            <v/>
          </cell>
          <cell r="K639" t="str">
            <v/>
          </cell>
          <cell r="L639" t="str">
            <v/>
          </cell>
          <cell r="M639" t="str">
            <v/>
          </cell>
          <cell r="N639" t="str">
            <v/>
          </cell>
        </row>
        <row r="640">
          <cell r="J640" t="str">
            <v/>
          </cell>
          <cell r="K640" t="str">
            <v/>
          </cell>
          <cell r="L640" t="str">
            <v/>
          </cell>
          <cell r="M640" t="str">
            <v/>
          </cell>
          <cell r="N640" t="str">
            <v/>
          </cell>
        </row>
        <row r="641">
          <cell r="J641" t="str">
            <v/>
          </cell>
          <cell r="K641" t="str">
            <v/>
          </cell>
          <cell r="L641" t="str">
            <v/>
          </cell>
          <cell r="M641" t="str">
            <v/>
          </cell>
          <cell r="N641" t="str">
            <v/>
          </cell>
        </row>
        <row r="642">
          <cell r="H642" t="str">
            <v>tonnes</v>
          </cell>
          <cell r="I642" t="str">
            <v/>
          </cell>
          <cell r="J642" t="str">
            <v/>
          </cell>
          <cell r="K642" t="str">
            <v/>
          </cell>
          <cell r="L642" t="str">
            <v/>
          </cell>
          <cell r="M642" t="str">
            <v/>
          </cell>
          <cell r="N642" t="str">
            <v/>
          </cell>
        </row>
        <row r="645">
          <cell r="J645" t="str">
            <v/>
          </cell>
          <cell r="K645" t="str">
            <v/>
          </cell>
          <cell r="L645" t="str">
            <v/>
          </cell>
          <cell r="M645" t="str">
            <v/>
          </cell>
          <cell r="N645" t="str">
            <v/>
          </cell>
        </row>
        <row r="647">
          <cell r="J647" t="str">
            <v/>
          </cell>
          <cell r="K647" t="str">
            <v/>
          </cell>
          <cell r="L647" t="str">
            <v/>
          </cell>
          <cell r="M647" t="str">
            <v/>
          </cell>
          <cell r="N647" t="str">
            <v/>
          </cell>
        </row>
        <row r="648">
          <cell r="H648" t="str">
            <v>tonnes</v>
          </cell>
          <cell r="I648" t="str">
            <v/>
          </cell>
          <cell r="J648" t="str">
            <v/>
          </cell>
          <cell r="K648" t="str">
            <v/>
          </cell>
          <cell r="L648" t="str">
            <v/>
          </cell>
          <cell r="M648" t="str">
            <v/>
          </cell>
          <cell r="N648" t="str">
            <v/>
          </cell>
        </row>
        <row r="658">
          <cell r="H658"/>
          <cell r="I658"/>
          <cell r="J658"/>
          <cell r="K658"/>
          <cell r="L658"/>
          <cell r="M658"/>
          <cell r="N658"/>
        </row>
        <row r="659">
          <cell r="H659" t="str">
            <v/>
          </cell>
          <cell r="I659" t="str">
            <v/>
          </cell>
          <cell r="J659" t="str">
            <v/>
          </cell>
          <cell r="K659" t="str">
            <v/>
          </cell>
          <cell r="L659" t="str">
            <v/>
          </cell>
          <cell r="M659" t="str">
            <v/>
          </cell>
          <cell r="N659" t="str">
            <v/>
          </cell>
        </row>
        <row r="660">
          <cell r="H660"/>
          <cell r="I660"/>
          <cell r="J660"/>
          <cell r="K660"/>
          <cell r="L660"/>
          <cell r="M660"/>
          <cell r="N660"/>
        </row>
        <row r="661">
          <cell r="H661" t="str">
            <v/>
          </cell>
          <cell r="I661" t="str">
            <v/>
          </cell>
          <cell r="J661" t="str">
            <v/>
          </cell>
          <cell r="K661" t="str">
            <v/>
          </cell>
          <cell r="L661" t="str">
            <v/>
          </cell>
          <cell r="M661" t="str">
            <v/>
          </cell>
          <cell r="N661" t="str">
            <v/>
          </cell>
        </row>
        <row r="662">
          <cell r="H662" t="str">
            <v/>
          </cell>
          <cell r="I662" t="str">
            <v/>
          </cell>
          <cell r="J662" t="str">
            <v/>
          </cell>
          <cell r="K662" t="str">
            <v/>
          </cell>
          <cell r="L662" t="str">
            <v/>
          </cell>
          <cell r="M662" t="str">
            <v/>
          </cell>
          <cell r="N662" t="str">
            <v/>
          </cell>
        </row>
        <row r="664">
          <cell r="H664" t="str">
            <v/>
          </cell>
          <cell r="I664" t="str">
            <v/>
          </cell>
          <cell r="J664" t="str">
            <v/>
          </cell>
          <cell r="K664" t="str">
            <v/>
          </cell>
          <cell r="L664" t="str">
            <v/>
          </cell>
          <cell r="M664" t="str">
            <v/>
          </cell>
          <cell r="N664" t="str">
            <v/>
          </cell>
        </row>
        <row r="669">
          <cell r="I669" t="str">
            <v/>
          </cell>
          <cell r="J669" t="str">
            <v/>
          </cell>
          <cell r="K669" t="str">
            <v/>
          </cell>
          <cell r="L669" t="str">
            <v/>
          </cell>
          <cell r="M669" t="str">
            <v/>
          </cell>
          <cell r="N669" t="str">
            <v/>
          </cell>
        </row>
        <row r="670">
          <cell r="J670" t="str">
            <v/>
          </cell>
          <cell r="K670" t="str">
            <v/>
          </cell>
          <cell r="L670" t="str">
            <v/>
          </cell>
          <cell r="M670" t="str">
            <v/>
          </cell>
          <cell r="N670" t="str">
            <v/>
          </cell>
        </row>
        <row r="671">
          <cell r="J671" t="str">
            <v/>
          </cell>
          <cell r="K671" t="str">
            <v/>
          </cell>
          <cell r="L671" t="str">
            <v/>
          </cell>
          <cell r="M671" t="str">
            <v/>
          </cell>
          <cell r="N671" t="str">
            <v/>
          </cell>
        </row>
        <row r="672">
          <cell r="I672" t="str">
            <v/>
          </cell>
          <cell r="J672" t="str">
            <v/>
          </cell>
          <cell r="K672" t="str">
            <v/>
          </cell>
          <cell r="L672" t="str">
            <v/>
          </cell>
          <cell r="M672" t="str">
            <v/>
          </cell>
          <cell r="N672" t="str">
            <v/>
          </cell>
        </row>
        <row r="675">
          <cell r="J675" t="str">
            <v/>
          </cell>
          <cell r="K675" t="str">
            <v/>
          </cell>
          <cell r="L675" t="str">
            <v/>
          </cell>
          <cell r="M675" t="str">
            <v/>
          </cell>
          <cell r="N675" t="str">
            <v/>
          </cell>
        </row>
        <row r="677">
          <cell r="J677" t="str">
            <v/>
          </cell>
          <cell r="K677" t="str">
            <v/>
          </cell>
          <cell r="L677" t="str">
            <v/>
          </cell>
          <cell r="M677" t="str">
            <v/>
          </cell>
          <cell r="N677" t="str">
            <v/>
          </cell>
        </row>
        <row r="678">
          <cell r="I678" t="str">
            <v/>
          </cell>
          <cell r="J678" t="str">
            <v/>
          </cell>
          <cell r="K678" t="str">
            <v/>
          </cell>
          <cell r="L678" t="str">
            <v/>
          </cell>
          <cell r="M678" t="str">
            <v/>
          </cell>
          <cell r="N678" t="str">
            <v/>
          </cell>
        </row>
        <row r="687">
          <cell r="H687"/>
          <cell r="I687"/>
          <cell r="J687"/>
          <cell r="K687"/>
          <cell r="L687"/>
          <cell r="M687"/>
          <cell r="N687"/>
        </row>
        <row r="688">
          <cell r="H688" t="str">
            <v/>
          </cell>
          <cell r="I688" t="str">
            <v/>
          </cell>
          <cell r="J688" t="str">
            <v/>
          </cell>
          <cell r="K688" t="str">
            <v/>
          </cell>
          <cell r="L688" t="str">
            <v/>
          </cell>
          <cell r="M688" t="str">
            <v/>
          </cell>
          <cell r="N688" t="str">
            <v/>
          </cell>
        </row>
        <row r="689">
          <cell r="H689" t="str">
            <v/>
          </cell>
          <cell r="I689" t="str">
            <v/>
          </cell>
          <cell r="J689" t="str">
            <v/>
          </cell>
          <cell r="K689" t="str">
            <v/>
          </cell>
          <cell r="L689" t="str">
            <v/>
          </cell>
          <cell r="M689" t="str">
            <v/>
          </cell>
          <cell r="N689" t="str">
            <v/>
          </cell>
        </row>
        <row r="694">
          <cell r="I694" t="str">
            <v/>
          </cell>
          <cell r="J694" t="str">
            <v/>
          </cell>
          <cell r="K694" t="str">
            <v/>
          </cell>
          <cell r="L694" t="str">
            <v/>
          </cell>
          <cell r="M694" t="str">
            <v/>
          </cell>
          <cell r="N694" t="str">
            <v/>
          </cell>
        </row>
        <row r="695">
          <cell r="J695" t="str">
            <v/>
          </cell>
          <cell r="K695" t="str">
            <v/>
          </cell>
          <cell r="L695" t="str">
            <v/>
          </cell>
          <cell r="M695" t="str">
            <v/>
          </cell>
          <cell r="N695" t="str">
            <v/>
          </cell>
        </row>
        <row r="696">
          <cell r="J696" t="str">
            <v/>
          </cell>
          <cell r="K696" t="str">
            <v/>
          </cell>
          <cell r="L696" t="str">
            <v/>
          </cell>
          <cell r="M696" t="str">
            <v/>
          </cell>
          <cell r="N696" t="str">
            <v/>
          </cell>
        </row>
        <row r="697">
          <cell r="I697" t="str">
            <v/>
          </cell>
          <cell r="J697" t="str">
            <v/>
          </cell>
          <cell r="K697" t="str">
            <v/>
          </cell>
          <cell r="L697" t="str">
            <v/>
          </cell>
          <cell r="M697" t="str">
            <v/>
          </cell>
          <cell r="N697" t="str">
            <v/>
          </cell>
        </row>
        <row r="700">
          <cell r="J700" t="str">
            <v/>
          </cell>
          <cell r="K700" t="str">
            <v/>
          </cell>
          <cell r="L700" t="str">
            <v/>
          </cell>
          <cell r="M700" t="str">
            <v/>
          </cell>
          <cell r="N700" t="str">
            <v/>
          </cell>
        </row>
        <row r="702">
          <cell r="J702" t="str">
            <v/>
          </cell>
          <cell r="K702" t="str">
            <v/>
          </cell>
          <cell r="L702" t="str">
            <v/>
          </cell>
          <cell r="M702" t="str">
            <v/>
          </cell>
          <cell r="N702" t="str">
            <v/>
          </cell>
        </row>
        <row r="703">
          <cell r="I703" t="str">
            <v/>
          </cell>
          <cell r="J703" t="str">
            <v/>
          </cell>
          <cell r="K703" t="str">
            <v/>
          </cell>
          <cell r="L703" t="str">
            <v/>
          </cell>
          <cell r="M703" t="str">
            <v/>
          </cell>
          <cell r="N703" t="str">
            <v/>
          </cell>
        </row>
        <row r="717">
          <cell r="E717"/>
          <cell r="F717"/>
          <cell r="G717"/>
          <cell r="H717"/>
          <cell r="I717"/>
          <cell r="J717"/>
          <cell r="K717"/>
          <cell r="L717"/>
          <cell r="M717"/>
          <cell r="N717"/>
        </row>
        <row r="718">
          <cell r="E718"/>
          <cell r="F718"/>
          <cell r="G718"/>
          <cell r="H718"/>
          <cell r="I718"/>
          <cell r="J718"/>
          <cell r="K718"/>
          <cell r="L718"/>
          <cell r="M718"/>
          <cell r="N718"/>
        </row>
        <row r="719">
          <cell r="E719"/>
          <cell r="F719"/>
          <cell r="G719"/>
          <cell r="H719"/>
          <cell r="I719"/>
          <cell r="J719"/>
          <cell r="K719"/>
          <cell r="L719"/>
          <cell r="M719"/>
          <cell r="N719"/>
        </row>
        <row r="720">
          <cell r="E720"/>
          <cell r="F720"/>
          <cell r="G720"/>
          <cell r="H720"/>
          <cell r="I720"/>
          <cell r="J720"/>
          <cell r="K720"/>
          <cell r="L720"/>
          <cell r="M720"/>
          <cell r="N720"/>
        </row>
        <row r="721">
          <cell r="E721"/>
          <cell r="F721"/>
          <cell r="G721"/>
          <cell r="H721"/>
          <cell r="I721"/>
          <cell r="J721"/>
          <cell r="K721"/>
          <cell r="L721"/>
          <cell r="M721"/>
          <cell r="N721"/>
        </row>
        <row r="722">
          <cell r="E722"/>
          <cell r="F722"/>
          <cell r="G722"/>
          <cell r="H722"/>
          <cell r="I722"/>
          <cell r="J722"/>
          <cell r="K722"/>
          <cell r="L722"/>
          <cell r="M722"/>
          <cell r="N722"/>
        </row>
        <row r="723">
          <cell r="E723"/>
          <cell r="F723"/>
          <cell r="G723"/>
          <cell r="H723"/>
          <cell r="I723"/>
          <cell r="J723"/>
          <cell r="K723"/>
          <cell r="L723"/>
          <cell r="M723"/>
          <cell r="N723"/>
        </row>
        <row r="724">
          <cell r="E724"/>
          <cell r="F724"/>
          <cell r="G724"/>
          <cell r="H724"/>
          <cell r="I724"/>
          <cell r="J724"/>
          <cell r="K724"/>
          <cell r="L724"/>
          <cell r="M724"/>
          <cell r="N724"/>
        </row>
        <row r="725">
          <cell r="E725"/>
          <cell r="F725"/>
          <cell r="G725"/>
          <cell r="H725"/>
          <cell r="I725"/>
          <cell r="J725"/>
          <cell r="K725"/>
          <cell r="L725"/>
          <cell r="M725"/>
          <cell r="N725"/>
        </row>
        <row r="726">
          <cell r="E726"/>
          <cell r="F726"/>
          <cell r="G726"/>
          <cell r="H726"/>
          <cell r="I726"/>
          <cell r="J726"/>
          <cell r="K726"/>
          <cell r="L726"/>
          <cell r="M726"/>
          <cell r="N726"/>
        </row>
        <row r="727">
          <cell r="G727"/>
          <cell r="H727" t="str">
            <v/>
          </cell>
          <cell r="I727" t="str">
            <v/>
          </cell>
          <cell r="J727" t="str">
            <v/>
          </cell>
          <cell r="K727" t="str">
            <v/>
          </cell>
          <cell r="L727" t="str">
            <v/>
          </cell>
          <cell r="M727" t="str">
            <v/>
          </cell>
          <cell r="N727" t="str">
            <v/>
          </cell>
        </row>
        <row r="732">
          <cell r="I732" t="str">
            <v/>
          </cell>
        </row>
        <row r="752">
          <cell r="E752" t="str">
            <v/>
          </cell>
          <cell r="H752"/>
          <cell r="I752"/>
          <cell r="J752"/>
          <cell r="K752"/>
          <cell r="L752"/>
          <cell r="M752"/>
          <cell r="N752"/>
        </row>
        <row r="760">
          <cell r="H760"/>
          <cell r="I760"/>
          <cell r="J760"/>
          <cell r="K760"/>
          <cell r="L760"/>
          <cell r="M760"/>
          <cell r="N760"/>
        </row>
        <row r="761">
          <cell r="H761"/>
          <cell r="I761"/>
          <cell r="J761"/>
          <cell r="K761"/>
          <cell r="L761"/>
          <cell r="M761"/>
          <cell r="N761"/>
        </row>
        <row r="770">
          <cell r="L770"/>
        </row>
        <row r="772">
          <cell r="I772"/>
        </row>
        <row r="775">
          <cell r="H775"/>
          <cell r="I775"/>
          <cell r="J775"/>
          <cell r="K775"/>
          <cell r="L775"/>
          <cell r="M775"/>
          <cell r="N775"/>
        </row>
        <row r="776">
          <cell r="H776"/>
          <cell r="I776"/>
          <cell r="J776"/>
          <cell r="K776"/>
          <cell r="L776"/>
          <cell r="M776"/>
          <cell r="N776"/>
        </row>
        <row r="777">
          <cell r="H777"/>
          <cell r="I777"/>
          <cell r="J777"/>
          <cell r="K777"/>
          <cell r="L777"/>
          <cell r="M777"/>
          <cell r="N777"/>
        </row>
        <row r="778">
          <cell r="H778"/>
          <cell r="I778"/>
          <cell r="J778"/>
          <cell r="K778"/>
          <cell r="L778"/>
          <cell r="M778"/>
          <cell r="N778"/>
        </row>
        <row r="779">
          <cell r="H779" t="str">
            <v/>
          </cell>
          <cell r="I779" t="str">
            <v/>
          </cell>
          <cell r="J779" t="str">
            <v/>
          </cell>
          <cell r="K779" t="str">
            <v/>
          </cell>
          <cell r="L779" t="str">
            <v/>
          </cell>
          <cell r="M779" t="str">
            <v/>
          </cell>
          <cell r="N779" t="str">
            <v/>
          </cell>
        </row>
        <row r="780">
          <cell r="H780" t="str">
            <v/>
          </cell>
          <cell r="I780" t="str">
            <v/>
          </cell>
          <cell r="J780" t="str">
            <v/>
          </cell>
          <cell r="K780" t="str">
            <v/>
          </cell>
          <cell r="L780" t="str">
            <v/>
          </cell>
          <cell r="M780" t="str">
            <v/>
          </cell>
          <cell r="N780" t="str">
            <v/>
          </cell>
        </row>
        <row r="781">
          <cell r="H781" t="str">
            <v/>
          </cell>
          <cell r="I781" t="str">
            <v/>
          </cell>
          <cell r="J781" t="str">
            <v/>
          </cell>
          <cell r="K781" t="str">
            <v/>
          </cell>
          <cell r="L781" t="str">
            <v/>
          </cell>
          <cell r="M781" t="str">
            <v/>
          </cell>
          <cell r="N781" t="str">
            <v/>
          </cell>
        </row>
        <row r="782">
          <cell r="H782" t="str">
            <v/>
          </cell>
          <cell r="I782" t="str">
            <v/>
          </cell>
          <cell r="J782" t="str">
            <v/>
          </cell>
          <cell r="K782" t="str">
            <v/>
          </cell>
          <cell r="L782" t="str">
            <v/>
          </cell>
          <cell r="M782" t="str">
            <v/>
          </cell>
          <cell r="N782" t="str">
            <v/>
          </cell>
        </row>
        <row r="784">
          <cell r="I784"/>
        </row>
        <row r="787">
          <cell r="H787"/>
          <cell r="I787"/>
          <cell r="J787"/>
          <cell r="K787"/>
          <cell r="L787"/>
          <cell r="M787"/>
          <cell r="N787"/>
        </row>
        <row r="788">
          <cell r="H788"/>
          <cell r="I788"/>
          <cell r="J788"/>
          <cell r="K788"/>
          <cell r="L788"/>
          <cell r="M788"/>
          <cell r="N788"/>
        </row>
        <row r="789">
          <cell r="H789"/>
          <cell r="I789"/>
          <cell r="J789"/>
          <cell r="K789"/>
          <cell r="L789"/>
          <cell r="M789"/>
          <cell r="N789"/>
        </row>
        <row r="790">
          <cell r="H790"/>
          <cell r="I790"/>
          <cell r="J790"/>
          <cell r="K790"/>
          <cell r="L790"/>
          <cell r="M790"/>
          <cell r="N790"/>
        </row>
        <row r="791">
          <cell r="H791" t="str">
            <v/>
          </cell>
          <cell r="I791" t="str">
            <v/>
          </cell>
          <cell r="J791" t="str">
            <v/>
          </cell>
          <cell r="K791" t="str">
            <v/>
          </cell>
          <cell r="L791" t="str">
            <v/>
          </cell>
          <cell r="M791" t="str">
            <v/>
          </cell>
          <cell r="N791" t="str">
            <v/>
          </cell>
        </row>
        <row r="792">
          <cell r="H792" t="str">
            <v/>
          </cell>
          <cell r="I792" t="str">
            <v/>
          </cell>
          <cell r="J792" t="str">
            <v/>
          </cell>
          <cell r="K792" t="str">
            <v/>
          </cell>
          <cell r="L792" t="str">
            <v/>
          </cell>
          <cell r="M792" t="str">
            <v/>
          </cell>
          <cell r="N792" t="str">
            <v/>
          </cell>
        </row>
        <row r="793">
          <cell r="H793" t="str">
            <v/>
          </cell>
          <cell r="I793" t="str">
            <v/>
          </cell>
          <cell r="J793" t="str">
            <v/>
          </cell>
          <cell r="K793" t="str">
            <v/>
          </cell>
          <cell r="L793" t="str">
            <v/>
          </cell>
          <cell r="M793" t="str">
            <v/>
          </cell>
          <cell r="N793" t="str">
            <v/>
          </cell>
        </row>
        <row r="794">
          <cell r="H794" t="str">
            <v/>
          </cell>
          <cell r="I794" t="str">
            <v/>
          </cell>
          <cell r="J794" t="str">
            <v/>
          </cell>
          <cell r="K794" t="str">
            <v/>
          </cell>
          <cell r="L794" t="str">
            <v/>
          </cell>
          <cell r="M794" t="str">
            <v/>
          </cell>
          <cell r="N794" t="str">
            <v/>
          </cell>
        </row>
        <row r="801">
          <cell r="H801"/>
          <cell r="I801"/>
          <cell r="J801"/>
          <cell r="K801"/>
          <cell r="L801"/>
          <cell r="M801"/>
          <cell r="N801"/>
        </row>
        <row r="810">
          <cell r="H810"/>
          <cell r="I810"/>
          <cell r="J810"/>
          <cell r="K810"/>
          <cell r="L810"/>
          <cell r="M810"/>
          <cell r="N810"/>
        </row>
        <row r="811">
          <cell r="H811"/>
          <cell r="I811"/>
          <cell r="J811"/>
          <cell r="K811"/>
          <cell r="L811"/>
          <cell r="M811"/>
          <cell r="N811"/>
        </row>
        <row r="814">
          <cell r="H814"/>
          <cell r="I814"/>
          <cell r="J814"/>
          <cell r="K814"/>
          <cell r="L814"/>
          <cell r="M814"/>
          <cell r="N814"/>
        </row>
        <row r="815">
          <cell r="H815"/>
          <cell r="I815"/>
          <cell r="J815"/>
          <cell r="K815"/>
          <cell r="L815"/>
          <cell r="M815"/>
          <cell r="N815"/>
        </row>
        <row r="818">
          <cell r="H818"/>
          <cell r="I818"/>
          <cell r="J818"/>
          <cell r="K818"/>
          <cell r="L818"/>
          <cell r="M818"/>
          <cell r="N818"/>
        </row>
        <row r="819">
          <cell r="H819"/>
          <cell r="I819"/>
          <cell r="J819"/>
          <cell r="K819"/>
          <cell r="L819"/>
          <cell r="M819"/>
          <cell r="N819"/>
        </row>
        <row r="823">
          <cell r="L823"/>
        </row>
        <row r="825">
          <cell r="I825"/>
        </row>
        <row r="829">
          <cell r="G829"/>
          <cell r="H829"/>
          <cell r="I829"/>
          <cell r="J829"/>
          <cell r="K829"/>
          <cell r="L829"/>
          <cell r="M829"/>
          <cell r="N829"/>
        </row>
        <row r="830">
          <cell r="G830" t="str">
            <v>GJ / Unit</v>
          </cell>
          <cell r="H830"/>
          <cell r="I830"/>
          <cell r="J830"/>
          <cell r="K830"/>
          <cell r="L830"/>
          <cell r="M830"/>
          <cell r="N830"/>
        </row>
        <row r="831">
          <cell r="H831" t="str">
            <v/>
          </cell>
          <cell r="I831" t="str">
            <v/>
          </cell>
          <cell r="J831" t="str">
            <v/>
          </cell>
          <cell r="K831" t="str">
            <v/>
          </cell>
          <cell r="L831" t="str">
            <v/>
          </cell>
          <cell r="M831" t="str">
            <v/>
          </cell>
          <cell r="N831" t="str">
            <v/>
          </cell>
        </row>
        <row r="832">
          <cell r="H832"/>
          <cell r="I832"/>
          <cell r="J832"/>
          <cell r="K832"/>
          <cell r="L832"/>
          <cell r="M832"/>
          <cell r="N832"/>
        </row>
        <row r="834">
          <cell r="I834"/>
        </row>
        <row r="838">
          <cell r="G838"/>
          <cell r="H838"/>
          <cell r="I838"/>
          <cell r="J838"/>
          <cell r="K838"/>
          <cell r="L838"/>
          <cell r="M838"/>
          <cell r="N838"/>
        </row>
        <row r="839">
          <cell r="G839" t="str">
            <v>GJ / Unit</v>
          </cell>
          <cell r="H839"/>
          <cell r="I839"/>
          <cell r="J839"/>
          <cell r="K839"/>
          <cell r="L839"/>
          <cell r="M839"/>
          <cell r="N839"/>
        </row>
        <row r="840">
          <cell r="H840" t="str">
            <v/>
          </cell>
          <cell r="I840" t="str">
            <v/>
          </cell>
          <cell r="J840" t="str">
            <v/>
          </cell>
          <cell r="K840" t="str">
            <v/>
          </cell>
          <cell r="L840" t="str">
            <v/>
          </cell>
          <cell r="M840" t="str">
            <v/>
          </cell>
          <cell r="N840" t="str">
            <v/>
          </cell>
        </row>
        <row r="841">
          <cell r="H841"/>
          <cell r="I841"/>
          <cell r="J841"/>
          <cell r="K841"/>
          <cell r="L841"/>
          <cell r="M841"/>
          <cell r="N841"/>
        </row>
        <row r="843">
          <cell r="I843"/>
        </row>
        <row r="848">
          <cell r="G848"/>
          <cell r="H848"/>
          <cell r="I848"/>
          <cell r="J848"/>
          <cell r="K848"/>
          <cell r="L848"/>
          <cell r="M848"/>
          <cell r="N848"/>
        </row>
        <row r="849">
          <cell r="G849" t="str">
            <v>GJ / Unit</v>
          </cell>
          <cell r="H849"/>
          <cell r="I849"/>
          <cell r="J849"/>
          <cell r="K849"/>
          <cell r="L849"/>
          <cell r="M849"/>
          <cell r="N849"/>
        </row>
        <row r="850">
          <cell r="H850" t="str">
            <v/>
          </cell>
          <cell r="I850" t="str">
            <v/>
          </cell>
          <cell r="J850" t="str">
            <v/>
          </cell>
          <cell r="K850" t="str">
            <v/>
          </cell>
          <cell r="L850" t="str">
            <v/>
          </cell>
          <cell r="M850" t="str">
            <v/>
          </cell>
          <cell r="N850" t="str">
            <v/>
          </cell>
        </row>
        <row r="851">
          <cell r="H851"/>
          <cell r="I851"/>
          <cell r="J851"/>
          <cell r="K851"/>
          <cell r="L851"/>
          <cell r="M851"/>
          <cell r="N851"/>
        </row>
        <row r="853">
          <cell r="H853" t="str">
            <v/>
          </cell>
          <cell r="I853" t="str">
            <v/>
          </cell>
          <cell r="J853" t="str">
            <v/>
          </cell>
          <cell r="K853" t="str">
            <v/>
          </cell>
          <cell r="L853" t="str">
            <v/>
          </cell>
          <cell r="M853" t="str">
            <v/>
          </cell>
          <cell r="N853" t="str">
            <v/>
          </cell>
        </row>
        <row r="857">
          <cell r="I857" t="str">
            <v/>
          </cell>
          <cell r="J857" t="str">
            <v/>
          </cell>
          <cell r="K857" t="str">
            <v/>
          </cell>
          <cell r="L857" t="str">
            <v/>
          </cell>
          <cell r="M857" t="str">
            <v/>
          </cell>
          <cell r="N857" t="str">
            <v/>
          </cell>
        </row>
        <row r="858">
          <cell r="J858" t="str">
            <v/>
          </cell>
          <cell r="K858" t="str">
            <v/>
          </cell>
          <cell r="L858" t="str">
            <v/>
          </cell>
          <cell r="M858" t="str">
            <v/>
          </cell>
          <cell r="N858" t="str">
            <v/>
          </cell>
        </row>
        <row r="859">
          <cell r="J859" t="str">
            <v/>
          </cell>
          <cell r="K859" t="str">
            <v/>
          </cell>
          <cell r="L859" t="str">
            <v/>
          </cell>
          <cell r="M859" t="str">
            <v/>
          </cell>
          <cell r="N859" t="str">
            <v/>
          </cell>
        </row>
        <row r="860">
          <cell r="I860" t="str">
            <v/>
          </cell>
          <cell r="J860" t="str">
            <v/>
          </cell>
          <cell r="K860" t="str">
            <v/>
          </cell>
          <cell r="L860" t="str">
            <v/>
          </cell>
          <cell r="M860" t="str">
            <v/>
          </cell>
          <cell r="N860" t="str">
            <v/>
          </cell>
        </row>
        <row r="863">
          <cell r="J863" t="str">
            <v/>
          </cell>
          <cell r="K863" t="str">
            <v/>
          </cell>
          <cell r="L863" t="str">
            <v/>
          </cell>
          <cell r="M863" t="str">
            <v/>
          </cell>
          <cell r="N863" t="str">
            <v/>
          </cell>
        </row>
        <row r="865">
          <cell r="J865" t="str">
            <v/>
          </cell>
          <cell r="K865" t="str">
            <v/>
          </cell>
          <cell r="L865" t="str">
            <v/>
          </cell>
          <cell r="M865" t="str">
            <v/>
          </cell>
          <cell r="N865" t="str">
            <v/>
          </cell>
        </row>
        <row r="866">
          <cell r="I866" t="str">
            <v/>
          </cell>
          <cell r="J866" t="str">
            <v/>
          </cell>
          <cell r="K866" t="str">
            <v/>
          </cell>
          <cell r="L866" t="str">
            <v/>
          </cell>
          <cell r="M866" t="str">
            <v/>
          </cell>
          <cell r="N866" t="str">
            <v/>
          </cell>
        </row>
        <row r="869">
          <cell r="I869"/>
        </row>
        <row r="873">
          <cell r="G873"/>
          <cell r="H873"/>
          <cell r="I873"/>
          <cell r="J873"/>
          <cell r="K873"/>
          <cell r="L873"/>
          <cell r="M873"/>
          <cell r="N873"/>
        </row>
        <row r="874">
          <cell r="G874" t="str">
            <v>GJ / Unit</v>
          </cell>
          <cell r="H874"/>
          <cell r="I874"/>
          <cell r="J874"/>
          <cell r="K874"/>
          <cell r="L874"/>
          <cell r="M874"/>
          <cell r="N874"/>
        </row>
        <row r="875">
          <cell r="H875" t="str">
            <v/>
          </cell>
          <cell r="I875" t="str">
            <v/>
          </cell>
          <cell r="J875" t="str">
            <v/>
          </cell>
          <cell r="K875" t="str">
            <v/>
          </cell>
          <cell r="L875" t="str">
            <v/>
          </cell>
          <cell r="M875" t="str">
            <v/>
          </cell>
          <cell r="N875" t="str">
            <v/>
          </cell>
        </row>
        <row r="876">
          <cell r="H876"/>
          <cell r="I876"/>
          <cell r="J876"/>
          <cell r="K876"/>
          <cell r="L876"/>
          <cell r="M876"/>
          <cell r="N876"/>
        </row>
        <row r="878">
          <cell r="I878"/>
        </row>
        <row r="882">
          <cell r="G882"/>
          <cell r="H882"/>
          <cell r="I882"/>
          <cell r="J882"/>
          <cell r="K882"/>
          <cell r="L882"/>
          <cell r="M882"/>
          <cell r="N882"/>
        </row>
        <row r="883">
          <cell r="G883" t="str">
            <v>GJ / Unit</v>
          </cell>
          <cell r="H883"/>
          <cell r="I883"/>
          <cell r="J883"/>
          <cell r="K883"/>
          <cell r="L883"/>
          <cell r="M883"/>
          <cell r="N883"/>
        </row>
        <row r="884">
          <cell r="H884" t="str">
            <v/>
          </cell>
          <cell r="I884" t="str">
            <v/>
          </cell>
          <cell r="J884" t="str">
            <v/>
          </cell>
          <cell r="K884" t="str">
            <v/>
          </cell>
          <cell r="L884" t="str">
            <v/>
          </cell>
          <cell r="M884" t="str">
            <v/>
          </cell>
          <cell r="N884" t="str">
            <v/>
          </cell>
        </row>
        <row r="885">
          <cell r="H885"/>
          <cell r="I885"/>
          <cell r="J885"/>
          <cell r="K885"/>
          <cell r="L885"/>
          <cell r="M885"/>
          <cell r="N885"/>
        </row>
        <row r="891">
          <cell r="H891"/>
          <cell r="I891"/>
          <cell r="J891"/>
          <cell r="K891"/>
          <cell r="L891"/>
          <cell r="M891"/>
          <cell r="N891"/>
        </row>
        <row r="897">
          <cell r="E897" t="str">
            <v/>
          </cell>
          <cell r="H897"/>
          <cell r="I897"/>
          <cell r="J897"/>
          <cell r="K897"/>
          <cell r="L897"/>
          <cell r="M897"/>
          <cell r="N897"/>
        </row>
        <row r="902">
          <cell r="L902"/>
        </row>
        <row r="905">
          <cell r="E905"/>
          <cell r="G905" t="str">
            <v>tonnes</v>
          </cell>
          <cell r="H905"/>
          <cell r="I905"/>
          <cell r="J905"/>
          <cell r="K905"/>
          <cell r="L905"/>
          <cell r="M905"/>
          <cell r="N905"/>
        </row>
        <row r="906">
          <cell r="E906"/>
          <cell r="G906" t="str">
            <v>tonnes</v>
          </cell>
          <cell r="H906"/>
          <cell r="I906"/>
          <cell r="J906"/>
          <cell r="K906"/>
          <cell r="L906"/>
          <cell r="M906"/>
          <cell r="N906"/>
        </row>
        <row r="909">
          <cell r="E909"/>
          <cell r="G909" t="str">
            <v>tonnes</v>
          </cell>
          <cell r="H909"/>
          <cell r="I909"/>
          <cell r="J909"/>
          <cell r="K909"/>
          <cell r="L909"/>
          <cell r="M909"/>
          <cell r="N909"/>
        </row>
        <row r="910">
          <cell r="E910"/>
          <cell r="G910" t="str">
            <v>tonnes</v>
          </cell>
          <cell r="H910"/>
          <cell r="I910"/>
          <cell r="J910"/>
          <cell r="K910"/>
          <cell r="L910"/>
          <cell r="M910"/>
          <cell r="N910"/>
        </row>
        <row r="914">
          <cell r="E914"/>
        </row>
        <row r="919">
          <cell r="I919" t="str">
            <v/>
          </cell>
        </row>
        <row r="927">
          <cell r="E927" t="str">
            <v/>
          </cell>
          <cell r="G927" t="str">
            <v>tonnes</v>
          </cell>
          <cell r="H927"/>
          <cell r="I927"/>
          <cell r="J927"/>
          <cell r="K927"/>
          <cell r="L927"/>
          <cell r="M927"/>
          <cell r="N927"/>
        </row>
        <row r="928">
          <cell r="E928" t="str">
            <v>From sheet "H_SpecialBM":</v>
          </cell>
          <cell r="G928" t="str">
            <v>tonnes</v>
          </cell>
          <cell r="H928" t="str">
            <v/>
          </cell>
          <cell r="I928" t="str">
            <v/>
          </cell>
          <cell r="J928" t="str">
            <v/>
          </cell>
          <cell r="K928" t="str">
            <v/>
          </cell>
          <cell r="L928" t="str">
            <v/>
          </cell>
          <cell r="M928" t="str">
            <v/>
          </cell>
          <cell r="N928" t="str">
            <v/>
          </cell>
        </row>
        <row r="929">
          <cell r="E929" t="str">
            <v>Values used for calculation:</v>
          </cell>
          <cell r="G929" t="str">
            <v>tonnes</v>
          </cell>
          <cell r="H929" t="str">
            <v/>
          </cell>
          <cell r="I929" t="str">
            <v/>
          </cell>
          <cell r="J929" t="str">
            <v/>
          </cell>
          <cell r="K929" t="str">
            <v/>
          </cell>
          <cell r="L929" t="str">
            <v/>
          </cell>
          <cell r="M929" t="str">
            <v/>
          </cell>
          <cell r="N929" t="str">
            <v/>
          </cell>
        </row>
        <row r="941">
          <cell r="H941" t="str">
            <v>tonnes</v>
          </cell>
          <cell r="I941" t="str">
            <v/>
          </cell>
          <cell r="J941" t="str">
            <v/>
          </cell>
          <cell r="K941" t="str">
            <v/>
          </cell>
          <cell r="L941" t="str">
            <v/>
          </cell>
          <cell r="M941" t="str">
            <v/>
          </cell>
          <cell r="N941" t="str">
            <v/>
          </cell>
        </row>
        <row r="942">
          <cell r="J942" t="str">
            <v/>
          </cell>
          <cell r="K942" t="str">
            <v/>
          </cell>
          <cell r="L942" t="str">
            <v/>
          </cell>
          <cell r="M942" t="str">
            <v/>
          </cell>
          <cell r="N942" t="str">
            <v/>
          </cell>
        </row>
        <row r="943">
          <cell r="J943" t="str">
            <v/>
          </cell>
          <cell r="K943" t="str">
            <v/>
          </cell>
          <cell r="L943" t="str">
            <v/>
          </cell>
          <cell r="M943" t="str">
            <v/>
          </cell>
          <cell r="N943" t="str">
            <v/>
          </cell>
        </row>
        <row r="944">
          <cell r="H944" t="str">
            <v>tonnes</v>
          </cell>
          <cell r="I944" t="str">
            <v/>
          </cell>
          <cell r="J944" t="str">
            <v/>
          </cell>
          <cell r="K944" t="str">
            <v/>
          </cell>
          <cell r="L944" t="str">
            <v/>
          </cell>
          <cell r="M944" t="str">
            <v/>
          </cell>
          <cell r="N944" t="str">
            <v/>
          </cell>
        </row>
        <row r="947">
          <cell r="J947" t="str">
            <v/>
          </cell>
          <cell r="K947" t="str">
            <v/>
          </cell>
          <cell r="L947" t="str">
            <v/>
          </cell>
          <cell r="M947" t="str">
            <v/>
          </cell>
          <cell r="N947" t="str">
            <v/>
          </cell>
        </row>
        <row r="949">
          <cell r="J949" t="str">
            <v/>
          </cell>
          <cell r="K949" t="str">
            <v/>
          </cell>
          <cell r="L949" t="str">
            <v/>
          </cell>
          <cell r="M949" t="str">
            <v/>
          </cell>
          <cell r="N949" t="str">
            <v/>
          </cell>
        </row>
        <row r="950">
          <cell r="H950" t="str">
            <v>tonnes</v>
          </cell>
          <cell r="I950" t="str">
            <v/>
          </cell>
          <cell r="J950" t="str">
            <v/>
          </cell>
          <cell r="K950" t="str">
            <v/>
          </cell>
          <cell r="L950" t="str">
            <v/>
          </cell>
          <cell r="M950" t="str">
            <v/>
          </cell>
          <cell r="N950" t="str">
            <v/>
          </cell>
        </row>
        <row r="960">
          <cell r="H960"/>
          <cell r="I960"/>
          <cell r="J960"/>
          <cell r="K960"/>
          <cell r="L960"/>
          <cell r="M960"/>
          <cell r="N960"/>
        </row>
        <row r="961">
          <cell r="H961" t="str">
            <v/>
          </cell>
          <cell r="I961" t="str">
            <v/>
          </cell>
          <cell r="J961" t="str">
            <v/>
          </cell>
          <cell r="K961" t="str">
            <v/>
          </cell>
          <cell r="L961" t="str">
            <v/>
          </cell>
          <cell r="M961" t="str">
            <v/>
          </cell>
          <cell r="N961" t="str">
            <v/>
          </cell>
        </row>
        <row r="962">
          <cell r="H962"/>
          <cell r="I962"/>
          <cell r="J962"/>
          <cell r="K962"/>
          <cell r="L962"/>
          <cell r="M962"/>
          <cell r="N962"/>
        </row>
        <row r="963">
          <cell r="H963" t="str">
            <v/>
          </cell>
          <cell r="I963" t="str">
            <v/>
          </cell>
          <cell r="J963" t="str">
            <v/>
          </cell>
          <cell r="K963" t="str">
            <v/>
          </cell>
          <cell r="L963" t="str">
            <v/>
          </cell>
          <cell r="M963" t="str">
            <v/>
          </cell>
          <cell r="N963" t="str">
            <v/>
          </cell>
        </row>
        <row r="964">
          <cell r="H964" t="str">
            <v/>
          </cell>
          <cell r="I964" t="str">
            <v/>
          </cell>
          <cell r="J964" t="str">
            <v/>
          </cell>
          <cell r="K964" t="str">
            <v/>
          </cell>
          <cell r="L964" t="str">
            <v/>
          </cell>
          <cell r="M964" t="str">
            <v/>
          </cell>
          <cell r="N964" t="str">
            <v/>
          </cell>
        </row>
        <row r="966">
          <cell r="H966" t="str">
            <v/>
          </cell>
          <cell r="I966" t="str">
            <v/>
          </cell>
          <cell r="J966" t="str">
            <v/>
          </cell>
          <cell r="K966" t="str">
            <v/>
          </cell>
          <cell r="L966" t="str">
            <v/>
          </cell>
          <cell r="M966" t="str">
            <v/>
          </cell>
          <cell r="N966" t="str">
            <v/>
          </cell>
        </row>
        <row r="971">
          <cell r="I971" t="str">
            <v/>
          </cell>
          <cell r="J971" t="str">
            <v/>
          </cell>
          <cell r="K971" t="str">
            <v/>
          </cell>
          <cell r="L971" t="str">
            <v/>
          </cell>
          <cell r="M971" t="str">
            <v/>
          </cell>
          <cell r="N971" t="str">
            <v/>
          </cell>
        </row>
        <row r="972">
          <cell r="J972" t="str">
            <v/>
          </cell>
          <cell r="K972" t="str">
            <v/>
          </cell>
          <cell r="L972" t="str">
            <v/>
          </cell>
          <cell r="M972" t="str">
            <v/>
          </cell>
          <cell r="N972" t="str">
            <v/>
          </cell>
        </row>
        <row r="973">
          <cell r="J973" t="str">
            <v/>
          </cell>
          <cell r="K973" t="str">
            <v/>
          </cell>
          <cell r="L973" t="str">
            <v/>
          </cell>
          <cell r="M973" t="str">
            <v/>
          </cell>
          <cell r="N973" t="str">
            <v/>
          </cell>
        </row>
        <row r="974">
          <cell r="I974" t="str">
            <v/>
          </cell>
          <cell r="J974" t="str">
            <v/>
          </cell>
          <cell r="K974" t="str">
            <v/>
          </cell>
          <cell r="L974" t="str">
            <v/>
          </cell>
          <cell r="M974" t="str">
            <v/>
          </cell>
          <cell r="N974" t="str">
            <v/>
          </cell>
        </row>
        <row r="977">
          <cell r="J977" t="str">
            <v/>
          </cell>
          <cell r="K977" t="str">
            <v/>
          </cell>
          <cell r="L977" t="str">
            <v/>
          </cell>
          <cell r="M977" t="str">
            <v/>
          </cell>
          <cell r="N977" t="str">
            <v/>
          </cell>
        </row>
        <row r="979">
          <cell r="J979" t="str">
            <v/>
          </cell>
          <cell r="K979" t="str">
            <v/>
          </cell>
          <cell r="L979" t="str">
            <v/>
          </cell>
          <cell r="M979" t="str">
            <v/>
          </cell>
          <cell r="N979" t="str">
            <v/>
          </cell>
        </row>
        <row r="980">
          <cell r="I980" t="str">
            <v/>
          </cell>
          <cell r="J980" t="str">
            <v/>
          </cell>
          <cell r="K980" t="str">
            <v/>
          </cell>
          <cell r="L980" t="str">
            <v/>
          </cell>
          <cell r="M980" t="str">
            <v/>
          </cell>
          <cell r="N980" t="str">
            <v/>
          </cell>
        </row>
        <row r="989">
          <cell r="H989"/>
          <cell r="I989"/>
          <cell r="J989"/>
          <cell r="K989"/>
          <cell r="L989"/>
          <cell r="M989"/>
          <cell r="N989"/>
        </row>
        <row r="990">
          <cell r="H990" t="str">
            <v/>
          </cell>
          <cell r="I990" t="str">
            <v/>
          </cell>
          <cell r="J990" t="str">
            <v/>
          </cell>
          <cell r="K990" t="str">
            <v/>
          </cell>
          <cell r="L990" t="str">
            <v/>
          </cell>
          <cell r="M990" t="str">
            <v/>
          </cell>
          <cell r="N990" t="str">
            <v/>
          </cell>
        </row>
        <row r="991">
          <cell r="H991" t="str">
            <v/>
          </cell>
          <cell r="I991" t="str">
            <v/>
          </cell>
          <cell r="J991" t="str">
            <v/>
          </cell>
          <cell r="K991" t="str">
            <v/>
          </cell>
          <cell r="L991" t="str">
            <v/>
          </cell>
          <cell r="M991" t="str">
            <v/>
          </cell>
          <cell r="N991" t="str">
            <v/>
          </cell>
        </row>
        <row r="996">
          <cell r="I996" t="str">
            <v/>
          </cell>
          <cell r="J996" t="str">
            <v/>
          </cell>
          <cell r="K996" t="str">
            <v/>
          </cell>
          <cell r="L996" t="str">
            <v/>
          </cell>
          <cell r="M996" t="str">
            <v/>
          </cell>
          <cell r="N996" t="str">
            <v/>
          </cell>
        </row>
        <row r="997">
          <cell r="J997" t="str">
            <v/>
          </cell>
          <cell r="K997" t="str">
            <v/>
          </cell>
          <cell r="L997" t="str">
            <v/>
          </cell>
          <cell r="M997" t="str">
            <v/>
          </cell>
          <cell r="N997" t="str">
            <v/>
          </cell>
        </row>
        <row r="998">
          <cell r="J998" t="str">
            <v/>
          </cell>
          <cell r="K998" t="str">
            <v/>
          </cell>
          <cell r="L998" t="str">
            <v/>
          </cell>
          <cell r="M998" t="str">
            <v/>
          </cell>
          <cell r="N998" t="str">
            <v/>
          </cell>
        </row>
        <row r="999">
          <cell r="I999" t="str">
            <v/>
          </cell>
          <cell r="J999" t="str">
            <v/>
          </cell>
          <cell r="K999" t="str">
            <v/>
          </cell>
          <cell r="L999" t="str">
            <v/>
          </cell>
          <cell r="M999" t="str">
            <v/>
          </cell>
          <cell r="N999" t="str">
            <v/>
          </cell>
        </row>
        <row r="1002">
          <cell r="J1002" t="str">
            <v/>
          </cell>
          <cell r="K1002" t="str">
            <v/>
          </cell>
          <cell r="L1002" t="str">
            <v/>
          </cell>
          <cell r="M1002" t="str">
            <v/>
          </cell>
          <cell r="N1002" t="str">
            <v/>
          </cell>
        </row>
        <row r="1004">
          <cell r="J1004" t="str">
            <v/>
          </cell>
          <cell r="K1004" t="str">
            <v/>
          </cell>
          <cell r="L1004" t="str">
            <v/>
          </cell>
          <cell r="M1004" t="str">
            <v/>
          </cell>
          <cell r="N1004" t="str">
            <v/>
          </cell>
        </row>
        <row r="1005">
          <cell r="I1005" t="str">
            <v/>
          </cell>
          <cell r="J1005" t="str">
            <v/>
          </cell>
          <cell r="K1005" t="str">
            <v/>
          </cell>
          <cell r="L1005" t="str">
            <v/>
          </cell>
          <cell r="M1005" t="str">
            <v/>
          </cell>
          <cell r="N1005" t="str">
            <v/>
          </cell>
        </row>
        <row r="1019">
          <cell r="E1019"/>
          <cell r="F1019"/>
          <cell r="G1019"/>
          <cell r="H1019"/>
          <cell r="I1019"/>
          <cell r="J1019"/>
          <cell r="K1019"/>
          <cell r="L1019"/>
          <cell r="M1019"/>
          <cell r="N1019"/>
        </row>
        <row r="1020">
          <cell r="E1020"/>
          <cell r="F1020"/>
          <cell r="G1020"/>
          <cell r="H1020"/>
          <cell r="I1020"/>
          <cell r="J1020"/>
          <cell r="K1020"/>
          <cell r="L1020"/>
          <cell r="M1020"/>
          <cell r="N1020"/>
        </row>
        <row r="1021">
          <cell r="E1021"/>
          <cell r="F1021"/>
          <cell r="G1021"/>
          <cell r="H1021"/>
          <cell r="I1021"/>
          <cell r="J1021"/>
          <cell r="K1021"/>
          <cell r="L1021"/>
          <cell r="M1021"/>
          <cell r="N1021"/>
        </row>
        <row r="1022">
          <cell r="E1022"/>
          <cell r="F1022"/>
          <cell r="G1022"/>
          <cell r="H1022"/>
          <cell r="I1022"/>
          <cell r="J1022"/>
          <cell r="K1022"/>
          <cell r="L1022"/>
          <cell r="M1022"/>
          <cell r="N1022"/>
        </row>
        <row r="1023">
          <cell r="E1023"/>
          <cell r="F1023"/>
          <cell r="G1023"/>
          <cell r="H1023"/>
          <cell r="I1023"/>
          <cell r="J1023"/>
          <cell r="K1023"/>
          <cell r="L1023"/>
          <cell r="M1023"/>
          <cell r="N1023"/>
        </row>
        <row r="1024">
          <cell r="E1024"/>
          <cell r="F1024"/>
          <cell r="G1024"/>
          <cell r="H1024"/>
          <cell r="I1024"/>
          <cell r="J1024"/>
          <cell r="K1024"/>
          <cell r="L1024"/>
          <cell r="M1024"/>
          <cell r="N1024"/>
        </row>
        <row r="1025">
          <cell r="E1025"/>
          <cell r="F1025"/>
          <cell r="G1025"/>
          <cell r="H1025"/>
          <cell r="I1025"/>
          <cell r="J1025"/>
          <cell r="K1025"/>
          <cell r="L1025"/>
          <cell r="M1025"/>
          <cell r="N1025"/>
        </row>
        <row r="1026">
          <cell r="E1026"/>
          <cell r="F1026"/>
          <cell r="G1026"/>
          <cell r="H1026"/>
          <cell r="I1026"/>
          <cell r="J1026"/>
          <cell r="K1026"/>
          <cell r="L1026"/>
          <cell r="M1026"/>
          <cell r="N1026"/>
        </row>
        <row r="1027">
          <cell r="E1027"/>
          <cell r="F1027"/>
          <cell r="G1027"/>
          <cell r="H1027"/>
          <cell r="I1027"/>
          <cell r="J1027"/>
          <cell r="K1027"/>
          <cell r="L1027"/>
          <cell r="M1027"/>
          <cell r="N1027"/>
        </row>
        <row r="1028">
          <cell r="E1028"/>
          <cell r="F1028"/>
          <cell r="G1028"/>
          <cell r="H1028"/>
          <cell r="I1028"/>
          <cell r="J1028"/>
          <cell r="K1028"/>
          <cell r="L1028"/>
          <cell r="M1028"/>
          <cell r="N1028"/>
        </row>
        <row r="1029">
          <cell r="G1029"/>
          <cell r="H1029" t="str">
            <v/>
          </cell>
          <cell r="I1029" t="str">
            <v/>
          </cell>
          <cell r="J1029" t="str">
            <v/>
          </cell>
          <cell r="K1029" t="str">
            <v/>
          </cell>
          <cell r="L1029" t="str">
            <v/>
          </cell>
          <cell r="M1029" t="str">
            <v/>
          </cell>
          <cell r="N1029" t="str">
            <v/>
          </cell>
        </row>
        <row r="1034">
          <cell r="I1034" t="str">
            <v/>
          </cell>
        </row>
        <row r="1054">
          <cell r="E1054" t="str">
            <v/>
          </cell>
          <cell r="H1054"/>
          <cell r="I1054"/>
          <cell r="J1054"/>
          <cell r="K1054"/>
          <cell r="L1054"/>
          <cell r="M1054"/>
          <cell r="N1054"/>
        </row>
        <row r="1062">
          <cell r="H1062"/>
          <cell r="I1062"/>
          <cell r="J1062"/>
          <cell r="K1062"/>
          <cell r="L1062"/>
          <cell r="M1062"/>
          <cell r="N1062"/>
        </row>
        <row r="1063">
          <cell r="H1063"/>
          <cell r="I1063"/>
          <cell r="J1063"/>
          <cell r="K1063"/>
          <cell r="L1063"/>
          <cell r="M1063"/>
          <cell r="N1063"/>
        </row>
        <row r="1072">
          <cell r="L1072"/>
        </row>
        <row r="1074">
          <cell r="I1074"/>
        </row>
        <row r="1077">
          <cell r="H1077"/>
          <cell r="I1077"/>
          <cell r="J1077"/>
          <cell r="K1077"/>
          <cell r="L1077"/>
          <cell r="M1077"/>
          <cell r="N1077"/>
        </row>
        <row r="1078">
          <cell r="H1078"/>
          <cell r="I1078"/>
          <cell r="J1078"/>
          <cell r="K1078"/>
          <cell r="L1078"/>
          <cell r="M1078"/>
          <cell r="N1078"/>
        </row>
        <row r="1079">
          <cell r="H1079"/>
          <cell r="I1079"/>
          <cell r="J1079"/>
          <cell r="K1079"/>
          <cell r="L1079"/>
          <cell r="M1079"/>
          <cell r="N1079"/>
        </row>
        <row r="1080">
          <cell r="H1080"/>
          <cell r="I1080"/>
          <cell r="J1080"/>
          <cell r="K1080"/>
          <cell r="L1080"/>
          <cell r="M1080"/>
          <cell r="N1080"/>
        </row>
        <row r="1081">
          <cell r="H1081" t="str">
            <v/>
          </cell>
          <cell r="I1081" t="str">
            <v/>
          </cell>
          <cell r="J1081" t="str">
            <v/>
          </cell>
          <cell r="K1081" t="str">
            <v/>
          </cell>
          <cell r="L1081" t="str">
            <v/>
          </cell>
          <cell r="M1081" t="str">
            <v/>
          </cell>
          <cell r="N1081" t="str">
            <v/>
          </cell>
        </row>
        <row r="1082">
          <cell r="H1082" t="str">
            <v/>
          </cell>
          <cell r="I1082" t="str">
            <v/>
          </cell>
          <cell r="J1082" t="str">
            <v/>
          </cell>
          <cell r="K1082" t="str">
            <v/>
          </cell>
          <cell r="L1082" t="str">
            <v/>
          </cell>
          <cell r="M1082" t="str">
            <v/>
          </cell>
          <cell r="N1082" t="str">
            <v/>
          </cell>
        </row>
        <row r="1083">
          <cell r="H1083" t="str">
            <v/>
          </cell>
          <cell r="I1083" t="str">
            <v/>
          </cell>
          <cell r="J1083" t="str">
            <v/>
          </cell>
          <cell r="K1083" t="str">
            <v/>
          </cell>
          <cell r="L1083" t="str">
            <v/>
          </cell>
          <cell r="M1083" t="str">
            <v/>
          </cell>
          <cell r="N1083" t="str">
            <v/>
          </cell>
        </row>
        <row r="1084">
          <cell r="H1084" t="str">
            <v/>
          </cell>
          <cell r="I1084" t="str">
            <v/>
          </cell>
          <cell r="J1084" t="str">
            <v/>
          </cell>
          <cell r="K1084" t="str">
            <v/>
          </cell>
          <cell r="L1084" t="str">
            <v/>
          </cell>
          <cell r="M1084" t="str">
            <v/>
          </cell>
          <cell r="N1084" t="str">
            <v/>
          </cell>
        </row>
        <row r="1086">
          <cell r="I1086"/>
        </row>
        <row r="1089">
          <cell r="H1089"/>
          <cell r="I1089"/>
          <cell r="J1089"/>
          <cell r="K1089"/>
          <cell r="L1089"/>
          <cell r="M1089"/>
          <cell r="N1089"/>
        </row>
        <row r="1090">
          <cell r="H1090"/>
          <cell r="I1090"/>
          <cell r="J1090"/>
          <cell r="K1090"/>
          <cell r="L1090"/>
          <cell r="M1090"/>
          <cell r="N1090"/>
        </row>
        <row r="1091">
          <cell r="H1091"/>
          <cell r="I1091"/>
          <cell r="J1091"/>
          <cell r="K1091"/>
          <cell r="L1091"/>
          <cell r="M1091"/>
          <cell r="N1091"/>
        </row>
        <row r="1092">
          <cell r="H1092"/>
          <cell r="I1092"/>
          <cell r="J1092"/>
          <cell r="K1092"/>
          <cell r="L1092"/>
          <cell r="M1092"/>
          <cell r="N1092"/>
        </row>
        <row r="1093">
          <cell r="H1093" t="str">
            <v/>
          </cell>
          <cell r="I1093" t="str">
            <v/>
          </cell>
          <cell r="J1093" t="str">
            <v/>
          </cell>
          <cell r="K1093" t="str">
            <v/>
          </cell>
          <cell r="L1093" t="str">
            <v/>
          </cell>
          <cell r="M1093" t="str">
            <v/>
          </cell>
          <cell r="N1093" t="str">
            <v/>
          </cell>
        </row>
        <row r="1094">
          <cell r="H1094" t="str">
            <v/>
          </cell>
          <cell r="I1094" t="str">
            <v/>
          </cell>
          <cell r="J1094" t="str">
            <v/>
          </cell>
          <cell r="K1094" t="str">
            <v/>
          </cell>
          <cell r="L1094" t="str">
            <v/>
          </cell>
          <cell r="M1094" t="str">
            <v/>
          </cell>
          <cell r="N1094" t="str">
            <v/>
          </cell>
        </row>
        <row r="1095">
          <cell r="H1095" t="str">
            <v/>
          </cell>
          <cell r="I1095" t="str">
            <v/>
          </cell>
          <cell r="J1095" t="str">
            <v/>
          </cell>
          <cell r="K1095" t="str">
            <v/>
          </cell>
          <cell r="L1095" t="str">
            <v/>
          </cell>
          <cell r="M1095" t="str">
            <v/>
          </cell>
          <cell r="N1095" t="str">
            <v/>
          </cell>
        </row>
        <row r="1096">
          <cell r="H1096" t="str">
            <v/>
          </cell>
          <cell r="I1096" t="str">
            <v/>
          </cell>
          <cell r="J1096" t="str">
            <v/>
          </cell>
          <cell r="K1096" t="str">
            <v/>
          </cell>
          <cell r="L1096" t="str">
            <v/>
          </cell>
          <cell r="M1096" t="str">
            <v/>
          </cell>
          <cell r="N1096" t="str">
            <v/>
          </cell>
        </row>
        <row r="1103">
          <cell r="H1103"/>
          <cell r="I1103"/>
          <cell r="J1103"/>
          <cell r="K1103"/>
          <cell r="L1103"/>
          <cell r="M1103"/>
          <cell r="N1103"/>
        </row>
        <row r="1112">
          <cell r="H1112"/>
          <cell r="I1112"/>
          <cell r="J1112"/>
          <cell r="K1112"/>
          <cell r="L1112"/>
          <cell r="M1112"/>
          <cell r="N1112"/>
        </row>
        <row r="1113">
          <cell r="H1113"/>
          <cell r="I1113"/>
          <cell r="J1113"/>
          <cell r="K1113"/>
          <cell r="L1113"/>
          <cell r="M1113"/>
          <cell r="N1113"/>
        </row>
        <row r="1116">
          <cell r="H1116"/>
          <cell r="I1116"/>
          <cell r="J1116"/>
          <cell r="K1116"/>
          <cell r="L1116"/>
          <cell r="M1116"/>
          <cell r="N1116"/>
        </row>
        <row r="1117">
          <cell r="H1117"/>
          <cell r="I1117"/>
          <cell r="J1117"/>
          <cell r="K1117"/>
          <cell r="L1117"/>
          <cell r="M1117"/>
          <cell r="N1117"/>
        </row>
        <row r="1120">
          <cell r="H1120"/>
          <cell r="I1120"/>
          <cell r="J1120"/>
          <cell r="K1120"/>
          <cell r="L1120"/>
          <cell r="M1120"/>
          <cell r="N1120"/>
        </row>
        <row r="1121">
          <cell r="H1121"/>
          <cell r="I1121"/>
          <cell r="J1121"/>
          <cell r="K1121"/>
          <cell r="L1121"/>
          <cell r="M1121"/>
          <cell r="N1121"/>
        </row>
        <row r="1125">
          <cell r="L1125"/>
        </row>
        <row r="1127">
          <cell r="I1127"/>
        </row>
        <row r="1131">
          <cell r="G1131"/>
          <cell r="H1131"/>
          <cell r="I1131"/>
          <cell r="J1131"/>
          <cell r="K1131"/>
          <cell r="L1131"/>
          <cell r="M1131"/>
          <cell r="N1131"/>
        </row>
        <row r="1132">
          <cell r="G1132" t="str">
            <v>GJ / Unit</v>
          </cell>
          <cell r="H1132"/>
          <cell r="I1132"/>
          <cell r="J1132"/>
          <cell r="K1132"/>
          <cell r="L1132"/>
          <cell r="M1132"/>
          <cell r="N1132"/>
        </row>
        <row r="1133">
          <cell r="H1133" t="str">
            <v/>
          </cell>
          <cell r="I1133" t="str">
            <v/>
          </cell>
          <cell r="J1133" t="str">
            <v/>
          </cell>
          <cell r="K1133" t="str">
            <v/>
          </cell>
          <cell r="L1133" t="str">
            <v/>
          </cell>
          <cell r="M1133" t="str">
            <v/>
          </cell>
          <cell r="N1133" t="str">
            <v/>
          </cell>
        </row>
        <row r="1134">
          <cell r="H1134"/>
          <cell r="I1134"/>
          <cell r="J1134"/>
          <cell r="K1134"/>
          <cell r="L1134"/>
          <cell r="M1134"/>
          <cell r="N1134"/>
        </row>
        <row r="1136">
          <cell r="I1136"/>
        </row>
        <row r="1140">
          <cell r="G1140"/>
          <cell r="H1140"/>
          <cell r="I1140"/>
          <cell r="J1140"/>
          <cell r="K1140"/>
          <cell r="L1140"/>
          <cell r="M1140"/>
          <cell r="N1140"/>
        </row>
        <row r="1141">
          <cell r="G1141" t="str">
            <v>GJ / Unit</v>
          </cell>
          <cell r="H1141"/>
          <cell r="I1141"/>
          <cell r="J1141"/>
          <cell r="K1141"/>
          <cell r="L1141"/>
          <cell r="M1141"/>
          <cell r="N1141"/>
        </row>
        <row r="1142">
          <cell r="H1142" t="str">
            <v/>
          </cell>
          <cell r="I1142" t="str">
            <v/>
          </cell>
          <cell r="J1142" t="str">
            <v/>
          </cell>
          <cell r="K1142" t="str">
            <v/>
          </cell>
          <cell r="L1142" t="str">
            <v/>
          </cell>
          <cell r="M1142" t="str">
            <v/>
          </cell>
          <cell r="N1142" t="str">
            <v/>
          </cell>
        </row>
        <row r="1143">
          <cell r="H1143"/>
          <cell r="I1143"/>
          <cell r="J1143"/>
          <cell r="K1143"/>
          <cell r="L1143"/>
          <cell r="M1143"/>
          <cell r="N1143"/>
        </row>
        <row r="1145">
          <cell r="I1145"/>
        </row>
        <row r="1150">
          <cell r="G1150"/>
          <cell r="H1150"/>
          <cell r="I1150"/>
          <cell r="J1150"/>
          <cell r="K1150"/>
          <cell r="L1150"/>
          <cell r="M1150"/>
          <cell r="N1150"/>
        </row>
        <row r="1151">
          <cell r="G1151" t="str">
            <v>GJ / Unit</v>
          </cell>
          <cell r="H1151"/>
          <cell r="I1151"/>
          <cell r="J1151"/>
          <cell r="K1151"/>
          <cell r="L1151"/>
          <cell r="M1151"/>
          <cell r="N1151"/>
        </row>
        <row r="1152">
          <cell r="H1152" t="str">
            <v/>
          </cell>
          <cell r="I1152" t="str">
            <v/>
          </cell>
          <cell r="J1152" t="str">
            <v/>
          </cell>
          <cell r="K1152" t="str">
            <v/>
          </cell>
          <cell r="L1152" t="str">
            <v/>
          </cell>
          <cell r="M1152" t="str">
            <v/>
          </cell>
          <cell r="N1152" t="str">
            <v/>
          </cell>
        </row>
        <row r="1153">
          <cell r="H1153"/>
          <cell r="I1153"/>
          <cell r="J1153"/>
          <cell r="K1153"/>
          <cell r="L1153"/>
          <cell r="M1153"/>
          <cell r="N1153"/>
        </row>
        <row r="1155">
          <cell r="H1155" t="str">
            <v/>
          </cell>
          <cell r="I1155" t="str">
            <v/>
          </cell>
          <cell r="J1155" t="str">
            <v/>
          </cell>
          <cell r="K1155" t="str">
            <v/>
          </cell>
          <cell r="L1155" t="str">
            <v/>
          </cell>
          <cell r="M1155" t="str">
            <v/>
          </cell>
          <cell r="N1155" t="str">
            <v/>
          </cell>
        </row>
        <row r="1159">
          <cell r="I1159" t="str">
            <v/>
          </cell>
          <cell r="J1159" t="str">
            <v/>
          </cell>
          <cell r="K1159" t="str">
            <v/>
          </cell>
          <cell r="L1159" t="str">
            <v/>
          </cell>
          <cell r="M1159" t="str">
            <v/>
          </cell>
          <cell r="N1159" t="str">
            <v/>
          </cell>
        </row>
        <row r="1160">
          <cell r="J1160" t="str">
            <v/>
          </cell>
          <cell r="K1160" t="str">
            <v/>
          </cell>
          <cell r="L1160" t="str">
            <v/>
          </cell>
          <cell r="M1160" t="str">
            <v/>
          </cell>
          <cell r="N1160" t="str">
            <v/>
          </cell>
        </row>
        <row r="1161">
          <cell r="J1161" t="str">
            <v/>
          </cell>
          <cell r="K1161" t="str">
            <v/>
          </cell>
          <cell r="L1161" t="str">
            <v/>
          </cell>
          <cell r="M1161" t="str">
            <v/>
          </cell>
          <cell r="N1161" t="str">
            <v/>
          </cell>
        </row>
        <row r="1162">
          <cell r="I1162" t="str">
            <v/>
          </cell>
          <cell r="J1162" t="str">
            <v/>
          </cell>
          <cell r="K1162" t="str">
            <v/>
          </cell>
          <cell r="L1162" t="str">
            <v/>
          </cell>
          <cell r="M1162" t="str">
            <v/>
          </cell>
          <cell r="N1162" t="str">
            <v/>
          </cell>
        </row>
        <row r="1165">
          <cell r="J1165" t="str">
            <v/>
          </cell>
          <cell r="K1165" t="str">
            <v/>
          </cell>
          <cell r="L1165" t="str">
            <v/>
          </cell>
          <cell r="M1165" t="str">
            <v/>
          </cell>
          <cell r="N1165" t="str">
            <v/>
          </cell>
        </row>
        <row r="1167">
          <cell r="J1167" t="str">
            <v/>
          </cell>
          <cell r="K1167" t="str">
            <v/>
          </cell>
          <cell r="L1167" t="str">
            <v/>
          </cell>
          <cell r="M1167" t="str">
            <v/>
          </cell>
          <cell r="N1167" t="str">
            <v/>
          </cell>
        </row>
        <row r="1168">
          <cell r="I1168" t="str">
            <v/>
          </cell>
          <cell r="J1168" t="str">
            <v/>
          </cell>
          <cell r="K1168" t="str">
            <v/>
          </cell>
          <cell r="L1168" t="str">
            <v/>
          </cell>
          <cell r="M1168" t="str">
            <v/>
          </cell>
          <cell r="N1168" t="str">
            <v/>
          </cell>
        </row>
        <row r="1171">
          <cell r="I1171"/>
        </row>
        <row r="1175">
          <cell r="G1175"/>
          <cell r="H1175"/>
          <cell r="I1175"/>
          <cell r="J1175"/>
          <cell r="K1175"/>
          <cell r="L1175"/>
          <cell r="M1175"/>
          <cell r="N1175"/>
        </row>
        <row r="1176">
          <cell r="G1176" t="str">
            <v>GJ / Unit</v>
          </cell>
          <cell r="H1176"/>
          <cell r="I1176"/>
          <cell r="J1176"/>
          <cell r="K1176"/>
          <cell r="L1176"/>
          <cell r="M1176"/>
          <cell r="N1176"/>
        </row>
        <row r="1177">
          <cell r="H1177" t="str">
            <v/>
          </cell>
          <cell r="I1177" t="str">
            <v/>
          </cell>
          <cell r="J1177" t="str">
            <v/>
          </cell>
          <cell r="K1177" t="str">
            <v/>
          </cell>
          <cell r="L1177" t="str">
            <v/>
          </cell>
          <cell r="M1177" t="str">
            <v/>
          </cell>
          <cell r="N1177" t="str">
            <v/>
          </cell>
        </row>
        <row r="1178">
          <cell r="H1178"/>
          <cell r="I1178"/>
          <cell r="J1178"/>
          <cell r="K1178"/>
          <cell r="L1178"/>
          <cell r="M1178"/>
          <cell r="N1178"/>
        </row>
        <row r="1180">
          <cell r="I1180"/>
        </row>
        <row r="1184">
          <cell r="G1184"/>
          <cell r="H1184"/>
          <cell r="I1184"/>
          <cell r="J1184"/>
          <cell r="K1184"/>
          <cell r="L1184"/>
          <cell r="M1184"/>
          <cell r="N1184"/>
        </row>
        <row r="1185">
          <cell r="G1185" t="str">
            <v>GJ / Unit</v>
          </cell>
          <cell r="H1185"/>
          <cell r="I1185"/>
          <cell r="J1185"/>
          <cell r="K1185"/>
          <cell r="L1185"/>
          <cell r="M1185"/>
          <cell r="N1185"/>
        </row>
        <row r="1186">
          <cell r="H1186" t="str">
            <v/>
          </cell>
          <cell r="I1186" t="str">
            <v/>
          </cell>
          <cell r="J1186" t="str">
            <v/>
          </cell>
          <cell r="K1186" t="str">
            <v/>
          </cell>
          <cell r="L1186" t="str">
            <v/>
          </cell>
          <cell r="M1186" t="str">
            <v/>
          </cell>
          <cell r="N1186" t="str">
            <v/>
          </cell>
        </row>
        <row r="1187">
          <cell r="H1187"/>
          <cell r="I1187"/>
          <cell r="J1187"/>
          <cell r="K1187"/>
          <cell r="L1187"/>
          <cell r="M1187"/>
          <cell r="N1187"/>
        </row>
        <row r="1193">
          <cell r="H1193"/>
          <cell r="I1193"/>
          <cell r="J1193"/>
          <cell r="K1193"/>
          <cell r="L1193"/>
          <cell r="M1193"/>
          <cell r="N1193"/>
        </row>
        <row r="1199">
          <cell r="E1199" t="str">
            <v/>
          </cell>
          <cell r="H1199"/>
          <cell r="I1199"/>
          <cell r="J1199"/>
          <cell r="K1199"/>
          <cell r="L1199"/>
          <cell r="M1199"/>
          <cell r="N1199"/>
        </row>
        <row r="1204">
          <cell r="L1204"/>
        </row>
        <row r="1207">
          <cell r="E1207"/>
          <cell r="G1207" t="str">
            <v>tonnes</v>
          </cell>
          <cell r="H1207"/>
          <cell r="I1207"/>
          <cell r="J1207"/>
          <cell r="K1207"/>
          <cell r="L1207"/>
          <cell r="M1207"/>
          <cell r="N1207"/>
        </row>
        <row r="1208">
          <cell r="E1208"/>
          <cell r="G1208" t="str">
            <v>tonnes</v>
          </cell>
          <cell r="H1208"/>
          <cell r="I1208"/>
          <cell r="J1208"/>
          <cell r="K1208"/>
          <cell r="L1208"/>
          <cell r="M1208"/>
          <cell r="N1208"/>
        </row>
        <row r="1211">
          <cell r="E1211"/>
          <cell r="G1211" t="str">
            <v>tonnes</v>
          </cell>
          <cell r="H1211"/>
          <cell r="I1211"/>
          <cell r="J1211"/>
          <cell r="K1211"/>
          <cell r="L1211"/>
          <cell r="M1211"/>
          <cell r="N1211"/>
        </row>
        <row r="1212">
          <cell r="E1212"/>
          <cell r="G1212" t="str">
            <v>tonnes</v>
          </cell>
          <cell r="H1212"/>
          <cell r="I1212"/>
          <cell r="J1212"/>
          <cell r="K1212"/>
          <cell r="L1212"/>
          <cell r="M1212"/>
          <cell r="N1212"/>
        </row>
        <row r="1216">
          <cell r="E1216"/>
        </row>
        <row r="1221">
          <cell r="I1221" t="str">
            <v/>
          </cell>
        </row>
        <row r="1229">
          <cell r="E1229" t="str">
            <v/>
          </cell>
          <cell r="G1229" t="str">
            <v>tonnes</v>
          </cell>
          <cell r="H1229"/>
          <cell r="I1229"/>
          <cell r="J1229"/>
          <cell r="K1229"/>
          <cell r="L1229"/>
          <cell r="M1229"/>
          <cell r="N1229"/>
        </row>
        <row r="1230">
          <cell r="E1230" t="str">
            <v>From sheet "H_SpecialBM":</v>
          </cell>
          <cell r="G1230" t="str">
            <v>tonnes</v>
          </cell>
          <cell r="H1230" t="str">
            <v/>
          </cell>
          <cell r="I1230" t="str">
            <v/>
          </cell>
          <cell r="J1230" t="str">
            <v/>
          </cell>
          <cell r="K1230" t="str">
            <v/>
          </cell>
          <cell r="L1230" t="str">
            <v/>
          </cell>
          <cell r="M1230" t="str">
            <v/>
          </cell>
          <cell r="N1230" t="str">
            <v/>
          </cell>
        </row>
        <row r="1231">
          <cell r="E1231" t="str">
            <v>Values used for calculation:</v>
          </cell>
          <cell r="G1231" t="str">
            <v>tonnes</v>
          </cell>
          <cell r="H1231" t="str">
            <v/>
          </cell>
          <cell r="I1231" t="str">
            <v/>
          </cell>
          <cell r="J1231" t="str">
            <v/>
          </cell>
          <cell r="K1231" t="str">
            <v/>
          </cell>
          <cell r="L1231" t="str">
            <v/>
          </cell>
          <cell r="M1231" t="str">
            <v/>
          </cell>
          <cell r="N1231" t="str">
            <v/>
          </cell>
        </row>
        <row r="1243">
          <cell r="H1243" t="str">
            <v>tonnes</v>
          </cell>
          <cell r="I1243" t="str">
            <v/>
          </cell>
          <cell r="J1243" t="str">
            <v/>
          </cell>
          <cell r="K1243" t="str">
            <v/>
          </cell>
          <cell r="L1243" t="str">
            <v/>
          </cell>
          <cell r="M1243" t="str">
            <v/>
          </cell>
          <cell r="N1243" t="str">
            <v/>
          </cell>
        </row>
        <row r="1244">
          <cell r="J1244" t="str">
            <v/>
          </cell>
          <cell r="K1244" t="str">
            <v/>
          </cell>
          <cell r="L1244" t="str">
            <v/>
          </cell>
          <cell r="M1244" t="str">
            <v/>
          </cell>
          <cell r="N1244" t="str">
            <v/>
          </cell>
        </row>
        <row r="1245">
          <cell r="J1245" t="str">
            <v/>
          </cell>
          <cell r="K1245" t="str">
            <v/>
          </cell>
          <cell r="L1245" t="str">
            <v/>
          </cell>
          <cell r="M1245" t="str">
            <v/>
          </cell>
          <cell r="N1245" t="str">
            <v/>
          </cell>
        </row>
        <row r="1246">
          <cell r="H1246" t="str">
            <v>tonnes</v>
          </cell>
          <cell r="I1246" t="str">
            <v/>
          </cell>
          <cell r="J1246" t="str">
            <v/>
          </cell>
          <cell r="K1246" t="str">
            <v/>
          </cell>
          <cell r="L1246" t="str">
            <v/>
          </cell>
          <cell r="M1246" t="str">
            <v/>
          </cell>
          <cell r="N1246" t="str">
            <v/>
          </cell>
        </row>
        <row r="1249">
          <cell r="J1249" t="str">
            <v/>
          </cell>
          <cell r="K1249" t="str">
            <v/>
          </cell>
          <cell r="L1249" t="str">
            <v/>
          </cell>
          <cell r="M1249" t="str">
            <v/>
          </cell>
          <cell r="N1249" t="str">
            <v/>
          </cell>
        </row>
        <row r="1251">
          <cell r="J1251" t="str">
            <v/>
          </cell>
          <cell r="K1251" t="str">
            <v/>
          </cell>
          <cell r="L1251" t="str">
            <v/>
          </cell>
          <cell r="M1251" t="str">
            <v/>
          </cell>
          <cell r="N1251" t="str">
            <v/>
          </cell>
        </row>
        <row r="1252">
          <cell r="H1252" t="str">
            <v>tonnes</v>
          </cell>
          <cell r="I1252" t="str">
            <v/>
          </cell>
          <cell r="J1252" t="str">
            <v/>
          </cell>
          <cell r="K1252" t="str">
            <v/>
          </cell>
          <cell r="L1252" t="str">
            <v/>
          </cell>
          <cell r="M1252" t="str">
            <v/>
          </cell>
          <cell r="N1252" t="str">
            <v/>
          </cell>
        </row>
        <row r="1262">
          <cell r="H1262"/>
          <cell r="I1262"/>
          <cell r="J1262"/>
          <cell r="K1262"/>
          <cell r="L1262"/>
          <cell r="M1262"/>
          <cell r="N1262"/>
        </row>
        <row r="1263">
          <cell r="H1263" t="str">
            <v/>
          </cell>
          <cell r="I1263" t="str">
            <v/>
          </cell>
          <cell r="J1263" t="str">
            <v/>
          </cell>
          <cell r="K1263" t="str">
            <v/>
          </cell>
          <cell r="L1263" t="str">
            <v/>
          </cell>
          <cell r="M1263" t="str">
            <v/>
          </cell>
          <cell r="N1263" t="str">
            <v/>
          </cell>
        </row>
        <row r="1264">
          <cell r="H1264"/>
          <cell r="I1264"/>
          <cell r="J1264"/>
          <cell r="K1264"/>
          <cell r="L1264"/>
          <cell r="M1264"/>
          <cell r="N1264"/>
        </row>
        <row r="1265">
          <cell r="H1265" t="str">
            <v/>
          </cell>
          <cell r="I1265" t="str">
            <v/>
          </cell>
          <cell r="J1265" t="str">
            <v/>
          </cell>
          <cell r="K1265" t="str">
            <v/>
          </cell>
          <cell r="L1265" t="str">
            <v/>
          </cell>
          <cell r="M1265" t="str">
            <v/>
          </cell>
          <cell r="N1265" t="str">
            <v/>
          </cell>
        </row>
        <row r="1266">
          <cell r="H1266" t="str">
            <v/>
          </cell>
          <cell r="I1266" t="str">
            <v/>
          </cell>
          <cell r="J1266" t="str">
            <v/>
          </cell>
          <cell r="K1266" t="str">
            <v/>
          </cell>
          <cell r="L1266" t="str">
            <v/>
          </cell>
          <cell r="M1266" t="str">
            <v/>
          </cell>
          <cell r="N1266" t="str">
            <v/>
          </cell>
        </row>
        <row r="1268">
          <cell r="H1268" t="str">
            <v/>
          </cell>
          <cell r="I1268" t="str">
            <v/>
          </cell>
          <cell r="J1268" t="str">
            <v/>
          </cell>
          <cell r="K1268" t="str">
            <v/>
          </cell>
          <cell r="L1268" t="str">
            <v/>
          </cell>
          <cell r="M1268" t="str">
            <v/>
          </cell>
          <cell r="N1268" t="str">
            <v/>
          </cell>
        </row>
        <row r="1273">
          <cell r="I1273" t="str">
            <v/>
          </cell>
          <cell r="J1273" t="str">
            <v/>
          </cell>
          <cell r="K1273" t="str">
            <v/>
          </cell>
          <cell r="L1273" t="str">
            <v/>
          </cell>
          <cell r="M1273" t="str">
            <v/>
          </cell>
          <cell r="N1273" t="str">
            <v/>
          </cell>
        </row>
        <row r="1274">
          <cell r="J1274" t="str">
            <v/>
          </cell>
          <cell r="K1274" t="str">
            <v/>
          </cell>
          <cell r="L1274" t="str">
            <v/>
          </cell>
          <cell r="M1274" t="str">
            <v/>
          </cell>
          <cell r="N1274" t="str">
            <v/>
          </cell>
        </row>
        <row r="1275">
          <cell r="J1275" t="str">
            <v/>
          </cell>
          <cell r="K1275" t="str">
            <v/>
          </cell>
          <cell r="L1275" t="str">
            <v/>
          </cell>
          <cell r="M1275" t="str">
            <v/>
          </cell>
          <cell r="N1275" t="str">
            <v/>
          </cell>
        </row>
        <row r="1276">
          <cell r="I1276" t="str">
            <v/>
          </cell>
          <cell r="J1276" t="str">
            <v/>
          </cell>
          <cell r="K1276" t="str">
            <v/>
          </cell>
          <cell r="L1276" t="str">
            <v/>
          </cell>
          <cell r="M1276" t="str">
            <v/>
          </cell>
          <cell r="N1276" t="str">
            <v/>
          </cell>
        </row>
        <row r="1279">
          <cell r="J1279" t="str">
            <v/>
          </cell>
          <cell r="K1279" t="str">
            <v/>
          </cell>
          <cell r="L1279" t="str">
            <v/>
          </cell>
          <cell r="M1279" t="str">
            <v/>
          </cell>
          <cell r="N1279" t="str">
            <v/>
          </cell>
        </row>
        <row r="1281">
          <cell r="J1281" t="str">
            <v/>
          </cell>
          <cell r="K1281" t="str">
            <v/>
          </cell>
          <cell r="L1281" t="str">
            <v/>
          </cell>
          <cell r="M1281" t="str">
            <v/>
          </cell>
          <cell r="N1281" t="str">
            <v/>
          </cell>
        </row>
        <row r="1282">
          <cell r="I1282" t="str">
            <v/>
          </cell>
          <cell r="J1282" t="str">
            <v/>
          </cell>
          <cell r="K1282" t="str">
            <v/>
          </cell>
          <cell r="L1282" t="str">
            <v/>
          </cell>
          <cell r="M1282" t="str">
            <v/>
          </cell>
          <cell r="N1282" t="str">
            <v/>
          </cell>
        </row>
        <row r="1291">
          <cell r="H1291"/>
          <cell r="I1291"/>
          <cell r="J1291"/>
          <cell r="K1291"/>
          <cell r="L1291"/>
          <cell r="M1291"/>
          <cell r="N1291"/>
        </row>
        <row r="1292">
          <cell r="H1292" t="str">
            <v/>
          </cell>
          <cell r="I1292" t="str">
            <v/>
          </cell>
          <cell r="J1292" t="str">
            <v/>
          </cell>
          <cell r="K1292" t="str">
            <v/>
          </cell>
          <cell r="L1292" t="str">
            <v/>
          </cell>
          <cell r="M1292" t="str">
            <v/>
          </cell>
          <cell r="N1292" t="str">
            <v/>
          </cell>
        </row>
        <row r="1293">
          <cell r="H1293" t="str">
            <v/>
          </cell>
          <cell r="I1293" t="str">
            <v/>
          </cell>
          <cell r="J1293" t="str">
            <v/>
          </cell>
          <cell r="K1293" t="str">
            <v/>
          </cell>
          <cell r="L1293" t="str">
            <v/>
          </cell>
          <cell r="M1293" t="str">
            <v/>
          </cell>
          <cell r="N1293" t="str">
            <v/>
          </cell>
        </row>
        <row r="1298">
          <cell r="I1298" t="str">
            <v/>
          </cell>
          <cell r="J1298" t="str">
            <v/>
          </cell>
          <cell r="K1298" t="str">
            <v/>
          </cell>
          <cell r="L1298" t="str">
            <v/>
          </cell>
          <cell r="M1298" t="str">
            <v/>
          </cell>
          <cell r="N1298" t="str">
            <v/>
          </cell>
        </row>
        <row r="1299">
          <cell r="J1299" t="str">
            <v/>
          </cell>
          <cell r="K1299" t="str">
            <v/>
          </cell>
          <cell r="L1299" t="str">
            <v/>
          </cell>
          <cell r="M1299" t="str">
            <v/>
          </cell>
          <cell r="N1299" t="str">
            <v/>
          </cell>
        </row>
        <row r="1300">
          <cell r="J1300" t="str">
            <v/>
          </cell>
          <cell r="K1300" t="str">
            <v/>
          </cell>
          <cell r="L1300" t="str">
            <v/>
          </cell>
          <cell r="M1300" t="str">
            <v/>
          </cell>
          <cell r="N1300" t="str">
            <v/>
          </cell>
        </row>
        <row r="1301">
          <cell r="I1301" t="str">
            <v/>
          </cell>
          <cell r="J1301" t="str">
            <v/>
          </cell>
          <cell r="K1301" t="str">
            <v/>
          </cell>
          <cell r="L1301" t="str">
            <v/>
          </cell>
          <cell r="M1301" t="str">
            <v/>
          </cell>
          <cell r="N1301" t="str">
            <v/>
          </cell>
        </row>
        <row r="1304">
          <cell r="J1304" t="str">
            <v/>
          </cell>
          <cell r="K1304" t="str">
            <v/>
          </cell>
          <cell r="L1304" t="str">
            <v/>
          </cell>
          <cell r="M1304" t="str">
            <v/>
          </cell>
          <cell r="N1304" t="str">
            <v/>
          </cell>
        </row>
        <row r="1306">
          <cell r="J1306" t="str">
            <v/>
          </cell>
          <cell r="K1306" t="str">
            <v/>
          </cell>
          <cell r="L1306" t="str">
            <v/>
          </cell>
          <cell r="M1306" t="str">
            <v/>
          </cell>
          <cell r="N1306" t="str">
            <v/>
          </cell>
        </row>
        <row r="1307">
          <cell r="I1307" t="str">
            <v/>
          </cell>
          <cell r="J1307" t="str">
            <v/>
          </cell>
          <cell r="K1307" t="str">
            <v/>
          </cell>
          <cell r="L1307" t="str">
            <v/>
          </cell>
          <cell r="M1307" t="str">
            <v/>
          </cell>
          <cell r="N1307" t="str">
            <v/>
          </cell>
        </row>
        <row r="1321">
          <cell r="E1321"/>
          <cell r="F1321"/>
          <cell r="G1321"/>
          <cell r="H1321"/>
          <cell r="I1321"/>
          <cell r="J1321"/>
          <cell r="K1321"/>
          <cell r="L1321"/>
          <cell r="M1321"/>
          <cell r="N1321"/>
        </row>
        <row r="1322">
          <cell r="E1322"/>
          <cell r="F1322"/>
          <cell r="G1322"/>
          <cell r="H1322"/>
          <cell r="I1322"/>
          <cell r="J1322"/>
          <cell r="K1322"/>
          <cell r="L1322"/>
          <cell r="M1322"/>
          <cell r="N1322"/>
        </row>
        <row r="1323">
          <cell r="E1323"/>
          <cell r="F1323"/>
          <cell r="G1323"/>
          <cell r="H1323"/>
          <cell r="I1323"/>
          <cell r="J1323"/>
          <cell r="K1323"/>
          <cell r="L1323"/>
          <cell r="M1323"/>
          <cell r="N1323"/>
        </row>
        <row r="1324">
          <cell r="E1324"/>
          <cell r="F1324"/>
          <cell r="G1324"/>
          <cell r="H1324"/>
          <cell r="I1324"/>
          <cell r="J1324"/>
          <cell r="K1324"/>
          <cell r="L1324"/>
          <cell r="M1324"/>
          <cell r="N1324"/>
        </row>
        <row r="1325">
          <cell r="E1325"/>
          <cell r="F1325"/>
          <cell r="G1325"/>
          <cell r="H1325"/>
          <cell r="I1325"/>
          <cell r="J1325"/>
          <cell r="K1325"/>
          <cell r="L1325"/>
          <cell r="M1325"/>
          <cell r="N1325"/>
        </row>
        <row r="1326">
          <cell r="E1326"/>
          <cell r="F1326"/>
          <cell r="G1326"/>
          <cell r="H1326"/>
          <cell r="I1326"/>
          <cell r="J1326"/>
          <cell r="K1326"/>
          <cell r="L1326"/>
          <cell r="M1326"/>
          <cell r="N1326"/>
        </row>
        <row r="1327">
          <cell r="E1327"/>
          <cell r="F1327"/>
          <cell r="G1327"/>
          <cell r="H1327"/>
          <cell r="I1327"/>
          <cell r="J1327"/>
          <cell r="K1327"/>
          <cell r="L1327"/>
          <cell r="M1327"/>
          <cell r="N1327"/>
        </row>
        <row r="1328">
          <cell r="E1328"/>
          <cell r="F1328"/>
          <cell r="G1328"/>
          <cell r="H1328"/>
          <cell r="I1328"/>
          <cell r="J1328"/>
          <cell r="K1328"/>
          <cell r="L1328"/>
          <cell r="M1328"/>
          <cell r="N1328"/>
        </row>
        <row r="1329">
          <cell r="E1329"/>
          <cell r="F1329"/>
          <cell r="G1329"/>
          <cell r="H1329"/>
          <cell r="I1329"/>
          <cell r="J1329"/>
          <cell r="K1329"/>
          <cell r="L1329"/>
          <cell r="M1329"/>
          <cell r="N1329"/>
        </row>
        <row r="1330">
          <cell r="E1330"/>
          <cell r="F1330"/>
          <cell r="G1330"/>
          <cell r="H1330"/>
          <cell r="I1330"/>
          <cell r="J1330"/>
          <cell r="K1330"/>
          <cell r="L1330"/>
          <cell r="M1330"/>
          <cell r="N1330"/>
        </row>
        <row r="1331">
          <cell r="G1331"/>
          <cell r="H1331" t="str">
            <v/>
          </cell>
          <cell r="I1331" t="str">
            <v/>
          </cell>
          <cell r="J1331" t="str">
            <v/>
          </cell>
          <cell r="K1331" t="str">
            <v/>
          </cell>
          <cell r="L1331" t="str">
            <v/>
          </cell>
          <cell r="M1331" t="str">
            <v/>
          </cell>
          <cell r="N1331" t="str">
            <v/>
          </cell>
        </row>
        <row r="1336">
          <cell r="I1336" t="str">
            <v/>
          </cell>
        </row>
        <row r="1356">
          <cell r="E1356" t="str">
            <v/>
          </cell>
          <cell r="H1356"/>
          <cell r="I1356"/>
          <cell r="J1356"/>
          <cell r="K1356"/>
          <cell r="L1356"/>
          <cell r="M1356"/>
          <cell r="N1356"/>
        </row>
        <row r="1364">
          <cell r="H1364"/>
          <cell r="I1364"/>
          <cell r="J1364"/>
          <cell r="K1364"/>
          <cell r="L1364"/>
          <cell r="M1364"/>
          <cell r="N1364"/>
        </row>
        <row r="1365">
          <cell r="H1365"/>
          <cell r="I1365"/>
          <cell r="J1365"/>
          <cell r="K1365"/>
          <cell r="L1365"/>
          <cell r="M1365"/>
          <cell r="N1365"/>
        </row>
        <row r="1374">
          <cell r="L1374"/>
        </row>
        <row r="1376">
          <cell r="I1376"/>
        </row>
        <row r="1379">
          <cell r="H1379"/>
          <cell r="I1379"/>
          <cell r="J1379"/>
          <cell r="K1379"/>
          <cell r="L1379"/>
          <cell r="M1379"/>
          <cell r="N1379"/>
        </row>
        <row r="1380">
          <cell r="H1380"/>
          <cell r="I1380"/>
          <cell r="J1380"/>
          <cell r="K1380"/>
          <cell r="L1380"/>
          <cell r="M1380"/>
          <cell r="N1380"/>
        </row>
        <row r="1381">
          <cell r="H1381"/>
          <cell r="I1381"/>
          <cell r="J1381"/>
          <cell r="K1381"/>
          <cell r="L1381"/>
          <cell r="M1381"/>
          <cell r="N1381"/>
        </row>
        <row r="1382">
          <cell r="H1382"/>
          <cell r="I1382"/>
          <cell r="J1382"/>
          <cell r="K1382"/>
          <cell r="L1382"/>
          <cell r="M1382"/>
          <cell r="N1382"/>
        </row>
        <row r="1383">
          <cell r="H1383" t="str">
            <v/>
          </cell>
          <cell r="I1383" t="str">
            <v/>
          </cell>
          <cell r="J1383" t="str">
            <v/>
          </cell>
          <cell r="K1383" t="str">
            <v/>
          </cell>
          <cell r="L1383" t="str">
            <v/>
          </cell>
          <cell r="M1383" t="str">
            <v/>
          </cell>
          <cell r="N1383" t="str">
            <v/>
          </cell>
        </row>
        <row r="1384">
          <cell r="H1384" t="str">
            <v/>
          </cell>
          <cell r="I1384" t="str">
            <v/>
          </cell>
          <cell r="J1384" t="str">
            <v/>
          </cell>
          <cell r="K1384" t="str">
            <v/>
          </cell>
          <cell r="L1384" t="str">
            <v/>
          </cell>
          <cell r="M1384" t="str">
            <v/>
          </cell>
          <cell r="N1384" t="str">
            <v/>
          </cell>
        </row>
        <row r="1385">
          <cell r="H1385" t="str">
            <v/>
          </cell>
          <cell r="I1385" t="str">
            <v/>
          </cell>
          <cell r="J1385" t="str">
            <v/>
          </cell>
          <cell r="K1385" t="str">
            <v/>
          </cell>
          <cell r="L1385" t="str">
            <v/>
          </cell>
          <cell r="M1385" t="str">
            <v/>
          </cell>
          <cell r="N1385" t="str">
            <v/>
          </cell>
        </row>
        <row r="1386">
          <cell r="H1386" t="str">
            <v/>
          </cell>
          <cell r="I1386" t="str">
            <v/>
          </cell>
          <cell r="J1386" t="str">
            <v/>
          </cell>
          <cell r="K1386" t="str">
            <v/>
          </cell>
          <cell r="L1386" t="str">
            <v/>
          </cell>
          <cell r="M1386" t="str">
            <v/>
          </cell>
          <cell r="N1386" t="str">
            <v/>
          </cell>
        </row>
        <row r="1388">
          <cell r="I1388"/>
        </row>
        <row r="1391">
          <cell r="H1391"/>
          <cell r="I1391"/>
          <cell r="J1391"/>
          <cell r="K1391"/>
          <cell r="L1391"/>
          <cell r="M1391"/>
          <cell r="N1391"/>
        </row>
        <row r="1392">
          <cell r="H1392"/>
          <cell r="I1392"/>
          <cell r="J1392"/>
          <cell r="K1392"/>
          <cell r="L1392"/>
          <cell r="M1392"/>
          <cell r="N1392"/>
        </row>
        <row r="1393">
          <cell r="H1393"/>
          <cell r="I1393"/>
          <cell r="J1393"/>
          <cell r="K1393"/>
          <cell r="L1393"/>
          <cell r="M1393"/>
          <cell r="N1393"/>
        </row>
        <row r="1394">
          <cell r="H1394"/>
          <cell r="I1394"/>
          <cell r="J1394"/>
          <cell r="K1394"/>
          <cell r="L1394"/>
          <cell r="M1394"/>
          <cell r="N1394"/>
        </row>
        <row r="1395">
          <cell r="H1395" t="str">
            <v/>
          </cell>
          <cell r="I1395" t="str">
            <v/>
          </cell>
          <cell r="J1395" t="str">
            <v/>
          </cell>
          <cell r="K1395" t="str">
            <v/>
          </cell>
          <cell r="L1395" t="str">
            <v/>
          </cell>
          <cell r="M1395" t="str">
            <v/>
          </cell>
          <cell r="N1395" t="str">
            <v/>
          </cell>
        </row>
        <row r="1396">
          <cell r="H1396" t="str">
            <v/>
          </cell>
          <cell r="I1396" t="str">
            <v/>
          </cell>
          <cell r="J1396" t="str">
            <v/>
          </cell>
          <cell r="K1396" t="str">
            <v/>
          </cell>
          <cell r="L1396" t="str">
            <v/>
          </cell>
          <cell r="M1396" t="str">
            <v/>
          </cell>
          <cell r="N1396" t="str">
            <v/>
          </cell>
        </row>
        <row r="1397">
          <cell r="H1397" t="str">
            <v/>
          </cell>
          <cell r="I1397" t="str">
            <v/>
          </cell>
          <cell r="J1397" t="str">
            <v/>
          </cell>
          <cell r="K1397" t="str">
            <v/>
          </cell>
          <cell r="L1397" t="str">
            <v/>
          </cell>
          <cell r="M1397" t="str">
            <v/>
          </cell>
          <cell r="N1397" t="str">
            <v/>
          </cell>
        </row>
        <row r="1398">
          <cell r="H1398" t="str">
            <v/>
          </cell>
          <cell r="I1398" t="str">
            <v/>
          </cell>
          <cell r="J1398" t="str">
            <v/>
          </cell>
          <cell r="K1398" t="str">
            <v/>
          </cell>
          <cell r="L1398" t="str">
            <v/>
          </cell>
          <cell r="M1398" t="str">
            <v/>
          </cell>
          <cell r="N1398" t="str">
            <v/>
          </cell>
        </row>
        <row r="1405">
          <cell r="H1405"/>
          <cell r="I1405"/>
          <cell r="J1405"/>
          <cell r="K1405"/>
          <cell r="L1405"/>
          <cell r="M1405"/>
          <cell r="N1405"/>
        </row>
        <row r="1414">
          <cell r="H1414"/>
          <cell r="I1414"/>
          <cell r="J1414"/>
          <cell r="K1414"/>
          <cell r="L1414"/>
          <cell r="M1414"/>
          <cell r="N1414"/>
        </row>
        <row r="1415">
          <cell r="H1415"/>
          <cell r="I1415"/>
          <cell r="J1415"/>
          <cell r="K1415"/>
          <cell r="L1415"/>
          <cell r="M1415"/>
          <cell r="N1415"/>
        </row>
        <row r="1418">
          <cell r="H1418"/>
          <cell r="I1418"/>
          <cell r="J1418"/>
          <cell r="K1418"/>
          <cell r="L1418"/>
          <cell r="M1418"/>
          <cell r="N1418"/>
        </row>
        <row r="1419">
          <cell r="H1419"/>
          <cell r="I1419"/>
          <cell r="J1419"/>
          <cell r="K1419"/>
          <cell r="L1419"/>
          <cell r="M1419"/>
          <cell r="N1419"/>
        </row>
        <row r="1422">
          <cell r="H1422"/>
          <cell r="I1422"/>
          <cell r="J1422"/>
          <cell r="K1422"/>
          <cell r="L1422"/>
          <cell r="M1422"/>
          <cell r="N1422"/>
        </row>
        <row r="1423">
          <cell r="H1423"/>
          <cell r="I1423"/>
          <cell r="J1423"/>
          <cell r="K1423"/>
          <cell r="L1423"/>
          <cell r="M1423"/>
          <cell r="N1423"/>
        </row>
        <row r="1427">
          <cell r="L1427"/>
        </row>
        <row r="1429">
          <cell r="I1429"/>
        </row>
        <row r="1433">
          <cell r="G1433"/>
          <cell r="H1433"/>
          <cell r="I1433"/>
          <cell r="J1433"/>
          <cell r="K1433"/>
          <cell r="L1433"/>
          <cell r="M1433"/>
          <cell r="N1433"/>
        </row>
        <row r="1434">
          <cell r="G1434" t="str">
            <v>GJ / Unit</v>
          </cell>
          <cell r="H1434"/>
          <cell r="I1434"/>
          <cell r="J1434"/>
          <cell r="K1434"/>
          <cell r="L1434"/>
          <cell r="M1434"/>
          <cell r="N1434"/>
        </row>
        <row r="1435">
          <cell r="H1435" t="str">
            <v/>
          </cell>
          <cell r="I1435" t="str">
            <v/>
          </cell>
          <cell r="J1435" t="str">
            <v/>
          </cell>
          <cell r="K1435" t="str">
            <v/>
          </cell>
          <cell r="L1435" t="str">
            <v/>
          </cell>
          <cell r="M1435" t="str">
            <v/>
          </cell>
          <cell r="N1435" t="str">
            <v/>
          </cell>
        </row>
        <row r="1436">
          <cell r="H1436"/>
          <cell r="I1436"/>
          <cell r="J1436"/>
          <cell r="K1436"/>
          <cell r="L1436"/>
          <cell r="M1436"/>
          <cell r="N1436"/>
        </row>
        <row r="1438">
          <cell r="I1438"/>
        </row>
        <row r="1442">
          <cell r="G1442"/>
          <cell r="H1442"/>
          <cell r="I1442"/>
          <cell r="J1442"/>
          <cell r="K1442"/>
          <cell r="L1442"/>
          <cell r="M1442"/>
          <cell r="N1442"/>
        </row>
        <row r="1443">
          <cell r="G1443" t="str">
            <v>GJ / Unit</v>
          </cell>
          <cell r="H1443"/>
          <cell r="I1443"/>
          <cell r="J1443"/>
          <cell r="K1443"/>
          <cell r="L1443"/>
          <cell r="M1443"/>
          <cell r="N1443"/>
        </row>
        <row r="1444">
          <cell r="H1444" t="str">
            <v/>
          </cell>
          <cell r="I1444" t="str">
            <v/>
          </cell>
          <cell r="J1444" t="str">
            <v/>
          </cell>
          <cell r="K1444" t="str">
            <v/>
          </cell>
          <cell r="L1444" t="str">
            <v/>
          </cell>
          <cell r="M1444" t="str">
            <v/>
          </cell>
          <cell r="N1444" t="str">
            <v/>
          </cell>
        </row>
        <row r="1445">
          <cell r="H1445"/>
          <cell r="I1445"/>
          <cell r="J1445"/>
          <cell r="K1445"/>
          <cell r="L1445"/>
          <cell r="M1445"/>
          <cell r="N1445"/>
        </row>
        <row r="1447">
          <cell r="I1447"/>
        </row>
        <row r="1452">
          <cell r="G1452"/>
          <cell r="H1452"/>
          <cell r="I1452"/>
          <cell r="J1452"/>
          <cell r="K1452"/>
          <cell r="L1452"/>
          <cell r="M1452"/>
          <cell r="N1452"/>
        </row>
        <row r="1453">
          <cell r="G1453" t="str">
            <v>GJ / Unit</v>
          </cell>
          <cell r="H1453"/>
          <cell r="I1453"/>
          <cell r="J1453"/>
          <cell r="K1453"/>
          <cell r="L1453"/>
          <cell r="M1453"/>
          <cell r="N1453"/>
        </row>
        <row r="1454">
          <cell r="H1454" t="str">
            <v/>
          </cell>
          <cell r="I1454" t="str">
            <v/>
          </cell>
          <cell r="J1454" t="str">
            <v/>
          </cell>
          <cell r="K1454" t="str">
            <v/>
          </cell>
          <cell r="L1454" t="str">
            <v/>
          </cell>
          <cell r="M1454" t="str">
            <v/>
          </cell>
          <cell r="N1454" t="str">
            <v/>
          </cell>
        </row>
        <row r="1455">
          <cell r="H1455"/>
          <cell r="I1455"/>
          <cell r="J1455"/>
          <cell r="K1455"/>
          <cell r="L1455"/>
          <cell r="M1455"/>
          <cell r="N1455"/>
        </row>
        <row r="1457">
          <cell r="H1457" t="str">
            <v/>
          </cell>
          <cell r="I1457" t="str">
            <v/>
          </cell>
          <cell r="J1457" t="str">
            <v/>
          </cell>
          <cell r="K1457" t="str">
            <v/>
          </cell>
          <cell r="L1457" t="str">
            <v/>
          </cell>
          <cell r="M1457" t="str">
            <v/>
          </cell>
          <cell r="N1457" t="str">
            <v/>
          </cell>
        </row>
        <row r="1461">
          <cell r="I1461" t="str">
            <v/>
          </cell>
          <cell r="J1461" t="str">
            <v/>
          </cell>
          <cell r="K1461" t="str">
            <v/>
          </cell>
          <cell r="L1461" t="str">
            <v/>
          </cell>
          <cell r="M1461" t="str">
            <v/>
          </cell>
          <cell r="N1461" t="str">
            <v/>
          </cell>
        </row>
        <row r="1462">
          <cell r="J1462" t="str">
            <v/>
          </cell>
          <cell r="K1462" t="str">
            <v/>
          </cell>
          <cell r="L1462" t="str">
            <v/>
          </cell>
          <cell r="M1462" t="str">
            <v/>
          </cell>
          <cell r="N1462" t="str">
            <v/>
          </cell>
        </row>
        <row r="1463">
          <cell r="J1463" t="str">
            <v/>
          </cell>
          <cell r="K1463" t="str">
            <v/>
          </cell>
          <cell r="L1463" t="str">
            <v/>
          </cell>
          <cell r="M1463" t="str">
            <v/>
          </cell>
          <cell r="N1463" t="str">
            <v/>
          </cell>
        </row>
        <row r="1464">
          <cell r="I1464" t="str">
            <v/>
          </cell>
          <cell r="J1464" t="str">
            <v/>
          </cell>
          <cell r="K1464" t="str">
            <v/>
          </cell>
          <cell r="L1464" t="str">
            <v/>
          </cell>
          <cell r="M1464" t="str">
            <v/>
          </cell>
          <cell r="N1464" t="str">
            <v/>
          </cell>
        </row>
        <row r="1467">
          <cell r="J1467" t="str">
            <v/>
          </cell>
          <cell r="K1467" t="str">
            <v/>
          </cell>
          <cell r="L1467" t="str">
            <v/>
          </cell>
          <cell r="M1467" t="str">
            <v/>
          </cell>
          <cell r="N1467" t="str">
            <v/>
          </cell>
        </row>
        <row r="1469">
          <cell r="J1469" t="str">
            <v/>
          </cell>
          <cell r="K1469" t="str">
            <v/>
          </cell>
          <cell r="L1469" t="str">
            <v/>
          </cell>
          <cell r="M1469" t="str">
            <v/>
          </cell>
          <cell r="N1469" t="str">
            <v/>
          </cell>
        </row>
        <row r="1470">
          <cell r="I1470" t="str">
            <v/>
          </cell>
          <cell r="J1470" t="str">
            <v/>
          </cell>
          <cell r="K1470" t="str">
            <v/>
          </cell>
          <cell r="L1470" t="str">
            <v/>
          </cell>
          <cell r="M1470" t="str">
            <v/>
          </cell>
          <cell r="N1470" t="str">
            <v/>
          </cell>
        </row>
        <row r="1473">
          <cell r="I1473"/>
        </row>
        <row r="1477">
          <cell r="G1477"/>
          <cell r="H1477"/>
          <cell r="I1477"/>
          <cell r="J1477"/>
          <cell r="K1477"/>
          <cell r="L1477"/>
          <cell r="M1477"/>
          <cell r="N1477"/>
        </row>
        <row r="1478">
          <cell r="G1478" t="str">
            <v>GJ / Unit</v>
          </cell>
          <cell r="H1478"/>
          <cell r="I1478"/>
          <cell r="J1478"/>
          <cell r="K1478"/>
          <cell r="L1478"/>
          <cell r="M1478"/>
          <cell r="N1478"/>
        </row>
        <row r="1479">
          <cell r="H1479" t="str">
            <v/>
          </cell>
          <cell r="I1479" t="str">
            <v/>
          </cell>
          <cell r="J1479" t="str">
            <v/>
          </cell>
          <cell r="K1479" t="str">
            <v/>
          </cell>
          <cell r="L1479" t="str">
            <v/>
          </cell>
          <cell r="M1479" t="str">
            <v/>
          </cell>
          <cell r="N1479" t="str">
            <v/>
          </cell>
        </row>
        <row r="1480">
          <cell r="H1480"/>
          <cell r="I1480"/>
          <cell r="J1480"/>
          <cell r="K1480"/>
          <cell r="L1480"/>
          <cell r="M1480"/>
          <cell r="N1480"/>
        </row>
        <row r="1482">
          <cell r="I1482"/>
        </row>
        <row r="1486">
          <cell r="G1486"/>
          <cell r="H1486"/>
          <cell r="I1486"/>
          <cell r="J1486"/>
          <cell r="K1486"/>
          <cell r="L1486"/>
          <cell r="M1486"/>
          <cell r="N1486"/>
        </row>
        <row r="1487">
          <cell r="G1487" t="str">
            <v>GJ / Unit</v>
          </cell>
          <cell r="H1487"/>
          <cell r="I1487"/>
          <cell r="J1487"/>
          <cell r="K1487"/>
          <cell r="L1487"/>
          <cell r="M1487"/>
          <cell r="N1487"/>
        </row>
        <row r="1488">
          <cell r="H1488" t="str">
            <v/>
          </cell>
          <cell r="I1488" t="str">
            <v/>
          </cell>
          <cell r="J1488" t="str">
            <v/>
          </cell>
          <cell r="K1488" t="str">
            <v/>
          </cell>
          <cell r="L1488" t="str">
            <v/>
          </cell>
          <cell r="M1488" t="str">
            <v/>
          </cell>
          <cell r="N1488" t="str">
            <v/>
          </cell>
        </row>
        <row r="1489">
          <cell r="H1489"/>
          <cell r="I1489"/>
          <cell r="J1489"/>
          <cell r="K1489"/>
          <cell r="L1489"/>
          <cell r="M1489"/>
          <cell r="N1489"/>
        </row>
        <row r="1495">
          <cell r="H1495"/>
          <cell r="I1495"/>
          <cell r="J1495"/>
          <cell r="K1495"/>
          <cell r="L1495"/>
          <cell r="M1495"/>
          <cell r="N1495"/>
        </row>
        <row r="1501">
          <cell r="E1501" t="str">
            <v/>
          </cell>
          <cell r="H1501"/>
          <cell r="I1501"/>
          <cell r="J1501"/>
          <cell r="K1501"/>
          <cell r="L1501"/>
          <cell r="M1501"/>
          <cell r="N1501"/>
        </row>
        <row r="1506">
          <cell r="L1506"/>
        </row>
        <row r="1509">
          <cell r="E1509"/>
          <cell r="G1509" t="str">
            <v>tonnes</v>
          </cell>
          <cell r="H1509"/>
          <cell r="I1509"/>
          <cell r="J1509"/>
          <cell r="K1509"/>
          <cell r="L1509"/>
          <cell r="M1509"/>
          <cell r="N1509"/>
        </row>
        <row r="1510">
          <cell r="E1510"/>
          <cell r="G1510" t="str">
            <v>tonnes</v>
          </cell>
          <cell r="H1510"/>
          <cell r="I1510"/>
          <cell r="J1510"/>
          <cell r="K1510"/>
          <cell r="L1510"/>
          <cell r="M1510"/>
          <cell r="N1510"/>
        </row>
        <row r="1513">
          <cell r="E1513"/>
          <cell r="G1513" t="str">
            <v>tonnes</v>
          </cell>
          <cell r="H1513"/>
          <cell r="I1513"/>
          <cell r="J1513"/>
          <cell r="K1513"/>
          <cell r="L1513"/>
          <cell r="M1513"/>
          <cell r="N1513"/>
        </row>
        <row r="1514">
          <cell r="E1514"/>
          <cell r="G1514" t="str">
            <v>tonnes</v>
          </cell>
          <cell r="H1514"/>
          <cell r="I1514"/>
          <cell r="J1514"/>
          <cell r="K1514"/>
          <cell r="L1514"/>
          <cell r="M1514"/>
          <cell r="N1514"/>
        </row>
        <row r="1518">
          <cell r="E1518"/>
        </row>
        <row r="1523">
          <cell r="I1523" t="str">
            <v/>
          </cell>
        </row>
        <row r="1531">
          <cell r="E1531" t="str">
            <v/>
          </cell>
          <cell r="G1531" t="str">
            <v>tonnes</v>
          </cell>
          <cell r="H1531"/>
          <cell r="I1531"/>
          <cell r="J1531"/>
          <cell r="K1531"/>
          <cell r="L1531"/>
          <cell r="M1531"/>
          <cell r="N1531"/>
        </row>
        <row r="1532">
          <cell r="E1532" t="str">
            <v>From sheet "H_SpecialBM":</v>
          </cell>
          <cell r="G1532" t="str">
            <v>tonnes</v>
          </cell>
          <cell r="H1532" t="str">
            <v/>
          </cell>
          <cell r="I1532" t="str">
            <v/>
          </cell>
          <cell r="J1532" t="str">
            <v/>
          </cell>
          <cell r="K1532" t="str">
            <v/>
          </cell>
          <cell r="L1532" t="str">
            <v/>
          </cell>
          <cell r="M1532" t="str">
            <v/>
          </cell>
          <cell r="N1532" t="str">
            <v/>
          </cell>
        </row>
        <row r="1533">
          <cell r="E1533" t="str">
            <v>Values used for calculation:</v>
          </cell>
          <cell r="G1533" t="str">
            <v>tonnes</v>
          </cell>
          <cell r="H1533" t="str">
            <v/>
          </cell>
          <cell r="I1533" t="str">
            <v/>
          </cell>
          <cell r="J1533" t="str">
            <v/>
          </cell>
          <cell r="K1533" t="str">
            <v/>
          </cell>
          <cell r="L1533" t="str">
            <v/>
          </cell>
          <cell r="M1533" t="str">
            <v/>
          </cell>
          <cell r="N1533" t="str">
            <v/>
          </cell>
        </row>
        <row r="1545">
          <cell r="H1545" t="str">
            <v>tonnes</v>
          </cell>
          <cell r="I1545" t="str">
            <v/>
          </cell>
          <cell r="J1545" t="str">
            <v/>
          </cell>
          <cell r="K1545" t="str">
            <v/>
          </cell>
          <cell r="L1545" t="str">
            <v/>
          </cell>
          <cell r="M1545" t="str">
            <v/>
          </cell>
          <cell r="N1545" t="str">
            <v/>
          </cell>
        </row>
        <row r="1546">
          <cell r="J1546" t="str">
            <v/>
          </cell>
          <cell r="K1546" t="str">
            <v/>
          </cell>
          <cell r="L1546" t="str">
            <v/>
          </cell>
          <cell r="M1546" t="str">
            <v/>
          </cell>
          <cell r="N1546" t="str">
            <v/>
          </cell>
        </row>
        <row r="1547">
          <cell r="J1547" t="str">
            <v/>
          </cell>
          <cell r="K1547" t="str">
            <v/>
          </cell>
          <cell r="L1547" t="str">
            <v/>
          </cell>
          <cell r="M1547" t="str">
            <v/>
          </cell>
          <cell r="N1547" t="str">
            <v/>
          </cell>
        </row>
        <row r="1548">
          <cell r="H1548" t="str">
            <v>tonnes</v>
          </cell>
          <cell r="I1548" t="str">
            <v/>
          </cell>
          <cell r="J1548" t="str">
            <v/>
          </cell>
          <cell r="K1548" t="str">
            <v/>
          </cell>
          <cell r="L1548" t="str">
            <v/>
          </cell>
          <cell r="M1548" t="str">
            <v/>
          </cell>
          <cell r="N1548" t="str">
            <v/>
          </cell>
        </row>
        <row r="1551">
          <cell r="J1551" t="str">
            <v/>
          </cell>
          <cell r="K1551" t="str">
            <v/>
          </cell>
          <cell r="L1551" t="str">
            <v/>
          </cell>
          <cell r="M1551" t="str">
            <v/>
          </cell>
          <cell r="N1551" t="str">
            <v/>
          </cell>
        </row>
        <row r="1553">
          <cell r="J1553" t="str">
            <v/>
          </cell>
          <cell r="K1553" t="str">
            <v/>
          </cell>
          <cell r="L1553" t="str">
            <v/>
          </cell>
          <cell r="M1553" t="str">
            <v/>
          </cell>
          <cell r="N1553" t="str">
            <v/>
          </cell>
        </row>
        <row r="1554">
          <cell r="H1554" t="str">
            <v>tonnes</v>
          </cell>
          <cell r="I1554" t="str">
            <v/>
          </cell>
          <cell r="J1554" t="str">
            <v/>
          </cell>
          <cell r="K1554" t="str">
            <v/>
          </cell>
          <cell r="L1554" t="str">
            <v/>
          </cell>
          <cell r="M1554" t="str">
            <v/>
          </cell>
          <cell r="N1554" t="str">
            <v/>
          </cell>
        </row>
        <row r="1564">
          <cell r="H1564"/>
          <cell r="I1564"/>
          <cell r="J1564"/>
          <cell r="K1564"/>
          <cell r="L1564"/>
          <cell r="M1564"/>
          <cell r="N1564"/>
        </row>
        <row r="1565">
          <cell r="H1565" t="str">
            <v/>
          </cell>
          <cell r="I1565" t="str">
            <v/>
          </cell>
          <cell r="J1565" t="str">
            <v/>
          </cell>
          <cell r="K1565" t="str">
            <v/>
          </cell>
          <cell r="L1565" t="str">
            <v/>
          </cell>
          <cell r="M1565" t="str">
            <v/>
          </cell>
          <cell r="N1565" t="str">
            <v/>
          </cell>
        </row>
        <row r="1566">
          <cell r="H1566"/>
          <cell r="I1566"/>
          <cell r="J1566"/>
          <cell r="K1566"/>
          <cell r="L1566"/>
          <cell r="M1566"/>
          <cell r="N1566"/>
        </row>
        <row r="1567">
          <cell r="H1567" t="str">
            <v/>
          </cell>
          <cell r="I1567" t="str">
            <v/>
          </cell>
          <cell r="J1567" t="str">
            <v/>
          </cell>
          <cell r="K1567" t="str">
            <v/>
          </cell>
          <cell r="L1567" t="str">
            <v/>
          </cell>
          <cell r="M1567" t="str">
            <v/>
          </cell>
          <cell r="N1567" t="str">
            <v/>
          </cell>
        </row>
        <row r="1568">
          <cell r="H1568" t="str">
            <v/>
          </cell>
          <cell r="I1568" t="str">
            <v/>
          </cell>
          <cell r="J1568" t="str">
            <v/>
          </cell>
          <cell r="K1568" t="str">
            <v/>
          </cell>
          <cell r="L1568" t="str">
            <v/>
          </cell>
          <cell r="M1568" t="str">
            <v/>
          </cell>
          <cell r="N1568" t="str">
            <v/>
          </cell>
        </row>
        <row r="1570">
          <cell r="H1570" t="str">
            <v/>
          </cell>
          <cell r="I1570" t="str">
            <v/>
          </cell>
          <cell r="J1570" t="str">
            <v/>
          </cell>
          <cell r="K1570" t="str">
            <v/>
          </cell>
          <cell r="L1570" t="str">
            <v/>
          </cell>
          <cell r="M1570" t="str">
            <v/>
          </cell>
          <cell r="N1570" t="str">
            <v/>
          </cell>
        </row>
        <row r="1575">
          <cell r="I1575" t="str">
            <v/>
          </cell>
          <cell r="J1575" t="str">
            <v/>
          </cell>
          <cell r="K1575" t="str">
            <v/>
          </cell>
          <cell r="L1575" t="str">
            <v/>
          </cell>
          <cell r="M1575" t="str">
            <v/>
          </cell>
          <cell r="N1575" t="str">
            <v/>
          </cell>
        </row>
        <row r="1576">
          <cell r="J1576" t="str">
            <v/>
          </cell>
          <cell r="K1576" t="str">
            <v/>
          </cell>
          <cell r="L1576" t="str">
            <v/>
          </cell>
          <cell r="M1576" t="str">
            <v/>
          </cell>
          <cell r="N1576" t="str">
            <v/>
          </cell>
        </row>
        <row r="1577">
          <cell r="J1577" t="str">
            <v/>
          </cell>
          <cell r="K1577" t="str">
            <v/>
          </cell>
          <cell r="L1577" t="str">
            <v/>
          </cell>
          <cell r="M1577" t="str">
            <v/>
          </cell>
          <cell r="N1577" t="str">
            <v/>
          </cell>
        </row>
        <row r="1578">
          <cell r="I1578" t="str">
            <v/>
          </cell>
          <cell r="J1578" t="str">
            <v/>
          </cell>
          <cell r="K1578" t="str">
            <v/>
          </cell>
          <cell r="L1578" t="str">
            <v/>
          </cell>
          <cell r="M1578" t="str">
            <v/>
          </cell>
          <cell r="N1578" t="str">
            <v/>
          </cell>
        </row>
        <row r="1581">
          <cell r="J1581" t="str">
            <v/>
          </cell>
          <cell r="K1581" t="str">
            <v/>
          </cell>
          <cell r="L1581" t="str">
            <v/>
          </cell>
          <cell r="M1581" t="str">
            <v/>
          </cell>
          <cell r="N1581" t="str">
            <v/>
          </cell>
        </row>
        <row r="1583">
          <cell r="J1583" t="str">
            <v/>
          </cell>
          <cell r="K1583" t="str">
            <v/>
          </cell>
          <cell r="L1583" t="str">
            <v/>
          </cell>
          <cell r="M1583" t="str">
            <v/>
          </cell>
          <cell r="N1583" t="str">
            <v/>
          </cell>
        </row>
        <row r="1584">
          <cell r="I1584" t="str">
            <v/>
          </cell>
          <cell r="J1584" t="str">
            <v/>
          </cell>
          <cell r="K1584" t="str">
            <v/>
          </cell>
          <cell r="L1584" t="str">
            <v/>
          </cell>
          <cell r="M1584" t="str">
            <v/>
          </cell>
          <cell r="N1584" t="str">
            <v/>
          </cell>
        </row>
        <row r="1593">
          <cell r="H1593"/>
          <cell r="I1593"/>
          <cell r="J1593"/>
          <cell r="K1593"/>
          <cell r="L1593"/>
          <cell r="M1593"/>
          <cell r="N1593"/>
        </row>
        <row r="1594">
          <cell r="H1594" t="str">
            <v/>
          </cell>
          <cell r="I1594" t="str">
            <v/>
          </cell>
          <cell r="J1594" t="str">
            <v/>
          </cell>
          <cell r="K1594" t="str">
            <v/>
          </cell>
          <cell r="L1594" t="str">
            <v/>
          </cell>
          <cell r="M1594" t="str">
            <v/>
          </cell>
          <cell r="N1594" t="str">
            <v/>
          </cell>
        </row>
        <row r="1595">
          <cell r="H1595" t="str">
            <v/>
          </cell>
          <cell r="I1595" t="str">
            <v/>
          </cell>
          <cell r="J1595" t="str">
            <v/>
          </cell>
          <cell r="K1595" t="str">
            <v/>
          </cell>
          <cell r="L1595" t="str">
            <v/>
          </cell>
          <cell r="M1595" t="str">
            <v/>
          </cell>
          <cell r="N1595" t="str">
            <v/>
          </cell>
        </row>
        <row r="1600">
          <cell r="I1600" t="str">
            <v/>
          </cell>
          <cell r="J1600" t="str">
            <v/>
          </cell>
          <cell r="K1600" t="str">
            <v/>
          </cell>
          <cell r="L1600" t="str">
            <v/>
          </cell>
          <cell r="M1600" t="str">
            <v/>
          </cell>
          <cell r="N1600" t="str">
            <v/>
          </cell>
        </row>
        <row r="1601">
          <cell r="J1601" t="str">
            <v/>
          </cell>
          <cell r="K1601" t="str">
            <v/>
          </cell>
          <cell r="L1601" t="str">
            <v/>
          </cell>
          <cell r="M1601" t="str">
            <v/>
          </cell>
          <cell r="N1601" t="str">
            <v/>
          </cell>
        </row>
        <row r="1602">
          <cell r="J1602" t="str">
            <v/>
          </cell>
          <cell r="K1602" t="str">
            <v/>
          </cell>
          <cell r="L1602" t="str">
            <v/>
          </cell>
          <cell r="M1602" t="str">
            <v/>
          </cell>
          <cell r="N1602" t="str">
            <v/>
          </cell>
        </row>
        <row r="1603">
          <cell r="I1603" t="str">
            <v/>
          </cell>
          <cell r="J1603" t="str">
            <v/>
          </cell>
          <cell r="K1603" t="str">
            <v/>
          </cell>
          <cell r="L1603" t="str">
            <v/>
          </cell>
          <cell r="M1603" t="str">
            <v/>
          </cell>
          <cell r="N1603" t="str">
            <v/>
          </cell>
        </row>
        <row r="1606">
          <cell r="J1606" t="str">
            <v/>
          </cell>
          <cell r="K1606" t="str">
            <v/>
          </cell>
          <cell r="L1606" t="str">
            <v/>
          </cell>
          <cell r="M1606" t="str">
            <v/>
          </cell>
          <cell r="N1606" t="str">
            <v/>
          </cell>
        </row>
        <row r="1608">
          <cell r="J1608" t="str">
            <v/>
          </cell>
          <cell r="K1608" t="str">
            <v/>
          </cell>
          <cell r="L1608" t="str">
            <v/>
          </cell>
          <cell r="M1608" t="str">
            <v/>
          </cell>
          <cell r="N1608" t="str">
            <v/>
          </cell>
        </row>
        <row r="1609">
          <cell r="I1609" t="str">
            <v/>
          </cell>
          <cell r="J1609" t="str">
            <v/>
          </cell>
          <cell r="K1609" t="str">
            <v/>
          </cell>
          <cell r="L1609" t="str">
            <v/>
          </cell>
          <cell r="M1609" t="str">
            <v/>
          </cell>
          <cell r="N1609" t="str">
            <v/>
          </cell>
        </row>
        <row r="1623">
          <cell r="E1623"/>
          <cell r="F1623"/>
          <cell r="G1623"/>
          <cell r="H1623"/>
          <cell r="I1623"/>
          <cell r="J1623"/>
          <cell r="K1623"/>
          <cell r="L1623"/>
          <cell r="M1623"/>
          <cell r="N1623"/>
        </row>
        <row r="1624">
          <cell r="E1624"/>
          <cell r="F1624"/>
          <cell r="G1624"/>
          <cell r="H1624"/>
          <cell r="I1624"/>
          <cell r="J1624"/>
          <cell r="K1624"/>
          <cell r="L1624"/>
          <cell r="M1624"/>
          <cell r="N1624"/>
        </row>
        <row r="1625">
          <cell r="E1625"/>
          <cell r="F1625"/>
          <cell r="G1625"/>
          <cell r="H1625"/>
          <cell r="I1625"/>
          <cell r="J1625"/>
          <cell r="K1625"/>
          <cell r="L1625"/>
          <cell r="M1625"/>
          <cell r="N1625"/>
        </row>
        <row r="1626">
          <cell r="E1626"/>
          <cell r="F1626"/>
          <cell r="G1626"/>
          <cell r="H1626"/>
          <cell r="I1626"/>
          <cell r="J1626"/>
          <cell r="K1626"/>
          <cell r="L1626"/>
          <cell r="M1626"/>
          <cell r="N1626"/>
        </row>
        <row r="1627">
          <cell r="E1627"/>
          <cell r="F1627"/>
          <cell r="G1627"/>
          <cell r="H1627"/>
          <cell r="I1627"/>
          <cell r="J1627"/>
          <cell r="K1627"/>
          <cell r="L1627"/>
          <cell r="M1627"/>
          <cell r="N1627"/>
        </row>
        <row r="1628">
          <cell r="E1628"/>
          <cell r="F1628"/>
          <cell r="G1628"/>
          <cell r="H1628"/>
          <cell r="I1628"/>
          <cell r="J1628"/>
          <cell r="K1628"/>
          <cell r="L1628"/>
          <cell r="M1628"/>
          <cell r="N1628"/>
        </row>
        <row r="1629">
          <cell r="E1629"/>
          <cell r="F1629"/>
          <cell r="G1629"/>
          <cell r="H1629"/>
          <cell r="I1629"/>
          <cell r="J1629"/>
          <cell r="K1629"/>
          <cell r="L1629"/>
          <cell r="M1629"/>
          <cell r="N1629"/>
        </row>
        <row r="1630">
          <cell r="E1630"/>
          <cell r="F1630"/>
          <cell r="G1630"/>
          <cell r="H1630"/>
          <cell r="I1630"/>
          <cell r="J1630"/>
          <cell r="K1630"/>
          <cell r="L1630"/>
          <cell r="M1630"/>
          <cell r="N1630"/>
        </row>
        <row r="1631">
          <cell r="E1631"/>
          <cell r="F1631"/>
          <cell r="G1631"/>
          <cell r="H1631"/>
          <cell r="I1631"/>
          <cell r="J1631"/>
          <cell r="K1631"/>
          <cell r="L1631"/>
          <cell r="M1631"/>
          <cell r="N1631"/>
        </row>
        <row r="1632">
          <cell r="E1632"/>
          <cell r="F1632"/>
          <cell r="G1632"/>
          <cell r="H1632"/>
          <cell r="I1632"/>
          <cell r="J1632"/>
          <cell r="K1632"/>
          <cell r="L1632"/>
          <cell r="M1632"/>
          <cell r="N1632"/>
        </row>
        <row r="1633">
          <cell r="G1633"/>
          <cell r="H1633" t="str">
            <v/>
          </cell>
          <cell r="I1633" t="str">
            <v/>
          </cell>
          <cell r="J1633" t="str">
            <v/>
          </cell>
          <cell r="K1633" t="str">
            <v/>
          </cell>
          <cell r="L1633" t="str">
            <v/>
          </cell>
          <cell r="M1633" t="str">
            <v/>
          </cell>
          <cell r="N1633" t="str">
            <v/>
          </cell>
        </row>
        <row r="1638">
          <cell r="I1638" t="str">
            <v/>
          </cell>
        </row>
        <row r="1658">
          <cell r="E1658" t="str">
            <v/>
          </cell>
          <cell r="H1658"/>
          <cell r="I1658"/>
          <cell r="J1658"/>
          <cell r="K1658"/>
          <cell r="L1658"/>
          <cell r="M1658"/>
          <cell r="N1658"/>
        </row>
        <row r="1666">
          <cell r="H1666"/>
          <cell r="I1666"/>
          <cell r="J1666"/>
          <cell r="K1666"/>
          <cell r="L1666"/>
          <cell r="M1666"/>
          <cell r="N1666"/>
        </row>
        <row r="1667">
          <cell r="H1667"/>
          <cell r="I1667"/>
          <cell r="J1667"/>
          <cell r="K1667"/>
          <cell r="L1667"/>
          <cell r="M1667"/>
          <cell r="N1667"/>
        </row>
        <row r="1676">
          <cell r="L1676"/>
        </row>
        <row r="1678">
          <cell r="I1678"/>
        </row>
        <row r="1681">
          <cell r="H1681"/>
          <cell r="I1681"/>
          <cell r="J1681"/>
          <cell r="K1681"/>
          <cell r="L1681"/>
          <cell r="M1681"/>
          <cell r="N1681"/>
        </row>
        <row r="1682">
          <cell r="H1682"/>
          <cell r="I1682"/>
          <cell r="J1682"/>
          <cell r="K1682"/>
          <cell r="L1682"/>
          <cell r="M1682"/>
          <cell r="N1682"/>
        </row>
        <row r="1683">
          <cell r="H1683"/>
          <cell r="I1683"/>
          <cell r="J1683"/>
          <cell r="K1683"/>
          <cell r="L1683"/>
          <cell r="M1683"/>
          <cell r="N1683"/>
        </row>
        <row r="1684">
          <cell r="H1684"/>
          <cell r="I1684"/>
          <cell r="J1684"/>
          <cell r="K1684"/>
          <cell r="L1684"/>
          <cell r="M1684"/>
          <cell r="N1684"/>
        </row>
        <row r="1685">
          <cell r="H1685" t="str">
            <v/>
          </cell>
          <cell r="I1685" t="str">
            <v/>
          </cell>
          <cell r="J1685" t="str">
            <v/>
          </cell>
          <cell r="K1685" t="str">
            <v/>
          </cell>
          <cell r="L1685" t="str">
            <v/>
          </cell>
          <cell r="M1685" t="str">
            <v/>
          </cell>
          <cell r="N1685" t="str">
            <v/>
          </cell>
        </row>
        <row r="1686">
          <cell r="H1686" t="str">
            <v/>
          </cell>
          <cell r="I1686" t="str">
            <v/>
          </cell>
          <cell r="J1686" t="str">
            <v/>
          </cell>
          <cell r="K1686" t="str">
            <v/>
          </cell>
          <cell r="L1686" t="str">
            <v/>
          </cell>
          <cell r="M1686" t="str">
            <v/>
          </cell>
          <cell r="N1686" t="str">
            <v/>
          </cell>
        </row>
        <row r="1687">
          <cell r="H1687" t="str">
            <v/>
          </cell>
          <cell r="I1687" t="str">
            <v/>
          </cell>
          <cell r="J1687" t="str">
            <v/>
          </cell>
          <cell r="K1687" t="str">
            <v/>
          </cell>
          <cell r="L1687" t="str">
            <v/>
          </cell>
          <cell r="M1687" t="str">
            <v/>
          </cell>
          <cell r="N1687" t="str">
            <v/>
          </cell>
        </row>
        <row r="1688">
          <cell r="H1688" t="str">
            <v/>
          </cell>
          <cell r="I1688" t="str">
            <v/>
          </cell>
          <cell r="J1688" t="str">
            <v/>
          </cell>
          <cell r="K1688" t="str">
            <v/>
          </cell>
          <cell r="L1688" t="str">
            <v/>
          </cell>
          <cell r="M1688" t="str">
            <v/>
          </cell>
          <cell r="N1688" t="str">
            <v/>
          </cell>
        </row>
        <row r="1690">
          <cell r="I1690"/>
        </row>
        <row r="1693">
          <cell r="H1693"/>
          <cell r="I1693"/>
          <cell r="J1693"/>
          <cell r="K1693"/>
          <cell r="L1693"/>
          <cell r="M1693"/>
          <cell r="N1693"/>
        </row>
        <row r="1694">
          <cell r="H1694"/>
          <cell r="I1694"/>
          <cell r="J1694"/>
          <cell r="K1694"/>
          <cell r="L1694"/>
          <cell r="M1694"/>
          <cell r="N1694"/>
        </row>
        <row r="1695">
          <cell r="H1695"/>
          <cell r="I1695"/>
          <cell r="J1695"/>
          <cell r="K1695"/>
          <cell r="L1695"/>
          <cell r="M1695"/>
          <cell r="N1695"/>
        </row>
        <row r="1696">
          <cell r="H1696"/>
          <cell r="I1696"/>
          <cell r="J1696"/>
          <cell r="K1696"/>
          <cell r="L1696"/>
          <cell r="M1696"/>
          <cell r="N1696"/>
        </row>
        <row r="1697">
          <cell r="H1697" t="str">
            <v/>
          </cell>
          <cell r="I1697" t="str">
            <v/>
          </cell>
          <cell r="J1697" t="str">
            <v/>
          </cell>
          <cell r="K1697" t="str">
            <v/>
          </cell>
          <cell r="L1697" t="str">
            <v/>
          </cell>
          <cell r="M1697" t="str">
            <v/>
          </cell>
          <cell r="N1697" t="str">
            <v/>
          </cell>
        </row>
        <row r="1698">
          <cell r="H1698" t="str">
            <v/>
          </cell>
          <cell r="I1698" t="str">
            <v/>
          </cell>
          <cell r="J1698" t="str">
            <v/>
          </cell>
          <cell r="K1698" t="str">
            <v/>
          </cell>
          <cell r="L1698" t="str">
            <v/>
          </cell>
          <cell r="M1698" t="str">
            <v/>
          </cell>
          <cell r="N1698" t="str">
            <v/>
          </cell>
        </row>
        <row r="1699">
          <cell r="H1699" t="str">
            <v/>
          </cell>
          <cell r="I1699" t="str">
            <v/>
          </cell>
          <cell r="J1699" t="str">
            <v/>
          </cell>
          <cell r="K1699" t="str">
            <v/>
          </cell>
          <cell r="L1699" t="str">
            <v/>
          </cell>
          <cell r="M1699" t="str">
            <v/>
          </cell>
          <cell r="N1699" t="str">
            <v/>
          </cell>
        </row>
        <row r="1700">
          <cell r="H1700" t="str">
            <v/>
          </cell>
          <cell r="I1700" t="str">
            <v/>
          </cell>
          <cell r="J1700" t="str">
            <v/>
          </cell>
          <cell r="K1700" t="str">
            <v/>
          </cell>
          <cell r="L1700" t="str">
            <v/>
          </cell>
          <cell r="M1700" t="str">
            <v/>
          </cell>
          <cell r="N1700" t="str">
            <v/>
          </cell>
        </row>
        <row r="1707">
          <cell r="H1707"/>
          <cell r="I1707"/>
          <cell r="J1707"/>
          <cell r="K1707"/>
          <cell r="L1707"/>
          <cell r="M1707"/>
          <cell r="N1707"/>
        </row>
        <row r="1716">
          <cell r="H1716"/>
          <cell r="I1716"/>
          <cell r="J1716"/>
          <cell r="K1716"/>
          <cell r="L1716"/>
          <cell r="M1716"/>
          <cell r="N1716"/>
        </row>
        <row r="1717">
          <cell r="H1717"/>
          <cell r="I1717"/>
          <cell r="J1717"/>
          <cell r="K1717"/>
          <cell r="L1717"/>
          <cell r="M1717"/>
          <cell r="N1717"/>
        </row>
        <row r="1720">
          <cell r="H1720"/>
          <cell r="I1720"/>
          <cell r="J1720"/>
          <cell r="K1720"/>
          <cell r="L1720"/>
          <cell r="M1720"/>
          <cell r="N1720"/>
        </row>
        <row r="1721">
          <cell r="H1721"/>
          <cell r="I1721"/>
          <cell r="J1721"/>
          <cell r="K1721"/>
          <cell r="L1721"/>
          <cell r="M1721"/>
          <cell r="N1721"/>
        </row>
        <row r="1724">
          <cell r="H1724"/>
          <cell r="I1724"/>
          <cell r="J1724"/>
          <cell r="K1724"/>
          <cell r="L1724"/>
          <cell r="M1724"/>
          <cell r="N1724"/>
        </row>
        <row r="1725">
          <cell r="H1725"/>
          <cell r="I1725"/>
          <cell r="J1725"/>
          <cell r="K1725"/>
          <cell r="L1725"/>
          <cell r="M1725"/>
          <cell r="N1725"/>
        </row>
        <row r="1729">
          <cell r="L1729"/>
        </row>
        <row r="1731">
          <cell r="I1731"/>
        </row>
        <row r="1735">
          <cell r="G1735"/>
          <cell r="H1735"/>
          <cell r="I1735"/>
          <cell r="J1735"/>
          <cell r="K1735"/>
          <cell r="L1735"/>
          <cell r="M1735"/>
          <cell r="N1735"/>
        </row>
        <row r="1736">
          <cell r="G1736" t="str">
            <v>GJ / Unit</v>
          </cell>
          <cell r="H1736"/>
          <cell r="I1736"/>
          <cell r="J1736"/>
          <cell r="K1736"/>
          <cell r="L1736"/>
          <cell r="M1736"/>
          <cell r="N1736"/>
        </row>
        <row r="1737">
          <cell r="H1737" t="str">
            <v/>
          </cell>
          <cell r="I1737" t="str">
            <v/>
          </cell>
          <cell r="J1737" t="str">
            <v/>
          </cell>
          <cell r="K1737" t="str">
            <v/>
          </cell>
          <cell r="L1737" t="str">
            <v/>
          </cell>
          <cell r="M1737" t="str">
            <v/>
          </cell>
          <cell r="N1737" t="str">
            <v/>
          </cell>
        </row>
        <row r="1738">
          <cell r="H1738"/>
          <cell r="I1738"/>
          <cell r="J1738"/>
          <cell r="K1738"/>
          <cell r="L1738"/>
          <cell r="M1738"/>
          <cell r="N1738"/>
        </row>
        <row r="1740">
          <cell r="I1740"/>
        </row>
        <row r="1744">
          <cell r="G1744"/>
          <cell r="H1744"/>
          <cell r="I1744"/>
          <cell r="J1744"/>
          <cell r="K1744"/>
          <cell r="L1744"/>
          <cell r="M1744"/>
          <cell r="N1744"/>
        </row>
        <row r="1745">
          <cell r="G1745" t="str">
            <v>GJ / Unit</v>
          </cell>
          <cell r="H1745"/>
          <cell r="I1745"/>
          <cell r="J1745"/>
          <cell r="K1745"/>
          <cell r="L1745"/>
          <cell r="M1745"/>
          <cell r="N1745"/>
        </row>
        <row r="1746">
          <cell r="H1746" t="str">
            <v/>
          </cell>
          <cell r="I1746" t="str">
            <v/>
          </cell>
          <cell r="J1746" t="str">
            <v/>
          </cell>
          <cell r="K1746" t="str">
            <v/>
          </cell>
          <cell r="L1746" t="str">
            <v/>
          </cell>
          <cell r="M1746" t="str">
            <v/>
          </cell>
          <cell r="N1746" t="str">
            <v/>
          </cell>
        </row>
        <row r="1747">
          <cell r="H1747"/>
          <cell r="I1747"/>
          <cell r="J1747"/>
          <cell r="K1747"/>
          <cell r="L1747"/>
          <cell r="M1747"/>
          <cell r="N1747"/>
        </row>
        <row r="1749">
          <cell r="I1749"/>
        </row>
        <row r="1754">
          <cell r="G1754"/>
          <cell r="H1754"/>
          <cell r="I1754"/>
          <cell r="J1754"/>
          <cell r="K1754"/>
          <cell r="L1754"/>
          <cell r="M1754"/>
          <cell r="N1754"/>
        </row>
        <row r="1755">
          <cell r="G1755" t="str">
            <v>GJ / Unit</v>
          </cell>
          <cell r="H1755"/>
          <cell r="I1755"/>
          <cell r="J1755"/>
          <cell r="K1755"/>
          <cell r="L1755"/>
          <cell r="M1755"/>
          <cell r="N1755"/>
        </row>
        <row r="1756">
          <cell r="H1756" t="str">
            <v/>
          </cell>
          <cell r="I1756" t="str">
            <v/>
          </cell>
          <cell r="J1756" t="str">
            <v/>
          </cell>
          <cell r="K1756" t="str">
            <v/>
          </cell>
          <cell r="L1756" t="str">
            <v/>
          </cell>
          <cell r="M1756" t="str">
            <v/>
          </cell>
          <cell r="N1756" t="str">
            <v/>
          </cell>
        </row>
        <row r="1757">
          <cell r="H1757"/>
          <cell r="I1757"/>
          <cell r="J1757"/>
          <cell r="K1757"/>
          <cell r="L1757"/>
          <cell r="M1757"/>
          <cell r="N1757"/>
        </row>
        <row r="1759">
          <cell r="H1759" t="str">
            <v/>
          </cell>
          <cell r="I1759" t="str">
            <v/>
          </cell>
          <cell r="J1759" t="str">
            <v/>
          </cell>
          <cell r="K1759" t="str">
            <v/>
          </cell>
          <cell r="L1759" t="str">
            <v/>
          </cell>
          <cell r="M1759" t="str">
            <v/>
          </cell>
          <cell r="N1759" t="str">
            <v/>
          </cell>
        </row>
        <row r="1763">
          <cell r="I1763" t="str">
            <v/>
          </cell>
          <cell r="J1763" t="str">
            <v/>
          </cell>
          <cell r="K1763" t="str">
            <v/>
          </cell>
          <cell r="L1763" t="str">
            <v/>
          </cell>
          <cell r="M1763" t="str">
            <v/>
          </cell>
          <cell r="N1763" t="str">
            <v/>
          </cell>
        </row>
        <row r="1764">
          <cell r="J1764" t="str">
            <v/>
          </cell>
          <cell r="K1764" t="str">
            <v/>
          </cell>
          <cell r="L1764" t="str">
            <v/>
          </cell>
          <cell r="M1764" t="str">
            <v/>
          </cell>
          <cell r="N1764" t="str">
            <v/>
          </cell>
        </row>
        <row r="1765">
          <cell r="J1765" t="str">
            <v/>
          </cell>
          <cell r="K1765" t="str">
            <v/>
          </cell>
          <cell r="L1765" t="str">
            <v/>
          </cell>
          <cell r="M1765" t="str">
            <v/>
          </cell>
          <cell r="N1765" t="str">
            <v/>
          </cell>
        </row>
        <row r="1766">
          <cell r="I1766" t="str">
            <v/>
          </cell>
          <cell r="J1766" t="str">
            <v/>
          </cell>
          <cell r="K1766" t="str">
            <v/>
          </cell>
          <cell r="L1766" t="str">
            <v/>
          </cell>
          <cell r="M1766" t="str">
            <v/>
          </cell>
          <cell r="N1766" t="str">
            <v/>
          </cell>
        </row>
        <row r="1769">
          <cell r="J1769" t="str">
            <v/>
          </cell>
          <cell r="K1769" t="str">
            <v/>
          </cell>
          <cell r="L1769" t="str">
            <v/>
          </cell>
          <cell r="M1769" t="str">
            <v/>
          </cell>
          <cell r="N1769" t="str">
            <v/>
          </cell>
        </row>
        <row r="1771">
          <cell r="J1771" t="str">
            <v/>
          </cell>
          <cell r="K1771" t="str">
            <v/>
          </cell>
          <cell r="L1771" t="str">
            <v/>
          </cell>
          <cell r="M1771" t="str">
            <v/>
          </cell>
          <cell r="N1771" t="str">
            <v/>
          </cell>
        </row>
        <row r="1772">
          <cell r="I1772" t="str">
            <v/>
          </cell>
          <cell r="J1772" t="str">
            <v/>
          </cell>
          <cell r="K1772" t="str">
            <v/>
          </cell>
          <cell r="L1772" t="str">
            <v/>
          </cell>
          <cell r="M1772" t="str">
            <v/>
          </cell>
          <cell r="N1772" t="str">
            <v/>
          </cell>
        </row>
        <row r="1775">
          <cell r="I1775"/>
        </row>
        <row r="1779">
          <cell r="G1779"/>
          <cell r="H1779"/>
          <cell r="I1779"/>
          <cell r="J1779"/>
          <cell r="K1779"/>
          <cell r="L1779"/>
          <cell r="M1779"/>
          <cell r="N1779"/>
        </row>
        <row r="1780">
          <cell r="G1780" t="str">
            <v>GJ / Unit</v>
          </cell>
          <cell r="H1780"/>
          <cell r="I1780"/>
          <cell r="J1780"/>
          <cell r="K1780"/>
          <cell r="L1780"/>
          <cell r="M1780"/>
          <cell r="N1780"/>
        </row>
        <row r="1781">
          <cell r="H1781" t="str">
            <v/>
          </cell>
          <cell r="I1781" t="str">
            <v/>
          </cell>
          <cell r="J1781" t="str">
            <v/>
          </cell>
          <cell r="K1781" t="str">
            <v/>
          </cell>
          <cell r="L1781" t="str">
            <v/>
          </cell>
          <cell r="M1781" t="str">
            <v/>
          </cell>
          <cell r="N1781" t="str">
            <v/>
          </cell>
        </row>
        <row r="1782">
          <cell r="H1782"/>
          <cell r="I1782"/>
          <cell r="J1782"/>
          <cell r="K1782"/>
          <cell r="L1782"/>
          <cell r="M1782"/>
          <cell r="N1782"/>
        </row>
        <row r="1784">
          <cell r="I1784"/>
        </row>
        <row r="1788">
          <cell r="G1788"/>
          <cell r="H1788"/>
          <cell r="I1788"/>
          <cell r="J1788"/>
          <cell r="K1788"/>
          <cell r="L1788"/>
          <cell r="M1788"/>
          <cell r="N1788"/>
        </row>
        <row r="1789">
          <cell r="G1789" t="str">
            <v>GJ / Unit</v>
          </cell>
          <cell r="H1789"/>
          <cell r="I1789"/>
          <cell r="J1789"/>
          <cell r="K1789"/>
          <cell r="L1789"/>
          <cell r="M1789"/>
          <cell r="N1789"/>
        </row>
        <row r="1790">
          <cell r="H1790" t="str">
            <v/>
          </cell>
          <cell r="I1790" t="str">
            <v/>
          </cell>
          <cell r="J1790" t="str">
            <v/>
          </cell>
          <cell r="K1790" t="str">
            <v/>
          </cell>
          <cell r="L1790" t="str">
            <v/>
          </cell>
          <cell r="M1790" t="str">
            <v/>
          </cell>
          <cell r="N1790" t="str">
            <v/>
          </cell>
        </row>
        <row r="1791">
          <cell r="H1791"/>
          <cell r="I1791"/>
          <cell r="J1791"/>
          <cell r="K1791"/>
          <cell r="L1791"/>
          <cell r="M1791"/>
          <cell r="N1791"/>
        </row>
        <row r="1797">
          <cell r="H1797"/>
          <cell r="I1797"/>
          <cell r="J1797"/>
          <cell r="K1797"/>
          <cell r="L1797"/>
          <cell r="M1797"/>
          <cell r="N1797"/>
        </row>
        <row r="1803">
          <cell r="E1803" t="str">
            <v/>
          </cell>
          <cell r="H1803"/>
          <cell r="I1803"/>
          <cell r="J1803"/>
          <cell r="K1803"/>
          <cell r="L1803"/>
          <cell r="M1803"/>
          <cell r="N1803"/>
        </row>
        <row r="1808">
          <cell r="L1808"/>
        </row>
        <row r="1811">
          <cell r="E1811"/>
          <cell r="G1811" t="str">
            <v>tonnes</v>
          </cell>
          <cell r="H1811"/>
          <cell r="I1811"/>
          <cell r="J1811"/>
          <cell r="K1811"/>
          <cell r="L1811"/>
          <cell r="M1811"/>
          <cell r="N1811"/>
        </row>
        <row r="1812">
          <cell r="E1812"/>
          <cell r="G1812" t="str">
            <v>tonnes</v>
          </cell>
          <cell r="H1812"/>
          <cell r="I1812"/>
          <cell r="J1812"/>
          <cell r="K1812"/>
          <cell r="L1812"/>
          <cell r="M1812"/>
          <cell r="N1812"/>
        </row>
        <row r="1815">
          <cell r="E1815"/>
          <cell r="G1815" t="str">
            <v>tonnes</v>
          </cell>
          <cell r="H1815"/>
          <cell r="I1815"/>
          <cell r="J1815"/>
          <cell r="K1815"/>
          <cell r="L1815"/>
          <cell r="M1815"/>
          <cell r="N1815"/>
        </row>
        <row r="1816">
          <cell r="E1816"/>
          <cell r="G1816" t="str">
            <v>tonnes</v>
          </cell>
          <cell r="H1816"/>
          <cell r="I1816"/>
          <cell r="J1816"/>
          <cell r="K1816"/>
          <cell r="L1816"/>
          <cell r="M1816"/>
          <cell r="N1816"/>
        </row>
        <row r="1820">
          <cell r="E1820"/>
        </row>
        <row r="1825">
          <cell r="I1825" t="str">
            <v/>
          </cell>
        </row>
        <row r="1833">
          <cell r="E1833" t="str">
            <v/>
          </cell>
          <cell r="G1833" t="str">
            <v>tonnes</v>
          </cell>
          <cell r="H1833"/>
          <cell r="I1833"/>
          <cell r="J1833"/>
          <cell r="K1833"/>
          <cell r="L1833"/>
          <cell r="M1833"/>
          <cell r="N1833"/>
        </row>
        <row r="1834">
          <cell r="E1834" t="str">
            <v>From sheet "H_SpecialBM":</v>
          </cell>
          <cell r="G1834" t="str">
            <v>tonnes</v>
          </cell>
          <cell r="H1834" t="str">
            <v/>
          </cell>
          <cell r="I1834" t="str">
            <v/>
          </cell>
          <cell r="J1834" t="str">
            <v/>
          </cell>
          <cell r="K1834" t="str">
            <v/>
          </cell>
          <cell r="L1834" t="str">
            <v/>
          </cell>
          <cell r="M1834" t="str">
            <v/>
          </cell>
          <cell r="N1834" t="str">
            <v/>
          </cell>
        </row>
        <row r="1835">
          <cell r="E1835" t="str">
            <v>Values used for calculation:</v>
          </cell>
          <cell r="G1835" t="str">
            <v>tonnes</v>
          </cell>
          <cell r="H1835" t="str">
            <v/>
          </cell>
          <cell r="I1835" t="str">
            <v/>
          </cell>
          <cell r="J1835" t="str">
            <v/>
          </cell>
          <cell r="K1835" t="str">
            <v/>
          </cell>
          <cell r="L1835" t="str">
            <v/>
          </cell>
          <cell r="M1835" t="str">
            <v/>
          </cell>
          <cell r="N1835" t="str">
            <v/>
          </cell>
        </row>
        <row r="1847">
          <cell r="H1847" t="str">
            <v>tonnes</v>
          </cell>
          <cell r="I1847" t="str">
            <v/>
          </cell>
          <cell r="J1847" t="str">
            <v/>
          </cell>
          <cell r="K1847" t="str">
            <v/>
          </cell>
          <cell r="L1847" t="str">
            <v/>
          </cell>
          <cell r="M1847" t="str">
            <v/>
          </cell>
          <cell r="N1847" t="str">
            <v/>
          </cell>
        </row>
        <row r="1848">
          <cell r="J1848" t="str">
            <v/>
          </cell>
          <cell r="K1848" t="str">
            <v/>
          </cell>
          <cell r="L1848" t="str">
            <v/>
          </cell>
          <cell r="M1848" t="str">
            <v/>
          </cell>
          <cell r="N1848" t="str">
            <v/>
          </cell>
        </row>
        <row r="1849">
          <cell r="J1849" t="str">
            <v/>
          </cell>
          <cell r="K1849" t="str">
            <v/>
          </cell>
          <cell r="L1849" t="str">
            <v/>
          </cell>
          <cell r="M1849" t="str">
            <v/>
          </cell>
          <cell r="N1849" t="str">
            <v/>
          </cell>
        </row>
        <row r="1850">
          <cell r="H1850" t="str">
            <v>tonnes</v>
          </cell>
          <cell r="I1850" t="str">
            <v/>
          </cell>
          <cell r="J1850" t="str">
            <v/>
          </cell>
          <cell r="K1850" t="str">
            <v/>
          </cell>
          <cell r="L1850" t="str">
            <v/>
          </cell>
          <cell r="M1850" t="str">
            <v/>
          </cell>
          <cell r="N1850" t="str">
            <v/>
          </cell>
        </row>
        <row r="1853">
          <cell r="J1853" t="str">
            <v/>
          </cell>
          <cell r="K1853" t="str">
            <v/>
          </cell>
          <cell r="L1853" t="str">
            <v/>
          </cell>
          <cell r="M1853" t="str">
            <v/>
          </cell>
          <cell r="N1853" t="str">
            <v/>
          </cell>
        </row>
        <row r="1855">
          <cell r="J1855" t="str">
            <v/>
          </cell>
          <cell r="K1855" t="str">
            <v/>
          </cell>
          <cell r="L1855" t="str">
            <v/>
          </cell>
          <cell r="M1855" t="str">
            <v/>
          </cell>
          <cell r="N1855" t="str">
            <v/>
          </cell>
        </row>
        <row r="1856">
          <cell r="H1856" t="str">
            <v>tonnes</v>
          </cell>
          <cell r="I1856" t="str">
            <v/>
          </cell>
          <cell r="J1856" t="str">
            <v/>
          </cell>
          <cell r="K1856" t="str">
            <v/>
          </cell>
          <cell r="L1856" t="str">
            <v/>
          </cell>
          <cell r="M1856" t="str">
            <v/>
          </cell>
          <cell r="N1856" t="str">
            <v/>
          </cell>
        </row>
        <row r="1866">
          <cell r="H1866"/>
          <cell r="I1866"/>
          <cell r="J1866"/>
          <cell r="K1866"/>
          <cell r="L1866"/>
          <cell r="M1866"/>
          <cell r="N1866"/>
        </row>
        <row r="1867">
          <cell r="H1867" t="str">
            <v/>
          </cell>
          <cell r="I1867" t="str">
            <v/>
          </cell>
          <cell r="J1867" t="str">
            <v/>
          </cell>
          <cell r="K1867" t="str">
            <v/>
          </cell>
          <cell r="L1867" t="str">
            <v/>
          </cell>
          <cell r="M1867" t="str">
            <v/>
          </cell>
          <cell r="N1867" t="str">
            <v/>
          </cell>
        </row>
        <row r="1868">
          <cell r="H1868"/>
          <cell r="I1868"/>
          <cell r="J1868"/>
          <cell r="K1868"/>
          <cell r="L1868"/>
          <cell r="M1868"/>
          <cell r="N1868"/>
        </row>
        <row r="1869">
          <cell r="H1869" t="str">
            <v/>
          </cell>
          <cell r="I1869" t="str">
            <v/>
          </cell>
          <cell r="J1869" t="str">
            <v/>
          </cell>
          <cell r="K1869" t="str">
            <v/>
          </cell>
          <cell r="L1869" t="str">
            <v/>
          </cell>
          <cell r="M1869" t="str">
            <v/>
          </cell>
          <cell r="N1869" t="str">
            <v/>
          </cell>
        </row>
        <row r="1870">
          <cell r="H1870" t="str">
            <v/>
          </cell>
          <cell r="I1870" t="str">
            <v/>
          </cell>
          <cell r="J1870" t="str">
            <v/>
          </cell>
          <cell r="K1870" t="str">
            <v/>
          </cell>
          <cell r="L1870" t="str">
            <v/>
          </cell>
          <cell r="M1870" t="str">
            <v/>
          </cell>
          <cell r="N1870" t="str">
            <v/>
          </cell>
        </row>
        <row r="1872">
          <cell r="H1872" t="str">
            <v/>
          </cell>
          <cell r="I1872" t="str">
            <v/>
          </cell>
          <cell r="J1872" t="str">
            <v/>
          </cell>
          <cell r="K1872" t="str">
            <v/>
          </cell>
          <cell r="L1872" t="str">
            <v/>
          </cell>
          <cell r="M1872" t="str">
            <v/>
          </cell>
          <cell r="N1872" t="str">
            <v/>
          </cell>
        </row>
        <row r="1877">
          <cell r="I1877" t="str">
            <v/>
          </cell>
          <cell r="J1877" t="str">
            <v/>
          </cell>
          <cell r="K1877" t="str">
            <v/>
          </cell>
          <cell r="L1877" t="str">
            <v/>
          </cell>
          <cell r="M1877" t="str">
            <v/>
          </cell>
          <cell r="N1877" t="str">
            <v/>
          </cell>
        </row>
        <row r="1878">
          <cell r="J1878" t="str">
            <v/>
          </cell>
          <cell r="K1878" t="str">
            <v/>
          </cell>
          <cell r="L1878" t="str">
            <v/>
          </cell>
          <cell r="M1878" t="str">
            <v/>
          </cell>
          <cell r="N1878" t="str">
            <v/>
          </cell>
        </row>
        <row r="1879">
          <cell r="J1879" t="str">
            <v/>
          </cell>
          <cell r="K1879" t="str">
            <v/>
          </cell>
          <cell r="L1879" t="str">
            <v/>
          </cell>
          <cell r="M1879" t="str">
            <v/>
          </cell>
          <cell r="N1879" t="str">
            <v/>
          </cell>
        </row>
        <row r="1880">
          <cell r="I1880" t="str">
            <v/>
          </cell>
          <cell r="J1880" t="str">
            <v/>
          </cell>
          <cell r="K1880" t="str">
            <v/>
          </cell>
          <cell r="L1880" t="str">
            <v/>
          </cell>
          <cell r="M1880" t="str">
            <v/>
          </cell>
          <cell r="N1880" t="str">
            <v/>
          </cell>
        </row>
        <row r="1883">
          <cell r="J1883" t="str">
            <v/>
          </cell>
          <cell r="K1883" t="str">
            <v/>
          </cell>
          <cell r="L1883" t="str">
            <v/>
          </cell>
          <cell r="M1883" t="str">
            <v/>
          </cell>
          <cell r="N1883" t="str">
            <v/>
          </cell>
        </row>
        <row r="1885">
          <cell r="J1885" t="str">
            <v/>
          </cell>
          <cell r="K1885" t="str">
            <v/>
          </cell>
          <cell r="L1885" t="str">
            <v/>
          </cell>
          <cell r="M1885" t="str">
            <v/>
          </cell>
          <cell r="N1885" t="str">
            <v/>
          </cell>
        </row>
        <row r="1886">
          <cell r="I1886" t="str">
            <v/>
          </cell>
          <cell r="J1886" t="str">
            <v/>
          </cell>
          <cell r="K1886" t="str">
            <v/>
          </cell>
          <cell r="L1886" t="str">
            <v/>
          </cell>
          <cell r="M1886" t="str">
            <v/>
          </cell>
          <cell r="N1886" t="str">
            <v/>
          </cell>
        </row>
        <row r="1895">
          <cell r="H1895"/>
          <cell r="I1895"/>
          <cell r="J1895"/>
          <cell r="K1895"/>
          <cell r="L1895"/>
          <cell r="M1895"/>
          <cell r="N1895"/>
        </row>
        <row r="1896">
          <cell r="H1896" t="str">
            <v/>
          </cell>
          <cell r="I1896" t="str">
            <v/>
          </cell>
          <cell r="J1896" t="str">
            <v/>
          </cell>
          <cell r="K1896" t="str">
            <v/>
          </cell>
          <cell r="L1896" t="str">
            <v/>
          </cell>
          <cell r="M1896" t="str">
            <v/>
          </cell>
          <cell r="N1896" t="str">
            <v/>
          </cell>
        </row>
        <row r="1897">
          <cell r="H1897" t="str">
            <v/>
          </cell>
          <cell r="I1897" t="str">
            <v/>
          </cell>
          <cell r="J1897" t="str">
            <v/>
          </cell>
          <cell r="K1897" t="str">
            <v/>
          </cell>
          <cell r="L1897" t="str">
            <v/>
          </cell>
          <cell r="M1897" t="str">
            <v/>
          </cell>
          <cell r="N1897" t="str">
            <v/>
          </cell>
        </row>
        <row r="1902">
          <cell r="I1902" t="str">
            <v/>
          </cell>
          <cell r="J1902" t="str">
            <v/>
          </cell>
          <cell r="K1902" t="str">
            <v/>
          </cell>
          <cell r="L1902" t="str">
            <v/>
          </cell>
          <cell r="M1902" t="str">
            <v/>
          </cell>
          <cell r="N1902" t="str">
            <v/>
          </cell>
        </row>
        <row r="1903">
          <cell r="J1903" t="str">
            <v/>
          </cell>
          <cell r="K1903" t="str">
            <v/>
          </cell>
          <cell r="L1903" t="str">
            <v/>
          </cell>
          <cell r="M1903" t="str">
            <v/>
          </cell>
          <cell r="N1903" t="str">
            <v/>
          </cell>
        </row>
        <row r="1904">
          <cell r="J1904" t="str">
            <v/>
          </cell>
          <cell r="K1904" t="str">
            <v/>
          </cell>
          <cell r="L1904" t="str">
            <v/>
          </cell>
          <cell r="M1904" t="str">
            <v/>
          </cell>
          <cell r="N1904" t="str">
            <v/>
          </cell>
        </row>
        <row r="1905">
          <cell r="I1905" t="str">
            <v/>
          </cell>
          <cell r="J1905" t="str">
            <v/>
          </cell>
          <cell r="K1905" t="str">
            <v/>
          </cell>
          <cell r="L1905" t="str">
            <v/>
          </cell>
          <cell r="M1905" t="str">
            <v/>
          </cell>
          <cell r="N1905" t="str">
            <v/>
          </cell>
        </row>
        <row r="1908">
          <cell r="J1908" t="str">
            <v/>
          </cell>
          <cell r="K1908" t="str">
            <v/>
          </cell>
          <cell r="L1908" t="str">
            <v/>
          </cell>
          <cell r="M1908" t="str">
            <v/>
          </cell>
          <cell r="N1908" t="str">
            <v/>
          </cell>
        </row>
        <row r="1910">
          <cell r="J1910" t="str">
            <v/>
          </cell>
          <cell r="K1910" t="str">
            <v/>
          </cell>
          <cell r="L1910" t="str">
            <v/>
          </cell>
          <cell r="M1910" t="str">
            <v/>
          </cell>
          <cell r="N1910" t="str">
            <v/>
          </cell>
        </row>
        <row r="1911">
          <cell r="I1911" t="str">
            <v/>
          </cell>
          <cell r="J1911" t="str">
            <v/>
          </cell>
          <cell r="K1911" t="str">
            <v/>
          </cell>
          <cell r="L1911" t="str">
            <v/>
          </cell>
          <cell r="M1911" t="str">
            <v/>
          </cell>
          <cell r="N1911" t="str">
            <v/>
          </cell>
        </row>
        <row r="1925">
          <cell r="E1925"/>
          <cell r="F1925"/>
          <cell r="G1925"/>
          <cell r="H1925"/>
          <cell r="I1925"/>
          <cell r="J1925"/>
          <cell r="K1925"/>
          <cell r="L1925"/>
          <cell r="M1925"/>
          <cell r="N1925"/>
        </row>
        <row r="1926">
          <cell r="E1926"/>
          <cell r="F1926"/>
          <cell r="G1926"/>
          <cell r="H1926"/>
          <cell r="I1926"/>
          <cell r="J1926"/>
          <cell r="K1926"/>
          <cell r="L1926"/>
          <cell r="M1926"/>
          <cell r="N1926"/>
        </row>
        <row r="1927">
          <cell r="E1927"/>
          <cell r="F1927"/>
          <cell r="G1927"/>
          <cell r="H1927"/>
          <cell r="I1927"/>
          <cell r="J1927"/>
          <cell r="K1927"/>
          <cell r="L1927"/>
          <cell r="M1927"/>
          <cell r="N1927"/>
        </row>
        <row r="1928">
          <cell r="E1928"/>
          <cell r="F1928"/>
          <cell r="G1928"/>
          <cell r="H1928"/>
          <cell r="I1928"/>
          <cell r="J1928"/>
          <cell r="K1928"/>
          <cell r="L1928"/>
          <cell r="M1928"/>
          <cell r="N1928"/>
        </row>
        <row r="1929">
          <cell r="E1929"/>
          <cell r="F1929"/>
          <cell r="G1929"/>
          <cell r="H1929"/>
          <cell r="I1929"/>
          <cell r="J1929"/>
          <cell r="K1929"/>
          <cell r="L1929"/>
          <cell r="M1929"/>
          <cell r="N1929"/>
        </row>
        <row r="1930">
          <cell r="E1930"/>
          <cell r="F1930"/>
          <cell r="G1930"/>
          <cell r="H1930"/>
          <cell r="I1930"/>
          <cell r="J1930"/>
          <cell r="K1930"/>
          <cell r="L1930"/>
          <cell r="M1930"/>
          <cell r="N1930"/>
        </row>
        <row r="1931">
          <cell r="E1931"/>
          <cell r="F1931"/>
          <cell r="G1931"/>
          <cell r="H1931"/>
          <cell r="I1931"/>
          <cell r="J1931"/>
          <cell r="K1931"/>
          <cell r="L1931"/>
          <cell r="M1931"/>
          <cell r="N1931"/>
        </row>
        <row r="1932">
          <cell r="E1932"/>
          <cell r="F1932"/>
          <cell r="G1932"/>
          <cell r="H1932"/>
          <cell r="I1932"/>
          <cell r="J1932"/>
          <cell r="K1932"/>
          <cell r="L1932"/>
          <cell r="M1932"/>
          <cell r="N1932"/>
        </row>
        <row r="1933">
          <cell r="E1933"/>
          <cell r="F1933"/>
          <cell r="G1933"/>
          <cell r="H1933"/>
          <cell r="I1933"/>
          <cell r="J1933"/>
          <cell r="K1933"/>
          <cell r="L1933"/>
          <cell r="M1933"/>
          <cell r="N1933"/>
        </row>
        <row r="1934">
          <cell r="E1934"/>
          <cell r="F1934"/>
          <cell r="G1934"/>
          <cell r="H1934"/>
          <cell r="I1934"/>
          <cell r="J1934"/>
          <cell r="K1934"/>
          <cell r="L1934"/>
          <cell r="M1934"/>
          <cell r="N1934"/>
        </row>
        <row r="1935">
          <cell r="G1935"/>
          <cell r="H1935" t="str">
            <v/>
          </cell>
          <cell r="I1935" t="str">
            <v/>
          </cell>
          <cell r="J1935" t="str">
            <v/>
          </cell>
          <cell r="K1935" t="str">
            <v/>
          </cell>
          <cell r="L1935" t="str">
            <v/>
          </cell>
          <cell r="M1935" t="str">
            <v/>
          </cell>
          <cell r="N1935" t="str">
            <v/>
          </cell>
        </row>
        <row r="1940">
          <cell r="I1940" t="str">
            <v/>
          </cell>
        </row>
        <row r="1960">
          <cell r="E1960" t="str">
            <v/>
          </cell>
          <cell r="H1960"/>
          <cell r="I1960"/>
          <cell r="J1960"/>
          <cell r="K1960"/>
          <cell r="L1960"/>
          <cell r="M1960"/>
          <cell r="N1960"/>
        </row>
        <row r="1968">
          <cell r="H1968"/>
          <cell r="I1968"/>
          <cell r="J1968"/>
          <cell r="K1968"/>
          <cell r="L1968"/>
          <cell r="M1968"/>
          <cell r="N1968"/>
        </row>
        <row r="1969">
          <cell r="H1969"/>
          <cell r="I1969"/>
          <cell r="J1969"/>
          <cell r="K1969"/>
          <cell r="L1969"/>
          <cell r="M1969"/>
          <cell r="N1969"/>
        </row>
        <row r="1978">
          <cell r="L1978"/>
        </row>
        <row r="1980">
          <cell r="I1980"/>
        </row>
        <row r="1983">
          <cell r="H1983"/>
          <cell r="I1983"/>
          <cell r="J1983"/>
          <cell r="K1983"/>
          <cell r="L1983"/>
          <cell r="M1983"/>
          <cell r="N1983"/>
        </row>
        <row r="1984">
          <cell r="H1984"/>
          <cell r="I1984"/>
          <cell r="J1984"/>
          <cell r="K1984"/>
          <cell r="L1984"/>
          <cell r="M1984"/>
          <cell r="N1984"/>
        </row>
        <row r="1985">
          <cell r="H1985"/>
          <cell r="I1985"/>
          <cell r="J1985"/>
          <cell r="K1985"/>
          <cell r="L1985"/>
          <cell r="M1985"/>
          <cell r="N1985"/>
        </row>
        <row r="1986">
          <cell r="H1986"/>
          <cell r="I1986"/>
          <cell r="J1986"/>
          <cell r="K1986"/>
          <cell r="L1986"/>
          <cell r="M1986"/>
          <cell r="N1986"/>
        </row>
        <row r="1987">
          <cell r="H1987" t="str">
            <v/>
          </cell>
          <cell r="I1987" t="str">
            <v/>
          </cell>
          <cell r="J1987" t="str">
            <v/>
          </cell>
          <cell r="K1987" t="str">
            <v/>
          </cell>
          <cell r="L1987" t="str">
            <v/>
          </cell>
          <cell r="M1987" t="str">
            <v/>
          </cell>
          <cell r="N1987" t="str">
            <v/>
          </cell>
        </row>
        <row r="1988">
          <cell r="H1988" t="str">
            <v/>
          </cell>
          <cell r="I1988" t="str">
            <v/>
          </cell>
          <cell r="J1988" t="str">
            <v/>
          </cell>
          <cell r="K1988" t="str">
            <v/>
          </cell>
          <cell r="L1988" t="str">
            <v/>
          </cell>
          <cell r="M1988" t="str">
            <v/>
          </cell>
          <cell r="N1988" t="str">
            <v/>
          </cell>
        </row>
        <row r="1989">
          <cell r="H1989" t="str">
            <v/>
          </cell>
          <cell r="I1989" t="str">
            <v/>
          </cell>
          <cell r="J1989" t="str">
            <v/>
          </cell>
          <cell r="K1989" t="str">
            <v/>
          </cell>
          <cell r="L1989" t="str">
            <v/>
          </cell>
          <cell r="M1989" t="str">
            <v/>
          </cell>
          <cell r="N1989" t="str">
            <v/>
          </cell>
        </row>
        <row r="1990">
          <cell r="H1990" t="str">
            <v/>
          </cell>
          <cell r="I1990" t="str">
            <v/>
          </cell>
          <cell r="J1990" t="str">
            <v/>
          </cell>
          <cell r="K1990" t="str">
            <v/>
          </cell>
          <cell r="L1990" t="str">
            <v/>
          </cell>
          <cell r="M1990" t="str">
            <v/>
          </cell>
          <cell r="N1990" t="str">
            <v/>
          </cell>
        </row>
        <row r="1992">
          <cell r="I1992"/>
        </row>
        <row r="1995">
          <cell r="H1995"/>
          <cell r="I1995"/>
          <cell r="J1995"/>
          <cell r="K1995"/>
          <cell r="L1995"/>
          <cell r="M1995"/>
          <cell r="N1995"/>
        </row>
        <row r="1996">
          <cell r="H1996"/>
          <cell r="I1996"/>
          <cell r="J1996"/>
          <cell r="K1996"/>
          <cell r="L1996"/>
          <cell r="M1996"/>
          <cell r="N1996"/>
        </row>
        <row r="1997">
          <cell r="H1997"/>
          <cell r="I1997"/>
          <cell r="J1997"/>
          <cell r="K1997"/>
          <cell r="L1997"/>
          <cell r="M1997"/>
          <cell r="N1997"/>
        </row>
        <row r="1998">
          <cell r="H1998"/>
          <cell r="I1998"/>
          <cell r="J1998"/>
          <cell r="K1998"/>
          <cell r="L1998"/>
          <cell r="M1998"/>
          <cell r="N1998"/>
        </row>
        <row r="1999">
          <cell r="H1999" t="str">
            <v/>
          </cell>
          <cell r="I1999" t="str">
            <v/>
          </cell>
          <cell r="J1999" t="str">
            <v/>
          </cell>
          <cell r="K1999" t="str">
            <v/>
          </cell>
          <cell r="L1999" t="str">
            <v/>
          </cell>
          <cell r="M1999" t="str">
            <v/>
          </cell>
          <cell r="N1999" t="str">
            <v/>
          </cell>
        </row>
        <row r="2000">
          <cell r="H2000" t="str">
            <v/>
          </cell>
          <cell r="I2000" t="str">
            <v/>
          </cell>
          <cell r="J2000" t="str">
            <v/>
          </cell>
          <cell r="K2000" t="str">
            <v/>
          </cell>
          <cell r="L2000" t="str">
            <v/>
          </cell>
          <cell r="M2000" t="str">
            <v/>
          </cell>
          <cell r="N2000" t="str">
            <v/>
          </cell>
        </row>
        <row r="2001">
          <cell r="H2001" t="str">
            <v/>
          </cell>
          <cell r="I2001" t="str">
            <v/>
          </cell>
          <cell r="J2001" t="str">
            <v/>
          </cell>
          <cell r="K2001" t="str">
            <v/>
          </cell>
          <cell r="L2001" t="str">
            <v/>
          </cell>
          <cell r="M2001" t="str">
            <v/>
          </cell>
          <cell r="N2001" t="str">
            <v/>
          </cell>
        </row>
        <row r="2002">
          <cell r="H2002" t="str">
            <v/>
          </cell>
          <cell r="I2002" t="str">
            <v/>
          </cell>
          <cell r="J2002" t="str">
            <v/>
          </cell>
          <cell r="K2002" t="str">
            <v/>
          </cell>
          <cell r="L2002" t="str">
            <v/>
          </cell>
          <cell r="M2002" t="str">
            <v/>
          </cell>
          <cell r="N2002" t="str">
            <v/>
          </cell>
        </row>
        <row r="2009">
          <cell r="H2009"/>
          <cell r="I2009"/>
          <cell r="J2009"/>
          <cell r="K2009"/>
          <cell r="L2009"/>
          <cell r="M2009"/>
          <cell r="N2009"/>
        </row>
        <row r="2018">
          <cell r="H2018"/>
          <cell r="I2018"/>
          <cell r="J2018"/>
          <cell r="K2018"/>
          <cell r="L2018"/>
          <cell r="M2018"/>
          <cell r="N2018"/>
        </row>
        <row r="2019">
          <cell r="H2019"/>
          <cell r="I2019"/>
          <cell r="J2019"/>
          <cell r="K2019"/>
          <cell r="L2019"/>
          <cell r="M2019"/>
          <cell r="N2019"/>
        </row>
        <row r="2022">
          <cell r="H2022"/>
          <cell r="I2022"/>
          <cell r="J2022"/>
          <cell r="K2022"/>
          <cell r="L2022"/>
          <cell r="M2022"/>
          <cell r="N2022"/>
        </row>
        <row r="2023">
          <cell r="H2023"/>
          <cell r="I2023"/>
          <cell r="J2023"/>
          <cell r="K2023"/>
          <cell r="L2023"/>
          <cell r="M2023"/>
          <cell r="N2023"/>
        </row>
        <row r="2026">
          <cell r="H2026"/>
          <cell r="I2026"/>
          <cell r="J2026"/>
          <cell r="K2026"/>
          <cell r="L2026"/>
          <cell r="M2026"/>
          <cell r="N2026"/>
        </row>
        <row r="2027">
          <cell r="H2027"/>
          <cell r="I2027"/>
          <cell r="J2027"/>
          <cell r="K2027"/>
          <cell r="L2027"/>
          <cell r="M2027"/>
          <cell r="N2027"/>
        </row>
        <row r="2031">
          <cell r="L2031"/>
        </row>
        <row r="2033">
          <cell r="I2033"/>
        </row>
        <row r="2037">
          <cell r="G2037"/>
          <cell r="H2037"/>
          <cell r="I2037"/>
          <cell r="J2037"/>
          <cell r="K2037"/>
          <cell r="L2037"/>
          <cell r="M2037"/>
          <cell r="N2037"/>
        </row>
        <row r="2038">
          <cell r="G2038" t="str">
            <v>GJ / Unit</v>
          </cell>
          <cell r="H2038"/>
          <cell r="I2038"/>
          <cell r="J2038"/>
          <cell r="K2038"/>
          <cell r="L2038"/>
          <cell r="M2038"/>
          <cell r="N2038"/>
        </row>
        <row r="2039">
          <cell r="H2039" t="str">
            <v/>
          </cell>
          <cell r="I2039" t="str">
            <v/>
          </cell>
          <cell r="J2039" t="str">
            <v/>
          </cell>
          <cell r="K2039" t="str">
            <v/>
          </cell>
          <cell r="L2039" t="str">
            <v/>
          </cell>
          <cell r="M2039" t="str">
            <v/>
          </cell>
          <cell r="N2039" t="str">
            <v/>
          </cell>
        </row>
        <row r="2040">
          <cell r="H2040"/>
          <cell r="I2040"/>
          <cell r="J2040"/>
          <cell r="K2040"/>
          <cell r="L2040"/>
          <cell r="M2040"/>
          <cell r="N2040"/>
        </row>
        <row r="2042">
          <cell r="I2042"/>
        </row>
        <row r="2046">
          <cell r="G2046"/>
          <cell r="H2046"/>
          <cell r="I2046"/>
          <cell r="J2046"/>
          <cell r="K2046"/>
          <cell r="L2046"/>
          <cell r="M2046"/>
          <cell r="N2046"/>
        </row>
        <row r="2047">
          <cell r="G2047" t="str">
            <v>GJ / Unit</v>
          </cell>
          <cell r="H2047"/>
          <cell r="I2047"/>
          <cell r="J2047"/>
          <cell r="K2047"/>
          <cell r="L2047"/>
          <cell r="M2047"/>
          <cell r="N2047"/>
        </row>
        <row r="2048">
          <cell r="H2048" t="str">
            <v/>
          </cell>
          <cell r="I2048" t="str">
            <v/>
          </cell>
          <cell r="J2048" t="str">
            <v/>
          </cell>
          <cell r="K2048" t="str">
            <v/>
          </cell>
          <cell r="L2048" t="str">
            <v/>
          </cell>
          <cell r="M2048" t="str">
            <v/>
          </cell>
          <cell r="N2048" t="str">
            <v/>
          </cell>
        </row>
        <row r="2049">
          <cell r="H2049"/>
          <cell r="I2049"/>
          <cell r="J2049"/>
          <cell r="K2049"/>
          <cell r="L2049"/>
          <cell r="M2049"/>
          <cell r="N2049"/>
        </row>
        <row r="2051">
          <cell r="I2051"/>
        </row>
        <row r="2056">
          <cell r="G2056"/>
          <cell r="H2056"/>
          <cell r="I2056"/>
          <cell r="J2056"/>
          <cell r="K2056"/>
          <cell r="L2056"/>
          <cell r="M2056"/>
          <cell r="N2056"/>
        </row>
        <row r="2057">
          <cell r="G2057" t="str">
            <v>GJ / Unit</v>
          </cell>
          <cell r="H2057"/>
          <cell r="I2057"/>
          <cell r="J2057"/>
          <cell r="K2057"/>
          <cell r="L2057"/>
          <cell r="M2057"/>
          <cell r="N2057"/>
        </row>
        <row r="2058">
          <cell r="H2058" t="str">
            <v/>
          </cell>
          <cell r="I2058" t="str">
            <v/>
          </cell>
          <cell r="J2058" t="str">
            <v/>
          </cell>
          <cell r="K2058" t="str">
            <v/>
          </cell>
          <cell r="L2058" t="str">
            <v/>
          </cell>
          <cell r="M2058" t="str">
            <v/>
          </cell>
          <cell r="N2058" t="str">
            <v/>
          </cell>
        </row>
        <row r="2059">
          <cell r="H2059"/>
          <cell r="I2059"/>
          <cell r="J2059"/>
          <cell r="K2059"/>
          <cell r="L2059"/>
          <cell r="M2059"/>
          <cell r="N2059"/>
        </row>
        <row r="2061">
          <cell r="H2061" t="str">
            <v/>
          </cell>
          <cell r="I2061" t="str">
            <v/>
          </cell>
          <cell r="J2061" t="str">
            <v/>
          </cell>
          <cell r="K2061" t="str">
            <v/>
          </cell>
          <cell r="L2061" t="str">
            <v/>
          </cell>
          <cell r="M2061" t="str">
            <v/>
          </cell>
          <cell r="N2061" t="str">
            <v/>
          </cell>
        </row>
        <row r="2065">
          <cell r="I2065" t="str">
            <v/>
          </cell>
          <cell r="J2065" t="str">
            <v/>
          </cell>
          <cell r="K2065" t="str">
            <v/>
          </cell>
          <cell r="L2065" t="str">
            <v/>
          </cell>
          <cell r="M2065" t="str">
            <v/>
          </cell>
          <cell r="N2065" t="str">
            <v/>
          </cell>
        </row>
        <row r="2066">
          <cell r="J2066" t="str">
            <v/>
          </cell>
          <cell r="K2066" t="str">
            <v/>
          </cell>
          <cell r="L2066" t="str">
            <v/>
          </cell>
          <cell r="M2066" t="str">
            <v/>
          </cell>
          <cell r="N2066" t="str">
            <v/>
          </cell>
        </row>
        <row r="2067">
          <cell r="J2067" t="str">
            <v/>
          </cell>
          <cell r="K2067" t="str">
            <v/>
          </cell>
          <cell r="L2067" t="str">
            <v/>
          </cell>
          <cell r="M2067" t="str">
            <v/>
          </cell>
          <cell r="N2067" t="str">
            <v/>
          </cell>
        </row>
        <row r="2068">
          <cell r="I2068" t="str">
            <v/>
          </cell>
          <cell r="J2068" t="str">
            <v/>
          </cell>
          <cell r="K2068" t="str">
            <v/>
          </cell>
          <cell r="L2068" t="str">
            <v/>
          </cell>
          <cell r="M2068" t="str">
            <v/>
          </cell>
          <cell r="N2068" t="str">
            <v/>
          </cell>
        </row>
        <row r="2071">
          <cell r="J2071" t="str">
            <v/>
          </cell>
          <cell r="K2071" t="str">
            <v/>
          </cell>
          <cell r="L2071" t="str">
            <v/>
          </cell>
          <cell r="M2071" t="str">
            <v/>
          </cell>
          <cell r="N2071" t="str">
            <v/>
          </cell>
        </row>
        <row r="2073">
          <cell r="J2073" t="str">
            <v/>
          </cell>
          <cell r="K2073" t="str">
            <v/>
          </cell>
          <cell r="L2073" t="str">
            <v/>
          </cell>
          <cell r="M2073" t="str">
            <v/>
          </cell>
          <cell r="N2073" t="str">
            <v/>
          </cell>
        </row>
        <row r="2074">
          <cell r="I2074" t="str">
            <v/>
          </cell>
          <cell r="J2074" t="str">
            <v/>
          </cell>
          <cell r="K2074" t="str">
            <v/>
          </cell>
          <cell r="L2074" t="str">
            <v/>
          </cell>
          <cell r="M2074" t="str">
            <v/>
          </cell>
          <cell r="N2074" t="str">
            <v/>
          </cell>
        </row>
        <row r="2077">
          <cell r="I2077"/>
        </row>
        <row r="2081">
          <cell r="G2081"/>
          <cell r="H2081"/>
          <cell r="I2081"/>
          <cell r="J2081"/>
          <cell r="K2081"/>
          <cell r="L2081"/>
          <cell r="M2081"/>
          <cell r="N2081"/>
        </row>
        <row r="2082">
          <cell r="G2082" t="str">
            <v>GJ / Unit</v>
          </cell>
          <cell r="H2082"/>
          <cell r="I2082"/>
          <cell r="J2082"/>
          <cell r="K2082"/>
          <cell r="L2082"/>
          <cell r="M2082"/>
          <cell r="N2082"/>
        </row>
        <row r="2083">
          <cell r="H2083" t="str">
            <v/>
          </cell>
          <cell r="I2083" t="str">
            <v/>
          </cell>
          <cell r="J2083" t="str">
            <v/>
          </cell>
          <cell r="K2083" t="str">
            <v/>
          </cell>
          <cell r="L2083" t="str">
            <v/>
          </cell>
          <cell r="M2083" t="str">
            <v/>
          </cell>
          <cell r="N2083" t="str">
            <v/>
          </cell>
        </row>
        <row r="2084">
          <cell r="H2084"/>
          <cell r="I2084"/>
          <cell r="J2084"/>
          <cell r="K2084"/>
          <cell r="L2084"/>
          <cell r="M2084"/>
          <cell r="N2084"/>
        </row>
        <row r="2086">
          <cell r="I2086"/>
        </row>
        <row r="2090">
          <cell r="G2090"/>
          <cell r="H2090"/>
          <cell r="I2090"/>
          <cell r="J2090"/>
          <cell r="K2090"/>
          <cell r="L2090"/>
          <cell r="M2090"/>
          <cell r="N2090"/>
        </row>
        <row r="2091">
          <cell r="G2091" t="str">
            <v>GJ / Unit</v>
          </cell>
          <cell r="H2091"/>
          <cell r="I2091"/>
          <cell r="J2091"/>
          <cell r="K2091"/>
          <cell r="L2091"/>
          <cell r="M2091"/>
          <cell r="N2091"/>
        </row>
        <row r="2092">
          <cell r="H2092" t="str">
            <v/>
          </cell>
          <cell r="I2092" t="str">
            <v/>
          </cell>
          <cell r="J2092" t="str">
            <v/>
          </cell>
          <cell r="K2092" t="str">
            <v/>
          </cell>
          <cell r="L2092" t="str">
            <v/>
          </cell>
          <cell r="M2092" t="str">
            <v/>
          </cell>
          <cell r="N2092" t="str">
            <v/>
          </cell>
        </row>
        <row r="2093">
          <cell r="H2093"/>
          <cell r="I2093"/>
          <cell r="J2093"/>
          <cell r="K2093"/>
          <cell r="L2093"/>
          <cell r="M2093"/>
          <cell r="N2093"/>
        </row>
        <row r="2099">
          <cell r="H2099"/>
          <cell r="I2099"/>
          <cell r="J2099"/>
          <cell r="K2099"/>
          <cell r="L2099"/>
          <cell r="M2099"/>
          <cell r="N2099"/>
        </row>
        <row r="2105">
          <cell r="E2105" t="str">
            <v/>
          </cell>
          <cell r="H2105"/>
          <cell r="I2105"/>
          <cell r="J2105"/>
          <cell r="K2105"/>
          <cell r="L2105"/>
          <cell r="M2105"/>
          <cell r="N2105"/>
        </row>
        <row r="2110">
          <cell r="L2110"/>
        </row>
        <row r="2113">
          <cell r="E2113"/>
          <cell r="G2113" t="str">
            <v>tonnes</v>
          </cell>
          <cell r="H2113"/>
          <cell r="I2113"/>
          <cell r="J2113"/>
          <cell r="K2113"/>
          <cell r="L2113"/>
          <cell r="M2113"/>
          <cell r="N2113"/>
        </row>
        <row r="2114">
          <cell r="E2114"/>
          <cell r="G2114" t="str">
            <v>tonnes</v>
          </cell>
          <cell r="H2114"/>
          <cell r="I2114"/>
          <cell r="J2114"/>
          <cell r="K2114"/>
          <cell r="L2114"/>
          <cell r="M2114"/>
          <cell r="N2114"/>
        </row>
        <row r="2117">
          <cell r="E2117"/>
          <cell r="G2117" t="str">
            <v>tonnes</v>
          </cell>
          <cell r="H2117"/>
          <cell r="I2117"/>
          <cell r="J2117"/>
          <cell r="K2117"/>
          <cell r="L2117"/>
          <cell r="M2117"/>
          <cell r="N2117"/>
        </row>
        <row r="2118">
          <cell r="E2118"/>
          <cell r="G2118" t="str">
            <v>tonnes</v>
          </cell>
          <cell r="H2118"/>
          <cell r="I2118"/>
          <cell r="J2118"/>
          <cell r="K2118"/>
          <cell r="L2118"/>
          <cell r="M2118"/>
          <cell r="N2118"/>
        </row>
        <row r="2122">
          <cell r="E2122"/>
        </row>
        <row r="2127">
          <cell r="I2127" t="str">
            <v/>
          </cell>
        </row>
        <row r="2135">
          <cell r="E2135" t="str">
            <v/>
          </cell>
          <cell r="G2135" t="str">
            <v>tonnes</v>
          </cell>
          <cell r="H2135"/>
          <cell r="I2135"/>
          <cell r="J2135"/>
          <cell r="K2135"/>
          <cell r="L2135"/>
          <cell r="M2135"/>
          <cell r="N2135"/>
        </row>
        <row r="2136">
          <cell r="E2136" t="str">
            <v>From sheet "H_SpecialBM":</v>
          </cell>
          <cell r="G2136" t="str">
            <v>tonnes</v>
          </cell>
          <cell r="H2136" t="str">
            <v/>
          </cell>
          <cell r="I2136" t="str">
            <v/>
          </cell>
          <cell r="J2136" t="str">
            <v/>
          </cell>
          <cell r="K2136" t="str">
            <v/>
          </cell>
          <cell r="L2136" t="str">
            <v/>
          </cell>
          <cell r="M2136" t="str">
            <v/>
          </cell>
          <cell r="N2136" t="str">
            <v/>
          </cell>
        </row>
        <row r="2137">
          <cell r="E2137" t="str">
            <v>Values used for calculation:</v>
          </cell>
          <cell r="G2137" t="str">
            <v>tonnes</v>
          </cell>
          <cell r="H2137" t="str">
            <v/>
          </cell>
          <cell r="I2137" t="str">
            <v/>
          </cell>
          <cell r="J2137" t="str">
            <v/>
          </cell>
          <cell r="K2137" t="str">
            <v/>
          </cell>
          <cell r="L2137" t="str">
            <v/>
          </cell>
          <cell r="M2137" t="str">
            <v/>
          </cell>
          <cell r="N2137" t="str">
            <v/>
          </cell>
        </row>
        <row r="2149">
          <cell r="H2149" t="str">
            <v>tonnes</v>
          </cell>
          <cell r="I2149" t="str">
            <v/>
          </cell>
          <cell r="J2149" t="str">
            <v/>
          </cell>
          <cell r="K2149" t="str">
            <v/>
          </cell>
          <cell r="L2149" t="str">
            <v/>
          </cell>
          <cell r="M2149" t="str">
            <v/>
          </cell>
          <cell r="N2149" t="str">
            <v/>
          </cell>
        </row>
        <row r="2150">
          <cell r="J2150" t="str">
            <v/>
          </cell>
          <cell r="K2150" t="str">
            <v/>
          </cell>
          <cell r="L2150" t="str">
            <v/>
          </cell>
          <cell r="M2150" t="str">
            <v/>
          </cell>
          <cell r="N2150" t="str">
            <v/>
          </cell>
        </row>
        <row r="2151">
          <cell r="J2151" t="str">
            <v/>
          </cell>
          <cell r="K2151" t="str">
            <v/>
          </cell>
          <cell r="L2151" t="str">
            <v/>
          </cell>
          <cell r="M2151" t="str">
            <v/>
          </cell>
          <cell r="N2151" t="str">
            <v/>
          </cell>
        </row>
        <row r="2152">
          <cell r="H2152" t="str">
            <v>tonnes</v>
          </cell>
          <cell r="I2152" t="str">
            <v/>
          </cell>
          <cell r="J2152" t="str">
            <v/>
          </cell>
          <cell r="K2152" t="str">
            <v/>
          </cell>
          <cell r="L2152" t="str">
            <v/>
          </cell>
          <cell r="M2152" t="str">
            <v/>
          </cell>
          <cell r="N2152" t="str">
            <v/>
          </cell>
        </row>
        <row r="2155">
          <cell r="J2155" t="str">
            <v/>
          </cell>
          <cell r="K2155" t="str">
            <v/>
          </cell>
          <cell r="L2155" t="str">
            <v/>
          </cell>
          <cell r="M2155" t="str">
            <v/>
          </cell>
          <cell r="N2155" t="str">
            <v/>
          </cell>
        </row>
        <row r="2157">
          <cell r="J2157" t="str">
            <v/>
          </cell>
          <cell r="K2157" t="str">
            <v/>
          </cell>
          <cell r="L2157" t="str">
            <v/>
          </cell>
          <cell r="M2157" t="str">
            <v/>
          </cell>
          <cell r="N2157" t="str">
            <v/>
          </cell>
        </row>
        <row r="2158">
          <cell r="H2158" t="str">
            <v>tonnes</v>
          </cell>
          <cell r="I2158" t="str">
            <v/>
          </cell>
          <cell r="J2158" t="str">
            <v/>
          </cell>
          <cell r="K2158" t="str">
            <v/>
          </cell>
          <cell r="L2158" t="str">
            <v/>
          </cell>
          <cell r="M2158" t="str">
            <v/>
          </cell>
          <cell r="N2158" t="str">
            <v/>
          </cell>
        </row>
        <row r="2168">
          <cell r="H2168"/>
          <cell r="I2168"/>
          <cell r="J2168"/>
          <cell r="K2168"/>
          <cell r="L2168"/>
          <cell r="M2168"/>
          <cell r="N2168"/>
        </row>
        <row r="2169">
          <cell r="H2169" t="str">
            <v/>
          </cell>
          <cell r="I2169" t="str">
            <v/>
          </cell>
          <cell r="J2169" t="str">
            <v/>
          </cell>
          <cell r="K2169" t="str">
            <v/>
          </cell>
          <cell r="L2169" t="str">
            <v/>
          </cell>
          <cell r="M2169" t="str">
            <v/>
          </cell>
          <cell r="N2169" t="str">
            <v/>
          </cell>
        </row>
        <row r="2170">
          <cell r="H2170"/>
          <cell r="I2170"/>
          <cell r="J2170"/>
          <cell r="K2170"/>
          <cell r="L2170"/>
          <cell r="M2170"/>
          <cell r="N2170"/>
        </row>
        <row r="2171">
          <cell r="H2171" t="str">
            <v/>
          </cell>
          <cell r="I2171" t="str">
            <v/>
          </cell>
          <cell r="J2171" t="str">
            <v/>
          </cell>
          <cell r="K2171" t="str">
            <v/>
          </cell>
          <cell r="L2171" t="str">
            <v/>
          </cell>
          <cell r="M2171" t="str">
            <v/>
          </cell>
          <cell r="N2171" t="str">
            <v/>
          </cell>
        </row>
        <row r="2172">
          <cell r="H2172" t="str">
            <v/>
          </cell>
          <cell r="I2172" t="str">
            <v/>
          </cell>
          <cell r="J2172" t="str">
            <v/>
          </cell>
          <cell r="K2172" t="str">
            <v/>
          </cell>
          <cell r="L2172" t="str">
            <v/>
          </cell>
          <cell r="M2172" t="str">
            <v/>
          </cell>
          <cell r="N2172" t="str">
            <v/>
          </cell>
        </row>
        <row r="2174">
          <cell r="H2174" t="str">
            <v/>
          </cell>
          <cell r="I2174" t="str">
            <v/>
          </cell>
          <cell r="J2174" t="str">
            <v/>
          </cell>
          <cell r="K2174" t="str">
            <v/>
          </cell>
          <cell r="L2174" t="str">
            <v/>
          </cell>
          <cell r="M2174" t="str">
            <v/>
          </cell>
          <cell r="N2174" t="str">
            <v/>
          </cell>
        </row>
        <row r="2179">
          <cell r="I2179" t="str">
            <v/>
          </cell>
          <cell r="J2179" t="str">
            <v/>
          </cell>
          <cell r="K2179" t="str">
            <v/>
          </cell>
          <cell r="L2179" t="str">
            <v/>
          </cell>
          <cell r="M2179" t="str">
            <v/>
          </cell>
          <cell r="N2179" t="str">
            <v/>
          </cell>
        </row>
        <row r="2180">
          <cell r="J2180" t="str">
            <v/>
          </cell>
          <cell r="K2180" t="str">
            <v/>
          </cell>
          <cell r="L2180" t="str">
            <v/>
          </cell>
          <cell r="M2180" t="str">
            <v/>
          </cell>
          <cell r="N2180" t="str">
            <v/>
          </cell>
        </row>
        <row r="2181">
          <cell r="J2181" t="str">
            <v/>
          </cell>
          <cell r="K2181" t="str">
            <v/>
          </cell>
          <cell r="L2181" t="str">
            <v/>
          </cell>
          <cell r="M2181" t="str">
            <v/>
          </cell>
          <cell r="N2181" t="str">
            <v/>
          </cell>
        </row>
        <row r="2182">
          <cell r="I2182" t="str">
            <v/>
          </cell>
          <cell r="J2182" t="str">
            <v/>
          </cell>
          <cell r="K2182" t="str">
            <v/>
          </cell>
          <cell r="L2182" t="str">
            <v/>
          </cell>
          <cell r="M2182" t="str">
            <v/>
          </cell>
          <cell r="N2182" t="str">
            <v/>
          </cell>
        </row>
        <row r="2185">
          <cell r="J2185" t="str">
            <v/>
          </cell>
          <cell r="K2185" t="str">
            <v/>
          </cell>
          <cell r="L2185" t="str">
            <v/>
          </cell>
          <cell r="M2185" t="str">
            <v/>
          </cell>
          <cell r="N2185" t="str">
            <v/>
          </cell>
        </row>
        <row r="2187">
          <cell r="J2187" t="str">
            <v/>
          </cell>
          <cell r="K2187" t="str">
            <v/>
          </cell>
          <cell r="L2187" t="str">
            <v/>
          </cell>
          <cell r="M2187" t="str">
            <v/>
          </cell>
          <cell r="N2187" t="str">
            <v/>
          </cell>
        </row>
        <row r="2188">
          <cell r="I2188" t="str">
            <v/>
          </cell>
          <cell r="J2188" t="str">
            <v/>
          </cell>
          <cell r="K2188" t="str">
            <v/>
          </cell>
          <cell r="L2188" t="str">
            <v/>
          </cell>
          <cell r="M2188" t="str">
            <v/>
          </cell>
          <cell r="N2188" t="str">
            <v/>
          </cell>
        </row>
        <row r="2197">
          <cell r="H2197"/>
          <cell r="I2197"/>
          <cell r="J2197"/>
          <cell r="K2197"/>
          <cell r="L2197"/>
          <cell r="M2197"/>
          <cell r="N2197"/>
        </row>
        <row r="2198">
          <cell r="H2198" t="str">
            <v/>
          </cell>
          <cell r="I2198" t="str">
            <v/>
          </cell>
          <cell r="J2198" t="str">
            <v/>
          </cell>
          <cell r="K2198" t="str">
            <v/>
          </cell>
          <cell r="L2198" t="str">
            <v/>
          </cell>
          <cell r="M2198" t="str">
            <v/>
          </cell>
          <cell r="N2198" t="str">
            <v/>
          </cell>
        </row>
        <row r="2199">
          <cell r="H2199" t="str">
            <v/>
          </cell>
          <cell r="I2199" t="str">
            <v/>
          </cell>
          <cell r="J2199" t="str">
            <v/>
          </cell>
          <cell r="K2199" t="str">
            <v/>
          </cell>
          <cell r="L2199" t="str">
            <v/>
          </cell>
          <cell r="M2199" t="str">
            <v/>
          </cell>
          <cell r="N2199" t="str">
            <v/>
          </cell>
        </row>
        <row r="2204">
          <cell r="I2204" t="str">
            <v/>
          </cell>
          <cell r="J2204" t="str">
            <v/>
          </cell>
          <cell r="K2204" t="str">
            <v/>
          </cell>
          <cell r="L2204" t="str">
            <v/>
          </cell>
          <cell r="M2204" t="str">
            <v/>
          </cell>
          <cell r="N2204" t="str">
            <v/>
          </cell>
        </row>
        <row r="2205">
          <cell r="J2205" t="str">
            <v/>
          </cell>
          <cell r="K2205" t="str">
            <v/>
          </cell>
          <cell r="L2205" t="str">
            <v/>
          </cell>
          <cell r="M2205" t="str">
            <v/>
          </cell>
          <cell r="N2205" t="str">
            <v/>
          </cell>
        </row>
        <row r="2206">
          <cell r="J2206" t="str">
            <v/>
          </cell>
          <cell r="K2206" t="str">
            <v/>
          </cell>
          <cell r="L2206" t="str">
            <v/>
          </cell>
          <cell r="M2206" t="str">
            <v/>
          </cell>
          <cell r="N2206" t="str">
            <v/>
          </cell>
        </row>
        <row r="2207">
          <cell r="I2207" t="str">
            <v/>
          </cell>
          <cell r="J2207" t="str">
            <v/>
          </cell>
          <cell r="K2207" t="str">
            <v/>
          </cell>
          <cell r="L2207" t="str">
            <v/>
          </cell>
          <cell r="M2207" t="str">
            <v/>
          </cell>
          <cell r="N2207" t="str">
            <v/>
          </cell>
        </row>
        <row r="2210">
          <cell r="J2210" t="str">
            <v/>
          </cell>
          <cell r="K2210" t="str">
            <v/>
          </cell>
          <cell r="L2210" t="str">
            <v/>
          </cell>
          <cell r="M2210" t="str">
            <v/>
          </cell>
          <cell r="N2210" t="str">
            <v/>
          </cell>
        </row>
        <row r="2212">
          <cell r="J2212" t="str">
            <v/>
          </cell>
          <cell r="K2212" t="str">
            <v/>
          </cell>
          <cell r="L2212" t="str">
            <v/>
          </cell>
          <cell r="M2212" t="str">
            <v/>
          </cell>
          <cell r="N2212" t="str">
            <v/>
          </cell>
        </row>
        <row r="2213">
          <cell r="I2213" t="str">
            <v/>
          </cell>
          <cell r="J2213" t="str">
            <v/>
          </cell>
          <cell r="K2213" t="str">
            <v/>
          </cell>
          <cell r="L2213" t="str">
            <v/>
          </cell>
          <cell r="M2213" t="str">
            <v/>
          </cell>
          <cell r="N2213" t="str">
            <v/>
          </cell>
        </row>
        <row r="2227">
          <cell r="E2227"/>
          <cell r="F2227"/>
          <cell r="G2227"/>
          <cell r="H2227"/>
          <cell r="I2227"/>
          <cell r="J2227"/>
          <cell r="K2227"/>
          <cell r="L2227"/>
          <cell r="M2227"/>
          <cell r="N2227"/>
        </row>
        <row r="2228">
          <cell r="E2228"/>
          <cell r="F2228"/>
          <cell r="G2228"/>
          <cell r="H2228"/>
          <cell r="I2228"/>
          <cell r="J2228"/>
          <cell r="K2228"/>
          <cell r="L2228"/>
          <cell r="M2228"/>
          <cell r="N2228"/>
        </row>
        <row r="2229">
          <cell r="E2229"/>
          <cell r="F2229"/>
          <cell r="G2229"/>
          <cell r="H2229"/>
          <cell r="I2229"/>
          <cell r="J2229"/>
          <cell r="K2229"/>
          <cell r="L2229"/>
          <cell r="M2229"/>
          <cell r="N2229"/>
        </row>
        <row r="2230">
          <cell r="E2230"/>
          <cell r="F2230"/>
          <cell r="G2230"/>
          <cell r="H2230"/>
          <cell r="I2230"/>
          <cell r="J2230"/>
          <cell r="K2230"/>
          <cell r="L2230"/>
          <cell r="M2230"/>
          <cell r="N2230"/>
        </row>
        <row r="2231">
          <cell r="E2231"/>
          <cell r="F2231"/>
          <cell r="G2231"/>
          <cell r="H2231"/>
          <cell r="I2231"/>
          <cell r="J2231"/>
          <cell r="K2231"/>
          <cell r="L2231"/>
          <cell r="M2231"/>
          <cell r="N2231"/>
        </row>
        <row r="2232">
          <cell r="E2232"/>
          <cell r="F2232"/>
          <cell r="G2232"/>
          <cell r="H2232"/>
          <cell r="I2232"/>
          <cell r="J2232"/>
          <cell r="K2232"/>
          <cell r="L2232"/>
          <cell r="M2232"/>
          <cell r="N2232"/>
        </row>
        <row r="2233">
          <cell r="E2233"/>
          <cell r="F2233"/>
          <cell r="G2233"/>
          <cell r="H2233"/>
          <cell r="I2233"/>
          <cell r="J2233"/>
          <cell r="K2233"/>
          <cell r="L2233"/>
          <cell r="M2233"/>
          <cell r="N2233"/>
        </row>
        <row r="2234">
          <cell r="E2234"/>
          <cell r="F2234"/>
          <cell r="G2234"/>
          <cell r="H2234"/>
          <cell r="I2234"/>
          <cell r="J2234"/>
          <cell r="K2234"/>
          <cell r="L2234"/>
          <cell r="M2234"/>
          <cell r="N2234"/>
        </row>
        <row r="2235">
          <cell r="E2235"/>
          <cell r="F2235"/>
          <cell r="G2235"/>
          <cell r="H2235"/>
          <cell r="I2235"/>
          <cell r="J2235"/>
          <cell r="K2235"/>
          <cell r="L2235"/>
          <cell r="M2235"/>
          <cell r="N2235"/>
        </row>
        <row r="2236">
          <cell r="E2236"/>
          <cell r="F2236"/>
          <cell r="G2236"/>
          <cell r="H2236"/>
          <cell r="I2236"/>
          <cell r="J2236"/>
          <cell r="K2236"/>
          <cell r="L2236"/>
          <cell r="M2236"/>
          <cell r="N2236"/>
        </row>
        <row r="2237">
          <cell r="G2237"/>
          <cell r="H2237" t="str">
            <v/>
          </cell>
          <cell r="I2237" t="str">
            <v/>
          </cell>
          <cell r="J2237" t="str">
            <v/>
          </cell>
          <cell r="K2237" t="str">
            <v/>
          </cell>
          <cell r="L2237" t="str">
            <v/>
          </cell>
          <cell r="M2237" t="str">
            <v/>
          </cell>
          <cell r="N2237" t="str">
            <v/>
          </cell>
        </row>
        <row r="2242">
          <cell r="I2242" t="str">
            <v/>
          </cell>
        </row>
        <row r="2262">
          <cell r="E2262" t="str">
            <v/>
          </cell>
          <cell r="H2262"/>
          <cell r="I2262"/>
          <cell r="J2262"/>
          <cell r="K2262"/>
          <cell r="L2262"/>
          <cell r="M2262"/>
          <cell r="N2262"/>
        </row>
        <row r="2270">
          <cell r="H2270"/>
          <cell r="I2270"/>
          <cell r="J2270"/>
          <cell r="K2270"/>
          <cell r="L2270"/>
          <cell r="M2270"/>
          <cell r="N2270"/>
        </row>
        <row r="2271">
          <cell r="H2271"/>
          <cell r="I2271"/>
          <cell r="J2271"/>
          <cell r="K2271"/>
          <cell r="L2271"/>
          <cell r="M2271"/>
          <cell r="N2271"/>
        </row>
        <row r="2280">
          <cell r="L2280"/>
        </row>
        <row r="2282">
          <cell r="I2282"/>
        </row>
        <row r="2285">
          <cell r="H2285"/>
          <cell r="I2285"/>
          <cell r="J2285"/>
          <cell r="K2285"/>
          <cell r="L2285"/>
          <cell r="M2285"/>
          <cell r="N2285"/>
        </row>
        <row r="2286">
          <cell r="H2286"/>
          <cell r="I2286"/>
          <cell r="J2286"/>
          <cell r="K2286"/>
          <cell r="L2286"/>
          <cell r="M2286"/>
          <cell r="N2286"/>
        </row>
        <row r="2287">
          <cell r="H2287"/>
          <cell r="I2287"/>
          <cell r="J2287"/>
          <cell r="K2287"/>
          <cell r="L2287"/>
          <cell r="M2287"/>
          <cell r="N2287"/>
        </row>
        <row r="2288">
          <cell r="H2288"/>
          <cell r="I2288"/>
          <cell r="J2288"/>
          <cell r="K2288"/>
          <cell r="L2288"/>
          <cell r="M2288"/>
          <cell r="N2288"/>
        </row>
        <row r="2289">
          <cell r="H2289" t="str">
            <v/>
          </cell>
          <cell r="I2289" t="str">
            <v/>
          </cell>
          <cell r="J2289" t="str">
            <v/>
          </cell>
          <cell r="K2289" t="str">
            <v/>
          </cell>
          <cell r="L2289" t="str">
            <v/>
          </cell>
          <cell r="M2289" t="str">
            <v/>
          </cell>
          <cell r="N2289" t="str">
            <v/>
          </cell>
        </row>
        <row r="2290">
          <cell r="H2290" t="str">
            <v/>
          </cell>
          <cell r="I2290" t="str">
            <v/>
          </cell>
          <cell r="J2290" t="str">
            <v/>
          </cell>
          <cell r="K2290" t="str">
            <v/>
          </cell>
          <cell r="L2290" t="str">
            <v/>
          </cell>
          <cell r="M2290" t="str">
            <v/>
          </cell>
          <cell r="N2290" t="str">
            <v/>
          </cell>
        </row>
        <row r="2291">
          <cell r="H2291" t="str">
            <v/>
          </cell>
          <cell r="I2291" t="str">
            <v/>
          </cell>
          <cell r="J2291" t="str">
            <v/>
          </cell>
          <cell r="K2291" t="str">
            <v/>
          </cell>
          <cell r="L2291" t="str">
            <v/>
          </cell>
          <cell r="M2291" t="str">
            <v/>
          </cell>
          <cell r="N2291" t="str">
            <v/>
          </cell>
        </row>
        <row r="2292">
          <cell r="H2292" t="str">
            <v/>
          </cell>
          <cell r="I2292" t="str">
            <v/>
          </cell>
          <cell r="J2292" t="str">
            <v/>
          </cell>
          <cell r="K2292" t="str">
            <v/>
          </cell>
          <cell r="L2292" t="str">
            <v/>
          </cell>
          <cell r="M2292" t="str">
            <v/>
          </cell>
          <cell r="N2292" t="str">
            <v/>
          </cell>
        </row>
        <row r="2294">
          <cell r="I2294"/>
        </row>
        <row r="2297">
          <cell r="H2297"/>
          <cell r="I2297"/>
          <cell r="J2297"/>
          <cell r="K2297"/>
          <cell r="L2297"/>
          <cell r="M2297"/>
          <cell r="N2297"/>
        </row>
        <row r="2298">
          <cell r="H2298"/>
          <cell r="I2298"/>
          <cell r="J2298"/>
          <cell r="K2298"/>
          <cell r="L2298"/>
          <cell r="M2298"/>
          <cell r="N2298"/>
        </row>
        <row r="2299">
          <cell r="H2299"/>
          <cell r="I2299"/>
          <cell r="J2299"/>
          <cell r="K2299"/>
          <cell r="L2299"/>
          <cell r="M2299"/>
          <cell r="N2299"/>
        </row>
        <row r="2300">
          <cell r="H2300"/>
          <cell r="I2300"/>
          <cell r="J2300"/>
          <cell r="K2300"/>
          <cell r="L2300"/>
          <cell r="M2300"/>
          <cell r="N2300"/>
        </row>
        <row r="2301">
          <cell r="H2301" t="str">
            <v/>
          </cell>
          <cell r="I2301" t="str">
            <v/>
          </cell>
          <cell r="J2301" t="str">
            <v/>
          </cell>
          <cell r="K2301" t="str">
            <v/>
          </cell>
          <cell r="L2301" t="str">
            <v/>
          </cell>
          <cell r="M2301" t="str">
            <v/>
          </cell>
          <cell r="N2301" t="str">
            <v/>
          </cell>
        </row>
        <row r="2302">
          <cell r="H2302" t="str">
            <v/>
          </cell>
          <cell r="I2302" t="str">
            <v/>
          </cell>
          <cell r="J2302" t="str">
            <v/>
          </cell>
          <cell r="K2302" t="str">
            <v/>
          </cell>
          <cell r="L2302" t="str">
            <v/>
          </cell>
          <cell r="M2302" t="str">
            <v/>
          </cell>
          <cell r="N2302" t="str">
            <v/>
          </cell>
        </row>
        <row r="2303">
          <cell r="H2303" t="str">
            <v/>
          </cell>
          <cell r="I2303" t="str">
            <v/>
          </cell>
          <cell r="J2303" t="str">
            <v/>
          </cell>
          <cell r="K2303" t="str">
            <v/>
          </cell>
          <cell r="L2303" t="str">
            <v/>
          </cell>
          <cell r="M2303" t="str">
            <v/>
          </cell>
          <cell r="N2303" t="str">
            <v/>
          </cell>
        </row>
        <row r="2304">
          <cell r="H2304" t="str">
            <v/>
          </cell>
          <cell r="I2304" t="str">
            <v/>
          </cell>
          <cell r="J2304" t="str">
            <v/>
          </cell>
          <cell r="K2304" t="str">
            <v/>
          </cell>
          <cell r="L2304" t="str">
            <v/>
          </cell>
          <cell r="M2304" t="str">
            <v/>
          </cell>
          <cell r="N2304" t="str">
            <v/>
          </cell>
        </row>
        <row r="2311">
          <cell r="H2311"/>
          <cell r="I2311"/>
          <cell r="J2311"/>
          <cell r="K2311"/>
          <cell r="L2311"/>
          <cell r="M2311"/>
          <cell r="N2311"/>
        </row>
        <row r="2320">
          <cell r="H2320"/>
          <cell r="I2320"/>
          <cell r="J2320"/>
          <cell r="K2320"/>
          <cell r="L2320"/>
          <cell r="M2320"/>
          <cell r="N2320"/>
        </row>
        <row r="2321">
          <cell r="H2321"/>
          <cell r="I2321"/>
          <cell r="J2321"/>
          <cell r="K2321"/>
          <cell r="L2321"/>
          <cell r="M2321"/>
          <cell r="N2321"/>
        </row>
        <row r="2324">
          <cell r="H2324"/>
          <cell r="I2324"/>
          <cell r="J2324"/>
          <cell r="K2324"/>
          <cell r="L2324"/>
          <cell r="M2324"/>
          <cell r="N2324"/>
        </row>
        <row r="2325">
          <cell r="H2325"/>
          <cell r="I2325"/>
          <cell r="J2325"/>
          <cell r="K2325"/>
          <cell r="L2325"/>
          <cell r="M2325"/>
          <cell r="N2325"/>
        </row>
        <row r="2328">
          <cell r="H2328"/>
          <cell r="I2328"/>
          <cell r="J2328"/>
          <cell r="K2328"/>
          <cell r="L2328"/>
          <cell r="M2328"/>
          <cell r="N2328"/>
        </row>
        <row r="2329">
          <cell r="H2329"/>
          <cell r="I2329"/>
          <cell r="J2329"/>
          <cell r="K2329"/>
          <cell r="L2329"/>
          <cell r="M2329"/>
          <cell r="N2329"/>
        </row>
        <row r="2333">
          <cell r="L2333"/>
        </row>
        <row r="2335">
          <cell r="I2335"/>
        </row>
        <row r="2339">
          <cell r="G2339"/>
          <cell r="H2339"/>
          <cell r="I2339"/>
          <cell r="J2339"/>
          <cell r="K2339"/>
          <cell r="L2339"/>
          <cell r="M2339"/>
          <cell r="N2339"/>
        </row>
        <row r="2340">
          <cell r="G2340" t="str">
            <v>GJ / Unit</v>
          </cell>
          <cell r="H2340"/>
          <cell r="I2340"/>
          <cell r="J2340"/>
          <cell r="K2340"/>
          <cell r="L2340"/>
          <cell r="M2340"/>
          <cell r="N2340"/>
        </row>
        <row r="2341">
          <cell r="H2341" t="str">
            <v/>
          </cell>
          <cell r="I2341" t="str">
            <v/>
          </cell>
          <cell r="J2341" t="str">
            <v/>
          </cell>
          <cell r="K2341" t="str">
            <v/>
          </cell>
          <cell r="L2341" t="str">
            <v/>
          </cell>
          <cell r="M2341" t="str">
            <v/>
          </cell>
          <cell r="N2341" t="str">
            <v/>
          </cell>
        </row>
        <row r="2342">
          <cell r="H2342"/>
          <cell r="I2342"/>
          <cell r="J2342"/>
          <cell r="K2342"/>
          <cell r="L2342"/>
          <cell r="M2342"/>
          <cell r="N2342"/>
        </row>
        <row r="2344">
          <cell r="I2344"/>
        </row>
        <row r="2348">
          <cell r="G2348"/>
          <cell r="H2348"/>
          <cell r="I2348"/>
          <cell r="J2348"/>
          <cell r="K2348"/>
          <cell r="L2348"/>
          <cell r="M2348"/>
          <cell r="N2348"/>
        </row>
        <row r="2349">
          <cell r="G2349" t="str">
            <v>GJ / Unit</v>
          </cell>
          <cell r="H2349"/>
          <cell r="I2349"/>
          <cell r="J2349"/>
          <cell r="K2349"/>
          <cell r="L2349"/>
          <cell r="M2349"/>
          <cell r="N2349"/>
        </row>
        <row r="2350">
          <cell r="H2350" t="str">
            <v/>
          </cell>
          <cell r="I2350" t="str">
            <v/>
          </cell>
          <cell r="J2350" t="str">
            <v/>
          </cell>
          <cell r="K2350" t="str">
            <v/>
          </cell>
          <cell r="L2350" t="str">
            <v/>
          </cell>
          <cell r="M2350" t="str">
            <v/>
          </cell>
          <cell r="N2350" t="str">
            <v/>
          </cell>
        </row>
        <row r="2351">
          <cell r="H2351"/>
          <cell r="I2351"/>
          <cell r="J2351"/>
          <cell r="K2351"/>
          <cell r="L2351"/>
          <cell r="M2351"/>
          <cell r="N2351"/>
        </row>
        <row r="2353">
          <cell r="I2353"/>
        </row>
        <row r="2358">
          <cell r="G2358"/>
          <cell r="H2358"/>
          <cell r="I2358"/>
          <cell r="J2358"/>
          <cell r="K2358"/>
          <cell r="L2358"/>
          <cell r="M2358"/>
          <cell r="N2358"/>
        </row>
        <row r="2359">
          <cell r="G2359" t="str">
            <v>GJ / Unit</v>
          </cell>
          <cell r="H2359"/>
          <cell r="I2359"/>
          <cell r="J2359"/>
          <cell r="K2359"/>
          <cell r="L2359"/>
          <cell r="M2359"/>
          <cell r="N2359"/>
        </row>
        <row r="2360">
          <cell r="H2360" t="str">
            <v/>
          </cell>
          <cell r="I2360" t="str">
            <v/>
          </cell>
          <cell r="J2360" t="str">
            <v/>
          </cell>
          <cell r="K2360" t="str">
            <v/>
          </cell>
          <cell r="L2360" t="str">
            <v/>
          </cell>
          <cell r="M2360" t="str">
            <v/>
          </cell>
          <cell r="N2360" t="str">
            <v/>
          </cell>
        </row>
        <row r="2361">
          <cell r="H2361"/>
          <cell r="I2361"/>
          <cell r="J2361"/>
          <cell r="K2361"/>
          <cell r="L2361"/>
          <cell r="M2361"/>
          <cell r="N2361"/>
        </row>
        <row r="2363">
          <cell r="H2363" t="str">
            <v/>
          </cell>
          <cell r="I2363" t="str">
            <v/>
          </cell>
          <cell r="J2363" t="str">
            <v/>
          </cell>
          <cell r="K2363" t="str">
            <v/>
          </cell>
          <cell r="L2363" t="str">
            <v/>
          </cell>
          <cell r="M2363" t="str">
            <v/>
          </cell>
          <cell r="N2363" t="str">
            <v/>
          </cell>
        </row>
        <row r="2367">
          <cell r="I2367" t="str">
            <v/>
          </cell>
          <cell r="J2367" t="str">
            <v/>
          </cell>
          <cell r="K2367" t="str">
            <v/>
          </cell>
          <cell r="L2367" t="str">
            <v/>
          </cell>
          <cell r="M2367" t="str">
            <v/>
          </cell>
          <cell r="N2367" t="str">
            <v/>
          </cell>
        </row>
        <row r="2368">
          <cell r="J2368" t="str">
            <v/>
          </cell>
          <cell r="K2368" t="str">
            <v/>
          </cell>
          <cell r="L2368" t="str">
            <v/>
          </cell>
          <cell r="M2368" t="str">
            <v/>
          </cell>
          <cell r="N2368" t="str">
            <v/>
          </cell>
        </row>
        <row r="2369">
          <cell r="J2369" t="str">
            <v/>
          </cell>
          <cell r="K2369" t="str">
            <v/>
          </cell>
          <cell r="L2369" t="str">
            <v/>
          </cell>
          <cell r="M2369" t="str">
            <v/>
          </cell>
          <cell r="N2369" t="str">
            <v/>
          </cell>
        </row>
        <row r="2370">
          <cell r="I2370" t="str">
            <v/>
          </cell>
          <cell r="J2370" t="str">
            <v/>
          </cell>
          <cell r="K2370" t="str">
            <v/>
          </cell>
          <cell r="L2370" t="str">
            <v/>
          </cell>
          <cell r="M2370" t="str">
            <v/>
          </cell>
          <cell r="N2370" t="str">
            <v/>
          </cell>
        </row>
        <row r="2373">
          <cell r="J2373" t="str">
            <v/>
          </cell>
          <cell r="K2373" t="str">
            <v/>
          </cell>
          <cell r="L2373" t="str">
            <v/>
          </cell>
          <cell r="M2373" t="str">
            <v/>
          </cell>
          <cell r="N2373" t="str">
            <v/>
          </cell>
        </row>
        <row r="2375">
          <cell r="J2375" t="str">
            <v/>
          </cell>
          <cell r="K2375" t="str">
            <v/>
          </cell>
          <cell r="L2375" t="str">
            <v/>
          </cell>
          <cell r="M2375" t="str">
            <v/>
          </cell>
          <cell r="N2375" t="str">
            <v/>
          </cell>
        </row>
        <row r="2376">
          <cell r="I2376" t="str">
            <v/>
          </cell>
          <cell r="J2376" t="str">
            <v/>
          </cell>
          <cell r="K2376" t="str">
            <v/>
          </cell>
          <cell r="L2376" t="str">
            <v/>
          </cell>
          <cell r="M2376" t="str">
            <v/>
          </cell>
          <cell r="N2376" t="str">
            <v/>
          </cell>
        </row>
        <row r="2379">
          <cell r="I2379"/>
        </row>
        <row r="2383">
          <cell r="G2383"/>
          <cell r="H2383"/>
          <cell r="I2383"/>
          <cell r="J2383"/>
          <cell r="K2383"/>
          <cell r="L2383"/>
          <cell r="M2383"/>
          <cell r="N2383"/>
        </row>
        <row r="2384">
          <cell r="G2384" t="str">
            <v>GJ / Unit</v>
          </cell>
          <cell r="H2384"/>
          <cell r="I2384"/>
          <cell r="J2384"/>
          <cell r="K2384"/>
          <cell r="L2384"/>
          <cell r="M2384"/>
          <cell r="N2384"/>
        </row>
        <row r="2385">
          <cell r="H2385" t="str">
            <v/>
          </cell>
          <cell r="I2385" t="str">
            <v/>
          </cell>
          <cell r="J2385" t="str">
            <v/>
          </cell>
          <cell r="K2385" t="str">
            <v/>
          </cell>
          <cell r="L2385" t="str">
            <v/>
          </cell>
          <cell r="M2385" t="str">
            <v/>
          </cell>
          <cell r="N2385" t="str">
            <v/>
          </cell>
        </row>
        <row r="2386">
          <cell r="H2386"/>
          <cell r="I2386"/>
          <cell r="J2386"/>
          <cell r="K2386"/>
          <cell r="L2386"/>
          <cell r="M2386"/>
          <cell r="N2386"/>
        </row>
        <row r="2388">
          <cell r="I2388"/>
        </row>
        <row r="2392">
          <cell r="G2392"/>
          <cell r="H2392"/>
          <cell r="I2392"/>
          <cell r="J2392"/>
          <cell r="K2392"/>
          <cell r="L2392"/>
          <cell r="M2392"/>
          <cell r="N2392"/>
        </row>
        <row r="2393">
          <cell r="G2393" t="str">
            <v>GJ / Unit</v>
          </cell>
          <cell r="H2393"/>
          <cell r="I2393"/>
          <cell r="J2393"/>
          <cell r="K2393"/>
          <cell r="L2393"/>
          <cell r="M2393"/>
          <cell r="N2393"/>
        </row>
        <row r="2394">
          <cell r="H2394" t="str">
            <v/>
          </cell>
          <cell r="I2394" t="str">
            <v/>
          </cell>
          <cell r="J2394" t="str">
            <v/>
          </cell>
          <cell r="K2394" t="str">
            <v/>
          </cell>
          <cell r="L2394" t="str">
            <v/>
          </cell>
          <cell r="M2394" t="str">
            <v/>
          </cell>
          <cell r="N2394" t="str">
            <v/>
          </cell>
        </row>
        <row r="2395">
          <cell r="H2395"/>
          <cell r="I2395"/>
          <cell r="J2395"/>
          <cell r="K2395"/>
          <cell r="L2395"/>
          <cell r="M2395"/>
          <cell r="N2395"/>
        </row>
        <row r="2401">
          <cell r="H2401"/>
          <cell r="I2401"/>
          <cell r="J2401"/>
          <cell r="K2401"/>
          <cell r="L2401"/>
          <cell r="M2401"/>
          <cell r="N2401"/>
        </row>
        <row r="2407">
          <cell r="E2407" t="str">
            <v/>
          </cell>
          <cell r="H2407"/>
          <cell r="I2407"/>
          <cell r="J2407"/>
          <cell r="K2407"/>
          <cell r="L2407"/>
          <cell r="M2407"/>
          <cell r="N2407"/>
        </row>
        <row r="2412">
          <cell r="L2412"/>
        </row>
        <row r="2415">
          <cell r="E2415"/>
          <cell r="G2415" t="str">
            <v>tonnes</v>
          </cell>
          <cell r="H2415"/>
          <cell r="I2415"/>
          <cell r="J2415"/>
          <cell r="K2415"/>
          <cell r="L2415"/>
          <cell r="M2415"/>
          <cell r="N2415"/>
        </row>
        <row r="2416">
          <cell r="E2416"/>
          <cell r="G2416" t="str">
            <v>tonnes</v>
          </cell>
          <cell r="H2416"/>
          <cell r="I2416"/>
          <cell r="J2416"/>
          <cell r="K2416"/>
          <cell r="L2416"/>
          <cell r="M2416"/>
          <cell r="N2416"/>
        </row>
        <row r="2419">
          <cell r="E2419"/>
          <cell r="G2419" t="str">
            <v>tonnes</v>
          </cell>
          <cell r="H2419"/>
          <cell r="I2419"/>
          <cell r="J2419"/>
          <cell r="K2419"/>
          <cell r="L2419"/>
          <cell r="M2419"/>
          <cell r="N2419"/>
        </row>
        <row r="2420">
          <cell r="E2420"/>
          <cell r="G2420" t="str">
            <v>tonnes</v>
          </cell>
          <cell r="H2420"/>
          <cell r="I2420"/>
          <cell r="J2420"/>
          <cell r="K2420"/>
          <cell r="L2420"/>
          <cell r="M2420"/>
          <cell r="N2420"/>
        </row>
        <row r="2424">
          <cell r="E2424"/>
        </row>
        <row r="2429">
          <cell r="I2429" t="str">
            <v/>
          </cell>
        </row>
        <row r="2437">
          <cell r="E2437" t="str">
            <v/>
          </cell>
          <cell r="G2437" t="str">
            <v>tonnes</v>
          </cell>
          <cell r="H2437"/>
          <cell r="I2437"/>
          <cell r="J2437"/>
          <cell r="K2437"/>
          <cell r="L2437"/>
          <cell r="M2437"/>
          <cell r="N2437"/>
        </row>
        <row r="2438">
          <cell r="E2438" t="str">
            <v>From sheet "H_SpecialBM":</v>
          </cell>
          <cell r="G2438" t="str">
            <v>tonnes</v>
          </cell>
          <cell r="H2438" t="str">
            <v/>
          </cell>
          <cell r="I2438" t="str">
            <v/>
          </cell>
          <cell r="J2438" t="str">
            <v/>
          </cell>
          <cell r="K2438" t="str">
            <v/>
          </cell>
          <cell r="L2438" t="str">
            <v/>
          </cell>
          <cell r="M2438" t="str">
            <v/>
          </cell>
          <cell r="N2438" t="str">
            <v/>
          </cell>
        </row>
        <row r="2439">
          <cell r="E2439" t="str">
            <v>Values used for calculation:</v>
          </cell>
          <cell r="G2439" t="str">
            <v>tonnes</v>
          </cell>
          <cell r="H2439" t="str">
            <v/>
          </cell>
          <cell r="I2439" t="str">
            <v/>
          </cell>
          <cell r="J2439" t="str">
            <v/>
          </cell>
          <cell r="K2439" t="str">
            <v/>
          </cell>
          <cell r="L2439" t="str">
            <v/>
          </cell>
          <cell r="M2439" t="str">
            <v/>
          </cell>
          <cell r="N2439" t="str">
            <v/>
          </cell>
        </row>
        <row r="2451">
          <cell r="H2451" t="str">
            <v>tonnes</v>
          </cell>
          <cell r="I2451" t="str">
            <v/>
          </cell>
          <cell r="J2451" t="str">
            <v/>
          </cell>
          <cell r="K2451" t="str">
            <v/>
          </cell>
          <cell r="L2451" t="str">
            <v/>
          </cell>
          <cell r="M2451" t="str">
            <v/>
          </cell>
          <cell r="N2451" t="str">
            <v/>
          </cell>
        </row>
        <row r="2452">
          <cell r="J2452" t="str">
            <v/>
          </cell>
          <cell r="K2452" t="str">
            <v/>
          </cell>
          <cell r="L2452" t="str">
            <v/>
          </cell>
          <cell r="M2452" t="str">
            <v/>
          </cell>
          <cell r="N2452" t="str">
            <v/>
          </cell>
        </row>
        <row r="2453">
          <cell r="J2453" t="str">
            <v/>
          </cell>
          <cell r="K2453" t="str">
            <v/>
          </cell>
          <cell r="L2453" t="str">
            <v/>
          </cell>
          <cell r="M2453" t="str">
            <v/>
          </cell>
          <cell r="N2453" t="str">
            <v/>
          </cell>
        </row>
        <row r="2454">
          <cell r="H2454" t="str">
            <v>tonnes</v>
          </cell>
          <cell r="I2454" t="str">
            <v/>
          </cell>
          <cell r="J2454" t="str">
            <v/>
          </cell>
          <cell r="K2454" t="str">
            <v/>
          </cell>
          <cell r="L2454" t="str">
            <v/>
          </cell>
          <cell r="M2454" t="str">
            <v/>
          </cell>
          <cell r="N2454" t="str">
            <v/>
          </cell>
        </row>
        <row r="2457">
          <cell r="J2457" t="str">
            <v/>
          </cell>
          <cell r="K2457" t="str">
            <v/>
          </cell>
          <cell r="L2457" t="str">
            <v/>
          </cell>
          <cell r="M2457" t="str">
            <v/>
          </cell>
          <cell r="N2457" t="str">
            <v/>
          </cell>
        </row>
        <row r="2459">
          <cell r="J2459" t="str">
            <v/>
          </cell>
          <cell r="K2459" t="str">
            <v/>
          </cell>
          <cell r="L2459" t="str">
            <v/>
          </cell>
          <cell r="M2459" t="str">
            <v/>
          </cell>
          <cell r="N2459" t="str">
            <v/>
          </cell>
        </row>
        <row r="2460">
          <cell r="H2460" t="str">
            <v>tonnes</v>
          </cell>
          <cell r="I2460" t="str">
            <v/>
          </cell>
          <cell r="J2460" t="str">
            <v/>
          </cell>
          <cell r="K2460" t="str">
            <v/>
          </cell>
          <cell r="L2460" t="str">
            <v/>
          </cell>
          <cell r="M2460" t="str">
            <v/>
          </cell>
          <cell r="N2460" t="str">
            <v/>
          </cell>
        </row>
        <row r="2470">
          <cell r="H2470"/>
          <cell r="I2470"/>
          <cell r="J2470"/>
          <cell r="K2470"/>
          <cell r="L2470"/>
          <cell r="M2470"/>
          <cell r="N2470"/>
        </row>
        <row r="2471">
          <cell r="H2471" t="str">
            <v/>
          </cell>
          <cell r="I2471" t="str">
            <v/>
          </cell>
          <cell r="J2471" t="str">
            <v/>
          </cell>
          <cell r="K2471" t="str">
            <v/>
          </cell>
          <cell r="L2471" t="str">
            <v/>
          </cell>
          <cell r="M2471" t="str">
            <v/>
          </cell>
          <cell r="N2471" t="str">
            <v/>
          </cell>
        </row>
        <row r="2472">
          <cell r="H2472"/>
          <cell r="I2472"/>
          <cell r="J2472"/>
          <cell r="K2472"/>
          <cell r="L2472"/>
          <cell r="M2472"/>
          <cell r="N2472"/>
        </row>
        <row r="2473">
          <cell r="H2473" t="str">
            <v/>
          </cell>
          <cell r="I2473" t="str">
            <v/>
          </cell>
          <cell r="J2473" t="str">
            <v/>
          </cell>
          <cell r="K2473" t="str">
            <v/>
          </cell>
          <cell r="L2473" t="str">
            <v/>
          </cell>
          <cell r="M2473" t="str">
            <v/>
          </cell>
          <cell r="N2473" t="str">
            <v/>
          </cell>
        </row>
        <row r="2474">
          <cell r="H2474" t="str">
            <v/>
          </cell>
          <cell r="I2474" t="str">
            <v/>
          </cell>
          <cell r="J2474" t="str">
            <v/>
          </cell>
          <cell r="K2474" t="str">
            <v/>
          </cell>
          <cell r="L2474" t="str">
            <v/>
          </cell>
          <cell r="M2474" t="str">
            <v/>
          </cell>
          <cell r="N2474" t="str">
            <v/>
          </cell>
        </row>
        <row r="2476">
          <cell r="H2476" t="str">
            <v/>
          </cell>
          <cell r="I2476" t="str">
            <v/>
          </cell>
          <cell r="J2476" t="str">
            <v/>
          </cell>
          <cell r="K2476" t="str">
            <v/>
          </cell>
          <cell r="L2476" t="str">
            <v/>
          </cell>
          <cell r="M2476" t="str">
            <v/>
          </cell>
          <cell r="N2476" t="str">
            <v/>
          </cell>
        </row>
        <row r="2481">
          <cell r="I2481" t="str">
            <v/>
          </cell>
          <cell r="J2481" t="str">
            <v/>
          </cell>
          <cell r="K2481" t="str">
            <v/>
          </cell>
          <cell r="L2481" t="str">
            <v/>
          </cell>
          <cell r="M2481" t="str">
            <v/>
          </cell>
          <cell r="N2481" t="str">
            <v/>
          </cell>
        </row>
        <row r="2482">
          <cell r="J2482" t="str">
            <v/>
          </cell>
          <cell r="K2482" t="str">
            <v/>
          </cell>
          <cell r="L2482" t="str">
            <v/>
          </cell>
          <cell r="M2482" t="str">
            <v/>
          </cell>
          <cell r="N2482" t="str">
            <v/>
          </cell>
        </row>
        <row r="2483">
          <cell r="J2483" t="str">
            <v/>
          </cell>
          <cell r="K2483" t="str">
            <v/>
          </cell>
          <cell r="L2483" t="str">
            <v/>
          </cell>
          <cell r="M2483" t="str">
            <v/>
          </cell>
          <cell r="N2483" t="str">
            <v/>
          </cell>
        </row>
        <row r="2484">
          <cell r="I2484" t="str">
            <v/>
          </cell>
          <cell r="J2484" t="str">
            <v/>
          </cell>
          <cell r="K2484" t="str">
            <v/>
          </cell>
          <cell r="L2484" t="str">
            <v/>
          </cell>
          <cell r="M2484" t="str">
            <v/>
          </cell>
          <cell r="N2484" t="str">
            <v/>
          </cell>
        </row>
        <row r="2487">
          <cell r="J2487" t="str">
            <v/>
          </cell>
          <cell r="K2487" t="str">
            <v/>
          </cell>
          <cell r="L2487" t="str">
            <v/>
          </cell>
          <cell r="M2487" t="str">
            <v/>
          </cell>
          <cell r="N2487" t="str">
            <v/>
          </cell>
        </row>
        <row r="2489">
          <cell r="J2489" t="str">
            <v/>
          </cell>
          <cell r="K2489" t="str">
            <v/>
          </cell>
          <cell r="L2489" t="str">
            <v/>
          </cell>
          <cell r="M2489" t="str">
            <v/>
          </cell>
          <cell r="N2489" t="str">
            <v/>
          </cell>
        </row>
        <row r="2490">
          <cell r="I2490" t="str">
            <v/>
          </cell>
          <cell r="J2490" t="str">
            <v/>
          </cell>
          <cell r="K2490" t="str">
            <v/>
          </cell>
          <cell r="L2490" t="str">
            <v/>
          </cell>
          <cell r="M2490" t="str">
            <v/>
          </cell>
          <cell r="N2490" t="str">
            <v/>
          </cell>
        </row>
        <row r="2499">
          <cell r="H2499"/>
          <cell r="I2499"/>
          <cell r="J2499"/>
          <cell r="K2499"/>
          <cell r="L2499"/>
          <cell r="M2499"/>
          <cell r="N2499"/>
        </row>
        <row r="2500">
          <cell r="H2500" t="str">
            <v/>
          </cell>
          <cell r="I2500" t="str">
            <v/>
          </cell>
          <cell r="J2500" t="str">
            <v/>
          </cell>
          <cell r="K2500" t="str">
            <v/>
          </cell>
          <cell r="L2500" t="str">
            <v/>
          </cell>
          <cell r="M2500" t="str">
            <v/>
          </cell>
          <cell r="N2500" t="str">
            <v/>
          </cell>
        </row>
        <row r="2501">
          <cell r="H2501" t="str">
            <v/>
          </cell>
          <cell r="I2501" t="str">
            <v/>
          </cell>
          <cell r="J2501" t="str">
            <v/>
          </cell>
          <cell r="K2501" t="str">
            <v/>
          </cell>
          <cell r="L2501" t="str">
            <v/>
          </cell>
          <cell r="M2501" t="str">
            <v/>
          </cell>
          <cell r="N2501" t="str">
            <v/>
          </cell>
        </row>
        <row r="2506">
          <cell r="I2506" t="str">
            <v/>
          </cell>
          <cell r="J2506" t="str">
            <v/>
          </cell>
          <cell r="K2506" t="str">
            <v/>
          </cell>
          <cell r="L2506" t="str">
            <v/>
          </cell>
          <cell r="M2506" t="str">
            <v/>
          </cell>
          <cell r="N2506" t="str">
            <v/>
          </cell>
        </row>
        <row r="2507">
          <cell r="J2507" t="str">
            <v/>
          </cell>
          <cell r="K2507" t="str">
            <v/>
          </cell>
          <cell r="L2507" t="str">
            <v/>
          </cell>
          <cell r="M2507" t="str">
            <v/>
          </cell>
          <cell r="N2507" t="str">
            <v/>
          </cell>
        </row>
        <row r="2508">
          <cell r="J2508" t="str">
            <v/>
          </cell>
          <cell r="K2508" t="str">
            <v/>
          </cell>
          <cell r="L2508" t="str">
            <v/>
          </cell>
          <cell r="M2508" t="str">
            <v/>
          </cell>
          <cell r="N2508" t="str">
            <v/>
          </cell>
        </row>
        <row r="2509">
          <cell r="I2509" t="str">
            <v/>
          </cell>
          <cell r="J2509" t="str">
            <v/>
          </cell>
          <cell r="K2509" t="str">
            <v/>
          </cell>
          <cell r="L2509" t="str">
            <v/>
          </cell>
          <cell r="M2509" t="str">
            <v/>
          </cell>
          <cell r="N2509" t="str">
            <v/>
          </cell>
        </row>
        <row r="2512">
          <cell r="J2512" t="str">
            <v/>
          </cell>
          <cell r="K2512" t="str">
            <v/>
          </cell>
          <cell r="L2512" t="str">
            <v/>
          </cell>
          <cell r="M2512" t="str">
            <v/>
          </cell>
          <cell r="N2512" t="str">
            <v/>
          </cell>
        </row>
        <row r="2514">
          <cell r="J2514" t="str">
            <v/>
          </cell>
          <cell r="K2514" t="str">
            <v/>
          </cell>
          <cell r="L2514" t="str">
            <v/>
          </cell>
          <cell r="M2514" t="str">
            <v/>
          </cell>
          <cell r="N2514" t="str">
            <v/>
          </cell>
        </row>
        <row r="2515">
          <cell r="I2515" t="str">
            <v/>
          </cell>
          <cell r="J2515" t="str">
            <v/>
          </cell>
          <cell r="K2515" t="str">
            <v/>
          </cell>
          <cell r="L2515" t="str">
            <v/>
          </cell>
          <cell r="M2515" t="str">
            <v/>
          </cell>
          <cell r="N2515" t="str">
            <v/>
          </cell>
        </row>
        <row r="2529">
          <cell r="E2529"/>
          <cell r="F2529"/>
          <cell r="G2529"/>
          <cell r="H2529"/>
          <cell r="I2529"/>
          <cell r="J2529"/>
          <cell r="K2529"/>
          <cell r="L2529"/>
          <cell r="M2529"/>
          <cell r="N2529"/>
        </row>
        <row r="2530">
          <cell r="E2530"/>
          <cell r="F2530"/>
          <cell r="G2530"/>
          <cell r="H2530"/>
          <cell r="I2530"/>
          <cell r="J2530"/>
          <cell r="K2530"/>
          <cell r="L2530"/>
          <cell r="M2530"/>
          <cell r="N2530"/>
        </row>
        <row r="2531">
          <cell r="E2531"/>
          <cell r="F2531"/>
          <cell r="G2531"/>
          <cell r="H2531"/>
          <cell r="I2531"/>
          <cell r="J2531"/>
          <cell r="K2531"/>
          <cell r="L2531"/>
          <cell r="M2531"/>
          <cell r="N2531"/>
        </row>
        <row r="2532">
          <cell r="E2532"/>
          <cell r="F2532"/>
          <cell r="G2532"/>
          <cell r="H2532"/>
          <cell r="I2532"/>
          <cell r="J2532"/>
          <cell r="K2532"/>
          <cell r="L2532"/>
          <cell r="M2532"/>
          <cell r="N2532"/>
        </row>
        <row r="2533">
          <cell r="E2533"/>
          <cell r="F2533"/>
          <cell r="G2533"/>
          <cell r="H2533"/>
          <cell r="I2533"/>
          <cell r="J2533"/>
          <cell r="K2533"/>
          <cell r="L2533"/>
          <cell r="M2533"/>
          <cell r="N2533"/>
        </row>
        <row r="2534">
          <cell r="E2534"/>
          <cell r="F2534"/>
          <cell r="G2534"/>
          <cell r="H2534"/>
          <cell r="I2534"/>
          <cell r="J2534"/>
          <cell r="K2534"/>
          <cell r="L2534"/>
          <cell r="M2534"/>
          <cell r="N2534"/>
        </row>
        <row r="2535">
          <cell r="E2535"/>
          <cell r="F2535"/>
          <cell r="G2535"/>
          <cell r="H2535"/>
          <cell r="I2535"/>
          <cell r="J2535"/>
          <cell r="K2535"/>
          <cell r="L2535"/>
          <cell r="M2535"/>
          <cell r="N2535"/>
        </row>
        <row r="2536">
          <cell r="E2536"/>
          <cell r="F2536"/>
          <cell r="G2536"/>
          <cell r="H2536"/>
          <cell r="I2536"/>
          <cell r="J2536"/>
          <cell r="K2536"/>
          <cell r="L2536"/>
          <cell r="M2536"/>
          <cell r="N2536"/>
        </row>
        <row r="2537">
          <cell r="E2537"/>
          <cell r="F2537"/>
          <cell r="G2537"/>
          <cell r="H2537"/>
          <cell r="I2537"/>
          <cell r="J2537"/>
          <cell r="K2537"/>
          <cell r="L2537"/>
          <cell r="M2537"/>
          <cell r="N2537"/>
        </row>
        <row r="2538">
          <cell r="E2538"/>
          <cell r="F2538"/>
          <cell r="G2538"/>
          <cell r="H2538"/>
          <cell r="I2538"/>
          <cell r="J2538"/>
          <cell r="K2538"/>
          <cell r="L2538"/>
          <cell r="M2538"/>
          <cell r="N2538"/>
        </row>
        <row r="2539">
          <cell r="G2539"/>
          <cell r="H2539" t="str">
            <v/>
          </cell>
          <cell r="I2539" t="str">
            <v/>
          </cell>
          <cell r="J2539" t="str">
            <v/>
          </cell>
          <cell r="K2539" t="str">
            <v/>
          </cell>
          <cell r="L2539" t="str">
            <v/>
          </cell>
          <cell r="M2539" t="str">
            <v/>
          </cell>
          <cell r="N2539" t="str">
            <v/>
          </cell>
        </row>
        <row r="2544">
          <cell r="I2544" t="str">
            <v/>
          </cell>
        </row>
        <row r="2564">
          <cell r="E2564" t="str">
            <v/>
          </cell>
          <cell r="H2564"/>
          <cell r="I2564"/>
          <cell r="J2564"/>
          <cell r="K2564"/>
          <cell r="L2564"/>
          <cell r="M2564"/>
          <cell r="N2564"/>
        </row>
        <row r="2572">
          <cell r="H2572"/>
          <cell r="I2572"/>
          <cell r="J2572"/>
          <cell r="K2572"/>
          <cell r="L2572"/>
          <cell r="M2572"/>
          <cell r="N2572"/>
        </row>
        <row r="2573">
          <cell r="H2573"/>
          <cell r="I2573"/>
          <cell r="J2573"/>
          <cell r="K2573"/>
          <cell r="L2573"/>
          <cell r="M2573"/>
          <cell r="N2573"/>
        </row>
        <row r="2582">
          <cell r="L2582"/>
        </row>
        <row r="2584">
          <cell r="I2584"/>
        </row>
        <row r="2587">
          <cell r="H2587"/>
          <cell r="I2587"/>
          <cell r="J2587"/>
          <cell r="K2587"/>
          <cell r="L2587"/>
          <cell r="M2587"/>
          <cell r="N2587"/>
        </row>
        <row r="2588">
          <cell r="H2588"/>
          <cell r="I2588"/>
          <cell r="J2588"/>
          <cell r="K2588"/>
          <cell r="L2588"/>
          <cell r="M2588"/>
          <cell r="N2588"/>
        </row>
        <row r="2589">
          <cell r="H2589"/>
          <cell r="I2589"/>
          <cell r="J2589"/>
          <cell r="K2589"/>
          <cell r="L2589"/>
          <cell r="M2589"/>
          <cell r="N2589"/>
        </row>
        <row r="2590">
          <cell r="H2590"/>
          <cell r="I2590"/>
          <cell r="J2590"/>
          <cell r="K2590"/>
          <cell r="L2590"/>
          <cell r="M2590"/>
          <cell r="N2590"/>
        </row>
        <row r="2591">
          <cell r="H2591" t="str">
            <v/>
          </cell>
          <cell r="I2591" t="str">
            <v/>
          </cell>
          <cell r="J2591" t="str">
            <v/>
          </cell>
          <cell r="K2591" t="str">
            <v/>
          </cell>
          <cell r="L2591" t="str">
            <v/>
          </cell>
          <cell r="M2591" t="str">
            <v/>
          </cell>
          <cell r="N2591" t="str">
            <v/>
          </cell>
        </row>
        <row r="2592">
          <cell r="H2592" t="str">
            <v/>
          </cell>
          <cell r="I2592" t="str">
            <v/>
          </cell>
          <cell r="J2592" t="str">
            <v/>
          </cell>
          <cell r="K2592" t="str">
            <v/>
          </cell>
          <cell r="L2592" t="str">
            <v/>
          </cell>
          <cell r="M2592" t="str">
            <v/>
          </cell>
          <cell r="N2592" t="str">
            <v/>
          </cell>
        </row>
        <row r="2593">
          <cell r="H2593" t="str">
            <v/>
          </cell>
          <cell r="I2593" t="str">
            <v/>
          </cell>
          <cell r="J2593" t="str">
            <v/>
          </cell>
          <cell r="K2593" t="str">
            <v/>
          </cell>
          <cell r="L2593" t="str">
            <v/>
          </cell>
          <cell r="M2593" t="str">
            <v/>
          </cell>
          <cell r="N2593" t="str">
            <v/>
          </cell>
        </row>
        <row r="2594">
          <cell r="H2594" t="str">
            <v/>
          </cell>
          <cell r="I2594" t="str">
            <v/>
          </cell>
          <cell r="J2594" t="str">
            <v/>
          </cell>
          <cell r="K2594" t="str">
            <v/>
          </cell>
          <cell r="L2594" t="str">
            <v/>
          </cell>
          <cell r="M2594" t="str">
            <v/>
          </cell>
          <cell r="N2594" t="str">
            <v/>
          </cell>
        </row>
        <row r="2596">
          <cell r="I2596"/>
        </row>
        <row r="2599">
          <cell r="H2599"/>
          <cell r="I2599"/>
          <cell r="J2599"/>
          <cell r="K2599"/>
          <cell r="L2599"/>
          <cell r="M2599"/>
          <cell r="N2599"/>
        </row>
        <row r="2600">
          <cell r="H2600"/>
          <cell r="I2600"/>
          <cell r="J2600"/>
          <cell r="K2600"/>
          <cell r="L2600"/>
          <cell r="M2600"/>
          <cell r="N2600"/>
        </row>
        <row r="2601">
          <cell r="H2601"/>
          <cell r="I2601"/>
          <cell r="J2601"/>
          <cell r="K2601"/>
          <cell r="L2601"/>
          <cell r="M2601"/>
          <cell r="N2601"/>
        </row>
        <row r="2602">
          <cell r="H2602"/>
          <cell r="I2602"/>
          <cell r="J2602"/>
          <cell r="K2602"/>
          <cell r="L2602"/>
          <cell r="M2602"/>
          <cell r="N2602"/>
        </row>
        <row r="2603">
          <cell r="H2603" t="str">
            <v/>
          </cell>
          <cell r="I2603" t="str">
            <v/>
          </cell>
          <cell r="J2603" t="str">
            <v/>
          </cell>
          <cell r="K2603" t="str">
            <v/>
          </cell>
          <cell r="L2603" t="str">
            <v/>
          </cell>
          <cell r="M2603" t="str">
            <v/>
          </cell>
          <cell r="N2603" t="str">
            <v/>
          </cell>
        </row>
        <row r="2604">
          <cell r="H2604" t="str">
            <v/>
          </cell>
          <cell r="I2604" t="str">
            <v/>
          </cell>
          <cell r="J2604" t="str">
            <v/>
          </cell>
          <cell r="K2604" t="str">
            <v/>
          </cell>
          <cell r="L2604" t="str">
            <v/>
          </cell>
          <cell r="M2604" t="str">
            <v/>
          </cell>
          <cell r="N2604" t="str">
            <v/>
          </cell>
        </row>
        <row r="2605">
          <cell r="H2605" t="str">
            <v/>
          </cell>
          <cell r="I2605" t="str">
            <v/>
          </cell>
          <cell r="J2605" t="str">
            <v/>
          </cell>
          <cell r="K2605" t="str">
            <v/>
          </cell>
          <cell r="L2605" t="str">
            <v/>
          </cell>
          <cell r="M2605" t="str">
            <v/>
          </cell>
          <cell r="N2605" t="str">
            <v/>
          </cell>
        </row>
        <row r="2606">
          <cell r="H2606" t="str">
            <v/>
          </cell>
          <cell r="I2606" t="str">
            <v/>
          </cell>
          <cell r="J2606" t="str">
            <v/>
          </cell>
          <cell r="K2606" t="str">
            <v/>
          </cell>
          <cell r="L2606" t="str">
            <v/>
          </cell>
          <cell r="M2606" t="str">
            <v/>
          </cell>
          <cell r="N2606" t="str">
            <v/>
          </cell>
        </row>
        <row r="2613">
          <cell r="H2613"/>
          <cell r="I2613"/>
          <cell r="J2613"/>
          <cell r="K2613"/>
          <cell r="L2613"/>
          <cell r="M2613"/>
          <cell r="N2613"/>
        </row>
        <row r="2622">
          <cell r="H2622"/>
          <cell r="I2622"/>
          <cell r="J2622"/>
          <cell r="K2622"/>
          <cell r="L2622"/>
          <cell r="M2622"/>
          <cell r="N2622"/>
        </row>
        <row r="2623">
          <cell r="H2623"/>
          <cell r="I2623"/>
          <cell r="J2623"/>
          <cell r="K2623"/>
          <cell r="L2623"/>
          <cell r="M2623"/>
          <cell r="N2623"/>
        </row>
        <row r="2626">
          <cell r="H2626"/>
          <cell r="I2626"/>
          <cell r="J2626"/>
          <cell r="K2626"/>
          <cell r="L2626"/>
          <cell r="M2626"/>
          <cell r="N2626"/>
        </row>
        <row r="2627">
          <cell r="H2627"/>
          <cell r="I2627"/>
          <cell r="J2627"/>
          <cell r="K2627"/>
          <cell r="L2627"/>
          <cell r="M2627"/>
          <cell r="N2627"/>
        </row>
        <row r="2630">
          <cell r="H2630"/>
          <cell r="I2630"/>
          <cell r="J2630"/>
          <cell r="K2630"/>
          <cell r="L2630"/>
          <cell r="M2630"/>
          <cell r="N2630"/>
        </row>
        <row r="2631">
          <cell r="H2631"/>
          <cell r="I2631"/>
          <cell r="J2631"/>
          <cell r="K2631"/>
          <cell r="L2631"/>
          <cell r="M2631"/>
          <cell r="N2631"/>
        </row>
        <row r="2635">
          <cell r="L2635"/>
        </row>
        <row r="2637">
          <cell r="I2637"/>
        </row>
        <row r="2641">
          <cell r="G2641"/>
          <cell r="H2641"/>
          <cell r="I2641"/>
          <cell r="J2641"/>
          <cell r="K2641"/>
          <cell r="L2641"/>
          <cell r="M2641"/>
          <cell r="N2641"/>
        </row>
        <row r="2642">
          <cell r="G2642" t="str">
            <v>GJ / Unit</v>
          </cell>
          <cell r="H2642"/>
          <cell r="I2642"/>
          <cell r="J2642"/>
          <cell r="K2642"/>
          <cell r="L2642"/>
          <cell r="M2642"/>
          <cell r="N2642"/>
        </row>
        <row r="2643">
          <cell r="H2643" t="str">
            <v/>
          </cell>
          <cell r="I2643" t="str">
            <v/>
          </cell>
          <cell r="J2643" t="str">
            <v/>
          </cell>
          <cell r="K2643" t="str">
            <v/>
          </cell>
          <cell r="L2643" t="str">
            <v/>
          </cell>
          <cell r="M2643" t="str">
            <v/>
          </cell>
          <cell r="N2643" t="str">
            <v/>
          </cell>
        </row>
        <row r="2644">
          <cell r="H2644"/>
          <cell r="I2644"/>
          <cell r="J2644"/>
          <cell r="K2644"/>
          <cell r="L2644"/>
          <cell r="M2644"/>
          <cell r="N2644"/>
        </row>
        <row r="2646">
          <cell r="I2646"/>
        </row>
        <row r="2650">
          <cell r="G2650"/>
          <cell r="H2650"/>
          <cell r="I2650"/>
          <cell r="J2650"/>
          <cell r="K2650"/>
          <cell r="L2650"/>
          <cell r="M2650"/>
          <cell r="N2650"/>
        </row>
        <row r="2651">
          <cell r="G2651" t="str">
            <v>GJ / Unit</v>
          </cell>
          <cell r="H2651"/>
          <cell r="I2651"/>
          <cell r="J2651"/>
          <cell r="K2651"/>
          <cell r="L2651"/>
          <cell r="M2651"/>
          <cell r="N2651"/>
        </row>
        <row r="2652">
          <cell r="H2652" t="str">
            <v/>
          </cell>
          <cell r="I2652" t="str">
            <v/>
          </cell>
          <cell r="J2652" t="str">
            <v/>
          </cell>
          <cell r="K2652" t="str">
            <v/>
          </cell>
          <cell r="L2652" t="str">
            <v/>
          </cell>
          <cell r="M2652" t="str">
            <v/>
          </cell>
          <cell r="N2652" t="str">
            <v/>
          </cell>
        </row>
        <row r="2653">
          <cell r="H2653"/>
          <cell r="I2653"/>
          <cell r="J2653"/>
          <cell r="K2653"/>
          <cell r="L2653"/>
          <cell r="M2653"/>
          <cell r="N2653"/>
        </row>
        <row r="2655">
          <cell r="I2655"/>
        </row>
        <row r="2660">
          <cell r="G2660"/>
          <cell r="H2660"/>
          <cell r="I2660"/>
          <cell r="J2660"/>
          <cell r="K2660"/>
          <cell r="L2660"/>
          <cell r="M2660"/>
          <cell r="N2660"/>
        </row>
        <row r="2661">
          <cell r="G2661" t="str">
            <v>GJ / Unit</v>
          </cell>
          <cell r="H2661"/>
          <cell r="I2661"/>
          <cell r="J2661"/>
          <cell r="K2661"/>
          <cell r="L2661"/>
          <cell r="M2661"/>
          <cell r="N2661"/>
        </row>
        <row r="2662">
          <cell r="H2662" t="str">
            <v/>
          </cell>
          <cell r="I2662" t="str">
            <v/>
          </cell>
          <cell r="J2662" t="str">
            <v/>
          </cell>
          <cell r="K2662" t="str">
            <v/>
          </cell>
          <cell r="L2662" t="str">
            <v/>
          </cell>
          <cell r="M2662" t="str">
            <v/>
          </cell>
          <cell r="N2662" t="str">
            <v/>
          </cell>
        </row>
        <row r="2663">
          <cell r="H2663"/>
          <cell r="I2663"/>
          <cell r="J2663"/>
          <cell r="K2663"/>
          <cell r="L2663"/>
          <cell r="M2663"/>
          <cell r="N2663"/>
        </row>
        <row r="2665">
          <cell r="H2665" t="str">
            <v/>
          </cell>
          <cell r="I2665" t="str">
            <v/>
          </cell>
          <cell r="J2665" t="str">
            <v/>
          </cell>
          <cell r="K2665" t="str">
            <v/>
          </cell>
          <cell r="L2665" t="str">
            <v/>
          </cell>
          <cell r="M2665" t="str">
            <v/>
          </cell>
          <cell r="N2665" t="str">
            <v/>
          </cell>
        </row>
        <row r="2669">
          <cell r="I2669" t="str">
            <v/>
          </cell>
          <cell r="J2669" t="str">
            <v/>
          </cell>
          <cell r="K2669" t="str">
            <v/>
          </cell>
          <cell r="L2669" t="str">
            <v/>
          </cell>
          <cell r="M2669" t="str">
            <v/>
          </cell>
          <cell r="N2669" t="str">
            <v/>
          </cell>
        </row>
        <row r="2670">
          <cell r="J2670" t="str">
            <v/>
          </cell>
          <cell r="K2670" t="str">
            <v/>
          </cell>
          <cell r="L2670" t="str">
            <v/>
          </cell>
          <cell r="M2670" t="str">
            <v/>
          </cell>
          <cell r="N2670" t="str">
            <v/>
          </cell>
        </row>
        <row r="2671">
          <cell r="J2671" t="str">
            <v/>
          </cell>
          <cell r="K2671" t="str">
            <v/>
          </cell>
          <cell r="L2671" t="str">
            <v/>
          </cell>
          <cell r="M2671" t="str">
            <v/>
          </cell>
          <cell r="N2671" t="str">
            <v/>
          </cell>
        </row>
        <row r="2672">
          <cell r="I2672" t="str">
            <v/>
          </cell>
          <cell r="J2672" t="str">
            <v/>
          </cell>
          <cell r="K2672" t="str">
            <v/>
          </cell>
          <cell r="L2672" t="str">
            <v/>
          </cell>
          <cell r="M2672" t="str">
            <v/>
          </cell>
          <cell r="N2672" t="str">
            <v/>
          </cell>
        </row>
        <row r="2675">
          <cell r="J2675" t="str">
            <v/>
          </cell>
          <cell r="K2675" t="str">
            <v/>
          </cell>
          <cell r="L2675" t="str">
            <v/>
          </cell>
          <cell r="M2675" t="str">
            <v/>
          </cell>
          <cell r="N2675" t="str">
            <v/>
          </cell>
        </row>
        <row r="2677">
          <cell r="J2677" t="str">
            <v/>
          </cell>
          <cell r="K2677" t="str">
            <v/>
          </cell>
          <cell r="L2677" t="str">
            <v/>
          </cell>
          <cell r="M2677" t="str">
            <v/>
          </cell>
          <cell r="N2677" t="str">
            <v/>
          </cell>
        </row>
        <row r="2678">
          <cell r="I2678" t="str">
            <v/>
          </cell>
          <cell r="J2678" t="str">
            <v/>
          </cell>
          <cell r="K2678" t="str">
            <v/>
          </cell>
          <cell r="L2678" t="str">
            <v/>
          </cell>
          <cell r="M2678" t="str">
            <v/>
          </cell>
          <cell r="N2678" t="str">
            <v/>
          </cell>
        </row>
        <row r="2681">
          <cell r="I2681"/>
        </row>
        <row r="2685">
          <cell r="G2685"/>
          <cell r="H2685"/>
          <cell r="I2685"/>
          <cell r="J2685"/>
          <cell r="K2685"/>
          <cell r="L2685"/>
          <cell r="M2685"/>
          <cell r="N2685"/>
        </row>
        <row r="2686">
          <cell r="G2686" t="str">
            <v>GJ / Unit</v>
          </cell>
          <cell r="H2686"/>
          <cell r="I2686"/>
          <cell r="J2686"/>
          <cell r="K2686"/>
          <cell r="L2686"/>
          <cell r="M2686"/>
          <cell r="N2686"/>
        </row>
        <row r="2687">
          <cell r="H2687" t="str">
            <v/>
          </cell>
          <cell r="I2687" t="str">
            <v/>
          </cell>
          <cell r="J2687" t="str">
            <v/>
          </cell>
          <cell r="K2687" t="str">
            <v/>
          </cell>
          <cell r="L2687" t="str">
            <v/>
          </cell>
          <cell r="M2687" t="str">
            <v/>
          </cell>
          <cell r="N2687" t="str">
            <v/>
          </cell>
        </row>
        <row r="2688">
          <cell r="H2688"/>
          <cell r="I2688"/>
          <cell r="J2688"/>
          <cell r="K2688"/>
          <cell r="L2688"/>
          <cell r="M2688"/>
          <cell r="N2688"/>
        </row>
        <row r="2690">
          <cell r="I2690"/>
        </row>
        <row r="2694">
          <cell r="G2694"/>
          <cell r="H2694"/>
          <cell r="I2694"/>
          <cell r="J2694"/>
          <cell r="K2694"/>
          <cell r="L2694"/>
          <cell r="M2694"/>
          <cell r="N2694"/>
        </row>
        <row r="2695">
          <cell r="G2695" t="str">
            <v>GJ / Unit</v>
          </cell>
          <cell r="H2695"/>
          <cell r="I2695"/>
          <cell r="J2695"/>
          <cell r="K2695"/>
          <cell r="L2695"/>
          <cell r="M2695"/>
          <cell r="N2695"/>
        </row>
        <row r="2696">
          <cell r="H2696" t="str">
            <v/>
          </cell>
          <cell r="I2696" t="str">
            <v/>
          </cell>
          <cell r="J2696" t="str">
            <v/>
          </cell>
          <cell r="K2696" t="str">
            <v/>
          </cell>
          <cell r="L2696" t="str">
            <v/>
          </cell>
          <cell r="M2696" t="str">
            <v/>
          </cell>
          <cell r="N2696" t="str">
            <v/>
          </cell>
        </row>
        <row r="2697">
          <cell r="H2697"/>
          <cell r="I2697"/>
          <cell r="J2697"/>
          <cell r="K2697"/>
          <cell r="L2697"/>
          <cell r="M2697"/>
          <cell r="N2697"/>
        </row>
        <row r="2703">
          <cell r="H2703"/>
          <cell r="I2703"/>
          <cell r="J2703"/>
          <cell r="K2703"/>
          <cell r="L2703"/>
          <cell r="M2703"/>
          <cell r="N2703"/>
        </row>
        <row r="2709">
          <cell r="E2709" t="str">
            <v/>
          </cell>
          <cell r="H2709"/>
          <cell r="I2709"/>
          <cell r="J2709"/>
          <cell r="K2709"/>
          <cell r="L2709"/>
          <cell r="M2709"/>
          <cell r="N2709"/>
        </row>
        <row r="2714">
          <cell r="L2714"/>
        </row>
        <row r="2717">
          <cell r="E2717"/>
          <cell r="G2717" t="str">
            <v>tonnes</v>
          </cell>
          <cell r="H2717"/>
          <cell r="I2717"/>
          <cell r="J2717"/>
          <cell r="K2717"/>
          <cell r="L2717"/>
          <cell r="M2717"/>
          <cell r="N2717"/>
        </row>
        <row r="2718">
          <cell r="E2718"/>
          <cell r="G2718" t="str">
            <v>tonnes</v>
          </cell>
          <cell r="H2718"/>
          <cell r="I2718"/>
          <cell r="J2718"/>
          <cell r="K2718"/>
          <cell r="L2718"/>
          <cell r="M2718"/>
          <cell r="N2718"/>
        </row>
        <row r="2721">
          <cell r="E2721"/>
          <cell r="G2721" t="str">
            <v>tonnes</v>
          </cell>
          <cell r="H2721"/>
          <cell r="I2721"/>
          <cell r="J2721"/>
          <cell r="K2721"/>
          <cell r="L2721"/>
          <cell r="M2721"/>
          <cell r="N2721"/>
        </row>
        <row r="2722">
          <cell r="E2722"/>
          <cell r="G2722" t="str">
            <v>tonnes</v>
          </cell>
          <cell r="H2722"/>
          <cell r="I2722"/>
          <cell r="J2722"/>
          <cell r="K2722"/>
          <cell r="L2722"/>
          <cell r="M2722"/>
          <cell r="N2722"/>
        </row>
        <row r="2726">
          <cell r="E2726"/>
        </row>
        <row r="2731">
          <cell r="I2731" t="str">
            <v/>
          </cell>
        </row>
        <row r="2739">
          <cell r="E2739" t="str">
            <v/>
          </cell>
          <cell r="G2739" t="str">
            <v>tonnes</v>
          </cell>
          <cell r="H2739"/>
          <cell r="I2739"/>
          <cell r="J2739"/>
          <cell r="K2739"/>
          <cell r="L2739"/>
          <cell r="M2739"/>
          <cell r="N2739"/>
        </row>
        <row r="2740">
          <cell r="E2740" t="str">
            <v>From sheet "H_SpecialBM":</v>
          </cell>
          <cell r="G2740" t="str">
            <v>tonnes</v>
          </cell>
          <cell r="H2740" t="str">
            <v/>
          </cell>
          <cell r="I2740" t="str">
            <v/>
          </cell>
          <cell r="J2740" t="str">
            <v/>
          </cell>
          <cell r="K2740" t="str">
            <v/>
          </cell>
          <cell r="L2740" t="str">
            <v/>
          </cell>
          <cell r="M2740" t="str">
            <v/>
          </cell>
          <cell r="N2740" t="str">
            <v/>
          </cell>
        </row>
        <row r="2741">
          <cell r="E2741" t="str">
            <v>Values used for calculation:</v>
          </cell>
          <cell r="G2741" t="str">
            <v>tonnes</v>
          </cell>
          <cell r="H2741" t="str">
            <v/>
          </cell>
          <cell r="I2741" t="str">
            <v/>
          </cell>
          <cell r="J2741" t="str">
            <v/>
          </cell>
          <cell r="K2741" t="str">
            <v/>
          </cell>
          <cell r="L2741" t="str">
            <v/>
          </cell>
          <cell r="M2741" t="str">
            <v/>
          </cell>
          <cell r="N2741" t="str">
            <v/>
          </cell>
        </row>
        <row r="2753">
          <cell r="H2753" t="str">
            <v>tonnes</v>
          </cell>
          <cell r="I2753" t="str">
            <v/>
          </cell>
          <cell r="J2753" t="str">
            <v/>
          </cell>
          <cell r="K2753" t="str">
            <v/>
          </cell>
          <cell r="L2753" t="str">
            <v/>
          </cell>
          <cell r="M2753" t="str">
            <v/>
          </cell>
          <cell r="N2753" t="str">
            <v/>
          </cell>
        </row>
        <row r="2754">
          <cell r="J2754" t="str">
            <v/>
          </cell>
          <cell r="K2754" t="str">
            <v/>
          </cell>
          <cell r="L2754" t="str">
            <v/>
          </cell>
          <cell r="M2754" t="str">
            <v/>
          </cell>
          <cell r="N2754" t="str">
            <v/>
          </cell>
        </row>
        <row r="2755">
          <cell r="J2755" t="str">
            <v/>
          </cell>
          <cell r="K2755" t="str">
            <v/>
          </cell>
          <cell r="L2755" t="str">
            <v/>
          </cell>
          <cell r="M2755" t="str">
            <v/>
          </cell>
          <cell r="N2755" t="str">
            <v/>
          </cell>
        </row>
        <row r="2756">
          <cell r="H2756" t="str">
            <v>tonnes</v>
          </cell>
          <cell r="I2756" t="str">
            <v/>
          </cell>
          <cell r="J2756" t="str">
            <v/>
          </cell>
          <cell r="K2756" t="str">
            <v/>
          </cell>
          <cell r="L2756" t="str">
            <v/>
          </cell>
          <cell r="M2756" t="str">
            <v/>
          </cell>
          <cell r="N2756" t="str">
            <v/>
          </cell>
        </row>
        <row r="2759">
          <cell r="J2759" t="str">
            <v/>
          </cell>
          <cell r="K2759" t="str">
            <v/>
          </cell>
          <cell r="L2759" t="str">
            <v/>
          </cell>
          <cell r="M2759" t="str">
            <v/>
          </cell>
          <cell r="N2759" t="str">
            <v/>
          </cell>
        </row>
        <row r="2761">
          <cell r="J2761" t="str">
            <v/>
          </cell>
          <cell r="K2761" t="str">
            <v/>
          </cell>
          <cell r="L2761" t="str">
            <v/>
          </cell>
          <cell r="M2761" t="str">
            <v/>
          </cell>
          <cell r="N2761" t="str">
            <v/>
          </cell>
        </row>
        <row r="2762">
          <cell r="H2762" t="str">
            <v>tonnes</v>
          </cell>
          <cell r="I2762" t="str">
            <v/>
          </cell>
          <cell r="J2762" t="str">
            <v/>
          </cell>
          <cell r="K2762" t="str">
            <v/>
          </cell>
          <cell r="L2762" t="str">
            <v/>
          </cell>
          <cell r="M2762" t="str">
            <v/>
          </cell>
          <cell r="N2762" t="str">
            <v/>
          </cell>
        </row>
        <row r="2772">
          <cell r="H2772"/>
          <cell r="I2772"/>
          <cell r="J2772"/>
          <cell r="K2772"/>
          <cell r="L2772"/>
          <cell r="M2772"/>
          <cell r="N2772"/>
        </row>
        <row r="2773">
          <cell r="H2773" t="str">
            <v/>
          </cell>
          <cell r="I2773" t="str">
            <v/>
          </cell>
          <cell r="J2773" t="str">
            <v/>
          </cell>
          <cell r="K2773" t="str">
            <v/>
          </cell>
          <cell r="L2773" t="str">
            <v/>
          </cell>
          <cell r="M2773" t="str">
            <v/>
          </cell>
          <cell r="N2773" t="str">
            <v/>
          </cell>
        </row>
        <row r="2774">
          <cell r="H2774"/>
          <cell r="I2774"/>
          <cell r="J2774"/>
          <cell r="K2774"/>
          <cell r="L2774"/>
          <cell r="M2774"/>
          <cell r="N2774"/>
        </row>
        <row r="2775">
          <cell r="H2775" t="str">
            <v/>
          </cell>
          <cell r="I2775" t="str">
            <v/>
          </cell>
          <cell r="J2775" t="str">
            <v/>
          </cell>
          <cell r="K2775" t="str">
            <v/>
          </cell>
          <cell r="L2775" t="str">
            <v/>
          </cell>
          <cell r="M2775" t="str">
            <v/>
          </cell>
          <cell r="N2775" t="str">
            <v/>
          </cell>
        </row>
        <row r="2776">
          <cell r="H2776" t="str">
            <v/>
          </cell>
          <cell r="I2776" t="str">
            <v/>
          </cell>
          <cell r="J2776" t="str">
            <v/>
          </cell>
          <cell r="K2776" t="str">
            <v/>
          </cell>
          <cell r="L2776" t="str">
            <v/>
          </cell>
          <cell r="M2776" t="str">
            <v/>
          </cell>
          <cell r="N2776" t="str">
            <v/>
          </cell>
        </row>
        <row r="2778">
          <cell r="H2778" t="str">
            <v/>
          </cell>
          <cell r="I2778" t="str">
            <v/>
          </cell>
          <cell r="J2778" t="str">
            <v/>
          </cell>
          <cell r="K2778" t="str">
            <v/>
          </cell>
          <cell r="L2778" t="str">
            <v/>
          </cell>
          <cell r="M2778" t="str">
            <v/>
          </cell>
          <cell r="N2778" t="str">
            <v/>
          </cell>
        </row>
        <row r="2783">
          <cell r="I2783" t="str">
            <v/>
          </cell>
          <cell r="J2783" t="str">
            <v/>
          </cell>
          <cell r="K2783" t="str">
            <v/>
          </cell>
          <cell r="L2783" t="str">
            <v/>
          </cell>
          <cell r="M2783" t="str">
            <v/>
          </cell>
          <cell r="N2783" t="str">
            <v/>
          </cell>
        </row>
        <row r="2784">
          <cell r="J2784" t="str">
            <v/>
          </cell>
          <cell r="K2784" t="str">
            <v/>
          </cell>
          <cell r="L2784" t="str">
            <v/>
          </cell>
          <cell r="M2784" t="str">
            <v/>
          </cell>
          <cell r="N2784" t="str">
            <v/>
          </cell>
        </row>
        <row r="2785">
          <cell r="J2785" t="str">
            <v/>
          </cell>
          <cell r="K2785" t="str">
            <v/>
          </cell>
          <cell r="L2785" t="str">
            <v/>
          </cell>
          <cell r="M2785" t="str">
            <v/>
          </cell>
          <cell r="N2785" t="str">
            <v/>
          </cell>
        </row>
        <row r="2786">
          <cell r="I2786" t="str">
            <v/>
          </cell>
          <cell r="J2786" t="str">
            <v/>
          </cell>
          <cell r="K2786" t="str">
            <v/>
          </cell>
          <cell r="L2786" t="str">
            <v/>
          </cell>
          <cell r="M2786" t="str">
            <v/>
          </cell>
          <cell r="N2786" t="str">
            <v/>
          </cell>
        </row>
        <row r="2789">
          <cell r="J2789" t="str">
            <v/>
          </cell>
          <cell r="K2789" t="str">
            <v/>
          </cell>
          <cell r="L2789" t="str">
            <v/>
          </cell>
          <cell r="M2789" t="str">
            <v/>
          </cell>
          <cell r="N2789" t="str">
            <v/>
          </cell>
        </row>
        <row r="2791">
          <cell r="J2791" t="str">
            <v/>
          </cell>
          <cell r="K2791" t="str">
            <v/>
          </cell>
          <cell r="L2791" t="str">
            <v/>
          </cell>
          <cell r="M2791" t="str">
            <v/>
          </cell>
          <cell r="N2791" t="str">
            <v/>
          </cell>
        </row>
        <row r="2792">
          <cell r="I2792" t="str">
            <v/>
          </cell>
          <cell r="J2792" t="str">
            <v/>
          </cell>
          <cell r="K2792" t="str">
            <v/>
          </cell>
          <cell r="L2792" t="str">
            <v/>
          </cell>
          <cell r="M2792" t="str">
            <v/>
          </cell>
          <cell r="N2792" t="str">
            <v/>
          </cell>
        </row>
        <row r="2801">
          <cell r="H2801"/>
          <cell r="I2801"/>
          <cell r="J2801"/>
          <cell r="K2801"/>
          <cell r="L2801"/>
          <cell r="M2801"/>
          <cell r="N2801"/>
        </row>
        <row r="2802">
          <cell r="H2802" t="str">
            <v/>
          </cell>
          <cell r="I2802" t="str">
            <v/>
          </cell>
          <cell r="J2802" t="str">
            <v/>
          </cell>
          <cell r="K2802" t="str">
            <v/>
          </cell>
          <cell r="L2802" t="str">
            <v/>
          </cell>
          <cell r="M2802" t="str">
            <v/>
          </cell>
          <cell r="N2802" t="str">
            <v/>
          </cell>
        </row>
        <row r="2803">
          <cell r="H2803" t="str">
            <v/>
          </cell>
          <cell r="I2803" t="str">
            <v/>
          </cell>
          <cell r="J2803" t="str">
            <v/>
          </cell>
          <cell r="K2803" t="str">
            <v/>
          </cell>
          <cell r="L2803" t="str">
            <v/>
          </cell>
          <cell r="M2803" t="str">
            <v/>
          </cell>
          <cell r="N2803" t="str">
            <v/>
          </cell>
        </row>
        <row r="2808">
          <cell r="I2808" t="str">
            <v/>
          </cell>
          <cell r="J2808" t="str">
            <v/>
          </cell>
          <cell r="K2808" t="str">
            <v/>
          </cell>
          <cell r="L2808" t="str">
            <v/>
          </cell>
          <cell r="M2808" t="str">
            <v/>
          </cell>
          <cell r="N2808" t="str">
            <v/>
          </cell>
        </row>
        <row r="2809">
          <cell r="J2809" t="str">
            <v/>
          </cell>
          <cell r="K2809" t="str">
            <v/>
          </cell>
          <cell r="L2809" t="str">
            <v/>
          </cell>
          <cell r="M2809" t="str">
            <v/>
          </cell>
          <cell r="N2809" t="str">
            <v/>
          </cell>
        </row>
        <row r="2810">
          <cell r="J2810" t="str">
            <v/>
          </cell>
          <cell r="K2810" t="str">
            <v/>
          </cell>
          <cell r="L2810" t="str">
            <v/>
          </cell>
          <cell r="M2810" t="str">
            <v/>
          </cell>
          <cell r="N2810" t="str">
            <v/>
          </cell>
        </row>
        <row r="2811">
          <cell r="I2811" t="str">
            <v/>
          </cell>
          <cell r="J2811" t="str">
            <v/>
          </cell>
          <cell r="K2811" t="str">
            <v/>
          </cell>
          <cell r="L2811" t="str">
            <v/>
          </cell>
          <cell r="M2811" t="str">
            <v/>
          </cell>
          <cell r="N2811" t="str">
            <v/>
          </cell>
        </row>
        <row r="2814">
          <cell r="J2814" t="str">
            <v/>
          </cell>
          <cell r="K2814" t="str">
            <v/>
          </cell>
          <cell r="L2814" t="str">
            <v/>
          </cell>
          <cell r="M2814" t="str">
            <v/>
          </cell>
          <cell r="N2814" t="str">
            <v/>
          </cell>
        </row>
        <row r="2816">
          <cell r="J2816" t="str">
            <v/>
          </cell>
          <cell r="K2816" t="str">
            <v/>
          </cell>
          <cell r="L2816" t="str">
            <v/>
          </cell>
          <cell r="M2816" t="str">
            <v/>
          </cell>
          <cell r="N2816" t="str">
            <v/>
          </cell>
        </row>
        <row r="2817">
          <cell r="I2817" t="str">
            <v/>
          </cell>
          <cell r="J2817" t="str">
            <v/>
          </cell>
          <cell r="K2817" t="str">
            <v/>
          </cell>
          <cell r="L2817" t="str">
            <v/>
          </cell>
          <cell r="M2817" t="str">
            <v/>
          </cell>
          <cell r="N2817" t="str">
            <v/>
          </cell>
        </row>
        <row r="2831">
          <cell r="E2831"/>
          <cell r="F2831"/>
          <cell r="G2831"/>
          <cell r="H2831"/>
          <cell r="I2831"/>
          <cell r="J2831"/>
          <cell r="K2831"/>
          <cell r="L2831"/>
          <cell r="M2831"/>
          <cell r="N2831"/>
        </row>
        <row r="2832">
          <cell r="E2832"/>
          <cell r="F2832"/>
          <cell r="G2832"/>
          <cell r="H2832"/>
          <cell r="I2832"/>
          <cell r="J2832"/>
          <cell r="K2832"/>
          <cell r="L2832"/>
          <cell r="M2832"/>
          <cell r="N2832"/>
        </row>
        <row r="2833">
          <cell r="E2833"/>
          <cell r="F2833"/>
          <cell r="G2833"/>
          <cell r="H2833"/>
          <cell r="I2833"/>
          <cell r="J2833"/>
          <cell r="K2833"/>
          <cell r="L2833"/>
          <cell r="M2833"/>
          <cell r="N2833"/>
        </row>
        <row r="2834">
          <cell r="E2834"/>
          <cell r="F2834"/>
          <cell r="G2834"/>
          <cell r="H2834"/>
          <cell r="I2834"/>
          <cell r="J2834"/>
          <cell r="K2834"/>
          <cell r="L2834"/>
          <cell r="M2834"/>
          <cell r="N2834"/>
        </row>
        <row r="2835">
          <cell r="E2835"/>
          <cell r="F2835"/>
          <cell r="G2835"/>
          <cell r="H2835"/>
          <cell r="I2835"/>
          <cell r="J2835"/>
          <cell r="K2835"/>
          <cell r="L2835"/>
          <cell r="M2835"/>
          <cell r="N2835"/>
        </row>
        <row r="2836">
          <cell r="E2836"/>
          <cell r="F2836"/>
          <cell r="G2836"/>
          <cell r="H2836"/>
          <cell r="I2836"/>
          <cell r="J2836"/>
          <cell r="K2836"/>
          <cell r="L2836"/>
          <cell r="M2836"/>
          <cell r="N2836"/>
        </row>
        <row r="2837">
          <cell r="E2837"/>
          <cell r="F2837"/>
          <cell r="G2837"/>
          <cell r="H2837"/>
          <cell r="I2837"/>
          <cell r="J2837"/>
          <cell r="K2837"/>
          <cell r="L2837"/>
          <cell r="M2837"/>
          <cell r="N2837"/>
        </row>
        <row r="2838">
          <cell r="E2838"/>
          <cell r="F2838"/>
          <cell r="G2838"/>
          <cell r="H2838"/>
          <cell r="I2838"/>
          <cell r="J2838"/>
          <cell r="K2838"/>
          <cell r="L2838"/>
          <cell r="M2838"/>
          <cell r="N2838"/>
        </row>
        <row r="2839">
          <cell r="E2839"/>
          <cell r="F2839"/>
          <cell r="G2839"/>
          <cell r="H2839"/>
          <cell r="I2839"/>
          <cell r="J2839"/>
          <cell r="K2839"/>
          <cell r="L2839"/>
          <cell r="M2839"/>
          <cell r="N2839"/>
        </row>
        <row r="2840">
          <cell r="E2840"/>
          <cell r="F2840"/>
          <cell r="G2840"/>
          <cell r="H2840"/>
          <cell r="I2840"/>
          <cell r="J2840"/>
          <cell r="K2840"/>
          <cell r="L2840"/>
          <cell r="M2840"/>
          <cell r="N2840"/>
        </row>
        <row r="2841">
          <cell r="G2841"/>
          <cell r="H2841" t="str">
            <v/>
          </cell>
          <cell r="I2841" t="str">
            <v/>
          </cell>
          <cell r="J2841" t="str">
            <v/>
          </cell>
          <cell r="K2841" t="str">
            <v/>
          </cell>
          <cell r="L2841" t="str">
            <v/>
          </cell>
          <cell r="M2841" t="str">
            <v/>
          </cell>
          <cell r="N2841" t="str">
            <v/>
          </cell>
        </row>
        <row r="2846">
          <cell r="I2846" t="str">
            <v/>
          </cell>
        </row>
        <row r="2866">
          <cell r="E2866" t="str">
            <v/>
          </cell>
          <cell r="H2866"/>
          <cell r="I2866"/>
          <cell r="J2866"/>
          <cell r="K2866"/>
          <cell r="L2866"/>
          <cell r="M2866"/>
          <cell r="N2866"/>
        </row>
        <row r="2874">
          <cell r="H2874"/>
          <cell r="I2874"/>
          <cell r="J2874"/>
          <cell r="K2874"/>
          <cell r="L2874"/>
          <cell r="M2874"/>
          <cell r="N2874"/>
        </row>
        <row r="2875">
          <cell r="H2875"/>
          <cell r="I2875"/>
          <cell r="J2875"/>
          <cell r="K2875"/>
          <cell r="L2875"/>
          <cell r="M2875"/>
          <cell r="N2875"/>
        </row>
        <row r="2884">
          <cell r="L2884"/>
        </row>
        <row r="2886">
          <cell r="I2886"/>
        </row>
        <row r="2889">
          <cell r="H2889"/>
          <cell r="I2889"/>
          <cell r="J2889"/>
          <cell r="K2889"/>
          <cell r="L2889"/>
          <cell r="M2889"/>
          <cell r="N2889"/>
        </row>
        <row r="2890">
          <cell r="H2890"/>
          <cell r="I2890"/>
          <cell r="J2890"/>
          <cell r="K2890"/>
          <cell r="L2890"/>
          <cell r="M2890"/>
          <cell r="N2890"/>
        </row>
        <row r="2891">
          <cell r="H2891"/>
          <cell r="I2891"/>
          <cell r="J2891"/>
          <cell r="K2891"/>
          <cell r="L2891"/>
          <cell r="M2891"/>
          <cell r="N2891"/>
        </row>
        <row r="2892">
          <cell r="H2892"/>
          <cell r="I2892"/>
          <cell r="J2892"/>
          <cell r="K2892"/>
          <cell r="L2892"/>
          <cell r="M2892"/>
          <cell r="N2892"/>
        </row>
        <row r="2893">
          <cell r="H2893" t="str">
            <v/>
          </cell>
          <cell r="I2893" t="str">
            <v/>
          </cell>
          <cell r="J2893" t="str">
            <v/>
          </cell>
          <cell r="K2893" t="str">
            <v/>
          </cell>
          <cell r="L2893" t="str">
            <v/>
          </cell>
          <cell r="M2893" t="str">
            <v/>
          </cell>
          <cell r="N2893" t="str">
            <v/>
          </cell>
        </row>
        <row r="2894">
          <cell r="H2894" t="str">
            <v/>
          </cell>
          <cell r="I2894" t="str">
            <v/>
          </cell>
          <cell r="J2894" t="str">
            <v/>
          </cell>
          <cell r="K2894" t="str">
            <v/>
          </cell>
          <cell r="L2894" t="str">
            <v/>
          </cell>
          <cell r="M2894" t="str">
            <v/>
          </cell>
          <cell r="N2894" t="str">
            <v/>
          </cell>
        </row>
        <row r="2895">
          <cell r="H2895" t="str">
            <v/>
          </cell>
          <cell r="I2895" t="str">
            <v/>
          </cell>
          <cell r="J2895" t="str">
            <v/>
          </cell>
          <cell r="K2895" t="str">
            <v/>
          </cell>
          <cell r="L2895" t="str">
            <v/>
          </cell>
          <cell r="M2895" t="str">
            <v/>
          </cell>
          <cell r="N2895" t="str">
            <v/>
          </cell>
        </row>
        <row r="2896">
          <cell r="H2896" t="str">
            <v/>
          </cell>
          <cell r="I2896" t="str">
            <v/>
          </cell>
          <cell r="J2896" t="str">
            <v/>
          </cell>
          <cell r="K2896" t="str">
            <v/>
          </cell>
          <cell r="L2896" t="str">
            <v/>
          </cell>
          <cell r="M2896" t="str">
            <v/>
          </cell>
          <cell r="N2896" t="str">
            <v/>
          </cell>
        </row>
        <row r="2898">
          <cell r="I2898"/>
        </row>
        <row r="2901">
          <cell r="H2901"/>
          <cell r="I2901"/>
          <cell r="J2901"/>
          <cell r="K2901"/>
          <cell r="L2901"/>
          <cell r="M2901"/>
          <cell r="N2901"/>
        </row>
        <row r="2902">
          <cell r="H2902"/>
          <cell r="I2902"/>
          <cell r="J2902"/>
          <cell r="K2902"/>
          <cell r="L2902"/>
          <cell r="M2902"/>
          <cell r="N2902"/>
        </row>
        <row r="2903">
          <cell r="H2903"/>
          <cell r="I2903"/>
          <cell r="J2903"/>
          <cell r="K2903"/>
          <cell r="L2903"/>
          <cell r="M2903"/>
          <cell r="N2903"/>
        </row>
        <row r="2904">
          <cell r="H2904"/>
          <cell r="I2904"/>
          <cell r="J2904"/>
          <cell r="K2904"/>
          <cell r="L2904"/>
          <cell r="M2904"/>
          <cell r="N2904"/>
        </row>
        <row r="2905">
          <cell r="H2905" t="str">
            <v/>
          </cell>
          <cell r="I2905" t="str">
            <v/>
          </cell>
          <cell r="J2905" t="str">
            <v/>
          </cell>
          <cell r="K2905" t="str">
            <v/>
          </cell>
          <cell r="L2905" t="str">
            <v/>
          </cell>
          <cell r="M2905" t="str">
            <v/>
          </cell>
          <cell r="N2905" t="str">
            <v/>
          </cell>
        </row>
        <row r="2906">
          <cell r="H2906" t="str">
            <v/>
          </cell>
          <cell r="I2906" t="str">
            <v/>
          </cell>
          <cell r="J2906" t="str">
            <v/>
          </cell>
          <cell r="K2906" t="str">
            <v/>
          </cell>
          <cell r="L2906" t="str">
            <v/>
          </cell>
          <cell r="M2906" t="str">
            <v/>
          </cell>
          <cell r="N2906" t="str">
            <v/>
          </cell>
        </row>
        <row r="2907">
          <cell r="H2907" t="str">
            <v/>
          </cell>
          <cell r="I2907" t="str">
            <v/>
          </cell>
          <cell r="J2907" t="str">
            <v/>
          </cell>
          <cell r="K2907" t="str">
            <v/>
          </cell>
          <cell r="L2907" t="str">
            <v/>
          </cell>
          <cell r="M2907" t="str">
            <v/>
          </cell>
          <cell r="N2907" t="str">
            <v/>
          </cell>
        </row>
        <row r="2908">
          <cell r="H2908" t="str">
            <v/>
          </cell>
          <cell r="I2908" t="str">
            <v/>
          </cell>
          <cell r="J2908" t="str">
            <v/>
          </cell>
          <cell r="K2908" t="str">
            <v/>
          </cell>
          <cell r="L2908" t="str">
            <v/>
          </cell>
          <cell r="M2908" t="str">
            <v/>
          </cell>
          <cell r="N2908" t="str">
            <v/>
          </cell>
        </row>
        <row r="2915">
          <cell r="H2915"/>
          <cell r="I2915"/>
          <cell r="J2915"/>
          <cell r="K2915"/>
          <cell r="L2915"/>
          <cell r="M2915"/>
          <cell r="N2915"/>
        </row>
        <row r="2924">
          <cell r="H2924"/>
          <cell r="I2924"/>
          <cell r="J2924"/>
          <cell r="K2924"/>
          <cell r="L2924"/>
          <cell r="M2924"/>
          <cell r="N2924"/>
        </row>
        <row r="2925">
          <cell r="H2925"/>
          <cell r="I2925"/>
          <cell r="J2925"/>
          <cell r="K2925"/>
          <cell r="L2925"/>
          <cell r="M2925"/>
          <cell r="N2925"/>
        </row>
        <row r="2928">
          <cell r="H2928"/>
          <cell r="I2928"/>
          <cell r="J2928"/>
          <cell r="K2928"/>
          <cell r="L2928"/>
          <cell r="M2928"/>
          <cell r="N2928"/>
        </row>
        <row r="2929">
          <cell r="H2929"/>
          <cell r="I2929"/>
          <cell r="J2929"/>
          <cell r="K2929"/>
          <cell r="L2929"/>
          <cell r="M2929"/>
          <cell r="N2929"/>
        </row>
        <row r="2932">
          <cell r="H2932"/>
          <cell r="I2932"/>
          <cell r="J2932"/>
          <cell r="K2932"/>
          <cell r="L2932"/>
          <cell r="M2932"/>
          <cell r="N2932"/>
        </row>
        <row r="2933">
          <cell r="H2933"/>
          <cell r="I2933"/>
          <cell r="J2933"/>
          <cell r="K2933"/>
          <cell r="L2933"/>
          <cell r="M2933"/>
          <cell r="N2933"/>
        </row>
        <row r="2937">
          <cell r="L2937"/>
        </row>
        <row r="2939">
          <cell r="I2939"/>
        </row>
        <row r="2943">
          <cell r="G2943"/>
          <cell r="H2943"/>
          <cell r="I2943"/>
          <cell r="J2943"/>
          <cell r="K2943"/>
          <cell r="L2943"/>
          <cell r="M2943"/>
          <cell r="N2943"/>
        </row>
        <row r="2944">
          <cell r="G2944" t="str">
            <v>GJ / Unit</v>
          </cell>
          <cell r="H2944"/>
          <cell r="I2944"/>
          <cell r="J2944"/>
          <cell r="K2944"/>
          <cell r="L2944"/>
          <cell r="M2944"/>
          <cell r="N2944"/>
        </row>
        <row r="2945">
          <cell r="H2945" t="str">
            <v/>
          </cell>
          <cell r="I2945" t="str">
            <v/>
          </cell>
          <cell r="J2945" t="str">
            <v/>
          </cell>
          <cell r="K2945" t="str">
            <v/>
          </cell>
          <cell r="L2945" t="str">
            <v/>
          </cell>
          <cell r="M2945" t="str">
            <v/>
          </cell>
          <cell r="N2945" t="str">
            <v/>
          </cell>
        </row>
        <row r="2946">
          <cell r="H2946"/>
          <cell r="I2946"/>
          <cell r="J2946"/>
          <cell r="K2946"/>
          <cell r="L2946"/>
          <cell r="M2946"/>
          <cell r="N2946"/>
        </row>
        <row r="2948">
          <cell r="I2948"/>
        </row>
        <row r="2952">
          <cell r="G2952"/>
          <cell r="H2952"/>
          <cell r="I2952"/>
          <cell r="J2952"/>
          <cell r="K2952"/>
          <cell r="L2952"/>
          <cell r="M2952"/>
          <cell r="N2952"/>
        </row>
        <row r="2953">
          <cell r="G2953" t="str">
            <v>GJ / Unit</v>
          </cell>
          <cell r="H2953"/>
          <cell r="I2953"/>
          <cell r="J2953"/>
          <cell r="K2953"/>
          <cell r="L2953"/>
          <cell r="M2953"/>
          <cell r="N2953"/>
        </row>
        <row r="2954">
          <cell r="H2954" t="str">
            <v/>
          </cell>
          <cell r="I2954" t="str">
            <v/>
          </cell>
          <cell r="J2954" t="str">
            <v/>
          </cell>
          <cell r="K2954" t="str">
            <v/>
          </cell>
          <cell r="L2954" t="str">
            <v/>
          </cell>
          <cell r="M2954" t="str">
            <v/>
          </cell>
          <cell r="N2954" t="str">
            <v/>
          </cell>
        </row>
        <row r="2955">
          <cell r="H2955"/>
          <cell r="I2955"/>
          <cell r="J2955"/>
          <cell r="K2955"/>
          <cell r="L2955"/>
          <cell r="M2955"/>
          <cell r="N2955"/>
        </row>
        <row r="2957">
          <cell r="I2957"/>
        </row>
        <row r="2962">
          <cell r="G2962"/>
          <cell r="H2962"/>
          <cell r="I2962"/>
          <cell r="J2962"/>
          <cell r="K2962"/>
          <cell r="L2962"/>
          <cell r="M2962"/>
          <cell r="N2962"/>
        </row>
        <row r="2963">
          <cell r="G2963" t="str">
            <v>GJ / Unit</v>
          </cell>
          <cell r="H2963"/>
          <cell r="I2963"/>
          <cell r="J2963"/>
          <cell r="K2963"/>
          <cell r="L2963"/>
          <cell r="M2963"/>
          <cell r="N2963"/>
        </row>
        <row r="2964">
          <cell r="H2964" t="str">
            <v/>
          </cell>
          <cell r="I2964" t="str">
            <v/>
          </cell>
          <cell r="J2964" t="str">
            <v/>
          </cell>
          <cell r="K2964" t="str">
            <v/>
          </cell>
          <cell r="L2964" t="str">
            <v/>
          </cell>
          <cell r="M2964" t="str">
            <v/>
          </cell>
          <cell r="N2964" t="str">
            <v/>
          </cell>
        </row>
        <row r="2965">
          <cell r="H2965"/>
          <cell r="I2965"/>
          <cell r="J2965"/>
          <cell r="K2965"/>
          <cell r="L2965"/>
          <cell r="M2965"/>
          <cell r="N2965"/>
        </row>
        <row r="2967">
          <cell r="H2967" t="str">
            <v/>
          </cell>
          <cell r="I2967" t="str">
            <v/>
          </cell>
          <cell r="J2967" t="str">
            <v/>
          </cell>
          <cell r="K2967" t="str">
            <v/>
          </cell>
          <cell r="L2967" t="str">
            <v/>
          </cell>
          <cell r="M2967" t="str">
            <v/>
          </cell>
          <cell r="N2967" t="str">
            <v/>
          </cell>
        </row>
        <row r="2971">
          <cell r="I2971" t="str">
            <v/>
          </cell>
          <cell r="J2971" t="str">
            <v/>
          </cell>
          <cell r="K2971" t="str">
            <v/>
          </cell>
          <cell r="L2971" t="str">
            <v/>
          </cell>
          <cell r="M2971" t="str">
            <v/>
          </cell>
          <cell r="N2971" t="str">
            <v/>
          </cell>
        </row>
        <row r="2972">
          <cell r="J2972" t="str">
            <v/>
          </cell>
          <cell r="K2972" t="str">
            <v/>
          </cell>
          <cell r="L2972" t="str">
            <v/>
          </cell>
          <cell r="M2972" t="str">
            <v/>
          </cell>
          <cell r="N2972" t="str">
            <v/>
          </cell>
        </row>
        <row r="2973">
          <cell r="J2973" t="str">
            <v/>
          </cell>
          <cell r="K2973" t="str">
            <v/>
          </cell>
          <cell r="L2973" t="str">
            <v/>
          </cell>
          <cell r="M2973" t="str">
            <v/>
          </cell>
          <cell r="N2973" t="str">
            <v/>
          </cell>
        </row>
        <row r="2974">
          <cell r="I2974" t="str">
            <v/>
          </cell>
          <cell r="J2974" t="str">
            <v/>
          </cell>
          <cell r="K2974" t="str">
            <v/>
          </cell>
          <cell r="L2974" t="str">
            <v/>
          </cell>
          <cell r="M2974" t="str">
            <v/>
          </cell>
          <cell r="N2974" t="str">
            <v/>
          </cell>
        </row>
        <row r="2977">
          <cell r="J2977" t="str">
            <v/>
          </cell>
          <cell r="K2977" t="str">
            <v/>
          </cell>
          <cell r="L2977" t="str">
            <v/>
          </cell>
          <cell r="M2977" t="str">
            <v/>
          </cell>
          <cell r="N2977" t="str">
            <v/>
          </cell>
        </row>
        <row r="2979">
          <cell r="J2979" t="str">
            <v/>
          </cell>
          <cell r="K2979" t="str">
            <v/>
          </cell>
          <cell r="L2979" t="str">
            <v/>
          </cell>
          <cell r="M2979" t="str">
            <v/>
          </cell>
          <cell r="N2979" t="str">
            <v/>
          </cell>
        </row>
        <row r="2980">
          <cell r="I2980" t="str">
            <v/>
          </cell>
          <cell r="J2980" t="str">
            <v/>
          </cell>
          <cell r="K2980" t="str">
            <v/>
          </cell>
          <cell r="L2980" t="str">
            <v/>
          </cell>
          <cell r="M2980" t="str">
            <v/>
          </cell>
          <cell r="N2980" t="str">
            <v/>
          </cell>
        </row>
        <row r="2983">
          <cell r="I2983"/>
        </row>
        <row r="2987">
          <cell r="G2987"/>
          <cell r="H2987"/>
          <cell r="I2987"/>
          <cell r="J2987"/>
          <cell r="K2987"/>
          <cell r="L2987"/>
          <cell r="M2987"/>
          <cell r="N2987"/>
        </row>
        <row r="2988">
          <cell r="G2988" t="str">
            <v>GJ / Unit</v>
          </cell>
          <cell r="H2988"/>
          <cell r="I2988"/>
          <cell r="J2988"/>
          <cell r="K2988"/>
          <cell r="L2988"/>
          <cell r="M2988"/>
          <cell r="N2988"/>
        </row>
        <row r="2989">
          <cell r="H2989" t="str">
            <v/>
          </cell>
          <cell r="I2989" t="str">
            <v/>
          </cell>
          <cell r="J2989" t="str">
            <v/>
          </cell>
          <cell r="K2989" t="str">
            <v/>
          </cell>
          <cell r="L2989" t="str">
            <v/>
          </cell>
          <cell r="M2989" t="str">
            <v/>
          </cell>
          <cell r="N2989" t="str">
            <v/>
          </cell>
        </row>
        <row r="2990">
          <cell r="H2990"/>
          <cell r="I2990"/>
          <cell r="J2990"/>
          <cell r="K2990"/>
          <cell r="L2990"/>
          <cell r="M2990"/>
          <cell r="N2990"/>
        </row>
        <row r="2992">
          <cell r="I2992"/>
        </row>
        <row r="2996">
          <cell r="G2996"/>
          <cell r="H2996"/>
          <cell r="I2996"/>
          <cell r="J2996"/>
          <cell r="K2996"/>
          <cell r="L2996"/>
          <cell r="M2996"/>
          <cell r="N2996"/>
        </row>
        <row r="2997">
          <cell r="G2997" t="str">
            <v>GJ / Unit</v>
          </cell>
          <cell r="H2997"/>
          <cell r="I2997"/>
          <cell r="J2997"/>
          <cell r="K2997"/>
          <cell r="L2997"/>
          <cell r="M2997"/>
          <cell r="N2997"/>
        </row>
        <row r="2998">
          <cell r="H2998" t="str">
            <v/>
          </cell>
          <cell r="I2998" t="str">
            <v/>
          </cell>
          <cell r="J2998" t="str">
            <v/>
          </cell>
          <cell r="K2998" t="str">
            <v/>
          </cell>
          <cell r="L2998" t="str">
            <v/>
          </cell>
          <cell r="M2998" t="str">
            <v/>
          </cell>
          <cell r="N2998" t="str">
            <v/>
          </cell>
        </row>
        <row r="2999">
          <cell r="H2999"/>
          <cell r="I2999"/>
          <cell r="J2999"/>
          <cell r="K2999"/>
          <cell r="L2999"/>
          <cell r="M2999"/>
          <cell r="N2999"/>
        </row>
        <row r="3005">
          <cell r="H3005"/>
          <cell r="I3005"/>
          <cell r="J3005"/>
          <cell r="K3005"/>
          <cell r="L3005"/>
          <cell r="M3005"/>
          <cell r="N3005"/>
        </row>
        <row r="3011">
          <cell r="E3011" t="str">
            <v/>
          </cell>
          <cell r="H3011"/>
          <cell r="I3011"/>
          <cell r="J3011"/>
          <cell r="K3011"/>
          <cell r="L3011"/>
          <cell r="M3011"/>
          <cell r="N3011"/>
        </row>
        <row r="3016">
          <cell r="L3016"/>
        </row>
        <row r="3019">
          <cell r="E3019"/>
          <cell r="G3019" t="str">
            <v>tonnes</v>
          </cell>
          <cell r="H3019"/>
          <cell r="I3019"/>
          <cell r="J3019"/>
          <cell r="K3019"/>
          <cell r="L3019"/>
          <cell r="M3019"/>
          <cell r="N3019"/>
        </row>
        <row r="3020">
          <cell r="E3020"/>
          <cell r="G3020" t="str">
            <v>tonnes</v>
          </cell>
          <cell r="H3020"/>
          <cell r="I3020"/>
          <cell r="J3020"/>
          <cell r="K3020"/>
          <cell r="L3020"/>
          <cell r="M3020"/>
          <cell r="N3020"/>
        </row>
        <row r="3023">
          <cell r="E3023"/>
          <cell r="G3023" t="str">
            <v>tonnes</v>
          </cell>
          <cell r="H3023"/>
          <cell r="I3023"/>
          <cell r="J3023"/>
          <cell r="K3023"/>
          <cell r="L3023"/>
          <cell r="M3023"/>
          <cell r="N3023"/>
        </row>
        <row r="3024">
          <cell r="E3024"/>
          <cell r="G3024" t="str">
            <v>tonnes</v>
          </cell>
          <cell r="H3024"/>
          <cell r="I3024"/>
          <cell r="J3024"/>
          <cell r="K3024"/>
          <cell r="L3024"/>
          <cell r="M3024"/>
          <cell r="N3024"/>
        </row>
        <row r="3028">
          <cell r="E3028"/>
        </row>
      </sheetData>
      <sheetData sheetId="9">
        <row r="12">
          <cell r="I12" t="str">
            <v>Heat benchmark sub-installation, CL</v>
          </cell>
          <cell r="M12" t="str">
            <v/>
          </cell>
        </row>
        <row r="20">
          <cell r="E20" t="str">
            <v>Heat benchmark sub-installation, CL</v>
          </cell>
          <cell r="G20" t="str">
            <v>TJ</v>
          </cell>
          <cell r="H20" t="str">
            <v/>
          </cell>
          <cell r="I20" t="str">
            <v/>
          </cell>
          <cell r="J20" t="str">
            <v/>
          </cell>
          <cell r="K20" t="str">
            <v/>
          </cell>
          <cell r="L20" t="str">
            <v/>
          </cell>
          <cell r="M20" t="str">
            <v/>
          </cell>
          <cell r="N20" t="str">
            <v/>
          </cell>
        </row>
        <row r="28">
          <cell r="I28" t="str">
            <v/>
          </cell>
          <cell r="J28" t="str">
            <v/>
          </cell>
          <cell r="K28" t="str">
            <v/>
          </cell>
          <cell r="L28" t="str">
            <v/>
          </cell>
          <cell r="M28" t="str">
            <v/>
          </cell>
          <cell r="N28" t="str">
            <v/>
          </cell>
        </row>
        <row r="29">
          <cell r="J29" t="str">
            <v/>
          </cell>
          <cell r="K29" t="str">
            <v/>
          </cell>
          <cell r="L29" t="str">
            <v/>
          </cell>
          <cell r="M29" t="str">
            <v/>
          </cell>
          <cell r="N29" t="str">
            <v/>
          </cell>
        </row>
        <row r="30">
          <cell r="J30" t="str">
            <v/>
          </cell>
          <cell r="K30" t="str">
            <v/>
          </cell>
          <cell r="L30" t="str">
            <v/>
          </cell>
          <cell r="M30" t="str">
            <v/>
          </cell>
          <cell r="N30" t="str">
            <v/>
          </cell>
        </row>
        <row r="31">
          <cell r="I31" t="str">
            <v/>
          </cell>
          <cell r="J31" t="str">
            <v/>
          </cell>
          <cell r="K31" t="str">
            <v/>
          </cell>
          <cell r="L31" t="str">
            <v/>
          </cell>
          <cell r="M31" t="str">
            <v/>
          </cell>
          <cell r="N31" t="str">
            <v/>
          </cell>
        </row>
        <row r="48">
          <cell r="E48"/>
          <cell r="G48"/>
          <cell r="I48"/>
          <cell r="M48"/>
        </row>
        <row r="49">
          <cell r="E49"/>
          <cell r="G49"/>
          <cell r="I49"/>
          <cell r="M49"/>
        </row>
        <row r="50">
          <cell r="E50"/>
          <cell r="G50"/>
          <cell r="I50"/>
          <cell r="M50"/>
        </row>
        <row r="51">
          <cell r="E51"/>
          <cell r="G51"/>
          <cell r="I51"/>
          <cell r="M51"/>
        </row>
        <row r="52">
          <cell r="E52"/>
          <cell r="G52"/>
          <cell r="I52"/>
          <cell r="M52"/>
        </row>
        <row r="53">
          <cell r="E53"/>
          <cell r="G53"/>
          <cell r="I53"/>
          <cell r="M53"/>
        </row>
        <row r="54">
          <cell r="E54"/>
          <cell r="G54"/>
          <cell r="I54"/>
          <cell r="M54"/>
        </row>
        <row r="55">
          <cell r="E55"/>
          <cell r="G55"/>
          <cell r="I55"/>
          <cell r="M55"/>
        </row>
        <row r="56">
          <cell r="E56"/>
          <cell r="G56"/>
          <cell r="I56"/>
          <cell r="M56"/>
        </row>
        <row r="57">
          <cell r="E57"/>
          <cell r="G57"/>
          <cell r="I57"/>
          <cell r="M57"/>
        </row>
        <row r="65">
          <cell r="E65" t="str">
            <v/>
          </cell>
          <cell r="F65"/>
          <cell r="G65"/>
          <cell r="H65"/>
          <cell r="I65"/>
          <cell r="J65"/>
          <cell r="K65"/>
          <cell r="L65"/>
          <cell r="M65"/>
          <cell r="N65"/>
        </row>
        <row r="66">
          <cell r="E66" t="str">
            <v/>
          </cell>
          <cell r="F66" t="str">
            <v/>
          </cell>
          <cell r="G66"/>
          <cell r="H66"/>
          <cell r="I66"/>
          <cell r="J66"/>
          <cell r="K66"/>
          <cell r="L66"/>
          <cell r="M66"/>
          <cell r="N66"/>
        </row>
        <row r="67">
          <cell r="E67" t="str">
            <v/>
          </cell>
          <cell r="F67" t="str">
            <v/>
          </cell>
          <cell r="G67"/>
          <cell r="H67"/>
          <cell r="I67"/>
          <cell r="J67"/>
          <cell r="K67"/>
          <cell r="L67"/>
          <cell r="M67"/>
          <cell r="N67"/>
        </row>
        <row r="68">
          <cell r="E68" t="str">
            <v/>
          </cell>
          <cell r="F68" t="str">
            <v/>
          </cell>
          <cell r="G68"/>
          <cell r="H68"/>
          <cell r="I68"/>
          <cell r="J68"/>
          <cell r="K68"/>
          <cell r="L68"/>
          <cell r="M68"/>
          <cell r="N68"/>
        </row>
        <row r="69">
          <cell r="E69" t="str">
            <v/>
          </cell>
          <cell r="F69" t="str">
            <v/>
          </cell>
          <cell r="G69"/>
          <cell r="H69"/>
          <cell r="I69"/>
          <cell r="J69"/>
          <cell r="K69"/>
          <cell r="L69"/>
          <cell r="M69"/>
          <cell r="N69"/>
        </row>
        <row r="70">
          <cell r="E70" t="str">
            <v/>
          </cell>
          <cell r="F70" t="str">
            <v/>
          </cell>
          <cell r="G70"/>
          <cell r="H70"/>
          <cell r="I70"/>
          <cell r="J70"/>
          <cell r="K70"/>
          <cell r="L70"/>
          <cell r="M70"/>
          <cell r="N70"/>
        </row>
        <row r="71">
          <cell r="E71" t="str">
            <v/>
          </cell>
          <cell r="F71" t="str">
            <v/>
          </cell>
          <cell r="G71"/>
          <cell r="H71"/>
          <cell r="I71"/>
          <cell r="J71"/>
          <cell r="K71"/>
          <cell r="L71"/>
          <cell r="M71"/>
          <cell r="N71"/>
        </row>
        <row r="72">
          <cell r="E72" t="str">
            <v/>
          </cell>
          <cell r="F72" t="str">
            <v/>
          </cell>
          <cell r="G72"/>
          <cell r="H72"/>
          <cell r="I72"/>
          <cell r="J72"/>
          <cell r="K72"/>
          <cell r="L72"/>
          <cell r="M72"/>
          <cell r="N72"/>
        </row>
        <row r="73">
          <cell r="E73" t="str">
            <v/>
          </cell>
          <cell r="F73" t="str">
            <v/>
          </cell>
          <cell r="G73"/>
          <cell r="H73"/>
          <cell r="I73"/>
          <cell r="J73"/>
          <cell r="K73"/>
          <cell r="L73"/>
          <cell r="M73"/>
          <cell r="N73"/>
        </row>
        <row r="74">
          <cell r="E74" t="str">
            <v/>
          </cell>
          <cell r="F74" t="str">
            <v/>
          </cell>
          <cell r="G74"/>
          <cell r="H74"/>
          <cell r="I74"/>
          <cell r="J74"/>
          <cell r="K74"/>
          <cell r="L74"/>
          <cell r="M74"/>
          <cell r="N74"/>
        </row>
        <row r="75">
          <cell r="F75" t="str">
            <v/>
          </cell>
          <cell r="G75" t="str">
            <v/>
          </cell>
          <cell r="H75" t="str">
            <v/>
          </cell>
          <cell r="I75" t="str">
            <v/>
          </cell>
          <cell r="J75" t="str">
            <v/>
          </cell>
          <cell r="K75" t="str">
            <v/>
          </cell>
          <cell r="L75" t="str">
            <v/>
          </cell>
          <cell r="M75" t="str">
            <v/>
          </cell>
          <cell r="N75" t="str">
            <v/>
          </cell>
        </row>
        <row r="88">
          <cell r="E88" t="str">
            <v/>
          </cell>
          <cell r="G88"/>
          <cell r="H88"/>
          <cell r="I88"/>
          <cell r="J88"/>
          <cell r="K88"/>
          <cell r="L88"/>
          <cell r="M88"/>
          <cell r="N88"/>
        </row>
        <row r="89">
          <cell r="E89" t="str">
            <v/>
          </cell>
          <cell r="G89"/>
          <cell r="H89"/>
          <cell r="I89"/>
          <cell r="J89"/>
          <cell r="K89"/>
          <cell r="L89"/>
          <cell r="M89"/>
          <cell r="N89"/>
        </row>
        <row r="90">
          <cell r="E90" t="str">
            <v/>
          </cell>
          <cell r="G90"/>
          <cell r="H90"/>
          <cell r="I90"/>
          <cell r="J90"/>
          <cell r="K90"/>
          <cell r="L90"/>
          <cell r="M90"/>
          <cell r="N90"/>
        </row>
        <row r="91">
          <cell r="E91" t="str">
            <v/>
          </cell>
          <cell r="G91"/>
          <cell r="H91"/>
          <cell r="I91"/>
          <cell r="J91"/>
          <cell r="K91"/>
          <cell r="L91"/>
          <cell r="M91"/>
          <cell r="N91"/>
        </row>
        <row r="92">
          <cell r="E92" t="str">
            <v/>
          </cell>
          <cell r="G92"/>
          <cell r="H92"/>
          <cell r="I92"/>
          <cell r="J92"/>
          <cell r="K92"/>
          <cell r="L92"/>
          <cell r="M92"/>
          <cell r="N92"/>
        </row>
        <row r="93">
          <cell r="E93" t="str">
            <v/>
          </cell>
          <cell r="G93"/>
          <cell r="H93"/>
          <cell r="I93"/>
          <cell r="J93"/>
          <cell r="K93"/>
          <cell r="L93"/>
          <cell r="M93"/>
          <cell r="N93"/>
        </row>
        <row r="94">
          <cell r="E94" t="str">
            <v/>
          </cell>
          <cell r="G94"/>
          <cell r="H94"/>
          <cell r="I94"/>
          <cell r="J94"/>
          <cell r="K94"/>
          <cell r="L94"/>
          <cell r="M94"/>
          <cell r="N94"/>
        </row>
        <row r="95">
          <cell r="E95" t="str">
            <v/>
          </cell>
          <cell r="G95"/>
          <cell r="H95"/>
          <cell r="I95"/>
          <cell r="J95"/>
          <cell r="K95"/>
          <cell r="L95"/>
          <cell r="M95"/>
          <cell r="N95"/>
        </row>
        <row r="96">
          <cell r="E96" t="str">
            <v/>
          </cell>
          <cell r="G96"/>
          <cell r="H96"/>
          <cell r="I96"/>
          <cell r="J96"/>
          <cell r="K96"/>
          <cell r="L96"/>
          <cell r="M96"/>
          <cell r="N96"/>
        </row>
        <row r="97">
          <cell r="E97" t="str">
            <v/>
          </cell>
          <cell r="G97"/>
          <cell r="H97"/>
          <cell r="I97"/>
          <cell r="J97"/>
          <cell r="K97"/>
          <cell r="L97"/>
          <cell r="M97"/>
          <cell r="N97"/>
        </row>
        <row r="98">
          <cell r="G98" t="str">
            <v/>
          </cell>
          <cell r="H98" t="str">
            <v/>
          </cell>
          <cell r="I98" t="str">
            <v/>
          </cell>
          <cell r="J98" t="str">
            <v/>
          </cell>
          <cell r="K98" t="str">
            <v/>
          </cell>
          <cell r="L98" t="str">
            <v/>
          </cell>
          <cell r="M98" t="str">
            <v/>
          </cell>
          <cell r="N98" t="str">
            <v/>
          </cell>
        </row>
        <row r="99">
          <cell r="G99" t="str">
            <v/>
          </cell>
          <cell r="H99" t="str">
            <v/>
          </cell>
          <cell r="I99" t="str">
            <v/>
          </cell>
          <cell r="J99" t="str">
            <v/>
          </cell>
          <cell r="K99" t="str">
            <v/>
          </cell>
          <cell r="L99" t="str">
            <v/>
          </cell>
          <cell r="M99" t="str">
            <v/>
          </cell>
          <cell r="N99" t="str">
            <v/>
          </cell>
        </row>
        <row r="104">
          <cell r="F104" t="str">
            <v>TJ / Unit</v>
          </cell>
          <cell r="G104" t="str">
            <v/>
          </cell>
          <cell r="H104" t="str">
            <v/>
          </cell>
          <cell r="I104" t="str">
            <v/>
          </cell>
          <cell r="J104" t="str">
            <v/>
          </cell>
          <cell r="K104" t="str">
            <v/>
          </cell>
          <cell r="L104" t="str">
            <v/>
          </cell>
          <cell r="M104" t="str">
            <v/>
          </cell>
          <cell r="N104" t="str">
            <v/>
          </cell>
        </row>
        <row r="108">
          <cell r="H108" t="str">
            <v>TJ / Unit</v>
          </cell>
          <cell r="I108" t="str">
            <v/>
          </cell>
          <cell r="J108" t="str">
            <v/>
          </cell>
          <cell r="K108" t="str">
            <v/>
          </cell>
          <cell r="L108" t="str">
            <v/>
          </cell>
          <cell r="M108" t="str">
            <v/>
          </cell>
          <cell r="N108" t="str">
            <v/>
          </cell>
        </row>
        <row r="109">
          <cell r="J109" t="str">
            <v/>
          </cell>
          <cell r="K109" t="str">
            <v/>
          </cell>
          <cell r="L109" t="str">
            <v/>
          </cell>
          <cell r="M109" t="str">
            <v/>
          </cell>
          <cell r="N109" t="str">
            <v/>
          </cell>
        </row>
        <row r="113">
          <cell r="J113" t="str">
            <v/>
          </cell>
          <cell r="K113" t="str">
            <v/>
          </cell>
          <cell r="L113" t="str">
            <v/>
          </cell>
          <cell r="M113" t="str">
            <v/>
          </cell>
          <cell r="N113" t="str">
            <v/>
          </cell>
        </row>
        <row r="117">
          <cell r="J117" t="str">
            <v/>
          </cell>
          <cell r="K117" t="str">
            <v/>
          </cell>
          <cell r="L117" t="str">
            <v/>
          </cell>
          <cell r="M117" t="str">
            <v/>
          </cell>
          <cell r="N117" t="str">
            <v/>
          </cell>
        </row>
        <row r="121">
          <cell r="J121" t="b">
            <v>0</v>
          </cell>
          <cell r="K121" t="b">
            <v>0</v>
          </cell>
          <cell r="L121" t="b">
            <v>0</v>
          </cell>
          <cell r="M121" t="b">
            <v>0</v>
          </cell>
          <cell r="N121" t="b">
            <v>0</v>
          </cell>
        </row>
        <row r="128">
          <cell r="J128" t="str">
            <v/>
          </cell>
          <cell r="K128" t="str">
            <v/>
          </cell>
          <cell r="L128" t="str">
            <v/>
          </cell>
          <cell r="M128" t="str">
            <v/>
          </cell>
          <cell r="N128" t="str">
            <v/>
          </cell>
        </row>
        <row r="129">
          <cell r="H129" t="str">
            <v>TJ</v>
          </cell>
          <cell r="I129" t="str">
            <v/>
          </cell>
          <cell r="J129" t="str">
            <v/>
          </cell>
          <cell r="K129" t="str">
            <v/>
          </cell>
          <cell r="L129" t="str">
            <v/>
          </cell>
          <cell r="M129" t="str">
            <v/>
          </cell>
          <cell r="N129" t="str">
            <v/>
          </cell>
        </row>
        <row r="135">
          <cell r="I135" t="str">
            <v>Heat benchmark sub-installation, CL</v>
          </cell>
        </row>
        <row r="152">
          <cell r="E152" t="str">
            <v>Heat benchmark sub-installation, CL</v>
          </cell>
          <cell r="H152"/>
          <cell r="I152"/>
          <cell r="J152"/>
          <cell r="K152"/>
          <cell r="L152"/>
          <cell r="M152"/>
          <cell r="N152"/>
        </row>
        <row r="162">
          <cell r="H162"/>
          <cell r="I162"/>
          <cell r="J162"/>
          <cell r="K162"/>
          <cell r="L162"/>
          <cell r="M162"/>
          <cell r="N162"/>
        </row>
        <row r="163">
          <cell r="H163"/>
          <cell r="I163"/>
          <cell r="J163"/>
          <cell r="K163"/>
          <cell r="L163"/>
          <cell r="M163"/>
          <cell r="N163"/>
        </row>
        <row r="165">
          <cell r="H165"/>
          <cell r="I165"/>
          <cell r="J165"/>
          <cell r="K165"/>
          <cell r="L165"/>
          <cell r="M165"/>
          <cell r="N165"/>
        </row>
        <row r="166">
          <cell r="H166"/>
          <cell r="I166"/>
          <cell r="J166"/>
          <cell r="K166"/>
          <cell r="L166"/>
          <cell r="M166"/>
          <cell r="N166"/>
        </row>
        <row r="172">
          <cell r="E172" t="str">
            <v>Heat benchmark sub-installation, CL</v>
          </cell>
          <cell r="H172"/>
          <cell r="I172"/>
          <cell r="J172"/>
          <cell r="K172"/>
          <cell r="L172"/>
          <cell r="M172"/>
          <cell r="N172"/>
        </row>
        <row r="186">
          <cell r="H186"/>
          <cell r="I186"/>
          <cell r="J186"/>
          <cell r="K186"/>
          <cell r="L186"/>
          <cell r="M186"/>
          <cell r="N186"/>
        </row>
        <row r="187">
          <cell r="H187"/>
          <cell r="I187"/>
          <cell r="J187"/>
          <cell r="K187"/>
          <cell r="L187"/>
          <cell r="M187"/>
          <cell r="N187"/>
        </row>
        <row r="190">
          <cell r="H190"/>
          <cell r="I190"/>
          <cell r="J190"/>
          <cell r="K190"/>
          <cell r="L190"/>
          <cell r="M190"/>
          <cell r="N190"/>
        </row>
        <row r="191">
          <cell r="H191"/>
          <cell r="I191"/>
          <cell r="J191"/>
          <cell r="K191"/>
          <cell r="L191"/>
          <cell r="M191"/>
          <cell r="N191"/>
        </row>
        <row r="194">
          <cell r="H194"/>
          <cell r="I194"/>
          <cell r="J194"/>
          <cell r="K194"/>
          <cell r="L194"/>
          <cell r="M194"/>
          <cell r="N194"/>
        </row>
        <row r="195">
          <cell r="H195"/>
          <cell r="I195"/>
          <cell r="J195"/>
          <cell r="K195"/>
          <cell r="L195"/>
          <cell r="M195"/>
          <cell r="N195"/>
        </row>
        <row r="198">
          <cell r="H198"/>
          <cell r="I198"/>
          <cell r="J198"/>
          <cell r="K198"/>
          <cell r="L198"/>
          <cell r="M198"/>
          <cell r="N198"/>
        </row>
        <row r="199">
          <cell r="H199"/>
          <cell r="I199"/>
          <cell r="J199"/>
          <cell r="K199"/>
          <cell r="L199"/>
          <cell r="M199"/>
          <cell r="N199"/>
        </row>
        <row r="202">
          <cell r="H202"/>
          <cell r="I202"/>
          <cell r="J202"/>
          <cell r="K202"/>
          <cell r="L202"/>
          <cell r="M202"/>
          <cell r="N202"/>
        </row>
        <row r="203">
          <cell r="H203"/>
          <cell r="I203"/>
          <cell r="J203"/>
          <cell r="K203"/>
          <cell r="L203"/>
          <cell r="M203"/>
          <cell r="N203"/>
        </row>
        <row r="205">
          <cell r="H205" t="str">
            <v/>
          </cell>
          <cell r="I205" t="str">
            <v/>
          </cell>
          <cell r="J205" t="str">
            <v/>
          </cell>
          <cell r="K205" t="str">
            <v/>
          </cell>
          <cell r="L205" t="str">
            <v/>
          </cell>
          <cell r="M205" t="str">
            <v/>
          </cell>
          <cell r="N205" t="str">
            <v/>
          </cell>
        </row>
        <row r="209">
          <cell r="I209" t="str">
            <v>Heat benchmark sub-installation, non-CL</v>
          </cell>
          <cell r="M209" t="str">
            <v/>
          </cell>
        </row>
        <row r="217">
          <cell r="E217" t="str">
            <v>Heat benchmark sub-installation, non-CL</v>
          </cell>
          <cell r="G217" t="str">
            <v>TJ</v>
          </cell>
          <cell r="H217" t="str">
            <v/>
          </cell>
          <cell r="I217" t="str">
            <v/>
          </cell>
          <cell r="J217" t="str">
            <v/>
          </cell>
          <cell r="K217" t="str">
            <v/>
          </cell>
          <cell r="L217" t="str">
            <v/>
          </cell>
          <cell r="M217" t="str">
            <v/>
          </cell>
          <cell r="N217" t="str">
            <v/>
          </cell>
        </row>
        <row r="225">
          <cell r="I225" t="str">
            <v/>
          </cell>
          <cell r="J225" t="str">
            <v/>
          </cell>
          <cell r="K225" t="str">
            <v/>
          </cell>
          <cell r="L225" t="str">
            <v/>
          </cell>
          <cell r="M225" t="str">
            <v/>
          </cell>
          <cell r="N225" t="str">
            <v/>
          </cell>
        </row>
        <row r="226">
          <cell r="J226" t="str">
            <v/>
          </cell>
          <cell r="K226" t="str">
            <v/>
          </cell>
          <cell r="L226" t="str">
            <v/>
          </cell>
          <cell r="M226" t="str">
            <v/>
          </cell>
          <cell r="N226" t="str">
            <v/>
          </cell>
        </row>
        <row r="227">
          <cell r="J227" t="str">
            <v/>
          </cell>
          <cell r="K227" t="str">
            <v/>
          </cell>
          <cell r="L227" t="str">
            <v/>
          </cell>
          <cell r="M227" t="str">
            <v/>
          </cell>
          <cell r="N227" t="str">
            <v/>
          </cell>
        </row>
        <row r="228">
          <cell r="I228" t="str">
            <v/>
          </cell>
          <cell r="J228" t="str">
            <v/>
          </cell>
          <cell r="K228" t="str">
            <v/>
          </cell>
          <cell r="L228" t="str">
            <v/>
          </cell>
          <cell r="M228" t="str">
            <v/>
          </cell>
          <cell r="N228" t="str">
            <v/>
          </cell>
        </row>
        <row r="245">
          <cell r="E245"/>
          <cell r="G245"/>
          <cell r="I245"/>
          <cell r="M245"/>
        </row>
        <row r="246">
          <cell r="E246"/>
          <cell r="G246"/>
          <cell r="I246"/>
          <cell r="M246"/>
        </row>
        <row r="247">
          <cell r="E247"/>
          <cell r="G247"/>
          <cell r="I247"/>
          <cell r="M247"/>
        </row>
        <row r="248">
          <cell r="E248"/>
          <cell r="G248"/>
          <cell r="I248"/>
          <cell r="M248"/>
        </row>
        <row r="249">
          <cell r="E249"/>
          <cell r="G249"/>
          <cell r="I249"/>
          <cell r="M249"/>
        </row>
        <row r="250">
          <cell r="E250"/>
          <cell r="G250"/>
          <cell r="I250"/>
          <cell r="M250"/>
        </row>
        <row r="251">
          <cell r="E251"/>
          <cell r="G251"/>
          <cell r="I251"/>
          <cell r="M251"/>
        </row>
        <row r="252">
          <cell r="E252"/>
          <cell r="G252"/>
          <cell r="I252"/>
          <cell r="M252"/>
        </row>
        <row r="253">
          <cell r="E253"/>
          <cell r="G253"/>
          <cell r="I253"/>
          <cell r="M253"/>
        </row>
        <row r="254">
          <cell r="E254"/>
          <cell r="G254"/>
          <cell r="I254"/>
          <cell r="M254"/>
        </row>
        <row r="262">
          <cell r="E262" t="str">
            <v/>
          </cell>
          <cell r="F262"/>
          <cell r="G262"/>
          <cell r="H262"/>
          <cell r="I262"/>
          <cell r="J262"/>
          <cell r="K262"/>
          <cell r="L262"/>
          <cell r="M262"/>
          <cell r="N262"/>
        </row>
        <row r="263">
          <cell r="E263" t="str">
            <v/>
          </cell>
          <cell r="F263" t="str">
            <v/>
          </cell>
          <cell r="G263"/>
          <cell r="H263"/>
          <cell r="I263"/>
          <cell r="J263"/>
          <cell r="K263"/>
          <cell r="L263"/>
          <cell r="M263"/>
          <cell r="N263"/>
        </row>
        <row r="264">
          <cell r="E264" t="str">
            <v/>
          </cell>
          <cell r="F264" t="str">
            <v/>
          </cell>
          <cell r="G264"/>
          <cell r="H264"/>
          <cell r="I264"/>
          <cell r="J264"/>
          <cell r="K264"/>
          <cell r="L264"/>
          <cell r="M264"/>
          <cell r="N264"/>
        </row>
        <row r="265">
          <cell r="E265" t="str">
            <v/>
          </cell>
          <cell r="F265" t="str">
            <v/>
          </cell>
          <cell r="G265"/>
          <cell r="H265"/>
          <cell r="I265"/>
          <cell r="J265"/>
          <cell r="K265"/>
          <cell r="L265"/>
          <cell r="M265"/>
          <cell r="N265"/>
        </row>
        <row r="266">
          <cell r="E266" t="str">
            <v/>
          </cell>
          <cell r="F266" t="str">
            <v/>
          </cell>
          <cell r="G266"/>
          <cell r="H266"/>
          <cell r="I266"/>
          <cell r="J266"/>
          <cell r="K266"/>
          <cell r="L266"/>
          <cell r="M266"/>
          <cell r="N266"/>
        </row>
        <row r="267">
          <cell r="E267" t="str">
            <v/>
          </cell>
          <cell r="F267" t="str">
            <v/>
          </cell>
          <cell r="G267"/>
          <cell r="H267"/>
          <cell r="I267"/>
          <cell r="J267"/>
          <cell r="K267"/>
          <cell r="L267"/>
          <cell r="M267"/>
          <cell r="N267"/>
        </row>
        <row r="268">
          <cell r="E268" t="str">
            <v/>
          </cell>
          <cell r="F268" t="str">
            <v/>
          </cell>
          <cell r="G268"/>
          <cell r="H268"/>
          <cell r="I268"/>
          <cell r="J268"/>
          <cell r="K268"/>
          <cell r="L268"/>
          <cell r="M268"/>
          <cell r="N268"/>
        </row>
        <row r="269">
          <cell r="E269" t="str">
            <v/>
          </cell>
          <cell r="F269" t="str">
            <v/>
          </cell>
          <cell r="G269"/>
          <cell r="H269"/>
          <cell r="I269"/>
          <cell r="J269"/>
          <cell r="K269"/>
          <cell r="L269"/>
          <cell r="M269"/>
          <cell r="N269"/>
        </row>
        <row r="270">
          <cell r="E270" t="str">
            <v/>
          </cell>
          <cell r="F270" t="str">
            <v/>
          </cell>
          <cell r="G270"/>
          <cell r="H270"/>
          <cell r="I270"/>
          <cell r="J270"/>
          <cell r="K270"/>
          <cell r="L270"/>
          <cell r="M270"/>
          <cell r="N270"/>
        </row>
        <row r="271">
          <cell r="E271" t="str">
            <v/>
          </cell>
          <cell r="F271" t="str">
            <v/>
          </cell>
          <cell r="G271"/>
          <cell r="H271"/>
          <cell r="I271"/>
          <cell r="J271"/>
          <cell r="K271"/>
          <cell r="L271"/>
          <cell r="M271"/>
          <cell r="N271"/>
        </row>
        <row r="272">
          <cell r="F272" t="str">
            <v/>
          </cell>
          <cell r="G272" t="str">
            <v/>
          </cell>
          <cell r="H272" t="str">
            <v/>
          </cell>
          <cell r="I272" t="str">
            <v/>
          </cell>
          <cell r="J272" t="str">
            <v/>
          </cell>
          <cell r="K272" t="str">
            <v/>
          </cell>
          <cell r="L272" t="str">
            <v/>
          </cell>
          <cell r="M272" t="str">
            <v/>
          </cell>
          <cell r="N272" t="str">
            <v/>
          </cell>
        </row>
        <row r="285">
          <cell r="E285" t="str">
            <v/>
          </cell>
          <cell r="G285"/>
          <cell r="H285"/>
          <cell r="I285"/>
          <cell r="J285"/>
          <cell r="K285"/>
          <cell r="L285"/>
          <cell r="M285"/>
          <cell r="N285"/>
        </row>
        <row r="286">
          <cell r="E286" t="str">
            <v/>
          </cell>
          <cell r="G286"/>
          <cell r="H286"/>
          <cell r="I286"/>
          <cell r="J286"/>
          <cell r="K286"/>
          <cell r="L286"/>
          <cell r="M286"/>
          <cell r="N286"/>
        </row>
        <row r="287">
          <cell r="E287" t="str">
            <v/>
          </cell>
          <cell r="G287"/>
          <cell r="H287"/>
          <cell r="I287"/>
          <cell r="J287"/>
          <cell r="K287"/>
          <cell r="L287"/>
          <cell r="M287"/>
          <cell r="N287"/>
        </row>
        <row r="288">
          <cell r="E288" t="str">
            <v/>
          </cell>
          <cell r="G288"/>
          <cell r="H288"/>
          <cell r="I288"/>
          <cell r="J288"/>
          <cell r="K288"/>
          <cell r="L288"/>
          <cell r="M288"/>
          <cell r="N288"/>
        </row>
        <row r="289">
          <cell r="E289" t="str">
            <v/>
          </cell>
          <cell r="G289"/>
          <cell r="H289"/>
          <cell r="I289"/>
          <cell r="J289"/>
          <cell r="K289"/>
          <cell r="L289"/>
          <cell r="M289"/>
          <cell r="N289"/>
        </row>
        <row r="290">
          <cell r="E290" t="str">
            <v/>
          </cell>
          <cell r="G290"/>
          <cell r="H290"/>
          <cell r="I290"/>
          <cell r="J290"/>
          <cell r="K290"/>
          <cell r="L290"/>
          <cell r="M290"/>
          <cell r="N290"/>
        </row>
        <row r="291">
          <cell r="E291" t="str">
            <v/>
          </cell>
          <cell r="G291"/>
          <cell r="H291"/>
          <cell r="I291"/>
          <cell r="J291"/>
          <cell r="K291"/>
          <cell r="L291"/>
          <cell r="M291"/>
          <cell r="N291"/>
        </row>
        <row r="292">
          <cell r="E292" t="str">
            <v/>
          </cell>
          <cell r="G292"/>
          <cell r="H292"/>
          <cell r="I292"/>
          <cell r="J292"/>
          <cell r="K292"/>
          <cell r="L292"/>
          <cell r="M292"/>
          <cell r="N292"/>
        </row>
        <row r="293">
          <cell r="E293" t="str">
            <v/>
          </cell>
          <cell r="G293"/>
          <cell r="H293"/>
          <cell r="I293"/>
          <cell r="J293"/>
          <cell r="K293"/>
          <cell r="L293"/>
          <cell r="M293"/>
          <cell r="N293"/>
        </row>
        <row r="294">
          <cell r="E294" t="str">
            <v/>
          </cell>
          <cell r="G294"/>
          <cell r="H294"/>
          <cell r="I294"/>
          <cell r="J294"/>
          <cell r="K294"/>
          <cell r="L294"/>
          <cell r="M294"/>
          <cell r="N294"/>
        </row>
        <row r="295">
          <cell r="G295" t="str">
            <v/>
          </cell>
          <cell r="H295" t="str">
            <v/>
          </cell>
          <cell r="I295" t="str">
            <v/>
          </cell>
          <cell r="J295" t="str">
            <v/>
          </cell>
          <cell r="K295" t="str">
            <v/>
          </cell>
          <cell r="L295" t="str">
            <v/>
          </cell>
          <cell r="M295" t="str">
            <v/>
          </cell>
          <cell r="N295" t="str">
            <v/>
          </cell>
        </row>
        <row r="296">
          <cell r="G296" t="str">
            <v/>
          </cell>
          <cell r="H296" t="str">
            <v/>
          </cell>
          <cell r="I296" t="str">
            <v/>
          </cell>
          <cell r="J296" t="str">
            <v/>
          </cell>
          <cell r="K296" t="str">
            <v/>
          </cell>
          <cell r="L296" t="str">
            <v/>
          </cell>
          <cell r="M296" t="str">
            <v/>
          </cell>
          <cell r="N296" t="str">
            <v/>
          </cell>
        </row>
        <row r="301">
          <cell r="F301" t="str">
            <v>TJ / Unit</v>
          </cell>
          <cell r="G301" t="str">
            <v/>
          </cell>
          <cell r="H301" t="str">
            <v/>
          </cell>
          <cell r="I301" t="str">
            <v/>
          </cell>
          <cell r="J301" t="str">
            <v/>
          </cell>
          <cell r="K301" t="str">
            <v/>
          </cell>
          <cell r="L301" t="str">
            <v/>
          </cell>
          <cell r="M301" t="str">
            <v/>
          </cell>
          <cell r="N301" t="str">
            <v/>
          </cell>
        </row>
        <row r="305">
          <cell r="H305" t="str">
            <v>TJ / Unit</v>
          </cell>
          <cell r="I305" t="str">
            <v/>
          </cell>
          <cell r="J305" t="str">
            <v/>
          </cell>
          <cell r="K305" t="str">
            <v/>
          </cell>
          <cell r="L305" t="str">
            <v/>
          </cell>
          <cell r="M305" t="str">
            <v/>
          </cell>
          <cell r="N305" t="str">
            <v/>
          </cell>
        </row>
        <row r="306">
          <cell r="J306" t="str">
            <v/>
          </cell>
          <cell r="K306" t="str">
            <v/>
          </cell>
          <cell r="L306" t="str">
            <v/>
          </cell>
          <cell r="M306" t="str">
            <v/>
          </cell>
          <cell r="N306" t="str">
            <v/>
          </cell>
        </row>
        <row r="310">
          <cell r="J310" t="str">
            <v/>
          </cell>
          <cell r="K310" t="str">
            <v/>
          </cell>
          <cell r="L310" t="str">
            <v/>
          </cell>
          <cell r="M310" t="str">
            <v/>
          </cell>
          <cell r="N310" t="str">
            <v/>
          </cell>
        </row>
        <row r="314">
          <cell r="J314" t="str">
            <v/>
          </cell>
          <cell r="K314" t="str">
            <v/>
          </cell>
          <cell r="L314" t="str">
            <v/>
          </cell>
          <cell r="M314" t="str">
            <v/>
          </cell>
          <cell r="N314" t="str">
            <v/>
          </cell>
        </row>
        <row r="318">
          <cell r="J318" t="b">
            <v>0</v>
          </cell>
          <cell r="K318" t="b">
            <v>0</v>
          </cell>
          <cell r="L318" t="b">
            <v>0</v>
          </cell>
          <cell r="M318" t="b">
            <v>0</v>
          </cell>
          <cell r="N318" t="b">
            <v>0</v>
          </cell>
        </row>
        <row r="325">
          <cell r="J325" t="str">
            <v/>
          </cell>
          <cell r="K325" t="str">
            <v/>
          </cell>
          <cell r="L325" t="str">
            <v/>
          </cell>
          <cell r="M325" t="str">
            <v/>
          </cell>
          <cell r="N325" t="str">
            <v/>
          </cell>
        </row>
        <row r="326">
          <cell r="H326" t="str">
            <v>TJ</v>
          </cell>
          <cell r="I326" t="str">
            <v/>
          </cell>
          <cell r="J326" t="str">
            <v/>
          </cell>
          <cell r="K326" t="str">
            <v/>
          </cell>
          <cell r="L326" t="str">
            <v/>
          </cell>
          <cell r="M326" t="str">
            <v/>
          </cell>
          <cell r="N326" t="str">
            <v/>
          </cell>
        </row>
        <row r="332">
          <cell r="I332" t="str">
            <v>Heat benchmark sub-installation, non-CL</v>
          </cell>
        </row>
        <row r="349">
          <cell r="E349" t="str">
            <v>Heat benchmark sub-installation, non-CL</v>
          </cell>
          <cell r="H349"/>
          <cell r="I349"/>
          <cell r="J349"/>
          <cell r="K349"/>
          <cell r="L349"/>
          <cell r="M349"/>
          <cell r="N349"/>
        </row>
        <row r="359">
          <cell r="H359"/>
          <cell r="I359"/>
          <cell r="J359"/>
          <cell r="K359"/>
          <cell r="L359"/>
          <cell r="M359"/>
          <cell r="N359"/>
        </row>
        <row r="360">
          <cell r="H360"/>
          <cell r="I360"/>
          <cell r="J360"/>
          <cell r="K360"/>
          <cell r="L360"/>
          <cell r="M360"/>
          <cell r="N360"/>
        </row>
        <row r="362">
          <cell r="H362"/>
          <cell r="I362"/>
          <cell r="J362"/>
          <cell r="K362"/>
          <cell r="L362"/>
          <cell r="M362"/>
          <cell r="N362"/>
        </row>
        <row r="363">
          <cell r="H363"/>
          <cell r="I363"/>
          <cell r="J363"/>
          <cell r="K363"/>
          <cell r="L363"/>
          <cell r="M363"/>
          <cell r="N363"/>
        </row>
        <row r="369">
          <cell r="E369" t="str">
            <v>Heat benchmark sub-installation, non-CL</v>
          </cell>
          <cell r="H369"/>
          <cell r="I369"/>
          <cell r="J369"/>
          <cell r="K369"/>
          <cell r="L369"/>
          <cell r="M369"/>
          <cell r="N369"/>
        </row>
        <row r="383">
          <cell r="H383"/>
          <cell r="I383"/>
          <cell r="J383"/>
          <cell r="K383"/>
          <cell r="L383"/>
          <cell r="M383"/>
          <cell r="N383"/>
        </row>
        <row r="384">
          <cell r="H384"/>
          <cell r="I384"/>
          <cell r="J384"/>
          <cell r="K384"/>
          <cell r="L384"/>
          <cell r="M384"/>
          <cell r="N384"/>
        </row>
        <row r="387">
          <cell r="H387"/>
          <cell r="I387"/>
          <cell r="J387"/>
          <cell r="K387"/>
          <cell r="L387"/>
          <cell r="M387"/>
          <cell r="N387"/>
        </row>
        <row r="388">
          <cell r="H388"/>
          <cell r="I388"/>
          <cell r="J388"/>
          <cell r="K388"/>
          <cell r="L388"/>
          <cell r="M388"/>
          <cell r="N388"/>
        </row>
        <row r="391">
          <cell r="H391"/>
          <cell r="I391"/>
          <cell r="J391"/>
          <cell r="K391"/>
          <cell r="L391"/>
          <cell r="M391"/>
          <cell r="N391"/>
        </row>
        <row r="392">
          <cell r="H392"/>
          <cell r="I392"/>
          <cell r="J392"/>
          <cell r="K392"/>
          <cell r="L392"/>
          <cell r="M392"/>
          <cell r="N392"/>
        </row>
        <row r="395">
          <cell r="H395"/>
          <cell r="I395"/>
          <cell r="J395"/>
          <cell r="K395"/>
          <cell r="L395"/>
          <cell r="M395"/>
          <cell r="N395"/>
        </row>
        <row r="396">
          <cell r="H396"/>
          <cell r="I396"/>
          <cell r="J396"/>
          <cell r="K396"/>
          <cell r="L396"/>
          <cell r="M396"/>
          <cell r="N396"/>
        </row>
        <row r="399">
          <cell r="H399"/>
          <cell r="I399"/>
          <cell r="J399"/>
          <cell r="K399"/>
          <cell r="L399"/>
          <cell r="M399"/>
          <cell r="N399"/>
        </row>
        <row r="400">
          <cell r="H400"/>
          <cell r="I400"/>
          <cell r="J400"/>
          <cell r="K400"/>
          <cell r="L400"/>
          <cell r="M400"/>
          <cell r="N400"/>
        </row>
        <row r="402">
          <cell r="H402" t="str">
            <v/>
          </cell>
          <cell r="I402" t="str">
            <v/>
          </cell>
          <cell r="J402" t="str">
            <v/>
          </cell>
          <cell r="K402" t="str">
            <v/>
          </cell>
          <cell r="L402" t="str">
            <v/>
          </cell>
          <cell r="M402" t="str">
            <v/>
          </cell>
          <cell r="N402" t="str">
            <v/>
          </cell>
        </row>
        <row r="406">
          <cell r="I406" t="str">
            <v>District heating sub-installation</v>
          </cell>
          <cell r="M406" t="str">
            <v/>
          </cell>
        </row>
        <row r="414">
          <cell r="E414" t="str">
            <v>District heating sub-installation</v>
          </cell>
          <cell r="G414" t="str">
            <v>TJ</v>
          </cell>
          <cell r="H414" t="str">
            <v/>
          </cell>
          <cell r="I414" t="str">
            <v/>
          </cell>
          <cell r="J414" t="str">
            <v/>
          </cell>
          <cell r="K414" t="str">
            <v/>
          </cell>
          <cell r="L414" t="str">
            <v/>
          </cell>
          <cell r="M414" t="str">
            <v/>
          </cell>
          <cell r="N414" t="str">
            <v/>
          </cell>
        </row>
        <row r="422">
          <cell r="I422" t="str">
            <v/>
          </cell>
          <cell r="J422" t="str">
            <v/>
          </cell>
          <cell r="K422" t="str">
            <v/>
          </cell>
          <cell r="L422" t="str">
            <v/>
          </cell>
          <cell r="M422" t="str">
            <v/>
          </cell>
          <cell r="N422" t="str">
            <v/>
          </cell>
        </row>
        <row r="423">
          <cell r="J423" t="str">
            <v/>
          </cell>
          <cell r="K423" t="str">
            <v/>
          </cell>
          <cell r="L423" t="str">
            <v/>
          </cell>
          <cell r="M423" t="str">
            <v/>
          </cell>
          <cell r="N423" t="str">
            <v/>
          </cell>
        </row>
        <row r="424">
          <cell r="J424" t="str">
            <v/>
          </cell>
          <cell r="K424" t="str">
            <v/>
          </cell>
          <cell r="L424" t="str">
            <v/>
          </cell>
          <cell r="M424" t="str">
            <v/>
          </cell>
          <cell r="N424" t="str">
            <v/>
          </cell>
        </row>
        <row r="425">
          <cell r="I425" t="str">
            <v/>
          </cell>
          <cell r="J425" t="str">
            <v/>
          </cell>
          <cell r="K425" t="str">
            <v/>
          </cell>
          <cell r="L425" t="str">
            <v/>
          </cell>
          <cell r="M425" t="str">
            <v/>
          </cell>
          <cell r="N425" t="str">
            <v/>
          </cell>
        </row>
        <row r="428">
          <cell r="J428" t="str">
            <v/>
          </cell>
          <cell r="K428" t="str">
            <v/>
          </cell>
          <cell r="L428" t="str">
            <v/>
          </cell>
          <cell r="M428" t="str">
            <v/>
          </cell>
          <cell r="N428" t="str">
            <v/>
          </cell>
        </row>
        <row r="430">
          <cell r="J430" t="str">
            <v/>
          </cell>
          <cell r="K430" t="str">
            <v/>
          </cell>
          <cell r="L430" t="str">
            <v/>
          </cell>
          <cell r="M430" t="str">
            <v/>
          </cell>
          <cell r="N430" t="str">
            <v/>
          </cell>
        </row>
        <row r="431">
          <cell r="H431" t="str">
            <v>TJ</v>
          </cell>
          <cell r="I431" t="str">
            <v/>
          </cell>
          <cell r="J431" t="str">
            <v/>
          </cell>
          <cell r="K431" t="str">
            <v/>
          </cell>
          <cell r="L431" t="str">
            <v/>
          </cell>
          <cell r="M431" t="str">
            <v/>
          </cell>
          <cell r="N431" t="str">
            <v/>
          </cell>
        </row>
        <row r="440">
          <cell r="G440"/>
        </row>
        <row r="441">
          <cell r="G441"/>
        </row>
        <row r="442">
          <cell r="G442"/>
        </row>
        <row r="443">
          <cell r="G443"/>
        </row>
        <row r="444">
          <cell r="G444"/>
        </row>
        <row r="445">
          <cell r="G445"/>
        </row>
        <row r="446">
          <cell r="G446"/>
        </row>
        <row r="447">
          <cell r="G447"/>
        </row>
        <row r="448">
          <cell r="G448"/>
        </row>
        <row r="449">
          <cell r="G449"/>
        </row>
        <row r="455">
          <cell r="I455" t="str">
            <v>District heating sub-installation</v>
          </cell>
        </row>
        <row r="472">
          <cell r="E472" t="str">
            <v>District heating sub-installation</v>
          </cell>
          <cell r="H472"/>
          <cell r="I472"/>
          <cell r="J472"/>
          <cell r="K472"/>
          <cell r="L472"/>
          <cell r="M472"/>
          <cell r="N472"/>
        </row>
        <row r="482">
          <cell r="H482"/>
          <cell r="I482"/>
          <cell r="J482"/>
          <cell r="K482"/>
          <cell r="L482"/>
          <cell r="M482"/>
          <cell r="N482"/>
        </row>
        <row r="483">
          <cell r="H483"/>
          <cell r="I483"/>
          <cell r="J483"/>
          <cell r="K483"/>
          <cell r="L483"/>
          <cell r="M483"/>
          <cell r="N483"/>
        </row>
        <row r="485">
          <cell r="H485"/>
          <cell r="I485"/>
          <cell r="J485"/>
          <cell r="K485"/>
          <cell r="L485"/>
          <cell r="M485"/>
          <cell r="N485"/>
        </row>
        <row r="486">
          <cell r="H486"/>
          <cell r="I486"/>
          <cell r="J486"/>
          <cell r="K486"/>
          <cell r="L486"/>
          <cell r="M486"/>
          <cell r="N486"/>
        </row>
        <row r="492">
          <cell r="E492" t="str">
            <v>District heating sub-installation</v>
          </cell>
          <cell r="H492"/>
          <cell r="I492"/>
          <cell r="J492"/>
          <cell r="K492"/>
          <cell r="L492"/>
          <cell r="M492"/>
          <cell r="N492"/>
        </row>
        <row r="506">
          <cell r="H506"/>
          <cell r="I506"/>
          <cell r="J506"/>
          <cell r="K506"/>
          <cell r="L506"/>
          <cell r="M506"/>
          <cell r="N506"/>
        </row>
        <row r="507">
          <cell r="H507"/>
          <cell r="I507"/>
          <cell r="J507"/>
          <cell r="K507"/>
          <cell r="L507"/>
          <cell r="M507"/>
          <cell r="N507"/>
        </row>
        <row r="510">
          <cell r="H510"/>
          <cell r="I510"/>
          <cell r="J510"/>
          <cell r="K510"/>
          <cell r="L510"/>
          <cell r="M510"/>
          <cell r="N510"/>
        </row>
        <row r="511">
          <cell r="H511"/>
          <cell r="I511"/>
          <cell r="J511"/>
          <cell r="K511"/>
          <cell r="L511"/>
          <cell r="M511"/>
          <cell r="N511"/>
        </row>
        <row r="514">
          <cell r="H514"/>
          <cell r="I514"/>
          <cell r="J514"/>
          <cell r="K514"/>
          <cell r="L514"/>
          <cell r="M514"/>
          <cell r="N514"/>
        </row>
        <row r="515">
          <cell r="H515"/>
          <cell r="I515"/>
          <cell r="J515"/>
          <cell r="K515"/>
          <cell r="L515"/>
          <cell r="M515"/>
          <cell r="N515"/>
        </row>
        <row r="518">
          <cell r="H518"/>
          <cell r="I518"/>
          <cell r="J518"/>
          <cell r="K518"/>
          <cell r="L518"/>
          <cell r="M518"/>
          <cell r="N518"/>
        </row>
        <row r="519">
          <cell r="H519"/>
          <cell r="I519"/>
          <cell r="J519"/>
          <cell r="K519"/>
          <cell r="L519"/>
          <cell r="M519"/>
          <cell r="N519"/>
        </row>
        <row r="522">
          <cell r="H522"/>
          <cell r="I522"/>
          <cell r="J522"/>
          <cell r="K522"/>
          <cell r="L522"/>
          <cell r="M522"/>
          <cell r="N522"/>
        </row>
        <row r="523">
          <cell r="H523"/>
          <cell r="I523"/>
          <cell r="J523"/>
          <cell r="K523"/>
          <cell r="L523"/>
          <cell r="M523"/>
          <cell r="N523"/>
        </row>
        <row r="525">
          <cell r="H525" t="str">
            <v/>
          </cell>
          <cell r="I525" t="str">
            <v/>
          </cell>
          <cell r="J525" t="str">
            <v/>
          </cell>
          <cell r="K525" t="str">
            <v/>
          </cell>
          <cell r="L525" t="str">
            <v/>
          </cell>
          <cell r="M525" t="str">
            <v/>
          </cell>
          <cell r="N525" t="str">
            <v/>
          </cell>
        </row>
        <row r="529">
          <cell r="I529" t="str">
            <v>Fuel benchmark sub-installation, CL</v>
          </cell>
          <cell r="M529" t="str">
            <v/>
          </cell>
        </row>
        <row r="537">
          <cell r="E537" t="str">
            <v>Fuel benchmark sub-installation, CL</v>
          </cell>
          <cell r="G537" t="str">
            <v>TJ</v>
          </cell>
          <cell r="H537" t="str">
            <v/>
          </cell>
          <cell r="I537" t="str">
            <v/>
          </cell>
          <cell r="J537" t="str">
            <v/>
          </cell>
          <cell r="K537" t="str">
            <v/>
          </cell>
          <cell r="L537" t="str">
            <v/>
          </cell>
          <cell r="M537" t="str">
            <v/>
          </cell>
          <cell r="N537" t="str">
            <v/>
          </cell>
        </row>
        <row r="545">
          <cell r="I545" t="str">
            <v/>
          </cell>
          <cell r="J545" t="str">
            <v/>
          </cell>
          <cell r="K545" t="str">
            <v/>
          </cell>
          <cell r="L545" t="str">
            <v/>
          </cell>
          <cell r="M545" t="str">
            <v/>
          </cell>
          <cell r="N545" t="str">
            <v/>
          </cell>
        </row>
        <row r="546">
          <cell r="J546" t="str">
            <v/>
          </cell>
          <cell r="K546" t="str">
            <v/>
          </cell>
          <cell r="L546" t="str">
            <v/>
          </cell>
          <cell r="M546" t="str">
            <v/>
          </cell>
          <cell r="N546" t="str">
            <v/>
          </cell>
        </row>
        <row r="547">
          <cell r="J547" t="str">
            <v/>
          </cell>
          <cell r="K547" t="str">
            <v/>
          </cell>
          <cell r="L547" t="str">
            <v/>
          </cell>
          <cell r="M547" t="str">
            <v/>
          </cell>
          <cell r="N547" t="str">
            <v/>
          </cell>
        </row>
        <row r="548">
          <cell r="I548" t="str">
            <v/>
          </cell>
          <cell r="J548" t="str">
            <v/>
          </cell>
          <cell r="K548" t="str">
            <v/>
          </cell>
          <cell r="L548" t="str">
            <v/>
          </cell>
          <cell r="M548" t="str">
            <v/>
          </cell>
          <cell r="N548" t="str">
            <v/>
          </cell>
        </row>
        <row r="563">
          <cell r="E563"/>
          <cell r="G563"/>
          <cell r="M563"/>
        </row>
        <row r="564">
          <cell r="E564"/>
          <cell r="G564"/>
          <cell r="M564"/>
        </row>
        <row r="565">
          <cell r="E565"/>
          <cell r="G565"/>
          <cell r="M565"/>
        </row>
        <row r="566">
          <cell r="E566"/>
          <cell r="G566"/>
          <cell r="M566"/>
        </row>
        <row r="567">
          <cell r="E567"/>
          <cell r="G567"/>
          <cell r="M567"/>
        </row>
        <row r="568">
          <cell r="E568"/>
          <cell r="G568"/>
          <cell r="M568"/>
        </row>
        <row r="569">
          <cell r="E569"/>
          <cell r="G569"/>
          <cell r="M569"/>
        </row>
        <row r="570">
          <cell r="E570"/>
          <cell r="G570"/>
          <cell r="M570"/>
        </row>
        <row r="571">
          <cell r="E571"/>
          <cell r="G571"/>
          <cell r="M571"/>
        </row>
        <row r="572">
          <cell r="E572"/>
          <cell r="G572"/>
          <cell r="M572"/>
        </row>
        <row r="580">
          <cell r="E580" t="str">
            <v/>
          </cell>
          <cell r="F580"/>
          <cell r="G580"/>
          <cell r="H580"/>
          <cell r="I580"/>
          <cell r="J580"/>
          <cell r="K580"/>
          <cell r="L580"/>
          <cell r="M580"/>
          <cell r="N580"/>
        </row>
        <row r="581">
          <cell r="E581" t="str">
            <v/>
          </cell>
          <cell r="F581" t="str">
            <v/>
          </cell>
          <cell r="G581"/>
          <cell r="H581"/>
          <cell r="I581"/>
          <cell r="J581"/>
          <cell r="K581"/>
          <cell r="L581"/>
          <cell r="M581"/>
          <cell r="N581"/>
        </row>
        <row r="582">
          <cell r="E582" t="str">
            <v/>
          </cell>
          <cell r="F582" t="str">
            <v/>
          </cell>
          <cell r="G582"/>
          <cell r="H582"/>
          <cell r="I582"/>
          <cell r="J582"/>
          <cell r="K582"/>
          <cell r="L582"/>
          <cell r="M582"/>
          <cell r="N582"/>
        </row>
        <row r="583">
          <cell r="E583" t="str">
            <v/>
          </cell>
          <cell r="F583" t="str">
            <v/>
          </cell>
          <cell r="G583"/>
          <cell r="H583"/>
          <cell r="I583"/>
          <cell r="J583"/>
          <cell r="K583"/>
          <cell r="L583"/>
          <cell r="M583"/>
          <cell r="N583"/>
        </row>
        <row r="584">
          <cell r="E584" t="str">
            <v/>
          </cell>
          <cell r="F584" t="str">
            <v/>
          </cell>
          <cell r="G584"/>
          <cell r="H584"/>
          <cell r="I584"/>
          <cell r="J584"/>
          <cell r="K584"/>
          <cell r="L584"/>
          <cell r="M584"/>
          <cell r="N584"/>
        </row>
        <row r="585">
          <cell r="E585" t="str">
            <v/>
          </cell>
          <cell r="F585" t="str">
            <v/>
          </cell>
          <cell r="G585"/>
          <cell r="H585"/>
          <cell r="I585"/>
          <cell r="J585"/>
          <cell r="K585"/>
          <cell r="L585"/>
          <cell r="M585"/>
          <cell r="N585"/>
        </row>
        <row r="586">
          <cell r="E586" t="str">
            <v/>
          </cell>
          <cell r="F586" t="str">
            <v/>
          </cell>
          <cell r="G586"/>
          <cell r="H586"/>
          <cell r="I586"/>
          <cell r="J586"/>
          <cell r="K586"/>
          <cell r="L586"/>
          <cell r="M586"/>
          <cell r="N586"/>
        </row>
        <row r="587">
          <cell r="E587" t="str">
            <v/>
          </cell>
          <cell r="F587" t="str">
            <v/>
          </cell>
          <cell r="G587"/>
          <cell r="H587"/>
          <cell r="I587"/>
          <cell r="J587"/>
          <cell r="K587"/>
          <cell r="L587"/>
          <cell r="M587"/>
          <cell r="N587"/>
        </row>
        <row r="588">
          <cell r="E588" t="str">
            <v/>
          </cell>
          <cell r="F588" t="str">
            <v/>
          </cell>
          <cell r="G588"/>
          <cell r="H588"/>
          <cell r="I588"/>
          <cell r="J588"/>
          <cell r="K588"/>
          <cell r="L588"/>
          <cell r="M588"/>
          <cell r="N588"/>
        </row>
        <row r="589">
          <cell r="E589" t="str">
            <v/>
          </cell>
          <cell r="F589" t="str">
            <v/>
          </cell>
          <cell r="G589"/>
          <cell r="H589"/>
          <cell r="I589"/>
          <cell r="J589"/>
          <cell r="K589"/>
          <cell r="L589"/>
          <cell r="M589"/>
          <cell r="N589"/>
        </row>
        <row r="590">
          <cell r="F590" t="str">
            <v/>
          </cell>
          <cell r="G590" t="str">
            <v/>
          </cell>
          <cell r="H590" t="str">
            <v/>
          </cell>
          <cell r="I590" t="str">
            <v/>
          </cell>
          <cell r="J590" t="str">
            <v/>
          </cell>
          <cell r="K590" t="str">
            <v/>
          </cell>
          <cell r="L590" t="str">
            <v/>
          </cell>
          <cell r="M590" t="str">
            <v/>
          </cell>
          <cell r="N590" t="str">
            <v/>
          </cell>
        </row>
        <row r="603">
          <cell r="E603" t="str">
            <v/>
          </cell>
          <cell r="G603"/>
          <cell r="H603"/>
          <cell r="I603"/>
          <cell r="J603"/>
          <cell r="K603"/>
          <cell r="L603"/>
          <cell r="M603"/>
          <cell r="N603"/>
        </row>
        <row r="604">
          <cell r="E604" t="str">
            <v/>
          </cell>
          <cell r="G604"/>
          <cell r="H604"/>
          <cell r="I604"/>
          <cell r="J604"/>
          <cell r="K604"/>
          <cell r="L604"/>
          <cell r="M604"/>
          <cell r="N604"/>
        </row>
        <row r="605">
          <cell r="E605" t="str">
            <v/>
          </cell>
          <cell r="G605"/>
          <cell r="H605"/>
          <cell r="I605"/>
          <cell r="J605"/>
          <cell r="K605"/>
          <cell r="L605"/>
          <cell r="M605"/>
          <cell r="N605"/>
        </row>
        <row r="606">
          <cell r="E606" t="str">
            <v/>
          </cell>
          <cell r="G606"/>
          <cell r="H606"/>
          <cell r="I606"/>
          <cell r="J606"/>
          <cell r="K606"/>
          <cell r="L606"/>
          <cell r="M606"/>
          <cell r="N606"/>
        </row>
        <row r="607">
          <cell r="E607" t="str">
            <v/>
          </cell>
          <cell r="G607"/>
          <cell r="H607"/>
          <cell r="I607"/>
          <cell r="J607"/>
          <cell r="K607"/>
          <cell r="L607"/>
          <cell r="M607"/>
          <cell r="N607"/>
        </row>
        <row r="608">
          <cell r="E608" t="str">
            <v/>
          </cell>
          <cell r="G608"/>
          <cell r="H608"/>
          <cell r="I608"/>
          <cell r="J608"/>
          <cell r="K608"/>
          <cell r="L608"/>
          <cell r="M608"/>
          <cell r="N608"/>
        </row>
        <row r="609">
          <cell r="E609" t="str">
            <v/>
          </cell>
          <cell r="G609"/>
          <cell r="H609"/>
          <cell r="I609"/>
          <cell r="J609"/>
          <cell r="K609"/>
          <cell r="L609"/>
          <cell r="M609"/>
          <cell r="N609"/>
        </row>
        <row r="610">
          <cell r="E610" t="str">
            <v/>
          </cell>
          <cell r="G610"/>
          <cell r="H610"/>
          <cell r="I610"/>
          <cell r="J610"/>
          <cell r="K610"/>
          <cell r="L610"/>
          <cell r="M610"/>
          <cell r="N610"/>
        </row>
        <row r="611">
          <cell r="E611" t="str">
            <v/>
          </cell>
          <cell r="G611"/>
          <cell r="H611"/>
          <cell r="I611"/>
          <cell r="J611"/>
          <cell r="K611"/>
          <cell r="L611"/>
          <cell r="M611"/>
          <cell r="N611"/>
        </row>
        <row r="612">
          <cell r="E612" t="str">
            <v/>
          </cell>
          <cell r="G612"/>
          <cell r="H612"/>
          <cell r="I612"/>
          <cell r="J612"/>
          <cell r="K612"/>
          <cell r="L612"/>
          <cell r="M612"/>
          <cell r="N612"/>
        </row>
        <row r="613">
          <cell r="G613" t="str">
            <v/>
          </cell>
          <cell r="H613" t="str">
            <v/>
          </cell>
          <cell r="I613" t="str">
            <v/>
          </cell>
          <cell r="J613" t="str">
            <v/>
          </cell>
          <cell r="K613" t="str">
            <v/>
          </cell>
          <cell r="L613" t="str">
            <v/>
          </cell>
          <cell r="M613" t="str">
            <v/>
          </cell>
          <cell r="N613" t="str">
            <v/>
          </cell>
        </row>
        <row r="614">
          <cell r="G614" t="str">
            <v/>
          </cell>
          <cell r="H614" t="str">
            <v/>
          </cell>
          <cell r="I614" t="str">
            <v/>
          </cell>
          <cell r="J614" t="str">
            <v/>
          </cell>
          <cell r="K614" t="str">
            <v/>
          </cell>
          <cell r="L614" t="str">
            <v/>
          </cell>
          <cell r="M614" t="str">
            <v/>
          </cell>
          <cell r="N614" t="str">
            <v/>
          </cell>
        </row>
        <row r="619">
          <cell r="F619" t="str">
            <v>TJ / Unit</v>
          </cell>
          <cell r="G619" t="str">
            <v/>
          </cell>
          <cell r="H619" t="str">
            <v/>
          </cell>
          <cell r="I619" t="str">
            <v/>
          </cell>
          <cell r="J619" t="str">
            <v/>
          </cell>
          <cell r="K619" t="str">
            <v/>
          </cell>
          <cell r="L619" t="str">
            <v/>
          </cell>
          <cell r="M619" t="str">
            <v/>
          </cell>
          <cell r="N619" t="str">
            <v/>
          </cell>
        </row>
        <row r="623">
          <cell r="H623" t="str">
            <v>TJ / Unit</v>
          </cell>
          <cell r="I623" t="str">
            <v/>
          </cell>
          <cell r="J623" t="str">
            <v/>
          </cell>
          <cell r="K623" t="str">
            <v/>
          </cell>
          <cell r="L623" t="str">
            <v/>
          </cell>
          <cell r="M623" t="str">
            <v/>
          </cell>
          <cell r="N623" t="str">
            <v/>
          </cell>
        </row>
        <row r="624">
          <cell r="J624" t="str">
            <v/>
          </cell>
          <cell r="K624" t="str">
            <v/>
          </cell>
          <cell r="L624" t="str">
            <v/>
          </cell>
          <cell r="M624" t="str">
            <v/>
          </cell>
          <cell r="N624" t="str">
            <v/>
          </cell>
        </row>
        <row r="628">
          <cell r="J628" t="str">
            <v/>
          </cell>
          <cell r="K628" t="str">
            <v/>
          </cell>
          <cell r="L628" t="str">
            <v/>
          </cell>
          <cell r="M628" t="str">
            <v/>
          </cell>
          <cell r="N628" t="str">
            <v/>
          </cell>
        </row>
        <row r="632">
          <cell r="J632" t="str">
            <v/>
          </cell>
          <cell r="K632" t="str">
            <v/>
          </cell>
          <cell r="L632" t="str">
            <v/>
          </cell>
          <cell r="M632" t="str">
            <v/>
          </cell>
          <cell r="N632" t="str">
            <v/>
          </cell>
        </row>
        <row r="636">
          <cell r="J636" t="b">
            <v>0</v>
          </cell>
          <cell r="K636" t="b">
            <v>0</v>
          </cell>
          <cell r="L636" t="b">
            <v>0</v>
          </cell>
          <cell r="M636" t="b">
            <v>0</v>
          </cell>
          <cell r="N636" t="b">
            <v>0</v>
          </cell>
        </row>
        <row r="643">
          <cell r="J643" t="str">
            <v/>
          </cell>
          <cell r="K643" t="str">
            <v/>
          </cell>
          <cell r="L643" t="str">
            <v/>
          </cell>
          <cell r="M643" t="str">
            <v/>
          </cell>
          <cell r="N643" t="str">
            <v/>
          </cell>
        </row>
        <row r="644">
          <cell r="H644" t="str">
            <v>TJ</v>
          </cell>
          <cell r="I644" t="str">
            <v/>
          </cell>
          <cell r="J644" t="str">
            <v/>
          </cell>
          <cell r="K644" t="str">
            <v/>
          </cell>
          <cell r="L644" t="str">
            <v/>
          </cell>
          <cell r="M644" t="str">
            <v/>
          </cell>
          <cell r="N644" t="str">
            <v/>
          </cell>
        </row>
        <row r="650">
          <cell r="I650" t="str">
            <v>Fuel benchmark sub-installation, CL</v>
          </cell>
        </row>
        <row r="657">
          <cell r="E657" t="str">
            <v>Fuel benchmark sub-installation, CL</v>
          </cell>
          <cell r="H657"/>
          <cell r="I657"/>
          <cell r="J657"/>
          <cell r="K657"/>
          <cell r="L657"/>
          <cell r="M657"/>
          <cell r="N657"/>
        </row>
        <row r="663">
          <cell r="H663" t="str">
            <v/>
          </cell>
          <cell r="I663" t="str">
            <v/>
          </cell>
          <cell r="J663" t="str">
            <v/>
          </cell>
          <cell r="K663" t="str">
            <v/>
          </cell>
          <cell r="L663" t="str">
            <v/>
          </cell>
          <cell r="M663" t="str">
            <v/>
          </cell>
          <cell r="N663" t="str">
            <v/>
          </cell>
        </row>
        <row r="664">
          <cell r="H664" t="str">
            <v/>
          </cell>
          <cell r="I664" t="str">
            <v/>
          </cell>
          <cell r="J664" t="str">
            <v/>
          </cell>
          <cell r="K664" t="str">
            <v/>
          </cell>
          <cell r="L664" t="str">
            <v/>
          </cell>
          <cell r="M664" t="str">
            <v/>
          </cell>
          <cell r="N664" t="str">
            <v/>
          </cell>
        </row>
        <row r="666">
          <cell r="H666"/>
          <cell r="I666"/>
          <cell r="J666"/>
          <cell r="K666"/>
          <cell r="L666"/>
          <cell r="M666"/>
          <cell r="N666"/>
        </row>
        <row r="667">
          <cell r="H667"/>
          <cell r="I667"/>
          <cell r="J667"/>
          <cell r="K667"/>
          <cell r="L667"/>
          <cell r="M667"/>
          <cell r="N667"/>
        </row>
        <row r="669">
          <cell r="H669"/>
          <cell r="I669"/>
          <cell r="J669"/>
          <cell r="K669"/>
          <cell r="L669"/>
          <cell r="M669"/>
          <cell r="N669"/>
        </row>
        <row r="670">
          <cell r="H670"/>
          <cell r="I670"/>
          <cell r="J670"/>
          <cell r="K670"/>
          <cell r="L670"/>
          <cell r="M670"/>
          <cell r="N670"/>
        </row>
        <row r="676">
          <cell r="I676" t="str">
            <v>Fuel benchmark sub-installation, non-CL</v>
          </cell>
          <cell r="M676" t="str">
            <v/>
          </cell>
        </row>
        <row r="684">
          <cell r="E684" t="str">
            <v>Fuel benchmark sub-installation, non-CL</v>
          </cell>
          <cell r="G684" t="str">
            <v>TJ</v>
          </cell>
          <cell r="H684" t="str">
            <v/>
          </cell>
          <cell r="I684" t="str">
            <v/>
          </cell>
          <cell r="J684" t="str">
            <v/>
          </cell>
          <cell r="K684" t="str">
            <v/>
          </cell>
          <cell r="L684" t="str">
            <v/>
          </cell>
          <cell r="M684" t="str">
            <v/>
          </cell>
          <cell r="N684" t="str">
            <v/>
          </cell>
        </row>
        <row r="692">
          <cell r="I692" t="str">
            <v/>
          </cell>
          <cell r="J692" t="str">
            <v/>
          </cell>
          <cell r="K692" t="str">
            <v/>
          </cell>
          <cell r="L692" t="str">
            <v/>
          </cell>
          <cell r="M692" t="str">
            <v/>
          </cell>
          <cell r="N692" t="str">
            <v/>
          </cell>
        </row>
        <row r="693">
          <cell r="J693" t="str">
            <v/>
          </cell>
          <cell r="K693" t="str">
            <v/>
          </cell>
          <cell r="L693" t="str">
            <v/>
          </cell>
          <cell r="M693" t="str">
            <v/>
          </cell>
          <cell r="N693" t="str">
            <v/>
          </cell>
        </row>
        <row r="694">
          <cell r="J694" t="str">
            <v/>
          </cell>
          <cell r="K694" t="str">
            <v/>
          </cell>
          <cell r="L694" t="str">
            <v/>
          </cell>
          <cell r="M694" t="str">
            <v/>
          </cell>
          <cell r="N694" t="str">
            <v/>
          </cell>
        </row>
        <row r="695">
          <cell r="I695" t="str">
            <v/>
          </cell>
          <cell r="J695" t="str">
            <v/>
          </cell>
          <cell r="K695" t="str">
            <v/>
          </cell>
          <cell r="L695" t="str">
            <v/>
          </cell>
          <cell r="M695" t="str">
            <v/>
          </cell>
          <cell r="N695" t="str">
            <v/>
          </cell>
        </row>
        <row r="710">
          <cell r="E710"/>
          <cell r="G710"/>
          <cell r="M710"/>
        </row>
        <row r="711">
          <cell r="E711"/>
          <cell r="G711"/>
          <cell r="M711"/>
        </row>
        <row r="712">
          <cell r="E712"/>
          <cell r="G712"/>
          <cell r="M712"/>
        </row>
        <row r="713">
          <cell r="E713"/>
          <cell r="G713"/>
          <cell r="M713"/>
        </row>
        <row r="714">
          <cell r="E714"/>
          <cell r="G714"/>
          <cell r="M714"/>
        </row>
        <row r="715">
          <cell r="E715"/>
          <cell r="G715"/>
          <cell r="M715"/>
        </row>
        <row r="716">
          <cell r="E716"/>
          <cell r="G716"/>
          <cell r="M716"/>
        </row>
        <row r="717">
          <cell r="E717"/>
          <cell r="G717"/>
          <cell r="M717"/>
        </row>
        <row r="718">
          <cell r="E718"/>
          <cell r="G718"/>
          <cell r="M718"/>
        </row>
        <row r="719">
          <cell r="E719"/>
          <cell r="G719"/>
          <cell r="M719"/>
        </row>
        <row r="727">
          <cell r="E727" t="str">
            <v/>
          </cell>
          <cell r="F727"/>
          <cell r="G727"/>
          <cell r="H727"/>
          <cell r="I727"/>
          <cell r="J727"/>
          <cell r="K727"/>
          <cell r="L727"/>
          <cell r="M727"/>
          <cell r="N727"/>
        </row>
        <row r="728">
          <cell r="E728" t="str">
            <v/>
          </cell>
          <cell r="F728" t="str">
            <v/>
          </cell>
          <cell r="G728"/>
          <cell r="H728"/>
          <cell r="I728"/>
          <cell r="J728"/>
          <cell r="K728"/>
          <cell r="L728"/>
          <cell r="M728"/>
          <cell r="N728"/>
        </row>
        <row r="729">
          <cell r="E729" t="str">
            <v/>
          </cell>
          <cell r="F729" t="str">
            <v/>
          </cell>
          <cell r="G729"/>
          <cell r="H729"/>
          <cell r="I729"/>
          <cell r="J729"/>
          <cell r="K729"/>
          <cell r="L729"/>
          <cell r="M729"/>
          <cell r="N729"/>
        </row>
        <row r="730">
          <cell r="E730" t="str">
            <v/>
          </cell>
          <cell r="F730" t="str">
            <v/>
          </cell>
          <cell r="G730"/>
          <cell r="H730"/>
          <cell r="I730"/>
          <cell r="J730"/>
          <cell r="K730"/>
          <cell r="L730"/>
          <cell r="M730"/>
          <cell r="N730"/>
        </row>
        <row r="731">
          <cell r="E731" t="str">
            <v/>
          </cell>
          <cell r="F731" t="str">
            <v/>
          </cell>
          <cell r="G731"/>
          <cell r="H731"/>
          <cell r="I731"/>
          <cell r="J731"/>
          <cell r="K731"/>
          <cell r="L731"/>
          <cell r="M731"/>
          <cell r="N731"/>
        </row>
        <row r="732">
          <cell r="E732" t="str">
            <v/>
          </cell>
          <cell r="F732" t="str">
            <v/>
          </cell>
          <cell r="G732"/>
          <cell r="H732"/>
          <cell r="I732"/>
          <cell r="J732"/>
          <cell r="K732"/>
          <cell r="L732"/>
          <cell r="M732"/>
          <cell r="N732"/>
        </row>
        <row r="733">
          <cell r="E733" t="str">
            <v/>
          </cell>
          <cell r="F733" t="str">
            <v/>
          </cell>
          <cell r="G733"/>
          <cell r="H733"/>
          <cell r="I733"/>
          <cell r="J733"/>
          <cell r="K733"/>
          <cell r="L733"/>
          <cell r="M733"/>
          <cell r="N733"/>
        </row>
        <row r="734">
          <cell r="E734" t="str">
            <v/>
          </cell>
          <cell r="F734" t="str">
            <v/>
          </cell>
          <cell r="G734"/>
          <cell r="H734"/>
          <cell r="I734"/>
          <cell r="J734"/>
          <cell r="K734"/>
          <cell r="L734"/>
          <cell r="M734"/>
          <cell r="N734"/>
        </row>
        <row r="735">
          <cell r="E735" t="str">
            <v/>
          </cell>
          <cell r="F735" t="str">
            <v/>
          </cell>
          <cell r="G735"/>
          <cell r="H735"/>
          <cell r="I735"/>
          <cell r="J735"/>
          <cell r="K735"/>
          <cell r="L735"/>
          <cell r="M735"/>
          <cell r="N735"/>
        </row>
        <row r="736">
          <cell r="E736" t="str">
            <v/>
          </cell>
          <cell r="F736" t="str">
            <v/>
          </cell>
          <cell r="G736"/>
          <cell r="H736"/>
          <cell r="I736"/>
          <cell r="J736"/>
          <cell r="K736"/>
          <cell r="L736"/>
          <cell r="M736"/>
          <cell r="N736"/>
        </row>
        <row r="737">
          <cell r="F737" t="str">
            <v/>
          </cell>
          <cell r="G737" t="str">
            <v/>
          </cell>
          <cell r="H737" t="str">
            <v/>
          </cell>
          <cell r="I737" t="str">
            <v/>
          </cell>
          <cell r="J737" t="str">
            <v/>
          </cell>
          <cell r="K737" t="str">
            <v/>
          </cell>
          <cell r="L737" t="str">
            <v/>
          </cell>
          <cell r="M737" t="str">
            <v/>
          </cell>
          <cell r="N737" t="str">
            <v/>
          </cell>
        </row>
        <row r="750">
          <cell r="E750" t="str">
            <v/>
          </cell>
          <cell r="G750"/>
          <cell r="H750"/>
          <cell r="I750"/>
          <cell r="J750"/>
          <cell r="K750"/>
          <cell r="L750"/>
          <cell r="M750"/>
          <cell r="N750"/>
        </row>
        <row r="751">
          <cell r="E751" t="str">
            <v/>
          </cell>
          <cell r="G751"/>
          <cell r="H751"/>
          <cell r="I751"/>
          <cell r="J751"/>
          <cell r="K751"/>
          <cell r="L751"/>
          <cell r="M751"/>
          <cell r="N751"/>
        </row>
        <row r="752">
          <cell r="E752" t="str">
            <v/>
          </cell>
          <cell r="G752"/>
          <cell r="H752"/>
          <cell r="I752"/>
          <cell r="J752"/>
          <cell r="K752"/>
          <cell r="L752"/>
          <cell r="M752"/>
          <cell r="N752"/>
        </row>
        <row r="753">
          <cell r="E753" t="str">
            <v/>
          </cell>
          <cell r="G753"/>
          <cell r="H753"/>
          <cell r="I753"/>
          <cell r="J753"/>
          <cell r="K753"/>
          <cell r="L753"/>
          <cell r="M753"/>
          <cell r="N753"/>
        </row>
        <row r="754">
          <cell r="E754" t="str">
            <v/>
          </cell>
          <cell r="G754"/>
          <cell r="H754"/>
          <cell r="I754"/>
          <cell r="J754"/>
          <cell r="K754"/>
          <cell r="L754"/>
          <cell r="M754"/>
          <cell r="N754"/>
        </row>
        <row r="755">
          <cell r="E755" t="str">
            <v/>
          </cell>
          <cell r="G755"/>
          <cell r="H755"/>
          <cell r="I755"/>
          <cell r="J755"/>
          <cell r="K755"/>
          <cell r="L755"/>
          <cell r="M755"/>
          <cell r="N755"/>
        </row>
        <row r="756">
          <cell r="E756" t="str">
            <v/>
          </cell>
          <cell r="G756"/>
          <cell r="H756"/>
          <cell r="I756"/>
          <cell r="J756"/>
          <cell r="K756"/>
          <cell r="L756"/>
          <cell r="M756"/>
          <cell r="N756"/>
        </row>
        <row r="757">
          <cell r="E757" t="str">
            <v/>
          </cell>
          <cell r="G757"/>
          <cell r="H757"/>
          <cell r="I757"/>
          <cell r="J757"/>
          <cell r="K757"/>
          <cell r="L757"/>
          <cell r="M757"/>
          <cell r="N757"/>
        </row>
        <row r="758">
          <cell r="E758" t="str">
            <v/>
          </cell>
          <cell r="G758"/>
          <cell r="H758"/>
          <cell r="I758"/>
          <cell r="J758"/>
          <cell r="K758"/>
          <cell r="L758"/>
          <cell r="M758"/>
          <cell r="N758"/>
        </row>
        <row r="759">
          <cell r="E759" t="str">
            <v/>
          </cell>
          <cell r="G759"/>
          <cell r="H759"/>
          <cell r="I759"/>
          <cell r="J759"/>
          <cell r="K759"/>
          <cell r="L759"/>
          <cell r="M759"/>
          <cell r="N759"/>
        </row>
        <row r="760">
          <cell r="G760" t="str">
            <v/>
          </cell>
          <cell r="H760" t="str">
            <v/>
          </cell>
          <cell r="I760" t="str">
            <v/>
          </cell>
          <cell r="J760" t="str">
            <v/>
          </cell>
          <cell r="K760" t="str">
            <v/>
          </cell>
          <cell r="L760" t="str">
            <v/>
          </cell>
          <cell r="M760" t="str">
            <v/>
          </cell>
          <cell r="N760" t="str">
            <v/>
          </cell>
        </row>
        <row r="761">
          <cell r="G761" t="str">
            <v/>
          </cell>
          <cell r="H761" t="str">
            <v/>
          </cell>
          <cell r="I761" t="str">
            <v/>
          </cell>
          <cell r="J761" t="str">
            <v/>
          </cell>
          <cell r="K761" t="str">
            <v/>
          </cell>
          <cell r="L761" t="str">
            <v/>
          </cell>
          <cell r="M761" t="str">
            <v/>
          </cell>
          <cell r="N761" t="str">
            <v/>
          </cell>
        </row>
        <row r="766">
          <cell r="F766" t="str">
            <v>TJ / Unit</v>
          </cell>
          <cell r="G766" t="str">
            <v/>
          </cell>
          <cell r="H766" t="str">
            <v/>
          </cell>
          <cell r="I766" t="str">
            <v/>
          </cell>
          <cell r="J766" t="str">
            <v/>
          </cell>
          <cell r="K766" t="str">
            <v/>
          </cell>
          <cell r="L766" t="str">
            <v/>
          </cell>
          <cell r="M766" t="str">
            <v/>
          </cell>
          <cell r="N766" t="str">
            <v/>
          </cell>
        </row>
        <row r="770">
          <cell r="H770" t="str">
            <v>TJ / Unit</v>
          </cell>
          <cell r="I770" t="str">
            <v/>
          </cell>
          <cell r="J770" t="str">
            <v/>
          </cell>
          <cell r="K770" t="str">
            <v/>
          </cell>
          <cell r="L770" t="str">
            <v/>
          </cell>
          <cell r="M770" t="str">
            <v/>
          </cell>
          <cell r="N770" t="str">
            <v/>
          </cell>
        </row>
        <row r="771">
          <cell r="J771" t="str">
            <v/>
          </cell>
          <cell r="K771" t="str">
            <v/>
          </cell>
          <cell r="L771" t="str">
            <v/>
          </cell>
          <cell r="M771" t="str">
            <v/>
          </cell>
          <cell r="N771" t="str">
            <v/>
          </cell>
        </row>
        <row r="775">
          <cell r="J775" t="str">
            <v/>
          </cell>
          <cell r="K775" t="str">
            <v/>
          </cell>
          <cell r="L775" t="str">
            <v/>
          </cell>
          <cell r="M775" t="str">
            <v/>
          </cell>
          <cell r="N775" t="str">
            <v/>
          </cell>
        </row>
        <row r="779">
          <cell r="J779" t="str">
            <v/>
          </cell>
          <cell r="K779" t="str">
            <v/>
          </cell>
          <cell r="L779" t="str">
            <v/>
          </cell>
          <cell r="M779" t="str">
            <v/>
          </cell>
          <cell r="N779" t="str">
            <v/>
          </cell>
        </row>
        <row r="783">
          <cell r="J783" t="b">
            <v>0</v>
          </cell>
          <cell r="K783" t="b">
            <v>0</v>
          </cell>
          <cell r="L783" t="b">
            <v>0</v>
          </cell>
          <cell r="M783" t="b">
            <v>0</v>
          </cell>
          <cell r="N783" t="b">
            <v>0</v>
          </cell>
        </row>
        <row r="790">
          <cell r="J790" t="str">
            <v/>
          </cell>
          <cell r="K790" t="str">
            <v/>
          </cell>
          <cell r="L790" t="str">
            <v/>
          </cell>
          <cell r="M790" t="str">
            <v/>
          </cell>
          <cell r="N790" t="str">
            <v/>
          </cell>
        </row>
        <row r="791">
          <cell r="H791" t="str">
            <v>TJ</v>
          </cell>
          <cell r="I791" t="str">
            <v/>
          </cell>
          <cell r="J791" t="str">
            <v/>
          </cell>
          <cell r="K791" t="str">
            <v/>
          </cell>
          <cell r="L791" t="str">
            <v/>
          </cell>
          <cell r="M791" t="str">
            <v/>
          </cell>
          <cell r="N791" t="str">
            <v/>
          </cell>
        </row>
        <row r="797">
          <cell r="I797" t="str">
            <v>Fuel benchmark sub-installation, non-CL</v>
          </cell>
        </row>
        <row r="804">
          <cell r="E804" t="str">
            <v>Fuel benchmark sub-installation, non-CL</v>
          </cell>
          <cell r="H804"/>
          <cell r="I804"/>
          <cell r="J804"/>
          <cell r="K804"/>
          <cell r="L804"/>
          <cell r="M804"/>
          <cell r="N804"/>
        </row>
        <row r="810">
          <cell r="H810" t="str">
            <v/>
          </cell>
          <cell r="I810" t="str">
            <v/>
          </cell>
          <cell r="J810" t="str">
            <v/>
          </cell>
          <cell r="K810" t="str">
            <v/>
          </cell>
          <cell r="L810" t="str">
            <v/>
          </cell>
          <cell r="M810" t="str">
            <v/>
          </cell>
          <cell r="N810" t="str">
            <v/>
          </cell>
        </row>
        <row r="811">
          <cell r="H811" t="str">
            <v/>
          </cell>
          <cell r="I811" t="str">
            <v/>
          </cell>
          <cell r="J811" t="str">
            <v/>
          </cell>
          <cell r="K811" t="str">
            <v/>
          </cell>
          <cell r="L811" t="str">
            <v/>
          </cell>
          <cell r="M811" t="str">
            <v/>
          </cell>
          <cell r="N811" t="str">
            <v/>
          </cell>
        </row>
        <row r="813">
          <cell r="H813"/>
          <cell r="I813"/>
          <cell r="J813"/>
          <cell r="K813"/>
          <cell r="L813"/>
          <cell r="M813"/>
          <cell r="N813"/>
        </row>
        <row r="814">
          <cell r="H814"/>
          <cell r="I814"/>
          <cell r="J814"/>
          <cell r="K814"/>
          <cell r="L814"/>
          <cell r="M814"/>
          <cell r="N814"/>
        </row>
        <row r="816">
          <cell r="H816"/>
          <cell r="I816"/>
          <cell r="J816"/>
          <cell r="K816"/>
          <cell r="L816"/>
          <cell r="M816"/>
          <cell r="N816"/>
        </row>
        <row r="817">
          <cell r="H817"/>
          <cell r="I817"/>
          <cell r="J817"/>
          <cell r="K817"/>
          <cell r="L817"/>
          <cell r="M817"/>
          <cell r="N817"/>
        </row>
        <row r="823">
          <cell r="I823" t="str">
            <v>Process emissions sub-installation, CL</v>
          </cell>
          <cell r="M823" t="str">
            <v/>
          </cell>
        </row>
        <row r="830">
          <cell r="E830" t="str">
            <v>Process emissions sub-installation, CL</v>
          </cell>
          <cell r="G830" t="str">
            <v>t CO2e</v>
          </cell>
          <cell r="H830"/>
          <cell r="I830"/>
          <cell r="J830"/>
          <cell r="K830"/>
          <cell r="L830"/>
          <cell r="M830"/>
          <cell r="N830"/>
        </row>
        <row r="838">
          <cell r="I838" t="str">
            <v/>
          </cell>
          <cell r="J838" t="str">
            <v/>
          </cell>
          <cell r="K838" t="str">
            <v/>
          </cell>
          <cell r="L838" t="str">
            <v/>
          </cell>
          <cell r="M838" t="str">
            <v/>
          </cell>
          <cell r="N838" t="str">
            <v/>
          </cell>
        </row>
        <row r="839">
          <cell r="J839" t="str">
            <v/>
          </cell>
          <cell r="K839" t="str">
            <v/>
          </cell>
          <cell r="L839" t="str">
            <v/>
          </cell>
          <cell r="M839" t="str">
            <v/>
          </cell>
          <cell r="N839" t="str">
            <v/>
          </cell>
        </row>
        <row r="840">
          <cell r="J840" t="str">
            <v/>
          </cell>
          <cell r="K840" t="str">
            <v/>
          </cell>
          <cell r="L840" t="str">
            <v/>
          </cell>
          <cell r="M840" t="str">
            <v/>
          </cell>
          <cell r="N840" t="str">
            <v/>
          </cell>
        </row>
        <row r="841">
          <cell r="I841" t="str">
            <v/>
          </cell>
          <cell r="J841" t="str">
            <v/>
          </cell>
          <cell r="K841" t="str">
            <v/>
          </cell>
          <cell r="L841" t="str">
            <v/>
          </cell>
          <cell r="M841" t="str">
            <v/>
          </cell>
          <cell r="N841" t="str">
            <v/>
          </cell>
        </row>
        <row r="844">
          <cell r="J844" t="str">
            <v/>
          </cell>
          <cell r="K844" t="str">
            <v/>
          </cell>
          <cell r="L844" t="str">
            <v/>
          </cell>
          <cell r="M844" t="str">
            <v/>
          </cell>
          <cell r="N844" t="str">
            <v/>
          </cell>
        </row>
        <row r="846">
          <cell r="J846" t="str">
            <v/>
          </cell>
          <cell r="K846" t="str">
            <v/>
          </cell>
          <cell r="L846" t="str">
            <v/>
          </cell>
          <cell r="M846" t="str">
            <v/>
          </cell>
          <cell r="N846" t="str">
            <v/>
          </cell>
        </row>
        <row r="847">
          <cell r="H847" t="str">
            <v>t CO2e</v>
          </cell>
          <cell r="I847" t="str">
            <v/>
          </cell>
          <cell r="J847" t="str">
            <v/>
          </cell>
          <cell r="K847" t="str">
            <v/>
          </cell>
          <cell r="L847" t="str">
            <v/>
          </cell>
          <cell r="M847" t="str">
            <v/>
          </cell>
          <cell r="N847" t="str">
            <v/>
          </cell>
        </row>
        <row r="856">
          <cell r="E856"/>
          <cell r="H856"/>
          <cell r="M856"/>
        </row>
        <row r="857">
          <cell r="E857"/>
          <cell r="H857"/>
          <cell r="M857"/>
        </row>
        <row r="858">
          <cell r="E858"/>
          <cell r="H858"/>
          <cell r="M858"/>
        </row>
        <row r="859">
          <cell r="E859"/>
          <cell r="H859"/>
          <cell r="M859"/>
        </row>
        <row r="860">
          <cell r="E860"/>
          <cell r="H860"/>
          <cell r="M860"/>
        </row>
        <row r="861">
          <cell r="E861"/>
          <cell r="H861"/>
          <cell r="M861"/>
        </row>
        <row r="862">
          <cell r="E862"/>
          <cell r="H862"/>
          <cell r="M862"/>
        </row>
        <row r="863">
          <cell r="E863"/>
          <cell r="H863"/>
          <cell r="M863"/>
        </row>
        <row r="864">
          <cell r="E864"/>
          <cell r="H864"/>
          <cell r="M864"/>
        </row>
        <row r="865">
          <cell r="E865"/>
          <cell r="H865"/>
          <cell r="M865"/>
        </row>
        <row r="870">
          <cell r="E870" t="str">
            <v/>
          </cell>
          <cell r="G870"/>
          <cell r="H870"/>
          <cell r="I870"/>
          <cell r="J870"/>
          <cell r="K870"/>
          <cell r="L870"/>
          <cell r="M870"/>
          <cell r="N870"/>
        </row>
        <row r="871">
          <cell r="E871" t="str">
            <v/>
          </cell>
          <cell r="G871"/>
          <cell r="H871"/>
          <cell r="I871"/>
          <cell r="J871"/>
          <cell r="K871"/>
          <cell r="L871"/>
          <cell r="M871"/>
          <cell r="N871"/>
        </row>
        <row r="872">
          <cell r="E872" t="str">
            <v/>
          </cell>
          <cell r="G872"/>
          <cell r="H872"/>
          <cell r="I872"/>
          <cell r="J872"/>
          <cell r="K872"/>
          <cell r="L872"/>
          <cell r="M872"/>
          <cell r="N872"/>
        </row>
        <row r="873">
          <cell r="E873" t="str">
            <v/>
          </cell>
          <cell r="G873"/>
          <cell r="H873"/>
          <cell r="I873"/>
          <cell r="J873"/>
          <cell r="K873"/>
          <cell r="L873"/>
          <cell r="M873"/>
          <cell r="N873"/>
        </row>
        <row r="874">
          <cell r="E874" t="str">
            <v/>
          </cell>
          <cell r="G874"/>
          <cell r="H874"/>
          <cell r="I874"/>
          <cell r="J874"/>
          <cell r="K874"/>
          <cell r="L874"/>
          <cell r="M874"/>
          <cell r="N874"/>
        </row>
        <row r="875">
          <cell r="E875" t="str">
            <v/>
          </cell>
          <cell r="G875"/>
          <cell r="H875"/>
          <cell r="I875"/>
          <cell r="J875"/>
          <cell r="K875"/>
          <cell r="L875"/>
          <cell r="M875"/>
          <cell r="N875"/>
        </row>
        <row r="876">
          <cell r="E876" t="str">
            <v/>
          </cell>
          <cell r="G876"/>
          <cell r="H876"/>
          <cell r="I876"/>
          <cell r="J876"/>
          <cell r="K876"/>
          <cell r="L876"/>
          <cell r="M876"/>
          <cell r="N876"/>
        </row>
        <row r="877">
          <cell r="E877" t="str">
            <v/>
          </cell>
          <cell r="G877"/>
          <cell r="H877"/>
          <cell r="I877"/>
          <cell r="J877"/>
          <cell r="K877"/>
          <cell r="L877"/>
          <cell r="M877"/>
          <cell r="N877"/>
        </row>
        <row r="878">
          <cell r="E878" t="str">
            <v/>
          </cell>
          <cell r="G878"/>
          <cell r="H878"/>
          <cell r="I878"/>
          <cell r="J878"/>
          <cell r="K878"/>
          <cell r="L878"/>
          <cell r="M878"/>
          <cell r="N878"/>
        </row>
        <row r="879">
          <cell r="E879" t="str">
            <v/>
          </cell>
          <cell r="G879"/>
          <cell r="H879"/>
          <cell r="I879"/>
          <cell r="J879"/>
          <cell r="K879"/>
          <cell r="L879"/>
          <cell r="M879"/>
          <cell r="N879"/>
        </row>
        <row r="880">
          <cell r="G880"/>
          <cell r="H880" t="str">
            <v/>
          </cell>
          <cell r="I880" t="str">
            <v/>
          </cell>
          <cell r="J880" t="str">
            <v/>
          </cell>
          <cell r="K880" t="str">
            <v/>
          </cell>
          <cell r="L880" t="str">
            <v/>
          </cell>
          <cell r="M880" t="str">
            <v/>
          </cell>
          <cell r="N880" t="str">
            <v/>
          </cell>
        </row>
        <row r="883">
          <cell r="I883" t="str">
            <v>Process emissions sub-installation, non-CL</v>
          </cell>
          <cell r="M883" t="str">
            <v/>
          </cell>
        </row>
        <row r="890">
          <cell r="E890" t="str">
            <v>Process emissions sub-installation, non-CL</v>
          </cell>
          <cell r="G890" t="str">
            <v>t CO2e</v>
          </cell>
          <cell r="H890"/>
          <cell r="I890"/>
          <cell r="J890"/>
          <cell r="K890"/>
          <cell r="L890"/>
          <cell r="M890"/>
          <cell r="N890"/>
        </row>
        <row r="898">
          <cell r="I898" t="str">
            <v/>
          </cell>
          <cell r="J898" t="str">
            <v/>
          </cell>
          <cell r="K898" t="str">
            <v/>
          </cell>
          <cell r="L898" t="str">
            <v/>
          </cell>
          <cell r="M898" t="str">
            <v/>
          </cell>
          <cell r="N898" t="str">
            <v/>
          </cell>
        </row>
        <row r="899">
          <cell r="J899" t="str">
            <v/>
          </cell>
          <cell r="K899" t="str">
            <v/>
          </cell>
          <cell r="L899" t="str">
            <v/>
          </cell>
          <cell r="M899" t="str">
            <v/>
          </cell>
          <cell r="N899" t="str">
            <v/>
          </cell>
        </row>
        <row r="900">
          <cell r="J900" t="str">
            <v/>
          </cell>
          <cell r="K900" t="str">
            <v/>
          </cell>
          <cell r="L900" t="str">
            <v/>
          </cell>
          <cell r="M900" t="str">
            <v/>
          </cell>
          <cell r="N900" t="str">
            <v/>
          </cell>
        </row>
        <row r="901">
          <cell r="I901" t="str">
            <v/>
          </cell>
          <cell r="J901" t="str">
            <v/>
          </cell>
          <cell r="K901" t="str">
            <v/>
          </cell>
          <cell r="L901" t="str">
            <v/>
          </cell>
          <cell r="M901" t="str">
            <v/>
          </cell>
          <cell r="N901" t="str">
            <v/>
          </cell>
        </row>
        <row r="904">
          <cell r="J904" t="str">
            <v/>
          </cell>
          <cell r="K904" t="str">
            <v/>
          </cell>
          <cell r="L904" t="str">
            <v/>
          </cell>
          <cell r="M904" t="str">
            <v/>
          </cell>
          <cell r="N904" t="str">
            <v/>
          </cell>
        </row>
        <row r="906">
          <cell r="J906" t="str">
            <v/>
          </cell>
          <cell r="K906" t="str">
            <v/>
          </cell>
          <cell r="L906" t="str">
            <v/>
          </cell>
          <cell r="M906" t="str">
            <v/>
          </cell>
          <cell r="N906" t="str">
            <v/>
          </cell>
        </row>
        <row r="907">
          <cell r="H907" t="str">
            <v>t CO2e</v>
          </cell>
          <cell r="I907" t="str">
            <v/>
          </cell>
          <cell r="J907" t="str">
            <v/>
          </cell>
          <cell r="K907" t="str">
            <v/>
          </cell>
          <cell r="L907" t="str">
            <v/>
          </cell>
          <cell r="M907" t="str">
            <v/>
          </cell>
          <cell r="N907" t="str">
            <v/>
          </cell>
        </row>
        <row r="916">
          <cell r="E916"/>
          <cell r="H916"/>
          <cell r="M916"/>
        </row>
        <row r="917">
          <cell r="E917"/>
          <cell r="H917"/>
          <cell r="M917"/>
        </row>
        <row r="918">
          <cell r="E918"/>
          <cell r="H918"/>
          <cell r="M918"/>
        </row>
        <row r="919">
          <cell r="E919"/>
          <cell r="H919"/>
          <cell r="M919"/>
        </row>
        <row r="920">
          <cell r="E920"/>
          <cell r="H920"/>
          <cell r="M920"/>
        </row>
        <row r="921">
          <cell r="E921"/>
          <cell r="H921"/>
          <cell r="M921"/>
        </row>
        <row r="922">
          <cell r="E922"/>
          <cell r="H922"/>
          <cell r="M922"/>
        </row>
        <row r="923">
          <cell r="E923"/>
          <cell r="H923"/>
          <cell r="M923"/>
        </row>
        <row r="924">
          <cell r="E924"/>
          <cell r="H924"/>
          <cell r="M924"/>
        </row>
        <row r="925">
          <cell r="E925"/>
          <cell r="H925"/>
          <cell r="M925"/>
        </row>
        <row r="930">
          <cell r="E930" t="str">
            <v/>
          </cell>
          <cell r="G930"/>
          <cell r="H930"/>
          <cell r="I930"/>
          <cell r="J930"/>
          <cell r="K930"/>
          <cell r="L930"/>
          <cell r="M930"/>
          <cell r="N930"/>
        </row>
        <row r="931">
          <cell r="E931">
            <v>2</v>
          </cell>
          <cell r="G931"/>
          <cell r="H931"/>
          <cell r="I931"/>
          <cell r="J931"/>
          <cell r="K931"/>
          <cell r="L931"/>
          <cell r="M931"/>
          <cell r="N931"/>
        </row>
        <row r="932">
          <cell r="E932" t="str">
            <v/>
          </cell>
          <cell r="G932"/>
          <cell r="H932"/>
          <cell r="I932"/>
          <cell r="J932"/>
          <cell r="K932"/>
          <cell r="L932"/>
          <cell r="M932"/>
          <cell r="N932"/>
        </row>
        <row r="933">
          <cell r="E933" t="str">
            <v/>
          </cell>
          <cell r="G933"/>
          <cell r="H933"/>
          <cell r="I933"/>
          <cell r="J933"/>
          <cell r="K933"/>
          <cell r="L933"/>
          <cell r="M933"/>
          <cell r="N933"/>
        </row>
        <row r="934">
          <cell r="E934" t="str">
            <v/>
          </cell>
          <cell r="G934"/>
          <cell r="H934"/>
          <cell r="I934"/>
          <cell r="J934"/>
          <cell r="K934"/>
          <cell r="L934"/>
          <cell r="M934"/>
          <cell r="N934"/>
        </row>
        <row r="935">
          <cell r="E935" t="str">
            <v/>
          </cell>
          <cell r="G935"/>
          <cell r="H935"/>
          <cell r="I935"/>
          <cell r="J935"/>
          <cell r="K935"/>
          <cell r="L935"/>
          <cell r="M935"/>
          <cell r="N935"/>
        </row>
        <row r="936">
          <cell r="E936" t="str">
            <v/>
          </cell>
          <cell r="G936"/>
          <cell r="H936"/>
          <cell r="I936"/>
          <cell r="J936"/>
          <cell r="K936"/>
          <cell r="L936"/>
          <cell r="M936"/>
          <cell r="N936"/>
        </row>
        <row r="937">
          <cell r="E937" t="str">
            <v/>
          </cell>
          <cell r="G937"/>
          <cell r="H937"/>
          <cell r="I937"/>
          <cell r="J937"/>
          <cell r="K937"/>
          <cell r="L937"/>
          <cell r="M937"/>
          <cell r="N937"/>
        </row>
        <row r="938">
          <cell r="E938" t="str">
            <v/>
          </cell>
          <cell r="G938"/>
          <cell r="H938"/>
          <cell r="I938"/>
          <cell r="J938"/>
          <cell r="K938"/>
          <cell r="L938"/>
          <cell r="M938"/>
          <cell r="N938"/>
        </row>
        <row r="939">
          <cell r="E939" t="str">
            <v/>
          </cell>
          <cell r="G939"/>
          <cell r="H939"/>
          <cell r="I939"/>
          <cell r="J939"/>
          <cell r="K939"/>
          <cell r="L939"/>
          <cell r="M939"/>
          <cell r="N939"/>
        </row>
        <row r="940">
          <cell r="G940"/>
          <cell r="H940" t="str">
            <v/>
          </cell>
          <cell r="I940" t="str">
            <v/>
          </cell>
          <cell r="J940" t="str">
            <v/>
          </cell>
          <cell r="K940" t="str">
            <v/>
          </cell>
          <cell r="L940" t="str">
            <v/>
          </cell>
          <cell r="M940" t="str">
            <v/>
          </cell>
          <cell r="N940" t="str">
            <v/>
          </cell>
        </row>
      </sheetData>
      <sheetData sheetId="10">
        <row r="17">
          <cell r="L17" t="str">
            <v/>
          </cell>
        </row>
        <row r="32">
          <cell r="H32"/>
          <cell r="I32"/>
          <cell r="J32"/>
          <cell r="K32"/>
          <cell r="L32"/>
          <cell r="M32"/>
          <cell r="N32"/>
        </row>
        <row r="33">
          <cell r="H33"/>
          <cell r="I33"/>
          <cell r="J33"/>
          <cell r="K33"/>
          <cell r="L33"/>
          <cell r="M33"/>
          <cell r="N33"/>
        </row>
        <row r="34">
          <cell r="H34"/>
          <cell r="I34"/>
          <cell r="J34"/>
          <cell r="K34"/>
          <cell r="L34"/>
          <cell r="M34"/>
          <cell r="N34"/>
        </row>
        <row r="35">
          <cell r="H35"/>
          <cell r="I35"/>
          <cell r="J35"/>
          <cell r="K35"/>
          <cell r="L35"/>
          <cell r="M35"/>
          <cell r="N35"/>
        </row>
        <row r="36">
          <cell r="H36"/>
          <cell r="I36"/>
          <cell r="J36"/>
          <cell r="K36"/>
          <cell r="L36"/>
          <cell r="M36"/>
          <cell r="N36"/>
        </row>
        <row r="37">
          <cell r="H37"/>
          <cell r="I37"/>
          <cell r="J37"/>
          <cell r="K37"/>
          <cell r="L37"/>
          <cell r="M37"/>
          <cell r="N37"/>
        </row>
        <row r="38">
          <cell r="H38"/>
          <cell r="I38"/>
          <cell r="J38"/>
          <cell r="K38"/>
          <cell r="L38"/>
          <cell r="M38"/>
          <cell r="N38"/>
        </row>
        <row r="39">
          <cell r="H39"/>
          <cell r="I39"/>
          <cell r="J39"/>
          <cell r="K39"/>
          <cell r="L39"/>
          <cell r="M39"/>
          <cell r="N39"/>
        </row>
        <row r="40">
          <cell r="H40"/>
          <cell r="I40"/>
          <cell r="J40"/>
          <cell r="K40"/>
          <cell r="L40"/>
          <cell r="M40"/>
          <cell r="N40"/>
        </row>
        <row r="41">
          <cell r="H41"/>
          <cell r="I41"/>
          <cell r="J41"/>
          <cell r="K41"/>
          <cell r="L41"/>
          <cell r="M41"/>
          <cell r="N41"/>
        </row>
        <row r="42">
          <cell r="H42"/>
          <cell r="I42"/>
          <cell r="J42"/>
          <cell r="K42"/>
          <cell r="L42"/>
          <cell r="M42"/>
          <cell r="N42"/>
        </row>
        <row r="43">
          <cell r="H43"/>
          <cell r="I43"/>
          <cell r="J43"/>
          <cell r="K43"/>
          <cell r="L43"/>
          <cell r="M43"/>
          <cell r="N43"/>
        </row>
        <row r="44">
          <cell r="H44"/>
          <cell r="I44"/>
          <cell r="J44"/>
          <cell r="K44"/>
          <cell r="L44"/>
          <cell r="M44"/>
          <cell r="N44"/>
        </row>
        <row r="45">
          <cell r="H45"/>
          <cell r="I45"/>
          <cell r="J45"/>
          <cell r="K45"/>
          <cell r="L45"/>
          <cell r="M45"/>
          <cell r="N45"/>
        </row>
        <row r="46">
          <cell r="H46"/>
          <cell r="I46"/>
          <cell r="J46"/>
          <cell r="K46"/>
          <cell r="L46"/>
          <cell r="M46"/>
          <cell r="N46"/>
        </row>
        <row r="47">
          <cell r="H47"/>
          <cell r="I47"/>
          <cell r="J47"/>
          <cell r="K47"/>
          <cell r="L47"/>
          <cell r="M47"/>
          <cell r="N47"/>
        </row>
        <row r="48">
          <cell r="H48"/>
          <cell r="I48"/>
          <cell r="J48"/>
          <cell r="K48"/>
          <cell r="L48"/>
          <cell r="M48"/>
          <cell r="N48"/>
        </row>
        <row r="49">
          <cell r="H49"/>
          <cell r="I49"/>
          <cell r="J49"/>
          <cell r="K49"/>
          <cell r="L49"/>
          <cell r="M49"/>
          <cell r="N49"/>
        </row>
        <row r="50">
          <cell r="H50"/>
          <cell r="I50"/>
          <cell r="J50"/>
          <cell r="K50"/>
          <cell r="L50"/>
          <cell r="M50"/>
          <cell r="N50"/>
        </row>
        <row r="51">
          <cell r="H51"/>
          <cell r="I51"/>
          <cell r="J51"/>
          <cell r="K51"/>
          <cell r="L51"/>
          <cell r="M51"/>
          <cell r="N51"/>
        </row>
        <row r="52">
          <cell r="H52"/>
          <cell r="I52"/>
          <cell r="J52"/>
          <cell r="K52"/>
          <cell r="L52"/>
          <cell r="M52"/>
          <cell r="N52"/>
        </row>
        <row r="53">
          <cell r="H53"/>
          <cell r="I53"/>
          <cell r="J53"/>
          <cell r="K53"/>
          <cell r="L53"/>
          <cell r="M53"/>
          <cell r="N53"/>
        </row>
        <row r="54">
          <cell r="H54"/>
          <cell r="I54"/>
          <cell r="J54"/>
          <cell r="K54"/>
          <cell r="L54"/>
          <cell r="M54"/>
          <cell r="N54"/>
        </row>
        <row r="55">
          <cell r="H55"/>
          <cell r="I55"/>
          <cell r="J55"/>
          <cell r="K55"/>
          <cell r="L55"/>
          <cell r="M55"/>
          <cell r="N55"/>
        </row>
        <row r="56">
          <cell r="H56"/>
          <cell r="I56"/>
          <cell r="J56"/>
          <cell r="K56"/>
          <cell r="L56"/>
          <cell r="M56"/>
          <cell r="N56"/>
        </row>
        <row r="57">
          <cell r="H57"/>
          <cell r="I57"/>
          <cell r="J57"/>
          <cell r="K57"/>
          <cell r="L57"/>
          <cell r="M57"/>
          <cell r="N57"/>
        </row>
        <row r="58">
          <cell r="H58"/>
          <cell r="I58"/>
          <cell r="J58"/>
          <cell r="K58"/>
          <cell r="L58"/>
          <cell r="M58"/>
          <cell r="N58"/>
        </row>
        <row r="59">
          <cell r="H59"/>
          <cell r="I59"/>
          <cell r="J59"/>
          <cell r="K59"/>
          <cell r="L59"/>
          <cell r="M59"/>
          <cell r="N59"/>
        </row>
        <row r="60">
          <cell r="H60"/>
          <cell r="I60"/>
          <cell r="J60"/>
          <cell r="K60"/>
          <cell r="L60"/>
          <cell r="M60"/>
          <cell r="N60"/>
        </row>
        <row r="61">
          <cell r="H61"/>
          <cell r="I61"/>
          <cell r="J61"/>
          <cell r="K61"/>
          <cell r="L61"/>
          <cell r="M61"/>
          <cell r="N61"/>
        </row>
        <row r="62">
          <cell r="H62"/>
          <cell r="I62"/>
          <cell r="J62"/>
          <cell r="K62"/>
          <cell r="L62"/>
          <cell r="M62"/>
          <cell r="N62"/>
        </row>
        <row r="63">
          <cell r="H63"/>
          <cell r="I63"/>
          <cell r="J63"/>
          <cell r="K63"/>
          <cell r="L63"/>
          <cell r="M63"/>
          <cell r="N63"/>
        </row>
        <row r="64">
          <cell r="H64"/>
          <cell r="I64"/>
          <cell r="J64"/>
          <cell r="K64"/>
          <cell r="L64"/>
          <cell r="M64"/>
          <cell r="N64"/>
        </row>
        <row r="65">
          <cell r="H65"/>
          <cell r="I65"/>
          <cell r="J65"/>
          <cell r="K65"/>
          <cell r="L65"/>
          <cell r="M65"/>
          <cell r="N65"/>
        </row>
        <row r="66">
          <cell r="H66"/>
          <cell r="I66"/>
          <cell r="J66"/>
          <cell r="K66"/>
          <cell r="L66"/>
          <cell r="M66"/>
          <cell r="N66"/>
        </row>
        <row r="67">
          <cell r="H67"/>
          <cell r="I67"/>
          <cell r="J67"/>
          <cell r="K67"/>
          <cell r="L67"/>
          <cell r="M67"/>
          <cell r="N67"/>
        </row>
        <row r="68">
          <cell r="H68"/>
          <cell r="I68"/>
          <cell r="J68"/>
          <cell r="K68"/>
          <cell r="L68"/>
          <cell r="M68"/>
          <cell r="N68"/>
        </row>
        <row r="69">
          <cell r="H69"/>
          <cell r="I69"/>
          <cell r="J69"/>
          <cell r="K69"/>
          <cell r="L69"/>
          <cell r="M69"/>
          <cell r="N69"/>
        </row>
        <row r="70">
          <cell r="H70"/>
          <cell r="I70"/>
          <cell r="J70"/>
          <cell r="K70"/>
          <cell r="L70"/>
          <cell r="M70"/>
          <cell r="N70"/>
        </row>
        <row r="71">
          <cell r="H71"/>
          <cell r="I71"/>
          <cell r="J71"/>
          <cell r="K71"/>
          <cell r="L71"/>
          <cell r="M71"/>
          <cell r="N71"/>
        </row>
        <row r="72">
          <cell r="H72"/>
          <cell r="I72"/>
          <cell r="J72"/>
          <cell r="K72"/>
          <cell r="L72"/>
          <cell r="M72"/>
          <cell r="N72"/>
        </row>
        <row r="73">
          <cell r="H73"/>
          <cell r="I73"/>
          <cell r="J73"/>
          <cell r="K73"/>
          <cell r="L73"/>
          <cell r="M73"/>
          <cell r="N73"/>
        </row>
        <row r="74">
          <cell r="H74"/>
          <cell r="I74"/>
          <cell r="J74"/>
          <cell r="K74"/>
          <cell r="L74"/>
          <cell r="M74"/>
          <cell r="N74"/>
        </row>
        <row r="75">
          <cell r="H75"/>
          <cell r="I75"/>
          <cell r="J75"/>
          <cell r="K75"/>
          <cell r="L75"/>
          <cell r="M75"/>
          <cell r="N75"/>
        </row>
        <row r="76">
          <cell r="H76"/>
          <cell r="I76"/>
          <cell r="J76"/>
          <cell r="K76"/>
          <cell r="L76"/>
          <cell r="M76"/>
          <cell r="N76"/>
        </row>
        <row r="77">
          <cell r="H77"/>
          <cell r="I77"/>
          <cell r="J77"/>
          <cell r="K77"/>
          <cell r="L77"/>
          <cell r="M77"/>
          <cell r="N77"/>
        </row>
        <row r="78">
          <cell r="H78"/>
          <cell r="I78"/>
          <cell r="J78"/>
          <cell r="K78"/>
          <cell r="L78"/>
          <cell r="M78"/>
          <cell r="N78"/>
        </row>
        <row r="79">
          <cell r="H79"/>
          <cell r="I79"/>
          <cell r="J79"/>
          <cell r="K79"/>
          <cell r="L79"/>
          <cell r="M79"/>
          <cell r="N79"/>
        </row>
        <row r="80">
          <cell r="H80"/>
          <cell r="I80"/>
          <cell r="J80"/>
          <cell r="K80"/>
          <cell r="L80"/>
          <cell r="M80"/>
          <cell r="N80"/>
        </row>
        <row r="81">
          <cell r="H81"/>
          <cell r="I81"/>
          <cell r="J81"/>
          <cell r="K81"/>
          <cell r="L81"/>
          <cell r="M81"/>
          <cell r="N81"/>
        </row>
        <row r="82">
          <cell r="H82"/>
          <cell r="I82"/>
          <cell r="J82"/>
          <cell r="K82"/>
          <cell r="L82"/>
          <cell r="M82"/>
          <cell r="N82"/>
        </row>
        <row r="83">
          <cell r="H83"/>
          <cell r="I83"/>
          <cell r="J83"/>
          <cell r="K83"/>
          <cell r="L83"/>
          <cell r="M83"/>
          <cell r="N83"/>
        </row>
        <row r="84">
          <cell r="H84"/>
          <cell r="I84"/>
          <cell r="J84"/>
          <cell r="K84"/>
          <cell r="L84"/>
          <cell r="M84"/>
          <cell r="N84"/>
        </row>
        <row r="85">
          <cell r="H85"/>
          <cell r="I85"/>
          <cell r="J85"/>
          <cell r="K85"/>
          <cell r="L85"/>
          <cell r="M85"/>
          <cell r="N85"/>
        </row>
        <row r="86">
          <cell r="H86"/>
          <cell r="I86"/>
          <cell r="J86"/>
          <cell r="K86"/>
          <cell r="L86"/>
          <cell r="M86"/>
          <cell r="N86"/>
        </row>
        <row r="87">
          <cell r="H87"/>
          <cell r="I87"/>
          <cell r="J87"/>
          <cell r="K87"/>
          <cell r="L87"/>
          <cell r="M87"/>
          <cell r="N87"/>
        </row>
        <row r="95">
          <cell r="H95" t="str">
            <v/>
          </cell>
          <cell r="I95" t="str">
            <v/>
          </cell>
          <cell r="J95" t="str">
            <v/>
          </cell>
          <cell r="K95" t="str">
            <v/>
          </cell>
          <cell r="L95" t="str">
            <v/>
          </cell>
          <cell r="M95" t="str">
            <v/>
          </cell>
          <cell r="N95" t="str">
            <v/>
          </cell>
        </row>
        <row r="106">
          <cell r="L106" t="str">
            <v/>
          </cell>
        </row>
        <row r="113">
          <cell r="H113"/>
          <cell r="I113"/>
          <cell r="J113"/>
          <cell r="K113"/>
          <cell r="L113"/>
          <cell r="M113"/>
          <cell r="N113"/>
        </row>
        <row r="122">
          <cell r="H122"/>
          <cell r="I122"/>
          <cell r="J122"/>
          <cell r="K122"/>
          <cell r="L122"/>
          <cell r="M122"/>
          <cell r="N122"/>
        </row>
        <row r="123">
          <cell r="H123"/>
          <cell r="I123"/>
          <cell r="J123"/>
          <cell r="K123"/>
          <cell r="L123"/>
          <cell r="M123"/>
          <cell r="N123"/>
        </row>
        <row r="129">
          <cell r="H129" t="str">
            <v/>
          </cell>
          <cell r="I129" t="str">
            <v/>
          </cell>
          <cell r="J129" t="str">
            <v/>
          </cell>
          <cell r="K129" t="str">
            <v/>
          </cell>
          <cell r="L129" t="str">
            <v/>
          </cell>
          <cell r="M129" t="str">
            <v/>
          </cell>
          <cell r="N129" t="str">
            <v/>
          </cell>
        </row>
        <row r="140">
          <cell r="L140" t="str">
            <v/>
          </cell>
        </row>
        <row r="147">
          <cell r="H147"/>
          <cell r="I147"/>
          <cell r="J147"/>
          <cell r="K147"/>
          <cell r="L147"/>
          <cell r="M147"/>
          <cell r="N147"/>
        </row>
        <row r="156">
          <cell r="H156"/>
          <cell r="I156"/>
          <cell r="J156"/>
          <cell r="K156"/>
          <cell r="L156"/>
          <cell r="M156"/>
          <cell r="N156"/>
        </row>
        <row r="157">
          <cell r="H157"/>
          <cell r="I157"/>
          <cell r="J157"/>
          <cell r="K157"/>
          <cell r="L157"/>
          <cell r="M157"/>
          <cell r="N157"/>
        </row>
        <row r="163">
          <cell r="H163" t="str">
            <v/>
          </cell>
          <cell r="I163" t="str">
            <v/>
          </cell>
          <cell r="J163" t="str">
            <v/>
          </cell>
          <cell r="K163" t="str">
            <v/>
          </cell>
          <cell r="L163" t="str">
            <v/>
          </cell>
          <cell r="M163" t="str">
            <v/>
          </cell>
          <cell r="N163" t="str">
            <v/>
          </cell>
        </row>
        <row r="174">
          <cell r="L174" t="str">
            <v/>
          </cell>
        </row>
        <row r="181">
          <cell r="H181"/>
          <cell r="I181"/>
          <cell r="J181"/>
          <cell r="K181"/>
          <cell r="L181"/>
          <cell r="M181"/>
          <cell r="N181"/>
        </row>
        <row r="189">
          <cell r="H189"/>
          <cell r="I189"/>
          <cell r="J189"/>
          <cell r="K189"/>
          <cell r="L189"/>
          <cell r="M189"/>
          <cell r="N189"/>
        </row>
        <row r="190">
          <cell r="H190"/>
          <cell r="I190"/>
          <cell r="J190"/>
          <cell r="K190"/>
          <cell r="L190"/>
          <cell r="M190"/>
          <cell r="N190"/>
        </row>
        <row r="191">
          <cell r="H191"/>
          <cell r="I191"/>
          <cell r="J191"/>
          <cell r="K191"/>
          <cell r="L191"/>
          <cell r="M191"/>
          <cell r="N191"/>
        </row>
        <row r="197">
          <cell r="H197" t="str">
            <v/>
          </cell>
          <cell r="I197" t="str">
            <v/>
          </cell>
          <cell r="J197" t="str">
            <v/>
          </cell>
          <cell r="K197" t="str">
            <v/>
          </cell>
          <cell r="L197" t="str">
            <v/>
          </cell>
          <cell r="M197" t="str">
            <v/>
          </cell>
          <cell r="N197" t="str">
            <v/>
          </cell>
        </row>
        <row r="208">
          <cell r="H208" t="str">
            <v/>
          </cell>
          <cell r="I208" t="str">
            <v/>
          </cell>
          <cell r="J208" t="str">
            <v/>
          </cell>
          <cell r="K208" t="str">
            <v/>
          </cell>
          <cell r="L208" t="str">
            <v/>
          </cell>
          <cell r="M208" t="str">
            <v/>
          </cell>
          <cell r="N208" t="str">
            <v/>
          </cell>
        </row>
        <row r="209">
          <cell r="H209" t="str">
            <v/>
          </cell>
          <cell r="I209" t="str">
            <v/>
          </cell>
          <cell r="J209" t="str">
            <v/>
          </cell>
          <cell r="K209" t="str">
            <v/>
          </cell>
          <cell r="L209" t="str">
            <v/>
          </cell>
          <cell r="M209" t="str">
            <v/>
          </cell>
          <cell r="N209" t="str">
            <v/>
          </cell>
        </row>
        <row r="210">
          <cell r="H210" t="str">
            <v/>
          </cell>
          <cell r="I210" t="str">
            <v/>
          </cell>
          <cell r="J210" t="str">
            <v/>
          </cell>
          <cell r="K210" t="str">
            <v/>
          </cell>
          <cell r="L210" t="str">
            <v/>
          </cell>
          <cell r="M210" t="str">
            <v/>
          </cell>
          <cell r="N210" t="str">
            <v/>
          </cell>
        </row>
        <row r="217">
          <cell r="H217" t="str">
            <v/>
          </cell>
          <cell r="I217" t="str">
            <v/>
          </cell>
          <cell r="J217" t="str">
            <v/>
          </cell>
          <cell r="K217" t="str">
            <v/>
          </cell>
          <cell r="L217" t="str">
            <v/>
          </cell>
          <cell r="M217" t="str">
            <v/>
          </cell>
          <cell r="N217" t="str">
            <v/>
          </cell>
        </row>
        <row r="220">
          <cell r="I220" t="str">
            <v/>
          </cell>
          <cell r="J220" t="str">
            <v/>
          </cell>
          <cell r="K220" t="str">
            <v/>
          </cell>
          <cell r="L220" t="str">
            <v/>
          </cell>
          <cell r="M220" t="str">
            <v/>
          </cell>
          <cell r="N220" t="str">
            <v/>
          </cell>
        </row>
        <row r="221">
          <cell r="J221" t="str">
            <v/>
          </cell>
          <cell r="K221" t="str">
            <v/>
          </cell>
          <cell r="L221" t="str">
            <v/>
          </cell>
          <cell r="M221" t="str">
            <v/>
          </cell>
          <cell r="N221" t="str">
            <v/>
          </cell>
        </row>
        <row r="222">
          <cell r="J222" t="str">
            <v/>
          </cell>
          <cell r="K222" t="str">
            <v/>
          </cell>
          <cell r="L222" t="str">
            <v/>
          </cell>
          <cell r="M222" t="str">
            <v/>
          </cell>
          <cell r="N222" t="str">
            <v/>
          </cell>
        </row>
        <row r="223">
          <cell r="I223" t="str">
            <v/>
          </cell>
          <cell r="J223" t="str">
            <v/>
          </cell>
          <cell r="K223" t="str">
            <v/>
          </cell>
          <cell r="L223" t="str">
            <v/>
          </cell>
          <cell r="M223" t="str">
            <v/>
          </cell>
          <cell r="N223" t="str">
            <v/>
          </cell>
        </row>
        <row r="226">
          <cell r="J226" t="str">
            <v/>
          </cell>
          <cell r="K226" t="str">
            <v/>
          </cell>
          <cell r="L226" t="str">
            <v/>
          </cell>
          <cell r="M226" t="str">
            <v/>
          </cell>
          <cell r="N226" t="str">
            <v/>
          </cell>
        </row>
        <row r="228">
          <cell r="J228" t="str">
            <v/>
          </cell>
          <cell r="K228" t="str">
            <v/>
          </cell>
          <cell r="L228" t="str">
            <v/>
          </cell>
          <cell r="M228" t="str">
            <v/>
          </cell>
          <cell r="N228" t="str">
            <v/>
          </cell>
        </row>
        <row r="229">
          <cell r="I229" t="str">
            <v/>
          </cell>
          <cell r="J229" t="str">
            <v/>
          </cell>
          <cell r="K229" t="str">
            <v/>
          </cell>
          <cell r="L229" t="str">
            <v/>
          </cell>
          <cell r="M229" t="str">
            <v/>
          </cell>
          <cell r="N229" t="str">
            <v/>
          </cell>
        </row>
        <row r="242">
          <cell r="L242" t="str">
            <v/>
          </cell>
        </row>
        <row r="255">
          <cell r="H255"/>
          <cell r="I255"/>
          <cell r="J255"/>
          <cell r="K255"/>
          <cell r="L255"/>
          <cell r="M255"/>
          <cell r="N255"/>
        </row>
        <row r="256">
          <cell r="H256"/>
          <cell r="I256"/>
          <cell r="J256"/>
          <cell r="K256"/>
          <cell r="L256"/>
          <cell r="M256"/>
          <cell r="N256"/>
        </row>
        <row r="257">
          <cell r="H257"/>
          <cell r="I257"/>
          <cell r="J257"/>
          <cell r="K257"/>
          <cell r="L257"/>
          <cell r="M257"/>
          <cell r="N257"/>
        </row>
        <row r="258">
          <cell r="H258"/>
          <cell r="I258"/>
          <cell r="J258"/>
          <cell r="K258"/>
          <cell r="L258"/>
          <cell r="M258"/>
          <cell r="N258"/>
        </row>
        <row r="259">
          <cell r="H259"/>
          <cell r="I259"/>
          <cell r="J259"/>
          <cell r="K259"/>
          <cell r="L259"/>
          <cell r="M259"/>
          <cell r="N259"/>
        </row>
        <row r="260">
          <cell r="H260"/>
          <cell r="I260"/>
          <cell r="J260"/>
          <cell r="K260"/>
          <cell r="L260"/>
          <cell r="M260"/>
          <cell r="N260"/>
        </row>
        <row r="261">
          <cell r="H261"/>
          <cell r="I261"/>
          <cell r="J261"/>
          <cell r="K261"/>
          <cell r="L261"/>
          <cell r="M261"/>
          <cell r="N261"/>
        </row>
        <row r="262">
          <cell r="H262"/>
          <cell r="I262"/>
          <cell r="J262"/>
          <cell r="K262"/>
          <cell r="L262"/>
          <cell r="M262"/>
          <cell r="N262"/>
        </row>
        <row r="270">
          <cell r="H270" t="str">
            <v/>
          </cell>
          <cell r="I270" t="str">
            <v/>
          </cell>
          <cell r="J270" t="str">
            <v/>
          </cell>
          <cell r="K270" t="str">
            <v/>
          </cell>
          <cell r="L270" t="str">
            <v/>
          </cell>
          <cell r="M270" t="str">
            <v/>
          </cell>
          <cell r="N270" t="str">
            <v/>
          </cell>
        </row>
        <row r="282">
          <cell r="L282" t="str">
            <v/>
          </cell>
        </row>
        <row r="290">
          <cell r="H290"/>
          <cell r="I290"/>
          <cell r="J290"/>
          <cell r="K290"/>
          <cell r="L290"/>
          <cell r="M290"/>
          <cell r="N290"/>
        </row>
        <row r="296">
          <cell r="H296"/>
          <cell r="I296"/>
          <cell r="J296"/>
          <cell r="K296"/>
          <cell r="L296"/>
          <cell r="M296"/>
          <cell r="N296"/>
        </row>
        <row r="303">
          <cell r="H303" t="str">
            <v/>
          </cell>
          <cell r="I303" t="str">
            <v/>
          </cell>
          <cell r="J303" t="str">
            <v/>
          </cell>
          <cell r="K303" t="str">
            <v/>
          </cell>
          <cell r="L303" t="str">
            <v/>
          </cell>
          <cell r="M303" t="str">
            <v/>
          </cell>
          <cell r="N303" t="str">
            <v/>
          </cell>
        </row>
        <row r="315">
          <cell r="L315" t="str">
            <v/>
          </cell>
        </row>
        <row r="323">
          <cell r="H323"/>
          <cell r="I323"/>
          <cell r="J323"/>
          <cell r="K323"/>
          <cell r="L323"/>
          <cell r="M323"/>
          <cell r="N323"/>
        </row>
        <row r="329">
          <cell r="H329"/>
          <cell r="I329"/>
          <cell r="J329"/>
          <cell r="K329"/>
          <cell r="L329"/>
          <cell r="M329"/>
          <cell r="N329"/>
        </row>
        <row r="336">
          <cell r="H336" t="str">
            <v/>
          </cell>
          <cell r="I336" t="str">
            <v/>
          </cell>
          <cell r="J336" t="str">
            <v/>
          </cell>
          <cell r="K336" t="str">
            <v/>
          </cell>
          <cell r="L336" t="str">
            <v/>
          </cell>
          <cell r="M336" t="str">
            <v/>
          </cell>
          <cell r="N336" t="str">
            <v/>
          </cell>
        </row>
        <row r="347">
          <cell r="L347" t="str">
            <v/>
          </cell>
        </row>
        <row r="355">
          <cell r="H355"/>
          <cell r="I355"/>
          <cell r="J355"/>
          <cell r="K355"/>
          <cell r="L355"/>
          <cell r="M355"/>
          <cell r="N355"/>
        </row>
        <row r="356">
          <cell r="H356"/>
          <cell r="I356"/>
          <cell r="J356"/>
          <cell r="K356"/>
          <cell r="L356"/>
          <cell r="M356"/>
          <cell r="N356"/>
        </row>
        <row r="357">
          <cell r="H357"/>
          <cell r="I357"/>
          <cell r="J357"/>
          <cell r="K357"/>
          <cell r="L357"/>
          <cell r="M357"/>
          <cell r="N357"/>
        </row>
        <row r="358">
          <cell r="H358"/>
          <cell r="I358"/>
          <cell r="J358"/>
          <cell r="K358"/>
          <cell r="L358"/>
          <cell r="M358"/>
          <cell r="N358"/>
        </row>
        <row r="359">
          <cell r="H359" t="str">
            <v/>
          </cell>
          <cell r="I359" t="str">
            <v/>
          </cell>
          <cell r="J359" t="str">
            <v/>
          </cell>
          <cell r="K359" t="str">
            <v/>
          </cell>
          <cell r="L359" t="str">
            <v/>
          </cell>
          <cell r="M359" t="str">
            <v/>
          </cell>
          <cell r="N359" t="str">
            <v/>
          </cell>
        </row>
        <row r="365">
          <cell r="H365" t="str">
            <v/>
          </cell>
          <cell r="I365" t="str">
            <v/>
          </cell>
          <cell r="J365" t="str">
            <v/>
          </cell>
          <cell r="K365" t="str">
            <v/>
          </cell>
          <cell r="L365" t="str">
            <v/>
          </cell>
          <cell r="M365" t="str">
            <v/>
          </cell>
          <cell r="N365" t="str">
            <v/>
          </cell>
        </row>
        <row r="380">
          <cell r="L380" t="str">
            <v/>
          </cell>
        </row>
        <row r="387">
          <cell r="H387"/>
          <cell r="I387"/>
          <cell r="J387"/>
          <cell r="K387"/>
          <cell r="L387"/>
          <cell r="M387"/>
          <cell r="N387"/>
        </row>
        <row r="388">
          <cell r="H388" t="str">
            <v/>
          </cell>
          <cell r="I388" t="str">
            <v/>
          </cell>
          <cell r="J388" t="str">
            <v/>
          </cell>
          <cell r="K388" t="str">
            <v/>
          </cell>
          <cell r="L388" t="str">
            <v/>
          </cell>
          <cell r="M388" t="str">
            <v/>
          </cell>
          <cell r="N388" t="str">
            <v/>
          </cell>
        </row>
        <row r="389">
          <cell r="H389"/>
          <cell r="I389"/>
          <cell r="J389"/>
          <cell r="K389"/>
          <cell r="L389"/>
          <cell r="M389"/>
          <cell r="N389"/>
        </row>
        <row r="390">
          <cell r="H390" t="str">
            <v/>
          </cell>
          <cell r="I390" t="str">
            <v/>
          </cell>
          <cell r="J390" t="str">
            <v/>
          </cell>
          <cell r="K390" t="str">
            <v/>
          </cell>
          <cell r="L390" t="str">
            <v/>
          </cell>
          <cell r="M390" t="str">
            <v/>
          </cell>
          <cell r="N390" t="str">
            <v/>
          </cell>
        </row>
        <row r="391">
          <cell r="H391" t="str">
            <v/>
          </cell>
          <cell r="I391" t="str">
            <v/>
          </cell>
          <cell r="J391" t="str">
            <v/>
          </cell>
          <cell r="K391" t="str">
            <v/>
          </cell>
          <cell r="L391" t="str">
            <v/>
          </cell>
          <cell r="M391" t="str">
            <v/>
          </cell>
          <cell r="N391" t="str">
            <v/>
          </cell>
        </row>
        <row r="393">
          <cell r="H393">
            <v>1</v>
          </cell>
          <cell r="I393">
            <v>1</v>
          </cell>
          <cell r="J393">
            <v>1</v>
          </cell>
          <cell r="K393" t="str">
            <v/>
          </cell>
          <cell r="L393" t="str">
            <v/>
          </cell>
          <cell r="M393" t="str">
            <v/>
          </cell>
          <cell r="N393" t="str">
            <v/>
          </cell>
        </row>
        <row r="398">
          <cell r="I398" t="str">
            <v/>
          </cell>
          <cell r="J398" t="str">
            <v/>
          </cell>
          <cell r="K398" t="str">
            <v/>
          </cell>
          <cell r="L398" t="str">
            <v/>
          </cell>
          <cell r="M398" t="str">
            <v/>
          </cell>
          <cell r="N398" t="str">
            <v/>
          </cell>
        </row>
        <row r="399">
          <cell r="J399" t="str">
            <v/>
          </cell>
          <cell r="K399" t="str">
            <v/>
          </cell>
          <cell r="L399" t="str">
            <v/>
          </cell>
          <cell r="M399" t="str">
            <v/>
          </cell>
          <cell r="N399" t="str">
            <v/>
          </cell>
        </row>
        <row r="400">
          <cell r="J400" t="str">
            <v/>
          </cell>
          <cell r="K400" t="str">
            <v/>
          </cell>
          <cell r="L400" t="str">
            <v/>
          </cell>
          <cell r="M400" t="str">
            <v/>
          </cell>
          <cell r="N400" t="str">
            <v/>
          </cell>
        </row>
        <row r="401">
          <cell r="I401" t="str">
            <v/>
          </cell>
          <cell r="J401" t="str">
            <v/>
          </cell>
          <cell r="K401" t="str">
            <v/>
          </cell>
          <cell r="L401" t="str">
            <v/>
          </cell>
          <cell r="M401" t="str">
            <v/>
          </cell>
          <cell r="N401" t="str">
            <v/>
          </cell>
        </row>
        <row r="404">
          <cell r="J404" t="str">
            <v/>
          </cell>
          <cell r="K404" t="str">
            <v/>
          </cell>
          <cell r="L404" t="str">
            <v/>
          </cell>
          <cell r="M404" t="str">
            <v/>
          </cell>
          <cell r="N404" t="str">
            <v/>
          </cell>
        </row>
        <row r="406">
          <cell r="J406" t="str">
            <v/>
          </cell>
          <cell r="K406" t="str">
            <v/>
          </cell>
          <cell r="L406" t="str">
            <v/>
          </cell>
          <cell r="M406" t="str">
            <v/>
          </cell>
          <cell r="N406" t="str">
            <v/>
          </cell>
        </row>
        <row r="407">
          <cell r="I407" t="str">
            <v/>
          </cell>
          <cell r="J407" t="str">
            <v/>
          </cell>
          <cell r="K407" t="str">
            <v/>
          </cell>
          <cell r="L407" t="str">
            <v/>
          </cell>
          <cell r="M407" t="str">
            <v/>
          </cell>
          <cell r="N407" t="str">
            <v/>
          </cell>
        </row>
      </sheetData>
      <sheetData sheetId="11"/>
      <sheetData sheetId="12"/>
      <sheetData sheetId="13">
        <row r="12">
          <cell r="H12" t="str">
            <v/>
          </cell>
        </row>
        <row r="13">
          <cell r="H13" t="e">
            <v>#N/A</v>
          </cell>
        </row>
        <row r="14">
          <cell r="H14" t="str">
            <v/>
          </cell>
        </row>
        <row r="15">
          <cell r="H15">
            <v>0</v>
          </cell>
        </row>
        <row r="16">
          <cell r="H16" t="str">
            <v/>
          </cell>
        </row>
        <row r="18">
          <cell r="H18" t="str">
            <v/>
          </cell>
          <cell r="M18" t="str">
            <v/>
          </cell>
        </row>
        <row r="19">
          <cell r="H19" t="str">
            <v/>
          </cell>
          <cell r="M19" t="str">
            <v/>
          </cell>
        </row>
        <row r="22">
          <cell r="F22" t="str">
            <v/>
          </cell>
        </row>
        <row r="23">
          <cell r="F23" t="str">
            <v/>
          </cell>
        </row>
        <row r="24">
          <cell r="F24" t="str">
            <v/>
          </cell>
        </row>
        <row r="25">
          <cell r="F25" t="str">
            <v/>
          </cell>
        </row>
        <row r="26">
          <cell r="F26" t="str">
            <v/>
          </cell>
        </row>
        <row r="27">
          <cell r="F27" t="str">
            <v/>
          </cell>
        </row>
        <row r="29">
          <cell r="J29" t="b">
            <v>0</v>
          </cell>
          <cell r="M29" t="b">
            <v>0</v>
          </cell>
        </row>
        <row r="30">
          <cell r="J30" t="b">
            <v>0</v>
          </cell>
          <cell r="M30" t="b">
            <v>0</v>
          </cell>
        </row>
        <row r="31">
          <cell r="J31" t="b">
            <v>0</v>
          </cell>
          <cell r="M31" t="b">
            <v>0</v>
          </cell>
        </row>
        <row r="32">
          <cell r="J32" t="b">
            <v>0</v>
          </cell>
        </row>
        <row r="36">
          <cell r="E36" t="str">
            <v/>
          </cell>
          <cell r="I36" t="str">
            <v/>
          </cell>
          <cell r="L36" t="str">
            <v/>
          </cell>
        </row>
        <row r="37">
          <cell r="E37" t="str">
            <v/>
          </cell>
          <cell r="I37" t="str">
            <v/>
          </cell>
          <cell r="L37" t="str">
            <v/>
          </cell>
        </row>
        <row r="38">
          <cell r="E38" t="str">
            <v/>
          </cell>
          <cell r="I38" t="str">
            <v/>
          </cell>
          <cell r="L38" t="str">
            <v/>
          </cell>
        </row>
        <row r="39">
          <cell r="E39" t="str">
            <v/>
          </cell>
          <cell r="I39" t="str">
            <v/>
          </cell>
          <cell r="L39" t="str">
            <v/>
          </cell>
        </row>
        <row r="40">
          <cell r="E40" t="str">
            <v/>
          </cell>
          <cell r="I40" t="str">
            <v/>
          </cell>
          <cell r="L40" t="str">
            <v/>
          </cell>
        </row>
        <row r="41">
          <cell r="E41" t="str">
            <v/>
          </cell>
          <cell r="I41" t="str">
            <v/>
          </cell>
          <cell r="L41" t="str">
            <v/>
          </cell>
        </row>
        <row r="42">
          <cell r="E42" t="str">
            <v/>
          </cell>
          <cell r="I42" t="str">
            <v/>
          </cell>
          <cell r="L42" t="str">
            <v/>
          </cell>
        </row>
        <row r="43">
          <cell r="E43" t="str">
            <v/>
          </cell>
          <cell r="I43" t="str">
            <v/>
          </cell>
          <cell r="L43" t="str">
            <v/>
          </cell>
        </row>
        <row r="44">
          <cell r="E44" t="str">
            <v/>
          </cell>
          <cell r="I44" t="str">
            <v/>
          </cell>
          <cell r="L44" t="str">
            <v/>
          </cell>
        </row>
        <row r="45">
          <cell r="E45" t="str">
            <v/>
          </cell>
          <cell r="I45" t="str">
            <v/>
          </cell>
          <cell r="L45" t="str">
            <v/>
          </cell>
        </row>
        <row r="51">
          <cell r="I51" t="str">
            <v/>
          </cell>
          <cell r="M51" t="str">
            <v/>
          </cell>
        </row>
        <row r="52">
          <cell r="I52" t="str">
            <v/>
          </cell>
          <cell r="M52" t="str">
            <v/>
          </cell>
        </row>
        <row r="54">
          <cell r="E54" t="str">
            <v/>
          </cell>
        </row>
        <row r="55">
          <cell r="E55" t="str">
            <v/>
          </cell>
        </row>
        <row r="57">
          <cell r="M57" t="b">
            <v>0</v>
          </cell>
        </row>
        <row r="64">
          <cell r="H64" t="str">
            <v/>
          </cell>
          <cell r="I64" t="str">
            <v/>
          </cell>
          <cell r="J64" t="str">
            <v/>
          </cell>
          <cell r="K64" t="str">
            <v/>
          </cell>
          <cell r="L64" t="str">
            <v/>
          </cell>
          <cell r="M64" t="str">
            <v/>
          </cell>
          <cell r="N64" t="str">
            <v/>
          </cell>
        </row>
        <row r="65">
          <cell r="H65" t="str">
            <v/>
          </cell>
          <cell r="I65" t="str">
            <v/>
          </cell>
          <cell r="J65" t="str">
            <v/>
          </cell>
          <cell r="K65" t="str">
            <v/>
          </cell>
          <cell r="L65" t="str">
            <v/>
          </cell>
          <cell r="M65" t="str">
            <v/>
          </cell>
          <cell r="N65" t="str">
            <v/>
          </cell>
        </row>
        <row r="66">
          <cell r="H66" t="str">
            <v/>
          </cell>
          <cell r="I66" t="str">
            <v/>
          </cell>
          <cell r="J66" t="str">
            <v/>
          </cell>
          <cell r="K66" t="str">
            <v/>
          </cell>
          <cell r="L66" t="str">
            <v/>
          </cell>
          <cell r="M66" t="str">
            <v/>
          </cell>
          <cell r="N66" t="str">
            <v/>
          </cell>
        </row>
        <row r="67">
          <cell r="H67" t="str">
            <v/>
          </cell>
          <cell r="I67" t="str">
            <v/>
          </cell>
          <cell r="J67" t="str">
            <v/>
          </cell>
          <cell r="K67" t="str">
            <v/>
          </cell>
          <cell r="L67" t="str">
            <v/>
          </cell>
          <cell r="M67" t="str">
            <v/>
          </cell>
          <cell r="N67" t="str">
            <v/>
          </cell>
        </row>
        <row r="68">
          <cell r="H68" t="str">
            <v/>
          </cell>
          <cell r="I68" t="str">
            <v/>
          </cell>
          <cell r="J68" t="str">
            <v/>
          </cell>
          <cell r="K68" t="str">
            <v/>
          </cell>
          <cell r="L68" t="str">
            <v/>
          </cell>
          <cell r="M68" t="str">
            <v/>
          </cell>
          <cell r="N68" t="str">
            <v/>
          </cell>
        </row>
        <row r="69">
          <cell r="H69" t="str">
            <v/>
          </cell>
          <cell r="I69" t="str">
            <v/>
          </cell>
          <cell r="J69" t="str">
            <v/>
          </cell>
          <cell r="K69" t="str">
            <v/>
          </cell>
          <cell r="L69" t="str">
            <v/>
          </cell>
          <cell r="M69" t="str">
            <v/>
          </cell>
          <cell r="N69" t="str">
            <v/>
          </cell>
        </row>
        <row r="70">
          <cell r="H70" t="str">
            <v/>
          </cell>
          <cell r="I70" t="str">
            <v/>
          </cell>
          <cell r="J70" t="str">
            <v/>
          </cell>
          <cell r="K70" t="str">
            <v/>
          </cell>
          <cell r="L70" t="str">
            <v/>
          </cell>
          <cell r="M70" t="str">
            <v/>
          </cell>
          <cell r="N70" t="str">
            <v/>
          </cell>
        </row>
        <row r="71">
          <cell r="H71" t="str">
            <v/>
          </cell>
          <cell r="I71" t="str">
            <v/>
          </cell>
          <cell r="J71" t="str">
            <v/>
          </cell>
          <cell r="K71" t="str">
            <v/>
          </cell>
          <cell r="L71" t="str">
            <v/>
          </cell>
          <cell r="M71" t="str">
            <v/>
          </cell>
          <cell r="N71" t="str">
            <v/>
          </cell>
        </row>
        <row r="92">
          <cell r="E92" t="str">
            <v/>
          </cell>
          <cell r="H92" t="str">
            <v/>
          </cell>
          <cell r="I92" t="str">
            <v/>
          </cell>
          <cell r="J92" t="str">
            <v/>
          </cell>
          <cell r="K92" t="str">
            <v/>
          </cell>
          <cell r="L92" t="str">
            <v/>
          </cell>
          <cell r="M92" t="str">
            <v/>
          </cell>
          <cell r="N92" t="str">
            <v/>
          </cell>
        </row>
        <row r="93">
          <cell r="E93" t="str">
            <v/>
          </cell>
          <cell r="H93" t="str">
            <v/>
          </cell>
          <cell r="I93" t="str">
            <v/>
          </cell>
          <cell r="J93" t="str">
            <v/>
          </cell>
          <cell r="K93" t="str">
            <v/>
          </cell>
          <cell r="L93" t="str">
            <v/>
          </cell>
          <cell r="M93" t="str">
            <v/>
          </cell>
          <cell r="N93" t="str">
            <v/>
          </cell>
        </row>
        <row r="94">
          <cell r="E94" t="str">
            <v/>
          </cell>
          <cell r="H94" t="str">
            <v/>
          </cell>
          <cell r="I94" t="str">
            <v/>
          </cell>
          <cell r="J94" t="str">
            <v/>
          </cell>
          <cell r="K94" t="str">
            <v/>
          </cell>
          <cell r="L94" t="str">
            <v/>
          </cell>
          <cell r="M94" t="str">
            <v/>
          </cell>
          <cell r="N94" t="str">
            <v/>
          </cell>
        </row>
        <row r="95">
          <cell r="E95" t="str">
            <v/>
          </cell>
          <cell r="H95" t="str">
            <v/>
          </cell>
          <cell r="I95" t="str">
            <v/>
          </cell>
          <cell r="J95" t="str">
            <v/>
          </cell>
          <cell r="K95" t="str">
            <v/>
          </cell>
          <cell r="L95" t="str">
            <v/>
          </cell>
          <cell r="M95" t="str">
            <v/>
          </cell>
          <cell r="N95" t="str">
            <v/>
          </cell>
        </row>
        <row r="96">
          <cell r="E96" t="str">
            <v/>
          </cell>
          <cell r="H96" t="str">
            <v/>
          </cell>
          <cell r="I96" t="str">
            <v/>
          </cell>
          <cell r="J96" t="str">
            <v/>
          </cell>
          <cell r="K96" t="str">
            <v/>
          </cell>
          <cell r="L96" t="str">
            <v/>
          </cell>
          <cell r="M96" t="str">
            <v/>
          </cell>
          <cell r="N96" t="str">
            <v/>
          </cell>
        </row>
        <row r="97">
          <cell r="E97" t="str">
            <v/>
          </cell>
          <cell r="H97" t="str">
            <v/>
          </cell>
          <cell r="I97" t="str">
            <v/>
          </cell>
          <cell r="J97" t="str">
            <v/>
          </cell>
          <cell r="K97" t="str">
            <v/>
          </cell>
          <cell r="L97" t="str">
            <v/>
          </cell>
          <cell r="M97" t="str">
            <v/>
          </cell>
          <cell r="N97" t="str">
            <v/>
          </cell>
        </row>
        <row r="98">
          <cell r="E98" t="str">
            <v/>
          </cell>
          <cell r="H98" t="str">
            <v/>
          </cell>
          <cell r="I98" t="str">
            <v/>
          </cell>
          <cell r="J98" t="str">
            <v/>
          </cell>
          <cell r="K98" t="str">
            <v/>
          </cell>
          <cell r="L98" t="str">
            <v/>
          </cell>
          <cell r="M98" t="str">
            <v/>
          </cell>
          <cell r="N98" t="str">
            <v/>
          </cell>
        </row>
        <row r="99">
          <cell r="E99" t="str">
            <v/>
          </cell>
          <cell r="H99" t="str">
            <v/>
          </cell>
          <cell r="I99" t="str">
            <v/>
          </cell>
          <cell r="J99" t="str">
            <v/>
          </cell>
          <cell r="K99" t="str">
            <v/>
          </cell>
          <cell r="L99" t="str">
            <v/>
          </cell>
          <cell r="M99" t="str">
            <v/>
          </cell>
          <cell r="N99" t="str">
            <v/>
          </cell>
        </row>
        <row r="100">
          <cell r="E100" t="str">
            <v/>
          </cell>
          <cell r="H100" t="str">
            <v/>
          </cell>
          <cell r="I100" t="str">
            <v/>
          </cell>
          <cell r="J100" t="str">
            <v/>
          </cell>
          <cell r="K100" t="str">
            <v/>
          </cell>
          <cell r="L100" t="str">
            <v/>
          </cell>
          <cell r="M100" t="str">
            <v/>
          </cell>
          <cell r="N100" t="str">
            <v/>
          </cell>
        </row>
        <row r="101">
          <cell r="E101" t="str">
            <v/>
          </cell>
          <cell r="H101" t="str">
            <v/>
          </cell>
          <cell r="I101" t="str">
            <v/>
          </cell>
          <cell r="J101" t="str">
            <v/>
          </cell>
          <cell r="K101" t="str">
            <v/>
          </cell>
          <cell r="L101" t="str">
            <v/>
          </cell>
          <cell r="M101" t="str">
            <v/>
          </cell>
          <cell r="N101" t="str">
            <v/>
          </cell>
        </row>
        <row r="102">
          <cell r="H102" t="str">
            <v/>
          </cell>
          <cell r="I102" t="str">
            <v/>
          </cell>
          <cell r="J102" t="str">
            <v/>
          </cell>
          <cell r="K102" t="str">
            <v/>
          </cell>
          <cell r="L102" t="str">
            <v/>
          </cell>
          <cell r="M102" t="str">
            <v/>
          </cell>
          <cell r="N102" t="str">
            <v/>
          </cell>
        </row>
        <row r="103">
          <cell r="H103" t="str">
            <v/>
          </cell>
          <cell r="I103" t="str">
            <v/>
          </cell>
          <cell r="J103" t="str">
            <v/>
          </cell>
          <cell r="K103" t="str">
            <v/>
          </cell>
          <cell r="L103" t="str">
            <v/>
          </cell>
          <cell r="M103" t="str">
            <v/>
          </cell>
          <cell r="N103" t="str">
            <v/>
          </cell>
        </row>
        <row r="104">
          <cell r="H104" t="str">
            <v/>
          </cell>
          <cell r="I104" t="str">
            <v/>
          </cell>
          <cell r="J104" t="str">
            <v/>
          </cell>
          <cell r="K104" t="str">
            <v/>
          </cell>
          <cell r="L104" t="str">
            <v/>
          </cell>
          <cell r="M104" t="str">
            <v/>
          </cell>
          <cell r="N104" t="str">
            <v/>
          </cell>
        </row>
        <row r="105">
          <cell r="H105" t="str">
            <v/>
          </cell>
          <cell r="I105" t="str">
            <v/>
          </cell>
          <cell r="J105" t="str">
            <v/>
          </cell>
          <cell r="K105" t="str">
            <v/>
          </cell>
          <cell r="L105" t="str">
            <v/>
          </cell>
          <cell r="M105" t="str">
            <v/>
          </cell>
          <cell r="N105" t="str">
            <v/>
          </cell>
        </row>
        <row r="106">
          <cell r="H106" t="str">
            <v/>
          </cell>
          <cell r="I106" t="str">
            <v/>
          </cell>
          <cell r="J106" t="str">
            <v/>
          </cell>
          <cell r="K106" t="str">
            <v/>
          </cell>
          <cell r="L106" t="str">
            <v/>
          </cell>
          <cell r="M106" t="str">
            <v/>
          </cell>
          <cell r="N106" t="str">
            <v/>
          </cell>
        </row>
        <row r="107">
          <cell r="H107" t="str">
            <v/>
          </cell>
          <cell r="I107" t="str">
            <v/>
          </cell>
          <cell r="J107" t="str">
            <v/>
          </cell>
          <cell r="K107" t="str">
            <v/>
          </cell>
          <cell r="L107" t="str">
            <v/>
          </cell>
          <cell r="M107" t="str">
            <v/>
          </cell>
          <cell r="N107" t="str">
            <v/>
          </cell>
        </row>
        <row r="108">
          <cell r="H108" t="str">
            <v/>
          </cell>
          <cell r="I108" t="str">
            <v/>
          </cell>
          <cell r="J108" t="str">
            <v/>
          </cell>
          <cell r="K108" t="str">
            <v/>
          </cell>
          <cell r="L108" t="str">
            <v/>
          </cell>
          <cell r="M108" t="str">
            <v/>
          </cell>
          <cell r="N108" t="str">
            <v/>
          </cell>
        </row>
        <row r="109">
          <cell r="H109" t="str">
            <v/>
          </cell>
          <cell r="I109" t="str">
            <v/>
          </cell>
          <cell r="J109" t="str">
            <v/>
          </cell>
          <cell r="K109" t="str">
            <v/>
          </cell>
          <cell r="L109" t="str">
            <v/>
          </cell>
          <cell r="M109" t="str">
            <v/>
          </cell>
          <cell r="N109" t="str">
            <v/>
          </cell>
        </row>
        <row r="112">
          <cell r="E112" t="str">
            <v/>
          </cell>
          <cell r="H112" t="str">
            <v/>
          </cell>
          <cell r="I112" t="str">
            <v/>
          </cell>
          <cell r="J112" t="str">
            <v/>
          </cell>
          <cell r="K112" t="str">
            <v/>
          </cell>
          <cell r="L112" t="str">
            <v/>
          </cell>
          <cell r="M112" t="str">
            <v/>
          </cell>
          <cell r="N112" t="str">
            <v/>
          </cell>
        </row>
        <row r="113">
          <cell r="E113" t="str">
            <v/>
          </cell>
          <cell r="H113" t="str">
            <v/>
          </cell>
          <cell r="I113" t="str">
            <v/>
          </cell>
          <cell r="J113" t="str">
            <v/>
          </cell>
          <cell r="K113" t="str">
            <v/>
          </cell>
          <cell r="L113" t="str">
            <v/>
          </cell>
          <cell r="M113" t="str">
            <v/>
          </cell>
          <cell r="N113" t="str">
            <v/>
          </cell>
        </row>
        <row r="114">
          <cell r="E114" t="str">
            <v/>
          </cell>
          <cell r="H114" t="str">
            <v/>
          </cell>
          <cell r="I114" t="str">
            <v/>
          </cell>
          <cell r="J114" t="str">
            <v/>
          </cell>
          <cell r="K114" t="str">
            <v/>
          </cell>
          <cell r="L114" t="str">
            <v/>
          </cell>
          <cell r="M114" t="str">
            <v/>
          </cell>
          <cell r="N114" t="str">
            <v/>
          </cell>
        </row>
        <row r="115">
          <cell r="E115" t="str">
            <v/>
          </cell>
          <cell r="H115" t="str">
            <v/>
          </cell>
          <cell r="I115" t="str">
            <v/>
          </cell>
          <cell r="J115" t="str">
            <v/>
          </cell>
          <cell r="K115" t="str">
            <v/>
          </cell>
          <cell r="L115" t="str">
            <v/>
          </cell>
          <cell r="M115" t="str">
            <v/>
          </cell>
          <cell r="N115" t="str">
            <v/>
          </cell>
        </row>
        <row r="116">
          <cell r="E116" t="str">
            <v/>
          </cell>
          <cell r="H116" t="str">
            <v/>
          </cell>
          <cell r="I116" t="str">
            <v/>
          </cell>
          <cell r="J116" t="str">
            <v/>
          </cell>
          <cell r="K116" t="str">
            <v/>
          </cell>
          <cell r="L116" t="str">
            <v/>
          </cell>
          <cell r="M116" t="str">
            <v/>
          </cell>
          <cell r="N116" t="str">
            <v/>
          </cell>
        </row>
        <row r="117">
          <cell r="E117" t="str">
            <v/>
          </cell>
          <cell r="H117" t="str">
            <v/>
          </cell>
          <cell r="I117" t="str">
            <v/>
          </cell>
          <cell r="J117" t="str">
            <v/>
          </cell>
          <cell r="K117" t="str">
            <v/>
          </cell>
          <cell r="L117" t="str">
            <v/>
          </cell>
          <cell r="M117" t="str">
            <v/>
          </cell>
          <cell r="N117" t="str">
            <v/>
          </cell>
        </row>
        <row r="118">
          <cell r="E118" t="str">
            <v/>
          </cell>
          <cell r="H118" t="str">
            <v/>
          </cell>
          <cell r="I118" t="str">
            <v/>
          </cell>
          <cell r="J118" t="str">
            <v/>
          </cell>
          <cell r="K118" t="str">
            <v/>
          </cell>
          <cell r="L118" t="str">
            <v/>
          </cell>
          <cell r="M118" t="str">
            <v/>
          </cell>
          <cell r="N118" t="str">
            <v/>
          </cell>
        </row>
        <row r="119">
          <cell r="E119" t="str">
            <v/>
          </cell>
          <cell r="H119" t="str">
            <v/>
          </cell>
          <cell r="I119" t="str">
            <v/>
          </cell>
          <cell r="J119" t="str">
            <v/>
          </cell>
          <cell r="K119" t="str">
            <v/>
          </cell>
          <cell r="L119" t="str">
            <v/>
          </cell>
          <cell r="M119" t="str">
            <v/>
          </cell>
          <cell r="N119" t="str">
            <v/>
          </cell>
        </row>
        <row r="120">
          <cell r="E120" t="str">
            <v/>
          </cell>
          <cell r="H120" t="str">
            <v/>
          </cell>
          <cell r="I120" t="str">
            <v/>
          </cell>
          <cell r="J120" t="str">
            <v/>
          </cell>
          <cell r="K120" t="str">
            <v/>
          </cell>
          <cell r="L120" t="str">
            <v/>
          </cell>
          <cell r="M120" t="str">
            <v/>
          </cell>
          <cell r="N120" t="str">
            <v/>
          </cell>
        </row>
        <row r="121">
          <cell r="E121" t="str">
            <v/>
          </cell>
          <cell r="H121" t="str">
            <v/>
          </cell>
          <cell r="I121" t="str">
            <v/>
          </cell>
          <cell r="J121" t="str">
            <v/>
          </cell>
          <cell r="K121" t="str">
            <v/>
          </cell>
          <cell r="L121" t="str">
            <v/>
          </cell>
          <cell r="M121" t="str">
            <v/>
          </cell>
          <cell r="N121" t="str">
            <v/>
          </cell>
        </row>
        <row r="122">
          <cell r="H122" t="str">
            <v/>
          </cell>
          <cell r="I122" t="str">
            <v/>
          </cell>
          <cell r="J122" t="str">
            <v/>
          </cell>
          <cell r="K122" t="str">
            <v/>
          </cell>
          <cell r="L122" t="str">
            <v/>
          </cell>
          <cell r="M122" t="str">
            <v/>
          </cell>
          <cell r="N122" t="str">
            <v/>
          </cell>
        </row>
        <row r="123">
          <cell r="H123" t="str">
            <v/>
          </cell>
          <cell r="I123" t="str">
            <v/>
          </cell>
          <cell r="J123" t="str">
            <v/>
          </cell>
          <cell r="K123" t="str">
            <v/>
          </cell>
          <cell r="L123" t="str">
            <v/>
          </cell>
          <cell r="M123" t="str">
            <v/>
          </cell>
          <cell r="N123" t="str">
            <v/>
          </cell>
        </row>
        <row r="124">
          <cell r="H124" t="str">
            <v/>
          </cell>
          <cell r="I124" t="str">
            <v/>
          </cell>
          <cell r="J124" t="str">
            <v/>
          </cell>
          <cell r="K124" t="str">
            <v/>
          </cell>
          <cell r="L124" t="str">
            <v/>
          </cell>
          <cell r="M124" t="str">
            <v/>
          </cell>
          <cell r="N124" t="str">
            <v/>
          </cell>
        </row>
        <row r="125">
          <cell r="H125" t="str">
            <v/>
          </cell>
          <cell r="I125" t="str">
            <v/>
          </cell>
          <cell r="J125" t="str">
            <v/>
          </cell>
          <cell r="K125" t="str">
            <v/>
          </cell>
          <cell r="L125" t="str">
            <v/>
          </cell>
          <cell r="M125" t="str">
            <v/>
          </cell>
          <cell r="N125" t="str">
            <v/>
          </cell>
        </row>
        <row r="126">
          <cell r="H126" t="str">
            <v/>
          </cell>
          <cell r="I126" t="str">
            <v/>
          </cell>
          <cell r="J126" t="str">
            <v/>
          </cell>
          <cell r="K126" t="str">
            <v/>
          </cell>
          <cell r="L126" t="str">
            <v/>
          </cell>
          <cell r="M126" t="str">
            <v/>
          </cell>
          <cell r="N126" t="str">
            <v/>
          </cell>
        </row>
        <row r="127">
          <cell r="H127" t="str">
            <v/>
          </cell>
          <cell r="I127" t="str">
            <v/>
          </cell>
          <cell r="J127" t="str">
            <v/>
          </cell>
          <cell r="K127" t="str">
            <v/>
          </cell>
          <cell r="L127" t="str">
            <v/>
          </cell>
          <cell r="M127" t="str">
            <v/>
          </cell>
          <cell r="N127" t="str">
            <v/>
          </cell>
        </row>
        <row r="128">
          <cell r="H128" t="str">
            <v/>
          </cell>
          <cell r="I128" t="str">
            <v/>
          </cell>
          <cell r="J128" t="str">
            <v/>
          </cell>
          <cell r="K128" t="str">
            <v/>
          </cell>
          <cell r="L128" t="str">
            <v/>
          </cell>
          <cell r="M128" t="str">
            <v/>
          </cell>
          <cell r="N128" t="str">
            <v/>
          </cell>
        </row>
        <row r="129">
          <cell r="H129" t="str">
            <v/>
          </cell>
          <cell r="I129" t="str">
            <v/>
          </cell>
          <cell r="J129" t="str">
            <v/>
          </cell>
          <cell r="K129" t="str">
            <v/>
          </cell>
          <cell r="L129" t="str">
            <v/>
          </cell>
          <cell r="M129" t="str">
            <v/>
          </cell>
          <cell r="N129" t="str">
            <v/>
          </cell>
        </row>
        <row r="133">
          <cell r="M133" t="str">
            <v/>
          </cell>
        </row>
        <row r="136">
          <cell r="H136" t="str">
            <v/>
          </cell>
          <cell r="I136" t="str">
            <v/>
          </cell>
          <cell r="J136" t="str">
            <v/>
          </cell>
          <cell r="K136" t="str">
            <v/>
          </cell>
          <cell r="L136" t="str">
            <v/>
          </cell>
          <cell r="M136" t="str">
            <v/>
          </cell>
          <cell r="N136" t="str">
            <v/>
          </cell>
        </row>
        <row r="137">
          <cell r="H137" t="str">
            <v/>
          </cell>
          <cell r="I137" t="str">
            <v/>
          </cell>
          <cell r="J137" t="str">
            <v/>
          </cell>
          <cell r="K137" t="str">
            <v/>
          </cell>
          <cell r="L137" t="str">
            <v/>
          </cell>
          <cell r="M137" t="str">
            <v/>
          </cell>
          <cell r="N137" t="str">
            <v/>
          </cell>
        </row>
        <row r="138">
          <cell r="H138" t="str">
            <v/>
          </cell>
          <cell r="I138" t="str">
            <v/>
          </cell>
          <cell r="J138" t="str">
            <v/>
          </cell>
          <cell r="K138" t="str">
            <v/>
          </cell>
          <cell r="L138" t="str">
            <v/>
          </cell>
          <cell r="M138" t="str">
            <v/>
          </cell>
          <cell r="N138" t="str">
            <v/>
          </cell>
        </row>
        <row r="141">
          <cell r="H141" t="str">
            <v/>
          </cell>
          <cell r="I141" t="str">
            <v/>
          </cell>
          <cell r="J141" t="str">
            <v/>
          </cell>
          <cell r="K141" t="str">
            <v/>
          </cell>
          <cell r="L141" t="str">
            <v/>
          </cell>
          <cell r="M141" t="str">
            <v/>
          </cell>
          <cell r="N141" t="str">
            <v/>
          </cell>
        </row>
        <row r="142">
          <cell r="H142" t="str">
            <v/>
          </cell>
          <cell r="I142" t="str">
            <v/>
          </cell>
          <cell r="J142" t="str">
            <v/>
          </cell>
          <cell r="K142" t="str">
            <v/>
          </cell>
          <cell r="L142" t="str">
            <v/>
          </cell>
          <cell r="M142" t="str">
            <v/>
          </cell>
          <cell r="N142" t="str">
            <v/>
          </cell>
        </row>
        <row r="143">
          <cell r="H143" t="str">
            <v/>
          </cell>
          <cell r="I143" t="str">
            <v/>
          </cell>
          <cell r="J143" t="str">
            <v/>
          </cell>
          <cell r="K143" t="str">
            <v/>
          </cell>
          <cell r="L143" t="str">
            <v/>
          </cell>
          <cell r="M143" t="str">
            <v/>
          </cell>
          <cell r="N143" t="str">
            <v/>
          </cell>
        </row>
        <row r="146">
          <cell r="H146" t="str">
            <v/>
          </cell>
          <cell r="I146" t="str">
            <v/>
          </cell>
          <cell r="J146" t="str">
            <v/>
          </cell>
          <cell r="K146" t="str">
            <v/>
          </cell>
          <cell r="L146" t="str">
            <v/>
          </cell>
          <cell r="M146" t="str">
            <v/>
          </cell>
          <cell r="N146" t="str">
            <v/>
          </cell>
        </row>
        <row r="147">
          <cell r="H147" t="str">
            <v/>
          </cell>
          <cell r="I147" t="str">
            <v/>
          </cell>
          <cell r="J147" t="str">
            <v/>
          </cell>
          <cell r="K147" t="str">
            <v/>
          </cell>
          <cell r="L147" t="str">
            <v/>
          </cell>
          <cell r="M147" t="str">
            <v/>
          </cell>
          <cell r="N147" t="str">
            <v/>
          </cell>
        </row>
        <row r="148">
          <cell r="H148" t="str">
            <v/>
          </cell>
          <cell r="I148" t="str">
            <v/>
          </cell>
          <cell r="J148" t="str">
            <v/>
          </cell>
          <cell r="K148" t="str">
            <v/>
          </cell>
          <cell r="L148" t="str">
            <v/>
          </cell>
          <cell r="M148" t="str">
            <v/>
          </cell>
          <cell r="N148" t="str">
            <v/>
          </cell>
        </row>
        <row r="149">
          <cell r="H149" t="str">
            <v/>
          </cell>
          <cell r="I149" t="str">
            <v/>
          </cell>
          <cell r="J149" t="str">
            <v/>
          </cell>
          <cell r="K149" t="str">
            <v/>
          </cell>
          <cell r="L149" t="str">
            <v/>
          </cell>
          <cell r="M149" t="str">
            <v/>
          </cell>
          <cell r="N149" t="str">
            <v/>
          </cell>
        </row>
        <row r="152">
          <cell r="H152" t="str">
            <v/>
          </cell>
          <cell r="I152" t="str">
            <v/>
          </cell>
          <cell r="J152" t="str">
            <v/>
          </cell>
          <cell r="K152" t="str">
            <v/>
          </cell>
          <cell r="L152" t="str">
            <v/>
          </cell>
          <cell r="M152" t="str">
            <v/>
          </cell>
          <cell r="N152" t="str">
            <v/>
          </cell>
        </row>
        <row r="153">
          <cell r="H153" t="str">
            <v/>
          </cell>
          <cell r="I153" t="str">
            <v/>
          </cell>
          <cell r="J153" t="str">
            <v/>
          </cell>
          <cell r="K153" t="str">
            <v/>
          </cell>
          <cell r="L153" t="str">
            <v/>
          </cell>
          <cell r="M153" t="str">
            <v/>
          </cell>
          <cell r="N153" t="str">
            <v/>
          </cell>
        </row>
        <row r="155">
          <cell r="H155" t="str">
            <v/>
          </cell>
          <cell r="I155" t="str">
            <v/>
          </cell>
          <cell r="J155" t="str">
            <v/>
          </cell>
          <cell r="K155" t="str">
            <v/>
          </cell>
          <cell r="L155" t="str">
            <v/>
          </cell>
          <cell r="M155" t="str">
            <v/>
          </cell>
          <cell r="N155" t="str">
            <v/>
          </cell>
        </row>
        <row r="156">
          <cell r="H156" t="str">
            <v/>
          </cell>
          <cell r="I156" t="str">
            <v/>
          </cell>
          <cell r="J156" t="str">
            <v/>
          </cell>
          <cell r="K156" t="str">
            <v/>
          </cell>
          <cell r="L156" t="str">
            <v/>
          </cell>
          <cell r="M156" t="str">
            <v/>
          </cell>
          <cell r="N156" t="str">
            <v/>
          </cell>
        </row>
        <row r="158">
          <cell r="M158" t="str">
            <v/>
          </cell>
        </row>
        <row r="161">
          <cell r="H161" t="str">
            <v/>
          </cell>
          <cell r="I161" t="str">
            <v/>
          </cell>
          <cell r="J161" t="str">
            <v/>
          </cell>
          <cell r="K161" t="str">
            <v/>
          </cell>
          <cell r="L161" t="str">
            <v/>
          </cell>
          <cell r="M161" t="str">
            <v/>
          </cell>
          <cell r="N161" t="str">
            <v/>
          </cell>
        </row>
        <row r="162">
          <cell r="H162" t="str">
            <v/>
          </cell>
          <cell r="I162" t="str">
            <v/>
          </cell>
          <cell r="J162" t="str">
            <v/>
          </cell>
          <cell r="K162" t="str">
            <v/>
          </cell>
          <cell r="L162" t="str">
            <v/>
          </cell>
          <cell r="M162" t="str">
            <v/>
          </cell>
          <cell r="N162" t="str">
            <v/>
          </cell>
        </row>
        <row r="163">
          <cell r="H163" t="str">
            <v/>
          </cell>
          <cell r="I163" t="str">
            <v/>
          </cell>
          <cell r="J163" t="str">
            <v/>
          </cell>
          <cell r="K163" t="str">
            <v/>
          </cell>
          <cell r="L163" t="str">
            <v/>
          </cell>
          <cell r="M163" t="str">
            <v/>
          </cell>
          <cell r="N163" t="str">
            <v/>
          </cell>
        </row>
        <row r="166">
          <cell r="H166" t="str">
            <v/>
          </cell>
          <cell r="I166" t="str">
            <v/>
          </cell>
          <cell r="J166" t="str">
            <v/>
          </cell>
          <cell r="K166" t="str">
            <v/>
          </cell>
          <cell r="L166" t="str">
            <v/>
          </cell>
          <cell r="M166" t="str">
            <v/>
          </cell>
          <cell r="N166" t="str">
            <v/>
          </cell>
        </row>
        <row r="167">
          <cell r="H167" t="str">
            <v/>
          </cell>
          <cell r="I167" t="str">
            <v/>
          </cell>
          <cell r="J167" t="str">
            <v/>
          </cell>
          <cell r="K167" t="str">
            <v/>
          </cell>
          <cell r="L167" t="str">
            <v/>
          </cell>
          <cell r="M167" t="str">
            <v/>
          </cell>
          <cell r="N167" t="str">
            <v/>
          </cell>
        </row>
        <row r="168">
          <cell r="H168" t="str">
            <v/>
          </cell>
          <cell r="I168" t="str">
            <v/>
          </cell>
          <cell r="J168" t="str">
            <v/>
          </cell>
          <cell r="K168" t="str">
            <v/>
          </cell>
          <cell r="L168" t="str">
            <v/>
          </cell>
          <cell r="M168" t="str">
            <v/>
          </cell>
          <cell r="N168" t="str">
            <v/>
          </cell>
        </row>
        <row r="171">
          <cell r="H171" t="str">
            <v/>
          </cell>
          <cell r="I171" t="str">
            <v/>
          </cell>
          <cell r="J171" t="str">
            <v/>
          </cell>
          <cell r="K171" t="str">
            <v/>
          </cell>
          <cell r="L171" t="str">
            <v/>
          </cell>
          <cell r="M171" t="str">
            <v/>
          </cell>
          <cell r="N171" t="str">
            <v/>
          </cell>
        </row>
        <row r="172">
          <cell r="H172" t="str">
            <v/>
          </cell>
          <cell r="I172" t="str">
            <v/>
          </cell>
          <cell r="J172" t="str">
            <v/>
          </cell>
          <cell r="K172" t="str">
            <v/>
          </cell>
          <cell r="L172" t="str">
            <v/>
          </cell>
          <cell r="M172" t="str">
            <v/>
          </cell>
          <cell r="N172" t="str">
            <v/>
          </cell>
        </row>
        <row r="173">
          <cell r="H173" t="str">
            <v/>
          </cell>
          <cell r="I173" t="str">
            <v/>
          </cell>
          <cell r="J173" t="str">
            <v/>
          </cell>
          <cell r="K173" t="str">
            <v/>
          </cell>
          <cell r="L173" t="str">
            <v/>
          </cell>
          <cell r="M173" t="str">
            <v/>
          </cell>
          <cell r="N173" t="str">
            <v/>
          </cell>
        </row>
        <row r="174">
          <cell r="H174" t="str">
            <v/>
          </cell>
          <cell r="I174" t="str">
            <v/>
          </cell>
          <cell r="J174" t="str">
            <v/>
          </cell>
          <cell r="K174" t="str">
            <v/>
          </cell>
          <cell r="L174" t="str">
            <v/>
          </cell>
          <cell r="M174" t="str">
            <v/>
          </cell>
          <cell r="N174" t="str">
            <v/>
          </cell>
        </row>
        <row r="177">
          <cell r="H177" t="str">
            <v/>
          </cell>
          <cell r="I177" t="str">
            <v/>
          </cell>
          <cell r="J177" t="str">
            <v/>
          </cell>
          <cell r="K177" t="str">
            <v/>
          </cell>
          <cell r="L177" t="str">
            <v/>
          </cell>
          <cell r="M177" t="str">
            <v/>
          </cell>
          <cell r="N177" t="str">
            <v/>
          </cell>
        </row>
        <row r="178">
          <cell r="H178" t="str">
            <v/>
          </cell>
          <cell r="I178" t="str">
            <v/>
          </cell>
          <cell r="J178" t="str">
            <v/>
          </cell>
          <cell r="K178" t="str">
            <v/>
          </cell>
          <cell r="L178" t="str">
            <v/>
          </cell>
          <cell r="M178" t="str">
            <v/>
          </cell>
          <cell r="N178" t="str">
            <v/>
          </cell>
        </row>
        <row r="180">
          <cell r="H180" t="str">
            <v/>
          </cell>
          <cell r="I180" t="str">
            <v/>
          </cell>
          <cell r="J180" t="str">
            <v/>
          </cell>
          <cell r="K180" t="str">
            <v/>
          </cell>
          <cell r="L180" t="str">
            <v/>
          </cell>
          <cell r="M180" t="str">
            <v/>
          </cell>
          <cell r="N180" t="str">
            <v/>
          </cell>
        </row>
        <row r="181">
          <cell r="H181" t="str">
            <v/>
          </cell>
          <cell r="I181" t="str">
            <v/>
          </cell>
          <cell r="J181" t="str">
            <v/>
          </cell>
          <cell r="K181" t="str">
            <v/>
          </cell>
          <cell r="L181" t="str">
            <v/>
          </cell>
          <cell r="M181" t="str">
            <v/>
          </cell>
          <cell r="N181" t="str">
            <v/>
          </cell>
        </row>
        <row r="185">
          <cell r="L185" t="str">
            <v/>
          </cell>
        </row>
        <row r="186">
          <cell r="H186" t="str">
            <v/>
          </cell>
        </row>
        <row r="188">
          <cell r="H188" t="str">
            <v/>
          </cell>
          <cell r="I188" t="str">
            <v/>
          </cell>
          <cell r="J188" t="str">
            <v/>
          </cell>
          <cell r="K188" t="str">
            <v/>
          </cell>
          <cell r="L188" t="str">
            <v/>
          </cell>
          <cell r="M188" t="str">
            <v/>
          </cell>
          <cell r="N188" t="str">
            <v/>
          </cell>
        </row>
        <row r="189">
          <cell r="H189" t="str">
            <v/>
          </cell>
          <cell r="I189" t="str">
            <v/>
          </cell>
          <cell r="J189" t="str">
            <v/>
          </cell>
          <cell r="K189" t="str">
            <v/>
          </cell>
          <cell r="L189" t="str">
            <v/>
          </cell>
          <cell r="M189" t="str">
            <v/>
          </cell>
          <cell r="N189" t="str">
            <v/>
          </cell>
        </row>
        <row r="190">
          <cell r="G190" t="str">
            <v/>
          </cell>
          <cell r="H190" t="str">
            <v/>
          </cell>
          <cell r="I190" t="str">
            <v/>
          </cell>
          <cell r="J190" t="str">
            <v/>
          </cell>
          <cell r="K190" t="str">
            <v/>
          </cell>
          <cell r="L190" t="str">
            <v/>
          </cell>
          <cell r="M190" t="str">
            <v/>
          </cell>
          <cell r="N190" t="str">
            <v/>
          </cell>
        </row>
        <row r="191">
          <cell r="H191" t="str">
            <v/>
          </cell>
          <cell r="I191" t="str">
            <v/>
          </cell>
          <cell r="J191" t="str">
            <v/>
          </cell>
          <cell r="K191" t="str">
            <v/>
          </cell>
          <cell r="L191" t="str">
            <v/>
          </cell>
          <cell r="M191" t="str">
            <v/>
          </cell>
          <cell r="N191" t="str">
            <v/>
          </cell>
        </row>
        <row r="192">
          <cell r="H192" t="str">
            <v/>
          </cell>
          <cell r="I192" t="str">
            <v/>
          </cell>
          <cell r="J192" t="str">
            <v/>
          </cell>
          <cell r="K192" t="str">
            <v/>
          </cell>
          <cell r="L192" t="str">
            <v/>
          </cell>
          <cell r="M192" t="str">
            <v/>
          </cell>
          <cell r="N192" t="str">
            <v/>
          </cell>
        </row>
        <row r="193">
          <cell r="H193" t="str">
            <v/>
          </cell>
          <cell r="I193" t="str">
            <v/>
          </cell>
          <cell r="J193" t="str">
            <v/>
          </cell>
          <cell r="K193" t="str">
            <v/>
          </cell>
          <cell r="L193" t="str">
            <v/>
          </cell>
          <cell r="M193" t="str">
            <v/>
          </cell>
          <cell r="N193" t="str">
            <v/>
          </cell>
        </row>
        <row r="195">
          <cell r="K195" t="str">
            <v/>
          </cell>
          <cell r="N195" t="str">
            <v/>
          </cell>
        </row>
        <row r="197">
          <cell r="L197" t="str">
            <v/>
          </cell>
        </row>
        <row r="198">
          <cell r="H198" t="str">
            <v/>
          </cell>
        </row>
        <row r="200">
          <cell r="H200" t="str">
            <v/>
          </cell>
          <cell r="I200" t="str">
            <v/>
          </cell>
          <cell r="J200" t="str">
            <v/>
          </cell>
          <cell r="K200" t="str">
            <v/>
          </cell>
          <cell r="L200" t="str">
            <v/>
          </cell>
          <cell r="M200" t="str">
            <v/>
          </cell>
          <cell r="N200" t="str">
            <v/>
          </cell>
        </row>
        <row r="201">
          <cell r="H201" t="str">
            <v/>
          </cell>
          <cell r="I201" t="str">
            <v/>
          </cell>
          <cell r="J201" t="str">
            <v/>
          </cell>
          <cell r="K201" t="str">
            <v/>
          </cell>
          <cell r="L201" t="str">
            <v/>
          </cell>
          <cell r="M201" t="str">
            <v/>
          </cell>
          <cell r="N201" t="str">
            <v/>
          </cell>
        </row>
        <row r="202">
          <cell r="G202" t="str">
            <v/>
          </cell>
          <cell r="H202" t="str">
            <v/>
          </cell>
          <cell r="I202" t="str">
            <v/>
          </cell>
          <cell r="J202" t="str">
            <v/>
          </cell>
          <cell r="K202" t="str">
            <v/>
          </cell>
          <cell r="L202" t="str">
            <v/>
          </cell>
          <cell r="M202" t="str">
            <v/>
          </cell>
          <cell r="N202" t="str">
            <v/>
          </cell>
        </row>
        <row r="203">
          <cell r="H203" t="str">
            <v/>
          </cell>
          <cell r="I203" t="str">
            <v/>
          </cell>
          <cell r="J203" t="str">
            <v/>
          </cell>
          <cell r="K203" t="str">
            <v/>
          </cell>
          <cell r="L203" t="str">
            <v/>
          </cell>
          <cell r="M203" t="str">
            <v/>
          </cell>
          <cell r="N203" t="str">
            <v/>
          </cell>
        </row>
        <row r="204">
          <cell r="H204" t="str">
            <v/>
          </cell>
          <cell r="I204" t="str">
            <v/>
          </cell>
          <cell r="J204" t="str">
            <v/>
          </cell>
          <cell r="K204" t="str">
            <v/>
          </cell>
          <cell r="L204" t="str">
            <v/>
          </cell>
          <cell r="M204" t="str">
            <v/>
          </cell>
          <cell r="N204" t="str">
            <v/>
          </cell>
        </row>
        <row r="205">
          <cell r="H205" t="str">
            <v/>
          </cell>
          <cell r="I205" t="str">
            <v/>
          </cell>
          <cell r="J205" t="str">
            <v/>
          </cell>
          <cell r="K205" t="str">
            <v/>
          </cell>
          <cell r="L205" t="str">
            <v/>
          </cell>
          <cell r="M205" t="str">
            <v/>
          </cell>
          <cell r="N205" t="str">
            <v/>
          </cell>
        </row>
        <row r="207">
          <cell r="K207" t="str">
            <v/>
          </cell>
          <cell r="N207" t="str">
            <v/>
          </cell>
        </row>
        <row r="212">
          <cell r="H212" t="str">
            <v/>
          </cell>
          <cell r="I212" t="str">
            <v/>
          </cell>
          <cell r="J212" t="str">
            <v/>
          </cell>
          <cell r="K212" t="str">
            <v/>
          </cell>
          <cell r="L212" t="str">
            <v/>
          </cell>
          <cell r="M212" t="str">
            <v/>
          </cell>
          <cell r="N212" t="str">
            <v/>
          </cell>
        </row>
        <row r="213">
          <cell r="H213" t="str">
            <v/>
          </cell>
          <cell r="I213" t="str">
            <v/>
          </cell>
          <cell r="J213" t="str">
            <v/>
          </cell>
          <cell r="K213" t="str">
            <v/>
          </cell>
          <cell r="L213" t="str">
            <v/>
          </cell>
          <cell r="M213" t="str">
            <v/>
          </cell>
          <cell r="N213" t="str">
            <v/>
          </cell>
        </row>
        <row r="214">
          <cell r="H214" t="str">
            <v/>
          </cell>
          <cell r="I214" t="str">
            <v/>
          </cell>
          <cell r="J214" t="str">
            <v/>
          </cell>
          <cell r="K214" t="str">
            <v/>
          </cell>
          <cell r="L214" t="str">
            <v/>
          </cell>
          <cell r="M214" t="str">
            <v/>
          </cell>
          <cell r="N214" t="str">
            <v/>
          </cell>
        </row>
        <row r="215">
          <cell r="H215" t="str">
            <v/>
          </cell>
          <cell r="I215" t="str">
            <v/>
          </cell>
          <cell r="J215" t="str">
            <v/>
          </cell>
          <cell r="K215" t="str">
            <v/>
          </cell>
          <cell r="L215" t="str">
            <v/>
          </cell>
          <cell r="M215" t="str">
            <v/>
          </cell>
          <cell r="N215" t="str">
            <v/>
          </cell>
        </row>
        <row r="216">
          <cell r="H216" t="str">
            <v/>
          </cell>
          <cell r="I216" t="str">
            <v/>
          </cell>
          <cell r="J216" t="str">
            <v/>
          </cell>
          <cell r="K216" t="str">
            <v/>
          </cell>
          <cell r="L216" t="str">
            <v/>
          </cell>
          <cell r="M216" t="str">
            <v/>
          </cell>
          <cell r="N216" t="str">
            <v/>
          </cell>
        </row>
        <row r="217">
          <cell r="H217" t="str">
            <v/>
          </cell>
          <cell r="I217" t="str">
            <v/>
          </cell>
          <cell r="J217" t="str">
            <v/>
          </cell>
          <cell r="K217" t="str">
            <v/>
          </cell>
          <cell r="L217" t="str">
            <v/>
          </cell>
          <cell r="M217" t="str">
            <v/>
          </cell>
          <cell r="N217" t="str">
            <v/>
          </cell>
        </row>
        <row r="222">
          <cell r="H222" t="str">
            <v/>
          </cell>
          <cell r="I222" t="str">
            <v/>
          </cell>
          <cell r="J222" t="str">
            <v/>
          </cell>
          <cell r="K222" t="str">
            <v/>
          </cell>
          <cell r="L222" t="str">
            <v/>
          </cell>
          <cell r="M222" t="str">
            <v/>
          </cell>
          <cell r="N222" t="str">
            <v/>
          </cell>
        </row>
        <row r="223">
          <cell r="H223" t="str">
            <v/>
          </cell>
          <cell r="I223" t="str">
            <v/>
          </cell>
          <cell r="J223" t="str">
            <v/>
          </cell>
          <cell r="K223" t="str">
            <v/>
          </cell>
          <cell r="L223" t="str">
            <v/>
          </cell>
          <cell r="M223" t="str">
            <v/>
          </cell>
          <cell r="N223" t="str">
            <v/>
          </cell>
        </row>
        <row r="224">
          <cell r="H224" t="str">
            <v/>
          </cell>
          <cell r="I224" t="str">
            <v/>
          </cell>
          <cell r="J224" t="str">
            <v/>
          </cell>
          <cell r="K224" t="str">
            <v/>
          </cell>
          <cell r="L224" t="str">
            <v/>
          </cell>
          <cell r="M224" t="str">
            <v/>
          </cell>
          <cell r="N224" t="str">
            <v/>
          </cell>
        </row>
        <row r="227">
          <cell r="E227" t="str">
            <v/>
          </cell>
          <cell r="H227" t="str">
            <v/>
          </cell>
          <cell r="I227" t="str">
            <v/>
          </cell>
          <cell r="J227" t="str">
            <v/>
          </cell>
          <cell r="K227" t="str">
            <v/>
          </cell>
          <cell r="L227" t="str">
            <v/>
          </cell>
          <cell r="M227" t="str">
            <v/>
          </cell>
          <cell r="N227" t="str">
            <v/>
          </cell>
        </row>
        <row r="228">
          <cell r="E228" t="str">
            <v/>
          </cell>
          <cell r="H228" t="str">
            <v/>
          </cell>
          <cell r="I228" t="str">
            <v/>
          </cell>
          <cell r="J228" t="str">
            <v/>
          </cell>
          <cell r="K228" t="str">
            <v/>
          </cell>
          <cell r="L228" t="str">
            <v/>
          </cell>
          <cell r="M228" t="str">
            <v/>
          </cell>
          <cell r="N228" t="str">
            <v/>
          </cell>
        </row>
        <row r="229">
          <cell r="E229" t="str">
            <v/>
          </cell>
          <cell r="H229" t="str">
            <v/>
          </cell>
          <cell r="I229" t="str">
            <v/>
          </cell>
          <cell r="J229" t="str">
            <v/>
          </cell>
          <cell r="K229" t="str">
            <v/>
          </cell>
          <cell r="L229" t="str">
            <v/>
          </cell>
          <cell r="M229" t="str">
            <v/>
          </cell>
          <cell r="N229" t="str">
            <v/>
          </cell>
        </row>
        <row r="230">
          <cell r="E230" t="str">
            <v/>
          </cell>
          <cell r="H230" t="str">
            <v/>
          </cell>
          <cell r="I230" t="str">
            <v/>
          </cell>
          <cell r="J230" t="str">
            <v/>
          </cell>
          <cell r="K230" t="str">
            <v/>
          </cell>
          <cell r="L230" t="str">
            <v/>
          </cell>
          <cell r="M230" t="str">
            <v/>
          </cell>
          <cell r="N230" t="str">
            <v/>
          </cell>
        </row>
        <row r="231">
          <cell r="E231" t="str">
            <v/>
          </cell>
          <cell r="H231" t="str">
            <v/>
          </cell>
          <cell r="I231" t="str">
            <v/>
          </cell>
          <cell r="J231" t="str">
            <v/>
          </cell>
          <cell r="K231" t="str">
            <v/>
          </cell>
          <cell r="L231" t="str">
            <v/>
          </cell>
          <cell r="M231" t="str">
            <v/>
          </cell>
          <cell r="N231" t="str">
            <v/>
          </cell>
        </row>
        <row r="232">
          <cell r="E232" t="str">
            <v/>
          </cell>
          <cell r="H232" t="str">
            <v/>
          </cell>
          <cell r="I232" t="str">
            <v/>
          </cell>
          <cell r="J232" t="str">
            <v/>
          </cell>
          <cell r="K232" t="str">
            <v/>
          </cell>
          <cell r="L232" t="str">
            <v/>
          </cell>
          <cell r="M232" t="str">
            <v/>
          </cell>
          <cell r="N232" t="str">
            <v/>
          </cell>
        </row>
        <row r="233">
          <cell r="E233" t="str">
            <v/>
          </cell>
          <cell r="H233" t="str">
            <v/>
          </cell>
          <cell r="I233" t="str">
            <v/>
          </cell>
          <cell r="J233" t="str">
            <v/>
          </cell>
          <cell r="K233" t="str">
            <v/>
          </cell>
          <cell r="L233" t="str">
            <v/>
          </cell>
          <cell r="M233" t="str">
            <v/>
          </cell>
          <cell r="N233" t="str">
            <v/>
          </cell>
        </row>
        <row r="234">
          <cell r="E234" t="str">
            <v/>
          </cell>
          <cell r="H234" t="str">
            <v/>
          </cell>
          <cell r="I234" t="str">
            <v/>
          </cell>
          <cell r="J234" t="str">
            <v/>
          </cell>
          <cell r="K234" t="str">
            <v/>
          </cell>
          <cell r="L234" t="str">
            <v/>
          </cell>
          <cell r="M234" t="str">
            <v/>
          </cell>
          <cell r="N234" t="str">
            <v/>
          </cell>
        </row>
        <row r="235">
          <cell r="E235" t="str">
            <v/>
          </cell>
          <cell r="H235" t="str">
            <v/>
          </cell>
          <cell r="I235" t="str">
            <v/>
          </cell>
          <cell r="J235" t="str">
            <v/>
          </cell>
          <cell r="K235" t="str">
            <v/>
          </cell>
          <cell r="L235" t="str">
            <v/>
          </cell>
          <cell r="M235" t="str">
            <v/>
          </cell>
          <cell r="N235" t="str">
            <v/>
          </cell>
        </row>
        <row r="236">
          <cell r="E236" t="str">
            <v/>
          </cell>
          <cell r="H236" t="str">
            <v/>
          </cell>
          <cell r="I236" t="str">
            <v/>
          </cell>
          <cell r="J236" t="str">
            <v/>
          </cell>
          <cell r="K236" t="str">
            <v/>
          </cell>
          <cell r="L236" t="str">
            <v/>
          </cell>
          <cell r="M236" t="str">
            <v/>
          </cell>
          <cell r="N236" t="str">
            <v/>
          </cell>
        </row>
        <row r="237">
          <cell r="H237" t="str">
            <v/>
          </cell>
          <cell r="I237" t="str">
            <v/>
          </cell>
          <cell r="J237" t="str">
            <v/>
          </cell>
          <cell r="K237" t="str">
            <v/>
          </cell>
          <cell r="L237" t="str">
            <v/>
          </cell>
          <cell r="M237" t="str">
            <v/>
          </cell>
          <cell r="N237" t="str">
            <v/>
          </cell>
        </row>
        <row r="238">
          <cell r="H238" t="str">
            <v/>
          </cell>
          <cell r="I238" t="str">
            <v/>
          </cell>
          <cell r="J238" t="str">
            <v/>
          </cell>
          <cell r="K238" t="str">
            <v/>
          </cell>
          <cell r="L238" t="str">
            <v/>
          </cell>
          <cell r="M238" t="str">
            <v/>
          </cell>
          <cell r="N238" t="str">
            <v/>
          </cell>
        </row>
        <row r="239">
          <cell r="H239" t="str">
            <v/>
          </cell>
          <cell r="I239" t="str">
            <v/>
          </cell>
          <cell r="J239" t="str">
            <v/>
          </cell>
          <cell r="K239" t="str">
            <v/>
          </cell>
          <cell r="L239" t="str">
            <v/>
          </cell>
          <cell r="M239" t="str">
            <v/>
          </cell>
          <cell r="N239" t="str">
            <v/>
          </cell>
        </row>
        <row r="240">
          <cell r="H240" t="str">
            <v/>
          </cell>
          <cell r="I240" t="str">
            <v/>
          </cell>
          <cell r="J240" t="str">
            <v/>
          </cell>
          <cell r="K240" t="str">
            <v/>
          </cell>
          <cell r="L240" t="str">
            <v/>
          </cell>
          <cell r="M240" t="str">
            <v/>
          </cell>
          <cell r="N240" t="str">
            <v/>
          </cell>
        </row>
        <row r="241">
          <cell r="H241" t="str">
            <v/>
          </cell>
          <cell r="I241" t="str">
            <v/>
          </cell>
          <cell r="J241" t="str">
            <v/>
          </cell>
          <cell r="K241" t="str">
            <v/>
          </cell>
          <cell r="L241" t="str">
            <v/>
          </cell>
          <cell r="M241" t="str">
            <v/>
          </cell>
          <cell r="N241" t="str">
            <v/>
          </cell>
        </row>
        <row r="247">
          <cell r="H247" t="str">
            <v/>
          </cell>
          <cell r="I247" t="str">
            <v/>
          </cell>
          <cell r="J247" t="str">
            <v/>
          </cell>
          <cell r="K247" t="str">
            <v/>
          </cell>
          <cell r="L247" t="str">
            <v/>
          </cell>
          <cell r="M247" t="str">
            <v/>
          </cell>
          <cell r="N247" t="str">
            <v/>
          </cell>
        </row>
        <row r="251">
          <cell r="E251" t="str">
            <v/>
          </cell>
          <cell r="H251" t="str">
            <v/>
          </cell>
          <cell r="I251" t="str">
            <v/>
          </cell>
          <cell r="J251" t="str">
            <v/>
          </cell>
          <cell r="K251" t="str">
            <v/>
          </cell>
          <cell r="L251" t="str">
            <v/>
          </cell>
          <cell r="M251" t="str">
            <v/>
          </cell>
          <cell r="N251" t="str">
            <v/>
          </cell>
        </row>
        <row r="252">
          <cell r="E252" t="str">
            <v/>
          </cell>
          <cell r="H252" t="str">
            <v/>
          </cell>
          <cell r="I252" t="str">
            <v/>
          </cell>
          <cell r="J252" t="str">
            <v/>
          </cell>
          <cell r="K252" t="str">
            <v/>
          </cell>
          <cell r="L252" t="str">
            <v/>
          </cell>
          <cell r="M252" t="str">
            <v/>
          </cell>
          <cell r="N252" t="str">
            <v/>
          </cell>
        </row>
        <row r="253">
          <cell r="E253" t="str">
            <v/>
          </cell>
          <cell r="H253" t="str">
            <v/>
          </cell>
          <cell r="I253" t="str">
            <v/>
          </cell>
          <cell r="J253" t="str">
            <v/>
          </cell>
          <cell r="K253" t="str">
            <v/>
          </cell>
          <cell r="L253" t="str">
            <v/>
          </cell>
          <cell r="M253" t="str">
            <v/>
          </cell>
          <cell r="N253" t="str">
            <v/>
          </cell>
        </row>
        <row r="254">
          <cell r="H254" t="str">
            <v/>
          </cell>
          <cell r="I254" t="str">
            <v/>
          </cell>
          <cell r="J254" t="str">
            <v/>
          </cell>
          <cell r="K254" t="str">
            <v/>
          </cell>
          <cell r="L254" t="str">
            <v/>
          </cell>
          <cell r="M254" t="str">
            <v/>
          </cell>
          <cell r="N254" t="str">
            <v/>
          </cell>
        </row>
        <row r="258">
          <cell r="E258" t="str">
            <v/>
          </cell>
          <cell r="H258" t="str">
            <v/>
          </cell>
          <cell r="I258" t="str">
            <v/>
          </cell>
          <cell r="J258" t="str">
            <v/>
          </cell>
          <cell r="K258" t="str">
            <v/>
          </cell>
          <cell r="L258" t="str">
            <v/>
          </cell>
          <cell r="M258" t="str">
            <v/>
          </cell>
          <cell r="N258" t="str">
            <v/>
          </cell>
        </row>
        <row r="259">
          <cell r="E259" t="str">
            <v/>
          </cell>
          <cell r="H259" t="str">
            <v/>
          </cell>
          <cell r="I259" t="str">
            <v/>
          </cell>
          <cell r="J259" t="str">
            <v/>
          </cell>
          <cell r="K259" t="str">
            <v/>
          </cell>
          <cell r="L259" t="str">
            <v/>
          </cell>
          <cell r="M259" t="str">
            <v/>
          </cell>
          <cell r="N259" t="str">
            <v/>
          </cell>
        </row>
        <row r="260">
          <cell r="E260" t="str">
            <v/>
          </cell>
          <cell r="H260" t="str">
            <v/>
          </cell>
          <cell r="I260" t="str">
            <v/>
          </cell>
          <cell r="J260" t="str">
            <v/>
          </cell>
          <cell r="K260" t="str">
            <v/>
          </cell>
          <cell r="L260" t="str">
            <v/>
          </cell>
          <cell r="M260" t="str">
            <v/>
          </cell>
          <cell r="N260" t="str">
            <v/>
          </cell>
        </row>
        <row r="261">
          <cell r="H261" t="str">
            <v/>
          </cell>
          <cell r="I261" t="str">
            <v/>
          </cell>
          <cell r="J261" t="str">
            <v/>
          </cell>
          <cell r="K261" t="str">
            <v/>
          </cell>
          <cell r="L261" t="str">
            <v/>
          </cell>
          <cell r="M261" t="str">
            <v/>
          </cell>
          <cell r="N261" t="str">
            <v/>
          </cell>
        </row>
        <row r="264">
          <cell r="H264" t="str">
            <v/>
          </cell>
          <cell r="I264" t="str">
            <v/>
          </cell>
          <cell r="J264" t="str">
            <v/>
          </cell>
          <cell r="K264" t="str">
            <v/>
          </cell>
          <cell r="L264" t="str">
            <v/>
          </cell>
          <cell r="M264" t="str">
            <v/>
          </cell>
          <cell r="N264" t="str">
            <v/>
          </cell>
        </row>
        <row r="267">
          <cell r="H267" t="str">
            <v/>
          </cell>
          <cell r="I267" t="str">
            <v/>
          </cell>
          <cell r="J267" t="str">
            <v/>
          </cell>
          <cell r="K267" t="str">
            <v/>
          </cell>
          <cell r="L267" t="str">
            <v/>
          </cell>
          <cell r="M267" t="str">
            <v/>
          </cell>
          <cell r="N267" t="str">
            <v/>
          </cell>
        </row>
        <row r="270">
          <cell r="H270" t="str">
            <v/>
          </cell>
          <cell r="I270" t="str">
            <v/>
          </cell>
          <cell r="J270" t="str">
            <v/>
          </cell>
          <cell r="K270" t="str">
            <v/>
          </cell>
          <cell r="L270" t="str">
            <v/>
          </cell>
          <cell r="M270" t="str">
            <v/>
          </cell>
          <cell r="N270" t="str">
            <v/>
          </cell>
        </row>
        <row r="274">
          <cell r="H274" t="str">
            <v/>
          </cell>
          <cell r="I274" t="str">
            <v/>
          </cell>
          <cell r="J274" t="str">
            <v/>
          </cell>
          <cell r="K274" t="str">
            <v/>
          </cell>
          <cell r="L274" t="str">
            <v/>
          </cell>
          <cell r="M274" t="str">
            <v/>
          </cell>
          <cell r="N274" t="str">
            <v/>
          </cell>
        </row>
        <row r="275">
          <cell r="H275" t="str">
            <v/>
          </cell>
          <cell r="I275" t="str">
            <v/>
          </cell>
          <cell r="J275" t="str">
            <v/>
          </cell>
          <cell r="K275" t="str">
            <v/>
          </cell>
          <cell r="L275" t="str">
            <v/>
          </cell>
          <cell r="M275" t="str">
            <v/>
          </cell>
          <cell r="N275" t="str">
            <v/>
          </cell>
        </row>
        <row r="276">
          <cell r="H276" t="str">
            <v/>
          </cell>
          <cell r="I276" t="str">
            <v/>
          </cell>
          <cell r="J276" t="str">
            <v/>
          </cell>
          <cell r="K276" t="str">
            <v/>
          </cell>
          <cell r="L276" t="str">
            <v/>
          </cell>
          <cell r="M276" t="str">
            <v/>
          </cell>
          <cell r="N276" t="str">
            <v/>
          </cell>
        </row>
        <row r="280">
          <cell r="E280" t="str">
            <v/>
          </cell>
          <cell r="H280" t="str">
            <v/>
          </cell>
          <cell r="I280" t="str">
            <v/>
          </cell>
          <cell r="J280" t="str">
            <v/>
          </cell>
          <cell r="K280" t="str">
            <v/>
          </cell>
          <cell r="L280" t="str">
            <v/>
          </cell>
          <cell r="M280" t="str">
            <v/>
          </cell>
          <cell r="N280" t="str">
            <v/>
          </cell>
        </row>
        <row r="281">
          <cell r="E281" t="str">
            <v/>
          </cell>
          <cell r="H281" t="str">
            <v/>
          </cell>
          <cell r="I281" t="str">
            <v/>
          </cell>
          <cell r="J281" t="str">
            <v/>
          </cell>
          <cell r="K281" t="str">
            <v/>
          </cell>
          <cell r="L281" t="str">
            <v/>
          </cell>
          <cell r="M281" t="str">
            <v/>
          </cell>
          <cell r="N281" t="str">
            <v/>
          </cell>
        </row>
        <row r="282">
          <cell r="E282" t="str">
            <v/>
          </cell>
          <cell r="H282" t="str">
            <v/>
          </cell>
          <cell r="I282" t="str">
            <v/>
          </cell>
          <cell r="J282" t="str">
            <v/>
          </cell>
          <cell r="K282" t="str">
            <v/>
          </cell>
          <cell r="L282" t="str">
            <v/>
          </cell>
          <cell r="M282" t="str">
            <v/>
          </cell>
          <cell r="N282" t="str">
            <v/>
          </cell>
        </row>
        <row r="283">
          <cell r="E283" t="str">
            <v/>
          </cell>
          <cell r="H283" t="str">
            <v/>
          </cell>
          <cell r="I283" t="str">
            <v/>
          </cell>
          <cell r="J283" t="str">
            <v/>
          </cell>
          <cell r="K283" t="str">
            <v/>
          </cell>
          <cell r="L283" t="str">
            <v/>
          </cell>
          <cell r="M283" t="str">
            <v/>
          </cell>
          <cell r="N283" t="str">
            <v/>
          </cell>
        </row>
        <row r="284">
          <cell r="E284" t="str">
            <v/>
          </cell>
          <cell r="H284" t="str">
            <v/>
          </cell>
          <cell r="I284" t="str">
            <v/>
          </cell>
          <cell r="J284" t="str">
            <v/>
          </cell>
          <cell r="K284" t="str">
            <v/>
          </cell>
          <cell r="L284" t="str">
            <v/>
          </cell>
          <cell r="M284" t="str">
            <v/>
          </cell>
          <cell r="N284" t="str">
            <v/>
          </cell>
        </row>
        <row r="285">
          <cell r="E285" t="str">
            <v/>
          </cell>
          <cell r="H285" t="str">
            <v/>
          </cell>
          <cell r="I285" t="str">
            <v/>
          </cell>
          <cell r="J285" t="str">
            <v/>
          </cell>
          <cell r="K285" t="str">
            <v/>
          </cell>
          <cell r="L285" t="str">
            <v/>
          </cell>
          <cell r="M285" t="str">
            <v/>
          </cell>
          <cell r="N285" t="str">
            <v/>
          </cell>
        </row>
        <row r="286">
          <cell r="E286" t="str">
            <v/>
          </cell>
          <cell r="H286" t="str">
            <v/>
          </cell>
          <cell r="I286" t="str">
            <v/>
          </cell>
          <cell r="J286" t="str">
            <v/>
          </cell>
          <cell r="K286" t="str">
            <v/>
          </cell>
          <cell r="L286" t="str">
            <v/>
          </cell>
          <cell r="M286" t="str">
            <v/>
          </cell>
          <cell r="N286" t="str">
            <v/>
          </cell>
        </row>
        <row r="287">
          <cell r="E287" t="str">
            <v/>
          </cell>
          <cell r="H287" t="str">
            <v/>
          </cell>
          <cell r="I287" t="str">
            <v/>
          </cell>
          <cell r="J287" t="str">
            <v/>
          </cell>
          <cell r="K287" t="str">
            <v/>
          </cell>
          <cell r="L287" t="str">
            <v/>
          </cell>
          <cell r="M287" t="str">
            <v/>
          </cell>
          <cell r="N287" t="str">
            <v/>
          </cell>
        </row>
        <row r="288">
          <cell r="E288" t="str">
            <v/>
          </cell>
          <cell r="H288" t="str">
            <v/>
          </cell>
          <cell r="I288" t="str">
            <v/>
          </cell>
          <cell r="J288" t="str">
            <v/>
          </cell>
          <cell r="K288" t="str">
            <v/>
          </cell>
          <cell r="L288" t="str">
            <v/>
          </cell>
          <cell r="M288" t="str">
            <v/>
          </cell>
          <cell r="N288" t="str">
            <v/>
          </cell>
        </row>
        <row r="289">
          <cell r="E289" t="str">
            <v/>
          </cell>
          <cell r="H289" t="str">
            <v/>
          </cell>
          <cell r="I289" t="str">
            <v/>
          </cell>
          <cell r="J289" t="str">
            <v/>
          </cell>
          <cell r="K289" t="str">
            <v/>
          </cell>
          <cell r="L289" t="str">
            <v/>
          </cell>
          <cell r="M289" t="str">
            <v/>
          </cell>
          <cell r="N289" t="str">
            <v/>
          </cell>
        </row>
        <row r="290">
          <cell r="H290" t="str">
            <v/>
          </cell>
          <cell r="I290" t="str">
            <v/>
          </cell>
          <cell r="J290" t="str">
            <v/>
          </cell>
          <cell r="K290" t="str">
            <v/>
          </cell>
          <cell r="L290" t="str">
            <v/>
          </cell>
          <cell r="M290" t="str">
            <v/>
          </cell>
          <cell r="N290" t="str">
            <v/>
          </cell>
        </row>
        <row r="293">
          <cell r="H293" t="str">
            <v/>
          </cell>
          <cell r="I293" t="str">
            <v/>
          </cell>
          <cell r="J293" t="str">
            <v/>
          </cell>
          <cell r="K293" t="str">
            <v/>
          </cell>
          <cell r="L293" t="str">
            <v/>
          </cell>
          <cell r="M293" t="str">
            <v/>
          </cell>
          <cell r="N293" t="str">
            <v/>
          </cell>
        </row>
        <row r="296">
          <cell r="H296" t="str">
            <v/>
          </cell>
          <cell r="I296" t="str">
            <v/>
          </cell>
          <cell r="J296" t="str">
            <v/>
          </cell>
          <cell r="K296" t="str">
            <v/>
          </cell>
          <cell r="L296" t="str">
            <v/>
          </cell>
          <cell r="M296" t="str">
            <v/>
          </cell>
          <cell r="N296" t="str">
            <v/>
          </cell>
        </row>
        <row r="299">
          <cell r="H299" t="str">
            <v/>
          </cell>
          <cell r="I299" t="str">
            <v/>
          </cell>
          <cell r="J299" t="str">
            <v/>
          </cell>
          <cell r="K299" t="str">
            <v/>
          </cell>
          <cell r="L299" t="str">
            <v/>
          </cell>
          <cell r="M299" t="str">
            <v/>
          </cell>
          <cell r="N299" t="str">
            <v/>
          </cell>
        </row>
        <row r="303">
          <cell r="E303" t="str">
            <v/>
          </cell>
          <cell r="H303" t="str">
            <v/>
          </cell>
          <cell r="I303" t="str">
            <v/>
          </cell>
          <cell r="J303" t="str">
            <v/>
          </cell>
          <cell r="K303" t="str">
            <v/>
          </cell>
          <cell r="L303" t="str">
            <v/>
          </cell>
          <cell r="M303" t="str">
            <v/>
          </cell>
          <cell r="N303" t="str">
            <v/>
          </cell>
        </row>
        <row r="304">
          <cell r="E304" t="str">
            <v/>
          </cell>
          <cell r="H304" t="str">
            <v/>
          </cell>
          <cell r="I304" t="str">
            <v/>
          </cell>
          <cell r="J304" t="str">
            <v/>
          </cell>
          <cell r="K304" t="str">
            <v/>
          </cell>
          <cell r="L304" t="str">
            <v/>
          </cell>
          <cell r="M304" t="str">
            <v/>
          </cell>
          <cell r="N304" t="str">
            <v/>
          </cell>
        </row>
        <row r="305">
          <cell r="E305" t="str">
            <v/>
          </cell>
          <cell r="H305" t="str">
            <v/>
          </cell>
          <cell r="I305" t="str">
            <v/>
          </cell>
          <cell r="J305" t="str">
            <v/>
          </cell>
          <cell r="K305" t="str">
            <v/>
          </cell>
          <cell r="L305" t="str">
            <v/>
          </cell>
          <cell r="M305" t="str">
            <v/>
          </cell>
          <cell r="N305" t="str">
            <v/>
          </cell>
        </row>
        <row r="306">
          <cell r="E306" t="str">
            <v/>
          </cell>
          <cell r="H306" t="str">
            <v/>
          </cell>
          <cell r="I306" t="str">
            <v/>
          </cell>
          <cell r="J306" t="str">
            <v/>
          </cell>
          <cell r="K306" t="str">
            <v/>
          </cell>
          <cell r="L306" t="str">
            <v/>
          </cell>
          <cell r="M306" t="str">
            <v/>
          </cell>
          <cell r="N306" t="str">
            <v/>
          </cell>
        </row>
        <row r="307">
          <cell r="E307" t="str">
            <v/>
          </cell>
          <cell r="H307" t="str">
            <v/>
          </cell>
          <cell r="I307" t="str">
            <v/>
          </cell>
          <cell r="J307" t="str">
            <v/>
          </cell>
          <cell r="K307" t="str">
            <v/>
          </cell>
          <cell r="L307" t="str">
            <v/>
          </cell>
          <cell r="M307" t="str">
            <v/>
          </cell>
          <cell r="N307" t="str">
            <v/>
          </cell>
        </row>
        <row r="308">
          <cell r="H308" t="str">
            <v/>
          </cell>
          <cell r="I308" t="str">
            <v/>
          </cell>
          <cell r="J308" t="str">
            <v/>
          </cell>
          <cell r="K308" t="str">
            <v/>
          </cell>
          <cell r="L308" t="str">
            <v/>
          </cell>
          <cell r="M308" t="str">
            <v/>
          </cell>
          <cell r="N308" t="str">
            <v/>
          </cell>
        </row>
        <row r="313">
          <cell r="H313" t="str">
            <v/>
          </cell>
          <cell r="I313" t="str">
            <v/>
          </cell>
          <cell r="J313" t="str">
            <v/>
          </cell>
          <cell r="K313" t="str">
            <v/>
          </cell>
          <cell r="L313" t="str">
            <v/>
          </cell>
          <cell r="M313" t="str">
            <v/>
          </cell>
          <cell r="N313" t="str">
            <v/>
          </cell>
        </row>
        <row r="315">
          <cell r="H315" t="str">
            <v/>
          </cell>
          <cell r="I315" t="str">
            <v/>
          </cell>
          <cell r="J315" t="str">
            <v/>
          </cell>
          <cell r="K315" t="str">
            <v/>
          </cell>
          <cell r="L315" t="str">
            <v/>
          </cell>
          <cell r="M315" t="str">
            <v/>
          </cell>
          <cell r="N315" t="str">
            <v/>
          </cell>
        </row>
        <row r="316">
          <cell r="H316" t="str">
            <v/>
          </cell>
          <cell r="I316" t="str">
            <v/>
          </cell>
          <cell r="J316" t="str">
            <v/>
          </cell>
          <cell r="K316" t="str">
            <v/>
          </cell>
          <cell r="L316" t="str">
            <v/>
          </cell>
          <cell r="M316" t="str">
            <v/>
          </cell>
          <cell r="N316" t="str">
            <v/>
          </cell>
        </row>
        <row r="319">
          <cell r="H319" t="str">
            <v/>
          </cell>
          <cell r="I319" t="str">
            <v/>
          </cell>
          <cell r="J319" t="str">
            <v/>
          </cell>
          <cell r="K319" t="str">
            <v/>
          </cell>
          <cell r="L319" t="str">
            <v/>
          </cell>
          <cell r="M319" t="str">
            <v/>
          </cell>
          <cell r="N319" t="str">
            <v/>
          </cell>
        </row>
        <row r="322">
          <cell r="H322" t="str">
            <v/>
          </cell>
          <cell r="I322" t="str">
            <v/>
          </cell>
          <cell r="J322" t="str">
            <v/>
          </cell>
          <cell r="K322" t="str">
            <v/>
          </cell>
          <cell r="L322" t="str">
            <v/>
          </cell>
          <cell r="M322" t="str">
            <v/>
          </cell>
          <cell r="N322" t="str">
            <v/>
          </cell>
        </row>
        <row r="326">
          <cell r="E326" t="str">
            <v/>
          </cell>
          <cell r="H326" t="str">
            <v/>
          </cell>
          <cell r="I326" t="str">
            <v/>
          </cell>
          <cell r="J326" t="str">
            <v/>
          </cell>
          <cell r="K326" t="str">
            <v/>
          </cell>
          <cell r="L326" t="str">
            <v/>
          </cell>
          <cell r="M326" t="str">
            <v/>
          </cell>
          <cell r="N326" t="str">
            <v/>
          </cell>
        </row>
        <row r="327">
          <cell r="E327" t="str">
            <v/>
          </cell>
          <cell r="H327" t="str">
            <v/>
          </cell>
          <cell r="I327" t="str">
            <v/>
          </cell>
          <cell r="J327" t="str">
            <v/>
          </cell>
          <cell r="K327" t="str">
            <v/>
          </cell>
          <cell r="L327" t="str">
            <v/>
          </cell>
          <cell r="M327" t="str">
            <v/>
          </cell>
          <cell r="N327" t="str">
            <v/>
          </cell>
        </row>
        <row r="328">
          <cell r="E328" t="str">
            <v/>
          </cell>
          <cell r="H328" t="str">
            <v/>
          </cell>
          <cell r="I328" t="str">
            <v/>
          </cell>
          <cell r="J328" t="str">
            <v/>
          </cell>
          <cell r="K328" t="str">
            <v/>
          </cell>
          <cell r="L328" t="str">
            <v/>
          </cell>
          <cell r="M328" t="str">
            <v/>
          </cell>
          <cell r="N328" t="str">
            <v/>
          </cell>
        </row>
        <row r="329">
          <cell r="E329" t="str">
            <v/>
          </cell>
          <cell r="H329" t="str">
            <v/>
          </cell>
          <cell r="I329" t="str">
            <v/>
          </cell>
          <cell r="J329" t="str">
            <v/>
          </cell>
          <cell r="K329" t="str">
            <v/>
          </cell>
          <cell r="L329" t="str">
            <v/>
          </cell>
          <cell r="M329" t="str">
            <v/>
          </cell>
          <cell r="N329" t="str">
            <v/>
          </cell>
        </row>
        <row r="330">
          <cell r="E330" t="str">
            <v/>
          </cell>
          <cell r="H330" t="str">
            <v/>
          </cell>
          <cell r="I330" t="str">
            <v/>
          </cell>
          <cell r="J330" t="str">
            <v/>
          </cell>
          <cell r="K330" t="str">
            <v/>
          </cell>
          <cell r="L330" t="str">
            <v/>
          </cell>
          <cell r="M330" t="str">
            <v/>
          </cell>
          <cell r="N330" t="str">
            <v/>
          </cell>
        </row>
        <row r="331">
          <cell r="H331" t="str">
            <v/>
          </cell>
          <cell r="I331" t="str">
            <v/>
          </cell>
          <cell r="J331" t="str">
            <v/>
          </cell>
          <cell r="K331" t="str">
            <v/>
          </cell>
          <cell r="L331" t="str">
            <v/>
          </cell>
          <cell r="M331" t="str">
            <v/>
          </cell>
          <cell r="N331" t="str">
            <v/>
          </cell>
        </row>
        <row r="335">
          <cell r="H335" t="str">
            <v/>
          </cell>
          <cell r="I335" t="str">
            <v/>
          </cell>
          <cell r="J335" t="str">
            <v/>
          </cell>
          <cell r="K335" t="str">
            <v/>
          </cell>
          <cell r="L335" t="str">
            <v/>
          </cell>
          <cell r="M335" t="str">
            <v/>
          </cell>
          <cell r="N335" t="str">
            <v/>
          </cell>
        </row>
        <row r="336">
          <cell r="H336" t="str">
            <v/>
          </cell>
          <cell r="I336" t="str">
            <v/>
          </cell>
          <cell r="J336" t="str">
            <v/>
          </cell>
          <cell r="K336" t="str">
            <v/>
          </cell>
          <cell r="L336" t="str">
            <v/>
          </cell>
          <cell r="M336" t="str">
            <v/>
          </cell>
          <cell r="N336" t="str">
            <v/>
          </cell>
        </row>
        <row r="339">
          <cell r="H339" t="str">
            <v/>
          </cell>
          <cell r="I339" t="str">
            <v/>
          </cell>
          <cell r="J339" t="str">
            <v/>
          </cell>
          <cell r="K339" t="str">
            <v/>
          </cell>
          <cell r="L339" t="str">
            <v/>
          </cell>
          <cell r="M339" t="str">
            <v/>
          </cell>
          <cell r="N339" t="str">
            <v/>
          </cell>
        </row>
        <row r="343">
          <cell r="H343" t="str">
            <v/>
          </cell>
          <cell r="I343" t="str">
            <v/>
          </cell>
          <cell r="J343" t="str">
            <v/>
          </cell>
          <cell r="K343" t="str">
            <v/>
          </cell>
          <cell r="L343" t="str">
            <v/>
          </cell>
          <cell r="M343" t="str">
            <v/>
          </cell>
          <cell r="N343" t="str">
            <v/>
          </cell>
        </row>
        <row r="347">
          <cell r="H347" t="str">
            <v/>
          </cell>
          <cell r="I347" t="str">
            <v/>
          </cell>
          <cell r="J347" t="str">
            <v/>
          </cell>
          <cell r="K347" t="str">
            <v/>
          </cell>
          <cell r="L347" t="str">
            <v/>
          </cell>
          <cell r="M347" t="str">
            <v/>
          </cell>
          <cell r="N347" t="str">
            <v/>
          </cell>
        </row>
        <row r="348">
          <cell r="H348" t="str">
            <v/>
          </cell>
          <cell r="I348" t="str">
            <v/>
          </cell>
          <cell r="J348" t="str">
            <v/>
          </cell>
          <cell r="K348" t="str">
            <v/>
          </cell>
          <cell r="L348" t="str">
            <v/>
          </cell>
          <cell r="M348" t="str">
            <v/>
          </cell>
          <cell r="N348" t="str">
            <v/>
          </cell>
        </row>
        <row r="349">
          <cell r="H349" t="str">
            <v/>
          </cell>
          <cell r="I349" t="str">
            <v/>
          </cell>
          <cell r="J349" t="str">
            <v/>
          </cell>
          <cell r="K349" t="str">
            <v/>
          </cell>
          <cell r="L349" t="str">
            <v/>
          </cell>
          <cell r="M349" t="str">
            <v/>
          </cell>
          <cell r="N349" t="str">
            <v/>
          </cell>
        </row>
        <row r="355">
          <cell r="E355" t="str">
            <v/>
          </cell>
          <cell r="H355" t="str">
            <v/>
          </cell>
          <cell r="I355" t="str">
            <v/>
          </cell>
          <cell r="J355" t="str">
            <v/>
          </cell>
          <cell r="K355" t="str">
            <v/>
          </cell>
          <cell r="L355" t="str">
            <v/>
          </cell>
          <cell r="M355" t="str">
            <v/>
          </cell>
          <cell r="N355" t="str">
            <v/>
          </cell>
        </row>
        <row r="356">
          <cell r="E356" t="str">
            <v/>
          </cell>
          <cell r="H356" t="str">
            <v/>
          </cell>
          <cell r="I356" t="str">
            <v/>
          </cell>
          <cell r="J356" t="str">
            <v/>
          </cell>
          <cell r="K356" t="str">
            <v/>
          </cell>
          <cell r="L356" t="str">
            <v/>
          </cell>
          <cell r="M356" t="str">
            <v/>
          </cell>
          <cell r="N356" t="str">
            <v/>
          </cell>
        </row>
        <row r="357">
          <cell r="E357" t="str">
            <v/>
          </cell>
          <cell r="H357" t="str">
            <v/>
          </cell>
          <cell r="I357" t="str">
            <v/>
          </cell>
          <cell r="J357" t="str">
            <v/>
          </cell>
          <cell r="K357" t="str">
            <v/>
          </cell>
          <cell r="L357" t="str">
            <v/>
          </cell>
          <cell r="M357" t="str">
            <v/>
          </cell>
          <cell r="N357" t="str">
            <v/>
          </cell>
        </row>
        <row r="358">
          <cell r="E358" t="str">
            <v/>
          </cell>
          <cell r="H358" t="str">
            <v/>
          </cell>
          <cell r="I358" t="str">
            <v/>
          </cell>
          <cell r="J358" t="str">
            <v/>
          </cell>
          <cell r="K358" t="str">
            <v/>
          </cell>
          <cell r="L358" t="str">
            <v/>
          </cell>
          <cell r="M358" t="str">
            <v/>
          </cell>
          <cell r="N358" t="str">
            <v/>
          </cell>
        </row>
        <row r="359">
          <cell r="E359" t="str">
            <v/>
          </cell>
          <cell r="H359" t="str">
            <v/>
          </cell>
          <cell r="I359" t="str">
            <v/>
          </cell>
          <cell r="J359" t="str">
            <v/>
          </cell>
          <cell r="K359" t="str">
            <v/>
          </cell>
          <cell r="L359" t="str">
            <v/>
          </cell>
          <cell r="M359" t="str">
            <v/>
          </cell>
          <cell r="N359" t="str">
            <v/>
          </cell>
        </row>
        <row r="360">
          <cell r="E360" t="str">
            <v/>
          </cell>
          <cell r="H360" t="str">
            <v/>
          </cell>
          <cell r="I360" t="str">
            <v/>
          </cell>
          <cell r="J360" t="str">
            <v/>
          </cell>
          <cell r="K360" t="str">
            <v/>
          </cell>
          <cell r="L360" t="str">
            <v/>
          </cell>
          <cell r="M360" t="str">
            <v/>
          </cell>
          <cell r="N360" t="str">
            <v/>
          </cell>
        </row>
        <row r="361">
          <cell r="E361" t="str">
            <v/>
          </cell>
          <cell r="H361" t="str">
            <v/>
          </cell>
          <cell r="I361" t="str">
            <v/>
          </cell>
          <cell r="J361" t="str">
            <v/>
          </cell>
          <cell r="K361" t="str">
            <v/>
          </cell>
          <cell r="L361" t="str">
            <v/>
          </cell>
          <cell r="M361" t="str">
            <v/>
          </cell>
          <cell r="N361" t="str">
            <v/>
          </cell>
        </row>
        <row r="362">
          <cell r="E362" t="str">
            <v/>
          </cell>
          <cell r="H362" t="str">
            <v/>
          </cell>
          <cell r="I362" t="str">
            <v/>
          </cell>
          <cell r="J362" t="str">
            <v/>
          </cell>
          <cell r="K362" t="str">
            <v/>
          </cell>
          <cell r="L362" t="str">
            <v/>
          </cell>
          <cell r="M362" t="str">
            <v/>
          </cell>
          <cell r="N362" t="str">
            <v/>
          </cell>
        </row>
        <row r="363">
          <cell r="E363" t="str">
            <v/>
          </cell>
          <cell r="H363" t="str">
            <v/>
          </cell>
          <cell r="I363" t="str">
            <v/>
          </cell>
          <cell r="J363" t="str">
            <v/>
          </cell>
          <cell r="K363" t="str">
            <v/>
          </cell>
          <cell r="L363" t="str">
            <v/>
          </cell>
          <cell r="M363" t="str">
            <v/>
          </cell>
          <cell r="N363" t="str">
            <v/>
          </cell>
        </row>
        <row r="364">
          <cell r="E364" t="str">
            <v/>
          </cell>
          <cell r="H364" t="str">
            <v/>
          </cell>
          <cell r="I364" t="str">
            <v/>
          </cell>
          <cell r="J364" t="str">
            <v/>
          </cell>
          <cell r="K364" t="str">
            <v/>
          </cell>
          <cell r="L364" t="str">
            <v/>
          </cell>
          <cell r="M364" t="str">
            <v/>
          </cell>
          <cell r="N364" t="str">
            <v/>
          </cell>
        </row>
        <row r="365">
          <cell r="H365" t="str">
            <v/>
          </cell>
          <cell r="I365" t="str">
            <v/>
          </cell>
          <cell r="J365" t="str">
            <v/>
          </cell>
          <cell r="K365" t="str">
            <v/>
          </cell>
          <cell r="L365" t="str">
            <v/>
          </cell>
          <cell r="M365" t="str">
            <v/>
          </cell>
          <cell r="N365" t="str">
            <v/>
          </cell>
        </row>
        <row r="369">
          <cell r="H369" t="str">
            <v/>
          </cell>
          <cell r="I369" t="str">
            <v/>
          </cell>
          <cell r="J369" t="str">
            <v/>
          </cell>
          <cell r="K369" t="str">
            <v/>
          </cell>
          <cell r="L369" t="str">
            <v/>
          </cell>
          <cell r="M369" t="str">
            <v/>
          </cell>
          <cell r="N369" t="str">
            <v/>
          </cell>
        </row>
        <row r="370">
          <cell r="H370" t="str">
            <v/>
          </cell>
          <cell r="I370" t="str">
            <v/>
          </cell>
          <cell r="J370" t="str">
            <v/>
          </cell>
          <cell r="K370" t="str">
            <v/>
          </cell>
          <cell r="L370" t="str">
            <v/>
          </cell>
          <cell r="M370" t="str">
            <v/>
          </cell>
          <cell r="N370" t="str">
            <v/>
          </cell>
        </row>
        <row r="371">
          <cell r="H371" t="str">
            <v/>
          </cell>
          <cell r="I371" t="str">
            <v/>
          </cell>
          <cell r="J371" t="str">
            <v/>
          </cell>
          <cell r="K371" t="str">
            <v/>
          </cell>
          <cell r="L371" t="str">
            <v/>
          </cell>
          <cell r="M371" t="str">
            <v/>
          </cell>
          <cell r="N371" t="str">
            <v/>
          </cell>
        </row>
        <row r="374">
          <cell r="H374" t="str">
            <v/>
          </cell>
          <cell r="I374" t="str">
            <v/>
          </cell>
          <cell r="J374" t="str">
            <v/>
          </cell>
          <cell r="K374" t="str">
            <v/>
          </cell>
          <cell r="L374" t="str">
            <v/>
          </cell>
          <cell r="M374" t="str">
            <v/>
          </cell>
          <cell r="N374" t="str">
            <v/>
          </cell>
        </row>
        <row r="378">
          <cell r="E378" t="str">
            <v/>
          </cell>
          <cell r="H378" t="str">
            <v/>
          </cell>
          <cell r="I378" t="str">
            <v/>
          </cell>
          <cell r="J378" t="str">
            <v/>
          </cell>
          <cell r="K378" t="str">
            <v/>
          </cell>
          <cell r="L378" t="str">
            <v/>
          </cell>
          <cell r="M378" t="str">
            <v/>
          </cell>
          <cell r="N378" t="str">
            <v/>
          </cell>
        </row>
        <row r="379">
          <cell r="E379" t="str">
            <v/>
          </cell>
          <cell r="H379" t="str">
            <v/>
          </cell>
          <cell r="I379" t="str">
            <v/>
          </cell>
          <cell r="J379" t="str">
            <v/>
          </cell>
          <cell r="K379" t="str">
            <v/>
          </cell>
          <cell r="L379" t="str">
            <v/>
          </cell>
          <cell r="M379" t="str">
            <v/>
          </cell>
          <cell r="N379" t="str">
            <v/>
          </cell>
        </row>
        <row r="380">
          <cell r="E380" t="str">
            <v/>
          </cell>
          <cell r="H380" t="str">
            <v/>
          </cell>
          <cell r="I380" t="str">
            <v/>
          </cell>
          <cell r="J380" t="str">
            <v/>
          </cell>
          <cell r="K380" t="str">
            <v/>
          </cell>
          <cell r="L380" t="str">
            <v/>
          </cell>
          <cell r="M380" t="str">
            <v/>
          </cell>
          <cell r="N380" t="str">
            <v/>
          </cell>
        </row>
        <row r="381">
          <cell r="H381" t="str">
            <v/>
          </cell>
          <cell r="I381" t="str">
            <v/>
          </cell>
          <cell r="J381" t="str">
            <v/>
          </cell>
          <cell r="K381" t="str">
            <v/>
          </cell>
          <cell r="L381" t="str">
            <v/>
          </cell>
          <cell r="M381" t="str">
            <v/>
          </cell>
          <cell r="N381" t="str">
            <v/>
          </cell>
        </row>
        <row r="385">
          <cell r="E385" t="str">
            <v/>
          </cell>
          <cell r="H385" t="str">
            <v/>
          </cell>
          <cell r="I385" t="str">
            <v/>
          </cell>
          <cell r="J385" t="str">
            <v/>
          </cell>
          <cell r="K385" t="str">
            <v/>
          </cell>
          <cell r="L385" t="str">
            <v/>
          </cell>
          <cell r="M385" t="str">
            <v/>
          </cell>
          <cell r="N385" t="str">
            <v/>
          </cell>
        </row>
        <row r="386">
          <cell r="E386" t="str">
            <v/>
          </cell>
          <cell r="H386" t="str">
            <v/>
          </cell>
          <cell r="I386" t="str">
            <v/>
          </cell>
          <cell r="J386" t="str">
            <v/>
          </cell>
          <cell r="K386" t="str">
            <v/>
          </cell>
          <cell r="L386" t="str">
            <v/>
          </cell>
          <cell r="M386" t="str">
            <v/>
          </cell>
          <cell r="N386" t="str">
            <v/>
          </cell>
        </row>
        <row r="387">
          <cell r="E387" t="str">
            <v/>
          </cell>
          <cell r="H387" t="str">
            <v/>
          </cell>
          <cell r="I387" t="str">
            <v/>
          </cell>
          <cell r="J387" t="str">
            <v/>
          </cell>
          <cell r="K387" t="str">
            <v/>
          </cell>
          <cell r="L387" t="str">
            <v/>
          </cell>
          <cell r="M387" t="str">
            <v/>
          </cell>
          <cell r="N387" t="str">
            <v/>
          </cell>
        </row>
        <row r="388">
          <cell r="H388" t="str">
            <v/>
          </cell>
          <cell r="I388" t="str">
            <v/>
          </cell>
          <cell r="J388" t="str">
            <v/>
          </cell>
          <cell r="K388" t="str">
            <v/>
          </cell>
          <cell r="L388" t="str">
            <v/>
          </cell>
          <cell r="M388" t="str">
            <v/>
          </cell>
          <cell r="N388" t="str">
            <v/>
          </cell>
        </row>
        <row r="391">
          <cell r="H391" t="str">
            <v/>
          </cell>
          <cell r="I391" t="str">
            <v/>
          </cell>
          <cell r="J391" t="str">
            <v/>
          </cell>
          <cell r="K391" t="str">
            <v/>
          </cell>
          <cell r="L391" t="str">
            <v/>
          </cell>
          <cell r="M391" t="str">
            <v/>
          </cell>
          <cell r="N391" t="str">
            <v/>
          </cell>
        </row>
        <row r="395">
          <cell r="E395" t="str">
            <v/>
          </cell>
          <cell r="H395" t="str">
            <v/>
          </cell>
          <cell r="I395" t="str">
            <v/>
          </cell>
          <cell r="J395" t="str">
            <v/>
          </cell>
          <cell r="K395" t="str">
            <v/>
          </cell>
          <cell r="L395" t="str">
            <v/>
          </cell>
          <cell r="M395" t="str">
            <v/>
          </cell>
          <cell r="N395" t="str">
            <v/>
          </cell>
        </row>
        <row r="396">
          <cell r="E396" t="str">
            <v/>
          </cell>
          <cell r="H396" t="str">
            <v/>
          </cell>
          <cell r="I396" t="str">
            <v/>
          </cell>
          <cell r="J396" t="str">
            <v/>
          </cell>
          <cell r="K396" t="str">
            <v/>
          </cell>
          <cell r="L396" t="str">
            <v/>
          </cell>
          <cell r="M396" t="str">
            <v/>
          </cell>
          <cell r="N396" t="str">
            <v/>
          </cell>
        </row>
        <row r="397">
          <cell r="E397" t="str">
            <v/>
          </cell>
          <cell r="H397" t="str">
            <v/>
          </cell>
          <cell r="I397" t="str">
            <v/>
          </cell>
          <cell r="J397" t="str">
            <v/>
          </cell>
          <cell r="K397" t="str">
            <v/>
          </cell>
          <cell r="L397" t="str">
            <v/>
          </cell>
          <cell r="M397" t="str">
            <v/>
          </cell>
          <cell r="N397" t="str">
            <v/>
          </cell>
        </row>
        <row r="398">
          <cell r="E398" t="str">
            <v/>
          </cell>
          <cell r="H398" t="str">
            <v/>
          </cell>
          <cell r="I398" t="str">
            <v/>
          </cell>
          <cell r="J398" t="str">
            <v/>
          </cell>
          <cell r="K398" t="str">
            <v/>
          </cell>
          <cell r="L398" t="str">
            <v/>
          </cell>
          <cell r="M398" t="str">
            <v/>
          </cell>
          <cell r="N398" t="str">
            <v/>
          </cell>
        </row>
        <row r="399">
          <cell r="E399" t="str">
            <v/>
          </cell>
          <cell r="H399" t="str">
            <v/>
          </cell>
          <cell r="I399" t="str">
            <v/>
          </cell>
          <cell r="J399" t="str">
            <v/>
          </cell>
          <cell r="K399" t="str">
            <v/>
          </cell>
          <cell r="L399" t="str">
            <v/>
          </cell>
          <cell r="M399" t="str">
            <v/>
          </cell>
          <cell r="N399" t="str">
            <v/>
          </cell>
        </row>
        <row r="400">
          <cell r="E400" t="str">
            <v/>
          </cell>
          <cell r="H400" t="str">
            <v/>
          </cell>
          <cell r="I400" t="str">
            <v/>
          </cell>
          <cell r="J400" t="str">
            <v/>
          </cell>
          <cell r="K400" t="str">
            <v/>
          </cell>
          <cell r="L400" t="str">
            <v/>
          </cell>
          <cell r="M400" t="str">
            <v/>
          </cell>
          <cell r="N400" t="str">
            <v/>
          </cell>
        </row>
        <row r="401">
          <cell r="E401" t="str">
            <v/>
          </cell>
          <cell r="H401" t="str">
            <v/>
          </cell>
          <cell r="I401" t="str">
            <v/>
          </cell>
          <cell r="J401" t="str">
            <v/>
          </cell>
          <cell r="K401" t="str">
            <v/>
          </cell>
          <cell r="L401" t="str">
            <v/>
          </cell>
          <cell r="M401" t="str">
            <v/>
          </cell>
          <cell r="N401" t="str">
            <v/>
          </cell>
        </row>
        <row r="402">
          <cell r="E402" t="str">
            <v/>
          </cell>
          <cell r="H402" t="str">
            <v/>
          </cell>
          <cell r="I402" t="str">
            <v/>
          </cell>
          <cell r="J402" t="str">
            <v/>
          </cell>
          <cell r="K402" t="str">
            <v/>
          </cell>
          <cell r="L402" t="str">
            <v/>
          </cell>
          <cell r="M402" t="str">
            <v/>
          </cell>
          <cell r="N402" t="str">
            <v/>
          </cell>
        </row>
        <row r="403">
          <cell r="E403" t="str">
            <v/>
          </cell>
          <cell r="H403" t="str">
            <v/>
          </cell>
          <cell r="I403" t="str">
            <v/>
          </cell>
          <cell r="J403" t="str">
            <v/>
          </cell>
          <cell r="K403" t="str">
            <v/>
          </cell>
          <cell r="L403" t="str">
            <v/>
          </cell>
          <cell r="M403" t="str">
            <v/>
          </cell>
          <cell r="N403" t="str">
            <v/>
          </cell>
        </row>
        <row r="404">
          <cell r="E404" t="str">
            <v/>
          </cell>
          <cell r="H404" t="str">
            <v/>
          </cell>
          <cell r="I404" t="str">
            <v/>
          </cell>
          <cell r="J404" t="str">
            <v/>
          </cell>
          <cell r="K404" t="str">
            <v/>
          </cell>
          <cell r="L404" t="str">
            <v/>
          </cell>
          <cell r="M404" t="str">
            <v/>
          </cell>
          <cell r="N404" t="str">
            <v/>
          </cell>
        </row>
        <row r="405">
          <cell r="H405" t="str">
            <v/>
          </cell>
          <cell r="I405" t="str">
            <v/>
          </cell>
          <cell r="J405" t="str">
            <v/>
          </cell>
          <cell r="K405" t="str">
            <v/>
          </cell>
          <cell r="L405" t="str">
            <v/>
          </cell>
          <cell r="M405" t="str">
            <v/>
          </cell>
          <cell r="N405" t="str">
            <v/>
          </cell>
        </row>
        <row r="409">
          <cell r="H409" t="str">
            <v/>
          </cell>
          <cell r="I409" t="str">
            <v/>
          </cell>
          <cell r="J409" t="str">
            <v/>
          </cell>
          <cell r="K409" t="str">
            <v/>
          </cell>
          <cell r="L409" t="str">
            <v/>
          </cell>
          <cell r="M409" t="str">
            <v/>
          </cell>
          <cell r="N409" t="str">
            <v/>
          </cell>
        </row>
        <row r="410">
          <cell r="H410" t="str">
            <v/>
          </cell>
          <cell r="I410" t="str">
            <v/>
          </cell>
          <cell r="J410" t="str">
            <v/>
          </cell>
          <cell r="K410" t="str">
            <v/>
          </cell>
          <cell r="L410" t="str">
            <v/>
          </cell>
          <cell r="M410" t="str">
            <v/>
          </cell>
          <cell r="N410" t="str">
            <v/>
          </cell>
        </row>
        <row r="411">
          <cell r="H411" t="str">
            <v/>
          </cell>
          <cell r="I411" t="str">
            <v/>
          </cell>
          <cell r="J411" t="str">
            <v/>
          </cell>
          <cell r="K411" t="str">
            <v/>
          </cell>
          <cell r="L411" t="str">
            <v/>
          </cell>
          <cell r="M411" t="str">
            <v/>
          </cell>
          <cell r="N411" t="str">
            <v/>
          </cell>
        </row>
        <row r="412">
          <cell r="H412" t="str">
            <v/>
          </cell>
          <cell r="I412" t="str">
            <v/>
          </cell>
          <cell r="J412" t="str">
            <v/>
          </cell>
          <cell r="K412" t="str">
            <v/>
          </cell>
          <cell r="L412" t="str">
            <v/>
          </cell>
          <cell r="M412" t="str">
            <v/>
          </cell>
          <cell r="N412" t="str">
            <v/>
          </cell>
        </row>
        <row r="413">
          <cell r="H413" t="str">
            <v/>
          </cell>
          <cell r="I413" t="str">
            <v/>
          </cell>
          <cell r="J413" t="str">
            <v/>
          </cell>
          <cell r="K413" t="str">
            <v/>
          </cell>
          <cell r="L413" t="str">
            <v/>
          </cell>
          <cell r="M413" t="str">
            <v/>
          </cell>
          <cell r="N413" t="str">
            <v/>
          </cell>
        </row>
        <row r="414">
          <cell r="H414" t="str">
            <v/>
          </cell>
          <cell r="I414" t="str">
            <v/>
          </cell>
          <cell r="J414" t="str">
            <v/>
          </cell>
          <cell r="K414" t="str">
            <v/>
          </cell>
          <cell r="L414" t="str">
            <v/>
          </cell>
          <cell r="M414" t="str">
            <v/>
          </cell>
          <cell r="N414" t="str">
            <v/>
          </cell>
        </row>
        <row r="417">
          <cell r="H417" t="str">
            <v/>
          </cell>
          <cell r="I417" t="str">
            <v/>
          </cell>
          <cell r="J417" t="str">
            <v/>
          </cell>
          <cell r="K417" t="str">
            <v/>
          </cell>
          <cell r="L417" t="str">
            <v/>
          </cell>
          <cell r="M417" t="str">
            <v/>
          </cell>
          <cell r="N417" t="str">
            <v/>
          </cell>
        </row>
        <row r="421">
          <cell r="E421" t="str">
            <v/>
          </cell>
          <cell r="H421" t="str">
            <v/>
          </cell>
          <cell r="I421" t="str">
            <v/>
          </cell>
          <cell r="J421" t="str">
            <v/>
          </cell>
          <cell r="K421" t="str">
            <v/>
          </cell>
          <cell r="L421" t="str">
            <v/>
          </cell>
          <cell r="M421" t="str">
            <v/>
          </cell>
          <cell r="N421" t="str">
            <v/>
          </cell>
        </row>
        <row r="422">
          <cell r="E422" t="str">
            <v/>
          </cell>
          <cell r="H422" t="str">
            <v/>
          </cell>
          <cell r="I422" t="str">
            <v/>
          </cell>
          <cell r="J422" t="str">
            <v/>
          </cell>
          <cell r="K422" t="str">
            <v/>
          </cell>
          <cell r="L422" t="str">
            <v/>
          </cell>
          <cell r="M422" t="str">
            <v/>
          </cell>
          <cell r="N422" t="str">
            <v/>
          </cell>
        </row>
        <row r="423">
          <cell r="E423" t="str">
            <v/>
          </cell>
          <cell r="H423" t="str">
            <v/>
          </cell>
          <cell r="I423" t="str">
            <v/>
          </cell>
          <cell r="J423" t="str">
            <v/>
          </cell>
          <cell r="K423" t="str">
            <v/>
          </cell>
          <cell r="L423" t="str">
            <v/>
          </cell>
          <cell r="M423" t="str">
            <v/>
          </cell>
          <cell r="N423" t="str">
            <v/>
          </cell>
        </row>
        <row r="424">
          <cell r="E424" t="str">
            <v/>
          </cell>
          <cell r="H424" t="str">
            <v/>
          </cell>
          <cell r="I424" t="str">
            <v/>
          </cell>
          <cell r="J424" t="str">
            <v/>
          </cell>
          <cell r="K424" t="str">
            <v/>
          </cell>
          <cell r="L424" t="str">
            <v/>
          </cell>
          <cell r="M424" t="str">
            <v/>
          </cell>
          <cell r="N424" t="str">
            <v/>
          </cell>
        </row>
        <row r="425">
          <cell r="E425" t="str">
            <v/>
          </cell>
          <cell r="H425" t="str">
            <v/>
          </cell>
          <cell r="I425" t="str">
            <v/>
          </cell>
          <cell r="J425" t="str">
            <v/>
          </cell>
          <cell r="K425" t="str">
            <v/>
          </cell>
          <cell r="L425" t="str">
            <v/>
          </cell>
          <cell r="M425" t="str">
            <v/>
          </cell>
          <cell r="N425" t="str">
            <v/>
          </cell>
        </row>
        <row r="426">
          <cell r="E426" t="str">
            <v/>
          </cell>
          <cell r="H426" t="str">
            <v/>
          </cell>
          <cell r="I426" t="str">
            <v/>
          </cell>
          <cell r="J426" t="str">
            <v/>
          </cell>
          <cell r="K426" t="str">
            <v/>
          </cell>
          <cell r="L426" t="str">
            <v/>
          </cell>
          <cell r="M426" t="str">
            <v/>
          </cell>
          <cell r="N426" t="str">
            <v/>
          </cell>
        </row>
        <row r="427">
          <cell r="E427" t="str">
            <v/>
          </cell>
          <cell r="H427" t="str">
            <v/>
          </cell>
          <cell r="I427" t="str">
            <v/>
          </cell>
          <cell r="J427" t="str">
            <v/>
          </cell>
          <cell r="K427" t="str">
            <v/>
          </cell>
          <cell r="L427" t="str">
            <v/>
          </cell>
          <cell r="M427" t="str">
            <v/>
          </cell>
          <cell r="N427" t="str">
            <v/>
          </cell>
        </row>
        <row r="428">
          <cell r="E428" t="str">
            <v/>
          </cell>
          <cell r="H428" t="str">
            <v/>
          </cell>
          <cell r="I428" t="str">
            <v/>
          </cell>
          <cell r="J428" t="str">
            <v/>
          </cell>
          <cell r="K428" t="str">
            <v/>
          </cell>
          <cell r="L428" t="str">
            <v/>
          </cell>
          <cell r="M428" t="str">
            <v/>
          </cell>
          <cell r="N428" t="str">
            <v/>
          </cell>
        </row>
        <row r="429">
          <cell r="E429" t="str">
            <v/>
          </cell>
          <cell r="H429" t="str">
            <v/>
          </cell>
          <cell r="I429" t="str">
            <v/>
          </cell>
          <cell r="J429" t="str">
            <v/>
          </cell>
          <cell r="K429" t="str">
            <v/>
          </cell>
          <cell r="L429" t="str">
            <v/>
          </cell>
          <cell r="M429" t="str">
            <v/>
          </cell>
          <cell r="N429" t="str">
            <v/>
          </cell>
        </row>
        <row r="430">
          <cell r="E430" t="str">
            <v/>
          </cell>
          <cell r="H430" t="str">
            <v/>
          </cell>
          <cell r="I430" t="str">
            <v/>
          </cell>
          <cell r="J430" t="str">
            <v/>
          </cell>
          <cell r="K430" t="str">
            <v/>
          </cell>
          <cell r="L430" t="str">
            <v/>
          </cell>
          <cell r="M430" t="str">
            <v/>
          </cell>
          <cell r="N430" t="str">
            <v/>
          </cell>
        </row>
        <row r="431">
          <cell r="H431" t="str">
            <v/>
          </cell>
          <cell r="I431" t="str">
            <v/>
          </cell>
          <cell r="J431" t="str">
            <v/>
          </cell>
          <cell r="K431" t="str">
            <v/>
          </cell>
          <cell r="L431" t="str">
            <v/>
          </cell>
          <cell r="M431" t="str">
            <v/>
          </cell>
          <cell r="N431" t="str">
            <v/>
          </cell>
        </row>
        <row r="432">
          <cell r="H432" t="str">
            <v/>
          </cell>
          <cell r="I432" t="str">
            <v/>
          </cell>
          <cell r="J432" t="str">
            <v/>
          </cell>
          <cell r="K432" t="str">
            <v/>
          </cell>
          <cell r="L432" t="str">
            <v/>
          </cell>
          <cell r="M432" t="str">
            <v/>
          </cell>
          <cell r="N432" t="str">
            <v/>
          </cell>
        </row>
        <row r="435">
          <cell r="H435" t="str">
            <v/>
          </cell>
          <cell r="I435" t="str">
            <v/>
          </cell>
          <cell r="J435" t="str">
            <v/>
          </cell>
          <cell r="K435" t="str">
            <v/>
          </cell>
          <cell r="L435" t="str">
            <v/>
          </cell>
          <cell r="M435" t="str">
            <v/>
          </cell>
          <cell r="N435" t="str">
            <v/>
          </cell>
        </row>
        <row r="436">
          <cell r="H436" t="str">
            <v/>
          </cell>
          <cell r="I436" t="str">
            <v/>
          </cell>
          <cell r="J436" t="str">
            <v/>
          </cell>
          <cell r="K436" t="str">
            <v/>
          </cell>
          <cell r="L436" t="str">
            <v/>
          </cell>
          <cell r="M436" t="str">
            <v/>
          </cell>
          <cell r="N436" t="str">
            <v/>
          </cell>
        </row>
        <row r="440">
          <cell r="M440" t="str">
            <v/>
          </cell>
        </row>
        <row r="443">
          <cell r="H443" t="str">
            <v/>
          </cell>
          <cell r="I443" t="str">
            <v/>
          </cell>
          <cell r="J443" t="str">
            <v/>
          </cell>
          <cell r="K443" t="str">
            <v/>
          </cell>
          <cell r="L443" t="str">
            <v/>
          </cell>
          <cell r="M443" t="str">
            <v/>
          </cell>
          <cell r="N443" t="str">
            <v/>
          </cell>
        </row>
        <row r="444">
          <cell r="H444" t="str">
            <v/>
          </cell>
          <cell r="I444" t="str">
            <v/>
          </cell>
          <cell r="J444" t="str">
            <v/>
          </cell>
          <cell r="K444" t="str">
            <v/>
          </cell>
          <cell r="L444" t="str">
            <v/>
          </cell>
          <cell r="M444" t="str">
            <v/>
          </cell>
          <cell r="N444" t="str">
            <v/>
          </cell>
        </row>
        <row r="445">
          <cell r="H445" t="str">
            <v/>
          </cell>
          <cell r="I445" t="str">
            <v/>
          </cell>
          <cell r="J445" t="str">
            <v/>
          </cell>
          <cell r="K445" t="str">
            <v/>
          </cell>
          <cell r="L445" t="str">
            <v/>
          </cell>
          <cell r="M445" t="str">
            <v/>
          </cell>
          <cell r="N445" t="str">
            <v/>
          </cell>
        </row>
        <row r="446">
          <cell r="H446" t="str">
            <v/>
          </cell>
          <cell r="I446" t="str">
            <v/>
          </cell>
          <cell r="J446" t="str">
            <v/>
          </cell>
          <cell r="K446" t="str">
            <v/>
          </cell>
          <cell r="L446" t="str">
            <v/>
          </cell>
          <cell r="M446" t="str">
            <v/>
          </cell>
          <cell r="N446" t="str">
            <v/>
          </cell>
        </row>
        <row r="447">
          <cell r="H447" t="str">
            <v/>
          </cell>
          <cell r="I447" t="str">
            <v/>
          </cell>
          <cell r="J447" t="str">
            <v/>
          </cell>
          <cell r="K447" t="str">
            <v/>
          </cell>
          <cell r="L447" t="str">
            <v/>
          </cell>
          <cell r="M447" t="str">
            <v/>
          </cell>
          <cell r="N447" t="str">
            <v/>
          </cell>
        </row>
        <row r="448">
          <cell r="H448" t="str">
            <v/>
          </cell>
          <cell r="I448" t="str">
            <v/>
          </cell>
          <cell r="J448" t="str">
            <v/>
          </cell>
          <cell r="K448" t="str">
            <v/>
          </cell>
          <cell r="L448" t="str">
            <v/>
          </cell>
          <cell r="M448" t="str">
            <v/>
          </cell>
          <cell r="N448" t="str">
            <v/>
          </cell>
        </row>
        <row r="477">
          <cell r="I477" t="str">
            <v/>
          </cell>
        </row>
        <row r="480">
          <cell r="E480" t="str">
            <v/>
          </cell>
          <cell r="H480" t="str">
            <v>N.A.</v>
          </cell>
          <cell r="I480" t="str">
            <v/>
          </cell>
          <cell r="J480" t="str">
            <v>N.A.</v>
          </cell>
          <cell r="K480" t="str">
            <v>N.A.</v>
          </cell>
          <cell r="L480" t="str">
            <v>N.A.</v>
          </cell>
          <cell r="M480" t="str">
            <v>N.A.</v>
          </cell>
          <cell r="N480" t="str">
            <v>EUA/tonnes</v>
          </cell>
        </row>
        <row r="483">
          <cell r="F483" t="str">
            <v>tonnes</v>
          </cell>
          <cell r="G483" t="str">
            <v/>
          </cell>
          <cell r="H483" t="str">
            <v/>
          </cell>
          <cell r="I483" t="str">
            <v/>
          </cell>
          <cell r="J483" t="str">
            <v/>
          </cell>
          <cell r="K483" t="str">
            <v/>
          </cell>
          <cell r="L483" t="str">
            <v/>
          </cell>
          <cell r="M483" t="str">
            <v/>
          </cell>
          <cell r="N483" t="str">
            <v/>
          </cell>
        </row>
        <row r="487">
          <cell r="J487" t="str">
            <v/>
          </cell>
          <cell r="K487" t="str">
            <v/>
          </cell>
          <cell r="L487" t="str">
            <v/>
          </cell>
          <cell r="M487" t="str">
            <v/>
          </cell>
          <cell r="N487" t="str">
            <v/>
          </cell>
        </row>
        <row r="488">
          <cell r="J488" t="str">
            <v/>
          </cell>
          <cell r="K488" t="str">
            <v/>
          </cell>
          <cell r="L488" t="str">
            <v/>
          </cell>
          <cell r="M488" t="str">
            <v/>
          </cell>
          <cell r="N488" t="str">
            <v/>
          </cell>
        </row>
        <row r="491">
          <cell r="H491" t="str">
            <v>tonnes</v>
          </cell>
          <cell r="J491" t="str">
            <v/>
          </cell>
          <cell r="K491" t="str">
            <v/>
          </cell>
          <cell r="L491" t="str">
            <v/>
          </cell>
          <cell r="M491" t="str">
            <v/>
          </cell>
          <cell r="N491" t="str">
            <v/>
          </cell>
        </row>
        <row r="492">
          <cell r="J492" t="str">
            <v/>
          </cell>
          <cell r="K492" t="str">
            <v/>
          </cell>
          <cell r="L492" t="str">
            <v/>
          </cell>
          <cell r="M492" t="str">
            <v/>
          </cell>
          <cell r="N492" t="str">
            <v/>
          </cell>
        </row>
        <row r="493">
          <cell r="J493" t="str">
            <v/>
          </cell>
          <cell r="K493" t="str">
            <v/>
          </cell>
          <cell r="L493" t="str">
            <v/>
          </cell>
          <cell r="M493" t="str">
            <v/>
          </cell>
          <cell r="N493" t="str">
            <v/>
          </cell>
        </row>
        <row r="494">
          <cell r="J494" t="str">
            <v/>
          </cell>
          <cell r="K494" t="str">
            <v/>
          </cell>
          <cell r="L494" t="str">
            <v/>
          </cell>
          <cell r="M494" t="str">
            <v/>
          </cell>
          <cell r="N494" t="str">
            <v/>
          </cell>
        </row>
        <row r="495">
          <cell r="J495" t="str">
            <v/>
          </cell>
          <cell r="K495" t="str">
            <v/>
          </cell>
          <cell r="L495" t="str">
            <v/>
          </cell>
          <cell r="M495" t="str">
            <v/>
          </cell>
          <cell r="N495" t="str">
            <v/>
          </cell>
        </row>
        <row r="496">
          <cell r="J496" t="str">
            <v/>
          </cell>
          <cell r="K496" t="str">
            <v/>
          </cell>
          <cell r="L496" t="str">
            <v/>
          </cell>
          <cell r="M496" t="str">
            <v/>
          </cell>
          <cell r="N496" t="str">
            <v/>
          </cell>
        </row>
        <row r="497">
          <cell r="J497" t="str">
            <v/>
          </cell>
          <cell r="K497" t="str">
            <v/>
          </cell>
          <cell r="L497" t="str">
            <v/>
          </cell>
          <cell r="M497" t="str">
            <v/>
          </cell>
          <cell r="N497" t="str">
            <v/>
          </cell>
        </row>
        <row r="500">
          <cell r="H500" t="str">
            <v>tonnes</v>
          </cell>
          <cell r="J500" t="str">
            <v/>
          </cell>
          <cell r="K500" t="str">
            <v/>
          </cell>
          <cell r="L500" t="str">
            <v/>
          </cell>
          <cell r="M500" t="str">
            <v/>
          </cell>
          <cell r="N500" t="str">
            <v/>
          </cell>
        </row>
        <row r="501">
          <cell r="J501" t="str">
            <v/>
          </cell>
          <cell r="K501" t="str">
            <v/>
          </cell>
          <cell r="L501" t="str">
            <v/>
          </cell>
          <cell r="M501" t="str">
            <v/>
          </cell>
          <cell r="N501" t="str">
            <v/>
          </cell>
        </row>
        <row r="502">
          <cell r="J502" t="str">
            <v/>
          </cell>
          <cell r="K502" t="str">
            <v/>
          </cell>
          <cell r="L502" t="str">
            <v/>
          </cell>
          <cell r="M502" t="str">
            <v/>
          </cell>
          <cell r="N502" t="str">
            <v/>
          </cell>
        </row>
        <row r="503">
          <cell r="H503" t="str">
            <v>tonnes</v>
          </cell>
          <cell r="J503" t="str">
            <v/>
          </cell>
          <cell r="K503" t="str">
            <v/>
          </cell>
          <cell r="L503" t="str">
            <v/>
          </cell>
          <cell r="M503" t="str">
            <v/>
          </cell>
          <cell r="N503" t="str">
            <v/>
          </cell>
        </row>
        <row r="504">
          <cell r="J504" t="str">
            <v/>
          </cell>
          <cell r="K504" t="str">
            <v/>
          </cell>
          <cell r="L504" t="str">
            <v/>
          </cell>
          <cell r="M504" t="str">
            <v/>
          </cell>
          <cell r="N504" t="str">
            <v/>
          </cell>
        </row>
        <row r="505">
          <cell r="J505" t="str">
            <v/>
          </cell>
          <cell r="K505" t="str">
            <v/>
          </cell>
          <cell r="L505" t="str">
            <v/>
          </cell>
          <cell r="M505" t="str">
            <v/>
          </cell>
          <cell r="N505" t="str">
            <v/>
          </cell>
        </row>
        <row r="506">
          <cell r="J506" t="str">
            <v/>
          </cell>
          <cell r="K506" t="str">
            <v/>
          </cell>
          <cell r="L506" t="str">
            <v/>
          </cell>
          <cell r="M506" t="str">
            <v/>
          </cell>
          <cell r="N506" t="str">
            <v/>
          </cell>
        </row>
        <row r="507">
          <cell r="J507" t="str">
            <v/>
          </cell>
          <cell r="K507" t="str">
            <v/>
          </cell>
          <cell r="L507" t="str">
            <v/>
          </cell>
          <cell r="M507" t="str">
            <v/>
          </cell>
          <cell r="N507" t="str">
            <v/>
          </cell>
        </row>
        <row r="508">
          <cell r="J508" t="str">
            <v/>
          </cell>
          <cell r="K508" t="str">
            <v/>
          </cell>
          <cell r="L508" t="str">
            <v/>
          </cell>
          <cell r="M508" t="str">
            <v/>
          </cell>
          <cell r="N508" t="str">
            <v/>
          </cell>
        </row>
        <row r="509">
          <cell r="J509" t="str">
            <v/>
          </cell>
          <cell r="K509" t="str">
            <v/>
          </cell>
          <cell r="L509" t="str">
            <v/>
          </cell>
          <cell r="M509" t="str">
            <v/>
          </cell>
          <cell r="N509" t="str">
            <v/>
          </cell>
        </row>
        <row r="510">
          <cell r="J510" t="str">
            <v/>
          </cell>
          <cell r="K510" t="str">
            <v/>
          </cell>
          <cell r="L510" t="str">
            <v/>
          </cell>
          <cell r="M510" t="str">
            <v/>
          </cell>
          <cell r="N510" t="str">
            <v/>
          </cell>
        </row>
        <row r="511">
          <cell r="J511" t="str">
            <v/>
          </cell>
          <cell r="K511" t="str">
            <v/>
          </cell>
          <cell r="L511" t="str">
            <v/>
          </cell>
          <cell r="M511" t="str">
            <v/>
          </cell>
          <cell r="N511" t="str">
            <v/>
          </cell>
        </row>
        <row r="514">
          <cell r="H514" t="str">
            <v>tonnes</v>
          </cell>
          <cell r="J514" t="str">
            <v/>
          </cell>
          <cell r="K514" t="str">
            <v/>
          </cell>
          <cell r="L514" t="str">
            <v/>
          </cell>
          <cell r="M514" t="str">
            <v/>
          </cell>
          <cell r="N514" t="str">
            <v/>
          </cell>
        </row>
        <row r="515">
          <cell r="J515" t="str">
            <v/>
          </cell>
          <cell r="K515" t="str">
            <v/>
          </cell>
          <cell r="L515" t="str">
            <v/>
          </cell>
          <cell r="M515" t="str">
            <v/>
          </cell>
          <cell r="N515" t="str">
            <v/>
          </cell>
        </row>
        <row r="516">
          <cell r="J516" t="str">
            <v/>
          </cell>
          <cell r="K516" t="str">
            <v/>
          </cell>
          <cell r="L516" t="str">
            <v/>
          </cell>
          <cell r="M516" t="str">
            <v/>
          </cell>
          <cell r="N516" t="str">
            <v/>
          </cell>
        </row>
        <row r="517">
          <cell r="J517" t="str">
            <v/>
          </cell>
          <cell r="K517" t="str">
            <v/>
          </cell>
          <cell r="L517" t="str">
            <v/>
          </cell>
          <cell r="M517" t="str">
            <v/>
          </cell>
          <cell r="N517" t="str">
            <v/>
          </cell>
        </row>
        <row r="518">
          <cell r="J518" t="str">
            <v/>
          </cell>
          <cell r="K518" t="str">
            <v/>
          </cell>
          <cell r="L518" t="str">
            <v/>
          </cell>
          <cell r="M518" t="str">
            <v/>
          </cell>
          <cell r="N518" t="str">
            <v/>
          </cell>
        </row>
        <row r="519">
          <cell r="J519" t="str">
            <v/>
          </cell>
          <cell r="K519" t="str">
            <v/>
          </cell>
          <cell r="L519" t="str">
            <v/>
          </cell>
          <cell r="M519" t="str">
            <v/>
          </cell>
          <cell r="N519" t="str">
            <v/>
          </cell>
        </row>
        <row r="520">
          <cell r="J520" t="str">
            <v/>
          </cell>
          <cell r="K520" t="str">
            <v/>
          </cell>
          <cell r="L520" t="str">
            <v/>
          </cell>
          <cell r="M520" t="str">
            <v/>
          </cell>
          <cell r="N520" t="str">
            <v/>
          </cell>
        </row>
        <row r="521">
          <cell r="J521" t="str">
            <v/>
          </cell>
          <cell r="K521" t="str">
            <v/>
          </cell>
          <cell r="L521" t="str">
            <v/>
          </cell>
          <cell r="M521" t="str">
            <v/>
          </cell>
          <cell r="N521" t="str">
            <v/>
          </cell>
        </row>
        <row r="522">
          <cell r="J522" t="str">
            <v/>
          </cell>
          <cell r="K522" t="str">
            <v/>
          </cell>
          <cell r="L522" t="str">
            <v/>
          </cell>
          <cell r="M522" t="str">
            <v/>
          </cell>
          <cell r="N522" t="str">
            <v/>
          </cell>
        </row>
        <row r="523">
          <cell r="J523" t="str">
            <v/>
          </cell>
          <cell r="K523" t="str">
            <v/>
          </cell>
          <cell r="L523" t="str">
            <v/>
          </cell>
          <cell r="M523" t="str">
            <v/>
          </cell>
          <cell r="N523" t="str">
            <v/>
          </cell>
        </row>
        <row r="524">
          <cell r="J524" t="str">
            <v/>
          </cell>
          <cell r="K524" t="str">
            <v/>
          </cell>
          <cell r="L524" t="str">
            <v/>
          </cell>
          <cell r="M524" t="str">
            <v/>
          </cell>
          <cell r="N524" t="str">
            <v/>
          </cell>
        </row>
        <row r="525">
          <cell r="J525" t="str">
            <v/>
          </cell>
          <cell r="K525" t="str">
            <v/>
          </cell>
          <cell r="L525" t="str">
            <v/>
          </cell>
          <cell r="M525" t="str">
            <v/>
          </cell>
          <cell r="N525" t="str">
            <v/>
          </cell>
        </row>
        <row r="528">
          <cell r="H528" t="str">
            <v>tonnes</v>
          </cell>
          <cell r="J528" t="str">
            <v/>
          </cell>
          <cell r="K528" t="str">
            <v/>
          </cell>
          <cell r="L528" t="str">
            <v/>
          </cell>
          <cell r="M528" t="str">
            <v/>
          </cell>
          <cell r="N528" t="str">
            <v/>
          </cell>
        </row>
        <row r="529">
          <cell r="J529" t="str">
            <v/>
          </cell>
          <cell r="K529" t="str">
            <v/>
          </cell>
          <cell r="L529" t="str">
            <v/>
          </cell>
          <cell r="M529" t="str">
            <v/>
          </cell>
          <cell r="N529" t="str">
            <v/>
          </cell>
        </row>
        <row r="530">
          <cell r="J530" t="str">
            <v/>
          </cell>
          <cell r="K530" t="str">
            <v/>
          </cell>
          <cell r="L530" t="str">
            <v/>
          </cell>
          <cell r="M530" t="str">
            <v/>
          </cell>
          <cell r="N530" t="str">
            <v/>
          </cell>
        </row>
        <row r="531">
          <cell r="J531" t="str">
            <v/>
          </cell>
          <cell r="K531" t="str">
            <v/>
          </cell>
          <cell r="L531" t="str">
            <v/>
          </cell>
          <cell r="M531" t="str">
            <v/>
          </cell>
          <cell r="N531" t="str">
            <v/>
          </cell>
        </row>
        <row r="532">
          <cell r="J532" t="str">
            <v/>
          </cell>
          <cell r="K532" t="str">
            <v/>
          </cell>
          <cell r="L532" t="str">
            <v/>
          </cell>
          <cell r="M532" t="str">
            <v/>
          </cell>
          <cell r="N532" t="str">
            <v/>
          </cell>
        </row>
        <row r="533">
          <cell r="J533" t="str">
            <v/>
          </cell>
          <cell r="K533" t="str">
            <v/>
          </cell>
          <cell r="L533" t="str">
            <v/>
          </cell>
          <cell r="M533" t="str">
            <v/>
          </cell>
          <cell r="N533" t="str">
            <v/>
          </cell>
        </row>
        <row r="534">
          <cell r="J534" t="str">
            <v/>
          </cell>
          <cell r="K534" t="str">
            <v/>
          </cell>
          <cell r="L534" t="str">
            <v/>
          </cell>
          <cell r="M534" t="str">
            <v/>
          </cell>
          <cell r="N534" t="str">
            <v/>
          </cell>
        </row>
        <row r="535">
          <cell r="J535" t="str">
            <v/>
          </cell>
          <cell r="K535" t="str">
            <v/>
          </cell>
          <cell r="L535" t="str">
            <v/>
          </cell>
          <cell r="M535" t="str">
            <v/>
          </cell>
          <cell r="N535" t="str">
            <v/>
          </cell>
        </row>
        <row r="536">
          <cell r="J536" t="str">
            <v/>
          </cell>
          <cell r="K536" t="str">
            <v/>
          </cell>
          <cell r="L536" t="str">
            <v/>
          </cell>
          <cell r="M536" t="str">
            <v/>
          </cell>
          <cell r="N536" t="str">
            <v/>
          </cell>
        </row>
        <row r="537">
          <cell r="J537" t="str">
            <v/>
          </cell>
          <cell r="K537" t="str">
            <v/>
          </cell>
          <cell r="L537" t="str">
            <v/>
          </cell>
          <cell r="M537" t="str">
            <v/>
          </cell>
          <cell r="N537" t="str">
            <v/>
          </cell>
        </row>
        <row r="538">
          <cell r="J538" t="str">
            <v/>
          </cell>
          <cell r="K538" t="str">
            <v/>
          </cell>
          <cell r="L538" t="str">
            <v/>
          </cell>
          <cell r="M538" t="str">
            <v/>
          </cell>
          <cell r="N538" t="str">
            <v/>
          </cell>
        </row>
        <row r="539">
          <cell r="J539" t="str">
            <v/>
          </cell>
          <cell r="K539" t="str">
            <v/>
          </cell>
          <cell r="L539" t="str">
            <v/>
          </cell>
          <cell r="M539" t="str">
            <v/>
          </cell>
          <cell r="N539" t="str">
            <v/>
          </cell>
        </row>
        <row r="542">
          <cell r="H542" t="str">
            <v>tonnes</v>
          </cell>
          <cell r="J542" t="str">
            <v/>
          </cell>
          <cell r="K542" t="str">
            <v/>
          </cell>
          <cell r="L542" t="str">
            <v/>
          </cell>
          <cell r="M542" t="str">
            <v/>
          </cell>
          <cell r="N542" t="str">
            <v/>
          </cell>
        </row>
        <row r="543">
          <cell r="J543" t="str">
            <v/>
          </cell>
          <cell r="K543" t="str">
            <v/>
          </cell>
          <cell r="L543" t="str">
            <v/>
          </cell>
          <cell r="M543" t="str">
            <v/>
          </cell>
          <cell r="N543" t="str">
            <v/>
          </cell>
        </row>
        <row r="544">
          <cell r="J544" t="str">
            <v/>
          </cell>
          <cell r="K544" t="str">
            <v/>
          </cell>
          <cell r="L544" t="str">
            <v/>
          </cell>
          <cell r="M544" t="str">
            <v/>
          </cell>
          <cell r="N544" t="str">
            <v/>
          </cell>
        </row>
        <row r="545">
          <cell r="J545" t="str">
            <v/>
          </cell>
          <cell r="K545" t="str">
            <v/>
          </cell>
          <cell r="L545" t="str">
            <v/>
          </cell>
          <cell r="M545" t="str">
            <v/>
          </cell>
          <cell r="N545" t="str">
            <v/>
          </cell>
        </row>
        <row r="546">
          <cell r="J546" t="str">
            <v/>
          </cell>
          <cell r="K546" t="str">
            <v/>
          </cell>
          <cell r="L546" t="str">
            <v/>
          </cell>
          <cell r="M546" t="str">
            <v/>
          </cell>
          <cell r="N546" t="str">
            <v/>
          </cell>
        </row>
        <row r="547">
          <cell r="J547" t="str">
            <v/>
          </cell>
          <cell r="K547" t="str">
            <v/>
          </cell>
          <cell r="L547" t="str">
            <v/>
          </cell>
          <cell r="M547" t="str">
            <v/>
          </cell>
          <cell r="N547" t="str">
            <v/>
          </cell>
        </row>
        <row r="548">
          <cell r="J548" t="str">
            <v/>
          </cell>
          <cell r="K548" t="str">
            <v/>
          </cell>
          <cell r="L548" t="str">
            <v/>
          </cell>
          <cell r="M548" t="str">
            <v/>
          </cell>
          <cell r="N548" t="str">
            <v/>
          </cell>
        </row>
        <row r="549">
          <cell r="J549" t="str">
            <v/>
          </cell>
          <cell r="K549" t="str">
            <v/>
          </cell>
          <cell r="L549" t="str">
            <v/>
          </cell>
          <cell r="M549" t="str">
            <v/>
          </cell>
          <cell r="N549" t="str">
            <v/>
          </cell>
        </row>
        <row r="550">
          <cell r="J550" t="str">
            <v/>
          </cell>
          <cell r="K550" t="str">
            <v/>
          </cell>
          <cell r="L550" t="str">
            <v/>
          </cell>
          <cell r="M550" t="str">
            <v/>
          </cell>
          <cell r="N550" t="str">
            <v/>
          </cell>
        </row>
        <row r="551">
          <cell r="J551" t="str">
            <v/>
          </cell>
          <cell r="K551" t="str">
            <v/>
          </cell>
          <cell r="L551" t="str">
            <v/>
          </cell>
          <cell r="M551" t="str">
            <v/>
          </cell>
          <cell r="N551" t="str">
            <v/>
          </cell>
        </row>
        <row r="552">
          <cell r="J552" t="str">
            <v/>
          </cell>
          <cell r="K552" t="str">
            <v/>
          </cell>
          <cell r="L552" t="str">
            <v/>
          </cell>
          <cell r="M552" t="str">
            <v/>
          </cell>
          <cell r="N552" t="str">
            <v/>
          </cell>
        </row>
        <row r="553">
          <cell r="J553" t="str">
            <v/>
          </cell>
          <cell r="K553" t="str">
            <v/>
          </cell>
          <cell r="L553" t="str">
            <v/>
          </cell>
          <cell r="M553" t="str">
            <v/>
          </cell>
          <cell r="N553" t="str">
            <v/>
          </cell>
        </row>
        <row r="556">
          <cell r="H556" t="str">
            <v>tonnes</v>
          </cell>
          <cell r="J556" t="str">
            <v/>
          </cell>
          <cell r="K556" t="str">
            <v/>
          </cell>
          <cell r="L556" t="str">
            <v/>
          </cell>
          <cell r="M556" t="str">
            <v/>
          </cell>
          <cell r="N556" t="str">
            <v/>
          </cell>
        </row>
        <row r="557">
          <cell r="J557" t="str">
            <v/>
          </cell>
          <cell r="K557" t="str">
            <v/>
          </cell>
          <cell r="L557" t="str">
            <v/>
          </cell>
          <cell r="M557" t="str">
            <v/>
          </cell>
          <cell r="N557" t="str">
            <v/>
          </cell>
        </row>
        <row r="558">
          <cell r="J558" t="str">
            <v/>
          </cell>
          <cell r="K558" t="str">
            <v/>
          </cell>
          <cell r="L558" t="str">
            <v/>
          </cell>
          <cell r="M558" t="str">
            <v/>
          </cell>
          <cell r="N558" t="str">
            <v/>
          </cell>
        </row>
        <row r="559">
          <cell r="J559" t="str">
            <v/>
          </cell>
          <cell r="K559" t="str">
            <v/>
          </cell>
          <cell r="L559" t="str">
            <v/>
          </cell>
          <cell r="M559" t="str">
            <v/>
          </cell>
          <cell r="N559" t="str">
            <v/>
          </cell>
        </row>
        <row r="560">
          <cell r="J560" t="str">
            <v/>
          </cell>
          <cell r="K560" t="str">
            <v/>
          </cell>
          <cell r="L560" t="str">
            <v/>
          </cell>
          <cell r="M560" t="str">
            <v/>
          </cell>
          <cell r="N560" t="str">
            <v/>
          </cell>
        </row>
        <row r="561">
          <cell r="J561" t="str">
            <v/>
          </cell>
          <cell r="K561" t="str">
            <v/>
          </cell>
          <cell r="L561" t="str">
            <v/>
          </cell>
          <cell r="M561" t="str">
            <v/>
          </cell>
          <cell r="N561" t="str">
            <v/>
          </cell>
        </row>
        <row r="562">
          <cell r="J562" t="str">
            <v/>
          </cell>
          <cell r="K562" t="str">
            <v/>
          </cell>
          <cell r="L562" t="str">
            <v/>
          </cell>
          <cell r="M562" t="str">
            <v/>
          </cell>
          <cell r="N562" t="str">
            <v/>
          </cell>
        </row>
        <row r="563">
          <cell r="J563" t="str">
            <v/>
          </cell>
          <cell r="K563" t="str">
            <v/>
          </cell>
          <cell r="L563" t="str">
            <v/>
          </cell>
          <cell r="M563" t="str">
            <v/>
          </cell>
          <cell r="N563" t="str">
            <v/>
          </cell>
        </row>
        <row r="564">
          <cell r="J564" t="str">
            <v/>
          </cell>
          <cell r="K564" t="str">
            <v/>
          </cell>
          <cell r="L564" t="str">
            <v/>
          </cell>
          <cell r="M564" t="str">
            <v/>
          </cell>
          <cell r="N564" t="str">
            <v/>
          </cell>
        </row>
        <row r="565">
          <cell r="J565" t="str">
            <v/>
          </cell>
          <cell r="K565" t="str">
            <v/>
          </cell>
          <cell r="L565" t="str">
            <v/>
          </cell>
          <cell r="M565" t="str">
            <v/>
          </cell>
          <cell r="N565" t="str">
            <v/>
          </cell>
        </row>
        <row r="566">
          <cell r="J566" t="str">
            <v/>
          </cell>
          <cell r="K566" t="str">
            <v/>
          </cell>
          <cell r="L566" t="str">
            <v/>
          </cell>
          <cell r="M566" t="str">
            <v/>
          </cell>
          <cell r="N566" t="str">
            <v/>
          </cell>
        </row>
        <row r="567">
          <cell r="J567" t="str">
            <v/>
          </cell>
          <cell r="K567" t="str">
            <v/>
          </cell>
          <cell r="L567" t="str">
            <v/>
          </cell>
          <cell r="M567" t="str">
            <v/>
          </cell>
          <cell r="N567" t="str">
            <v/>
          </cell>
        </row>
        <row r="570">
          <cell r="H570" t="str">
            <v>tonnes</v>
          </cell>
          <cell r="J570" t="str">
            <v/>
          </cell>
          <cell r="K570" t="str">
            <v/>
          </cell>
          <cell r="L570" t="str">
            <v/>
          </cell>
          <cell r="M570" t="str">
            <v/>
          </cell>
          <cell r="N570" t="str">
            <v/>
          </cell>
        </row>
        <row r="571">
          <cell r="J571" t="str">
            <v/>
          </cell>
          <cell r="K571" t="str">
            <v/>
          </cell>
          <cell r="L571" t="str">
            <v/>
          </cell>
          <cell r="M571" t="str">
            <v/>
          </cell>
          <cell r="N571" t="str">
            <v/>
          </cell>
        </row>
        <row r="572">
          <cell r="J572" t="str">
            <v/>
          </cell>
          <cell r="K572" t="str">
            <v/>
          </cell>
          <cell r="L572" t="str">
            <v/>
          </cell>
          <cell r="M572" t="str">
            <v/>
          </cell>
          <cell r="N572" t="str">
            <v/>
          </cell>
        </row>
        <row r="573">
          <cell r="J573" t="str">
            <v/>
          </cell>
          <cell r="K573" t="str">
            <v/>
          </cell>
          <cell r="L573" t="str">
            <v/>
          </cell>
          <cell r="M573" t="str">
            <v/>
          </cell>
          <cell r="N573" t="str">
            <v/>
          </cell>
        </row>
        <row r="574">
          <cell r="J574" t="str">
            <v/>
          </cell>
          <cell r="K574" t="str">
            <v/>
          </cell>
          <cell r="L574" t="str">
            <v/>
          </cell>
          <cell r="M574" t="str">
            <v/>
          </cell>
          <cell r="N574" t="str">
            <v/>
          </cell>
        </row>
        <row r="575">
          <cell r="J575" t="str">
            <v/>
          </cell>
          <cell r="K575" t="str">
            <v/>
          </cell>
          <cell r="L575" t="str">
            <v/>
          </cell>
          <cell r="M575" t="str">
            <v/>
          </cell>
          <cell r="N575" t="str">
            <v/>
          </cell>
        </row>
        <row r="576">
          <cell r="J576" t="str">
            <v/>
          </cell>
          <cell r="K576" t="str">
            <v/>
          </cell>
          <cell r="L576" t="str">
            <v/>
          </cell>
          <cell r="M576" t="str">
            <v/>
          </cell>
          <cell r="N576" t="str">
            <v/>
          </cell>
        </row>
        <row r="577">
          <cell r="J577" t="str">
            <v/>
          </cell>
          <cell r="K577" t="str">
            <v/>
          </cell>
          <cell r="L577" t="str">
            <v/>
          </cell>
          <cell r="M577" t="str">
            <v/>
          </cell>
          <cell r="N577" t="str">
            <v/>
          </cell>
        </row>
        <row r="578">
          <cell r="J578" t="str">
            <v/>
          </cell>
          <cell r="K578" t="str">
            <v/>
          </cell>
          <cell r="L578" t="str">
            <v/>
          </cell>
          <cell r="M578" t="str">
            <v/>
          </cell>
          <cell r="N578" t="str">
            <v/>
          </cell>
        </row>
        <row r="579">
          <cell r="J579" t="str">
            <v/>
          </cell>
          <cell r="K579" t="str">
            <v/>
          </cell>
          <cell r="L579" t="str">
            <v/>
          </cell>
          <cell r="M579" t="str">
            <v/>
          </cell>
          <cell r="N579" t="str">
            <v/>
          </cell>
        </row>
        <row r="580">
          <cell r="J580" t="str">
            <v/>
          </cell>
          <cell r="K580" t="str">
            <v/>
          </cell>
          <cell r="L580" t="str">
            <v/>
          </cell>
          <cell r="M580" t="str">
            <v/>
          </cell>
          <cell r="N580" t="str">
            <v/>
          </cell>
        </row>
        <row r="581">
          <cell r="J581" t="str">
            <v/>
          </cell>
          <cell r="K581" t="str">
            <v/>
          </cell>
          <cell r="L581" t="str">
            <v/>
          </cell>
          <cell r="M581" t="str">
            <v/>
          </cell>
          <cell r="N581" t="str">
            <v/>
          </cell>
        </row>
        <row r="586">
          <cell r="H586" t="str">
            <v>tonnes</v>
          </cell>
          <cell r="I586" t="str">
            <v/>
          </cell>
          <cell r="J586" t="str">
            <v/>
          </cell>
          <cell r="K586" t="str">
            <v/>
          </cell>
          <cell r="L586" t="str">
            <v/>
          </cell>
          <cell r="M586" t="str">
            <v/>
          </cell>
          <cell r="N586" t="str">
            <v/>
          </cell>
        </row>
        <row r="587">
          <cell r="I587" t="str">
            <v/>
          </cell>
          <cell r="J587" t="str">
            <v/>
          </cell>
          <cell r="K587" t="str">
            <v/>
          </cell>
          <cell r="L587" t="str">
            <v/>
          </cell>
          <cell r="M587" t="str">
            <v/>
          </cell>
          <cell r="N587" t="str">
            <v/>
          </cell>
        </row>
        <row r="588">
          <cell r="I588" t="str">
            <v/>
          </cell>
          <cell r="J588" t="str">
            <v/>
          </cell>
          <cell r="K588" t="str">
            <v/>
          </cell>
          <cell r="L588" t="str">
            <v/>
          </cell>
          <cell r="M588" t="str">
            <v/>
          </cell>
          <cell r="N588" t="str">
            <v/>
          </cell>
        </row>
        <row r="589">
          <cell r="I589" t="str">
            <v/>
          </cell>
          <cell r="J589" t="str">
            <v/>
          </cell>
          <cell r="K589" t="str">
            <v/>
          </cell>
          <cell r="L589" t="str">
            <v/>
          </cell>
          <cell r="M589" t="str">
            <v/>
          </cell>
          <cell r="N589" t="str">
            <v/>
          </cell>
        </row>
        <row r="590">
          <cell r="I590" t="str">
            <v/>
          </cell>
          <cell r="J590" t="str">
            <v/>
          </cell>
          <cell r="K590" t="str">
            <v/>
          </cell>
          <cell r="L590" t="str">
            <v/>
          </cell>
          <cell r="M590" t="str">
            <v/>
          </cell>
          <cell r="N590" t="str">
            <v/>
          </cell>
        </row>
        <row r="591">
          <cell r="I591" t="str">
            <v/>
          </cell>
          <cell r="J591" t="str">
            <v/>
          </cell>
          <cell r="K591" t="str">
            <v/>
          </cell>
          <cell r="L591" t="str">
            <v/>
          </cell>
          <cell r="M591" t="str">
            <v/>
          </cell>
          <cell r="N591" t="str">
            <v/>
          </cell>
        </row>
        <row r="592">
          <cell r="I592" t="str">
            <v/>
          </cell>
          <cell r="J592" t="str">
            <v/>
          </cell>
          <cell r="K592" t="str">
            <v/>
          </cell>
          <cell r="L592" t="str">
            <v/>
          </cell>
          <cell r="M592" t="str">
            <v/>
          </cell>
          <cell r="N592" t="str">
            <v/>
          </cell>
        </row>
        <row r="597">
          <cell r="H597" t="str">
            <v/>
          </cell>
          <cell r="I597" t="str">
            <v/>
          </cell>
          <cell r="J597" t="str">
            <v/>
          </cell>
          <cell r="K597" t="str">
            <v/>
          </cell>
          <cell r="L597" t="str">
            <v/>
          </cell>
          <cell r="M597" t="str">
            <v/>
          </cell>
          <cell r="N597" t="str">
            <v/>
          </cell>
        </row>
        <row r="599">
          <cell r="H599" t="str">
            <v/>
          </cell>
          <cell r="I599" t="str">
            <v/>
          </cell>
          <cell r="J599" t="str">
            <v/>
          </cell>
          <cell r="K599" t="str">
            <v/>
          </cell>
          <cell r="L599" t="str">
            <v/>
          </cell>
          <cell r="M599" t="str">
            <v/>
          </cell>
          <cell r="N599" t="str">
            <v/>
          </cell>
        </row>
        <row r="600">
          <cell r="H600" t="str">
            <v/>
          </cell>
          <cell r="I600" t="str">
            <v/>
          </cell>
          <cell r="J600" t="str">
            <v/>
          </cell>
          <cell r="K600" t="str">
            <v/>
          </cell>
          <cell r="L600" t="str">
            <v/>
          </cell>
          <cell r="M600" t="str">
            <v/>
          </cell>
          <cell r="N600" t="str">
            <v/>
          </cell>
        </row>
        <row r="602">
          <cell r="H602" t="str">
            <v/>
          </cell>
          <cell r="I602" t="str">
            <v/>
          </cell>
          <cell r="J602" t="str">
            <v/>
          </cell>
          <cell r="K602" t="str">
            <v/>
          </cell>
          <cell r="L602" t="str">
            <v/>
          </cell>
          <cell r="M602" t="str">
            <v/>
          </cell>
          <cell r="N602" t="str">
            <v/>
          </cell>
        </row>
        <row r="603">
          <cell r="H603" t="str">
            <v/>
          </cell>
          <cell r="I603" t="str">
            <v/>
          </cell>
          <cell r="J603" t="str">
            <v/>
          </cell>
          <cell r="K603" t="str">
            <v/>
          </cell>
          <cell r="L603" t="str">
            <v/>
          </cell>
          <cell r="M603" t="str">
            <v/>
          </cell>
          <cell r="N603" t="str">
            <v/>
          </cell>
        </row>
        <row r="604">
          <cell r="H604" t="str">
            <v/>
          </cell>
          <cell r="I604" t="str">
            <v/>
          </cell>
          <cell r="J604" t="str">
            <v/>
          </cell>
          <cell r="K604" t="str">
            <v/>
          </cell>
          <cell r="L604" t="str">
            <v/>
          </cell>
          <cell r="M604" t="str">
            <v/>
          </cell>
          <cell r="N604" t="str">
            <v/>
          </cell>
        </row>
        <row r="605">
          <cell r="H605" t="str">
            <v/>
          </cell>
          <cell r="I605" t="str">
            <v/>
          </cell>
          <cell r="J605" t="str">
            <v/>
          </cell>
          <cell r="K605" t="str">
            <v/>
          </cell>
          <cell r="L605" t="str">
            <v/>
          </cell>
          <cell r="M605" t="str">
            <v/>
          </cell>
          <cell r="N605" t="str">
            <v/>
          </cell>
        </row>
        <row r="607">
          <cell r="H607" t="str">
            <v/>
          </cell>
          <cell r="I607" t="str">
            <v/>
          </cell>
          <cell r="J607" t="str">
            <v/>
          </cell>
          <cell r="K607" t="str">
            <v/>
          </cell>
          <cell r="L607" t="str">
            <v/>
          </cell>
          <cell r="M607" t="str">
            <v/>
          </cell>
          <cell r="N607" t="str">
            <v/>
          </cell>
        </row>
        <row r="608">
          <cell r="H608" t="str">
            <v/>
          </cell>
          <cell r="I608" t="str">
            <v/>
          </cell>
          <cell r="J608" t="str">
            <v/>
          </cell>
          <cell r="K608" t="str">
            <v/>
          </cell>
          <cell r="L608" t="str">
            <v/>
          </cell>
          <cell r="M608" t="str">
            <v/>
          </cell>
          <cell r="N608" t="str">
            <v/>
          </cell>
        </row>
        <row r="610">
          <cell r="H610" t="str">
            <v/>
          </cell>
          <cell r="I610" t="str">
            <v/>
          </cell>
          <cell r="J610" t="str">
            <v/>
          </cell>
          <cell r="K610" t="str">
            <v/>
          </cell>
          <cell r="L610" t="str">
            <v/>
          </cell>
          <cell r="M610" t="str">
            <v/>
          </cell>
          <cell r="N610" t="str">
            <v/>
          </cell>
        </row>
        <row r="611">
          <cell r="H611" t="str">
            <v/>
          </cell>
          <cell r="I611" t="str">
            <v/>
          </cell>
          <cell r="J611" t="str">
            <v/>
          </cell>
          <cell r="K611" t="str">
            <v/>
          </cell>
          <cell r="L611" t="str">
            <v/>
          </cell>
          <cell r="M611" t="str">
            <v/>
          </cell>
          <cell r="N611" t="str">
            <v/>
          </cell>
        </row>
        <row r="613">
          <cell r="H613" t="str">
            <v/>
          </cell>
          <cell r="I613" t="str">
            <v/>
          </cell>
          <cell r="J613" t="str">
            <v/>
          </cell>
          <cell r="K613" t="str">
            <v/>
          </cell>
          <cell r="L613" t="str">
            <v/>
          </cell>
          <cell r="M613" t="str">
            <v/>
          </cell>
          <cell r="N613" t="str">
            <v/>
          </cell>
        </row>
        <row r="614">
          <cell r="H614" t="str">
            <v/>
          </cell>
          <cell r="I614" t="str">
            <v/>
          </cell>
          <cell r="J614" t="str">
            <v/>
          </cell>
          <cell r="K614" t="str">
            <v/>
          </cell>
          <cell r="L614" t="str">
            <v/>
          </cell>
          <cell r="M614" t="str">
            <v/>
          </cell>
          <cell r="N614" t="str">
            <v/>
          </cell>
        </row>
        <row r="616">
          <cell r="H616" t="str">
            <v/>
          </cell>
          <cell r="I616" t="str">
            <v/>
          </cell>
          <cell r="J616" t="str">
            <v/>
          </cell>
          <cell r="K616" t="str">
            <v/>
          </cell>
          <cell r="L616" t="str">
            <v/>
          </cell>
          <cell r="M616" t="str">
            <v/>
          </cell>
          <cell r="N616" t="str">
            <v/>
          </cell>
        </row>
        <row r="617">
          <cell r="H617" t="str">
            <v/>
          </cell>
          <cell r="I617" t="str">
            <v/>
          </cell>
          <cell r="J617" t="str">
            <v/>
          </cell>
          <cell r="K617" t="str">
            <v/>
          </cell>
          <cell r="L617" t="str">
            <v/>
          </cell>
          <cell r="M617" t="str">
            <v/>
          </cell>
          <cell r="N617" t="str">
            <v/>
          </cell>
        </row>
        <row r="618">
          <cell r="H618" t="str">
            <v/>
          </cell>
          <cell r="I618" t="str">
            <v/>
          </cell>
          <cell r="J618" t="str">
            <v/>
          </cell>
          <cell r="K618" t="str">
            <v/>
          </cell>
          <cell r="L618" t="str">
            <v/>
          </cell>
          <cell r="M618" t="str">
            <v/>
          </cell>
          <cell r="N618" t="str">
            <v/>
          </cell>
        </row>
        <row r="619">
          <cell r="H619" t="str">
            <v/>
          </cell>
          <cell r="I619" t="str">
            <v/>
          </cell>
          <cell r="J619" t="str">
            <v/>
          </cell>
          <cell r="K619" t="str">
            <v/>
          </cell>
          <cell r="L619" t="str">
            <v/>
          </cell>
          <cell r="M619" t="str">
            <v/>
          </cell>
          <cell r="N619" t="str">
            <v/>
          </cell>
        </row>
        <row r="620">
          <cell r="H620" t="str">
            <v/>
          </cell>
          <cell r="I620" t="str">
            <v/>
          </cell>
          <cell r="J620" t="str">
            <v/>
          </cell>
          <cell r="K620" t="str">
            <v/>
          </cell>
          <cell r="L620" t="str">
            <v/>
          </cell>
          <cell r="M620" t="str">
            <v/>
          </cell>
          <cell r="N620" t="str">
            <v/>
          </cell>
        </row>
        <row r="621">
          <cell r="H621" t="str">
            <v/>
          </cell>
          <cell r="I621" t="str">
            <v/>
          </cell>
          <cell r="J621" t="str">
            <v/>
          </cell>
          <cell r="K621" t="str">
            <v/>
          </cell>
          <cell r="L621" t="str">
            <v/>
          </cell>
          <cell r="M621" t="str">
            <v/>
          </cell>
          <cell r="N621" t="str">
            <v/>
          </cell>
        </row>
        <row r="622">
          <cell r="H622" t="str">
            <v/>
          </cell>
          <cell r="I622" t="str">
            <v/>
          </cell>
          <cell r="J622" t="str">
            <v/>
          </cell>
          <cell r="K622" t="str">
            <v/>
          </cell>
          <cell r="L622" t="str">
            <v/>
          </cell>
          <cell r="M622" t="str">
            <v/>
          </cell>
          <cell r="N622" t="str">
            <v/>
          </cell>
        </row>
        <row r="623">
          <cell r="H623" t="str">
            <v/>
          </cell>
          <cell r="I623" t="str">
            <v/>
          </cell>
          <cell r="J623" t="str">
            <v/>
          </cell>
          <cell r="K623" t="str">
            <v/>
          </cell>
          <cell r="L623" t="str">
            <v/>
          </cell>
          <cell r="M623" t="str">
            <v/>
          </cell>
          <cell r="N623" t="str">
            <v/>
          </cell>
        </row>
        <row r="624">
          <cell r="H624" t="str">
            <v/>
          </cell>
          <cell r="I624" t="str">
            <v/>
          </cell>
          <cell r="J624" t="str">
            <v/>
          </cell>
          <cell r="K624" t="str">
            <v/>
          </cell>
          <cell r="L624" t="str">
            <v/>
          </cell>
          <cell r="M624" t="str">
            <v/>
          </cell>
          <cell r="N624" t="str">
            <v/>
          </cell>
        </row>
        <row r="625">
          <cell r="H625" t="str">
            <v/>
          </cell>
          <cell r="I625" t="str">
            <v/>
          </cell>
          <cell r="J625" t="str">
            <v/>
          </cell>
          <cell r="K625" t="str">
            <v/>
          </cell>
          <cell r="L625" t="str">
            <v/>
          </cell>
          <cell r="M625" t="str">
            <v/>
          </cell>
          <cell r="N625" t="str">
            <v/>
          </cell>
        </row>
        <row r="627">
          <cell r="H627" t="str">
            <v/>
          </cell>
          <cell r="I627" t="str">
            <v/>
          </cell>
          <cell r="J627" t="str">
            <v/>
          </cell>
          <cell r="K627" t="str">
            <v/>
          </cell>
          <cell r="L627" t="str">
            <v/>
          </cell>
          <cell r="M627" t="str">
            <v/>
          </cell>
          <cell r="N627" t="str">
            <v/>
          </cell>
        </row>
        <row r="628">
          <cell r="H628" t="str">
            <v/>
          </cell>
          <cell r="I628" t="str">
            <v/>
          </cell>
          <cell r="J628" t="str">
            <v/>
          </cell>
          <cell r="K628" t="str">
            <v/>
          </cell>
          <cell r="L628" t="str">
            <v/>
          </cell>
          <cell r="M628" t="str">
            <v/>
          </cell>
          <cell r="N628" t="str">
            <v/>
          </cell>
        </row>
        <row r="630">
          <cell r="H630" t="str">
            <v/>
          </cell>
          <cell r="I630" t="str">
            <v/>
          </cell>
          <cell r="J630" t="str">
            <v/>
          </cell>
          <cell r="K630" t="str">
            <v/>
          </cell>
          <cell r="L630" t="str">
            <v/>
          </cell>
          <cell r="M630" t="str">
            <v/>
          </cell>
          <cell r="N630" t="str">
            <v/>
          </cell>
        </row>
        <row r="633">
          <cell r="E633" t="str">
            <v/>
          </cell>
          <cell r="H633" t="str">
            <v/>
          </cell>
          <cell r="I633" t="str">
            <v/>
          </cell>
          <cell r="J633" t="str">
            <v/>
          </cell>
          <cell r="K633" t="str">
            <v/>
          </cell>
          <cell r="L633" t="str">
            <v/>
          </cell>
          <cell r="M633" t="str">
            <v/>
          </cell>
          <cell r="N633" t="str">
            <v/>
          </cell>
        </row>
        <row r="634">
          <cell r="E634" t="str">
            <v/>
          </cell>
          <cell r="H634" t="str">
            <v/>
          </cell>
          <cell r="I634" t="str">
            <v/>
          </cell>
          <cell r="J634" t="str">
            <v/>
          </cell>
          <cell r="K634" t="str">
            <v/>
          </cell>
          <cell r="L634" t="str">
            <v/>
          </cell>
          <cell r="M634" t="str">
            <v/>
          </cell>
          <cell r="N634" t="str">
            <v/>
          </cell>
        </row>
        <row r="636">
          <cell r="E636" t="str">
            <v/>
          </cell>
          <cell r="H636" t="str">
            <v/>
          </cell>
          <cell r="I636" t="str">
            <v/>
          </cell>
          <cell r="J636" t="str">
            <v/>
          </cell>
          <cell r="K636" t="str">
            <v/>
          </cell>
          <cell r="L636" t="str">
            <v/>
          </cell>
          <cell r="M636" t="str">
            <v/>
          </cell>
          <cell r="N636" t="str">
            <v/>
          </cell>
        </row>
        <row r="637">
          <cell r="E637" t="str">
            <v/>
          </cell>
          <cell r="H637" t="str">
            <v/>
          </cell>
          <cell r="I637" t="str">
            <v/>
          </cell>
          <cell r="J637" t="str">
            <v/>
          </cell>
          <cell r="K637" t="str">
            <v/>
          </cell>
          <cell r="L637" t="str">
            <v/>
          </cell>
          <cell r="M637" t="str">
            <v/>
          </cell>
          <cell r="N637" t="str">
            <v/>
          </cell>
        </row>
        <row r="641">
          <cell r="I641" t="str">
            <v/>
          </cell>
        </row>
        <row r="644">
          <cell r="E644" t="str">
            <v/>
          </cell>
          <cell r="H644" t="str">
            <v>N.A.</v>
          </cell>
          <cell r="I644" t="str">
            <v/>
          </cell>
          <cell r="J644" t="str">
            <v>N.A.</v>
          </cell>
          <cell r="K644" t="str">
            <v>N.A.</v>
          </cell>
          <cell r="L644" t="str">
            <v>N.A.</v>
          </cell>
          <cell r="M644" t="str">
            <v>N.A.</v>
          </cell>
          <cell r="N644" t="str">
            <v>EUA/tonnes</v>
          </cell>
        </row>
        <row r="647">
          <cell r="F647" t="str">
            <v>tonnes</v>
          </cell>
          <cell r="G647" t="str">
            <v/>
          </cell>
          <cell r="H647" t="str">
            <v/>
          </cell>
          <cell r="I647" t="str">
            <v/>
          </cell>
          <cell r="J647" t="str">
            <v/>
          </cell>
          <cell r="K647" t="str">
            <v/>
          </cell>
          <cell r="L647" t="str">
            <v/>
          </cell>
          <cell r="M647" t="str">
            <v/>
          </cell>
          <cell r="N647" t="str">
            <v/>
          </cell>
        </row>
        <row r="651">
          <cell r="J651" t="str">
            <v/>
          </cell>
          <cell r="K651" t="str">
            <v/>
          </cell>
          <cell r="L651" t="str">
            <v/>
          </cell>
          <cell r="M651" t="str">
            <v/>
          </cell>
          <cell r="N651" t="str">
            <v/>
          </cell>
        </row>
        <row r="652">
          <cell r="J652" t="str">
            <v/>
          </cell>
          <cell r="K652" t="str">
            <v/>
          </cell>
          <cell r="L652" t="str">
            <v/>
          </cell>
          <cell r="M652" t="str">
            <v/>
          </cell>
          <cell r="N652" t="str">
            <v/>
          </cell>
        </row>
        <row r="655">
          <cell r="H655" t="str">
            <v>tonnes</v>
          </cell>
          <cell r="J655" t="str">
            <v/>
          </cell>
          <cell r="K655" t="str">
            <v/>
          </cell>
          <cell r="L655" t="str">
            <v/>
          </cell>
          <cell r="M655" t="str">
            <v/>
          </cell>
          <cell r="N655" t="str">
            <v/>
          </cell>
        </row>
        <row r="656">
          <cell r="J656" t="str">
            <v/>
          </cell>
          <cell r="K656" t="str">
            <v/>
          </cell>
          <cell r="L656" t="str">
            <v/>
          </cell>
          <cell r="M656" t="str">
            <v/>
          </cell>
          <cell r="N656" t="str">
            <v/>
          </cell>
        </row>
        <row r="657">
          <cell r="J657" t="str">
            <v/>
          </cell>
          <cell r="K657" t="str">
            <v/>
          </cell>
          <cell r="L657" t="str">
            <v/>
          </cell>
          <cell r="M657" t="str">
            <v/>
          </cell>
          <cell r="N657" t="str">
            <v/>
          </cell>
        </row>
        <row r="658">
          <cell r="J658" t="str">
            <v/>
          </cell>
          <cell r="K658" t="str">
            <v/>
          </cell>
          <cell r="L658" t="str">
            <v/>
          </cell>
          <cell r="M658" t="str">
            <v/>
          </cell>
          <cell r="N658" t="str">
            <v/>
          </cell>
        </row>
        <row r="659">
          <cell r="J659" t="str">
            <v/>
          </cell>
          <cell r="K659" t="str">
            <v/>
          </cell>
          <cell r="L659" t="str">
            <v/>
          </cell>
          <cell r="M659" t="str">
            <v/>
          </cell>
          <cell r="N659" t="str">
            <v/>
          </cell>
        </row>
        <row r="660">
          <cell r="J660" t="str">
            <v/>
          </cell>
          <cell r="K660" t="str">
            <v/>
          </cell>
          <cell r="L660" t="str">
            <v/>
          </cell>
          <cell r="M660" t="str">
            <v/>
          </cell>
          <cell r="N660" t="str">
            <v/>
          </cell>
        </row>
        <row r="661">
          <cell r="J661" t="str">
            <v/>
          </cell>
          <cell r="K661" t="str">
            <v/>
          </cell>
          <cell r="L661" t="str">
            <v/>
          </cell>
          <cell r="M661" t="str">
            <v/>
          </cell>
          <cell r="N661" t="str">
            <v/>
          </cell>
        </row>
        <row r="664">
          <cell r="H664" t="str">
            <v>tonnes</v>
          </cell>
          <cell r="J664" t="str">
            <v/>
          </cell>
          <cell r="K664" t="str">
            <v/>
          </cell>
          <cell r="L664" t="str">
            <v/>
          </cell>
          <cell r="M664" t="str">
            <v/>
          </cell>
          <cell r="N664" t="str">
            <v/>
          </cell>
        </row>
        <row r="665">
          <cell r="J665" t="str">
            <v/>
          </cell>
          <cell r="K665" t="str">
            <v/>
          </cell>
          <cell r="L665" t="str">
            <v/>
          </cell>
          <cell r="M665" t="str">
            <v/>
          </cell>
          <cell r="N665" t="str">
            <v/>
          </cell>
        </row>
        <row r="666">
          <cell r="J666" t="str">
            <v/>
          </cell>
          <cell r="K666" t="str">
            <v/>
          </cell>
          <cell r="L666" t="str">
            <v/>
          </cell>
          <cell r="M666" t="str">
            <v/>
          </cell>
          <cell r="N666" t="str">
            <v/>
          </cell>
        </row>
        <row r="667">
          <cell r="H667" t="str">
            <v>tonnes</v>
          </cell>
          <cell r="J667" t="str">
            <v/>
          </cell>
          <cell r="K667" t="str">
            <v/>
          </cell>
          <cell r="L667" t="str">
            <v/>
          </cell>
          <cell r="M667" t="str">
            <v/>
          </cell>
          <cell r="N667" t="str">
            <v/>
          </cell>
        </row>
        <row r="668">
          <cell r="J668" t="str">
            <v/>
          </cell>
          <cell r="K668" t="str">
            <v/>
          </cell>
          <cell r="L668" t="str">
            <v/>
          </cell>
          <cell r="M668" t="str">
            <v/>
          </cell>
          <cell r="N668" t="str">
            <v/>
          </cell>
        </row>
        <row r="669">
          <cell r="J669" t="str">
            <v/>
          </cell>
          <cell r="K669" t="str">
            <v/>
          </cell>
          <cell r="L669" t="str">
            <v/>
          </cell>
          <cell r="M669" t="str">
            <v/>
          </cell>
          <cell r="N669" t="str">
            <v/>
          </cell>
        </row>
        <row r="670">
          <cell r="J670" t="str">
            <v/>
          </cell>
          <cell r="K670" t="str">
            <v/>
          </cell>
          <cell r="L670" t="str">
            <v/>
          </cell>
          <cell r="M670" t="str">
            <v/>
          </cell>
          <cell r="N670" t="str">
            <v/>
          </cell>
        </row>
        <row r="671">
          <cell r="J671" t="str">
            <v/>
          </cell>
          <cell r="K671" t="str">
            <v/>
          </cell>
          <cell r="L671" t="str">
            <v/>
          </cell>
          <cell r="M671" t="str">
            <v/>
          </cell>
          <cell r="N671" t="str">
            <v/>
          </cell>
        </row>
        <row r="672">
          <cell r="J672" t="str">
            <v/>
          </cell>
          <cell r="K672" t="str">
            <v/>
          </cell>
          <cell r="L672" t="str">
            <v/>
          </cell>
          <cell r="M672" t="str">
            <v/>
          </cell>
          <cell r="N672" t="str">
            <v/>
          </cell>
        </row>
        <row r="673">
          <cell r="J673" t="str">
            <v/>
          </cell>
          <cell r="K673" t="str">
            <v/>
          </cell>
          <cell r="L673" t="str">
            <v/>
          </cell>
          <cell r="M673" t="str">
            <v/>
          </cell>
          <cell r="N673" t="str">
            <v/>
          </cell>
        </row>
        <row r="674">
          <cell r="J674" t="str">
            <v/>
          </cell>
          <cell r="K674" t="str">
            <v/>
          </cell>
          <cell r="L674" t="str">
            <v/>
          </cell>
          <cell r="M674" t="str">
            <v/>
          </cell>
          <cell r="N674" t="str">
            <v/>
          </cell>
        </row>
        <row r="675">
          <cell r="J675" t="str">
            <v/>
          </cell>
          <cell r="K675" t="str">
            <v/>
          </cell>
          <cell r="L675" t="str">
            <v/>
          </cell>
          <cell r="M675" t="str">
            <v/>
          </cell>
          <cell r="N675" t="str">
            <v/>
          </cell>
        </row>
        <row r="678">
          <cell r="H678" t="str">
            <v>tonnes</v>
          </cell>
          <cell r="J678" t="str">
            <v/>
          </cell>
          <cell r="K678" t="str">
            <v/>
          </cell>
          <cell r="L678" t="str">
            <v/>
          </cell>
          <cell r="M678" t="str">
            <v/>
          </cell>
          <cell r="N678" t="str">
            <v/>
          </cell>
        </row>
        <row r="679">
          <cell r="J679" t="str">
            <v/>
          </cell>
          <cell r="K679" t="str">
            <v/>
          </cell>
          <cell r="L679" t="str">
            <v/>
          </cell>
          <cell r="M679" t="str">
            <v/>
          </cell>
          <cell r="N679" t="str">
            <v/>
          </cell>
        </row>
        <row r="680">
          <cell r="J680" t="str">
            <v/>
          </cell>
          <cell r="K680" t="str">
            <v/>
          </cell>
          <cell r="L680" t="str">
            <v/>
          </cell>
          <cell r="M680" t="str">
            <v/>
          </cell>
          <cell r="N680" t="str">
            <v/>
          </cell>
        </row>
        <row r="681">
          <cell r="J681" t="str">
            <v/>
          </cell>
          <cell r="K681" t="str">
            <v/>
          </cell>
          <cell r="L681" t="str">
            <v/>
          </cell>
          <cell r="M681" t="str">
            <v/>
          </cell>
          <cell r="N681" t="str">
            <v/>
          </cell>
        </row>
        <row r="682">
          <cell r="J682" t="str">
            <v/>
          </cell>
          <cell r="K682" t="str">
            <v/>
          </cell>
          <cell r="L682" t="str">
            <v/>
          </cell>
          <cell r="M682" t="str">
            <v/>
          </cell>
          <cell r="N682" t="str">
            <v/>
          </cell>
        </row>
        <row r="683">
          <cell r="J683" t="str">
            <v/>
          </cell>
          <cell r="K683" t="str">
            <v/>
          </cell>
          <cell r="L683" t="str">
            <v/>
          </cell>
          <cell r="M683" t="str">
            <v/>
          </cell>
          <cell r="N683" t="str">
            <v/>
          </cell>
        </row>
        <row r="684">
          <cell r="J684" t="str">
            <v/>
          </cell>
          <cell r="K684" t="str">
            <v/>
          </cell>
          <cell r="L684" t="str">
            <v/>
          </cell>
          <cell r="M684" t="str">
            <v/>
          </cell>
          <cell r="N684" t="str">
            <v/>
          </cell>
        </row>
        <row r="685">
          <cell r="J685" t="str">
            <v/>
          </cell>
          <cell r="K685" t="str">
            <v/>
          </cell>
          <cell r="L685" t="str">
            <v/>
          </cell>
          <cell r="M685" t="str">
            <v/>
          </cell>
          <cell r="N685" t="str">
            <v/>
          </cell>
        </row>
        <row r="686">
          <cell r="J686" t="str">
            <v/>
          </cell>
          <cell r="K686" t="str">
            <v/>
          </cell>
          <cell r="L686" t="str">
            <v/>
          </cell>
          <cell r="M686" t="str">
            <v/>
          </cell>
          <cell r="N686" t="str">
            <v/>
          </cell>
        </row>
        <row r="687">
          <cell r="J687" t="str">
            <v/>
          </cell>
          <cell r="K687" t="str">
            <v/>
          </cell>
          <cell r="L687" t="str">
            <v/>
          </cell>
          <cell r="M687" t="str">
            <v/>
          </cell>
          <cell r="N687" t="str">
            <v/>
          </cell>
        </row>
        <row r="688">
          <cell r="J688" t="str">
            <v/>
          </cell>
          <cell r="K688" t="str">
            <v/>
          </cell>
          <cell r="L688" t="str">
            <v/>
          </cell>
          <cell r="M688" t="str">
            <v/>
          </cell>
          <cell r="N688" t="str">
            <v/>
          </cell>
        </row>
        <row r="689">
          <cell r="J689" t="str">
            <v/>
          </cell>
          <cell r="K689" t="str">
            <v/>
          </cell>
          <cell r="L689" t="str">
            <v/>
          </cell>
          <cell r="M689" t="str">
            <v/>
          </cell>
          <cell r="N689" t="str">
            <v/>
          </cell>
        </row>
        <row r="692">
          <cell r="H692" t="str">
            <v>tonnes</v>
          </cell>
          <cell r="J692" t="str">
            <v/>
          </cell>
          <cell r="K692" t="str">
            <v/>
          </cell>
          <cell r="L692" t="str">
            <v/>
          </cell>
          <cell r="M692" t="str">
            <v/>
          </cell>
          <cell r="N692" t="str">
            <v/>
          </cell>
        </row>
        <row r="693">
          <cell r="J693" t="str">
            <v/>
          </cell>
          <cell r="K693" t="str">
            <v/>
          </cell>
          <cell r="L693" t="str">
            <v/>
          </cell>
          <cell r="M693" t="str">
            <v/>
          </cell>
          <cell r="N693" t="str">
            <v/>
          </cell>
        </row>
        <row r="694">
          <cell r="J694" t="str">
            <v/>
          </cell>
          <cell r="K694" t="str">
            <v/>
          </cell>
          <cell r="L694" t="str">
            <v/>
          </cell>
          <cell r="M694" t="str">
            <v/>
          </cell>
          <cell r="N694" t="str">
            <v/>
          </cell>
        </row>
        <row r="695">
          <cell r="J695" t="str">
            <v/>
          </cell>
          <cell r="K695" t="str">
            <v/>
          </cell>
          <cell r="L695" t="str">
            <v/>
          </cell>
          <cell r="M695" t="str">
            <v/>
          </cell>
          <cell r="N695" t="str">
            <v/>
          </cell>
        </row>
        <row r="696">
          <cell r="J696" t="str">
            <v/>
          </cell>
          <cell r="K696" t="str">
            <v/>
          </cell>
          <cell r="L696" t="str">
            <v/>
          </cell>
          <cell r="M696" t="str">
            <v/>
          </cell>
          <cell r="N696" t="str">
            <v/>
          </cell>
        </row>
        <row r="697">
          <cell r="J697" t="str">
            <v/>
          </cell>
          <cell r="K697" t="str">
            <v/>
          </cell>
          <cell r="L697" t="str">
            <v/>
          </cell>
          <cell r="M697" t="str">
            <v/>
          </cell>
          <cell r="N697" t="str">
            <v/>
          </cell>
        </row>
        <row r="698">
          <cell r="J698" t="str">
            <v/>
          </cell>
          <cell r="K698" t="str">
            <v/>
          </cell>
          <cell r="L698" t="str">
            <v/>
          </cell>
          <cell r="M698" t="str">
            <v/>
          </cell>
          <cell r="N698" t="str">
            <v/>
          </cell>
        </row>
        <row r="699">
          <cell r="J699" t="str">
            <v/>
          </cell>
          <cell r="K699" t="str">
            <v/>
          </cell>
          <cell r="L699" t="str">
            <v/>
          </cell>
          <cell r="M699" t="str">
            <v/>
          </cell>
          <cell r="N699" t="str">
            <v/>
          </cell>
        </row>
        <row r="700">
          <cell r="J700" t="str">
            <v/>
          </cell>
          <cell r="K700" t="str">
            <v/>
          </cell>
          <cell r="L700" t="str">
            <v/>
          </cell>
          <cell r="M700" t="str">
            <v/>
          </cell>
          <cell r="N700" t="str">
            <v/>
          </cell>
        </row>
        <row r="701">
          <cell r="J701" t="str">
            <v/>
          </cell>
          <cell r="K701" t="str">
            <v/>
          </cell>
          <cell r="L701" t="str">
            <v/>
          </cell>
          <cell r="M701" t="str">
            <v/>
          </cell>
          <cell r="N701" t="str">
            <v/>
          </cell>
        </row>
        <row r="702">
          <cell r="J702" t="str">
            <v/>
          </cell>
          <cell r="K702" t="str">
            <v/>
          </cell>
          <cell r="L702" t="str">
            <v/>
          </cell>
          <cell r="M702" t="str">
            <v/>
          </cell>
          <cell r="N702" t="str">
            <v/>
          </cell>
        </row>
        <row r="703">
          <cell r="J703" t="str">
            <v/>
          </cell>
          <cell r="K703" t="str">
            <v/>
          </cell>
          <cell r="L703" t="str">
            <v/>
          </cell>
          <cell r="M703" t="str">
            <v/>
          </cell>
          <cell r="N703" t="str">
            <v/>
          </cell>
        </row>
        <row r="706">
          <cell r="H706" t="str">
            <v>tonnes</v>
          </cell>
          <cell r="J706" t="str">
            <v/>
          </cell>
          <cell r="K706" t="str">
            <v/>
          </cell>
          <cell r="L706" t="str">
            <v/>
          </cell>
          <cell r="M706" t="str">
            <v/>
          </cell>
          <cell r="N706" t="str">
            <v/>
          </cell>
        </row>
        <row r="707">
          <cell r="J707" t="str">
            <v/>
          </cell>
          <cell r="K707" t="str">
            <v/>
          </cell>
          <cell r="L707" t="str">
            <v/>
          </cell>
          <cell r="M707" t="str">
            <v/>
          </cell>
          <cell r="N707" t="str">
            <v/>
          </cell>
        </row>
        <row r="708">
          <cell r="J708" t="str">
            <v/>
          </cell>
          <cell r="K708" t="str">
            <v/>
          </cell>
          <cell r="L708" t="str">
            <v/>
          </cell>
          <cell r="M708" t="str">
            <v/>
          </cell>
          <cell r="N708" t="str">
            <v/>
          </cell>
        </row>
        <row r="709">
          <cell r="J709" t="str">
            <v/>
          </cell>
          <cell r="K709" t="str">
            <v/>
          </cell>
          <cell r="L709" t="str">
            <v/>
          </cell>
          <cell r="M709" t="str">
            <v/>
          </cell>
          <cell r="N709" t="str">
            <v/>
          </cell>
        </row>
        <row r="710">
          <cell r="J710" t="str">
            <v/>
          </cell>
          <cell r="K710" t="str">
            <v/>
          </cell>
          <cell r="L710" t="str">
            <v/>
          </cell>
          <cell r="M710" t="str">
            <v/>
          </cell>
          <cell r="N710" t="str">
            <v/>
          </cell>
        </row>
        <row r="711">
          <cell r="J711" t="str">
            <v/>
          </cell>
          <cell r="K711" t="str">
            <v/>
          </cell>
          <cell r="L711" t="str">
            <v/>
          </cell>
          <cell r="M711" t="str">
            <v/>
          </cell>
          <cell r="N711" t="str">
            <v/>
          </cell>
        </row>
        <row r="712">
          <cell r="J712" t="str">
            <v/>
          </cell>
          <cell r="K712" t="str">
            <v/>
          </cell>
          <cell r="L712" t="str">
            <v/>
          </cell>
          <cell r="M712" t="str">
            <v/>
          </cell>
          <cell r="N712" t="str">
            <v/>
          </cell>
        </row>
        <row r="713">
          <cell r="J713" t="str">
            <v/>
          </cell>
          <cell r="K713" t="str">
            <v/>
          </cell>
          <cell r="L713" t="str">
            <v/>
          </cell>
          <cell r="M713" t="str">
            <v/>
          </cell>
          <cell r="N713" t="str">
            <v/>
          </cell>
        </row>
        <row r="714">
          <cell r="J714" t="str">
            <v/>
          </cell>
          <cell r="K714" t="str">
            <v/>
          </cell>
          <cell r="L714" t="str">
            <v/>
          </cell>
          <cell r="M714" t="str">
            <v/>
          </cell>
          <cell r="N714" t="str">
            <v/>
          </cell>
        </row>
        <row r="715">
          <cell r="J715" t="str">
            <v/>
          </cell>
          <cell r="K715" t="str">
            <v/>
          </cell>
          <cell r="L715" t="str">
            <v/>
          </cell>
          <cell r="M715" t="str">
            <v/>
          </cell>
          <cell r="N715" t="str">
            <v/>
          </cell>
        </row>
        <row r="716">
          <cell r="J716" t="str">
            <v/>
          </cell>
          <cell r="K716" t="str">
            <v/>
          </cell>
          <cell r="L716" t="str">
            <v/>
          </cell>
          <cell r="M716" t="str">
            <v/>
          </cell>
          <cell r="N716" t="str">
            <v/>
          </cell>
        </row>
        <row r="717">
          <cell r="J717" t="str">
            <v/>
          </cell>
          <cell r="K717" t="str">
            <v/>
          </cell>
          <cell r="L717" t="str">
            <v/>
          </cell>
          <cell r="M717" t="str">
            <v/>
          </cell>
          <cell r="N717" t="str">
            <v/>
          </cell>
        </row>
        <row r="720">
          <cell r="H720" t="str">
            <v>tonnes</v>
          </cell>
          <cell r="J720" t="str">
            <v/>
          </cell>
          <cell r="K720" t="str">
            <v/>
          </cell>
          <cell r="L720" t="str">
            <v/>
          </cell>
          <cell r="M720" t="str">
            <v/>
          </cell>
          <cell r="N720" t="str">
            <v/>
          </cell>
        </row>
        <row r="721">
          <cell r="J721" t="str">
            <v/>
          </cell>
          <cell r="K721" t="str">
            <v/>
          </cell>
          <cell r="L721" t="str">
            <v/>
          </cell>
          <cell r="M721" t="str">
            <v/>
          </cell>
          <cell r="N721" t="str">
            <v/>
          </cell>
        </row>
        <row r="722">
          <cell r="J722" t="str">
            <v/>
          </cell>
          <cell r="K722" t="str">
            <v/>
          </cell>
          <cell r="L722" t="str">
            <v/>
          </cell>
          <cell r="M722" t="str">
            <v/>
          </cell>
          <cell r="N722" t="str">
            <v/>
          </cell>
        </row>
        <row r="723">
          <cell r="J723" t="str">
            <v/>
          </cell>
          <cell r="K723" t="str">
            <v/>
          </cell>
          <cell r="L723" t="str">
            <v/>
          </cell>
          <cell r="M723" t="str">
            <v/>
          </cell>
          <cell r="N723" t="str">
            <v/>
          </cell>
        </row>
        <row r="724">
          <cell r="J724" t="str">
            <v/>
          </cell>
          <cell r="K724" t="str">
            <v/>
          </cell>
          <cell r="L724" t="str">
            <v/>
          </cell>
          <cell r="M724" t="str">
            <v/>
          </cell>
          <cell r="N724" t="str">
            <v/>
          </cell>
        </row>
        <row r="725">
          <cell r="J725" t="str">
            <v/>
          </cell>
          <cell r="K725" t="str">
            <v/>
          </cell>
          <cell r="L725" t="str">
            <v/>
          </cell>
          <cell r="M725" t="str">
            <v/>
          </cell>
          <cell r="N725" t="str">
            <v/>
          </cell>
        </row>
        <row r="726">
          <cell r="J726" t="str">
            <v/>
          </cell>
          <cell r="K726" t="str">
            <v/>
          </cell>
          <cell r="L726" t="str">
            <v/>
          </cell>
          <cell r="M726" t="str">
            <v/>
          </cell>
          <cell r="N726" t="str">
            <v/>
          </cell>
        </row>
        <row r="727">
          <cell r="J727" t="str">
            <v/>
          </cell>
          <cell r="K727" t="str">
            <v/>
          </cell>
          <cell r="L727" t="str">
            <v/>
          </cell>
          <cell r="M727" t="str">
            <v/>
          </cell>
          <cell r="N727" t="str">
            <v/>
          </cell>
        </row>
        <row r="728">
          <cell r="J728" t="str">
            <v/>
          </cell>
          <cell r="K728" t="str">
            <v/>
          </cell>
          <cell r="L728" t="str">
            <v/>
          </cell>
          <cell r="M728" t="str">
            <v/>
          </cell>
          <cell r="N728" t="str">
            <v/>
          </cell>
        </row>
        <row r="729">
          <cell r="J729" t="str">
            <v/>
          </cell>
          <cell r="K729" t="str">
            <v/>
          </cell>
          <cell r="L729" t="str">
            <v/>
          </cell>
          <cell r="M729" t="str">
            <v/>
          </cell>
          <cell r="N729" t="str">
            <v/>
          </cell>
        </row>
        <row r="730">
          <cell r="J730" t="str">
            <v/>
          </cell>
          <cell r="K730" t="str">
            <v/>
          </cell>
          <cell r="L730" t="str">
            <v/>
          </cell>
          <cell r="M730" t="str">
            <v/>
          </cell>
          <cell r="N730" t="str">
            <v/>
          </cell>
        </row>
        <row r="731">
          <cell r="J731" t="str">
            <v/>
          </cell>
          <cell r="K731" t="str">
            <v/>
          </cell>
          <cell r="L731" t="str">
            <v/>
          </cell>
          <cell r="M731" t="str">
            <v/>
          </cell>
          <cell r="N731" t="str">
            <v/>
          </cell>
        </row>
        <row r="734">
          <cell r="H734" t="str">
            <v>tonnes</v>
          </cell>
          <cell r="J734" t="str">
            <v/>
          </cell>
          <cell r="K734" t="str">
            <v/>
          </cell>
          <cell r="L734" t="str">
            <v/>
          </cell>
          <cell r="M734" t="str">
            <v/>
          </cell>
          <cell r="N734" t="str">
            <v/>
          </cell>
        </row>
        <row r="735">
          <cell r="J735" t="str">
            <v/>
          </cell>
          <cell r="K735" t="str">
            <v/>
          </cell>
          <cell r="L735" t="str">
            <v/>
          </cell>
          <cell r="M735" t="str">
            <v/>
          </cell>
          <cell r="N735" t="str">
            <v/>
          </cell>
        </row>
        <row r="736">
          <cell r="J736" t="str">
            <v/>
          </cell>
          <cell r="K736" t="str">
            <v/>
          </cell>
          <cell r="L736" t="str">
            <v/>
          </cell>
          <cell r="M736" t="str">
            <v/>
          </cell>
          <cell r="N736" t="str">
            <v/>
          </cell>
        </row>
        <row r="737">
          <cell r="J737" t="str">
            <v/>
          </cell>
          <cell r="K737" t="str">
            <v/>
          </cell>
          <cell r="L737" t="str">
            <v/>
          </cell>
          <cell r="M737" t="str">
            <v/>
          </cell>
          <cell r="N737" t="str">
            <v/>
          </cell>
        </row>
        <row r="738">
          <cell r="J738" t="str">
            <v/>
          </cell>
          <cell r="K738" t="str">
            <v/>
          </cell>
          <cell r="L738" t="str">
            <v/>
          </cell>
          <cell r="M738" t="str">
            <v/>
          </cell>
          <cell r="N738" t="str">
            <v/>
          </cell>
        </row>
        <row r="739">
          <cell r="J739" t="str">
            <v/>
          </cell>
          <cell r="K739" t="str">
            <v/>
          </cell>
          <cell r="L739" t="str">
            <v/>
          </cell>
          <cell r="M739" t="str">
            <v/>
          </cell>
          <cell r="N739" t="str">
            <v/>
          </cell>
        </row>
        <row r="740">
          <cell r="J740" t="str">
            <v/>
          </cell>
          <cell r="K740" t="str">
            <v/>
          </cell>
          <cell r="L740" t="str">
            <v/>
          </cell>
          <cell r="M740" t="str">
            <v/>
          </cell>
          <cell r="N740" t="str">
            <v/>
          </cell>
        </row>
        <row r="741">
          <cell r="J741" t="str">
            <v/>
          </cell>
          <cell r="K741" t="str">
            <v/>
          </cell>
          <cell r="L741" t="str">
            <v/>
          </cell>
          <cell r="M741" t="str">
            <v/>
          </cell>
          <cell r="N741" t="str">
            <v/>
          </cell>
        </row>
        <row r="742">
          <cell r="J742" t="str">
            <v/>
          </cell>
          <cell r="K742" t="str">
            <v/>
          </cell>
          <cell r="L742" t="str">
            <v/>
          </cell>
          <cell r="M742" t="str">
            <v/>
          </cell>
          <cell r="N742" t="str">
            <v/>
          </cell>
        </row>
        <row r="743">
          <cell r="J743" t="str">
            <v/>
          </cell>
          <cell r="K743" t="str">
            <v/>
          </cell>
          <cell r="L743" t="str">
            <v/>
          </cell>
          <cell r="M743" t="str">
            <v/>
          </cell>
          <cell r="N743" t="str">
            <v/>
          </cell>
        </row>
        <row r="744">
          <cell r="J744" t="str">
            <v/>
          </cell>
          <cell r="K744" t="str">
            <v/>
          </cell>
          <cell r="L744" t="str">
            <v/>
          </cell>
          <cell r="M744" t="str">
            <v/>
          </cell>
          <cell r="N744" t="str">
            <v/>
          </cell>
        </row>
        <row r="745">
          <cell r="J745" t="str">
            <v/>
          </cell>
          <cell r="K745" t="str">
            <v/>
          </cell>
          <cell r="L745" t="str">
            <v/>
          </cell>
          <cell r="M745" t="str">
            <v/>
          </cell>
          <cell r="N745" t="str">
            <v/>
          </cell>
        </row>
        <row r="750">
          <cell r="H750" t="str">
            <v>tonnes</v>
          </cell>
          <cell r="I750" t="str">
            <v/>
          </cell>
          <cell r="J750" t="str">
            <v/>
          </cell>
          <cell r="K750" t="str">
            <v/>
          </cell>
          <cell r="L750" t="str">
            <v/>
          </cell>
          <cell r="M750" t="str">
            <v/>
          </cell>
          <cell r="N750" t="str">
            <v/>
          </cell>
        </row>
        <row r="751">
          <cell r="I751" t="str">
            <v/>
          </cell>
          <cell r="J751" t="str">
            <v/>
          </cell>
          <cell r="K751" t="str">
            <v/>
          </cell>
          <cell r="L751" t="str">
            <v/>
          </cell>
          <cell r="M751" t="str">
            <v/>
          </cell>
          <cell r="N751" t="str">
            <v/>
          </cell>
        </row>
        <row r="752">
          <cell r="I752" t="str">
            <v/>
          </cell>
          <cell r="J752" t="str">
            <v/>
          </cell>
          <cell r="K752" t="str">
            <v/>
          </cell>
          <cell r="L752" t="str">
            <v/>
          </cell>
          <cell r="M752" t="str">
            <v/>
          </cell>
          <cell r="N752" t="str">
            <v/>
          </cell>
        </row>
        <row r="753">
          <cell r="I753" t="str">
            <v/>
          </cell>
          <cell r="J753" t="str">
            <v/>
          </cell>
          <cell r="K753" t="str">
            <v/>
          </cell>
          <cell r="L753" t="str">
            <v/>
          </cell>
          <cell r="M753" t="str">
            <v/>
          </cell>
          <cell r="N753" t="str">
            <v/>
          </cell>
        </row>
        <row r="754">
          <cell r="I754" t="str">
            <v/>
          </cell>
          <cell r="J754" t="str">
            <v/>
          </cell>
          <cell r="K754" t="str">
            <v/>
          </cell>
          <cell r="L754" t="str">
            <v/>
          </cell>
          <cell r="M754" t="str">
            <v/>
          </cell>
          <cell r="N754" t="str">
            <v/>
          </cell>
        </row>
        <row r="755">
          <cell r="I755" t="str">
            <v/>
          </cell>
          <cell r="J755" t="str">
            <v/>
          </cell>
          <cell r="K755" t="str">
            <v/>
          </cell>
          <cell r="L755" t="str">
            <v/>
          </cell>
          <cell r="M755" t="str">
            <v/>
          </cell>
          <cell r="N755" t="str">
            <v/>
          </cell>
        </row>
        <row r="756">
          <cell r="I756" t="str">
            <v/>
          </cell>
          <cell r="J756" t="str">
            <v/>
          </cell>
          <cell r="K756" t="str">
            <v/>
          </cell>
          <cell r="L756" t="str">
            <v/>
          </cell>
          <cell r="M756" t="str">
            <v/>
          </cell>
          <cell r="N756" t="str">
            <v/>
          </cell>
        </row>
        <row r="761">
          <cell r="H761" t="str">
            <v/>
          </cell>
          <cell r="I761" t="str">
            <v/>
          </cell>
          <cell r="J761" t="str">
            <v/>
          </cell>
          <cell r="K761" t="str">
            <v/>
          </cell>
          <cell r="L761" t="str">
            <v/>
          </cell>
          <cell r="M761" t="str">
            <v/>
          </cell>
          <cell r="N761" t="str">
            <v/>
          </cell>
        </row>
        <row r="763">
          <cell r="H763" t="str">
            <v/>
          </cell>
          <cell r="I763" t="str">
            <v/>
          </cell>
          <cell r="J763" t="str">
            <v/>
          </cell>
          <cell r="K763" t="str">
            <v/>
          </cell>
          <cell r="L763" t="str">
            <v/>
          </cell>
          <cell r="M763" t="str">
            <v/>
          </cell>
          <cell r="N763" t="str">
            <v/>
          </cell>
        </row>
        <row r="764">
          <cell r="H764" t="str">
            <v/>
          </cell>
          <cell r="I764" t="str">
            <v/>
          </cell>
          <cell r="J764" t="str">
            <v/>
          </cell>
          <cell r="K764" t="str">
            <v/>
          </cell>
          <cell r="L764" t="str">
            <v/>
          </cell>
          <cell r="M764" t="str">
            <v/>
          </cell>
          <cell r="N764" t="str">
            <v/>
          </cell>
        </row>
        <row r="766">
          <cell r="H766" t="str">
            <v/>
          </cell>
          <cell r="I766" t="str">
            <v/>
          </cell>
          <cell r="J766" t="str">
            <v/>
          </cell>
          <cell r="K766" t="str">
            <v/>
          </cell>
          <cell r="L766" t="str">
            <v/>
          </cell>
          <cell r="M766" t="str">
            <v/>
          </cell>
          <cell r="N766" t="str">
            <v/>
          </cell>
        </row>
        <row r="767">
          <cell r="H767" t="str">
            <v/>
          </cell>
          <cell r="I767" t="str">
            <v/>
          </cell>
          <cell r="J767" t="str">
            <v/>
          </cell>
          <cell r="K767" t="str">
            <v/>
          </cell>
          <cell r="L767" t="str">
            <v/>
          </cell>
          <cell r="M767" t="str">
            <v/>
          </cell>
          <cell r="N767" t="str">
            <v/>
          </cell>
        </row>
        <row r="768">
          <cell r="H768" t="str">
            <v/>
          </cell>
          <cell r="I768" t="str">
            <v/>
          </cell>
          <cell r="J768" t="str">
            <v/>
          </cell>
          <cell r="K768" t="str">
            <v/>
          </cell>
          <cell r="L768" t="str">
            <v/>
          </cell>
          <cell r="M768" t="str">
            <v/>
          </cell>
          <cell r="N768" t="str">
            <v/>
          </cell>
        </row>
        <row r="769">
          <cell r="H769" t="str">
            <v/>
          </cell>
          <cell r="I769" t="str">
            <v/>
          </cell>
          <cell r="J769" t="str">
            <v/>
          </cell>
          <cell r="K769" t="str">
            <v/>
          </cell>
          <cell r="L769" t="str">
            <v/>
          </cell>
          <cell r="M769" t="str">
            <v/>
          </cell>
          <cell r="N769" t="str">
            <v/>
          </cell>
        </row>
        <row r="771">
          <cell r="H771" t="str">
            <v/>
          </cell>
          <cell r="I771" t="str">
            <v/>
          </cell>
          <cell r="J771" t="str">
            <v/>
          </cell>
          <cell r="K771" t="str">
            <v/>
          </cell>
          <cell r="L771" t="str">
            <v/>
          </cell>
          <cell r="M771" t="str">
            <v/>
          </cell>
          <cell r="N771" t="str">
            <v/>
          </cell>
        </row>
        <row r="772">
          <cell r="H772" t="str">
            <v/>
          </cell>
          <cell r="I772" t="str">
            <v/>
          </cell>
          <cell r="J772" t="str">
            <v/>
          </cell>
          <cell r="K772" t="str">
            <v/>
          </cell>
          <cell r="L772" t="str">
            <v/>
          </cell>
          <cell r="M772" t="str">
            <v/>
          </cell>
          <cell r="N772" t="str">
            <v/>
          </cell>
        </row>
        <row r="774">
          <cell r="H774" t="str">
            <v/>
          </cell>
          <cell r="I774" t="str">
            <v/>
          </cell>
          <cell r="J774" t="str">
            <v/>
          </cell>
          <cell r="K774" t="str">
            <v/>
          </cell>
          <cell r="L774" t="str">
            <v/>
          </cell>
          <cell r="M774" t="str">
            <v/>
          </cell>
          <cell r="N774" t="str">
            <v/>
          </cell>
        </row>
        <row r="775">
          <cell r="H775" t="str">
            <v/>
          </cell>
          <cell r="I775" t="str">
            <v/>
          </cell>
          <cell r="J775" t="str">
            <v/>
          </cell>
          <cell r="K775" t="str">
            <v/>
          </cell>
          <cell r="L775" t="str">
            <v/>
          </cell>
          <cell r="M775" t="str">
            <v/>
          </cell>
          <cell r="N775" t="str">
            <v/>
          </cell>
        </row>
        <row r="777">
          <cell r="H777" t="str">
            <v/>
          </cell>
          <cell r="I777" t="str">
            <v/>
          </cell>
          <cell r="J777" t="str">
            <v/>
          </cell>
          <cell r="K777" t="str">
            <v/>
          </cell>
          <cell r="L777" t="str">
            <v/>
          </cell>
          <cell r="M777" t="str">
            <v/>
          </cell>
          <cell r="N777" t="str">
            <v/>
          </cell>
        </row>
        <row r="778">
          <cell r="H778" t="str">
            <v/>
          </cell>
          <cell r="I778" t="str">
            <v/>
          </cell>
          <cell r="J778" t="str">
            <v/>
          </cell>
          <cell r="K778" t="str">
            <v/>
          </cell>
          <cell r="L778" t="str">
            <v/>
          </cell>
          <cell r="M778" t="str">
            <v/>
          </cell>
          <cell r="N778" t="str">
            <v/>
          </cell>
        </row>
        <row r="780">
          <cell r="H780" t="str">
            <v/>
          </cell>
          <cell r="I780" t="str">
            <v/>
          </cell>
          <cell r="J780" t="str">
            <v/>
          </cell>
          <cell r="K780" t="str">
            <v/>
          </cell>
          <cell r="L780" t="str">
            <v/>
          </cell>
          <cell r="M780" t="str">
            <v/>
          </cell>
          <cell r="N780" t="str">
            <v/>
          </cell>
        </row>
        <row r="781">
          <cell r="H781" t="str">
            <v/>
          </cell>
          <cell r="I781" t="str">
            <v/>
          </cell>
          <cell r="J781" t="str">
            <v/>
          </cell>
          <cell r="K781" t="str">
            <v/>
          </cell>
          <cell r="L781" t="str">
            <v/>
          </cell>
          <cell r="M781" t="str">
            <v/>
          </cell>
          <cell r="N781" t="str">
            <v/>
          </cell>
        </row>
        <row r="782">
          <cell r="H782" t="str">
            <v/>
          </cell>
          <cell r="I782" t="str">
            <v/>
          </cell>
          <cell r="J782" t="str">
            <v/>
          </cell>
          <cell r="K782" t="str">
            <v/>
          </cell>
          <cell r="L782" t="str">
            <v/>
          </cell>
          <cell r="M782" t="str">
            <v/>
          </cell>
          <cell r="N782" t="str">
            <v/>
          </cell>
        </row>
        <row r="783">
          <cell r="H783" t="str">
            <v/>
          </cell>
          <cell r="I783" t="str">
            <v/>
          </cell>
          <cell r="J783" t="str">
            <v/>
          </cell>
          <cell r="K783" t="str">
            <v/>
          </cell>
          <cell r="L783" t="str">
            <v/>
          </cell>
          <cell r="M783" t="str">
            <v/>
          </cell>
          <cell r="N783" t="str">
            <v/>
          </cell>
        </row>
        <row r="784">
          <cell r="H784" t="str">
            <v/>
          </cell>
          <cell r="I784" t="str">
            <v/>
          </cell>
          <cell r="J784" t="str">
            <v/>
          </cell>
          <cell r="K784" t="str">
            <v/>
          </cell>
          <cell r="L784" t="str">
            <v/>
          </cell>
          <cell r="M784" t="str">
            <v/>
          </cell>
          <cell r="N784" t="str">
            <v/>
          </cell>
        </row>
        <row r="785">
          <cell r="H785" t="str">
            <v/>
          </cell>
          <cell r="I785" t="str">
            <v/>
          </cell>
          <cell r="J785" t="str">
            <v/>
          </cell>
          <cell r="K785" t="str">
            <v/>
          </cell>
          <cell r="L785" t="str">
            <v/>
          </cell>
          <cell r="M785" t="str">
            <v/>
          </cell>
          <cell r="N785" t="str">
            <v/>
          </cell>
        </row>
        <row r="786">
          <cell r="H786" t="str">
            <v/>
          </cell>
          <cell r="I786" t="str">
            <v/>
          </cell>
          <cell r="J786" t="str">
            <v/>
          </cell>
          <cell r="K786" t="str">
            <v/>
          </cell>
          <cell r="L786" t="str">
            <v/>
          </cell>
          <cell r="M786" t="str">
            <v/>
          </cell>
          <cell r="N786" t="str">
            <v/>
          </cell>
        </row>
        <row r="787">
          <cell r="H787" t="str">
            <v/>
          </cell>
          <cell r="I787" t="str">
            <v/>
          </cell>
          <cell r="J787" t="str">
            <v/>
          </cell>
          <cell r="K787" t="str">
            <v/>
          </cell>
          <cell r="L787" t="str">
            <v/>
          </cell>
          <cell r="M787" t="str">
            <v/>
          </cell>
          <cell r="N787" t="str">
            <v/>
          </cell>
        </row>
        <row r="788">
          <cell r="H788" t="str">
            <v/>
          </cell>
          <cell r="I788" t="str">
            <v/>
          </cell>
          <cell r="J788" t="str">
            <v/>
          </cell>
          <cell r="K788" t="str">
            <v/>
          </cell>
          <cell r="L788" t="str">
            <v/>
          </cell>
          <cell r="M788" t="str">
            <v/>
          </cell>
          <cell r="N788" t="str">
            <v/>
          </cell>
        </row>
        <row r="789">
          <cell r="H789" t="str">
            <v/>
          </cell>
          <cell r="I789" t="str">
            <v/>
          </cell>
          <cell r="J789" t="str">
            <v/>
          </cell>
          <cell r="K789" t="str">
            <v/>
          </cell>
          <cell r="L789" t="str">
            <v/>
          </cell>
          <cell r="M789" t="str">
            <v/>
          </cell>
          <cell r="N789" t="str">
            <v/>
          </cell>
        </row>
        <row r="791">
          <cell r="H791" t="str">
            <v/>
          </cell>
          <cell r="I791" t="str">
            <v/>
          </cell>
          <cell r="J791" t="str">
            <v/>
          </cell>
          <cell r="K791" t="str">
            <v/>
          </cell>
          <cell r="L791" t="str">
            <v/>
          </cell>
          <cell r="M791" t="str">
            <v/>
          </cell>
          <cell r="N791" t="str">
            <v/>
          </cell>
        </row>
        <row r="792">
          <cell r="H792" t="str">
            <v/>
          </cell>
          <cell r="I792" t="str">
            <v/>
          </cell>
          <cell r="J792" t="str">
            <v/>
          </cell>
          <cell r="K792" t="str">
            <v/>
          </cell>
          <cell r="L792" t="str">
            <v/>
          </cell>
          <cell r="M792" t="str">
            <v/>
          </cell>
          <cell r="N792" t="str">
            <v/>
          </cell>
        </row>
        <row r="794">
          <cell r="H794" t="str">
            <v/>
          </cell>
          <cell r="I794" t="str">
            <v/>
          </cell>
          <cell r="J794" t="str">
            <v/>
          </cell>
          <cell r="K794" t="str">
            <v/>
          </cell>
          <cell r="L794" t="str">
            <v/>
          </cell>
          <cell r="M794" t="str">
            <v/>
          </cell>
          <cell r="N794" t="str">
            <v/>
          </cell>
        </row>
        <row r="797">
          <cell r="E797" t="str">
            <v/>
          </cell>
          <cell r="H797" t="str">
            <v/>
          </cell>
          <cell r="I797" t="str">
            <v/>
          </cell>
          <cell r="J797" t="str">
            <v/>
          </cell>
          <cell r="K797" t="str">
            <v/>
          </cell>
          <cell r="L797" t="str">
            <v/>
          </cell>
          <cell r="M797" t="str">
            <v/>
          </cell>
          <cell r="N797" t="str">
            <v/>
          </cell>
        </row>
        <row r="798">
          <cell r="E798" t="str">
            <v/>
          </cell>
          <cell r="H798" t="str">
            <v/>
          </cell>
          <cell r="I798" t="str">
            <v/>
          </cell>
          <cell r="J798" t="str">
            <v/>
          </cell>
          <cell r="K798" t="str">
            <v/>
          </cell>
          <cell r="L798" t="str">
            <v/>
          </cell>
          <cell r="M798" t="str">
            <v/>
          </cell>
          <cell r="N798" t="str">
            <v/>
          </cell>
        </row>
        <row r="800">
          <cell r="E800" t="str">
            <v/>
          </cell>
          <cell r="H800" t="str">
            <v/>
          </cell>
          <cell r="I800" t="str">
            <v/>
          </cell>
          <cell r="J800" t="str">
            <v/>
          </cell>
          <cell r="K800" t="str">
            <v/>
          </cell>
          <cell r="L800" t="str">
            <v/>
          </cell>
          <cell r="M800" t="str">
            <v/>
          </cell>
          <cell r="N800" t="str">
            <v/>
          </cell>
        </row>
        <row r="801">
          <cell r="E801" t="str">
            <v/>
          </cell>
          <cell r="H801" t="str">
            <v/>
          </cell>
          <cell r="I801" t="str">
            <v/>
          </cell>
          <cell r="J801" t="str">
            <v/>
          </cell>
          <cell r="K801" t="str">
            <v/>
          </cell>
          <cell r="L801" t="str">
            <v/>
          </cell>
          <cell r="M801" t="str">
            <v/>
          </cell>
          <cell r="N801" t="str">
            <v/>
          </cell>
        </row>
        <row r="805">
          <cell r="I805" t="str">
            <v/>
          </cell>
        </row>
        <row r="808">
          <cell r="E808" t="str">
            <v/>
          </cell>
          <cell r="H808" t="str">
            <v>N.A.</v>
          </cell>
          <cell r="I808" t="str">
            <v/>
          </cell>
          <cell r="J808" t="str">
            <v>N.A.</v>
          </cell>
          <cell r="K808" t="str">
            <v>N.A.</v>
          </cell>
          <cell r="L808" t="str">
            <v>N.A.</v>
          </cell>
          <cell r="M808" t="str">
            <v>N.A.</v>
          </cell>
          <cell r="N808" t="str">
            <v>EUA/tonnes</v>
          </cell>
        </row>
        <row r="811">
          <cell r="F811" t="str">
            <v>tonnes</v>
          </cell>
          <cell r="G811" t="str">
            <v/>
          </cell>
          <cell r="H811" t="str">
            <v/>
          </cell>
          <cell r="I811" t="str">
            <v/>
          </cell>
          <cell r="J811" t="str">
            <v/>
          </cell>
          <cell r="K811" t="str">
            <v/>
          </cell>
          <cell r="L811" t="str">
            <v/>
          </cell>
          <cell r="M811" t="str">
            <v/>
          </cell>
          <cell r="N811" t="str">
            <v/>
          </cell>
        </row>
        <row r="815">
          <cell r="J815" t="str">
            <v/>
          </cell>
          <cell r="K815" t="str">
            <v/>
          </cell>
          <cell r="L815" t="str">
            <v/>
          </cell>
          <cell r="M815" t="str">
            <v/>
          </cell>
          <cell r="N815" t="str">
            <v/>
          </cell>
        </row>
        <row r="816">
          <cell r="J816" t="str">
            <v/>
          </cell>
          <cell r="K816" t="str">
            <v/>
          </cell>
          <cell r="L816" t="str">
            <v/>
          </cell>
          <cell r="M816" t="str">
            <v/>
          </cell>
          <cell r="N816" t="str">
            <v/>
          </cell>
        </row>
        <row r="819">
          <cell r="H819" t="str">
            <v>tonnes</v>
          </cell>
          <cell r="J819" t="str">
            <v/>
          </cell>
          <cell r="K819" t="str">
            <v/>
          </cell>
          <cell r="L819" t="str">
            <v/>
          </cell>
          <cell r="M819" t="str">
            <v/>
          </cell>
          <cell r="N819" t="str">
            <v/>
          </cell>
        </row>
        <row r="820">
          <cell r="J820" t="str">
            <v/>
          </cell>
          <cell r="K820" t="str">
            <v/>
          </cell>
          <cell r="L820" t="str">
            <v/>
          </cell>
          <cell r="M820" t="str">
            <v/>
          </cell>
          <cell r="N820" t="str">
            <v/>
          </cell>
        </row>
        <row r="821">
          <cell r="J821" t="str">
            <v/>
          </cell>
          <cell r="K821" t="str">
            <v/>
          </cell>
          <cell r="L821" t="str">
            <v/>
          </cell>
          <cell r="M821" t="str">
            <v/>
          </cell>
          <cell r="N821" t="str">
            <v/>
          </cell>
        </row>
        <row r="822">
          <cell r="J822" t="str">
            <v/>
          </cell>
          <cell r="K822" t="str">
            <v/>
          </cell>
          <cell r="L822" t="str">
            <v/>
          </cell>
          <cell r="M822" t="str">
            <v/>
          </cell>
          <cell r="N822" t="str">
            <v/>
          </cell>
        </row>
        <row r="823">
          <cell r="J823" t="str">
            <v/>
          </cell>
          <cell r="K823" t="str">
            <v/>
          </cell>
          <cell r="L823" t="str">
            <v/>
          </cell>
          <cell r="M823" t="str">
            <v/>
          </cell>
          <cell r="N823" t="str">
            <v/>
          </cell>
        </row>
        <row r="824">
          <cell r="J824" t="str">
            <v/>
          </cell>
          <cell r="K824" t="str">
            <v/>
          </cell>
          <cell r="L824" t="str">
            <v/>
          </cell>
          <cell r="M824" t="str">
            <v/>
          </cell>
          <cell r="N824" t="str">
            <v/>
          </cell>
        </row>
        <row r="825">
          <cell r="J825" t="str">
            <v/>
          </cell>
          <cell r="K825" t="str">
            <v/>
          </cell>
          <cell r="L825" t="str">
            <v/>
          </cell>
          <cell r="M825" t="str">
            <v/>
          </cell>
          <cell r="N825" t="str">
            <v/>
          </cell>
        </row>
        <row r="828">
          <cell r="H828" t="str">
            <v>tonnes</v>
          </cell>
          <cell r="J828" t="str">
            <v/>
          </cell>
          <cell r="K828" t="str">
            <v/>
          </cell>
          <cell r="L828" t="str">
            <v/>
          </cell>
          <cell r="M828" t="str">
            <v/>
          </cell>
          <cell r="N828" t="str">
            <v/>
          </cell>
        </row>
        <row r="829">
          <cell r="J829" t="str">
            <v/>
          </cell>
          <cell r="K829" t="str">
            <v/>
          </cell>
          <cell r="L829" t="str">
            <v/>
          </cell>
          <cell r="M829" t="str">
            <v/>
          </cell>
          <cell r="N829" t="str">
            <v/>
          </cell>
        </row>
        <row r="830">
          <cell r="J830" t="str">
            <v/>
          </cell>
          <cell r="K830" t="str">
            <v/>
          </cell>
          <cell r="L830" t="str">
            <v/>
          </cell>
          <cell r="M830" t="str">
            <v/>
          </cell>
          <cell r="N830" t="str">
            <v/>
          </cell>
        </row>
        <row r="831">
          <cell r="H831" t="str">
            <v>tonnes</v>
          </cell>
          <cell r="J831" t="str">
            <v/>
          </cell>
          <cell r="K831" t="str">
            <v/>
          </cell>
          <cell r="L831" t="str">
            <v/>
          </cell>
          <cell r="M831" t="str">
            <v/>
          </cell>
          <cell r="N831" t="str">
            <v/>
          </cell>
        </row>
        <row r="832">
          <cell r="J832" t="str">
            <v/>
          </cell>
          <cell r="K832" t="str">
            <v/>
          </cell>
          <cell r="L832" t="str">
            <v/>
          </cell>
          <cell r="M832" t="str">
            <v/>
          </cell>
          <cell r="N832" t="str">
            <v/>
          </cell>
        </row>
        <row r="833">
          <cell r="J833" t="str">
            <v/>
          </cell>
          <cell r="K833" t="str">
            <v/>
          </cell>
          <cell r="L833" t="str">
            <v/>
          </cell>
          <cell r="M833" t="str">
            <v/>
          </cell>
          <cell r="N833" t="str">
            <v/>
          </cell>
        </row>
        <row r="834">
          <cell r="J834" t="str">
            <v/>
          </cell>
          <cell r="K834" t="str">
            <v/>
          </cell>
          <cell r="L834" t="str">
            <v/>
          </cell>
          <cell r="M834" t="str">
            <v/>
          </cell>
          <cell r="N834" t="str">
            <v/>
          </cell>
        </row>
        <row r="835">
          <cell r="J835" t="str">
            <v/>
          </cell>
          <cell r="K835" t="str">
            <v/>
          </cell>
          <cell r="L835" t="str">
            <v/>
          </cell>
          <cell r="M835" t="str">
            <v/>
          </cell>
          <cell r="N835" t="str">
            <v/>
          </cell>
        </row>
        <row r="836">
          <cell r="J836" t="str">
            <v/>
          </cell>
          <cell r="K836" t="str">
            <v/>
          </cell>
          <cell r="L836" t="str">
            <v/>
          </cell>
          <cell r="M836" t="str">
            <v/>
          </cell>
          <cell r="N836" t="str">
            <v/>
          </cell>
        </row>
        <row r="837">
          <cell r="J837" t="str">
            <v/>
          </cell>
          <cell r="K837" t="str">
            <v/>
          </cell>
          <cell r="L837" t="str">
            <v/>
          </cell>
          <cell r="M837" t="str">
            <v/>
          </cell>
          <cell r="N837" t="str">
            <v/>
          </cell>
        </row>
        <row r="838">
          <cell r="J838" t="str">
            <v/>
          </cell>
          <cell r="K838" t="str">
            <v/>
          </cell>
          <cell r="L838" t="str">
            <v/>
          </cell>
          <cell r="M838" t="str">
            <v/>
          </cell>
          <cell r="N838" t="str">
            <v/>
          </cell>
        </row>
        <row r="839">
          <cell r="J839" t="str">
            <v/>
          </cell>
          <cell r="K839" t="str">
            <v/>
          </cell>
          <cell r="L839" t="str">
            <v/>
          </cell>
          <cell r="M839" t="str">
            <v/>
          </cell>
          <cell r="N839" t="str">
            <v/>
          </cell>
        </row>
        <row r="842">
          <cell r="H842" t="str">
            <v>tonnes</v>
          </cell>
          <cell r="J842" t="str">
            <v/>
          </cell>
          <cell r="K842" t="str">
            <v/>
          </cell>
          <cell r="L842" t="str">
            <v/>
          </cell>
          <cell r="M842" t="str">
            <v/>
          </cell>
          <cell r="N842" t="str">
            <v/>
          </cell>
        </row>
        <row r="843">
          <cell r="J843" t="str">
            <v/>
          </cell>
          <cell r="K843" t="str">
            <v/>
          </cell>
          <cell r="L843" t="str">
            <v/>
          </cell>
          <cell r="M843" t="str">
            <v/>
          </cell>
          <cell r="N843" t="str">
            <v/>
          </cell>
        </row>
        <row r="844">
          <cell r="J844" t="str">
            <v/>
          </cell>
          <cell r="K844" t="str">
            <v/>
          </cell>
          <cell r="L844" t="str">
            <v/>
          </cell>
          <cell r="M844" t="str">
            <v/>
          </cell>
          <cell r="N844" t="str">
            <v/>
          </cell>
        </row>
        <row r="845">
          <cell r="J845" t="str">
            <v/>
          </cell>
          <cell r="K845" t="str">
            <v/>
          </cell>
          <cell r="L845" t="str">
            <v/>
          </cell>
          <cell r="M845" t="str">
            <v/>
          </cell>
          <cell r="N845" t="str">
            <v/>
          </cell>
        </row>
        <row r="846">
          <cell r="J846" t="str">
            <v/>
          </cell>
          <cell r="K846" t="str">
            <v/>
          </cell>
          <cell r="L846" t="str">
            <v/>
          </cell>
          <cell r="M846" t="str">
            <v/>
          </cell>
          <cell r="N846" t="str">
            <v/>
          </cell>
        </row>
        <row r="847">
          <cell r="J847" t="str">
            <v/>
          </cell>
          <cell r="K847" t="str">
            <v/>
          </cell>
          <cell r="L847" t="str">
            <v/>
          </cell>
          <cell r="M847" t="str">
            <v/>
          </cell>
          <cell r="N847" t="str">
            <v/>
          </cell>
        </row>
        <row r="848">
          <cell r="J848" t="str">
            <v/>
          </cell>
          <cell r="K848" t="str">
            <v/>
          </cell>
          <cell r="L848" t="str">
            <v/>
          </cell>
          <cell r="M848" t="str">
            <v/>
          </cell>
          <cell r="N848" t="str">
            <v/>
          </cell>
        </row>
        <row r="849">
          <cell r="J849" t="str">
            <v/>
          </cell>
          <cell r="K849" t="str">
            <v/>
          </cell>
          <cell r="L849" t="str">
            <v/>
          </cell>
          <cell r="M849" t="str">
            <v/>
          </cell>
          <cell r="N849" t="str">
            <v/>
          </cell>
        </row>
        <row r="850">
          <cell r="J850" t="str">
            <v/>
          </cell>
          <cell r="K850" t="str">
            <v/>
          </cell>
          <cell r="L850" t="str">
            <v/>
          </cell>
          <cell r="M850" t="str">
            <v/>
          </cell>
          <cell r="N850" t="str">
            <v/>
          </cell>
        </row>
        <row r="851">
          <cell r="J851" t="str">
            <v/>
          </cell>
          <cell r="K851" t="str">
            <v/>
          </cell>
          <cell r="L851" t="str">
            <v/>
          </cell>
          <cell r="M851" t="str">
            <v/>
          </cell>
          <cell r="N851" t="str">
            <v/>
          </cell>
        </row>
        <row r="852">
          <cell r="J852" t="str">
            <v/>
          </cell>
          <cell r="K852" t="str">
            <v/>
          </cell>
          <cell r="L852" t="str">
            <v/>
          </cell>
          <cell r="M852" t="str">
            <v/>
          </cell>
          <cell r="N852" t="str">
            <v/>
          </cell>
        </row>
        <row r="853">
          <cell r="J853" t="str">
            <v/>
          </cell>
          <cell r="K853" t="str">
            <v/>
          </cell>
          <cell r="L853" t="str">
            <v/>
          </cell>
          <cell r="M853" t="str">
            <v/>
          </cell>
          <cell r="N853" t="str">
            <v/>
          </cell>
        </row>
        <row r="856">
          <cell r="H856" t="str">
            <v>tonnes</v>
          </cell>
          <cell r="J856" t="str">
            <v/>
          </cell>
          <cell r="K856" t="str">
            <v/>
          </cell>
          <cell r="L856" t="str">
            <v/>
          </cell>
          <cell r="M856" t="str">
            <v/>
          </cell>
          <cell r="N856" t="str">
            <v/>
          </cell>
        </row>
        <row r="857">
          <cell r="J857" t="str">
            <v/>
          </cell>
          <cell r="K857" t="str">
            <v/>
          </cell>
          <cell r="L857" t="str">
            <v/>
          </cell>
          <cell r="M857" t="str">
            <v/>
          </cell>
          <cell r="N857" t="str">
            <v/>
          </cell>
        </row>
        <row r="858">
          <cell r="J858" t="str">
            <v/>
          </cell>
          <cell r="K858" t="str">
            <v/>
          </cell>
          <cell r="L858" t="str">
            <v/>
          </cell>
          <cell r="M858" t="str">
            <v/>
          </cell>
          <cell r="N858" t="str">
            <v/>
          </cell>
        </row>
        <row r="859">
          <cell r="J859" t="str">
            <v/>
          </cell>
          <cell r="K859" t="str">
            <v/>
          </cell>
          <cell r="L859" t="str">
            <v/>
          </cell>
          <cell r="M859" t="str">
            <v/>
          </cell>
          <cell r="N859" t="str">
            <v/>
          </cell>
        </row>
        <row r="860">
          <cell r="J860" t="str">
            <v/>
          </cell>
          <cell r="K860" t="str">
            <v/>
          </cell>
          <cell r="L860" t="str">
            <v/>
          </cell>
          <cell r="M860" t="str">
            <v/>
          </cell>
          <cell r="N860" t="str">
            <v/>
          </cell>
        </row>
        <row r="861">
          <cell r="J861" t="str">
            <v/>
          </cell>
          <cell r="K861" t="str">
            <v/>
          </cell>
          <cell r="L861" t="str">
            <v/>
          </cell>
          <cell r="M861" t="str">
            <v/>
          </cell>
          <cell r="N861" t="str">
            <v/>
          </cell>
        </row>
        <row r="862">
          <cell r="J862" t="str">
            <v/>
          </cell>
          <cell r="K862" t="str">
            <v/>
          </cell>
          <cell r="L862" t="str">
            <v/>
          </cell>
          <cell r="M862" t="str">
            <v/>
          </cell>
          <cell r="N862" t="str">
            <v/>
          </cell>
        </row>
        <row r="863">
          <cell r="J863" t="str">
            <v/>
          </cell>
          <cell r="K863" t="str">
            <v/>
          </cell>
          <cell r="L863" t="str">
            <v/>
          </cell>
          <cell r="M863" t="str">
            <v/>
          </cell>
          <cell r="N863" t="str">
            <v/>
          </cell>
        </row>
        <row r="864">
          <cell r="J864" t="str">
            <v/>
          </cell>
          <cell r="K864" t="str">
            <v/>
          </cell>
          <cell r="L864" t="str">
            <v/>
          </cell>
          <cell r="M864" t="str">
            <v/>
          </cell>
          <cell r="N864" t="str">
            <v/>
          </cell>
        </row>
        <row r="865">
          <cell r="J865" t="str">
            <v/>
          </cell>
          <cell r="K865" t="str">
            <v/>
          </cell>
          <cell r="L865" t="str">
            <v/>
          </cell>
          <cell r="M865" t="str">
            <v/>
          </cell>
          <cell r="N865" t="str">
            <v/>
          </cell>
        </row>
        <row r="866">
          <cell r="J866" t="str">
            <v/>
          </cell>
          <cell r="K866" t="str">
            <v/>
          </cell>
          <cell r="L866" t="str">
            <v/>
          </cell>
          <cell r="M866" t="str">
            <v/>
          </cell>
          <cell r="N866" t="str">
            <v/>
          </cell>
        </row>
        <row r="867">
          <cell r="J867" t="str">
            <v/>
          </cell>
          <cell r="K867" t="str">
            <v/>
          </cell>
          <cell r="L867" t="str">
            <v/>
          </cell>
          <cell r="M867" t="str">
            <v/>
          </cell>
          <cell r="N867" t="str">
            <v/>
          </cell>
        </row>
        <row r="870">
          <cell r="H870" t="str">
            <v>tonnes</v>
          </cell>
          <cell r="J870" t="str">
            <v/>
          </cell>
          <cell r="K870" t="str">
            <v/>
          </cell>
          <cell r="L870" t="str">
            <v/>
          </cell>
          <cell r="M870" t="str">
            <v/>
          </cell>
          <cell r="N870" t="str">
            <v/>
          </cell>
        </row>
        <row r="871">
          <cell r="J871" t="str">
            <v/>
          </cell>
          <cell r="K871" t="str">
            <v/>
          </cell>
          <cell r="L871" t="str">
            <v/>
          </cell>
          <cell r="M871" t="str">
            <v/>
          </cell>
          <cell r="N871" t="str">
            <v/>
          </cell>
        </row>
        <row r="872">
          <cell r="J872" t="str">
            <v/>
          </cell>
          <cell r="K872" t="str">
            <v/>
          </cell>
          <cell r="L872" t="str">
            <v/>
          </cell>
          <cell r="M872" t="str">
            <v/>
          </cell>
          <cell r="N872" t="str">
            <v/>
          </cell>
        </row>
        <row r="873">
          <cell r="J873" t="str">
            <v/>
          </cell>
          <cell r="K873" t="str">
            <v/>
          </cell>
          <cell r="L873" t="str">
            <v/>
          </cell>
          <cell r="M873" t="str">
            <v/>
          </cell>
          <cell r="N873" t="str">
            <v/>
          </cell>
        </row>
        <row r="874">
          <cell r="J874" t="str">
            <v/>
          </cell>
          <cell r="K874" t="str">
            <v/>
          </cell>
          <cell r="L874" t="str">
            <v/>
          </cell>
          <cell r="M874" t="str">
            <v/>
          </cell>
          <cell r="N874" t="str">
            <v/>
          </cell>
        </row>
        <row r="875">
          <cell r="J875" t="str">
            <v/>
          </cell>
          <cell r="K875" t="str">
            <v/>
          </cell>
          <cell r="L875" t="str">
            <v/>
          </cell>
          <cell r="M875" t="str">
            <v/>
          </cell>
          <cell r="N875" t="str">
            <v/>
          </cell>
        </row>
        <row r="876">
          <cell r="J876" t="str">
            <v/>
          </cell>
          <cell r="K876" t="str">
            <v/>
          </cell>
          <cell r="L876" t="str">
            <v/>
          </cell>
          <cell r="M876" t="str">
            <v/>
          </cell>
          <cell r="N876" t="str">
            <v/>
          </cell>
        </row>
        <row r="877">
          <cell r="J877" t="str">
            <v/>
          </cell>
          <cell r="K877" t="str">
            <v/>
          </cell>
          <cell r="L877" t="str">
            <v/>
          </cell>
          <cell r="M877" t="str">
            <v/>
          </cell>
          <cell r="N877" t="str">
            <v/>
          </cell>
        </row>
        <row r="878">
          <cell r="J878" t="str">
            <v/>
          </cell>
          <cell r="K878" t="str">
            <v/>
          </cell>
          <cell r="L878" t="str">
            <v/>
          </cell>
          <cell r="M878" t="str">
            <v/>
          </cell>
          <cell r="N878" t="str">
            <v/>
          </cell>
        </row>
        <row r="879">
          <cell r="J879" t="str">
            <v/>
          </cell>
          <cell r="K879" t="str">
            <v/>
          </cell>
          <cell r="L879" t="str">
            <v/>
          </cell>
          <cell r="M879" t="str">
            <v/>
          </cell>
          <cell r="N879" t="str">
            <v/>
          </cell>
        </row>
        <row r="880">
          <cell r="J880" t="str">
            <v/>
          </cell>
          <cell r="K880" t="str">
            <v/>
          </cell>
          <cell r="L880" t="str">
            <v/>
          </cell>
          <cell r="M880" t="str">
            <v/>
          </cell>
          <cell r="N880" t="str">
            <v/>
          </cell>
        </row>
        <row r="881">
          <cell r="J881" t="str">
            <v/>
          </cell>
          <cell r="K881" t="str">
            <v/>
          </cell>
          <cell r="L881" t="str">
            <v/>
          </cell>
          <cell r="M881" t="str">
            <v/>
          </cell>
          <cell r="N881" t="str">
            <v/>
          </cell>
        </row>
        <row r="884">
          <cell r="H884" t="str">
            <v>tonnes</v>
          </cell>
          <cell r="J884" t="str">
            <v/>
          </cell>
          <cell r="K884" t="str">
            <v/>
          </cell>
          <cell r="L884" t="str">
            <v/>
          </cell>
          <cell r="M884" t="str">
            <v/>
          </cell>
          <cell r="N884" t="str">
            <v/>
          </cell>
        </row>
        <row r="885">
          <cell r="J885" t="str">
            <v/>
          </cell>
          <cell r="K885" t="str">
            <v/>
          </cell>
          <cell r="L885" t="str">
            <v/>
          </cell>
          <cell r="M885" t="str">
            <v/>
          </cell>
          <cell r="N885" t="str">
            <v/>
          </cell>
        </row>
        <row r="886">
          <cell r="J886" t="str">
            <v/>
          </cell>
          <cell r="K886" t="str">
            <v/>
          </cell>
          <cell r="L886" t="str">
            <v/>
          </cell>
          <cell r="M886" t="str">
            <v/>
          </cell>
          <cell r="N886" t="str">
            <v/>
          </cell>
        </row>
        <row r="887">
          <cell r="J887" t="str">
            <v/>
          </cell>
          <cell r="K887" t="str">
            <v/>
          </cell>
          <cell r="L887" t="str">
            <v/>
          </cell>
          <cell r="M887" t="str">
            <v/>
          </cell>
          <cell r="N887" t="str">
            <v/>
          </cell>
        </row>
        <row r="888">
          <cell r="J888" t="str">
            <v/>
          </cell>
          <cell r="K888" t="str">
            <v/>
          </cell>
          <cell r="L888" t="str">
            <v/>
          </cell>
          <cell r="M888" t="str">
            <v/>
          </cell>
          <cell r="N888" t="str">
            <v/>
          </cell>
        </row>
        <row r="889">
          <cell r="J889" t="str">
            <v/>
          </cell>
          <cell r="K889" t="str">
            <v/>
          </cell>
          <cell r="L889" t="str">
            <v/>
          </cell>
          <cell r="M889" t="str">
            <v/>
          </cell>
          <cell r="N889" t="str">
            <v/>
          </cell>
        </row>
        <row r="890">
          <cell r="J890" t="str">
            <v/>
          </cell>
          <cell r="K890" t="str">
            <v/>
          </cell>
          <cell r="L890" t="str">
            <v/>
          </cell>
          <cell r="M890" t="str">
            <v/>
          </cell>
          <cell r="N890" t="str">
            <v/>
          </cell>
        </row>
        <row r="891">
          <cell r="J891" t="str">
            <v/>
          </cell>
          <cell r="K891" t="str">
            <v/>
          </cell>
          <cell r="L891" t="str">
            <v/>
          </cell>
          <cell r="M891" t="str">
            <v/>
          </cell>
          <cell r="N891" t="str">
            <v/>
          </cell>
        </row>
        <row r="892">
          <cell r="J892" t="str">
            <v/>
          </cell>
          <cell r="K892" t="str">
            <v/>
          </cell>
          <cell r="L892" t="str">
            <v/>
          </cell>
          <cell r="M892" t="str">
            <v/>
          </cell>
          <cell r="N892" t="str">
            <v/>
          </cell>
        </row>
        <row r="893">
          <cell r="J893" t="str">
            <v/>
          </cell>
          <cell r="K893" t="str">
            <v/>
          </cell>
          <cell r="L893" t="str">
            <v/>
          </cell>
          <cell r="M893" t="str">
            <v/>
          </cell>
          <cell r="N893" t="str">
            <v/>
          </cell>
        </row>
        <row r="894">
          <cell r="J894" t="str">
            <v/>
          </cell>
          <cell r="K894" t="str">
            <v/>
          </cell>
          <cell r="L894" t="str">
            <v/>
          </cell>
          <cell r="M894" t="str">
            <v/>
          </cell>
          <cell r="N894" t="str">
            <v/>
          </cell>
        </row>
        <row r="895">
          <cell r="J895" t="str">
            <v/>
          </cell>
          <cell r="K895" t="str">
            <v/>
          </cell>
          <cell r="L895" t="str">
            <v/>
          </cell>
          <cell r="M895" t="str">
            <v/>
          </cell>
          <cell r="N895" t="str">
            <v/>
          </cell>
        </row>
        <row r="898">
          <cell r="H898" t="str">
            <v>tonnes</v>
          </cell>
          <cell r="J898" t="str">
            <v/>
          </cell>
          <cell r="K898" t="str">
            <v/>
          </cell>
          <cell r="L898" t="str">
            <v/>
          </cell>
          <cell r="M898" t="str">
            <v/>
          </cell>
          <cell r="N898" t="str">
            <v/>
          </cell>
        </row>
        <row r="899">
          <cell r="J899" t="str">
            <v/>
          </cell>
          <cell r="K899" t="str">
            <v/>
          </cell>
          <cell r="L899" t="str">
            <v/>
          </cell>
          <cell r="M899" t="str">
            <v/>
          </cell>
          <cell r="N899" t="str">
            <v/>
          </cell>
        </row>
        <row r="900">
          <cell r="J900" t="str">
            <v/>
          </cell>
          <cell r="K900" t="str">
            <v/>
          </cell>
          <cell r="L900" t="str">
            <v/>
          </cell>
          <cell r="M900" t="str">
            <v/>
          </cell>
          <cell r="N900" t="str">
            <v/>
          </cell>
        </row>
        <row r="901">
          <cell r="J901" t="str">
            <v/>
          </cell>
          <cell r="K901" t="str">
            <v/>
          </cell>
          <cell r="L901" t="str">
            <v/>
          </cell>
          <cell r="M901" t="str">
            <v/>
          </cell>
          <cell r="N901" t="str">
            <v/>
          </cell>
        </row>
        <row r="902">
          <cell r="J902" t="str">
            <v/>
          </cell>
          <cell r="K902" t="str">
            <v/>
          </cell>
          <cell r="L902" t="str">
            <v/>
          </cell>
          <cell r="M902" t="str">
            <v/>
          </cell>
          <cell r="N902" t="str">
            <v/>
          </cell>
        </row>
        <row r="903">
          <cell r="J903" t="str">
            <v/>
          </cell>
          <cell r="K903" t="str">
            <v/>
          </cell>
          <cell r="L903" t="str">
            <v/>
          </cell>
          <cell r="M903" t="str">
            <v/>
          </cell>
          <cell r="N903" t="str">
            <v/>
          </cell>
        </row>
        <row r="904">
          <cell r="J904" t="str">
            <v/>
          </cell>
          <cell r="K904" t="str">
            <v/>
          </cell>
          <cell r="L904" t="str">
            <v/>
          </cell>
          <cell r="M904" t="str">
            <v/>
          </cell>
          <cell r="N904" t="str">
            <v/>
          </cell>
        </row>
        <row r="905">
          <cell r="J905" t="str">
            <v/>
          </cell>
          <cell r="K905" t="str">
            <v/>
          </cell>
          <cell r="L905" t="str">
            <v/>
          </cell>
          <cell r="M905" t="str">
            <v/>
          </cell>
          <cell r="N905" t="str">
            <v/>
          </cell>
        </row>
        <row r="906">
          <cell r="J906" t="str">
            <v/>
          </cell>
          <cell r="K906" t="str">
            <v/>
          </cell>
          <cell r="L906" t="str">
            <v/>
          </cell>
          <cell r="M906" t="str">
            <v/>
          </cell>
          <cell r="N906" t="str">
            <v/>
          </cell>
        </row>
        <row r="907">
          <cell r="J907" t="str">
            <v/>
          </cell>
          <cell r="K907" t="str">
            <v/>
          </cell>
          <cell r="L907" t="str">
            <v/>
          </cell>
          <cell r="M907" t="str">
            <v/>
          </cell>
          <cell r="N907" t="str">
            <v/>
          </cell>
        </row>
        <row r="908">
          <cell r="J908" t="str">
            <v/>
          </cell>
          <cell r="K908" t="str">
            <v/>
          </cell>
          <cell r="L908" t="str">
            <v/>
          </cell>
          <cell r="M908" t="str">
            <v/>
          </cell>
          <cell r="N908" t="str">
            <v/>
          </cell>
        </row>
        <row r="909">
          <cell r="J909" t="str">
            <v/>
          </cell>
          <cell r="K909" t="str">
            <v/>
          </cell>
          <cell r="L909" t="str">
            <v/>
          </cell>
          <cell r="M909" t="str">
            <v/>
          </cell>
          <cell r="N909" t="str">
            <v/>
          </cell>
        </row>
        <row r="914">
          <cell r="H914" t="str">
            <v>tonnes</v>
          </cell>
          <cell r="I914" t="str">
            <v/>
          </cell>
          <cell r="J914" t="str">
            <v/>
          </cell>
          <cell r="K914" t="str">
            <v/>
          </cell>
          <cell r="L914" t="str">
            <v/>
          </cell>
          <cell r="M914" t="str">
            <v/>
          </cell>
          <cell r="N914" t="str">
            <v/>
          </cell>
        </row>
        <row r="915">
          <cell r="I915" t="str">
            <v/>
          </cell>
          <cell r="J915" t="str">
            <v/>
          </cell>
          <cell r="K915" t="str">
            <v/>
          </cell>
          <cell r="L915" t="str">
            <v/>
          </cell>
          <cell r="M915" t="str">
            <v/>
          </cell>
          <cell r="N915" t="str">
            <v/>
          </cell>
        </row>
        <row r="916">
          <cell r="I916" t="str">
            <v/>
          </cell>
          <cell r="J916" t="str">
            <v/>
          </cell>
          <cell r="K916" t="str">
            <v/>
          </cell>
          <cell r="L916" t="str">
            <v/>
          </cell>
          <cell r="M916" t="str">
            <v/>
          </cell>
          <cell r="N916" t="str">
            <v/>
          </cell>
        </row>
        <row r="917">
          <cell r="I917" t="str">
            <v/>
          </cell>
          <cell r="J917" t="str">
            <v/>
          </cell>
          <cell r="K917" t="str">
            <v/>
          </cell>
          <cell r="L917" t="str">
            <v/>
          </cell>
          <cell r="M917" t="str">
            <v/>
          </cell>
          <cell r="N917" t="str">
            <v/>
          </cell>
        </row>
        <row r="918">
          <cell r="I918" t="str">
            <v/>
          </cell>
          <cell r="J918" t="str">
            <v/>
          </cell>
          <cell r="K918" t="str">
            <v/>
          </cell>
          <cell r="L918" t="str">
            <v/>
          </cell>
          <cell r="M918" t="str">
            <v/>
          </cell>
          <cell r="N918" t="str">
            <v/>
          </cell>
        </row>
        <row r="919">
          <cell r="I919" t="str">
            <v/>
          </cell>
          <cell r="J919" t="str">
            <v/>
          </cell>
          <cell r="K919" t="str">
            <v/>
          </cell>
          <cell r="L919" t="str">
            <v/>
          </cell>
          <cell r="M919" t="str">
            <v/>
          </cell>
          <cell r="N919" t="str">
            <v/>
          </cell>
        </row>
        <row r="920">
          <cell r="I920" t="str">
            <v/>
          </cell>
          <cell r="J920" t="str">
            <v/>
          </cell>
          <cell r="K920" t="str">
            <v/>
          </cell>
          <cell r="L920" t="str">
            <v/>
          </cell>
          <cell r="M920" t="str">
            <v/>
          </cell>
          <cell r="N920" t="str">
            <v/>
          </cell>
        </row>
        <row r="925">
          <cell r="H925" t="str">
            <v/>
          </cell>
          <cell r="I925" t="str">
            <v/>
          </cell>
          <cell r="J925" t="str">
            <v/>
          </cell>
          <cell r="K925" t="str">
            <v/>
          </cell>
          <cell r="L925" t="str">
            <v/>
          </cell>
          <cell r="M925" t="str">
            <v/>
          </cell>
          <cell r="N925" t="str">
            <v/>
          </cell>
        </row>
        <row r="927">
          <cell r="H927" t="str">
            <v/>
          </cell>
          <cell r="I927" t="str">
            <v/>
          </cell>
          <cell r="J927" t="str">
            <v/>
          </cell>
          <cell r="K927" t="str">
            <v/>
          </cell>
          <cell r="L927" t="str">
            <v/>
          </cell>
          <cell r="M927" t="str">
            <v/>
          </cell>
          <cell r="N927" t="str">
            <v/>
          </cell>
        </row>
        <row r="928">
          <cell r="H928" t="str">
            <v/>
          </cell>
          <cell r="I928" t="str">
            <v/>
          </cell>
          <cell r="J928" t="str">
            <v/>
          </cell>
          <cell r="K928" t="str">
            <v/>
          </cell>
          <cell r="L928" t="str">
            <v/>
          </cell>
          <cell r="M928" t="str">
            <v/>
          </cell>
          <cell r="N928" t="str">
            <v/>
          </cell>
        </row>
        <row r="930">
          <cell r="H930" t="str">
            <v/>
          </cell>
          <cell r="I930" t="str">
            <v/>
          </cell>
          <cell r="J930" t="str">
            <v/>
          </cell>
          <cell r="K930" t="str">
            <v/>
          </cell>
          <cell r="L930" t="str">
            <v/>
          </cell>
          <cell r="M930" t="str">
            <v/>
          </cell>
          <cell r="N930" t="str">
            <v/>
          </cell>
        </row>
        <row r="931">
          <cell r="H931" t="str">
            <v/>
          </cell>
          <cell r="I931" t="str">
            <v/>
          </cell>
          <cell r="J931" t="str">
            <v/>
          </cell>
          <cell r="K931" t="str">
            <v/>
          </cell>
          <cell r="L931" t="str">
            <v/>
          </cell>
          <cell r="M931" t="str">
            <v/>
          </cell>
          <cell r="N931" t="str">
            <v/>
          </cell>
        </row>
        <row r="932">
          <cell r="H932" t="str">
            <v/>
          </cell>
          <cell r="I932" t="str">
            <v/>
          </cell>
          <cell r="J932" t="str">
            <v/>
          </cell>
          <cell r="K932" t="str">
            <v/>
          </cell>
          <cell r="L932" t="str">
            <v/>
          </cell>
          <cell r="M932" t="str">
            <v/>
          </cell>
          <cell r="N932" t="str">
            <v/>
          </cell>
        </row>
        <row r="933">
          <cell r="H933" t="str">
            <v/>
          </cell>
          <cell r="I933" t="str">
            <v/>
          </cell>
          <cell r="J933" t="str">
            <v/>
          </cell>
          <cell r="K933" t="str">
            <v/>
          </cell>
          <cell r="L933" t="str">
            <v/>
          </cell>
          <cell r="M933" t="str">
            <v/>
          </cell>
          <cell r="N933" t="str">
            <v/>
          </cell>
        </row>
        <row r="935">
          <cell r="H935" t="str">
            <v/>
          </cell>
          <cell r="I935" t="str">
            <v/>
          </cell>
          <cell r="J935" t="str">
            <v/>
          </cell>
          <cell r="K935" t="str">
            <v/>
          </cell>
          <cell r="L935" t="str">
            <v/>
          </cell>
          <cell r="M935" t="str">
            <v/>
          </cell>
          <cell r="N935" t="str">
            <v/>
          </cell>
        </row>
        <row r="936">
          <cell r="H936" t="str">
            <v/>
          </cell>
          <cell r="I936" t="str">
            <v/>
          </cell>
          <cell r="J936" t="str">
            <v/>
          </cell>
          <cell r="K936" t="str">
            <v/>
          </cell>
          <cell r="L936" t="str">
            <v/>
          </cell>
          <cell r="M936" t="str">
            <v/>
          </cell>
          <cell r="N936" t="str">
            <v/>
          </cell>
        </row>
        <row r="938">
          <cell r="H938" t="str">
            <v/>
          </cell>
          <cell r="I938" t="str">
            <v/>
          </cell>
          <cell r="J938" t="str">
            <v/>
          </cell>
          <cell r="K938" t="str">
            <v/>
          </cell>
          <cell r="L938" t="str">
            <v/>
          </cell>
          <cell r="M938" t="str">
            <v/>
          </cell>
          <cell r="N938" t="str">
            <v/>
          </cell>
        </row>
        <row r="939">
          <cell r="H939" t="str">
            <v/>
          </cell>
          <cell r="I939" t="str">
            <v/>
          </cell>
          <cell r="J939" t="str">
            <v/>
          </cell>
          <cell r="K939" t="str">
            <v/>
          </cell>
          <cell r="L939" t="str">
            <v/>
          </cell>
          <cell r="M939" t="str">
            <v/>
          </cell>
          <cell r="N939" t="str">
            <v/>
          </cell>
        </row>
        <row r="941">
          <cell r="H941" t="str">
            <v/>
          </cell>
          <cell r="I941" t="str">
            <v/>
          </cell>
          <cell r="J941" t="str">
            <v/>
          </cell>
          <cell r="K941" t="str">
            <v/>
          </cell>
          <cell r="L941" t="str">
            <v/>
          </cell>
          <cell r="M941" t="str">
            <v/>
          </cell>
          <cell r="N941" t="str">
            <v/>
          </cell>
        </row>
        <row r="942">
          <cell r="H942" t="str">
            <v/>
          </cell>
          <cell r="I942" t="str">
            <v/>
          </cell>
          <cell r="J942" t="str">
            <v/>
          </cell>
          <cell r="K942" t="str">
            <v/>
          </cell>
          <cell r="L942" t="str">
            <v/>
          </cell>
          <cell r="M942" t="str">
            <v/>
          </cell>
          <cell r="N942" t="str">
            <v/>
          </cell>
        </row>
        <row r="944">
          <cell r="H944" t="str">
            <v/>
          </cell>
          <cell r="I944" t="str">
            <v/>
          </cell>
          <cell r="J944" t="str">
            <v/>
          </cell>
          <cell r="K944" t="str">
            <v/>
          </cell>
          <cell r="L944" t="str">
            <v/>
          </cell>
          <cell r="M944" t="str">
            <v/>
          </cell>
          <cell r="N944" t="str">
            <v/>
          </cell>
        </row>
        <row r="945">
          <cell r="H945" t="str">
            <v/>
          </cell>
          <cell r="I945" t="str">
            <v/>
          </cell>
          <cell r="J945" t="str">
            <v/>
          </cell>
          <cell r="K945" t="str">
            <v/>
          </cell>
          <cell r="L945" t="str">
            <v/>
          </cell>
          <cell r="M945" t="str">
            <v/>
          </cell>
          <cell r="N945" t="str">
            <v/>
          </cell>
        </row>
        <row r="946">
          <cell r="H946" t="str">
            <v/>
          </cell>
          <cell r="I946" t="str">
            <v/>
          </cell>
          <cell r="J946" t="str">
            <v/>
          </cell>
          <cell r="K946" t="str">
            <v/>
          </cell>
          <cell r="L946" t="str">
            <v/>
          </cell>
          <cell r="M946" t="str">
            <v/>
          </cell>
          <cell r="N946" t="str">
            <v/>
          </cell>
        </row>
        <row r="947">
          <cell r="H947" t="str">
            <v/>
          </cell>
          <cell r="I947" t="str">
            <v/>
          </cell>
          <cell r="J947" t="str">
            <v/>
          </cell>
          <cell r="K947" t="str">
            <v/>
          </cell>
          <cell r="L947" t="str">
            <v/>
          </cell>
          <cell r="M947" t="str">
            <v/>
          </cell>
          <cell r="N947" t="str">
            <v/>
          </cell>
        </row>
        <row r="948">
          <cell r="H948" t="str">
            <v/>
          </cell>
          <cell r="I948" t="str">
            <v/>
          </cell>
          <cell r="J948" t="str">
            <v/>
          </cell>
          <cell r="K948" t="str">
            <v/>
          </cell>
          <cell r="L948" t="str">
            <v/>
          </cell>
          <cell r="M948" t="str">
            <v/>
          </cell>
          <cell r="N948" t="str">
            <v/>
          </cell>
        </row>
        <row r="949">
          <cell r="H949" t="str">
            <v/>
          </cell>
          <cell r="I949" t="str">
            <v/>
          </cell>
          <cell r="J949" t="str">
            <v/>
          </cell>
          <cell r="K949" t="str">
            <v/>
          </cell>
          <cell r="L949" t="str">
            <v/>
          </cell>
          <cell r="M949" t="str">
            <v/>
          </cell>
          <cell r="N949" t="str">
            <v/>
          </cell>
        </row>
        <row r="950">
          <cell r="H950" t="str">
            <v/>
          </cell>
          <cell r="I950" t="str">
            <v/>
          </cell>
          <cell r="J950" t="str">
            <v/>
          </cell>
          <cell r="K950" t="str">
            <v/>
          </cell>
          <cell r="L950" t="str">
            <v/>
          </cell>
          <cell r="M950" t="str">
            <v/>
          </cell>
          <cell r="N950" t="str">
            <v/>
          </cell>
        </row>
        <row r="951">
          <cell r="H951" t="str">
            <v/>
          </cell>
          <cell r="I951" t="str">
            <v/>
          </cell>
          <cell r="J951" t="str">
            <v/>
          </cell>
          <cell r="K951" t="str">
            <v/>
          </cell>
          <cell r="L951" t="str">
            <v/>
          </cell>
          <cell r="M951" t="str">
            <v/>
          </cell>
          <cell r="N951" t="str">
            <v/>
          </cell>
        </row>
        <row r="952">
          <cell r="H952" t="str">
            <v/>
          </cell>
          <cell r="I952" t="str">
            <v/>
          </cell>
          <cell r="J952" t="str">
            <v/>
          </cell>
          <cell r="K952" t="str">
            <v/>
          </cell>
          <cell r="L952" t="str">
            <v/>
          </cell>
          <cell r="M952" t="str">
            <v/>
          </cell>
          <cell r="N952" t="str">
            <v/>
          </cell>
        </row>
        <row r="953">
          <cell r="H953" t="str">
            <v/>
          </cell>
          <cell r="I953" t="str">
            <v/>
          </cell>
          <cell r="J953" t="str">
            <v/>
          </cell>
          <cell r="K953" t="str">
            <v/>
          </cell>
          <cell r="L953" t="str">
            <v/>
          </cell>
          <cell r="M953" t="str">
            <v/>
          </cell>
          <cell r="N953" t="str">
            <v/>
          </cell>
        </row>
        <row r="955">
          <cell r="H955" t="str">
            <v/>
          </cell>
          <cell r="I955" t="str">
            <v/>
          </cell>
          <cell r="J955" t="str">
            <v/>
          </cell>
          <cell r="K955" t="str">
            <v/>
          </cell>
          <cell r="L955" t="str">
            <v/>
          </cell>
          <cell r="M955" t="str">
            <v/>
          </cell>
          <cell r="N955" t="str">
            <v/>
          </cell>
        </row>
        <row r="956">
          <cell r="H956" t="str">
            <v/>
          </cell>
          <cell r="I956" t="str">
            <v/>
          </cell>
          <cell r="J956" t="str">
            <v/>
          </cell>
          <cell r="K956" t="str">
            <v/>
          </cell>
          <cell r="L956" t="str">
            <v/>
          </cell>
          <cell r="M956" t="str">
            <v/>
          </cell>
          <cell r="N956" t="str">
            <v/>
          </cell>
        </row>
        <row r="958">
          <cell r="H958" t="str">
            <v/>
          </cell>
          <cell r="I958" t="str">
            <v/>
          </cell>
          <cell r="J958" t="str">
            <v/>
          </cell>
          <cell r="K958" t="str">
            <v/>
          </cell>
          <cell r="L958" t="str">
            <v/>
          </cell>
          <cell r="M958" t="str">
            <v/>
          </cell>
          <cell r="N958" t="str">
            <v/>
          </cell>
        </row>
        <row r="961">
          <cell r="E961" t="str">
            <v/>
          </cell>
          <cell r="H961" t="str">
            <v/>
          </cell>
          <cell r="I961" t="str">
            <v/>
          </cell>
          <cell r="J961" t="str">
            <v/>
          </cell>
          <cell r="K961" t="str">
            <v/>
          </cell>
          <cell r="L961" t="str">
            <v/>
          </cell>
          <cell r="M961" t="str">
            <v/>
          </cell>
          <cell r="N961" t="str">
            <v/>
          </cell>
        </row>
        <row r="962">
          <cell r="E962" t="str">
            <v/>
          </cell>
          <cell r="H962" t="str">
            <v/>
          </cell>
          <cell r="I962" t="str">
            <v/>
          </cell>
          <cell r="J962" t="str">
            <v/>
          </cell>
          <cell r="K962" t="str">
            <v/>
          </cell>
          <cell r="L962" t="str">
            <v/>
          </cell>
          <cell r="M962" t="str">
            <v/>
          </cell>
          <cell r="N962" t="str">
            <v/>
          </cell>
        </row>
        <row r="964">
          <cell r="E964" t="str">
            <v/>
          </cell>
          <cell r="H964" t="str">
            <v/>
          </cell>
          <cell r="I964" t="str">
            <v/>
          </cell>
          <cell r="J964" t="str">
            <v/>
          </cell>
          <cell r="K964" t="str">
            <v/>
          </cell>
          <cell r="L964" t="str">
            <v/>
          </cell>
          <cell r="M964" t="str">
            <v/>
          </cell>
          <cell r="N964" t="str">
            <v/>
          </cell>
        </row>
        <row r="965">
          <cell r="E965" t="str">
            <v/>
          </cell>
          <cell r="H965" t="str">
            <v/>
          </cell>
          <cell r="I965" t="str">
            <v/>
          </cell>
          <cell r="J965" t="str">
            <v/>
          </cell>
          <cell r="K965" t="str">
            <v/>
          </cell>
          <cell r="L965" t="str">
            <v/>
          </cell>
          <cell r="M965" t="str">
            <v/>
          </cell>
          <cell r="N965" t="str">
            <v/>
          </cell>
        </row>
        <row r="969">
          <cell r="I969" t="str">
            <v/>
          </cell>
        </row>
        <row r="972">
          <cell r="E972" t="str">
            <v/>
          </cell>
          <cell r="H972" t="str">
            <v>N.A.</v>
          </cell>
          <cell r="I972" t="str">
            <v/>
          </cell>
          <cell r="J972" t="str">
            <v>N.A.</v>
          </cell>
          <cell r="K972" t="str">
            <v>N.A.</v>
          </cell>
          <cell r="L972" t="str">
            <v>N.A.</v>
          </cell>
          <cell r="M972" t="str">
            <v>N.A.</v>
          </cell>
          <cell r="N972" t="str">
            <v>EUA/tonnes</v>
          </cell>
        </row>
        <row r="975">
          <cell r="F975" t="str">
            <v>tonnes</v>
          </cell>
          <cell r="G975" t="str">
            <v/>
          </cell>
          <cell r="H975" t="str">
            <v/>
          </cell>
          <cell r="I975" t="str">
            <v/>
          </cell>
          <cell r="J975" t="str">
            <v/>
          </cell>
          <cell r="K975" t="str">
            <v/>
          </cell>
          <cell r="L975" t="str">
            <v/>
          </cell>
          <cell r="M975" t="str">
            <v/>
          </cell>
          <cell r="N975" t="str">
            <v/>
          </cell>
        </row>
        <row r="979">
          <cell r="J979" t="str">
            <v/>
          </cell>
          <cell r="K979" t="str">
            <v/>
          </cell>
          <cell r="L979" t="str">
            <v/>
          </cell>
          <cell r="M979" t="str">
            <v/>
          </cell>
          <cell r="N979" t="str">
            <v/>
          </cell>
        </row>
        <row r="980">
          <cell r="J980" t="str">
            <v/>
          </cell>
          <cell r="K980" t="str">
            <v/>
          </cell>
          <cell r="L980" t="str">
            <v/>
          </cell>
          <cell r="M980" t="str">
            <v/>
          </cell>
          <cell r="N980" t="str">
            <v/>
          </cell>
        </row>
        <row r="983">
          <cell r="H983" t="str">
            <v>tonnes</v>
          </cell>
          <cell r="J983" t="str">
            <v/>
          </cell>
          <cell r="K983" t="str">
            <v/>
          </cell>
          <cell r="L983" t="str">
            <v/>
          </cell>
          <cell r="M983" t="str">
            <v/>
          </cell>
          <cell r="N983" t="str">
            <v/>
          </cell>
        </row>
        <row r="984">
          <cell r="J984" t="str">
            <v/>
          </cell>
          <cell r="K984" t="str">
            <v/>
          </cell>
          <cell r="L984" t="str">
            <v/>
          </cell>
          <cell r="M984" t="str">
            <v/>
          </cell>
          <cell r="N984" t="str">
            <v/>
          </cell>
        </row>
        <row r="985">
          <cell r="J985" t="str">
            <v/>
          </cell>
          <cell r="K985" t="str">
            <v/>
          </cell>
          <cell r="L985" t="str">
            <v/>
          </cell>
          <cell r="M985" t="str">
            <v/>
          </cell>
          <cell r="N985" t="str">
            <v/>
          </cell>
        </row>
        <row r="986">
          <cell r="J986" t="str">
            <v/>
          </cell>
          <cell r="K986" t="str">
            <v/>
          </cell>
          <cell r="L986" t="str">
            <v/>
          </cell>
          <cell r="M986" t="str">
            <v/>
          </cell>
          <cell r="N986" t="str">
            <v/>
          </cell>
        </row>
        <row r="987">
          <cell r="J987" t="str">
            <v/>
          </cell>
          <cell r="K987" t="str">
            <v/>
          </cell>
          <cell r="L987" t="str">
            <v/>
          </cell>
          <cell r="M987" t="str">
            <v/>
          </cell>
          <cell r="N987" t="str">
            <v/>
          </cell>
        </row>
        <row r="988">
          <cell r="J988" t="str">
            <v/>
          </cell>
          <cell r="K988" t="str">
            <v/>
          </cell>
          <cell r="L988" t="str">
            <v/>
          </cell>
          <cell r="M988" t="str">
            <v/>
          </cell>
          <cell r="N988" t="str">
            <v/>
          </cell>
        </row>
        <row r="989">
          <cell r="J989" t="str">
            <v/>
          </cell>
          <cell r="K989" t="str">
            <v/>
          </cell>
          <cell r="L989" t="str">
            <v/>
          </cell>
          <cell r="M989" t="str">
            <v/>
          </cell>
          <cell r="N989" t="str">
            <v/>
          </cell>
        </row>
        <row r="992">
          <cell r="H992" t="str">
            <v>tonnes</v>
          </cell>
          <cell r="J992" t="str">
            <v/>
          </cell>
          <cell r="K992" t="str">
            <v/>
          </cell>
          <cell r="L992" t="str">
            <v/>
          </cell>
          <cell r="M992" t="str">
            <v/>
          </cell>
          <cell r="N992" t="str">
            <v/>
          </cell>
        </row>
        <row r="993">
          <cell r="J993" t="str">
            <v/>
          </cell>
          <cell r="K993" t="str">
            <v/>
          </cell>
          <cell r="L993" t="str">
            <v/>
          </cell>
          <cell r="M993" t="str">
            <v/>
          </cell>
          <cell r="N993" t="str">
            <v/>
          </cell>
        </row>
        <row r="994">
          <cell r="J994" t="str">
            <v/>
          </cell>
          <cell r="K994" t="str">
            <v/>
          </cell>
          <cell r="L994" t="str">
            <v/>
          </cell>
          <cell r="M994" t="str">
            <v/>
          </cell>
          <cell r="N994" t="str">
            <v/>
          </cell>
        </row>
        <row r="995">
          <cell r="H995" t="str">
            <v>tonnes</v>
          </cell>
          <cell r="J995" t="str">
            <v/>
          </cell>
          <cell r="K995" t="str">
            <v/>
          </cell>
          <cell r="L995" t="str">
            <v/>
          </cell>
          <cell r="M995" t="str">
            <v/>
          </cell>
          <cell r="N995" t="str">
            <v/>
          </cell>
        </row>
        <row r="996">
          <cell r="J996" t="str">
            <v/>
          </cell>
          <cell r="K996" t="str">
            <v/>
          </cell>
          <cell r="L996" t="str">
            <v/>
          </cell>
          <cell r="M996" t="str">
            <v/>
          </cell>
          <cell r="N996" t="str">
            <v/>
          </cell>
        </row>
        <row r="997">
          <cell r="J997" t="str">
            <v/>
          </cell>
          <cell r="K997" t="str">
            <v/>
          </cell>
          <cell r="L997" t="str">
            <v/>
          </cell>
          <cell r="M997" t="str">
            <v/>
          </cell>
          <cell r="N997" t="str">
            <v/>
          </cell>
        </row>
        <row r="998">
          <cell r="J998" t="str">
            <v/>
          </cell>
          <cell r="K998" t="str">
            <v/>
          </cell>
          <cell r="L998" t="str">
            <v/>
          </cell>
          <cell r="M998" t="str">
            <v/>
          </cell>
          <cell r="N998" t="str">
            <v/>
          </cell>
        </row>
        <row r="999">
          <cell r="J999" t="str">
            <v/>
          </cell>
          <cell r="K999" t="str">
            <v/>
          </cell>
          <cell r="L999" t="str">
            <v/>
          </cell>
          <cell r="M999" t="str">
            <v/>
          </cell>
          <cell r="N999" t="str">
            <v/>
          </cell>
        </row>
        <row r="1000">
          <cell r="J1000" t="str">
            <v/>
          </cell>
          <cell r="K1000" t="str">
            <v/>
          </cell>
          <cell r="L1000" t="str">
            <v/>
          </cell>
          <cell r="M1000" t="str">
            <v/>
          </cell>
          <cell r="N1000" t="str">
            <v/>
          </cell>
        </row>
        <row r="1001">
          <cell r="J1001" t="str">
            <v/>
          </cell>
          <cell r="K1001" t="str">
            <v/>
          </cell>
          <cell r="L1001" t="str">
            <v/>
          </cell>
          <cell r="M1001" t="str">
            <v/>
          </cell>
          <cell r="N1001" t="str">
            <v/>
          </cell>
        </row>
        <row r="1002">
          <cell r="J1002" t="str">
            <v/>
          </cell>
          <cell r="K1002" t="str">
            <v/>
          </cell>
          <cell r="L1002" t="str">
            <v/>
          </cell>
          <cell r="M1002" t="str">
            <v/>
          </cell>
          <cell r="N1002" t="str">
            <v/>
          </cell>
        </row>
        <row r="1003">
          <cell r="J1003" t="str">
            <v/>
          </cell>
          <cell r="K1003" t="str">
            <v/>
          </cell>
          <cell r="L1003" t="str">
            <v/>
          </cell>
          <cell r="M1003" t="str">
            <v/>
          </cell>
          <cell r="N1003" t="str">
            <v/>
          </cell>
        </row>
        <row r="1006">
          <cell r="H1006" t="str">
            <v>tonnes</v>
          </cell>
          <cell r="J1006" t="str">
            <v/>
          </cell>
          <cell r="K1006" t="str">
            <v/>
          </cell>
          <cell r="L1006" t="str">
            <v/>
          </cell>
          <cell r="M1006" t="str">
            <v/>
          </cell>
          <cell r="N1006" t="str">
            <v/>
          </cell>
        </row>
        <row r="1007">
          <cell r="J1007" t="str">
            <v/>
          </cell>
          <cell r="K1007" t="str">
            <v/>
          </cell>
          <cell r="L1007" t="str">
            <v/>
          </cell>
          <cell r="M1007" t="str">
            <v/>
          </cell>
          <cell r="N1007" t="str">
            <v/>
          </cell>
        </row>
        <row r="1008">
          <cell r="J1008" t="str">
            <v/>
          </cell>
          <cell r="K1008" t="str">
            <v/>
          </cell>
          <cell r="L1008" t="str">
            <v/>
          </cell>
          <cell r="M1008" t="str">
            <v/>
          </cell>
          <cell r="N1008" t="str">
            <v/>
          </cell>
        </row>
        <row r="1009">
          <cell r="J1009" t="str">
            <v/>
          </cell>
          <cell r="K1009" t="str">
            <v/>
          </cell>
          <cell r="L1009" t="str">
            <v/>
          </cell>
          <cell r="M1009" t="str">
            <v/>
          </cell>
          <cell r="N1009" t="str">
            <v/>
          </cell>
        </row>
        <row r="1010">
          <cell r="J1010" t="str">
            <v/>
          </cell>
          <cell r="K1010" t="str">
            <v/>
          </cell>
          <cell r="L1010" t="str">
            <v/>
          </cell>
          <cell r="M1010" t="str">
            <v/>
          </cell>
          <cell r="N1010" t="str">
            <v/>
          </cell>
        </row>
        <row r="1011">
          <cell r="J1011" t="str">
            <v/>
          </cell>
          <cell r="K1011" t="str">
            <v/>
          </cell>
          <cell r="L1011" t="str">
            <v/>
          </cell>
          <cell r="M1011" t="str">
            <v/>
          </cell>
          <cell r="N1011" t="str">
            <v/>
          </cell>
        </row>
        <row r="1012">
          <cell r="J1012" t="str">
            <v/>
          </cell>
          <cell r="K1012" t="str">
            <v/>
          </cell>
          <cell r="L1012" t="str">
            <v/>
          </cell>
          <cell r="M1012" t="str">
            <v/>
          </cell>
          <cell r="N1012" t="str">
            <v/>
          </cell>
        </row>
        <row r="1013">
          <cell r="J1013" t="str">
            <v/>
          </cell>
          <cell r="K1013" t="str">
            <v/>
          </cell>
          <cell r="L1013" t="str">
            <v/>
          </cell>
          <cell r="M1013" t="str">
            <v/>
          </cell>
          <cell r="N1013" t="str">
            <v/>
          </cell>
        </row>
        <row r="1014">
          <cell r="J1014" t="str">
            <v/>
          </cell>
          <cell r="K1014" t="str">
            <v/>
          </cell>
          <cell r="L1014" t="str">
            <v/>
          </cell>
          <cell r="M1014" t="str">
            <v/>
          </cell>
          <cell r="N1014" t="str">
            <v/>
          </cell>
        </row>
        <row r="1015">
          <cell r="J1015" t="str">
            <v/>
          </cell>
          <cell r="K1015" t="str">
            <v/>
          </cell>
          <cell r="L1015" t="str">
            <v/>
          </cell>
          <cell r="M1015" t="str">
            <v/>
          </cell>
          <cell r="N1015" t="str">
            <v/>
          </cell>
        </row>
        <row r="1016">
          <cell r="J1016" t="str">
            <v/>
          </cell>
          <cell r="K1016" t="str">
            <v/>
          </cell>
          <cell r="L1016" t="str">
            <v/>
          </cell>
          <cell r="M1016" t="str">
            <v/>
          </cell>
          <cell r="N1016" t="str">
            <v/>
          </cell>
        </row>
        <row r="1017">
          <cell r="J1017" t="str">
            <v/>
          </cell>
          <cell r="K1017" t="str">
            <v/>
          </cell>
          <cell r="L1017" t="str">
            <v/>
          </cell>
          <cell r="M1017" t="str">
            <v/>
          </cell>
          <cell r="N1017" t="str">
            <v/>
          </cell>
        </row>
        <row r="1020">
          <cell r="H1020" t="str">
            <v>tonnes</v>
          </cell>
          <cell r="J1020" t="str">
            <v/>
          </cell>
          <cell r="K1020" t="str">
            <v/>
          </cell>
          <cell r="L1020" t="str">
            <v/>
          </cell>
          <cell r="M1020" t="str">
            <v/>
          </cell>
          <cell r="N1020" t="str">
            <v/>
          </cell>
        </row>
        <row r="1021">
          <cell r="J1021" t="str">
            <v/>
          </cell>
          <cell r="K1021" t="str">
            <v/>
          </cell>
          <cell r="L1021" t="str">
            <v/>
          </cell>
          <cell r="M1021" t="str">
            <v/>
          </cell>
          <cell r="N1021" t="str">
            <v/>
          </cell>
        </row>
        <row r="1022">
          <cell r="J1022" t="str">
            <v/>
          </cell>
          <cell r="K1022" t="str">
            <v/>
          </cell>
          <cell r="L1022" t="str">
            <v/>
          </cell>
          <cell r="M1022" t="str">
            <v/>
          </cell>
          <cell r="N1022" t="str">
            <v/>
          </cell>
        </row>
        <row r="1023">
          <cell r="J1023" t="str">
            <v/>
          </cell>
          <cell r="K1023" t="str">
            <v/>
          </cell>
          <cell r="L1023" t="str">
            <v/>
          </cell>
          <cell r="M1023" t="str">
            <v/>
          </cell>
          <cell r="N1023" t="str">
            <v/>
          </cell>
        </row>
        <row r="1024">
          <cell r="J1024" t="str">
            <v/>
          </cell>
          <cell r="K1024" t="str">
            <v/>
          </cell>
          <cell r="L1024" t="str">
            <v/>
          </cell>
          <cell r="M1024" t="str">
            <v/>
          </cell>
          <cell r="N1024" t="str">
            <v/>
          </cell>
        </row>
        <row r="1025">
          <cell r="J1025" t="str">
            <v/>
          </cell>
          <cell r="K1025" t="str">
            <v/>
          </cell>
          <cell r="L1025" t="str">
            <v/>
          </cell>
          <cell r="M1025" t="str">
            <v/>
          </cell>
          <cell r="N1025" t="str">
            <v/>
          </cell>
        </row>
        <row r="1026">
          <cell r="J1026" t="str">
            <v/>
          </cell>
          <cell r="K1026" t="str">
            <v/>
          </cell>
          <cell r="L1026" t="str">
            <v/>
          </cell>
          <cell r="M1026" t="str">
            <v/>
          </cell>
          <cell r="N1026" t="str">
            <v/>
          </cell>
        </row>
        <row r="1027">
          <cell r="J1027" t="str">
            <v/>
          </cell>
          <cell r="K1027" t="str">
            <v/>
          </cell>
          <cell r="L1027" t="str">
            <v/>
          </cell>
          <cell r="M1027" t="str">
            <v/>
          </cell>
          <cell r="N1027" t="str">
            <v/>
          </cell>
        </row>
        <row r="1028">
          <cell r="J1028" t="str">
            <v/>
          </cell>
          <cell r="K1028" t="str">
            <v/>
          </cell>
          <cell r="L1028" t="str">
            <v/>
          </cell>
          <cell r="M1028" t="str">
            <v/>
          </cell>
          <cell r="N1028" t="str">
            <v/>
          </cell>
        </row>
        <row r="1029">
          <cell r="J1029" t="str">
            <v/>
          </cell>
          <cell r="K1029" t="str">
            <v/>
          </cell>
          <cell r="L1029" t="str">
            <v/>
          </cell>
          <cell r="M1029" t="str">
            <v/>
          </cell>
          <cell r="N1029" t="str">
            <v/>
          </cell>
        </row>
        <row r="1030">
          <cell r="J1030" t="str">
            <v/>
          </cell>
          <cell r="K1030" t="str">
            <v/>
          </cell>
          <cell r="L1030" t="str">
            <v/>
          </cell>
          <cell r="M1030" t="str">
            <v/>
          </cell>
          <cell r="N1030" t="str">
            <v/>
          </cell>
        </row>
        <row r="1031">
          <cell r="J1031" t="str">
            <v/>
          </cell>
          <cell r="K1031" t="str">
            <v/>
          </cell>
          <cell r="L1031" t="str">
            <v/>
          </cell>
          <cell r="M1031" t="str">
            <v/>
          </cell>
          <cell r="N1031" t="str">
            <v/>
          </cell>
        </row>
        <row r="1034">
          <cell r="H1034" t="str">
            <v>tonnes</v>
          </cell>
          <cell r="J1034" t="str">
            <v/>
          </cell>
          <cell r="K1034" t="str">
            <v/>
          </cell>
          <cell r="L1034" t="str">
            <v/>
          </cell>
          <cell r="M1034" t="str">
            <v/>
          </cell>
          <cell r="N1034" t="str">
            <v/>
          </cell>
        </row>
        <row r="1035">
          <cell r="J1035" t="str">
            <v/>
          </cell>
          <cell r="K1035" t="str">
            <v/>
          </cell>
          <cell r="L1035" t="str">
            <v/>
          </cell>
          <cell r="M1035" t="str">
            <v/>
          </cell>
          <cell r="N1035" t="str">
            <v/>
          </cell>
        </row>
        <row r="1036">
          <cell r="J1036" t="str">
            <v/>
          </cell>
          <cell r="K1036" t="str">
            <v/>
          </cell>
          <cell r="L1036" t="str">
            <v/>
          </cell>
          <cell r="M1036" t="str">
            <v/>
          </cell>
          <cell r="N1036" t="str">
            <v/>
          </cell>
        </row>
        <row r="1037">
          <cell r="J1037" t="str">
            <v/>
          </cell>
          <cell r="K1037" t="str">
            <v/>
          </cell>
          <cell r="L1037" t="str">
            <v/>
          </cell>
          <cell r="M1037" t="str">
            <v/>
          </cell>
          <cell r="N1037" t="str">
            <v/>
          </cell>
        </row>
        <row r="1038">
          <cell r="J1038" t="str">
            <v/>
          </cell>
          <cell r="K1038" t="str">
            <v/>
          </cell>
          <cell r="L1038" t="str">
            <v/>
          </cell>
          <cell r="M1038" t="str">
            <v/>
          </cell>
          <cell r="N1038" t="str">
            <v/>
          </cell>
        </row>
        <row r="1039">
          <cell r="J1039" t="str">
            <v/>
          </cell>
          <cell r="K1039" t="str">
            <v/>
          </cell>
          <cell r="L1039" t="str">
            <v/>
          </cell>
          <cell r="M1039" t="str">
            <v/>
          </cell>
          <cell r="N1039" t="str">
            <v/>
          </cell>
        </row>
        <row r="1040">
          <cell r="J1040" t="str">
            <v/>
          </cell>
          <cell r="K1040" t="str">
            <v/>
          </cell>
          <cell r="L1040" t="str">
            <v/>
          </cell>
          <cell r="M1040" t="str">
            <v/>
          </cell>
          <cell r="N1040" t="str">
            <v/>
          </cell>
        </row>
        <row r="1041">
          <cell r="J1041" t="str">
            <v/>
          </cell>
          <cell r="K1041" t="str">
            <v/>
          </cell>
          <cell r="L1041" t="str">
            <v/>
          </cell>
          <cell r="M1041" t="str">
            <v/>
          </cell>
          <cell r="N1041" t="str">
            <v/>
          </cell>
        </row>
        <row r="1042">
          <cell r="J1042" t="str">
            <v/>
          </cell>
          <cell r="K1042" t="str">
            <v/>
          </cell>
          <cell r="L1042" t="str">
            <v/>
          </cell>
          <cell r="M1042" t="str">
            <v/>
          </cell>
          <cell r="N1042" t="str">
            <v/>
          </cell>
        </row>
        <row r="1043">
          <cell r="J1043" t="str">
            <v/>
          </cell>
          <cell r="K1043" t="str">
            <v/>
          </cell>
          <cell r="L1043" t="str">
            <v/>
          </cell>
          <cell r="M1043" t="str">
            <v/>
          </cell>
          <cell r="N1043" t="str">
            <v/>
          </cell>
        </row>
        <row r="1044">
          <cell r="J1044" t="str">
            <v/>
          </cell>
          <cell r="K1044" t="str">
            <v/>
          </cell>
          <cell r="L1044" t="str">
            <v/>
          </cell>
          <cell r="M1044" t="str">
            <v/>
          </cell>
          <cell r="N1044" t="str">
            <v/>
          </cell>
        </row>
        <row r="1045">
          <cell r="J1045" t="str">
            <v/>
          </cell>
          <cell r="K1045" t="str">
            <v/>
          </cell>
          <cell r="L1045" t="str">
            <v/>
          </cell>
          <cell r="M1045" t="str">
            <v/>
          </cell>
          <cell r="N1045" t="str">
            <v/>
          </cell>
        </row>
        <row r="1048">
          <cell r="H1048" t="str">
            <v>tonnes</v>
          </cell>
          <cell r="J1048" t="str">
            <v/>
          </cell>
          <cell r="K1048" t="str">
            <v/>
          </cell>
          <cell r="L1048" t="str">
            <v/>
          </cell>
          <cell r="M1048" t="str">
            <v/>
          </cell>
          <cell r="N1048" t="str">
            <v/>
          </cell>
        </row>
        <row r="1049">
          <cell r="J1049" t="str">
            <v/>
          </cell>
          <cell r="K1049" t="str">
            <v/>
          </cell>
          <cell r="L1049" t="str">
            <v/>
          </cell>
          <cell r="M1049" t="str">
            <v/>
          </cell>
          <cell r="N1049" t="str">
            <v/>
          </cell>
        </row>
        <row r="1050">
          <cell r="J1050" t="str">
            <v/>
          </cell>
          <cell r="K1050" t="str">
            <v/>
          </cell>
          <cell r="L1050" t="str">
            <v/>
          </cell>
          <cell r="M1050" t="str">
            <v/>
          </cell>
          <cell r="N1050" t="str">
            <v/>
          </cell>
        </row>
        <row r="1051">
          <cell r="J1051" t="str">
            <v/>
          </cell>
          <cell r="K1051" t="str">
            <v/>
          </cell>
          <cell r="L1051" t="str">
            <v/>
          </cell>
          <cell r="M1051" t="str">
            <v/>
          </cell>
          <cell r="N1051" t="str">
            <v/>
          </cell>
        </row>
        <row r="1052">
          <cell r="J1052" t="str">
            <v/>
          </cell>
          <cell r="K1052" t="str">
            <v/>
          </cell>
          <cell r="L1052" t="str">
            <v/>
          </cell>
          <cell r="M1052" t="str">
            <v/>
          </cell>
          <cell r="N1052" t="str">
            <v/>
          </cell>
        </row>
        <row r="1053">
          <cell r="J1053" t="str">
            <v/>
          </cell>
          <cell r="K1053" t="str">
            <v/>
          </cell>
          <cell r="L1053" t="str">
            <v/>
          </cell>
          <cell r="M1053" t="str">
            <v/>
          </cell>
          <cell r="N1053" t="str">
            <v/>
          </cell>
        </row>
        <row r="1054">
          <cell r="J1054" t="str">
            <v/>
          </cell>
          <cell r="K1054" t="str">
            <v/>
          </cell>
          <cell r="L1054" t="str">
            <v/>
          </cell>
          <cell r="M1054" t="str">
            <v/>
          </cell>
          <cell r="N1054" t="str">
            <v/>
          </cell>
        </row>
        <row r="1055">
          <cell r="J1055" t="str">
            <v/>
          </cell>
          <cell r="K1055" t="str">
            <v/>
          </cell>
          <cell r="L1055" t="str">
            <v/>
          </cell>
          <cell r="M1055" t="str">
            <v/>
          </cell>
          <cell r="N1055" t="str">
            <v/>
          </cell>
        </row>
        <row r="1056">
          <cell r="J1056" t="str">
            <v/>
          </cell>
          <cell r="K1056" t="str">
            <v/>
          </cell>
          <cell r="L1056" t="str">
            <v/>
          </cell>
          <cell r="M1056" t="str">
            <v/>
          </cell>
          <cell r="N1056" t="str">
            <v/>
          </cell>
        </row>
        <row r="1057">
          <cell r="J1057" t="str">
            <v/>
          </cell>
          <cell r="K1057" t="str">
            <v/>
          </cell>
          <cell r="L1057" t="str">
            <v/>
          </cell>
          <cell r="M1057" t="str">
            <v/>
          </cell>
          <cell r="N1057" t="str">
            <v/>
          </cell>
        </row>
        <row r="1058">
          <cell r="J1058" t="str">
            <v/>
          </cell>
          <cell r="K1058" t="str">
            <v/>
          </cell>
          <cell r="L1058" t="str">
            <v/>
          </cell>
          <cell r="M1058" t="str">
            <v/>
          </cell>
          <cell r="N1058" t="str">
            <v/>
          </cell>
        </row>
        <row r="1059">
          <cell r="J1059" t="str">
            <v/>
          </cell>
          <cell r="K1059" t="str">
            <v/>
          </cell>
          <cell r="L1059" t="str">
            <v/>
          </cell>
          <cell r="M1059" t="str">
            <v/>
          </cell>
          <cell r="N1059" t="str">
            <v/>
          </cell>
        </row>
        <row r="1062">
          <cell r="H1062" t="str">
            <v>tonnes</v>
          </cell>
          <cell r="J1062" t="str">
            <v/>
          </cell>
          <cell r="K1062" t="str">
            <v/>
          </cell>
          <cell r="L1062" t="str">
            <v/>
          </cell>
          <cell r="M1062" t="str">
            <v/>
          </cell>
          <cell r="N1062" t="str">
            <v/>
          </cell>
        </row>
        <row r="1063">
          <cell r="J1063" t="str">
            <v/>
          </cell>
          <cell r="K1063" t="str">
            <v/>
          </cell>
          <cell r="L1063" t="str">
            <v/>
          </cell>
          <cell r="M1063" t="str">
            <v/>
          </cell>
          <cell r="N1063" t="str">
            <v/>
          </cell>
        </row>
        <row r="1064">
          <cell r="J1064" t="str">
            <v/>
          </cell>
          <cell r="K1064" t="str">
            <v/>
          </cell>
          <cell r="L1064" t="str">
            <v/>
          </cell>
          <cell r="M1064" t="str">
            <v/>
          </cell>
          <cell r="N1064" t="str">
            <v/>
          </cell>
        </row>
        <row r="1065">
          <cell r="J1065" t="str">
            <v/>
          </cell>
          <cell r="K1065" t="str">
            <v/>
          </cell>
          <cell r="L1065" t="str">
            <v/>
          </cell>
          <cell r="M1065" t="str">
            <v/>
          </cell>
          <cell r="N1065" t="str">
            <v/>
          </cell>
        </row>
        <row r="1066">
          <cell r="J1066" t="str">
            <v/>
          </cell>
          <cell r="K1066" t="str">
            <v/>
          </cell>
          <cell r="L1066" t="str">
            <v/>
          </cell>
          <cell r="M1066" t="str">
            <v/>
          </cell>
          <cell r="N1066" t="str">
            <v/>
          </cell>
        </row>
        <row r="1067">
          <cell r="J1067" t="str">
            <v/>
          </cell>
          <cell r="K1067" t="str">
            <v/>
          </cell>
          <cell r="L1067" t="str">
            <v/>
          </cell>
          <cell r="M1067" t="str">
            <v/>
          </cell>
          <cell r="N1067" t="str">
            <v/>
          </cell>
        </row>
        <row r="1068">
          <cell r="J1068" t="str">
            <v/>
          </cell>
          <cell r="K1068" t="str">
            <v/>
          </cell>
          <cell r="L1068" t="str">
            <v/>
          </cell>
          <cell r="M1068" t="str">
            <v/>
          </cell>
          <cell r="N1068" t="str">
            <v/>
          </cell>
        </row>
        <row r="1069">
          <cell r="J1069" t="str">
            <v/>
          </cell>
          <cell r="K1069" t="str">
            <v/>
          </cell>
          <cell r="L1069" t="str">
            <v/>
          </cell>
          <cell r="M1069" t="str">
            <v/>
          </cell>
          <cell r="N1069" t="str">
            <v/>
          </cell>
        </row>
        <row r="1070">
          <cell r="J1070" t="str">
            <v/>
          </cell>
          <cell r="K1070" t="str">
            <v/>
          </cell>
          <cell r="L1070" t="str">
            <v/>
          </cell>
          <cell r="M1070" t="str">
            <v/>
          </cell>
          <cell r="N1070" t="str">
            <v/>
          </cell>
        </row>
        <row r="1071">
          <cell r="J1071" t="str">
            <v/>
          </cell>
          <cell r="K1071" t="str">
            <v/>
          </cell>
          <cell r="L1071" t="str">
            <v/>
          </cell>
          <cell r="M1071" t="str">
            <v/>
          </cell>
          <cell r="N1071" t="str">
            <v/>
          </cell>
        </row>
        <row r="1072">
          <cell r="J1072" t="str">
            <v/>
          </cell>
          <cell r="K1072" t="str">
            <v/>
          </cell>
          <cell r="L1072" t="str">
            <v/>
          </cell>
          <cell r="M1072" t="str">
            <v/>
          </cell>
          <cell r="N1072" t="str">
            <v/>
          </cell>
        </row>
        <row r="1073">
          <cell r="J1073" t="str">
            <v/>
          </cell>
          <cell r="K1073" t="str">
            <v/>
          </cell>
          <cell r="L1073" t="str">
            <v/>
          </cell>
          <cell r="M1073" t="str">
            <v/>
          </cell>
          <cell r="N1073" t="str">
            <v/>
          </cell>
        </row>
        <row r="1078">
          <cell r="H1078" t="str">
            <v>tonnes</v>
          </cell>
          <cell r="I1078" t="str">
            <v/>
          </cell>
          <cell r="J1078" t="str">
            <v/>
          </cell>
          <cell r="K1078" t="str">
            <v/>
          </cell>
          <cell r="L1078" t="str">
            <v/>
          </cell>
          <cell r="M1078" t="str">
            <v/>
          </cell>
          <cell r="N1078" t="str">
            <v/>
          </cell>
        </row>
        <row r="1079">
          <cell r="I1079" t="str">
            <v/>
          </cell>
          <cell r="J1079" t="str">
            <v/>
          </cell>
          <cell r="K1079" t="str">
            <v/>
          </cell>
          <cell r="L1079" t="str">
            <v/>
          </cell>
          <cell r="M1079" t="str">
            <v/>
          </cell>
          <cell r="N1079" t="str">
            <v/>
          </cell>
        </row>
        <row r="1080">
          <cell r="I1080" t="str">
            <v/>
          </cell>
          <cell r="J1080" t="str">
            <v/>
          </cell>
          <cell r="K1080" t="str">
            <v/>
          </cell>
          <cell r="L1080" t="str">
            <v/>
          </cell>
          <cell r="M1080" t="str">
            <v/>
          </cell>
          <cell r="N1080" t="str">
            <v/>
          </cell>
        </row>
        <row r="1081">
          <cell r="I1081" t="str">
            <v/>
          </cell>
          <cell r="J1081" t="str">
            <v/>
          </cell>
          <cell r="K1081" t="str">
            <v/>
          </cell>
          <cell r="L1081" t="str">
            <v/>
          </cell>
          <cell r="M1081" t="str">
            <v/>
          </cell>
          <cell r="N1081" t="str">
            <v/>
          </cell>
        </row>
        <row r="1082">
          <cell r="I1082" t="str">
            <v/>
          </cell>
          <cell r="J1082" t="str">
            <v/>
          </cell>
          <cell r="K1082" t="str">
            <v/>
          </cell>
          <cell r="L1082" t="str">
            <v/>
          </cell>
          <cell r="M1082" t="str">
            <v/>
          </cell>
          <cell r="N1082" t="str">
            <v/>
          </cell>
        </row>
        <row r="1083">
          <cell r="I1083" t="str">
            <v/>
          </cell>
          <cell r="J1083" t="str">
            <v/>
          </cell>
          <cell r="K1083" t="str">
            <v/>
          </cell>
          <cell r="L1083" t="str">
            <v/>
          </cell>
          <cell r="M1083" t="str">
            <v/>
          </cell>
          <cell r="N1083" t="str">
            <v/>
          </cell>
        </row>
        <row r="1084">
          <cell r="I1084" t="str">
            <v/>
          </cell>
          <cell r="J1084" t="str">
            <v/>
          </cell>
          <cell r="K1084" t="str">
            <v/>
          </cell>
          <cell r="L1084" t="str">
            <v/>
          </cell>
          <cell r="M1084" t="str">
            <v/>
          </cell>
          <cell r="N1084" t="str">
            <v/>
          </cell>
        </row>
        <row r="1089">
          <cell r="H1089" t="str">
            <v/>
          </cell>
          <cell r="I1089" t="str">
            <v/>
          </cell>
          <cell r="J1089" t="str">
            <v/>
          </cell>
          <cell r="K1089" t="str">
            <v/>
          </cell>
          <cell r="L1089" t="str">
            <v/>
          </cell>
          <cell r="M1089" t="str">
            <v/>
          </cell>
          <cell r="N1089" t="str">
            <v/>
          </cell>
        </row>
        <row r="1091">
          <cell r="H1091" t="str">
            <v/>
          </cell>
          <cell r="I1091" t="str">
            <v/>
          </cell>
          <cell r="J1091" t="str">
            <v/>
          </cell>
          <cell r="K1091" t="str">
            <v/>
          </cell>
          <cell r="L1091" t="str">
            <v/>
          </cell>
          <cell r="M1091" t="str">
            <v/>
          </cell>
          <cell r="N1091" t="str">
            <v/>
          </cell>
        </row>
        <row r="1092">
          <cell r="H1092" t="str">
            <v/>
          </cell>
          <cell r="I1092" t="str">
            <v/>
          </cell>
          <cell r="J1092" t="str">
            <v/>
          </cell>
          <cell r="K1092" t="str">
            <v/>
          </cell>
          <cell r="L1092" t="str">
            <v/>
          </cell>
          <cell r="M1092" t="str">
            <v/>
          </cell>
          <cell r="N1092" t="str">
            <v/>
          </cell>
        </row>
        <row r="1094">
          <cell r="H1094" t="str">
            <v/>
          </cell>
          <cell r="I1094" t="str">
            <v/>
          </cell>
          <cell r="J1094" t="str">
            <v/>
          </cell>
          <cell r="K1094" t="str">
            <v/>
          </cell>
          <cell r="L1094" t="str">
            <v/>
          </cell>
          <cell r="M1094" t="str">
            <v/>
          </cell>
          <cell r="N1094" t="str">
            <v/>
          </cell>
        </row>
        <row r="1095">
          <cell r="H1095" t="str">
            <v/>
          </cell>
          <cell r="I1095" t="str">
            <v/>
          </cell>
          <cell r="J1095" t="str">
            <v/>
          </cell>
          <cell r="K1095" t="str">
            <v/>
          </cell>
          <cell r="L1095" t="str">
            <v/>
          </cell>
          <cell r="M1095" t="str">
            <v/>
          </cell>
          <cell r="N1095" t="str">
            <v/>
          </cell>
        </row>
        <row r="1096">
          <cell r="H1096" t="str">
            <v/>
          </cell>
          <cell r="I1096" t="str">
            <v/>
          </cell>
          <cell r="J1096" t="str">
            <v/>
          </cell>
          <cell r="K1096" t="str">
            <v/>
          </cell>
          <cell r="L1096" t="str">
            <v/>
          </cell>
          <cell r="M1096" t="str">
            <v/>
          </cell>
          <cell r="N1096" t="str">
            <v/>
          </cell>
        </row>
        <row r="1097">
          <cell r="H1097" t="str">
            <v/>
          </cell>
          <cell r="I1097" t="str">
            <v/>
          </cell>
          <cell r="J1097" t="str">
            <v/>
          </cell>
          <cell r="K1097" t="str">
            <v/>
          </cell>
          <cell r="L1097" t="str">
            <v/>
          </cell>
          <cell r="M1097" t="str">
            <v/>
          </cell>
          <cell r="N1097" t="str">
            <v/>
          </cell>
        </row>
        <row r="1099">
          <cell r="H1099" t="str">
            <v/>
          </cell>
          <cell r="I1099" t="str">
            <v/>
          </cell>
          <cell r="J1099" t="str">
            <v/>
          </cell>
          <cell r="K1099" t="str">
            <v/>
          </cell>
          <cell r="L1099" t="str">
            <v/>
          </cell>
          <cell r="M1099" t="str">
            <v/>
          </cell>
          <cell r="N1099" t="str">
            <v/>
          </cell>
        </row>
        <row r="1100">
          <cell r="H1100" t="str">
            <v/>
          </cell>
          <cell r="I1100" t="str">
            <v/>
          </cell>
          <cell r="J1100" t="str">
            <v/>
          </cell>
          <cell r="K1100" t="str">
            <v/>
          </cell>
          <cell r="L1100" t="str">
            <v/>
          </cell>
          <cell r="M1100" t="str">
            <v/>
          </cell>
          <cell r="N1100" t="str">
            <v/>
          </cell>
        </row>
        <row r="1102">
          <cell r="H1102" t="str">
            <v/>
          </cell>
          <cell r="I1102" t="str">
            <v/>
          </cell>
          <cell r="J1102" t="str">
            <v/>
          </cell>
          <cell r="K1102" t="str">
            <v/>
          </cell>
          <cell r="L1102" t="str">
            <v/>
          </cell>
          <cell r="M1102" t="str">
            <v/>
          </cell>
          <cell r="N1102" t="str">
            <v/>
          </cell>
        </row>
        <row r="1103">
          <cell r="H1103" t="str">
            <v/>
          </cell>
          <cell r="I1103" t="str">
            <v/>
          </cell>
          <cell r="J1103" t="str">
            <v/>
          </cell>
          <cell r="K1103" t="str">
            <v/>
          </cell>
          <cell r="L1103" t="str">
            <v/>
          </cell>
          <cell r="M1103" t="str">
            <v/>
          </cell>
          <cell r="N1103" t="str">
            <v/>
          </cell>
        </row>
        <row r="1105">
          <cell r="H1105" t="str">
            <v/>
          </cell>
          <cell r="I1105" t="str">
            <v/>
          </cell>
          <cell r="J1105" t="str">
            <v/>
          </cell>
          <cell r="K1105" t="str">
            <v/>
          </cell>
          <cell r="L1105" t="str">
            <v/>
          </cell>
          <cell r="M1105" t="str">
            <v/>
          </cell>
          <cell r="N1105" t="str">
            <v/>
          </cell>
        </row>
        <row r="1106">
          <cell r="H1106" t="str">
            <v/>
          </cell>
          <cell r="I1106" t="str">
            <v/>
          </cell>
          <cell r="J1106" t="str">
            <v/>
          </cell>
          <cell r="K1106" t="str">
            <v/>
          </cell>
          <cell r="L1106" t="str">
            <v/>
          </cell>
          <cell r="M1106" t="str">
            <v/>
          </cell>
          <cell r="N1106" t="str">
            <v/>
          </cell>
        </row>
        <row r="1108">
          <cell r="H1108" t="str">
            <v/>
          </cell>
          <cell r="I1108" t="str">
            <v/>
          </cell>
          <cell r="J1108" t="str">
            <v/>
          </cell>
          <cell r="K1108" t="str">
            <v/>
          </cell>
          <cell r="L1108" t="str">
            <v/>
          </cell>
          <cell r="M1108" t="str">
            <v/>
          </cell>
          <cell r="N1108" t="str">
            <v/>
          </cell>
        </row>
        <row r="1109">
          <cell r="H1109" t="str">
            <v/>
          </cell>
          <cell r="I1109" t="str">
            <v/>
          </cell>
          <cell r="J1109" t="str">
            <v/>
          </cell>
          <cell r="K1109" t="str">
            <v/>
          </cell>
          <cell r="L1109" t="str">
            <v/>
          </cell>
          <cell r="M1109" t="str">
            <v/>
          </cell>
          <cell r="N1109" t="str">
            <v/>
          </cell>
        </row>
        <row r="1110">
          <cell r="H1110" t="str">
            <v/>
          </cell>
          <cell r="I1110" t="str">
            <v/>
          </cell>
          <cell r="J1110" t="str">
            <v/>
          </cell>
          <cell r="K1110" t="str">
            <v/>
          </cell>
          <cell r="L1110" t="str">
            <v/>
          </cell>
          <cell r="M1110" t="str">
            <v/>
          </cell>
          <cell r="N1110" t="str">
            <v/>
          </cell>
        </row>
        <row r="1111">
          <cell r="H1111" t="str">
            <v/>
          </cell>
          <cell r="I1111" t="str">
            <v/>
          </cell>
          <cell r="J1111" t="str">
            <v/>
          </cell>
          <cell r="K1111" t="str">
            <v/>
          </cell>
          <cell r="L1111" t="str">
            <v/>
          </cell>
          <cell r="M1111" t="str">
            <v/>
          </cell>
          <cell r="N1111" t="str">
            <v/>
          </cell>
        </row>
        <row r="1112">
          <cell r="H1112" t="str">
            <v/>
          </cell>
          <cell r="I1112" t="str">
            <v/>
          </cell>
          <cell r="J1112" t="str">
            <v/>
          </cell>
          <cell r="K1112" t="str">
            <v/>
          </cell>
          <cell r="L1112" t="str">
            <v/>
          </cell>
          <cell r="M1112" t="str">
            <v/>
          </cell>
          <cell r="N1112" t="str">
            <v/>
          </cell>
        </row>
        <row r="1113">
          <cell r="H1113" t="str">
            <v/>
          </cell>
          <cell r="I1113" t="str">
            <v/>
          </cell>
          <cell r="J1113" t="str">
            <v/>
          </cell>
          <cell r="K1113" t="str">
            <v/>
          </cell>
          <cell r="L1113" t="str">
            <v/>
          </cell>
          <cell r="M1113" t="str">
            <v/>
          </cell>
          <cell r="N1113" t="str">
            <v/>
          </cell>
        </row>
        <row r="1114">
          <cell r="H1114" t="str">
            <v/>
          </cell>
          <cell r="I1114" t="str">
            <v/>
          </cell>
          <cell r="J1114" t="str">
            <v/>
          </cell>
          <cell r="K1114" t="str">
            <v/>
          </cell>
          <cell r="L1114" t="str">
            <v/>
          </cell>
          <cell r="M1114" t="str">
            <v/>
          </cell>
          <cell r="N1114" t="str">
            <v/>
          </cell>
        </row>
        <row r="1115">
          <cell r="H1115" t="str">
            <v/>
          </cell>
          <cell r="I1115" t="str">
            <v/>
          </cell>
          <cell r="J1115" t="str">
            <v/>
          </cell>
          <cell r="K1115" t="str">
            <v/>
          </cell>
          <cell r="L1115" t="str">
            <v/>
          </cell>
          <cell r="M1115" t="str">
            <v/>
          </cell>
          <cell r="N1115" t="str">
            <v/>
          </cell>
        </row>
        <row r="1116">
          <cell r="H1116" t="str">
            <v/>
          </cell>
          <cell r="I1116" t="str">
            <v/>
          </cell>
          <cell r="J1116" t="str">
            <v/>
          </cell>
          <cell r="K1116" t="str">
            <v/>
          </cell>
          <cell r="L1116" t="str">
            <v/>
          </cell>
          <cell r="M1116" t="str">
            <v/>
          </cell>
          <cell r="N1116" t="str">
            <v/>
          </cell>
        </row>
        <row r="1117">
          <cell r="H1117" t="str">
            <v/>
          </cell>
          <cell r="I1117" t="str">
            <v/>
          </cell>
          <cell r="J1117" t="str">
            <v/>
          </cell>
          <cell r="K1117" t="str">
            <v/>
          </cell>
          <cell r="L1117" t="str">
            <v/>
          </cell>
          <cell r="M1117" t="str">
            <v/>
          </cell>
          <cell r="N1117" t="str">
            <v/>
          </cell>
        </row>
        <row r="1119">
          <cell r="H1119" t="str">
            <v/>
          </cell>
          <cell r="I1119" t="str">
            <v/>
          </cell>
          <cell r="J1119" t="str">
            <v/>
          </cell>
          <cell r="K1119" t="str">
            <v/>
          </cell>
          <cell r="L1119" t="str">
            <v/>
          </cell>
          <cell r="M1119" t="str">
            <v/>
          </cell>
          <cell r="N1119" t="str">
            <v/>
          </cell>
        </row>
        <row r="1120">
          <cell r="H1120" t="str">
            <v/>
          </cell>
          <cell r="I1120" t="str">
            <v/>
          </cell>
          <cell r="J1120" t="str">
            <v/>
          </cell>
          <cell r="K1120" t="str">
            <v/>
          </cell>
          <cell r="L1120" t="str">
            <v/>
          </cell>
          <cell r="M1120" t="str">
            <v/>
          </cell>
          <cell r="N1120" t="str">
            <v/>
          </cell>
        </row>
        <row r="1122">
          <cell r="H1122" t="str">
            <v/>
          </cell>
          <cell r="I1122" t="str">
            <v/>
          </cell>
          <cell r="J1122" t="str">
            <v/>
          </cell>
          <cell r="K1122" t="str">
            <v/>
          </cell>
          <cell r="L1122" t="str">
            <v/>
          </cell>
          <cell r="M1122" t="str">
            <v/>
          </cell>
          <cell r="N1122" t="str">
            <v/>
          </cell>
        </row>
        <row r="1125">
          <cell r="E1125" t="str">
            <v/>
          </cell>
          <cell r="H1125" t="str">
            <v/>
          </cell>
          <cell r="I1125" t="str">
            <v/>
          </cell>
          <cell r="J1125" t="str">
            <v/>
          </cell>
          <cell r="K1125" t="str">
            <v/>
          </cell>
          <cell r="L1125" t="str">
            <v/>
          </cell>
          <cell r="M1125" t="str">
            <v/>
          </cell>
          <cell r="N1125" t="str">
            <v/>
          </cell>
        </row>
        <row r="1126">
          <cell r="E1126" t="str">
            <v/>
          </cell>
          <cell r="H1126" t="str">
            <v/>
          </cell>
          <cell r="I1126" t="str">
            <v/>
          </cell>
          <cell r="J1126" t="str">
            <v/>
          </cell>
          <cell r="K1126" t="str">
            <v/>
          </cell>
          <cell r="L1126" t="str">
            <v/>
          </cell>
          <cell r="M1126" t="str">
            <v/>
          </cell>
          <cell r="N1126" t="str">
            <v/>
          </cell>
        </row>
        <row r="1128">
          <cell r="E1128" t="str">
            <v/>
          </cell>
          <cell r="H1128" t="str">
            <v/>
          </cell>
          <cell r="I1128" t="str">
            <v/>
          </cell>
          <cell r="J1128" t="str">
            <v/>
          </cell>
          <cell r="K1128" t="str">
            <v/>
          </cell>
          <cell r="L1128" t="str">
            <v/>
          </cell>
          <cell r="M1128" t="str">
            <v/>
          </cell>
          <cell r="N1128" t="str">
            <v/>
          </cell>
        </row>
        <row r="1129">
          <cell r="E1129" t="str">
            <v/>
          </cell>
          <cell r="H1129" t="str">
            <v/>
          </cell>
          <cell r="I1129" t="str">
            <v/>
          </cell>
          <cell r="J1129" t="str">
            <v/>
          </cell>
          <cell r="K1129" t="str">
            <v/>
          </cell>
          <cell r="L1129" t="str">
            <v/>
          </cell>
          <cell r="M1129" t="str">
            <v/>
          </cell>
          <cell r="N1129" t="str">
            <v/>
          </cell>
        </row>
        <row r="1133">
          <cell r="I1133" t="str">
            <v/>
          </cell>
        </row>
        <row r="1136">
          <cell r="E1136" t="str">
            <v/>
          </cell>
          <cell r="H1136" t="str">
            <v>N.A.</v>
          </cell>
          <cell r="I1136" t="str">
            <v/>
          </cell>
          <cell r="J1136" t="str">
            <v>N.A.</v>
          </cell>
          <cell r="K1136" t="str">
            <v>N.A.</v>
          </cell>
          <cell r="L1136" t="str">
            <v>N.A.</v>
          </cell>
          <cell r="M1136" t="str">
            <v>N.A.</v>
          </cell>
          <cell r="N1136" t="str">
            <v>EUA/tonnes</v>
          </cell>
        </row>
        <row r="1139">
          <cell r="F1139" t="str">
            <v>tonnes</v>
          </cell>
          <cell r="G1139" t="str">
            <v/>
          </cell>
          <cell r="H1139" t="str">
            <v/>
          </cell>
          <cell r="I1139" t="str">
            <v/>
          </cell>
          <cell r="J1139" t="str">
            <v/>
          </cell>
          <cell r="K1139" t="str">
            <v/>
          </cell>
          <cell r="L1139" t="str">
            <v/>
          </cell>
          <cell r="M1139" t="str">
            <v/>
          </cell>
          <cell r="N1139" t="str">
            <v/>
          </cell>
        </row>
        <row r="1143">
          <cell r="J1143" t="str">
            <v/>
          </cell>
          <cell r="K1143" t="str">
            <v/>
          </cell>
          <cell r="L1143" t="str">
            <v/>
          </cell>
          <cell r="M1143" t="str">
            <v/>
          </cell>
          <cell r="N1143" t="str">
            <v/>
          </cell>
        </row>
        <row r="1144">
          <cell r="J1144" t="str">
            <v/>
          </cell>
          <cell r="K1144" t="str">
            <v/>
          </cell>
          <cell r="L1144" t="str">
            <v/>
          </cell>
          <cell r="M1144" t="str">
            <v/>
          </cell>
          <cell r="N1144" t="str">
            <v/>
          </cell>
        </row>
        <row r="1147">
          <cell r="H1147" t="str">
            <v>tonnes</v>
          </cell>
          <cell r="J1147" t="str">
            <v/>
          </cell>
          <cell r="K1147" t="str">
            <v/>
          </cell>
          <cell r="L1147" t="str">
            <v/>
          </cell>
          <cell r="M1147" t="str">
            <v/>
          </cell>
          <cell r="N1147" t="str">
            <v/>
          </cell>
        </row>
        <row r="1148">
          <cell r="J1148" t="str">
            <v/>
          </cell>
          <cell r="K1148" t="str">
            <v/>
          </cell>
          <cell r="L1148" t="str">
            <v/>
          </cell>
          <cell r="M1148" t="str">
            <v/>
          </cell>
          <cell r="N1148" t="str">
            <v/>
          </cell>
        </row>
        <row r="1149">
          <cell r="J1149" t="str">
            <v/>
          </cell>
          <cell r="K1149" t="str">
            <v/>
          </cell>
          <cell r="L1149" t="str">
            <v/>
          </cell>
          <cell r="M1149" t="str">
            <v/>
          </cell>
          <cell r="N1149" t="str">
            <v/>
          </cell>
        </row>
        <row r="1150">
          <cell r="J1150" t="str">
            <v/>
          </cell>
          <cell r="K1150" t="str">
            <v/>
          </cell>
          <cell r="L1150" t="str">
            <v/>
          </cell>
          <cell r="M1150" t="str">
            <v/>
          </cell>
          <cell r="N1150" t="str">
            <v/>
          </cell>
        </row>
        <row r="1151">
          <cell r="J1151" t="str">
            <v/>
          </cell>
          <cell r="K1151" t="str">
            <v/>
          </cell>
          <cell r="L1151" t="str">
            <v/>
          </cell>
          <cell r="M1151" t="str">
            <v/>
          </cell>
          <cell r="N1151" t="str">
            <v/>
          </cell>
        </row>
        <row r="1152">
          <cell r="J1152" t="str">
            <v/>
          </cell>
          <cell r="K1152" t="str">
            <v/>
          </cell>
          <cell r="L1152" t="str">
            <v/>
          </cell>
          <cell r="M1152" t="str">
            <v/>
          </cell>
          <cell r="N1152" t="str">
            <v/>
          </cell>
        </row>
        <row r="1153">
          <cell r="J1153" t="str">
            <v/>
          </cell>
          <cell r="K1153" t="str">
            <v/>
          </cell>
          <cell r="L1153" t="str">
            <v/>
          </cell>
          <cell r="M1153" t="str">
            <v/>
          </cell>
          <cell r="N1153" t="str">
            <v/>
          </cell>
        </row>
        <row r="1156">
          <cell r="H1156" t="str">
            <v>tonnes</v>
          </cell>
          <cell r="J1156" t="str">
            <v/>
          </cell>
          <cell r="K1156" t="str">
            <v/>
          </cell>
          <cell r="L1156" t="str">
            <v/>
          </cell>
          <cell r="M1156" t="str">
            <v/>
          </cell>
          <cell r="N1156" t="str">
            <v/>
          </cell>
        </row>
        <row r="1157">
          <cell r="J1157" t="str">
            <v/>
          </cell>
          <cell r="K1157" t="str">
            <v/>
          </cell>
          <cell r="L1157" t="str">
            <v/>
          </cell>
          <cell r="M1157" t="str">
            <v/>
          </cell>
          <cell r="N1157" t="str">
            <v/>
          </cell>
        </row>
        <row r="1158">
          <cell r="J1158" t="str">
            <v/>
          </cell>
          <cell r="K1158" t="str">
            <v/>
          </cell>
          <cell r="L1158" t="str">
            <v/>
          </cell>
          <cell r="M1158" t="str">
            <v/>
          </cell>
          <cell r="N1158" t="str">
            <v/>
          </cell>
        </row>
        <row r="1159">
          <cell r="H1159" t="str">
            <v>tonnes</v>
          </cell>
          <cell r="J1159" t="str">
            <v/>
          </cell>
          <cell r="K1159" t="str">
            <v/>
          </cell>
          <cell r="L1159" t="str">
            <v/>
          </cell>
          <cell r="M1159" t="str">
            <v/>
          </cell>
          <cell r="N1159" t="str">
            <v/>
          </cell>
        </row>
        <row r="1160">
          <cell r="J1160" t="str">
            <v/>
          </cell>
          <cell r="K1160" t="str">
            <v/>
          </cell>
          <cell r="L1160" t="str">
            <v/>
          </cell>
          <cell r="M1160" t="str">
            <v/>
          </cell>
          <cell r="N1160" t="str">
            <v/>
          </cell>
        </row>
        <row r="1161">
          <cell r="J1161" t="str">
            <v/>
          </cell>
          <cell r="K1161" t="str">
            <v/>
          </cell>
          <cell r="L1161" t="str">
            <v/>
          </cell>
          <cell r="M1161" t="str">
            <v/>
          </cell>
          <cell r="N1161" t="str">
            <v/>
          </cell>
        </row>
        <row r="1162">
          <cell r="J1162" t="str">
            <v/>
          </cell>
          <cell r="K1162" t="str">
            <v/>
          </cell>
          <cell r="L1162" t="str">
            <v/>
          </cell>
          <cell r="M1162" t="str">
            <v/>
          </cell>
          <cell r="N1162" t="str">
            <v/>
          </cell>
        </row>
        <row r="1163">
          <cell r="J1163" t="str">
            <v/>
          </cell>
          <cell r="K1163" t="str">
            <v/>
          </cell>
          <cell r="L1163" t="str">
            <v/>
          </cell>
          <cell r="M1163" t="str">
            <v/>
          </cell>
          <cell r="N1163" t="str">
            <v/>
          </cell>
        </row>
        <row r="1164">
          <cell r="J1164" t="str">
            <v/>
          </cell>
          <cell r="K1164" t="str">
            <v/>
          </cell>
          <cell r="L1164" t="str">
            <v/>
          </cell>
          <cell r="M1164" t="str">
            <v/>
          </cell>
          <cell r="N1164" t="str">
            <v/>
          </cell>
        </row>
        <row r="1165">
          <cell r="J1165" t="str">
            <v/>
          </cell>
          <cell r="K1165" t="str">
            <v/>
          </cell>
          <cell r="L1165" t="str">
            <v/>
          </cell>
          <cell r="M1165" t="str">
            <v/>
          </cell>
          <cell r="N1165" t="str">
            <v/>
          </cell>
        </row>
        <row r="1166">
          <cell r="J1166" t="str">
            <v/>
          </cell>
          <cell r="K1166" t="str">
            <v/>
          </cell>
          <cell r="L1166" t="str">
            <v/>
          </cell>
          <cell r="M1166" t="str">
            <v/>
          </cell>
          <cell r="N1166" t="str">
            <v/>
          </cell>
        </row>
        <row r="1167">
          <cell r="J1167" t="str">
            <v/>
          </cell>
          <cell r="K1167" t="str">
            <v/>
          </cell>
          <cell r="L1167" t="str">
            <v/>
          </cell>
          <cell r="M1167" t="str">
            <v/>
          </cell>
          <cell r="N1167" t="str">
            <v/>
          </cell>
        </row>
        <row r="1170">
          <cell r="H1170" t="str">
            <v>tonnes</v>
          </cell>
          <cell r="J1170" t="str">
            <v/>
          </cell>
          <cell r="K1170" t="str">
            <v/>
          </cell>
          <cell r="L1170" t="str">
            <v/>
          </cell>
          <cell r="M1170" t="str">
            <v/>
          </cell>
          <cell r="N1170" t="str">
            <v/>
          </cell>
        </row>
        <row r="1171">
          <cell r="J1171" t="str">
            <v/>
          </cell>
          <cell r="K1171" t="str">
            <v/>
          </cell>
          <cell r="L1171" t="str">
            <v/>
          </cell>
          <cell r="M1171" t="str">
            <v/>
          </cell>
          <cell r="N1171" t="str">
            <v/>
          </cell>
        </row>
        <row r="1172">
          <cell r="J1172" t="str">
            <v/>
          </cell>
          <cell r="K1172" t="str">
            <v/>
          </cell>
          <cell r="L1172" t="str">
            <v/>
          </cell>
          <cell r="M1172" t="str">
            <v/>
          </cell>
          <cell r="N1172" t="str">
            <v/>
          </cell>
        </row>
        <row r="1173">
          <cell r="J1173" t="str">
            <v/>
          </cell>
          <cell r="K1173" t="str">
            <v/>
          </cell>
          <cell r="L1173" t="str">
            <v/>
          </cell>
          <cell r="M1173" t="str">
            <v/>
          </cell>
          <cell r="N1173" t="str">
            <v/>
          </cell>
        </row>
        <row r="1174">
          <cell r="J1174" t="str">
            <v/>
          </cell>
          <cell r="K1174" t="str">
            <v/>
          </cell>
          <cell r="L1174" t="str">
            <v/>
          </cell>
          <cell r="M1174" t="str">
            <v/>
          </cell>
          <cell r="N1174" t="str">
            <v/>
          </cell>
        </row>
        <row r="1175">
          <cell r="J1175" t="str">
            <v/>
          </cell>
          <cell r="K1175" t="str">
            <v/>
          </cell>
          <cell r="L1175" t="str">
            <v/>
          </cell>
          <cell r="M1175" t="str">
            <v/>
          </cell>
          <cell r="N1175" t="str">
            <v/>
          </cell>
        </row>
        <row r="1176">
          <cell r="J1176" t="str">
            <v/>
          </cell>
          <cell r="K1176" t="str">
            <v/>
          </cell>
          <cell r="L1176" t="str">
            <v/>
          </cell>
          <cell r="M1176" t="str">
            <v/>
          </cell>
          <cell r="N1176" t="str">
            <v/>
          </cell>
        </row>
        <row r="1177">
          <cell r="J1177" t="str">
            <v/>
          </cell>
          <cell r="K1177" t="str">
            <v/>
          </cell>
          <cell r="L1177" t="str">
            <v/>
          </cell>
          <cell r="M1177" t="str">
            <v/>
          </cell>
          <cell r="N1177" t="str">
            <v/>
          </cell>
        </row>
        <row r="1178">
          <cell r="J1178" t="str">
            <v/>
          </cell>
          <cell r="K1178" t="str">
            <v/>
          </cell>
          <cell r="L1178" t="str">
            <v/>
          </cell>
          <cell r="M1178" t="str">
            <v/>
          </cell>
          <cell r="N1178" t="str">
            <v/>
          </cell>
        </row>
        <row r="1179">
          <cell r="J1179" t="str">
            <v/>
          </cell>
          <cell r="K1179" t="str">
            <v/>
          </cell>
          <cell r="L1179" t="str">
            <v/>
          </cell>
          <cell r="M1179" t="str">
            <v/>
          </cell>
          <cell r="N1179" t="str">
            <v/>
          </cell>
        </row>
        <row r="1180">
          <cell r="J1180" t="str">
            <v/>
          </cell>
          <cell r="K1180" t="str">
            <v/>
          </cell>
          <cell r="L1180" t="str">
            <v/>
          </cell>
          <cell r="M1180" t="str">
            <v/>
          </cell>
          <cell r="N1180" t="str">
            <v/>
          </cell>
        </row>
        <row r="1181">
          <cell r="J1181" t="str">
            <v/>
          </cell>
          <cell r="K1181" t="str">
            <v/>
          </cell>
          <cell r="L1181" t="str">
            <v/>
          </cell>
          <cell r="M1181" t="str">
            <v/>
          </cell>
          <cell r="N1181" t="str">
            <v/>
          </cell>
        </row>
        <row r="1184">
          <cell r="H1184" t="str">
            <v>tonnes</v>
          </cell>
          <cell r="J1184" t="str">
            <v/>
          </cell>
          <cell r="K1184" t="str">
            <v/>
          </cell>
          <cell r="L1184" t="str">
            <v/>
          </cell>
          <cell r="M1184" t="str">
            <v/>
          </cell>
          <cell r="N1184" t="str">
            <v/>
          </cell>
        </row>
        <row r="1185">
          <cell r="J1185" t="str">
            <v/>
          </cell>
          <cell r="K1185" t="str">
            <v/>
          </cell>
          <cell r="L1185" t="str">
            <v/>
          </cell>
          <cell r="M1185" t="str">
            <v/>
          </cell>
          <cell r="N1185" t="str">
            <v/>
          </cell>
        </row>
        <row r="1186">
          <cell r="J1186" t="str">
            <v/>
          </cell>
          <cell r="K1186" t="str">
            <v/>
          </cell>
          <cell r="L1186" t="str">
            <v/>
          </cell>
          <cell r="M1186" t="str">
            <v/>
          </cell>
          <cell r="N1186" t="str">
            <v/>
          </cell>
        </row>
        <row r="1187">
          <cell r="J1187" t="str">
            <v/>
          </cell>
          <cell r="K1187" t="str">
            <v/>
          </cell>
          <cell r="L1187" t="str">
            <v/>
          </cell>
          <cell r="M1187" t="str">
            <v/>
          </cell>
          <cell r="N1187" t="str">
            <v/>
          </cell>
        </row>
        <row r="1188">
          <cell r="J1188" t="str">
            <v/>
          </cell>
          <cell r="K1188" t="str">
            <v/>
          </cell>
          <cell r="L1188" t="str">
            <v/>
          </cell>
          <cell r="M1188" t="str">
            <v/>
          </cell>
          <cell r="N1188" t="str">
            <v/>
          </cell>
        </row>
        <row r="1189">
          <cell r="J1189" t="str">
            <v/>
          </cell>
          <cell r="K1189" t="str">
            <v/>
          </cell>
          <cell r="L1189" t="str">
            <v/>
          </cell>
          <cell r="M1189" t="str">
            <v/>
          </cell>
          <cell r="N1189" t="str">
            <v/>
          </cell>
        </row>
        <row r="1190">
          <cell r="J1190" t="str">
            <v/>
          </cell>
          <cell r="K1190" t="str">
            <v/>
          </cell>
          <cell r="L1190" t="str">
            <v/>
          </cell>
          <cell r="M1190" t="str">
            <v/>
          </cell>
          <cell r="N1190" t="str">
            <v/>
          </cell>
        </row>
        <row r="1191">
          <cell r="J1191" t="str">
            <v/>
          </cell>
          <cell r="K1191" t="str">
            <v/>
          </cell>
          <cell r="L1191" t="str">
            <v/>
          </cell>
          <cell r="M1191" t="str">
            <v/>
          </cell>
          <cell r="N1191" t="str">
            <v/>
          </cell>
        </row>
        <row r="1192">
          <cell r="J1192" t="str">
            <v/>
          </cell>
          <cell r="K1192" t="str">
            <v/>
          </cell>
          <cell r="L1192" t="str">
            <v/>
          </cell>
          <cell r="M1192" t="str">
            <v/>
          </cell>
          <cell r="N1192" t="str">
            <v/>
          </cell>
        </row>
        <row r="1193">
          <cell r="J1193" t="str">
            <v/>
          </cell>
          <cell r="K1193" t="str">
            <v/>
          </cell>
          <cell r="L1193" t="str">
            <v/>
          </cell>
          <cell r="M1193" t="str">
            <v/>
          </cell>
          <cell r="N1193" t="str">
            <v/>
          </cell>
        </row>
        <row r="1194">
          <cell r="J1194" t="str">
            <v/>
          </cell>
          <cell r="K1194" t="str">
            <v/>
          </cell>
          <cell r="L1194" t="str">
            <v/>
          </cell>
          <cell r="M1194" t="str">
            <v/>
          </cell>
          <cell r="N1194" t="str">
            <v/>
          </cell>
        </row>
        <row r="1195">
          <cell r="J1195" t="str">
            <v/>
          </cell>
          <cell r="K1195" t="str">
            <v/>
          </cell>
          <cell r="L1195" t="str">
            <v/>
          </cell>
          <cell r="M1195" t="str">
            <v/>
          </cell>
          <cell r="N1195" t="str">
            <v/>
          </cell>
        </row>
        <row r="1198">
          <cell r="H1198" t="str">
            <v>tonnes</v>
          </cell>
          <cell r="J1198" t="str">
            <v/>
          </cell>
          <cell r="K1198" t="str">
            <v/>
          </cell>
          <cell r="L1198" t="str">
            <v/>
          </cell>
          <cell r="M1198" t="str">
            <v/>
          </cell>
          <cell r="N1198" t="str">
            <v/>
          </cell>
        </row>
        <row r="1199">
          <cell r="J1199" t="str">
            <v/>
          </cell>
          <cell r="K1199" t="str">
            <v/>
          </cell>
          <cell r="L1199" t="str">
            <v/>
          </cell>
          <cell r="M1199" t="str">
            <v/>
          </cell>
          <cell r="N1199" t="str">
            <v/>
          </cell>
        </row>
        <row r="1200">
          <cell r="J1200" t="str">
            <v/>
          </cell>
          <cell r="K1200" t="str">
            <v/>
          </cell>
          <cell r="L1200" t="str">
            <v/>
          </cell>
          <cell r="M1200" t="str">
            <v/>
          </cell>
          <cell r="N1200" t="str">
            <v/>
          </cell>
        </row>
        <row r="1201">
          <cell r="J1201" t="str">
            <v/>
          </cell>
          <cell r="K1201" t="str">
            <v/>
          </cell>
          <cell r="L1201" t="str">
            <v/>
          </cell>
          <cell r="M1201" t="str">
            <v/>
          </cell>
          <cell r="N1201" t="str">
            <v/>
          </cell>
        </row>
        <row r="1202">
          <cell r="J1202" t="str">
            <v/>
          </cell>
          <cell r="K1202" t="str">
            <v/>
          </cell>
          <cell r="L1202" t="str">
            <v/>
          </cell>
          <cell r="M1202" t="str">
            <v/>
          </cell>
          <cell r="N1202" t="str">
            <v/>
          </cell>
        </row>
        <row r="1203">
          <cell r="J1203" t="str">
            <v/>
          </cell>
          <cell r="K1203" t="str">
            <v/>
          </cell>
          <cell r="L1203" t="str">
            <v/>
          </cell>
          <cell r="M1203" t="str">
            <v/>
          </cell>
          <cell r="N1203" t="str">
            <v/>
          </cell>
        </row>
        <row r="1204">
          <cell r="J1204" t="str">
            <v/>
          </cell>
          <cell r="K1204" t="str">
            <v/>
          </cell>
          <cell r="L1204" t="str">
            <v/>
          </cell>
          <cell r="M1204" t="str">
            <v/>
          </cell>
          <cell r="N1204" t="str">
            <v/>
          </cell>
        </row>
        <row r="1205">
          <cell r="J1205" t="str">
            <v/>
          </cell>
          <cell r="K1205" t="str">
            <v/>
          </cell>
          <cell r="L1205" t="str">
            <v/>
          </cell>
          <cell r="M1205" t="str">
            <v/>
          </cell>
          <cell r="N1205" t="str">
            <v/>
          </cell>
        </row>
        <row r="1206">
          <cell r="J1206" t="str">
            <v/>
          </cell>
          <cell r="K1206" t="str">
            <v/>
          </cell>
          <cell r="L1206" t="str">
            <v/>
          </cell>
          <cell r="M1206" t="str">
            <v/>
          </cell>
          <cell r="N1206" t="str">
            <v/>
          </cell>
        </row>
        <row r="1207">
          <cell r="J1207" t="str">
            <v/>
          </cell>
          <cell r="K1207" t="str">
            <v/>
          </cell>
          <cell r="L1207" t="str">
            <v/>
          </cell>
          <cell r="M1207" t="str">
            <v/>
          </cell>
          <cell r="N1207" t="str">
            <v/>
          </cell>
        </row>
        <row r="1208">
          <cell r="J1208" t="str">
            <v/>
          </cell>
          <cell r="K1208" t="str">
            <v/>
          </cell>
          <cell r="L1208" t="str">
            <v/>
          </cell>
          <cell r="M1208" t="str">
            <v/>
          </cell>
          <cell r="N1208" t="str">
            <v/>
          </cell>
        </row>
        <row r="1209">
          <cell r="J1209" t="str">
            <v/>
          </cell>
          <cell r="K1209" t="str">
            <v/>
          </cell>
          <cell r="L1209" t="str">
            <v/>
          </cell>
          <cell r="M1209" t="str">
            <v/>
          </cell>
          <cell r="N1209" t="str">
            <v/>
          </cell>
        </row>
        <row r="1212">
          <cell r="H1212" t="str">
            <v>tonnes</v>
          </cell>
          <cell r="J1212" t="str">
            <v/>
          </cell>
          <cell r="K1212" t="str">
            <v/>
          </cell>
          <cell r="L1212" t="str">
            <v/>
          </cell>
          <cell r="M1212" t="str">
            <v/>
          </cell>
          <cell r="N1212" t="str">
            <v/>
          </cell>
        </row>
        <row r="1213">
          <cell r="J1213" t="str">
            <v/>
          </cell>
          <cell r="K1213" t="str">
            <v/>
          </cell>
          <cell r="L1213" t="str">
            <v/>
          </cell>
          <cell r="M1213" t="str">
            <v/>
          </cell>
          <cell r="N1213" t="str">
            <v/>
          </cell>
        </row>
        <row r="1214">
          <cell r="J1214" t="str">
            <v/>
          </cell>
          <cell r="K1214" t="str">
            <v/>
          </cell>
          <cell r="L1214" t="str">
            <v/>
          </cell>
          <cell r="M1214" t="str">
            <v/>
          </cell>
          <cell r="N1214" t="str">
            <v/>
          </cell>
        </row>
        <row r="1215">
          <cell r="J1215" t="str">
            <v/>
          </cell>
          <cell r="K1215" t="str">
            <v/>
          </cell>
          <cell r="L1215" t="str">
            <v/>
          </cell>
          <cell r="M1215" t="str">
            <v/>
          </cell>
          <cell r="N1215" t="str">
            <v/>
          </cell>
        </row>
        <row r="1216">
          <cell r="J1216" t="str">
            <v/>
          </cell>
          <cell r="K1216" t="str">
            <v/>
          </cell>
          <cell r="L1216" t="str">
            <v/>
          </cell>
          <cell r="M1216" t="str">
            <v/>
          </cell>
          <cell r="N1216" t="str">
            <v/>
          </cell>
        </row>
        <row r="1217">
          <cell r="J1217" t="str">
            <v/>
          </cell>
          <cell r="K1217" t="str">
            <v/>
          </cell>
          <cell r="L1217" t="str">
            <v/>
          </cell>
          <cell r="M1217" t="str">
            <v/>
          </cell>
          <cell r="N1217" t="str">
            <v/>
          </cell>
        </row>
        <row r="1218">
          <cell r="J1218" t="str">
            <v/>
          </cell>
          <cell r="K1218" t="str">
            <v/>
          </cell>
          <cell r="L1218" t="str">
            <v/>
          </cell>
          <cell r="M1218" t="str">
            <v/>
          </cell>
          <cell r="N1218" t="str">
            <v/>
          </cell>
        </row>
        <row r="1219">
          <cell r="J1219" t="str">
            <v/>
          </cell>
          <cell r="K1219" t="str">
            <v/>
          </cell>
          <cell r="L1219" t="str">
            <v/>
          </cell>
          <cell r="M1219" t="str">
            <v/>
          </cell>
          <cell r="N1219" t="str">
            <v/>
          </cell>
        </row>
        <row r="1220">
          <cell r="J1220" t="str">
            <v/>
          </cell>
          <cell r="K1220" t="str">
            <v/>
          </cell>
          <cell r="L1220" t="str">
            <v/>
          </cell>
          <cell r="M1220" t="str">
            <v/>
          </cell>
          <cell r="N1220" t="str">
            <v/>
          </cell>
        </row>
        <row r="1221">
          <cell r="J1221" t="str">
            <v/>
          </cell>
          <cell r="K1221" t="str">
            <v/>
          </cell>
          <cell r="L1221" t="str">
            <v/>
          </cell>
          <cell r="M1221" t="str">
            <v/>
          </cell>
          <cell r="N1221" t="str">
            <v/>
          </cell>
        </row>
        <row r="1222">
          <cell r="J1222" t="str">
            <v/>
          </cell>
          <cell r="K1222" t="str">
            <v/>
          </cell>
          <cell r="L1222" t="str">
            <v/>
          </cell>
          <cell r="M1222" t="str">
            <v/>
          </cell>
          <cell r="N1222" t="str">
            <v/>
          </cell>
        </row>
        <row r="1223">
          <cell r="J1223" t="str">
            <v/>
          </cell>
          <cell r="K1223" t="str">
            <v/>
          </cell>
          <cell r="L1223" t="str">
            <v/>
          </cell>
          <cell r="M1223" t="str">
            <v/>
          </cell>
          <cell r="N1223" t="str">
            <v/>
          </cell>
        </row>
        <row r="1226">
          <cell r="H1226" t="str">
            <v>tonnes</v>
          </cell>
          <cell r="J1226" t="str">
            <v/>
          </cell>
          <cell r="K1226" t="str">
            <v/>
          </cell>
          <cell r="L1226" t="str">
            <v/>
          </cell>
          <cell r="M1226" t="str">
            <v/>
          </cell>
          <cell r="N1226" t="str">
            <v/>
          </cell>
        </row>
        <row r="1227">
          <cell r="J1227" t="str">
            <v/>
          </cell>
          <cell r="K1227" t="str">
            <v/>
          </cell>
          <cell r="L1227" t="str">
            <v/>
          </cell>
          <cell r="M1227" t="str">
            <v/>
          </cell>
          <cell r="N1227" t="str">
            <v/>
          </cell>
        </row>
        <row r="1228">
          <cell r="J1228" t="str">
            <v/>
          </cell>
          <cell r="K1228" t="str">
            <v/>
          </cell>
          <cell r="L1228" t="str">
            <v/>
          </cell>
          <cell r="M1228" t="str">
            <v/>
          </cell>
          <cell r="N1228" t="str">
            <v/>
          </cell>
        </row>
        <row r="1229">
          <cell r="J1229" t="str">
            <v/>
          </cell>
          <cell r="K1229" t="str">
            <v/>
          </cell>
          <cell r="L1229" t="str">
            <v/>
          </cell>
          <cell r="M1229" t="str">
            <v/>
          </cell>
          <cell r="N1229" t="str">
            <v/>
          </cell>
        </row>
        <row r="1230">
          <cell r="J1230" t="str">
            <v/>
          </cell>
          <cell r="K1230" t="str">
            <v/>
          </cell>
          <cell r="L1230" t="str">
            <v/>
          </cell>
          <cell r="M1230" t="str">
            <v/>
          </cell>
          <cell r="N1230" t="str">
            <v/>
          </cell>
        </row>
        <row r="1231">
          <cell r="J1231" t="str">
            <v/>
          </cell>
          <cell r="K1231" t="str">
            <v/>
          </cell>
          <cell r="L1231" t="str">
            <v/>
          </cell>
          <cell r="M1231" t="str">
            <v/>
          </cell>
          <cell r="N1231" t="str">
            <v/>
          </cell>
        </row>
        <row r="1232">
          <cell r="J1232" t="str">
            <v/>
          </cell>
          <cell r="K1232" t="str">
            <v/>
          </cell>
          <cell r="L1232" t="str">
            <v/>
          </cell>
          <cell r="M1232" t="str">
            <v/>
          </cell>
          <cell r="N1232" t="str">
            <v/>
          </cell>
        </row>
        <row r="1233">
          <cell r="J1233" t="str">
            <v/>
          </cell>
          <cell r="K1233" t="str">
            <v/>
          </cell>
          <cell r="L1233" t="str">
            <v/>
          </cell>
          <cell r="M1233" t="str">
            <v/>
          </cell>
          <cell r="N1233" t="str">
            <v/>
          </cell>
        </row>
        <row r="1234">
          <cell r="J1234" t="str">
            <v/>
          </cell>
          <cell r="K1234" t="str">
            <v/>
          </cell>
          <cell r="L1234" t="str">
            <v/>
          </cell>
          <cell r="M1234" t="str">
            <v/>
          </cell>
          <cell r="N1234" t="str">
            <v/>
          </cell>
        </row>
        <row r="1235">
          <cell r="J1235" t="str">
            <v/>
          </cell>
          <cell r="K1235" t="str">
            <v/>
          </cell>
          <cell r="L1235" t="str">
            <v/>
          </cell>
          <cell r="M1235" t="str">
            <v/>
          </cell>
          <cell r="N1235" t="str">
            <v/>
          </cell>
        </row>
        <row r="1236">
          <cell r="J1236" t="str">
            <v/>
          </cell>
          <cell r="K1236" t="str">
            <v/>
          </cell>
          <cell r="L1236" t="str">
            <v/>
          </cell>
          <cell r="M1236" t="str">
            <v/>
          </cell>
          <cell r="N1236" t="str">
            <v/>
          </cell>
        </row>
        <row r="1237">
          <cell r="J1237" t="str">
            <v/>
          </cell>
          <cell r="K1237" t="str">
            <v/>
          </cell>
          <cell r="L1237" t="str">
            <v/>
          </cell>
          <cell r="M1237" t="str">
            <v/>
          </cell>
          <cell r="N1237" t="str">
            <v/>
          </cell>
        </row>
        <row r="1242">
          <cell r="H1242" t="str">
            <v>tonnes</v>
          </cell>
          <cell r="I1242" t="str">
            <v/>
          </cell>
          <cell r="J1242" t="str">
            <v/>
          </cell>
          <cell r="K1242" t="str">
            <v/>
          </cell>
          <cell r="L1242" t="str">
            <v/>
          </cell>
          <cell r="M1242" t="str">
            <v/>
          </cell>
          <cell r="N1242" t="str">
            <v/>
          </cell>
        </row>
        <row r="1243">
          <cell r="I1243" t="str">
            <v/>
          </cell>
          <cell r="J1243" t="str">
            <v/>
          </cell>
          <cell r="K1243" t="str">
            <v/>
          </cell>
          <cell r="L1243" t="str">
            <v/>
          </cell>
          <cell r="M1243" t="str">
            <v/>
          </cell>
          <cell r="N1243" t="str">
            <v/>
          </cell>
        </row>
        <row r="1244">
          <cell r="I1244" t="str">
            <v/>
          </cell>
          <cell r="J1244" t="str">
            <v/>
          </cell>
          <cell r="K1244" t="str">
            <v/>
          </cell>
          <cell r="L1244" t="str">
            <v/>
          </cell>
          <cell r="M1244" t="str">
            <v/>
          </cell>
          <cell r="N1244" t="str">
            <v/>
          </cell>
        </row>
        <row r="1245">
          <cell r="I1245" t="str">
            <v/>
          </cell>
          <cell r="J1245" t="str">
            <v/>
          </cell>
          <cell r="K1245" t="str">
            <v/>
          </cell>
          <cell r="L1245" t="str">
            <v/>
          </cell>
          <cell r="M1245" t="str">
            <v/>
          </cell>
          <cell r="N1245" t="str">
            <v/>
          </cell>
        </row>
        <row r="1246">
          <cell r="I1246" t="str">
            <v/>
          </cell>
          <cell r="J1246" t="str">
            <v/>
          </cell>
          <cell r="K1246" t="str">
            <v/>
          </cell>
          <cell r="L1246" t="str">
            <v/>
          </cell>
          <cell r="M1246" t="str">
            <v/>
          </cell>
          <cell r="N1246" t="str">
            <v/>
          </cell>
        </row>
        <row r="1247">
          <cell r="I1247" t="str">
            <v/>
          </cell>
          <cell r="J1247" t="str">
            <v/>
          </cell>
          <cell r="K1247" t="str">
            <v/>
          </cell>
          <cell r="L1247" t="str">
            <v/>
          </cell>
          <cell r="M1247" t="str">
            <v/>
          </cell>
          <cell r="N1247" t="str">
            <v/>
          </cell>
        </row>
        <row r="1248">
          <cell r="I1248" t="str">
            <v/>
          </cell>
          <cell r="J1248" t="str">
            <v/>
          </cell>
          <cell r="K1248" t="str">
            <v/>
          </cell>
          <cell r="L1248" t="str">
            <v/>
          </cell>
          <cell r="M1248" t="str">
            <v/>
          </cell>
          <cell r="N1248" t="str">
            <v/>
          </cell>
        </row>
        <row r="1253">
          <cell r="H1253" t="str">
            <v/>
          </cell>
          <cell r="I1253" t="str">
            <v/>
          </cell>
          <cell r="J1253" t="str">
            <v/>
          </cell>
          <cell r="K1253" t="str">
            <v/>
          </cell>
          <cell r="L1253" t="str">
            <v/>
          </cell>
          <cell r="M1253" t="str">
            <v/>
          </cell>
          <cell r="N1253" t="str">
            <v/>
          </cell>
        </row>
        <row r="1255">
          <cell r="H1255" t="str">
            <v/>
          </cell>
          <cell r="I1255" t="str">
            <v/>
          </cell>
          <cell r="J1255" t="str">
            <v/>
          </cell>
          <cell r="K1255" t="str">
            <v/>
          </cell>
          <cell r="L1255" t="str">
            <v/>
          </cell>
          <cell r="M1255" t="str">
            <v/>
          </cell>
          <cell r="N1255" t="str">
            <v/>
          </cell>
        </row>
        <row r="1256">
          <cell r="H1256" t="str">
            <v/>
          </cell>
          <cell r="I1256" t="str">
            <v/>
          </cell>
          <cell r="J1256" t="str">
            <v/>
          </cell>
          <cell r="K1256" t="str">
            <v/>
          </cell>
          <cell r="L1256" t="str">
            <v/>
          </cell>
          <cell r="M1256" t="str">
            <v/>
          </cell>
          <cell r="N1256" t="str">
            <v/>
          </cell>
        </row>
        <row r="1258">
          <cell r="H1258" t="str">
            <v/>
          </cell>
          <cell r="I1258" t="str">
            <v/>
          </cell>
          <cell r="J1258" t="str">
            <v/>
          </cell>
          <cell r="K1258" t="str">
            <v/>
          </cell>
          <cell r="L1258" t="str">
            <v/>
          </cell>
          <cell r="M1258" t="str">
            <v/>
          </cell>
          <cell r="N1258" t="str">
            <v/>
          </cell>
        </row>
        <row r="1259">
          <cell r="H1259" t="str">
            <v/>
          </cell>
          <cell r="I1259" t="str">
            <v/>
          </cell>
          <cell r="J1259" t="str">
            <v/>
          </cell>
          <cell r="K1259" t="str">
            <v/>
          </cell>
          <cell r="L1259" t="str">
            <v/>
          </cell>
          <cell r="M1259" t="str">
            <v/>
          </cell>
          <cell r="N1259" t="str">
            <v/>
          </cell>
        </row>
        <row r="1260">
          <cell r="H1260" t="str">
            <v/>
          </cell>
          <cell r="I1260" t="str">
            <v/>
          </cell>
          <cell r="J1260" t="str">
            <v/>
          </cell>
          <cell r="K1260" t="str">
            <v/>
          </cell>
          <cell r="L1260" t="str">
            <v/>
          </cell>
          <cell r="M1260" t="str">
            <v/>
          </cell>
          <cell r="N1260" t="str">
            <v/>
          </cell>
        </row>
        <row r="1261">
          <cell r="H1261" t="str">
            <v/>
          </cell>
          <cell r="I1261" t="str">
            <v/>
          </cell>
          <cell r="J1261" t="str">
            <v/>
          </cell>
          <cell r="K1261" t="str">
            <v/>
          </cell>
          <cell r="L1261" t="str">
            <v/>
          </cell>
          <cell r="M1261" t="str">
            <v/>
          </cell>
          <cell r="N1261" t="str">
            <v/>
          </cell>
        </row>
        <row r="1263">
          <cell r="H1263" t="str">
            <v/>
          </cell>
          <cell r="I1263" t="str">
            <v/>
          </cell>
          <cell r="J1263" t="str">
            <v/>
          </cell>
          <cell r="K1263" t="str">
            <v/>
          </cell>
          <cell r="L1263" t="str">
            <v/>
          </cell>
          <cell r="M1263" t="str">
            <v/>
          </cell>
          <cell r="N1263" t="str">
            <v/>
          </cell>
        </row>
        <row r="1264">
          <cell r="H1264" t="str">
            <v/>
          </cell>
          <cell r="I1264" t="str">
            <v/>
          </cell>
          <cell r="J1264" t="str">
            <v/>
          </cell>
          <cell r="K1264" t="str">
            <v/>
          </cell>
          <cell r="L1264" t="str">
            <v/>
          </cell>
          <cell r="M1264" t="str">
            <v/>
          </cell>
          <cell r="N1264" t="str">
            <v/>
          </cell>
        </row>
        <row r="1266">
          <cell r="H1266" t="str">
            <v/>
          </cell>
          <cell r="I1266" t="str">
            <v/>
          </cell>
          <cell r="J1266" t="str">
            <v/>
          </cell>
          <cell r="K1266" t="str">
            <v/>
          </cell>
          <cell r="L1266" t="str">
            <v/>
          </cell>
          <cell r="M1266" t="str">
            <v/>
          </cell>
          <cell r="N1266" t="str">
            <v/>
          </cell>
        </row>
        <row r="1267">
          <cell r="H1267" t="str">
            <v/>
          </cell>
          <cell r="I1267" t="str">
            <v/>
          </cell>
          <cell r="J1267" t="str">
            <v/>
          </cell>
          <cell r="K1267" t="str">
            <v/>
          </cell>
          <cell r="L1267" t="str">
            <v/>
          </cell>
          <cell r="M1267" t="str">
            <v/>
          </cell>
          <cell r="N1267" t="str">
            <v/>
          </cell>
        </row>
        <row r="1269">
          <cell r="H1269" t="str">
            <v/>
          </cell>
          <cell r="I1269" t="str">
            <v/>
          </cell>
          <cell r="J1269" t="str">
            <v/>
          </cell>
          <cell r="K1269" t="str">
            <v/>
          </cell>
          <cell r="L1269" t="str">
            <v/>
          </cell>
          <cell r="M1269" t="str">
            <v/>
          </cell>
          <cell r="N1269" t="str">
            <v/>
          </cell>
        </row>
        <row r="1270">
          <cell r="H1270" t="str">
            <v/>
          </cell>
          <cell r="I1270" t="str">
            <v/>
          </cell>
          <cell r="J1270" t="str">
            <v/>
          </cell>
          <cell r="K1270" t="str">
            <v/>
          </cell>
          <cell r="L1270" t="str">
            <v/>
          </cell>
          <cell r="M1270" t="str">
            <v/>
          </cell>
          <cell r="N1270" t="str">
            <v/>
          </cell>
        </row>
        <row r="1272">
          <cell r="H1272" t="str">
            <v/>
          </cell>
          <cell r="I1272" t="str">
            <v/>
          </cell>
          <cell r="J1272" t="str">
            <v/>
          </cell>
          <cell r="K1272" t="str">
            <v/>
          </cell>
          <cell r="L1272" t="str">
            <v/>
          </cell>
          <cell r="M1272" t="str">
            <v/>
          </cell>
          <cell r="N1272" t="str">
            <v/>
          </cell>
        </row>
        <row r="1273">
          <cell r="H1273" t="str">
            <v/>
          </cell>
          <cell r="I1273" t="str">
            <v/>
          </cell>
          <cell r="J1273" t="str">
            <v/>
          </cell>
          <cell r="K1273" t="str">
            <v/>
          </cell>
          <cell r="L1273" t="str">
            <v/>
          </cell>
          <cell r="M1273" t="str">
            <v/>
          </cell>
          <cell r="N1273" t="str">
            <v/>
          </cell>
        </row>
        <row r="1274">
          <cell r="H1274" t="str">
            <v/>
          </cell>
          <cell r="I1274" t="str">
            <v/>
          </cell>
          <cell r="J1274" t="str">
            <v/>
          </cell>
          <cell r="K1274" t="str">
            <v/>
          </cell>
          <cell r="L1274" t="str">
            <v/>
          </cell>
          <cell r="M1274" t="str">
            <v/>
          </cell>
          <cell r="N1274" t="str">
            <v/>
          </cell>
        </row>
        <row r="1275">
          <cell r="H1275" t="str">
            <v/>
          </cell>
          <cell r="I1275" t="str">
            <v/>
          </cell>
          <cell r="J1275" t="str">
            <v/>
          </cell>
          <cell r="K1275" t="str">
            <v/>
          </cell>
          <cell r="L1275" t="str">
            <v/>
          </cell>
          <cell r="M1275" t="str">
            <v/>
          </cell>
          <cell r="N1275" t="str">
            <v/>
          </cell>
        </row>
        <row r="1276">
          <cell r="H1276" t="str">
            <v/>
          </cell>
          <cell r="I1276" t="str">
            <v/>
          </cell>
          <cell r="J1276" t="str">
            <v/>
          </cell>
          <cell r="K1276" t="str">
            <v/>
          </cell>
          <cell r="L1276" t="str">
            <v/>
          </cell>
          <cell r="M1276" t="str">
            <v/>
          </cell>
          <cell r="N1276" t="str">
            <v/>
          </cell>
        </row>
        <row r="1277">
          <cell r="H1277" t="str">
            <v/>
          </cell>
          <cell r="I1277" t="str">
            <v/>
          </cell>
          <cell r="J1277" t="str">
            <v/>
          </cell>
          <cell r="K1277" t="str">
            <v/>
          </cell>
          <cell r="L1277" t="str">
            <v/>
          </cell>
          <cell r="M1277" t="str">
            <v/>
          </cell>
          <cell r="N1277" t="str">
            <v/>
          </cell>
        </row>
        <row r="1278">
          <cell r="H1278" t="str">
            <v/>
          </cell>
          <cell r="I1278" t="str">
            <v/>
          </cell>
          <cell r="J1278" t="str">
            <v/>
          </cell>
          <cell r="K1278" t="str">
            <v/>
          </cell>
          <cell r="L1278" t="str">
            <v/>
          </cell>
          <cell r="M1278" t="str">
            <v/>
          </cell>
          <cell r="N1278" t="str">
            <v/>
          </cell>
        </row>
        <row r="1279">
          <cell r="H1279" t="str">
            <v/>
          </cell>
          <cell r="I1279" t="str">
            <v/>
          </cell>
          <cell r="J1279" t="str">
            <v/>
          </cell>
          <cell r="K1279" t="str">
            <v/>
          </cell>
          <cell r="L1279" t="str">
            <v/>
          </cell>
          <cell r="M1279" t="str">
            <v/>
          </cell>
          <cell r="N1279" t="str">
            <v/>
          </cell>
        </row>
        <row r="1280">
          <cell r="H1280" t="str">
            <v/>
          </cell>
          <cell r="I1280" t="str">
            <v/>
          </cell>
          <cell r="J1280" t="str">
            <v/>
          </cell>
          <cell r="K1280" t="str">
            <v/>
          </cell>
          <cell r="L1280" t="str">
            <v/>
          </cell>
          <cell r="M1280" t="str">
            <v/>
          </cell>
          <cell r="N1280" t="str">
            <v/>
          </cell>
        </row>
        <row r="1281">
          <cell r="H1281" t="str">
            <v/>
          </cell>
          <cell r="I1281" t="str">
            <v/>
          </cell>
          <cell r="J1281" t="str">
            <v/>
          </cell>
          <cell r="K1281" t="str">
            <v/>
          </cell>
          <cell r="L1281" t="str">
            <v/>
          </cell>
          <cell r="M1281" t="str">
            <v/>
          </cell>
          <cell r="N1281" t="str">
            <v/>
          </cell>
        </row>
        <row r="1283">
          <cell r="H1283" t="str">
            <v/>
          </cell>
          <cell r="I1283" t="str">
            <v/>
          </cell>
          <cell r="J1283" t="str">
            <v/>
          </cell>
          <cell r="K1283" t="str">
            <v/>
          </cell>
          <cell r="L1283" t="str">
            <v/>
          </cell>
          <cell r="M1283" t="str">
            <v/>
          </cell>
          <cell r="N1283" t="str">
            <v/>
          </cell>
        </row>
        <row r="1284">
          <cell r="H1284" t="str">
            <v/>
          </cell>
          <cell r="I1284" t="str">
            <v/>
          </cell>
          <cell r="J1284" t="str">
            <v/>
          </cell>
          <cell r="K1284" t="str">
            <v/>
          </cell>
          <cell r="L1284" t="str">
            <v/>
          </cell>
          <cell r="M1284" t="str">
            <v/>
          </cell>
          <cell r="N1284" t="str">
            <v/>
          </cell>
        </row>
        <row r="1286">
          <cell r="H1286" t="str">
            <v/>
          </cell>
          <cell r="I1286" t="str">
            <v/>
          </cell>
          <cell r="J1286" t="str">
            <v/>
          </cell>
          <cell r="K1286" t="str">
            <v/>
          </cell>
          <cell r="L1286" t="str">
            <v/>
          </cell>
          <cell r="M1286" t="str">
            <v/>
          </cell>
          <cell r="N1286" t="str">
            <v/>
          </cell>
        </row>
        <row r="1289">
          <cell r="E1289" t="str">
            <v/>
          </cell>
          <cell r="H1289" t="str">
            <v/>
          </cell>
          <cell r="I1289" t="str">
            <v/>
          </cell>
          <cell r="J1289" t="str">
            <v/>
          </cell>
          <cell r="K1289" t="str">
            <v/>
          </cell>
          <cell r="L1289" t="str">
            <v/>
          </cell>
          <cell r="M1289" t="str">
            <v/>
          </cell>
          <cell r="N1289" t="str">
            <v/>
          </cell>
        </row>
        <row r="1290">
          <cell r="E1290" t="str">
            <v/>
          </cell>
          <cell r="H1290" t="str">
            <v/>
          </cell>
          <cell r="I1290" t="str">
            <v/>
          </cell>
          <cell r="J1290" t="str">
            <v/>
          </cell>
          <cell r="K1290" t="str">
            <v/>
          </cell>
          <cell r="L1290" t="str">
            <v/>
          </cell>
          <cell r="M1290" t="str">
            <v/>
          </cell>
          <cell r="N1290" t="str">
            <v/>
          </cell>
        </row>
        <row r="1292">
          <cell r="E1292" t="str">
            <v/>
          </cell>
          <cell r="H1292" t="str">
            <v/>
          </cell>
          <cell r="I1292" t="str">
            <v/>
          </cell>
          <cell r="J1292" t="str">
            <v/>
          </cell>
          <cell r="K1292" t="str">
            <v/>
          </cell>
          <cell r="L1292" t="str">
            <v/>
          </cell>
          <cell r="M1292" t="str">
            <v/>
          </cell>
          <cell r="N1292" t="str">
            <v/>
          </cell>
        </row>
        <row r="1293">
          <cell r="E1293" t="str">
            <v/>
          </cell>
          <cell r="H1293" t="str">
            <v/>
          </cell>
          <cell r="I1293" t="str">
            <v/>
          </cell>
          <cell r="J1293" t="str">
            <v/>
          </cell>
          <cell r="K1293" t="str">
            <v/>
          </cell>
          <cell r="L1293" t="str">
            <v/>
          </cell>
          <cell r="M1293" t="str">
            <v/>
          </cell>
          <cell r="N1293" t="str">
            <v/>
          </cell>
        </row>
        <row r="1297">
          <cell r="I1297" t="str">
            <v/>
          </cell>
        </row>
        <row r="1300">
          <cell r="E1300" t="str">
            <v/>
          </cell>
          <cell r="H1300" t="str">
            <v>N.A.</v>
          </cell>
          <cell r="I1300" t="str">
            <v/>
          </cell>
          <cell r="J1300" t="str">
            <v>N.A.</v>
          </cell>
          <cell r="K1300" t="str">
            <v>N.A.</v>
          </cell>
          <cell r="L1300" t="str">
            <v>N.A.</v>
          </cell>
          <cell r="M1300" t="str">
            <v>N.A.</v>
          </cell>
          <cell r="N1300" t="str">
            <v>EUA/tonnes</v>
          </cell>
        </row>
        <row r="1303">
          <cell r="F1303" t="str">
            <v>tonnes</v>
          </cell>
          <cell r="G1303" t="str">
            <v/>
          </cell>
          <cell r="H1303" t="str">
            <v/>
          </cell>
          <cell r="I1303" t="str">
            <v/>
          </cell>
          <cell r="J1303" t="str">
            <v/>
          </cell>
          <cell r="K1303" t="str">
            <v/>
          </cell>
          <cell r="L1303" t="str">
            <v/>
          </cell>
          <cell r="M1303" t="str">
            <v/>
          </cell>
          <cell r="N1303" t="str">
            <v/>
          </cell>
        </row>
        <row r="1307">
          <cell r="J1307" t="str">
            <v/>
          </cell>
          <cell r="K1307" t="str">
            <v/>
          </cell>
          <cell r="L1307" t="str">
            <v/>
          </cell>
          <cell r="M1307" t="str">
            <v/>
          </cell>
          <cell r="N1307" t="str">
            <v/>
          </cell>
        </row>
        <row r="1308">
          <cell r="J1308" t="str">
            <v/>
          </cell>
          <cell r="K1308" t="str">
            <v/>
          </cell>
          <cell r="L1308" t="str">
            <v/>
          </cell>
          <cell r="M1308" t="str">
            <v/>
          </cell>
          <cell r="N1308" t="str">
            <v/>
          </cell>
        </row>
        <row r="1311">
          <cell r="H1311" t="str">
            <v>tonnes</v>
          </cell>
          <cell r="J1311" t="str">
            <v/>
          </cell>
          <cell r="K1311" t="str">
            <v/>
          </cell>
          <cell r="L1311" t="str">
            <v/>
          </cell>
          <cell r="M1311" t="str">
            <v/>
          </cell>
          <cell r="N1311" t="str">
            <v/>
          </cell>
        </row>
        <row r="1312">
          <cell r="J1312" t="str">
            <v/>
          </cell>
          <cell r="K1312" t="str">
            <v/>
          </cell>
          <cell r="L1312" t="str">
            <v/>
          </cell>
          <cell r="M1312" t="str">
            <v/>
          </cell>
          <cell r="N1312" t="str">
            <v/>
          </cell>
        </row>
        <row r="1313">
          <cell r="J1313" t="str">
            <v/>
          </cell>
          <cell r="K1313" t="str">
            <v/>
          </cell>
          <cell r="L1313" t="str">
            <v/>
          </cell>
          <cell r="M1313" t="str">
            <v/>
          </cell>
          <cell r="N1313" t="str">
            <v/>
          </cell>
        </row>
        <row r="1314">
          <cell r="J1314" t="str">
            <v/>
          </cell>
          <cell r="K1314" t="str">
            <v/>
          </cell>
          <cell r="L1314" t="str">
            <v/>
          </cell>
          <cell r="M1314" t="str">
            <v/>
          </cell>
          <cell r="N1314" t="str">
            <v/>
          </cell>
        </row>
        <row r="1315">
          <cell r="J1315" t="str">
            <v/>
          </cell>
          <cell r="K1315" t="str">
            <v/>
          </cell>
          <cell r="L1315" t="str">
            <v/>
          </cell>
          <cell r="M1315" t="str">
            <v/>
          </cell>
          <cell r="N1315" t="str">
            <v/>
          </cell>
        </row>
        <row r="1316">
          <cell r="J1316" t="str">
            <v/>
          </cell>
          <cell r="K1316" t="str">
            <v/>
          </cell>
          <cell r="L1316" t="str">
            <v/>
          </cell>
          <cell r="M1316" t="str">
            <v/>
          </cell>
          <cell r="N1316" t="str">
            <v/>
          </cell>
        </row>
        <row r="1317">
          <cell r="J1317" t="str">
            <v/>
          </cell>
          <cell r="K1317" t="str">
            <v/>
          </cell>
          <cell r="L1317" t="str">
            <v/>
          </cell>
          <cell r="M1317" t="str">
            <v/>
          </cell>
          <cell r="N1317" t="str">
            <v/>
          </cell>
        </row>
        <row r="1320">
          <cell r="H1320" t="str">
            <v>tonnes</v>
          </cell>
          <cell r="J1320" t="str">
            <v/>
          </cell>
          <cell r="K1320" t="str">
            <v/>
          </cell>
          <cell r="L1320" t="str">
            <v/>
          </cell>
          <cell r="M1320" t="str">
            <v/>
          </cell>
          <cell r="N1320" t="str">
            <v/>
          </cell>
        </row>
        <row r="1321">
          <cell r="J1321" t="str">
            <v/>
          </cell>
          <cell r="K1321" t="str">
            <v/>
          </cell>
          <cell r="L1321" t="str">
            <v/>
          </cell>
          <cell r="M1321" t="str">
            <v/>
          </cell>
          <cell r="N1321" t="str">
            <v/>
          </cell>
        </row>
        <row r="1322">
          <cell r="J1322" t="str">
            <v/>
          </cell>
          <cell r="K1322" t="str">
            <v/>
          </cell>
          <cell r="L1322" t="str">
            <v/>
          </cell>
          <cell r="M1322" t="str">
            <v/>
          </cell>
          <cell r="N1322" t="str">
            <v/>
          </cell>
        </row>
        <row r="1323">
          <cell r="H1323" t="str">
            <v>tonnes</v>
          </cell>
          <cell r="J1323" t="str">
            <v/>
          </cell>
          <cell r="K1323" t="str">
            <v/>
          </cell>
          <cell r="L1323" t="str">
            <v/>
          </cell>
          <cell r="M1323" t="str">
            <v/>
          </cell>
          <cell r="N1323" t="str">
            <v/>
          </cell>
        </row>
        <row r="1324">
          <cell r="J1324" t="str">
            <v/>
          </cell>
          <cell r="K1324" t="str">
            <v/>
          </cell>
          <cell r="L1324" t="str">
            <v/>
          </cell>
          <cell r="M1324" t="str">
            <v/>
          </cell>
          <cell r="N1324" t="str">
            <v/>
          </cell>
        </row>
        <row r="1325">
          <cell r="J1325" t="str">
            <v/>
          </cell>
          <cell r="K1325" t="str">
            <v/>
          </cell>
          <cell r="L1325" t="str">
            <v/>
          </cell>
          <cell r="M1325" t="str">
            <v/>
          </cell>
          <cell r="N1325" t="str">
            <v/>
          </cell>
        </row>
        <row r="1326">
          <cell r="J1326" t="str">
            <v/>
          </cell>
          <cell r="K1326" t="str">
            <v/>
          </cell>
          <cell r="L1326" t="str">
            <v/>
          </cell>
          <cell r="M1326" t="str">
            <v/>
          </cell>
          <cell r="N1326" t="str">
            <v/>
          </cell>
        </row>
        <row r="1327">
          <cell r="J1327" t="str">
            <v/>
          </cell>
          <cell r="K1327" t="str">
            <v/>
          </cell>
          <cell r="L1327" t="str">
            <v/>
          </cell>
          <cell r="M1327" t="str">
            <v/>
          </cell>
          <cell r="N1327" t="str">
            <v/>
          </cell>
        </row>
        <row r="1328">
          <cell r="J1328" t="str">
            <v/>
          </cell>
          <cell r="K1328" t="str">
            <v/>
          </cell>
          <cell r="L1328" t="str">
            <v/>
          </cell>
          <cell r="M1328" t="str">
            <v/>
          </cell>
          <cell r="N1328" t="str">
            <v/>
          </cell>
        </row>
        <row r="1329">
          <cell r="J1329" t="str">
            <v/>
          </cell>
          <cell r="K1329" t="str">
            <v/>
          </cell>
          <cell r="L1329" t="str">
            <v/>
          </cell>
          <cell r="M1329" t="str">
            <v/>
          </cell>
          <cell r="N1329" t="str">
            <v/>
          </cell>
        </row>
        <row r="1330">
          <cell r="J1330" t="str">
            <v/>
          </cell>
          <cell r="K1330" t="str">
            <v/>
          </cell>
          <cell r="L1330" t="str">
            <v/>
          </cell>
          <cell r="M1330" t="str">
            <v/>
          </cell>
          <cell r="N1330" t="str">
            <v/>
          </cell>
        </row>
        <row r="1331">
          <cell r="J1331" t="str">
            <v/>
          </cell>
          <cell r="K1331" t="str">
            <v/>
          </cell>
          <cell r="L1331" t="str">
            <v/>
          </cell>
          <cell r="M1331" t="str">
            <v/>
          </cell>
          <cell r="N1331" t="str">
            <v/>
          </cell>
        </row>
        <row r="1334">
          <cell r="H1334" t="str">
            <v>tonnes</v>
          </cell>
          <cell r="J1334" t="str">
            <v/>
          </cell>
          <cell r="K1334" t="str">
            <v/>
          </cell>
          <cell r="L1334" t="str">
            <v/>
          </cell>
          <cell r="M1334" t="str">
            <v/>
          </cell>
          <cell r="N1334" t="str">
            <v/>
          </cell>
        </row>
        <row r="1335">
          <cell r="J1335" t="str">
            <v/>
          </cell>
          <cell r="K1335" t="str">
            <v/>
          </cell>
          <cell r="L1335" t="str">
            <v/>
          </cell>
          <cell r="M1335" t="str">
            <v/>
          </cell>
          <cell r="N1335" t="str">
            <v/>
          </cell>
        </row>
        <row r="1336">
          <cell r="J1336" t="str">
            <v/>
          </cell>
          <cell r="K1336" t="str">
            <v/>
          </cell>
          <cell r="L1336" t="str">
            <v/>
          </cell>
          <cell r="M1336" t="str">
            <v/>
          </cell>
          <cell r="N1336" t="str">
            <v/>
          </cell>
        </row>
        <row r="1337">
          <cell r="J1337" t="str">
            <v/>
          </cell>
          <cell r="K1337" t="str">
            <v/>
          </cell>
          <cell r="L1337" t="str">
            <v/>
          </cell>
          <cell r="M1337" t="str">
            <v/>
          </cell>
          <cell r="N1337" t="str">
            <v/>
          </cell>
        </row>
        <row r="1338">
          <cell r="J1338" t="str">
            <v/>
          </cell>
          <cell r="K1338" t="str">
            <v/>
          </cell>
          <cell r="L1338" t="str">
            <v/>
          </cell>
          <cell r="M1338" t="str">
            <v/>
          </cell>
          <cell r="N1338" t="str">
            <v/>
          </cell>
        </row>
        <row r="1339">
          <cell r="J1339" t="str">
            <v/>
          </cell>
          <cell r="K1339" t="str">
            <v/>
          </cell>
          <cell r="L1339" t="str">
            <v/>
          </cell>
          <cell r="M1339" t="str">
            <v/>
          </cell>
          <cell r="N1339" t="str">
            <v/>
          </cell>
        </row>
        <row r="1340">
          <cell r="J1340" t="str">
            <v/>
          </cell>
          <cell r="K1340" t="str">
            <v/>
          </cell>
          <cell r="L1340" t="str">
            <v/>
          </cell>
          <cell r="M1340" t="str">
            <v/>
          </cell>
          <cell r="N1340" t="str">
            <v/>
          </cell>
        </row>
        <row r="1341">
          <cell r="J1341" t="str">
            <v/>
          </cell>
          <cell r="K1341" t="str">
            <v/>
          </cell>
          <cell r="L1341" t="str">
            <v/>
          </cell>
          <cell r="M1341" t="str">
            <v/>
          </cell>
          <cell r="N1341" t="str">
            <v/>
          </cell>
        </row>
        <row r="1342">
          <cell r="J1342" t="str">
            <v/>
          </cell>
          <cell r="K1342" t="str">
            <v/>
          </cell>
          <cell r="L1342" t="str">
            <v/>
          </cell>
          <cell r="M1342" t="str">
            <v/>
          </cell>
          <cell r="N1342" t="str">
            <v/>
          </cell>
        </row>
        <row r="1343">
          <cell r="J1343" t="str">
            <v/>
          </cell>
          <cell r="K1343" t="str">
            <v/>
          </cell>
          <cell r="L1343" t="str">
            <v/>
          </cell>
          <cell r="M1343" t="str">
            <v/>
          </cell>
          <cell r="N1343" t="str">
            <v/>
          </cell>
        </row>
        <row r="1344">
          <cell r="J1344" t="str">
            <v/>
          </cell>
          <cell r="K1344" t="str">
            <v/>
          </cell>
          <cell r="L1344" t="str">
            <v/>
          </cell>
          <cell r="M1344" t="str">
            <v/>
          </cell>
          <cell r="N1344" t="str">
            <v/>
          </cell>
        </row>
        <row r="1345">
          <cell r="J1345" t="str">
            <v/>
          </cell>
          <cell r="K1345" t="str">
            <v/>
          </cell>
          <cell r="L1345" t="str">
            <v/>
          </cell>
          <cell r="M1345" t="str">
            <v/>
          </cell>
          <cell r="N1345" t="str">
            <v/>
          </cell>
        </row>
        <row r="1348">
          <cell r="H1348" t="str">
            <v>tonnes</v>
          </cell>
          <cell r="J1348" t="str">
            <v/>
          </cell>
          <cell r="K1348" t="str">
            <v/>
          </cell>
          <cell r="L1348" t="str">
            <v/>
          </cell>
          <cell r="M1348" t="str">
            <v/>
          </cell>
          <cell r="N1348" t="str">
            <v/>
          </cell>
        </row>
        <row r="1349">
          <cell r="J1349" t="str">
            <v/>
          </cell>
          <cell r="K1349" t="str">
            <v/>
          </cell>
          <cell r="L1349" t="str">
            <v/>
          </cell>
          <cell r="M1349" t="str">
            <v/>
          </cell>
          <cell r="N1349" t="str">
            <v/>
          </cell>
        </row>
        <row r="1350">
          <cell r="J1350" t="str">
            <v/>
          </cell>
          <cell r="K1350" t="str">
            <v/>
          </cell>
          <cell r="L1350" t="str">
            <v/>
          </cell>
          <cell r="M1350" t="str">
            <v/>
          </cell>
          <cell r="N1350" t="str">
            <v/>
          </cell>
        </row>
        <row r="1351">
          <cell r="J1351" t="str">
            <v/>
          </cell>
          <cell r="K1351" t="str">
            <v/>
          </cell>
          <cell r="L1351" t="str">
            <v/>
          </cell>
          <cell r="M1351" t="str">
            <v/>
          </cell>
          <cell r="N1351" t="str">
            <v/>
          </cell>
        </row>
        <row r="1352">
          <cell r="J1352" t="str">
            <v/>
          </cell>
          <cell r="K1352" t="str">
            <v/>
          </cell>
          <cell r="L1352" t="str">
            <v/>
          </cell>
          <cell r="M1352" t="str">
            <v/>
          </cell>
          <cell r="N1352" t="str">
            <v/>
          </cell>
        </row>
        <row r="1353">
          <cell r="J1353" t="str">
            <v/>
          </cell>
          <cell r="K1353" t="str">
            <v/>
          </cell>
          <cell r="L1353" t="str">
            <v/>
          </cell>
          <cell r="M1353" t="str">
            <v/>
          </cell>
          <cell r="N1353" t="str">
            <v/>
          </cell>
        </row>
        <row r="1354">
          <cell r="J1354" t="str">
            <v/>
          </cell>
          <cell r="K1354" t="str">
            <v/>
          </cell>
          <cell r="L1354" t="str">
            <v/>
          </cell>
          <cell r="M1354" t="str">
            <v/>
          </cell>
          <cell r="N1354" t="str">
            <v/>
          </cell>
        </row>
        <row r="1355">
          <cell r="J1355" t="str">
            <v/>
          </cell>
          <cell r="K1355" t="str">
            <v/>
          </cell>
          <cell r="L1355" t="str">
            <v/>
          </cell>
          <cell r="M1355" t="str">
            <v/>
          </cell>
          <cell r="N1355" t="str">
            <v/>
          </cell>
        </row>
        <row r="1356">
          <cell r="J1356" t="str">
            <v/>
          </cell>
          <cell r="K1356" t="str">
            <v/>
          </cell>
          <cell r="L1356" t="str">
            <v/>
          </cell>
          <cell r="M1356" t="str">
            <v/>
          </cell>
          <cell r="N1356" t="str">
            <v/>
          </cell>
        </row>
        <row r="1357">
          <cell r="J1357" t="str">
            <v/>
          </cell>
          <cell r="K1357" t="str">
            <v/>
          </cell>
          <cell r="L1357" t="str">
            <v/>
          </cell>
          <cell r="M1357" t="str">
            <v/>
          </cell>
          <cell r="N1357" t="str">
            <v/>
          </cell>
        </row>
        <row r="1358">
          <cell r="J1358" t="str">
            <v/>
          </cell>
          <cell r="K1358" t="str">
            <v/>
          </cell>
          <cell r="L1358" t="str">
            <v/>
          </cell>
          <cell r="M1358" t="str">
            <v/>
          </cell>
          <cell r="N1358" t="str">
            <v/>
          </cell>
        </row>
        <row r="1359">
          <cell r="J1359" t="str">
            <v/>
          </cell>
          <cell r="K1359" t="str">
            <v/>
          </cell>
          <cell r="L1359" t="str">
            <v/>
          </cell>
          <cell r="M1359" t="str">
            <v/>
          </cell>
          <cell r="N1359" t="str">
            <v/>
          </cell>
        </row>
        <row r="1362">
          <cell r="H1362" t="str">
            <v>tonnes</v>
          </cell>
          <cell r="J1362" t="str">
            <v/>
          </cell>
          <cell r="K1362" t="str">
            <v/>
          </cell>
          <cell r="L1362" t="str">
            <v/>
          </cell>
          <cell r="M1362" t="str">
            <v/>
          </cell>
          <cell r="N1362" t="str">
            <v/>
          </cell>
        </row>
        <row r="1363">
          <cell r="J1363" t="str">
            <v/>
          </cell>
          <cell r="K1363" t="str">
            <v/>
          </cell>
          <cell r="L1363" t="str">
            <v/>
          </cell>
          <cell r="M1363" t="str">
            <v/>
          </cell>
          <cell r="N1363" t="str">
            <v/>
          </cell>
        </row>
        <row r="1364">
          <cell r="J1364" t="str">
            <v/>
          </cell>
          <cell r="K1364" t="str">
            <v/>
          </cell>
          <cell r="L1364" t="str">
            <v/>
          </cell>
          <cell r="M1364" t="str">
            <v/>
          </cell>
          <cell r="N1364" t="str">
            <v/>
          </cell>
        </row>
        <row r="1365">
          <cell r="J1365" t="str">
            <v/>
          </cell>
          <cell r="K1365" t="str">
            <v/>
          </cell>
          <cell r="L1365" t="str">
            <v/>
          </cell>
          <cell r="M1365" t="str">
            <v/>
          </cell>
          <cell r="N1365" t="str">
            <v/>
          </cell>
        </row>
        <row r="1366">
          <cell r="J1366" t="str">
            <v/>
          </cell>
          <cell r="K1366" t="str">
            <v/>
          </cell>
          <cell r="L1366" t="str">
            <v/>
          </cell>
          <cell r="M1366" t="str">
            <v/>
          </cell>
          <cell r="N1366" t="str">
            <v/>
          </cell>
        </row>
        <row r="1367">
          <cell r="J1367" t="str">
            <v/>
          </cell>
          <cell r="K1367" t="str">
            <v/>
          </cell>
          <cell r="L1367" t="str">
            <v/>
          </cell>
          <cell r="M1367" t="str">
            <v/>
          </cell>
          <cell r="N1367" t="str">
            <v/>
          </cell>
        </row>
        <row r="1368">
          <cell r="J1368" t="str">
            <v/>
          </cell>
          <cell r="K1368" t="str">
            <v/>
          </cell>
          <cell r="L1368" t="str">
            <v/>
          </cell>
          <cell r="M1368" t="str">
            <v/>
          </cell>
          <cell r="N1368" t="str">
            <v/>
          </cell>
        </row>
        <row r="1369">
          <cell r="J1369" t="str">
            <v/>
          </cell>
          <cell r="K1369" t="str">
            <v/>
          </cell>
          <cell r="L1369" t="str">
            <v/>
          </cell>
          <cell r="M1369" t="str">
            <v/>
          </cell>
          <cell r="N1369" t="str">
            <v/>
          </cell>
        </row>
        <row r="1370">
          <cell r="J1370" t="str">
            <v/>
          </cell>
          <cell r="K1370" t="str">
            <v/>
          </cell>
          <cell r="L1370" t="str">
            <v/>
          </cell>
          <cell r="M1370" t="str">
            <v/>
          </cell>
          <cell r="N1370" t="str">
            <v/>
          </cell>
        </row>
        <row r="1371">
          <cell r="J1371" t="str">
            <v/>
          </cell>
          <cell r="K1371" t="str">
            <v/>
          </cell>
          <cell r="L1371" t="str">
            <v/>
          </cell>
          <cell r="M1371" t="str">
            <v/>
          </cell>
          <cell r="N1371" t="str">
            <v/>
          </cell>
        </row>
        <row r="1372">
          <cell r="J1372" t="str">
            <v/>
          </cell>
          <cell r="K1372" t="str">
            <v/>
          </cell>
          <cell r="L1372" t="str">
            <v/>
          </cell>
          <cell r="M1372" t="str">
            <v/>
          </cell>
          <cell r="N1372" t="str">
            <v/>
          </cell>
        </row>
        <row r="1373">
          <cell r="J1373" t="str">
            <v/>
          </cell>
          <cell r="K1373" t="str">
            <v/>
          </cell>
          <cell r="L1373" t="str">
            <v/>
          </cell>
          <cell r="M1373" t="str">
            <v/>
          </cell>
          <cell r="N1373" t="str">
            <v/>
          </cell>
        </row>
        <row r="1376">
          <cell r="H1376" t="str">
            <v>tonnes</v>
          </cell>
          <cell r="J1376" t="str">
            <v/>
          </cell>
          <cell r="K1376" t="str">
            <v/>
          </cell>
          <cell r="L1376" t="str">
            <v/>
          </cell>
          <cell r="M1376" t="str">
            <v/>
          </cell>
          <cell r="N1376" t="str">
            <v/>
          </cell>
        </row>
        <row r="1377">
          <cell r="J1377" t="str">
            <v/>
          </cell>
          <cell r="K1377" t="str">
            <v/>
          </cell>
          <cell r="L1377" t="str">
            <v/>
          </cell>
          <cell r="M1377" t="str">
            <v/>
          </cell>
          <cell r="N1377" t="str">
            <v/>
          </cell>
        </row>
        <row r="1378">
          <cell r="J1378" t="str">
            <v/>
          </cell>
          <cell r="K1378" t="str">
            <v/>
          </cell>
          <cell r="L1378" t="str">
            <v/>
          </cell>
          <cell r="M1378" t="str">
            <v/>
          </cell>
          <cell r="N1378" t="str">
            <v/>
          </cell>
        </row>
        <row r="1379">
          <cell r="J1379" t="str">
            <v/>
          </cell>
          <cell r="K1379" t="str">
            <v/>
          </cell>
          <cell r="L1379" t="str">
            <v/>
          </cell>
          <cell r="M1379" t="str">
            <v/>
          </cell>
          <cell r="N1379" t="str">
            <v/>
          </cell>
        </row>
        <row r="1380">
          <cell r="J1380" t="str">
            <v/>
          </cell>
          <cell r="K1380" t="str">
            <v/>
          </cell>
          <cell r="L1380" t="str">
            <v/>
          </cell>
          <cell r="M1380" t="str">
            <v/>
          </cell>
          <cell r="N1380" t="str">
            <v/>
          </cell>
        </row>
        <row r="1381">
          <cell r="J1381" t="str">
            <v/>
          </cell>
          <cell r="K1381" t="str">
            <v/>
          </cell>
          <cell r="L1381" t="str">
            <v/>
          </cell>
          <cell r="M1381" t="str">
            <v/>
          </cell>
          <cell r="N1381" t="str">
            <v/>
          </cell>
        </row>
        <row r="1382">
          <cell r="J1382" t="str">
            <v/>
          </cell>
          <cell r="K1382" t="str">
            <v/>
          </cell>
          <cell r="L1382" t="str">
            <v/>
          </cell>
          <cell r="M1382" t="str">
            <v/>
          </cell>
          <cell r="N1382" t="str">
            <v/>
          </cell>
        </row>
        <row r="1383">
          <cell r="J1383" t="str">
            <v/>
          </cell>
          <cell r="K1383" t="str">
            <v/>
          </cell>
          <cell r="L1383" t="str">
            <v/>
          </cell>
          <cell r="M1383" t="str">
            <v/>
          </cell>
          <cell r="N1383" t="str">
            <v/>
          </cell>
        </row>
        <row r="1384">
          <cell r="J1384" t="str">
            <v/>
          </cell>
          <cell r="K1384" t="str">
            <v/>
          </cell>
          <cell r="L1384" t="str">
            <v/>
          </cell>
          <cell r="M1384" t="str">
            <v/>
          </cell>
          <cell r="N1384" t="str">
            <v/>
          </cell>
        </row>
        <row r="1385">
          <cell r="J1385" t="str">
            <v/>
          </cell>
          <cell r="K1385" t="str">
            <v/>
          </cell>
          <cell r="L1385" t="str">
            <v/>
          </cell>
          <cell r="M1385" t="str">
            <v/>
          </cell>
          <cell r="N1385" t="str">
            <v/>
          </cell>
        </row>
        <row r="1386">
          <cell r="J1386" t="str">
            <v/>
          </cell>
          <cell r="K1386" t="str">
            <v/>
          </cell>
          <cell r="L1386" t="str">
            <v/>
          </cell>
          <cell r="M1386" t="str">
            <v/>
          </cell>
          <cell r="N1386" t="str">
            <v/>
          </cell>
        </row>
        <row r="1387">
          <cell r="J1387" t="str">
            <v/>
          </cell>
          <cell r="K1387" t="str">
            <v/>
          </cell>
          <cell r="L1387" t="str">
            <v/>
          </cell>
          <cell r="M1387" t="str">
            <v/>
          </cell>
          <cell r="N1387" t="str">
            <v/>
          </cell>
        </row>
        <row r="1390">
          <cell r="H1390" t="str">
            <v>tonnes</v>
          </cell>
          <cell r="J1390" t="str">
            <v/>
          </cell>
          <cell r="K1390" t="str">
            <v/>
          </cell>
          <cell r="L1390" t="str">
            <v/>
          </cell>
          <cell r="M1390" t="str">
            <v/>
          </cell>
          <cell r="N1390" t="str">
            <v/>
          </cell>
        </row>
        <row r="1391">
          <cell r="J1391" t="str">
            <v/>
          </cell>
          <cell r="K1391" t="str">
            <v/>
          </cell>
          <cell r="L1391" t="str">
            <v/>
          </cell>
          <cell r="M1391" t="str">
            <v/>
          </cell>
          <cell r="N1391" t="str">
            <v/>
          </cell>
        </row>
        <row r="1392">
          <cell r="J1392" t="str">
            <v/>
          </cell>
          <cell r="K1392" t="str">
            <v/>
          </cell>
          <cell r="L1392" t="str">
            <v/>
          </cell>
          <cell r="M1392" t="str">
            <v/>
          </cell>
          <cell r="N1392" t="str">
            <v/>
          </cell>
        </row>
        <row r="1393">
          <cell r="J1393" t="str">
            <v/>
          </cell>
          <cell r="K1393" t="str">
            <v/>
          </cell>
          <cell r="L1393" t="str">
            <v/>
          </cell>
          <cell r="M1393" t="str">
            <v/>
          </cell>
          <cell r="N1393" t="str">
            <v/>
          </cell>
        </row>
        <row r="1394">
          <cell r="J1394" t="str">
            <v/>
          </cell>
          <cell r="K1394" t="str">
            <v/>
          </cell>
          <cell r="L1394" t="str">
            <v/>
          </cell>
          <cell r="M1394" t="str">
            <v/>
          </cell>
          <cell r="N1394" t="str">
            <v/>
          </cell>
        </row>
        <row r="1395">
          <cell r="J1395" t="str">
            <v/>
          </cell>
          <cell r="K1395" t="str">
            <v/>
          </cell>
          <cell r="L1395" t="str">
            <v/>
          </cell>
          <cell r="M1395" t="str">
            <v/>
          </cell>
          <cell r="N1395" t="str">
            <v/>
          </cell>
        </row>
        <row r="1396">
          <cell r="J1396" t="str">
            <v/>
          </cell>
          <cell r="K1396" t="str">
            <v/>
          </cell>
          <cell r="L1396" t="str">
            <v/>
          </cell>
          <cell r="M1396" t="str">
            <v/>
          </cell>
          <cell r="N1396" t="str">
            <v/>
          </cell>
        </row>
        <row r="1397">
          <cell r="J1397" t="str">
            <v/>
          </cell>
          <cell r="K1397" t="str">
            <v/>
          </cell>
          <cell r="L1397" t="str">
            <v/>
          </cell>
          <cell r="M1397" t="str">
            <v/>
          </cell>
          <cell r="N1397" t="str">
            <v/>
          </cell>
        </row>
        <row r="1398">
          <cell r="J1398" t="str">
            <v/>
          </cell>
          <cell r="K1398" t="str">
            <v/>
          </cell>
          <cell r="L1398" t="str">
            <v/>
          </cell>
          <cell r="M1398" t="str">
            <v/>
          </cell>
          <cell r="N1398" t="str">
            <v/>
          </cell>
        </row>
        <row r="1399">
          <cell r="J1399" t="str">
            <v/>
          </cell>
          <cell r="K1399" t="str">
            <v/>
          </cell>
          <cell r="L1399" t="str">
            <v/>
          </cell>
          <cell r="M1399" t="str">
            <v/>
          </cell>
          <cell r="N1399" t="str">
            <v/>
          </cell>
        </row>
        <row r="1400">
          <cell r="J1400" t="str">
            <v/>
          </cell>
          <cell r="K1400" t="str">
            <v/>
          </cell>
          <cell r="L1400" t="str">
            <v/>
          </cell>
          <cell r="M1400" t="str">
            <v/>
          </cell>
          <cell r="N1400" t="str">
            <v/>
          </cell>
        </row>
        <row r="1401">
          <cell r="J1401" t="str">
            <v/>
          </cell>
          <cell r="K1401" t="str">
            <v/>
          </cell>
          <cell r="L1401" t="str">
            <v/>
          </cell>
          <cell r="M1401" t="str">
            <v/>
          </cell>
          <cell r="N1401" t="str">
            <v/>
          </cell>
        </row>
        <row r="1406">
          <cell r="H1406" t="str">
            <v>tonnes</v>
          </cell>
          <cell r="I1406" t="str">
            <v/>
          </cell>
          <cell r="J1406" t="str">
            <v/>
          </cell>
          <cell r="K1406" t="str">
            <v/>
          </cell>
          <cell r="L1406" t="str">
            <v/>
          </cell>
          <cell r="M1406" t="str">
            <v/>
          </cell>
          <cell r="N1406" t="str">
            <v/>
          </cell>
        </row>
        <row r="1407">
          <cell r="I1407" t="str">
            <v/>
          </cell>
          <cell r="J1407" t="str">
            <v/>
          </cell>
          <cell r="K1407" t="str">
            <v/>
          </cell>
          <cell r="L1407" t="str">
            <v/>
          </cell>
          <cell r="M1407" t="str">
            <v/>
          </cell>
          <cell r="N1407" t="str">
            <v/>
          </cell>
        </row>
        <row r="1408">
          <cell r="I1408" t="str">
            <v/>
          </cell>
          <cell r="J1408" t="str">
            <v/>
          </cell>
          <cell r="K1408" t="str">
            <v/>
          </cell>
          <cell r="L1408" t="str">
            <v/>
          </cell>
          <cell r="M1408" t="str">
            <v/>
          </cell>
          <cell r="N1408" t="str">
            <v/>
          </cell>
        </row>
        <row r="1409">
          <cell r="I1409" t="str">
            <v/>
          </cell>
          <cell r="J1409" t="str">
            <v/>
          </cell>
          <cell r="K1409" t="str">
            <v/>
          </cell>
          <cell r="L1409" t="str">
            <v/>
          </cell>
          <cell r="M1409" t="str">
            <v/>
          </cell>
          <cell r="N1409" t="str">
            <v/>
          </cell>
        </row>
        <row r="1410">
          <cell r="I1410" t="str">
            <v/>
          </cell>
          <cell r="J1410" t="str">
            <v/>
          </cell>
          <cell r="K1410" t="str">
            <v/>
          </cell>
          <cell r="L1410" t="str">
            <v/>
          </cell>
          <cell r="M1410" t="str">
            <v/>
          </cell>
          <cell r="N1410" t="str">
            <v/>
          </cell>
        </row>
        <row r="1411">
          <cell r="I1411" t="str">
            <v/>
          </cell>
          <cell r="J1411" t="str">
            <v/>
          </cell>
          <cell r="K1411" t="str">
            <v/>
          </cell>
          <cell r="L1411" t="str">
            <v/>
          </cell>
          <cell r="M1411" t="str">
            <v/>
          </cell>
          <cell r="N1411" t="str">
            <v/>
          </cell>
        </row>
        <row r="1412">
          <cell r="I1412" t="str">
            <v/>
          </cell>
          <cell r="J1412" t="str">
            <v/>
          </cell>
          <cell r="K1412" t="str">
            <v/>
          </cell>
          <cell r="L1412" t="str">
            <v/>
          </cell>
          <cell r="M1412" t="str">
            <v/>
          </cell>
          <cell r="N1412" t="str">
            <v/>
          </cell>
        </row>
        <row r="1417">
          <cell r="H1417" t="str">
            <v/>
          </cell>
          <cell r="I1417" t="str">
            <v/>
          </cell>
          <cell r="J1417" t="str">
            <v/>
          </cell>
          <cell r="K1417" t="str">
            <v/>
          </cell>
          <cell r="L1417" t="str">
            <v/>
          </cell>
          <cell r="M1417" t="str">
            <v/>
          </cell>
          <cell r="N1417" t="str">
            <v/>
          </cell>
        </row>
        <row r="1419">
          <cell r="H1419" t="str">
            <v/>
          </cell>
          <cell r="I1419" t="str">
            <v/>
          </cell>
          <cell r="J1419" t="str">
            <v/>
          </cell>
          <cell r="K1419" t="str">
            <v/>
          </cell>
          <cell r="L1419" t="str">
            <v/>
          </cell>
          <cell r="M1419" t="str">
            <v/>
          </cell>
          <cell r="N1419" t="str">
            <v/>
          </cell>
        </row>
        <row r="1420">
          <cell r="H1420" t="str">
            <v/>
          </cell>
          <cell r="I1420" t="str">
            <v/>
          </cell>
          <cell r="J1420" t="str">
            <v/>
          </cell>
          <cell r="K1420" t="str">
            <v/>
          </cell>
          <cell r="L1420" t="str">
            <v/>
          </cell>
          <cell r="M1420" t="str">
            <v/>
          </cell>
          <cell r="N1420" t="str">
            <v/>
          </cell>
        </row>
        <row r="1422">
          <cell r="H1422" t="str">
            <v/>
          </cell>
          <cell r="I1422" t="str">
            <v/>
          </cell>
          <cell r="J1422" t="str">
            <v/>
          </cell>
          <cell r="K1422" t="str">
            <v/>
          </cell>
          <cell r="L1422" t="str">
            <v/>
          </cell>
          <cell r="M1422" t="str">
            <v/>
          </cell>
          <cell r="N1422" t="str">
            <v/>
          </cell>
        </row>
        <row r="1423">
          <cell r="H1423" t="str">
            <v/>
          </cell>
          <cell r="I1423" t="str">
            <v/>
          </cell>
          <cell r="J1423" t="str">
            <v/>
          </cell>
          <cell r="K1423" t="str">
            <v/>
          </cell>
          <cell r="L1423" t="str">
            <v/>
          </cell>
          <cell r="M1423" t="str">
            <v/>
          </cell>
          <cell r="N1423" t="str">
            <v/>
          </cell>
        </row>
        <row r="1424">
          <cell r="H1424" t="str">
            <v/>
          </cell>
          <cell r="I1424" t="str">
            <v/>
          </cell>
          <cell r="J1424" t="str">
            <v/>
          </cell>
          <cell r="K1424" t="str">
            <v/>
          </cell>
          <cell r="L1424" t="str">
            <v/>
          </cell>
          <cell r="M1424" t="str">
            <v/>
          </cell>
          <cell r="N1424" t="str">
            <v/>
          </cell>
        </row>
        <row r="1425">
          <cell r="H1425" t="str">
            <v/>
          </cell>
          <cell r="I1425" t="str">
            <v/>
          </cell>
          <cell r="J1425" t="str">
            <v/>
          </cell>
          <cell r="K1425" t="str">
            <v/>
          </cell>
          <cell r="L1425" t="str">
            <v/>
          </cell>
          <cell r="M1425" t="str">
            <v/>
          </cell>
          <cell r="N1425" t="str">
            <v/>
          </cell>
        </row>
        <row r="1427">
          <cell r="H1427" t="str">
            <v/>
          </cell>
          <cell r="I1427" t="str">
            <v/>
          </cell>
          <cell r="J1427" t="str">
            <v/>
          </cell>
          <cell r="K1427" t="str">
            <v/>
          </cell>
          <cell r="L1427" t="str">
            <v/>
          </cell>
          <cell r="M1427" t="str">
            <v/>
          </cell>
          <cell r="N1427" t="str">
            <v/>
          </cell>
        </row>
        <row r="1428">
          <cell r="H1428" t="str">
            <v/>
          </cell>
          <cell r="I1428" t="str">
            <v/>
          </cell>
          <cell r="J1428" t="str">
            <v/>
          </cell>
          <cell r="K1428" t="str">
            <v/>
          </cell>
          <cell r="L1428" t="str">
            <v/>
          </cell>
          <cell r="M1428" t="str">
            <v/>
          </cell>
          <cell r="N1428" t="str">
            <v/>
          </cell>
        </row>
        <row r="1430">
          <cell r="H1430" t="str">
            <v/>
          </cell>
          <cell r="I1430" t="str">
            <v/>
          </cell>
          <cell r="J1430" t="str">
            <v/>
          </cell>
          <cell r="K1430" t="str">
            <v/>
          </cell>
          <cell r="L1430" t="str">
            <v/>
          </cell>
          <cell r="M1430" t="str">
            <v/>
          </cell>
          <cell r="N1430" t="str">
            <v/>
          </cell>
        </row>
        <row r="1431">
          <cell r="H1431" t="str">
            <v/>
          </cell>
          <cell r="I1431" t="str">
            <v/>
          </cell>
          <cell r="J1431" t="str">
            <v/>
          </cell>
          <cell r="K1431" t="str">
            <v/>
          </cell>
          <cell r="L1431" t="str">
            <v/>
          </cell>
          <cell r="M1431" t="str">
            <v/>
          </cell>
          <cell r="N1431" t="str">
            <v/>
          </cell>
        </row>
        <row r="1433">
          <cell r="H1433" t="str">
            <v/>
          </cell>
          <cell r="I1433" t="str">
            <v/>
          </cell>
          <cell r="J1433" t="str">
            <v/>
          </cell>
          <cell r="K1433" t="str">
            <v/>
          </cell>
          <cell r="L1433" t="str">
            <v/>
          </cell>
          <cell r="M1433" t="str">
            <v/>
          </cell>
          <cell r="N1433" t="str">
            <v/>
          </cell>
        </row>
        <row r="1434">
          <cell r="H1434" t="str">
            <v/>
          </cell>
          <cell r="I1434" t="str">
            <v/>
          </cell>
          <cell r="J1434" t="str">
            <v/>
          </cell>
          <cell r="K1434" t="str">
            <v/>
          </cell>
          <cell r="L1434" t="str">
            <v/>
          </cell>
          <cell r="M1434" t="str">
            <v/>
          </cell>
          <cell r="N1434" t="str">
            <v/>
          </cell>
        </row>
        <row r="1436">
          <cell r="H1436" t="str">
            <v/>
          </cell>
          <cell r="I1436" t="str">
            <v/>
          </cell>
          <cell r="J1436" t="str">
            <v/>
          </cell>
          <cell r="K1436" t="str">
            <v/>
          </cell>
          <cell r="L1436" t="str">
            <v/>
          </cell>
          <cell r="M1436" t="str">
            <v/>
          </cell>
          <cell r="N1436" t="str">
            <v/>
          </cell>
        </row>
        <row r="1437">
          <cell r="H1437" t="str">
            <v/>
          </cell>
          <cell r="I1437" t="str">
            <v/>
          </cell>
          <cell r="J1437" t="str">
            <v/>
          </cell>
          <cell r="K1437" t="str">
            <v/>
          </cell>
          <cell r="L1437" t="str">
            <v/>
          </cell>
          <cell r="M1437" t="str">
            <v/>
          </cell>
          <cell r="N1437" t="str">
            <v/>
          </cell>
        </row>
        <row r="1438">
          <cell r="H1438" t="str">
            <v/>
          </cell>
          <cell r="I1438" t="str">
            <v/>
          </cell>
          <cell r="J1438" t="str">
            <v/>
          </cell>
          <cell r="K1438" t="str">
            <v/>
          </cell>
          <cell r="L1438" t="str">
            <v/>
          </cell>
          <cell r="M1438" t="str">
            <v/>
          </cell>
          <cell r="N1438" t="str">
            <v/>
          </cell>
        </row>
        <row r="1439">
          <cell r="H1439" t="str">
            <v/>
          </cell>
          <cell r="I1439" t="str">
            <v/>
          </cell>
          <cell r="J1439" t="str">
            <v/>
          </cell>
          <cell r="K1439" t="str">
            <v/>
          </cell>
          <cell r="L1439" t="str">
            <v/>
          </cell>
          <cell r="M1439" t="str">
            <v/>
          </cell>
          <cell r="N1439" t="str">
            <v/>
          </cell>
        </row>
        <row r="1440">
          <cell r="H1440" t="str">
            <v/>
          </cell>
          <cell r="I1440" t="str">
            <v/>
          </cell>
          <cell r="J1440" t="str">
            <v/>
          </cell>
          <cell r="K1440" t="str">
            <v/>
          </cell>
          <cell r="L1440" t="str">
            <v/>
          </cell>
          <cell r="M1440" t="str">
            <v/>
          </cell>
          <cell r="N1440" t="str">
            <v/>
          </cell>
        </row>
        <row r="1441">
          <cell r="H1441" t="str">
            <v/>
          </cell>
          <cell r="I1441" t="str">
            <v/>
          </cell>
          <cell r="J1441" t="str">
            <v/>
          </cell>
          <cell r="K1441" t="str">
            <v/>
          </cell>
          <cell r="L1441" t="str">
            <v/>
          </cell>
          <cell r="M1441" t="str">
            <v/>
          </cell>
          <cell r="N1441" t="str">
            <v/>
          </cell>
        </row>
        <row r="1442">
          <cell r="H1442" t="str">
            <v/>
          </cell>
          <cell r="I1442" t="str">
            <v/>
          </cell>
          <cell r="J1442" t="str">
            <v/>
          </cell>
          <cell r="K1442" t="str">
            <v/>
          </cell>
          <cell r="L1442" t="str">
            <v/>
          </cell>
          <cell r="M1442" t="str">
            <v/>
          </cell>
          <cell r="N1442" t="str">
            <v/>
          </cell>
        </row>
        <row r="1443">
          <cell r="H1443" t="str">
            <v/>
          </cell>
          <cell r="I1443" t="str">
            <v/>
          </cell>
          <cell r="J1443" t="str">
            <v/>
          </cell>
          <cell r="K1443" t="str">
            <v/>
          </cell>
          <cell r="L1443" t="str">
            <v/>
          </cell>
          <cell r="M1443" t="str">
            <v/>
          </cell>
          <cell r="N1443" t="str">
            <v/>
          </cell>
        </row>
        <row r="1444">
          <cell r="H1444" t="str">
            <v/>
          </cell>
          <cell r="I1444" t="str">
            <v/>
          </cell>
          <cell r="J1444" t="str">
            <v/>
          </cell>
          <cell r="K1444" t="str">
            <v/>
          </cell>
          <cell r="L1444" t="str">
            <v/>
          </cell>
          <cell r="M1444" t="str">
            <v/>
          </cell>
          <cell r="N1444" t="str">
            <v/>
          </cell>
        </row>
        <row r="1445">
          <cell r="H1445" t="str">
            <v/>
          </cell>
          <cell r="I1445" t="str">
            <v/>
          </cell>
          <cell r="J1445" t="str">
            <v/>
          </cell>
          <cell r="K1445" t="str">
            <v/>
          </cell>
          <cell r="L1445" t="str">
            <v/>
          </cell>
          <cell r="M1445" t="str">
            <v/>
          </cell>
          <cell r="N1445" t="str">
            <v/>
          </cell>
        </row>
        <row r="1447">
          <cell r="H1447" t="str">
            <v/>
          </cell>
          <cell r="I1447" t="str">
            <v/>
          </cell>
          <cell r="J1447" t="str">
            <v/>
          </cell>
          <cell r="K1447" t="str">
            <v/>
          </cell>
          <cell r="L1447" t="str">
            <v/>
          </cell>
          <cell r="M1447" t="str">
            <v/>
          </cell>
          <cell r="N1447" t="str">
            <v/>
          </cell>
        </row>
        <row r="1448">
          <cell r="H1448" t="str">
            <v/>
          </cell>
          <cell r="I1448" t="str">
            <v/>
          </cell>
          <cell r="J1448" t="str">
            <v/>
          </cell>
          <cell r="K1448" t="str">
            <v/>
          </cell>
          <cell r="L1448" t="str">
            <v/>
          </cell>
          <cell r="M1448" t="str">
            <v/>
          </cell>
          <cell r="N1448" t="str">
            <v/>
          </cell>
        </row>
        <row r="1450">
          <cell r="H1450" t="str">
            <v/>
          </cell>
          <cell r="I1450" t="str">
            <v/>
          </cell>
          <cell r="J1450" t="str">
            <v/>
          </cell>
          <cell r="K1450" t="str">
            <v/>
          </cell>
          <cell r="L1450" t="str">
            <v/>
          </cell>
          <cell r="M1450" t="str">
            <v/>
          </cell>
          <cell r="N1450" t="str">
            <v/>
          </cell>
        </row>
        <row r="1453">
          <cell r="E1453" t="str">
            <v/>
          </cell>
          <cell r="H1453" t="str">
            <v/>
          </cell>
          <cell r="I1453" t="str">
            <v/>
          </cell>
          <cell r="J1453" t="str">
            <v/>
          </cell>
          <cell r="K1453" t="str">
            <v/>
          </cell>
          <cell r="L1453" t="str">
            <v/>
          </cell>
          <cell r="M1453" t="str">
            <v/>
          </cell>
          <cell r="N1453" t="str">
            <v/>
          </cell>
        </row>
        <row r="1454">
          <cell r="E1454" t="str">
            <v/>
          </cell>
          <cell r="H1454" t="str">
            <v/>
          </cell>
          <cell r="I1454" t="str">
            <v/>
          </cell>
          <cell r="J1454" t="str">
            <v/>
          </cell>
          <cell r="K1454" t="str">
            <v/>
          </cell>
          <cell r="L1454" t="str">
            <v/>
          </cell>
          <cell r="M1454" t="str">
            <v/>
          </cell>
          <cell r="N1454" t="str">
            <v/>
          </cell>
        </row>
        <row r="1456">
          <cell r="E1456" t="str">
            <v/>
          </cell>
          <cell r="H1456" t="str">
            <v/>
          </cell>
          <cell r="I1456" t="str">
            <v/>
          </cell>
          <cell r="J1456" t="str">
            <v/>
          </cell>
          <cell r="K1456" t="str">
            <v/>
          </cell>
          <cell r="L1456" t="str">
            <v/>
          </cell>
          <cell r="M1456" t="str">
            <v/>
          </cell>
          <cell r="N1456" t="str">
            <v/>
          </cell>
        </row>
        <row r="1457">
          <cell r="E1457" t="str">
            <v/>
          </cell>
          <cell r="H1457" t="str">
            <v/>
          </cell>
          <cell r="I1457" t="str">
            <v/>
          </cell>
          <cell r="J1457" t="str">
            <v/>
          </cell>
          <cell r="K1457" t="str">
            <v/>
          </cell>
          <cell r="L1457" t="str">
            <v/>
          </cell>
          <cell r="M1457" t="str">
            <v/>
          </cell>
          <cell r="N1457" t="str">
            <v/>
          </cell>
        </row>
        <row r="1461">
          <cell r="I1461" t="str">
            <v/>
          </cell>
        </row>
        <row r="1464">
          <cell r="E1464" t="str">
            <v/>
          </cell>
          <cell r="H1464" t="str">
            <v>N.A.</v>
          </cell>
          <cell r="I1464" t="str">
            <v/>
          </cell>
          <cell r="J1464" t="str">
            <v>N.A.</v>
          </cell>
          <cell r="K1464" t="str">
            <v>N.A.</v>
          </cell>
          <cell r="L1464" t="str">
            <v>N.A.</v>
          </cell>
          <cell r="M1464" t="str">
            <v>N.A.</v>
          </cell>
          <cell r="N1464" t="str">
            <v>EUA/tonnes</v>
          </cell>
        </row>
        <row r="1467">
          <cell r="F1467" t="str">
            <v>tonnes</v>
          </cell>
          <cell r="G1467" t="str">
            <v/>
          </cell>
          <cell r="H1467" t="str">
            <v/>
          </cell>
          <cell r="I1467" t="str">
            <v/>
          </cell>
          <cell r="J1467" t="str">
            <v/>
          </cell>
          <cell r="K1467" t="str">
            <v/>
          </cell>
          <cell r="L1467" t="str">
            <v/>
          </cell>
          <cell r="M1467" t="str">
            <v/>
          </cell>
          <cell r="N1467" t="str">
            <v/>
          </cell>
        </row>
        <row r="1471">
          <cell r="J1471" t="str">
            <v/>
          </cell>
          <cell r="K1471" t="str">
            <v/>
          </cell>
          <cell r="L1471" t="str">
            <v/>
          </cell>
          <cell r="M1471" t="str">
            <v/>
          </cell>
          <cell r="N1471" t="str">
            <v/>
          </cell>
        </row>
        <row r="1472">
          <cell r="J1472" t="str">
            <v/>
          </cell>
          <cell r="K1472" t="str">
            <v/>
          </cell>
          <cell r="L1472" t="str">
            <v/>
          </cell>
          <cell r="M1472" t="str">
            <v/>
          </cell>
          <cell r="N1472" t="str">
            <v/>
          </cell>
        </row>
        <row r="1475">
          <cell r="H1475" t="str">
            <v>tonnes</v>
          </cell>
          <cell r="J1475" t="str">
            <v/>
          </cell>
          <cell r="K1475" t="str">
            <v/>
          </cell>
          <cell r="L1475" t="str">
            <v/>
          </cell>
          <cell r="M1475" t="str">
            <v/>
          </cell>
          <cell r="N1475" t="str">
            <v/>
          </cell>
        </row>
        <row r="1476">
          <cell r="J1476" t="str">
            <v/>
          </cell>
          <cell r="K1476" t="str">
            <v/>
          </cell>
          <cell r="L1476" t="str">
            <v/>
          </cell>
          <cell r="M1476" t="str">
            <v/>
          </cell>
          <cell r="N1476" t="str">
            <v/>
          </cell>
        </row>
        <row r="1477">
          <cell r="J1477" t="str">
            <v/>
          </cell>
          <cell r="K1477" t="str">
            <v/>
          </cell>
          <cell r="L1477" t="str">
            <v/>
          </cell>
          <cell r="M1477" t="str">
            <v/>
          </cell>
          <cell r="N1477" t="str">
            <v/>
          </cell>
        </row>
        <row r="1478">
          <cell r="J1478" t="str">
            <v/>
          </cell>
          <cell r="K1478" t="str">
            <v/>
          </cell>
          <cell r="L1478" t="str">
            <v/>
          </cell>
          <cell r="M1478" t="str">
            <v/>
          </cell>
          <cell r="N1478" t="str">
            <v/>
          </cell>
        </row>
        <row r="1479">
          <cell r="J1479" t="str">
            <v/>
          </cell>
          <cell r="K1479" t="str">
            <v/>
          </cell>
          <cell r="L1479" t="str">
            <v/>
          </cell>
          <cell r="M1479" t="str">
            <v/>
          </cell>
          <cell r="N1479" t="str">
            <v/>
          </cell>
        </row>
        <row r="1480">
          <cell r="J1480" t="str">
            <v/>
          </cell>
          <cell r="K1480" t="str">
            <v/>
          </cell>
          <cell r="L1480" t="str">
            <v/>
          </cell>
          <cell r="M1480" t="str">
            <v/>
          </cell>
          <cell r="N1480" t="str">
            <v/>
          </cell>
        </row>
        <row r="1481">
          <cell r="J1481" t="str">
            <v/>
          </cell>
          <cell r="K1481" t="str">
            <v/>
          </cell>
          <cell r="L1481" t="str">
            <v/>
          </cell>
          <cell r="M1481" t="str">
            <v/>
          </cell>
          <cell r="N1481" t="str">
            <v/>
          </cell>
        </row>
        <row r="1484">
          <cell r="H1484" t="str">
            <v>tonnes</v>
          </cell>
          <cell r="J1484" t="str">
            <v/>
          </cell>
          <cell r="K1484" t="str">
            <v/>
          </cell>
          <cell r="L1484" t="str">
            <v/>
          </cell>
          <cell r="M1484" t="str">
            <v/>
          </cell>
          <cell r="N1484" t="str">
            <v/>
          </cell>
        </row>
        <row r="1485">
          <cell r="J1485" t="str">
            <v/>
          </cell>
          <cell r="K1485" t="str">
            <v/>
          </cell>
          <cell r="L1485" t="str">
            <v/>
          </cell>
          <cell r="M1485" t="str">
            <v/>
          </cell>
          <cell r="N1485" t="str">
            <v/>
          </cell>
        </row>
        <row r="1486">
          <cell r="J1486" t="str">
            <v/>
          </cell>
          <cell r="K1486" t="str">
            <v/>
          </cell>
          <cell r="L1486" t="str">
            <v/>
          </cell>
          <cell r="M1486" t="str">
            <v/>
          </cell>
          <cell r="N1486" t="str">
            <v/>
          </cell>
        </row>
        <row r="1487">
          <cell r="H1487" t="str">
            <v>tonnes</v>
          </cell>
          <cell r="J1487" t="str">
            <v/>
          </cell>
          <cell r="K1487" t="str">
            <v/>
          </cell>
          <cell r="L1487" t="str">
            <v/>
          </cell>
          <cell r="M1487" t="str">
            <v/>
          </cell>
          <cell r="N1487" t="str">
            <v/>
          </cell>
        </row>
        <row r="1488">
          <cell r="J1488" t="str">
            <v/>
          </cell>
          <cell r="K1488" t="str">
            <v/>
          </cell>
          <cell r="L1488" t="str">
            <v/>
          </cell>
          <cell r="M1488" t="str">
            <v/>
          </cell>
          <cell r="N1488" t="str">
            <v/>
          </cell>
        </row>
        <row r="1489">
          <cell r="J1489" t="str">
            <v/>
          </cell>
          <cell r="K1489" t="str">
            <v/>
          </cell>
          <cell r="L1489" t="str">
            <v/>
          </cell>
          <cell r="M1489" t="str">
            <v/>
          </cell>
          <cell r="N1489" t="str">
            <v/>
          </cell>
        </row>
        <row r="1490">
          <cell r="J1490" t="str">
            <v/>
          </cell>
          <cell r="K1490" t="str">
            <v/>
          </cell>
          <cell r="L1490" t="str">
            <v/>
          </cell>
          <cell r="M1490" t="str">
            <v/>
          </cell>
          <cell r="N1490" t="str">
            <v/>
          </cell>
        </row>
        <row r="1491">
          <cell r="J1491" t="str">
            <v/>
          </cell>
          <cell r="K1491" t="str">
            <v/>
          </cell>
          <cell r="L1491" t="str">
            <v/>
          </cell>
          <cell r="M1491" t="str">
            <v/>
          </cell>
          <cell r="N1491" t="str">
            <v/>
          </cell>
        </row>
        <row r="1492">
          <cell r="J1492" t="str">
            <v/>
          </cell>
          <cell r="K1492" t="str">
            <v/>
          </cell>
          <cell r="L1492" t="str">
            <v/>
          </cell>
          <cell r="M1492" t="str">
            <v/>
          </cell>
          <cell r="N1492" t="str">
            <v/>
          </cell>
        </row>
        <row r="1493">
          <cell r="J1493" t="str">
            <v/>
          </cell>
          <cell r="K1493" t="str">
            <v/>
          </cell>
          <cell r="L1493" t="str">
            <v/>
          </cell>
          <cell r="M1493" t="str">
            <v/>
          </cell>
          <cell r="N1493" t="str">
            <v/>
          </cell>
        </row>
        <row r="1494">
          <cell r="J1494" t="str">
            <v/>
          </cell>
          <cell r="K1494" t="str">
            <v/>
          </cell>
          <cell r="L1494" t="str">
            <v/>
          </cell>
          <cell r="M1494" t="str">
            <v/>
          </cell>
          <cell r="N1494" t="str">
            <v/>
          </cell>
        </row>
        <row r="1495">
          <cell r="J1495" t="str">
            <v/>
          </cell>
          <cell r="K1495" t="str">
            <v/>
          </cell>
          <cell r="L1495" t="str">
            <v/>
          </cell>
          <cell r="M1495" t="str">
            <v/>
          </cell>
          <cell r="N1495" t="str">
            <v/>
          </cell>
        </row>
        <row r="1498">
          <cell r="H1498" t="str">
            <v>tonnes</v>
          </cell>
          <cell r="J1498" t="str">
            <v/>
          </cell>
          <cell r="K1498" t="str">
            <v/>
          </cell>
          <cell r="L1498" t="str">
            <v/>
          </cell>
          <cell r="M1498" t="str">
            <v/>
          </cell>
          <cell r="N1498" t="str">
            <v/>
          </cell>
        </row>
        <row r="1499">
          <cell r="J1499" t="str">
            <v/>
          </cell>
          <cell r="K1499" t="str">
            <v/>
          </cell>
          <cell r="L1499" t="str">
            <v/>
          </cell>
          <cell r="M1499" t="str">
            <v/>
          </cell>
          <cell r="N1499" t="str">
            <v/>
          </cell>
        </row>
        <row r="1500">
          <cell r="J1500" t="str">
            <v/>
          </cell>
          <cell r="K1500" t="str">
            <v/>
          </cell>
          <cell r="L1500" t="str">
            <v/>
          </cell>
          <cell r="M1500" t="str">
            <v/>
          </cell>
          <cell r="N1500" t="str">
            <v/>
          </cell>
        </row>
        <row r="1501">
          <cell r="J1501" t="str">
            <v/>
          </cell>
          <cell r="K1501" t="str">
            <v/>
          </cell>
          <cell r="L1501" t="str">
            <v/>
          </cell>
          <cell r="M1501" t="str">
            <v/>
          </cell>
          <cell r="N1501" t="str">
            <v/>
          </cell>
        </row>
        <row r="1502">
          <cell r="J1502" t="str">
            <v/>
          </cell>
          <cell r="K1502" t="str">
            <v/>
          </cell>
          <cell r="L1502" t="str">
            <v/>
          </cell>
          <cell r="M1502" t="str">
            <v/>
          </cell>
          <cell r="N1502" t="str">
            <v/>
          </cell>
        </row>
        <row r="1503">
          <cell r="J1503" t="str">
            <v/>
          </cell>
          <cell r="K1503" t="str">
            <v/>
          </cell>
          <cell r="L1503" t="str">
            <v/>
          </cell>
          <cell r="M1503" t="str">
            <v/>
          </cell>
          <cell r="N1503" t="str">
            <v/>
          </cell>
        </row>
        <row r="1504">
          <cell r="J1504" t="str">
            <v/>
          </cell>
          <cell r="K1504" t="str">
            <v/>
          </cell>
          <cell r="L1504" t="str">
            <v/>
          </cell>
          <cell r="M1504" t="str">
            <v/>
          </cell>
          <cell r="N1504" t="str">
            <v/>
          </cell>
        </row>
        <row r="1505">
          <cell r="J1505" t="str">
            <v/>
          </cell>
          <cell r="K1505" t="str">
            <v/>
          </cell>
          <cell r="L1505" t="str">
            <v/>
          </cell>
          <cell r="M1505" t="str">
            <v/>
          </cell>
          <cell r="N1505" t="str">
            <v/>
          </cell>
        </row>
        <row r="1506">
          <cell r="J1506" t="str">
            <v/>
          </cell>
          <cell r="K1506" t="str">
            <v/>
          </cell>
          <cell r="L1506" t="str">
            <v/>
          </cell>
          <cell r="M1506" t="str">
            <v/>
          </cell>
          <cell r="N1506" t="str">
            <v/>
          </cell>
        </row>
        <row r="1507">
          <cell r="J1507" t="str">
            <v/>
          </cell>
          <cell r="K1507" t="str">
            <v/>
          </cell>
          <cell r="L1507" t="str">
            <v/>
          </cell>
          <cell r="M1507" t="str">
            <v/>
          </cell>
          <cell r="N1507" t="str">
            <v/>
          </cell>
        </row>
        <row r="1508">
          <cell r="J1508" t="str">
            <v/>
          </cell>
          <cell r="K1508" t="str">
            <v/>
          </cell>
          <cell r="L1508" t="str">
            <v/>
          </cell>
          <cell r="M1508" t="str">
            <v/>
          </cell>
          <cell r="N1508" t="str">
            <v/>
          </cell>
        </row>
        <row r="1509">
          <cell r="J1509" t="str">
            <v/>
          </cell>
          <cell r="K1509" t="str">
            <v/>
          </cell>
          <cell r="L1509" t="str">
            <v/>
          </cell>
          <cell r="M1509" t="str">
            <v/>
          </cell>
          <cell r="N1509" t="str">
            <v/>
          </cell>
        </row>
        <row r="1512">
          <cell r="H1512" t="str">
            <v>tonnes</v>
          </cell>
          <cell r="J1512" t="str">
            <v/>
          </cell>
          <cell r="K1512" t="str">
            <v/>
          </cell>
          <cell r="L1512" t="str">
            <v/>
          </cell>
          <cell r="M1512" t="str">
            <v/>
          </cell>
          <cell r="N1512" t="str">
            <v/>
          </cell>
        </row>
        <row r="1513">
          <cell r="J1513" t="str">
            <v/>
          </cell>
          <cell r="K1513" t="str">
            <v/>
          </cell>
          <cell r="L1513" t="str">
            <v/>
          </cell>
          <cell r="M1513" t="str">
            <v/>
          </cell>
          <cell r="N1513" t="str">
            <v/>
          </cell>
        </row>
        <row r="1514">
          <cell r="J1514" t="str">
            <v/>
          </cell>
          <cell r="K1514" t="str">
            <v/>
          </cell>
          <cell r="L1514" t="str">
            <v/>
          </cell>
          <cell r="M1514" t="str">
            <v/>
          </cell>
          <cell r="N1514" t="str">
            <v/>
          </cell>
        </row>
        <row r="1515">
          <cell r="J1515" t="str">
            <v/>
          </cell>
          <cell r="K1515" t="str">
            <v/>
          </cell>
          <cell r="L1515" t="str">
            <v/>
          </cell>
          <cell r="M1515" t="str">
            <v/>
          </cell>
          <cell r="N1515" t="str">
            <v/>
          </cell>
        </row>
        <row r="1516">
          <cell r="J1516" t="str">
            <v/>
          </cell>
          <cell r="K1516" t="str">
            <v/>
          </cell>
          <cell r="L1516" t="str">
            <v/>
          </cell>
          <cell r="M1516" t="str">
            <v/>
          </cell>
          <cell r="N1516" t="str">
            <v/>
          </cell>
        </row>
        <row r="1517">
          <cell r="J1517" t="str">
            <v/>
          </cell>
          <cell r="K1517" t="str">
            <v/>
          </cell>
          <cell r="L1517" t="str">
            <v/>
          </cell>
          <cell r="M1517" t="str">
            <v/>
          </cell>
          <cell r="N1517" t="str">
            <v/>
          </cell>
        </row>
        <row r="1518">
          <cell r="J1518" t="str">
            <v/>
          </cell>
          <cell r="K1518" t="str">
            <v/>
          </cell>
          <cell r="L1518" t="str">
            <v/>
          </cell>
          <cell r="M1518" t="str">
            <v/>
          </cell>
          <cell r="N1518" t="str">
            <v/>
          </cell>
        </row>
        <row r="1519">
          <cell r="J1519" t="str">
            <v/>
          </cell>
          <cell r="K1519" t="str">
            <v/>
          </cell>
          <cell r="L1519" t="str">
            <v/>
          </cell>
          <cell r="M1519" t="str">
            <v/>
          </cell>
          <cell r="N1519" t="str">
            <v/>
          </cell>
        </row>
        <row r="1520">
          <cell r="J1520" t="str">
            <v/>
          </cell>
          <cell r="K1520" t="str">
            <v/>
          </cell>
          <cell r="L1520" t="str">
            <v/>
          </cell>
          <cell r="M1520" t="str">
            <v/>
          </cell>
          <cell r="N1520" t="str">
            <v/>
          </cell>
        </row>
        <row r="1521">
          <cell r="J1521" t="str">
            <v/>
          </cell>
          <cell r="K1521" t="str">
            <v/>
          </cell>
          <cell r="L1521" t="str">
            <v/>
          </cell>
          <cell r="M1521" t="str">
            <v/>
          </cell>
          <cell r="N1521" t="str">
            <v/>
          </cell>
        </row>
        <row r="1522">
          <cell r="J1522" t="str">
            <v/>
          </cell>
          <cell r="K1522" t="str">
            <v/>
          </cell>
          <cell r="L1522" t="str">
            <v/>
          </cell>
          <cell r="M1522" t="str">
            <v/>
          </cell>
          <cell r="N1522" t="str">
            <v/>
          </cell>
        </row>
        <row r="1523">
          <cell r="J1523" t="str">
            <v/>
          </cell>
          <cell r="K1523" t="str">
            <v/>
          </cell>
          <cell r="L1523" t="str">
            <v/>
          </cell>
          <cell r="M1523" t="str">
            <v/>
          </cell>
          <cell r="N1523" t="str">
            <v/>
          </cell>
        </row>
        <row r="1526">
          <cell r="H1526" t="str">
            <v>tonnes</v>
          </cell>
          <cell r="J1526" t="str">
            <v/>
          </cell>
          <cell r="K1526" t="str">
            <v/>
          </cell>
          <cell r="L1526" t="str">
            <v/>
          </cell>
          <cell r="M1526" t="str">
            <v/>
          </cell>
          <cell r="N1526" t="str">
            <v/>
          </cell>
        </row>
        <row r="1527">
          <cell r="J1527" t="str">
            <v/>
          </cell>
          <cell r="K1527" t="str">
            <v/>
          </cell>
          <cell r="L1527" t="str">
            <v/>
          </cell>
          <cell r="M1527" t="str">
            <v/>
          </cell>
          <cell r="N1527" t="str">
            <v/>
          </cell>
        </row>
        <row r="1528">
          <cell r="J1528" t="str">
            <v/>
          </cell>
          <cell r="K1528" t="str">
            <v/>
          </cell>
          <cell r="L1528" t="str">
            <v/>
          </cell>
          <cell r="M1528" t="str">
            <v/>
          </cell>
          <cell r="N1528" t="str">
            <v/>
          </cell>
        </row>
        <row r="1529">
          <cell r="J1529" t="str">
            <v/>
          </cell>
          <cell r="K1529" t="str">
            <v/>
          </cell>
          <cell r="L1529" t="str">
            <v/>
          </cell>
          <cell r="M1529" t="str">
            <v/>
          </cell>
          <cell r="N1529" t="str">
            <v/>
          </cell>
        </row>
        <row r="1530">
          <cell r="J1530" t="str">
            <v/>
          </cell>
          <cell r="K1530" t="str">
            <v/>
          </cell>
          <cell r="L1530" t="str">
            <v/>
          </cell>
          <cell r="M1530" t="str">
            <v/>
          </cell>
          <cell r="N1530" t="str">
            <v/>
          </cell>
        </row>
        <row r="1531">
          <cell r="J1531" t="str">
            <v/>
          </cell>
          <cell r="K1531" t="str">
            <v/>
          </cell>
          <cell r="L1531" t="str">
            <v/>
          </cell>
          <cell r="M1531" t="str">
            <v/>
          </cell>
          <cell r="N1531" t="str">
            <v/>
          </cell>
        </row>
        <row r="1532">
          <cell r="J1532" t="str">
            <v/>
          </cell>
          <cell r="K1532" t="str">
            <v/>
          </cell>
          <cell r="L1532" t="str">
            <v/>
          </cell>
          <cell r="M1532" t="str">
            <v/>
          </cell>
          <cell r="N1532" t="str">
            <v/>
          </cell>
        </row>
        <row r="1533">
          <cell r="J1533" t="str">
            <v/>
          </cell>
          <cell r="K1533" t="str">
            <v/>
          </cell>
          <cell r="L1533" t="str">
            <v/>
          </cell>
          <cell r="M1533" t="str">
            <v/>
          </cell>
          <cell r="N1533" t="str">
            <v/>
          </cell>
        </row>
        <row r="1534">
          <cell r="J1534" t="str">
            <v/>
          </cell>
          <cell r="K1534" t="str">
            <v/>
          </cell>
          <cell r="L1534" t="str">
            <v/>
          </cell>
          <cell r="M1534" t="str">
            <v/>
          </cell>
          <cell r="N1534" t="str">
            <v/>
          </cell>
        </row>
        <row r="1535">
          <cell r="J1535" t="str">
            <v/>
          </cell>
          <cell r="K1535" t="str">
            <v/>
          </cell>
          <cell r="L1535" t="str">
            <v/>
          </cell>
          <cell r="M1535" t="str">
            <v/>
          </cell>
          <cell r="N1535" t="str">
            <v/>
          </cell>
        </row>
        <row r="1536">
          <cell r="J1536" t="str">
            <v/>
          </cell>
          <cell r="K1536" t="str">
            <v/>
          </cell>
          <cell r="L1536" t="str">
            <v/>
          </cell>
          <cell r="M1536" t="str">
            <v/>
          </cell>
          <cell r="N1536" t="str">
            <v/>
          </cell>
        </row>
        <row r="1537">
          <cell r="J1537" t="str">
            <v/>
          </cell>
          <cell r="K1537" t="str">
            <v/>
          </cell>
          <cell r="L1537" t="str">
            <v/>
          </cell>
          <cell r="M1537" t="str">
            <v/>
          </cell>
          <cell r="N1537" t="str">
            <v/>
          </cell>
        </row>
        <row r="1540">
          <cell r="H1540" t="str">
            <v>tonnes</v>
          </cell>
          <cell r="J1540" t="str">
            <v/>
          </cell>
          <cell r="K1540" t="str">
            <v/>
          </cell>
          <cell r="L1540" t="str">
            <v/>
          </cell>
          <cell r="M1540" t="str">
            <v/>
          </cell>
          <cell r="N1540" t="str">
            <v/>
          </cell>
        </row>
        <row r="1541">
          <cell r="J1541" t="str">
            <v/>
          </cell>
          <cell r="K1541" t="str">
            <v/>
          </cell>
          <cell r="L1541" t="str">
            <v/>
          </cell>
          <cell r="M1541" t="str">
            <v/>
          </cell>
          <cell r="N1541" t="str">
            <v/>
          </cell>
        </row>
        <row r="1542">
          <cell r="J1542" t="str">
            <v/>
          </cell>
          <cell r="K1542" t="str">
            <v/>
          </cell>
          <cell r="L1542" t="str">
            <v/>
          </cell>
          <cell r="M1542" t="str">
            <v/>
          </cell>
          <cell r="N1542" t="str">
            <v/>
          </cell>
        </row>
        <row r="1543">
          <cell r="J1543" t="str">
            <v/>
          </cell>
          <cell r="K1543" t="str">
            <v/>
          </cell>
          <cell r="L1543" t="str">
            <v/>
          </cell>
          <cell r="M1543" t="str">
            <v/>
          </cell>
          <cell r="N1543" t="str">
            <v/>
          </cell>
        </row>
        <row r="1544">
          <cell r="J1544" t="str">
            <v/>
          </cell>
          <cell r="K1544" t="str">
            <v/>
          </cell>
          <cell r="L1544" t="str">
            <v/>
          </cell>
          <cell r="M1544" t="str">
            <v/>
          </cell>
          <cell r="N1544" t="str">
            <v/>
          </cell>
        </row>
        <row r="1545">
          <cell r="J1545" t="str">
            <v/>
          </cell>
          <cell r="K1545" t="str">
            <v/>
          </cell>
          <cell r="L1545" t="str">
            <v/>
          </cell>
          <cell r="M1545" t="str">
            <v/>
          </cell>
          <cell r="N1545" t="str">
            <v/>
          </cell>
        </row>
        <row r="1546">
          <cell r="J1546" t="str">
            <v/>
          </cell>
          <cell r="K1546" t="str">
            <v/>
          </cell>
          <cell r="L1546" t="str">
            <v/>
          </cell>
          <cell r="M1546" t="str">
            <v/>
          </cell>
          <cell r="N1546" t="str">
            <v/>
          </cell>
        </row>
        <row r="1547">
          <cell r="J1547" t="str">
            <v/>
          </cell>
          <cell r="K1547" t="str">
            <v/>
          </cell>
          <cell r="L1547" t="str">
            <v/>
          </cell>
          <cell r="M1547" t="str">
            <v/>
          </cell>
          <cell r="N1547" t="str">
            <v/>
          </cell>
        </row>
        <row r="1548">
          <cell r="J1548" t="str">
            <v/>
          </cell>
          <cell r="K1548" t="str">
            <v/>
          </cell>
          <cell r="L1548" t="str">
            <v/>
          </cell>
          <cell r="M1548" t="str">
            <v/>
          </cell>
          <cell r="N1548" t="str">
            <v/>
          </cell>
        </row>
        <row r="1549">
          <cell r="J1549" t="str">
            <v/>
          </cell>
          <cell r="K1549" t="str">
            <v/>
          </cell>
          <cell r="L1549" t="str">
            <v/>
          </cell>
          <cell r="M1549" t="str">
            <v/>
          </cell>
          <cell r="N1549" t="str">
            <v/>
          </cell>
        </row>
        <row r="1550">
          <cell r="J1550" t="str">
            <v/>
          </cell>
          <cell r="K1550" t="str">
            <v/>
          </cell>
          <cell r="L1550" t="str">
            <v/>
          </cell>
          <cell r="M1550" t="str">
            <v/>
          </cell>
          <cell r="N1550" t="str">
            <v/>
          </cell>
        </row>
        <row r="1551">
          <cell r="J1551" t="str">
            <v/>
          </cell>
          <cell r="K1551" t="str">
            <v/>
          </cell>
          <cell r="L1551" t="str">
            <v/>
          </cell>
          <cell r="M1551" t="str">
            <v/>
          </cell>
          <cell r="N1551" t="str">
            <v/>
          </cell>
        </row>
        <row r="1554">
          <cell r="H1554" t="str">
            <v>tonnes</v>
          </cell>
          <cell r="J1554" t="str">
            <v/>
          </cell>
          <cell r="K1554" t="str">
            <v/>
          </cell>
          <cell r="L1554" t="str">
            <v/>
          </cell>
          <cell r="M1554" t="str">
            <v/>
          </cell>
          <cell r="N1554" t="str">
            <v/>
          </cell>
        </row>
        <row r="1555">
          <cell r="J1555" t="str">
            <v/>
          </cell>
          <cell r="K1555" t="str">
            <v/>
          </cell>
          <cell r="L1555" t="str">
            <v/>
          </cell>
          <cell r="M1555" t="str">
            <v/>
          </cell>
          <cell r="N1555" t="str">
            <v/>
          </cell>
        </row>
        <row r="1556">
          <cell r="J1556" t="str">
            <v/>
          </cell>
          <cell r="K1556" t="str">
            <v/>
          </cell>
          <cell r="L1556" t="str">
            <v/>
          </cell>
          <cell r="M1556" t="str">
            <v/>
          </cell>
          <cell r="N1556" t="str">
            <v/>
          </cell>
        </row>
        <row r="1557">
          <cell r="J1557" t="str">
            <v/>
          </cell>
          <cell r="K1557" t="str">
            <v/>
          </cell>
          <cell r="L1557" t="str">
            <v/>
          </cell>
          <cell r="M1557" t="str">
            <v/>
          </cell>
          <cell r="N1557" t="str">
            <v/>
          </cell>
        </row>
        <row r="1558">
          <cell r="J1558" t="str">
            <v/>
          </cell>
          <cell r="K1558" t="str">
            <v/>
          </cell>
          <cell r="L1558" t="str">
            <v/>
          </cell>
          <cell r="M1558" t="str">
            <v/>
          </cell>
          <cell r="N1558" t="str">
            <v/>
          </cell>
        </row>
        <row r="1559">
          <cell r="J1559" t="str">
            <v/>
          </cell>
          <cell r="K1559" t="str">
            <v/>
          </cell>
          <cell r="L1559" t="str">
            <v/>
          </cell>
          <cell r="M1559" t="str">
            <v/>
          </cell>
          <cell r="N1559" t="str">
            <v/>
          </cell>
        </row>
        <row r="1560">
          <cell r="J1560" t="str">
            <v/>
          </cell>
          <cell r="K1560" t="str">
            <v/>
          </cell>
          <cell r="L1560" t="str">
            <v/>
          </cell>
          <cell r="M1560" t="str">
            <v/>
          </cell>
          <cell r="N1560" t="str">
            <v/>
          </cell>
        </row>
        <row r="1561">
          <cell r="J1561" t="str">
            <v/>
          </cell>
          <cell r="K1561" t="str">
            <v/>
          </cell>
          <cell r="L1561" t="str">
            <v/>
          </cell>
          <cell r="M1561" t="str">
            <v/>
          </cell>
          <cell r="N1561" t="str">
            <v/>
          </cell>
        </row>
        <row r="1562">
          <cell r="J1562" t="str">
            <v/>
          </cell>
          <cell r="K1562" t="str">
            <v/>
          </cell>
          <cell r="L1562" t="str">
            <v/>
          </cell>
          <cell r="M1562" t="str">
            <v/>
          </cell>
          <cell r="N1562" t="str">
            <v/>
          </cell>
        </row>
        <row r="1563">
          <cell r="J1563" t="str">
            <v/>
          </cell>
          <cell r="K1563" t="str">
            <v/>
          </cell>
          <cell r="L1563" t="str">
            <v/>
          </cell>
          <cell r="M1563" t="str">
            <v/>
          </cell>
          <cell r="N1563" t="str">
            <v/>
          </cell>
        </row>
        <row r="1564">
          <cell r="J1564" t="str">
            <v/>
          </cell>
          <cell r="K1564" t="str">
            <v/>
          </cell>
          <cell r="L1564" t="str">
            <v/>
          </cell>
          <cell r="M1564" t="str">
            <v/>
          </cell>
          <cell r="N1564" t="str">
            <v/>
          </cell>
        </row>
        <row r="1565">
          <cell r="J1565" t="str">
            <v/>
          </cell>
          <cell r="K1565" t="str">
            <v/>
          </cell>
          <cell r="L1565" t="str">
            <v/>
          </cell>
          <cell r="M1565" t="str">
            <v/>
          </cell>
          <cell r="N1565" t="str">
            <v/>
          </cell>
        </row>
        <row r="1570">
          <cell r="H1570" t="str">
            <v>tonnes</v>
          </cell>
          <cell r="I1570" t="str">
            <v/>
          </cell>
          <cell r="J1570" t="str">
            <v/>
          </cell>
          <cell r="K1570" t="str">
            <v/>
          </cell>
          <cell r="L1570" t="str">
            <v/>
          </cell>
          <cell r="M1570" t="str">
            <v/>
          </cell>
          <cell r="N1570" t="str">
            <v/>
          </cell>
        </row>
        <row r="1571">
          <cell r="I1571" t="str">
            <v/>
          </cell>
          <cell r="J1571" t="str">
            <v/>
          </cell>
          <cell r="K1571" t="str">
            <v/>
          </cell>
          <cell r="L1571" t="str">
            <v/>
          </cell>
          <cell r="M1571" t="str">
            <v/>
          </cell>
          <cell r="N1571" t="str">
            <v/>
          </cell>
        </row>
        <row r="1572">
          <cell r="I1572" t="str">
            <v/>
          </cell>
          <cell r="J1572" t="str">
            <v/>
          </cell>
          <cell r="K1572" t="str">
            <v/>
          </cell>
          <cell r="L1572" t="str">
            <v/>
          </cell>
          <cell r="M1572" t="str">
            <v/>
          </cell>
          <cell r="N1572" t="str">
            <v/>
          </cell>
        </row>
        <row r="1573">
          <cell r="I1573" t="str">
            <v/>
          </cell>
          <cell r="J1573" t="str">
            <v/>
          </cell>
          <cell r="K1573" t="str">
            <v/>
          </cell>
          <cell r="L1573" t="str">
            <v/>
          </cell>
          <cell r="M1573" t="str">
            <v/>
          </cell>
          <cell r="N1573" t="str">
            <v/>
          </cell>
        </row>
        <row r="1574">
          <cell r="I1574" t="str">
            <v/>
          </cell>
          <cell r="J1574" t="str">
            <v/>
          </cell>
          <cell r="K1574" t="str">
            <v/>
          </cell>
          <cell r="L1574" t="str">
            <v/>
          </cell>
          <cell r="M1574" t="str">
            <v/>
          </cell>
          <cell r="N1574" t="str">
            <v/>
          </cell>
        </row>
        <row r="1575">
          <cell r="I1575" t="str">
            <v/>
          </cell>
          <cell r="J1575" t="str">
            <v/>
          </cell>
          <cell r="K1575" t="str">
            <v/>
          </cell>
          <cell r="L1575" t="str">
            <v/>
          </cell>
          <cell r="M1575" t="str">
            <v/>
          </cell>
          <cell r="N1575" t="str">
            <v/>
          </cell>
        </row>
        <row r="1576">
          <cell r="I1576" t="str">
            <v/>
          </cell>
          <cell r="J1576" t="str">
            <v/>
          </cell>
          <cell r="K1576" t="str">
            <v/>
          </cell>
          <cell r="L1576" t="str">
            <v/>
          </cell>
          <cell r="M1576" t="str">
            <v/>
          </cell>
          <cell r="N1576" t="str">
            <v/>
          </cell>
        </row>
        <row r="1581">
          <cell r="H1581" t="str">
            <v/>
          </cell>
          <cell r="I1581" t="str">
            <v/>
          </cell>
          <cell r="J1581" t="str">
            <v/>
          </cell>
          <cell r="K1581" t="str">
            <v/>
          </cell>
          <cell r="L1581" t="str">
            <v/>
          </cell>
          <cell r="M1581" t="str">
            <v/>
          </cell>
          <cell r="N1581" t="str">
            <v/>
          </cell>
        </row>
        <row r="1583">
          <cell r="H1583" t="str">
            <v/>
          </cell>
          <cell r="I1583" t="str">
            <v/>
          </cell>
          <cell r="J1583" t="str">
            <v/>
          </cell>
          <cell r="K1583" t="str">
            <v/>
          </cell>
          <cell r="L1583" t="str">
            <v/>
          </cell>
          <cell r="M1583" t="str">
            <v/>
          </cell>
          <cell r="N1583" t="str">
            <v/>
          </cell>
        </row>
        <row r="1584">
          <cell r="H1584" t="str">
            <v/>
          </cell>
          <cell r="I1584" t="str">
            <v/>
          </cell>
          <cell r="J1584" t="str">
            <v/>
          </cell>
          <cell r="K1584" t="str">
            <v/>
          </cell>
          <cell r="L1584" t="str">
            <v/>
          </cell>
          <cell r="M1584" t="str">
            <v/>
          </cell>
          <cell r="N1584" t="str">
            <v/>
          </cell>
        </row>
        <row r="1586">
          <cell r="H1586" t="str">
            <v/>
          </cell>
          <cell r="I1586" t="str">
            <v/>
          </cell>
          <cell r="J1586" t="str">
            <v/>
          </cell>
          <cell r="K1586" t="str">
            <v/>
          </cell>
          <cell r="L1586" t="str">
            <v/>
          </cell>
          <cell r="M1586" t="str">
            <v/>
          </cell>
          <cell r="N1586" t="str">
            <v/>
          </cell>
        </row>
        <row r="1587">
          <cell r="H1587" t="str">
            <v/>
          </cell>
          <cell r="I1587" t="str">
            <v/>
          </cell>
          <cell r="J1587" t="str">
            <v/>
          </cell>
          <cell r="K1587" t="str">
            <v/>
          </cell>
          <cell r="L1587" t="str">
            <v/>
          </cell>
          <cell r="M1587" t="str">
            <v/>
          </cell>
          <cell r="N1587" t="str">
            <v/>
          </cell>
        </row>
        <row r="1588">
          <cell r="H1588" t="str">
            <v/>
          </cell>
          <cell r="I1588" t="str">
            <v/>
          </cell>
          <cell r="J1588" t="str">
            <v/>
          </cell>
          <cell r="K1588" t="str">
            <v/>
          </cell>
          <cell r="L1588" t="str">
            <v/>
          </cell>
          <cell r="M1588" t="str">
            <v/>
          </cell>
          <cell r="N1588" t="str">
            <v/>
          </cell>
        </row>
        <row r="1589">
          <cell r="H1589" t="str">
            <v/>
          </cell>
          <cell r="I1589" t="str">
            <v/>
          </cell>
          <cell r="J1589" t="str">
            <v/>
          </cell>
          <cell r="K1589" t="str">
            <v/>
          </cell>
          <cell r="L1589" t="str">
            <v/>
          </cell>
          <cell r="M1589" t="str">
            <v/>
          </cell>
          <cell r="N1589" t="str">
            <v/>
          </cell>
        </row>
        <row r="1591">
          <cell r="H1591" t="str">
            <v/>
          </cell>
          <cell r="I1591" t="str">
            <v/>
          </cell>
          <cell r="J1591" t="str">
            <v/>
          </cell>
          <cell r="K1591" t="str">
            <v/>
          </cell>
          <cell r="L1591" t="str">
            <v/>
          </cell>
          <cell r="M1591" t="str">
            <v/>
          </cell>
          <cell r="N1591" t="str">
            <v/>
          </cell>
        </row>
        <row r="1592">
          <cell r="H1592" t="str">
            <v/>
          </cell>
          <cell r="I1592" t="str">
            <v/>
          </cell>
          <cell r="J1592" t="str">
            <v/>
          </cell>
          <cell r="K1592" t="str">
            <v/>
          </cell>
          <cell r="L1592" t="str">
            <v/>
          </cell>
          <cell r="M1592" t="str">
            <v/>
          </cell>
          <cell r="N1592" t="str">
            <v/>
          </cell>
        </row>
        <row r="1594">
          <cell r="H1594" t="str">
            <v/>
          </cell>
          <cell r="I1594" t="str">
            <v/>
          </cell>
          <cell r="J1594" t="str">
            <v/>
          </cell>
          <cell r="K1594" t="str">
            <v/>
          </cell>
          <cell r="L1594" t="str">
            <v/>
          </cell>
          <cell r="M1594" t="str">
            <v/>
          </cell>
          <cell r="N1594" t="str">
            <v/>
          </cell>
        </row>
        <row r="1595">
          <cell r="H1595" t="str">
            <v/>
          </cell>
          <cell r="I1595" t="str">
            <v/>
          </cell>
          <cell r="J1595" t="str">
            <v/>
          </cell>
          <cell r="K1595" t="str">
            <v/>
          </cell>
          <cell r="L1595" t="str">
            <v/>
          </cell>
          <cell r="M1595" t="str">
            <v/>
          </cell>
          <cell r="N1595" t="str">
            <v/>
          </cell>
        </row>
        <row r="1597">
          <cell r="H1597" t="str">
            <v/>
          </cell>
          <cell r="I1597" t="str">
            <v/>
          </cell>
          <cell r="J1597" t="str">
            <v/>
          </cell>
          <cell r="K1597" t="str">
            <v/>
          </cell>
          <cell r="L1597" t="str">
            <v/>
          </cell>
          <cell r="M1597" t="str">
            <v/>
          </cell>
          <cell r="N1597" t="str">
            <v/>
          </cell>
        </row>
        <row r="1598">
          <cell r="H1598" t="str">
            <v/>
          </cell>
          <cell r="I1598" t="str">
            <v/>
          </cell>
          <cell r="J1598" t="str">
            <v/>
          </cell>
          <cell r="K1598" t="str">
            <v/>
          </cell>
          <cell r="L1598" t="str">
            <v/>
          </cell>
          <cell r="M1598" t="str">
            <v/>
          </cell>
          <cell r="N1598" t="str">
            <v/>
          </cell>
        </row>
        <row r="1600">
          <cell r="H1600" t="str">
            <v/>
          </cell>
          <cell r="I1600" t="str">
            <v/>
          </cell>
          <cell r="J1600" t="str">
            <v/>
          </cell>
          <cell r="K1600" t="str">
            <v/>
          </cell>
          <cell r="L1600" t="str">
            <v/>
          </cell>
          <cell r="M1600" t="str">
            <v/>
          </cell>
          <cell r="N1600" t="str">
            <v/>
          </cell>
        </row>
        <row r="1601">
          <cell r="H1601" t="str">
            <v/>
          </cell>
          <cell r="I1601" t="str">
            <v/>
          </cell>
          <cell r="J1601" t="str">
            <v/>
          </cell>
          <cell r="K1601" t="str">
            <v/>
          </cell>
          <cell r="L1601" t="str">
            <v/>
          </cell>
          <cell r="M1601" t="str">
            <v/>
          </cell>
          <cell r="N1601" t="str">
            <v/>
          </cell>
        </row>
        <row r="1602">
          <cell r="H1602" t="str">
            <v/>
          </cell>
          <cell r="I1602" t="str">
            <v/>
          </cell>
          <cell r="J1602" t="str">
            <v/>
          </cell>
          <cell r="K1602" t="str">
            <v/>
          </cell>
          <cell r="L1602" t="str">
            <v/>
          </cell>
          <cell r="M1602" t="str">
            <v/>
          </cell>
          <cell r="N1602" t="str">
            <v/>
          </cell>
        </row>
        <row r="1603">
          <cell r="H1603" t="str">
            <v/>
          </cell>
          <cell r="I1603" t="str">
            <v/>
          </cell>
          <cell r="J1603" t="str">
            <v/>
          </cell>
          <cell r="K1603" t="str">
            <v/>
          </cell>
          <cell r="L1603" t="str">
            <v/>
          </cell>
          <cell r="M1603" t="str">
            <v/>
          </cell>
          <cell r="N1603" t="str">
            <v/>
          </cell>
        </row>
        <row r="1604">
          <cell r="H1604" t="str">
            <v/>
          </cell>
          <cell r="I1604" t="str">
            <v/>
          </cell>
          <cell r="J1604" t="str">
            <v/>
          </cell>
          <cell r="K1604" t="str">
            <v/>
          </cell>
          <cell r="L1604" t="str">
            <v/>
          </cell>
          <cell r="M1604" t="str">
            <v/>
          </cell>
          <cell r="N1604" t="str">
            <v/>
          </cell>
        </row>
        <row r="1605">
          <cell r="H1605" t="str">
            <v/>
          </cell>
          <cell r="I1605" t="str">
            <v/>
          </cell>
          <cell r="J1605" t="str">
            <v/>
          </cell>
          <cell r="K1605" t="str">
            <v/>
          </cell>
          <cell r="L1605" t="str">
            <v/>
          </cell>
          <cell r="M1605" t="str">
            <v/>
          </cell>
          <cell r="N1605" t="str">
            <v/>
          </cell>
        </row>
        <row r="1606">
          <cell r="H1606" t="str">
            <v/>
          </cell>
          <cell r="I1606" t="str">
            <v/>
          </cell>
          <cell r="J1606" t="str">
            <v/>
          </cell>
          <cell r="K1606" t="str">
            <v/>
          </cell>
          <cell r="L1606" t="str">
            <v/>
          </cell>
          <cell r="M1606" t="str">
            <v/>
          </cell>
          <cell r="N1606" t="str">
            <v/>
          </cell>
        </row>
        <row r="1607">
          <cell r="H1607" t="str">
            <v/>
          </cell>
          <cell r="I1607" t="str">
            <v/>
          </cell>
          <cell r="J1607" t="str">
            <v/>
          </cell>
          <cell r="K1607" t="str">
            <v/>
          </cell>
          <cell r="L1607" t="str">
            <v/>
          </cell>
          <cell r="M1607" t="str">
            <v/>
          </cell>
          <cell r="N1607" t="str">
            <v/>
          </cell>
        </row>
        <row r="1608">
          <cell r="H1608" t="str">
            <v/>
          </cell>
          <cell r="I1608" t="str">
            <v/>
          </cell>
          <cell r="J1608" t="str">
            <v/>
          </cell>
          <cell r="K1608" t="str">
            <v/>
          </cell>
          <cell r="L1608" t="str">
            <v/>
          </cell>
          <cell r="M1608" t="str">
            <v/>
          </cell>
          <cell r="N1608" t="str">
            <v/>
          </cell>
        </row>
        <row r="1609">
          <cell r="H1609" t="str">
            <v/>
          </cell>
          <cell r="I1609" t="str">
            <v/>
          </cell>
          <cell r="J1609" t="str">
            <v/>
          </cell>
          <cell r="K1609" t="str">
            <v/>
          </cell>
          <cell r="L1609" t="str">
            <v/>
          </cell>
          <cell r="M1609" t="str">
            <v/>
          </cell>
          <cell r="N1609" t="str">
            <v/>
          </cell>
        </row>
        <row r="1611">
          <cell r="H1611" t="str">
            <v/>
          </cell>
          <cell r="I1611" t="str">
            <v/>
          </cell>
          <cell r="J1611" t="str">
            <v/>
          </cell>
          <cell r="K1611" t="str">
            <v/>
          </cell>
          <cell r="L1611" t="str">
            <v/>
          </cell>
          <cell r="M1611" t="str">
            <v/>
          </cell>
          <cell r="N1611" t="str">
            <v/>
          </cell>
        </row>
        <row r="1612">
          <cell r="H1612" t="str">
            <v/>
          </cell>
          <cell r="I1612" t="str">
            <v/>
          </cell>
          <cell r="J1612" t="str">
            <v/>
          </cell>
          <cell r="K1612" t="str">
            <v/>
          </cell>
          <cell r="L1612" t="str">
            <v/>
          </cell>
          <cell r="M1612" t="str">
            <v/>
          </cell>
          <cell r="N1612" t="str">
            <v/>
          </cell>
        </row>
        <row r="1614">
          <cell r="H1614" t="str">
            <v/>
          </cell>
          <cell r="I1614" t="str">
            <v/>
          </cell>
          <cell r="J1614" t="str">
            <v/>
          </cell>
          <cell r="K1614" t="str">
            <v/>
          </cell>
          <cell r="L1614" t="str">
            <v/>
          </cell>
          <cell r="M1614" t="str">
            <v/>
          </cell>
          <cell r="N1614" t="str">
            <v/>
          </cell>
        </row>
        <row r="1617">
          <cell r="E1617" t="str">
            <v/>
          </cell>
          <cell r="H1617" t="str">
            <v/>
          </cell>
          <cell r="I1617" t="str">
            <v/>
          </cell>
          <cell r="J1617" t="str">
            <v/>
          </cell>
          <cell r="K1617" t="str">
            <v/>
          </cell>
          <cell r="L1617" t="str">
            <v/>
          </cell>
          <cell r="M1617" t="str">
            <v/>
          </cell>
          <cell r="N1617" t="str">
            <v/>
          </cell>
        </row>
        <row r="1618">
          <cell r="E1618" t="str">
            <v/>
          </cell>
          <cell r="H1618" t="str">
            <v/>
          </cell>
          <cell r="I1618" t="str">
            <v/>
          </cell>
          <cell r="J1618" t="str">
            <v/>
          </cell>
          <cell r="K1618" t="str">
            <v/>
          </cell>
          <cell r="L1618" t="str">
            <v/>
          </cell>
          <cell r="M1618" t="str">
            <v/>
          </cell>
          <cell r="N1618" t="str">
            <v/>
          </cell>
        </row>
        <row r="1620">
          <cell r="E1620" t="str">
            <v/>
          </cell>
          <cell r="H1620" t="str">
            <v/>
          </cell>
          <cell r="I1620" t="str">
            <v/>
          </cell>
          <cell r="J1620" t="str">
            <v/>
          </cell>
          <cell r="K1620" t="str">
            <v/>
          </cell>
          <cell r="L1620" t="str">
            <v/>
          </cell>
          <cell r="M1620" t="str">
            <v/>
          </cell>
          <cell r="N1620" t="str">
            <v/>
          </cell>
        </row>
        <row r="1621">
          <cell r="E1621" t="str">
            <v/>
          </cell>
          <cell r="H1621" t="str">
            <v/>
          </cell>
          <cell r="I1621" t="str">
            <v/>
          </cell>
          <cell r="J1621" t="str">
            <v/>
          </cell>
          <cell r="K1621" t="str">
            <v/>
          </cell>
          <cell r="L1621" t="str">
            <v/>
          </cell>
          <cell r="M1621" t="str">
            <v/>
          </cell>
          <cell r="N1621" t="str">
            <v/>
          </cell>
        </row>
        <row r="1625">
          <cell r="I1625" t="str">
            <v/>
          </cell>
        </row>
        <row r="1628">
          <cell r="E1628" t="str">
            <v/>
          </cell>
          <cell r="H1628" t="str">
            <v>N.A.</v>
          </cell>
          <cell r="I1628" t="str">
            <v/>
          </cell>
          <cell r="J1628" t="str">
            <v>N.A.</v>
          </cell>
          <cell r="K1628" t="str">
            <v>N.A.</v>
          </cell>
          <cell r="L1628" t="str">
            <v>N.A.</v>
          </cell>
          <cell r="M1628" t="str">
            <v>N.A.</v>
          </cell>
          <cell r="N1628" t="str">
            <v>EUA/tonnes</v>
          </cell>
        </row>
        <row r="1631">
          <cell r="F1631" t="str">
            <v>tonnes</v>
          </cell>
          <cell r="G1631" t="str">
            <v/>
          </cell>
          <cell r="H1631" t="str">
            <v/>
          </cell>
          <cell r="I1631" t="str">
            <v/>
          </cell>
          <cell r="J1631" t="str">
            <v/>
          </cell>
          <cell r="K1631" t="str">
            <v/>
          </cell>
          <cell r="L1631" t="str">
            <v/>
          </cell>
          <cell r="M1631" t="str">
            <v/>
          </cell>
          <cell r="N1631" t="str">
            <v/>
          </cell>
        </row>
        <row r="1635">
          <cell r="J1635" t="str">
            <v/>
          </cell>
          <cell r="K1635" t="str">
            <v/>
          </cell>
          <cell r="L1635" t="str">
            <v/>
          </cell>
          <cell r="M1635" t="str">
            <v/>
          </cell>
          <cell r="N1635" t="str">
            <v/>
          </cell>
        </row>
        <row r="1636">
          <cell r="J1636" t="str">
            <v/>
          </cell>
          <cell r="K1636" t="str">
            <v/>
          </cell>
          <cell r="L1636" t="str">
            <v/>
          </cell>
          <cell r="M1636" t="str">
            <v/>
          </cell>
          <cell r="N1636" t="str">
            <v/>
          </cell>
        </row>
        <row r="1639">
          <cell r="H1639" t="str">
            <v>tonnes</v>
          </cell>
          <cell r="J1639" t="str">
            <v/>
          </cell>
          <cell r="K1639" t="str">
            <v/>
          </cell>
          <cell r="L1639" t="str">
            <v/>
          </cell>
          <cell r="M1639" t="str">
            <v/>
          </cell>
          <cell r="N1639" t="str">
            <v/>
          </cell>
        </row>
        <row r="1640">
          <cell r="J1640" t="str">
            <v/>
          </cell>
          <cell r="K1640" t="str">
            <v/>
          </cell>
          <cell r="L1640" t="str">
            <v/>
          </cell>
          <cell r="M1640" t="str">
            <v/>
          </cell>
          <cell r="N1640" t="str">
            <v/>
          </cell>
        </row>
        <row r="1641">
          <cell r="J1641" t="str">
            <v/>
          </cell>
          <cell r="K1641" t="str">
            <v/>
          </cell>
          <cell r="L1641" t="str">
            <v/>
          </cell>
          <cell r="M1641" t="str">
            <v/>
          </cell>
          <cell r="N1641" t="str">
            <v/>
          </cell>
        </row>
        <row r="1642">
          <cell r="J1642" t="str">
            <v/>
          </cell>
          <cell r="K1642" t="str">
            <v/>
          </cell>
          <cell r="L1642" t="str">
            <v/>
          </cell>
          <cell r="M1642" t="str">
            <v/>
          </cell>
          <cell r="N1642" t="str">
            <v/>
          </cell>
        </row>
        <row r="1643">
          <cell r="J1643" t="str">
            <v/>
          </cell>
          <cell r="K1643" t="str">
            <v/>
          </cell>
          <cell r="L1643" t="str">
            <v/>
          </cell>
          <cell r="M1643" t="str">
            <v/>
          </cell>
          <cell r="N1643" t="str">
            <v/>
          </cell>
        </row>
        <row r="1644">
          <cell r="J1644" t="str">
            <v/>
          </cell>
          <cell r="K1644" t="str">
            <v/>
          </cell>
          <cell r="L1644" t="str">
            <v/>
          </cell>
          <cell r="M1644" t="str">
            <v/>
          </cell>
          <cell r="N1644" t="str">
            <v/>
          </cell>
        </row>
        <row r="1645">
          <cell r="J1645" t="str">
            <v/>
          </cell>
          <cell r="K1645" t="str">
            <v/>
          </cell>
          <cell r="L1645" t="str">
            <v/>
          </cell>
          <cell r="M1645" t="str">
            <v/>
          </cell>
          <cell r="N1645" t="str">
            <v/>
          </cell>
        </row>
        <row r="1648">
          <cell r="H1648" t="str">
            <v>tonnes</v>
          </cell>
          <cell r="J1648" t="str">
            <v/>
          </cell>
          <cell r="K1648" t="str">
            <v/>
          </cell>
          <cell r="L1648" t="str">
            <v/>
          </cell>
          <cell r="M1648" t="str">
            <v/>
          </cell>
          <cell r="N1648" t="str">
            <v/>
          </cell>
        </row>
        <row r="1649">
          <cell r="J1649" t="str">
            <v/>
          </cell>
          <cell r="K1649" t="str">
            <v/>
          </cell>
          <cell r="L1649" t="str">
            <v/>
          </cell>
          <cell r="M1649" t="str">
            <v/>
          </cell>
          <cell r="N1649" t="str">
            <v/>
          </cell>
        </row>
        <row r="1650">
          <cell r="J1650" t="str">
            <v/>
          </cell>
          <cell r="K1650" t="str">
            <v/>
          </cell>
          <cell r="L1650" t="str">
            <v/>
          </cell>
          <cell r="M1650" t="str">
            <v/>
          </cell>
          <cell r="N1650" t="str">
            <v/>
          </cell>
        </row>
        <row r="1651">
          <cell r="H1651" t="str">
            <v>tonnes</v>
          </cell>
          <cell r="J1651" t="str">
            <v/>
          </cell>
          <cell r="K1651" t="str">
            <v/>
          </cell>
          <cell r="L1651" t="str">
            <v/>
          </cell>
          <cell r="M1651" t="str">
            <v/>
          </cell>
          <cell r="N1651" t="str">
            <v/>
          </cell>
        </row>
        <row r="1652">
          <cell r="J1652" t="str">
            <v/>
          </cell>
          <cell r="K1652" t="str">
            <v/>
          </cell>
          <cell r="L1652" t="str">
            <v/>
          </cell>
          <cell r="M1652" t="str">
            <v/>
          </cell>
          <cell r="N1652" t="str">
            <v/>
          </cell>
        </row>
        <row r="1653">
          <cell r="J1653" t="str">
            <v/>
          </cell>
          <cell r="K1653" t="str">
            <v/>
          </cell>
          <cell r="L1653" t="str">
            <v/>
          </cell>
          <cell r="M1653" t="str">
            <v/>
          </cell>
          <cell r="N1653" t="str">
            <v/>
          </cell>
        </row>
        <row r="1654">
          <cell r="J1654" t="str">
            <v/>
          </cell>
          <cell r="K1654" t="str">
            <v/>
          </cell>
          <cell r="L1654" t="str">
            <v/>
          </cell>
          <cell r="M1654" t="str">
            <v/>
          </cell>
          <cell r="N1654" t="str">
            <v/>
          </cell>
        </row>
        <row r="1655">
          <cell r="J1655" t="str">
            <v/>
          </cell>
          <cell r="K1655" t="str">
            <v/>
          </cell>
          <cell r="L1655" t="str">
            <v/>
          </cell>
          <cell r="M1655" t="str">
            <v/>
          </cell>
          <cell r="N1655" t="str">
            <v/>
          </cell>
        </row>
        <row r="1656">
          <cell r="J1656" t="str">
            <v/>
          </cell>
          <cell r="K1656" t="str">
            <v/>
          </cell>
          <cell r="L1656" t="str">
            <v/>
          </cell>
          <cell r="M1656" t="str">
            <v/>
          </cell>
          <cell r="N1656" t="str">
            <v/>
          </cell>
        </row>
        <row r="1657">
          <cell r="J1657" t="str">
            <v/>
          </cell>
          <cell r="K1657" t="str">
            <v/>
          </cell>
          <cell r="L1657" t="str">
            <v/>
          </cell>
          <cell r="M1657" t="str">
            <v/>
          </cell>
          <cell r="N1657" t="str">
            <v/>
          </cell>
        </row>
        <row r="1658">
          <cell r="J1658" t="str">
            <v/>
          </cell>
          <cell r="K1658" t="str">
            <v/>
          </cell>
          <cell r="L1658" t="str">
            <v/>
          </cell>
          <cell r="M1658" t="str">
            <v/>
          </cell>
          <cell r="N1658" t="str">
            <v/>
          </cell>
        </row>
        <row r="1659">
          <cell r="J1659" t="str">
            <v/>
          </cell>
          <cell r="K1659" t="str">
            <v/>
          </cell>
          <cell r="L1659" t="str">
            <v/>
          </cell>
          <cell r="M1659" t="str">
            <v/>
          </cell>
          <cell r="N1659" t="str">
            <v/>
          </cell>
        </row>
        <row r="1662">
          <cell r="H1662" t="str">
            <v>tonnes</v>
          </cell>
          <cell r="J1662" t="str">
            <v/>
          </cell>
          <cell r="K1662" t="str">
            <v/>
          </cell>
          <cell r="L1662" t="str">
            <v/>
          </cell>
          <cell r="M1662" t="str">
            <v/>
          </cell>
          <cell r="N1662" t="str">
            <v/>
          </cell>
        </row>
        <row r="1663">
          <cell r="J1663" t="str">
            <v/>
          </cell>
          <cell r="K1663" t="str">
            <v/>
          </cell>
          <cell r="L1663" t="str">
            <v/>
          </cell>
          <cell r="M1663" t="str">
            <v/>
          </cell>
          <cell r="N1663" t="str">
            <v/>
          </cell>
        </row>
        <row r="1664">
          <cell r="J1664" t="str">
            <v/>
          </cell>
          <cell r="K1664" t="str">
            <v/>
          </cell>
          <cell r="L1664" t="str">
            <v/>
          </cell>
          <cell r="M1664" t="str">
            <v/>
          </cell>
          <cell r="N1664" t="str">
            <v/>
          </cell>
        </row>
        <row r="1665">
          <cell r="J1665" t="str">
            <v/>
          </cell>
          <cell r="K1665" t="str">
            <v/>
          </cell>
          <cell r="L1665" t="str">
            <v/>
          </cell>
          <cell r="M1665" t="str">
            <v/>
          </cell>
          <cell r="N1665" t="str">
            <v/>
          </cell>
        </row>
        <row r="1666">
          <cell r="J1666" t="str">
            <v/>
          </cell>
          <cell r="K1666" t="str">
            <v/>
          </cell>
          <cell r="L1666" t="str">
            <v/>
          </cell>
          <cell r="M1666" t="str">
            <v/>
          </cell>
          <cell r="N1666" t="str">
            <v/>
          </cell>
        </row>
        <row r="1667">
          <cell r="J1667" t="str">
            <v/>
          </cell>
          <cell r="K1667" t="str">
            <v/>
          </cell>
          <cell r="L1667" t="str">
            <v/>
          </cell>
          <cell r="M1667" t="str">
            <v/>
          </cell>
          <cell r="N1667" t="str">
            <v/>
          </cell>
        </row>
        <row r="1668">
          <cell r="J1668" t="str">
            <v/>
          </cell>
          <cell r="K1668" t="str">
            <v/>
          </cell>
          <cell r="L1668" t="str">
            <v/>
          </cell>
          <cell r="M1668" t="str">
            <v/>
          </cell>
          <cell r="N1668" t="str">
            <v/>
          </cell>
        </row>
        <row r="1669">
          <cell r="J1669" t="str">
            <v/>
          </cell>
          <cell r="K1669" t="str">
            <v/>
          </cell>
          <cell r="L1669" t="str">
            <v/>
          </cell>
          <cell r="M1669" t="str">
            <v/>
          </cell>
          <cell r="N1669" t="str">
            <v/>
          </cell>
        </row>
        <row r="1670">
          <cell r="J1670" t="str">
            <v/>
          </cell>
          <cell r="K1670" t="str">
            <v/>
          </cell>
          <cell r="L1670" t="str">
            <v/>
          </cell>
          <cell r="M1670" t="str">
            <v/>
          </cell>
          <cell r="N1670" t="str">
            <v/>
          </cell>
        </row>
        <row r="1671">
          <cell r="J1671" t="str">
            <v/>
          </cell>
          <cell r="K1671" t="str">
            <v/>
          </cell>
          <cell r="L1671" t="str">
            <v/>
          </cell>
          <cell r="M1671" t="str">
            <v/>
          </cell>
          <cell r="N1671" t="str">
            <v/>
          </cell>
        </row>
        <row r="1672">
          <cell r="J1672" t="str">
            <v/>
          </cell>
          <cell r="K1672" t="str">
            <v/>
          </cell>
          <cell r="L1672" t="str">
            <v/>
          </cell>
          <cell r="M1672" t="str">
            <v/>
          </cell>
          <cell r="N1672" t="str">
            <v/>
          </cell>
        </row>
        <row r="1673">
          <cell r="J1673" t="str">
            <v/>
          </cell>
          <cell r="K1673" t="str">
            <v/>
          </cell>
          <cell r="L1673" t="str">
            <v/>
          </cell>
          <cell r="M1673" t="str">
            <v/>
          </cell>
          <cell r="N1673" t="str">
            <v/>
          </cell>
        </row>
        <row r="1676">
          <cell r="H1676" t="str">
            <v>tonnes</v>
          </cell>
          <cell r="J1676" t="str">
            <v/>
          </cell>
          <cell r="K1676" t="str">
            <v/>
          </cell>
          <cell r="L1676" t="str">
            <v/>
          </cell>
          <cell r="M1676" t="str">
            <v/>
          </cell>
          <cell r="N1676" t="str">
            <v/>
          </cell>
        </row>
        <row r="1677">
          <cell r="J1677" t="str">
            <v/>
          </cell>
          <cell r="K1677" t="str">
            <v/>
          </cell>
          <cell r="L1677" t="str">
            <v/>
          </cell>
          <cell r="M1677" t="str">
            <v/>
          </cell>
          <cell r="N1677" t="str">
            <v/>
          </cell>
        </row>
        <row r="1678">
          <cell r="J1678" t="str">
            <v/>
          </cell>
          <cell r="K1678" t="str">
            <v/>
          </cell>
          <cell r="L1678" t="str">
            <v/>
          </cell>
          <cell r="M1678" t="str">
            <v/>
          </cell>
          <cell r="N1678" t="str">
            <v/>
          </cell>
        </row>
        <row r="1679">
          <cell r="J1679" t="str">
            <v/>
          </cell>
          <cell r="K1679" t="str">
            <v/>
          </cell>
          <cell r="L1679" t="str">
            <v/>
          </cell>
          <cell r="M1679" t="str">
            <v/>
          </cell>
          <cell r="N1679" t="str">
            <v/>
          </cell>
        </row>
        <row r="1680">
          <cell r="J1680" t="str">
            <v/>
          </cell>
          <cell r="K1680" t="str">
            <v/>
          </cell>
          <cell r="L1680" t="str">
            <v/>
          </cell>
          <cell r="M1680" t="str">
            <v/>
          </cell>
          <cell r="N1680" t="str">
            <v/>
          </cell>
        </row>
        <row r="1681">
          <cell r="J1681" t="str">
            <v/>
          </cell>
          <cell r="K1681" t="str">
            <v/>
          </cell>
          <cell r="L1681" t="str">
            <v/>
          </cell>
          <cell r="M1681" t="str">
            <v/>
          </cell>
          <cell r="N1681" t="str">
            <v/>
          </cell>
        </row>
        <row r="1682">
          <cell r="J1682" t="str">
            <v/>
          </cell>
          <cell r="K1682" t="str">
            <v/>
          </cell>
          <cell r="L1682" t="str">
            <v/>
          </cell>
          <cell r="M1682" t="str">
            <v/>
          </cell>
          <cell r="N1682" t="str">
            <v/>
          </cell>
        </row>
        <row r="1683">
          <cell r="J1683" t="str">
            <v/>
          </cell>
          <cell r="K1683" t="str">
            <v/>
          </cell>
          <cell r="L1683" t="str">
            <v/>
          </cell>
          <cell r="M1683" t="str">
            <v/>
          </cell>
          <cell r="N1683" t="str">
            <v/>
          </cell>
        </row>
        <row r="1684">
          <cell r="J1684" t="str">
            <v/>
          </cell>
          <cell r="K1684" t="str">
            <v/>
          </cell>
          <cell r="L1684" t="str">
            <v/>
          </cell>
          <cell r="M1684" t="str">
            <v/>
          </cell>
          <cell r="N1684" t="str">
            <v/>
          </cell>
        </row>
        <row r="1685">
          <cell r="J1685" t="str">
            <v/>
          </cell>
          <cell r="K1685" t="str">
            <v/>
          </cell>
          <cell r="L1685" t="str">
            <v/>
          </cell>
          <cell r="M1685" t="str">
            <v/>
          </cell>
          <cell r="N1685" t="str">
            <v/>
          </cell>
        </row>
        <row r="1686">
          <cell r="J1686" t="str">
            <v/>
          </cell>
          <cell r="K1686" t="str">
            <v/>
          </cell>
          <cell r="L1686" t="str">
            <v/>
          </cell>
          <cell r="M1686" t="str">
            <v/>
          </cell>
          <cell r="N1686" t="str">
            <v/>
          </cell>
        </row>
        <row r="1687">
          <cell r="J1687" t="str">
            <v/>
          </cell>
          <cell r="K1687" t="str">
            <v/>
          </cell>
          <cell r="L1687" t="str">
            <v/>
          </cell>
          <cell r="M1687" t="str">
            <v/>
          </cell>
          <cell r="N1687" t="str">
            <v/>
          </cell>
        </row>
        <row r="1690">
          <cell r="H1690" t="str">
            <v>tonnes</v>
          </cell>
          <cell r="J1690" t="str">
            <v/>
          </cell>
          <cell r="K1690" t="str">
            <v/>
          </cell>
          <cell r="L1690" t="str">
            <v/>
          </cell>
          <cell r="M1690" t="str">
            <v/>
          </cell>
          <cell r="N1690" t="str">
            <v/>
          </cell>
        </row>
        <row r="1691">
          <cell r="J1691" t="str">
            <v/>
          </cell>
          <cell r="K1691" t="str">
            <v/>
          </cell>
          <cell r="L1691" t="str">
            <v/>
          </cell>
          <cell r="M1691" t="str">
            <v/>
          </cell>
          <cell r="N1691" t="str">
            <v/>
          </cell>
        </row>
        <row r="1692">
          <cell r="J1692" t="str">
            <v/>
          </cell>
          <cell r="K1692" t="str">
            <v/>
          </cell>
          <cell r="L1692" t="str">
            <v/>
          </cell>
          <cell r="M1692" t="str">
            <v/>
          </cell>
          <cell r="N1692" t="str">
            <v/>
          </cell>
        </row>
        <row r="1693">
          <cell r="J1693" t="str">
            <v/>
          </cell>
          <cell r="K1693" t="str">
            <v/>
          </cell>
          <cell r="L1693" t="str">
            <v/>
          </cell>
          <cell r="M1693" t="str">
            <v/>
          </cell>
          <cell r="N1693" t="str">
            <v/>
          </cell>
        </row>
        <row r="1694">
          <cell r="J1694" t="str">
            <v/>
          </cell>
          <cell r="K1694" t="str">
            <v/>
          </cell>
          <cell r="L1694" t="str">
            <v/>
          </cell>
          <cell r="M1694" t="str">
            <v/>
          </cell>
          <cell r="N1694" t="str">
            <v/>
          </cell>
        </row>
        <row r="1695">
          <cell r="J1695" t="str">
            <v/>
          </cell>
          <cell r="K1695" t="str">
            <v/>
          </cell>
          <cell r="L1695" t="str">
            <v/>
          </cell>
          <cell r="M1695" t="str">
            <v/>
          </cell>
          <cell r="N1695" t="str">
            <v/>
          </cell>
        </row>
        <row r="1696">
          <cell r="J1696" t="str">
            <v/>
          </cell>
          <cell r="K1696" t="str">
            <v/>
          </cell>
          <cell r="L1696" t="str">
            <v/>
          </cell>
          <cell r="M1696" t="str">
            <v/>
          </cell>
          <cell r="N1696" t="str">
            <v/>
          </cell>
        </row>
        <row r="1697">
          <cell r="J1697" t="str">
            <v/>
          </cell>
          <cell r="K1697" t="str">
            <v/>
          </cell>
          <cell r="L1697" t="str">
            <v/>
          </cell>
          <cell r="M1697" t="str">
            <v/>
          </cell>
          <cell r="N1697" t="str">
            <v/>
          </cell>
        </row>
        <row r="1698">
          <cell r="J1698" t="str">
            <v/>
          </cell>
          <cell r="K1698" t="str">
            <v/>
          </cell>
          <cell r="L1698" t="str">
            <v/>
          </cell>
          <cell r="M1698" t="str">
            <v/>
          </cell>
          <cell r="N1698" t="str">
            <v/>
          </cell>
        </row>
        <row r="1699">
          <cell r="J1699" t="str">
            <v/>
          </cell>
          <cell r="K1699" t="str">
            <v/>
          </cell>
          <cell r="L1699" t="str">
            <v/>
          </cell>
          <cell r="M1699" t="str">
            <v/>
          </cell>
          <cell r="N1699" t="str">
            <v/>
          </cell>
        </row>
        <row r="1700">
          <cell r="J1700" t="str">
            <v/>
          </cell>
          <cell r="K1700" t="str">
            <v/>
          </cell>
          <cell r="L1700" t="str">
            <v/>
          </cell>
          <cell r="M1700" t="str">
            <v/>
          </cell>
          <cell r="N1700" t="str">
            <v/>
          </cell>
        </row>
        <row r="1701">
          <cell r="J1701" t="str">
            <v/>
          </cell>
          <cell r="K1701" t="str">
            <v/>
          </cell>
          <cell r="L1701" t="str">
            <v/>
          </cell>
          <cell r="M1701" t="str">
            <v/>
          </cell>
          <cell r="N1701" t="str">
            <v/>
          </cell>
        </row>
        <row r="1704">
          <cell r="H1704" t="str">
            <v>tonnes</v>
          </cell>
          <cell r="J1704" t="str">
            <v/>
          </cell>
          <cell r="K1704" t="str">
            <v/>
          </cell>
          <cell r="L1704" t="str">
            <v/>
          </cell>
          <cell r="M1704" t="str">
            <v/>
          </cell>
          <cell r="N1704" t="str">
            <v/>
          </cell>
        </row>
        <row r="1705">
          <cell r="J1705" t="str">
            <v/>
          </cell>
          <cell r="K1705" t="str">
            <v/>
          </cell>
          <cell r="L1705" t="str">
            <v/>
          </cell>
          <cell r="M1705" t="str">
            <v/>
          </cell>
          <cell r="N1705" t="str">
            <v/>
          </cell>
        </row>
        <row r="1706">
          <cell r="J1706" t="str">
            <v/>
          </cell>
          <cell r="K1706" t="str">
            <v/>
          </cell>
          <cell r="L1706" t="str">
            <v/>
          </cell>
          <cell r="M1706" t="str">
            <v/>
          </cell>
          <cell r="N1706" t="str">
            <v/>
          </cell>
        </row>
        <row r="1707">
          <cell r="J1707" t="str">
            <v/>
          </cell>
          <cell r="K1707" t="str">
            <v/>
          </cell>
          <cell r="L1707" t="str">
            <v/>
          </cell>
          <cell r="M1707" t="str">
            <v/>
          </cell>
          <cell r="N1707" t="str">
            <v/>
          </cell>
        </row>
        <row r="1708">
          <cell r="J1708" t="str">
            <v/>
          </cell>
          <cell r="K1708" t="str">
            <v/>
          </cell>
          <cell r="L1708" t="str">
            <v/>
          </cell>
          <cell r="M1708" t="str">
            <v/>
          </cell>
          <cell r="N1708" t="str">
            <v/>
          </cell>
        </row>
        <row r="1709">
          <cell r="J1709" t="str">
            <v/>
          </cell>
          <cell r="K1709" t="str">
            <v/>
          </cell>
          <cell r="L1709" t="str">
            <v/>
          </cell>
          <cell r="M1709" t="str">
            <v/>
          </cell>
          <cell r="N1709" t="str">
            <v/>
          </cell>
        </row>
        <row r="1710">
          <cell r="J1710" t="str">
            <v/>
          </cell>
          <cell r="K1710" t="str">
            <v/>
          </cell>
          <cell r="L1710" t="str">
            <v/>
          </cell>
          <cell r="M1710" t="str">
            <v/>
          </cell>
          <cell r="N1710" t="str">
            <v/>
          </cell>
        </row>
        <row r="1711">
          <cell r="J1711" t="str">
            <v/>
          </cell>
          <cell r="K1711" t="str">
            <v/>
          </cell>
          <cell r="L1711" t="str">
            <v/>
          </cell>
          <cell r="M1711" t="str">
            <v/>
          </cell>
          <cell r="N1711" t="str">
            <v/>
          </cell>
        </row>
        <row r="1712">
          <cell r="J1712" t="str">
            <v/>
          </cell>
          <cell r="K1712" t="str">
            <v/>
          </cell>
          <cell r="L1712" t="str">
            <v/>
          </cell>
          <cell r="M1712" t="str">
            <v/>
          </cell>
          <cell r="N1712" t="str">
            <v/>
          </cell>
        </row>
        <row r="1713">
          <cell r="J1713" t="str">
            <v/>
          </cell>
          <cell r="K1713" t="str">
            <v/>
          </cell>
          <cell r="L1713" t="str">
            <v/>
          </cell>
          <cell r="M1713" t="str">
            <v/>
          </cell>
          <cell r="N1713" t="str">
            <v/>
          </cell>
        </row>
        <row r="1714">
          <cell r="J1714" t="str">
            <v/>
          </cell>
          <cell r="K1714" t="str">
            <v/>
          </cell>
          <cell r="L1714" t="str">
            <v/>
          </cell>
          <cell r="M1714" t="str">
            <v/>
          </cell>
          <cell r="N1714" t="str">
            <v/>
          </cell>
        </row>
        <row r="1715">
          <cell r="J1715" t="str">
            <v/>
          </cell>
          <cell r="K1715" t="str">
            <v/>
          </cell>
          <cell r="L1715" t="str">
            <v/>
          </cell>
          <cell r="M1715" t="str">
            <v/>
          </cell>
          <cell r="N1715" t="str">
            <v/>
          </cell>
        </row>
        <row r="1718">
          <cell r="H1718" t="str">
            <v>tonnes</v>
          </cell>
          <cell r="J1718" t="str">
            <v/>
          </cell>
          <cell r="K1718" t="str">
            <v/>
          </cell>
          <cell r="L1718" t="str">
            <v/>
          </cell>
          <cell r="M1718" t="str">
            <v/>
          </cell>
          <cell r="N1718" t="str">
            <v/>
          </cell>
        </row>
        <row r="1719">
          <cell r="J1719" t="str">
            <v/>
          </cell>
          <cell r="K1719" t="str">
            <v/>
          </cell>
          <cell r="L1719" t="str">
            <v/>
          </cell>
          <cell r="M1719" t="str">
            <v/>
          </cell>
          <cell r="N1719" t="str">
            <v/>
          </cell>
        </row>
        <row r="1720">
          <cell r="J1720" t="str">
            <v/>
          </cell>
          <cell r="K1720" t="str">
            <v/>
          </cell>
          <cell r="L1720" t="str">
            <v/>
          </cell>
          <cell r="M1720" t="str">
            <v/>
          </cell>
          <cell r="N1720" t="str">
            <v/>
          </cell>
        </row>
        <row r="1721">
          <cell r="J1721" t="str">
            <v/>
          </cell>
          <cell r="K1721" t="str">
            <v/>
          </cell>
          <cell r="L1721" t="str">
            <v/>
          </cell>
          <cell r="M1721" t="str">
            <v/>
          </cell>
          <cell r="N1721" t="str">
            <v/>
          </cell>
        </row>
        <row r="1722">
          <cell r="J1722" t="str">
            <v/>
          </cell>
          <cell r="K1722" t="str">
            <v/>
          </cell>
          <cell r="L1722" t="str">
            <v/>
          </cell>
          <cell r="M1722" t="str">
            <v/>
          </cell>
          <cell r="N1722" t="str">
            <v/>
          </cell>
        </row>
        <row r="1723">
          <cell r="J1723" t="str">
            <v/>
          </cell>
          <cell r="K1723" t="str">
            <v/>
          </cell>
          <cell r="L1723" t="str">
            <v/>
          </cell>
          <cell r="M1723" t="str">
            <v/>
          </cell>
          <cell r="N1723" t="str">
            <v/>
          </cell>
        </row>
        <row r="1724">
          <cell r="J1724" t="str">
            <v/>
          </cell>
          <cell r="K1724" t="str">
            <v/>
          </cell>
          <cell r="L1724" t="str">
            <v/>
          </cell>
          <cell r="M1724" t="str">
            <v/>
          </cell>
          <cell r="N1724" t="str">
            <v/>
          </cell>
        </row>
        <row r="1725">
          <cell r="J1725" t="str">
            <v/>
          </cell>
          <cell r="K1725" t="str">
            <v/>
          </cell>
          <cell r="L1725" t="str">
            <v/>
          </cell>
          <cell r="M1725" t="str">
            <v/>
          </cell>
          <cell r="N1725" t="str">
            <v/>
          </cell>
        </row>
        <row r="1726">
          <cell r="J1726" t="str">
            <v/>
          </cell>
          <cell r="K1726" t="str">
            <v/>
          </cell>
          <cell r="L1726" t="str">
            <v/>
          </cell>
          <cell r="M1726" t="str">
            <v/>
          </cell>
          <cell r="N1726" t="str">
            <v/>
          </cell>
        </row>
        <row r="1727">
          <cell r="J1727" t="str">
            <v/>
          </cell>
          <cell r="K1727" t="str">
            <v/>
          </cell>
          <cell r="L1727" t="str">
            <v/>
          </cell>
          <cell r="M1727" t="str">
            <v/>
          </cell>
          <cell r="N1727" t="str">
            <v/>
          </cell>
        </row>
        <row r="1728">
          <cell r="J1728" t="str">
            <v/>
          </cell>
          <cell r="K1728" t="str">
            <v/>
          </cell>
          <cell r="L1728" t="str">
            <v/>
          </cell>
          <cell r="M1728" t="str">
            <v/>
          </cell>
          <cell r="N1728" t="str">
            <v/>
          </cell>
        </row>
        <row r="1729">
          <cell r="J1729" t="str">
            <v/>
          </cell>
          <cell r="K1729" t="str">
            <v/>
          </cell>
          <cell r="L1729" t="str">
            <v/>
          </cell>
          <cell r="M1729" t="str">
            <v/>
          </cell>
          <cell r="N1729" t="str">
            <v/>
          </cell>
        </row>
        <row r="1734">
          <cell r="H1734" t="str">
            <v>tonnes</v>
          </cell>
          <cell r="I1734" t="str">
            <v/>
          </cell>
          <cell r="J1734" t="str">
            <v/>
          </cell>
          <cell r="K1734" t="str">
            <v/>
          </cell>
          <cell r="L1734" t="str">
            <v/>
          </cell>
          <cell r="M1734" t="str">
            <v/>
          </cell>
          <cell r="N1734" t="str">
            <v/>
          </cell>
        </row>
        <row r="1735">
          <cell r="I1735" t="str">
            <v/>
          </cell>
          <cell r="J1735" t="str">
            <v/>
          </cell>
          <cell r="K1735" t="str">
            <v/>
          </cell>
          <cell r="L1735" t="str">
            <v/>
          </cell>
          <cell r="M1735" t="str">
            <v/>
          </cell>
          <cell r="N1735" t="str">
            <v/>
          </cell>
        </row>
        <row r="1736">
          <cell r="I1736" t="str">
            <v/>
          </cell>
          <cell r="J1736" t="str">
            <v/>
          </cell>
          <cell r="K1736" t="str">
            <v/>
          </cell>
          <cell r="L1736" t="str">
            <v/>
          </cell>
          <cell r="M1736" t="str">
            <v/>
          </cell>
          <cell r="N1736" t="str">
            <v/>
          </cell>
        </row>
        <row r="1737">
          <cell r="I1737" t="str">
            <v/>
          </cell>
          <cell r="J1737" t="str">
            <v/>
          </cell>
          <cell r="K1737" t="str">
            <v/>
          </cell>
          <cell r="L1737" t="str">
            <v/>
          </cell>
          <cell r="M1737" t="str">
            <v/>
          </cell>
          <cell r="N1737" t="str">
            <v/>
          </cell>
        </row>
        <row r="1738">
          <cell r="I1738" t="str">
            <v/>
          </cell>
          <cell r="J1738" t="str">
            <v/>
          </cell>
          <cell r="K1738" t="str">
            <v/>
          </cell>
          <cell r="L1738" t="str">
            <v/>
          </cell>
          <cell r="M1738" t="str">
            <v/>
          </cell>
          <cell r="N1738" t="str">
            <v/>
          </cell>
        </row>
        <row r="1739">
          <cell r="I1739" t="str">
            <v/>
          </cell>
          <cell r="J1739" t="str">
            <v/>
          </cell>
          <cell r="K1739" t="str">
            <v/>
          </cell>
          <cell r="L1739" t="str">
            <v/>
          </cell>
          <cell r="M1739" t="str">
            <v/>
          </cell>
          <cell r="N1739" t="str">
            <v/>
          </cell>
        </row>
        <row r="1740">
          <cell r="I1740" t="str">
            <v/>
          </cell>
          <cell r="J1740" t="str">
            <v/>
          </cell>
          <cell r="K1740" t="str">
            <v/>
          </cell>
          <cell r="L1740" t="str">
            <v/>
          </cell>
          <cell r="M1740" t="str">
            <v/>
          </cell>
          <cell r="N1740" t="str">
            <v/>
          </cell>
        </row>
        <row r="1745">
          <cell r="H1745" t="str">
            <v/>
          </cell>
          <cell r="I1745" t="str">
            <v/>
          </cell>
          <cell r="J1745" t="str">
            <v/>
          </cell>
          <cell r="K1745" t="str">
            <v/>
          </cell>
          <cell r="L1745" t="str">
            <v/>
          </cell>
          <cell r="M1745" t="str">
            <v/>
          </cell>
          <cell r="N1745" t="str">
            <v/>
          </cell>
        </row>
        <row r="1747">
          <cell r="H1747" t="str">
            <v/>
          </cell>
          <cell r="I1747" t="str">
            <v/>
          </cell>
          <cell r="J1747" t="str">
            <v/>
          </cell>
          <cell r="K1747" t="str">
            <v/>
          </cell>
          <cell r="L1747" t="str">
            <v/>
          </cell>
          <cell r="M1747" t="str">
            <v/>
          </cell>
          <cell r="N1747" t="str">
            <v/>
          </cell>
        </row>
        <row r="1748">
          <cell r="H1748" t="str">
            <v/>
          </cell>
          <cell r="I1748" t="str">
            <v/>
          </cell>
          <cell r="J1748" t="str">
            <v/>
          </cell>
          <cell r="K1748" t="str">
            <v/>
          </cell>
          <cell r="L1748" t="str">
            <v/>
          </cell>
          <cell r="M1748" t="str">
            <v/>
          </cell>
          <cell r="N1748" t="str">
            <v/>
          </cell>
        </row>
        <row r="1750">
          <cell r="H1750" t="str">
            <v/>
          </cell>
          <cell r="I1750" t="str">
            <v/>
          </cell>
          <cell r="J1750" t="str">
            <v/>
          </cell>
          <cell r="K1750" t="str">
            <v/>
          </cell>
          <cell r="L1750" t="str">
            <v/>
          </cell>
          <cell r="M1750" t="str">
            <v/>
          </cell>
          <cell r="N1750" t="str">
            <v/>
          </cell>
        </row>
        <row r="1751">
          <cell r="H1751" t="str">
            <v/>
          </cell>
          <cell r="I1751" t="str">
            <v/>
          </cell>
          <cell r="J1751" t="str">
            <v/>
          </cell>
          <cell r="K1751" t="str">
            <v/>
          </cell>
          <cell r="L1751" t="str">
            <v/>
          </cell>
          <cell r="M1751" t="str">
            <v/>
          </cell>
          <cell r="N1751" t="str">
            <v/>
          </cell>
        </row>
        <row r="1752">
          <cell r="H1752" t="str">
            <v/>
          </cell>
          <cell r="I1752" t="str">
            <v/>
          </cell>
          <cell r="J1752" t="str">
            <v/>
          </cell>
          <cell r="K1752" t="str">
            <v/>
          </cell>
          <cell r="L1752" t="str">
            <v/>
          </cell>
          <cell r="M1752" t="str">
            <v/>
          </cell>
          <cell r="N1752" t="str">
            <v/>
          </cell>
        </row>
        <row r="1753">
          <cell r="H1753" t="str">
            <v/>
          </cell>
          <cell r="I1753" t="str">
            <v/>
          </cell>
          <cell r="J1753" t="str">
            <v/>
          </cell>
          <cell r="K1753" t="str">
            <v/>
          </cell>
          <cell r="L1753" t="str">
            <v/>
          </cell>
          <cell r="M1753" t="str">
            <v/>
          </cell>
          <cell r="N1753" t="str">
            <v/>
          </cell>
        </row>
        <row r="1755">
          <cell r="H1755" t="str">
            <v/>
          </cell>
          <cell r="I1755" t="str">
            <v/>
          </cell>
          <cell r="J1755" t="str">
            <v/>
          </cell>
          <cell r="K1755" t="str">
            <v/>
          </cell>
          <cell r="L1755" t="str">
            <v/>
          </cell>
          <cell r="M1755" t="str">
            <v/>
          </cell>
          <cell r="N1755" t="str">
            <v/>
          </cell>
        </row>
        <row r="1756">
          <cell r="H1756" t="str">
            <v/>
          </cell>
          <cell r="I1756" t="str">
            <v/>
          </cell>
          <cell r="J1756" t="str">
            <v/>
          </cell>
          <cell r="K1756" t="str">
            <v/>
          </cell>
          <cell r="L1756" t="str">
            <v/>
          </cell>
          <cell r="M1756" t="str">
            <v/>
          </cell>
          <cell r="N1756" t="str">
            <v/>
          </cell>
        </row>
        <row r="1758">
          <cell r="H1758" t="str">
            <v/>
          </cell>
          <cell r="I1758" t="str">
            <v/>
          </cell>
          <cell r="J1758" t="str">
            <v/>
          </cell>
          <cell r="K1758" t="str">
            <v/>
          </cell>
          <cell r="L1758" t="str">
            <v/>
          </cell>
          <cell r="M1758" t="str">
            <v/>
          </cell>
          <cell r="N1758" t="str">
            <v/>
          </cell>
        </row>
        <row r="1759">
          <cell r="H1759" t="str">
            <v/>
          </cell>
          <cell r="I1759" t="str">
            <v/>
          </cell>
          <cell r="J1759" t="str">
            <v/>
          </cell>
          <cell r="K1759" t="str">
            <v/>
          </cell>
          <cell r="L1759" t="str">
            <v/>
          </cell>
          <cell r="M1759" t="str">
            <v/>
          </cell>
          <cell r="N1759" t="str">
            <v/>
          </cell>
        </row>
        <row r="1761">
          <cell r="H1761" t="str">
            <v/>
          </cell>
          <cell r="I1761" t="str">
            <v/>
          </cell>
          <cell r="J1761" t="str">
            <v/>
          </cell>
          <cell r="K1761" t="str">
            <v/>
          </cell>
          <cell r="L1761" t="str">
            <v/>
          </cell>
          <cell r="M1761" t="str">
            <v/>
          </cell>
          <cell r="N1761" t="str">
            <v/>
          </cell>
        </row>
        <row r="1762">
          <cell r="H1762" t="str">
            <v/>
          </cell>
          <cell r="I1762" t="str">
            <v/>
          </cell>
          <cell r="J1762" t="str">
            <v/>
          </cell>
          <cell r="K1762" t="str">
            <v/>
          </cell>
          <cell r="L1762" t="str">
            <v/>
          </cell>
          <cell r="M1762" t="str">
            <v/>
          </cell>
          <cell r="N1762" t="str">
            <v/>
          </cell>
        </row>
        <row r="1764">
          <cell r="H1764" t="str">
            <v/>
          </cell>
          <cell r="I1764" t="str">
            <v/>
          </cell>
          <cell r="J1764" t="str">
            <v/>
          </cell>
          <cell r="K1764" t="str">
            <v/>
          </cell>
          <cell r="L1764" t="str">
            <v/>
          </cell>
          <cell r="M1764" t="str">
            <v/>
          </cell>
          <cell r="N1764" t="str">
            <v/>
          </cell>
        </row>
        <row r="1765">
          <cell r="H1765" t="str">
            <v/>
          </cell>
          <cell r="I1765" t="str">
            <v/>
          </cell>
          <cell r="J1765" t="str">
            <v/>
          </cell>
          <cell r="K1765" t="str">
            <v/>
          </cell>
          <cell r="L1765" t="str">
            <v/>
          </cell>
          <cell r="M1765" t="str">
            <v/>
          </cell>
          <cell r="N1765" t="str">
            <v/>
          </cell>
        </row>
        <row r="1766">
          <cell r="H1766" t="str">
            <v/>
          </cell>
          <cell r="I1766" t="str">
            <v/>
          </cell>
          <cell r="J1766" t="str">
            <v/>
          </cell>
          <cell r="K1766" t="str">
            <v/>
          </cell>
          <cell r="L1766" t="str">
            <v/>
          </cell>
          <cell r="M1766" t="str">
            <v/>
          </cell>
          <cell r="N1766" t="str">
            <v/>
          </cell>
        </row>
        <row r="1767">
          <cell r="H1767" t="str">
            <v/>
          </cell>
          <cell r="I1767" t="str">
            <v/>
          </cell>
          <cell r="J1767" t="str">
            <v/>
          </cell>
          <cell r="K1767" t="str">
            <v/>
          </cell>
          <cell r="L1767" t="str">
            <v/>
          </cell>
          <cell r="M1767" t="str">
            <v/>
          </cell>
          <cell r="N1767" t="str">
            <v/>
          </cell>
        </row>
        <row r="1768">
          <cell r="H1768" t="str">
            <v/>
          </cell>
          <cell r="I1768" t="str">
            <v/>
          </cell>
          <cell r="J1768" t="str">
            <v/>
          </cell>
          <cell r="K1768" t="str">
            <v/>
          </cell>
          <cell r="L1768" t="str">
            <v/>
          </cell>
          <cell r="M1768" t="str">
            <v/>
          </cell>
          <cell r="N1768" t="str">
            <v/>
          </cell>
        </row>
        <row r="1769">
          <cell r="H1769" t="str">
            <v/>
          </cell>
          <cell r="I1769" t="str">
            <v/>
          </cell>
          <cell r="J1769" t="str">
            <v/>
          </cell>
          <cell r="K1769" t="str">
            <v/>
          </cell>
          <cell r="L1769" t="str">
            <v/>
          </cell>
          <cell r="M1769" t="str">
            <v/>
          </cell>
          <cell r="N1769" t="str">
            <v/>
          </cell>
        </row>
        <row r="1770">
          <cell r="H1770" t="str">
            <v/>
          </cell>
          <cell r="I1770" t="str">
            <v/>
          </cell>
          <cell r="J1770" t="str">
            <v/>
          </cell>
          <cell r="K1770" t="str">
            <v/>
          </cell>
          <cell r="L1770" t="str">
            <v/>
          </cell>
          <cell r="M1770" t="str">
            <v/>
          </cell>
          <cell r="N1770" t="str">
            <v/>
          </cell>
        </row>
        <row r="1771">
          <cell r="H1771" t="str">
            <v/>
          </cell>
          <cell r="I1771" t="str">
            <v/>
          </cell>
          <cell r="J1771" t="str">
            <v/>
          </cell>
          <cell r="K1771" t="str">
            <v/>
          </cell>
          <cell r="L1771" t="str">
            <v/>
          </cell>
          <cell r="M1771" t="str">
            <v/>
          </cell>
          <cell r="N1771" t="str">
            <v/>
          </cell>
        </row>
        <row r="1772">
          <cell r="H1772" t="str">
            <v/>
          </cell>
          <cell r="I1772" t="str">
            <v/>
          </cell>
          <cell r="J1772" t="str">
            <v/>
          </cell>
          <cell r="K1772" t="str">
            <v/>
          </cell>
          <cell r="L1772" t="str">
            <v/>
          </cell>
          <cell r="M1772" t="str">
            <v/>
          </cell>
          <cell r="N1772" t="str">
            <v/>
          </cell>
        </row>
        <row r="1773">
          <cell r="H1773" t="str">
            <v/>
          </cell>
          <cell r="I1773" t="str">
            <v/>
          </cell>
          <cell r="J1773" t="str">
            <v/>
          </cell>
          <cell r="K1773" t="str">
            <v/>
          </cell>
          <cell r="L1773" t="str">
            <v/>
          </cell>
          <cell r="M1773" t="str">
            <v/>
          </cell>
          <cell r="N1773" t="str">
            <v/>
          </cell>
        </row>
        <row r="1775">
          <cell r="H1775" t="str">
            <v/>
          </cell>
          <cell r="I1775" t="str">
            <v/>
          </cell>
          <cell r="J1775" t="str">
            <v/>
          </cell>
          <cell r="K1775" t="str">
            <v/>
          </cell>
          <cell r="L1775" t="str">
            <v/>
          </cell>
          <cell r="M1775" t="str">
            <v/>
          </cell>
          <cell r="N1775" t="str">
            <v/>
          </cell>
        </row>
        <row r="1776">
          <cell r="H1776" t="str">
            <v/>
          </cell>
          <cell r="I1776" t="str">
            <v/>
          </cell>
          <cell r="J1776" t="str">
            <v/>
          </cell>
          <cell r="K1776" t="str">
            <v/>
          </cell>
          <cell r="L1776" t="str">
            <v/>
          </cell>
          <cell r="M1776" t="str">
            <v/>
          </cell>
          <cell r="N1776" t="str">
            <v/>
          </cell>
        </row>
        <row r="1778">
          <cell r="H1778" t="str">
            <v/>
          </cell>
          <cell r="I1778" t="str">
            <v/>
          </cell>
          <cell r="J1778" t="str">
            <v/>
          </cell>
          <cell r="K1778" t="str">
            <v/>
          </cell>
          <cell r="L1778" t="str">
            <v/>
          </cell>
          <cell r="M1778" t="str">
            <v/>
          </cell>
          <cell r="N1778" t="str">
            <v/>
          </cell>
        </row>
        <row r="1781">
          <cell r="E1781" t="str">
            <v/>
          </cell>
          <cell r="H1781" t="str">
            <v/>
          </cell>
          <cell r="I1781" t="str">
            <v/>
          </cell>
          <cell r="J1781" t="str">
            <v/>
          </cell>
          <cell r="K1781" t="str">
            <v/>
          </cell>
          <cell r="L1781" t="str">
            <v/>
          </cell>
          <cell r="M1781" t="str">
            <v/>
          </cell>
          <cell r="N1781" t="str">
            <v/>
          </cell>
        </row>
        <row r="1782">
          <cell r="E1782" t="str">
            <v/>
          </cell>
          <cell r="H1782" t="str">
            <v/>
          </cell>
          <cell r="I1782" t="str">
            <v/>
          </cell>
          <cell r="J1782" t="str">
            <v/>
          </cell>
          <cell r="K1782" t="str">
            <v/>
          </cell>
          <cell r="L1782" t="str">
            <v/>
          </cell>
          <cell r="M1782" t="str">
            <v/>
          </cell>
          <cell r="N1782" t="str">
            <v/>
          </cell>
        </row>
        <row r="1784">
          <cell r="E1784" t="str">
            <v/>
          </cell>
          <cell r="H1784" t="str">
            <v/>
          </cell>
          <cell r="I1784" t="str">
            <v/>
          </cell>
          <cell r="J1784" t="str">
            <v/>
          </cell>
          <cell r="K1784" t="str">
            <v/>
          </cell>
          <cell r="L1784" t="str">
            <v/>
          </cell>
          <cell r="M1784" t="str">
            <v/>
          </cell>
          <cell r="N1784" t="str">
            <v/>
          </cell>
        </row>
        <row r="1785">
          <cell r="E1785" t="str">
            <v/>
          </cell>
          <cell r="H1785" t="str">
            <v/>
          </cell>
          <cell r="I1785" t="str">
            <v/>
          </cell>
          <cell r="J1785" t="str">
            <v/>
          </cell>
          <cell r="K1785" t="str">
            <v/>
          </cell>
          <cell r="L1785" t="str">
            <v/>
          </cell>
          <cell r="M1785" t="str">
            <v/>
          </cell>
          <cell r="N1785" t="str">
            <v/>
          </cell>
        </row>
        <row r="1789">
          <cell r="I1789" t="str">
            <v/>
          </cell>
        </row>
        <row r="1792">
          <cell r="E1792" t="str">
            <v/>
          </cell>
          <cell r="H1792" t="str">
            <v>N.A.</v>
          </cell>
          <cell r="I1792" t="str">
            <v/>
          </cell>
          <cell r="J1792" t="str">
            <v>N.A.</v>
          </cell>
          <cell r="K1792" t="str">
            <v>N.A.</v>
          </cell>
          <cell r="L1792" t="str">
            <v>N.A.</v>
          </cell>
          <cell r="M1792" t="str">
            <v>N.A.</v>
          </cell>
          <cell r="N1792" t="str">
            <v>EUA/tonnes</v>
          </cell>
        </row>
        <row r="1795">
          <cell r="F1795" t="str">
            <v>tonnes</v>
          </cell>
          <cell r="G1795" t="str">
            <v/>
          </cell>
          <cell r="H1795" t="str">
            <v/>
          </cell>
          <cell r="I1795" t="str">
            <v/>
          </cell>
          <cell r="J1795" t="str">
            <v/>
          </cell>
          <cell r="K1795" t="str">
            <v/>
          </cell>
          <cell r="L1795" t="str">
            <v/>
          </cell>
          <cell r="M1795" t="str">
            <v/>
          </cell>
          <cell r="N1795" t="str">
            <v/>
          </cell>
        </row>
        <row r="1799">
          <cell r="J1799" t="str">
            <v/>
          </cell>
          <cell r="K1799" t="str">
            <v/>
          </cell>
          <cell r="L1799" t="str">
            <v/>
          </cell>
          <cell r="M1799" t="str">
            <v/>
          </cell>
          <cell r="N1799" t="str">
            <v/>
          </cell>
        </row>
        <row r="1800">
          <cell r="J1800" t="str">
            <v/>
          </cell>
          <cell r="K1800" t="str">
            <v/>
          </cell>
          <cell r="L1800" t="str">
            <v/>
          </cell>
          <cell r="M1800" t="str">
            <v/>
          </cell>
          <cell r="N1800" t="str">
            <v/>
          </cell>
        </row>
        <row r="1803">
          <cell r="H1803" t="str">
            <v>tonnes</v>
          </cell>
          <cell r="J1803" t="str">
            <v/>
          </cell>
          <cell r="K1803" t="str">
            <v/>
          </cell>
          <cell r="L1803" t="str">
            <v/>
          </cell>
          <cell r="M1803" t="str">
            <v/>
          </cell>
          <cell r="N1803" t="str">
            <v/>
          </cell>
        </row>
        <row r="1804">
          <cell r="J1804" t="str">
            <v/>
          </cell>
          <cell r="K1804" t="str">
            <v/>
          </cell>
          <cell r="L1804" t="str">
            <v/>
          </cell>
          <cell r="M1804" t="str">
            <v/>
          </cell>
          <cell r="N1804" t="str">
            <v/>
          </cell>
        </row>
        <row r="1805">
          <cell r="J1805" t="str">
            <v/>
          </cell>
          <cell r="K1805" t="str">
            <v/>
          </cell>
          <cell r="L1805" t="str">
            <v/>
          </cell>
          <cell r="M1805" t="str">
            <v/>
          </cell>
          <cell r="N1805" t="str">
            <v/>
          </cell>
        </row>
        <row r="1806">
          <cell r="J1806" t="str">
            <v/>
          </cell>
          <cell r="K1806" t="str">
            <v/>
          </cell>
          <cell r="L1806" t="str">
            <v/>
          </cell>
          <cell r="M1806" t="str">
            <v/>
          </cell>
          <cell r="N1806" t="str">
            <v/>
          </cell>
        </row>
        <row r="1807">
          <cell r="J1807" t="str">
            <v/>
          </cell>
          <cell r="K1807" t="str">
            <v/>
          </cell>
          <cell r="L1807" t="str">
            <v/>
          </cell>
          <cell r="M1807" t="str">
            <v/>
          </cell>
          <cell r="N1807" t="str">
            <v/>
          </cell>
        </row>
        <row r="1808">
          <cell r="J1808" t="str">
            <v/>
          </cell>
          <cell r="K1808" t="str">
            <v/>
          </cell>
          <cell r="L1808" t="str">
            <v/>
          </cell>
          <cell r="M1808" t="str">
            <v/>
          </cell>
          <cell r="N1808" t="str">
            <v/>
          </cell>
        </row>
        <row r="1809">
          <cell r="J1809" t="str">
            <v/>
          </cell>
          <cell r="K1809" t="str">
            <v/>
          </cell>
          <cell r="L1809" t="str">
            <v/>
          </cell>
          <cell r="M1809" t="str">
            <v/>
          </cell>
          <cell r="N1809" t="str">
            <v/>
          </cell>
        </row>
        <row r="1812">
          <cell r="H1812" t="str">
            <v>tonnes</v>
          </cell>
          <cell r="J1812" t="str">
            <v/>
          </cell>
          <cell r="K1812" t="str">
            <v/>
          </cell>
          <cell r="L1812" t="str">
            <v/>
          </cell>
          <cell r="M1812" t="str">
            <v/>
          </cell>
          <cell r="N1812" t="str">
            <v/>
          </cell>
        </row>
        <row r="1813">
          <cell r="J1813" t="str">
            <v/>
          </cell>
          <cell r="K1813" t="str">
            <v/>
          </cell>
          <cell r="L1813" t="str">
            <v/>
          </cell>
          <cell r="M1813" t="str">
            <v/>
          </cell>
          <cell r="N1813" t="str">
            <v/>
          </cell>
        </row>
        <row r="1814">
          <cell r="J1814" t="str">
            <v/>
          </cell>
          <cell r="K1814" t="str">
            <v/>
          </cell>
          <cell r="L1814" t="str">
            <v/>
          </cell>
          <cell r="M1814" t="str">
            <v/>
          </cell>
          <cell r="N1814" t="str">
            <v/>
          </cell>
        </row>
        <row r="1815">
          <cell r="H1815" t="str">
            <v>tonnes</v>
          </cell>
          <cell r="J1815" t="str">
            <v/>
          </cell>
          <cell r="K1815" t="str">
            <v/>
          </cell>
          <cell r="L1815" t="str">
            <v/>
          </cell>
          <cell r="M1815" t="str">
            <v/>
          </cell>
          <cell r="N1815" t="str">
            <v/>
          </cell>
        </row>
        <row r="1816">
          <cell r="J1816" t="str">
            <v/>
          </cell>
          <cell r="K1816" t="str">
            <v/>
          </cell>
          <cell r="L1816" t="str">
            <v/>
          </cell>
          <cell r="M1816" t="str">
            <v/>
          </cell>
          <cell r="N1816" t="str">
            <v/>
          </cell>
        </row>
        <row r="1817">
          <cell r="J1817" t="str">
            <v/>
          </cell>
          <cell r="K1817" t="str">
            <v/>
          </cell>
          <cell r="L1817" t="str">
            <v/>
          </cell>
          <cell r="M1817" t="str">
            <v/>
          </cell>
          <cell r="N1817" t="str">
            <v/>
          </cell>
        </row>
        <row r="1818">
          <cell r="J1818" t="str">
            <v/>
          </cell>
          <cell r="K1818" t="str">
            <v/>
          </cell>
          <cell r="L1818" t="str">
            <v/>
          </cell>
          <cell r="M1818" t="str">
            <v/>
          </cell>
          <cell r="N1818" t="str">
            <v/>
          </cell>
        </row>
        <row r="1819">
          <cell r="J1819" t="str">
            <v/>
          </cell>
          <cell r="K1819" t="str">
            <v/>
          </cell>
          <cell r="L1819" t="str">
            <v/>
          </cell>
          <cell r="M1819" t="str">
            <v/>
          </cell>
          <cell r="N1819" t="str">
            <v/>
          </cell>
        </row>
        <row r="1820">
          <cell r="J1820" t="str">
            <v/>
          </cell>
          <cell r="K1820" t="str">
            <v/>
          </cell>
          <cell r="L1820" t="str">
            <v/>
          </cell>
          <cell r="M1820" t="str">
            <v/>
          </cell>
          <cell r="N1820" t="str">
            <v/>
          </cell>
        </row>
        <row r="1821">
          <cell r="J1821" t="str">
            <v/>
          </cell>
          <cell r="K1821" t="str">
            <v/>
          </cell>
          <cell r="L1821" t="str">
            <v/>
          </cell>
          <cell r="M1821" t="str">
            <v/>
          </cell>
          <cell r="N1821" t="str">
            <v/>
          </cell>
        </row>
        <row r="1822">
          <cell r="J1822" t="str">
            <v/>
          </cell>
          <cell r="K1822" t="str">
            <v/>
          </cell>
          <cell r="L1822" t="str">
            <v/>
          </cell>
          <cell r="M1822" t="str">
            <v/>
          </cell>
          <cell r="N1822" t="str">
            <v/>
          </cell>
        </row>
        <row r="1823">
          <cell r="J1823" t="str">
            <v/>
          </cell>
          <cell r="K1823" t="str">
            <v/>
          </cell>
          <cell r="L1823" t="str">
            <v/>
          </cell>
          <cell r="M1823" t="str">
            <v/>
          </cell>
          <cell r="N1823" t="str">
            <v/>
          </cell>
        </row>
        <row r="1826">
          <cell r="H1826" t="str">
            <v>tonnes</v>
          </cell>
          <cell r="J1826" t="str">
            <v/>
          </cell>
          <cell r="K1826" t="str">
            <v/>
          </cell>
          <cell r="L1826" t="str">
            <v/>
          </cell>
          <cell r="M1826" t="str">
            <v/>
          </cell>
          <cell r="N1826" t="str">
            <v/>
          </cell>
        </row>
        <row r="1827">
          <cell r="J1827" t="str">
            <v/>
          </cell>
          <cell r="K1827" t="str">
            <v/>
          </cell>
          <cell r="L1827" t="str">
            <v/>
          </cell>
          <cell r="M1827" t="str">
            <v/>
          </cell>
          <cell r="N1827" t="str">
            <v/>
          </cell>
        </row>
        <row r="1828">
          <cell r="J1828" t="str">
            <v/>
          </cell>
          <cell r="K1828" t="str">
            <v/>
          </cell>
          <cell r="L1828" t="str">
            <v/>
          </cell>
          <cell r="M1828" t="str">
            <v/>
          </cell>
          <cell r="N1828" t="str">
            <v/>
          </cell>
        </row>
        <row r="1829">
          <cell r="J1829" t="str">
            <v/>
          </cell>
          <cell r="K1829" t="str">
            <v/>
          </cell>
          <cell r="L1829" t="str">
            <v/>
          </cell>
          <cell r="M1829" t="str">
            <v/>
          </cell>
          <cell r="N1829" t="str">
            <v/>
          </cell>
        </row>
        <row r="1830">
          <cell r="J1830" t="str">
            <v/>
          </cell>
          <cell r="K1830" t="str">
            <v/>
          </cell>
          <cell r="L1830" t="str">
            <v/>
          </cell>
          <cell r="M1830" t="str">
            <v/>
          </cell>
          <cell r="N1830" t="str">
            <v/>
          </cell>
        </row>
        <row r="1831">
          <cell r="J1831" t="str">
            <v/>
          </cell>
          <cell r="K1831" t="str">
            <v/>
          </cell>
          <cell r="L1831" t="str">
            <v/>
          </cell>
          <cell r="M1831" t="str">
            <v/>
          </cell>
          <cell r="N1831" t="str">
            <v/>
          </cell>
        </row>
        <row r="1832">
          <cell r="J1832" t="str">
            <v/>
          </cell>
          <cell r="K1832" t="str">
            <v/>
          </cell>
          <cell r="L1832" t="str">
            <v/>
          </cell>
          <cell r="M1832" t="str">
            <v/>
          </cell>
          <cell r="N1832" t="str">
            <v/>
          </cell>
        </row>
        <row r="1833">
          <cell r="J1833" t="str">
            <v/>
          </cell>
          <cell r="K1833" t="str">
            <v/>
          </cell>
          <cell r="L1833" t="str">
            <v/>
          </cell>
          <cell r="M1833" t="str">
            <v/>
          </cell>
          <cell r="N1833" t="str">
            <v/>
          </cell>
        </row>
        <row r="1834">
          <cell r="J1834" t="str">
            <v/>
          </cell>
          <cell r="K1834" t="str">
            <v/>
          </cell>
          <cell r="L1834" t="str">
            <v/>
          </cell>
          <cell r="M1834" t="str">
            <v/>
          </cell>
          <cell r="N1834" t="str">
            <v/>
          </cell>
        </row>
        <row r="1835">
          <cell r="J1835" t="str">
            <v/>
          </cell>
          <cell r="K1835" t="str">
            <v/>
          </cell>
          <cell r="L1835" t="str">
            <v/>
          </cell>
          <cell r="M1835" t="str">
            <v/>
          </cell>
          <cell r="N1835" t="str">
            <v/>
          </cell>
        </row>
        <row r="1836">
          <cell r="J1836" t="str">
            <v/>
          </cell>
          <cell r="K1836" t="str">
            <v/>
          </cell>
          <cell r="L1836" t="str">
            <v/>
          </cell>
          <cell r="M1836" t="str">
            <v/>
          </cell>
          <cell r="N1836" t="str">
            <v/>
          </cell>
        </row>
        <row r="1837">
          <cell r="J1837" t="str">
            <v/>
          </cell>
          <cell r="K1837" t="str">
            <v/>
          </cell>
          <cell r="L1837" t="str">
            <v/>
          </cell>
          <cell r="M1837" t="str">
            <v/>
          </cell>
          <cell r="N1837" t="str">
            <v/>
          </cell>
        </row>
        <row r="1840">
          <cell r="H1840" t="str">
            <v>tonnes</v>
          </cell>
          <cell r="J1840" t="str">
            <v/>
          </cell>
          <cell r="K1840" t="str">
            <v/>
          </cell>
          <cell r="L1840" t="str">
            <v/>
          </cell>
          <cell r="M1840" t="str">
            <v/>
          </cell>
          <cell r="N1840" t="str">
            <v/>
          </cell>
        </row>
        <row r="1841">
          <cell r="J1841" t="str">
            <v/>
          </cell>
          <cell r="K1841" t="str">
            <v/>
          </cell>
          <cell r="L1841" t="str">
            <v/>
          </cell>
          <cell r="M1841" t="str">
            <v/>
          </cell>
          <cell r="N1841" t="str">
            <v/>
          </cell>
        </row>
        <row r="1842">
          <cell r="J1842" t="str">
            <v/>
          </cell>
          <cell r="K1842" t="str">
            <v/>
          </cell>
          <cell r="L1842" t="str">
            <v/>
          </cell>
          <cell r="M1842" t="str">
            <v/>
          </cell>
          <cell r="N1842" t="str">
            <v/>
          </cell>
        </row>
        <row r="1843">
          <cell r="J1843" t="str">
            <v/>
          </cell>
          <cell r="K1843" t="str">
            <v/>
          </cell>
          <cell r="L1843" t="str">
            <v/>
          </cell>
          <cell r="M1843" t="str">
            <v/>
          </cell>
          <cell r="N1843" t="str">
            <v/>
          </cell>
        </row>
        <row r="1844">
          <cell r="J1844" t="str">
            <v/>
          </cell>
          <cell r="K1844" t="str">
            <v/>
          </cell>
          <cell r="L1844" t="str">
            <v/>
          </cell>
          <cell r="M1844" t="str">
            <v/>
          </cell>
          <cell r="N1844" t="str">
            <v/>
          </cell>
        </row>
        <row r="1845">
          <cell r="J1845" t="str">
            <v/>
          </cell>
          <cell r="K1845" t="str">
            <v/>
          </cell>
          <cell r="L1845" t="str">
            <v/>
          </cell>
          <cell r="M1845" t="str">
            <v/>
          </cell>
          <cell r="N1845" t="str">
            <v/>
          </cell>
        </row>
        <row r="1846">
          <cell r="J1846" t="str">
            <v/>
          </cell>
          <cell r="K1846" t="str">
            <v/>
          </cell>
          <cell r="L1846" t="str">
            <v/>
          </cell>
          <cell r="M1846" t="str">
            <v/>
          </cell>
          <cell r="N1846" t="str">
            <v/>
          </cell>
        </row>
        <row r="1847">
          <cell r="J1847" t="str">
            <v/>
          </cell>
          <cell r="K1847" t="str">
            <v/>
          </cell>
          <cell r="L1847" t="str">
            <v/>
          </cell>
          <cell r="M1847" t="str">
            <v/>
          </cell>
          <cell r="N1847" t="str">
            <v/>
          </cell>
        </row>
        <row r="1848">
          <cell r="J1848" t="str">
            <v/>
          </cell>
          <cell r="K1848" t="str">
            <v/>
          </cell>
          <cell r="L1848" t="str">
            <v/>
          </cell>
          <cell r="M1848" t="str">
            <v/>
          </cell>
          <cell r="N1848" t="str">
            <v/>
          </cell>
        </row>
        <row r="1849">
          <cell r="J1849" t="str">
            <v/>
          </cell>
          <cell r="K1849" t="str">
            <v/>
          </cell>
          <cell r="L1849" t="str">
            <v/>
          </cell>
          <cell r="M1849" t="str">
            <v/>
          </cell>
          <cell r="N1849" t="str">
            <v/>
          </cell>
        </row>
        <row r="1850">
          <cell r="J1850" t="str">
            <v/>
          </cell>
          <cell r="K1850" t="str">
            <v/>
          </cell>
          <cell r="L1850" t="str">
            <v/>
          </cell>
          <cell r="M1850" t="str">
            <v/>
          </cell>
          <cell r="N1850" t="str">
            <v/>
          </cell>
        </row>
        <row r="1851">
          <cell r="J1851" t="str">
            <v/>
          </cell>
          <cell r="K1851" t="str">
            <v/>
          </cell>
          <cell r="L1851" t="str">
            <v/>
          </cell>
          <cell r="M1851" t="str">
            <v/>
          </cell>
          <cell r="N1851" t="str">
            <v/>
          </cell>
        </row>
        <row r="1854">
          <cell r="H1854" t="str">
            <v>tonnes</v>
          </cell>
          <cell r="J1854" t="str">
            <v/>
          </cell>
          <cell r="K1854" t="str">
            <v/>
          </cell>
          <cell r="L1854" t="str">
            <v/>
          </cell>
          <cell r="M1854" t="str">
            <v/>
          </cell>
          <cell r="N1854" t="str">
            <v/>
          </cell>
        </row>
        <row r="1855">
          <cell r="J1855" t="str">
            <v/>
          </cell>
          <cell r="K1855" t="str">
            <v/>
          </cell>
          <cell r="L1855" t="str">
            <v/>
          </cell>
          <cell r="M1855" t="str">
            <v/>
          </cell>
          <cell r="N1855" t="str">
            <v/>
          </cell>
        </row>
        <row r="1856">
          <cell r="J1856" t="str">
            <v/>
          </cell>
          <cell r="K1856" t="str">
            <v/>
          </cell>
          <cell r="L1856" t="str">
            <v/>
          </cell>
          <cell r="M1856" t="str">
            <v/>
          </cell>
          <cell r="N1856" t="str">
            <v/>
          </cell>
        </row>
        <row r="1857">
          <cell r="J1857" t="str">
            <v/>
          </cell>
          <cell r="K1857" t="str">
            <v/>
          </cell>
          <cell r="L1857" t="str">
            <v/>
          </cell>
          <cell r="M1857" t="str">
            <v/>
          </cell>
          <cell r="N1857" t="str">
            <v/>
          </cell>
        </row>
        <row r="1858">
          <cell r="J1858" t="str">
            <v/>
          </cell>
          <cell r="K1858" t="str">
            <v/>
          </cell>
          <cell r="L1858" t="str">
            <v/>
          </cell>
          <cell r="M1858" t="str">
            <v/>
          </cell>
          <cell r="N1858" t="str">
            <v/>
          </cell>
        </row>
        <row r="1859">
          <cell r="J1859" t="str">
            <v/>
          </cell>
          <cell r="K1859" t="str">
            <v/>
          </cell>
          <cell r="L1859" t="str">
            <v/>
          </cell>
          <cell r="M1859" t="str">
            <v/>
          </cell>
          <cell r="N1859" t="str">
            <v/>
          </cell>
        </row>
        <row r="1860">
          <cell r="J1860" t="str">
            <v/>
          </cell>
          <cell r="K1860" t="str">
            <v/>
          </cell>
          <cell r="L1860" t="str">
            <v/>
          </cell>
          <cell r="M1860" t="str">
            <v/>
          </cell>
          <cell r="N1860" t="str">
            <v/>
          </cell>
        </row>
        <row r="1861">
          <cell r="J1861" t="str">
            <v/>
          </cell>
          <cell r="K1861" t="str">
            <v/>
          </cell>
          <cell r="L1861" t="str">
            <v/>
          </cell>
          <cell r="M1861" t="str">
            <v/>
          </cell>
          <cell r="N1861" t="str">
            <v/>
          </cell>
        </row>
        <row r="1862">
          <cell r="J1862" t="str">
            <v/>
          </cell>
          <cell r="K1862" t="str">
            <v/>
          </cell>
          <cell r="L1862" t="str">
            <v/>
          </cell>
          <cell r="M1862" t="str">
            <v/>
          </cell>
          <cell r="N1862" t="str">
            <v/>
          </cell>
        </row>
        <row r="1863">
          <cell r="J1863" t="str">
            <v/>
          </cell>
          <cell r="K1863" t="str">
            <v/>
          </cell>
          <cell r="L1863" t="str">
            <v/>
          </cell>
          <cell r="M1863" t="str">
            <v/>
          </cell>
          <cell r="N1863" t="str">
            <v/>
          </cell>
        </row>
        <row r="1864">
          <cell r="J1864" t="str">
            <v/>
          </cell>
          <cell r="K1864" t="str">
            <v/>
          </cell>
          <cell r="L1864" t="str">
            <v/>
          </cell>
          <cell r="M1864" t="str">
            <v/>
          </cell>
          <cell r="N1864" t="str">
            <v/>
          </cell>
        </row>
        <row r="1865">
          <cell r="J1865" t="str">
            <v/>
          </cell>
          <cell r="K1865" t="str">
            <v/>
          </cell>
          <cell r="L1865" t="str">
            <v/>
          </cell>
          <cell r="M1865" t="str">
            <v/>
          </cell>
          <cell r="N1865" t="str">
            <v/>
          </cell>
        </row>
        <row r="1868">
          <cell r="H1868" t="str">
            <v>tonnes</v>
          </cell>
          <cell r="J1868" t="str">
            <v/>
          </cell>
          <cell r="K1868" t="str">
            <v/>
          </cell>
          <cell r="L1868" t="str">
            <v/>
          </cell>
          <cell r="M1868" t="str">
            <v/>
          </cell>
          <cell r="N1868" t="str">
            <v/>
          </cell>
        </row>
        <row r="1869">
          <cell r="J1869" t="str">
            <v/>
          </cell>
          <cell r="K1869" t="str">
            <v/>
          </cell>
          <cell r="L1869" t="str">
            <v/>
          </cell>
          <cell r="M1869" t="str">
            <v/>
          </cell>
          <cell r="N1869" t="str">
            <v/>
          </cell>
        </row>
        <row r="1870">
          <cell r="J1870" t="str">
            <v/>
          </cell>
          <cell r="K1870" t="str">
            <v/>
          </cell>
          <cell r="L1870" t="str">
            <v/>
          </cell>
          <cell r="M1870" t="str">
            <v/>
          </cell>
          <cell r="N1870" t="str">
            <v/>
          </cell>
        </row>
        <row r="1871">
          <cell r="J1871" t="str">
            <v/>
          </cell>
          <cell r="K1871" t="str">
            <v/>
          </cell>
          <cell r="L1871" t="str">
            <v/>
          </cell>
          <cell r="M1871" t="str">
            <v/>
          </cell>
          <cell r="N1871" t="str">
            <v/>
          </cell>
        </row>
        <row r="1872">
          <cell r="J1872" t="str">
            <v/>
          </cell>
          <cell r="K1872" t="str">
            <v/>
          </cell>
          <cell r="L1872" t="str">
            <v/>
          </cell>
          <cell r="M1872" t="str">
            <v/>
          </cell>
          <cell r="N1872" t="str">
            <v/>
          </cell>
        </row>
        <row r="1873">
          <cell r="J1873" t="str">
            <v/>
          </cell>
          <cell r="K1873" t="str">
            <v/>
          </cell>
          <cell r="L1873" t="str">
            <v/>
          </cell>
          <cell r="M1873" t="str">
            <v/>
          </cell>
          <cell r="N1873" t="str">
            <v/>
          </cell>
        </row>
        <row r="1874">
          <cell r="J1874" t="str">
            <v/>
          </cell>
          <cell r="K1874" t="str">
            <v/>
          </cell>
          <cell r="L1874" t="str">
            <v/>
          </cell>
          <cell r="M1874" t="str">
            <v/>
          </cell>
          <cell r="N1874" t="str">
            <v/>
          </cell>
        </row>
        <row r="1875">
          <cell r="J1875" t="str">
            <v/>
          </cell>
          <cell r="K1875" t="str">
            <v/>
          </cell>
          <cell r="L1875" t="str">
            <v/>
          </cell>
          <cell r="M1875" t="str">
            <v/>
          </cell>
          <cell r="N1875" t="str">
            <v/>
          </cell>
        </row>
        <row r="1876">
          <cell r="J1876" t="str">
            <v/>
          </cell>
          <cell r="K1876" t="str">
            <v/>
          </cell>
          <cell r="L1876" t="str">
            <v/>
          </cell>
          <cell r="M1876" t="str">
            <v/>
          </cell>
          <cell r="N1876" t="str">
            <v/>
          </cell>
        </row>
        <row r="1877">
          <cell r="J1877" t="str">
            <v/>
          </cell>
          <cell r="K1877" t="str">
            <v/>
          </cell>
          <cell r="L1877" t="str">
            <v/>
          </cell>
          <cell r="M1877" t="str">
            <v/>
          </cell>
          <cell r="N1877" t="str">
            <v/>
          </cell>
        </row>
        <row r="1878">
          <cell r="J1878" t="str">
            <v/>
          </cell>
          <cell r="K1878" t="str">
            <v/>
          </cell>
          <cell r="L1878" t="str">
            <v/>
          </cell>
          <cell r="M1878" t="str">
            <v/>
          </cell>
          <cell r="N1878" t="str">
            <v/>
          </cell>
        </row>
        <row r="1879">
          <cell r="J1879" t="str">
            <v/>
          </cell>
          <cell r="K1879" t="str">
            <v/>
          </cell>
          <cell r="L1879" t="str">
            <v/>
          </cell>
          <cell r="M1879" t="str">
            <v/>
          </cell>
          <cell r="N1879" t="str">
            <v/>
          </cell>
        </row>
        <row r="1882">
          <cell r="H1882" t="str">
            <v>tonnes</v>
          </cell>
          <cell r="J1882" t="str">
            <v/>
          </cell>
          <cell r="K1882" t="str">
            <v/>
          </cell>
          <cell r="L1882" t="str">
            <v/>
          </cell>
          <cell r="M1882" t="str">
            <v/>
          </cell>
          <cell r="N1882" t="str">
            <v/>
          </cell>
        </row>
        <row r="1883">
          <cell r="J1883" t="str">
            <v/>
          </cell>
          <cell r="K1883" t="str">
            <v/>
          </cell>
          <cell r="L1883" t="str">
            <v/>
          </cell>
          <cell r="M1883" t="str">
            <v/>
          </cell>
          <cell r="N1883" t="str">
            <v/>
          </cell>
        </row>
        <row r="1884">
          <cell r="J1884" t="str">
            <v/>
          </cell>
          <cell r="K1884" t="str">
            <v/>
          </cell>
          <cell r="L1884" t="str">
            <v/>
          </cell>
          <cell r="M1884" t="str">
            <v/>
          </cell>
          <cell r="N1884" t="str">
            <v/>
          </cell>
        </row>
        <row r="1885">
          <cell r="J1885" t="str">
            <v/>
          </cell>
          <cell r="K1885" t="str">
            <v/>
          </cell>
          <cell r="L1885" t="str">
            <v/>
          </cell>
          <cell r="M1885" t="str">
            <v/>
          </cell>
          <cell r="N1885" t="str">
            <v/>
          </cell>
        </row>
        <row r="1886">
          <cell r="J1886" t="str">
            <v/>
          </cell>
          <cell r="K1886" t="str">
            <v/>
          </cell>
          <cell r="L1886" t="str">
            <v/>
          </cell>
          <cell r="M1886" t="str">
            <v/>
          </cell>
          <cell r="N1886" t="str">
            <v/>
          </cell>
        </row>
        <row r="1887">
          <cell r="J1887" t="str">
            <v/>
          </cell>
          <cell r="K1887" t="str">
            <v/>
          </cell>
          <cell r="L1887" t="str">
            <v/>
          </cell>
          <cell r="M1887" t="str">
            <v/>
          </cell>
          <cell r="N1887" t="str">
            <v/>
          </cell>
        </row>
        <row r="1888">
          <cell r="J1888" t="str">
            <v/>
          </cell>
          <cell r="K1888" t="str">
            <v/>
          </cell>
          <cell r="L1888" t="str">
            <v/>
          </cell>
          <cell r="M1888" t="str">
            <v/>
          </cell>
          <cell r="N1888" t="str">
            <v/>
          </cell>
        </row>
        <row r="1889">
          <cell r="J1889" t="str">
            <v/>
          </cell>
          <cell r="K1889" t="str">
            <v/>
          </cell>
          <cell r="L1889" t="str">
            <v/>
          </cell>
          <cell r="M1889" t="str">
            <v/>
          </cell>
          <cell r="N1889" t="str">
            <v/>
          </cell>
        </row>
        <row r="1890">
          <cell r="J1890" t="str">
            <v/>
          </cell>
          <cell r="K1890" t="str">
            <v/>
          </cell>
          <cell r="L1890" t="str">
            <v/>
          </cell>
          <cell r="M1890" t="str">
            <v/>
          </cell>
          <cell r="N1890" t="str">
            <v/>
          </cell>
        </row>
        <row r="1891">
          <cell r="J1891" t="str">
            <v/>
          </cell>
          <cell r="K1891" t="str">
            <v/>
          </cell>
          <cell r="L1891" t="str">
            <v/>
          </cell>
          <cell r="M1891" t="str">
            <v/>
          </cell>
          <cell r="N1891" t="str">
            <v/>
          </cell>
        </row>
        <row r="1892">
          <cell r="J1892" t="str">
            <v/>
          </cell>
          <cell r="K1892" t="str">
            <v/>
          </cell>
          <cell r="L1892" t="str">
            <v/>
          </cell>
          <cell r="M1892" t="str">
            <v/>
          </cell>
          <cell r="N1892" t="str">
            <v/>
          </cell>
        </row>
        <row r="1893">
          <cell r="J1893" t="str">
            <v/>
          </cell>
          <cell r="K1893" t="str">
            <v/>
          </cell>
          <cell r="L1893" t="str">
            <v/>
          </cell>
          <cell r="M1893" t="str">
            <v/>
          </cell>
          <cell r="N1893" t="str">
            <v/>
          </cell>
        </row>
        <row r="1898">
          <cell r="H1898" t="str">
            <v>tonnes</v>
          </cell>
          <cell r="I1898" t="str">
            <v/>
          </cell>
          <cell r="J1898" t="str">
            <v/>
          </cell>
          <cell r="K1898" t="str">
            <v/>
          </cell>
          <cell r="L1898" t="str">
            <v/>
          </cell>
          <cell r="M1898" t="str">
            <v/>
          </cell>
          <cell r="N1898" t="str">
            <v/>
          </cell>
        </row>
        <row r="1899">
          <cell r="I1899" t="str">
            <v/>
          </cell>
          <cell r="J1899" t="str">
            <v/>
          </cell>
          <cell r="K1899" t="str">
            <v/>
          </cell>
          <cell r="L1899" t="str">
            <v/>
          </cell>
          <cell r="M1899" t="str">
            <v/>
          </cell>
          <cell r="N1899" t="str">
            <v/>
          </cell>
        </row>
        <row r="1900">
          <cell r="I1900" t="str">
            <v/>
          </cell>
          <cell r="J1900" t="str">
            <v/>
          </cell>
          <cell r="K1900" t="str">
            <v/>
          </cell>
          <cell r="L1900" t="str">
            <v/>
          </cell>
          <cell r="M1900" t="str">
            <v/>
          </cell>
          <cell r="N1900" t="str">
            <v/>
          </cell>
        </row>
        <row r="1901">
          <cell r="I1901" t="str">
            <v/>
          </cell>
          <cell r="J1901" t="str">
            <v/>
          </cell>
          <cell r="K1901" t="str">
            <v/>
          </cell>
          <cell r="L1901" t="str">
            <v/>
          </cell>
          <cell r="M1901" t="str">
            <v/>
          </cell>
          <cell r="N1901" t="str">
            <v/>
          </cell>
        </row>
        <row r="1902">
          <cell r="I1902" t="str">
            <v/>
          </cell>
          <cell r="J1902" t="str">
            <v/>
          </cell>
          <cell r="K1902" t="str">
            <v/>
          </cell>
          <cell r="L1902" t="str">
            <v/>
          </cell>
          <cell r="M1902" t="str">
            <v/>
          </cell>
          <cell r="N1902" t="str">
            <v/>
          </cell>
        </row>
        <row r="1903">
          <cell r="I1903" t="str">
            <v/>
          </cell>
          <cell r="J1903" t="str">
            <v/>
          </cell>
          <cell r="K1903" t="str">
            <v/>
          </cell>
          <cell r="L1903" t="str">
            <v/>
          </cell>
          <cell r="M1903" t="str">
            <v/>
          </cell>
          <cell r="N1903" t="str">
            <v/>
          </cell>
        </row>
        <row r="1904">
          <cell r="I1904" t="str">
            <v/>
          </cell>
          <cell r="J1904" t="str">
            <v/>
          </cell>
          <cell r="K1904" t="str">
            <v/>
          </cell>
          <cell r="L1904" t="str">
            <v/>
          </cell>
          <cell r="M1904" t="str">
            <v/>
          </cell>
          <cell r="N1904" t="str">
            <v/>
          </cell>
        </row>
        <row r="1909">
          <cell r="H1909" t="str">
            <v/>
          </cell>
          <cell r="I1909" t="str">
            <v/>
          </cell>
          <cell r="J1909" t="str">
            <v/>
          </cell>
          <cell r="K1909" t="str">
            <v/>
          </cell>
          <cell r="L1909" t="str">
            <v/>
          </cell>
          <cell r="M1909" t="str">
            <v/>
          </cell>
          <cell r="N1909" t="str">
            <v/>
          </cell>
        </row>
        <row r="1911">
          <cell r="H1911" t="str">
            <v/>
          </cell>
          <cell r="I1911" t="str">
            <v/>
          </cell>
          <cell r="J1911" t="str">
            <v/>
          </cell>
          <cell r="K1911" t="str">
            <v/>
          </cell>
          <cell r="L1911" t="str">
            <v/>
          </cell>
          <cell r="M1911" t="str">
            <v/>
          </cell>
          <cell r="N1911" t="str">
            <v/>
          </cell>
        </row>
        <row r="1912">
          <cell r="H1912" t="str">
            <v/>
          </cell>
          <cell r="I1912" t="str">
            <v/>
          </cell>
          <cell r="J1912" t="str">
            <v/>
          </cell>
          <cell r="K1912" t="str">
            <v/>
          </cell>
          <cell r="L1912" t="str">
            <v/>
          </cell>
          <cell r="M1912" t="str">
            <v/>
          </cell>
          <cell r="N1912" t="str">
            <v/>
          </cell>
        </row>
        <row r="1914">
          <cell r="H1914" t="str">
            <v/>
          </cell>
          <cell r="I1914" t="str">
            <v/>
          </cell>
          <cell r="J1914" t="str">
            <v/>
          </cell>
          <cell r="K1914" t="str">
            <v/>
          </cell>
          <cell r="L1914" t="str">
            <v/>
          </cell>
          <cell r="M1914" t="str">
            <v/>
          </cell>
          <cell r="N1914" t="str">
            <v/>
          </cell>
        </row>
        <row r="1915">
          <cell r="H1915" t="str">
            <v/>
          </cell>
          <cell r="I1915" t="str">
            <v/>
          </cell>
          <cell r="J1915" t="str">
            <v/>
          </cell>
          <cell r="K1915" t="str">
            <v/>
          </cell>
          <cell r="L1915" t="str">
            <v/>
          </cell>
          <cell r="M1915" t="str">
            <v/>
          </cell>
          <cell r="N1915" t="str">
            <v/>
          </cell>
        </row>
        <row r="1916">
          <cell r="H1916" t="str">
            <v/>
          </cell>
          <cell r="I1916" t="str">
            <v/>
          </cell>
          <cell r="J1916" t="str">
            <v/>
          </cell>
          <cell r="K1916" t="str">
            <v/>
          </cell>
          <cell r="L1916" t="str">
            <v/>
          </cell>
          <cell r="M1916" t="str">
            <v/>
          </cell>
          <cell r="N1916" t="str">
            <v/>
          </cell>
        </row>
        <row r="1917">
          <cell r="H1917" t="str">
            <v/>
          </cell>
          <cell r="I1917" t="str">
            <v/>
          </cell>
          <cell r="J1917" t="str">
            <v/>
          </cell>
          <cell r="K1917" t="str">
            <v/>
          </cell>
          <cell r="L1917" t="str">
            <v/>
          </cell>
          <cell r="M1917" t="str">
            <v/>
          </cell>
          <cell r="N1917" t="str">
            <v/>
          </cell>
        </row>
        <row r="1919">
          <cell r="H1919" t="str">
            <v/>
          </cell>
          <cell r="I1919" t="str">
            <v/>
          </cell>
          <cell r="J1919" t="str">
            <v/>
          </cell>
          <cell r="K1919" t="str">
            <v/>
          </cell>
          <cell r="L1919" t="str">
            <v/>
          </cell>
          <cell r="M1919" t="str">
            <v/>
          </cell>
          <cell r="N1919" t="str">
            <v/>
          </cell>
        </row>
        <row r="1920">
          <cell r="H1920" t="str">
            <v/>
          </cell>
          <cell r="I1920" t="str">
            <v/>
          </cell>
          <cell r="J1920" t="str">
            <v/>
          </cell>
          <cell r="K1920" t="str">
            <v/>
          </cell>
          <cell r="L1920" t="str">
            <v/>
          </cell>
          <cell r="M1920" t="str">
            <v/>
          </cell>
          <cell r="N1920" t="str">
            <v/>
          </cell>
        </row>
        <row r="1922">
          <cell r="H1922" t="str">
            <v/>
          </cell>
          <cell r="I1922" t="str">
            <v/>
          </cell>
          <cell r="J1922" t="str">
            <v/>
          </cell>
          <cell r="K1922" t="str">
            <v/>
          </cell>
          <cell r="L1922" t="str">
            <v/>
          </cell>
          <cell r="M1922" t="str">
            <v/>
          </cell>
          <cell r="N1922" t="str">
            <v/>
          </cell>
        </row>
        <row r="1923">
          <cell r="H1923" t="str">
            <v/>
          </cell>
          <cell r="I1923" t="str">
            <v/>
          </cell>
          <cell r="J1923" t="str">
            <v/>
          </cell>
          <cell r="K1923" t="str">
            <v/>
          </cell>
          <cell r="L1923" t="str">
            <v/>
          </cell>
          <cell r="M1923" t="str">
            <v/>
          </cell>
          <cell r="N1923" t="str">
            <v/>
          </cell>
        </row>
        <row r="1925">
          <cell r="H1925" t="str">
            <v/>
          </cell>
          <cell r="I1925" t="str">
            <v/>
          </cell>
          <cell r="J1925" t="str">
            <v/>
          </cell>
          <cell r="K1925" t="str">
            <v/>
          </cell>
          <cell r="L1925" t="str">
            <v/>
          </cell>
          <cell r="M1925" t="str">
            <v/>
          </cell>
          <cell r="N1925" t="str">
            <v/>
          </cell>
        </row>
        <row r="1926">
          <cell r="H1926" t="str">
            <v/>
          </cell>
          <cell r="I1926" t="str">
            <v/>
          </cell>
          <cell r="J1926" t="str">
            <v/>
          </cell>
          <cell r="K1926" t="str">
            <v/>
          </cell>
          <cell r="L1926" t="str">
            <v/>
          </cell>
          <cell r="M1926" t="str">
            <v/>
          </cell>
          <cell r="N1926" t="str">
            <v/>
          </cell>
        </row>
        <row r="1928">
          <cell r="H1928" t="str">
            <v/>
          </cell>
          <cell r="I1928" t="str">
            <v/>
          </cell>
          <cell r="J1928" t="str">
            <v/>
          </cell>
          <cell r="K1928" t="str">
            <v/>
          </cell>
          <cell r="L1928" t="str">
            <v/>
          </cell>
          <cell r="M1928" t="str">
            <v/>
          </cell>
          <cell r="N1928" t="str">
            <v/>
          </cell>
        </row>
        <row r="1929">
          <cell r="H1929" t="str">
            <v/>
          </cell>
          <cell r="I1929" t="str">
            <v/>
          </cell>
          <cell r="J1929" t="str">
            <v/>
          </cell>
          <cell r="K1929" t="str">
            <v/>
          </cell>
          <cell r="L1929" t="str">
            <v/>
          </cell>
          <cell r="M1929" t="str">
            <v/>
          </cell>
          <cell r="N1929" t="str">
            <v/>
          </cell>
        </row>
        <row r="1930">
          <cell r="H1930" t="str">
            <v/>
          </cell>
          <cell r="I1930" t="str">
            <v/>
          </cell>
          <cell r="J1930" t="str">
            <v/>
          </cell>
          <cell r="K1930" t="str">
            <v/>
          </cell>
          <cell r="L1930" t="str">
            <v/>
          </cell>
          <cell r="M1930" t="str">
            <v/>
          </cell>
          <cell r="N1930" t="str">
            <v/>
          </cell>
        </row>
        <row r="1931">
          <cell r="H1931" t="str">
            <v/>
          </cell>
          <cell r="I1931" t="str">
            <v/>
          </cell>
          <cell r="J1931" t="str">
            <v/>
          </cell>
          <cell r="K1931" t="str">
            <v/>
          </cell>
          <cell r="L1931" t="str">
            <v/>
          </cell>
          <cell r="M1931" t="str">
            <v/>
          </cell>
          <cell r="N1931" t="str">
            <v/>
          </cell>
        </row>
        <row r="1932">
          <cell r="H1932" t="str">
            <v/>
          </cell>
          <cell r="I1932" t="str">
            <v/>
          </cell>
          <cell r="J1932" t="str">
            <v/>
          </cell>
          <cell r="K1932" t="str">
            <v/>
          </cell>
          <cell r="L1932" t="str">
            <v/>
          </cell>
          <cell r="M1932" t="str">
            <v/>
          </cell>
          <cell r="N1932" t="str">
            <v/>
          </cell>
        </row>
        <row r="1933">
          <cell r="H1933" t="str">
            <v/>
          </cell>
          <cell r="I1933" t="str">
            <v/>
          </cell>
          <cell r="J1933" t="str">
            <v/>
          </cell>
          <cell r="K1933" t="str">
            <v/>
          </cell>
          <cell r="L1933" t="str">
            <v/>
          </cell>
          <cell r="M1933" t="str">
            <v/>
          </cell>
          <cell r="N1933" t="str">
            <v/>
          </cell>
        </row>
        <row r="1934">
          <cell r="H1934" t="str">
            <v/>
          </cell>
          <cell r="I1934" t="str">
            <v/>
          </cell>
          <cell r="J1934" t="str">
            <v/>
          </cell>
          <cell r="K1934" t="str">
            <v/>
          </cell>
          <cell r="L1934" t="str">
            <v/>
          </cell>
          <cell r="M1934" t="str">
            <v/>
          </cell>
          <cell r="N1934" t="str">
            <v/>
          </cell>
        </row>
        <row r="1935">
          <cell r="H1935" t="str">
            <v/>
          </cell>
          <cell r="I1935" t="str">
            <v/>
          </cell>
          <cell r="J1935" t="str">
            <v/>
          </cell>
          <cell r="K1935" t="str">
            <v/>
          </cell>
          <cell r="L1935" t="str">
            <v/>
          </cell>
          <cell r="M1935" t="str">
            <v/>
          </cell>
          <cell r="N1935" t="str">
            <v/>
          </cell>
        </row>
        <row r="1936">
          <cell r="H1936" t="str">
            <v/>
          </cell>
          <cell r="I1936" t="str">
            <v/>
          </cell>
          <cell r="J1936" t="str">
            <v/>
          </cell>
          <cell r="K1936" t="str">
            <v/>
          </cell>
          <cell r="L1936" t="str">
            <v/>
          </cell>
          <cell r="M1936" t="str">
            <v/>
          </cell>
          <cell r="N1936" t="str">
            <v/>
          </cell>
        </row>
        <row r="1937">
          <cell r="H1937" t="str">
            <v/>
          </cell>
          <cell r="I1937" t="str">
            <v/>
          </cell>
          <cell r="J1937" t="str">
            <v/>
          </cell>
          <cell r="K1937" t="str">
            <v/>
          </cell>
          <cell r="L1937" t="str">
            <v/>
          </cell>
          <cell r="M1937" t="str">
            <v/>
          </cell>
          <cell r="N1937" t="str">
            <v/>
          </cell>
        </row>
        <row r="1939">
          <cell r="H1939" t="str">
            <v/>
          </cell>
          <cell r="I1939" t="str">
            <v/>
          </cell>
          <cell r="J1939" t="str">
            <v/>
          </cell>
          <cell r="K1939" t="str">
            <v/>
          </cell>
          <cell r="L1939" t="str">
            <v/>
          </cell>
          <cell r="M1939" t="str">
            <v/>
          </cell>
          <cell r="N1939" t="str">
            <v/>
          </cell>
        </row>
        <row r="1940">
          <cell r="H1940" t="str">
            <v/>
          </cell>
          <cell r="I1940" t="str">
            <v/>
          </cell>
          <cell r="J1940" t="str">
            <v/>
          </cell>
          <cell r="K1940" t="str">
            <v/>
          </cell>
          <cell r="L1940" t="str">
            <v/>
          </cell>
          <cell r="M1940" t="str">
            <v/>
          </cell>
          <cell r="N1940" t="str">
            <v/>
          </cell>
        </row>
        <row r="1942">
          <cell r="H1942" t="str">
            <v/>
          </cell>
          <cell r="I1942" t="str">
            <v/>
          </cell>
          <cell r="J1942" t="str">
            <v/>
          </cell>
          <cell r="K1942" t="str">
            <v/>
          </cell>
          <cell r="L1942" t="str">
            <v/>
          </cell>
          <cell r="M1942" t="str">
            <v/>
          </cell>
          <cell r="N1942" t="str">
            <v/>
          </cell>
        </row>
        <row r="1945">
          <cell r="E1945" t="str">
            <v/>
          </cell>
          <cell r="H1945" t="str">
            <v/>
          </cell>
          <cell r="I1945" t="str">
            <v/>
          </cell>
          <cell r="J1945" t="str">
            <v/>
          </cell>
          <cell r="K1945" t="str">
            <v/>
          </cell>
          <cell r="L1945" t="str">
            <v/>
          </cell>
          <cell r="M1945" t="str">
            <v/>
          </cell>
          <cell r="N1945" t="str">
            <v/>
          </cell>
        </row>
        <row r="1946">
          <cell r="E1946" t="str">
            <v/>
          </cell>
          <cell r="H1946" t="str">
            <v/>
          </cell>
          <cell r="I1946" t="str">
            <v/>
          </cell>
          <cell r="J1946" t="str">
            <v/>
          </cell>
          <cell r="K1946" t="str">
            <v/>
          </cell>
          <cell r="L1946" t="str">
            <v/>
          </cell>
          <cell r="M1946" t="str">
            <v/>
          </cell>
          <cell r="N1946" t="str">
            <v/>
          </cell>
        </row>
        <row r="1948">
          <cell r="E1948" t="str">
            <v/>
          </cell>
          <cell r="H1948" t="str">
            <v/>
          </cell>
          <cell r="I1948" t="str">
            <v/>
          </cell>
          <cell r="J1948" t="str">
            <v/>
          </cell>
          <cell r="K1948" t="str">
            <v/>
          </cell>
          <cell r="L1948" t="str">
            <v/>
          </cell>
          <cell r="M1948" t="str">
            <v/>
          </cell>
          <cell r="N1948" t="str">
            <v/>
          </cell>
        </row>
        <row r="1949">
          <cell r="E1949" t="str">
            <v/>
          </cell>
          <cell r="H1949" t="str">
            <v/>
          </cell>
          <cell r="I1949" t="str">
            <v/>
          </cell>
          <cell r="J1949" t="str">
            <v/>
          </cell>
          <cell r="K1949" t="str">
            <v/>
          </cell>
          <cell r="L1949" t="str">
            <v/>
          </cell>
          <cell r="M1949" t="str">
            <v/>
          </cell>
          <cell r="N1949" t="str">
            <v/>
          </cell>
        </row>
        <row r="1953">
          <cell r="I1953" t="str">
            <v/>
          </cell>
        </row>
        <row r="1956">
          <cell r="E1956" t="str">
            <v/>
          </cell>
          <cell r="H1956" t="str">
            <v>N.A.</v>
          </cell>
          <cell r="I1956" t="str">
            <v/>
          </cell>
          <cell r="J1956" t="str">
            <v>N.A.</v>
          </cell>
          <cell r="K1956" t="str">
            <v>N.A.</v>
          </cell>
          <cell r="L1956" t="str">
            <v>N.A.</v>
          </cell>
          <cell r="M1956" t="str">
            <v>N.A.</v>
          </cell>
          <cell r="N1956" t="str">
            <v>EUA/tonnes</v>
          </cell>
        </row>
        <row r="1959">
          <cell r="F1959" t="str">
            <v>tonnes</v>
          </cell>
          <cell r="G1959" t="str">
            <v/>
          </cell>
          <cell r="H1959" t="str">
            <v/>
          </cell>
          <cell r="I1959" t="str">
            <v/>
          </cell>
          <cell r="J1959" t="str">
            <v/>
          </cell>
          <cell r="K1959" t="str">
            <v/>
          </cell>
          <cell r="L1959" t="str">
            <v/>
          </cell>
          <cell r="M1959" t="str">
            <v/>
          </cell>
          <cell r="N1959" t="str">
            <v/>
          </cell>
        </row>
        <row r="1963">
          <cell r="J1963" t="str">
            <v/>
          </cell>
          <cell r="K1963" t="str">
            <v/>
          </cell>
          <cell r="L1963" t="str">
            <v/>
          </cell>
          <cell r="M1963" t="str">
            <v/>
          </cell>
          <cell r="N1963" t="str">
            <v/>
          </cell>
        </row>
        <row r="1964">
          <cell r="J1964" t="str">
            <v/>
          </cell>
          <cell r="K1964" t="str">
            <v/>
          </cell>
          <cell r="L1964" t="str">
            <v/>
          </cell>
          <cell r="M1964" t="str">
            <v/>
          </cell>
          <cell r="N1964" t="str">
            <v/>
          </cell>
        </row>
        <row r="1967">
          <cell r="H1967" t="str">
            <v>tonnes</v>
          </cell>
          <cell r="J1967" t="str">
            <v/>
          </cell>
          <cell r="K1967" t="str">
            <v/>
          </cell>
          <cell r="L1967" t="str">
            <v/>
          </cell>
          <cell r="M1967" t="str">
            <v/>
          </cell>
          <cell r="N1967" t="str">
            <v/>
          </cell>
        </row>
        <row r="1968">
          <cell r="J1968" t="str">
            <v/>
          </cell>
          <cell r="K1968" t="str">
            <v/>
          </cell>
          <cell r="L1968" t="str">
            <v/>
          </cell>
          <cell r="M1968" t="str">
            <v/>
          </cell>
          <cell r="N1968" t="str">
            <v/>
          </cell>
        </row>
        <row r="1969">
          <cell r="J1969" t="str">
            <v/>
          </cell>
          <cell r="K1969" t="str">
            <v/>
          </cell>
          <cell r="L1969" t="str">
            <v/>
          </cell>
          <cell r="M1969" t="str">
            <v/>
          </cell>
          <cell r="N1969" t="str">
            <v/>
          </cell>
        </row>
        <row r="1970">
          <cell r="J1970" t="str">
            <v/>
          </cell>
          <cell r="K1970" t="str">
            <v/>
          </cell>
          <cell r="L1970" t="str">
            <v/>
          </cell>
          <cell r="M1970" t="str">
            <v/>
          </cell>
          <cell r="N1970" t="str">
            <v/>
          </cell>
        </row>
        <row r="1971">
          <cell r="J1971" t="str">
            <v/>
          </cell>
          <cell r="K1971" t="str">
            <v/>
          </cell>
          <cell r="L1971" t="str">
            <v/>
          </cell>
          <cell r="M1971" t="str">
            <v/>
          </cell>
          <cell r="N1971" t="str">
            <v/>
          </cell>
        </row>
        <row r="1972">
          <cell r="J1972" t="str">
            <v/>
          </cell>
          <cell r="K1972" t="str">
            <v/>
          </cell>
          <cell r="L1972" t="str">
            <v/>
          </cell>
          <cell r="M1972" t="str">
            <v/>
          </cell>
          <cell r="N1972" t="str">
            <v/>
          </cell>
        </row>
        <row r="1973">
          <cell r="J1973" t="str">
            <v/>
          </cell>
          <cell r="K1973" t="str">
            <v/>
          </cell>
          <cell r="L1973" t="str">
            <v/>
          </cell>
          <cell r="M1973" t="str">
            <v/>
          </cell>
          <cell r="N1973" t="str">
            <v/>
          </cell>
        </row>
        <row r="1976">
          <cell r="H1976" t="str">
            <v>tonnes</v>
          </cell>
          <cell r="J1976" t="str">
            <v/>
          </cell>
          <cell r="K1976" t="str">
            <v/>
          </cell>
          <cell r="L1976" t="str">
            <v/>
          </cell>
          <cell r="M1976" t="str">
            <v/>
          </cell>
          <cell r="N1976" t="str">
            <v/>
          </cell>
        </row>
        <row r="1977">
          <cell r="J1977" t="str">
            <v/>
          </cell>
          <cell r="K1977" t="str">
            <v/>
          </cell>
          <cell r="L1977" t="str">
            <v/>
          </cell>
          <cell r="M1977" t="str">
            <v/>
          </cell>
          <cell r="N1977" t="str">
            <v/>
          </cell>
        </row>
        <row r="1978">
          <cell r="J1978" t="str">
            <v/>
          </cell>
          <cell r="K1978" t="str">
            <v/>
          </cell>
          <cell r="L1978" t="str">
            <v/>
          </cell>
          <cell r="M1978" t="str">
            <v/>
          </cell>
          <cell r="N1978" t="str">
            <v/>
          </cell>
        </row>
        <row r="1979">
          <cell r="H1979" t="str">
            <v>tonnes</v>
          </cell>
          <cell r="J1979" t="str">
            <v/>
          </cell>
          <cell r="K1979" t="str">
            <v/>
          </cell>
          <cell r="L1979" t="str">
            <v/>
          </cell>
          <cell r="M1979" t="str">
            <v/>
          </cell>
          <cell r="N1979" t="str">
            <v/>
          </cell>
        </row>
        <row r="1980">
          <cell r="J1980" t="str">
            <v/>
          </cell>
          <cell r="K1980" t="str">
            <v/>
          </cell>
          <cell r="L1980" t="str">
            <v/>
          </cell>
          <cell r="M1980" t="str">
            <v/>
          </cell>
          <cell r="N1980" t="str">
            <v/>
          </cell>
        </row>
        <row r="1981">
          <cell r="J1981" t="str">
            <v/>
          </cell>
          <cell r="K1981" t="str">
            <v/>
          </cell>
          <cell r="L1981" t="str">
            <v/>
          </cell>
          <cell r="M1981" t="str">
            <v/>
          </cell>
          <cell r="N1981" t="str">
            <v/>
          </cell>
        </row>
        <row r="1982">
          <cell r="J1982" t="str">
            <v/>
          </cell>
          <cell r="K1982" t="str">
            <v/>
          </cell>
          <cell r="L1982" t="str">
            <v/>
          </cell>
          <cell r="M1982" t="str">
            <v/>
          </cell>
          <cell r="N1982" t="str">
            <v/>
          </cell>
        </row>
        <row r="1983">
          <cell r="J1983" t="str">
            <v/>
          </cell>
          <cell r="K1983" t="str">
            <v/>
          </cell>
          <cell r="L1983" t="str">
            <v/>
          </cell>
          <cell r="M1983" t="str">
            <v/>
          </cell>
          <cell r="N1983" t="str">
            <v/>
          </cell>
        </row>
        <row r="1984">
          <cell r="J1984" t="str">
            <v/>
          </cell>
          <cell r="K1984" t="str">
            <v/>
          </cell>
          <cell r="L1984" t="str">
            <v/>
          </cell>
          <cell r="M1984" t="str">
            <v/>
          </cell>
          <cell r="N1984" t="str">
            <v/>
          </cell>
        </row>
        <row r="1985">
          <cell r="J1985" t="str">
            <v/>
          </cell>
          <cell r="K1985" t="str">
            <v/>
          </cell>
          <cell r="L1985" t="str">
            <v/>
          </cell>
          <cell r="M1985" t="str">
            <v/>
          </cell>
          <cell r="N1985" t="str">
            <v/>
          </cell>
        </row>
        <row r="1986">
          <cell r="J1986" t="str">
            <v/>
          </cell>
          <cell r="K1986" t="str">
            <v/>
          </cell>
          <cell r="L1986" t="str">
            <v/>
          </cell>
          <cell r="M1986" t="str">
            <v/>
          </cell>
          <cell r="N1986" t="str">
            <v/>
          </cell>
        </row>
        <row r="1987">
          <cell r="J1987" t="str">
            <v/>
          </cell>
          <cell r="K1987" t="str">
            <v/>
          </cell>
          <cell r="L1987" t="str">
            <v/>
          </cell>
          <cell r="M1987" t="str">
            <v/>
          </cell>
          <cell r="N1987" t="str">
            <v/>
          </cell>
        </row>
        <row r="1990">
          <cell r="H1990" t="str">
            <v>tonnes</v>
          </cell>
          <cell r="J1990" t="str">
            <v/>
          </cell>
          <cell r="K1990" t="str">
            <v/>
          </cell>
          <cell r="L1990" t="str">
            <v/>
          </cell>
          <cell r="M1990" t="str">
            <v/>
          </cell>
          <cell r="N1990" t="str">
            <v/>
          </cell>
        </row>
        <row r="1991">
          <cell r="J1991" t="str">
            <v/>
          </cell>
          <cell r="K1991" t="str">
            <v/>
          </cell>
          <cell r="L1991" t="str">
            <v/>
          </cell>
          <cell r="M1991" t="str">
            <v/>
          </cell>
          <cell r="N1991" t="str">
            <v/>
          </cell>
        </row>
        <row r="1992">
          <cell r="J1992" t="str">
            <v/>
          </cell>
          <cell r="K1992" t="str">
            <v/>
          </cell>
          <cell r="L1992" t="str">
            <v/>
          </cell>
          <cell r="M1992" t="str">
            <v/>
          </cell>
          <cell r="N1992" t="str">
            <v/>
          </cell>
        </row>
        <row r="1993">
          <cell r="J1993" t="str">
            <v/>
          </cell>
          <cell r="K1993" t="str">
            <v/>
          </cell>
          <cell r="L1993" t="str">
            <v/>
          </cell>
          <cell r="M1993" t="str">
            <v/>
          </cell>
          <cell r="N1993" t="str">
            <v/>
          </cell>
        </row>
        <row r="1994">
          <cell r="J1994" t="str">
            <v/>
          </cell>
          <cell r="K1994" t="str">
            <v/>
          </cell>
          <cell r="L1994" t="str">
            <v/>
          </cell>
          <cell r="M1994" t="str">
            <v/>
          </cell>
          <cell r="N1994" t="str">
            <v/>
          </cell>
        </row>
        <row r="1995">
          <cell r="J1995" t="str">
            <v/>
          </cell>
          <cell r="K1995" t="str">
            <v/>
          </cell>
          <cell r="L1995" t="str">
            <v/>
          </cell>
          <cell r="M1995" t="str">
            <v/>
          </cell>
          <cell r="N1995" t="str">
            <v/>
          </cell>
        </row>
        <row r="1996">
          <cell r="J1996" t="str">
            <v/>
          </cell>
          <cell r="K1996" t="str">
            <v/>
          </cell>
          <cell r="L1996" t="str">
            <v/>
          </cell>
          <cell r="M1996" t="str">
            <v/>
          </cell>
          <cell r="N1996" t="str">
            <v/>
          </cell>
        </row>
        <row r="1997">
          <cell r="J1997" t="str">
            <v/>
          </cell>
          <cell r="K1997" t="str">
            <v/>
          </cell>
          <cell r="L1997" t="str">
            <v/>
          </cell>
          <cell r="M1997" t="str">
            <v/>
          </cell>
          <cell r="N1997" t="str">
            <v/>
          </cell>
        </row>
        <row r="1998">
          <cell r="J1998" t="str">
            <v/>
          </cell>
          <cell r="K1998" t="str">
            <v/>
          </cell>
          <cell r="L1998" t="str">
            <v/>
          </cell>
          <cell r="M1998" t="str">
            <v/>
          </cell>
          <cell r="N1998" t="str">
            <v/>
          </cell>
        </row>
        <row r="1999">
          <cell r="J1999" t="str">
            <v/>
          </cell>
          <cell r="K1999" t="str">
            <v/>
          </cell>
          <cell r="L1999" t="str">
            <v/>
          </cell>
          <cell r="M1999" t="str">
            <v/>
          </cell>
          <cell r="N1999" t="str">
            <v/>
          </cell>
        </row>
        <row r="2000">
          <cell r="J2000" t="str">
            <v/>
          </cell>
          <cell r="K2000" t="str">
            <v/>
          </cell>
          <cell r="L2000" t="str">
            <v/>
          </cell>
          <cell r="M2000" t="str">
            <v/>
          </cell>
          <cell r="N2000" t="str">
            <v/>
          </cell>
        </row>
        <row r="2001">
          <cell r="J2001" t="str">
            <v/>
          </cell>
          <cell r="K2001" t="str">
            <v/>
          </cell>
          <cell r="L2001" t="str">
            <v/>
          </cell>
          <cell r="M2001" t="str">
            <v/>
          </cell>
          <cell r="N2001" t="str">
            <v/>
          </cell>
        </row>
        <row r="2004">
          <cell r="H2004" t="str">
            <v>tonnes</v>
          </cell>
          <cell r="J2004" t="str">
            <v/>
          </cell>
          <cell r="K2004" t="str">
            <v/>
          </cell>
          <cell r="L2004" t="str">
            <v/>
          </cell>
          <cell r="M2004" t="str">
            <v/>
          </cell>
          <cell r="N2004" t="str">
            <v/>
          </cell>
        </row>
        <row r="2005">
          <cell r="J2005" t="str">
            <v/>
          </cell>
          <cell r="K2005" t="str">
            <v/>
          </cell>
          <cell r="L2005" t="str">
            <v/>
          </cell>
          <cell r="M2005" t="str">
            <v/>
          </cell>
          <cell r="N2005" t="str">
            <v/>
          </cell>
        </row>
        <row r="2006">
          <cell r="J2006" t="str">
            <v/>
          </cell>
          <cell r="K2006" t="str">
            <v/>
          </cell>
          <cell r="L2006" t="str">
            <v/>
          </cell>
          <cell r="M2006" t="str">
            <v/>
          </cell>
          <cell r="N2006" t="str">
            <v/>
          </cell>
        </row>
        <row r="2007">
          <cell r="J2007" t="str">
            <v/>
          </cell>
          <cell r="K2007" t="str">
            <v/>
          </cell>
          <cell r="L2007" t="str">
            <v/>
          </cell>
          <cell r="M2007" t="str">
            <v/>
          </cell>
          <cell r="N2007" t="str">
            <v/>
          </cell>
        </row>
        <row r="2008">
          <cell r="J2008" t="str">
            <v/>
          </cell>
          <cell r="K2008" t="str">
            <v/>
          </cell>
          <cell r="L2008" t="str">
            <v/>
          </cell>
          <cell r="M2008" t="str">
            <v/>
          </cell>
          <cell r="N2008" t="str">
            <v/>
          </cell>
        </row>
        <row r="2009">
          <cell r="J2009" t="str">
            <v/>
          </cell>
          <cell r="K2009" t="str">
            <v/>
          </cell>
          <cell r="L2009" t="str">
            <v/>
          </cell>
          <cell r="M2009" t="str">
            <v/>
          </cell>
          <cell r="N2009" t="str">
            <v/>
          </cell>
        </row>
        <row r="2010">
          <cell r="J2010" t="str">
            <v/>
          </cell>
          <cell r="K2010" t="str">
            <v/>
          </cell>
          <cell r="L2010" t="str">
            <v/>
          </cell>
          <cell r="M2010" t="str">
            <v/>
          </cell>
          <cell r="N2010" t="str">
            <v/>
          </cell>
        </row>
        <row r="2011">
          <cell r="J2011" t="str">
            <v/>
          </cell>
          <cell r="K2011" t="str">
            <v/>
          </cell>
          <cell r="L2011" t="str">
            <v/>
          </cell>
          <cell r="M2011" t="str">
            <v/>
          </cell>
          <cell r="N2011" t="str">
            <v/>
          </cell>
        </row>
        <row r="2012">
          <cell r="J2012" t="str">
            <v/>
          </cell>
          <cell r="K2012" t="str">
            <v/>
          </cell>
          <cell r="L2012" t="str">
            <v/>
          </cell>
          <cell r="M2012" t="str">
            <v/>
          </cell>
          <cell r="N2012" t="str">
            <v/>
          </cell>
        </row>
        <row r="2013">
          <cell r="J2013" t="str">
            <v/>
          </cell>
          <cell r="K2013" t="str">
            <v/>
          </cell>
          <cell r="L2013" t="str">
            <v/>
          </cell>
          <cell r="M2013" t="str">
            <v/>
          </cell>
          <cell r="N2013" t="str">
            <v/>
          </cell>
        </row>
        <row r="2014">
          <cell r="J2014" t="str">
            <v/>
          </cell>
          <cell r="K2014" t="str">
            <v/>
          </cell>
          <cell r="L2014" t="str">
            <v/>
          </cell>
          <cell r="M2014" t="str">
            <v/>
          </cell>
          <cell r="N2014" t="str">
            <v/>
          </cell>
        </row>
        <row r="2015">
          <cell r="J2015" t="str">
            <v/>
          </cell>
          <cell r="K2015" t="str">
            <v/>
          </cell>
          <cell r="L2015" t="str">
            <v/>
          </cell>
          <cell r="M2015" t="str">
            <v/>
          </cell>
          <cell r="N2015" t="str">
            <v/>
          </cell>
        </row>
        <row r="2018">
          <cell r="H2018" t="str">
            <v>tonnes</v>
          </cell>
          <cell r="J2018" t="str">
            <v/>
          </cell>
          <cell r="K2018" t="str">
            <v/>
          </cell>
          <cell r="L2018" t="str">
            <v/>
          </cell>
          <cell r="M2018" t="str">
            <v/>
          </cell>
          <cell r="N2018" t="str">
            <v/>
          </cell>
        </row>
        <row r="2019">
          <cell r="J2019" t="str">
            <v/>
          </cell>
          <cell r="K2019" t="str">
            <v/>
          </cell>
          <cell r="L2019" t="str">
            <v/>
          </cell>
          <cell r="M2019" t="str">
            <v/>
          </cell>
          <cell r="N2019" t="str">
            <v/>
          </cell>
        </row>
        <row r="2020">
          <cell r="J2020" t="str">
            <v/>
          </cell>
          <cell r="K2020" t="str">
            <v/>
          </cell>
          <cell r="L2020" t="str">
            <v/>
          </cell>
          <cell r="M2020" t="str">
            <v/>
          </cell>
          <cell r="N2020" t="str">
            <v/>
          </cell>
        </row>
        <row r="2021">
          <cell r="J2021" t="str">
            <v/>
          </cell>
          <cell r="K2021" t="str">
            <v/>
          </cell>
          <cell r="L2021" t="str">
            <v/>
          </cell>
          <cell r="M2021" t="str">
            <v/>
          </cell>
          <cell r="N2021" t="str">
            <v/>
          </cell>
        </row>
        <row r="2022">
          <cell r="J2022" t="str">
            <v/>
          </cell>
          <cell r="K2022" t="str">
            <v/>
          </cell>
          <cell r="L2022" t="str">
            <v/>
          </cell>
          <cell r="M2022" t="str">
            <v/>
          </cell>
          <cell r="N2022" t="str">
            <v/>
          </cell>
        </row>
        <row r="2023">
          <cell r="J2023" t="str">
            <v/>
          </cell>
          <cell r="K2023" t="str">
            <v/>
          </cell>
          <cell r="L2023" t="str">
            <v/>
          </cell>
          <cell r="M2023" t="str">
            <v/>
          </cell>
          <cell r="N2023" t="str">
            <v/>
          </cell>
        </row>
        <row r="2024">
          <cell r="J2024" t="str">
            <v/>
          </cell>
          <cell r="K2024" t="str">
            <v/>
          </cell>
          <cell r="L2024" t="str">
            <v/>
          </cell>
          <cell r="M2024" t="str">
            <v/>
          </cell>
          <cell r="N2024" t="str">
            <v/>
          </cell>
        </row>
        <row r="2025">
          <cell r="J2025" t="str">
            <v/>
          </cell>
          <cell r="K2025" t="str">
            <v/>
          </cell>
          <cell r="L2025" t="str">
            <v/>
          </cell>
          <cell r="M2025" t="str">
            <v/>
          </cell>
          <cell r="N2025" t="str">
            <v/>
          </cell>
        </row>
        <row r="2026">
          <cell r="J2026" t="str">
            <v/>
          </cell>
          <cell r="K2026" t="str">
            <v/>
          </cell>
          <cell r="L2026" t="str">
            <v/>
          </cell>
          <cell r="M2026" t="str">
            <v/>
          </cell>
          <cell r="N2026" t="str">
            <v/>
          </cell>
        </row>
        <row r="2027">
          <cell r="J2027" t="str">
            <v/>
          </cell>
          <cell r="K2027" t="str">
            <v/>
          </cell>
          <cell r="L2027" t="str">
            <v/>
          </cell>
          <cell r="M2027" t="str">
            <v/>
          </cell>
          <cell r="N2027" t="str">
            <v/>
          </cell>
        </row>
        <row r="2028">
          <cell r="J2028" t="str">
            <v/>
          </cell>
          <cell r="K2028" t="str">
            <v/>
          </cell>
          <cell r="L2028" t="str">
            <v/>
          </cell>
          <cell r="M2028" t="str">
            <v/>
          </cell>
          <cell r="N2028" t="str">
            <v/>
          </cell>
        </row>
        <row r="2029">
          <cell r="J2029" t="str">
            <v/>
          </cell>
          <cell r="K2029" t="str">
            <v/>
          </cell>
          <cell r="L2029" t="str">
            <v/>
          </cell>
          <cell r="M2029" t="str">
            <v/>
          </cell>
          <cell r="N2029" t="str">
            <v/>
          </cell>
        </row>
        <row r="2032">
          <cell r="H2032" t="str">
            <v>tonnes</v>
          </cell>
          <cell r="J2032" t="str">
            <v/>
          </cell>
          <cell r="K2032" t="str">
            <v/>
          </cell>
          <cell r="L2032" t="str">
            <v/>
          </cell>
          <cell r="M2032" t="str">
            <v/>
          </cell>
          <cell r="N2032" t="str">
            <v/>
          </cell>
        </row>
        <row r="2033">
          <cell r="J2033" t="str">
            <v/>
          </cell>
          <cell r="K2033" t="str">
            <v/>
          </cell>
          <cell r="L2033" t="str">
            <v/>
          </cell>
          <cell r="M2033" t="str">
            <v/>
          </cell>
          <cell r="N2033" t="str">
            <v/>
          </cell>
        </row>
        <row r="2034">
          <cell r="J2034" t="str">
            <v/>
          </cell>
          <cell r="K2034" t="str">
            <v/>
          </cell>
          <cell r="L2034" t="str">
            <v/>
          </cell>
          <cell r="M2034" t="str">
            <v/>
          </cell>
          <cell r="N2034" t="str">
            <v/>
          </cell>
        </row>
        <row r="2035">
          <cell r="J2035" t="str">
            <v/>
          </cell>
          <cell r="K2035" t="str">
            <v/>
          </cell>
          <cell r="L2035" t="str">
            <v/>
          </cell>
          <cell r="M2035" t="str">
            <v/>
          </cell>
          <cell r="N2035" t="str">
            <v/>
          </cell>
        </row>
        <row r="2036">
          <cell r="J2036" t="str">
            <v/>
          </cell>
          <cell r="K2036" t="str">
            <v/>
          </cell>
          <cell r="L2036" t="str">
            <v/>
          </cell>
          <cell r="M2036" t="str">
            <v/>
          </cell>
          <cell r="N2036" t="str">
            <v/>
          </cell>
        </row>
        <row r="2037">
          <cell r="J2037" t="str">
            <v/>
          </cell>
          <cell r="K2037" t="str">
            <v/>
          </cell>
          <cell r="L2037" t="str">
            <v/>
          </cell>
          <cell r="M2037" t="str">
            <v/>
          </cell>
          <cell r="N2037" t="str">
            <v/>
          </cell>
        </row>
        <row r="2038">
          <cell r="J2038" t="str">
            <v/>
          </cell>
          <cell r="K2038" t="str">
            <v/>
          </cell>
          <cell r="L2038" t="str">
            <v/>
          </cell>
          <cell r="M2038" t="str">
            <v/>
          </cell>
          <cell r="N2038" t="str">
            <v/>
          </cell>
        </row>
        <row r="2039">
          <cell r="J2039" t="str">
            <v/>
          </cell>
          <cell r="K2039" t="str">
            <v/>
          </cell>
          <cell r="L2039" t="str">
            <v/>
          </cell>
          <cell r="M2039" t="str">
            <v/>
          </cell>
          <cell r="N2039" t="str">
            <v/>
          </cell>
        </row>
        <row r="2040">
          <cell r="J2040" t="str">
            <v/>
          </cell>
          <cell r="K2040" t="str">
            <v/>
          </cell>
          <cell r="L2040" t="str">
            <v/>
          </cell>
          <cell r="M2040" t="str">
            <v/>
          </cell>
          <cell r="N2040" t="str">
            <v/>
          </cell>
        </row>
        <row r="2041">
          <cell r="J2041" t="str">
            <v/>
          </cell>
          <cell r="K2041" t="str">
            <v/>
          </cell>
          <cell r="L2041" t="str">
            <v/>
          </cell>
          <cell r="M2041" t="str">
            <v/>
          </cell>
          <cell r="N2041" t="str">
            <v/>
          </cell>
        </row>
        <row r="2042">
          <cell r="J2042" t="str">
            <v/>
          </cell>
          <cell r="K2042" t="str">
            <v/>
          </cell>
          <cell r="L2042" t="str">
            <v/>
          </cell>
          <cell r="M2042" t="str">
            <v/>
          </cell>
          <cell r="N2042" t="str">
            <v/>
          </cell>
        </row>
        <row r="2043">
          <cell r="J2043" t="str">
            <v/>
          </cell>
          <cell r="K2043" t="str">
            <v/>
          </cell>
          <cell r="L2043" t="str">
            <v/>
          </cell>
          <cell r="M2043" t="str">
            <v/>
          </cell>
          <cell r="N2043" t="str">
            <v/>
          </cell>
        </row>
        <row r="2046">
          <cell r="H2046" t="str">
            <v>tonnes</v>
          </cell>
          <cell r="J2046" t="str">
            <v/>
          </cell>
          <cell r="K2046" t="str">
            <v/>
          </cell>
          <cell r="L2046" t="str">
            <v/>
          </cell>
          <cell r="M2046" t="str">
            <v/>
          </cell>
          <cell r="N2046" t="str">
            <v/>
          </cell>
        </row>
        <row r="2047">
          <cell r="J2047" t="str">
            <v/>
          </cell>
          <cell r="K2047" t="str">
            <v/>
          </cell>
          <cell r="L2047" t="str">
            <v/>
          </cell>
          <cell r="M2047" t="str">
            <v/>
          </cell>
          <cell r="N2047" t="str">
            <v/>
          </cell>
        </row>
        <row r="2048">
          <cell r="J2048" t="str">
            <v/>
          </cell>
          <cell r="K2048" t="str">
            <v/>
          </cell>
          <cell r="L2048" t="str">
            <v/>
          </cell>
          <cell r="M2048" t="str">
            <v/>
          </cell>
          <cell r="N2048" t="str">
            <v/>
          </cell>
        </row>
        <row r="2049">
          <cell r="J2049" t="str">
            <v/>
          </cell>
          <cell r="K2049" t="str">
            <v/>
          </cell>
          <cell r="L2049" t="str">
            <v/>
          </cell>
          <cell r="M2049" t="str">
            <v/>
          </cell>
          <cell r="N2049" t="str">
            <v/>
          </cell>
        </row>
        <row r="2050">
          <cell r="J2050" t="str">
            <v/>
          </cell>
          <cell r="K2050" t="str">
            <v/>
          </cell>
          <cell r="L2050" t="str">
            <v/>
          </cell>
          <cell r="M2050" t="str">
            <v/>
          </cell>
          <cell r="N2050" t="str">
            <v/>
          </cell>
        </row>
        <row r="2051">
          <cell r="J2051" t="str">
            <v/>
          </cell>
          <cell r="K2051" t="str">
            <v/>
          </cell>
          <cell r="L2051" t="str">
            <v/>
          </cell>
          <cell r="M2051" t="str">
            <v/>
          </cell>
          <cell r="N2051" t="str">
            <v/>
          </cell>
        </row>
        <row r="2052">
          <cell r="J2052" t="str">
            <v/>
          </cell>
          <cell r="K2052" t="str">
            <v/>
          </cell>
          <cell r="L2052" t="str">
            <v/>
          </cell>
          <cell r="M2052" t="str">
            <v/>
          </cell>
          <cell r="N2052" t="str">
            <v/>
          </cell>
        </row>
        <row r="2053">
          <cell r="J2053" t="str">
            <v/>
          </cell>
          <cell r="K2053" t="str">
            <v/>
          </cell>
          <cell r="L2053" t="str">
            <v/>
          </cell>
          <cell r="M2053" t="str">
            <v/>
          </cell>
          <cell r="N2053" t="str">
            <v/>
          </cell>
        </row>
        <row r="2054">
          <cell r="J2054" t="str">
            <v/>
          </cell>
          <cell r="K2054" t="str">
            <v/>
          </cell>
          <cell r="L2054" t="str">
            <v/>
          </cell>
          <cell r="M2054" t="str">
            <v/>
          </cell>
          <cell r="N2054" t="str">
            <v/>
          </cell>
        </row>
        <row r="2055">
          <cell r="J2055" t="str">
            <v/>
          </cell>
          <cell r="K2055" t="str">
            <v/>
          </cell>
          <cell r="L2055" t="str">
            <v/>
          </cell>
          <cell r="M2055" t="str">
            <v/>
          </cell>
          <cell r="N2055" t="str">
            <v/>
          </cell>
        </row>
        <row r="2056">
          <cell r="J2056" t="str">
            <v/>
          </cell>
          <cell r="K2056" t="str">
            <v/>
          </cell>
          <cell r="L2056" t="str">
            <v/>
          </cell>
          <cell r="M2056" t="str">
            <v/>
          </cell>
          <cell r="N2056" t="str">
            <v/>
          </cell>
        </row>
        <row r="2057">
          <cell r="J2057" t="str">
            <v/>
          </cell>
          <cell r="K2057" t="str">
            <v/>
          </cell>
          <cell r="L2057" t="str">
            <v/>
          </cell>
          <cell r="M2057" t="str">
            <v/>
          </cell>
          <cell r="N2057" t="str">
            <v/>
          </cell>
        </row>
        <row r="2062">
          <cell r="H2062" t="str">
            <v>tonnes</v>
          </cell>
          <cell r="I2062" t="str">
            <v/>
          </cell>
          <cell r="J2062" t="str">
            <v/>
          </cell>
          <cell r="K2062" t="str">
            <v/>
          </cell>
          <cell r="L2062" t="str">
            <v/>
          </cell>
          <cell r="M2062" t="str">
            <v/>
          </cell>
          <cell r="N2062" t="str">
            <v/>
          </cell>
        </row>
        <row r="2063">
          <cell r="I2063" t="str">
            <v/>
          </cell>
          <cell r="J2063" t="str">
            <v/>
          </cell>
          <cell r="K2063" t="str">
            <v/>
          </cell>
          <cell r="L2063" t="str">
            <v/>
          </cell>
          <cell r="M2063" t="str">
            <v/>
          </cell>
          <cell r="N2063" t="str">
            <v/>
          </cell>
        </row>
        <row r="2064">
          <cell r="I2064" t="str">
            <v/>
          </cell>
          <cell r="J2064" t="str">
            <v/>
          </cell>
          <cell r="K2064" t="str">
            <v/>
          </cell>
          <cell r="L2064" t="str">
            <v/>
          </cell>
          <cell r="M2064" t="str">
            <v/>
          </cell>
          <cell r="N2064" t="str">
            <v/>
          </cell>
        </row>
        <row r="2065">
          <cell r="I2065" t="str">
            <v/>
          </cell>
          <cell r="J2065" t="str">
            <v/>
          </cell>
          <cell r="K2065" t="str">
            <v/>
          </cell>
          <cell r="L2065" t="str">
            <v/>
          </cell>
          <cell r="M2065" t="str">
            <v/>
          </cell>
          <cell r="N2065" t="str">
            <v/>
          </cell>
        </row>
        <row r="2066">
          <cell r="I2066" t="str">
            <v/>
          </cell>
          <cell r="J2066" t="str">
            <v/>
          </cell>
          <cell r="K2066" t="str">
            <v/>
          </cell>
          <cell r="L2066" t="str">
            <v/>
          </cell>
          <cell r="M2066" t="str">
            <v/>
          </cell>
          <cell r="N2066" t="str">
            <v/>
          </cell>
        </row>
        <row r="2067">
          <cell r="I2067" t="str">
            <v/>
          </cell>
          <cell r="J2067" t="str">
            <v/>
          </cell>
          <cell r="K2067" t="str">
            <v/>
          </cell>
          <cell r="L2067" t="str">
            <v/>
          </cell>
          <cell r="M2067" t="str">
            <v/>
          </cell>
          <cell r="N2067" t="str">
            <v/>
          </cell>
        </row>
        <row r="2068">
          <cell r="I2068" t="str">
            <v/>
          </cell>
          <cell r="J2068" t="str">
            <v/>
          </cell>
          <cell r="K2068" t="str">
            <v/>
          </cell>
          <cell r="L2068" t="str">
            <v/>
          </cell>
          <cell r="M2068" t="str">
            <v/>
          </cell>
          <cell r="N2068" t="str">
            <v/>
          </cell>
        </row>
        <row r="2073">
          <cell r="H2073" t="str">
            <v/>
          </cell>
          <cell r="I2073" t="str">
            <v/>
          </cell>
          <cell r="J2073" t="str">
            <v/>
          </cell>
          <cell r="K2073" t="str">
            <v/>
          </cell>
          <cell r="L2073" t="str">
            <v/>
          </cell>
          <cell r="M2073" t="str">
            <v/>
          </cell>
          <cell r="N2073" t="str">
            <v/>
          </cell>
        </row>
        <row r="2075">
          <cell r="H2075" t="str">
            <v/>
          </cell>
          <cell r="I2075" t="str">
            <v/>
          </cell>
          <cell r="J2075" t="str">
            <v/>
          </cell>
          <cell r="K2075" t="str">
            <v/>
          </cell>
          <cell r="L2075" t="str">
            <v/>
          </cell>
          <cell r="M2075" t="str">
            <v/>
          </cell>
          <cell r="N2075" t="str">
            <v/>
          </cell>
        </row>
        <row r="2076">
          <cell r="H2076" t="str">
            <v/>
          </cell>
          <cell r="I2076" t="str">
            <v/>
          </cell>
          <cell r="J2076" t="str">
            <v/>
          </cell>
          <cell r="K2076" t="str">
            <v/>
          </cell>
          <cell r="L2076" t="str">
            <v/>
          </cell>
          <cell r="M2076" t="str">
            <v/>
          </cell>
          <cell r="N2076" t="str">
            <v/>
          </cell>
        </row>
        <row r="2078">
          <cell r="H2078" t="str">
            <v/>
          </cell>
          <cell r="I2078" t="str">
            <v/>
          </cell>
          <cell r="J2078" t="str">
            <v/>
          </cell>
          <cell r="K2078" t="str">
            <v/>
          </cell>
          <cell r="L2078" t="str">
            <v/>
          </cell>
          <cell r="M2078" t="str">
            <v/>
          </cell>
          <cell r="N2078" t="str">
            <v/>
          </cell>
        </row>
        <row r="2079">
          <cell r="H2079" t="str">
            <v/>
          </cell>
          <cell r="I2079" t="str">
            <v/>
          </cell>
          <cell r="J2079" t="str">
            <v/>
          </cell>
          <cell r="K2079" t="str">
            <v/>
          </cell>
          <cell r="L2079" t="str">
            <v/>
          </cell>
          <cell r="M2079" t="str">
            <v/>
          </cell>
          <cell r="N2079" t="str">
            <v/>
          </cell>
        </row>
        <row r="2080">
          <cell r="H2080" t="str">
            <v/>
          </cell>
          <cell r="I2080" t="str">
            <v/>
          </cell>
          <cell r="J2080" t="str">
            <v/>
          </cell>
          <cell r="K2080" t="str">
            <v/>
          </cell>
          <cell r="L2080" t="str">
            <v/>
          </cell>
          <cell r="M2080" t="str">
            <v/>
          </cell>
          <cell r="N2080" t="str">
            <v/>
          </cell>
        </row>
        <row r="2081">
          <cell r="H2081" t="str">
            <v/>
          </cell>
          <cell r="I2081" t="str">
            <v/>
          </cell>
          <cell r="J2081" t="str">
            <v/>
          </cell>
          <cell r="K2081" t="str">
            <v/>
          </cell>
          <cell r="L2081" t="str">
            <v/>
          </cell>
          <cell r="M2081" t="str">
            <v/>
          </cell>
          <cell r="N2081" t="str">
            <v/>
          </cell>
        </row>
        <row r="2083">
          <cell r="H2083" t="str">
            <v/>
          </cell>
          <cell r="I2083" t="str">
            <v/>
          </cell>
          <cell r="J2083" t="str">
            <v/>
          </cell>
          <cell r="K2083" t="str">
            <v/>
          </cell>
          <cell r="L2083" t="str">
            <v/>
          </cell>
          <cell r="M2083" t="str">
            <v/>
          </cell>
          <cell r="N2083" t="str">
            <v/>
          </cell>
        </row>
        <row r="2084">
          <cell r="H2084" t="str">
            <v/>
          </cell>
          <cell r="I2084" t="str">
            <v/>
          </cell>
          <cell r="J2084" t="str">
            <v/>
          </cell>
          <cell r="K2084" t="str">
            <v/>
          </cell>
          <cell r="L2084" t="str">
            <v/>
          </cell>
          <cell r="M2084" t="str">
            <v/>
          </cell>
          <cell r="N2084" t="str">
            <v/>
          </cell>
        </row>
        <row r="2086">
          <cell r="H2086" t="str">
            <v/>
          </cell>
          <cell r="I2086" t="str">
            <v/>
          </cell>
          <cell r="J2086" t="str">
            <v/>
          </cell>
          <cell r="K2086" t="str">
            <v/>
          </cell>
          <cell r="L2086" t="str">
            <v/>
          </cell>
          <cell r="M2086" t="str">
            <v/>
          </cell>
          <cell r="N2086" t="str">
            <v/>
          </cell>
        </row>
        <row r="2087">
          <cell r="H2087" t="str">
            <v/>
          </cell>
          <cell r="I2087" t="str">
            <v/>
          </cell>
          <cell r="J2087" t="str">
            <v/>
          </cell>
          <cell r="K2087" t="str">
            <v/>
          </cell>
          <cell r="L2087" t="str">
            <v/>
          </cell>
          <cell r="M2087" t="str">
            <v/>
          </cell>
          <cell r="N2087" t="str">
            <v/>
          </cell>
        </row>
        <row r="2089">
          <cell r="H2089" t="str">
            <v/>
          </cell>
          <cell r="I2089" t="str">
            <v/>
          </cell>
          <cell r="J2089" t="str">
            <v/>
          </cell>
          <cell r="K2089" t="str">
            <v/>
          </cell>
          <cell r="L2089" t="str">
            <v/>
          </cell>
          <cell r="M2089" t="str">
            <v/>
          </cell>
          <cell r="N2089" t="str">
            <v/>
          </cell>
        </row>
        <row r="2090">
          <cell r="H2090" t="str">
            <v/>
          </cell>
          <cell r="I2090" t="str">
            <v/>
          </cell>
          <cell r="J2090" t="str">
            <v/>
          </cell>
          <cell r="K2090" t="str">
            <v/>
          </cell>
          <cell r="L2090" t="str">
            <v/>
          </cell>
          <cell r="M2090" t="str">
            <v/>
          </cell>
          <cell r="N2090" t="str">
            <v/>
          </cell>
        </row>
        <row r="2092">
          <cell r="H2092" t="str">
            <v/>
          </cell>
          <cell r="I2092" t="str">
            <v/>
          </cell>
          <cell r="J2092" t="str">
            <v/>
          </cell>
          <cell r="K2092" t="str">
            <v/>
          </cell>
          <cell r="L2092" t="str">
            <v/>
          </cell>
          <cell r="M2092" t="str">
            <v/>
          </cell>
          <cell r="N2092" t="str">
            <v/>
          </cell>
        </row>
        <row r="2093">
          <cell r="H2093" t="str">
            <v/>
          </cell>
          <cell r="I2093" t="str">
            <v/>
          </cell>
          <cell r="J2093" t="str">
            <v/>
          </cell>
          <cell r="K2093" t="str">
            <v/>
          </cell>
          <cell r="L2093" t="str">
            <v/>
          </cell>
          <cell r="M2093" t="str">
            <v/>
          </cell>
          <cell r="N2093" t="str">
            <v/>
          </cell>
        </row>
        <row r="2094">
          <cell r="H2094" t="str">
            <v/>
          </cell>
          <cell r="I2094" t="str">
            <v/>
          </cell>
          <cell r="J2094" t="str">
            <v/>
          </cell>
          <cell r="K2094" t="str">
            <v/>
          </cell>
          <cell r="L2094" t="str">
            <v/>
          </cell>
          <cell r="M2094" t="str">
            <v/>
          </cell>
          <cell r="N2094" t="str">
            <v/>
          </cell>
        </row>
        <row r="2095">
          <cell r="H2095" t="str">
            <v/>
          </cell>
          <cell r="I2095" t="str">
            <v/>
          </cell>
          <cell r="J2095" t="str">
            <v/>
          </cell>
          <cell r="K2095" t="str">
            <v/>
          </cell>
          <cell r="L2095" t="str">
            <v/>
          </cell>
          <cell r="M2095" t="str">
            <v/>
          </cell>
          <cell r="N2095" t="str">
            <v/>
          </cell>
        </row>
        <row r="2096">
          <cell r="H2096" t="str">
            <v/>
          </cell>
          <cell r="I2096" t="str">
            <v/>
          </cell>
          <cell r="J2096" t="str">
            <v/>
          </cell>
          <cell r="K2096" t="str">
            <v/>
          </cell>
          <cell r="L2096" t="str">
            <v/>
          </cell>
          <cell r="M2096" t="str">
            <v/>
          </cell>
          <cell r="N2096" t="str">
            <v/>
          </cell>
        </row>
        <row r="2097">
          <cell r="H2097" t="str">
            <v/>
          </cell>
          <cell r="I2097" t="str">
            <v/>
          </cell>
          <cell r="J2097" t="str">
            <v/>
          </cell>
          <cell r="K2097" t="str">
            <v/>
          </cell>
          <cell r="L2097" t="str">
            <v/>
          </cell>
          <cell r="M2097" t="str">
            <v/>
          </cell>
          <cell r="N2097" t="str">
            <v/>
          </cell>
        </row>
        <row r="2098">
          <cell r="H2098" t="str">
            <v/>
          </cell>
          <cell r="I2098" t="str">
            <v/>
          </cell>
          <cell r="J2098" t="str">
            <v/>
          </cell>
          <cell r="K2098" t="str">
            <v/>
          </cell>
          <cell r="L2098" t="str">
            <v/>
          </cell>
          <cell r="M2098" t="str">
            <v/>
          </cell>
          <cell r="N2098" t="str">
            <v/>
          </cell>
        </row>
        <row r="2099">
          <cell r="H2099" t="str">
            <v/>
          </cell>
          <cell r="I2099" t="str">
            <v/>
          </cell>
          <cell r="J2099" t="str">
            <v/>
          </cell>
          <cell r="K2099" t="str">
            <v/>
          </cell>
          <cell r="L2099" t="str">
            <v/>
          </cell>
          <cell r="M2099" t="str">
            <v/>
          </cell>
          <cell r="N2099" t="str">
            <v/>
          </cell>
        </row>
        <row r="2100">
          <cell r="H2100" t="str">
            <v/>
          </cell>
          <cell r="I2100" t="str">
            <v/>
          </cell>
          <cell r="J2100" t="str">
            <v/>
          </cell>
          <cell r="K2100" t="str">
            <v/>
          </cell>
          <cell r="L2100" t="str">
            <v/>
          </cell>
          <cell r="M2100" t="str">
            <v/>
          </cell>
          <cell r="N2100" t="str">
            <v/>
          </cell>
        </row>
        <row r="2101">
          <cell r="H2101" t="str">
            <v/>
          </cell>
          <cell r="I2101" t="str">
            <v/>
          </cell>
          <cell r="J2101" t="str">
            <v/>
          </cell>
          <cell r="K2101" t="str">
            <v/>
          </cell>
          <cell r="L2101" t="str">
            <v/>
          </cell>
          <cell r="M2101" t="str">
            <v/>
          </cell>
          <cell r="N2101" t="str">
            <v/>
          </cell>
        </row>
        <row r="2103">
          <cell r="H2103" t="str">
            <v/>
          </cell>
          <cell r="I2103" t="str">
            <v/>
          </cell>
          <cell r="J2103" t="str">
            <v/>
          </cell>
          <cell r="K2103" t="str">
            <v/>
          </cell>
          <cell r="L2103" t="str">
            <v/>
          </cell>
          <cell r="M2103" t="str">
            <v/>
          </cell>
          <cell r="N2103" t="str">
            <v/>
          </cell>
        </row>
        <row r="2104">
          <cell r="H2104" t="str">
            <v/>
          </cell>
          <cell r="I2104" t="str">
            <v/>
          </cell>
          <cell r="J2104" t="str">
            <v/>
          </cell>
          <cell r="K2104" t="str">
            <v/>
          </cell>
          <cell r="L2104" t="str">
            <v/>
          </cell>
          <cell r="M2104" t="str">
            <v/>
          </cell>
          <cell r="N2104" t="str">
            <v/>
          </cell>
        </row>
        <row r="2106">
          <cell r="H2106" t="str">
            <v/>
          </cell>
          <cell r="I2106" t="str">
            <v/>
          </cell>
          <cell r="J2106" t="str">
            <v/>
          </cell>
          <cell r="K2106" t="str">
            <v/>
          </cell>
          <cell r="L2106" t="str">
            <v/>
          </cell>
          <cell r="M2106" t="str">
            <v/>
          </cell>
          <cell r="N2106" t="str">
            <v/>
          </cell>
        </row>
        <row r="2109">
          <cell r="E2109" t="str">
            <v/>
          </cell>
          <cell r="H2109" t="str">
            <v/>
          </cell>
          <cell r="I2109" t="str">
            <v/>
          </cell>
          <cell r="J2109" t="str">
            <v/>
          </cell>
          <cell r="K2109" t="str">
            <v/>
          </cell>
          <cell r="L2109" t="str">
            <v/>
          </cell>
          <cell r="M2109" t="str">
            <v/>
          </cell>
          <cell r="N2109" t="str">
            <v/>
          </cell>
        </row>
        <row r="2110">
          <cell r="E2110" t="str">
            <v/>
          </cell>
          <cell r="H2110" t="str">
            <v/>
          </cell>
          <cell r="I2110" t="str">
            <v/>
          </cell>
          <cell r="J2110" t="str">
            <v/>
          </cell>
          <cell r="K2110" t="str">
            <v/>
          </cell>
          <cell r="L2110" t="str">
            <v/>
          </cell>
          <cell r="M2110" t="str">
            <v/>
          </cell>
          <cell r="N2110" t="str">
            <v/>
          </cell>
        </row>
        <row r="2112">
          <cell r="E2112" t="str">
            <v/>
          </cell>
          <cell r="H2112" t="str">
            <v/>
          </cell>
          <cell r="I2112" t="str">
            <v/>
          </cell>
          <cell r="J2112" t="str">
            <v/>
          </cell>
          <cell r="K2112" t="str">
            <v/>
          </cell>
          <cell r="L2112" t="str">
            <v/>
          </cell>
          <cell r="M2112" t="str">
            <v/>
          </cell>
          <cell r="N2112" t="str">
            <v/>
          </cell>
        </row>
        <row r="2113">
          <cell r="E2113" t="str">
            <v/>
          </cell>
          <cell r="H2113" t="str">
            <v/>
          </cell>
          <cell r="I2113" t="str">
            <v/>
          </cell>
          <cell r="J2113" t="str">
            <v/>
          </cell>
          <cell r="K2113" t="str">
            <v/>
          </cell>
          <cell r="L2113" t="str">
            <v/>
          </cell>
          <cell r="M2113" t="str">
            <v/>
          </cell>
          <cell r="N2113" t="str">
            <v/>
          </cell>
        </row>
        <row r="2118">
          <cell r="I2118" t="str">
            <v>Heat benchmark sub-installation, CL</v>
          </cell>
          <cell r="M2118" t="str">
            <v/>
          </cell>
        </row>
        <row r="2121">
          <cell r="E2121" t="str">
            <v>Heat benchmark sub-installation, CL</v>
          </cell>
          <cell r="H2121" t="b">
            <v>1</v>
          </cell>
          <cell r="J2121" t="str">
            <v>N.A.</v>
          </cell>
          <cell r="K2121" t="str">
            <v>N.A.</v>
          </cell>
          <cell r="L2121">
            <v>1</v>
          </cell>
          <cell r="M2121" t="str">
            <v>N.A.</v>
          </cell>
          <cell r="N2121" t="str">
            <v>EUA/TJ</v>
          </cell>
        </row>
        <row r="2124">
          <cell r="F2124" t="str">
            <v>TJ</v>
          </cell>
          <cell r="G2124" t="str">
            <v/>
          </cell>
          <cell r="H2124" t="str">
            <v/>
          </cell>
          <cell r="I2124" t="str">
            <v/>
          </cell>
          <cell r="J2124" t="str">
            <v/>
          </cell>
          <cell r="K2124" t="str">
            <v/>
          </cell>
          <cell r="L2124" t="str">
            <v/>
          </cell>
          <cell r="M2124" t="str">
            <v/>
          </cell>
          <cell r="N2124" t="str">
            <v/>
          </cell>
        </row>
        <row r="2125">
          <cell r="F2125" t="str">
            <v/>
          </cell>
          <cell r="G2125" t="str">
            <v/>
          </cell>
          <cell r="H2125" t="str">
            <v/>
          </cell>
          <cell r="I2125" t="str">
            <v/>
          </cell>
          <cell r="J2125" t="str">
            <v/>
          </cell>
          <cell r="K2125" t="str">
            <v/>
          </cell>
          <cell r="L2125" t="str">
            <v/>
          </cell>
          <cell r="M2125" t="str">
            <v/>
          </cell>
          <cell r="N2125" t="str">
            <v/>
          </cell>
        </row>
        <row r="2129">
          <cell r="J2129" t="str">
            <v/>
          </cell>
          <cell r="K2129" t="str">
            <v/>
          </cell>
          <cell r="L2129" t="str">
            <v/>
          </cell>
          <cell r="M2129" t="str">
            <v/>
          </cell>
          <cell r="N2129" t="str">
            <v/>
          </cell>
        </row>
        <row r="2130">
          <cell r="J2130" t="str">
            <v/>
          </cell>
          <cell r="K2130" t="str">
            <v/>
          </cell>
          <cell r="L2130" t="str">
            <v/>
          </cell>
          <cell r="M2130" t="str">
            <v/>
          </cell>
          <cell r="N2130" t="str">
            <v/>
          </cell>
        </row>
        <row r="2133">
          <cell r="H2133" t="str">
            <v>TJ</v>
          </cell>
          <cell r="J2133" t="str">
            <v/>
          </cell>
          <cell r="K2133" t="str">
            <v/>
          </cell>
          <cell r="L2133" t="str">
            <v/>
          </cell>
          <cell r="M2133" t="str">
            <v/>
          </cell>
          <cell r="N2133" t="str">
            <v/>
          </cell>
        </row>
        <row r="2134">
          <cell r="J2134" t="str">
            <v/>
          </cell>
          <cell r="K2134" t="str">
            <v/>
          </cell>
          <cell r="L2134" t="str">
            <v/>
          </cell>
          <cell r="M2134" t="str">
            <v/>
          </cell>
          <cell r="N2134" t="str">
            <v/>
          </cell>
        </row>
        <row r="2137">
          <cell r="H2137" t="str">
            <v>TJ</v>
          </cell>
          <cell r="J2137" t="str">
            <v/>
          </cell>
          <cell r="K2137" t="str">
            <v/>
          </cell>
          <cell r="L2137" t="str">
            <v/>
          </cell>
          <cell r="M2137" t="str">
            <v/>
          </cell>
          <cell r="N2137" t="str">
            <v/>
          </cell>
        </row>
        <row r="2138">
          <cell r="J2138" t="str">
            <v/>
          </cell>
          <cell r="K2138" t="str">
            <v/>
          </cell>
          <cell r="L2138" t="str">
            <v/>
          </cell>
          <cell r="M2138" t="str">
            <v/>
          </cell>
          <cell r="N2138" t="str">
            <v/>
          </cell>
        </row>
        <row r="2139">
          <cell r="J2139" t="str">
            <v/>
          </cell>
          <cell r="K2139" t="str">
            <v/>
          </cell>
          <cell r="L2139" t="str">
            <v/>
          </cell>
          <cell r="M2139" t="str">
            <v/>
          </cell>
          <cell r="N2139" t="str">
            <v/>
          </cell>
        </row>
        <row r="2140">
          <cell r="H2140" t="str">
            <v>TJ</v>
          </cell>
          <cell r="J2140" t="str">
            <v/>
          </cell>
          <cell r="K2140" t="str">
            <v/>
          </cell>
          <cell r="L2140" t="str">
            <v/>
          </cell>
          <cell r="M2140" t="str">
            <v/>
          </cell>
          <cell r="N2140" t="str">
            <v/>
          </cell>
        </row>
        <row r="2141">
          <cell r="J2141" t="str">
            <v/>
          </cell>
          <cell r="K2141" t="str">
            <v/>
          </cell>
          <cell r="L2141" t="str">
            <v/>
          </cell>
          <cell r="M2141" t="str">
            <v/>
          </cell>
          <cell r="N2141" t="str">
            <v/>
          </cell>
        </row>
        <row r="2142">
          <cell r="J2142" t="str">
            <v/>
          </cell>
          <cell r="K2142" t="str">
            <v/>
          </cell>
          <cell r="L2142" t="str">
            <v/>
          </cell>
          <cell r="M2142" t="str">
            <v/>
          </cell>
          <cell r="N2142" t="str">
            <v/>
          </cell>
        </row>
        <row r="2143">
          <cell r="J2143" t="str">
            <v/>
          </cell>
          <cell r="K2143" t="str">
            <v/>
          </cell>
          <cell r="L2143" t="str">
            <v/>
          </cell>
          <cell r="M2143" t="str">
            <v/>
          </cell>
          <cell r="N2143" t="str">
            <v/>
          </cell>
        </row>
        <row r="2146">
          <cell r="J2146" t="str">
            <v/>
          </cell>
          <cell r="K2146" t="str">
            <v/>
          </cell>
          <cell r="L2146" t="str">
            <v/>
          </cell>
          <cell r="M2146" t="str">
            <v/>
          </cell>
          <cell r="N2146" t="str">
            <v/>
          </cell>
        </row>
        <row r="2147">
          <cell r="J2147" t="str">
            <v/>
          </cell>
          <cell r="K2147" t="str">
            <v/>
          </cell>
          <cell r="L2147" t="str">
            <v/>
          </cell>
          <cell r="M2147" t="str">
            <v/>
          </cell>
          <cell r="N2147" t="str">
            <v/>
          </cell>
        </row>
        <row r="2148">
          <cell r="J2148" t="str">
            <v/>
          </cell>
          <cell r="K2148" t="str">
            <v/>
          </cell>
          <cell r="L2148" t="str">
            <v/>
          </cell>
          <cell r="M2148" t="str">
            <v/>
          </cell>
          <cell r="N2148" t="str">
            <v/>
          </cell>
        </row>
        <row r="2149">
          <cell r="J2149" t="str">
            <v/>
          </cell>
          <cell r="K2149" t="str">
            <v/>
          </cell>
          <cell r="L2149" t="str">
            <v/>
          </cell>
          <cell r="M2149" t="str">
            <v/>
          </cell>
          <cell r="N2149" t="str">
            <v/>
          </cell>
        </row>
        <row r="2150">
          <cell r="J2150" t="str">
            <v/>
          </cell>
          <cell r="K2150" t="str">
            <v/>
          </cell>
          <cell r="L2150" t="str">
            <v/>
          </cell>
          <cell r="M2150" t="str">
            <v/>
          </cell>
          <cell r="N2150" t="str">
            <v/>
          </cell>
        </row>
        <row r="2155">
          <cell r="H2155" t="str">
            <v>TJ</v>
          </cell>
          <cell r="I2155" t="str">
            <v/>
          </cell>
          <cell r="J2155" t="str">
            <v/>
          </cell>
          <cell r="K2155" t="str">
            <v/>
          </cell>
          <cell r="L2155" t="str">
            <v/>
          </cell>
          <cell r="M2155" t="str">
            <v/>
          </cell>
          <cell r="N2155" t="str">
            <v/>
          </cell>
        </row>
        <row r="2156">
          <cell r="I2156" t="str">
            <v/>
          </cell>
          <cell r="J2156" t="str">
            <v/>
          </cell>
          <cell r="K2156" t="str">
            <v/>
          </cell>
          <cell r="L2156" t="str">
            <v/>
          </cell>
          <cell r="M2156" t="str">
            <v/>
          </cell>
          <cell r="N2156" t="str">
            <v/>
          </cell>
        </row>
        <row r="2161">
          <cell r="H2161" t="str">
            <v/>
          </cell>
          <cell r="I2161" t="str">
            <v/>
          </cell>
          <cell r="J2161" t="str">
            <v/>
          </cell>
          <cell r="K2161" t="str">
            <v/>
          </cell>
          <cell r="L2161" t="str">
            <v/>
          </cell>
          <cell r="M2161" t="str">
            <v/>
          </cell>
          <cell r="N2161" t="str">
            <v/>
          </cell>
        </row>
        <row r="2163">
          <cell r="H2163" t="str">
            <v/>
          </cell>
          <cell r="I2163" t="str">
            <v/>
          </cell>
          <cell r="J2163" t="str">
            <v/>
          </cell>
          <cell r="K2163" t="str">
            <v/>
          </cell>
          <cell r="L2163" t="str">
            <v/>
          </cell>
          <cell r="M2163" t="str">
            <v/>
          </cell>
          <cell r="N2163" t="str">
            <v/>
          </cell>
        </row>
        <row r="2165">
          <cell r="H2165" t="str">
            <v/>
          </cell>
          <cell r="I2165" t="str">
            <v/>
          </cell>
          <cell r="J2165" t="str">
            <v/>
          </cell>
          <cell r="K2165" t="str">
            <v/>
          </cell>
          <cell r="L2165" t="str">
            <v/>
          </cell>
          <cell r="M2165" t="str">
            <v/>
          </cell>
          <cell r="N2165" t="str">
            <v/>
          </cell>
        </row>
        <row r="2166">
          <cell r="H2166" t="str">
            <v/>
          </cell>
          <cell r="I2166" t="str">
            <v/>
          </cell>
          <cell r="J2166" t="str">
            <v/>
          </cell>
          <cell r="K2166" t="str">
            <v/>
          </cell>
          <cell r="L2166" t="str">
            <v/>
          </cell>
          <cell r="M2166" t="str">
            <v/>
          </cell>
          <cell r="N2166" t="str">
            <v/>
          </cell>
        </row>
        <row r="2167">
          <cell r="H2167" t="str">
            <v/>
          </cell>
          <cell r="I2167" t="str">
            <v/>
          </cell>
          <cell r="J2167" t="str">
            <v/>
          </cell>
          <cell r="K2167" t="str">
            <v/>
          </cell>
          <cell r="L2167" t="str">
            <v/>
          </cell>
          <cell r="M2167" t="str">
            <v/>
          </cell>
          <cell r="N2167" t="str">
            <v/>
          </cell>
        </row>
        <row r="2168">
          <cell r="H2168" t="str">
            <v/>
          </cell>
          <cell r="I2168" t="str">
            <v/>
          </cell>
          <cell r="J2168" t="str">
            <v/>
          </cell>
          <cell r="K2168" t="str">
            <v/>
          </cell>
          <cell r="L2168" t="str">
            <v/>
          </cell>
          <cell r="M2168" t="str">
            <v/>
          </cell>
          <cell r="N2168" t="str">
            <v/>
          </cell>
        </row>
        <row r="2170">
          <cell r="H2170" t="str">
            <v/>
          </cell>
          <cell r="I2170" t="str">
            <v/>
          </cell>
          <cell r="J2170" t="str">
            <v/>
          </cell>
          <cell r="K2170" t="str">
            <v/>
          </cell>
          <cell r="L2170" t="str">
            <v/>
          </cell>
          <cell r="M2170" t="str">
            <v/>
          </cell>
          <cell r="N2170" t="str">
            <v/>
          </cell>
        </row>
        <row r="2172">
          <cell r="H2172" t="str">
            <v/>
          </cell>
          <cell r="I2172" t="str">
            <v/>
          </cell>
          <cell r="J2172" t="str">
            <v/>
          </cell>
          <cell r="K2172" t="str">
            <v/>
          </cell>
          <cell r="L2172" t="str">
            <v/>
          </cell>
          <cell r="M2172" t="str">
            <v/>
          </cell>
          <cell r="N2172" t="str">
            <v/>
          </cell>
        </row>
        <row r="2173">
          <cell r="H2173" t="str">
            <v/>
          </cell>
          <cell r="I2173" t="str">
            <v/>
          </cell>
          <cell r="J2173" t="str">
            <v/>
          </cell>
          <cell r="K2173" t="str">
            <v/>
          </cell>
          <cell r="L2173" t="str">
            <v/>
          </cell>
          <cell r="M2173" t="str">
            <v/>
          </cell>
          <cell r="N2173" t="str">
            <v/>
          </cell>
        </row>
        <row r="2174">
          <cell r="H2174" t="str">
            <v/>
          </cell>
          <cell r="I2174" t="str">
            <v/>
          </cell>
          <cell r="J2174" t="str">
            <v/>
          </cell>
          <cell r="K2174" t="str">
            <v/>
          </cell>
          <cell r="L2174" t="str">
            <v/>
          </cell>
          <cell r="M2174" t="str">
            <v/>
          </cell>
          <cell r="N2174" t="str">
            <v/>
          </cell>
        </row>
        <row r="2175">
          <cell r="H2175" t="str">
            <v/>
          </cell>
          <cell r="I2175" t="str">
            <v/>
          </cell>
          <cell r="J2175" t="str">
            <v/>
          </cell>
          <cell r="K2175" t="str">
            <v/>
          </cell>
          <cell r="L2175" t="str">
            <v/>
          </cell>
          <cell r="M2175" t="str">
            <v/>
          </cell>
          <cell r="N2175" t="str">
            <v/>
          </cell>
        </row>
        <row r="2176">
          <cell r="H2176" t="str">
            <v/>
          </cell>
          <cell r="I2176" t="str">
            <v/>
          </cell>
          <cell r="J2176" t="str">
            <v/>
          </cell>
          <cell r="K2176" t="str">
            <v/>
          </cell>
          <cell r="L2176" t="str">
            <v/>
          </cell>
          <cell r="M2176" t="str">
            <v/>
          </cell>
          <cell r="N2176" t="str">
            <v/>
          </cell>
        </row>
        <row r="2177">
          <cell r="H2177" t="str">
            <v/>
          </cell>
          <cell r="I2177" t="str">
            <v/>
          </cell>
          <cell r="J2177" t="str">
            <v/>
          </cell>
          <cell r="K2177" t="str">
            <v/>
          </cell>
          <cell r="L2177" t="str">
            <v/>
          </cell>
          <cell r="M2177" t="str">
            <v/>
          </cell>
          <cell r="N2177" t="str">
            <v/>
          </cell>
        </row>
        <row r="2178">
          <cell r="H2178" t="str">
            <v/>
          </cell>
          <cell r="I2178" t="str">
            <v/>
          </cell>
          <cell r="J2178" t="str">
            <v/>
          </cell>
          <cell r="K2178" t="str">
            <v/>
          </cell>
          <cell r="L2178" t="str">
            <v/>
          </cell>
          <cell r="M2178" t="str">
            <v/>
          </cell>
          <cell r="N2178" t="str">
            <v/>
          </cell>
        </row>
        <row r="2179">
          <cell r="H2179" t="str">
            <v/>
          </cell>
          <cell r="I2179" t="str">
            <v/>
          </cell>
          <cell r="J2179" t="str">
            <v/>
          </cell>
          <cell r="K2179" t="str">
            <v/>
          </cell>
          <cell r="L2179" t="str">
            <v/>
          </cell>
          <cell r="M2179" t="str">
            <v/>
          </cell>
          <cell r="N2179" t="str">
            <v/>
          </cell>
        </row>
        <row r="2180">
          <cell r="H2180" t="str">
            <v/>
          </cell>
          <cell r="I2180" t="str">
            <v/>
          </cell>
          <cell r="J2180" t="str">
            <v/>
          </cell>
          <cell r="K2180" t="str">
            <v/>
          </cell>
          <cell r="L2180" t="str">
            <v/>
          </cell>
          <cell r="M2180" t="str">
            <v/>
          </cell>
          <cell r="N2180" t="str">
            <v/>
          </cell>
        </row>
        <row r="2181">
          <cell r="H2181" t="str">
            <v/>
          </cell>
          <cell r="I2181" t="str">
            <v/>
          </cell>
          <cell r="J2181" t="str">
            <v/>
          </cell>
          <cell r="K2181" t="str">
            <v/>
          </cell>
          <cell r="L2181" t="str">
            <v/>
          </cell>
          <cell r="M2181" t="str">
            <v/>
          </cell>
          <cell r="N2181" t="str">
            <v/>
          </cell>
        </row>
        <row r="2185">
          <cell r="I2185" t="str">
            <v>Heat benchmark sub-installation, non-CL</v>
          </cell>
          <cell r="M2185" t="str">
            <v/>
          </cell>
        </row>
        <row r="2188">
          <cell r="E2188" t="str">
            <v>Heat benchmark sub-installation, non-CL</v>
          </cell>
          <cell r="H2188" t="b">
            <v>0</v>
          </cell>
          <cell r="J2188" t="str">
            <v>N.A.</v>
          </cell>
          <cell r="K2188" t="str">
            <v>N.A.</v>
          </cell>
          <cell r="L2188">
            <v>2</v>
          </cell>
          <cell r="M2188" t="str">
            <v>N.A.</v>
          </cell>
          <cell r="N2188" t="str">
            <v>EUA/TJ</v>
          </cell>
        </row>
        <row r="2191">
          <cell r="F2191" t="str">
            <v>TJ</v>
          </cell>
          <cell r="G2191" t="str">
            <v/>
          </cell>
          <cell r="H2191" t="str">
            <v/>
          </cell>
          <cell r="I2191" t="str">
            <v/>
          </cell>
          <cell r="J2191" t="str">
            <v/>
          </cell>
          <cell r="K2191" t="str">
            <v/>
          </cell>
          <cell r="L2191" t="str">
            <v/>
          </cell>
          <cell r="M2191" t="str">
            <v/>
          </cell>
          <cell r="N2191" t="str">
            <v/>
          </cell>
        </row>
        <row r="2192">
          <cell r="F2192" t="str">
            <v/>
          </cell>
          <cell r="G2192" t="str">
            <v/>
          </cell>
          <cell r="H2192" t="str">
            <v/>
          </cell>
          <cell r="I2192" t="str">
            <v/>
          </cell>
          <cell r="J2192" t="str">
            <v/>
          </cell>
          <cell r="K2192" t="str">
            <v/>
          </cell>
          <cell r="L2192" t="str">
            <v/>
          </cell>
          <cell r="M2192" t="str">
            <v/>
          </cell>
          <cell r="N2192" t="str">
            <v/>
          </cell>
        </row>
        <row r="2196">
          <cell r="J2196" t="str">
            <v/>
          </cell>
          <cell r="K2196" t="str">
            <v/>
          </cell>
          <cell r="L2196" t="str">
            <v/>
          </cell>
          <cell r="M2196" t="str">
            <v/>
          </cell>
          <cell r="N2196" t="str">
            <v/>
          </cell>
        </row>
        <row r="2197">
          <cell r="J2197" t="str">
            <v/>
          </cell>
          <cell r="K2197" t="str">
            <v/>
          </cell>
          <cell r="L2197" t="str">
            <v/>
          </cell>
          <cell r="M2197" t="str">
            <v/>
          </cell>
          <cell r="N2197" t="str">
            <v/>
          </cell>
        </row>
        <row r="2200">
          <cell r="H2200" t="str">
            <v>TJ</v>
          </cell>
          <cell r="J2200" t="str">
            <v/>
          </cell>
          <cell r="K2200" t="str">
            <v/>
          </cell>
          <cell r="L2200" t="str">
            <v/>
          </cell>
          <cell r="M2200" t="str">
            <v/>
          </cell>
          <cell r="N2200" t="str">
            <v/>
          </cell>
        </row>
        <row r="2201">
          <cell r="J2201" t="str">
            <v/>
          </cell>
          <cell r="K2201" t="str">
            <v/>
          </cell>
          <cell r="L2201" t="str">
            <v/>
          </cell>
          <cell r="M2201" t="str">
            <v/>
          </cell>
          <cell r="N2201" t="str">
            <v/>
          </cell>
        </row>
        <row r="2204">
          <cell r="H2204" t="str">
            <v>TJ</v>
          </cell>
          <cell r="J2204" t="str">
            <v/>
          </cell>
          <cell r="K2204" t="str">
            <v/>
          </cell>
          <cell r="L2204" t="str">
            <v/>
          </cell>
          <cell r="M2204" t="str">
            <v/>
          </cell>
          <cell r="N2204" t="str">
            <v/>
          </cell>
        </row>
        <row r="2205">
          <cell r="J2205" t="str">
            <v/>
          </cell>
          <cell r="K2205" t="str">
            <v/>
          </cell>
          <cell r="L2205" t="str">
            <v/>
          </cell>
          <cell r="M2205" t="str">
            <v/>
          </cell>
          <cell r="N2205" t="str">
            <v/>
          </cell>
        </row>
        <row r="2206">
          <cell r="J2206" t="str">
            <v/>
          </cell>
          <cell r="K2206" t="str">
            <v/>
          </cell>
          <cell r="L2206" t="str">
            <v/>
          </cell>
          <cell r="M2206" t="str">
            <v/>
          </cell>
          <cell r="N2206" t="str">
            <v/>
          </cell>
        </row>
        <row r="2207">
          <cell r="H2207" t="str">
            <v>TJ</v>
          </cell>
          <cell r="J2207" t="str">
            <v/>
          </cell>
          <cell r="K2207" t="str">
            <v/>
          </cell>
          <cell r="L2207" t="str">
            <v/>
          </cell>
          <cell r="M2207" t="str">
            <v/>
          </cell>
          <cell r="N2207" t="str">
            <v/>
          </cell>
        </row>
        <row r="2208">
          <cell r="J2208" t="str">
            <v/>
          </cell>
          <cell r="K2208" t="str">
            <v/>
          </cell>
          <cell r="L2208" t="str">
            <v/>
          </cell>
          <cell r="M2208" t="str">
            <v/>
          </cell>
          <cell r="N2208" t="str">
            <v/>
          </cell>
        </row>
        <row r="2209">
          <cell r="J2209" t="str">
            <v/>
          </cell>
          <cell r="K2209" t="str">
            <v/>
          </cell>
          <cell r="L2209" t="str">
            <v/>
          </cell>
          <cell r="M2209" t="str">
            <v/>
          </cell>
          <cell r="N2209" t="str">
            <v/>
          </cell>
        </row>
        <row r="2210">
          <cell r="J2210" t="str">
            <v/>
          </cell>
          <cell r="K2210" t="str">
            <v/>
          </cell>
          <cell r="L2210" t="str">
            <v/>
          </cell>
          <cell r="M2210" t="str">
            <v/>
          </cell>
          <cell r="N2210" t="str">
            <v/>
          </cell>
        </row>
        <row r="2213">
          <cell r="J2213" t="str">
            <v/>
          </cell>
          <cell r="K2213" t="str">
            <v/>
          </cell>
          <cell r="L2213" t="str">
            <v/>
          </cell>
          <cell r="M2213" t="str">
            <v/>
          </cell>
          <cell r="N2213" t="str">
            <v/>
          </cell>
        </row>
        <row r="2214">
          <cell r="J2214" t="str">
            <v/>
          </cell>
          <cell r="K2214" t="str">
            <v/>
          </cell>
          <cell r="L2214" t="str">
            <v/>
          </cell>
          <cell r="M2214" t="str">
            <v/>
          </cell>
          <cell r="N2214" t="str">
            <v/>
          </cell>
        </row>
        <row r="2215">
          <cell r="J2215" t="str">
            <v/>
          </cell>
          <cell r="K2215" t="str">
            <v/>
          </cell>
          <cell r="L2215" t="str">
            <v/>
          </cell>
          <cell r="M2215" t="str">
            <v/>
          </cell>
          <cell r="N2215" t="str">
            <v/>
          </cell>
        </row>
        <row r="2216">
          <cell r="J2216" t="str">
            <v/>
          </cell>
          <cell r="K2216" t="str">
            <v/>
          </cell>
          <cell r="L2216" t="str">
            <v/>
          </cell>
          <cell r="M2216" t="str">
            <v/>
          </cell>
          <cell r="N2216" t="str">
            <v/>
          </cell>
        </row>
        <row r="2217">
          <cell r="J2217" t="str">
            <v/>
          </cell>
          <cell r="K2217" t="str">
            <v/>
          </cell>
          <cell r="L2217" t="str">
            <v/>
          </cell>
          <cell r="M2217" t="str">
            <v/>
          </cell>
          <cell r="N2217" t="str">
            <v/>
          </cell>
        </row>
        <row r="2222">
          <cell r="H2222" t="str">
            <v>TJ</v>
          </cell>
          <cell r="I2222" t="str">
            <v/>
          </cell>
          <cell r="J2222" t="str">
            <v/>
          </cell>
          <cell r="K2222" t="str">
            <v/>
          </cell>
          <cell r="L2222" t="str">
            <v/>
          </cell>
          <cell r="M2222" t="str">
            <v/>
          </cell>
          <cell r="N2222" t="str">
            <v/>
          </cell>
        </row>
        <row r="2223">
          <cell r="I2223" t="str">
            <v/>
          </cell>
          <cell r="J2223" t="str">
            <v/>
          </cell>
          <cell r="K2223" t="str">
            <v/>
          </cell>
          <cell r="L2223" t="str">
            <v/>
          </cell>
          <cell r="M2223" t="str">
            <v/>
          </cell>
          <cell r="N2223" t="str">
            <v/>
          </cell>
        </row>
        <row r="2228">
          <cell r="H2228" t="str">
            <v/>
          </cell>
          <cell r="I2228" t="str">
            <v/>
          </cell>
          <cell r="J2228" t="str">
            <v/>
          </cell>
          <cell r="K2228" t="str">
            <v/>
          </cell>
          <cell r="L2228" t="str">
            <v/>
          </cell>
          <cell r="M2228" t="str">
            <v/>
          </cell>
          <cell r="N2228" t="str">
            <v/>
          </cell>
        </row>
        <row r="2230">
          <cell r="H2230" t="str">
            <v/>
          </cell>
          <cell r="I2230" t="str">
            <v/>
          </cell>
          <cell r="J2230" t="str">
            <v/>
          </cell>
          <cell r="K2230" t="str">
            <v/>
          </cell>
          <cell r="L2230" t="str">
            <v/>
          </cell>
          <cell r="M2230" t="str">
            <v/>
          </cell>
          <cell r="N2230" t="str">
            <v/>
          </cell>
        </row>
        <row r="2232">
          <cell r="H2232" t="str">
            <v/>
          </cell>
          <cell r="I2232" t="str">
            <v/>
          </cell>
          <cell r="J2232" t="str">
            <v/>
          </cell>
          <cell r="K2232" t="str">
            <v/>
          </cell>
          <cell r="L2232" t="str">
            <v/>
          </cell>
          <cell r="M2232" t="str">
            <v/>
          </cell>
          <cell r="N2232" t="str">
            <v/>
          </cell>
        </row>
        <row r="2233">
          <cell r="H2233" t="str">
            <v/>
          </cell>
          <cell r="I2233" t="str">
            <v/>
          </cell>
          <cell r="J2233" t="str">
            <v/>
          </cell>
          <cell r="K2233" t="str">
            <v/>
          </cell>
          <cell r="L2233" t="str">
            <v/>
          </cell>
          <cell r="M2233" t="str">
            <v/>
          </cell>
          <cell r="N2233" t="str">
            <v/>
          </cell>
        </row>
        <row r="2234">
          <cell r="H2234" t="str">
            <v/>
          </cell>
          <cell r="I2234" t="str">
            <v/>
          </cell>
          <cell r="J2234" t="str">
            <v/>
          </cell>
          <cell r="K2234" t="str">
            <v/>
          </cell>
          <cell r="L2234" t="str">
            <v/>
          </cell>
          <cell r="M2234" t="str">
            <v/>
          </cell>
          <cell r="N2234" t="str">
            <v/>
          </cell>
        </row>
        <row r="2235">
          <cell r="H2235" t="str">
            <v/>
          </cell>
          <cell r="I2235" t="str">
            <v/>
          </cell>
          <cell r="J2235" t="str">
            <v/>
          </cell>
          <cell r="K2235" t="str">
            <v/>
          </cell>
          <cell r="L2235" t="str">
            <v/>
          </cell>
          <cell r="M2235" t="str">
            <v/>
          </cell>
          <cell r="N2235" t="str">
            <v/>
          </cell>
        </row>
        <row r="2237">
          <cell r="H2237" t="str">
            <v/>
          </cell>
          <cell r="I2237" t="str">
            <v/>
          </cell>
          <cell r="J2237" t="str">
            <v/>
          </cell>
          <cell r="K2237" t="str">
            <v/>
          </cell>
          <cell r="L2237" t="str">
            <v/>
          </cell>
          <cell r="M2237" t="str">
            <v/>
          </cell>
          <cell r="N2237" t="str">
            <v/>
          </cell>
        </row>
        <row r="2239">
          <cell r="H2239" t="str">
            <v/>
          </cell>
          <cell r="I2239" t="str">
            <v/>
          </cell>
          <cell r="J2239" t="str">
            <v/>
          </cell>
          <cell r="K2239" t="str">
            <v/>
          </cell>
          <cell r="L2239" t="str">
            <v/>
          </cell>
          <cell r="M2239" t="str">
            <v/>
          </cell>
          <cell r="N2239" t="str">
            <v/>
          </cell>
        </row>
        <row r="2240">
          <cell r="H2240" t="str">
            <v/>
          </cell>
          <cell r="I2240" t="str">
            <v/>
          </cell>
          <cell r="J2240" t="str">
            <v/>
          </cell>
          <cell r="K2240" t="str">
            <v/>
          </cell>
          <cell r="L2240" t="str">
            <v/>
          </cell>
          <cell r="M2240" t="str">
            <v/>
          </cell>
          <cell r="N2240" t="str">
            <v/>
          </cell>
        </row>
        <row r="2241">
          <cell r="H2241" t="str">
            <v/>
          </cell>
          <cell r="I2241" t="str">
            <v/>
          </cell>
          <cell r="J2241" t="str">
            <v/>
          </cell>
          <cell r="K2241" t="str">
            <v/>
          </cell>
          <cell r="L2241" t="str">
            <v/>
          </cell>
          <cell r="M2241" t="str">
            <v/>
          </cell>
          <cell r="N2241" t="str">
            <v/>
          </cell>
        </row>
        <row r="2242">
          <cell r="H2242" t="str">
            <v/>
          </cell>
          <cell r="I2242" t="str">
            <v/>
          </cell>
          <cell r="J2242" t="str">
            <v/>
          </cell>
          <cell r="K2242" t="str">
            <v/>
          </cell>
          <cell r="L2242" t="str">
            <v/>
          </cell>
          <cell r="M2242" t="str">
            <v/>
          </cell>
          <cell r="N2242" t="str">
            <v/>
          </cell>
        </row>
        <row r="2243">
          <cell r="H2243" t="str">
            <v/>
          </cell>
          <cell r="I2243" t="str">
            <v/>
          </cell>
          <cell r="J2243" t="str">
            <v/>
          </cell>
          <cell r="K2243" t="str">
            <v/>
          </cell>
          <cell r="L2243" t="str">
            <v/>
          </cell>
          <cell r="M2243" t="str">
            <v/>
          </cell>
          <cell r="N2243" t="str">
            <v/>
          </cell>
        </row>
        <row r="2244">
          <cell r="H2244" t="str">
            <v/>
          </cell>
          <cell r="I2244" t="str">
            <v/>
          </cell>
          <cell r="J2244" t="str">
            <v/>
          </cell>
          <cell r="K2244" t="str">
            <v/>
          </cell>
          <cell r="L2244" t="str">
            <v/>
          </cell>
          <cell r="M2244" t="str">
            <v/>
          </cell>
          <cell r="N2244" t="str">
            <v/>
          </cell>
        </row>
        <row r="2245">
          <cell r="H2245" t="str">
            <v/>
          </cell>
          <cell r="I2245" t="str">
            <v/>
          </cell>
          <cell r="J2245" t="str">
            <v/>
          </cell>
          <cell r="K2245" t="str">
            <v/>
          </cell>
          <cell r="L2245" t="str">
            <v/>
          </cell>
          <cell r="M2245" t="str">
            <v/>
          </cell>
          <cell r="N2245" t="str">
            <v/>
          </cell>
        </row>
        <row r="2246">
          <cell r="H2246" t="str">
            <v/>
          </cell>
          <cell r="I2246" t="str">
            <v/>
          </cell>
          <cell r="J2246" t="str">
            <v/>
          </cell>
          <cell r="K2246" t="str">
            <v/>
          </cell>
          <cell r="L2246" t="str">
            <v/>
          </cell>
          <cell r="M2246" t="str">
            <v/>
          </cell>
          <cell r="N2246" t="str">
            <v/>
          </cell>
        </row>
        <row r="2247">
          <cell r="H2247" t="str">
            <v/>
          </cell>
          <cell r="I2247" t="str">
            <v/>
          </cell>
          <cell r="J2247" t="str">
            <v/>
          </cell>
          <cell r="K2247" t="str">
            <v/>
          </cell>
          <cell r="L2247" t="str">
            <v/>
          </cell>
          <cell r="M2247" t="str">
            <v/>
          </cell>
          <cell r="N2247" t="str">
            <v/>
          </cell>
        </row>
        <row r="2248">
          <cell r="H2248" t="str">
            <v/>
          </cell>
          <cell r="I2248" t="str">
            <v/>
          </cell>
          <cell r="J2248" t="str">
            <v/>
          </cell>
          <cell r="K2248" t="str">
            <v/>
          </cell>
          <cell r="L2248" t="str">
            <v/>
          </cell>
          <cell r="M2248" t="str">
            <v/>
          </cell>
          <cell r="N2248" t="str">
            <v/>
          </cell>
        </row>
        <row r="2252">
          <cell r="I2252" t="str">
            <v>District heating sub-installation</v>
          </cell>
          <cell r="M2252" t="str">
            <v/>
          </cell>
        </row>
        <row r="2255">
          <cell r="E2255" t="str">
            <v>District heating sub-installation</v>
          </cell>
          <cell r="H2255" t="b">
            <v>0</v>
          </cell>
          <cell r="J2255" t="str">
            <v>N.A.</v>
          </cell>
          <cell r="K2255" t="str">
            <v>N.A.</v>
          </cell>
          <cell r="L2255">
            <v>3</v>
          </cell>
          <cell r="M2255" t="str">
            <v>N.A.</v>
          </cell>
          <cell r="N2255" t="str">
            <v>EUA/TJ</v>
          </cell>
        </row>
        <row r="2258">
          <cell r="F2258" t="str">
            <v>TJ</v>
          </cell>
          <cell r="G2258" t="str">
            <v/>
          </cell>
          <cell r="H2258" t="str">
            <v/>
          </cell>
          <cell r="I2258" t="str">
            <v/>
          </cell>
          <cell r="J2258" t="str">
            <v/>
          </cell>
          <cell r="K2258" t="str">
            <v/>
          </cell>
          <cell r="L2258" t="str">
            <v/>
          </cell>
          <cell r="M2258" t="str">
            <v/>
          </cell>
          <cell r="N2258" t="str">
            <v/>
          </cell>
        </row>
        <row r="2262">
          <cell r="J2262" t="str">
            <v/>
          </cell>
          <cell r="K2262" t="str">
            <v/>
          </cell>
          <cell r="L2262" t="str">
            <v/>
          </cell>
          <cell r="M2262" t="str">
            <v/>
          </cell>
          <cell r="N2262" t="str">
            <v/>
          </cell>
        </row>
        <row r="2263">
          <cell r="J2263" t="str">
            <v/>
          </cell>
          <cell r="K2263" t="str">
            <v/>
          </cell>
          <cell r="L2263" t="str">
            <v/>
          </cell>
          <cell r="M2263" t="str">
            <v/>
          </cell>
          <cell r="N2263" t="str">
            <v/>
          </cell>
        </row>
        <row r="2266">
          <cell r="H2266" t="str">
            <v>TJ</v>
          </cell>
          <cell r="J2266" t="str">
            <v/>
          </cell>
          <cell r="K2266" t="str">
            <v/>
          </cell>
          <cell r="L2266" t="str">
            <v/>
          </cell>
          <cell r="M2266" t="str">
            <v/>
          </cell>
          <cell r="N2266" t="str">
            <v/>
          </cell>
        </row>
        <row r="2267">
          <cell r="J2267" t="str">
            <v/>
          </cell>
          <cell r="K2267" t="str">
            <v/>
          </cell>
          <cell r="L2267" t="str">
            <v/>
          </cell>
          <cell r="M2267" t="str">
            <v/>
          </cell>
          <cell r="N2267" t="str">
            <v/>
          </cell>
        </row>
        <row r="2270">
          <cell r="H2270" t="str">
            <v>TJ</v>
          </cell>
          <cell r="J2270" t="str">
            <v/>
          </cell>
          <cell r="K2270" t="str">
            <v/>
          </cell>
          <cell r="L2270" t="str">
            <v/>
          </cell>
          <cell r="M2270" t="str">
            <v/>
          </cell>
          <cell r="N2270" t="str">
            <v/>
          </cell>
        </row>
        <row r="2271">
          <cell r="J2271" t="str">
            <v/>
          </cell>
          <cell r="K2271" t="str">
            <v/>
          </cell>
          <cell r="L2271" t="str">
            <v/>
          </cell>
          <cell r="M2271" t="str">
            <v/>
          </cell>
          <cell r="N2271" t="str">
            <v/>
          </cell>
        </row>
        <row r="2272">
          <cell r="J2272" t="str">
            <v/>
          </cell>
          <cell r="K2272" t="str">
            <v/>
          </cell>
          <cell r="L2272" t="str">
            <v/>
          </cell>
          <cell r="M2272" t="str">
            <v/>
          </cell>
          <cell r="N2272" t="str">
            <v/>
          </cell>
        </row>
        <row r="2273">
          <cell r="H2273" t="str">
            <v>TJ</v>
          </cell>
          <cell r="J2273" t="str">
            <v/>
          </cell>
          <cell r="K2273" t="str">
            <v/>
          </cell>
          <cell r="L2273" t="str">
            <v/>
          </cell>
          <cell r="M2273" t="str">
            <v/>
          </cell>
          <cell r="N2273" t="str">
            <v/>
          </cell>
        </row>
        <row r="2274">
          <cell r="J2274" t="str">
            <v/>
          </cell>
          <cell r="K2274" t="str">
            <v/>
          </cell>
          <cell r="L2274" t="str">
            <v/>
          </cell>
          <cell r="M2274" t="str">
            <v/>
          </cell>
          <cell r="N2274" t="str">
            <v/>
          </cell>
        </row>
        <row r="2275">
          <cell r="J2275" t="str">
            <v/>
          </cell>
          <cell r="K2275" t="str">
            <v/>
          </cell>
          <cell r="L2275" t="str">
            <v/>
          </cell>
          <cell r="M2275" t="str">
            <v/>
          </cell>
          <cell r="N2275" t="str">
            <v/>
          </cell>
        </row>
        <row r="2276">
          <cell r="J2276" t="str">
            <v/>
          </cell>
          <cell r="K2276" t="str">
            <v/>
          </cell>
          <cell r="L2276" t="str">
            <v/>
          </cell>
          <cell r="M2276" t="str">
            <v/>
          </cell>
          <cell r="N2276" t="str">
            <v/>
          </cell>
        </row>
        <row r="2281">
          <cell r="H2281" t="str">
            <v>TJ</v>
          </cell>
          <cell r="I2281" t="str">
            <v/>
          </cell>
          <cell r="J2281" t="str">
            <v/>
          </cell>
          <cell r="K2281" t="str">
            <v/>
          </cell>
          <cell r="L2281" t="str">
            <v/>
          </cell>
          <cell r="M2281" t="str">
            <v/>
          </cell>
          <cell r="N2281" t="str">
            <v/>
          </cell>
        </row>
        <row r="2282">
          <cell r="I2282" t="str">
            <v/>
          </cell>
          <cell r="J2282" t="str">
            <v/>
          </cell>
          <cell r="K2282" t="str">
            <v/>
          </cell>
          <cell r="L2282" t="str">
            <v/>
          </cell>
          <cell r="M2282" t="str">
            <v/>
          </cell>
          <cell r="N2282" t="str">
            <v/>
          </cell>
        </row>
        <row r="2287">
          <cell r="H2287" t="str">
            <v/>
          </cell>
          <cell r="I2287" t="str">
            <v/>
          </cell>
          <cell r="J2287" t="str">
            <v/>
          </cell>
          <cell r="K2287" t="str">
            <v/>
          </cell>
          <cell r="L2287" t="str">
            <v/>
          </cell>
          <cell r="M2287" t="str">
            <v/>
          </cell>
          <cell r="N2287" t="str">
            <v/>
          </cell>
        </row>
        <row r="2289">
          <cell r="H2289" t="str">
            <v/>
          </cell>
          <cell r="I2289" t="str">
            <v/>
          </cell>
          <cell r="J2289" t="str">
            <v/>
          </cell>
          <cell r="K2289" t="str">
            <v/>
          </cell>
          <cell r="L2289" t="str">
            <v/>
          </cell>
          <cell r="M2289" t="str">
            <v/>
          </cell>
          <cell r="N2289" t="str">
            <v/>
          </cell>
        </row>
        <row r="2291">
          <cell r="H2291" t="str">
            <v/>
          </cell>
          <cell r="I2291" t="str">
            <v/>
          </cell>
          <cell r="J2291" t="str">
            <v/>
          </cell>
          <cell r="K2291" t="str">
            <v/>
          </cell>
          <cell r="L2291" t="str">
            <v/>
          </cell>
          <cell r="M2291" t="str">
            <v/>
          </cell>
          <cell r="N2291" t="str">
            <v/>
          </cell>
        </row>
        <row r="2292">
          <cell r="H2292" t="str">
            <v/>
          </cell>
          <cell r="I2292" t="str">
            <v/>
          </cell>
          <cell r="J2292" t="str">
            <v/>
          </cell>
          <cell r="K2292" t="str">
            <v/>
          </cell>
          <cell r="L2292" t="str">
            <v/>
          </cell>
          <cell r="M2292" t="str">
            <v/>
          </cell>
          <cell r="N2292" t="str">
            <v/>
          </cell>
        </row>
        <row r="2293">
          <cell r="H2293" t="str">
            <v/>
          </cell>
          <cell r="I2293" t="str">
            <v/>
          </cell>
          <cell r="J2293" t="str">
            <v/>
          </cell>
          <cell r="K2293" t="str">
            <v/>
          </cell>
          <cell r="L2293" t="str">
            <v/>
          </cell>
          <cell r="M2293" t="str">
            <v/>
          </cell>
          <cell r="N2293" t="str">
            <v/>
          </cell>
        </row>
        <row r="2294">
          <cell r="H2294" t="str">
            <v/>
          </cell>
          <cell r="I2294" t="str">
            <v/>
          </cell>
          <cell r="J2294" t="str">
            <v/>
          </cell>
          <cell r="K2294" t="str">
            <v/>
          </cell>
          <cell r="L2294" t="str">
            <v/>
          </cell>
          <cell r="M2294" t="str">
            <v/>
          </cell>
          <cell r="N2294" t="str">
            <v/>
          </cell>
        </row>
        <row r="2296">
          <cell r="H2296" t="str">
            <v/>
          </cell>
          <cell r="I2296" t="str">
            <v/>
          </cell>
          <cell r="J2296" t="str">
            <v/>
          </cell>
          <cell r="K2296" t="str">
            <v/>
          </cell>
          <cell r="L2296" t="str">
            <v/>
          </cell>
          <cell r="M2296" t="str">
            <v/>
          </cell>
          <cell r="N2296" t="str">
            <v/>
          </cell>
        </row>
        <row r="2298">
          <cell r="H2298" t="str">
            <v/>
          </cell>
          <cell r="I2298" t="str">
            <v/>
          </cell>
          <cell r="J2298" t="str">
            <v/>
          </cell>
          <cell r="K2298" t="str">
            <v/>
          </cell>
          <cell r="L2298" t="str">
            <v/>
          </cell>
          <cell r="M2298" t="str">
            <v/>
          </cell>
          <cell r="N2298" t="str">
            <v/>
          </cell>
        </row>
        <row r="2299">
          <cell r="H2299" t="str">
            <v/>
          </cell>
          <cell r="I2299" t="str">
            <v/>
          </cell>
          <cell r="J2299" t="str">
            <v/>
          </cell>
          <cell r="K2299" t="str">
            <v/>
          </cell>
          <cell r="L2299" t="str">
            <v/>
          </cell>
          <cell r="M2299" t="str">
            <v/>
          </cell>
          <cell r="N2299" t="str">
            <v/>
          </cell>
        </row>
        <row r="2300">
          <cell r="H2300" t="str">
            <v/>
          </cell>
          <cell r="I2300" t="str">
            <v/>
          </cell>
          <cell r="J2300" t="str">
            <v/>
          </cell>
          <cell r="K2300" t="str">
            <v/>
          </cell>
          <cell r="L2300" t="str">
            <v/>
          </cell>
          <cell r="M2300" t="str">
            <v/>
          </cell>
          <cell r="N2300" t="str">
            <v/>
          </cell>
        </row>
        <row r="2301">
          <cell r="H2301" t="str">
            <v/>
          </cell>
          <cell r="I2301" t="str">
            <v/>
          </cell>
          <cell r="J2301" t="str">
            <v/>
          </cell>
          <cell r="K2301" t="str">
            <v/>
          </cell>
          <cell r="L2301" t="str">
            <v/>
          </cell>
          <cell r="M2301" t="str">
            <v/>
          </cell>
          <cell r="N2301" t="str">
            <v/>
          </cell>
        </row>
        <row r="2302">
          <cell r="H2302" t="str">
            <v/>
          </cell>
          <cell r="I2302" t="str">
            <v/>
          </cell>
          <cell r="J2302" t="str">
            <v/>
          </cell>
          <cell r="K2302" t="str">
            <v/>
          </cell>
          <cell r="L2302" t="str">
            <v/>
          </cell>
          <cell r="M2302" t="str">
            <v/>
          </cell>
          <cell r="N2302" t="str">
            <v/>
          </cell>
        </row>
        <row r="2303">
          <cell r="H2303" t="str">
            <v/>
          </cell>
          <cell r="I2303" t="str">
            <v/>
          </cell>
          <cell r="J2303" t="str">
            <v/>
          </cell>
          <cell r="K2303" t="str">
            <v/>
          </cell>
          <cell r="L2303" t="str">
            <v/>
          </cell>
          <cell r="M2303" t="str">
            <v/>
          </cell>
          <cell r="N2303" t="str">
            <v/>
          </cell>
        </row>
        <row r="2304">
          <cell r="H2304" t="str">
            <v/>
          </cell>
          <cell r="I2304" t="str">
            <v/>
          </cell>
          <cell r="J2304" t="str">
            <v/>
          </cell>
          <cell r="K2304" t="str">
            <v/>
          </cell>
          <cell r="L2304" t="str">
            <v/>
          </cell>
          <cell r="M2304" t="str">
            <v/>
          </cell>
          <cell r="N2304" t="str">
            <v/>
          </cell>
        </row>
        <row r="2305">
          <cell r="H2305" t="str">
            <v/>
          </cell>
          <cell r="I2305" t="str">
            <v/>
          </cell>
          <cell r="J2305" t="str">
            <v/>
          </cell>
          <cell r="K2305" t="str">
            <v/>
          </cell>
          <cell r="L2305" t="str">
            <v/>
          </cell>
          <cell r="M2305" t="str">
            <v/>
          </cell>
          <cell r="N2305" t="str">
            <v/>
          </cell>
        </row>
        <row r="2306">
          <cell r="H2306" t="str">
            <v/>
          </cell>
          <cell r="I2306" t="str">
            <v/>
          </cell>
          <cell r="J2306" t="str">
            <v/>
          </cell>
          <cell r="K2306" t="str">
            <v/>
          </cell>
          <cell r="L2306" t="str">
            <v/>
          </cell>
          <cell r="M2306" t="str">
            <v/>
          </cell>
          <cell r="N2306" t="str">
            <v/>
          </cell>
        </row>
        <row r="2307">
          <cell r="H2307" t="str">
            <v/>
          </cell>
          <cell r="I2307" t="str">
            <v/>
          </cell>
          <cell r="J2307" t="str">
            <v/>
          </cell>
          <cell r="K2307" t="str">
            <v/>
          </cell>
          <cell r="L2307" t="str">
            <v/>
          </cell>
          <cell r="M2307" t="str">
            <v/>
          </cell>
          <cell r="N2307" t="str">
            <v/>
          </cell>
        </row>
        <row r="2311">
          <cell r="I2311" t="str">
            <v>Fuel benchmark sub-installation, CL</v>
          </cell>
          <cell r="M2311" t="str">
            <v/>
          </cell>
        </row>
        <row r="2314">
          <cell r="E2314" t="str">
            <v>Fuel benchmark sub-installation, CL</v>
          </cell>
          <cell r="H2314" t="b">
            <v>1</v>
          </cell>
          <cell r="J2314" t="str">
            <v>N.A.</v>
          </cell>
          <cell r="K2314" t="str">
            <v>N.A.</v>
          </cell>
          <cell r="L2314">
            <v>4</v>
          </cell>
          <cell r="M2314" t="str">
            <v>N.A.</v>
          </cell>
          <cell r="N2314" t="str">
            <v>EUA/TJ</v>
          </cell>
        </row>
        <row r="2317">
          <cell r="F2317" t="str">
            <v>TJ</v>
          </cell>
          <cell r="G2317" t="str">
            <v/>
          </cell>
          <cell r="H2317" t="str">
            <v/>
          </cell>
          <cell r="I2317" t="str">
            <v/>
          </cell>
          <cell r="J2317" t="str">
            <v/>
          </cell>
          <cell r="K2317" t="str">
            <v/>
          </cell>
          <cell r="L2317" t="str">
            <v/>
          </cell>
          <cell r="M2317" t="str">
            <v/>
          </cell>
          <cell r="N2317" t="str">
            <v/>
          </cell>
        </row>
        <row r="2318">
          <cell r="F2318" t="str">
            <v/>
          </cell>
          <cell r="G2318" t="str">
            <v/>
          </cell>
          <cell r="H2318" t="str">
            <v/>
          </cell>
          <cell r="I2318" t="str">
            <v/>
          </cell>
          <cell r="J2318" t="str">
            <v/>
          </cell>
          <cell r="K2318" t="str">
            <v/>
          </cell>
          <cell r="L2318" t="str">
            <v/>
          </cell>
          <cell r="M2318" t="str">
            <v/>
          </cell>
          <cell r="N2318" t="str">
            <v/>
          </cell>
        </row>
        <row r="2322">
          <cell r="J2322" t="str">
            <v/>
          </cell>
          <cell r="K2322" t="str">
            <v/>
          </cell>
          <cell r="L2322" t="str">
            <v/>
          </cell>
          <cell r="M2322" t="str">
            <v/>
          </cell>
          <cell r="N2322" t="str">
            <v/>
          </cell>
        </row>
        <row r="2323">
          <cell r="J2323" t="str">
            <v/>
          </cell>
          <cell r="K2323" t="str">
            <v/>
          </cell>
          <cell r="L2323" t="str">
            <v/>
          </cell>
          <cell r="M2323" t="str">
            <v/>
          </cell>
          <cell r="N2323" t="str">
            <v/>
          </cell>
        </row>
        <row r="2326">
          <cell r="H2326" t="str">
            <v>TJ</v>
          </cell>
          <cell r="J2326" t="str">
            <v/>
          </cell>
          <cell r="K2326" t="str">
            <v/>
          </cell>
          <cell r="L2326" t="str">
            <v/>
          </cell>
          <cell r="M2326" t="str">
            <v/>
          </cell>
          <cell r="N2326" t="str">
            <v/>
          </cell>
        </row>
        <row r="2327">
          <cell r="J2327" t="str">
            <v/>
          </cell>
          <cell r="K2327" t="str">
            <v/>
          </cell>
          <cell r="L2327" t="str">
            <v/>
          </cell>
          <cell r="M2327" t="str">
            <v/>
          </cell>
          <cell r="N2327" t="str">
            <v/>
          </cell>
        </row>
        <row r="2330">
          <cell r="H2330" t="str">
            <v>TJ</v>
          </cell>
          <cell r="J2330" t="str">
            <v/>
          </cell>
          <cell r="K2330" t="str">
            <v/>
          </cell>
          <cell r="L2330" t="str">
            <v/>
          </cell>
          <cell r="M2330" t="str">
            <v/>
          </cell>
          <cell r="N2330" t="str">
            <v/>
          </cell>
        </row>
        <row r="2331">
          <cell r="J2331" t="str">
            <v/>
          </cell>
          <cell r="K2331" t="str">
            <v/>
          </cell>
          <cell r="L2331" t="str">
            <v/>
          </cell>
          <cell r="M2331" t="str">
            <v/>
          </cell>
          <cell r="N2331" t="str">
            <v/>
          </cell>
        </row>
        <row r="2332">
          <cell r="J2332" t="str">
            <v/>
          </cell>
          <cell r="K2332" t="str">
            <v/>
          </cell>
          <cell r="L2332" t="str">
            <v/>
          </cell>
          <cell r="M2332" t="str">
            <v/>
          </cell>
          <cell r="N2332" t="str">
            <v/>
          </cell>
        </row>
        <row r="2333">
          <cell r="H2333" t="str">
            <v>TJ</v>
          </cell>
          <cell r="J2333" t="str">
            <v/>
          </cell>
          <cell r="K2333" t="str">
            <v/>
          </cell>
          <cell r="L2333" t="str">
            <v/>
          </cell>
          <cell r="M2333" t="str">
            <v/>
          </cell>
          <cell r="N2333" t="str">
            <v/>
          </cell>
        </row>
        <row r="2334">
          <cell r="J2334" t="str">
            <v/>
          </cell>
          <cell r="K2334" t="str">
            <v/>
          </cell>
          <cell r="L2334" t="str">
            <v/>
          </cell>
          <cell r="M2334" t="str">
            <v/>
          </cell>
          <cell r="N2334" t="str">
            <v/>
          </cell>
        </row>
        <row r="2335">
          <cell r="J2335" t="str">
            <v/>
          </cell>
          <cell r="K2335" t="str">
            <v/>
          </cell>
          <cell r="L2335" t="str">
            <v/>
          </cell>
          <cell r="M2335" t="str">
            <v/>
          </cell>
          <cell r="N2335" t="str">
            <v/>
          </cell>
        </row>
        <row r="2336">
          <cell r="J2336" t="str">
            <v/>
          </cell>
          <cell r="K2336" t="str">
            <v/>
          </cell>
          <cell r="L2336" t="str">
            <v/>
          </cell>
          <cell r="M2336" t="str">
            <v/>
          </cell>
          <cell r="N2336" t="str">
            <v/>
          </cell>
        </row>
        <row r="2339">
          <cell r="J2339" t="str">
            <v/>
          </cell>
          <cell r="K2339" t="str">
            <v/>
          </cell>
          <cell r="L2339" t="str">
            <v/>
          </cell>
          <cell r="M2339" t="str">
            <v/>
          </cell>
          <cell r="N2339" t="str">
            <v/>
          </cell>
        </row>
        <row r="2340">
          <cell r="J2340" t="str">
            <v/>
          </cell>
          <cell r="K2340" t="str">
            <v/>
          </cell>
          <cell r="L2340" t="str">
            <v/>
          </cell>
          <cell r="M2340" t="str">
            <v/>
          </cell>
          <cell r="N2340" t="str">
            <v/>
          </cell>
        </row>
        <row r="2341">
          <cell r="J2341" t="str">
            <v/>
          </cell>
          <cell r="K2341" t="str">
            <v/>
          </cell>
          <cell r="L2341" t="str">
            <v/>
          </cell>
          <cell r="M2341" t="str">
            <v/>
          </cell>
          <cell r="N2341" t="str">
            <v/>
          </cell>
        </row>
        <row r="2342">
          <cell r="J2342" t="str">
            <v/>
          </cell>
          <cell r="K2342" t="str">
            <v/>
          </cell>
          <cell r="L2342" t="str">
            <v/>
          </cell>
          <cell r="M2342" t="str">
            <v/>
          </cell>
          <cell r="N2342" t="str">
            <v/>
          </cell>
        </row>
        <row r="2343">
          <cell r="J2343" t="str">
            <v/>
          </cell>
          <cell r="K2343" t="str">
            <v/>
          </cell>
          <cell r="L2343" t="str">
            <v/>
          </cell>
          <cell r="M2343" t="str">
            <v/>
          </cell>
          <cell r="N2343" t="str">
            <v/>
          </cell>
        </row>
        <row r="2348">
          <cell r="H2348" t="str">
            <v>TJ</v>
          </cell>
          <cell r="I2348" t="str">
            <v/>
          </cell>
          <cell r="J2348" t="str">
            <v/>
          </cell>
          <cell r="K2348" t="str">
            <v/>
          </cell>
          <cell r="L2348" t="str">
            <v/>
          </cell>
          <cell r="M2348" t="str">
            <v/>
          </cell>
          <cell r="N2348" t="str">
            <v/>
          </cell>
        </row>
        <row r="2349">
          <cell r="I2349" t="str">
            <v/>
          </cell>
          <cell r="J2349" t="str">
            <v/>
          </cell>
          <cell r="K2349" t="str">
            <v/>
          </cell>
          <cell r="L2349" t="str">
            <v/>
          </cell>
          <cell r="M2349" t="str">
            <v/>
          </cell>
          <cell r="N2349" t="str">
            <v/>
          </cell>
        </row>
        <row r="2354">
          <cell r="H2354" t="str">
            <v/>
          </cell>
          <cell r="I2354" t="str">
            <v/>
          </cell>
          <cell r="J2354" t="str">
            <v/>
          </cell>
          <cell r="K2354" t="str">
            <v/>
          </cell>
          <cell r="L2354" t="str">
            <v/>
          </cell>
          <cell r="M2354" t="str">
            <v/>
          </cell>
          <cell r="N2354" t="str">
            <v/>
          </cell>
        </row>
        <row r="2356">
          <cell r="H2356" t="str">
            <v/>
          </cell>
          <cell r="I2356" t="str">
            <v/>
          </cell>
          <cell r="J2356" t="str">
            <v/>
          </cell>
          <cell r="K2356" t="str">
            <v/>
          </cell>
          <cell r="L2356" t="str">
            <v/>
          </cell>
          <cell r="M2356" t="str">
            <v/>
          </cell>
          <cell r="N2356" t="str">
            <v/>
          </cell>
        </row>
        <row r="2357">
          <cell r="H2357" t="str">
            <v/>
          </cell>
          <cell r="I2357" t="str">
            <v/>
          </cell>
          <cell r="J2357" t="str">
            <v/>
          </cell>
          <cell r="K2357" t="str">
            <v/>
          </cell>
          <cell r="L2357" t="str">
            <v/>
          </cell>
          <cell r="M2357" t="str">
            <v/>
          </cell>
          <cell r="N2357" t="str">
            <v/>
          </cell>
        </row>
        <row r="2358">
          <cell r="H2358" t="str">
            <v/>
          </cell>
          <cell r="I2358" t="str">
            <v/>
          </cell>
          <cell r="J2358" t="str">
            <v/>
          </cell>
          <cell r="K2358" t="str">
            <v/>
          </cell>
          <cell r="L2358" t="str">
            <v/>
          </cell>
          <cell r="M2358" t="str">
            <v/>
          </cell>
          <cell r="N2358" t="str">
            <v/>
          </cell>
        </row>
        <row r="2359">
          <cell r="H2359" t="str">
            <v/>
          </cell>
          <cell r="I2359" t="str">
            <v/>
          </cell>
          <cell r="J2359" t="str">
            <v/>
          </cell>
          <cell r="K2359" t="str">
            <v/>
          </cell>
          <cell r="L2359" t="str">
            <v/>
          </cell>
          <cell r="M2359" t="str">
            <v/>
          </cell>
          <cell r="N2359" t="str">
            <v/>
          </cell>
        </row>
        <row r="2361">
          <cell r="H2361" t="str">
            <v/>
          </cell>
          <cell r="I2361" t="str">
            <v/>
          </cell>
          <cell r="J2361" t="str">
            <v/>
          </cell>
          <cell r="K2361" t="str">
            <v/>
          </cell>
          <cell r="L2361" t="str">
            <v/>
          </cell>
          <cell r="M2361" t="str">
            <v/>
          </cell>
          <cell r="N2361" t="str">
            <v/>
          </cell>
        </row>
        <row r="2363">
          <cell r="H2363" t="str">
            <v/>
          </cell>
          <cell r="I2363" t="str">
            <v/>
          </cell>
          <cell r="J2363" t="str">
            <v/>
          </cell>
          <cell r="K2363" t="str">
            <v/>
          </cell>
          <cell r="L2363" t="str">
            <v/>
          </cell>
          <cell r="M2363" t="str">
            <v/>
          </cell>
          <cell r="N2363" t="str">
            <v/>
          </cell>
        </row>
        <row r="2364">
          <cell r="H2364" t="str">
            <v/>
          </cell>
          <cell r="I2364" t="str">
            <v/>
          </cell>
          <cell r="J2364" t="str">
            <v/>
          </cell>
          <cell r="K2364" t="str">
            <v/>
          </cell>
          <cell r="L2364" t="str">
            <v/>
          </cell>
          <cell r="M2364" t="str">
            <v/>
          </cell>
          <cell r="N2364" t="str">
            <v/>
          </cell>
        </row>
        <row r="2368">
          <cell r="I2368" t="str">
            <v>Fuel benchmark sub-installation, non-CL</v>
          </cell>
          <cell r="M2368" t="str">
            <v/>
          </cell>
        </row>
        <row r="2371">
          <cell r="E2371" t="str">
            <v>Fuel benchmark sub-installation, non-CL</v>
          </cell>
          <cell r="H2371" t="b">
            <v>0</v>
          </cell>
          <cell r="J2371" t="str">
            <v>N.A.</v>
          </cell>
          <cell r="K2371" t="str">
            <v>N.A.</v>
          </cell>
          <cell r="L2371">
            <v>5</v>
          </cell>
          <cell r="M2371" t="str">
            <v>N.A.</v>
          </cell>
          <cell r="N2371" t="str">
            <v>EUA/TJ</v>
          </cell>
        </row>
        <row r="2374">
          <cell r="F2374" t="str">
            <v>TJ</v>
          </cell>
          <cell r="G2374" t="str">
            <v/>
          </cell>
          <cell r="H2374" t="str">
            <v/>
          </cell>
          <cell r="I2374" t="str">
            <v/>
          </cell>
          <cell r="J2374" t="str">
            <v/>
          </cell>
          <cell r="K2374" t="str">
            <v/>
          </cell>
          <cell r="L2374" t="str">
            <v/>
          </cell>
          <cell r="M2374" t="str">
            <v/>
          </cell>
          <cell r="N2374" t="str">
            <v/>
          </cell>
        </row>
        <row r="2375">
          <cell r="F2375" t="str">
            <v/>
          </cell>
          <cell r="G2375" t="str">
            <v/>
          </cell>
          <cell r="H2375" t="str">
            <v/>
          </cell>
          <cell r="I2375" t="str">
            <v/>
          </cell>
          <cell r="J2375" t="str">
            <v/>
          </cell>
          <cell r="K2375" t="str">
            <v/>
          </cell>
          <cell r="L2375" t="str">
            <v/>
          </cell>
          <cell r="M2375" t="str">
            <v/>
          </cell>
          <cell r="N2375" t="str">
            <v/>
          </cell>
        </row>
        <row r="2379">
          <cell r="J2379" t="str">
            <v/>
          </cell>
          <cell r="K2379" t="str">
            <v/>
          </cell>
          <cell r="L2379" t="str">
            <v/>
          </cell>
          <cell r="M2379" t="str">
            <v/>
          </cell>
          <cell r="N2379" t="str">
            <v/>
          </cell>
        </row>
        <row r="2380">
          <cell r="J2380" t="str">
            <v/>
          </cell>
          <cell r="K2380" t="str">
            <v/>
          </cell>
          <cell r="L2380" t="str">
            <v/>
          </cell>
          <cell r="M2380" t="str">
            <v/>
          </cell>
          <cell r="N2380" t="str">
            <v/>
          </cell>
        </row>
        <row r="2383">
          <cell r="H2383" t="str">
            <v>TJ</v>
          </cell>
          <cell r="J2383" t="str">
            <v/>
          </cell>
          <cell r="K2383" t="str">
            <v/>
          </cell>
          <cell r="L2383" t="str">
            <v/>
          </cell>
          <cell r="M2383" t="str">
            <v/>
          </cell>
          <cell r="N2383" t="str">
            <v/>
          </cell>
        </row>
        <row r="2384">
          <cell r="J2384" t="str">
            <v/>
          </cell>
          <cell r="K2384" t="str">
            <v/>
          </cell>
          <cell r="L2384" t="str">
            <v/>
          </cell>
          <cell r="M2384" t="str">
            <v/>
          </cell>
          <cell r="N2384" t="str">
            <v/>
          </cell>
        </row>
        <row r="2387">
          <cell r="H2387" t="str">
            <v>TJ</v>
          </cell>
          <cell r="J2387" t="str">
            <v/>
          </cell>
          <cell r="K2387" t="str">
            <v/>
          </cell>
          <cell r="L2387" t="str">
            <v/>
          </cell>
          <cell r="M2387" t="str">
            <v/>
          </cell>
          <cell r="N2387" t="str">
            <v/>
          </cell>
        </row>
        <row r="2388">
          <cell r="J2388" t="str">
            <v/>
          </cell>
          <cell r="K2388" t="str">
            <v/>
          </cell>
          <cell r="L2388" t="str">
            <v/>
          </cell>
          <cell r="M2388" t="str">
            <v/>
          </cell>
          <cell r="N2388" t="str">
            <v/>
          </cell>
        </row>
        <row r="2389">
          <cell r="J2389" t="str">
            <v/>
          </cell>
          <cell r="K2389" t="str">
            <v/>
          </cell>
          <cell r="L2389" t="str">
            <v/>
          </cell>
          <cell r="M2389" t="str">
            <v/>
          </cell>
          <cell r="N2389" t="str">
            <v/>
          </cell>
        </row>
        <row r="2390">
          <cell r="H2390" t="str">
            <v>TJ</v>
          </cell>
          <cell r="J2390" t="str">
            <v/>
          </cell>
          <cell r="K2390" t="str">
            <v/>
          </cell>
          <cell r="L2390" t="str">
            <v/>
          </cell>
          <cell r="M2390" t="str">
            <v/>
          </cell>
          <cell r="N2390" t="str">
            <v/>
          </cell>
        </row>
        <row r="2391">
          <cell r="J2391" t="str">
            <v/>
          </cell>
          <cell r="K2391" t="str">
            <v/>
          </cell>
          <cell r="L2391" t="str">
            <v/>
          </cell>
          <cell r="M2391" t="str">
            <v/>
          </cell>
          <cell r="N2391" t="str">
            <v/>
          </cell>
        </row>
        <row r="2392">
          <cell r="J2392" t="str">
            <v/>
          </cell>
          <cell r="K2392" t="str">
            <v/>
          </cell>
          <cell r="L2392" t="str">
            <v/>
          </cell>
          <cell r="M2392" t="str">
            <v/>
          </cell>
          <cell r="N2392" t="str">
            <v/>
          </cell>
        </row>
        <row r="2393">
          <cell r="J2393" t="str">
            <v/>
          </cell>
          <cell r="K2393" t="str">
            <v/>
          </cell>
          <cell r="L2393" t="str">
            <v/>
          </cell>
          <cell r="M2393" t="str">
            <v/>
          </cell>
          <cell r="N2393" t="str">
            <v/>
          </cell>
        </row>
        <row r="2396">
          <cell r="J2396" t="str">
            <v/>
          </cell>
          <cell r="K2396" t="str">
            <v/>
          </cell>
          <cell r="L2396" t="str">
            <v/>
          </cell>
          <cell r="M2396" t="str">
            <v/>
          </cell>
          <cell r="N2396" t="str">
            <v/>
          </cell>
        </row>
        <row r="2397">
          <cell r="J2397" t="str">
            <v/>
          </cell>
          <cell r="K2397" t="str">
            <v/>
          </cell>
          <cell r="L2397" t="str">
            <v/>
          </cell>
          <cell r="M2397" t="str">
            <v/>
          </cell>
          <cell r="N2397" t="str">
            <v/>
          </cell>
        </row>
        <row r="2398">
          <cell r="J2398" t="str">
            <v/>
          </cell>
          <cell r="K2398" t="str">
            <v/>
          </cell>
          <cell r="L2398" t="str">
            <v/>
          </cell>
          <cell r="M2398" t="str">
            <v/>
          </cell>
          <cell r="N2398" t="str">
            <v/>
          </cell>
        </row>
        <row r="2399">
          <cell r="J2399" t="str">
            <v/>
          </cell>
          <cell r="K2399" t="str">
            <v/>
          </cell>
          <cell r="L2399" t="str">
            <v/>
          </cell>
          <cell r="M2399" t="str">
            <v/>
          </cell>
          <cell r="N2399" t="str">
            <v/>
          </cell>
        </row>
        <row r="2400">
          <cell r="J2400" t="str">
            <v/>
          </cell>
          <cell r="K2400" t="str">
            <v/>
          </cell>
          <cell r="L2400" t="str">
            <v/>
          </cell>
          <cell r="M2400" t="str">
            <v/>
          </cell>
          <cell r="N2400" t="str">
            <v/>
          </cell>
        </row>
        <row r="2405">
          <cell r="H2405" t="str">
            <v>TJ</v>
          </cell>
          <cell r="I2405" t="str">
            <v/>
          </cell>
          <cell r="J2405" t="str">
            <v/>
          </cell>
          <cell r="K2405" t="str">
            <v/>
          </cell>
          <cell r="L2405" t="str">
            <v/>
          </cell>
          <cell r="M2405" t="str">
            <v/>
          </cell>
          <cell r="N2405" t="str">
            <v/>
          </cell>
        </row>
        <row r="2406">
          <cell r="I2406" t="str">
            <v/>
          </cell>
          <cell r="J2406" t="str">
            <v/>
          </cell>
          <cell r="K2406" t="str">
            <v/>
          </cell>
          <cell r="L2406" t="str">
            <v/>
          </cell>
          <cell r="M2406" t="str">
            <v/>
          </cell>
          <cell r="N2406" t="str">
            <v/>
          </cell>
        </row>
        <row r="2411">
          <cell r="H2411" t="str">
            <v/>
          </cell>
          <cell r="I2411" t="str">
            <v/>
          </cell>
          <cell r="J2411" t="str">
            <v/>
          </cell>
          <cell r="K2411" t="str">
            <v/>
          </cell>
          <cell r="L2411" t="str">
            <v/>
          </cell>
          <cell r="M2411" t="str">
            <v/>
          </cell>
          <cell r="N2411" t="str">
            <v/>
          </cell>
        </row>
        <row r="2413">
          <cell r="H2413" t="str">
            <v/>
          </cell>
          <cell r="I2413" t="str">
            <v/>
          </cell>
          <cell r="J2413" t="str">
            <v/>
          </cell>
          <cell r="K2413" t="str">
            <v/>
          </cell>
          <cell r="L2413" t="str">
            <v/>
          </cell>
          <cell r="M2413" t="str">
            <v/>
          </cell>
          <cell r="N2413" t="str">
            <v/>
          </cell>
        </row>
        <row r="2414">
          <cell r="H2414" t="str">
            <v/>
          </cell>
          <cell r="I2414" t="str">
            <v/>
          </cell>
          <cell r="J2414" t="str">
            <v/>
          </cell>
          <cell r="K2414" t="str">
            <v/>
          </cell>
          <cell r="L2414" t="str">
            <v/>
          </cell>
          <cell r="M2414" t="str">
            <v/>
          </cell>
          <cell r="N2414" t="str">
            <v/>
          </cell>
        </row>
        <row r="2415">
          <cell r="H2415" t="str">
            <v/>
          </cell>
          <cell r="I2415" t="str">
            <v/>
          </cell>
          <cell r="J2415" t="str">
            <v/>
          </cell>
          <cell r="K2415" t="str">
            <v/>
          </cell>
          <cell r="L2415" t="str">
            <v/>
          </cell>
          <cell r="M2415" t="str">
            <v/>
          </cell>
          <cell r="N2415" t="str">
            <v/>
          </cell>
        </row>
        <row r="2416">
          <cell r="H2416" t="str">
            <v/>
          </cell>
          <cell r="I2416" t="str">
            <v/>
          </cell>
          <cell r="J2416" t="str">
            <v/>
          </cell>
          <cell r="K2416" t="str">
            <v/>
          </cell>
          <cell r="L2416" t="str">
            <v/>
          </cell>
          <cell r="M2416" t="str">
            <v/>
          </cell>
          <cell r="N2416" t="str">
            <v/>
          </cell>
        </row>
        <row r="2418">
          <cell r="H2418" t="str">
            <v/>
          </cell>
          <cell r="I2418" t="str">
            <v/>
          </cell>
          <cell r="J2418" t="str">
            <v/>
          </cell>
          <cell r="K2418" t="str">
            <v/>
          </cell>
          <cell r="L2418" t="str">
            <v/>
          </cell>
          <cell r="M2418" t="str">
            <v/>
          </cell>
          <cell r="N2418" t="str">
            <v/>
          </cell>
        </row>
        <row r="2420">
          <cell r="H2420" t="str">
            <v/>
          </cell>
          <cell r="I2420" t="str">
            <v/>
          </cell>
          <cell r="J2420" t="str">
            <v/>
          </cell>
          <cell r="K2420" t="str">
            <v/>
          </cell>
          <cell r="L2420" t="str">
            <v/>
          </cell>
          <cell r="M2420" t="str">
            <v/>
          </cell>
          <cell r="N2420" t="str">
            <v/>
          </cell>
        </row>
        <row r="2421">
          <cell r="H2421" t="str">
            <v/>
          </cell>
          <cell r="I2421" t="str">
            <v/>
          </cell>
          <cell r="J2421" t="str">
            <v/>
          </cell>
          <cell r="K2421" t="str">
            <v/>
          </cell>
          <cell r="L2421" t="str">
            <v/>
          </cell>
          <cell r="M2421" t="str">
            <v/>
          </cell>
          <cell r="N2421" t="str">
            <v/>
          </cell>
        </row>
        <row r="2425">
          <cell r="I2425" t="str">
            <v>Process emissions sub-installation, CL</v>
          </cell>
          <cell r="M2425" t="str">
            <v/>
          </cell>
        </row>
        <row r="2428">
          <cell r="E2428" t="str">
            <v>Process emissions sub-installation, CL</v>
          </cell>
          <cell r="H2428" t="b">
            <v>1</v>
          </cell>
          <cell r="J2428" t="str">
            <v>N.A.</v>
          </cell>
          <cell r="K2428" t="str">
            <v>N.A.</v>
          </cell>
          <cell r="L2428">
            <v>6</v>
          </cell>
          <cell r="M2428" t="str">
            <v>N.A.</v>
          </cell>
          <cell r="N2428" t="str">
            <v>EUA/t CO2e</v>
          </cell>
        </row>
        <row r="2431">
          <cell r="F2431" t="str">
            <v>t CO2e</v>
          </cell>
          <cell r="G2431" t="str">
            <v/>
          </cell>
          <cell r="H2431" t="str">
            <v/>
          </cell>
          <cell r="I2431" t="str">
            <v/>
          </cell>
          <cell r="J2431" t="str">
            <v/>
          </cell>
          <cell r="K2431" t="str">
            <v/>
          </cell>
          <cell r="L2431" t="str">
            <v/>
          </cell>
          <cell r="M2431" t="str">
            <v/>
          </cell>
          <cell r="N2431" t="str">
            <v/>
          </cell>
        </row>
        <row r="2435">
          <cell r="J2435" t="str">
            <v/>
          </cell>
          <cell r="K2435" t="str">
            <v/>
          </cell>
          <cell r="L2435" t="str">
            <v/>
          </cell>
          <cell r="M2435" t="str">
            <v/>
          </cell>
          <cell r="N2435" t="str">
            <v/>
          </cell>
        </row>
        <row r="2436">
          <cell r="J2436" t="str">
            <v/>
          </cell>
          <cell r="K2436" t="str">
            <v/>
          </cell>
          <cell r="L2436" t="str">
            <v/>
          </cell>
          <cell r="M2436" t="str">
            <v/>
          </cell>
          <cell r="N2436" t="str">
            <v/>
          </cell>
        </row>
        <row r="2439">
          <cell r="H2439" t="str">
            <v>t CO2e</v>
          </cell>
          <cell r="J2439" t="str">
            <v/>
          </cell>
          <cell r="K2439" t="str">
            <v/>
          </cell>
          <cell r="L2439" t="str">
            <v/>
          </cell>
          <cell r="M2439" t="str">
            <v/>
          </cell>
          <cell r="N2439" t="str">
            <v/>
          </cell>
        </row>
        <row r="2440">
          <cell r="J2440" t="str">
            <v/>
          </cell>
          <cell r="K2440" t="str">
            <v/>
          </cell>
          <cell r="L2440" t="str">
            <v/>
          </cell>
          <cell r="M2440" t="str">
            <v/>
          </cell>
          <cell r="N2440" t="str">
            <v/>
          </cell>
        </row>
        <row r="2443">
          <cell r="H2443" t="str">
            <v>t CO2e</v>
          </cell>
          <cell r="J2443" t="str">
            <v/>
          </cell>
          <cell r="K2443" t="str">
            <v/>
          </cell>
          <cell r="L2443" t="str">
            <v/>
          </cell>
          <cell r="M2443" t="str">
            <v/>
          </cell>
          <cell r="N2443" t="str">
            <v/>
          </cell>
        </row>
        <row r="2444">
          <cell r="J2444" t="str">
            <v/>
          </cell>
          <cell r="K2444" t="str">
            <v/>
          </cell>
          <cell r="L2444" t="str">
            <v/>
          </cell>
          <cell r="M2444" t="str">
            <v/>
          </cell>
          <cell r="N2444" t="str">
            <v/>
          </cell>
        </row>
        <row r="2445">
          <cell r="J2445" t="str">
            <v/>
          </cell>
          <cell r="K2445" t="str">
            <v/>
          </cell>
          <cell r="L2445" t="str">
            <v/>
          </cell>
          <cell r="M2445" t="str">
            <v/>
          </cell>
          <cell r="N2445" t="str">
            <v/>
          </cell>
        </row>
        <row r="2446">
          <cell r="H2446" t="str">
            <v>t CO2e</v>
          </cell>
          <cell r="J2446" t="str">
            <v/>
          </cell>
          <cell r="K2446" t="str">
            <v/>
          </cell>
          <cell r="L2446" t="str">
            <v/>
          </cell>
          <cell r="M2446" t="str">
            <v/>
          </cell>
          <cell r="N2446" t="str">
            <v/>
          </cell>
        </row>
        <row r="2447">
          <cell r="J2447" t="str">
            <v/>
          </cell>
          <cell r="K2447" t="str">
            <v/>
          </cell>
          <cell r="L2447" t="str">
            <v/>
          </cell>
          <cell r="M2447" t="str">
            <v/>
          </cell>
          <cell r="N2447" t="str">
            <v/>
          </cell>
        </row>
        <row r="2448">
          <cell r="J2448" t="str">
            <v/>
          </cell>
          <cell r="K2448" t="str">
            <v/>
          </cell>
          <cell r="L2448" t="str">
            <v/>
          </cell>
          <cell r="M2448" t="str">
            <v/>
          </cell>
          <cell r="N2448" t="str">
            <v/>
          </cell>
        </row>
        <row r="2449">
          <cell r="J2449" t="str">
            <v/>
          </cell>
          <cell r="K2449" t="str">
            <v/>
          </cell>
          <cell r="L2449" t="str">
            <v/>
          </cell>
          <cell r="M2449" t="str">
            <v/>
          </cell>
          <cell r="N2449" t="str">
            <v/>
          </cell>
        </row>
        <row r="2454">
          <cell r="H2454" t="str">
            <v>t CO2e</v>
          </cell>
          <cell r="I2454" t="str">
            <v/>
          </cell>
          <cell r="J2454" t="str">
            <v/>
          </cell>
          <cell r="K2454" t="str">
            <v/>
          </cell>
          <cell r="L2454" t="str">
            <v/>
          </cell>
          <cell r="M2454" t="str">
            <v/>
          </cell>
          <cell r="N2454" t="str">
            <v/>
          </cell>
        </row>
        <row r="2455">
          <cell r="I2455" t="str">
            <v/>
          </cell>
          <cell r="J2455" t="str">
            <v/>
          </cell>
          <cell r="K2455" t="str">
            <v/>
          </cell>
          <cell r="L2455" t="str">
            <v/>
          </cell>
          <cell r="M2455" t="str">
            <v/>
          </cell>
          <cell r="N2455" t="str">
            <v/>
          </cell>
        </row>
        <row r="2460">
          <cell r="H2460" t="str">
            <v/>
          </cell>
          <cell r="I2460" t="str">
            <v/>
          </cell>
          <cell r="J2460" t="str">
            <v/>
          </cell>
          <cell r="K2460" t="str">
            <v/>
          </cell>
          <cell r="L2460" t="str">
            <v/>
          </cell>
          <cell r="M2460" t="str">
            <v/>
          </cell>
          <cell r="N2460" t="str">
            <v/>
          </cell>
        </row>
        <row r="2464">
          <cell r="I2464" t="str">
            <v>Process emissions sub-installation, non-CL</v>
          </cell>
          <cell r="M2464" t="str">
            <v/>
          </cell>
        </row>
        <row r="2467">
          <cell r="E2467" t="str">
            <v>Process emissions sub-installation, non-CL</v>
          </cell>
          <cell r="H2467" t="b">
            <v>0</v>
          </cell>
          <cell r="J2467" t="str">
            <v>N.A.</v>
          </cell>
          <cell r="K2467" t="str">
            <v>N.A.</v>
          </cell>
          <cell r="L2467">
            <v>7</v>
          </cell>
          <cell r="M2467" t="str">
            <v>N.A.</v>
          </cell>
          <cell r="N2467" t="str">
            <v>EUA/t CO2e</v>
          </cell>
        </row>
        <row r="2470">
          <cell r="F2470" t="str">
            <v>t CO2e</v>
          </cell>
          <cell r="G2470" t="str">
            <v/>
          </cell>
          <cell r="H2470" t="str">
            <v/>
          </cell>
          <cell r="I2470" t="str">
            <v/>
          </cell>
          <cell r="J2470" t="str">
            <v/>
          </cell>
          <cell r="K2470" t="str">
            <v/>
          </cell>
          <cell r="L2470" t="str">
            <v/>
          </cell>
          <cell r="M2470" t="str">
            <v/>
          </cell>
          <cell r="N2470" t="str">
            <v/>
          </cell>
        </row>
        <row r="2474">
          <cell r="J2474" t="str">
            <v/>
          </cell>
          <cell r="K2474" t="str">
            <v/>
          </cell>
          <cell r="L2474" t="str">
            <v/>
          </cell>
          <cell r="M2474" t="str">
            <v/>
          </cell>
          <cell r="N2474" t="str">
            <v/>
          </cell>
        </row>
        <row r="2475">
          <cell r="J2475" t="str">
            <v/>
          </cell>
          <cell r="K2475" t="str">
            <v/>
          </cell>
          <cell r="L2475" t="str">
            <v/>
          </cell>
          <cell r="M2475" t="str">
            <v/>
          </cell>
          <cell r="N2475" t="str">
            <v/>
          </cell>
        </row>
        <row r="2478">
          <cell r="H2478" t="str">
            <v>t CO2e</v>
          </cell>
          <cell r="J2478" t="str">
            <v/>
          </cell>
          <cell r="K2478" t="str">
            <v/>
          </cell>
          <cell r="L2478" t="str">
            <v/>
          </cell>
          <cell r="M2478" t="str">
            <v/>
          </cell>
          <cell r="N2478" t="str">
            <v/>
          </cell>
        </row>
        <row r="2479">
          <cell r="J2479" t="str">
            <v/>
          </cell>
          <cell r="K2479" t="str">
            <v/>
          </cell>
          <cell r="L2479" t="str">
            <v/>
          </cell>
          <cell r="M2479" t="str">
            <v/>
          </cell>
          <cell r="N2479" t="str">
            <v/>
          </cell>
        </row>
        <row r="2482">
          <cell r="H2482" t="str">
            <v>t CO2e</v>
          </cell>
          <cell r="J2482" t="str">
            <v/>
          </cell>
          <cell r="K2482" t="str">
            <v/>
          </cell>
          <cell r="L2482" t="str">
            <v/>
          </cell>
          <cell r="M2482" t="str">
            <v/>
          </cell>
          <cell r="N2482" t="str">
            <v/>
          </cell>
        </row>
        <row r="2483">
          <cell r="J2483" t="str">
            <v/>
          </cell>
          <cell r="K2483" t="str">
            <v/>
          </cell>
          <cell r="L2483" t="str">
            <v/>
          </cell>
          <cell r="M2483" t="str">
            <v/>
          </cell>
          <cell r="N2483" t="str">
            <v/>
          </cell>
        </row>
        <row r="2484">
          <cell r="J2484" t="str">
            <v/>
          </cell>
          <cell r="K2484" t="str">
            <v/>
          </cell>
          <cell r="L2484" t="str">
            <v/>
          </cell>
          <cell r="M2484" t="str">
            <v/>
          </cell>
          <cell r="N2484" t="str">
            <v/>
          </cell>
        </row>
        <row r="2485">
          <cell r="H2485" t="str">
            <v>t CO2e</v>
          </cell>
          <cell r="J2485" t="str">
            <v/>
          </cell>
          <cell r="K2485" t="str">
            <v/>
          </cell>
          <cell r="L2485" t="str">
            <v/>
          </cell>
          <cell r="M2485" t="str">
            <v/>
          </cell>
          <cell r="N2485" t="str">
            <v/>
          </cell>
        </row>
        <row r="2486">
          <cell r="J2486" t="str">
            <v/>
          </cell>
          <cell r="K2486" t="str">
            <v/>
          </cell>
          <cell r="L2486" t="str">
            <v/>
          </cell>
          <cell r="M2486" t="str">
            <v/>
          </cell>
          <cell r="N2486" t="str">
            <v/>
          </cell>
        </row>
        <row r="2487">
          <cell r="J2487" t="str">
            <v/>
          </cell>
          <cell r="K2487" t="str">
            <v/>
          </cell>
          <cell r="L2487" t="str">
            <v/>
          </cell>
          <cell r="M2487" t="str">
            <v/>
          </cell>
          <cell r="N2487" t="str">
            <v/>
          </cell>
        </row>
        <row r="2488">
          <cell r="J2488" t="str">
            <v/>
          </cell>
          <cell r="K2488" t="str">
            <v/>
          </cell>
          <cell r="L2488" t="str">
            <v/>
          </cell>
          <cell r="M2488" t="str">
            <v/>
          </cell>
          <cell r="N2488" t="str">
            <v/>
          </cell>
        </row>
        <row r="2493">
          <cell r="H2493" t="str">
            <v>t CO2e</v>
          </cell>
          <cell r="I2493" t="str">
            <v/>
          </cell>
          <cell r="J2493" t="str">
            <v/>
          </cell>
          <cell r="K2493" t="str">
            <v/>
          </cell>
          <cell r="L2493" t="str">
            <v/>
          </cell>
          <cell r="M2493" t="str">
            <v/>
          </cell>
          <cell r="N2493" t="str">
            <v/>
          </cell>
        </row>
        <row r="2494">
          <cell r="I2494" t="str">
            <v/>
          </cell>
          <cell r="J2494" t="str">
            <v/>
          </cell>
          <cell r="K2494" t="str">
            <v/>
          </cell>
          <cell r="L2494" t="str">
            <v/>
          </cell>
          <cell r="M2494" t="str">
            <v/>
          </cell>
          <cell r="N2494" t="str">
            <v/>
          </cell>
        </row>
        <row r="2499">
          <cell r="H2499" t="str">
            <v/>
          </cell>
          <cell r="I2499" t="str">
            <v/>
          </cell>
          <cell r="J2499" t="str">
            <v/>
          </cell>
          <cell r="K2499" t="str">
            <v/>
          </cell>
          <cell r="L2499" t="str">
            <v/>
          </cell>
          <cell r="M2499" t="str">
            <v/>
          </cell>
          <cell r="N2499" t="str">
            <v/>
          </cell>
        </row>
        <row r="2524">
          <cell r="J2524" t="str">
            <v/>
          </cell>
          <cell r="K2524" t="str">
            <v/>
          </cell>
          <cell r="L2524" t="str">
            <v/>
          </cell>
          <cell r="M2524" t="str">
            <v/>
          </cell>
          <cell r="N2524" t="str">
            <v/>
          </cell>
        </row>
        <row r="2525">
          <cell r="J2525" t="str">
            <v/>
          </cell>
          <cell r="K2525" t="str">
            <v/>
          </cell>
          <cell r="L2525" t="str">
            <v/>
          </cell>
          <cell r="M2525" t="str">
            <v/>
          </cell>
          <cell r="N2525" t="str">
            <v/>
          </cell>
        </row>
        <row r="2526">
          <cell r="J2526" t="str">
            <v/>
          </cell>
          <cell r="K2526" t="str">
            <v/>
          </cell>
          <cell r="L2526" t="str">
            <v/>
          </cell>
          <cell r="M2526" t="str">
            <v/>
          </cell>
          <cell r="N2526" t="str">
            <v/>
          </cell>
        </row>
        <row r="2527">
          <cell r="J2527" t="str">
            <v/>
          </cell>
          <cell r="K2527" t="str">
            <v/>
          </cell>
          <cell r="L2527" t="str">
            <v/>
          </cell>
          <cell r="M2527" t="str">
            <v/>
          </cell>
          <cell r="N2527" t="str">
            <v/>
          </cell>
        </row>
        <row r="2528">
          <cell r="J2528" t="str">
            <v/>
          </cell>
          <cell r="K2528" t="str">
            <v/>
          </cell>
          <cell r="L2528" t="str">
            <v/>
          </cell>
          <cell r="M2528" t="str">
            <v/>
          </cell>
          <cell r="N2528" t="str">
            <v/>
          </cell>
        </row>
        <row r="2529">
          <cell r="J2529" t="str">
            <v/>
          </cell>
          <cell r="K2529" t="str">
            <v/>
          </cell>
          <cell r="L2529" t="str">
            <v/>
          </cell>
          <cell r="M2529" t="str">
            <v/>
          </cell>
          <cell r="N2529" t="str">
            <v/>
          </cell>
        </row>
        <row r="2530">
          <cell r="J2530" t="str">
            <v/>
          </cell>
          <cell r="K2530" t="str">
            <v/>
          </cell>
          <cell r="L2530" t="str">
            <v/>
          </cell>
          <cell r="M2530" t="str">
            <v/>
          </cell>
          <cell r="N2530" t="str">
            <v/>
          </cell>
        </row>
        <row r="2531">
          <cell r="J2531" t="str">
            <v/>
          </cell>
          <cell r="K2531" t="str">
            <v/>
          </cell>
          <cell r="L2531" t="str">
            <v/>
          </cell>
          <cell r="M2531" t="str">
            <v/>
          </cell>
          <cell r="N2531" t="str">
            <v/>
          </cell>
        </row>
        <row r="2532">
          <cell r="J2532" t="str">
            <v/>
          </cell>
          <cell r="K2532" t="str">
            <v/>
          </cell>
          <cell r="L2532" t="str">
            <v/>
          </cell>
          <cell r="M2532" t="str">
            <v/>
          </cell>
          <cell r="N2532" t="str">
            <v/>
          </cell>
        </row>
        <row r="2533">
          <cell r="J2533" t="str">
            <v/>
          </cell>
          <cell r="K2533" t="str">
            <v/>
          </cell>
          <cell r="L2533" t="str">
            <v/>
          </cell>
          <cell r="M2533" t="str">
            <v/>
          </cell>
          <cell r="N2533" t="str">
            <v/>
          </cell>
        </row>
        <row r="2534">
          <cell r="J2534" t="str">
            <v/>
          </cell>
          <cell r="K2534" t="str">
            <v/>
          </cell>
          <cell r="L2534" t="str">
            <v/>
          </cell>
          <cell r="M2534" t="str">
            <v/>
          </cell>
          <cell r="N2534" t="str">
            <v/>
          </cell>
        </row>
        <row r="2535">
          <cell r="J2535" t="str">
            <v/>
          </cell>
          <cell r="K2535" t="str">
            <v/>
          </cell>
          <cell r="L2535" t="str">
            <v/>
          </cell>
          <cell r="M2535" t="str">
            <v/>
          </cell>
          <cell r="N2535" t="str">
            <v/>
          </cell>
        </row>
        <row r="2536">
          <cell r="J2536" t="str">
            <v/>
          </cell>
          <cell r="K2536" t="str">
            <v/>
          </cell>
          <cell r="L2536" t="str">
            <v/>
          </cell>
          <cell r="M2536" t="str">
            <v/>
          </cell>
          <cell r="N2536" t="str">
            <v/>
          </cell>
        </row>
        <row r="2537">
          <cell r="J2537" t="str">
            <v/>
          </cell>
          <cell r="K2537" t="str">
            <v/>
          </cell>
          <cell r="L2537" t="str">
            <v/>
          </cell>
          <cell r="M2537" t="str">
            <v/>
          </cell>
          <cell r="N2537" t="str">
            <v/>
          </cell>
        </row>
        <row r="2538">
          <cell r="J2538" t="str">
            <v/>
          </cell>
          <cell r="K2538" t="str">
            <v/>
          </cell>
          <cell r="L2538" t="str">
            <v/>
          </cell>
          <cell r="M2538" t="str">
            <v/>
          </cell>
          <cell r="N2538" t="str">
            <v/>
          </cell>
        </row>
        <row r="2539">
          <cell r="J2539" t="str">
            <v/>
          </cell>
          <cell r="K2539" t="str">
            <v/>
          </cell>
          <cell r="L2539" t="str">
            <v/>
          </cell>
          <cell r="M2539" t="str">
            <v/>
          </cell>
          <cell r="N2539" t="str">
            <v/>
          </cell>
        </row>
        <row r="2540">
          <cell r="J2540" t="str">
            <v/>
          </cell>
          <cell r="K2540" t="str">
            <v/>
          </cell>
          <cell r="L2540" t="str">
            <v/>
          </cell>
          <cell r="M2540" t="str">
            <v/>
          </cell>
          <cell r="N2540" t="str">
            <v/>
          </cell>
        </row>
        <row r="2541">
          <cell r="J2541" t="str">
            <v/>
          </cell>
          <cell r="K2541" t="str">
            <v/>
          </cell>
          <cell r="L2541" t="str">
            <v/>
          </cell>
          <cell r="M2541" t="str">
            <v/>
          </cell>
          <cell r="N2541" t="str">
            <v/>
          </cell>
        </row>
        <row r="2561">
          <cell r="J2561" t="str">
            <v/>
          </cell>
          <cell r="K2561" t="str">
            <v/>
          </cell>
          <cell r="L2561" t="str">
            <v/>
          </cell>
          <cell r="M2561" t="str">
            <v/>
          </cell>
          <cell r="N2561" t="str">
            <v/>
          </cell>
        </row>
        <row r="2567">
          <cell r="J2567" t="str">
            <v/>
          </cell>
          <cell r="K2567" t="str">
            <v/>
          </cell>
          <cell r="L2567" t="str">
            <v/>
          </cell>
          <cell r="M2567" t="str">
            <v/>
          </cell>
          <cell r="N2567" t="str">
            <v/>
          </cell>
        </row>
        <row r="2568">
          <cell r="J2568" t="str">
            <v/>
          </cell>
          <cell r="K2568" t="str">
            <v/>
          </cell>
          <cell r="L2568" t="str">
            <v/>
          </cell>
          <cell r="M2568" t="str">
            <v/>
          </cell>
          <cell r="N2568" t="str">
            <v/>
          </cell>
        </row>
        <row r="2569">
          <cell r="J2569" t="str">
            <v/>
          </cell>
          <cell r="K2569" t="str">
            <v/>
          </cell>
          <cell r="L2569" t="str">
            <v/>
          </cell>
          <cell r="M2569" t="str">
            <v/>
          </cell>
          <cell r="N2569" t="str">
            <v/>
          </cell>
        </row>
        <row r="2570">
          <cell r="J2570" t="str">
            <v/>
          </cell>
          <cell r="K2570" t="str">
            <v/>
          </cell>
          <cell r="L2570" t="str">
            <v/>
          </cell>
          <cell r="M2570" t="str">
            <v/>
          </cell>
          <cell r="N2570" t="str">
            <v/>
          </cell>
        </row>
        <row r="2571">
          <cell r="J2571" t="str">
            <v/>
          </cell>
          <cell r="K2571" t="str">
            <v/>
          </cell>
          <cell r="L2571" t="str">
            <v/>
          </cell>
          <cell r="M2571" t="str">
            <v/>
          </cell>
          <cell r="N2571" t="str">
            <v/>
          </cell>
        </row>
        <row r="2572">
          <cell r="J2572" t="str">
            <v/>
          </cell>
          <cell r="K2572" t="str">
            <v/>
          </cell>
          <cell r="L2572" t="str">
            <v/>
          </cell>
          <cell r="M2572" t="str">
            <v/>
          </cell>
          <cell r="N2572" t="str">
            <v/>
          </cell>
        </row>
        <row r="2573">
          <cell r="J2573" t="str">
            <v/>
          </cell>
          <cell r="K2573" t="str">
            <v/>
          </cell>
          <cell r="L2573" t="str">
            <v/>
          </cell>
          <cell r="M2573" t="str">
            <v/>
          </cell>
          <cell r="N2573" t="str">
            <v/>
          </cell>
        </row>
        <row r="2574">
          <cell r="J2574" t="str">
            <v/>
          </cell>
          <cell r="K2574" t="str">
            <v/>
          </cell>
          <cell r="L2574" t="str">
            <v/>
          </cell>
          <cell r="M2574" t="str">
            <v/>
          </cell>
          <cell r="N2574" t="str">
            <v/>
          </cell>
        </row>
        <row r="2575">
          <cell r="J2575" t="str">
            <v/>
          </cell>
          <cell r="K2575" t="str">
            <v/>
          </cell>
          <cell r="L2575" t="str">
            <v/>
          </cell>
          <cell r="M2575" t="str">
            <v/>
          </cell>
          <cell r="N2575" t="str">
            <v/>
          </cell>
        </row>
        <row r="2576">
          <cell r="J2576" t="str">
            <v/>
          </cell>
          <cell r="K2576" t="str">
            <v/>
          </cell>
          <cell r="L2576" t="str">
            <v/>
          </cell>
          <cell r="M2576" t="str">
            <v/>
          </cell>
          <cell r="N2576" t="str">
            <v/>
          </cell>
        </row>
        <row r="2577">
          <cell r="J2577" t="str">
            <v/>
          </cell>
          <cell r="K2577" t="str">
            <v/>
          </cell>
          <cell r="L2577" t="str">
            <v/>
          </cell>
          <cell r="M2577" t="str">
            <v/>
          </cell>
          <cell r="N2577" t="str">
            <v/>
          </cell>
        </row>
        <row r="2578">
          <cell r="J2578" t="str">
            <v/>
          </cell>
          <cell r="K2578" t="str">
            <v/>
          </cell>
          <cell r="L2578" t="str">
            <v/>
          </cell>
          <cell r="M2578" t="str">
            <v/>
          </cell>
          <cell r="N2578" t="str">
            <v/>
          </cell>
        </row>
        <row r="2579">
          <cell r="J2579" t="str">
            <v/>
          </cell>
          <cell r="K2579" t="str">
            <v/>
          </cell>
          <cell r="L2579" t="str">
            <v/>
          </cell>
          <cell r="M2579" t="str">
            <v/>
          </cell>
          <cell r="N2579" t="str">
            <v/>
          </cell>
        </row>
        <row r="2580">
          <cell r="J2580" t="str">
            <v/>
          </cell>
          <cell r="K2580" t="str">
            <v/>
          </cell>
          <cell r="L2580" t="str">
            <v/>
          </cell>
          <cell r="M2580" t="str">
            <v/>
          </cell>
          <cell r="N2580" t="str">
            <v/>
          </cell>
        </row>
        <row r="2581">
          <cell r="J2581" t="str">
            <v/>
          </cell>
          <cell r="K2581" t="str">
            <v/>
          </cell>
          <cell r="L2581" t="str">
            <v/>
          </cell>
          <cell r="M2581" t="str">
            <v/>
          </cell>
          <cell r="N2581" t="str">
            <v/>
          </cell>
        </row>
        <row r="2582">
          <cell r="J2582" t="str">
            <v/>
          </cell>
          <cell r="K2582" t="str">
            <v/>
          </cell>
          <cell r="L2582" t="str">
            <v/>
          </cell>
          <cell r="M2582" t="str">
            <v/>
          </cell>
          <cell r="N2582" t="str">
            <v/>
          </cell>
        </row>
        <row r="2583">
          <cell r="J2583" t="str">
            <v/>
          </cell>
          <cell r="K2583" t="str">
            <v/>
          </cell>
          <cell r="L2583" t="str">
            <v/>
          </cell>
          <cell r="M2583" t="str">
            <v/>
          </cell>
          <cell r="N2583" t="str">
            <v/>
          </cell>
        </row>
        <row r="2584">
          <cell r="J2584" t="str">
            <v/>
          </cell>
          <cell r="K2584" t="str">
            <v/>
          </cell>
          <cell r="L2584" t="str">
            <v/>
          </cell>
          <cell r="M2584" t="str">
            <v/>
          </cell>
          <cell r="N2584" t="str">
            <v/>
          </cell>
        </row>
      </sheetData>
      <sheetData sheetId="14"/>
      <sheetData sheetId="15"/>
      <sheetData sheetId="16"/>
      <sheetData sheetId="1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publications/participating-in-the-uk-ets/participating-in-the-uk-ets" TargetMode="External"/><Relationship Id="rId2" Type="http://schemas.openxmlformats.org/officeDocument/2006/relationships/hyperlink" Target="https://www.legislation.gov.uk/uksi/2020/1265/introduction/made" TargetMode="External"/><Relationship Id="rId1" Type="http://schemas.openxmlformats.org/officeDocument/2006/relationships/hyperlink" Target="https://ec.europa.eu/clima/policies/ets_en" TargetMode="External"/><Relationship Id="rId5" Type="http://schemas.openxmlformats.org/officeDocument/2006/relationships/printerSettings" Target="../printerSettings/printerSettings2.bin"/><Relationship Id="rId4" Type="http://schemas.openxmlformats.org/officeDocument/2006/relationships/hyperlink" Target="https://www.legislation.gov.uk/uksi/2020/1265/introduction/ma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B1:R73"/>
  <sheetViews>
    <sheetView showGridLines="0" topLeftCell="B1" zoomScaleNormal="100" workbookViewId="0">
      <pane ySplit="4" topLeftCell="A5" activePane="bottomLeft" state="frozen"/>
      <selection pane="bottomLeft" activeCell="B5" sqref="B5"/>
    </sheetView>
  </sheetViews>
  <sheetFormatPr defaultColWidth="0" defaultRowHeight="12.75" zeroHeight="1"/>
  <cols>
    <col min="1" max="1" width="9.140625" style="467" hidden="1" customWidth="1"/>
    <col min="2" max="2" width="2.7109375" style="466" customWidth="1"/>
    <col min="3" max="3" width="5.7109375" style="467" customWidth="1"/>
    <col min="4" max="4" width="4.7109375" style="467" customWidth="1"/>
    <col min="5" max="5" width="30.7109375" style="467" customWidth="1"/>
    <col min="6" max="14" width="13.7109375" style="467" customWidth="1"/>
    <col min="15" max="15" width="4.7109375" style="467" customWidth="1"/>
    <col min="16" max="17" width="25.7109375" style="467" hidden="1" customWidth="1"/>
    <col min="18" max="18" width="24.5703125" style="468" hidden="1" customWidth="1"/>
    <col min="19" max="16384" width="9.140625" style="467" hidden="1"/>
  </cols>
  <sheetData>
    <row r="1" spans="2:18" ht="13.5" hidden="1" thickBot="1"/>
    <row r="2" spans="2:18" ht="13.5" customHeight="1" thickBot="1">
      <c r="B2" s="2348" t="s">
        <v>2267</v>
      </c>
      <c r="C2" s="2349"/>
      <c r="D2" s="2350"/>
      <c r="E2" s="2357" t="s">
        <v>572</v>
      </c>
      <c r="F2" s="2358"/>
      <c r="G2" s="2359"/>
      <c r="H2" s="2360"/>
      <c r="I2" s="2359"/>
      <c r="J2" s="2360"/>
      <c r="K2" s="2359" t="s">
        <v>574</v>
      </c>
      <c r="L2" s="2360"/>
      <c r="M2" s="2359" t="s">
        <v>575</v>
      </c>
      <c r="N2" s="2360"/>
    </row>
    <row r="3" spans="2:18" ht="12.75" customHeight="1" thickBot="1">
      <c r="B3" s="2351"/>
      <c r="C3" s="2352"/>
      <c r="D3" s="2353"/>
      <c r="E3" s="2359" t="s">
        <v>576</v>
      </c>
      <c r="F3" s="2360"/>
      <c r="G3" s="2376"/>
      <c r="H3" s="2377"/>
      <c r="I3" s="2378"/>
      <c r="J3" s="2377"/>
      <c r="K3" s="2378"/>
      <c r="L3" s="2377"/>
      <c r="M3" s="2378"/>
      <c r="N3" s="2377"/>
    </row>
    <row r="4" spans="2:18" ht="13.5" customHeight="1" thickBot="1">
      <c r="B4" s="2354"/>
      <c r="C4" s="2355"/>
      <c r="D4" s="2356"/>
      <c r="E4" s="2359" t="s">
        <v>577</v>
      </c>
      <c r="F4" s="2360"/>
      <c r="G4" s="2361"/>
      <c r="H4" s="2362"/>
      <c r="I4" s="2363"/>
      <c r="J4" s="2362"/>
      <c r="K4" s="2363"/>
      <c r="L4" s="2362"/>
      <c r="M4" s="2363"/>
      <c r="N4" s="2362"/>
    </row>
    <row r="5" spans="2:18">
      <c r="C5" s="469"/>
      <c r="F5" s="469"/>
    </row>
    <row r="6" spans="2:18" s="471" customFormat="1" ht="82.5" customHeight="1">
      <c r="B6" s="470"/>
      <c r="C6" s="2369" t="s">
        <v>2078</v>
      </c>
      <c r="D6" s="2369"/>
      <c r="E6" s="2369"/>
      <c r="F6" s="2369"/>
      <c r="G6" s="2369"/>
      <c r="H6" s="2369"/>
      <c r="I6" s="2369"/>
      <c r="J6" s="2369"/>
      <c r="K6" s="2369"/>
      <c r="L6" s="2369"/>
      <c r="M6" s="2369"/>
      <c r="R6" s="468"/>
    </row>
    <row r="7" spans="2:18" ht="5.0999999999999996" customHeight="1" thickBot="1">
      <c r="C7" s="472"/>
      <c r="F7" s="472"/>
    </row>
    <row r="8" spans="2:18" ht="35.25" customHeight="1" thickBot="1">
      <c r="C8" s="473" t="s">
        <v>1672</v>
      </c>
      <c r="D8" s="471"/>
      <c r="E8" s="471"/>
      <c r="F8" s="474"/>
      <c r="G8" s="471"/>
      <c r="H8" s="2365">
        <f>MAX(A_InstallationData!$J$11,2021+(CNTR_SubPeriod-1)*5)</f>
        <v>2026</v>
      </c>
      <c r="I8" s="2366"/>
      <c r="J8" s="2367"/>
      <c r="K8" s="475"/>
      <c r="L8" s="476"/>
    </row>
    <row r="9" spans="2:18">
      <c r="C9" s="469"/>
      <c r="F9" s="469"/>
    </row>
    <row r="10" spans="2:18" ht="29.25" customHeight="1">
      <c r="B10" s="477"/>
      <c r="C10" s="478" t="s">
        <v>401</v>
      </c>
      <c r="D10" s="479"/>
      <c r="E10" s="479"/>
      <c r="F10" s="478"/>
      <c r="G10" s="478"/>
      <c r="H10" s="478"/>
      <c r="I10" s="478"/>
      <c r="J10" s="478"/>
      <c r="K10" s="478"/>
      <c r="L10" s="478"/>
      <c r="M10" s="478"/>
    </row>
    <row r="11" spans="2:18">
      <c r="B11" s="480"/>
      <c r="C11" s="1"/>
      <c r="D11" s="2344" t="str">
        <f>'b_Guidelines &amp; conditions'!D6</f>
        <v>GUIDELINES AND CONDITIONS</v>
      </c>
      <c r="E11" s="2344"/>
      <c r="F11" s="2368"/>
      <c r="G11" s="2368"/>
      <c r="H11" s="2368"/>
      <c r="I11" s="2368"/>
      <c r="J11" s="2368"/>
      <c r="K11" s="2368"/>
      <c r="L11" s="2368"/>
      <c r="M11" s="481"/>
    </row>
    <row r="12" spans="2:18">
      <c r="B12" s="480"/>
      <c r="C12" s="1"/>
      <c r="D12" s="2370" t="s">
        <v>1995</v>
      </c>
      <c r="E12" s="2370"/>
      <c r="F12" s="2370"/>
      <c r="G12" s="2370"/>
      <c r="H12" s="2370"/>
      <c r="I12" s="2370"/>
      <c r="J12" s="2370"/>
      <c r="K12" s="2370"/>
      <c r="L12" s="2370"/>
      <c r="M12" s="481"/>
    </row>
    <row r="13" spans="2:18">
      <c r="B13" s="480"/>
      <c r="C13" s="1"/>
      <c r="D13" s="2370" t="s">
        <v>2236</v>
      </c>
      <c r="E13" s="2370"/>
      <c r="F13" s="2370"/>
      <c r="G13" s="2370"/>
      <c r="H13" s="2370"/>
      <c r="I13" s="2370"/>
      <c r="J13" s="2370"/>
      <c r="K13" s="2370"/>
      <c r="L13" s="2370"/>
      <c r="M13" s="481"/>
    </row>
    <row r="14" spans="2:18">
      <c r="B14" s="482"/>
      <c r="C14" s="482" t="s">
        <v>674</v>
      </c>
      <c r="D14" s="2345" t="str">
        <f>A_InstallationData!D6</f>
        <v>Sheet "InstallationData" - GENERAL INFORMATION ON THIS REPORT</v>
      </c>
      <c r="E14" s="2345"/>
      <c r="F14" s="2346"/>
      <c r="G14" s="2346"/>
      <c r="H14" s="2346"/>
      <c r="I14" s="2346"/>
      <c r="J14" s="2346"/>
      <c r="K14" s="2346"/>
      <c r="L14" s="2346"/>
      <c r="M14" s="481"/>
    </row>
    <row r="15" spans="2:18">
      <c r="B15" s="484"/>
      <c r="C15" s="2" t="s">
        <v>1018</v>
      </c>
      <c r="D15" s="2344" t="str">
        <f>A_InstallationData!G3</f>
        <v>Reporting details</v>
      </c>
      <c r="E15" s="2344"/>
      <c r="F15" s="2364"/>
      <c r="G15" s="2364"/>
      <c r="H15" s="2364"/>
      <c r="I15" s="2364"/>
      <c r="J15" s="2364"/>
      <c r="K15" s="2364"/>
      <c r="L15" s="485"/>
    </row>
    <row r="16" spans="2:18">
      <c r="B16" s="484"/>
      <c r="C16" s="2" t="s">
        <v>875</v>
      </c>
      <c r="D16" s="2344" t="str">
        <f>A_InstallationData!D25</f>
        <v>Linked data</v>
      </c>
      <c r="E16" s="2344"/>
      <c r="F16" s="2364"/>
      <c r="G16" s="2364"/>
      <c r="H16" s="2364"/>
      <c r="I16" s="2364"/>
      <c r="J16" s="2364"/>
      <c r="K16" s="2364"/>
      <c r="L16" s="485"/>
    </row>
    <row r="17" spans="2:13">
      <c r="B17" s="484"/>
      <c r="C17" s="2" t="s">
        <v>883</v>
      </c>
      <c r="D17" s="2344" t="str">
        <f>A_InstallationData!D51</f>
        <v>Identification of the installation</v>
      </c>
      <c r="E17" s="2344"/>
      <c r="F17" s="2364"/>
      <c r="G17" s="2364"/>
      <c r="H17" s="2364"/>
      <c r="I17" s="2364"/>
      <c r="J17" s="2364"/>
      <c r="K17" s="2364"/>
      <c r="L17" s="485"/>
    </row>
    <row r="18" spans="2:13">
      <c r="B18" s="484"/>
      <c r="C18" s="2" t="s">
        <v>10</v>
      </c>
      <c r="D18" s="2344" t="str">
        <f>A_InstallationData!D250</f>
        <v>Information on this activity level report</v>
      </c>
      <c r="E18" s="2344"/>
      <c r="F18" s="2364"/>
      <c r="G18" s="2364"/>
      <c r="H18" s="2364"/>
      <c r="I18" s="2364"/>
      <c r="J18" s="2364"/>
      <c r="K18" s="2364"/>
      <c r="L18" s="485"/>
    </row>
    <row r="19" spans="2:13">
      <c r="B19" s="484"/>
      <c r="C19" s="2" t="s">
        <v>636</v>
      </c>
      <c r="D19" s="2344" t="str">
        <f>A_InstallationData!D300</f>
        <v>List of technical connections</v>
      </c>
      <c r="E19" s="2344"/>
      <c r="F19" s="2347"/>
      <c r="G19" s="2347"/>
      <c r="H19" s="2347"/>
      <c r="I19" s="2347"/>
      <c r="J19" s="2347"/>
      <c r="K19" s="2347"/>
      <c r="L19" s="485"/>
    </row>
    <row r="20" spans="2:13">
      <c r="B20" s="482"/>
      <c r="C20" s="482" t="s">
        <v>1546</v>
      </c>
      <c r="D20" s="2345" t="str">
        <f>'B+C_SubInstallations'!D6</f>
        <v>Sheet "Sub-installations " - IDENTIFICATION OF SUB-INSTALLATIONS AND INITIAL ALLOCATION</v>
      </c>
      <c r="E20" s="2345"/>
      <c r="F20" s="2346"/>
      <c r="G20" s="2346"/>
      <c r="H20" s="2346"/>
      <c r="I20" s="2346"/>
      <c r="J20" s="2346"/>
      <c r="K20" s="2346"/>
      <c r="L20" s="2346"/>
      <c r="M20" s="481"/>
    </row>
    <row r="21" spans="2:13">
      <c r="B21" s="484"/>
      <c r="C21" s="2" t="s">
        <v>1018</v>
      </c>
      <c r="D21" s="2370" t="str">
        <f>'B+C_SubInstallations'!D8</f>
        <v>List of sub-installations</v>
      </c>
      <c r="E21" s="2370"/>
      <c r="F21" s="2375"/>
      <c r="G21" s="2375"/>
      <c r="H21" s="2375"/>
      <c r="I21" s="2375"/>
      <c r="J21" s="2375"/>
      <c r="K21" s="2375"/>
      <c r="L21" s="485"/>
    </row>
    <row r="22" spans="2:13">
      <c r="B22" s="484"/>
      <c r="C22" s="2" t="s">
        <v>875</v>
      </c>
      <c r="D22" s="2370" t="str">
        <f>'B+C_SubInstallations'!D95</f>
        <v>Initial allocation</v>
      </c>
      <c r="E22" s="2370"/>
      <c r="F22" s="2375"/>
      <c r="G22" s="2375"/>
      <c r="H22" s="2375"/>
      <c r="I22" s="2375"/>
      <c r="J22" s="2375"/>
      <c r="K22" s="2375"/>
      <c r="L22" s="485"/>
    </row>
    <row r="23" spans="2:13">
      <c r="B23" s="482"/>
      <c r="C23" s="482" t="s">
        <v>676</v>
      </c>
      <c r="D23" s="2345" t="str">
        <f>D_Emissions!D6</f>
        <v>Sheet "Emissions" - ATTRIBUTION OF EMISSIONS</v>
      </c>
      <c r="E23" s="2345"/>
      <c r="F23" s="2346"/>
      <c r="G23" s="2346"/>
      <c r="H23" s="2346"/>
      <c r="I23" s="2346"/>
      <c r="J23" s="2346"/>
      <c r="K23" s="2346"/>
      <c r="L23" s="2346"/>
      <c r="M23" s="481"/>
    </row>
    <row r="24" spans="2:13">
      <c r="B24" s="484"/>
      <c r="C24" s="2" t="s">
        <v>1018</v>
      </c>
      <c r="D24" s="2344" t="str">
        <f>D_Emissions!D8</f>
        <v>Total Direct Greenhouse Gas Emissions and Energy Input from Fuels</v>
      </c>
      <c r="E24" s="2344"/>
      <c r="F24" s="2347"/>
      <c r="G24" s="2347"/>
      <c r="H24" s="2347"/>
      <c r="I24" s="2347"/>
      <c r="J24" s="2347"/>
      <c r="K24" s="2347"/>
      <c r="L24" s="485"/>
    </row>
    <row r="25" spans="2:13">
      <c r="B25" s="484"/>
      <c r="C25" s="2" t="s">
        <v>875</v>
      </c>
      <c r="D25" s="2344" t="str">
        <f>D_Emissions!D30</f>
        <v>Attribution of emissions to sub-installations</v>
      </c>
      <c r="E25" s="2344"/>
      <c r="F25" s="2347"/>
      <c r="G25" s="2347"/>
      <c r="H25" s="2347"/>
      <c r="I25" s="2347"/>
      <c r="J25" s="2347"/>
      <c r="K25" s="2347"/>
      <c r="L25" s="485"/>
    </row>
    <row r="26" spans="2:13">
      <c r="B26" s="484"/>
      <c r="C26" s="2" t="s">
        <v>883</v>
      </c>
      <c r="D26" s="2344" t="str">
        <f>D_Emissions!D43</f>
        <v>Cogeneration tool</v>
      </c>
      <c r="E26" s="2344"/>
      <c r="F26" s="2347"/>
      <c r="G26" s="2347"/>
      <c r="H26" s="2347"/>
      <c r="I26" s="2347"/>
      <c r="J26" s="2347"/>
      <c r="K26" s="2347"/>
      <c r="L26" s="485"/>
    </row>
    <row r="27" spans="2:13">
      <c r="B27" s="484"/>
      <c r="C27" s="2" t="s">
        <v>10</v>
      </c>
      <c r="D27" s="2344" t="str">
        <f>D_Emissions!D154</f>
        <v>Waste gas tool</v>
      </c>
      <c r="E27" s="2344"/>
      <c r="F27" s="2347"/>
      <c r="G27" s="2347"/>
      <c r="H27" s="2347"/>
      <c r="I27" s="2347"/>
      <c r="J27" s="2347"/>
      <c r="K27" s="2347"/>
      <c r="L27" s="485"/>
    </row>
    <row r="28" spans="2:13">
      <c r="B28" s="482"/>
      <c r="C28" s="482" t="s">
        <v>678</v>
      </c>
      <c r="D28" s="2345" t="str">
        <f>E_EnergyFlows!D6</f>
        <v>Sheet "EnergyFlows" - DATA ON ENERGY INPUT, MEASURABLE HEAT AND ELECTRICITY</v>
      </c>
      <c r="E28" s="2345"/>
      <c r="F28" s="2346"/>
      <c r="G28" s="2346"/>
      <c r="H28" s="2346"/>
      <c r="I28" s="2346"/>
      <c r="J28" s="2346"/>
      <c r="K28" s="2346"/>
      <c r="L28" s="2346"/>
      <c r="M28" s="481"/>
    </row>
    <row r="29" spans="2:13">
      <c r="B29" s="484"/>
      <c r="C29" s="2" t="s">
        <v>1018</v>
      </c>
      <c r="D29" s="2344" t="str">
        <f>E_EnergyFlows!D8</f>
        <v>Energy input from fuels</v>
      </c>
      <c r="E29" s="2344"/>
      <c r="F29" s="2347"/>
      <c r="G29" s="2347"/>
      <c r="H29" s="2347"/>
      <c r="I29" s="2347"/>
      <c r="J29" s="2347"/>
      <c r="K29" s="2347"/>
      <c r="L29" s="485"/>
    </row>
    <row r="30" spans="2:13">
      <c r="B30" s="484"/>
      <c r="C30" s="2" t="s">
        <v>875</v>
      </c>
      <c r="D30" s="2344" t="str">
        <f>E_EnergyFlows!D61</f>
        <v>Measurable heat</v>
      </c>
      <c r="E30" s="2344"/>
      <c r="F30" s="2347"/>
      <c r="G30" s="2347"/>
      <c r="H30" s="2347"/>
      <c r="I30" s="2347"/>
      <c r="J30" s="2347"/>
      <c r="K30" s="2347"/>
      <c r="L30" s="485"/>
    </row>
    <row r="31" spans="2:13">
      <c r="B31" s="484"/>
      <c r="C31" s="2" t="s">
        <v>883</v>
      </c>
      <c r="D31" s="2344" t="str">
        <f>E_EnergyFlows!D248</f>
        <v>Waste gas balance</v>
      </c>
      <c r="E31" s="2344"/>
      <c r="F31" s="2347"/>
      <c r="G31" s="2347"/>
      <c r="H31" s="2347"/>
      <c r="I31" s="2347"/>
      <c r="J31" s="2347"/>
      <c r="K31" s="2347"/>
      <c r="L31" s="485"/>
    </row>
    <row r="32" spans="2:13">
      <c r="B32" s="484"/>
      <c r="C32" s="2" t="s">
        <v>10</v>
      </c>
      <c r="D32" s="2344" t="str">
        <f>E_EnergyFlows!D354</f>
        <v>Electricity</v>
      </c>
      <c r="E32" s="2344"/>
      <c r="F32" s="2347"/>
      <c r="G32" s="2347"/>
      <c r="H32" s="2347"/>
      <c r="I32" s="2347"/>
      <c r="J32" s="2347"/>
      <c r="K32" s="2347"/>
      <c r="L32" s="485"/>
    </row>
    <row r="33" spans="2:13">
      <c r="B33" s="482"/>
      <c r="C33" s="482" t="s">
        <v>680</v>
      </c>
      <c r="D33" s="2345" t="str">
        <f>F_ProductBM!D7</f>
        <v>Sheet "ProductBM" - SUB-INSTALLATION DATA RELATING TO PRODUCT BENCHMARKS</v>
      </c>
      <c r="E33" s="2345"/>
      <c r="F33" s="2346"/>
      <c r="G33" s="2346"/>
      <c r="H33" s="2346"/>
      <c r="I33" s="2346"/>
      <c r="J33" s="2346"/>
      <c r="K33" s="2346"/>
      <c r="L33" s="2346"/>
      <c r="M33" s="481"/>
    </row>
    <row r="34" spans="2:13">
      <c r="B34" s="484"/>
      <c r="C34" s="2" t="s">
        <v>1018</v>
      </c>
      <c r="D34" s="2344" t="str">
        <f>F_ProductBM!D11</f>
        <v>Historic Activity levels and disaggregated production details</v>
      </c>
      <c r="E34" s="2344"/>
      <c r="F34" s="2347"/>
      <c r="G34" s="2347"/>
      <c r="H34" s="2347"/>
      <c r="I34" s="2347"/>
      <c r="J34" s="2347"/>
      <c r="K34" s="2347"/>
      <c r="L34" s="485"/>
    </row>
    <row r="35" spans="2:13">
      <c r="B35" s="482"/>
      <c r="C35" s="482" t="s">
        <v>682</v>
      </c>
      <c r="D35" s="2345" t="str">
        <f>'G_Fall-back'!D6</f>
        <v>Sheet "Fall-back" - SUB-INSTALLATION DATA RELATING TO FALL-BACK SUB-INSTALLATIONS</v>
      </c>
      <c r="E35" s="2345"/>
      <c r="F35" s="2346"/>
      <c r="G35" s="2346"/>
      <c r="H35" s="2346"/>
      <c r="I35" s="2346"/>
      <c r="J35" s="2346"/>
      <c r="K35" s="2346"/>
      <c r="L35" s="2346"/>
      <c r="M35" s="481"/>
    </row>
    <row r="36" spans="2:13">
      <c r="B36" s="484"/>
      <c r="C36" s="2" t="s">
        <v>1018</v>
      </c>
      <c r="D36" s="2344" t="str">
        <f>'G_Fall-back'!D10</f>
        <v>Historic Activity levels and disaggregated production details</v>
      </c>
      <c r="E36" s="2344"/>
      <c r="F36" s="2347"/>
      <c r="G36" s="2347"/>
      <c r="H36" s="2347"/>
      <c r="I36" s="2347"/>
      <c r="J36" s="2347"/>
      <c r="K36" s="2347"/>
      <c r="L36" s="485"/>
    </row>
    <row r="37" spans="2:13">
      <c r="B37" s="482"/>
      <c r="C37" s="482" t="s">
        <v>684</v>
      </c>
      <c r="D37" s="2345" t="str">
        <f>H_SpecialBM!D7</f>
        <v>Sheet "SpecialBM" - SPECIAL DATA FOR SOME PRODUCT BENCHMARKS</v>
      </c>
      <c r="E37" s="2345"/>
      <c r="F37" s="2364"/>
      <c r="G37" s="2364"/>
      <c r="H37" s="2364"/>
      <c r="I37" s="2364"/>
      <c r="J37" s="2364"/>
      <c r="K37" s="2364"/>
      <c r="L37" s="2364"/>
      <c r="M37" s="481"/>
    </row>
    <row r="38" spans="2:13">
      <c r="B38" s="484"/>
      <c r="C38" s="2" t="s">
        <v>1018</v>
      </c>
      <c r="D38" s="2344" t="str">
        <f>H_SpecialBM!D9</f>
        <v>CWT (Refinery products)</v>
      </c>
      <c r="E38" s="2344"/>
      <c r="F38" s="2347"/>
      <c r="G38" s="2347"/>
      <c r="H38" s="2347"/>
      <c r="I38" s="2347"/>
      <c r="J38" s="2347"/>
      <c r="K38" s="2347"/>
      <c r="L38" s="485"/>
    </row>
    <row r="39" spans="2:13">
      <c r="B39" s="484"/>
      <c r="C39" s="2" t="s">
        <v>875</v>
      </c>
      <c r="D39" s="2344" t="str">
        <f>H_SpecialBM!D99</f>
        <v>Lime</v>
      </c>
      <c r="E39" s="2344"/>
      <c r="F39" s="2347"/>
      <c r="G39" s="2347"/>
      <c r="H39" s="2347"/>
      <c r="I39" s="2347"/>
      <c r="J39" s="2347"/>
      <c r="K39" s="2347"/>
      <c r="L39" s="485"/>
    </row>
    <row r="40" spans="2:13">
      <c r="B40" s="484"/>
      <c r="C40" s="2" t="s">
        <v>883</v>
      </c>
      <c r="D40" s="2344" t="str">
        <f>H_SpecialBM!D133</f>
        <v>Dolime</v>
      </c>
      <c r="E40" s="2344"/>
      <c r="F40" s="2347"/>
      <c r="G40" s="2347"/>
      <c r="H40" s="2347"/>
      <c r="I40" s="2347"/>
      <c r="J40" s="2347"/>
      <c r="K40" s="2347"/>
      <c r="L40" s="485"/>
    </row>
    <row r="41" spans="2:13">
      <c r="B41" s="484"/>
      <c r="C41" s="2" t="s">
        <v>10</v>
      </c>
      <c r="D41" s="2344" t="str">
        <f>H_SpecialBM!D167</f>
        <v>Steam cracking</v>
      </c>
      <c r="E41" s="2344"/>
      <c r="F41" s="2347"/>
      <c r="G41" s="2347"/>
      <c r="H41" s="2347"/>
      <c r="I41" s="2347"/>
      <c r="J41" s="2347"/>
      <c r="K41" s="2347"/>
      <c r="L41" s="485"/>
    </row>
    <row r="42" spans="2:13">
      <c r="B42" s="484"/>
      <c r="C42" s="2" t="s">
        <v>636</v>
      </c>
      <c r="D42" s="2344" t="str">
        <f>H_SpecialBM!D234</f>
        <v>CWT (Aromatics)</v>
      </c>
      <c r="E42" s="2344"/>
      <c r="F42" s="2347"/>
      <c r="G42" s="2347"/>
      <c r="H42" s="2347"/>
      <c r="I42" s="2347"/>
      <c r="J42" s="2347"/>
      <c r="K42" s="2347"/>
      <c r="L42" s="485"/>
    </row>
    <row r="43" spans="2:13">
      <c r="B43" s="484"/>
      <c r="C43" s="2" t="s">
        <v>61</v>
      </c>
      <c r="D43" s="2344" t="str">
        <f>H_SpecialBM!D274</f>
        <v>Hydrogen</v>
      </c>
      <c r="E43" s="2344"/>
      <c r="F43" s="2347"/>
      <c r="G43" s="2347"/>
      <c r="H43" s="2347"/>
      <c r="I43" s="2347"/>
      <c r="J43" s="2347"/>
      <c r="K43" s="2347"/>
      <c r="L43" s="485"/>
    </row>
    <row r="44" spans="2:13">
      <c r="B44" s="484"/>
      <c r="C44" s="2" t="s">
        <v>930</v>
      </c>
      <c r="D44" s="2344" t="str">
        <f>H_SpecialBM!D307</f>
        <v>Synthesis gas</v>
      </c>
      <c r="E44" s="2344"/>
      <c r="F44" s="2347"/>
      <c r="G44" s="2347"/>
      <c r="H44" s="2347"/>
      <c r="I44" s="2347"/>
      <c r="J44" s="2347"/>
      <c r="K44" s="2347"/>
      <c r="L44" s="485"/>
    </row>
    <row r="45" spans="2:13">
      <c r="B45" s="484"/>
      <c r="C45" s="2" t="s">
        <v>931</v>
      </c>
      <c r="D45" s="2344" t="str">
        <f>H_SpecialBM!D340</f>
        <v>Ethylene oxide / glycols</v>
      </c>
      <c r="E45" s="2344"/>
      <c r="F45" s="2347"/>
      <c r="G45" s="2347"/>
      <c r="H45" s="2347"/>
      <c r="I45" s="2347"/>
      <c r="J45" s="2347"/>
      <c r="K45" s="2347"/>
      <c r="L45" s="485"/>
    </row>
    <row r="46" spans="2:13">
      <c r="B46" s="484"/>
      <c r="C46" s="2" t="s">
        <v>237</v>
      </c>
      <c r="D46" s="2344" t="str">
        <f>H_SpecialBM!D369</f>
        <v>Vinyl chloride monomer (VCM)</v>
      </c>
      <c r="E46" s="2344"/>
      <c r="F46" s="2347"/>
      <c r="G46" s="2347"/>
      <c r="H46" s="2347"/>
      <c r="I46" s="2347"/>
      <c r="J46" s="2347"/>
      <c r="K46" s="2347"/>
      <c r="L46" s="485"/>
    </row>
    <row r="47" spans="2:13">
      <c r="B47" s="482"/>
      <c r="C47" s="482" t="s">
        <v>688</v>
      </c>
      <c r="D47" s="2345" t="str">
        <f>J_Comments!D6</f>
        <v>Sheet "Comments" -  COMMENTS AND FURTHER INFORMATION</v>
      </c>
      <c r="E47" s="2345"/>
      <c r="F47" s="2346"/>
      <c r="G47" s="2346"/>
      <c r="H47" s="2346"/>
      <c r="I47" s="2346"/>
      <c r="J47" s="2346"/>
      <c r="K47" s="2346"/>
      <c r="L47" s="2346"/>
      <c r="M47" s="481"/>
    </row>
    <row r="48" spans="2:13">
      <c r="B48" s="484"/>
      <c r="C48" s="2" t="s">
        <v>1018</v>
      </c>
      <c r="D48" s="2344" t="str">
        <f>J_Comments!D8</f>
        <v>Documents supporting this report</v>
      </c>
      <c r="E48" s="2344"/>
      <c r="F48" s="2347"/>
      <c r="G48" s="2347"/>
      <c r="H48" s="2347"/>
      <c r="I48" s="2347"/>
      <c r="J48" s="2347"/>
      <c r="K48" s="2347"/>
      <c r="L48" s="485"/>
    </row>
    <row r="49" spans="2:13">
      <c r="B49" s="484"/>
      <c r="C49" s="2" t="s">
        <v>875</v>
      </c>
      <c r="D49" s="2344" t="str">
        <f>J_Comments!D50</f>
        <v>Free space for all kinds of supplemental information</v>
      </c>
      <c r="E49" s="2344"/>
      <c r="F49" s="2347"/>
      <c r="G49" s="2347"/>
      <c r="H49" s="2347"/>
      <c r="I49" s="2347"/>
      <c r="J49" s="2347"/>
      <c r="K49" s="2347"/>
      <c r="L49" s="485"/>
    </row>
    <row r="50" spans="2:13">
      <c r="B50" s="482"/>
      <c r="C50" s="482" t="s">
        <v>293</v>
      </c>
      <c r="D50" s="2345" t="str">
        <f>K_Summary!D6</f>
        <v>Sheet "Summary" - OVERVIEW OF MOST IMPORTANT DATA</v>
      </c>
      <c r="E50" s="2345"/>
      <c r="F50" s="2346"/>
      <c r="G50" s="2346"/>
      <c r="H50" s="2346"/>
      <c r="I50" s="2346"/>
      <c r="J50" s="2346"/>
      <c r="K50" s="2346"/>
      <c r="L50" s="2346"/>
      <c r="M50" s="481"/>
    </row>
    <row r="51" spans="2:13">
      <c r="B51" s="484"/>
      <c r="C51" s="2" t="s">
        <v>1018</v>
      </c>
      <c r="D51" s="2344" t="str">
        <f>K_Summary!D8</f>
        <v>Installation data</v>
      </c>
      <c r="E51" s="2344"/>
      <c r="F51" s="2344"/>
      <c r="G51" s="2344"/>
      <c r="H51" s="2344"/>
      <c r="I51" s="2344"/>
      <c r="J51" s="2344"/>
      <c r="K51" s="2344"/>
      <c r="L51" s="485"/>
    </row>
    <row r="52" spans="2:13">
      <c r="B52" s="484"/>
      <c r="C52" s="2" t="s">
        <v>875</v>
      </c>
      <c r="D52" s="2343" t="str">
        <f>K_Summary!D47</f>
        <v>Eligibility</v>
      </c>
      <c r="E52" s="2343"/>
      <c r="F52" s="2343"/>
      <c r="G52" s="2343"/>
      <c r="H52" s="2343"/>
      <c r="I52" s="2343"/>
      <c r="J52" s="2343"/>
      <c r="K52" s="2343"/>
      <c r="L52" s="485"/>
    </row>
    <row r="53" spans="2:13">
      <c r="B53" s="484"/>
      <c r="C53" s="2" t="s">
        <v>883</v>
      </c>
      <c r="D53" s="2343" t="str">
        <f>K_Summary!D59</f>
        <v>Emissions and Energy Flows</v>
      </c>
      <c r="E53" s="2343"/>
      <c r="F53" s="2343"/>
      <c r="G53" s="2343"/>
      <c r="H53" s="2343"/>
      <c r="I53" s="2343"/>
      <c r="J53" s="2343"/>
      <c r="K53" s="2343"/>
      <c r="L53" s="485"/>
    </row>
    <row r="54" spans="2:13">
      <c r="B54" s="484"/>
      <c r="C54" s="2" t="s">
        <v>10</v>
      </c>
      <c r="D54" s="2343" t="str">
        <f>K_Summary!D450</f>
        <v>Sub-installation data relevant for allocation and benchmark update purposes</v>
      </c>
      <c r="E54" s="2343"/>
      <c r="F54" s="2343"/>
      <c r="G54" s="2343"/>
      <c r="H54" s="2343"/>
      <c r="I54" s="2343"/>
      <c r="J54" s="2343"/>
      <c r="K54" s="2343"/>
      <c r="L54" s="485"/>
    </row>
    <row r="55" spans="2:13">
      <c r="B55" s="484"/>
      <c r="C55" s="2" t="s">
        <v>636</v>
      </c>
      <c r="D55" s="2343" t="str">
        <f>K_Summary!D2502</f>
        <v>Calculation of preliminary annual amount of allowances allocated free of charge</v>
      </c>
      <c r="E55" s="2343"/>
      <c r="F55" s="2343"/>
      <c r="G55" s="2343"/>
      <c r="H55" s="2343"/>
      <c r="I55" s="2343"/>
      <c r="J55" s="2343"/>
      <c r="K55" s="2343"/>
      <c r="L55" s="485"/>
    </row>
    <row r="56" spans="2:13">
      <c r="B56" s="484"/>
      <c r="C56" s="2" t="s">
        <v>61</v>
      </c>
      <c r="D56" s="2324" t="str">
        <f>K_Summary!D2608</f>
        <v>Sub-installation cessation adjustments</v>
      </c>
      <c r="E56" s="2324"/>
      <c r="F56" s="2324"/>
      <c r="G56" s="2324"/>
      <c r="H56" s="2324"/>
      <c r="I56" s="2324"/>
      <c r="J56" s="2324"/>
      <c r="K56" s="2324"/>
      <c r="L56" s="485"/>
    </row>
    <row r="57" spans="2:13" ht="25.5" customHeight="1" thickBot="1">
      <c r="B57" s="484"/>
      <c r="C57" s="484"/>
      <c r="D57" s="484"/>
      <c r="E57" s="484"/>
      <c r="F57" s="485"/>
      <c r="G57" s="485"/>
      <c r="H57" s="485"/>
      <c r="I57" s="485"/>
      <c r="J57" s="485"/>
      <c r="K57" s="485"/>
      <c r="L57" s="485"/>
      <c r="M57" s="481"/>
    </row>
    <row r="58" spans="2:13">
      <c r="B58" s="477"/>
      <c r="C58" s="479"/>
      <c r="D58" s="486" t="s">
        <v>364</v>
      </c>
      <c r="E58" s="487"/>
      <c r="F58" s="487"/>
      <c r="G58" s="488"/>
      <c r="H58" s="489" t="str">
        <f>VersionDocumentation!B5</f>
        <v>English</v>
      </c>
      <c r="I58" s="489"/>
      <c r="J58" s="489"/>
      <c r="K58" s="490"/>
      <c r="L58" s="479"/>
    </row>
    <row r="59" spans="2:13" ht="13.5" thickBot="1">
      <c r="B59" s="477"/>
      <c r="C59" s="479"/>
      <c r="D59" s="491" t="s">
        <v>0</v>
      </c>
      <c r="E59" s="492"/>
      <c r="F59" s="492"/>
      <c r="G59" s="493"/>
      <c r="H59" s="494" t="str">
        <f>VersionDocumentation!C3</f>
        <v>ALC UK ETS_Authority_en_20260205.xls</v>
      </c>
      <c r="I59" s="494"/>
      <c r="J59" s="494"/>
      <c r="K59" s="495"/>
      <c r="L59" s="479"/>
    </row>
    <row r="60" spans="2:13">
      <c r="B60" s="477"/>
      <c r="C60" s="479"/>
      <c r="D60" s="479"/>
      <c r="E60" s="479"/>
      <c r="F60" s="479"/>
      <c r="G60" s="479"/>
      <c r="H60" s="479"/>
      <c r="I60" s="479"/>
      <c r="J60" s="479"/>
      <c r="K60" s="479"/>
      <c r="L60" s="479"/>
    </row>
    <row r="61" spans="2:13" ht="13.5" thickBot="1">
      <c r="B61" s="477"/>
      <c r="C61" s="479"/>
      <c r="D61" s="496" t="s">
        <v>1</v>
      </c>
      <c r="E61" s="496"/>
      <c r="F61" s="496"/>
      <c r="G61" s="479"/>
      <c r="H61" s="479"/>
      <c r="I61" s="479"/>
      <c r="J61" s="479"/>
      <c r="K61" s="479"/>
      <c r="L61" s="479"/>
    </row>
    <row r="62" spans="2:13">
      <c r="B62" s="477"/>
      <c r="C62" s="479"/>
      <c r="D62" s="2334" t="s">
        <v>842</v>
      </c>
      <c r="E62" s="2335"/>
      <c r="F62" s="2335"/>
      <c r="G62" s="2336"/>
      <c r="H62" s="2325" t="str">
        <f>IF(ISBLANK(A_InstallationData!J72),"",A_InstallationData!J72)</f>
        <v/>
      </c>
      <c r="I62" s="2326"/>
      <c r="J62" s="2326"/>
      <c r="K62" s="2327"/>
      <c r="L62" s="479"/>
    </row>
    <row r="63" spans="2:13">
      <c r="B63" s="477"/>
      <c r="C63" s="479"/>
      <c r="D63" s="2337" t="s">
        <v>1001</v>
      </c>
      <c r="E63" s="2338"/>
      <c r="F63" s="2338"/>
      <c r="G63" s="2339"/>
      <c r="H63" s="2328">
        <f>CNTR_UniqueID</f>
        <v>0</v>
      </c>
      <c r="I63" s="2329"/>
      <c r="J63" s="2329"/>
      <c r="K63" s="2330"/>
      <c r="L63" s="479"/>
    </row>
    <row r="64" spans="2:13" ht="13.5" thickBot="1">
      <c r="B64" s="477"/>
      <c r="C64" s="479"/>
      <c r="D64" s="2340" t="s">
        <v>1728</v>
      </c>
      <c r="E64" s="2341"/>
      <c r="F64" s="2341"/>
      <c r="G64" s="2342"/>
      <c r="H64" s="2331" t="str">
        <f>"2021-2026"</f>
        <v>2021-2026</v>
      </c>
      <c r="I64" s="2332"/>
      <c r="J64" s="2332"/>
      <c r="K64" s="2333"/>
      <c r="L64" s="479"/>
    </row>
    <row r="65" spans="2:12">
      <c r="B65" s="477"/>
      <c r="C65" s="479"/>
      <c r="D65" s="479"/>
      <c r="E65" s="479"/>
      <c r="F65" s="479"/>
      <c r="G65" s="479"/>
      <c r="H65" s="479"/>
      <c r="I65" s="479"/>
      <c r="J65" s="479"/>
      <c r="K65" s="479"/>
      <c r="L65" s="479"/>
    </row>
    <row r="66" spans="2:12" hidden="1">
      <c r="B66" s="477"/>
      <c r="C66" s="479"/>
      <c r="D66" s="2373"/>
      <c r="E66" s="2373"/>
      <c r="F66" s="2373"/>
      <c r="G66" s="2374"/>
      <c r="H66" s="2374"/>
      <c r="I66" s="2374"/>
      <c r="J66" s="2374"/>
      <c r="K66" s="2374"/>
      <c r="L66" s="479"/>
    </row>
    <row r="67" spans="2:12" hidden="1">
      <c r="B67" s="477"/>
      <c r="C67" s="479"/>
      <c r="D67" s="479"/>
      <c r="E67" s="479"/>
      <c r="F67" s="479"/>
      <c r="G67" s="477"/>
      <c r="H67" s="479"/>
      <c r="I67" s="479"/>
      <c r="J67" s="479"/>
      <c r="K67" s="479"/>
      <c r="L67" s="479"/>
    </row>
    <row r="68" spans="2:12" hidden="1">
      <c r="B68" s="477"/>
      <c r="C68" s="479"/>
      <c r="D68" s="479"/>
      <c r="E68" s="479"/>
      <c r="F68" s="479"/>
      <c r="G68" s="479"/>
      <c r="H68" s="479"/>
      <c r="I68" s="479"/>
      <c r="J68" s="479"/>
      <c r="K68" s="479"/>
      <c r="L68" s="479"/>
    </row>
    <row r="69" spans="2:12" hidden="1">
      <c r="B69" s="477"/>
      <c r="C69" s="479"/>
      <c r="D69" s="479"/>
      <c r="E69" s="479"/>
      <c r="F69" s="479"/>
      <c r="G69" s="479"/>
      <c r="H69" s="479"/>
      <c r="I69" s="479"/>
      <c r="J69" s="479"/>
      <c r="K69" s="479"/>
      <c r="L69" s="479"/>
    </row>
    <row r="70" spans="2:12" hidden="1">
      <c r="B70" s="477"/>
      <c r="C70" s="479"/>
      <c r="D70" s="479"/>
      <c r="E70" s="479"/>
      <c r="F70" s="479"/>
      <c r="G70" s="479"/>
      <c r="H70" s="479"/>
      <c r="I70" s="479"/>
      <c r="J70" s="479"/>
      <c r="K70" s="479"/>
      <c r="L70" s="479"/>
    </row>
    <row r="71" spans="2:12" hidden="1">
      <c r="B71" s="477"/>
      <c r="C71" s="479"/>
      <c r="D71" s="498"/>
      <c r="E71" s="498"/>
      <c r="F71" s="498"/>
      <c r="G71" s="479"/>
      <c r="H71" s="498"/>
      <c r="I71" s="479"/>
      <c r="J71" s="479"/>
      <c r="K71" s="479"/>
      <c r="L71" s="479"/>
    </row>
    <row r="72" spans="2:12" ht="25.5" hidden="1" customHeight="1">
      <c r="B72" s="477"/>
      <c r="C72" s="479"/>
      <c r="D72" s="2371"/>
      <c r="E72" s="2371"/>
      <c r="F72" s="2371"/>
      <c r="G72" s="477"/>
      <c r="H72" s="2371"/>
      <c r="I72" s="2372"/>
      <c r="J72" s="2372"/>
      <c r="K72" s="2372"/>
      <c r="L72" s="479"/>
    </row>
    <row r="73" spans="2:12" hidden="1">
      <c r="I73" s="499"/>
      <c r="J73" s="499"/>
      <c r="K73" s="499"/>
      <c r="L73" s="499"/>
    </row>
  </sheetData>
  <sheetProtection algorithmName="SHA-512" hashValue="UKuEO+RD62TdpJWiaKJX3SiuTnDuvbwJMjhBonr5D2YNxP7AIDzzDW8NIklp2QXtzfVMFuHgR6dqNEMty1Q42g==" saltValue="MYHJ8Z6WXqGBmRXGjRmdVg==" spinCount="100000" sheet="1" formatCells="0" formatColumns="0" formatRows="0" insertHyperlinks="0"/>
  <mergeCells count="73">
    <mergeCell ref="M4:N4"/>
    <mergeCell ref="M2:N2"/>
    <mergeCell ref="E3:F3"/>
    <mergeCell ref="G3:H3"/>
    <mergeCell ref="I3:J3"/>
    <mergeCell ref="K3:L3"/>
    <mergeCell ref="M3:N3"/>
    <mergeCell ref="H72:K72"/>
    <mergeCell ref="D72:F72"/>
    <mergeCell ref="D14:L14"/>
    <mergeCell ref="D15:K15"/>
    <mergeCell ref="D16:K16"/>
    <mergeCell ref="D55:K55"/>
    <mergeCell ref="D66:K66"/>
    <mergeCell ref="D20:L20"/>
    <mergeCell ref="D21:K21"/>
    <mergeCell ref="D44:K44"/>
    <mergeCell ref="D23:L23"/>
    <mergeCell ref="D17:K17"/>
    <mergeCell ref="D22:K22"/>
    <mergeCell ref="D19:K19"/>
    <mergeCell ref="D24:K24"/>
    <mergeCell ref="D25:K25"/>
    <mergeCell ref="D35:L35"/>
    <mergeCell ref="D36:K36"/>
    <mergeCell ref="D37:L37"/>
    <mergeCell ref="D38:K38"/>
    <mergeCell ref="D27:K27"/>
    <mergeCell ref="D28:L28"/>
    <mergeCell ref="D34:K34"/>
    <mergeCell ref="D26:K26"/>
    <mergeCell ref="D33:L33"/>
    <mergeCell ref="D29:K29"/>
    <mergeCell ref="D30:K30"/>
    <mergeCell ref="D31:K31"/>
    <mergeCell ref="D32:K32"/>
    <mergeCell ref="D18:K18"/>
    <mergeCell ref="H8:J8"/>
    <mergeCell ref="D11:L11"/>
    <mergeCell ref="C6:M6"/>
    <mergeCell ref="D12:L12"/>
    <mergeCell ref="D13:L13"/>
    <mergeCell ref="B2:D4"/>
    <mergeCell ref="E2:F2"/>
    <mergeCell ref="G2:H2"/>
    <mergeCell ref="I2:J2"/>
    <mergeCell ref="K2:L2"/>
    <mergeCell ref="E4:F4"/>
    <mergeCell ref="G4:H4"/>
    <mergeCell ref="I4:J4"/>
    <mergeCell ref="K4:L4"/>
    <mergeCell ref="D39:K39"/>
    <mergeCell ref="D40:K40"/>
    <mergeCell ref="D41:K41"/>
    <mergeCell ref="D46:K46"/>
    <mergeCell ref="D45:K45"/>
    <mergeCell ref="D42:K42"/>
    <mergeCell ref="D43:K43"/>
    <mergeCell ref="D53:K53"/>
    <mergeCell ref="D54:K54"/>
    <mergeCell ref="D51:K51"/>
    <mergeCell ref="D52:K52"/>
    <mergeCell ref="D47:L47"/>
    <mergeCell ref="D48:K48"/>
    <mergeCell ref="D49:K49"/>
    <mergeCell ref="D50:L50"/>
    <mergeCell ref="D56:K56"/>
    <mergeCell ref="H62:K62"/>
    <mergeCell ref="H63:K63"/>
    <mergeCell ref="H64:K64"/>
    <mergeCell ref="D62:G62"/>
    <mergeCell ref="D63:G63"/>
    <mergeCell ref="D64:G64"/>
  </mergeCells>
  <phoneticPr fontId="8" type="noConversion"/>
  <conditionalFormatting sqref="G3:H3 K4:L4">
    <cfRule type="expression" dxfId="852" priority="1624" stopIfTrue="1">
      <formula>#REF!</formula>
    </cfRule>
  </conditionalFormatting>
  <conditionalFormatting sqref="I3:L3 M3:N4 G4:J4">
    <cfRule type="expression" dxfId="851" priority="1625" stopIfTrue="1">
      <formula>#REF!</formula>
    </cfRule>
  </conditionalFormatting>
  <hyperlinks>
    <hyperlink ref="D15" location="JUMP_A_I" display="I" xr:uid="{00000000-0004-0000-0000-000000000000}"/>
    <hyperlink ref="D16" location="JUMP_A_II" display="II" xr:uid="{00000000-0004-0000-0000-000001000000}"/>
    <hyperlink ref="D17" location="JUMP_A_III" display="III" xr:uid="{00000000-0004-0000-0000-000002000000}"/>
    <hyperlink ref="D18" location="JUMP_A_IV" display="IV" xr:uid="{00000000-0004-0000-0000-000003000000}"/>
    <hyperlink ref="C15" location="JUMP_A_I" display="I" xr:uid="{00000000-0004-0000-0000-000004000000}"/>
    <hyperlink ref="C16" location="JUMP_A_II" display="II" xr:uid="{00000000-0004-0000-0000-000005000000}"/>
    <hyperlink ref="C17" location="JUMP_A_III" display="III" xr:uid="{00000000-0004-0000-0000-000006000000}"/>
    <hyperlink ref="C18" location="JUMP_A_IV" display="IV" xr:uid="{00000000-0004-0000-0000-000007000000}"/>
    <hyperlink ref="D11:L11" location="JUMP_Guidelines_Home" display="GUIDELINES AND CONDITIONS" xr:uid="{00000000-0004-0000-0000-000008000000}"/>
    <hyperlink ref="D21" location="JUMP_A_I" display="I" xr:uid="{00000000-0004-0000-0000-00000F000000}"/>
    <hyperlink ref="D24" location="JUMP_A_I" display="I" xr:uid="{00000000-0004-0000-0000-000010000000}"/>
    <hyperlink ref="D25" location="JUMP_A_II" display="II" xr:uid="{00000000-0004-0000-0000-000011000000}"/>
    <hyperlink ref="C24" location="JUMP_D_I" display="I" xr:uid="{00000000-0004-0000-0000-000012000000}"/>
    <hyperlink ref="C25" location="JUMP_D_II" display="II" xr:uid="{00000000-0004-0000-0000-000013000000}"/>
    <hyperlink ref="D34" location="JUMP_A_I" display="I" xr:uid="{00000000-0004-0000-0000-000014000000}"/>
    <hyperlink ref="C34" location="JUMP_F_I" display="I" xr:uid="{00000000-0004-0000-0000-000015000000}"/>
    <hyperlink ref="D26" location="JUMP_A_II" display="II" xr:uid="{00000000-0004-0000-0000-000016000000}"/>
    <hyperlink ref="D27" location="JUMP_A_II" display="II" xr:uid="{00000000-0004-0000-0000-000017000000}"/>
    <hyperlink ref="D24:K24" location="JUMP_D_I" display="JUMP_D_I" xr:uid="{00000000-0004-0000-0000-000018000000}"/>
    <hyperlink ref="D25:K25" location="JUMP_D_II" display="JUMP_D_II" xr:uid="{00000000-0004-0000-0000-000019000000}"/>
    <hyperlink ref="C26" location="JUMP_D_III" display="III" xr:uid="{00000000-0004-0000-0000-00001A000000}"/>
    <hyperlink ref="D26:K26" location="JUMP_D_III" display="JUMP_D_III" xr:uid="{00000000-0004-0000-0000-00001B000000}"/>
    <hyperlink ref="C27" location="JUMP_D_IV" display="IV" xr:uid="{00000000-0004-0000-0000-00001C000000}"/>
    <hyperlink ref="D27:K27" location="JUMP_D_IV" display="JUMP_D_IV" xr:uid="{00000000-0004-0000-0000-00001D000000}"/>
    <hyperlink ref="D29" location="JUMP_A_I" display="I" xr:uid="{00000000-0004-0000-0000-00001E000000}"/>
    <hyperlink ref="D30" location="JUMP_A_II" display="II" xr:uid="{00000000-0004-0000-0000-00001F000000}"/>
    <hyperlink ref="C29" location="JUMP_E_I" display="I" xr:uid="{00000000-0004-0000-0000-000020000000}"/>
    <hyperlink ref="C30" location="JUMP_E_II" display="II" xr:uid="{00000000-0004-0000-0000-000021000000}"/>
    <hyperlink ref="D31" location="JUMP_A_II" display="II" xr:uid="{00000000-0004-0000-0000-000022000000}"/>
    <hyperlink ref="D32" location="JUMP_A_II" display="II" xr:uid="{00000000-0004-0000-0000-000023000000}"/>
    <hyperlink ref="D29:K29" location="JUMP_E_I" display="JUMP_E_I" xr:uid="{00000000-0004-0000-0000-000024000000}"/>
    <hyperlink ref="D30:K30" location="JUMP_E_II" display="JUMP_E_II" xr:uid="{00000000-0004-0000-0000-000025000000}"/>
    <hyperlink ref="C31" location="JUMP_E_III" display="III" xr:uid="{00000000-0004-0000-0000-000026000000}"/>
    <hyperlink ref="D31:K31" location="JUMP_E_III" display="JUMP_E_III" xr:uid="{00000000-0004-0000-0000-000027000000}"/>
    <hyperlink ref="C32" location="JUMP_E_IV" display="IV" xr:uid="{00000000-0004-0000-0000-000028000000}"/>
    <hyperlink ref="D32:K32" location="JUMP_E_IV" display="JUMP_E_IV" xr:uid="{00000000-0004-0000-0000-000029000000}"/>
    <hyperlink ref="D36" location="JUMP_A_I" display="I" xr:uid="{00000000-0004-0000-0000-00002A000000}"/>
    <hyperlink ref="C36" location="JUMP_G_I" display="I" xr:uid="{00000000-0004-0000-0000-00002B000000}"/>
    <hyperlink ref="D34:K34" location="JUMP_F_I" display="JUMP_F_I" xr:uid="{00000000-0004-0000-0000-00002C000000}"/>
    <hyperlink ref="D36:K36" location="JUMP_G_I" display="JUMP_G_I" xr:uid="{00000000-0004-0000-0000-00002D000000}"/>
    <hyperlink ref="D38:K38" location="JUMP_H_I" display="I" xr:uid="{00000000-0004-0000-0000-00002E000000}"/>
    <hyperlink ref="D39:K39" location="JUMP_H_II" display="II" xr:uid="{00000000-0004-0000-0000-00002F000000}"/>
    <hyperlink ref="D40:K40" location="JUMP_H_III" display="III" xr:uid="{00000000-0004-0000-0000-000030000000}"/>
    <hyperlink ref="D41:K41" location="JUMP_H_IV" display="IV" xr:uid="{00000000-0004-0000-0000-000031000000}"/>
    <hyperlink ref="D42:K42" location="JUMP_H_V" display="V" xr:uid="{00000000-0004-0000-0000-000032000000}"/>
    <hyperlink ref="D43:K43" location="JUMP_H_VI" display="VI" xr:uid="{00000000-0004-0000-0000-000033000000}"/>
    <hyperlink ref="D44:K44" location="JUMP_H_VII" display="VII" xr:uid="{00000000-0004-0000-0000-000034000000}"/>
    <hyperlink ref="D45:K45" location="JUMP_H_VIII" display="VIII" xr:uid="{00000000-0004-0000-0000-000035000000}"/>
    <hyperlink ref="D46:K46" location="JUMP_H_IX" display="IX" xr:uid="{00000000-0004-0000-0000-000036000000}"/>
    <hyperlink ref="C38" location="JUMP_H_I" display="I" xr:uid="{00000000-0004-0000-0000-000037000000}"/>
    <hyperlink ref="C39" location="JUMP_H_II" display="II" xr:uid="{00000000-0004-0000-0000-000038000000}"/>
    <hyperlink ref="C40" location="JUMP_H_III" display="III" xr:uid="{00000000-0004-0000-0000-000039000000}"/>
    <hyperlink ref="C41" location="JUMP_H_IV" display="IV" xr:uid="{00000000-0004-0000-0000-00003A000000}"/>
    <hyperlink ref="C42" location="JUMP_H_V" display="V" xr:uid="{00000000-0004-0000-0000-00003B000000}"/>
    <hyperlink ref="C43" location="JUMP_H_VI" display="VI" xr:uid="{00000000-0004-0000-0000-00003C000000}"/>
    <hyperlink ref="C44" location="JUMP_H_VII" display="VII" xr:uid="{00000000-0004-0000-0000-00003D000000}"/>
    <hyperlink ref="C45" location="JUMP_H_VIII" display="VIII" xr:uid="{00000000-0004-0000-0000-00003E000000}"/>
    <hyperlink ref="C46" location="JUMP_H_IX" display="IX" xr:uid="{00000000-0004-0000-0000-00003F000000}"/>
    <hyperlink ref="D48:K48" location="JUMP_J_I" display="I" xr:uid="{00000000-0004-0000-0000-000040000000}"/>
    <hyperlink ref="D49:K49" location="JUMP_J_II" display="II" xr:uid="{00000000-0004-0000-0000-000041000000}"/>
    <hyperlink ref="C48" location="JUMP_J_I" display="I" xr:uid="{00000000-0004-0000-0000-000044000000}"/>
    <hyperlink ref="C49" location="JUMP_J_II" display="II" xr:uid="{00000000-0004-0000-0000-000045000000}"/>
    <hyperlink ref="D51:K51" location="JUMP_K_I" display="I" xr:uid="{00000000-0004-0000-0000-000046000000}"/>
    <hyperlink ref="C51" location="JUMP_K_I" display="I" xr:uid="{00000000-0004-0000-0000-000047000000}"/>
    <hyperlink ref="C52:K52" location="JUMP_K_II" display="II" xr:uid="{00000000-0004-0000-0000-000048000000}"/>
    <hyperlink ref="C53:K53" location="JUMP_K_III" display="III" xr:uid="{00000000-0004-0000-0000-000049000000}"/>
    <hyperlink ref="C54:K54" location="JUMP_K_IV" display="IV" xr:uid="{00000000-0004-0000-0000-00004A000000}"/>
    <hyperlink ref="C55:K55" location="JUMP_K_V" display="V" xr:uid="{00000000-0004-0000-0000-00004B000000}"/>
    <hyperlink ref="D21:K21" location="JUMP_B_I" display="JUMP_B_I" xr:uid="{00000000-0004-0000-0000-00004C000000}"/>
    <hyperlink ref="C21" location="JUMP_B_I" display="I" xr:uid="{00000000-0004-0000-0000-00004D000000}"/>
    <hyperlink ref="D22" location="JUMP_A_I" display="I" xr:uid="{00000000-0004-0000-0000-00004E000000}"/>
    <hyperlink ref="D22:K22" location="'B+C_SubInstallations'!JUMP_B_II" display="'B+C_SubInstallations'!JUMP_B_II" xr:uid="{00000000-0004-0000-0000-00004F000000}"/>
    <hyperlink ref="C22" location="'B+C_SubInstallations'!JUMP_B_II" display="II" xr:uid="{00000000-0004-0000-0000-000050000000}"/>
    <hyperlink ref="D19" location="JUMP_A_IV" display="IV" xr:uid="{00000000-0004-0000-0000-000051000000}"/>
    <hyperlink ref="C19" location="JUMP_A_V" display="V" xr:uid="{00000000-0004-0000-0000-000052000000}"/>
    <hyperlink ref="D19:K19" location="JUMP_A_V" display="JUMP_A_V" xr:uid="{00000000-0004-0000-0000-000053000000}"/>
    <hyperlink ref="D12" location="'Confidentiality Statement'!A1" display="Confidentiality Statement" xr:uid="{00000000-0004-0000-0000-000054000000}"/>
    <hyperlink ref="D12:L12" location="'Confidentiality Statement'!C3" display="Confidentiality Statement" xr:uid="{AB8CF351-E7EA-4B06-B6B5-74CB3262A9E5}"/>
    <hyperlink ref="D13:L13" location="c_ALR2025!C6" display="c_ALR2025" xr:uid="{3AB74E6A-B69B-4326-938C-DA1EC98D8159}"/>
    <hyperlink ref="D56:K56" location="K_Summary!D2608" display="K_Summary!D2608" xr:uid="{3FD60D2A-8F8D-4F6A-9FA8-E4793CC3B31F}"/>
    <hyperlink ref="C56" location="K_Summary!D2608" display="VI" xr:uid="{F1A6D8BC-B887-422A-9E41-6B06B3D4B36E}"/>
    <hyperlink ref="K2:L2" location="'b_Guidelines &amp; conditions'!B5" display="Next sheet" xr:uid="{D0055B7D-1FDA-4DB8-86DF-5E232B0D90DE}"/>
    <hyperlink ref="M2:N2" location="K_Summary!B5" display="Summary" xr:uid="{199528CE-9785-4461-B89F-B5CF6C66DF17}"/>
    <hyperlink ref="E3:F3" location="a_Contents!B5" display="Top of sheet" xr:uid="{E098D6F1-1151-4B6E-81F5-7C6F6AC408F4}"/>
    <hyperlink ref="E4:F4" location="a_Contents!B67" display="End of sheet" xr:uid="{664B75F3-04BE-4B91-ACB5-0C320750E11F}"/>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tabColor indexed="48"/>
    <pageSetUpPr fitToPage="1"/>
  </sheetPr>
  <dimension ref="A1:AP1206"/>
  <sheetViews>
    <sheetView showGridLines="0" topLeftCell="B1" zoomScaleNormal="100" zoomScaleSheetLayoutView="85" workbookViewId="0">
      <pane ySplit="4" topLeftCell="A115" activePane="bottomLeft" state="frozen"/>
      <selection activeCell="B2" sqref="B2"/>
      <selection pane="bottomLeft" activeCell="E125" sqref="E125:N125"/>
    </sheetView>
  </sheetViews>
  <sheetFormatPr defaultColWidth="0" defaultRowHeight="12.75" zeroHeight="1"/>
  <cols>
    <col min="1" max="1" width="5.42578125" style="1116" hidden="1" customWidth="1"/>
    <col min="2" max="2" width="2.7109375" style="1116" customWidth="1"/>
    <col min="3" max="3" width="5.7109375" style="1116" customWidth="1"/>
    <col min="4" max="4" width="4.7109375" style="1116" customWidth="1"/>
    <col min="5" max="5" width="30.7109375" style="1116" customWidth="1"/>
    <col min="6" max="14" width="13.7109375" style="1116" customWidth="1"/>
    <col min="15" max="15" width="4.7109375" style="1116" customWidth="1"/>
    <col min="16" max="16" width="25.7109375" style="1116" customWidth="1"/>
    <col min="17" max="18" width="12.7109375" style="1198" hidden="1" customWidth="1"/>
    <col min="19" max="19" width="19.7109375" style="1198" hidden="1" customWidth="1"/>
    <col min="20" max="25" width="12.7109375" style="1198" hidden="1" customWidth="1"/>
    <col min="26" max="30" width="11.42578125" style="1198" hidden="1" customWidth="1"/>
    <col min="31" max="39" width="11.42578125" style="1118" hidden="1" customWidth="1"/>
    <col min="40" max="40" width="9.140625" style="1116" hidden="1" customWidth="1"/>
    <col min="41" max="41" width="15.28515625" style="1121" hidden="1" customWidth="1"/>
    <col min="42" max="42" width="26" style="1121" hidden="1" customWidth="1"/>
    <col min="43" max="16384" width="0" style="1119" hidden="1"/>
  </cols>
  <sheetData>
    <row r="1" spans="2:42" s="1116" customFormat="1" ht="13.5" hidden="1" customHeight="1" thickBot="1"/>
    <row r="2" spans="2:42" ht="39" customHeight="1" thickBot="1">
      <c r="B2" s="2348" t="s">
        <v>583</v>
      </c>
      <c r="C2" s="3114"/>
      <c r="D2" s="3115"/>
      <c r="E2" s="2357" t="s">
        <v>572</v>
      </c>
      <c r="F2" s="2358"/>
      <c r="G2" s="2360" t="s">
        <v>573</v>
      </c>
      <c r="H2" s="2451"/>
      <c r="I2" s="2451" t="s">
        <v>578</v>
      </c>
      <c r="J2" s="2451"/>
      <c r="K2" s="2451" t="s">
        <v>574</v>
      </c>
      <c r="L2" s="2451"/>
      <c r="M2" s="2451" t="s">
        <v>575</v>
      </c>
      <c r="N2" s="2451"/>
      <c r="O2" s="481"/>
      <c r="P2" s="2940" t="s">
        <v>1987</v>
      </c>
      <c r="Q2" s="1249"/>
      <c r="R2" s="1249"/>
      <c r="S2" s="1249"/>
      <c r="T2" s="1249"/>
      <c r="U2" s="1249"/>
      <c r="V2" s="1249"/>
      <c r="W2" s="1249"/>
      <c r="X2" s="1249"/>
      <c r="Y2" s="1249"/>
      <c r="Z2" s="1888"/>
      <c r="AA2" s="1888"/>
      <c r="AB2" s="1888"/>
      <c r="AC2" s="1888"/>
      <c r="AD2" s="1249"/>
      <c r="AO2" s="2815" t="s">
        <v>2481</v>
      </c>
      <c r="AP2" s="2815" t="s">
        <v>2268</v>
      </c>
    </row>
    <row r="3" spans="2:42" ht="13.5" customHeight="1" thickBot="1">
      <c r="B3" s="2445"/>
      <c r="C3" s="2446"/>
      <c r="D3" s="3116"/>
      <c r="E3" s="2451" t="s">
        <v>576</v>
      </c>
      <c r="F3" s="2454"/>
      <c r="G3" s="3400" t="str">
        <f>IF(AND(CNTR_ExistSubInstEntries,INDEX(CNTR_FallBackSubInstRelevant,Q3)=FALSE),"",HYPERLINK("#JUMP_G"&amp;Q3,INDEX(EUconst_FallBackListNames,Q3)))</f>
        <v>Heat benchmark sub-installation, CL</v>
      </c>
      <c r="H3" s="3401"/>
      <c r="I3" s="3400" t="str">
        <f>IF(AND(CNTR_ExistSubInstEntries,INDEX(CNTR_FallBackSubInstRelevant,S3)=FALSE),"",HYPERLINK("#JUMP_G"&amp;S3,INDEX(EUconst_FallBackListNames,S3)))</f>
        <v>Heat benchmark sub-installation, non-CL</v>
      </c>
      <c r="J3" s="3401"/>
      <c r="K3" s="3400" t="str">
        <f>IF(AND(CNTR_ExistSubInstEntries,INDEX(CNTR_FallBackSubInstRelevant,U3)=FALSE),"",HYPERLINK("#JUMP_G"&amp;U3,INDEX(EUconst_FallBackListNames,U3)))</f>
        <v>District heating sub-installation</v>
      </c>
      <c r="L3" s="3401"/>
      <c r="M3" s="3400" t="str">
        <f>IF(AND(CNTR_ExistSubInstEntries,INDEX(CNTR_FallBackSubInstRelevant,W3)=FALSE),"",HYPERLINK("#JUMP_G"&amp;W3,INDEX(EUconst_FallBackListNames,W3)))</f>
        <v>Fuel benchmark sub-installation, CL</v>
      </c>
      <c r="N3" s="3401"/>
      <c r="O3" s="481"/>
      <c r="P3" s="2941"/>
      <c r="Q3" s="3315">
        <v>1</v>
      </c>
      <c r="R3" s="3315"/>
      <c r="S3" s="3315">
        <v>2</v>
      </c>
      <c r="T3" s="3315"/>
      <c r="U3" s="3315">
        <v>3</v>
      </c>
      <c r="V3" s="3315" t="s">
        <v>1209</v>
      </c>
      <c r="W3" s="3315">
        <v>4</v>
      </c>
      <c r="X3" s="3315"/>
      <c r="Y3" s="1249"/>
      <c r="Z3" s="1249"/>
      <c r="AA3" s="1249"/>
      <c r="AB3" s="1249"/>
      <c r="AC3" s="1249"/>
      <c r="AD3" s="1249"/>
      <c r="AO3" s="2815"/>
      <c r="AP3" s="2816"/>
    </row>
    <row r="4" spans="2:42" ht="13.5" customHeight="1" thickBot="1">
      <c r="B4" s="2448"/>
      <c r="C4" s="2449"/>
      <c r="D4" s="2450"/>
      <c r="E4" s="2451" t="s">
        <v>577</v>
      </c>
      <c r="F4" s="2451"/>
      <c r="G4" s="3400" t="str">
        <f>IF(AND(CNTR_ExistSubInstEntries,INDEX(CNTR_FallBackSubInstRelevant,Q4)=FALSE),"",HYPERLINK("#JUMP_G"&amp;Q4,INDEX(EUconst_FallBackListNames,Q4)))</f>
        <v>Fuel benchmark sub-installation, non-CL</v>
      </c>
      <c r="H4" s="3401"/>
      <c r="I4" s="3400" t="str">
        <f>IF(AND(CNTR_ExistSubInstEntries,INDEX(CNTR_FallBackSubInstRelevant,S4)=FALSE),"",HYPERLINK("#JUMP_G"&amp;S4,INDEX(EUconst_FallBackListNames,S4)))</f>
        <v>Process emissions sub-installation, CL</v>
      </c>
      <c r="J4" s="3401"/>
      <c r="K4" s="3400" t="str">
        <f>IF(AND(CNTR_ExistSubInstEntries,INDEX(CNTR_FallBackSubInstRelevant,U4)=FALSE),"",HYPERLINK("#JUMP_G"&amp;U4,INDEX(EUconst_FallBackListNames,U4)))</f>
        <v>Process emissions sub-installation, non-CL</v>
      </c>
      <c r="L4" s="3401"/>
      <c r="M4" s="3400"/>
      <c r="N4" s="3401"/>
      <c r="O4" s="481"/>
      <c r="P4" s="2942"/>
      <c r="Q4" s="3315">
        <v>5</v>
      </c>
      <c r="R4" s="3315"/>
      <c r="S4" s="3315">
        <v>6</v>
      </c>
      <c r="T4" s="3315"/>
      <c r="U4" s="3315">
        <v>7</v>
      </c>
      <c r="V4" s="3315"/>
      <c r="W4" s="3315"/>
      <c r="X4" s="3315"/>
      <c r="Y4" s="1249"/>
      <c r="Z4" s="1249"/>
      <c r="AA4" s="1249"/>
      <c r="AB4" s="1249"/>
      <c r="AC4" s="1249"/>
      <c r="AD4" s="1249"/>
      <c r="AO4" s="2815"/>
      <c r="AP4" s="2816"/>
    </row>
    <row r="5" spans="2:42" ht="9.75" customHeight="1">
      <c r="B5" s="467"/>
      <c r="C5" s="1120"/>
      <c r="D5" s="467"/>
      <c r="E5" s="467"/>
      <c r="F5" s="466"/>
      <c r="G5" s="466"/>
      <c r="H5" s="466"/>
      <c r="I5" s="467"/>
      <c r="J5" s="467"/>
      <c r="K5" s="467"/>
      <c r="L5" s="467"/>
      <c r="M5" s="481"/>
      <c r="N5" s="481"/>
      <c r="O5" s="481"/>
      <c r="P5" s="481"/>
      <c r="Q5" s="1249"/>
      <c r="R5" s="1249"/>
      <c r="S5" s="1249"/>
      <c r="T5" s="1249"/>
      <c r="U5" s="1249"/>
      <c r="V5" s="1249"/>
      <c r="W5" s="1249"/>
      <c r="X5" s="1249"/>
      <c r="Y5" s="1249"/>
      <c r="Z5" s="1249"/>
      <c r="AA5" s="1249"/>
      <c r="AB5" s="1249"/>
      <c r="AC5" s="1249"/>
      <c r="AD5" s="1249"/>
    </row>
    <row r="6" spans="2:42" ht="23.25" customHeight="1">
      <c r="B6" s="467"/>
      <c r="C6" s="478" t="s">
        <v>682</v>
      </c>
      <c r="D6" s="2424" t="s">
        <v>683</v>
      </c>
      <c r="E6" s="2400"/>
      <c r="F6" s="2400"/>
      <c r="G6" s="2400"/>
      <c r="H6" s="2400"/>
      <c r="I6" s="2400"/>
      <c r="J6" s="2400"/>
      <c r="K6" s="2400"/>
      <c r="L6" s="2400"/>
      <c r="M6" s="2400"/>
      <c r="N6" s="2400"/>
      <c r="O6" s="481"/>
      <c r="P6" s="481"/>
      <c r="Q6" s="1198" t="str">
        <f>ADDRESS(1,3)&amp;":"&amp;ADDRESS(ROW(B16),3)</f>
        <v>$C$1:$C$16</v>
      </c>
      <c r="R6" s="1198">
        <f ca="1">MAX(INDIRECT("$C$1:$C$16"))</f>
        <v>1</v>
      </c>
      <c r="AC6" s="1198" t="str">
        <f>EUconst_NotRelevant</f>
        <v>not relevant</v>
      </c>
      <c r="AD6" s="1198" t="b">
        <f>CNTR_ExistSubInstEntries</f>
        <v>0</v>
      </c>
    </row>
    <row r="7" spans="2:42" ht="5.0999999999999996" customHeight="1">
      <c r="B7" s="467"/>
      <c r="C7" s="467"/>
      <c r="D7" s="467"/>
      <c r="E7" s="467"/>
      <c r="F7" s="467"/>
      <c r="G7" s="467"/>
      <c r="H7" s="467"/>
      <c r="I7" s="467"/>
      <c r="J7" s="467"/>
      <c r="K7" s="467"/>
      <c r="L7" s="467"/>
      <c r="M7" s="481"/>
      <c r="N7" s="481"/>
      <c r="O7" s="481"/>
      <c r="P7" s="481"/>
      <c r="Q7" s="1888"/>
      <c r="R7" s="1888"/>
      <c r="S7" s="1888"/>
      <c r="T7" s="1888"/>
      <c r="U7" s="1888"/>
      <c r="V7" s="1888"/>
      <c r="W7" s="1888"/>
      <c r="X7" s="1888"/>
      <c r="Y7" s="1888"/>
      <c r="Z7" s="1888"/>
      <c r="AA7" s="1888"/>
      <c r="AB7" s="1888"/>
      <c r="AC7" s="1888"/>
      <c r="AD7" s="1888"/>
    </row>
    <row r="8" spans="2:42" ht="15" customHeight="1">
      <c r="B8" s="467"/>
      <c r="C8" s="467"/>
      <c r="D8" s="467"/>
      <c r="E8" s="2745" t="s">
        <v>1448</v>
      </c>
      <c r="F8" s="2745"/>
      <c r="G8" s="2745"/>
      <c r="H8" s="2745"/>
      <c r="I8" s="2745"/>
      <c r="J8" s="2745"/>
      <c r="K8" s="2745"/>
      <c r="L8" s="2745"/>
      <c r="M8" s="2745"/>
      <c r="N8" s="481"/>
      <c r="O8" s="481"/>
      <c r="P8" s="481"/>
      <c r="Q8" s="1888" t="s">
        <v>2288</v>
      </c>
      <c r="R8" s="1888"/>
      <c r="S8" s="1888"/>
      <c r="T8" s="1888"/>
      <c r="U8" s="1888"/>
      <c r="V8" s="1888"/>
      <c r="W8" s="1888"/>
      <c r="X8" s="1888"/>
      <c r="Y8" s="1888"/>
      <c r="Z8" s="1888"/>
      <c r="AA8" s="1888"/>
      <c r="AB8" s="1888"/>
      <c r="AC8" s="1888"/>
      <c r="AD8" s="1888"/>
    </row>
    <row r="9" spans="2:42" ht="12.75" customHeight="1" thickBot="1">
      <c r="B9" s="467"/>
      <c r="C9" s="467"/>
      <c r="D9" s="467"/>
      <c r="E9" s="467"/>
      <c r="F9" s="467"/>
      <c r="G9" s="467"/>
      <c r="H9" s="467"/>
      <c r="I9" s="467"/>
      <c r="J9" s="467"/>
      <c r="K9" s="467"/>
      <c r="L9" s="467"/>
      <c r="M9" s="481"/>
      <c r="N9" s="481"/>
      <c r="O9" s="481"/>
      <c r="P9" s="481"/>
    </row>
    <row r="10" spans="2:42" ht="16.149999999999999" customHeight="1" thickBot="1">
      <c r="B10" s="467"/>
      <c r="C10" s="507" t="s">
        <v>1018</v>
      </c>
      <c r="D10" s="2408" t="s">
        <v>996</v>
      </c>
      <c r="E10" s="2408"/>
      <c r="F10" s="2408"/>
      <c r="G10" s="2408"/>
      <c r="H10" s="2408"/>
      <c r="I10" s="2408"/>
      <c r="J10" s="2408"/>
      <c r="K10" s="2408"/>
      <c r="L10" s="2408"/>
      <c r="M10" s="2408"/>
      <c r="N10" s="2408"/>
      <c r="O10" s="481"/>
      <c r="P10" s="481"/>
      <c r="AD10" s="1198" t="b">
        <f>AND(CNTR_ExistSubInstEntries,M12=EUconst_NotRelevant)</f>
        <v>0</v>
      </c>
      <c r="AL10" s="1631" t="s">
        <v>1041</v>
      </c>
    </row>
    <row r="11" spans="2:42" ht="5.0999999999999996" customHeight="1" thickBot="1">
      <c r="B11" s="467"/>
      <c r="C11" s="467"/>
      <c r="D11" s="467"/>
      <c r="E11" s="467"/>
      <c r="F11" s="467"/>
      <c r="G11" s="467"/>
      <c r="H11" s="467"/>
      <c r="I11" s="467"/>
      <c r="J11" s="467"/>
      <c r="K11" s="467"/>
      <c r="L11" s="467"/>
      <c r="M11" s="481"/>
      <c r="N11" s="481"/>
      <c r="O11" s="481"/>
      <c r="P11" s="481"/>
      <c r="Q11" s="1249"/>
      <c r="R11" s="1249"/>
      <c r="S11" s="1249"/>
      <c r="T11" s="1249"/>
      <c r="U11" s="1249"/>
      <c r="V11" s="1249"/>
      <c r="W11" s="1249"/>
      <c r="X11" s="1249"/>
      <c r="Y11" s="1249"/>
    </row>
    <row r="12" spans="2:42" ht="14.45" customHeight="1" thickBot="1">
      <c r="B12" s="467"/>
      <c r="C12" s="559">
        <v>1</v>
      </c>
      <c r="D12" s="2482" t="str">
        <f>EUconst_FBSubinst &amp; ":"</f>
        <v>Fall-Back sub-installation:</v>
      </c>
      <c r="E12" s="2400"/>
      <c r="F12" s="2400"/>
      <c r="G12" s="2400"/>
      <c r="H12" s="2585"/>
      <c r="I12" s="3293" t="str">
        <f>INDEX(EUconst_FallBackListNames,$C12)</f>
        <v>Heat benchmark sub-installation, CL</v>
      </c>
      <c r="J12" s="3294"/>
      <c r="K12" s="3294"/>
      <c r="L12" s="3295"/>
      <c r="M12" s="3370" t="str">
        <f>IF(INDEX(CNTR_FallBackSubInstRelevant,C12)="","",IF(INDEX(CNTR_FallBackSubInstRelevant,C12),EUconst_Relevant,EUconst_NotRelevant))</f>
        <v/>
      </c>
      <c r="N12" s="3371"/>
      <c r="O12" s="481"/>
      <c r="P12" s="481"/>
      <c r="Q12" s="1889">
        <f>C12</f>
        <v>1</v>
      </c>
      <c r="S12" s="1633" t="s">
        <v>558</v>
      </c>
      <c r="T12" s="1634" t="str">
        <f>IF(M12&lt;&gt;EUconst_Relevant,"",MAX(INDEX(CNTR_SubInstStartDate,MATCH($I12,CNTR_SubInstListNames,0)),DATE(2005,1,1)))</f>
        <v/>
      </c>
      <c r="U12" s="1435" t="s">
        <v>1673</v>
      </c>
      <c r="V12" s="1635">
        <f>IF(ISNUMBER(T12),YEAR($T12-1)+1,2005)</f>
        <v>2005</v>
      </c>
      <c r="W12" s="1633" t="s">
        <v>1676</v>
      </c>
      <c r="X12" s="1634" t="str">
        <f>IF(M12&lt;&gt;EUconst_Relevant,"",INDEX(CNTR_SubInstCessationDate,MATCH($I12,CNTR_SubInstListNames,0)))</f>
        <v/>
      </c>
      <c r="Y12" s="1633" t="s">
        <v>1677</v>
      </c>
      <c r="Z12" s="1635">
        <f>IF(SUM(X12)=0,2050,YEAR($X12))</f>
        <v>2050</v>
      </c>
      <c r="AA12" s="1633" t="s">
        <v>1925</v>
      </c>
      <c r="AB12" s="1635" t="b">
        <f>CNTR_ReportingYear&gt;V12</f>
        <v>1</v>
      </c>
      <c r="AC12" s="1633" t="s">
        <v>1343</v>
      </c>
      <c r="AD12" s="1848" t="b">
        <f>AND(CNTR_ExistSubInstEntries,M12=EUconst_NotRelevant)</f>
        <v>0</v>
      </c>
      <c r="AP12" s="1135"/>
    </row>
    <row r="13" spans="2:42" ht="12.75" customHeight="1">
      <c r="B13" s="1124"/>
      <c r="C13" s="485"/>
      <c r="D13" s="485"/>
      <c r="E13" s="485"/>
      <c r="F13" s="485"/>
      <c r="G13" s="485"/>
      <c r="H13" s="484"/>
      <c r="I13" s="2716" t="str">
        <f>IF(M12&lt;&gt;EUconst_Relevant,"",IF(M12=EUconst_Relevant,HYPERLINK("",EUconst_MsgEnterThisSection),HYPERLINK(R13,EUconst_MsgGoToNextSubInst)))</f>
        <v/>
      </c>
      <c r="J13" s="2717"/>
      <c r="K13" s="2717"/>
      <c r="L13" s="2717"/>
      <c r="M13" s="2718"/>
      <c r="N13" s="2719"/>
      <c r="O13" s="481"/>
      <c r="P13" s="481"/>
      <c r="Q13" s="1198" t="s">
        <v>441</v>
      </c>
      <c r="R13" s="1303" t="str">
        <f>"#JUMP_G"&amp;Q12+1</f>
        <v>#JUMP_G2</v>
      </c>
      <c r="Z13" s="1435"/>
    </row>
    <row r="14" spans="2:42" ht="12.75" customHeight="1">
      <c r="B14" s="467"/>
      <c r="C14" s="467"/>
      <c r="D14" s="485"/>
      <c r="E14" s="2385" t="s">
        <v>1197</v>
      </c>
      <c r="F14" s="2846"/>
      <c r="G14" s="2846"/>
      <c r="H14" s="2846"/>
      <c r="I14" s="2846"/>
      <c r="J14" s="2846"/>
      <c r="K14" s="2846"/>
      <c r="L14" s="2846"/>
      <c r="M14" s="2846"/>
      <c r="N14" s="2846"/>
      <c r="O14" s="481"/>
      <c r="P14" s="481"/>
      <c r="Q14" s="1249"/>
      <c r="R14" s="1249"/>
      <c r="AO14" s="1121" t="b">
        <f>$AD$12</f>
        <v>0</v>
      </c>
    </row>
    <row r="15" spans="2:42" ht="6.6" customHeight="1">
      <c r="B15" s="467"/>
      <c r="C15" s="467"/>
      <c r="D15" s="467"/>
      <c r="E15" s="467" t="s">
        <v>1935</v>
      </c>
      <c r="F15" s="467"/>
      <c r="G15" s="467"/>
      <c r="H15" s="467"/>
      <c r="I15" s="467"/>
      <c r="J15" s="467"/>
      <c r="K15" s="467"/>
      <c r="L15" s="467"/>
      <c r="M15" s="481"/>
      <c r="N15" s="481"/>
      <c r="O15" s="481"/>
      <c r="P15" s="481"/>
      <c r="Q15" s="1249"/>
      <c r="R15" s="1249"/>
      <c r="S15" s="1249"/>
      <c r="T15" s="1249"/>
      <c r="U15" s="1249"/>
      <c r="V15" s="1249"/>
      <c r="W15" s="1249"/>
      <c r="X15" s="1249"/>
      <c r="Y15" s="1249"/>
      <c r="AO15" s="1121" t="b">
        <f t="shared" ref="AO15:AO78" si="0">$AD$12</f>
        <v>0</v>
      </c>
    </row>
    <row r="16" spans="2:42" ht="12.75" customHeight="1">
      <c r="B16" s="467"/>
      <c r="C16" s="482"/>
      <c r="D16" s="482" t="s">
        <v>400</v>
      </c>
      <c r="E16" s="2373" t="s">
        <v>1930</v>
      </c>
      <c r="F16" s="2400"/>
      <c r="G16" s="2400"/>
      <c r="H16" s="2400"/>
      <c r="I16" s="2400"/>
      <c r="J16" s="2400"/>
      <c r="K16" s="2400"/>
      <c r="L16" s="2400"/>
      <c r="M16" s="2400"/>
      <c r="N16" s="2400"/>
      <c r="O16" s="481"/>
      <c r="P16" s="481"/>
      <c r="Q16" s="1249"/>
      <c r="R16" s="1249"/>
      <c r="S16" s="1249"/>
      <c r="T16" s="1249"/>
      <c r="U16" s="1249"/>
      <c r="V16" s="1249"/>
      <c r="W16" s="1249"/>
      <c r="X16" s="1249"/>
      <c r="Y16" s="1249"/>
      <c r="AB16" s="1435"/>
      <c r="AO16" s="1121" t="b">
        <f t="shared" si="0"/>
        <v>0</v>
      </c>
    </row>
    <row r="17" spans="1:41" ht="12.75" customHeight="1">
      <c r="B17" s="467"/>
      <c r="C17" s="485"/>
      <c r="D17" s="485"/>
      <c r="E17" s="3184" t="s">
        <v>1340</v>
      </c>
      <c r="F17" s="3184"/>
      <c r="G17" s="3184"/>
      <c r="H17" s="3184"/>
      <c r="I17" s="3184"/>
      <c r="J17" s="3184"/>
      <c r="K17" s="3184"/>
      <c r="L17" s="3184"/>
      <c r="M17" s="3184"/>
      <c r="N17" s="3184"/>
      <c r="O17" s="481"/>
      <c r="P17" s="481"/>
      <c r="Q17" s="1249"/>
      <c r="AO17" s="1121" t="b">
        <f t="shared" si="0"/>
        <v>0</v>
      </c>
    </row>
    <row r="18" spans="1:41" ht="12.75" customHeight="1">
      <c r="B18" s="467"/>
      <c r="C18" s="467"/>
      <c r="D18" s="485"/>
      <c r="E18" s="3050" t="s">
        <v>2221</v>
      </c>
      <c r="F18" s="2584"/>
      <c r="G18" s="2584"/>
      <c r="H18" s="2584"/>
      <c r="I18" s="2584"/>
      <c r="J18" s="2584"/>
      <c r="K18" s="2584"/>
      <c r="L18" s="2584"/>
      <c r="M18" s="2584"/>
      <c r="N18" s="2584"/>
      <c r="O18" s="481"/>
      <c r="P18" s="481"/>
      <c r="Q18" s="1249"/>
      <c r="AA18" s="1435"/>
      <c r="AB18" s="1435"/>
      <c r="AO18" s="1121" t="b">
        <f t="shared" si="0"/>
        <v>0</v>
      </c>
    </row>
    <row r="19" spans="1:41" ht="12.75" customHeight="1" thickBot="1">
      <c r="B19" s="1124"/>
      <c r="C19" s="482"/>
      <c r="D19" s="482"/>
      <c r="E19" s="707" t="s">
        <v>920</v>
      </c>
      <c r="F19" s="518"/>
      <c r="G19" s="663" t="str">
        <f>EUconst_Unit</f>
        <v>Unit</v>
      </c>
      <c r="H19" s="578">
        <f t="shared" ref="H19:N19" si="1">H$1190</f>
        <v>2024</v>
      </c>
      <c r="I19" s="697">
        <f t="shared" si="1"/>
        <v>2025</v>
      </c>
      <c r="J19" s="1890">
        <f t="shared" si="1"/>
        <v>2026</v>
      </c>
      <c r="K19" s="1677">
        <f t="shared" si="1"/>
        <v>2027</v>
      </c>
      <c r="L19" s="1677">
        <f t="shared" si="1"/>
        <v>2028</v>
      </c>
      <c r="M19" s="1677">
        <f t="shared" si="1"/>
        <v>2029</v>
      </c>
      <c r="N19" s="1677">
        <f t="shared" si="1"/>
        <v>2030</v>
      </c>
      <c r="O19" s="481"/>
      <c r="P19" s="481"/>
      <c r="Q19" s="1504" t="s">
        <v>546</v>
      </c>
      <c r="T19" s="1638">
        <f t="shared" ref="T19:Z19" si="2">H19</f>
        <v>2024</v>
      </c>
      <c r="U19" s="1638">
        <f t="shared" si="2"/>
        <v>2025</v>
      </c>
      <c r="V19" s="1638">
        <f t="shared" si="2"/>
        <v>2026</v>
      </c>
      <c r="W19" s="1638">
        <f t="shared" si="2"/>
        <v>2027</v>
      </c>
      <c r="X19" s="1638">
        <f t="shared" si="2"/>
        <v>2028</v>
      </c>
      <c r="Y19" s="1638">
        <f t="shared" si="2"/>
        <v>2029</v>
      </c>
      <c r="Z19" s="1638">
        <f t="shared" si="2"/>
        <v>2030</v>
      </c>
      <c r="AA19" s="1435"/>
      <c r="AB19" s="1435"/>
      <c r="AO19" s="1121" t="b">
        <f t="shared" si="0"/>
        <v>0</v>
      </c>
    </row>
    <row r="20" spans="1:41" ht="12.75" customHeight="1" thickBot="1">
      <c r="B20" s="1124"/>
      <c r="C20" s="485"/>
      <c r="D20" s="561" t="s">
        <v>6</v>
      </c>
      <c r="E20" s="3296" t="str">
        <f>I12</f>
        <v>Heat benchmark sub-installation, CL</v>
      </c>
      <c r="F20" s="3296"/>
      <c r="G20" s="898" t="str">
        <f>INDEX(EUconst_FallBackListUnits,MATCH(E20,EUconst_FallBackListNames,0))</f>
        <v>TJ</v>
      </c>
      <c r="H20" s="668" t="str">
        <f>IF($M12&lt;&gt;EUconst_Relevant,"",IF(H19&gt;=CNTR_ReportingYear,"",IF(AND(H19&gt;=$V12-1,ISNUMBER(INDEX(E_EnergyFlows!H$400:H$406,MATCH($E20,E_EnergyFlows!$E$400:$E$406,0)))),INDEX(E_EnergyFlows!H$400:H$406,MATCH($E20,E_EnergyFlows!$E$400:$E$406,0)),0)))</f>
        <v/>
      </c>
      <c r="I20" s="1021" t="str">
        <f>IF($M12&lt;&gt;EUconst_Relevant,"",IF(I19&gt;=CNTR_ReportingYear,"",IF(AND(I19&gt;=$V12-1,ISNUMBER(INDEX(E_EnergyFlows!I$400:I$406,MATCH($E20,E_EnergyFlows!$E$400:$E$406,0)))),INDEX(E_EnergyFlows!I$400:I$406,MATCH($E20,E_EnergyFlows!$E$400:$E$406,0)),0)))</f>
        <v/>
      </c>
      <c r="J20" s="1891" t="str">
        <f>IF($M12&lt;&gt;EUconst_Relevant,"",IF(J19&gt;=CNTR_ReportingYear,"",IF(AND(J19&gt;=$V12-1,ISNUMBER(INDEX(E_EnergyFlows!J$400:J$406,MATCH($E20,E_EnergyFlows!$E$400:$E$406,0)))),INDEX(E_EnergyFlows!J$400:J$406,MATCH($E20,E_EnergyFlows!$E$400:$E$406,0)),0)))</f>
        <v/>
      </c>
      <c r="K20" s="1684" t="str">
        <f>IF($M12&lt;&gt;EUconst_Relevant,"",IF(K19&gt;=CNTR_ReportingYear,"",IF(AND(K19&gt;=$V12-1,ISNUMBER(INDEX(E_EnergyFlows!K$400:K$406,MATCH($E20,E_EnergyFlows!$E$400:$E$406,0)))),INDEX(E_EnergyFlows!K$400:K$406,MATCH($E20,E_EnergyFlows!$E$400:$E$406,0)),0)))</f>
        <v/>
      </c>
      <c r="L20" s="1684" t="str">
        <f>IF($M12&lt;&gt;EUconst_Relevant,"",IF(L19&gt;=CNTR_ReportingYear,"",IF(AND(L19&gt;=$V12-1,ISNUMBER(INDEX(E_EnergyFlows!L$400:L$406,MATCH($E20,E_EnergyFlows!$E$400:$E$406,0)))),INDEX(E_EnergyFlows!L$400:L$406,MATCH($E20,E_EnergyFlows!$E$400:$E$406,0)),0)))</f>
        <v/>
      </c>
      <c r="M20" s="1684" t="str">
        <f>IF($M12&lt;&gt;EUconst_Relevant,"",IF(M19&gt;=CNTR_ReportingYear,"",IF(AND(M19&gt;=$V12-1,ISNUMBER(INDEX(E_EnergyFlows!M$400:M$406,MATCH($E20,E_EnergyFlows!$E$400:$E$406,0)))),INDEX(E_EnergyFlows!M$400:M$406,MATCH($E20,E_EnergyFlows!$E$400:$E$406,0)),0)))</f>
        <v/>
      </c>
      <c r="N20" s="1684" t="str">
        <f>IF($M12&lt;&gt;EUconst_Relevant,"",IF(N19&gt;=CNTR_ReportingYear,"",IF(AND(N19&gt;=$V12-1,ISNUMBER(INDEX(E_EnergyFlows!N$400:N$406,MATCH($E20,E_EnergyFlows!$E$400:$E$406,0)))),INDEX(E_EnergyFlows!N$400:N$406,MATCH($E20,E_EnergyFlows!$E$400:$E$406,0)),0)))</f>
        <v/>
      </c>
      <c r="O20" s="1136"/>
      <c r="P20" s="481"/>
      <c r="Q20" s="1892" t="str">
        <f>EUconst_CNTR_HAL&amp;E20</f>
        <v>HAL_Heat benchmark sub-installation, CL</v>
      </c>
      <c r="S20" s="1893" t="s">
        <v>1674</v>
      </c>
      <c r="T20" s="1981" t="b">
        <f t="shared" ref="T20:Z20" si="3">AND($M12=EUconst_Relevant,T19&lt;CNTR_ReportingYear,T19&gt;=$V12-1)</f>
        <v>0</v>
      </c>
      <c r="U20" s="1982" t="b">
        <f t="shared" si="3"/>
        <v>0</v>
      </c>
      <c r="V20" s="1982" t="b">
        <f t="shared" si="3"/>
        <v>0</v>
      </c>
      <c r="W20" s="1982" t="b">
        <f t="shared" si="3"/>
        <v>0</v>
      </c>
      <c r="X20" s="1982" t="b">
        <f t="shared" si="3"/>
        <v>0</v>
      </c>
      <c r="Y20" s="1982" t="b">
        <f t="shared" si="3"/>
        <v>0</v>
      </c>
      <c r="Z20" s="1983" t="b">
        <f t="shared" si="3"/>
        <v>0</v>
      </c>
      <c r="AC20" s="1893"/>
      <c r="AK20" s="1633" t="s">
        <v>1951</v>
      </c>
      <c r="AL20" s="1443" t="str">
        <f>IF(COUNTIFS(H19:N19,"&lt;"&amp;YEAR(SUM(T12)),H20:N20,"&gt;"&amp;0)&gt;0,EUconst_Error&amp;"FB"&amp;Q12,"")</f>
        <v/>
      </c>
      <c r="AO20" s="1121" t="b">
        <f t="shared" si="0"/>
        <v>0</v>
      </c>
    </row>
    <row r="21" spans="1:41" ht="5.0999999999999996" customHeight="1">
      <c r="B21" s="479"/>
      <c r="C21" s="479"/>
      <c r="D21" s="485"/>
      <c r="E21" s="485"/>
      <c r="F21" s="485"/>
      <c r="G21" s="485"/>
      <c r="H21" s="485"/>
      <c r="I21" s="485"/>
      <c r="J21" s="485"/>
      <c r="K21" s="485"/>
      <c r="L21" s="485"/>
      <c r="M21" s="485"/>
      <c r="N21" s="485"/>
      <c r="O21" s="485"/>
      <c r="P21" s="481"/>
      <c r="Q21" s="1435"/>
      <c r="S21" s="1435"/>
      <c r="T21" s="1435"/>
      <c r="Z21" s="1435"/>
      <c r="AB21" s="1435"/>
      <c r="AO21" s="1121" t="b">
        <f t="shared" si="0"/>
        <v>0</v>
      </c>
    </row>
    <row r="22" spans="1:41" ht="30" customHeight="1">
      <c r="B22" s="479"/>
      <c r="C22" s="479"/>
      <c r="D22" s="485"/>
      <c r="E22" s="2385" t="s">
        <v>2564</v>
      </c>
      <c r="F22" s="2846"/>
      <c r="G22" s="2846"/>
      <c r="H22" s="2846"/>
      <c r="I22" s="2846"/>
      <c r="J22" s="2846"/>
      <c r="K22" s="2846"/>
      <c r="L22" s="2846"/>
      <c r="M22" s="2846"/>
      <c r="N22" s="2846"/>
      <c r="O22" s="485"/>
      <c r="P22" s="481"/>
      <c r="Q22" s="1435"/>
      <c r="S22" s="1435"/>
      <c r="T22" s="1435"/>
      <c r="U22" s="1435"/>
      <c r="AE22" s="1198"/>
      <c r="AF22" s="1198"/>
      <c r="AG22" s="1198"/>
      <c r="AH22" s="1198"/>
      <c r="AI22" s="1198"/>
      <c r="AJ22" s="1198"/>
      <c r="AK22" s="1198"/>
      <c r="AL22" s="1198"/>
      <c r="AO22" s="1121" t="b">
        <f t="shared" si="0"/>
        <v>0</v>
      </c>
    </row>
    <row r="23" spans="1:41" ht="12.75" customHeight="1">
      <c r="B23" s="479"/>
      <c r="C23" s="479"/>
      <c r="D23" s="485"/>
      <c r="E23" s="901" t="s">
        <v>1021</v>
      </c>
      <c r="F23" s="3050" t="s">
        <v>2711</v>
      </c>
      <c r="G23" s="2584"/>
      <c r="H23" s="2584"/>
      <c r="I23" s="2584"/>
      <c r="J23" s="2584"/>
      <c r="K23" s="2584"/>
      <c r="L23" s="2584"/>
      <c r="M23" s="2584"/>
      <c r="N23" s="2584"/>
      <c r="O23" s="485"/>
      <c r="P23" s="481"/>
      <c r="Q23" s="1435"/>
      <c r="S23" s="1435"/>
      <c r="T23" s="1435"/>
      <c r="U23" s="1435"/>
      <c r="AE23" s="1198"/>
      <c r="AF23" s="1198"/>
      <c r="AG23" s="1198"/>
      <c r="AH23" s="1198"/>
      <c r="AI23" s="1198"/>
      <c r="AJ23" s="1198"/>
      <c r="AK23" s="1198"/>
      <c r="AL23" s="1198"/>
      <c r="AO23" s="1121" t="b">
        <f t="shared" si="0"/>
        <v>0</v>
      </c>
    </row>
    <row r="24" spans="1:41" ht="12.75" customHeight="1">
      <c r="B24" s="479"/>
      <c r="C24" s="479"/>
      <c r="D24" s="485"/>
      <c r="E24" s="901" t="s">
        <v>1021</v>
      </c>
      <c r="F24" s="3050" t="s">
        <v>1985</v>
      </c>
      <c r="G24" s="2584"/>
      <c r="H24" s="2584"/>
      <c r="I24" s="2584"/>
      <c r="J24" s="2584"/>
      <c r="K24" s="2584"/>
      <c r="L24" s="2584"/>
      <c r="M24" s="2584"/>
      <c r="N24" s="2584"/>
      <c r="O24" s="485"/>
      <c r="P24" s="481"/>
      <c r="Q24" s="1435"/>
      <c r="S24" s="1435"/>
      <c r="T24" s="1435"/>
      <c r="U24" s="1435"/>
      <c r="AE24" s="1198"/>
      <c r="AF24" s="1198"/>
      <c r="AG24" s="1198"/>
      <c r="AH24" s="1198"/>
      <c r="AI24" s="1198"/>
      <c r="AJ24" s="1198"/>
      <c r="AK24" s="1198"/>
      <c r="AL24" s="1198"/>
      <c r="AO24" s="1121" t="b">
        <f t="shared" si="0"/>
        <v>0</v>
      </c>
    </row>
    <row r="25" spans="1:41" ht="12.75" customHeight="1" thickBot="1">
      <c r="B25" s="479"/>
      <c r="C25" s="479"/>
      <c r="D25" s="485"/>
      <c r="E25" s="901" t="s">
        <v>2738</v>
      </c>
      <c r="F25" s="3050" t="s">
        <v>2739</v>
      </c>
      <c r="G25" s="2584"/>
      <c r="H25" s="2584"/>
      <c r="I25" s="2584"/>
      <c r="J25" s="2584"/>
      <c r="K25" s="2584"/>
      <c r="L25" s="2584"/>
      <c r="M25" s="2584"/>
      <c r="N25" s="2584"/>
      <c r="O25" s="485"/>
      <c r="P25" s="481"/>
      <c r="Q25" s="1435"/>
      <c r="S25" s="1435"/>
      <c r="T25" s="1435"/>
      <c r="U25" s="1435"/>
      <c r="AE25" s="1198"/>
      <c r="AF25" s="1198"/>
      <c r="AG25" s="1198"/>
      <c r="AH25" s="1198"/>
      <c r="AI25" s="1198"/>
      <c r="AJ25" s="1198"/>
      <c r="AK25" s="1198"/>
      <c r="AL25" s="1198"/>
      <c r="AO25" s="1121" t="b">
        <f t="shared" si="0"/>
        <v>0</v>
      </c>
    </row>
    <row r="26" spans="1:41" ht="5.0999999999999996" customHeight="1" thickBot="1">
      <c r="B26" s="479"/>
      <c r="C26" s="479"/>
      <c r="D26" s="902"/>
      <c r="E26" s="903"/>
      <c r="F26" s="904"/>
      <c r="G26" s="905"/>
      <c r="H26" s="905"/>
      <c r="I26" s="905"/>
      <c r="J26" s="906"/>
      <c r="K26" s="1798"/>
      <c r="L26" s="1798"/>
      <c r="M26" s="1798"/>
      <c r="N26" s="1798"/>
      <c r="O26" s="485"/>
      <c r="P26" s="481"/>
      <c r="Q26" s="1435"/>
      <c r="S26" s="1435"/>
      <c r="T26" s="1435"/>
      <c r="U26" s="1435"/>
      <c r="AE26" s="1198"/>
      <c r="AF26" s="1198"/>
      <c r="AG26" s="1198"/>
      <c r="AH26" s="1198"/>
      <c r="AI26" s="1198"/>
      <c r="AJ26" s="1198"/>
      <c r="AK26" s="1198"/>
      <c r="AL26" s="1198"/>
      <c r="AO26" s="1121" t="b">
        <f t="shared" si="0"/>
        <v>0</v>
      </c>
    </row>
    <row r="27" spans="1:41" ht="12.75" customHeight="1">
      <c r="B27" s="479"/>
      <c r="C27" s="479"/>
      <c r="D27" s="918"/>
      <c r="E27" s="908" t="s">
        <v>1652</v>
      </c>
      <c r="F27" s="909"/>
      <c r="G27" s="909"/>
      <c r="H27" s="910" t="str">
        <f>EUconst_Unit</f>
        <v>Unit</v>
      </c>
      <c r="I27" s="911" t="s">
        <v>2212</v>
      </c>
      <c r="J27" s="1647">
        <f>J$1190</f>
        <v>2026</v>
      </c>
      <c r="K27" s="1490">
        <f>K$1190</f>
        <v>2027</v>
      </c>
      <c r="L27" s="1490">
        <f>L$1190</f>
        <v>2028</v>
      </c>
      <c r="M27" s="1490">
        <f>M$1190</f>
        <v>2029</v>
      </c>
      <c r="N27" s="1490">
        <f>N$1190</f>
        <v>2030</v>
      </c>
      <c r="O27" s="485"/>
      <c r="P27" s="481"/>
      <c r="Q27" s="1435"/>
      <c r="S27" s="1435"/>
      <c r="T27" s="1435"/>
      <c r="U27" s="1648"/>
      <c r="V27" s="1649">
        <f>J27</f>
        <v>2026</v>
      </c>
      <c r="W27" s="1649">
        <f>K27</f>
        <v>2027</v>
      </c>
      <c r="X27" s="1649">
        <f>L27</f>
        <v>2028</v>
      </c>
      <c r="Y27" s="1649">
        <f>M27</f>
        <v>2029</v>
      </c>
      <c r="Z27" s="1650">
        <f>N27</f>
        <v>2030</v>
      </c>
      <c r="AB27" s="1435"/>
      <c r="AO27" s="1121" t="b">
        <f t="shared" si="0"/>
        <v>0</v>
      </c>
    </row>
    <row r="28" spans="1:41" ht="12.75" customHeight="1">
      <c r="B28" s="479"/>
      <c r="C28" s="479"/>
      <c r="D28" s="915" t="s">
        <v>7</v>
      </c>
      <c r="E28" s="916" t="s">
        <v>1976</v>
      </c>
      <c r="F28" s="916"/>
      <c r="G28" s="916"/>
      <c r="H28" s="944" t="str">
        <f>G20</f>
        <v>TJ</v>
      </c>
      <c r="I28" s="800" t="str">
        <f>IF(V12&gt;($J$1190-3),EUconst_NA,INDEX('B+C_SubInstallations'!$I:$I,MATCH(Q28,'B+C_SubInstallations'!$T:$T,0)))</f>
        <v/>
      </c>
      <c r="J28" s="1894" t="str">
        <f>IF(AND(V28&gt;=3,CNTR_ReportingYear&gt;J27-1),AVERAGE(SUM(H20),SUM(I20)),"")</f>
        <v/>
      </c>
      <c r="K28" s="1895" t="str">
        <f>IF(AND(W28&gt;=3,CNTR_ReportingYear&gt;K27-1),AVERAGE(SUM(I20),SUM(J20)),"")</f>
        <v/>
      </c>
      <c r="L28" s="1895" t="str">
        <f>IF(AND(X28&gt;=3,CNTR_ReportingYear&gt;L27-1),AVERAGE(SUM(J20),SUM(K20)),"")</f>
        <v/>
      </c>
      <c r="M28" s="1895" t="str">
        <f>IF(AND(Y28&gt;=3,CNTR_ReportingYear&gt;M27-1),AVERAGE(SUM(K20),SUM(L20)),"")</f>
        <v/>
      </c>
      <c r="N28" s="1895" t="str">
        <f>IF(AND(Z28&gt;=3,CNTR_ReportingYear&gt;N27-1),AVERAGE(SUM(L20),SUM(M20)),"")</f>
        <v/>
      </c>
      <c r="O28" s="485"/>
      <c r="P28" s="481"/>
      <c r="Q28" s="1704" t="str">
        <f>EUconst_CNTR_HALinitial&amp;I12</f>
        <v>HALini_Heat benchmark sub-installation, CL</v>
      </c>
      <c r="S28" s="1435"/>
      <c r="T28" s="1435"/>
      <c r="U28" s="1693" t="s">
        <v>1650</v>
      </c>
      <c r="V28" s="1251">
        <f>IF($M12&lt;&gt;EUconst_Relevant,0,V27-$V12+1)</f>
        <v>0</v>
      </c>
      <c r="W28" s="1251">
        <f>IF($M12&lt;&gt;EUconst_Relevant,0,W27-$V12+1)</f>
        <v>0</v>
      </c>
      <c r="X28" s="1251">
        <f>IF($M12&lt;&gt;EUconst_Relevant,0,X27-$V12+1)</f>
        <v>0</v>
      </c>
      <c r="Y28" s="1251">
        <f>IF($M12&lt;&gt;EUconst_Relevant,0,Y27-$V12+1)</f>
        <v>0</v>
      </c>
      <c r="Z28" s="1896">
        <f>IF($M12&lt;&gt;EUconst_Relevant,0,Z27-$V12+1)</f>
        <v>0</v>
      </c>
      <c r="AB28" s="1435"/>
      <c r="AO28" s="1121" t="b">
        <f t="shared" si="0"/>
        <v>0</v>
      </c>
    </row>
    <row r="29" spans="1:41" ht="12.75" hidden="1" customHeight="1">
      <c r="A29" s="618" t="s">
        <v>2289</v>
      </c>
      <c r="B29" s="479"/>
      <c r="C29" s="479"/>
      <c r="D29" s="915"/>
      <c r="E29" s="916" t="s">
        <v>1648</v>
      </c>
      <c r="F29" s="916"/>
      <c r="G29" s="916"/>
      <c r="H29" s="921"/>
      <c r="I29" s="1657"/>
      <c r="J29" s="17" t="str">
        <f>IF(J28="","",IF($I31=0,IF(J28=0,0%,100%),J28/$I31-1))</f>
        <v/>
      </c>
      <c r="K29" s="22" t="str">
        <f>IF(K28="","",IF($I31=0,IF(K28=0,0%,100%),K28/$I31-1))</f>
        <v/>
      </c>
      <c r="L29" s="22" t="str">
        <f>IF(L28="","",IF($I31=0,IF(L28=0,0%,100%),L28/$I31-1))</f>
        <v/>
      </c>
      <c r="M29" s="22" t="str">
        <f>IF(M28="","",IF($I31=0,IF(M28=0,0%,100%),M28/$I31-1))</f>
        <v/>
      </c>
      <c r="N29" s="22" t="str">
        <f>IF(N28="","",IF($I31=0,IF(N28=0,0%,100%),N28/$I31-1))</f>
        <v/>
      </c>
      <c r="O29" s="485"/>
      <c r="P29" s="481"/>
      <c r="Q29" s="1644" t="str">
        <f>EUconst_CNTR_RelThreshold &amp;I12</f>
        <v>RelThresh_Heat benchmark sub-installation, CL</v>
      </c>
      <c r="S29" s="1435"/>
      <c r="T29" s="1435"/>
      <c r="U29" s="1693" t="s">
        <v>1655</v>
      </c>
      <c r="V29" s="1158" t="str">
        <f>IF(J28="","",ABS(J29)&gt;15%)</f>
        <v/>
      </c>
      <c r="W29" s="1158" t="str">
        <f>IF(K28="","",ABS(K29)&gt;15%)</f>
        <v/>
      </c>
      <c r="X29" s="1158" t="str">
        <f>IF(L28="","",ABS(L29)&gt;15%)</f>
        <v/>
      </c>
      <c r="Y29" s="1158" t="str">
        <f>IF(M28="","",ABS(M29)&gt;15%)</f>
        <v/>
      </c>
      <c r="Z29" s="1656" t="str">
        <f>IF(N28="","",ABS(N29)&gt;15%)</f>
        <v/>
      </c>
      <c r="AB29" s="1435"/>
      <c r="AO29" s="1121" t="b">
        <f t="shared" si="0"/>
        <v>0</v>
      </c>
    </row>
    <row r="30" spans="1:41" ht="12.75" customHeight="1">
      <c r="A30" s="618"/>
      <c r="B30" s="479"/>
      <c r="C30" s="479"/>
      <c r="D30" s="915" t="s">
        <v>8</v>
      </c>
      <c r="E30" s="916" t="s">
        <v>1654</v>
      </c>
      <c r="F30" s="916"/>
      <c r="G30" s="916"/>
      <c r="H30" s="921"/>
      <c r="I30" s="1657"/>
      <c r="J30" s="1658" t="str">
        <f>IF(J28="","",IF(V29=FALSE,0%,IF(V30,J29,I168)))</f>
        <v/>
      </c>
      <c r="K30" s="1795" t="str">
        <f>IF(K28="","",IF(W29=FALSE,0%,IF(W30,K29,J168)))</f>
        <v/>
      </c>
      <c r="L30" s="1795" t="str">
        <f>IF(L28="","",IF(X29=FALSE,0%,IF(X30,L29,K168)))</f>
        <v/>
      </c>
      <c r="M30" s="1795" t="str">
        <f>IF(M28="","",IF(Y29=FALSE,0%,IF(Y30,M29,L168)))</f>
        <v/>
      </c>
      <c r="N30" s="1795" t="str">
        <f>IF(N28="","",IF(Z29=FALSE,0%,IF(Z30,N29,M168)))</f>
        <v/>
      </c>
      <c r="O30" s="485"/>
      <c r="P30" s="481"/>
      <c r="Q30" s="1435"/>
      <c r="S30" s="1435"/>
      <c r="T30" s="1435"/>
      <c r="U30" s="1693" t="s">
        <v>1656</v>
      </c>
      <c r="V30" s="1158" t="str">
        <f>IF(J28="","",AND(V29,IF(SUM(I168)&lt;0,OR(SUM(J29)&lt;SUM(I168)-MOD(SUM(I168),5%),J29&gt;=SUM(I168)+5%-MOD(SUM(I168),5%)),OR(SUM(J29)&lt;=SUM(I168)-MOD(SUM(I168),5%),SUM(J29)&gt;SUM(I168)+5%-MOD(SUM(I168),5%)))))</f>
        <v/>
      </c>
      <c r="W30" s="1158" t="str">
        <f>IF(K28="","",AND(W29,IF(SUM(J168)&lt;0,OR(SUM(K29)&lt;SUM(J168)-MOD(SUM(J168),5%),K29&gt;=SUM(J168)+5%-MOD(SUM(J168),5%)),OR(SUM(K29)&lt;=SUM(J168)-MOD(SUM(J168),5%),SUM(K29)&gt;SUM(J168)+5%-MOD(SUM(J168),5%)))))</f>
        <v/>
      </c>
      <c r="X30" s="1158" t="str">
        <f>IF(L28="","",AND(X29,IF(SUM(K168)&lt;0,OR(SUM(L29)&lt;SUM(K168)-MOD(SUM(K168),5%),L29&gt;=SUM(K168)+5%-MOD(SUM(K168),5%)),OR(SUM(L29)&lt;=SUM(K168)-MOD(SUM(K168),5%),SUM(L29)&gt;SUM(K168)+5%-MOD(SUM(K168),5%)))))</f>
        <v/>
      </c>
      <c r="Y30" s="1158" t="str">
        <f>IF(M28="","",AND(Y29,IF(SUM(L168)&lt;0,OR(SUM(M29)&lt;SUM(L168)-MOD(SUM(L168),5%),M29&gt;=SUM(L168)+5%-MOD(SUM(L168),5%)),OR(SUM(M29)&lt;=SUM(L168)-MOD(SUM(L168),5%),SUM(M29)&gt;SUM(L168)+5%-MOD(SUM(L168),5%)))))</f>
        <v/>
      </c>
      <c r="Z30" s="1656" t="str">
        <f>IF(N28="","",AND(Z29,IF(SUM(M168)&lt;0,OR(SUM(N29)&lt;SUM(M168)-MOD(SUM(M168),5%),N29&gt;=SUM(M168)+5%-MOD(SUM(M168),5%)),OR(SUM(N29)&lt;=SUM(M168)-MOD(SUM(M168),5%),SUM(N29)&gt;SUM(M168)+5%-MOD(SUM(M168),5%)))))</f>
        <v/>
      </c>
      <c r="AB30" s="1435"/>
      <c r="AO30" s="1121" t="b">
        <f t="shared" si="0"/>
        <v>0</v>
      </c>
    </row>
    <row r="31" spans="1:41" ht="12.75" customHeight="1" thickBot="1">
      <c r="A31" s="618"/>
      <c r="B31" s="479"/>
      <c r="C31" s="479"/>
      <c r="D31" s="915" t="s">
        <v>18</v>
      </c>
      <c r="E31" s="916" t="s">
        <v>1647</v>
      </c>
      <c r="F31" s="916"/>
      <c r="G31" s="916"/>
      <c r="H31" s="944" t="str">
        <f>H28</f>
        <v>TJ</v>
      </c>
      <c r="I31" s="800" t="str">
        <f>IF(M12&lt;&gt;EUconst_Relevant,"",IF(AB12=FALSE,EUconst_NA,IF(V12&gt;($J$1190-3),INDEX(H20:N20,MATCH($V12,H19:N19,0)),I28)))</f>
        <v/>
      </c>
      <c r="J31" s="1894" t="str">
        <f>IF($M12&lt;&gt;EUconst_Relevant,"",IF(V28&lt;2,SUM(J20),IF(V28&lt;3,SUM(I20),IF(V31="",I31,V31))))</f>
        <v/>
      </c>
      <c r="K31" s="1895" t="str">
        <f>IF($M12&lt;&gt;EUconst_Relevant,"",IF(W28&lt;2,SUM(K20),IF(W28&lt;3,SUM(J20),IF(W31="",J31,W31))))</f>
        <v/>
      </c>
      <c r="L31" s="1895" t="str">
        <f>IF($M12&lt;&gt;EUconst_Relevant,"",IF(X28&lt;2,SUM(L20),IF(X28&lt;3,SUM(K20),IF(X31="",K31,X31))))</f>
        <v/>
      </c>
      <c r="M31" s="1895" t="str">
        <f>IF($M12&lt;&gt;EUconst_Relevant,"",IF(Y28&lt;2,SUM(M20),IF(Y28&lt;3,SUM(L20),IF(Y31="",L31,Y31))))</f>
        <v/>
      </c>
      <c r="N31" s="1895" t="str">
        <f>IF($M12&lt;&gt;EUconst_Relevant,"",IF(Z28&lt;2,SUM(N20),IF(Z28&lt;3,SUM(M20),IF(Z31="",M31,Z31))))</f>
        <v/>
      </c>
      <c r="O31" s="1136"/>
      <c r="P31" s="481"/>
      <c r="Q31" s="1644" t="str">
        <f>EUconst_CNTR_HALprelim&amp;I12</f>
        <v>HALprelim_Heat benchmark sub-installation, CL</v>
      </c>
      <c r="S31" s="1435"/>
      <c r="T31" s="1435"/>
      <c r="U31" s="1897" t="s">
        <v>1651</v>
      </c>
      <c r="V31" s="1898" t="str">
        <f>IF(J28="","",IF(CNTR_ReportingYear&lt;J27,I30,IF($I31=0,J28,$I31*(1+J30))))</f>
        <v/>
      </c>
      <c r="W31" s="1898" t="str">
        <f>IF(K28="","",IF(CNTR_ReportingYear&lt;K27,J30,IF($I31=0,K28,$I31*(1+K30))))</f>
        <v/>
      </c>
      <c r="X31" s="1898" t="str">
        <f>IF(L28="","",IF(CNTR_ReportingYear&lt;L27,K30,IF($I31=0,L28,$I31*(1+L30))))</f>
        <v/>
      </c>
      <c r="Y31" s="1898" t="str">
        <f>IF(M28="","",IF(CNTR_ReportingYear&lt;M27,L30,IF($I31=0,M28,$I31*(1+M30))))</f>
        <v/>
      </c>
      <c r="Z31" s="1899" t="str">
        <f>IF(N28="","",IF(CNTR_ReportingYear&lt;N27,M30,IF($I31=0,N28,$I31*(1+N30))))</f>
        <v/>
      </c>
      <c r="AO31" s="1121" t="b">
        <f t="shared" si="0"/>
        <v>0</v>
      </c>
    </row>
    <row r="32" spans="1:41" ht="5.0999999999999996" customHeight="1" thickBot="1">
      <c r="A32" s="618"/>
      <c r="B32" s="1124"/>
      <c r="C32" s="467"/>
      <c r="D32" s="1022"/>
      <c r="E32" s="1023"/>
      <c r="F32" s="1023"/>
      <c r="G32" s="1023"/>
      <c r="H32" s="1023"/>
      <c r="I32" s="1023"/>
      <c r="J32" s="1024"/>
      <c r="K32" s="1900"/>
      <c r="L32" s="1900"/>
      <c r="M32" s="1900"/>
      <c r="N32" s="1900"/>
      <c r="O32" s="481"/>
      <c r="P32" s="481"/>
      <c r="S32" s="1435"/>
      <c r="T32" s="1435"/>
      <c r="Z32" s="1435"/>
      <c r="AA32" s="1435"/>
      <c r="AB32" s="1435"/>
      <c r="AO32" s="1121" t="b">
        <f t="shared" si="0"/>
        <v>0</v>
      </c>
    </row>
    <row r="33" spans="2:41" ht="5.0999999999999996" customHeight="1">
      <c r="B33" s="1124"/>
      <c r="C33" s="467"/>
      <c r="D33" s="467"/>
      <c r="E33" s="467"/>
      <c r="F33" s="467"/>
      <c r="G33" s="467"/>
      <c r="H33" s="467"/>
      <c r="I33" s="467"/>
      <c r="J33" s="467"/>
      <c r="K33" s="467"/>
      <c r="L33" s="467"/>
      <c r="M33" s="467"/>
      <c r="N33" s="467"/>
      <c r="O33" s="481"/>
      <c r="P33" s="481"/>
      <c r="S33" s="1435"/>
      <c r="AO33" s="1121" t="b">
        <f t="shared" si="0"/>
        <v>0</v>
      </c>
    </row>
    <row r="34" spans="2:41" ht="13.9" customHeight="1">
      <c r="B34" s="1124"/>
      <c r="C34" s="1025"/>
      <c r="D34" s="2482" t="s">
        <v>103</v>
      </c>
      <c r="E34" s="2400"/>
      <c r="F34" s="2400"/>
      <c r="G34" s="2400"/>
      <c r="H34" s="2400"/>
      <c r="I34" s="2400"/>
      <c r="J34" s="2400"/>
      <c r="K34" s="2400"/>
      <c r="L34" s="2400"/>
      <c r="M34" s="2400"/>
      <c r="N34" s="2400"/>
      <c r="O34" s="481"/>
      <c r="P34" s="481"/>
      <c r="AO34" s="1121" t="b">
        <f t="shared" si="0"/>
        <v>0</v>
      </c>
    </row>
    <row r="35" spans="2:41" ht="5.0999999999999996" customHeight="1">
      <c r="B35" s="467"/>
      <c r="C35" s="467"/>
      <c r="D35" s="467"/>
      <c r="E35" s="467"/>
      <c r="F35" s="467"/>
      <c r="G35" s="467"/>
      <c r="H35" s="467"/>
      <c r="I35" s="467"/>
      <c r="J35" s="467"/>
      <c r="K35" s="467"/>
      <c r="L35" s="467"/>
      <c r="M35" s="467"/>
      <c r="N35" s="467"/>
      <c r="O35" s="481"/>
      <c r="P35" s="481"/>
      <c r="Q35" s="1249"/>
      <c r="R35" s="1249"/>
      <c r="AO35" s="1121" t="b">
        <f t="shared" si="0"/>
        <v>0</v>
      </c>
    </row>
    <row r="36" spans="2:41" ht="12.75" customHeight="1">
      <c r="B36" s="467"/>
      <c r="C36" s="482"/>
      <c r="D36" s="482" t="s">
        <v>876</v>
      </c>
      <c r="E36" s="2373" t="s">
        <v>298</v>
      </c>
      <c r="F36" s="2400"/>
      <c r="G36" s="2400"/>
      <c r="H36" s="2400"/>
      <c r="I36" s="2400"/>
      <c r="J36" s="2400"/>
      <c r="K36" s="2400"/>
      <c r="L36" s="2400"/>
      <c r="M36" s="2400"/>
      <c r="N36" s="2400"/>
      <c r="O36" s="481"/>
      <c r="P36" s="481"/>
      <c r="Q36" s="1249"/>
      <c r="AO36" s="1121" t="b">
        <f t="shared" si="0"/>
        <v>0</v>
      </c>
    </row>
    <row r="37" spans="2:41" ht="12.75" customHeight="1">
      <c r="B37" s="467"/>
      <c r="C37" s="485"/>
      <c r="D37" s="485"/>
      <c r="E37" s="2385" t="s">
        <v>925</v>
      </c>
      <c r="F37" s="2846"/>
      <c r="G37" s="2846"/>
      <c r="H37" s="2846"/>
      <c r="I37" s="2846"/>
      <c r="J37" s="2846"/>
      <c r="K37" s="2846"/>
      <c r="L37" s="2846"/>
      <c r="M37" s="2846"/>
      <c r="N37" s="2846"/>
      <c r="O37" s="481"/>
      <c r="P37" s="481"/>
      <c r="Q37" s="1249"/>
      <c r="R37" s="1249"/>
      <c r="S37" s="1249"/>
      <c r="AO37" s="1121" t="b">
        <f t="shared" si="0"/>
        <v>0</v>
      </c>
    </row>
    <row r="38" spans="2:41" ht="12.75" customHeight="1">
      <c r="B38" s="467"/>
      <c r="C38" s="485"/>
      <c r="D38" s="485"/>
      <c r="E38" s="1026" t="s">
        <v>926</v>
      </c>
      <c r="F38" s="2385" t="s">
        <v>927</v>
      </c>
      <c r="G38" s="2846"/>
      <c r="H38" s="2846"/>
      <c r="I38" s="2846"/>
      <c r="J38" s="2846"/>
      <c r="K38" s="2846"/>
      <c r="L38" s="2846"/>
      <c r="M38" s="2846"/>
      <c r="N38" s="2846"/>
      <c r="O38" s="481"/>
      <c r="P38" s="481"/>
      <c r="Q38" s="1249"/>
      <c r="R38" s="1249"/>
      <c r="S38" s="1249"/>
      <c r="AO38" s="1121" t="b">
        <f t="shared" si="0"/>
        <v>0</v>
      </c>
    </row>
    <row r="39" spans="2:41" ht="12.75" customHeight="1">
      <c r="B39" s="467"/>
      <c r="C39" s="485"/>
      <c r="D39" s="485"/>
      <c r="E39" s="1026" t="s">
        <v>926</v>
      </c>
      <c r="F39" s="2385" t="s">
        <v>1005</v>
      </c>
      <c r="G39" s="2846"/>
      <c r="H39" s="2846"/>
      <c r="I39" s="2846"/>
      <c r="J39" s="2846"/>
      <c r="K39" s="2846"/>
      <c r="L39" s="2846"/>
      <c r="M39" s="2846"/>
      <c r="N39" s="2846"/>
      <c r="O39" s="481"/>
      <c r="P39" s="481"/>
      <c r="Q39" s="1249"/>
      <c r="R39" s="1249"/>
      <c r="S39" s="1249"/>
      <c r="AO39" s="1121" t="b">
        <f t="shared" si="0"/>
        <v>0</v>
      </c>
    </row>
    <row r="40" spans="2:41" ht="27" customHeight="1">
      <c r="B40" s="467"/>
      <c r="C40" s="485"/>
      <c r="D40" s="485"/>
      <c r="E40" s="1026" t="s">
        <v>926</v>
      </c>
      <c r="F40" s="2385" t="s">
        <v>1228</v>
      </c>
      <c r="G40" s="2846"/>
      <c r="H40" s="2846"/>
      <c r="I40" s="2846"/>
      <c r="J40" s="2846"/>
      <c r="K40" s="2846"/>
      <c r="L40" s="2846"/>
      <c r="M40" s="2846"/>
      <c r="N40" s="2846"/>
      <c r="O40" s="481"/>
      <c r="P40" s="481"/>
      <c r="Q40" s="1249"/>
      <c r="R40" s="1249"/>
      <c r="S40" s="1249"/>
      <c r="AO40" s="1121" t="b">
        <f t="shared" si="0"/>
        <v>0</v>
      </c>
    </row>
    <row r="41" spans="2:41" ht="25.5" customHeight="1">
      <c r="B41" s="467"/>
      <c r="C41" s="485"/>
      <c r="D41" s="485"/>
      <c r="E41" s="2385" t="s">
        <v>1636</v>
      </c>
      <c r="F41" s="2846"/>
      <c r="G41" s="2846"/>
      <c r="H41" s="2846"/>
      <c r="I41" s="2846"/>
      <c r="J41" s="2846"/>
      <c r="K41" s="2846"/>
      <c r="L41" s="2846"/>
      <c r="M41" s="2846"/>
      <c r="N41" s="2846"/>
      <c r="O41" s="481"/>
      <c r="P41" s="481"/>
      <c r="Q41" s="1249"/>
      <c r="AO41" s="1121" t="b">
        <f t="shared" si="0"/>
        <v>0</v>
      </c>
    </row>
    <row r="42" spans="2:41" ht="12.75" customHeight="1">
      <c r="B42" s="467"/>
      <c r="C42" s="485"/>
      <c r="D42" s="485"/>
      <c r="E42" s="2385" t="s">
        <v>2119</v>
      </c>
      <c r="F42" s="2846"/>
      <c r="G42" s="2846"/>
      <c r="H42" s="2846"/>
      <c r="I42" s="2846"/>
      <c r="J42" s="2846"/>
      <c r="K42" s="2846"/>
      <c r="L42" s="2846"/>
      <c r="M42" s="2846"/>
      <c r="N42" s="2846"/>
      <c r="O42" s="481"/>
      <c r="P42" s="481"/>
      <c r="Q42" s="1249"/>
      <c r="AO42" s="1121" t="b">
        <f t="shared" si="0"/>
        <v>0</v>
      </c>
    </row>
    <row r="43" spans="2:41" ht="12.75" customHeight="1">
      <c r="B43" s="467"/>
      <c r="C43" s="485"/>
      <c r="D43" s="485"/>
      <c r="E43" s="2677" t="s">
        <v>2111</v>
      </c>
      <c r="F43" s="2722"/>
      <c r="G43" s="2722"/>
      <c r="H43" s="2722"/>
      <c r="I43" s="2722"/>
      <c r="J43" s="2722"/>
      <c r="K43" s="2722"/>
      <c r="L43" s="2722"/>
      <c r="M43" s="2722"/>
      <c r="N43" s="2722"/>
      <c r="O43" s="481"/>
      <c r="P43" s="481"/>
      <c r="Q43" s="1249"/>
      <c r="AO43" s="1121" t="b">
        <f t="shared" si="0"/>
        <v>0</v>
      </c>
    </row>
    <row r="44" spans="2:41" ht="12.75" customHeight="1">
      <c r="B44" s="467"/>
      <c r="C44" s="485"/>
      <c r="D44" s="485"/>
      <c r="E44" s="2385" t="s">
        <v>29</v>
      </c>
      <c r="F44" s="2846"/>
      <c r="G44" s="2846"/>
      <c r="H44" s="2846"/>
      <c r="I44" s="2846"/>
      <c r="J44" s="2846"/>
      <c r="K44" s="2846"/>
      <c r="L44" s="2846"/>
      <c r="M44" s="2846"/>
      <c r="N44" s="2846"/>
      <c r="O44" s="481"/>
      <c r="P44" s="481"/>
      <c r="Q44" s="1249"/>
      <c r="R44" s="1249"/>
      <c r="S44" s="1249"/>
      <c r="AO44" s="1121" t="b">
        <f t="shared" si="0"/>
        <v>0</v>
      </c>
    </row>
    <row r="45" spans="2:41" ht="12.75" customHeight="1">
      <c r="B45" s="467"/>
      <c r="C45" s="485"/>
      <c r="D45" s="485"/>
      <c r="E45" s="2385" t="s">
        <v>1901</v>
      </c>
      <c r="F45" s="2846"/>
      <c r="G45" s="2846"/>
      <c r="H45" s="2846"/>
      <c r="I45" s="2846"/>
      <c r="J45" s="2846"/>
      <c r="K45" s="2846"/>
      <c r="L45" s="2846"/>
      <c r="M45" s="2846"/>
      <c r="N45" s="2846"/>
      <c r="O45" s="481"/>
      <c r="P45" s="481"/>
      <c r="Q45" s="1249"/>
      <c r="R45" s="1249"/>
      <c r="S45" s="1249"/>
      <c r="AO45" s="1121" t="b">
        <f t="shared" si="0"/>
        <v>0</v>
      </c>
    </row>
    <row r="46" spans="2:41" ht="5.0999999999999996" customHeight="1">
      <c r="B46" s="467"/>
      <c r="C46" s="485"/>
      <c r="D46" s="485"/>
      <c r="E46" s="617"/>
      <c r="F46" s="617"/>
      <c r="G46" s="617"/>
      <c r="H46" s="617"/>
      <c r="I46" s="617"/>
      <c r="J46" s="468"/>
      <c r="K46" s="468"/>
      <c r="L46" s="468"/>
      <c r="M46" s="481"/>
      <c r="N46" s="481"/>
      <c r="O46" s="481"/>
      <c r="P46" s="481"/>
      <c r="Q46" s="1249"/>
      <c r="AO46" s="1121" t="b">
        <f t="shared" si="0"/>
        <v>0</v>
      </c>
    </row>
    <row r="47" spans="2:41" ht="30" customHeight="1">
      <c r="B47" s="1124"/>
      <c r="C47" s="482"/>
      <c r="D47" s="956"/>
      <c r="E47" s="2723" t="s">
        <v>485</v>
      </c>
      <c r="F47" s="2724"/>
      <c r="G47" s="2723" t="s">
        <v>488</v>
      </c>
      <c r="H47" s="2724"/>
      <c r="I47" s="2723" t="s">
        <v>1227</v>
      </c>
      <c r="J47" s="2421"/>
      <c r="K47" s="2421"/>
      <c r="L47" s="2724"/>
      <c r="M47" s="957" t="s">
        <v>2112</v>
      </c>
      <c r="N47" s="481"/>
      <c r="O47" s="481"/>
      <c r="P47" s="481"/>
      <c r="S47" s="1888" t="s">
        <v>1902</v>
      </c>
      <c r="AO47" s="1121" t="b">
        <f t="shared" si="0"/>
        <v>0</v>
      </c>
    </row>
    <row r="48" spans="2:41" ht="13.15" customHeight="1">
      <c r="B48" s="1124"/>
      <c r="C48" s="482"/>
      <c r="D48" s="579">
        <v>1</v>
      </c>
      <c r="E48" s="3353" t="str">
        <f>c_ALR2025!E5779</f>
        <v/>
      </c>
      <c r="F48" s="3353"/>
      <c r="G48" s="3353" t="str">
        <f>c_ALR2025!G5779</f>
        <v/>
      </c>
      <c r="H48" s="3353"/>
      <c r="I48" s="3382" t="str">
        <f>c_ALR2025!I5779</f>
        <v/>
      </c>
      <c r="J48" s="3279"/>
      <c r="K48" s="3279"/>
      <c r="L48" s="3383"/>
      <c r="M48" s="1901" t="str">
        <f>c_ALR2025!M5779</f>
        <v/>
      </c>
      <c r="N48" s="481"/>
      <c r="O48" s="481"/>
      <c r="P48" s="481"/>
      <c r="S48" s="1888"/>
      <c r="AO48" s="1121" t="b">
        <f t="shared" si="0"/>
        <v>0</v>
      </c>
    </row>
    <row r="49" spans="2:41" ht="13.15" customHeight="1">
      <c r="B49" s="1124"/>
      <c r="C49" s="482"/>
      <c r="D49" s="582">
        <f>D48+1</f>
        <v>2</v>
      </c>
      <c r="E49" s="3345" t="str">
        <f>c_ALR2025!E5780</f>
        <v/>
      </c>
      <c r="F49" s="3347"/>
      <c r="G49" s="3345" t="str">
        <f>c_ALR2025!G5780</f>
        <v/>
      </c>
      <c r="H49" s="3347"/>
      <c r="I49" s="3345" t="str">
        <f>c_ALR2025!I5780</f>
        <v/>
      </c>
      <c r="J49" s="3346"/>
      <c r="K49" s="3346"/>
      <c r="L49" s="3347"/>
      <c r="M49" s="1902" t="str">
        <f>c_ALR2025!M5780</f>
        <v/>
      </c>
      <c r="N49" s="481"/>
      <c r="O49" s="481"/>
      <c r="P49" s="481"/>
      <c r="S49" s="1888"/>
      <c r="AO49" s="1121" t="b">
        <f t="shared" si="0"/>
        <v>0</v>
      </c>
    </row>
    <row r="50" spans="2:41" ht="13.15" customHeight="1">
      <c r="B50" s="1124"/>
      <c r="C50" s="482"/>
      <c r="D50" s="582">
        <f t="shared" ref="D50:D57" si="4">D49+1</f>
        <v>3</v>
      </c>
      <c r="E50" s="3345" t="str">
        <f>c_ALR2025!E5781</f>
        <v/>
      </c>
      <c r="F50" s="3347"/>
      <c r="G50" s="3345" t="str">
        <f>c_ALR2025!G5781</f>
        <v/>
      </c>
      <c r="H50" s="3347"/>
      <c r="I50" s="3345" t="str">
        <f>c_ALR2025!I5781</f>
        <v/>
      </c>
      <c r="J50" s="3346"/>
      <c r="K50" s="3346"/>
      <c r="L50" s="3347"/>
      <c r="M50" s="1902" t="str">
        <f>c_ALR2025!M5781</f>
        <v/>
      </c>
      <c r="N50" s="481"/>
      <c r="O50" s="481"/>
      <c r="P50" s="481"/>
      <c r="S50" s="1888"/>
      <c r="AO50" s="1121" t="b">
        <f t="shared" si="0"/>
        <v>0</v>
      </c>
    </row>
    <row r="51" spans="2:41" ht="13.15" customHeight="1">
      <c r="B51" s="1124"/>
      <c r="C51" s="482"/>
      <c r="D51" s="582">
        <f t="shared" si="4"/>
        <v>4</v>
      </c>
      <c r="E51" s="3345" t="str">
        <f>c_ALR2025!E5782</f>
        <v/>
      </c>
      <c r="F51" s="3347"/>
      <c r="G51" s="3345" t="str">
        <f>c_ALR2025!G5782</f>
        <v/>
      </c>
      <c r="H51" s="3347"/>
      <c r="I51" s="3345" t="str">
        <f>c_ALR2025!I5782</f>
        <v/>
      </c>
      <c r="J51" s="3346"/>
      <c r="K51" s="3346"/>
      <c r="L51" s="3347"/>
      <c r="M51" s="1902" t="str">
        <f>c_ALR2025!M5782</f>
        <v/>
      </c>
      <c r="N51" s="481"/>
      <c r="O51" s="481"/>
      <c r="P51" s="481"/>
      <c r="S51" s="1888"/>
      <c r="AO51" s="1121" t="b">
        <f t="shared" si="0"/>
        <v>0</v>
      </c>
    </row>
    <row r="52" spans="2:41" ht="13.15" customHeight="1">
      <c r="B52" s="1124"/>
      <c r="C52" s="482"/>
      <c r="D52" s="582">
        <f t="shared" si="4"/>
        <v>5</v>
      </c>
      <c r="E52" s="3345" t="str">
        <f>c_ALR2025!E5783</f>
        <v/>
      </c>
      <c r="F52" s="3347"/>
      <c r="G52" s="3345" t="str">
        <f>c_ALR2025!G5783</f>
        <v/>
      </c>
      <c r="H52" s="3347"/>
      <c r="I52" s="3345" t="str">
        <f>c_ALR2025!I5783</f>
        <v/>
      </c>
      <c r="J52" s="3346"/>
      <c r="K52" s="3346"/>
      <c r="L52" s="3347"/>
      <c r="M52" s="1902" t="str">
        <f>c_ALR2025!M5783</f>
        <v/>
      </c>
      <c r="N52" s="481"/>
      <c r="O52" s="481"/>
      <c r="P52" s="481"/>
      <c r="S52" s="1888"/>
      <c r="AO52" s="1121" t="b">
        <f t="shared" si="0"/>
        <v>0</v>
      </c>
    </row>
    <row r="53" spans="2:41">
      <c r="B53" s="1124"/>
      <c r="C53" s="482"/>
      <c r="D53" s="582">
        <f t="shared" si="4"/>
        <v>6</v>
      </c>
      <c r="E53" s="3345" t="str">
        <f>c_ALR2025!E5784</f>
        <v/>
      </c>
      <c r="F53" s="3347"/>
      <c r="G53" s="3345" t="str">
        <f>c_ALR2025!G5784</f>
        <v/>
      </c>
      <c r="H53" s="3347"/>
      <c r="I53" s="3345" t="str">
        <f>c_ALR2025!I5784</f>
        <v/>
      </c>
      <c r="J53" s="3346"/>
      <c r="K53" s="3346"/>
      <c r="L53" s="3347"/>
      <c r="M53" s="1902" t="str">
        <f>c_ALR2025!M5784</f>
        <v/>
      </c>
      <c r="N53" s="481"/>
      <c r="O53" s="481"/>
      <c r="P53" s="481"/>
      <c r="S53" s="1888"/>
      <c r="AO53" s="1121" t="b">
        <f t="shared" si="0"/>
        <v>0</v>
      </c>
    </row>
    <row r="54" spans="2:41" ht="13.15" customHeight="1">
      <c r="B54" s="1124"/>
      <c r="C54" s="482"/>
      <c r="D54" s="582">
        <f t="shared" si="4"/>
        <v>7</v>
      </c>
      <c r="E54" s="3345" t="str">
        <f>c_ALR2025!E5785</f>
        <v/>
      </c>
      <c r="F54" s="3347"/>
      <c r="G54" s="3345" t="str">
        <f>c_ALR2025!G5785</f>
        <v/>
      </c>
      <c r="H54" s="3347"/>
      <c r="I54" s="3345" t="str">
        <f>c_ALR2025!I5785</f>
        <v/>
      </c>
      <c r="J54" s="3346"/>
      <c r="K54" s="3346"/>
      <c r="L54" s="3347"/>
      <c r="M54" s="1902" t="str">
        <f>c_ALR2025!M5785</f>
        <v/>
      </c>
      <c r="N54" s="481"/>
      <c r="O54" s="481"/>
      <c r="P54" s="481"/>
      <c r="S54" s="1888"/>
      <c r="AO54" s="1121" t="b">
        <f t="shared" si="0"/>
        <v>0</v>
      </c>
    </row>
    <row r="55" spans="2:41">
      <c r="B55" s="1124"/>
      <c r="C55" s="482"/>
      <c r="D55" s="582">
        <f t="shared" si="4"/>
        <v>8</v>
      </c>
      <c r="E55" s="3345" t="str">
        <f>c_ALR2025!E5786</f>
        <v/>
      </c>
      <c r="F55" s="3347"/>
      <c r="G55" s="3345" t="str">
        <f>c_ALR2025!G5786</f>
        <v/>
      </c>
      <c r="H55" s="3347"/>
      <c r="I55" s="3345" t="str">
        <f>c_ALR2025!I5786</f>
        <v/>
      </c>
      <c r="J55" s="3346"/>
      <c r="K55" s="3346"/>
      <c r="L55" s="3347"/>
      <c r="M55" s="1902" t="str">
        <f>c_ALR2025!M5786</f>
        <v/>
      </c>
      <c r="N55" s="481"/>
      <c r="O55" s="481"/>
      <c r="P55" s="481"/>
      <c r="S55" s="1888"/>
      <c r="AO55" s="1121" t="b">
        <f t="shared" si="0"/>
        <v>0</v>
      </c>
    </row>
    <row r="56" spans="2:41">
      <c r="B56" s="1124"/>
      <c r="C56" s="482"/>
      <c r="D56" s="582">
        <f t="shared" si="4"/>
        <v>9</v>
      </c>
      <c r="E56" s="3345" t="str">
        <f>c_ALR2025!E5787</f>
        <v/>
      </c>
      <c r="F56" s="3347"/>
      <c r="G56" s="3345" t="str">
        <f>c_ALR2025!G5787</f>
        <v/>
      </c>
      <c r="H56" s="3347"/>
      <c r="I56" s="3345" t="str">
        <f>c_ALR2025!I5787</f>
        <v/>
      </c>
      <c r="J56" s="3346"/>
      <c r="K56" s="3346"/>
      <c r="L56" s="3347"/>
      <c r="M56" s="1902" t="str">
        <f>c_ALR2025!M5787</f>
        <v/>
      </c>
      <c r="N56" s="481"/>
      <c r="O56" s="481"/>
      <c r="P56" s="481"/>
      <c r="S56" s="1888"/>
      <c r="AO56" s="1121" t="b">
        <f t="shared" si="0"/>
        <v>0</v>
      </c>
    </row>
    <row r="57" spans="2:41">
      <c r="B57" s="1124"/>
      <c r="C57" s="482"/>
      <c r="D57" s="584">
        <f t="shared" si="4"/>
        <v>10</v>
      </c>
      <c r="E57" s="3343" t="str">
        <f>c_ALR2025!E5788</f>
        <v/>
      </c>
      <c r="F57" s="3344"/>
      <c r="G57" s="3343" t="str">
        <f>c_ALR2025!G5788</f>
        <v/>
      </c>
      <c r="H57" s="3344"/>
      <c r="I57" s="3343" t="str">
        <f>c_ALR2025!I5788</f>
        <v/>
      </c>
      <c r="J57" s="3281"/>
      <c r="K57" s="3281"/>
      <c r="L57" s="3344"/>
      <c r="M57" s="1903" t="str">
        <f>c_ALR2025!M5788</f>
        <v/>
      </c>
      <c r="N57" s="481"/>
      <c r="O57" s="481"/>
      <c r="P57" s="481"/>
      <c r="S57" s="1904" t="s">
        <v>2057</v>
      </c>
      <c r="AO57" s="1121" t="b">
        <f t="shared" si="0"/>
        <v>0</v>
      </c>
    </row>
    <row r="58" spans="2:41">
      <c r="B58" s="1124"/>
      <c r="C58" s="482"/>
      <c r="D58" s="579">
        <v>1</v>
      </c>
      <c r="E58" s="3363"/>
      <c r="F58" s="3364"/>
      <c r="G58" s="3386"/>
      <c r="H58" s="3387"/>
      <c r="I58" s="3388"/>
      <c r="J58" s="3389"/>
      <c r="K58" s="3389"/>
      <c r="L58" s="3390"/>
      <c r="M58" s="1984"/>
      <c r="N58" s="481"/>
      <c r="O58" s="481"/>
      <c r="P58" s="9"/>
      <c r="S58" s="1715" t="b">
        <f>IF(E48 &lt;&gt; "", TRUE, FALSE)</f>
        <v>0</v>
      </c>
      <c r="AO58" s="1121" t="b">
        <f t="shared" si="0"/>
        <v>0</v>
      </c>
    </row>
    <row r="59" spans="2:41">
      <c r="B59" s="1124"/>
      <c r="C59" s="482"/>
      <c r="D59" s="582">
        <f>D58+1</f>
        <v>2</v>
      </c>
      <c r="E59" s="3338"/>
      <c r="F59" s="3339"/>
      <c r="G59" s="3368"/>
      <c r="H59" s="3369"/>
      <c r="I59" s="2843"/>
      <c r="J59" s="3372"/>
      <c r="K59" s="3372"/>
      <c r="L59" s="3373"/>
      <c r="M59" s="1985"/>
      <c r="N59" s="481"/>
      <c r="O59" s="481"/>
      <c r="P59" s="9"/>
      <c r="S59" s="1715" t="b">
        <f t="shared" ref="S59:S67" si="5">IF(E49 &lt;&gt; "", TRUE, FALSE)</f>
        <v>0</v>
      </c>
      <c r="AO59" s="1121" t="b">
        <f t="shared" si="0"/>
        <v>0</v>
      </c>
    </row>
    <row r="60" spans="2:41">
      <c r="B60" s="1124"/>
      <c r="C60" s="482"/>
      <c r="D60" s="582">
        <f t="shared" ref="D60:D67" si="6">D59+1</f>
        <v>3</v>
      </c>
      <c r="E60" s="3338"/>
      <c r="F60" s="3339"/>
      <c r="G60" s="3368"/>
      <c r="H60" s="3369"/>
      <c r="I60" s="2843"/>
      <c r="J60" s="3372"/>
      <c r="K60" s="3372"/>
      <c r="L60" s="3373"/>
      <c r="M60" s="1985"/>
      <c r="N60" s="481"/>
      <c r="O60" s="481"/>
      <c r="P60" s="9"/>
      <c r="S60" s="1715" t="b">
        <f t="shared" si="5"/>
        <v>0</v>
      </c>
      <c r="AO60" s="1121" t="b">
        <f t="shared" si="0"/>
        <v>0</v>
      </c>
    </row>
    <row r="61" spans="2:41">
      <c r="B61" s="1124"/>
      <c r="C61" s="482"/>
      <c r="D61" s="582">
        <f t="shared" si="6"/>
        <v>4</v>
      </c>
      <c r="E61" s="3338"/>
      <c r="F61" s="3339"/>
      <c r="G61" s="3368"/>
      <c r="H61" s="3369"/>
      <c r="I61" s="2843"/>
      <c r="J61" s="3372"/>
      <c r="K61" s="3372"/>
      <c r="L61" s="3373"/>
      <c r="M61" s="1985"/>
      <c r="N61" s="481"/>
      <c r="O61" s="481"/>
      <c r="P61" s="9"/>
      <c r="S61" s="1715" t="b">
        <f t="shared" si="5"/>
        <v>0</v>
      </c>
      <c r="AO61" s="1121" t="b">
        <f t="shared" si="0"/>
        <v>0</v>
      </c>
    </row>
    <row r="62" spans="2:41">
      <c r="B62" s="1124"/>
      <c r="C62" s="482"/>
      <c r="D62" s="582">
        <f t="shared" si="6"/>
        <v>5</v>
      </c>
      <c r="E62" s="3338"/>
      <c r="F62" s="3339"/>
      <c r="G62" s="3368"/>
      <c r="H62" s="3369"/>
      <c r="I62" s="2843"/>
      <c r="J62" s="3372"/>
      <c r="K62" s="3372"/>
      <c r="L62" s="3373"/>
      <c r="M62" s="1985"/>
      <c r="N62" s="481"/>
      <c r="O62" s="481"/>
      <c r="P62" s="9"/>
      <c r="S62" s="1715" t="b">
        <f t="shared" si="5"/>
        <v>0</v>
      </c>
      <c r="AO62" s="1121" t="b">
        <f t="shared" si="0"/>
        <v>0</v>
      </c>
    </row>
    <row r="63" spans="2:41">
      <c r="B63" s="1124"/>
      <c r="C63" s="482"/>
      <c r="D63" s="582">
        <f t="shared" si="6"/>
        <v>6</v>
      </c>
      <c r="E63" s="3338"/>
      <c r="F63" s="3339"/>
      <c r="G63" s="3368"/>
      <c r="H63" s="3369"/>
      <c r="I63" s="2843"/>
      <c r="J63" s="3372"/>
      <c r="K63" s="3372"/>
      <c r="L63" s="3373"/>
      <c r="M63" s="1985"/>
      <c r="N63" s="481"/>
      <c r="O63" s="481"/>
      <c r="P63" s="9"/>
      <c r="S63" s="1715" t="b">
        <f t="shared" si="5"/>
        <v>0</v>
      </c>
      <c r="AO63" s="1121" t="b">
        <f t="shared" si="0"/>
        <v>0</v>
      </c>
    </row>
    <row r="64" spans="2:41">
      <c r="B64" s="1124"/>
      <c r="C64" s="482"/>
      <c r="D64" s="582">
        <f t="shared" si="6"/>
        <v>7</v>
      </c>
      <c r="E64" s="3338"/>
      <c r="F64" s="3339"/>
      <c r="G64" s="3368"/>
      <c r="H64" s="3369"/>
      <c r="I64" s="2843"/>
      <c r="J64" s="3372"/>
      <c r="K64" s="3372"/>
      <c r="L64" s="3373"/>
      <c r="M64" s="1985"/>
      <c r="N64" s="481"/>
      <c r="O64" s="481"/>
      <c r="P64" s="9"/>
      <c r="S64" s="1715" t="b">
        <f t="shared" si="5"/>
        <v>0</v>
      </c>
      <c r="AO64" s="1121" t="b">
        <f t="shared" si="0"/>
        <v>0</v>
      </c>
    </row>
    <row r="65" spans="2:42">
      <c r="B65" s="1124"/>
      <c r="C65" s="482"/>
      <c r="D65" s="582">
        <f t="shared" si="6"/>
        <v>8</v>
      </c>
      <c r="E65" s="3338"/>
      <c r="F65" s="3339"/>
      <c r="G65" s="3368"/>
      <c r="H65" s="3369"/>
      <c r="I65" s="2843"/>
      <c r="J65" s="3372"/>
      <c r="K65" s="3372"/>
      <c r="L65" s="3373"/>
      <c r="M65" s="1985"/>
      <c r="N65" s="481"/>
      <c r="O65" s="481"/>
      <c r="P65" s="9"/>
      <c r="S65" s="1715" t="b">
        <f t="shared" si="5"/>
        <v>0</v>
      </c>
      <c r="Z65" s="1249"/>
      <c r="AA65" s="1249"/>
      <c r="AB65" s="1435"/>
      <c r="AO65" s="1121" t="b">
        <f t="shared" si="0"/>
        <v>0</v>
      </c>
    </row>
    <row r="66" spans="2:42">
      <c r="B66" s="1124"/>
      <c r="C66" s="482"/>
      <c r="D66" s="582">
        <f t="shared" si="6"/>
        <v>9</v>
      </c>
      <c r="E66" s="3338"/>
      <c r="F66" s="3339"/>
      <c r="G66" s="3368"/>
      <c r="H66" s="3369"/>
      <c r="I66" s="2843"/>
      <c r="J66" s="3372"/>
      <c r="K66" s="3372"/>
      <c r="L66" s="3373"/>
      <c r="M66" s="1985"/>
      <c r="N66" s="481"/>
      <c r="O66" s="481"/>
      <c r="P66" s="9"/>
      <c r="S66" s="1715" t="b">
        <f t="shared" si="5"/>
        <v>0</v>
      </c>
      <c r="Z66" s="1249"/>
      <c r="AA66" s="1249"/>
      <c r="AB66" s="1435"/>
      <c r="AO66" s="1121" t="b">
        <f t="shared" si="0"/>
        <v>0</v>
      </c>
    </row>
    <row r="67" spans="2:42">
      <c r="B67" s="1124"/>
      <c r="C67" s="482"/>
      <c r="D67" s="584">
        <f t="shared" si="6"/>
        <v>10</v>
      </c>
      <c r="E67" s="3029"/>
      <c r="F67" s="3030"/>
      <c r="G67" s="3374"/>
      <c r="H67" s="3375"/>
      <c r="I67" s="3016"/>
      <c r="J67" s="3376"/>
      <c r="K67" s="3376"/>
      <c r="L67" s="3377"/>
      <c r="M67" s="1986"/>
      <c r="N67" s="481"/>
      <c r="O67" s="481"/>
      <c r="P67" s="9"/>
      <c r="S67" s="1715" t="b">
        <f t="shared" si="5"/>
        <v>0</v>
      </c>
      <c r="Z67" s="1249"/>
      <c r="AA67" s="1249"/>
      <c r="AB67" s="1435"/>
      <c r="AO67" s="1121" t="b">
        <f t="shared" si="0"/>
        <v>0</v>
      </c>
    </row>
    <row r="68" spans="2:42" ht="12.75" customHeight="1">
      <c r="B68" s="1124"/>
      <c r="C68" s="484"/>
      <c r="D68" s="579">
        <v>1</v>
      </c>
      <c r="E68" s="3379" t="str">
        <f>IF(E58&lt;&gt; "",E58,IF(E48 &lt;&gt; "", E48,""))</f>
        <v/>
      </c>
      <c r="F68" s="2831" t="str">
        <f>IF(F58&lt;&gt; "",F58,IF(F48 &lt;&gt; "", F48,""))</f>
        <v/>
      </c>
      <c r="G68" s="2922" t="str">
        <f>IF(G58&lt;&gt; "",G58,IF(G48 &lt;&gt; "", G48,""))</f>
        <v/>
      </c>
      <c r="H68" s="3380" t="str">
        <f>IF(H58&lt;&gt; "",H58,IF(H48 &lt;&gt; "", H48,""))</f>
        <v/>
      </c>
      <c r="I68" s="3397" t="str">
        <f>IF(I58&lt;&gt; "",I58,IF(I48 &lt;&gt; "", I48,""))</f>
        <v/>
      </c>
      <c r="J68" s="3398" t="str">
        <f t="shared" ref="J68:N68" si="7">IF(J58&lt;&gt; "",J58,IF(J48 &lt;&gt; "", J48,""))</f>
        <v/>
      </c>
      <c r="K68" s="3398" t="str">
        <f t="shared" si="7"/>
        <v/>
      </c>
      <c r="L68" s="3399" t="str">
        <f t="shared" si="7"/>
        <v/>
      </c>
      <c r="M68" s="961" t="str">
        <f t="shared" ref="M68:M77" si="8">IF(M58&lt;&gt; "",M58,IF(M48 &lt;&gt; "", M48,""))</f>
        <v/>
      </c>
      <c r="N68" s="481" t="str">
        <f t="shared" si="7"/>
        <v/>
      </c>
      <c r="O68" s="481"/>
      <c r="R68" s="1633"/>
      <c r="S68" s="1443" t="b">
        <f>TRUE</f>
        <v>1</v>
      </c>
      <c r="AB68" s="1435"/>
      <c r="AK68" s="1633" t="s">
        <v>1954</v>
      </c>
      <c r="AL68" s="1635" t="str">
        <f>IF(AND($M12=EUconst_Relevant,COUNTA(E68:L68)&lt;3),EUconst_Error&amp;"FB"&amp;Q12,"")</f>
        <v/>
      </c>
      <c r="AO68" s="1121" t="b">
        <f t="shared" si="0"/>
        <v>0</v>
      </c>
      <c r="AP68" s="1135" t="s">
        <v>2502</v>
      </c>
    </row>
    <row r="69" spans="2:42" ht="12.75" customHeight="1">
      <c r="B69" s="1124"/>
      <c r="C69" s="484"/>
      <c r="D69" s="582">
        <f>D68+1</f>
        <v>2</v>
      </c>
      <c r="E69" s="2827" t="str">
        <f t="shared" ref="E69:L69" si="9">IF(E59&lt;&gt; "",E59,IF(E49 &lt;&gt; "", E49,""))</f>
        <v/>
      </c>
      <c r="F69" s="2826" t="str">
        <f t="shared" si="9"/>
        <v/>
      </c>
      <c r="G69" s="2838" t="str">
        <f t="shared" si="9"/>
        <v/>
      </c>
      <c r="H69" s="3393" t="str">
        <f t="shared" si="9"/>
        <v/>
      </c>
      <c r="I69" s="2825" t="str">
        <f t="shared" ref="I69:I77" si="10">IF(I59&lt;&gt; "",I59,IF(I49 &lt;&gt; "", I49,""))</f>
        <v/>
      </c>
      <c r="J69" s="3384" t="str">
        <f t="shared" si="9"/>
        <v/>
      </c>
      <c r="K69" s="3384" t="str">
        <f t="shared" si="9"/>
        <v/>
      </c>
      <c r="L69" s="3385" t="str">
        <f t="shared" si="9"/>
        <v/>
      </c>
      <c r="M69" s="895" t="str">
        <f t="shared" si="8"/>
        <v/>
      </c>
      <c r="N69" s="481"/>
      <c r="O69" s="481"/>
      <c r="S69" s="1443" t="b">
        <f>TRUE</f>
        <v>1</v>
      </c>
      <c r="AB69" s="1435"/>
      <c r="AO69" s="1121" t="b">
        <f t="shared" si="0"/>
        <v>0</v>
      </c>
      <c r="AP69" s="1135" t="s">
        <v>2503</v>
      </c>
    </row>
    <row r="70" spans="2:42" ht="12.75" customHeight="1">
      <c r="B70" s="1124"/>
      <c r="C70" s="484"/>
      <c r="D70" s="582">
        <f t="shared" ref="D70:D77" si="11">D69+1</f>
        <v>3</v>
      </c>
      <c r="E70" s="2827" t="str">
        <f t="shared" ref="E70:L70" si="12">IF(E60&lt;&gt; "",E60,IF(E50 &lt;&gt; "", E50,""))</f>
        <v/>
      </c>
      <c r="F70" s="2826" t="str">
        <f t="shared" si="12"/>
        <v/>
      </c>
      <c r="G70" s="2838" t="str">
        <f t="shared" si="12"/>
        <v/>
      </c>
      <c r="H70" s="3393" t="str">
        <f t="shared" si="12"/>
        <v/>
      </c>
      <c r="I70" s="2825" t="str">
        <f t="shared" si="10"/>
        <v/>
      </c>
      <c r="J70" s="3384" t="str">
        <f t="shared" si="12"/>
        <v/>
      </c>
      <c r="K70" s="3384" t="str">
        <f t="shared" si="12"/>
        <v/>
      </c>
      <c r="L70" s="3385" t="str">
        <f t="shared" si="12"/>
        <v/>
      </c>
      <c r="M70" s="895" t="str">
        <f t="shared" si="8"/>
        <v/>
      </c>
      <c r="N70" s="481"/>
      <c r="O70" s="481"/>
      <c r="S70" s="1443" t="b">
        <f>TRUE</f>
        <v>1</v>
      </c>
      <c r="AB70" s="1435"/>
      <c r="AO70" s="1121" t="b">
        <f t="shared" si="0"/>
        <v>0</v>
      </c>
      <c r="AP70" s="1135" t="s">
        <v>2504</v>
      </c>
    </row>
    <row r="71" spans="2:42" ht="12.75" customHeight="1">
      <c r="B71" s="1124"/>
      <c r="C71" s="484"/>
      <c r="D71" s="582">
        <f t="shared" si="11"/>
        <v>4</v>
      </c>
      <c r="E71" s="2827" t="str">
        <f t="shared" ref="E71:L71" si="13">IF(E61&lt;&gt; "",E61,IF(E51 &lt;&gt; "", E51,""))</f>
        <v/>
      </c>
      <c r="F71" s="2826" t="str">
        <f t="shared" si="13"/>
        <v/>
      </c>
      <c r="G71" s="2838" t="str">
        <f t="shared" si="13"/>
        <v/>
      </c>
      <c r="H71" s="3393" t="str">
        <f t="shared" si="13"/>
        <v/>
      </c>
      <c r="I71" s="2825" t="str">
        <f t="shared" si="10"/>
        <v/>
      </c>
      <c r="J71" s="3384" t="str">
        <f t="shared" si="13"/>
        <v/>
      </c>
      <c r="K71" s="3384" t="str">
        <f t="shared" si="13"/>
        <v/>
      </c>
      <c r="L71" s="3385" t="str">
        <f t="shared" si="13"/>
        <v/>
      </c>
      <c r="M71" s="895" t="str">
        <f t="shared" si="8"/>
        <v/>
      </c>
      <c r="N71" s="481"/>
      <c r="O71" s="481"/>
      <c r="S71" s="1443" t="b">
        <f>TRUE</f>
        <v>1</v>
      </c>
      <c r="AB71" s="1435"/>
      <c r="AO71" s="1121" t="b">
        <f t="shared" si="0"/>
        <v>0</v>
      </c>
      <c r="AP71" s="1135" t="s">
        <v>2505</v>
      </c>
    </row>
    <row r="72" spans="2:42" ht="12.75" customHeight="1">
      <c r="B72" s="1124"/>
      <c r="C72" s="484"/>
      <c r="D72" s="582">
        <f t="shared" si="11"/>
        <v>5</v>
      </c>
      <c r="E72" s="2827" t="str">
        <f t="shared" ref="E72:L72" si="14">IF(E62&lt;&gt; "",E62,IF(E52 &lt;&gt; "", E52,""))</f>
        <v/>
      </c>
      <c r="F72" s="2826" t="str">
        <f t="shared" si="14"/>
        <v/>
      </c>
      <c r="G72" s="2838" t="str">
        <f t="shared" si="14"/>
        <v/>
      </c>
      <c r="H72" s="3393" t="str">
        <f t="shared" si="14"/>
        <v/>
      </c>
      <c r="I72" s="2825" t="str">
        <f t="shared" si="10"/>
        <v/>
      </c>
      <c r="J72" s="3384" t="str">
        <f t="shared" si="14"/>
        <v/>
      </c>
      <c r="K72" s="3384" t="str">
        <f t="shared" si="14"/>
        <v/>
      </c>
      <c r="L72" s="3385" t="str">
        <f t="shared" si="14"/>
        <v/>
      </c>
      <c r="M72" s="895" t="str">
        <f t="shared" si="8"/>
        <v/>
      </c>
      <c r="N72" s="481"/>
      <c r="O72" s="481"/>
      <c r="S72" s="1443" t="b">
        <f>TRUE</f>
        <v>1</v>
      </c>
      <c r="Z72" s="1249"/>
      <c r="AA72" s="1249"/>
      <c r="AB72" s="1435"/>
      <c r="AO72" s="1121" t="b">
        <f t="shared" si="0"/>
        <v>0</v>
      </c>
      <c r="AP72" s="1135" t="s">
        <v>2506</v>
      </c>
    </row>
    <row r="73" spans="2:42" ht="12.75" customHeight="1">
      <c r="B73" s="1124"/>
      <c r="C73" s="484"/>
      <c r="D73" s="582">
        <f t="shared" si="11"/>
        <v>6</v>
      </c>
      <c r="E73" s="2827" t="str">
        <f t="shared" ref="E73:L73" si="15">IF(E63&lt;&gt; "",E63,IF(E53 &lt;&gt; "", E53,""))</f>
        <v/>
      </c>
      <c r="F73" s="2826" t="str">
        <f t="shared" si="15"/>
        <v/>
      </c>
      <c r="G73" s="2838" t="str">
        <f t="shared" si="15"/>
        <v/>
      </c>
      <c r="H73" s="3393" t="str">
        <f t="shared" si="15"/>
        <v/>
      </c>
      <c r="I73" s="2825" t="str">
        <f t="shared" si="10"/>
        <v/>
      </c>
      <c r="J73" s="3384" t="str">
        <f t="shared" si="15"/>
        <v/>
      </c>
      <c r="K73" s="3384" t="str">
        <f t="shared" si="15"/>
        <v/>
      </c>
      <c r="L73" s="3385" t="str">
        <f t="shared" si="15"/>
        <v/>
      </c>
      <c r="M73" s="895" t="str">
        <f t="shared" si="8"/>
        <v/>
      </c>
      <c r="N73" s="481"/>
      <c r="O73" s="481"/>
      <c r="S73" s="1443" t="b">
        <f>TRUE</f>
        <v>1</v>
      </c>
      <c r="AB73" s="1435"/>
      <c r="AO73" s="1121" t="b">
        <f t="shared" si="0"/>
        <v>0</v>
      </c>
      <c r="AP73" s="1135" t="s">
        <v>2507</v>
      </c>
    </row>
    <row r="74" spans="2:42" ht="12.75" customHeight="1">
      <c r="B74" s="1124"/>
      <c r="C74" s="484"/>
      <c r="D74" s="582">
        <f t="shared" si="11"/>
        <v>7</v>
      </c>
      <c r="E74" s="2827" t="str">
        <f t="shared" ref="E74:L74" si="16">IF(E64&lt;&gt; "",E64,IF(E54 &lt;&gt; "", E54,""))</f>
        <v/>
      </c>
      <c r="F74" s="2826" t="str">
        <f t="shared" si="16"/>
        <v/>
      </c>
      <c r="G74" s="2838" t="str">
        <f t="shared" si="16"/>
        <v/>
      </c>
      <c r="H74" s="3393" t="str">
        <f t="shared" si="16"/>
        <v/>
      </c>
      <c r="I74" s="2825" t="str">
        <f t="shared" si="10"/>
        <v/>
      </c>
      <c r="J74" s="3384" t="str">
        <f t="shared" si="16"/>
        <v/>
      </c>
      <c r="K74" s="3384" t="str">
        <f t="shared" si="16"/>
        <v/>
      </c>
      <c r="L74" s="3385" t="str">
        <f t="shared" si="16"/>
        <v/>
      </c>
      <c r="M74" s="895" t="str">
        <f t="shared" si="8"/>
        <v/>
      </c>
      <c r="N74" s="481"/>
      <c r="O74" s="481"/>
      <c r="S74" s="1443" t="b">
        <f>TRUE</f>
        <v>1</v>
      </c>
      <c r="AB74" s="1435"/>
      <c r="AO74" s="1121" t="b">
        <f t="shared" si="0"/>
        <v>0</v>
      </c>
      <c r="AP74" s="1135" t="s">
        <v>2508</v>
      </c>
    </row>
    <row r="75" spans="2:42" ht="12.75" customHeight="1">
      <c r="B75" s="1124"/>
      <c r="C75" s="484"/>
      <c r="D75" s="582">
        <f t="shared" si="11"/>
        <v>8</v>
      </c>
      <c r="E75" s="2827" t="str">
        <f t="shared" ref="E75:L75" si="17">IF(E65&lt;&gt; "",E65,IF(E55 &lt;&gt; "", E55,""))</f>
        <v/>
      </c>
      <c r="F75" s="2826" t="str">
        <f t="shared" si="17"/>
        <v/>
      </c>
      <c r="G75" s="2838" t="str">
        <f t="shared" si="17"/>
        <v/>
      </c>
      <c r="H75" s="3393" t="str">
        <f t="shared" si="17"/>
        <v/>
      </c>
      <c r="I75" s="2825" t="str">
        <f t="shared" si="10"/>
        <v/>
      </c>
      <c r="J75" s="3384" t="str">
        <f t="shared" si="17"/>
        <v/>
      </c>
      <c r="K75" s="3384" t="str">
        <f t="shared" si="17"/>
        <v/>
      </c>
      <c r="L75" s="3385" t="str">
        <f t="shared" si="17"/>
        <v/>
      </c>
      <c r="M75" s="895" t="str">
        <f t="shared" si="8"/>
        <v/>
      </c>
      <c r="N75" s="481"/>
      <c r="O75" s="481"/>
      <c r="S75" s="1443" t="b">
        <f>TRUE</f>
        <v>1</v>
      </c>
      <c r="AB75" s="1435"/>
      <c r="AO75" s="1121" t="b">
        <f t="shared" si="0"/>
        <v>0</v>
      </c>
      <c r="AP75" s="1135" t="s">
        <v>2509</v>
      </c>
    </row>
    <row r="76" spans="2:42" ht="12.75" customHeight="1">
      <c r="B76" s="1124"/>
      <c r="C76" s="484"/>
      <c r="D76" s="582">
        <f t="shared" si="11"/>
        <v>9</v>
      </c>
      <c r="E76" s="2827" t="str">
        <f t="shared" ref="E76:L76" si="18">IF(E66&lt;&gt; "",E66,IF(E56 &lt;&gt; "", E56,""))</f>
        <v/>
      </c>
      <c r="F76" s="2826" t="str">
        <f t="shared" si="18"/>
        <v/>
      </c>
      <c r="G76" s="2838" t="str">
        <f t="shared" si="18"/>
        <v/>
      </c>
      <c r="H76" s="3393" t="str">
        <f t="shared" si="18"/>
        <v/>
      </c>
      <c r="I76" s="2825" t="str">
        <f t="shared" si="10"/>
        <v/>
      </c>
      <c r="J76" s="3384" t="str">
        <f t="shared" si="18"/>
        <v/>
      </c>
      <c r="K76" s="3384" t="str">
        <f t="shared" si="18"/>
        <v/>
      </c>
      <c r="L76" s="3385" t="str">
        <f t="shared" si="18"/>
        <v/>
      </c>
      <c r="M76" s="895" t="str">
        <f t="shared" si="8"/>
        <v/>
      </c>
      <c r="N76" s="481"/>
      <c r="O76" s="481"/>
      <c r="S76" s="1443" t="b">
        <f>TRUE</f>
        <v>1</v>
      </c>
      <c r="AB76" s="1435"/>
      <c r="AO76" s="1121" t="b">
        <f t="shared" si="0"/>
        <v>0</v>
      </c>
      <c r="AP76" s="1135" t="s">
        <v>2510</v>
      </c>
    </row>
    <row r="77" spans="2:42" ht="12.75" customHeight="1">
      <c r="B77" s="1124"/>
      <c r="C77" s="484"/>
      <c r="D77" s="584">
        <f t="shared" si="11"/>
        <v>10</v>
      </c>
      <c r="E77" s="2822" t="str">
        <f t="shared" ref="E77:L77" si="19">IF(E67&lt;&gt; "",E67,IF(E57 &lt;&gt; "", E57,""))</f>
        <v/>
      </c>
      <c r="F77" s="2821" t="str">
        <f t="shared" si="19"/>
        <v/>
      </c>
      <c r="G77" s="2834" t="str">
        <f t="shared" si="19"/>
        <v/>
      </c>
      <c r="H77" s="3394" t="str">
        <f t="shared" si="19"/>
        <v/>
      </c>
      <c r="I77" s="2820" t="str">
        <f t="shared" si="10"/>
        <v/>
      </c>
      <c r="J77" s="3391" t="str">
        <f t="shared" si="19"/>
        <v/>
      </c>
      <c r="K77" s="3391" t="str">
        <f t="shared" si="19"/>
        <v/>
      </c>
      <c r="L77" s="3392" t="str">
        <f t="shared" si="19"/>
        <v/>
      </c>
      <c r="M77" s="968" t="str">
        <f t="shared" si="8"/>
        <v/>
      </c>
      <c r="N77" s="481"/>
      <c r="O77" s="481"/>
      <c r="S77" s="1443" t="b">
        <f>TRUE</f>
        <v>1</v>
      </c>
      <c r="Z77" s="1249"/>
      <c r="AA77" s="1249"/>
      <c r="AB77" s="1435"/>
      <c r="AO77" s="1121" t="b">
        <f t="shared" si="0"/>
        <v>0</v>
      </c>
      <c r="AP77" s="1135" t="s">
        <v>2511</v>
      </c>
    </row>
    <row r="78" spans="2:42" ht="5.0999999999999996" customHeight="1">
      <c r="B78" s="467"/>
      <c r="C78" s="467"/>
      <c r="D78" s="467"/>
      <c r="E78" s="467"/>
      <c r="F78" s="467"/>
      <c r="G78" s="467"/>
      <c r="H78" s="467"/>
      <c r="I78" s="467"/>
      <c r="J78" s="467"/>
      <c r="K78" s="467"/>
      <c r="L78" s="467"/>
      <c r="M78" s="467"/>
      <c r="N78" s="467"/>
      <c r="O78" s="481"/>
      <c r="P78" s="481"/>
      <c r="Q78" s="1249"/>
      <c r="R78" s="1249"/>
      <c r="AB78" s="1435"/>
      <c r="AO78" s="1121" t="b">
        <f t="shared" si="0"/>
        <v>0</v>
      </c>
    </row>
    <row r="79" spans="2:42" ht="12.75" customHeight="1">
      <c r="B79" s="467"/>
      <c r="C79" s="482"/>
      <c r="D79" s="482"/>
      <c r="E79" s="2373" t="s">
        <v>1477</v>
      </c>
      <c r="F79" s="2400"/>
      <c r="G79" s="2400"/>
      <c r="H79" s="2400"/>
      <c r="I79" s="2400"/>
      <c r="J79" s="2400"/>
      <c r="K79" s="2400"/>
      <c r="L79" s="2400"/>
      <c r="M79" s="2400"/>
      <c r="N79" s="2400"/>
      <c r="O79" s="481"/>
      <c r="P79" s="481"/>
      <c r="Q79" s="1249"/>
      <c r="AB79" s="1435"/>
      <c r="AO79" s="1121" t="b">
        <f t="shared" ref="AO79:AO142" si="20">$AD$12</f>
        <v>0</v>
      </c>
    </row>
    <row r="80" spans="2:42" ht="25.5" customHeight="1">
      <c r="B80" s="467"/>
      <c r="C80" s="482"/>
      <c r="D80" s="482"/>
      <c r="E80" s="2385" t="s">
        <v>1929</v>
      </c>
      <c r="F80" s="2846"/>
      <c r="G80" s="2846"/>
      <c r="H80" s="2846"/>
      <c r="I80" s="2846"/>
      <c r="J80" s="2846"/>
      <c r="K80" s="2846"/>
      <c r="L80" s="2846"/>
      <c r="M80" s="2846"/>
      <c r="N80" s="2846"/>
      <c r="O80" s="481"/>
      <c r="P80" s="481"/>
      <c r="Q80" s="1249"/>
      <c r="AB80" s="1435"/>
      <c r="AO80" s="1121" t="b">
        <f t="shared" si="20"/>
        <v>0</v>
      </c>
    </row>
    <row r="81" spans="1:42" ht="25.5" customHeight="1">
      <c r="B81" s="467"/>
      <c r="C81" s="482"/>
      <c r="D81" s="482"/>
      <c r="E81" s="2385" t="s">
        <v>1878</v>
      </c>
      <c r="F81" s="2846"/>
      <c r="G81" s="2846"/>
      <c r="H81" s="2846"/>
      <c r="I81" s="2846"/>
      <c r="J81" s="2846"/>
      <c r="K81" s="2846"/>
      <c r="L81" s="2846"/>
      <c r="M81" s="2846"/>
      <c r="N81" s="2846"/>
      <c r="O81" s="481"/>
      <c r="P81" s="481"/>
      <c r="Q81" s="1249"/>
      <c r="AB81" s="1435"/>
      <c r="AO81" s="1121" t="b">
        <f t="shared" si="20"/>
        <v>0</v>
      </c>
    </row>
    <row r="82" spans="1:42" ht="12.75" customHeight="1">
      <c r="B82" s="467"/>
      <c r="C82" s="482"/>
      <c r="D82" s="482"/>
      <c r="E82" s="2385" t="s">
        <v>2222</v>
      </c>
      <c r="F82" s="2846"/>
      <c r="G82" s="2846"/>
      <c r="H82" s="2846"/>
      <c r="I82" s="2846"/>
      <c r="J82" s="2846"/>
      <c r="K82" s="2846"/>
      <c r="L82" s="2846"/>
      <c r="M82" s="2846"/>
      <c r="N82" s="2846"/>
      <c r="O82" s="481"/>
      <c r="P82" s="481"/>
      <c r="Q82" s="1249"/>
      <c r="AB82" s="1435"/>
      <c r="AO82" s="1121" t="b">
        <f t="shared" si="20"/>
        <v>0</v>
      </c>
    </row>
    <row r="83" spans="1:42" ht="5.0999999999999996" customHeight="1">
      <c r="B83" s="467"/>
      <c r="C83" s="485"/>
      <c r="D83" s="485"/>
      <c r="E83" s="617"/>
      <c r="F83" s="617"/>
      <c r="G83" s="617"/>
      <c r="H83" s="617"/>
      <c r="I83" s="617"/>
      <c r="J83" s="468"/>
      <c r="K83" s="468"/>
      <c r="L83" s="468"/>
      <c r="M83" s="481"/>
      <c r="N83" s="481"/>
      <c r="O83" s="481"/>
      <c r="P83" s="481"/>
      <c r="Q83" s="1249"/>
      <c r="AB83" s="1435"/>
      <c r="AO83" s="1121" t="b">
        <f t="shared" si="20"/>
        <v>0</v>
      </c>
    </row>
    <row r="84" spans="1:42" s="1911" customFormat="1" ht="25.5" customHeight="1">
      <c r="A84" s="1905"/>
      <c r="B84" s="1906"/>
      <c r="C84" s="1028"/>
      <c r="D84" s="1029"/>
      <c r="E84" s="870" t="str">
        <f>I47</f>
        <v>Product name, or heat export other than "district heating"</v>
      </c>
      <c r="F84" s="1030" t="str">
        <f>EUconst_Unit</f>
        <v>Unit</v>
      </c>
      <c r="G84" s="1031" t="s">
        <v>2220</v>
      </c>
      <c r="H84" s="1032">
        <f t="shared" ref="H84:N84" si="21">H$1190</f>
        <v>2024</v>
      </c>
      <c r="I84" s="1031">
        <f t="shared" si="21"/>
        <v>2025</v>
      </c>
      <c r="J84" s="1907">
        <f t="shared" si="21"/>
        <v>2026</v>
      </c>
      <c r="K84" s="1908">
        <f t="shared" si="21"/>
        <v>2027</v>
      </c>
      <c r="L84" s="1908">
        <f t="shared" si="21"/>
        <v>2028</v>
      </c>
      <c r="M84" s="1908">
        <f t="shared" si="21"/>
        <v>2029</v>
      </c>
      <c r="N84" s="1908">
        <f t="shared" si="21"/>
        <v>2030</v>
      </c>
      <c r="O84" s="481"/>
      <c r="P84" s="481"/>
      <c r="Q84" s="1909"/>
      <c r="R84" s="1909"/>
      <c r="S84" s="1904" t="s">
        <v>2057</v>
      </c>
      <c r="T84" s="1909"/>
      <c r="U84" s="1909"/>
      <c r="V84" s="1909"/>
      <c r="W84" s="1909"/>
      <c r="X84" s="1909"/>
      <c r="Y84" s="1909"/>
      <c r="Z84" s="1909"/>
      <c r="AA84" s="1909"/>
      <c r="AB84" s="1249" t="s">
        <v>1646</v>
      </c>
      <c r="AC84" s="1909">
        <f t="shared" ref="AC84:AI84" si="22">H84</f>
        <v>2024</v>
      </c>
      <c r="AD84" s="1909">
        <f t="shared" si="22"/>
        <v>2025</v>
      </c>
      <c r="AE84" s="1909">
        <f t="shared" si="22"/>
        <v>2026</v>
      </c>
      <c r="AF84" s="1909">
        <f t="shared" si="22"/>
        <v>2027</v>
      </c>
      <c r="AG84" s="1909">
        <f t="shared" si="22"/>
        <v>2028</v>
      </c>
      <c r="AH84" s="1910">
        <f t="shared" si="22"/>
        <v>2029</v>
      </c>
      <c r="AI84" s="1910">
        <f t="shared" si="22"/>
        <v>2030</v>
      </c>
      <c r="AN84" s="1905"/>
      <c r="AO84" s="1121" t="b">
        <f t="shared" si="20"/>
        <v>0</v>
      </c>
      <c r="AP84" s="1912"/>
    </row>
    <row r="85" spans="1:42" s="1911" customFormat="1" ht="13.15" customHeight="1">
      <c r="A85" s="1905"/>
      <c r="B85" s="1906"/>
      <c r="C85" s="1028"/>
      <c r="D85" s="579">
        <v>1</v>
      </c>
      <c r="E85" s="1913" t="str">
        <f>c_ALR2025!E5796</f>
        <v/>
      </c>
      <c r="F85" s="1763" t="str">
        <f>c_ALR2025!F5796</f>
        <v/>
      </c>
      <c r="G85" s="1914" t="str">
        <f>c_ALR2025!G5796</f>
        <v/>
      </c>
      <c r="H85" s="1915" t="str">
        <f>c_ALR2025!M5796</f>
        <v/>
      </c>
      <c r="I85" s="1987"/>
      <c r="J85" s="1907"/>
      <c r="K85" s="1908"/>
      <c r="L85" s="1908"/>
      <c r="M85" s="1908"/>
      <c r="N85" s="1908"/>
      <c r="O85" s="481"/>
      <c r="P85" s="9"/>
      <c r="Q85" s="1909"/>
      <c r="R85" s="1909"/>
      <c r="S85" s="1715" t="b">
        <f>IF(E85 = "", TRUE, FALSE)</f>
        <v>1</v>
      </c>
      <c r="T85" s="1909"/>
      <c r="U85" s="1909"/>
      <c r="V85" s="1909"/>
      <c r="W85" s="1909"/>
      <c r="X85" s="1909"/>
      <c r="Y85" s="1909"/>
      <c r="Z85" s="1909"/>
      <c r="AA85" s="1909"/>
      <c r="AB85" s="1249"/>
      <c r="AC85" s="1909"/>
      <c r="AD85" s="1909"/>
      <c r="AE85" s="1909"/>
      <c r="AF85" s="1909"/>
      <c r="AG85" s="1909"/>
      <c r="AH85" s="1910"/>
      <c r="AI85" s="1910"/>
      <c r="AN85" s="1905"/>
      <c r="AO85" s="1121" t="b">
        <f t="shared" si="20"/>
        <v>0</v>
      </c>
      <c r="AP85" s="1912"/>
    </row>
    <row r="86" spans="1:42" s="1911" customFormat="1" ht="13.15" customHeight="1">
      <c r="A86" s="1905"/>
      <c r="B86" s="1906"/>
      <c r="C86" s="1028"/>
      <c r="D86" s="582">
        <v>2</v>
      </c>
      <c r="E86" s="1916" t="str">
        <f>c_ALR2025!E5797</f>
        <v/>
      </c>
      <c r="F86" s="1917" t="str">
        <f>c_ALR2025!F5797</f>
        <v/>
      </c>
      <c r="G86" s="1918" t="str">
        <f>c_ALR2025!G5797</f>
        <v/>
      </c>
      <c r="H86" s="1919" t="str">
        <f>c_ALR2025!M5797</f>
        <v/>
      </c>
      <c r="I86" s="1988"/>
      <c r="J86" s="1907"/>
      <c r="K86" s="1908"/>
      <c r="L86" s="1908"/>
      <c r="M86" s="1908"/>
      <c r="N86" s="1908"/>
      <c r="O86" s="481"/>
      <c r="P86" s="9"/>
      <c r="Q86" s="1909"/>
      <c r="R86" s="1909"/>
      <c r="S86" s="1715" t="b">
        <f t="shared" ref="S86:S94" si="23">IF(E86 = "", TRUE, FALSE)</f>
        <v>1</v>
      </c>
      <c r="T86" s="1909"/>
      <c r="U86" s="1909"/>
      <c r="V86" s="1909"/>
      <c r="W86" s="1909"/>
      <c r="X86" s="1909"/>
      <c r="Y86" s="1909"/>
      <c r="Z86" s="1909"/>
      <c r="AA86" s="1909"/>
      <c r="AB86" s="1249"/>
      <c r="AC86" s="1909"/>
      <c r="AD86" s="1909"/>
      <c r="AE86" s="1909"/>
      <c r="AF86" s="1909"/>
      <c r="AG86" s="1909"/>
      <c r="AH86" s="1910"/>
      <c r="AI86" s="1910"/>
      <c r="AN86" s="1905"/>
      <c r="AO86" s="1121" t="b">
        <f t="shared" si="20"/>
        <v>0</v>
      </c>
      <c r="AP86" s="1912"/>
    </row>
    <row r="87" spans="1:42" s="1911" customFormat="1" ht="13.15" customHeight="1">
      <c r="A87" s="1905"/>
      <c r="B87" s="1906"/>
      <c r="C87" s="1028"/>
      <c r="D87" s="582">
        <v>3</v>
      </c>
      <c r="E87" s="1916" t="str">
        <f>c_ALR2025!E5798</f>
        <v/>
      </c>
      <c r="F87" s="1917" t="str">
        <f>c_ALR2025!F5798</f>
        <v/>
      </c>
      <c r="G87" s="1918" t="str">
        <f>c_ALR2025!G5798</f>
        <v/>
      </c>
      <c r="H87" s="1919" t="str">
        <f>c_ALR2025!M5798</f>
        <v/>
      </c>
      <c r="I87" s="1988"/>
      <c r="J87" s="1907"/>
      <c r="K87" s="1908"/>
      <c r="L87" s="1908"/>
      <c r="M87" s="1908"/>
      <c r="N87" s="1908"/>
      <c r="O87" s="481"/>
      <c r="P87" s="9"/>
      <c r="Q87" s="1909"/>
      <c r="R87" s="1909"/>
      <c r="S87" s="1715" t="b">
        <f t="shared" si="23"/>
        <v>1</v>
      </c>
      <c r="T87" s="1909"/>
      <c r="U87" s="1909"/>
      <c r="V87" s="1909"/>
      <c r="W87" s="1909"/>
      <c r="X87" s="1909"/>
      <c r="Y87" s="1909"/>
      <c r="Z87" s="1909"/>
      <c r="AA87" s="1909"/>
      <c r="AB87" s="1249"/>
      <c r="AC87" s="1909"/>
      <c r="AD87" s="1909"/>
      <c r="AE87" s="1909"/>
      <c r="AF87" s="1909"/>
      <c r="AG87" s="1909"/>
      <c r="AH87" s="1910"/>
      <c r="AI87" s="1910"/>
      <c r="AN87" s="1905"/>
      <c r="AO87" s="1121" t="b">
        <f t="shared" si="20"/>
        <v>0</v>
      </c>
      <c r="AP87" s="1912"/>
    </row>
    <row r="88" spans="1:42" s="1911" customFormat="1" ht="13.15" customHeight="1">
      <c r="A88" s="1905"/>
      <c r="B88" s="1906"/>
      <c r="C88" s="1028"/>
      <c r="D88" s="582">
        <v>4</v>
      </c>
      <c r="E88" s="1916" t="str">
        <f>c_ALR2025!E5799</f>
        <v/>
      </c>
      <c r="F88" s="1917" t="str">
        <f>c_ALR2025!F5799</f>
        <v/>
      </c>
      <c r="G88" s="1918" t="str">
        <f>c_ALR2025!G5799</f>
        <v/>
      </c>
      <c r="H88" s="1919" t="str">
        <f>c_ALR2025!M5799</f>
        <v/>
      </c>
      <c r="I88" s="1988"/>
      <c r="J88" s="1907"/>
      <c r="K88" s="1908"/>
      <c r="L88" s="1908"/>
      <c r="M88" s="1908"/>
      <c r="N88" s="1908"/>
      <c r="O88" s="481"/>
      <c r="P88" s="9"/>
      <c r="Q88" s="1909"/>
      <c r="R88" s="1909"/>
      <c r="S88" s="1715" t="b">
        <f t="shared" si="23"/>
        <v>1</v>
      </c>
      <c r="T88" s="1909"/>
      <c r="U88" s="1909"/>
      <c r="V88" s="1909"/>
      <c r="W88" s="1909"/>
      <c r="X88" s="1909"/>
      <c r="Y88" s="1909"/>
      <c r="Z88" s="1909"/>
      <c r="AA88" s="1909"/>
      <c r="AB88" s="1249"/>
      <c r="AC88" s="1909"/>
      <c r="AD88" s="1909"/>
      <c r="AE88" s="1909"/>
      <c r="AF88" s="1909"/>
      <c r="AG88" s="1909"/>
      <c r="AH88" s="1910"/>
      <c r="AI88" s="1910"/>
      <c r="AN88" s="1905"/>
      <c r="AO88" s="1121" t="b">
        <f t="shared" si="20"/>
        <v>0</v>
      </c>
      <c r="AP88" s="1912"/>
    </row>
    <row r="89" spans="1:42" s="1911" customFormat="1" ht="13.15" customHeight="1">
      <c r="A89" s="1905"/>
      <c r="B89" s="1906"/>
      <c r="C89" s="1028"/>
      <c r="D89" s="582">
        <v>5</v>
      </c>
      <c r="E89" s="1916" t="str">
        <f>c_ALR2025!E5800</f>
        <v/>
      </c>
      <c r="F89" s="1917" t="str">
        <f>c_ALR2025!F5800</f>
        <v/>
      </c>
      <c r="G89" s="1918" t="str">
        <f>c_ALR2025!G5800</f>
        <v/>
      </c>
      <c r="H89" s="1919" t="str">
        <f>c_ALR2025!M5800</f>
        <v/>
      </c>
      <c r="I89" s="1988"/>
      <c r="J89" s="1907"/>
      <c r="K89" s="1908"/>
      <c r="L89" s="1908"/>
      <c r="M89" s="1908"/>
      <c r="N89" s="1908"/>
      <c r="O89" s="481"/>
      <c r="P89" s="9"/>
      <c r="Q89" s="1909"/>
      <c r="R89" s="1909"/>
      <c r="S89" s="1715" t="b">
        <f t="shared" si="23"/>
        <v>1</v>
      </c>
      <c r="T89" s="1909"/>
      <c r="U89" s="1909"/>
      <c r="V89" s="1909"/>
      <c r="W89" s="1909"/>
      <c r="X89" s="1909"/>
      <c r="Y89" s="1909"/>
      <c r="Z89" s="1909"/>
      <c r="AA89" s="1909"/>
      <c r="AB89" s="1249"/>
      <c r="AC89" s="1909"/>
      <c r="AD89" s="1909"/>
      <c r="AE89" s="1909"/>
      <c r="AF89" s="1909"/>
      <c r="AG89" s="1909"/>
      <c r="AH89" s="1910"/>
      <c r="AI89" s="1910"/>
      <c r="AN89" s="1905"/>
      <c r="AO89" s="1121" t="b">
        <f t="shared" si="20"/>
        <v>0</v>
      </c>
      <c r="AP89" s="1912"/>
    </row>
    <row r="90" spans="1:42" s="1911" customFormat="1" ht="13.15" customHeight="1">
      <c r="A90" s="1905"/>
      <c r="B90" s="1906"/>
      <c r="C90" s="1028"/>
      <c r="D90" s="582">
        <v>6</v>
      </c>
      <c r="E90" s="1916" t="str">
        <f>c_ALR2025!E5801</f>
        <v/>
      </c>
      <c r="F90" s="1917" t="str">
        <f>c_ALR2025!F5801</f>
        <v/>
      </c>
      <c r="G90" s="1918" t="str">
        <f>c_ALR2025!G5801</f>
        <v/>
      </c>
      <c r="H90" s="1919" t="str">
        <f>c_ALR2025!M5801</f>
        <v/>
      </c>
      <c r="I90" s="1988"/>
      <c r="J90" s="1907"/>
      <c r="K90" s="1908"/>
      <c r="L90" s="1908"/>
      <c r="M90" s="1908"/>
      <c r="N90" s="1908"/>
      <c r="O90" s="481"/>
      <c r="P90" s="9"/>
      <c r="Q90" s="1909"/>
      <c r="R90" s="1909"/>
      <c r="S90" s="1715" t="b">
        <f t="shared" si="23"/>
        <v>1</v>
      </c>
      <c r="T90" s="1909"/>
      <c r="U90" s="1909"/>
      <c r="V90" s="1909"/>
      <c r="W90" s="1909"/>
      <c r="X90" s="1909"/>
      <c r="Y90" s="1909"/>
      <c r="Z90" s="1909"/>
      <c r="AA90" s="1909"/>
      <c r="AB90" s="1249"/>
      <c r="AC90" s="1909"/>
      <c r="AD90" s="1909"/>
      <c r="AE90" s="1909"/>
      <c r="AF90" s="1909"/>
      <c r="AG90" s="1909"/>
      <c r="AH90" s="1910"/>
      <c r="AI90" s="1910"/>
      <c r="AN90" s="1905"/>
      <c r="AO90" s="1121" t="b">
        <f t="shared" si="20"/>
        <v>0</v>
      </c>
      <c r="AP90" s="1912"/>
    </row>
    <row r="91" spans="1:42" s="1911" customFormat="1" ht="13.15" customHeight="1">
      <c r="A91" s="1905"/>
      <c r="B91" s="1906"/>
      <c r="C91" s="1028"/>
      <c r="D91" s="582">
        <v>7</v>
      </c>
      <c r="E91" s="1916" t="str">
        <f>c_ALR2025!E5802</f>
        <v/>
      </c>
      <c r="F91" s="1917" t="str">
        <f>c_ALR2025!F5802</f>
        <v/>
      </c>
      <c r="G91" s="1918" t="str">
        <f>c_ALR2025!G5802</f>
        <v/>
      </c>
      <c r="H91" s="1919" t="str">
        <f>c_ALR2025!M5802</f>
        <v/>
      </c>
      <c r="I91" s="1988"/>
      <c r="J91" s="1907"/>
      <c r="K91" s="1908"/>
      <c r="L91" s="1908"/>
      <c r="M91" s="1908"/>
      <c r="N91" s="1908"/>
      <c r="O91" s="481"/>
      <c r="P91" s="9"/>
      <c r="Q91" s="1909"/>
      <c r="R91" s="1909"/>
      <c r="S91" s="1715" t="b">
        <f t="shared" si="23"/>
        <v>1</v>
      </c>
      <c r="T91" s="1909"/>
      <c r="U91" s="1909"/>
      <c r="V91" s="1909"/>
      <c r="W91" s="1909"/>
      <c r="X91" s="1909"/>
      <c r="Y91" s="1909"/>
      <c r="Z91" s="1909"/>
      <c r="AA91" s="1909"/>
      <c r="AB91" s="1249"/>
      <c r="AC91" s="1909"/>
      <c r="AD91" s="1909"/>
      <c r="AE91" s="1909"/>
      <c r="AF91" s="1909"/>
      <c r="AG91" s="1909"/>
      <c r="AH91" s="1910"/>
      <c r="AI91" s="1910"/>
      <c r="AN91" s="1905"/>
      <c r="AO91" s="1121" t="b">
        <f t="shared" si="20"/>
        <v>0</v>
      </c>
      <c r="AP91" s="1912"/>
    </row>
    <row r="92" spans="1:42" s="1911" customFormat="1" ht="13.15" customHeight="1">
      <c r="A92" s="1905"/>
      <c r="B92" s="1906"/>
      <c r="C92" s="1028"/>
      <c r="D92" s="582">
        <v>8</v>
      </c>
      <c r="E92" s="1916" t="str">
        <f>c_ALR2025!E5803</f>
        <v/>
      </c>
      <c r="F92" s="1917" t="str">
        <f>c_ALR2025!F5803</f>
        <v/>
      </c>
      <c r="G92" s="1918" t="str">
        <f>c_ALR2025!G5803</f>
        <v/>
      </c>
      <c r="H92" s="1919" t="str">
        <f>c_ALR2025!M5803</f>
        <v/>
      </c>
      <c r="I92" s="1988"/>
      <c r="J92" s="1907"/>
      <c r="K92" s="1908"/>
      <c r="L92" s="1908"/>
      <c r="M92" s="1908"/>
      <c r="N92" s="1908"/>
      <c r="O92" s="481"/>
      <c r="P92" s="9"/>
      <c r="Q92" s="1909"/>
      <c r="R92" s="1909"/>
      <c r="S92" s="1715" t="b">
        <f t="shared" si="23"/>
        <v>1</v>
      </c>
      <c r="T92" s="1909"/>
      <c r="U92" s="1909"/>
      <c r="V92" s="1909"/>
      <c r="W92" s="1909"/>
      <c r="X92" s="1909"/>
      <c r="Y92" s="1909"/>
      <c r="Z92" s="1909"/>
      <c r="AA92" s="1909"/>
      <c r="AB92" s="1249"/>
      <c r="AC92" s="1909"/>
      <c r="AD92" s="1909"/>
      <c r="AE92" s="1909"/>
      <c r="AF92" s="1909"/>
      <c r="AG92" s="1909"/>
      <c r="AH92" s="1910"/>
      <c r="AI92" s="1910"/>
      <c r="AN92" s="1905"/>
      <c r="AO92" s="1121" t="b">
        <f t="shared" si="20"/>
        <v>0</v>
      </c>
      <c r="AP92" s="1912"/>
    </row>
    <row r="93" spans="1:42" s="1911" customFormat="1" ht="13.15" customHeight="1">
      <c r="A93" s="1905"/>
      <c r="B93" s="1906"/>
      <c r="C93" s="1028"/>
      <c r="D93" s="582">
        <v>9</v>
      </c>
      <c r="E93" s="1916" t="str">
        <f>c_ALR2025!E5804</f>
        <v/>
      </c>
      <c r="F93" s="1917" t="str">
        <f>c_ALR2025!F5804</f>
        <v/>
      </c>
      <c r="G93" s="1918" t="str">
        <f>c_ALR2025!G5804</f>
        <v/>
      </c>
      <c r="H93" s="1919" t="str">
        <f>c_ALR2025!M5804</f>
        <v/>
      </c>
      <c r="I93" s="1988"/>
      <c r="J93" s="1907"/>
      <c r="K93" s="1908"/>
      <c r="L93" s="1908"/>
      <c r="M93" s="1908"/>
      <c r="N93" s="1908"/>
      <c r="O93" s="481"/>
      <c r="P93" s="9"/>
      <c r="Q93" s="1909"/>
      <c r="R93" s="1909"/>
      <c r="S93" s="1715" t="b">
        <f t="shared" si="23"/>
        <v>1</v>
      </c>
      <c r="T93" s="1909"/>
      <c r="U93" s="1909"/>
      <c r="V93" s="1909"/>
      <c r="W93" s="1909"/>
      <c r="X93" s="1909"/>
      <c r="Y93" s="1909"/>
      <c r="Z93" s="1909"/>
      <c r="AA93" s="1909"/>
      <c r="AB93" s="1249"/>
      <c r="AC93" s="1909"/>
      <c r="AD93" s="1909"/>
      <c r="AE93" s="1909"/>
      <c r="AF93" s="1909"/>
      <c r="AG93" s="1909"/>
      <c r="AH93" s="1910"/>
      <c r="AI93" s="1910"/>
      <c r="AN93" s="1905"/>
      <c r="AO93" s="1121" t="b">
        <f t="shared" si="20"/>
        <v>0</v>
      </c>
      <c r="AP93" s="1912"/>
    </row>
    <row r="94" spans="1:42" s="1911" customFormat="1" ht="13.15" customHeight="1">
      <c r="A94" s="1905"/>
      <c r="B94" s="1906"/>
      <c r="C94" s="1028"/>
      <c r="D94" s="584">
        <v>10</v>
      </c>
      <c r="E94" s="1920" t="str">
        <f>c_ALR2025!E5805</f>
        <v/>
      </c>
      <c r="F94" s="1921" t="str">
        <f>c_ALR2025!F5805</f>
        <v/>
      </c>
      <c r="G94" s="1922" t="str">
        <f>c_ALR2025!G5805</f>
        <v/>
      </c>
      <c r="H94" s="1923" t="str">
        <f>c_ALR2025!M5805</f>
        <v/>
      </c>
      <c r="I94" s="1989"/>
      <c r="J94" s="1907"/>
      <c r="K94" s="1908"/>
      <c r="L94" s="1908"/>
      <c r="M94" s="1908"/>
      <c r="N94" s="1908"/>
      <c r="O94" s="481"/>
      <c r="P94" s="9"/>
      <c r="Q94" s="1909"/>
      <c r="R94" s="1909"/>
      <c r="S94" s="1715" t="b">
        <f t="shared" si="23"/>
        <v>1</v>
      </c>
      <c r="T94" s="1909"/>
      <c r="U94" s="1909"/>
      <c r="V94" s="1909"/>
      <c r="W94" s="1909"/>
      <c r="X94" s="1909"/>
      <c r="Y94" s="1909"/>
      <c r="Z94" s="1909"/>
      <c r="AA94" s="1909"/>
      <c r="AB94" s="1249"/>
      <c r="AC94" s="1909"/>
      <c r="AD94" s="1909"/>
      <c r="AE94" s="1909"/>
      <c r="AF94" s="1909"/>
      <c r="AG94" s="1909"/>
      <c r="AH94" s="1910"/>
      <c r="AI94" s="1910"/>
      <c r="AN94" s="1905"/>
      <c r="AO94" s="1121" t="b">
        <f t="shared" si="20"/>
        <v>0</v>
      </c>
      <c r="AP94" s="1912"/>
    </row>
    <row r="95" spans="1:42" s="1911" customFormat="1" ht="13.15" customHeight="1">
      <c r="A95" s="1905"/>
      <c r="B95" s="1906"/>
      <c r="C95" s="1028"/>
      <c r="D95" s="579">
        <v>1</v>
      </c>
      <c r="E95" s="1034" t="str">
        <f>IF(ISBLANK(I68),"",I68)</f>
        <v/>
      </c>
      <c r="F95" s="1990"/>
      <c r="G95" s="1987"/>
      <c r="H95" s="1924"/>
      <c r="I95" s="1987"/>
      <c r="J95" s="1907"/>
      <c r="K95" s="1908"/>
      <c r="L95" s="1908"/>
      <c r="M95" s="1908"/>
      <c r="N95" s="1908"/>
      <c r="O95" s="481"/>
      <c r="P95" s="9"/>
      <c r="Q95" s="1909"/>
      <c r="R95" s="1909"/>
      <c r="S95" s="1715" t="b">
        <f>IF(AND(S85 = TRUE, E95 &lt;&gt; ""),FALSE, TRUE)</f>
        <v>1</v>
      </c>
      <c r="T95" s="1909"/>
      <c r="U95" s="1909"/>
      <c r="V95" s="1909"/>
      <c r="W95" s="1909"/>
      <c r="X95" s="1909"/>
      <c r="Y95" s="1909"/>
      <c r="Z95" s="1909"/>
      <c r="AA95" s="1909"/>
      <c r="AB95" s="1249"/>
      <c r="AC95" s="1909"/>
      <c r="AD95" s="1909"/>
      <c r="AE95" s="1909"/>
      <c r="AF95" s="1909"/>
      <c r="AG95" s="1909"/>
      <c r="AH95" s="1910"/>
      <c r="AI95" s="1910"/>
      <c r="AN95" s="1905"/>
      <c r="AO95" s="1121" t="b">
        <f t="shared" si="20"/>
        <v>0</v>
      </c>
      <c r="AP95" s="1912"/>
    </row>
    <row r="96" spans="1:42" s="1911" customFormat="1" ht="13.15" customHeight="1">
      <c r="A96" s="1905"/>
      <c r="B96" s="1906"/>
      <c r="C96" s="1028"/>
      <c r="D96" s="582">
        <v>2</v>
      </c>
      <c r="E96" s="1035" t="str">
        <f t="shared" ref="E96:E104" si="24">IF(ISBLANK(I69),"",I69)</f>
        <v/>
      </c>
      <c r="F96" s="1991"/>
      <c r="G96" s="1988"/>
      <c r="H96" s="1925"/>
      <c r="I96" s="1988"/>
      <c r="J96" s="1907"/>
      <c r="K96" s="1908"/>
      <c r="L96" s="1908"/>
      <c r="M96" s="1908"/>
      <c r="N96" s="1908"/>
      <c r="O96" s="481"/>
      <c r="P96" s="9"/>
      <c r="Q96" s="1909"/>
      <c r="R96" s="1909"/>
      <c r="S96" s="1715" t="b">
        <f t="shared" ref="S96:S104" si="25">IF(AND(S86 = TRUE, E96 &lt;&gt; ""),FALSE, TRUE)</f>
        <v>1</v>
      </c>
      <c r="T96" s="1909"/>
      <c r="U96" s="1909"/>
      <c r="V96" s="1909"/>
      <c r="W96" s="1909"/>
      <c r="X96" s="1909"/>
      <c r="Y96" s="1909"/>
      <c r="Z96" s="1909"/>
      <c r="AA96" s="1909"/>
      <c r="AB96" s="1249"/>
      <c r="AC96" s="1909"/>
      <c r="AD96" s="1909"/>
      <c r="AE96" s="1909"/>
      <c r="AF96" s="1909"/>
      <c r="AG96" s="1909"/>
      <c r="AH96" s="1910"/>
      <c r="AI96" s="1910"/>
      <c r="AN96" s="1905"/>
      <c r="AO96" s="1121" t="b">
        <f t="shared" si="20"/>
        <v>0</v>
      </c>
      <c r="AP96" s="1912"/>
    </row>
    <row r="97" spans="1:42" s="1911" customFormat="1" ht="13.15" customHeight="1">
      <c r="A97" s="1905"/>
      <c r="B97" s="1906"/>
      <c r="C97" s="1028"/>
      <c r="D97" s="582">
        <v>3</v>
      </c>
      <c r="E97" s="1035" t="str">
        <f t="shared" si="24"/>
        <v/>
      </c>
      <c r="F97" s="1991"/>
      <c r="G97" s="1988"/>
      <c r="H97" s="1925"/>
      <c r="I97" s="1988"/>
      <c r="J97" s="1907"/>
      <c r="K97" s="1908"/>
      <c r="L97" s="1908"/>
      <c r="M97" s="1908"/>
      <c r="N97" s="1908"/>
      <c r="O97" s="481"/>
      <c r="P97" s="9"/>
      <c r="Q97" s="1909"/>
      <c r="R97" s="1909"/>
      <c r="S97" s="1715" t="b">
        <f t="shared" si="25"/>
        <v>1</v>
      </c>
      <c r="T97" s="1909"/>
      <c r="U97" s="1909"/>
      <c r="V97" s="1909"/>
      <c r="W97" s="1909"/>
      <c r="X97" s="1909"/>
      <c r="Y97" s="1909"/>
      <c r="Z97" s="1909"/>
      <c r="AA97" s="1909"/>
      <c r="AB97" s="1249"/>
      <c r="AC97" s="1909"/>
      <c r="AD97" s="1909"/>
      <c r="AE97" s="1909"/>
      <c r="AF97" s="1909"/>
      <c r="AG97" s="1909"/>
      <c r="AH97" s="1910"/>
      <c r="AI97" s="1910"/>
      <c r="AJ97" s="1910"/>
      <c r="AK97" s="1910"/>
      <c r="AL97" s="1910"/>
      <c r="AN97" s="1905"/>
      <c r="AO97" s="1121" t="b">
        <f t="shared" si="20"/>
        <v>0</v>
      </c>
      <c r="AP97" s="1912"/>
    </row>
    <row r="98" spans="1:42" s="1911" customFormat="1" ht="13.15" customHeight="1">
      <c r="A98" s="1905"/>
      <c r="B98" s="1906"/>
      <c r="C98" s="1028"/>
      <c r="D98" s="582">
        <v>4</v>
      </c>
      <c r="E98" s="1035" t="str">
        <f t="shared" si="24"/>
        <v/>
      </c>
      <c r="F98" s="1991"/>
      <c r="G98" s="1988"/>
      <c r="H98" s="1925"/>
      <c r="I98" s="1988"/>
      <c r="J98" s="1907"/>
      <c r="K98" s="1908"/>
      <c r="L98" s="1908"/>
      <c r="M98" s="1908"/>
      <c r="N98" s="1908"/>
      <c r="O98" s="481"/>
      <c r="P98" s="9"/>
      <c r="Q98" s="1909"/>
      <c r="R98" s="1909"/>
      <c r="S98" s="1715" t="b">
        <f t="shared" si="25"/>
        <v>1</v>
      </c>
      <c r="T98" s="1909"/>
      <c r="U98" s="1909"/>
      <c r="V98" s="1909"/>
      <c r="W98" s="1909"/>
      <c r="X98" s="1909"/>
      <c r="Y98" s="1909"/>
      <c r="Z98" s="1909"/>
      <c r="AA98" s="1909"/>
      <c r="AB98" s="1249"/>
      <c r="AC98" s="1909"/>
      <c r="AD98" s="1909"/>
      <c r="AE98" s="1909"/>
      <c r="AF98" s="1909"/>
      <c r="AG98" s="1909"/>
      <c r="AH98" s="1910"/>
      <c r="AI98" s="1910"/>
      <c r="AJ98" s="1910"/>
      <c r="AK98" s="1910"/>
      <c r="AL98" s="1910"/>
      <c r="AN98" s="1905"/>
      <c r="AO98" s="1121" t="b">
        <f t="shared" si="20"/>
        <v>0</v>
      </c>
      <c r="AP98" s="1912"/>
    </row>
    <row r="99" spans="1:42" s="1911" customFormat="1" ht="13.15" customHeight="1">
      <c r="A99" s="1905"/>
      <c r="B99" s="1906"/>
      <c r="C99" s="1028"/>
      <c r="D99" s="582">
        <v>5</v>
      </c>
      <c r="E99" s="1035" t="str">
        <f t="shared" si="24"/>
        <v/>
      </c>
      <c r="F99" s="1991"/>
      <c r="G99" s="1988"/>
      <c r="H99" s="1925"/>
      <c r="I99" s="1988"/>
      <c r="J99" s="1907"/>
      <c r="K99" s="1908"/>
      <c r="L99" s="1908"/>
      <c r="M99" s="1908"/>
      <c r="N99" s="1908"/>
      <c r="O99" s="481"/>
      <c r="P99" s="9"/>
      <c r="Q99" s="1909"/>
      <c r="R99" s="1909"/>
      <c r="S99" s="1715" t="b">
        <f t="shared" si="25"/>
        <v>1</v>
      </c>
      <c r="T99" s="1909"/>
      <c r="U99" s="1909"/>
      <c r="V99" s="1909"/>
      <c r="W99" s="1909"/>
      <c r="X99" s="1909"/>
      <c r="Y99" s="1909"/>
      <c r="Z99" s="1909"/>
      <c r="AA99" s="1909"/>
      <c r="AB99" s="1249"/>
      <c r="AC99" s="1909"/>
      <c r="AD99" s="1909"/>
      <c r="AE99" s="1909"/>
      <c r="AF99" s="1909"/>
      <c r="AG99" s="1909"/>
      <c r="AH99" s="1910"/>
      <c r="AI99" s="1910"/>
      <c r="AJ99" s="1910"/>
      <c r="AK99" s="1910"/>
      <c r="AL99" s="1910"/>
      <c r="AN99" s="1905"/>
      <c r="AO99" s="1121" t="b">
        <f t="shared" si="20"/>
        <v>0</v>
      </c>
      <c r="AP99" s="1912"/>
    </row>
    <row r="100" spans="1:42" s="1911" customFormat="1" ht="13.15" customHeight="1">
      <c r="A100" s="1905"/>
      <c r="B100" s="1906"/>
      <c r="C100" s="1028"/>
      <c r="D100" s="582">
        <v>6</v>
      </c>
      <c r="E100" s="1035" t="str">
        <f t="shared" si="24"/>
        <v/>
      </c>
      <c r="F100" s="1991"/>
      <c r="G100" s="1988"/>
      <c r="H100" s="1925"/>
      <c r="I100" s="1988"/>
      <c r="J100" s="1907"/>
      <c r="K100" s="1908"/>
      <c r="L100" s="1908"/>
      <c r="M100" s="1908"/>
      <c r="N100" s="1908"/>
      <c r="O100" s="481"/>
      <c r="P100" s="9"/>
      <c r="Q100" s="1909"/>
      <c r="R100" s="1909"/>
      <c r="S100" s="1715" t="b">
        <f t="shared" si="25"/>
        <v>1</v>
      </c>
      <c r="T100" s="1909"/>
      <c r="U100" s="1909"/>
      <c r="V100" s="1909"/>
      <c r="W100" s="1909"/>
      <c r="X100" s="1909"/>
      <c r="Y100" s="1909"/>
      <c r="Z100" s="1909"/>
      <c r="AA100" s="1909"/>
      <c r="AB100" s="1249"/>
      <c r="AC100" s="1909"/>
      <c r="AD100" s="1909"/>
      <c r="AE100" s="1909"/>
      <c r="AF100" s="1909"/>
      <c r="AG100" s="1909"/>
      <c r="AH100" s="1910"/>
      <c r="AI100" s="1910"/>
      <c r="AJ100" s="1910"/>
      <c r="AK100" s="1910"/>
      <c r="AL100" s="1910"/>
      <c r="AN100" s="1905"/>
      <c r="AO100" s="1121" t="b">
        <f t="shared" si="20"/>
        <v>0</v>
      </c>
      <c r="AP100" s="1912"/>
    </row>
    <row r="101" spans="1:42" s="1911" customFormat="1" ht="13.15" customHeight="1">
      <c r="A101" s="1905"/>
      <c r="B101" s="1906"/>
      <c r="C101" s="1028"/>
      <c r="D101" s="582">
        <v>7</v>
      </c>
      <c r="E101" s="1035" t="str">
        <f t="shared" si="24"/>
        <v/>
      </c>
      <c r="F101" s="1991"/>
      <c r="G101" s="1988"/>
      <c r="H101" s="1925"/>
      <c r="I101" s="1988"/>
      <c r="J101" s="1907"/>
      <c r="K101" s="1908"/>
      <c r="L101" s="1908"/>
      <c r="M101" s="1908"/>
      <c r="N101" s="1908"/>
      <c r="O101" s="481"/>
      <c r="P101" s="9"/>
      <c r="Q101" s="1909"/>
      <c r="R101" s="1909"/>
      <c r="S101" s="1715" t="b">
        <f t="shared" si="25"/>
        <v>1</v>
      </c>
      <c r="T101" s="1909"/>
      <c r="U101" s="1909"/>
      <c r="V101" s="1909"/>
      <c r="W101" s="1909"/>
      <c r="X101" s="1909"/>
      <c r="Y101" s="1909"/>
      <c r="Z101" s="1909"/>
      <c r="AA101" s="1909"/>
      <c r="AB101" s="1249"/>
      <c r="AC101" s="1909"/>
      <c r="AD101" s="1909"/>
      <c r="AE101" s="1909"/>
      <c r="AF101" s="1909"/>
      <c r="AG101" s="1909"/>
      <c r="AH101" s="1910"/>
      <c r="AI101" s="1910"/>
      <c r="AJ101" s="1910"/>
      <c r="AK101" s="1910"/>
      <c r="AL101" s="1910"/>
      <c r="AN101" s="1905"/>
      <c r="AO101" s="1121" t="b">
        <f t="shared" si="20"/>
        <v>0</v>
      </c>
      <c r="AP101" s="1912"/>
    </row>
    <row r="102" spans="1:42" s="1911" customFormat="1" ht="13.15" customHeight="1">
      <c r="A102" s="1905"/>
      <c r="B102" s="1906"/>
      <c r="C102" s="1028"/>
      <c r="D102" s="582">
        <v>8</v>
      </c>
      <c r="E102" s="1035" t="str">
        <f t="shared" si="24"/>
        <v/>
      </c>
      <c r="F102" s="1991"/>
      <c r="G102" s="1988"/>
      <c r="H102" s="1925"/>
      <c r="I102" s="1988"/>
      <c r="J102" s="1907"/>
      <c r="K102" s="1908"/>
      <c r="L102" s="1908"/>
      <c r="M102" s="1908"/>
      <c r="N102" s="1908"/>
      <c r="O102" s="481"/>
      <c r="P102" s="9"/>
      <c r="Q102" s="1909"/>
      <c r="R102" s="1909"/>
      <c r="S102" s="1715" t="b">
        <f t="shared" si="25"/>
        <v>1</v>
      </c>
      <c r="T102" s="1909"/>
      <c r="U102" s="1909"/>
      <c r="V102" s="1909"/>
      <c r="W102" s="1909"/>
      <c r="X102" s="1909"/>
      <c r="Y102" s="1909"/>
      <c r="Z102" s="1909"/>
      <c r="AA102" s="1909"/>
      <c r="AB102" s="1249"/>
      <c r="AC102" s="1909"/>
      <c r="AD102" s="1909"/>
      <c r="AE102" s="1909"/>
      <c r="AF102" s="1909"/>
      <c r="AG102" s="1909"/>
      <c r="AH102" s="1910"/>
      <c r="AI102" s="1910"/>
      <c r="AJ102" s="1910"/>
      <c r="AK102" s="1910"/>
      <c r="AL102" s="1910"/>
      <c r="AN102" s="1905"/>
      <c r="AO102" s="1121" t="b">
        <f t="shared" si="20"/>
        <v>0</v>
      </c>
      <c r="AP102" s="1912"/>
    </row>
    <row r="103" spans="1:42" s="1911" customFormat="1" ht="13.15" customHeight="1">
      <c r="A103" s="1905"/>
      <c r="B103" s="1906"/>
      <c r="C103" s="1028"/>
      <c r="D103" s="582">
        <v>9</v>
      </c>
      <c r="E103" s="1035" t="str">
        <f t="shared" si="24"/>
        <v/>
      </c>
      <c r="F103" s="1991"/>
      <c r="G103" s="1988"/>
      <c r="H103" s="1925"/>
      <c r="I103" s="1988"/>
      <c r="J103" s="1907"/>
      <c r="K103" s="1908"/>
      <c r="L103" s="1908"/>
      <c r="M103" s="1908"/>
      <c r="N103" s="1908"/>
      <c r="O103" s="481"/>
      <c r="P103" s="9"/>
      <c r="Q103" s="1909"/>
      <c r="R103" s="1909"/>
      <c r="S103" s="1715" t="b">
        <f t="shared" si="25"/>
        <v>1</v>
      </c>
      <c r="T103" s="1909"/>
      <c r="U103" s="1909"/>
      <c r="V103" s="1909"/>
      <c r="W103" s="1909"/>
      <c r="X103" s="1909"/>
      <c r="Y103" s="1909"/>
      <c r="Z103" s="1909"/>
      <c r="AA103" s="1909"/>
      <c r="AB103" s="1249"/>
      <c r="AC103" s="1909"/>
      <c r="AD103" s="1909"/>
      <c r="AE103" s="1909"/>
      <c r="AF103" s="1909"/>
      <c r="AG103" s="1909"/>
      <c r="AH103" s="1910"/>
      <c r="AI103" s="1910"/>
      <c r="AJ103" s="1910"/>
      <c r="AK103" s="1910"/>
      <c r="AL103" s="1910"/>
      <c r="AN103" s="1905"/>
      <c r="AO103" s="1121" t="b">
        <f t="shared" si="20"/>
        <v>0</v>
      </c>
      <c r="AP103" s="1912"/>
    </row>
    <row r="104" spans="1:42" s="1911" customFormat="1" ht="13.15" customHeight="1" thickBot="1">
      <c r="A104" s="1905"/>
      <c r="B104" s="1906"/>
      <c r="C104" s="1028"/>
      <c r="D104" s="584">
        <v>10</v>
      </c>
      <c r="E104" s="1037" t="str">
        <f t="shared" si="24"/>
        <v/>
      </c>
      <c r="F104" s="1992"/>
      <c r="G104" s="1989"/>
      <c r="H104" s="1926"/>
      <c r="I104" s="1989"/>
      <c r="J104" s="1907"/>
      <c r="K104" s="1908"/>
      <c r="L104" s="1908"/>
      <c r="M104" s="1908"/>
      <c r="N104" s="1908"/>
      <c r="O104" s="481"/>
      <c r="P104" s="9"/>
      <c r="Q104" s="1909"/>
      <c r="R104" s="1909"/>
      <c r="S104" s="1726" t="b">
        <f t="shared" si="25"/>
        <v>1</v>
      </c>
      <c r="T104" s="1909"/>
      <c r="U104" s="1909"/>
      <c r="V104" s="1909"/>
      <c r="W104" s="1909"/>
      <c r="X104" s="1909"/>
      <c r="Y104" s="1909"/>
      <c r="Z104" s="1909"/>
      <c r="AA104" s="1909"/>
      <c r="AB104" s="1249"/>
      <c r="AC104" s="1909"/>
      <c r="AD104" s="1909"/>
      <c r="AE104" s="1909"/>
      <c r="AF104" s="1909"/>
      <c r="AG104" s="1909"/>
      <c r="AH104" s="1910"/>
      <c r="AI104" s="1910"/>
      <c r="AJ104" s="1910"/>
      <c r="AK104" s="1910"/>
      <c r="AL104" s="1910"/>
      <c r="AN104" s="1905"/>
      <c r="AO104" s="1121" t="b">
        <f t="shared" si="20"/>
        <v>0</v>
      </c>
      <c r="AP104" s="1912"/>
    </row>
    <row r="105" spans="1:42" ht="12.75" customHeight="1">
      <c r="B105" s="1124"/>
      <c r="C105" s="484"/>
      <c r="D105" s="579">
        <v>1</v>
      </c>
      <c r="E105" s="1034" t="str">
        <f>IF(E95&lt;&gt; "",E95,IF(E85 &lt;&gt; "", E85,""))</f>
        <v/>
      </c>
      <c r="F105" s="732" t="str">
        <f>IF(F95&lt;&gt; "",F95,IF(F85 &lt;&gt; "", F85,""))</f>
        <v/>
      </c>
      <c r="G105" s="962" t="str">
        <f>IF(G95&lt;&gt; "",G95,IF(G85 &lt;&gt; "", G85,""))</f>
        <v/>
      </c>
      <c r="H105" s="963" t="str">
        <f>IF(H95&lt;&gt; "",H95,IF(H85 &lt;&gt; "", H85,""))</f>
        <v/>
      </c>
      <c r="I105" s="962" t="str">
        <f>IF(I95&lt;&gt; "",I95,IF(I85 &lt;&gt; "", I85,""))</f>
        <v/>
      </c>
      <c r="J105" s="1891"/>
      <c r="K105" s="1684"/>
      <c r="L105" s="1684"/>
      <c r="M105" s="1684"/>
      <c r="N105" s="1684"/>
      <c r="O105" s="481"/>
      <c r="Z105" s="1641" t="s">
        <v>1698</v>
      </c>
      <c r="AA105" s="1993">
        <f>MAX(AC105:AI105)</f>
        <v>2</v>
      </c>
      <c r="AB105" s="1994">
        <f>IF(CNTR_ExistSubInstEntries,IF(OR($M12&lt;&gt;EUconst_Relevant,$V12&gt;2018,$E105=""),0,2),2)</f>
        <v>2</v>
      </c>
      <c r="AC105" s="1994">
        <f t="shared" ref="AC105:AI105" si="26">IF(CNTR_ExistSubInstEntries,IF(OR($M12&lt;&gt;EUconst_Relevant,AC84&gt;=CNTR_ReportingYear,AC84&lt;$V12-1,$E105=""),0,2),2)</f>
        <v>2</v>
      </c>
      <c r="AD105" s="1927">
        <f t="shared" si="26"/>
        <v>2</v>
      </c>
      <c r="AE105" s="1927">
        <f t="shared" si="26"/>
        <v>2</v>
      </c>
      <c r="AF105" s="1927">
        <f t="shared" si="26"/>
        <v>2</v>
      </c>
      <c r="AG105" s="1927">
        <f t="shared" si="26"/>
        <v>2</v>
      </c>
      <c r="AH105" s="1928">
        <f t="shared" si="26"/>
        <v>2</v>
      </c>
      <c r="AI105" s="1929">
        <f t="shared" si="26"/>
        <v>2</v>
      </c>
      <c r="AK105" s="1633" t="s">
        <v>1954</v>
      </c>
      <c r="AL105" s="1635" t="str">
        <f>IF(AND(CNTR_ExistSubInstEntries,COUNTIFS(AB105:AI105,2,G105:N105,"")&gt;0),EUconst_Error&amp;"FB"&amp;Q12,"")</f>
        <v/>
      </c>
      <c r="AO105" s="1121" t="b">
        <f t="shared" si="20"/>
        <v>0</v>
      </c>
      <c r="AP105" s="1135" t="s">
        <v>2482</v>
      </c>
    </row>
    <row r="106" spans="1:42" ht="12.75" customHeight="1">
      <c r="B106" s="1124"/>
      <c r="C106" s="484"/>
      <c r="D106" s="582">
        <f>D105+1</f>
        <v>2</v>
      </c>
      <c r="E106" s="1035" t="str">
        <f t="shared" ref="E106:I106" si="27">IF(E96&lt;&gt; "",E96,IF(E86 &lt;&gt; "", E86,""))</f>
        <v/>
      </c>
      <c r="F106" s="1036" t="str">
        <f t="shared" si="27"/>
        <v/>
      </c>
      <c r="G106" s="965" t="str">
        <f t="shared" si="27"/>
        <v/>
      </c>
      <c r="H106" s="966" t="str">
        <f t="shared" si="27"/>
        <v/>
      </c>
      <c r="I106" s="965" t="str">
        <f t="shared" si="27"/>
        <v/>
      </c>
      <c r="J106" s="1891"/>
      <c r="K106" s="1684"/>
      <c r="L106" s="1684"/>
      <c r="M106" s="1684"/>
      <c r="N106" s="1684"/>
      <c r="O106" s="481"/>
      <c r="AA106" s="1930">
        <f t="shared" ref="AA106:AA114" si="28">MAX(AC106:AI106)</f>
        <v>2</v>
      </c>
      <c r="AB106" s="1931">
        <f>IF(CNTR_ExistSubInstEntries,IF(OR($M12&lt;&gt;EUconst_Relevant,$V12&gt;2018,$E106=""),0,2),2)</f>
        <v>2</v>
      </c>
      <c r="AC106" s="1931">
        <f t="shared" ref="AC106:AI106" si="29">IF(CNTR_ExistSubInstEntries,IF(OR($M12&lt;&gt;EUconst_Relevant,AC84&gt;=CNTR_ReportingYear,AC84&lt;$V12-1,$E106=""),0,2),2)</f>
        <v>2</v>
      </c>
      <c r="AD106" s="1931">
        <f t="shared" si="29"/>
        <v>2</v>
      </c>
      <c r="AE106" s="1931">
        <f t="shared" si="29"/>
        <v>2</v>
      </c>
      <c r="AF106" s="1931">
        <f t="shared" si="29"/>
        <v>2</v>
      </c>
      <c r="AG106" s="1931">
        <f t="shared" si="29"/>
        <v>2</v>
      </c>
      <c r="AH106" s="1932">
        <f t="shared" si="29"/>
        <v>2</v>
      </c>
      <c r="AI106" s="1933">
        <f t="shared" si="29"/>
        <v>2</v>
      </c>
      <c r="AK106" s="1633" t="s">
        <v>1954</v>
      </c>
      <c r="AL106" s="1635" t="str">
        <f>IF(AND(CNTR_ExistSubInstEntries,COUNTIFS(AB106:AI106,2,G106:N106,"")&gt;0),EUconst_Error&amp;"FB"&amp;Q12,"")</f>
        <v/>
      </c>
      <c r="AO106" s="1121" t="b">
        <f t="shared" si="20"/>
        <v>0</v>
      </c>
      <c r="AP106" s="1135" t="s">
        <v>2483</v>
      </c>
    </row>
    <row r="107" spans="1:42" ht="12.75" customHeight="1">
      <c r="B107" s="1124"/>
      <c r="C107" s="484"/>
      <c r="D107" s="582">
        <f t="shared" ref="D107:D114" si="30">D106+1</f>
        <v>3</v>
      </c>
      <c r="E107" s="1035" t="str">
        <f t="shared" ref="E107:I107" si="31">IF(E97&lt;&gt; "",E97,IF(E87 &lt;&gt; "", E87,""))</f>
        <v/>
      </c>
      <c r="F107" s="1036" t="str">
        <f t="shared" si="31"/>
        <v/>
      </c>
      <c r="G107" s="965" t="str">
        <f t="shared" si="31"/>
        <v/>
      </c>
      <c r="H107" s="966" t="str">
        <f t="shared" si="31"/>
        <v/>
      </c>
      <c r="I107" s="965" t="str">
        <f t="shared" si="31"/>
        <v/>
      </c>
      <c r="J107" s="1891"/>
      <c r="K107" s="1684"/>
      <c r="L107" s="1684"/>
      <c r="M107" s="1684"/>
      <c r="N107" s="1684"/>
      <c r="O107" s="481"/>
      <c r="AA107" s="1930">
        <f t="shared" si="28"/>
        <v>2</v>
      </c>
      <c r="AB107" s="1931">
        <f>IF(CNTR_ExistSubInstEntries,IF(OR($M12&lt;&gt;EUconst_Relevant,$V12&gt;2018,$E107=""),0,2),2)</f>
        <v>2</v>
      </c>
      <c r="AC107" s="1931">
        <f t="shared" ref="AC107:AI107" si="32">IF(CNTR_ExistSubInstEntries,IF(OR($M12&lt;&gt;EUconst_Relevant,AC84&gt;=CNTR_ReportingYear,AC84&lt;$V12-1,$E107=""),0,2),2)</f>
        <v>2</v>
      </c>
      <c r="AD107" s="1931">
        <f t="shared" si="32"/>
        <v>2</v>
      </c>
      <c r="AE107" s="1931">
        <f t="shared" si="32"/>
        <v>2</v>
      </c>
      <c r="AF107" s="1931">
        <f t="shared" si="32"/>
        <v>2</v>
      </c>
      <c r="AG107" s="1931">
        <f t="shared" si="32"/>
        <v>2</v>
      </c>
      <c r="AH107" s="1932">
        <f t="shared" si="32"/>
        <v>2</v>
      </c>
      <c r="AI107" s="1933">
        <f t="shared" si="32"/>
        <v>2</v>
      </c>
      <c r="AK107" s="1633" t="s">
        <v>1954</v>
      </c>
      <c r="AL107" s="1635" t="str">
        <f>IF(AND(CNTR_ExistSubInstEntries,COUNTIFS(AB107:AI107,2,G107:N107,"")&gt;0),EUconst_Error&amp;"FB"&amp;Q12,"")</f>
        <v/>
      </c>
      <c r="AO107" s="1121" t="b">
        <f t="shared" si="20"/>
        <v>0</v>
      </c>
      <c r="AP107" s="1135" t="s">
        <v>2484</v>
      </c>
    </row>
    <row r="108" spans="1:42" ht="12.75" customHeight="1">
      <c r="B108" s="1124"/>
      <c r="C108" s="484"/>
      <c r="D108" s="582">
        <f t="shared" si="30"/>
        <v>4</v>
      </c>
      <c r="E108" s="1035" t="str">
        <f t="shared" ref="E108:I108" si="33">IF(E98&lt;&gt; "",E98,IF(E88 &lt;&gt; "", E88,""))</f>
        <v/>
      </c>
      <c r="F108" s="1036" t="str">
        <f t="shared" si="33"/>
        <v/>
      </c>
      <c r="G108" s="965" t="str">
        <f t="shared" si="33"/>
        <v/>
      </c>
      <c r="H108" s="966" t="str">
        <f t="shared" si="33"/>
        <v/>
      </c>
      <c r="I108" s="965" t="str">
        <f t="shared" si="33"/>
        <v/>
      </c>
      <c r="J108" s="1891"/>
      <c r="K108" s="1684"/>
      <c r="L108" s="1684"/>
      <c r="M108" s="1684"/>
      <c r="N108" s="1684"/>
      <c r="O108" s="481"/>
      <c r="U108" s="1435"/>
      <c r="V108" s="1435"/>
      <c r="AA108" s="1930">
        <f t="shared" si="28"/>
        <v>2</v>
      </c>
      <c r="AB108" s="1931">
        <f>IF(CNTR_ExistSubInstEntries,IF(OR($M12&lt;&gt;EUconst_Relevant,$V12&gt;2018,$E108=""),0,2),2)</f>
        <v>2</v>
      </c>
      <c r="AC108" s="1931">
        <f t="shared" ref="AC108:AI108" si="34">IF(CNTR_ExistSubInstEntries,IF(OR($M12&lt;&gt;EUconst_Relevant,AC84&gt;=CNTR_ReportingYear,AC84&lt;$V12-1,$E108=""),0,2),2)</f>
        <v>2</v>
      </c>
      <c r="AD108" s="1931">
        <f t="shared" si="34"/>
        <v>2</v>
      </c>
      <c r="AE108" s="1931">
        <f t="shared" si="34"/>
        <v>2</v>
      </c>
      <c r="AF108" s="1931">
        <f t="shared" si="34"/>
        <v>2</v>
      </c>
      <c r="AG108" s="1931">
        <f t="shared" si="34"/>
        <v>2</v>
      </c>
      <c r="AH108" s="1932">
        <f t="shared" si="34"/>
        <v>2</v>
      </c>
      <c r="AI108" s="1933">
        <f t="shared" si="34"/>
        <v>2</v>
      </c>
      <c r="AK108" s="1633" t="s">
        <v>1954</v>
      </c>
      <c r="AL108" s="1635" t="str">
        <f>IF(AND(CNTR_ExistSubInstEntries,COUNTIFS(AB108:AI108,2,G108:N108,"")&gt;0),EUconst_Error&amp;"FB"&amp;Q12,"")</f>
        <v/>
      </c>
      <c r="AO108" s="1121" t="b">
        <f t="shared" si="20"/>
        <v>0</v>
      </c>
      <c r="AP108" s="1135" t="s">
        <v>2485</v>
      </c>
    </row>
    <row r="109" spans="1:42" ht="12.75" customHeight="1">
      <c r="B109" s="1124"/>
      <c r="C109" s="484"/>
      <c r="D109" s="582">
        <f t="shared" si="30"/>
        <v>5</v>
      </c>
      <c r="E109" s="1035" t="str">
        <f t="shared" ref="E109:I109" si="35">IF(E99&lt;&gt; "",E99,IF(E89 &lt;&gt; "", E89,""))</f>
        <v/>
      </c>
      <c r="F109" s="1036" t="str">
        <f t="shared" si="35"/>
        <v/>
      </c>
      <c r="G109" s="965" t="str">
        <f t="shared" si="35"/>
        <v/>
      </c>
      <c r="H109" s="966" t="str">
        <f t="shared" si="35"/>
        <v/>
      </c>
      <c r="I109" s="965" t="str">
        <f t="shared" si="35"/>
        <v/>
      </c>
      <c r="J109" s="1891"/>
      <c r="K109" s="1684"/>
      <c r="L109" s="1684"/>
      <c r="M109" s="1684"/>
      <c r="N109" s="1684"/>
      <c r="O109" s="481"/>
      <c r="U109" s="1435"/>
      <c r="AA109" s="1930">
        <f t="shared" si="28"/>
        <v>2</v>
      </c>
      <c r="AB109" s="1931">
        <f>IF(CNTR_ExistSubInstEntries,IF(OR($M12&lt;&gt;EUconst_Relevant,$V12&gt;2018,$E109=""),0,2),2)</f>
        <v>2</v>
      </c>
      <c r="AC109" s="1931">
        <f t="shared" ref="AC109:AI109" si="36">IF(CNTR_ExistSubInstEntries,IF(OR($M12&lt;&gt;EUconst_Relevant,AC84&gt;=CNTR_ReportingYear,AC84&lt;$V12-1,$E109=""),0,2),2)</f>
        <v>2</v>
      </c>
      <c r="AD109" s="1931">
        <f t="shared" si="36"/>
        <v>2</v>
      </c>
      <c r="AE109" s="1931">
        <f t="shared" si="36"/>
        <v>2</v>
      </c>
      <c r="AF109" s="1931">
        <f t="shared" si="36"/>
        <v>2</v>
      </c>
      <c r="AG109" s="1931">
        <f t="shared" si="36"/>
        <v>2</v>
      </c>
      <c r="AH109" s="1932">
        <f t="shared" si="36"/>
        <v>2</v>
      </c>
      <c r="AI109" s="1933">
        <f t="shared" si="36"/>
        <v>2</v>
      </c>
      <c r="AK109" s="1633" t="s">
        <v>1954</v>
      </c>
      <c r="AL109" s="1635" t="str">
        <f>IF(AND(CNTR_ExistSubInstEntries,COUNTIFS(AB109:AI109,2,G109:N109,"")&gt;0),EUconst_Error&amp;"FB"&amp;Q12,"")</f>
        <v/>
      </c>
      <c r="AO109" s="1121" t="b">
        <f t="shared" si="20"/>
        <v>0</v>
      </c>
      <c r="AP109" s="1135" t="s">
        <v>2486</v>
      </c>
    </row>
    <row r="110" spans="1:42" ht="12.75" customHeight="1">
      <c r="B110" s="1124"/>
      <c r="C110" s="484"/>
      <c r="D110" s="582">
        <f t="shared" si="30"/>
        <v>6</v>
      </c>
      <c r="E110" s="1035" t="str">
        <f t="shared" ref="E110:I110" si="37">IF(E100&lt;&gt; "",E100,IF(E90 &lt;&gt; "", E90,""))</f>
        <v/>
      </c>
      <c r="F110" s="1036" t="str">
        <f t="shared" si="37"/>
        <v/>
      </c>
      <c r="G110" s="965" t="str">
        <f t="shared" si="37"/>
        <v/>
      </c>
      <c r="H110" s="966" t="str">
        <f t="shared" si="37"/>
        <v/>
      </c>
      <c r="I110" s="965" t="str">
        <f t="shared" si="37"/>
        <v/>
      </c>
      <c r="J110" s="1891"/>
      <c r="K110" s="1684"/>
      <c r="L110" s="1684"/>
      <c r="M110" s="1684"/>
      <c r="N110" s="1684"/>
      <c r="O110" s="481"/>
      <c r="AA110" s="1930">
        <f t="shared" si="28"/>
        <v>2</v>
      </c>
      <c r="AB110" s="1931">
        <f>IF(CNTR_ExistSubInstEntries,IF(OR($M12&lt;&gt;EUconst_Relevant,$V12&gt;2018,$E110=""),0,2),2)</f>
        <v>2</v>
      </c>
      <c r="AC110" s="1931">
        <f t="shared" ref="AC110:AI110" si="38">IF(CNTR_ExistSubInstEntries,IF(OR($M12&lt;&gt;EUconst_Relevant,AC84&gt;=CNTR_ReportingYear,AC84&lt;$V12-1,$E110=""),0,2),2)</f>
        <v>2</v>
      </c>
      <c r="AD110" s="1931">
        <f t="shared" si="38"/>
        <v>2</v>
      </c>
      <c r="AE110" s="1931">
        <f t="shared" si="38"/>
        <v>2</v>
      </c>
      <c r="AF110" s="1931">
        <f t="shared" si="38"/>
        <v>2</v>
      </c>
      <c r="AG110" s="1931">
        <f t="shared" si="38"/>
        <v>2</v>
      </c>
      <c r="AH110" s="1932">
        <f t="shared" si="38"/>
        <v>2</v>
      </c>
      <c r="AI110" s="1933">
        <f t="shared" si="38"/>
        <v>2</v>
      </c>
      <c r="AK110" s="1633" t="s">
        <v>1954</v>
      </c>
      <c r="AL110" s="1635" t="str">
        <f>IF(AND(CNTR_ExistSubInstEntries,COUNTIFS(AB110:AI110,2,G110:N110,"")&gt;0),EUconst_Error&amp;"FB"&amp;Q12,"")</f>
        <v/>
      </c>
      <c r="AO110" s="1121" t="b">
        <f t="shared" si="20"/>
        <v>0</v>
      </c>
      <c r="AP110" s="1135" t="s">
        <v>2487</v>
      </c>
    </row>
    <row r="111" spans="1:42" ht="12.75" customHeight="1">
      <c r="B111" s="1124"/>
      <c r="C111" s="484"/>
      <c r="D111" s="582">
        <f t="shared" si="30"/>
        <v>7</v>
      </c>
      <c r="E111" s="1035" t="str">
        <f t="shared" ref="E111:I111" si="39">IF(E101&lt;&gt; "",E101,IF(E91 &lt;&gt; "", E91,""))</f>
        <v/>
      </c>
      <c r="F111" s="1036" t="str">
        <f t="shared" si="39"/>
        <v/>
      </c>
      <c r="G111" s="965" t="str">
        <f t="shared" si="39"/>
        <v/>
      </c>
      <c r="H111" s="966" t="str">
        <f t="shared" si="39"/>
        <v/>
      </c>
      <c r="I111" s="965" t="str">
        <f t="shared" si="39"/>
        <v/>
      </c>
      <c r="J111" s="1891"/>
      <c r="K111" s="1684"/>
      <c r="L111" s="1684"/>
      <c r="M111" s="1684"/>
      <c r="N111" s="1684"/>
      <c r="O111" s="481"/>
      <c r="AA111" s="1930">
        <f t="shared" si="28"/>
        <v>2</v>
      </c>
      <c r="AB111" s="1931">
        <f>IF(CNTR_ExistSubInstEntries,IF(OR($M12&lt;&gt;EUconst_Relevant,$V12&gt;2018,$E111=""),0,2),2)</f>
        <v>2</v>
      </c>
      <c r="AC111" s="1931">
        <f t="shared" ref="AC111:AI111" si="40">IF(CNTR_ExistSubInstEntries,IF(OR($M12&lt;&gt;EUconst_Relevant,AC84&gt;=CNTR_ReportingYear,AC84&lt;$V12-1,$E111=""),0,2),2)</f>
        <v>2</v>
      </c>
      <c r="AD111" s="1931">
        <f t="shared" si="40"/>
        <v>2</v>
      </c>
      <c r="AE111" s="1931">
        <f t="shared" si="40"/>
        <v>2</v>
      </c>
      <c r="AF111" s="1931">
        <f t="shared" si="40"/>
        <v>2</v>
      </c>
      <c r="AG111" s="1931">
        <f t="shared" si="40"/>
        <v>2</v>
      </c>
      <c r="AH111" s="1932">
        <f t="shared" si="40"/>
        <v>2</v>
      </c>
      <c r="AI111" s="1933">
        <f t="shared" si="40"/>
        <v>2</v>
      </c>
      <c r="AK111" s="1633" t="s">
        <v>1954</v>
      </c>
      <c r="AL111" s="1635" t="str">
        <f>IF(AND(CNTR_ExistSubInstEntries,COUNTIFS(AB111:AI111,2,G111:N111,"")&gt;0),EUconst_Error&amp;"FB"&amp;Q12,"")</f>
        <v/>
      </c>
      <c r="AO111" s="1121" t="b">
        <f t="shared" si="20"/>
        <v>0</v>
      </c>
      <c r="AP111" s="1135" t="s">
        <v>2488</v>
      </c>
    </row>
    <row r="112" spans="1:42" ht="12.75" customHeight="1">
      <c r="B112" s="1124"/>
      <c r="C112" s="484"/>
      <c r="D112" s="582">
        <f t="shared" si="30"/>
        <v>8</v>
      </c>
      <c r="E112" s="1035" t="str">
        <f t="shared" ref="E112:I112" si="41">IF(E102&lt;&gt; "",E102,IF(E92 &lt;&gt; "", E92,""))</f>
        <v/>
      </c>
      <c r="F112" s="1036" t="str">
        <f t="shared" si="41"/>
        <v/>
      </c>
      <c r="G112" s="965" t="str">
        <f t="shared" si="41"/>
        <v/>
      </c>
      <c r="H112" s="966" t="str">
        <f t="shared" si="41"/>
        <v/>
      </c>
      <c r="I112" s="965" t="str">
        <f t="shared" si="41"/>
        <v/>
      </c>
      <c r="J112" s="1891"/>
      <c r="K112" s="1684"/>
      <c r="L112" s="1684"/>
      <c r="M112" s="1684"/>
      <c r="N112" s="1684"/>
      <c r="O112" s="481"/>
      <c r="AA112" s="1930">
        <f t="shared" si="28"/>
        <v>2</v>
      </c>
      <c r="AB112" s="1931">
        <f>IF(CNTR_ExistSubInstEntries,IF(OR($M12&lt;&gt;EUconst_Relevant,$V12&gt;2018,$E112=""),0,2),2)</f>
        <v>2</v>
      </c>
      <c r="AC112" s="1931">
        <f t="shared" ref="AC112:AI112" si="42">IF(CNTR_ExistSubInstEntries,IF(OR($M12&lt;&gt;EUconst_Relevant,AC84&gt;=CNTR_ReportingYear,AC84&lt;$V12-1,$E112=""),0,2),2)</f>
        <v>2</v>
      </c>
      <c r="AD112" s="1931">
        <f t="shared" si="42"/>
        <v>2</v>
      </c>
      <c r="AE112" s="1931">
        <f t="shared" si="42"/>
        <v>2</v>
      </c>
      <c r="AF112" s="1931">
        <f t="shared" si="42"/>
        <v>2</v>
      </c>
      <c r="AG112" s="1931">
        <f t="shared" si="42"/>
        <v>2</v>
      </c>
      <c r="AH112" s="1932">
        <f t="shared" si="42"/>
        <v>2</v>
      </c>
      <c r="AI112" s="1933">
        <f t="shared" si="42"/>
        <v>2</v>
      </c>
      <c r="AK112" s="1633" t="s">
        <v>1954</v>
      </c>
      <c r="AL112" s="1635" t="str">
        <f>IF(AND(CNTR_ExistSubInstEntries,COUNTIFS(AB112:AI112,2,G112:N112,"")&gt;0),EUconst_Error&amp;"FB"&amp;Q12,"")</f>
        <v/>
      </c>
      <c r="AO112" s="1121" t="b">
        <f t="shared" si="20"/>
        <v>0</v>
      </c>
      <c r="AP112" s="1135" t="s">
        <v>2489</v>
      </c>
    </row>
    <row r="113" spans="1:42" ht="12.75" customHeight="1">
      <c r="B113" s="1124"/>
      <c r="C113" s="484"/>
      <c r="D113" s="582">
        <f t="shared" si="30"/>
        <v>9</v>
      </c>
      <c r="E113" s="1035" t="str">
        <f t="shared" ref="E113:I113" si="43">IF(E103&lt;&gt; "",E103,IF(E93 &lt;&gt; "", E93,""))</f>
        <v/>
      </c>
      <c r="F113" s="1036" t="str">
        <f t="shared" si="43"/>
        <v/>
      </c>
      <c r="G113" s="965" t="str">
        <f t="shared" si="43"/>
        <v/>
      </c>
      <c r="H113" s="966" t="str">
        <f t="shared" si="43"/>
        <v/>
      </c>
      <c r="I113" s="965" t="str">
        <f t="shared" si="43"/>
        <v/>
      </c>
      <c r="J113" s="1891"/>
      <c r="K113" s="1684"/>
      <c r="L113" s="1684"/>
      <c r="M113" s="1684"/>
      <c r="N113" s="1684"/>
      <c r="O113" s="481"/>
      <c r="AA113" s="1930">
        <f t="shared" si="28"/>
        <v>2</v>
      </c>
      <c r="AB113" s="1931">
        <f>IF(CNTR_ExistSubInstEntries,IF(OR($M12&lt;&gt;EUconst_Relevant,$V12&gt;2018,$E113=""),0,2),2)</f>
        <v>2</v>
      </c>
      <c r="AC113" s="1931">
        <f t="shared" ref="AC113:AI113" si="44">IF(CNTR_ExistSubInstEntries,IF(OR($M12&lt;&gt;EUconst_Relevant,AC84&gt;=CNTR_ReportingYear,AC84&lt;$V12-1,$E113=""),0,2),2)</f>
        <v>2</v>
      </c>
      <c r="AD113" s="1931">
        <f t="shared" si="44"/>
        <v>2</v>
      </c>
      <c r="AE113" s="1931">
        <f t="shared" si="44"/>
        <v>2</v>
      </c>
      <c r="AF113" s="1931">
        <f t="shared" si="44"/>
        <v>2</v>
      </c>
      <c r="AG113" s="1931">
        <f t="shared" si="44"/>
        <v>2</v>
      </c>
      <c r="AH113" s="1932">
        <f t="shared" si="44"/>
        <v>2</v>
      </c>
      <c r="AI113" s="1933">
        <f t="shared" si="44"/>
        <v>2</v>
      </c>
      <c r="AK113" s="1633" t="s">
        <v>1954</v>
      </c>
      <c r="AL113" s="1635" t="str">
        <f>IF(AND(CNTR_ExistSubInstEntries,COUNTIFS(AB113:AI113,2,G113:N113,"")&gt;0),EUconst_Error&amp;"FB"&amp;Q12,"")</f>
        <v/>
      </c>
      <c r="AO113" s="1121" t="b">
        <f t="shared" si="20"/>
        <v>0</v>
      </c>
      <c r="AP113" s="1135" t="s">
        <v>2490</v>
      </c>
    </row>
    <row r="114" spans="1:42" ht="12.75" customHeight="1" thickBot="1">
      <c r="B114" s="1124"/>
      <c r="C114" s="484"/>
      <c r="D114" s="584">
        <f t="shared" si="30"/>
        <v>10</v>
      </c>
      <c r="E114" s="1037" t="str">
        <f t="shared" ref="E114:I114" si="45">IF(E104&lt;&gt; "",E104,IF(E94 &lt;&gt; "", E94,""))</f>
        <v/>
      </c>
      <c r="F114" s="739" t="str">
        <f t="shared" si="45"/>
        <v/>
      </c>
      <c r="G114" s="969" t="str">
        <f t="shared" si="45"/>
        <v/>
      </c>
      <c r="H114" s="970" t="str">
        <f t="shared" si="45"/>
        <v/>
      </c>
      <c r="I114" s="969" t="str">
        <f t="shared" si="45"/>
        <v/>
      </c>
      <c r="J114" s="1891"/>
      <c r="K114" s="1684"/>
      <c r="L114" s="1684"/>
      <c r="M114" s="1684"/>
      <c r="N114" s="1684"/>
      <c r="O114" s="481"/>
      <c r="AA114" s="1934">
        <f t="shared" si="28"/>
        <v>2</v>
      </c>
      <c r="AB114" s="1935">
        <f>IF(CNTR_ExistSubInstEntries,IF(OR($M12&lt;&gt;EUconst_Relevant,$V12&gt;2018,$E114=""),0,2),2)</f>
        <v>2</v>
      </c>
      <c r="AC114" s="1935">
        <f t="shared" ref="AC114:AI114" si="46">IF(CNTR_ExistSubInstEntries,IF(OR($M12&lt;&gt;EUconst_Relevant,AC84&gt;=CNTR_ReportingYear,AC84&lt;$V12-1,$E114=""),0,2),2)</f>
        <v>2</v>
      </c>
      <c r="AD114" s="1935">
        <f t="shared" si="46"/>
        <v>2</v>
      </c>
      <c r="AE114" s="1935">
        <f t="shared" si="46"/>
        <v>2</v>
      </c>
      <c r="AF114" s="1935">
        <f t="shared" si="46"/>
        <v>2</v>
      </c>
      <c r="AG114" s="1935">
        <f t="shared" si="46"/>
        <v>2</v>
      </c>
      <c r="AH114" s="1936">
        <f t="shared" si="46"/>
        <v>2</v>
      </c>
      <c r="AI114" s="1937">
        <f t="shared" si="46"/>
        <v>2</v>
      </c>
      <c r="AK114" s="1633" t="s">
        <v>1954</v>
      </c>
      <c r="AL114" s="1635" t="str">
        <f>IF(AND(CNTR_ExistSubInstEntries,COUNTIFS(AB114:AI114,2,G114:N114,"")&gt;0),EUconst_Error&amp;"FB"&amp;Q12,"")</f>
        <v/>
      </c>
      <c r="AO114" s="1121" t="b">
        <f t="shared" si="20"/>
        <v>0</v>
      </c>
      <c r="AP114" s="1135" t="s">
        <v>2491</v>
      </c>
    </row>
    <row r="115" spans="1:42" ht="12.75" customHeight="1">
      <c r="B115" s="1124"/>
      <c r="C115" s="485"/>
      <c r="D115" s="971"/>
      <c r="E115" s="972" t="s">
        <v>921</v>
      </c>
      <c r="F115" s="739" t="str">
        <f>IF(F105="","",F105)</f>
        <v/>
      </c>
      <c r="G115" s="973" t="str">
        <f>IF(COUNT(G105:G114)&gt;0,SUMIF($S68:$S77,TRUE,G105:G114),"")</f>
        <v/>
      </c>
      <c r="H115" s="974" t="str">
        <f t="shared" ref="H115:N115" si="47">IF(COUNT(H105:H114)&gt;0,SUMIF($S68:$S77,TRUE,H105:H114),"")</f>
        <v/>
      </c>
      <c r="I115" s="973" t="str">
        <f t="shared" si="47"/>
        <v/>
      </c>
      <c r="J115" s="1891" t="str">
        <f t="shared" si="47"/>
        <v/>
      </c>
      <c r="K115" s="1684" t="str">
        <f t="shared" si="47"/>
        <v/>
      </c>
      <c r="L115" s="1684" t="str">
        <f t="shared" si="47"/>
        <v/>
      </c>
      <c r="M115" s="1684" t="str">
        <f t="shared" si="47"/>
        <v/>
      </c>
      <c r="N115" s="1684" t="str">
        <f t="shared" si="47"/>
        <v/>
      </c>
      <c r="O115" s="481"/>
      <c r="P115" s="481"/>
      <c r="AB115" s="1435"/>
      <c r="AC115" s="1435"/>
      <c r="AD115" s="1435"/>
      <c r="AE115" s="1435"/>
      <c r="AF115" s="1435"/>
      <c r="AG115" s="1435"/>
      <c r="AH115" s="1435"/>
      <c r="AI115" s="1435"/>
      <c r="AO115" s="1121" t="b">
        <f t="shared" si="20"/>
        <v>0</v>
      </c>
    </row>
    <row r="116" spans="1:42" ht="5.0999999999999996" customHeight="1">
      <c r="B116" s="1124"/>
      <c r="C116" s="467"/>
      <c r="D116" s="467"/>
      <c r="E116" s="467"/>
      <c r="F116" s="467"/>
      <c r="G116" s="467"/>
      <c r="H116" s="467"/>
      <c r="I116" s="467"/>
      <c r="J116" s="467"/>
      <c r="K116" s="467"/>
      <c r="L116" s="467"/>
      <c r="M116" s="467"/>
      <c r="N116" s="467"/>
      <c r="O116" s="481"/>
      <c r="P116" s="481"/>
      <c r="Z116" s="1435"/>
      <c r="AA116" s="1435"/>
      <c r="AB116" s="1435"/>
      <c r="AO116" s="1121" t="b">
        <f t="shared" si="20"/>
        <v>0</v>
      </c>
    </row>
    <row r="117" spans="1:42" ht="12.75" customHeight="1">
      <c r="B117" s="1124"/>
      <c r="C117" s="467"/>
      <c r="D117" s="482" t="s">
        <v>1711</v>
      </c>
      <c r="E117" s="2373" t="s">
        <v>1926</v>
      </c>
      <c r="F117" s="2400"/>
      <c r="G117" s="2400"/>
      <c r="H117" s="2400"/>
      <c r="I117" s="2400"/>
      <c r="J117" s="2400"/>
      <c r="K117" s="2400"/>
      <c r="L117" s="2400"/>
      <c r="M117" s="2400"/>
      <c r="N117" s="2400"/>
      <c r="O117" s="481"/>
      <c r="P117" s="481"/>
      <c r="Q117" s="1249"/>
      <c r="S117" s="1502" t="s">
        <v>1927</v>
      </c>
      <c r="T117" s="1938" t="str">
        <f>IF(M12&lt;&gt;EUconst_Relevant,"",IF(COUNTIF(J30:N30,"&gt;"&amp;15%)&gt;0,IF(MSconst_RequireEnEffDetails,2,1),1))</f>
        <v/>
      </c>
      <c r="U117" s="1435" t="s">
        <v>1920</v>
      </c>
      <c r="Z117" s="1435"/>
      <c r="AA117" s="1435"/>
      <c r="AB117" s="1435"/>
      <c r="AO117" s="1121" t="b">
        <f t="shared" si="20"/>
        <v>0</v>
      </c>
    </row>
    <row r="118" spans="1:42" ht="12.75" customHeight="1">
      <c r="B118" s="467"/>
      <c r="C118" s="485"/>
      <c r="D118" s="485"/>
      <c r="E118" s="2385" t="s">
        <v>1877</v>
      </c>
      <c r="F118" s="2846"/>
      <c r="G118" s="2846"/>
      <c r="H118" s="2846"/>
      <c r="I118" s="2846"/>
      <c r="J118" s="2846"/>
      <c r="K118" s="2846"/>
      <c r="L118" s="2846"/>
      <c r="M118" s="2846"/>
      <c r="N118" s="2846"/>
      <c r="O118" s="481"/>
      <c r="P118" s="481"/>
      <c r="Q118" s="1249"/>
      <c r="R118" s="1249"/>
      <c r="S118" s="1249"/>
      <c r="T118" s="1249"/>
      <c r="U118" s="1249"/>
      <c r="V118" s="1249"/>
      <c r="W118" s="1249"/>
      <c r="X118" s="1249"/>
      <c r="Y118" s="1249"/>
      <c r="AB118" s="1435"/>
      <c r="AO118" s="1121" t="b">
        <f t="shared" si="20"/>
        <v>0</v>
      </c>
    </row>
    <row r="119" spans="1:42" ht="12.75" customHeight="1">
      <c r="B119" s="1124"/>
      <c r="C119" s="467"/>
      <c r="D119" s="467"/>
      <c r="E119" s="3258" t="s">
        <v>1957</v>
      </c>
      <c r="F119" s="2467"/>
      <c r="G119" s="2467"/>
      <c r="H119" s="2467"/>
      <c r="I119" s="2467"/>
      <c r="J119" s="2467"/>
      <c r="K119" s="2467"/>
      <c r="L119" s="2467"/>
      <c r="M119" s="2467"/>
      <c r="N119" s="2467"/>
      <c r="O119" s="481"/>
      <c r="P119" s="476"/>
      <c r="Z119" s="1435"/>
      <c r="AA119" s="1435"/>
      <c r="AB119" s="1435"/>
      <c r="AC119" s="1435"/>
      <c r="AO119" s="1121" t="b">
        <f t="shared" si="20"/>
        <v>0</v>
      </c>
    </row>
    <row r="120" spans="1:42" ht="12.75" customHeight="1">
      <c r="B120" s="1124"/>
      <c r="C120" s="467"/>
      <c r="D120" s="467"/>
      <c r="E120" s="3258" t="s">
        <v>2529</v>
      </c>
      <c r="F120" s="2467"/>
      <c r="G120" s="2467"/>
      <c r="H120" s="2467"/>
      <c r="I120" s="2467"/>
      <c r="J120" s="2467"/>
      <c r="K120" s="2467"/>
      <c r="L120" s="2467"/>
      <c r="M120" s="2467"/>
      <c r="N120" s="2467"/>
      <c r="O120" s="481"/>
      <c r="P120" s="481"/>
      <c r="Z120" s="1435"/>
      <c r="AA120" s="1435"/>
      <c r="AB120" s="1435"/>
      <c r="AC120" s="1435"/>
      <c r="AO120" s="1121" t="b">
        <f t="shared" si="20"/>
        <v>0</v>
      </c>
    </row>
    <row r="121" spans="1:42" ht="12.75" customHeight="1">
      <c r="B121" s="1124"/>
      <c r="C121" s="467"/>
      <c r="D121" s="467"/>
      <c r="E121" s="540" t="s">
        <v>1021</v>
      </c>
      <c r="F121" s="3258" t="s">
        <v>1921</v>
      </c>
      <c r="G121" s="2467"/>
      <c r="H121" s="2467"/>
      <c r="I121" s="2467"/>
      <c r="J121" s="2467"/>
      <c r="K121" s="2467"/>
      <c r="L121" s="2467"/>
      <c r="M121" s="2467"/>
      <c r="N121" s="2467"/>
      <c r="O121" s="481"/>
      <c r="P121" s="476"/>
      <c r="Z121" s="1435"/>
      <c r="AA121" s="1435"/>
      <c r="AB121" s="1435"/>
      <c r="AC121" s="1435"/>
      <c r="AO121" s="1121" t="b">
        <f t="shared" si="20"/>
        <v>0</v>
      </c>
    </row>
    <row r="122" spans="1:42" ht="12.75" customHeight="1">
      <c r="B122" s="1124"/>
      <c r="C122" s="467"/>
      <c r="D122" s="467"/>
      <c r="E122" s="540" t="s">
        <v>1021</v>
      </c>
      <c r="F122" s="3258" t="s">
        <v>1922</v>
      </c>
      <c r="G122" s="2467"/>
      <c r="H122" s="2467"/>
      <c r="I122" s="2467"/>
      <c r="J122" s="2467"/>
      <c r="K122" s="2467"/>
      <c r="L122" s="2467"/>
      <c r="M122" s="2467"/>
      <c r="N122" s="2467"/>
      <c r="O122" s="481"/>
      <c r="P122" s="476"/>
      <c r="Z122" s="1435"/>
      <c r="AA122" s="1435"/>
      <c r="AB122" s="1435"/>
      <c r="AC122" s="1435"/>
      <c r="AO122" s="1121" t="b">
        <f t="shared" si="20"/>
        <v>0</v>
      </c>
    </row>
    <row r="123" spans="1:42" ht="12.75" customHeight="1">
      <c r="B123" s="1124"/>
      <c r="C123" s="467"/>
      <c r="D123" s="467"/>
      <c r="E123" s="540" t="s">
        <v>2238</v>
      </c>
      <c r="F123" s="3258" t="s">
        <v>2239</v>
      </c>
      <c r="G123" s="2467"/>
      <c r="H123" s="2467"/>
      <c r="I123" s="2467"/>
      <c r="J123" s="2467"/>
      <c r="K123" s="2467"/>
      <c r="L123" s="2467"/>
      <c r="M123" s="2467"/>
      <c r="N123" s="2467"/>
      <c r="O123" s="481"/>
      <c r="P123" s="476"/>
      <c r="Z123" s="1435"/>
      <c r="AA123" s="1435"/>
      <c r="AB123" s="1435"/>
      <c r="AC123" s="1435"/>
      <c r="AO123" s="1121" t="b">
        <f t="shared" si="20"/>
        <v>0</v>
      </c>
    </row>
    <row r="124" spans="1:42" ht="12.75" customHeight="1">
      <c r="B124" s="1124"/>
      <c r="C124" s="467"/>
      <c r="D124" s="467"/>
      <c r="E124" s="2385" t="s">
        <v>1931</v>
      </c>
      <c r="F124" s="2846"/>
      <c r="G124" s="2846"/>
      <c r="H124" s="2846"/>
      <c r="I124" s="2846"/>
      <c r="J124" s="2846"/>
      <c r="K124" s="2846"/>
      <c r="L124" s="2846"/>
      <c r="M124" s="2846"/>
      <c r="N124" s="2846"/>
      <c r="O124" s="481"/>
      <c r="P124" s="476"/>
      <c r="Z124" s="1435"/>
      <c r="AA124" s="1435"/>
      <c r="AB124" s="1435"/>
      <c r="AC124" s="1435"/>
      <c r="AO124" s="1121" t="b">
        <f t="shared" si="20"/>
        <v>0</v>
      </c>
    </row>
    <row r="125" spans="1:42" ht="12.75" customHeight="1">
      <c r="B125" s="1124"/>
      <c r="C125" s="467"/>
      <c r="D125" s="467"/>
      <c r="E125" s="2385" t="s">
        <v>2258</v>
      </c>
      <c r="F125" s="2846"/>
      <c r="G125" s="2846"/>
      <c r="H125" s="2846"/>
      <c r="I125" s="2846"/>
      <c r="J125" s="2846"/>
      <c r="K125" s="2846"/>
      <c r="L125" s="2846"/>
      <c r="M125" s="2846"/>
      <c r="N125" s="2846"/>
      <c r="O125" s="481"/>
      <c r="P125" s="476"/>
      <c r="Z125" s="1435"/>
      <c r="AA125" s="1435"/>
      <c r="AB125" s="1435"/>
      <c r="AC125" s="1435"/>
      <c r="AO125" s="1121" t="b">
        <f t="shared" si="20"/>
        <v>0</v>
      </c>
    </row>
    <row r="126" spans="1:42" ht="5.0999999999999996" customHeight="1">
      <c r="B126" s="1124"/>
      <c r="C126" s="467"/>
      <c r="D126" s="467"/>
      <c r="E126" s="2465"/>
      <c r="F126" s="2400"/>
      <c r="G126" s="2400"/>
      <c r="H126" s="2400"/>
      <c r="I126" s="2400"/>
      <c r="J126" s="2400"/>
      <c r="K126" s="2400"/>
      <c r="L126" s="2400"/>
      <c r="M126" s="2400"/>
      <c r="N126" s="2400"/>
      <c r="O126" s="481"/>
      <c r="P126" s="476"/>
      <c r="Z126" s="1435"/>
      <c r="AA126" s="1435"/>
      <c r="AB126" s="1435"/>
      <c r="AC126" s="1435"/>
      <c r="AO126" s="1121" t="b">
        <f t="shared" si="20"/>
        <v>0</v>
      </c>
    </row>
    <row r="127" spans="1:42" s="1911" customFormat="1" ht="25.5" customHeight="1" thickBot="1">
      <c r="A127" s="1905"/>
      <c r="B127" s="1906"/>
      <c r="C127" s="1028"/>
      <c r="D127" s="1029"/>
      <c r="E127" s="870" t="str">
        <f>E84</f>
        <v>Product name, or heat export other than "district heating"</v>
      </c>
      <c r="F127" s="1030" t="str">
        <f>EUconst_Unit</f>
        <v>Unit</v>
      </c>
      <c r="G127" s="1031" t="s">
        <v>1710</v>
      </c>
      <c r="H127" s="1032">
        <f t="shared" ref="H127:N127" si="48">H$1190</f>
        <v>2024</v>
      </c>
      <c r="I127" s="1031">
        <f t="shared" si="48"/>
        <v>2025</v>
      </c>
      <c r="J127" s="1907">
        <f t="shared" si="48"/>
        <v>2026</v>
      </c>
      <c r="K127" s="1908">
        <f t="shared" si="48"/>
        <v>2027</v>
      </c>
      <c r="L127" s="1908">
        <f t="shared" si="48"/>
        <v>2028</v>
      </c>
      <c r="M127" s="1908">
        <f t="shared" si="48"/>
        <v>2029</v>
      </c>
      <c r="N127" s="1908">
        <f t="shared" si="48"/>
        <v>2030</v>
      </c>
      <c r="O127" s="481"/>
      <c r="P127" s="476"/>
      <c r="Q127" s="1909"/>
      <c r="R127" s="1909"/>
      <c r="S127" s="1249" t="s">
        <v>1675</v>
      </c>
      <c r="T127" s="1909">
        <f t="shared" ref="T127:Z127" si="49">H127</f>
        <v>2024</v>
      </c>
      <c r="U127" s="1909">
        <f t="shared" si="49"/>
        <v>2025</v>
      </c>
      <c r="V127" s="1909">
        <f t="shared" si="49"/>
        <v>2026</v>
      </c>
      <c r="W127" s="1909">
        <f t="shared" si="49"/>
        <v>2027</v>
      </c>
      <c r="X127" s="1909">
        <f t="shared" si="49"/>
        <v>2028</v>
      </c>
      <c r="Y127" s="1909">
        <f t="shared" si="49"/>
        <v>2029</v>
      </c>
      <c r="Z127" s="1909">
        <f t="shared" si="49"/>
        <v>2030</v>
      </c>
      <c r="AA127" s="1909"/>
      <c r="AB127" s="1249" t="s">
        <v>1646</v>
      </c>
      <c r="AC127" s="1909">
        <f t="shared" ref="AC127:AI127" si="50">H127</f>
        <v>2024</v>
      </c>
      <c r="AD127" s="1909">
        <f t="shared" si="50"/>
        <v>2025</v>
      </c>
      <c r="AE127" s="1909">
        <f t="shared" si="50"/>
        <v>2026</v>
      </c>
      <c r="AF127" s="1909">
        <f t="shared" si="50"/>
        <v>2027</v>
      </c>
      <c r="AG127" s="1909">
        <f t="shared" si="50"/>
        <v>2028</v>
      </c>
      <c r="AH127" s="1910">
        <f t="shared" si="50"/>
        <v>2029</v>
      </c>
      <c r="AI127" s="1910">
        <f t="shared" si="50"/>
        <v>2030</v>
      </c>
      <c r="AJ127" s="1910"/>
      <c r="AK127" s="1910"/>
      <c r="AL127" s="1910"/>
      <c r="AN127" s="1905"/>
      <c r="AO127" s="1121" t="b">
        <f t="shared" si="20"/>
        <v>0</v>
      </c>
      <c r="AP127" s="1912"/>
    </row>
    <row r="128" spans="1:42" ht="12.75" customHeight="1">
      <c r="B128" s="1124"/>
      <c r="C128" s="484"/>
      <c r="D128" s="579">
        <v>1</v>
      </c>
      <c r="E128" s="1034" t="str">
        <f t="shared" ref="E128:E137" si="51">E105</f>
        <v/>
      </c>
      <c r="F128" s="950" t="str">
        <f t="shared" ref="F128:F139" si="52">EUconst_TJ</f>
        <v>TJ</v>
      </c>
      <c r="G128" s="1914" t="str">
        <f>c_ALR2025!G5819</f>
        <v/>
      </c>
      <c r="H128" s="1915" t="str">
        <f>c_ALR2025!M5819</f>
        <v/>
      </c>
      <c r="I128" s="1987"/>
      <c r="J128" s="1891"/>
      <c r="K128" s="1684"/>
      <c r="L128" s="1684"/>
      <c r="M128" s="1684"/>
      <c r="N128" s="1684"/>
      <c r="O128" s="481"/>
      <c r="P128" s="9"/>
      <c r="S128" s="1939" t="str">
        <f>IF($M12&lt;&gt;EUconst_Relevant,"",
IF($V12&gt;($J$1190-3),
              IF(INDEX(H105:N105,MATCH($V12,$T127:$Z127,0))=0,0,INDEX(H128:N128,MATCH($V12,$T127:$Z127,0))/INDEX(H105:N105,MATCH($V12,$T127:$Z127,0))),
                             IF(ISNUMBER(G105),
                                            IF(OR(G105=0,$S68=FALSE),0,G128/G105),"")))</f>
        <v/>
      </c>
      <c r="T128" s="1940" t="str">
        <f t="shared" ref="T128:T137" si="53">IF($E105="","",IF($S68=FALSE,0,IF(SUM($S128)=0,SUM(H128),SUM(H105)*SUM($S128))))</f>
        <v/>
      </c>
      <c r="U128" s="1940" t="str">
        <f t="shared" ref="U128:U137" si="54">IF($E105="","",IF($S68=FALSE,0,IF(SUM($S128)=0,SUM(I128),SUM(I105)*SUM($S128))))</f>
        <v/>
      </c>
      <c r="V128" s="1940" t="str">
        <f t="shared" ref="V128:V137" si="55">IF($E105="","",IF($S68=FALSE,0,IF(SUM($S128)=0,SUM(J128),SUM(J105)*SUM($S128))))</f>
        <v/>
      </c>
      <c r="W128" s="1940" t="str">
        <f t="shared" ref="W128:W137" si="56">IF($E105="","",IF($S68=FALSE,0,IF(SUM($S128)=0,SUM(K128),SUM(K105)*SUM($S128))))</f>
        <v/>
      </c>
      <c r="X128" s="1940" t="str">
        <f t="shared" ref="X128:X137" si="57">IF($E105="","",IF($S68=FALSE,0,IF(SUM($S128)=0,SUM(L128),SUM(L105)*SUM($S128))))</f>
        <v/>
      </c>
      <c r="Y128" s="1940" t="str">
        <f t="shared" ref="Y128:Y137" si="58">IF($E105="","",IF($S68=FALSE,0,IF(SUM($S128)=0,SUM(M128),SUM(M105)*SUM($S128))))</f>
        <v/>
      </c>
      <c r="Z128" s="1941" t="str">
        <f t="shared" ref="Z128:Z137" si="59">IF($E105="","",IF($S68=FALSE,0,IF(SUM($S128)=0,SUM(N128),SUM(N105)*SUM($S128))))</f>
        <v/>
      </c>
      <c r="AA128" s="1942" t="s">
        <v>1698</v>
      </c>
      <c r="AB128" s="1943">
        <f>AC128</f>
        <v>2</v>
      </c>
      <c r="AC128" s="1994">
        <f>IF(CNTR_ExistSubInstEntries,IF(OR($M12&lt;&gt;EUconst_Relevant,AC127&gt;=CNTR_ReportingYear,AC127&lt;V12-1,$E128=""),0,IF(AND($T117=2,$S68),2,1)),2)</f>
        <v>2</v>
      </c>
      <c r="AD128" s="1927">
        <f>IF(CNTR_ExistSubInstEntries,IF(OR($M12&lt;&gt;EUconst_Relevant,AD127&gt;=CNTR_ReportingYear,AD127&lt;V12-1,$E128=""),0,IF(AND($T117=2,$S68),2,1)),2)</f>
        <v>2</v>
      </c>
      <c r="AE128" s="1927">
        <f>IF(CNTR_ExistSubInstEntries,IF(OR($M12&lt;&gt;EUconst_Relevant,AE127&gt;=CNTR_ReportingYear,AE127&lt;V12-1,$E128=""),0,IF(AND($T117=2,$S68),2,1)),2)</f>
        <v>2</v>
      </c>
      <c r="AF128" s="1927">
        <f>IF(CNTR_ExistSubInstEntries,IF(OR($M12&lt;&gt;EUconst_Relevant,AF127&gt;=CNTR_ReportingYear,AF127&lt;V12-1,$E128=""),0,IF(AND($T117=2,$S68),2,1)),2)</f>
        <v>2</v>
      </c>
      <c r="AG128" s="1927">
        <f>IF(CNTR_ExistSubInstEntries,IF(OR($M12&lt;&gt;EUconst_Relevant,AG127&gt;=CNTR_ReportingYear,AG127&lt;V12-1,$E128=""),0,IF(AND($T117=2,$S68),2,1)),2)</f>
        <v>2</v>
      </c>
      <c r="AH128" s="1928">
        <f>IF(CNTR_ExistSubInstEntries,IF(OR($M12&lt;&gt;EUconst_Relevant,AH127&gt;=CNTR_ReportingYear,AH127&lt;V12-1,$E128=""),0,IF(AND($T117=2,$S68),2,1)),2)</f>
        <v>2</v>
      </c>
      <c r="AI128" s="1929">
        <f>IF(CNTR_ExistSubInstEntries,IF(OR($M12&lt;&gt;EUconst_Relevant,AI127&gt;=CNTR_ReportingYear,AI127&lt;V12-1,$E128=""),0,IF(AND($T117=2,$S68),2,1)),2)</f>
        <v>2</v>
      </c>
      <c r="AK128" s="1633" t="s">
        <v>1954</v>
      </c>
      <c r="AL128" s="1635" t="str">
        <f>IF(AND(CNTR_ExistSubInstEntries,COUNTIFS(AB128:AI128,2,G128:N128,"")&gt;0),EUconst_Error&amp;"FB"&amp;Q12,"")</f>
        <v/>
      </c>
      <c r="AO128" s="1121" t="b">
        <f t="shared" si="20"/>
        <v>0</v>
      </c>
    </row>
    <row r="129" spans="1:42" ht="12.75" customHeight="1">
      <c r="B129" s="1124"/>
      <c r="C129" s="484"/>
      <c r="D129" s="582">
        <f>D128+1</f>
        <v>2</v>
      </c>
      <c r="E129" s="1035" t="str">
        <f t="shared" si="51"/>
        <v/>
      </c>
      <c r="F129" s="1038" t="str">
        <f t="shared" si="52"/>
        <v>TJ</v>
      </c>
      <c r="G129" s="1918" t="str">
        <f>c_ALR2025!G5820</f>
        <v/>
      </c>
      <c r="H129" s="1919" t="str">
        <f>c_ALR2025!M5820</f>
        <v/>
      </c>
      <c r="I129" s="1988"/>
      <c r="J129" s="1891"/>
      <c r="K129" s="1684"/>
      <c r="L129" s="1684"/>
      <c r="M129" s="1684"/>
      <c r="N129" s="1684"/>
      <c r="O129" s="481"/>
      <c r="P129" s="9"/>
      <c r="S129" s="1944" t="str">
        <f>IF($M12&lt;&gt;EUconst_Relevant,"",
IF($V12&gt;($J$1190-3),
              IF(INDEX(H106:N106,MATCH($V12,$T127:$Z127,0))=0,0,INDEX(H129:N129,MATCH($V12,$T127:$Z127,0))/INDEX(H106:N106,MATCH($V12,$T127:$Z127,0))),
                             IF(ISNUMBER(G106),
                                            IF(OR(G106=0,$S69=FALSE),0,G129/G106),"")))</f>
        <v/>
      </c>
      <c r="T129" s="1945" t="str">
        <f t="shared" si="53"/>
        <v/>
      </c>
      <c r="U129" s="1945" t="str">
        <f t="shared" si="54"/>
        <v/>
      </c>
      <c r="V129" s="1945" t="str">
        <f t="shared" si="55"/>
        <v/>
      </c>
      <c r="W129" s="1945" t="str">
        <f t="shared" si="56"/>
        <v/>
      </c>
      <c r="X129" s="1945" t="str">
        <f t="shared" si="57"/>
        <v/>
      </c>
      <c r="Y129" s="1945" t="str">
        <f t="shared" si="58"/>
        <v/>
      </c>
      <c r="Z129" s="1946" t="str">
        <f t="shared" si="59"/>
        <v/>
      </c>
      <c r="AB129" s="1930">
        <f t="shared" ref="AB129:AB137" si="60">AC129</f>
        <v>2</v>
      </c>
      <c r="AC129" s="1931">
        <f>IF(CNTR_ExistSubInstEntries,IF(OR($M12&lt;&gt;EUconst_Relevant,AC127&gt;=CNTR_ReportingYear,AC127&lt;V12-1,$E129=""),0,IF(AND($T117=2,$S69),2,1)),2)</f>
        <v>2</v>
      </c>
      <c r="AD129" s="1931">
        <f>IF(CNTR_ExistSubInstEntries,IF(OR($M12&lt;&gt;EUconst_Relevant,AD127&gt;=CNTR_ReportingYear,AD127&lt;V12-1,$E129=""),0,IF(AND($T117=2,$S69),2,1)),2)</f>
        <v>2</v>
      </c>
      <c r="AE129" s="1931">
        <f>IF(CNTR_ExistSubInstEntries,IF(OR($M12&lt;&gt;EUconst_Relevant,AE127&gt;=CNTR_ReportingYear,AE127&lt;V12-1,$E129=""),0,IF(AND($T117=2,$S69),2,1)),2)</f>
        <v>2</v>
      </c>
      <c r="AF129" s="1931">
        <f>IF(CNTR_ExistSubInstEntries,IF(OR($M12&lt;&gt;EUconst_Relevant,AF127&gt;=CNTR_ReportingYear,AF127&lt;V12-1,$E129=""),0,IF(AND($T117=2,$S69),2,1)),2)</f>
        <v>2</v>
      </c>
      <c r="AG129" s="1931">
        <f>IF(CNTR_ExistSubInstEntries,IF(OR($M12&lt;&gt;EUconst_Relevant,AG127&gt;=CNTR_ReportingYear,AG127&lt;V12-1,$E129=""),0,IF(AND($T117=2,$S69),2,1)),2)</f>
        <v>2</v>
      </c>
      <c r="AH129" s="1931">
        <f>IF(CNTR_ExistSubInstEntries,IF(OR($M12&lt;&gt;EUconst_Relevant,AH127&gt;=CNTR_ReportingYear,AH127&lt;V12-1,$E129=""),0,IF(AND($T117=2,$S69),2,1)),2)</f>
        <v>2</v>
      </c>
      <c r="AI129" s="1947">
        <f>IF(CNTR_ExistSubInstEntries,IF(OR($M12&lt;&gt;EUconst_Relevant,AI127&gt;=CNTR_ReportingYear,AI127&lt;V12-1,$E129=""),0,IF(AND($T117=2,$S69),2,1)),2)</f>
        <v>2</v>
      </c>
      <c r="AK129" s="1633" t="s">
        <v>1954</v>
      </c>
      <c r="AL129" s="1635" t="str">
        <f>IF(AND(CNTR_ExistSubInstEntries,COUNTIFS(AB129:AI129,2,G129:N129,"")&gt;0),EUconst_Error&amp;"FB"&amp;Q12,"")</f>
        <v/>
      </c>
      <c r="AO129" s="1121" t="b">
        <f t="shared" si="20"/>
        <v>0</v>
      </c>
    </row>
    <row r="130" spans="1:42" ht="12.75" customHeight="1">
      <c r="B130" s="1124"/>
      <c r="C130" s="484"/>
      <c r="D130" s="582">
        <f t="shared" ref="D130:D137" si="61">D129+1</f>
        <v>3</v>
      </c>
      <c r="E130" s="1035" t="str">
        <f t="shared" si="51"/>
        <v/>
      </c>
      <c r="F130" s="1038" t="str">
        <f t="shared" si="52"/>
        <v>TJ</v>
      </c>
      <c r="G130" s="1918" t="str">
        <f>c_ALR2025!G5821</f>
        <v/>
      </c>
      <c r="H130" s="1919" t="str">
        <f>c_ALR2025!M5821</f>
        <v/>
      </c>
      <c r="I130" s="1988"/>
      <c r="J130" s="1891"/>
      <c r="K130" s="1684"/>
      <c r="L130" s="1684"/>
      <c r="M130" s="1684"/>
      <c r="N130" s="1684"/>
      <c r="O130" s="481"/>
      <c r="P130" s="9"/>
      <c r="S130" s="1944" t="str">
        <f>IF($M12&lt;&gt;EUconst_Relevant,"",
IF($V12&gt;($J$1190-3),
              IF(INDEX(H107:N107,MATCH($V12,$T127:$Z127,0))=0,0,INDEX(H130:N130,MATCH($V12,$T127:$Z127,0))/INDEX(H107:N107,MATCH($V12,$T127:$Z127,0))),
                             IF(ISNUMBER(G107),
                                            IF(OR(G107=0,$S70=FALSE),0,G130/G107),"")))</f>
        <v/>
      </c>
      <c r="T130" s="1945" t="str">
        <f t="shared" si="53"/>
        <v/>
      </c>
      <c r="U130" s="1945" t="str">
        <f t="shared" si="54"/>
        <v/>
      </c>
      <c r="V130" s="1945" t="str">
        <f t="shared" si="55"/>
        <v/>
      </c>
      <c r="W130" s="1945" t="str">
        <f t="shared" si="56"/>
        <v/>
      </c>
      <c r="X130" s="1945" t="str">
        <f t="shared" si="57"/>
        <v/>
      </c>
      <c r="Y130" s="1945" t="str">
        <f t="shared" si="58"/>
        <v/>
      </c>
      <c r="Z130" s="1946" t="str">
        <f t="shared" si="59"/>
        <v/>
      </c>
      <c r="AB130" s="1930">
        <f t="shared" si="60"/>
        <v>2</v>
      </c>
      <c r="AC130" s="1931">
        <f>IF(CNTR_ExistSubInstEntries,IF(OR($M12&lt;&gt;EUconst_Relevant,AC127&gt;=CNTR_ReportingYear,AC127&lt;V12-1,$E130=""),0,IF(AND($T117=2,$S70),2,1)),2)</f>
        <v>2</v>
      </c>
      <c r="AD130" s="1931">
        <f>IF(CNTR_ExistSubInstEntries,IF(OR($M12&lt;&gt;EUconst_Relevant,AD127&gt;=CNTR_ReportingYear,AD127&lt;V12-1,$E130=""),0,IF(AND($T117=2,$S70),2,1)),2)</f>
        <v>2</v>
      </c>
      <c r="AE130" s="1931">
        <f>IF(CNTR_ExistSubInstEntries,IF(OR($M12&lt;&gt;EUconst_Relevant,AE127&gt;=CNTR_ReportingYear,AE127&lt;V12-1,$E130=""),0,IF(AND($T117=2,$S70),2,1)),2)</f>
        <v>2</v>
      </c>
      <c r="AF130" s="1931">
        <f>IF(CNTR_ExistSubInstEntries,IF(OR($M12&lt;&gt;EUconst_Relevant,AF127&gt;=CNTR_ReportingYear,AF127&lt;V12-1,$E130=""),0,IF(AND($T117=2,$S70),2,1)),2)</f>
        <v>2</v>
      </c>
      <c r="AG130" s="1931">
        <f>IF(CNTR_ExistSubInstEntries,IF(OR($M12&lt;&gt;EUconst_Relevant,AG127&gt;=CNTR_ReportingYear,AG127&lt;V12-1,$E130=""),0,IF(AND($T117=2,$S70),2,1)),2)</f>
        <v>2</v>
      </c>
      <c r="AH130" s="1931">
        <f>IF(CNTR_ExistSubInstEntries,IF(OR($M12&lt;&gt;EUconst_Relevant,AH127&gt;=CNTR_ReportingYear,AH127&lt;V12-1,$E130=""),0,IF(AND($T117=2,$S70),2,1)),2)</f>
        <v>2</v>
      </c>
      <c r="AI130" s="1947">
        <f>IF(CNTR_ExistSubInstEntries,IF(OR($M12&lt;&gt;EUconst_Relevant,AI127&gt;=CNTR_ReportingYear,AI127&lt;V12-1,$E130=""),0,IF(AND($T117=2,$S70),2,1)),2)</f>
        <v>2</v>
      </c>
      <c r="AK130" s="1633" t="s">
        <v>1954</v>
      </c>
      <c r="AL130" s="1635" t="str">
        <f>IF(AND(CNTR_ExistSubInstEntries,COUNTIFS(AB130:AI130,2,G130:N130,"")&gt;0),EUconst_Error&amp;"FB"&amp;Q12,"")</f>
        <v/>
      </c>
      <c r="AO130" s="1121" t="b">
        <f t="shared" si="20"/>
        <v>0</v>
      </c>
    </row>
    <row r="131" spans="1:42" ht="12.75" customHeight="1">
      <c r="B131" s="1124"/>
      <c r="C131" s="484"/>
      <c r="D131" s="582">
        <f t="shared" si="61"/>
        <v>4</v>
      </c>
      <c r="E131" s="1035" t="str">
        <f t="shared" si="51"/>
        <v/>
      </c>
      <c r="F131" s="1038" t="str">
        <f t="shared" si="52"/>
        <v>TJ</v>
      </c>
      <c r="G131" s="1918" t="str">
        <f>c_ALR2025!G5822</f>
        <v/>
      </c>
      <c r="H131" s="1919" t="str">
        <f>c_ALR2025!M5822</f>
        <v/>
      </c>
      <c r="I131" s="1988"/>
      <c r="J131" s="1891"/>
      <c r="K131" s="1684"/>
      <c r="L131" s="1684"/>
      <c r="M131" s="1684"/>
      <c r="N131" s="1684"/>
      <c r="O131" s="481"/>
      <c r="P131" s="9"/>
      <c r="S131" s="1944" t="str">
        <f>IF($M12&lt;&gt;EUconst_Relevant,"",
IF($V12&gt;($J$1190-3),
              IF(INDEX(H108:N108,MATCH($V12,$T127:$Z127,0))=0,0,INDEX(H131:N131,MATCH($V12,$T127:$Z127,0))/INDEX(H108:N108,MATCH($V12,$T127:$Z127,0))),
                             IF(ISNUMBER(G108),
                                            IF(OR(G108=0,$S71=FALSE),0,G131/G108),"")))</f>
        <v/>
      </c>
      <c r="T131" s="1945" t="str">
        <f t="shared" si="53"/>
        <v/>
      </c>
      <c r="U131" s="1945" t="str">
        <f t="shared" si="54"/>
        <v/>
      </c>
      <c r="V131" s="1945" t="str">
        <f t="shared" si="55"/>
        <v/>
      </c>
      <c r="W131" s="1945" t="str">
        <f t="shared" si="56"/>
        <v/>
      </c>
      <c r="X131" s="1945" t="str">
        <f t="shared" si="57"/>
        <v/>
      </c>
      <c r="Y131" s="1945" t="str">
        <f t="shared" si="58"/>
        <v/>
      </c>
      <c r="Z131" s="1946" t="str">
        <f t="shared" si="59"/>
        <v/>
      </c>
      <c r="AB131" s="1930">
        <f t="shared" si="60"/>
        <v>2</v>
      </c>
      <c r="AC131" s="1931">
        <f>IF(CNTR_ExistSubInstEntries,IF(OR($M12&lt;&gt;EUconst_Relevant,AC127&gt;=CNTR_ReportingYear,AC127&lt;V12-1,$E131=""),0,IF(AND($T117=2,$S71),2,1)),2)</f>
        <v>2</v>
      </c>
      <c r="AD131" s="1931">
        <f>IF(CNTR_ExistSubInstEntries,IF(OR($M12&lt;&gt;EUconst_Relevant,AD127&gt;=CNTR_ReportingYear,AD127&lt;V12-1,$E131=""),0,IF(AND($T117=2,$S71),2,1)),2)</f>
        <v>2</v>
      </c>
      <c r="AE131" s="1931">
        <f>IF(CNTR_ExistSubInstEntries,IF(OR($M12&lt;&gt;EUconst_Relevant,AE127&gt;=CNTR_ReportingYear,AE127&lt;V12-1,$E131=""),0,IF(AND($T117=2,$S71),2,1)),2)</f>
        <v>2</v>
      </c>
      <c r="AF131" s="1931">
        <f>IF(CNTR_ExistSubInstEntries,IF(OR($M12&lt;&gt;EUconst_Relevant,AF127&gt;=CNTR_ReportingYear,AF127&lt;V12-1,$E131=""),0,IF(AND($T117=2,$S71),2,1)),2)</f>
        <v>2</v>
      </c>
      <c r="AG131" s="1931">
        <f>IF(CNTR_ExistSubInstEntries,IF(OR($M12&lt;&gt;EUconst_Relevant,AG127&gt;=CNTR_ReportingYear,AG127&lt;V12-1,$E131=""),0,IF(AND($T117=2,$S71),2,1)),2)</f>
        <v>2</v>
      </c>
      <c r="AH131" s="1931">
        <f>IF(CNTR_ExistSubInstEntries,IF(OR($M12&lt;&gt;EUconst_Relevant,AH127&gt;=CNTR_ReportingYear,AH127&lt;V12-1,$E131=""),0,IF(AND($T117=2,$S71),2,1)),2)</f>
        <v>2</v>
      </c>
      <c r="AI131" s="1947">
        <f>IF(CNTR_ExistSubInstEntries,IF(OR($M12&lt;&gt;EUconst_Relevant,AI127&gt;=CNTR_ReportingYear,AI127&lt;V12-1,$E131=""),0,IF(AND($T117=2,$S71),2,1)),2)</f>
        <v>2</v>
      </c>
      <c r="AK131" s="1633" t="s">
        <v>1954</v>
      </c>
      <c r="AL131" s="1635" t="str">
        <f>IF(AND(CNTR_ExistSubInstEntries,COUNTIFS(AB131:AI131,2,G131:N131,"")&gt;0),EUconst_Error&amp;"FB"&amp;Q12,"")</f>
        <v/>
      </c>
      <c r="AO131" s="1121" t="b">
        <f t="shared" si="20"/>
        <v>0</v>
      </c>
    </row>
    <row r="132" spans="1:42" ht="12.75" customHeight="1">
      <c r="B132" s="1124"/>
      <c r="C132" s="484"/>
      <c r="D132" s="582">
        <f t="shared" si="61"/>
        <v>5</v>
      </c>
      <c r="E132" s="1035" t="str">
        <f t="shared" si="51"/>
        <v/>
      </c>
      <c r="F132" s="1038" t="str">
        <f t="shared" si="52"/>
        <v>TJ</v>
      </c>
      <c r="G132" s="1918" t="str">
        <f>c_ALR2025!G5823</f>
        <v/>
      </c>
      <c r="H132" s="1919" t="str">
        <f>c_ALR2025!M5823</f>
        <v/>
      </c>
      <c r="I132" s="1988"/>
      <c r="J132" s="1891"/>
      <c r="K132" s="1684"/>
      <c r="L132" s="1684"/>
      <c r="M132" s="1684"/>
      <c r="N132" s="1684"/>
      <c r="O132" s="481"/>
      <c r="P132" s="9"/>
      <c r="S132" s="1944" t="str">
        <f>IF($M12&lt;&gt;EUconst_Relevant,"",
IF($V12&gt;($J$1190-3),
              IF(INDEX(H109:N109,MATCH($V12,$T127:$Z127,0))=0,0,INDEX(H132:N132,MATCH($V12,$T127:$Z127,0))/INDEX(H109:N109,MATCH($V12,$T127:$Z127,0))),
                             IF(ISNUMBER(G109),
                                            IF(OR(G109=0,$S72=FALSE),0,G132/G109),"")))</f>
        <v/>
      </c>
      <c r="T132" s="1945" t="str">
        <f t="shared" si="53"/>
        <v/>
      </c>
      <c r="U132" s="1945" t="str">
        <f t="shared" si="54"/>
        <v/>
      </c>
      <c r="V132" s="1945" t="str">
        <f t="shared" si="55"/>
        <v/>
      </c>
      <c r="W132" s="1945" t="str">
        <f t="shared" si="56"/>
        <v/>
      </c>
      <c r="X132" s="1945" t="str">
        <f t="shared" si="57"/>
        <v/>
      </c>
      <c r="Y132" s="1945" t="str">
        <f t="shared" si="58"/>
        <v/>
      </c>
      <c r="Z132" s="1946" t="str">
        <f t="shared" si="59"/>
        <v/>
      </c>
      <c r="AB132" s="1930">
        <f t="shared" si="60"/>
        <v>2</v>
      </c>
      <c r="AC132" s="1931">
        <f>IF(CNTR_ExistSubInstEntries,IF(OR($M12&lt;&gt;EUconst_Relevant,AC127&gt;=CNTR_ReportingYear,AC127&lt;V12-1,$E132=""),0,IF(AND($T117=2,$S72),2,1)),2)</f>
        <v>2</v>
      </c>
      <c r="AD132" s="1931">
        <f>IF(CNTR_ExistSubInstEntries,IF(OR($M12&lt;&gt;EUconst_Relevant,AD127&gt;=CNTR_ReportingYear,AD127&lt;V12-1,$E132=""),0,IF(AND($T117=2,$S72),2,1)),2)</f>
        <v>2</v>
      </c>
      <c r="AE132" s="1931">
        <f>IF(CNTR_ExistSubInstEntries,IF(OR($M12&lt;&gt;EUconst_Relevant,AE127&gt;=CNTR_ReportingYear,AE127&lt;V12-1,$E132=""),0,IF(AND($T117=2,$S72),2,1)),2)</f>
        <v>2</v>
      </c>
      <c r="AF132" s="1931">
        <f>IF(CNTR_ExistSubInstEntries,IF(OR($M12&lt;&gt;EUconst_Relevant,AF127&gt;=CNTR_ReportingYear,AF127&lt;V12-1,$E132=""),0,IF(AND($T117=2,$S72),2,1)),2)</f>
        <v>2</v>
      </c>
      <c r="AG132" s="1931">
        <f>IF(CNTR_ExistSubInstEntries,IF(OR($M12&lt;&gt;EUconst_Relevant,AG127&gt;=CNTR_ReportingYear,AG127&lt;V12-1,$E132=""),0,IF(AND($T117=2,$S72),2,1)),2)</f>
        <v>2</v>
      </c>
      <c r="AH132" s="1931">
        <f>IF(CNTR_ExistSubInstEntries,IF(OR($M12&lt;&gt;EUconst_Relevant,AH127&gt;=CNTR_ReportingYear,AH127&lt;V12-1,$E132=""),0,IF(AND($T117=2,$S72),2,1)),2)</f>
        <v>2</v>
      </c>
      <c r="AI132" s="1947">
        <f>IF(CNTR_ExistSubInstEntries,IF(OR($M12&lt;&gt;EUconst_Relevant,AI127&gt;=CNTR_ReportingYear,AI127&lt;V12-1,$E132=""),0,IF(AND($T117=2,$S72),2,1)),2)</f>
        <v>2</v>
      </c>
      <c r="AK132" s="1633" t="s">
        <v>1954</v>
      </c>
      <c r="AL132" s="1635" t="str">
        <f>IF(AND(CNTR_ExistSubInstEntries,COUNTIFS(AB132:AI132,2,G132:N132,"")&gt;0),EUconst_Error&amp;"FB"&amp;Q12,"")</f>
        <v/>
      </c>
      <c r="AO132" s="1121" t="b">
        <f t="shared" si="20"/>
        <v>0</v>
      </c>
    </row>
    <row r="133" spans="1:42" ht="12.75" customHeight="1">
      <c r="B133" s="1124"/>
      <c r="C133" s="484"/>
      <c r="D133" s="582">
        <f t="shared" si="61"/>
        <v>6</v>
      </c>
      <c r="E133" s="1035" t="str">
        <f t="shared" si="51"/>
        <v/>
      </c>
      <c r="F133" s="1038" t="str">
        <f t="shared" si="52"/>
        <v>TJ</v>
      </c>
      <c r="G133" s="1918" t="str">
        <f>c_ALR2025!G5824</f>
        <v/>
      </c>
      <c r="H133" s="1919" t="str">
        <f>c_ALR2025!M5824</f>
        <v/>
      </c>
      <c r="I133" s="1988"/>
      <c r="J133" s="1891"/>
      <c r="K133" s="1684"/>
      <c r="L133" s="1684"/>
      <c r="M133" s="1684"/>
      <c r="N133" s="1684"/>
      <c r="O133" s="481"/>
      <c r="P133" s="9"/>
      <c r="S133" s="1944" t="str">
        <f>IF($M12&lt;&gt;EUconst_Relevant,"",
IF($V12&gt;($J$1190-3),
              IF(INDEX(H110:N110,MATCH($V12,$T127:$Z127,0))=0,0,INDEX(H133:N133,MATCH($V12,$T127:$Z127,0))/INDEX(H110:N110,MATCH($V12,$T127:$Z127,0))),
                             IF(ISNUMBER(G110),
                                            IF(OR(G110=0,$S73=FALSE),0,G133/G110),"")))</f>
        <v/>
      </c>
      <c r="T133" s="1945" t="str">
        <f t="shared" si="53"/>
        <v/>
      </c>
      <c r="U133" s="1945" t="str">
        <f t="shared" si="54"/>
        <v/>
      </c>
      <c r="V133" s="1945" t="str">
        <f t="shared" si="55"/>
        <v/>
      </c>
      <c r="W133" s="1945" t="str">
        <f t="shared" si="56"/>
        <v/>
      </c>
      <c r="X133" s="1945" t="str">
        <f t="shared" si="57"/>
        <v/>
      </c>
      <c r="Y133" s="1945" t="str">
        <f t="shared" si="58"/>
        <v/>
      </c>
      <c r="Z133" s="1946" t="str">
        <f t="shared" si="59"/>
        <v/>
      </c>
      <c r="AB133" s="1930">
        <f t="shared" si="60"/>
        <v>2</v>
      </c>
      <c r="AC133" s="1931">
        <f>IF(CNTR_ExistSubInstEntries,IF(OR($M12&lt;&gt;EUconst_Relevant,AC127&gt;=CNTR_ReportingYear,AC127&lt;V12-1,$E133=""),0,IF(AND($T117=2,$S73),2,1)),2)</f>
        <v>2</v>
      </c>
      <c r="AD133" s="1931">
        <f>IF(CNTR_ExistSubInstEntries,IF(OR($M12&lt;&gt;EUconst_Relevant,AD127&gt;=CNTR_ReportingYear,AD127&lt;V12-1,$E133=""),0,IF(AND($T117=2,$S73),2,1)),2)</f>
        <v>2</v>
      </c>
      <c r="AE133" s="1931">
        <f>IF(CNTR_ExistSubInstEntries,IF(OR($M12&lt;&gt;EUconst_Relevant,AE127&gt;=CNTR_ReportingYear,AE127&lt;V12-1,$E133=""),0,IF(AND($T117=2,$S73),2,1)),2)</f>
        <v>2</v>
      </c>
      <c r="AF133" s="1931">
        <f>IF(CNTR_ExistSubInstEntries,IF(OR($M12&lt;&gt;EUconst_Relevant,AF127&gt;=CNTR_ReportingYear,AF127&lt;V12-1,$E133=""),0,IF(AND($T117=2,$S73),2,1)),2)</f>
        <v>2</v>
      </c>
      <c r="AG133" s="1931">
        <f>IF(CNTR_ExistSubInstEntries,IF(OR($M12&lt;&gt;EUconst_Relevant,AG127&gt;=CNTR_ReportingYear,AG127&lt;V12-1,$E133=""),0,IF(AND($T117=2,$S73),2,1)),2)</f>
        <v>2</v>
      </c>
      <c r="AH133" s="1931">
        <f>IF(CNTR_ExistSubInstEntries,IF(OR($M12&lt;&gt;EUconst_Relevant,AH127&gt;=CNTR_ReportingYear,AH127&lt;V12-1,$E133=""),0,IF(AND($T117=2,$S73),2,1)),2)</f>
        <v>2</v>
      </c>
      <c r="AI133" s="1947">
        <f>IF(CNTR_ExistSubInstEntries,IF(OR($M12&lt;&gt;EUconst_Relevant,AI127&gt;=CNTR_ReportingYear,AI127&lt;V12-1,$E133=""),0,IF(AND($T117=2,$S73),2,1)),2)</f>
        <v>2</v>
      </c>
      <c r="AK133" s="1633" t="s">
        <v>1954</v>
      </c>
      <c r="AL133" s="1635" t="str">
        <f>IF(AND(CNTR_ExistSubInstEntries,COUNTIFS(AB133:AI133,2,G133:N133,"")&gt;0),EUconst_Error&amp;"FB"&amp;Q12,"")</f>
        <v/>
      </c>
      <c r="AO133" s="1121" t="b">
        <f t="shared" si="20"/>
        <v>0</v>
      </c>
    </row>
    <row r="134" spans="1:42" ht="12.75" customHeight="1">
      <c r="B134" s="1124"/>
      <c r="C134" s="484"/>
      <c r="D134" s="582">
        <f t="shared" si="61"/>
        <v>7</v>
      </c>
      <c r="E134" s="1035" t="str">
        <f t="shared" si="51"/>
        <v/>
      </c>
      <c r="F134" s="1038" t="str">
        <f t="shared" si="52"/>
        <v>TJ</v>
      </c>
      <c r="G134" s="1918" t="str">
        <f>c_ALR2025!G5825</f>
        <v/>
      </c>
      <c r="H134" s="1919" t="str">
        <f>c_ALR2025!M5825</f>
        <v/>
      </c>
      <c r="I134" s="1988"/>
      <c r="J134" s="1891"/>
      <c r="K134" s="1684"/>
      <c r="L134" s="1684"/>
      <c r="M134" s="1684"/>
      <c r="N134" s="1684"/>
      <c r="O134" s="481"/>
      <c r="P134" s="9"/>
      <c r="S134" s="1944" t="str">
        <f>IF($M12&lt;&gt;EUconst_Relevant,"",
IF($V12&gt;($J$1190-3),
              IF(INDEX(H111:N111,MATCH($V12,$T127:$Z127,0))=0,0,INDEX(H134:N134,MATCH($V12,$T127:$Z127,0))/INDEX(H111:N111,MATCH($V12,$T127:$Z127,0))),
                             IF(ISNUMBER(G111),
                                            IF(OR(G111=0,$S74=FALSE),0,G134/G111),"")))</f>
        <v/>
      </c>
      <c r="T134" s="1945" t="str">
        <f t="shared" si="53"/>
        <v/>
      </c>
      <c r="U134" s="1945" t="str">
        <f t="shared" si="54"/>
        <v/>
      </c>
      <c r="V134" s="1945" t="str">
        <f t="shared" si="55"/>
        <v/>
      </c>
      <c r="W134" s="1945" t="str">
        <f t="shared" si="56"/>
        <v/>
      </c>
      <c r="X134" s="1945" t="str">
        <f t="shared" si="57"/>
        <v/>
      </c>
      <c r="Y134" s="1945" t="str">
        <f t="shared" si="58"/>
        <v/>
      </c>
      <c r="Z134" s="1946" t="str">
        <f t="shared" si="59"/>
        <v/>
      </c>
      <c r="AB134" s="1930">
        <f t="shared" si="60"/>
        <v>2</v>
      </c>
      <c r="AC134" s="1931">
        <f>IF(CNTR_ExistSubInstEntries,IF(OR($M12&lt;&gt;EUconst_Relevant,AC127&gt;=CNTR_ReportingYear,AC127&lt;V12-1,$E134=""),0,IF(AND($T117=2,$S74),2,1)),2)</f>
        <v>2</v>
      </c>
      <c r="AD134" s="1931">
        <f>IF(CNTR_ExistSubInstEntries,IF(OR($M12&lt;&gt;EUconst_Relevant,AD127&gt;=CNTR_ReportingYear,AD127&lt;V12-1,$E134=""),0,IF(AND($T117=2,$S74),2,1)),2)</f>
        <v>2</v>
      </c>
      <c r="AE134" s="1931">
        <f>IF(CNTR_ExistSubInstEntries,IF(OR($M12&lt;&gt;EUconst_Relevant,AE127&gt;=CNTR_ReportingYear,AE127&lt;V12-1,$E134=""),0,IF(AND($T117=2,$S74),2,1)),2)</f>
        <v>2</v>
      </c>
      <c r="AF134" s="1931">
        <f>IF(CNTR_ExistSubInstEntries,IF(OR($M12&lt;&gt;EUconst_Relevant,AF127&gt;=CNTR_ReportingYear,AF127&lt;V12-1,$E134=""),0,IF(AND($T117=2,$S74),2,1)),2)</f>
        <v>2</v>
      </c>
      <c r="AG134" s="1931">
        <f>IF(CNTR_ExistSubInstEntries,IF(OR($M12&lt;&gt;EUconst_Relevant,AG127&gt;=CNTR_ReportingYear,AG127&lt;V12-1,$E134=""),0,IF(AND($T117=2,$S74),2,1)),2)</f>
        <v>2</v>
      </c>
      <c r="AH134" s="1931">
        <f>IF(CNTR_ExistSubInstEntries,IF(OR($M12&lt;&gt;EUconst_Relevant,AH127&gt;=CNTR_ReportingYear,AH127&lt;V12-1,$E134=""),0,IF(AND($T117=2,$S74),2,1)),2)</f>
        <v>2</v>
      </c>
      <c r="AI134" s="1947">
        <f>IF(CNTR_ExistSubInstEntries,IF(OR($M12&lt;&gt;EUconst_Relevant,AI127&gt;=CNTR_ReportingYear,AI127&lt;V12-1,$E134=""),0,IF(AND($T117=2,$S74),2,1)),2)</f>
        <v>2</v>
      </c>
      <c r="AK134" s="1633" t="s">
        <v>1954</v>
      </c>
      <c r="AL134" s="1635" t="str">
        <f>IF(AND(CNTR_ExistSubInstEntries,COUNTIFS(AB134:AI134,2,G134:N134,"")&gt;0),EUconst_Error&amp;"FB"&amp;Q12,"")</f>
        <v/>
      </c>
      <c r="AO134" s="1121" t="b">
        <f t="shared" si="20"/>
        <v>0</v>
      </c>
    </row>
    <row r="135" spans="1:42" ht="12.75" customHeight="1">
      <c r="B135" s="1124"/>
      <c r="C135" s="484"/>
      <c r="D135" s="582">
        <f t="shared" si="61"/>
        <v>8</v>
      </c>
      <c r="E135" s="1035" t="str">
        <f t="shared" si="51"/>
        <v/>
      </c>
      <c r="F135" s="1038" t="str">
        <f t="shared" si="52"/>
        <v>TJ</v>
      </c>
      <c r="G135" s="1918" t="str">
        <f>c_ALR2025!G5826</f>
        <v/>
      </c>
      <c r="H135" s="1919" t="str">
        <f>c_ALR2025!M5826</f>
        <v/>
      </c>
      <c r="I135" s="1988"/>
      <c r="J135" s="1891"/>
      <c r="K135" s="1684"/>
      <c r="L135" s="1684"/>
      <c r="M135" s="1684"/>
      <c r="N135" s="1684"/>
      <c r="O135" s="481"/>
      <c r="P135" s="9"/>
      <c r="S135" s="1944" t="str">
        <f>IF($M12&lt;&gt;EUconst_Relevant,"",
IF($V12&gt;($J$1190-3),
              IF(INDEX(H112:N112,MATCH($V12,$T127:$Z127,0))=0,0,INDEX(H135:N135,MATCH($V12,$T127:$Z127,0))/INDEX(H112:N112,MATCH($V12,$T127:$Z127,0))),
                             IF(ISNUMBER(G112),
                                            IF(OR(G112=0,$S75=FALSE),0,G135/G112),"")))</f>
        <v/>
      </c>
      <c r="T135" s="1945" t="str">
        <f t="shared" si="53"/>
        <v/>
      </c>
      <c r="U135" s="1945" t="str">
        <f t="shared" si="54"/>
        <v/>
      </c>
      <c r="V135" s="1945" t="str">
        <f t="shared" si="55"/>
        <v/>
      </c>
      <c r="W135" s="1945" t="str">
        <f t="shared" si="56"/>
        <v/>
      </c>
      <c r="X135" s="1945" t="str">
        <f t="shared" si="57"/>
        <v/>
      </c>
      <c r="Y135" s="1945" t="str">
        <f t="shared" si="58"/>
        <v/>
      </c>
      <c r="Z135" s="1946" t="str">
        <f t="shared" si="59"/>
        <v/>
      </c>
      <c r="AB135" s="1930">
        <f t="shared" si="60"/>
        <v>2</v>
      </c>
      <c r="AC135" s="1931">
        <f>IF(CNTR_ExistSubInstEntries,IF(OR($M12&lt;&gt;EUconst_Relevant,AC127&gt;=CNTR_ReportingYear,AC127&lt;V12-1,$E135=""),0,IF(AND($T117=2,$S75),2,1)),2)</f>
        <v>2</v>
      </c>
      <c r="AD135" s="1931">
        <f>IF(CNTR_ExistSubInstEntries,IF(OR($M12&lt;&gt;EUconst_Relevant,AD127&gt;=CNTR_ReportingYear,AD127&lt;V12-1,$E135=""),0,IF(AND($T117=2,$S75),2,1)),2)</f>
        <v>2</v>
      </c>
      <c r="AE135" s="1931">
        <f>IF(CNTR_ExistSubInstEntries,IF(OR($M12&lt;&gt;EUconst_Relevant,AE127&gt;=CNTR_ReportingYear,AE127&lt;V12-1,$E135=""),0,IF(AND($T117=2,$S75),2,1)),2)</f>
        <v>2</v>
      </c>
      <c r="AF135" s="1931">
        <f>IF(CNTR_ExistSubInstEntries,IF(OR($M12&lt;&gt;EUconst_Relevant,AF127&gt;=CNTR_ReportingYear,AF127&lt;V12-1,$E135=""),0,IF(AND($T117=2,$S75),2,1)),2)</f>
        <v>2</v>
      </c>
      <c r="AG135" s="1931">
        <f>IF(CNTR_ExistSubInstEntries,IF(OR($M12&lt;&gt;EUconst_Relevant,AG127&gt;=CNTR_ReportingYear,AG127&lt;V12-1,$E135=""),0,IF(AND($T117=2,$S75),2,1)),2)</f>
        <v>2</v>
      </c>
      <c r="AH135" s="1931">
        <f>IF(CNTR_ExistSubInstEntries,IF(OR($M12&lt;&gt;EUconst_Relevant,AH127&gt;=CNTR_ReportingYear,AH127&lt;V12-1,$E135=""),0,IF(AND($T117=2,$S75),2,1)),2)</f>
        <v>2</v>
      </c>
      <c r="AI135" s="1947">
        <f>IF(CNTR_ExistSubInstEntries,IF(OR($M12&lt;&gt;EUconst_Relevant,AI127&gt;=CNTR_ReportingYear,AI127&lt;V12-1,$E135=""),0,IF(AND($T117=2,$S75),2,1)),2)</f>
        <v>2</v>
      </c>
      <c r="AK135" s="1633" t="s">
        <v>1954</v>
      </c>
      <c r="AL135" s="1635" t="str">
        <f>IF(AND(CNTR_ExistSubInstEntries,COUNTIFS(AB135:AI135,2,G135:N135,"")&gt;0),EUconst_Error&amp;"FB"&amp;Q12,"")</f>
        <v/>
      </c>
      <c r="AO135" s="1121" t="b">
        <f t="shared" si="20"/>
        <v>0</v>
      </c>
    </row>
    <row r="136" spans="1:42" ht="12.75" customHeight="1">
      <c r="B136" s="1124"/>
      <c r="C136" s="484"/>
      <c r="D136" s="582">
        <f t="shared" si="61"/>
        <v>9</v>
      </c>
      <c r="E136" s="1035" t="str">
        <f t="shared" si="51"/>
        <v/>
      </c>
      <c r="F136" s="1038" t="str">
        <f t="shared" si="52"/>
        <v>TJ</v>
      </c>
      <c r="G136" s="1918" t="str">
        <f>c_ALR2025!G5827</f>
        <v/>
      </c>
      <c r="H136" s="1919" t="str">
        <f>c_ALR2025!M5827</f>
        <v/>
      </c>
      <c r="I136" s="1988"/>
      <c r="J136" s="1891"/>
      <c r="K136" s="1684"/>
      <c r="L136" s="1684"/>
      <c r="M136" s="1684"/>
      <c r="N136" s="1684"/>
      <c r="O136" s="481"/>
      <c r="P136" s="9"/>
      <c r="S136" s="1944" t="str">
        <f>IF($M12&lt;&gt;EUconst_Relevant,"",
IF($V12&gt;($J$1190-3),
              IF(INDEX(H113:N113,MATCH($V12,$T127:$Z127,0))=0,0,INDEX(H136:N136,MATCH($V12,$T127:$Z127,0))/INDEX(H113:N113,MATCH($V12,$T127:$Z127,0))),
                             IF(ISNUMBER(G113),
                                            IF(OR(G113=0,$S76=FALSE),0,G136/G113),"")))</f>
        <v/>
      </c>
      <c r="T136" s="1945" t="str">
        <f t="shared" si="53"/>
        <v/>
      </c>
      <c r="U136" s="1945" t="str">
        <f t="shared" si="54"/>
        <v/>
      </c>
      <c r="V136" s="1945" t="str">
        <f t="shared" si="55"/>
        <v/>
      </c>
      <c r="W136" s="1945" t="str">
        <f t="shared" si="56"/>
        <v/>
      </c>
      <c r="X136" s="1945" t="str">
        <f t="shared" si="57"/>
        <v/>
      </c>
      <c r="Y136" s="1945" t="str">
        <f t="shared" si="58"/>
        <v/>
      </c>
      <c r="Z136" s="1946" t="str">
        <f t="shared" si="59"/>
        <v/>
      </c>
      <c r="AB136" s="1930">
        <f t="shared" si="60"/>
        <v>2</v>
      </c>
      <c r="AC136" s="1931">
        <f>IF(CNTR_ExistSubInstEntries,IF(OR($M12&lt;&gt;EUconst_Relevant,AC127&gt;=CNTR_ReportingYear,AC127&lt;V12-1,$E136=""),0,IF(AND($T117=2,$S76),2,1)),2)</f>
        <v>2</v>
      </c>
      <c r="AD136" s="1931">
        <f>IF(CNTR_ExistSubInstEntries,IF(OR($M12&lt;&gt;EUconst_Relevant,AD127&gt;=CNTR_ReportingYear,AD127&lt;V12-1,$E136=""),0,IF(AND($T117=2,$S76),2,1)),2)</f>
        <v>2</v>
      </c>
      <c r="AE136" s="1931">
        <f>IF(CNTR_ExistSubInstEntries,IF(OR($M12&lt;&gt;EUconst_Relevant,AE127&gt;=CNTR_ReportingYear,AE127&lt;V12-1,$E136=""),0,IF(AND($T117=2,$S76),2,1)),2)</f>
        <v>2</v>
      </c>
      <c r="AF136" s="1931">
        <f>IF(CNTR_ExistSubInstEntries,IF(OR($M12&lt;&gt;EUconst_Relevant,AF127&gt;=CNTR_ReportingYear,AF127&lt;V12-1,$E136=""),0,IF(AND($T117=2,$S76),2,1)),2)</f>
        <v>2</v>
      </c>
      <c r="AG136" s="1931">
        <f>IF(CNTR_ExistSubInstEntries,IF(OR($M12&lt;&gt;EUconst_Relevant,AG127&gt;=CNTR_ReportingYear,AG127&lt;V12-1,$E136=""),0,IF(AND($T117=2,$S76),2,1)),2)</f>
        <v>2</v>
      </c>
      <c r="AH136" s="1931">
        <f>IF(CNTR_ExistSubInstEntries,IF(OR($M12&lt;&gt;EUconst_Relevant,AH127&gt;=CNTR_ReportingYear,AH127&lt;V12-1,$E136=""),0,IF(AND($T117=2,$S76),2,1)),2)</f>
        <v>2</v>
      </c>
      <c r="AI136" s="1947">
        <f>IF(CNTR_ExistSubInstEntries,IF(OR($M12&lt;&gt;EUconst_Relevant,AI127&gt;=CNTR_ReportingYear,AI127&lt;V12-1,$E136=""),0,IF(AND($T117=2,$S76),2,1)),2)</f>
        <v>2</v>
      </c>
      <c r="AK136" s="1633" t="s">
        <v>1954</v>
      </c>
      <c r="AL136" s="1635" t="str">
        <f>IF(AND(CNTR_ExistSubInstEntries,COUNTIFS(AB136:AI136,2,G136:N136,"")&gt;0),EUconst_Error&amp;"FB"&amp;Q12,"")</f>
        <v/>
      </c>
      <c r="AO136" s="1121" t="b">
        <f t="shared" si="20"/>
        <v>0</v>
      </c>
    </row>
    <row r="137" spans="1:42" ht="12.75" customHeight="1" thickBot="1">
      <c r="B137" s="1124"/>
      <c r="C137" s="484"/>
      <c r="D137" s="584">
        <f t="shared" si="61"/>
        <v>10</v>
      </c>
      <c r="E137" s="1037" t="str">
        <f t="shared" si="51"/>
        <v/>
      </c>
      <c r="F137" s="1039" t="str">
        <f t="shared" si="52"/>
        <v>TJ</v>
      </c>
      <c r="G137" s="1922" t="str">
        <f>c_ALR2025!G5828</f>
        <v/>
      </c>
      <c r="H137" s="1923" t="str">
        <f>c_ALR2025!M5828</f>
        <v/>
      </c>
      <c r="I137" s="1989"/>
      <c r="J137" s="1891"/>
      <c r="K137" s="1684"/>
      <c r="L137" s="1684"/>
      <c r="M137" s="1684"/>
      <c r="N137" s="1684"/>
      <c r="O137" s="481"/>
      <c r="P137" s="9"/>
      <c r="S137" s="1948" t="str">
        <f>IF($M12&lt;&gt;EUconst_Relevant,"",
IF($V12&gt;($J$1190-3),
              IF(INDEX(H114:N114,MATCH($V12,$T127:$Z127,0))=0,0,INDEX(H137:N137,MATCH($V12,$T127:$Z127,0))/INDEX(H114:N114,MATCH($V12,$T127:$Z127,0))),
                             IF(ISNUMBER(G114),
                                            IF(OR(G114=0,$S77=FALSE),0,G137/G114),"")))</f>
        <v/>
      </c>
      <c r="T137" s="1949" t="str">
        <f t="shared" si="53"/>
        <v/>
      </c>
      <c r="U137" s="1949" t="str">
        <f t="shared" si="54"/>
        <v/>
      </c>
      <c r="V137" s="1949" t="str">
        <f t="shared" si="55"/>
        <v/>
      </c>
      <c r="W137" s="1949" t="str">
        <f t="shared" si="56"/>
        <v/>
      </c>
      <c r="X137" s="1949" t="str">
        <f t="shared" si="57"/>
        <v/>
      </c>
      <c r="Y137" s="1949" t="str">
        <f t="shared" si="58"/>
        <v/>
      </c>
      <c r="Z137" s="1950" t="str">
        <f t="shared" si="59"/>
        <v/>
      </c>
      <c r="AB137" s="1934">
        <f t="shared" si="60"/>
        <v>2</v>
      </c>
      <c r="AC137" s="1935">
        <f>IF(CNTR_ExistSubInstEntries,IF(OR($M12&lt;&gt;EUconst_Relevant,AC127&gt;=CNTR_ReportingYear,AC127&lt;V12-1,$E137=""),0,IF(AND($T117=2,$S77),2,1)),2)</f>
        <v>2</v>
      </c>
      <c r="AD137" s="1935">
        <f>IF(CNTR_ExistSubInstEntries,IF(OR($M12&lt;&gt;EUconst_Relevant,AD127&gt;=CNTR_ReportingYear,AD127&lt;V12-1,$E137=""),0,IF(AND($T117=2,$S77),2,1)),2)</f>
        <v>2</v>
      </c>
      <c r="AE137" s="1935">
        <f>IF(CNTR_ExistSubInstEntries,IF(OR($M12&lt;&gt;EUconst_Relevant,AE127&gt;=CNTR_ReportingYear,AE127&lt;V12-1,$E137=""),0,IF(AND($T117=2,$S77),2,1)),2)</f>
        <v>2</v>
      </c>
      <c r="AF137" s="1935">
        <f>IF(CNTR_ExistSubInstEntries,IF(OR($M12&lt;&gt;EUconst_Relevant,AF127&gt;=CNTR_ReportingYear,AF127&lt;V12-1,$E137=""),0,IF(AND($T117=2,$S77),2,1)),2)</f>
        <v>2</v>
      </c>
      <c r="AG137" s="1935">
        <f>IF(CNTR_ExistSubInstEntries,IF(OR($M12&lt;&gt;EUconst_Relevant,AG127&gt;=CNTR_ReportingYear,AG127&lt;V12-1,$E137=""),0,IF(AND($T117=2,$S77),2,1)),2)</f>
        <v>2</v>
      </c>
      <c r="AH137" s="1935">
        <f>IF(CNTR_ExistSubInstEntries,IF(OR($M12&lt;&gt;EUconst_Relevant,AH127&gt;=CNTR_ReportingYear,AH127&lt;V12-1,$E137=""),0,IF(AND($T117=2,$S77),2,1)),2)</f>
        <v>2</v>
      </c>
      <c r="AI137" s="1951">
        <f>IF(CNTR_ExistSubInstEntries,IF(OR($M12&lt;&gt;EUconst_Relevant,AI127&gt;=CNTR_ReportingYear,AI127&lt;V12-1,$E137=""),0,IF(AND($T117=2,$S77),2,1)),2)</f>
        <v>2</v>
      </c>
      <c r="AK137" s="1633" t="s">
        <v>1954</v>
      </c>
      <c r="AL137" s="1635" t="str">
        <f>IF(AND(CNTR_ExistSubInstEntries,COUNTIFS(AB137:AI137,2,G137:N137,"")&gt;0),EUconst_Error&amp;"FB"&amp;Q12,"")</f>
        <v/>
      </c>
      <c r="AO137" s="1121" t="b">
        <f t="shared" si="20"/>
        <v>0</v>
      </c>
    </row>
    <row r="138" spans="1:42" ht="12.75" customHeight="1">
      <c r="B138" s="1124"/>
      <c r="C138" s="485"/>
      <c r="D138" s="971"/>
      <c r="E138" s="972" t="s">
        <v>1713</v>
      </c>
      <c r="F138" s="1039" t="str">
        <f t="shared" si="52"/>
        <v>TJ</v>
      </c>
      <c r="G138" s="973" t="str">
        <f t="shared" ref="G138:N138" si="62">IF(COUNT(G128:G137)&gt;0,SUMIF($S68:$S77,TRUE,G128:G137),"")</f>
        <v/>
      </c>
      <c r="H138" s="974" t="str">
        <f t="shared" si="62"/>
        <v/>
      </c>
      <c r="I138" s="973" t="str">
        <f t="shared" si="62"/>
        <v/>
      </c>
      <c r="J138" s="1891" t="str">
        <f t="shared" si="62"/>
        <v/>
      </c>
      <c r="K138" s="1684" t="str">
        <f t="shared" si="62"/>
        <v/>
      </c>
      <c r="L138" s="1684" t="str">
        <f t="shared" si="62"/>
        <v/>
      </c>
      <c r="M138" s="1684" t="str">
        <f t="shared" si="62"/>
        <v/>
      </c>
      <c r="N138" s="1684" t="str">
        <f t="shared" si="62"/>
        <v/>
      </c>
      <c r="O138" s="481"/>
      <c r="P138" s="481"/>
      <c r="S138" s="1198" t="str">
        <f>IF(AND(SUM(S128:S137)&gt;0,G144=""),INDEX(H138:N138,MATCH($V12,T127:Z127,0))/INDEX(H115:N115,MATCH($V12,T127:Z127,0)),G144)</f>
        <v/>
      </c>
      <c r="AB138" s="1435"/>
      <c r="AO138" s="1121" t="b">
        <f t="shared" si="20"/>
        <v>0</v>
      </c>
    </row>
    <row r="139" spans="1:42" ht="12.75" customHeight="1">
      <c r="B139" s="1124"/>
      <c r="C139" s="485"/>
      <c r="D139" s="698"/>
      <c r="E139" s="948" t="s">
        <v>1723</v>
      </c>
      <c r="F139" s="1040" t="str">
        <f t="shared" si="52"/>
        <v>TJ</v>
      </c>
      <c r="G139" s="42" t="str">
        <f>IF(COUNT(I28,G138)=2,IF(I28=0,EUconst_NA,G138/I28),"")</f>
        <v/>
      </c>
      <c r="H139" s="43" t="str">
        <f t="shared" ref="H139:N139" si="63">IF(COUNT(H20,H138)=2,IF(H20=0,EUconst_NA,H138/H20),"")</f>
        <v/>
      </c>
      <c r="I139" s="44" t="str">
        <f t="shared" si="63"/>
        <v/>
      </c>
      <c r="J139" s="20" t="str">
        <f t="shared" si="63"/>
        <v/>
      </c>
      <c r="K139" s="19" t="str">
        <f t="shared" si="63"/>
        <v/>
      </c>
      <c r="L139" s="19" t="str">
        <f t="shared" si="63"/>
        <v/>
      </c>
      <c r="M139" s="19" t="str">
        <f t="shared" si="63"/>
        <v/>
      </c>
      <c r="N139" s="19" t="str">
        <f t="shared" si="63"/>
        <v/>
      </c>
      <c r="O139" s="481"/>
      <c r="P139" s="481"/>
      <c r="AB139" s="1435"/>
      <c r="AO139" s="1121" t="b">
        <f t="shared" si="20"/>
        <v>0</v>
      </c>
    </row>
    <row r="140" spans="1:42" ht="5.0999999999999996" customHeight="1">
      <c r="B140" s="1124"/>
      <c r="C140" s="467"/>
      <c r="D140" s="467"/>
      <c r="E140" s="467"/>
      <c r="F140" s="467"/>
      <c r="G140" s="467"/>
      <c r="H140" s="467"/>
      <c r="I140" s="467"/>
      <c r="J140" s="467"/>
      <c r="K140" s="467"/>
      <c r="L140" s="467"/>
      <c r="M140" s="467"/>
      <c r="N140" s="467"/>
      <c r="O140" s="481"/>
      <c r="P140" s="481"/>
      <c r="Z140" s="1435"/>
      <c r="AA140" s="1435"/>
      <c r="AB140" s="1435"/>
      <c r="AO140" s="1121" t="b">
        <f t="shared" si="20"/>
        <v>0</v>
      </c>
    </row>
    <row r="141" spans="1:42" ht="12.75" customHeight="1">
      <c r="B141" s="467"/>
      <c r="C141" s="482"/>
      <c r="D141" s="482" t="s">
        <v>1716</v>
      </c>
      <c r="E141" s="2373" t="s">
        <v>1819</v>
      </c>
      <c r="F141" s="2400"/>
      <c r="G141" s="2400"/>
      <c r="H141" s="2400"/>
      <c r="I141" s="2400"/>
      <c r="J141" s="2400"/>
      <c r="K141" s="2400"/>
      <c r="L141" s="2400"/>
      <c r="M141" s="2400"/>
      <c r="N141" s="2400"/>
      <c r="O141" s="481"/>
      <c r="P141" s="481"/>
      <c r="Q141" s="1249"/>
      <c r="AB141" s="1435"/>
      <c r="AO141" s="1121" t="b">
        <f t="shared" si="20"/>
        <v>0</v>
      </c>
    </row>
    <row r="142" spans="1:42" ht="12.75" customHeight="1">
      <c r="B142" s="1124"/>
      <c r="C142" s="467"/>
      <c r="D142" s="467"/>
      <c r="E142" s="2385" t="s">
        <v>1934</v>
      </c>
      <c r="F142" s="2846"/>
      <c r="G142" s="2846"/>
      <c r="H142" s="2846"/>
      <c r="I142" s="2846"/>
      <c r="J142" s="2846"/>
      <c r="K142" s="2846"/>
      <c r="L142" s="2846"/>
      <c r="M142" s="2846"/>
      <c r="N142" s="2846"/>
      <c r="O142" s="481"/>
      <c r="P142" s="481"/>
      <c r="Z142" s="1435"/>
      <c r="AA142" s="1435"/>
      <c r="AB142" s="1435"/>
      <c r="AO142" s="1121" t="b">
        <f t="shared" si="20"/>
        <v>0</v>
      </c>
    </row>
    <row r="143" spans="1:42" s="1911" customFormat="1" ht="12.75" customHeight="1">
      <c r="A143" s="1905"/>
      <c r="B143" s="1906"/>
      <c r="C143" s="481"/>
      <c r="D143" s="1028"/>
      <c r="E143" s="871"/>
      <c r="F143" s="1030" t="str">
        <f>EUconst_Unit</f>
        <v>Unit</v>
      </c>
      <c r="G143" s="1031" t="s">
        <v>1710</v>
      </c>
      <c r="H143" s="1033">
        <f t="shared" ref="H143:N143" si="64">H$1190</f>
        <v>2024</v>
      </c>
      <c r="I143" s="1031">
        <f t="shared" si="64"/>
        <v>2025</v>
      </c>
      <c r="J143" s="1952">
        <f t="shared" si="64"/>
        <v>2026</v>
      </c>
      <c r="K143" s="1953">
        <f t="shared" si="64"/>
        <v>2027</v>
      </c>
      <c r="L143" s="1953">
        <f t="shared" si="64"/>
        <v>2028</v>
      </c>
      <c r="M143" s="1953">
        <f t="shared" si="64"/>
        <v>2029</v>
      </c>
      <c r="N143" s="1953">
        <f t="shared" si="64"/>
        <v>2030</v>
      </c>
      <c r="O143" s="476"/>
      <c r="P143" s="481"/>
      <c r="Q143" s="1909"/>
      <c r="R143" s="1909"/>
      <c r="S143" s="1909"/>
      <c r="T143" s="1909" t="str">
        <f t="shared" ref="T143:Z143" si="65">IF($E110="","",IF($S73=FALSE,0,IF($S133=0,SUM(H133),SUM(H110)*SUM($S133))))</f>
        <v/>
      </c>
      <c r="U143" s="1909" t="str">
        <f t="shared" si="65"/>
        <v/>
      </c>
      <c r="V143" s="1909" t="str">
        <f t="shared" si="65"/>
        <v/>
      </c>
      <c r="W143" s="1909" t="str">
        <f t="shared" si="65"/>
        <v/>
      </c>
      <c r="X143" s="1909" t="str">
        <f t="shared" si="65"/>
        <v/>
      </c>
      <c r="Y143" s="1909" t="str">
        <f t="shared" si="65"/>
        <v/>
      </c>
      <c r="Z143" s="1909" t="str">
        <f t="shared" si="65"/>
        <v/>
      </c>
      <c r="AA143" s="1954"/>
      <c r="AB143" s="1249"/>
      <c r="AC143" s="1909"/>
      <c r="AD143" s="1909"/>
      <c r="AE143" s="1909"/>
      <c r="AF143" s="1909"/>
      <c r="AG143" s="1909"/>
      <c r="AH143" s="1909"/>
      <c r="AI143" s="1909"/>
      <c r="AJ143" s="1909"/>
      <c r="AK143" s="1909"/>
      <c r="AL143" s="1909"/>
      <c r="AN143" s="1905"/>
      <c r="AO143" s="1121" t="b">
        <f t="shared" ref="AO143:AO206" si="66">$AD$12</f>
        <v>0</v>
      </c>
      <c r="AP143" s="1912"/>
    </row>
    <row r="144" spans="1:42" ht="25.5" customHeight="1">
      <c r="B144" s="1124"/>
      <c r="C144" s="485"/>
      <c r="D144" s="561"/>
      <c r="E144" s="948" t="s">
        <v>1819</v>
      </c>
      <c r="F144" s="1041" t="str">
        <f>EUconst_TJ &amp; " / " &amp; IF(F115="",EUconst_Unit,F115)</f>
        <v>TJ / Unit</v>
      </c>
      <c r="G144" s="1042" t="str">
        <f>IF(AND(SUM(G138)&gt;0,V12&lt;=$H$1190),SUMPRODUCT(S128:S137,G128:G137)/G138,"")</f>
        <v/>
      </c>
      <c r="H144" s="1043" t="str">
        <f t="shared" ref="H144:N144" si="67">IF(SUM(H138)&gt;0,$S138*H138/SUM(T128:T137),"")</f>
        <v/>
      </c>
      <c r="I144" s="1044" t="str">
        <f t="shared" si="67"/>
        <v/>
      </c>
      <c r="J144" s="1955" t="str">
        <f t="shared" si="67"/>
        <v/>
      </c>
      <c r="K144" s="1956" t="str">
        <f t="shared" si="67"/>
        <v/>
      </c>
      <c r="L144" s="1956" t="str">
        <f t="shared" si="67"/>
        <v/>
      </c>
      <c r="M144" s="1956" t="str">
        <f t="shared" si="67"/>
        <v/>
      </c>
      <c r="N144" s="1956" t="str">
        <f t="shared" si="67"/>
        <v/>
      </c>
      <c r="O144" s="1136"/>
      <c r="P144" s="481"/>
      <c r="Q144" s="1644" t="str">
        <f>EUconst_CNTR_EnEff&amp;I12</f>
        <v>EnEff_Heat benchmark sub-installation, CL</v>
      </c>
      <c r="AB144" s="1435"/>
      <c r="AE144" s="1198"/>
      <c r="AF144" s="1198"/>
      <c r="AG144" s="1198"/>
      <c r="AH144" s="1198"/>
      <c r="AI144" s="1198"/>
      <c r="AJ144" s="1198"/>
      <c r="AK144" s="1198"/>
      <c r="AL144" s="1198"/>
      <c r="AO144" s="1121" t="b">
        <f t="shared" si="66"/>
        <v>0</v>
      </c>
    </row>
    <row r="145" spans="2:41" ht="5.0999999999999996" customHeight="1" thickBot="1">
      <c r="B145" s="1124"/>
      <c r="C145" s="485"/>
      <c r="D145" s="485"/>
      <c r="E145" s="485"/>
      <c r="F145" s="485"/>
      <c r="G145" s="485"/>
      <c r="H145" s="485"/>
      <c r="I145" s="952"/>
      <c r="J145" s="485"/>
      <c r="K145" s="485"/>
      <c r="L145" s="485"/>
      <c r="M145" s="485"/>
      <c r="N145" s="485"/>
      <c r="O145" s="485"/>
      <c r="P145" s="481"/>
      <c r="Q145" s="1702"/>
      <c r="S145" s="1435"/>
      <c r="T145" s="1435"/>
      <c r="AO145" s="1121" t="b">
        <f t="shared" si="66"/>
        <v>0</v>
      </c>
    </row>
    <row r="146" spans="2:41" ht="5.0999999999999996" customHeight="1" thickBot="1">
      <c r="B146" s="1124"/>
      <c r="C146" s="485"/>
      <c r="D146" s="902"/>
      <c r="E146" s="942"/>
      <c r="F146" s="942"/>
      <c r="G146" s="942"/>
      <c r="H146" s="942"/>
      <c r="I146" s="1045"/>
      <c r="J146" s="943"/>
      <c r="K146" s="1791"/>
      <c r="L146" s="1791"/>
      <c r="M146" s="1791"/>
      <c r="N146" s="1791"/>
      <c r="O146" s="485"/>
      <c r="P146" s="481"/>
      <c r="Q146" s="1702"/>
      <c r="S146" s="1435"/>
      <c r="T146" s="1435"/>
      <c r="AO146" s="1121" t="b">
        <f t="shared" si="66"/>
        <v>0</v>
      </c>
    </row>
    <row r="147" spans="2:41" ht="12.75" customHeight="1">
      <c r="B147" s="479"/>
      <c r="C147" s="485"/>
      <c r="D147" s="918"/>
      <c r="E147" s="908" t="s">
        <v>1777</v>
      </c>
      <c r="F147" s="909"/>
      <c r="G147" s="909"/>
      <c r="H147" s="910" t="str">
        <f>EUconst_Unit</f>
        <v>Unit</v>
      </c>
      <c r="I147" s="911" t="s">
        <v>1675</v>
      </c>
      <c r="J147" s="1647">
        <f>J$1190</f>
        <v>2026</v>
      </c>
      <c r="K147" s="1490">
        <f>K$1190</f>
        <v>2027</v>
      </c>
      <c r="L147" s="1490">
        <f>L$1190</f>
        <v>2028</v>
      </c>
      <c r="M147" s="1490">
        <f>M$1190</f>
        <v>2029</v>
      </c>
      <c r="N147" s="1490">
        <f>N$1190</f>
        <v>2030</v>
      </c>
      <c r="O147" s="485"/>
      <c r="P147" s="481"/>
      <c r="Q147" s="1435"/>
      <c r="U147" s="1648"/>
      <c r="V147" s="1649">
        <f>J147</f>
        <v>2026</v>
      </c>
      <c r="W147" s="1649">
        <f>K147</f>
        <v>2027</v>
      </c>
      <c r="X147" s="1649">
        <f>L147</f>
        <v>2028</v>
      </c>
      <c r="Y147" s="1649">
        <f>M147</f>
        <v>2029</v>
      </c>
      <c r="Z147" s="1650">
        <f>N147</f>
        <v>2030</v>
      </c>
      <c r="AO147" s="1121" t="b">
        <f t="shared" si="66"/>
        <v>0</v>
      </c>
    </row>
    <row r="148" spans="2:41" ht="12.75" customHeight="1">
      <c r="B148" s="479"/>
      <c r="C148" s="485"/>
      <c r="D148" s="915" t="s">
        <v>7</v>
      </c>
      <c r="E148" s="2735" t="s">
        <v>1818</v>
      </c>
      <c r="F148" s="2735"/>
      <c r="G148" s="2735"/>
      <c r="H148" s="1048" t="str">
        <f>F144</f>
        <v>TJ / Unit</v>
      </c>
      <c r="I148" s="1049" t="str">
        <f>IF(M12&lt;&gt;EUconst_Relevant,"",IF(V12&gt;($J$1190-3),INDEX(H144:N144,MATCH($V12,H143:N143,0)),G144))</f>
        <v/>
      </c>
      <c r="J148" s="1691" t="str">
        <f>IF(AND(V148&gt;=3,COUNT(H144:I144)=2),IF(CNTR_ReportingYear&gt;J143-1,AVERAGE(H144:I144),""),"")</f>
        <v/>
      </c>
      <c r="K148" s="1794" t="str">
        <f>IF(AND(W148&gt;=3,COUNT(I144:J144)=2),IF(CNTR_ReportingYear&gt;K143-1,AVERAGE(I144:J144),""),"")</f>
        <v/>
      </c>
      <c r="L148" s="1794" t="str">
        <f>IF(AND(X148&gt;=3,COUNT(J144:K144)=2),IF(CNTR_ReportingYear&gt;L143-1,AVERAGE(J144:K144),""),"")</f>
        <v/>
      </c>
      <c r="M148" s="1794" t="str">
        <f>IF(AND(Y148&gt;=3,COUNT(K144:L144)=2),IF(CNTR_ReportingYear&gt;M143-1,AVERAGE(K144:L144),""),"")</f>
        <v/>
      </c>
      <c r="N148" s="1794" t="str">
        <f>IF(AND(Z148&gt;=3,COUNT(L144:M144)=2),IF(CNTR_ReportingYear&gt;N143-1,AVERAGE(L144:M144),""),"")</f>
        <v/>
      </c>
      <c r="O148" s="485"/>
      <c r="P148" s="481"/>
      <c r="Q148" s="1704" t="str">
        <f>EUconst_CNTR_EnEffInitial &amp; I12</f>
        <v>EnEffIni_Heat benchmark sub-installation, CL</v>
      </c>
      <c r="U148" s="1693" t="s">
        <v>1650</v>
      </c>
      <c r="V148" s="1251">
        <f>V28</f>
        <v>0</v>
      </c>
      <c r="W148" s="1251">
        <f>W28</f>
        <v>0</v>
      </c>
      <c r="X148" s="1251">
        <f>X28</f>
        <v>0</v>
      </c>
      <c r="Y148" s="1251">
        <f>Y28</f>
        <v>0</v>
      </c>
      <c r="Z148" s="1896">
        <f>Z28</f>
        <v>0</v>
      </c>
      <c r="AO148" s="1121" t="b">
        <f t="shared" si="66"/>
        <v>0</v>
      </c>
    </row>
    <row r="149" spans="2:41" ht="12.75" customHeight="1">
      <c r="B149" s="479"/>
      <c r="C149" s="485"/>
      <c r="D149" s="915" t="s">
        <v>8</v>
      </c>
      <c r="E149" s="2735" t="s">
        <v>1928</v>
      </c>
      <c r="F149" s="2736"/>
      <c r="G149" s="2736"/>
      <c r="H149" s="2736"/>
      <c r="I149" s="2737"/>
      <c r="J149" s="17" t="str">
        <f>IF(J148="","",IF(SUM($I148)=0,IF(J148=0,0%,100%),1-J148/$I148))</f>
        <v/>
      </c>
      <c r="K149" s="22" t="str">
        <f>IF(K148="","",IF(SUM($I148)=0,IF(K148=0,0%,100%),1-K148/$I148))</f>
        <v/>
      </c>
      <c r="L149" s="22" t="str">
        <f>IF(L148="","",IF(SUM($I148)=0,IF(L148=0,0%,100%),1-L148/$I148))</f>
        <v/>
      </c>
      <c r="M149" s="22" t="str">
        <f>IF(M148="","",IF(SUM($I148)=0,IF(M148=0,0%,100%),1-M148/$I148))</f>
        <v/>
      </c>
      <c r="N149" s="22" t="str">
        <f>IF(N148="","",IF(SUM($I148)=0,IF(N148=0,0%,100%),1-N148/$I148))</f>
        <v/>
      </c>
      <c r="O149" s="485"/>
      <c r="P149" s="481"/>
      <c r="Q149" s="1644" t="str">
        <f>EUconst_CNTR_EnEffPct&amp;I12</f>
        <v>EnEffPct_Heat benchmark sub-installation, CL</v>
      </c>
      <c r="U149" s="1693" t="s">
        <v>1655</v>
      </c>
      <c r="V149" s="1158" t="str">
        <f>IF(J148="","",J149&gt;15%)</f>
        <v/>
      </c>
      <c r="W149" s="1158" t="str">
        <f>IF(K148="","",K149&gt;15%)</f>
        <v/>
      </c>
      <c r="X149" s="1158" t="str">
        <f>IF(L148="","",L149&gt;15%)</f>
        <v/>
      </c>
      <c r="Y149" s="1158" t="str">
        <f>IF(M148="","",M149&gt;15%)</f>
        <v/>
      </c>
      <c r="Z149" s="1656" t="str">
        <f>IF(N148="","",N149&gt;15%)</f>
        <v/>
      </c>
      <c r="AO149" s="1121" t="b">
        <f t="shared" si="66"/>
        <v>0</v>
      </c>
    </row>
    <row r="150" spans="2:41" ht="5.0999999999999996" customHeight="1">
      <c r="B150" s="479"/>
      <c r="C150" s="485"/>
      <c r="D150" s="918"/>
      <c r="E150" s="909"/>
      <c r="F150" s="909"/>
      <c r="G150" s="909"/>
      <c r="H150" s="909"/>
      <c r="I150" s="909"/>
      <c r="J150" s="922"/>
      <c r="K150" s="1791"/>
      <c r="L150" s="1791"/>
      <c r="M150" s="1791"/>
      <c r="N150" s="1791"/>
      <c r="O150" s="485"/>
      <c r="P150" s="481"/>
      <c r="Q150" s="1435"/>
      <c r="U150" s="1663"/>
      <c r="V150" s="1137"/>
      <c r="W150" s="1137"/>
      <c r="X150" s="1137"/>
      <c r="Y150" s="1137"/>
      <c r="Z150" s="1957"/>
      <c r="AO150" s="1121" t="b">
        <f t="shared" si="66"/>
        <v>0</v>
      </c>
    </row>
    <row r="151" spans="2:41" ht="12.75" customHeight="1">
      <c r="B151" s="479"/>
      <c r="C151" s="485"/>
      <c r="D151" s="907" t="s">
        <v>1778</v>
      </c>
      <c r="E151" s="3410" t="s">
        <v>1945</v>
      </c>
      <c r="F151" s="3410"/>
      <c r="G151" s="3410"/>
      <c r="H151" s="3410"/>
      <c r="I151" s="3410"/>
      <c r="J151" s="3411"/>
      <c r="K151" s="1798"/>
      <c r="L151" s="1798"/>
      <c r="M151" s="1798"/>
      <c r="N151" s="1798"/>
      <c r="O151" s="485"/>
      <c r="P151" s="481"/>
      <c r="Q151" s="1435"/>
      <c r="U151" s="1663"/>
      <c r="V151" s="1435"/>
      <c r="Z151" s="1664"/>
      <c r="AO151" s="1121" t="b">
        <f t="shared" si="66"/>
        <v>0</v>
      </c>
    </row>
    <row r="152" spans="2:41" ht="12.75" customHeight="1">
      <c r="B152" s="479"/>
      <c r="C152" s="485"/>
      <c r="D152" s="918"/>
      <c r="E152" s="923" t="s">
        <v>1946</v>
      </c>
      <c r="F152" s="923"/>
      <c r="G152" s="923"/>
      <c r="H152" s="923"/>
      <c r="I152" s="923"/>
      <c r="J152" s="1647">
        <f>J$1190</f>
        <v>2026</v>
      </c>
      <c r="K152" s="1490">
        <f>K$1190</f>
        <v>2027</v>
      </c>
      <c r="L152" s="1490">
        <f>L$1190</f>
        <v>2028</v>
      </c>
      <c r="M152" s="1490">
        <f>M$1190</f>
        <v>2029</v>
      </c>
      <c r="N152" s="1490">
        <f>N$1190</f>
        <v>2030</v>
      </c>
      <c r="O152" s="485"/>
      <c r="P152" s="481"/>
      <c r="Q152" s="1435"/>
      <c r="U152" s="1663"/>
      <c r="Z152" s="1664"/>
      <c r="AO152" s="1121" t="b">
        <f t="shared" si="66"/>
        <v>0</v>
      </c>
    </row>
    <row r="153" spans="2:41" ht="12.75" customHeight="1">
      <c r="B153" s="479"/>
      <c r="C153" s="485"/>
      <c r="D153" s="918"/>
      <c r="E153" s="1047" t="s">
        <v>2108</v>
      </c>
      <c r="F153" s="2735"/>
      <c r="G153" s="2735"/>
      <c r="H153" s="2735"/>
      <c r="I153" s="2735"/>
      <c r="J153" s="1666" t="str">
        <f>IF($M12&lt;&gt;EUconst_Relevant,"",INDEX(K_Summary!J:J,MATCH($Q153,K_Summary!$P:$P,0)))</f>
        <v/>
      </c>
      <c r="K153" s="1791" t="str">
        <f>IF($M12&lt;&gt;EUconst_Relevant,"",INDEX(K_Summary!K:K,MATCH($Q153,K_Summary!$P:$P,0)))</f>
        <v/>
      </c>
      <c r="L153" s="1791" t="str">
        <f>IF($M12&lt;&gt;EUconst_Relevant,"",INDEX(K_Summary!L:L,MATCH($Q153,K_Summary!$P:$P,0)))</f>
        <v/>
      </c>
      <c r="M153" s="1791" t="str">
        <f>IF($M12&lt;&gt;EUconst_Relevant,"",INDEX(K_Summary!M:M,MATCH($Q153,K_Summary!$P:$P,0)))</f>
        <v/>
      </c>
      <c r="N153" s="1791" t="str">
        <f>IF($M12&lt;&gt;EUconst_Relevant,"",INDEX(K_Summary!N:N,MATCH($Q153,K_Summary!$P:$P,0)))</f>
        <v/>
      </c>
      <c r="O153" s="485"/>
      <c r="P153" s="481"/>
      <c r="Q153" s="1644" t="str">
        <f>EUconst_CNTR_100EUA_ActivityLevel&amp;I12</f>
        <v>EUA100AL_Heat benchmark sub-installation, CL</v>
      </c>
      <c r="U153" s="1663"/>
      <c r="Z153" s="1664"/>
      <c r="AO153" s="1121" t="b">
        <f t="shared" si="66"/>
        <v>0</v>
      </c>
    </row>
    <row r="154" spans="2:41" ht="5.0999999999999996" customHeight="1">
      <c r="B154" s="479"/>
      <c r="C154" s="485"/>
      <c r="D154" s="918"/>
      <c r="E154" s="909"/>
      <c r="F154" s="909"/>
      <c r="G154" s="909"/>
      <c r="H154" s="909"/>
      <c r="I154" s="909"/>
      <c r="J154" s="922"/>
      <c r="K154" s="1791"/>
      <c r="L154" s="1791"/>
      <c r="M154" s="1791"/>
      <c r="N154" s="1791"/>
      <c r="O154" s="485"/>
      <c r="P154" s="481"/>
      <c r="Q154" s="1435"/>
      <c r="U154" s="1663"/>
      <c r="V154" s="1435"/>
      <c r="Z154" s="1664"/>
      <c r="AO154" s="1121" t="b">
        <f t="shared" si="66"/>
        <v>0</v>
      </c>
    </row>
    <row r="155" spans="2:41" ht="12.75" customHeight="1">
      <c r="B155" s="479"/>
      <c r="C155" s="485"/>
      <c r="D155" s="907" t="s">
        <v>1779</v>
      </c>
      <c r="E155" s="3410" t="s">
        <v>1660</v>
      </c>
      <c r="F155" s="3410"/>
      <c r="G155" s="3410"/>
      <c r="H155" s="3410"/>
      <c r="I155" s="3410"/>
      <c r="J155" s="3411"/>
      <c r="K155" s="1798"/>
      <c r="L155" s="1798"/>
      <c r="M155" s="1798"/>
      <c r="N155" s="1798"/>
      <c r="O155" s="485"/>
      <c r="P155" s="481"/>
      <c r="Q155" s="1435"/>
      <c r="U155" s="1663"/>
      <c r="V155" s="1435"/>
      <c r="Z155" s="1664"/>
      <c r="AO155" s="1121" t="b">
        <f t="shared" si="66"/>
        <v>0</v>
      </c>
    </row>
    <row r="156" spans="2:41" ht="12.75" customHeight="1">
      <c r="B156" s="479"/>
      <c r="C156" s="485"/>
      <c r="D156" s="918"/>
      <c r="E156" s="923" t="s">
        <v>1653</v>
      </c>
      <c r="F156" s="923"/>
      <c r="G156" s="923"/>
      <c r="H156" s="923"/>
      <c r="I156" s="923"/>
      <c r="J156" s="1647">
        <f>J$1190</f>
        <v>2026</v>
      </c>
      <c r="K156" s="1490">
        <f>K$1190</f>
        <v>2027</v>
      </c>
      <c r="L156" s="1490">
        <f>L$1190</f>
        <v>2028</v>
      </c>
      <c r="M156" s="1490">
        <f>M$1190</f>
        <v>2029</v>
      </c>
      <c r="N156" s="1490">
        <f>N$1190</f>
        <v>2030</v>
      </c>
      <c r="O156" s="485"/>
      <c r="P156" s="481"/>
      <c r="Q156" s="1435"/>
      <c r="U156" s="1665"/>
      <c r="Z156" s="1664"/>
      <c r="AO156" s="1121" t="b">
        <f t="shared" si="66"/>
        <v>0</v>
      </c>
    </row>
    <row r="157" spans="2:41" ht="12.75" customHeight="1">
      <c r="B157" s="479"/>
      <c r="C157" s="485"/>
      <c r="D157" s="915" t="s">
        <v>6</v>
      </c>
      <c r="E157" s="2735" t="s">
        <v>2243</v>
      </c>
      <c r="F157" s="2735"/>
      <c r="G157" s="2735"/>
      <c r="H157" s="2735"/>
      <c r="I157" s="2741"/>
      <c r="J157" s="1666" t="str">
        <f>IF($M12&lt;&gt;EUconst_Relevant,"",AND(J153,OR(AND(SUM(J29)&lt;-15%,SUM(J149)&gt;15%),AND(SUM(J29)&gt;15%,SUM(J149&lt;-15%)))))</f>
        <v/>
      </c>
      <c r="K157" s="1791" t="str">
        <f>IF($M12&lt;&gt;EUconst_Relevant,"",AND(K153,OR(AND(SUM(K29)&lt;-15%,SUM(K149)&gt;15%),AND(SUM(K29)&gt;15%,SUM(K149&lt;-15%)))))</f>
        <v/>
      </c>
      <c r="L157" s="1791" t="str">
        <f>IF($M12&lt;&gt;EUconst_Relevant,"",AND(L153,OR(AND(SUM(L29)&lt;-15%,SUM(L149)&gt;15%),AND(SUM(L29)&gt;15%,SUM(L149&lt;-15%)))))</f>
        <v/>
      </c>
      <c r="M157" s="1791" t="str">
        <f>IF($M12&lt;&gt;EUconst_Relevant,"",AND(M153,OR(AND(SUM(M29)&lt;-15%,SUM(M149)&gt;15%),AND(SUM(M29)&gt;15%,SUM(M149&lt;-15%)))))</f>
        <v/>
      </c>
      <c r="N157" s="1791" t="str">
        <f>IF($M12&lt;&gt;EUconst_Relevant,"",AND(N153,OR(AND(SUM(N29)&lt;-15%,SUM(N149)&gt;15%),AND(SUM(N29)&gt;15%,SUM(N149&lt;-15%)))))</f>
        <v/>
      </c>
      <c r="O157" s="485"/>
      <c r="P157" s="481"/>
      <c r="Q157" s="1644" t="str">
        <f>EUconst_CNTR_CARejectionRelevant&amp;I12</f>
        <v>CARejectRel_Heat benchmark sub-installation, CL</v>
      </c>
      <c r="U157" s="1663"/>
      <c r="V157" s="1435"/>
      <c r="Z157" s="1664"/>
      <c r="AO157" s="1121" t="b">
        <f t="shared" si="66"/>
        <v>0</v>
      </c>
    </row>
    <row r="158" spans="2:41" ht="40.700000000000003" customHeight="1">
      <c r="B158" s="1124"/>
      <c r="C158" s="485"/>
      <c r="D158" s="1050"/>
      <c r="E158" s="3404" t="s">
        <v>2244</v>
      </c>
      <c r="F158" s="3404"/>
      <c r="G158" s="3404"/>
      <c r="H158" s="3404"/>
      <c r="I158" s="3404"/>
      <c r="J158" s="3405"/>
      <c r="K158" s="1798"/>
      <c r="L158" s="1798"/>
      <c r="M158" s="1798"/>
      <c r="N158" s="1798"/>
      <c r="O158" s="485"/>
      <c r="P158" s="481"/>
      <c r="U158" s="1663"/>
      <c r="Z158" s="1664"/>
      <c r="AO158" s="1121" t="b">
        <f t="shared" si="66"/>
        <v>0</v>
      </c>
    </row>
    <row r="159" spans="2:41" ht="27.6" customHeight="1">
      <c r="B159" s="1124"/>
      <c r="C159" s="485"/>
      <c r="D159" s="1050"/>
      <c r="E159" s="3395" t="s">
        <v>1848</v>
      </c>
      <c r="F159" s="3395"/>
      <c r="G159" s="3395"/>
      <c r="H159" s="3395"/>
      <c r="I159" s="3395"/>
      <c r="J159" s="3396"/>
      <c r="K159" s="1798"/>
      <c r="L159" s="1798"/>
      <c r="M159" s="1798"/>
      <c r="N159" s="1798"/>
      <c r="O159" s="485"/>
      <c r="P159" s="481"/>
      <c r="U159" s="1663"/>
      <c r="Z159" s="1664"/>
      <c r="AO159" s="1121" t="b">
        <f t="shared" si="66"/>
        <v>0</v>
      </c>
    </row>
    <row r="160" spans="2:41" ht="5.0999999999999996" customHeight="1">
      <c r="B160" s="479"/>
      <c r="C160" s="485"/>
      <c r="D160" s="915"/>
      <c r="E160" s="909"/>
      <c r="F160" s="909"/>
      <c r="G160" s="909"/>
      <c r="H160" s="909"/>
      <c r="I160" s="909"/>
      <c r="J160" s="922"/>
      <c r="K160" s="1791"/>
      <c r="L160" s="1791"/>
      <c r="M160" s="1791"/>
      <c r="N160" s="1791"/>
      <c r="O160" s="485"/>
      <c r="P160" s="481"/>
      <c r="Q160" s="1435"/>
      <c r="U160" s="1663"/>
      <c r="V160" s="1435"/>
      <c r="Z160" s="1664"/>
      <c r="AO160" s="1121" t="b">
        <f t="shared" si="66"/>
        <v>0</v>
      </c>
    </row>
    <row r="161" spans="2:41" ht="12.75" customHeight="1">
      <c r="B161" s="479"/>
      <c r="C161" s="485"/>
      <c r="D161" s="915" t="s">
        <v>7</v>
      </c>
      <c r="E161" s="2735" t="s">
        <v>2245</v>
      </c>
      <c r="F161" s="2736"/>
      <c r="G161" s="2736"/>
      <c r="H161" s="2736"/>
      <c r="I161" s="2737"/>
      <c r="J161" s="45" t="b">
        <v>0</v>
      </c>
      <c r="K161" s="1958" t="b">
        <v>0</v>
      </c>
      <c r="L161" s="1958" t="b">
        <v>0</v>
      </c>
      <c r="M161" s="1958" t="b">
        <v>0</v>
      </c>
      <c r="N161" s="1958" t="b">
        <v>0</v>
      </c>
      <c r="O161" s="485"/>
      <c r="P161" s="9"/>
      <c r="Q161" s="1644" t="str">
        <f>EUconst_CNTR_CARejection &amp; I12</f>
        <v>CAReject_Heat benchmark sub-installation, CL</v>
      </c>
      <c r="U161" s="1663"/>
      <c r="V161" s="1435"/>
      <c r="Z161" s="1664"/>
      <c r="AD161" s="1435" t="s">
        <v>1117</v>
      </c>
      <c r="AE161" s="1995" t="b">
        <f>AND($M12=EUconst_Relevant,J157=FALSE)</f>
        <v>0</v>
      </c>
      <c r="AF161" s="1644" t="b">
        <f>AND($M12=EUconst_Relevant,K157=FALSE)</f>
        <v>0</v>
      </c>
      <c r="AG161" s="1644" t="b">
        <f>AND($M12=EUconst_Relevant,L157=FALSE)</f>
        <v>0</v>
      </c>
      <c r="AH161" s="1644" t="b">
        <f>AND($M12=EUconst_Relevant,M157=FALSE)</f>
        <v>0</v>
      </c>
      <c r="AI161" s="1644" t="b">
        <f>AND($M12=EUconst_Relevant,N157=FALSE)</f>
        <v>0</v>
      </c>
      <c r="AO161" s="1121" t="b">
        <f t="shared" si="66"/>
        <v>0</v>
      </c>
    </row>
    <row r="162" spans="2:41" ht="29.45" customHeight="1">
      <c r="B162" s="1124"/>
      <c r="C162" s="485"/>
      <c r="D162" s="1050"/>
      <c r="E162" s="3406" t="s">
        <v>2246</v>
      </c>
      <c r="F162" s="3406"/>
      <c r="G162" s="3406"/>
      <c r="H162" s="3406"/>
      <c r="I162" s="3406"/>
      <c r="J162" s="3407"/>
      <c r="K162" s="1153"/>
      <c r="L162" s="1153"/>
      <c r="M162" s="1153"/>
      <c r="N162" s="1153"/>
      <c r="O162" s="485"/>
      <c r="P162" s="481"/>
      <c r="U162" s="1663"/>
      <c r="Z162" s="1664"/>
      <c r="AA162" s="1435"/>
      <c r="AB162" s="1435"/>
      <c r="AO162" s="1121" t="b">
        <f t="shared" si="66"/>
        <v>0</v>
      </c>
    </row>
    <row r="163" spans="2:41" ht="30" customHeight="1">
      <c r="B163" s="1124"/>
      <c r="C163" s="485"/>
      <c r="D163" s="1050"/>
      <c r="E163" s="3395" t="s">
        <v>2334</v>
      </c>
      <c r="F163" s="3395"/>
      <c r="G163" s="3395"/>
      <c r="H163" s="3395"/>
      <c r="I163" s="3395"/>
      <c r="J163" s="3396"/>
      <c r="K163" s="1798"/>
      <c r="L163" s="1798"/>
      <c r="M163" s="1798"/>
      <c r="N163" s="1798"/>
      <c r="O163" s="485"/>
      <c r="P163" s="481"/>
      <c r="U163" s="1663"/>
      <c r="Z163" s="1664"/>
      <c r="AA163" s="1435"/>
      <c r="AB163" s="1435"/>
      <c r="AO163" s="1121" t="b">
        <f t="shared" si="66"/>
        <v>0</v>
      </c>
    </row>
    <row r="164" spans="2:41" ht="36" customHeight="1">
      <c r="B164" s="1124"/>
      <c r="C164" s="485"/>
      <c r="D164" s="1050"/>
      <c r="E164" s="3395" t="s">
        <v>2248</v>
      </c>
      <c r="F164" s="3395"/>
      <c r="G164" s="3395"/>
      <c r="H164" s="3395"/>
      <c r="I164" s="3395"/>
      <c r="J164" s="3396"/>
      <c r="K164" s="1798"/>
      <c r="L164" s="1798"/>
      <c r="M164" s="1798"/>
      <c r="N164" s="1798"/>
      <c r="O164" s="485"/>
      <c r="P164" s="481"/>
      <c r="U164" s="1663"/>
      <c r="Z164" s="1664"/>
      <c r="AA164" s="1435"/>
      <c r="AB164" s="1435"/>
      <c r="AO164" s="1121" t="b">
        <f t="shared" si="66"/>
        <v>0</v>
      </c>
    </row>
    <row r="165" spans="2:41" ht="5.0999999999999996" customHeight="1">
      <c r="B165" s="479"/>
      <c r="C165" s="485"/>
      <c r="D165" s="918"/>
      <c r="E165" s="909"/>
      <c r="F165" s="909"/>
      <c r="G165" s="909"/>
      <c r="H165" s="909"/>
      <c r="I165" s="909"/>
      <c r="J165" s="922"/>
      <c r="K165" s="1791"/>
      <c r="L165" s="1791"/>
      <c r="M165" s="1791"/>
      <c r="N165" s="1791"/>
      <c r="O165" s="485"/>
      <c r="P165" s="481"/>
      <c r="Q165" s="1435"/>
      <c r="U165" s="1663"/>
      <c r="V165" s="1435"/>
      <c r="Z165" s="1664"/>
      <c r="AB165" s="1435"/>
      <c r="AO165" s="1121" t="b">
        <f t="shared" si="66"/>
        <v>0</v>
      </c>
    </row>
    <row r="166" spans="2:41" ht="18.600000000000001" customHeight="1">
      <c r="B166" s="479"/>
      <c r="C166" s="485"/>
      <c r="D166" s="907" t="s">
        <v>1883</v>
      </c>
      <c r="E166" s="3410" t="s">
        <v>1660</v>
      </c>
      <c r="F166" s="3410"/>
      <c r="G166" s="3410"/>
      <c r="H166" s="3410"/>
      <c r="I166" s="3410"/>
      <c r="J166" s="3411"/>
      <c r="K166" s="1798"/>
      <c r="L166" s="1798"/>
      <c r="M166" s="1798"/>
      <c r="N166" s="1798"/>
      <c r="O166" s="485"/>
      <c r="P166" s="481"/>
      <c r="Q166" s="1435"/>
      <c r="U166" s="1663"/>
      <c r="V166" s="1435"/>
      <c r="Z166" s="1664"/>
      <c r="AB166" s="1435"/>
      <c r="AO166" s="1121" t="b">
        <f t="shared" si="66"/>
        <v>0</v>
      </c>
    </row>
    <row r="167" spans="2:41" ht="13.9" customHeight="1" thickBot="1">
      <c r="B167" s="1124"/>
      <c r="C167" s="485"/>
      <c r="D167" s="1050"/>
      <c r="E167" s="3395" t="s">
        <v>2740</v>
      </c>
      <c r="F167" s="3395"/>
      <c r="G167" s="3395"/>
      <c r="H167" s="3395"/>
      <c r="I167" s="3395"/>
      <c r="J167" s="3396"/>
      <c r="K167" s="1798"/>
      <c r="L167" s="1798"/>
      <c r="M167" s="1798"/>
      <c r="N167" s="1798"/>
      <c r="O167" s="481"/>
      <c r="P167" s="481"/>
      <c r="U167" s="1663"/>
      <c r="Z167" s="1664"/>
      <c r="AA167" s="1435"/>
      <c r="AB167" s="1435"/>
      <c r="AO167" s="1121" t="b">
        <f t="shared" si="66"/>
        <v>0</v>
      </c>
    </row>
    <row r="168" spans="2:41" ht="12.75" customHeight="1" thickBot="1">
      <c r="B168" s="479"/>
      <c r="C168" s="485"/>
      <c r="D168" s="915"/>
      <c r="E168" s="2735" t="s">
        <v>1657</v>
      </c>
      <c r="F168" s="2735"/>
      <c r="G168" s="2735"/>
      <c r="H168" s="2735"/>
      <c r="I168" s="1051"/>
      <c r="J168" s="1668" t="str">
        <f>IF(J153="","",IF(J156&gt;$Z12,-100%,IF(OR(AND(J153,J157=FALSE),AND(J157,J161=FALSE),V148&lt;1),J30,IF(J161=TRUE,0%,I168))))</f>
        <v/>
      </c>
      <c r="K168" s="1796" t="str">
        <f>IF(K153="","",IF(K156&gt;$Z12,-100%,IF(OR(AND(K153,K157=FALSE),AND(K157,K161=FALSE),W148&lt;1),K30,IF(K161=TRUE,0%,J168))))</f>
        <v/>
      </c>
      <c r="L168" s="1796" t="str">
        <f>IF(L153="","",IF(L156&gt;$Z12,-100%,IF(OR(AND(L153,L157=FALSE),AND(L157,L161=FALSE),X148&lt;1),L30,IF(L161=TRUE,0%,K168))))</f>
        <v/>
      </c>
      <c r="M168" s="1796" t="str">
        <f>IF(M153="","",IF(M156&gt;$Z12,-100%,IF(OR(AND(M153,M157=FALSE),AND(M157,M161=FALSE),Y148&lt;1),M30,IF(M161=TRUE,0%,L168))))</f>
        <v/>
      </c>
      <c r="N168" s="1796" t="str">
        <f>IF(N153="","",IF(N156&gt;$Z12,-100%,IF(OR(AND(N153,N157=FALSE),AND(N157,N161=FALSE),Z148&lt;1),N30,IF(N161=TRUE,0%,M168))))</f>
        <v/>
      </c>
      <c r="O168" s="485"/>
      <c r="P168" s="481"/>
      <c r="Q168" s="1644" t="str">
        <f>EUconst_CNTR_HALAdjPct &amp; I12</f>
        <v>HALAdjPct_Heat benchmark sub-installation, CL</v>
      </c>
      <c r="U168" s="1663" t="s">
        <v>1658</v>
      </c>
      <c r="V168" s="1670">
        <f>J152</f>
        <v>2026</v>
      </c>
      <c r="W168" s="1670">
        <f>K152</f>
        <v>2027</v>
      </c>
      <c r="X168" s="1670">
        <f>L152</f>
        <v>2028</v>
      </c>
      <c r="Y168" s="1670">
        <f>M152</f>
        <v>2029</v>
      </c>
      <c r="Z168" s="1671">
        <f>N152</f>
        <v>2030</v>
      </c>
      <c r="AB168" s="1435"/>
      <c r="AO168" s="1121" t="b">
        <f t="shared" si="66"/>
        <v>0</v>
      </c>
    </row>
    <row r="169" spans="2:41" ht="12.75" customHeight="1" thickBot="1">
      <c r="B169" s="479"/>
      <c r="C169" s="485"/>
      <c r="D169" s="918"/>
      <c r="E169" s="2735" t="s">
        <v>1649</v>
      </c>
      <c r="F169" s="2736"/>
      <c r="G169" s="2736"/>
      <c r="H169" s="639" t="str">
        <f>H28</f>
        <v>TJ</v>
      </c>
      <c r="I169" s="800" t="str">
        <f>I31</f>
        <v/>
      </c>
      <c r="J169" s="1959" t="str">
        <f>IF($M12&lt;&gt;EUconst_Relevant,"",IF(OR(J168="",$I169=0,$I169=EUconst_NA),IF(OR(J153=TRUE,J156&lt;=$V12),J31,SUM(I169)),$I169*(1+SUM(J168))))</f>
        <v/>
      </c>
      <c r="K169" s="1960" t="str">
        <f>IF($M12&lt;&gt;EUconst_Relevant,"",IF(OR(K168="",$I169=0,$I169=EUconst_NA),IF(OR(K153=TRUE,K156&lt;=$V12),K31,SUM(J169)),$I169*(1+SUM(K168))))</f>
        <v/>
      </c>
      <c r="L169" s="1960" t="str">
        <f>IF($M12&lt;&gt;EUconst_Relevant,"",IF(OR(L168="",$I169=0,$I169=EUconst_NA),IF(OR(L153=TRUE,L156&lt;=$V12),L31,SUM(K169)),$I169*(1+SUM(L168))))</f>
        <v/>
      </c>
      <c r="M169" s="1960" t="str">
        <f>IF($M12&lt;&gt;EUconst_Relevant,"",IF(OR(M168="",$I169=0,$I169=EUconst_NA),IF(OR(M153=TRUE,M156&lt;=$V12),M31,SUM(L169)),$I169*(1+SUM(M168))))</f>
        <v/>
      </c>
      <c r="N169" s="1960" t="str">
        <f>IF($M12&lt;&gt;EUconst_Relevant,"",IF(OR(N168="",$I169=0,$I169=EUconst_NA),IF(OR(N153=TRUE,N156&lt;=$V12),N31,SUM(M169)),$I169*(1+SUM(N168))))</f>
        <v/>
      </c>
      <c r="O169" s="485"/>
      <c r="P169" s="481"/>
      <c r="Q169" s="1644" t="str">
        <f>EUconst_CNTR_HALfinal&amp;I12</f>
        <v>HALfinal_Heat benchmark sub-installation, CL</v>
      </c>
      <c r="U169" s="1961" t="b">
        <v>0</v>
      </c>
      <c r="V169" s="1675" t="b">
        <f>IF(J153=TRUE,V29,U169)</f>
        <v>0</v>
      </c>
      <c r="W169" s="1675" t="b">
        <f>IF(K153=TRUE,W29,V169)</f>
        <v>0</v>
      </c>
      <c r="X169" s="1675" t="b">
        <f>IF(L153=TRUE,X29,W169)</f>
        <v>0</v>
      </c>
      <c r="Y169" s="1675" t="b">
        <f>IF(M153=TRUE,Y29,X169)</f>
        <v>0</v>
      </c>
      <c r="Z169" s="1676" t="b">
        <f>IF(N153=TRUE,Z29,Y169)</f>
        <v>0</v>
      </c>
      <c r="AK169" s="1633" t="s">
        <v>1951</v>
      </c>
      <c r="AL169" s="1443" t="str">
        <f>IF(OR(ISERROR(J169),ISERROR(K169),ISERROR(L169),ISERROR(M169),ISERROR(N169)),EUconst_Error&amp;"FB"&amp; Q12,"")</f>
        <v/>
      </c>
      <c r="AO169" s="1121" t="b">
        <f t="shared" si="66"/>
        <v>0</v>
      </c>
    </row>
    <row r="170" spans="2:41" ht="5.0999999999999996" customHeight="1" thickBot="1">
      <c r="B170" s="1124"/>
      <c r="C170" s="485"/>
      <c r="D170" s="924"/>
      <c r="E170" s="925"/>
      <c r="F170" s="925"/>
      <c r="G170" s="925"/>
      <c r="H170" s="925"/>
      <c r="I170" s="925"/>
      <c r="J170" s="926"/>
      <c r="K170" s="1791"/>
      <c r="L170" s="1791"/>
      <c r="M170" s="1791"/>
      <c r="N170" s="1791"/>
      <c r="O170" s="481"/>
      <c r="P170" s="481"/>
      <c r="AB170" s="1435"/>
      <c r="AO170" s="1121" t="b">
        <f t="shared" si="66"/>
        <v>0</v>
      </c>
    </row>
    <row r="171" spans="2:41" ht="12.75" customHeight="1" thickBot="1">
      <c r="B171" s="1124"/>
      <c r="C171" s="485"/>
      <c r="D171" s="485"/>
      <c r="E171" s="485"/>
      <c r="F171" s="485"/>
      <c r="G171" s="485"/>
      <c r="H171" s="485"/>
      <c r="I171" s="485"/>
      <c r="J171" s="485"/>
      <c r="K171" s="485"/>
      <c r="L171" s="485"/>
      <c r="M171" s="485"/>
      <c r="N171" s="485"/>
      <c r="O171" s="481"/>
      <c r="P171" s="481"/>
      <c r="AB171" s="1435"/>
      <c r="AO171" s="1121" t="b">
        <f t="shared" si="66"/>
        <v>0</v>
      </c>
    </row>
    <row r="172" spans="2:41" ht="5.0999999999999996" customHeight="1">
      <c r="B172" s="467"/>
      <c r="C172" s="1052"/>
      <c r="D172" s="1053"/>
      <c r="E172" s="1053"/>
      <c r="F172" s="1053"/>
      <c r="G172" s="1053"/>
      <c r="H172" s="1053"/>
      <c r="I172" s="1053"/>
      <c r="J172" s="1053"/>
      <c r="K172" s="1053"/>
      <c r="L172" s="1053"/>
      <c r="M172" s="1054"/>
      <c r="N172" s="1055"/>
      <c r="O172" s="481"/>
      <c r="P172" s="481"/>
      <c r="Q172" s="1249"/>
      <c r="S172" s="1249"/>
      <c r="T172" s="1249"/>
      <c r="AB172" s="1435"/>
      <c r="AO172" s="1121" t="b">
        <f t="shared" si="66"/>
        <v>0</v>
      </c>
    </row>
    <row r="173" spans="2:41" ht="15" customHeight="1">
      <c r="B173" s="1124"/>
      <c r="C173" s="1056"/>
      <c r="D173" s="2678" t="s">
        <v>2330</v>
      </c>
      <c r="E173" s="2672"/>
      <c r="F173" s="2672"/>
      <c r="G173" s="2672"/>
      <c r="H173" s="2672"/>
      <c r="I173" s="2672"/>
      <c r="J173" s="2672"/>
      <c r="K173" s="2672"/>
      <c r="L173" s="2672"/>
      <c r="M173" s="2672"/>
      <c r="N173" s="2673"/>
      <c r="O173" s="481"/>
      <c r="P173" s="481"/>
      <c r="S173" s="1249"/>
      <c r="T173" s="1249"/>
      <c r="AB173" s="1435"/>
      <c r="AO173" s="1121" t="b">
        <f t="shared" si="66"/>
        <v>0</v>
      </c>
    </row>
    <row r="174" spans="2:41" ht="5.0999999999999996" customHeight="1">
      <c r="B174" s="1124"/>
      <c r="C174" s="980"/>
      <c r="D174" s="813"/>
      <c r="E174" s="813"/>
      <c r="F174" s="813"/>
      <c r="G174" s="813"/>
      <c r="H174" s="813"/>
      <c r="I174" s="813"/>
      <c r="J174" s="813"/>
      <c r="K174" s="813"/>
      <c r="L174" s="813"/>
      <c r="M174" s="813"/>
      <c r="N174" s="814"/>
      <c r="O174" s="481"/>
      <c r="P174" s="481"/>
      <c r="S174" s="1249"/>
      <c r="T174" s="1249"/>
      <c r="AB174" s="1435"/>
      <c r="AO174" s="1121" t="b">
        <f t="shared" si="66"/>
        <v>0</v>
      </c>
    </row>
    <row r="175" spans="2:41" ht="15" customHeight="1">
      <c r="B175" s="1124"/>
      <c r="C175" s="980"/>
      <c r="D175" s="2679" t="str">
        <f>EUconst_FBSubinst &amp; ":"</f>
        <v>Fall-Back sub-installation:</v>
      </c>
      <c r="E175" s="2646"/>
      <c r="F175" s="2646"/>
      <c r="G175" s="2646"/>
      <c r="H175" s="2680"/>
      <c r="I175" s="3293" t="str">
        <f>I12</f>
        <v>Heat benchmark sub-installation, CL</v>
      </c>
      <c r="J175" s="3294"/>
      <c r="K175" s="3294"/>
      <c r="L175" s="3294"/>
      <c r="M175" s="3294"/>
      <c r="N175" s="3295"/>
      <c r="O175" s="481"/>
      <c r="P175" s="481"/>
      <c r="S175" s="1249"/>
      <c r="T175" s="1249"/>
      <c r="AB175" s="1435"/>
      <c r="AO175" s="1121" t="b">
        <f t="shared" si="66"/>
        <v>0</v>
      </c>
    </row>
    <row r="176" spans="2:41" ht="5.0999999999999996" customHeight="1">
      <c r="B176" s="1124"/>
      <c r="C176" s="980"/>
      <c r="D176" s="813"/>
      <c r="E176" s="813"/>
      <c r="F176" s="813"/>
      <c r="G176" s="813"/>
      <c r="H176" s="813"/>
      <c r="I176" s="813"/>
      <c r="J176" s="813"/>
      <c r="K176" s="813"/>
      <c r="L176" s="813"/>
      <c r="M176" s="813"/>
      <c r="N176" s="814"/>
      <c r="O176" s="481"/>
      <c r="P176" s="481"/>
      <c r="S176" s="1249"/>
      <c r="T176" s="1249"/>
      <c r="AB176" s="1435"/>
      <c r="AO176" s="1121" t="b">
        <f t="shared" si="66"/>
        <v>0</v>
      </c>
    </row>
    <row r="177" spans="2:41" ht="30" customHeight="1">
      <c r="B177" s="467"/>
      <c r="C177" s="1056"/>
      <c r="D177" s="1057"/>
      <c r="E177" s="2745" t="s">
        <v>2154</v>
      </c>
      <c r="F177" s="2745"/>
      <c r="G177" s="2745"/>
      <c r="H177" s="2745"/>
      <c r="I177" s="2745"/>
      <c r="J177" s="2745"/>
      <c r="K177" s="2745"/>
      <c r="L177" s="2745"/>
      <c r="M177" s="2745"/>
      <c r="N177" s="1058"/>
      <c r="O177" s="481"/>
      <c r="P177" s="481"/>
      <c r="Q177" s="1249"/>
      <c r="AB177" s="1435"/>
      <c r="AO177" s="1121" t="b">
        <f t="shared" si="66"/>
        <v>0</v>
      </c>
    </row>
    <row r="178" spans="2:41" ht="30" customHeight="1">
      <c r="B178" s="479"/>
      <c r="C178" s="977"/>
      <c r="D178" s="981"/>
      <c r="E178" s="2691" t="s">
        <v>2155</v>
      </c>
      <c r="F178" s="2691"/>
      <c r="G178" s="2691"/>
      <c r="H178" s="2691"/>
      <c r="I178" s="2691"/>
      <c r="J178" s="2691"/>
      <c r="K178" s="2691"/>
      <c r="L178" s="2691"/>
      <c r="M178" s="2691"/>
      <c r="N178" s="1015"/>
      <c r="O178" s="481"/>
      <c r="P178" s="481"/>
      <c r="Q178" s="1435"/>
      <c r="AB178" s="1435"/>
      <c r="AO178" s="1121" t="b">
        <f t="shared" si="66"/>
        <v>0</v>
      </c>
    </row>
    <row r="179" spans="2:41" ht="12.75" customHeight="1">
      <c r="B179" s="479"/>
      <c r="C179" s="977"/>
      <c r="D179" s="981"/>
      <c r="E179" s="2691" t="s">
        <v>1549</v>
      </c>
      <c r="F179" s="2391"/>
      <c r="G179" s="2391"/>
      <c r="H179" s="2391"/>
      <c r="I179" s="2391"/>
      <c r="J179" s="2391"/>
      <c r="K179" s="2391"/>
      <c r="L179" s="2391"/>
      <c r="M179" s="2391"/>
      <c r="N179" s="1015"/>
      <c r="O179" s="481"/>
      <c r="P179" s="481"/>
      <c r="Q179" s="1435"/>
      <c r="AB179" s="1435"/>
      <c r="AO179" s="1121" t="b">
        <f t="shared" si="66"/>
        <v>0</v>
      </c>
    </row>
    <row r="180" spans="2:41" ht="15" customHeight="1">
      <c r="B180" s="479"/>
      <c r="C180" s="977"/>
      <c r="D180" s="981"/>
      <c r="E180" s="3269" t="s">
        <v>2257</v>
      </c>
      <c r="F180" s="3269"/>
      <c r="G180" s="3269"/>
      <c r="H180" s="3269"/>
      <c r="I180" s="3269"/>
      <c r="J180" s="3269"/>
      <c r="K180" s="3269"/>
      <c r="L180" s="3269"/>
      <c r="M180" s="3269"/>
      <c r="N180" s="1015"/>
      <c r="O180" s="481"/>
      <c r="P180" s="481"/>
      <c r="Q180" s="1435"/>
      <c r="AB180" s="1435"/>
      <c r="AO180" s="1121" t="b">
        <f t="shared" si="66"/>
        <v>0</v>
      </c>
    </row>
    <row r="181" spans="2:41" ht="15" customHeight="1">
      <c r="B181" s="467"/>
      <c r="C181" s="1056"/>
      <c r="D181" s="1057"/>
      <c r="E181" s="3291" t="s">
        <v>1475</v>
      </c>
      <c r="F181" s="3291"/>
      <c r="G181" s="3291"/>
      <c r="H181" s="3291"/>
      <c r="I181" s="3291"/>
      <c r="J181" s="3291"/>
      <c r="K181" s="3291"/>
      <c r="L181" s="3291"/>
      <c r="M181" s="3291"/>
      <c r="N181" s="1058"/>
      <c r="O181" s="481"/>
      <c r="P181" s="481"/>
      <c r="Q181" s="1249"/>
      <c r="AB181" s="1435"/>
      <c r="AO181" s="1121" t="b">
        <f t="shared" si="66"/>
        <v>0</v>
      </c>
    </row>
    <row r="182" spans="2:41" ht="5.0999999999999996" customHeight="1">
      <c r="B182" s="1124"/>
      <c r="C182" s="980"/>
      <c r="D182" s="813"/>
      <c r="E182" s="813"/>
      <c r="F182" s="813"/>
      <c r="G182" s="813"/>
      <c r="H182" s="813"/>
      <c r="I182" s="813"/>
      <c r="J182" s="813"/>
      <c r="K182" s="813"/>
      <c r="L182" s="813"/>
      <c r="M182" s="813"/>
      <c r="N182" s="814"/>
      <c r="O182" s="481"/>
      <c r="P182" s="481"/>
      <c r="S182" s="1249"/>
      <c r="T182" s="1249"/>
      <c r="AB182" s="1435"/>
      <c r="AO182" s="1121" t="b">
        <f t="shared" si="66"/>
        <v>0</v>
      </c>
    </row>
    <row r="183" spans="2:41" ht="12.75" customHeight="1">
      <c r="B183" s="467"/>
      <c r="C183" s="1056"/>
      <c r="D183" s="982" t="s">
        <v>48</v>
      </c>
      <c r="E183" s="2671" t="s">
        <v>1611</v>
      </c>
      <c r="F183" s="2672"/>
      <c r="G183" s="2672"/>
      <c r="H183" s="2672"/>
      <c r="I183" s="2672"/>
      <c r="J183" s="2672"/>
      <c r="K183" s="2672"/>
      <c r="L183" s="2672"/>
      <c r="M183" s="2672"/>
      <c r="N183" s="2673"/>
      <c r="O183" s="481"/>
      <c r="P183" s="481"/>
      <c r="Q183" s="1249"/>
      <c r="S183" s="1249"/>
      <c r="T183" s="1249"/>
      <c r="AB183" s="1435"/>
      <c r="AO183" s="1121" t="b">
        <f t="shared" si="66"/>
        <v>0</v>
      </c>
    </row>
    <row r="184" spans="2:41" ht="12.75" customHeight="1">
      <c r="B184" s="467"/>
      <c r="C184" s="1056"/>
      <c r="D184" s="982"/>
      <c r="E184" s="3366" t="s">
        <v>2295</v>
      </c>
      <c r="F184" s="3366"/>
      <c r="G184" s="3366"/>
      <c r="H184" s="3366"/>
      <c r="I184" s="3366"/>
      <c r="J184" s="3366"/>
      <c r="K184" s="3366"/>
      <c r="L184" s="3366"/>
      <c r="M184" s="3366"/>
      <c r="N184" s="3367"/>
      <c r="O184" s="481"/>
      <c r="P184" s="481"/>
      <c r="Q184" s="1249"/>
      <c r="S184" s="1249"/>
      <c r="T184" s="1249"/>
      <c r="AB184" s="1435"/>
      <c r="AO184" s="1121" t="b">
        <f t="shared" si="66"/>
        <v>0</v>
      </c>
    </row>
    <row r="185" spans="2:41" ht="12.75" customHeight="1">
      <c r="B185" s="467"/>
      <c r="C185" s="1056"/>
      <c r="D185" s="1057"/>
      <c r="E185" s="3288" t="s">
        <v>1261</v>
      </c>
      <c r="F185" s="3288"/>
      <c r="G185" s="3288"/>
      <c r="H185" s="3288"/>
      <c r="I185" s="3288"/>
      <c r="J185" s="3288"/>
      <c r="K185" s="3288"/>
      <c r="L185" s="3288"/>
      <c r="M185" s="3288"/>
      <c r="N185" s="3289"/>
      <c r="O185" s="481"/>
      <c r="P185" s="481"/>
      <c r="Q185" s="1249"/>
      <c r="S185" s="1249"/>
      <c r="AB185" s="1435"/>
      <c r="AO185" s="1121" t="b">
        <f t="shared" si="66"/>
        <v>0</v>
      </c>
    </row>
    <row r="186" spans="2:41" ht="25.5" customHeight="1">
      <c r="B186" s="467"/>
      <c r="C186" s="1056"/>
      <c r="D186" s="1057"/>
      <c r="E186" s="985" t="s">
        <v>1021</v>
      </c>
      <c r="F186" s="3290" t="s">
        <v>1262</v>
      </c>
      <c r="G186" s="3290"/>
      <c r="H186" s="3290"/>
      <c r="I186" s="3290"/>
      <c r="J186" s="3290"/>
      <c r="K186" s="3290"/>
      <c r="L186" s="3290"/>
      <c r="M186" s="3290"/>
      <c r="N186" s="3378"/>
      <c r="O186" s="481"/>
      <c r="P186" s="481"/>
      <c r="Q186" s="1249"/>
      <c r="S186" s="1249"/>
      <c r="AB186" s="1435"/>
      <c r="AO186" s="1121" t="b">
        <f t="shared" si="66"/>
        <v>0</v>
      </c>
    </row>
    <row r="187" spans="2:41" ht="38.25" customHeight="1">
      <c r="B187" s="479"/>
      <c r="C187" s="977"/>
      <c r="D187" s="981"/>
      <c r="E187" s="985"/>
      <c r="F187" s="3267" t="s">
        <v>1566</v>
      </c>
      <c r="G187" s="2380"/>
      <c r="H187" s="2380"/>
      <c r="I187" s="2380"/>
      <c r="J187" s="2380"/>
      <c r="K187" s="2380"/>
      <c r="L187" s="2380"/>
      <c r="M187" s="2380"/>
      <c r="N187" s="3268"/>
      <c r="O187" s="481"/>
      <c r="P187" s="481"/>
      <c r="Q187" s="1435"/>
      <c r="S187" s="1435"/>
      <c r="AB187" s="1435"/>
      <c r="AO187" s="1121" t="b">
        <f t="shared" si="66"/>
        <v>0</v>
      </c>
    </row>
    <row r="188" spans="2:41" ht="12.75" customHeight="1">
      <c r="B188" s="467"/>
      <c r="C188" s="1056"/>
      <c r="D188" s="1057"/>
      <c r="E188" s="985" t="s">
        <v>1021</v>
      </c>
      <c r="F188" s="3290" t="s">
        <v>1486</v>
      </c>
      <c r="G188" s="3290"/>
      <c r="H188" s="3290"/>
      <c r="I188" s="3290"/>
      <c r="J188" s="3290"/>
      <c r="K188" s="3290"/>
      <c r="L188" s="3290"/>
      <c r="M188" s="3290"/>
      <c r="N188" s="3378"/>
      <c r="O188" s="481"/>
      <c r="P188" s="481"/>
      <c r="Q188" s="1249"/>
      <c r="S188" s="1249"/>
      <c r="AB188" s="1435"/>
      <c r="AO188" s="1121" t="b">
        <f t="shared" si="66"/>
        <v>0</v>
      </c>
    </row>
    <row r="189" spans="2:41" ht="26.1" customHeight="1">
      <c r="B189" s="467"/>
      <c r="C189" s="1056"/>
      <c r="D189" s="1057"/>
      <c r="E189" s="985"/>
      <c r="F189" s="3290" t="s">
        <v>1568</v>
      </c>
      <c r="G189" s="3290"/>
      <c r="H189" s="3290"/>
      <c r="I189" s="3290"/>
      <c r="J189" s="3290"/>
      <c r="K189" s="3290"/>
      <c r="L189" s="3290"/>
      <c r="M189" s="3290"/>
      <c r="N189" s="3378"/>
      <c r="O189" s="481"/>
      <c r="P189" s="481"/>
      <c r="Q189" s="1249"/>
      <c r="S189" s="1249"/>
      <c r="AB189" s="1435"/>
      <c r="AO189" s="1121" t="b">
        <f t="shared" si="66"/>
        <v>0</v>
      </c>
    </row>
    <row r="190" spans="2:41" ht="25.5" customHeight="1" thickBot="1">
      <c r="B190" s="467"/>
      <c r="C190" s="1056"/>
      <c r="D190" s="1057"/>
      <c r="E190" s="985" t="s">
        <v>1021</v>
      </c>
      <c r="F190" s="3290" t="s">
        <v>1570</v>
      </c>
      <c r="G190" s="2646"/>
      <c r="H190" s="2646"/>
      <c r="I190" s="2646"/>
      <c r="J190" s="2646"/>
      <c r="K190" s="2646"/>
      <c r="L190" s="2646"/>
      <c r="M190" s="2646"/>
      <c r="N190" s="2647"/>
      <c r="O190" s="481"/>
      <c r="P190" s="481"/>
      <c r="Q190" s="1249"/>
      <c r="S190" s="1249"/>
      <c r="AB190" s="1435"/>
      <c r="AO190" s="1121" t="b">
        <f t="shared" si="66"/>
        <v>0</v>
      </c>
    </row>
    <row r="191" spans="2:41" ht="12.75" customHeight="1" thickBot="1">
      <c r="B191" s="467"/>
      <c r="C191" s="1056"/>
      <c r="D191" s="982"/>
      <c r="E191" s="989" t="s">
        <v>915</v>
      </c>
      <c r="F191" s="990"/>
      <c r="G191" s="987" t="str">
        <f>EUconst_Unit</f>
        <v>Unit</v>
      </c>
      <c r="H191" s="782">
        <f t="shared" ref="H191:N191" si="68">H$1190</f>
        <v>2024</v>
      </c>
      <c r="I191" s="988">
        <f t="shared" si="68"/>
        <v>2025</v>
      </c>
      <c r="J191" s="1810">
        <f t="shared" si="68"/>
        <v>2026</v>
      </c>
      <c r="K191" s="1747">
        <f t="shared" si="68"/>
        <v>2027</v>
      </c>
      <c r="L191" s="1747">
        <f t="shared" si="68"/>
        <v>2028</v>
      </c>
      <c r="M191" s="1747">
        <f t="shared" si="68"/>
        <v>2029</v>
      </c>
      <c r="N191" s="1748">
        <f t="shared" si="68"/>
        <v>2030</v>
      </c>
      <c r="O191" s="481"/>
      <c r="P191" s="481"/>
      <c r="Q191" s="1249"/>
      <c r="S191" s="1962"/>
      <c r="T191" s="1749">
        <f t="shared" ref="T191:Z191" si="69">H191</f>
        <v>2024</v>
      </c>
      <c r="U191" s="1749">
        <f t="shared" si="69"/>
        <v>2025</v>
      </c>
      <c r="V191" s="1749">
        <f t="shared" si="69"/>
        <v>2026</v>
      </c>
      <c r="W191" s="1749">
        <f t="shared" si="69"/>
        <v>2027</v>
      </c>
      <c r="X191" s="1749">
        <f t="shared" si="69"/>
        <v>2028</v>
      </c>
      <c r="Y191" s="1749">
        <f t="shared" si="69"/>
        <v>2029</v>
      </c>
      <c r="Z191" s="1750">
        <f t="shared" si="69"/>
        <v>2030</v>
      </c>
      <c r="AC191" s="1638">
        <f>H$1190</f>
        <v>2024</v>
      </c>
      <c r="AD191" s="1638">
        <f t="shared" ref="AD191:AI191" si="70">I$1190</f>
        <v>2025</v>
      </c>
      <c r="AE191" s="1638">
        <f t="shared" si="70"/>
        <v>2026</v>
      </c>
      <c r="AF191" s="1638">
        <f t="shared" si="70"/>
        <v>2027</v>
      </c>
      <c r="AG191" s="1638">
        <f t="shared" si="70"/>
        <v>2028</v>
      </c>
      <c r="AH191" s="1638">
        <f t="shared" si="70"/>
        <v>2029</v>
      </c>
      <c r="AI191" s="1638">
        <f t="shared" si="70"/>
        <v>2030</v>
      </c>
      <c r="AO191" s="1121" t="b">
        <f t="shared" si="66"/>
        <v>0</v>
      </c>
    </row>
    <row r="192" spans="2:41" ht="12.75" customHeight="1" thickBot="1">
      <c r="B192" s="467"/>
      <c r="C192" s="1056"/>
      <c r="D192" s="1057"/>
      <c r="E192" s="3285" t="str">
        <f>I12</f>
        <v>Heat benchmark sub-installation, CL</v>
      </c>
      <c r="F192" s="3285"/>
      <c r="G192" s="815" t="str">
        <f>EUconst_tCO2epa</f>
        <v>t CO2e/year</v>
      </c>
      <c r="H192" s="1775" t="str">
        <f>c_ALR2025!M5883</f>
        <v/>
      </c>
      <c r="I192" s="1996"/>
      <c r="J192" s="1812"/>
      <c r="K192" s="1754"/>
      <c r="L192" s="1754"/>
      <c r="M192" s="1754"/>
      <c r="N192" s="1755"/>
      <c r="O192" s="481"/>
      <c r="P192" s="9"/>
      <c r="Q192" s="1963" t="str">
        <f>EUconst_CNTR_Emissions &amp; I12</f>
        <v>DirEmissions_Heat benchmark sub-installation, CL</v>
      </c>
      <c r="S192" s="1964" t="str">
        <f>EUconst_CNTR_AttributedEmissions &amp; I12</f>
        <v>AttrEmissions_Heat benchmark sub-installation, CL</v>
      </c>
      <c r="T192" s="1743" t="str">
        <f t="shared" ref="T192:Z192" si="71">IF(T20,SUM(H192),"")</f>
        <v/>
      </c>
      <c r="U192" s="1743" t="str">
        <f t="shared" si="71"/>
        <v/>
      </c>
      <c r="V192" s="1743" t="str">
        <f t="shared" si="71"/>
        <v/>
      </c>
      <c r="W192" s="1743" t="str">
        <f t="shared" si="71"/>
        <v/>
      </c>
      <c r="X192" s="1743" t="str">
        <f t="shared" si="71"/>
        <v/>
      </c>
      <c r="Y192" s="1743" t="str">
        <f t="shared" si="71"/>
        <v/>
      </c>
      <c r="Z192" s="1744" t="str">
        <f t="shared" si="71"/>
        <v/>
      </c>
      <c r="AB192" s="1641" t="s">
        <v>717</v>
      </c>
      <c r="AC192" s="1853" t="b">
        <f t="shared" ref="AC192:AI192" si="72">IF(CNTR_ExistSubInstEntries,OR($M12&lt;&gt;EUconst_Relevant,AC191&gt;=CNTR_ReportingYear,AC191&lt;$V12-1),FALSE)</f>
        <v>0</v>
      </c>
      <c r="AD192" s="1642" t="b">
        <f t="shared" si="72"/>
        <v>0</v>
      </c>
      <c r="AE192" s="1642" t="b">
        <f t="shared" si="72"/>
        <v>0</v>
      </c>
      <c r="AF192" s="1642" t="b">
        <f t="shared" si="72"/>
        <v>0</v>
      </c>
      <c r="AG192" s="1642" t="b">
        <f t="shared" si="72"/>
        <v>0</v>
      </c>
      <c r="AH192" s="1642" t="b">
        <f t="shared" si="72"/>
        <v>0</v>
      </c>
      <c r="AI192" s="1643" t="b">
        <f t="shared" si="72"/>
        <v>0</v>
      </c>
      <c r="AK192" s="1633" t="s">
        <v>1954</v>
      </c>
      <c r="AL192" s="1635" t="str">
        <f>IF(AND(CNTR_ExistSubInstEntries,COUNTIFS(AC192:AI192,2,H192:N192,"")&gt;0),EUconst_Error&amp;"FB"&amp;Q12,"")</f>
        <v/>
      </c>
      <c r="AO192" s="1121" t="b">
        <f t="shared" si="66"/>
        <v>0</v>
      </c>
    </row>
    <row r="193" spans="2:41" ht="5.0999999999999996" customHeight="1">
      <c r="B193" s="467"/>
      <c r="C193" s="1056"/>
      <c r="D193" s="1057"/>
      <c r="E193" s="1057"/>
      <c r="F193" s="1057"/>
      <c r="G193" s="1057"/>
      <c r="H193" s="1057"/>
      <c r="I193" s="1057"/>
      <c r="J193" s="1057"/>
      <c r="K193" s="1057"/>
      <c r="L193" s="1057"/>
      <c r="M193" s="1059"/>
      <c r="N193" s="1060"/>
      <c r="O193" s="481"/>
      <c r="P193" s="481"/>
      <c r="Q193" s="1249"/>
      <c r="S193" s="1249"/>
      <c r="AB193" s="1435"/>
      <c r="AO193" s="1121" t="b">
        <f t="shared" si="66"/>
        <v>0</v>
      </c>
    </row>
    <row r="194" spans="2:41" ht="12.75" customHeight="1">
      <c r="B194" s="467"/>
      <c r="C194" s="1056"/>
      <c r="D194" s="982" t="s">
        <v>881</v>
      </c>
      <c r="E194" s="2649" t="s">
        <v>1189</v>
      </c>
      <c r="F194" s="2649"/>
      <c r="G194" s="2649"/>
      <c r="H194" s="2649"/>
      <c r="I194" s="2649"/>
      <c r="J194" s="2649"/>
      <c r="K194" s="2649"/>
      <c r="L194" s="2649"/>
      <c r="M194" s="2649"/>
      <c r="N194" s="2749"/>
      <c r="O194" s="481"/>
      <c r="P194" s="481"/>
      <c r="S194" s="1249"/>
      <c r="AB194" s="1435"/>
      <c r="AO194" s="1121" t="b">
        <f t="shared" si="66"/>
        <v>0</v>
      </c>
    </row>
    <row r="195" spans="2:41" ht="12.75" customHeight="1">
      <c r="B195" s="467"/>
      <c r="C195" s="1056"/>
      <c r="D195" s="1057"/>
      <c r="E195" s="3290" t="s">
        <v>1569</v>
      </c>
      <c r="F195" s="2646"/>
      <c r="G195" s="2646"/>
      <c r="H195" s="2646"/>
      <c r="I195" s="2646"/>
      <c r="J195" s="2646"/>
      <c r="K195" s="2646"/>
      <c r="L195" s="2646"/>
      <c r="M195" s="2646"/>
      <c r="N195" s="2647"/>
      <c r="O195" s="481"/>
      <c r="P195" s="481"/>
      <c r="Q195" s="1249"/>
      <c r="R195" s="1249"/>
      <c r="S195" s="1249"/>
      <c r="AB195" s="1435"/>
      <c r="AO195" s="1121" t="b">
        <f t="shared" si="66"/>
        <v>0</v>
      </c>
    </row>
    <row r="196" spans="2:41" ht="25.5" customHeight="1">
      <c r="B196" s="467"/>
      <c r="C196" s="1056"/>
      <c r="D196" s="1057"/>
      <c r="E196" s="3290" t="s">
        <v>2224</v>
      </c>
      <c r="F196" s="2646"/>
      <c r="G196" s="2646"/>
      <c r="H196" s="2646"/>
      <c r="I196" s="2646"/>
      <c r="J196" s="2646"/>
      <c r="K196" s="2646"/>
      <c r="L196" s="2646"/>
      <c r="M196" s="2646"/>
      <c r="N196" s="2647"/>
      <c r="O196" s="481"/>
      <c r="P196" s="481"/>
      <c r="Q196" s="1249"/>
      <c r="S196" s="1249"/>
      <c r="AB196" s="1435"/>
      <c r="AO196" s="1121" t="b">
        <f t="shared" si="66"/>
        <v>0</v>
      </c>
    </row>
    <row r="197" spans="2:41" ht="12.75" customHeight="1">
      <c r="B197" s="467"/>
      <c r="C197" s="1056"/>
      <c r="D197" s="1057"/>
      <c r="E197" s="3290" t="s">
        <v>1594</v>
      </c>
      <c r="F197" s="2646"/>
      <c r="G197" s="2646"/>
      <c r="H197" s="2646"/>
      <c r="I197" s="2646"/>
      <c r="J197" s="2646"/>
      <c r="K197" s="2646"/>
      <c r="L197" s="2646"/>
      <c r="M197" s="2646"/>
      <c r="N197" s="2647"/>
      <c r="O197" s="481"/>
      <c r="P197" s="481"/>
      <c r="Q197" s="1249"/>
      <c r="S197" s="1249"/>
      <c r="AB197" s="1435"/>
      <c r="AO197" s="1121" t="b">
        <f t="shared" si="66"/>
        <v>0</v>
      </c>
    </row>
    <row r="198" spans="2:41" ht="12.75" customHeight="1">
      <c r="B198" s="467"/>
      <c r="C198" s="1056"/>
      <c r="D198" s="1057"/>
      <c r="E198" s="3290" t="s">
        <v>1487</v>
      </c>
      <c r="F198" s="2646"/>
      <c r="G198" s="2646"/>
      <c r="H198" s="2646"/>
      <c r="I198" s="2646"/>
      <c r="J198" s="2646"/>
      <c r="K198" s="2646"/>
      <c r="L198" s="2646"/>
      <c r="M198" s="2646"/>
      <c r="N198" s="2647"/>
      <c r="O198" s="481"/>
      <c r="P198" s="481"/>
      <c r="Q198" s="1249"/>
      <c r="S198" s="1249"/>
      <c r="AB198" s="1435"/>
      <c r="AO198" s="1121" t="b">
        <f t="shared" si="66"/>
        <v>0</v>
      </c>
    </row>
    <row r="199" spans="2:41" ht="12.75" customHeight="1">
      <c r="B199" s="467"/>
      <c r="C199" s="1056"/>
      <c r="D199" s="1057"/>
      <c r="E199" s="3290" t="s">
        <v>1571</v>
      </c>
      <c r="F199" s="2646"/>
      <c r="G199" s="2646"/>
      <c r="H199" s="2646"/>
      <c r="I199" s="2646"/>
      <c r="J199" s="2646"/>
      <c r="K199" s="2646"/>
      <c r="L199" s="2646"/>
      <c r="M199" s="2646"/>
      <c r="N199" s="2647"/>
      <c r="O199" s="481"/>
      <c r="P199" s="481"/>
      <c r="Q199" s="1249"/>
      <c r="S199" s="1249"/>
      <c r="AB199" s="1435"/>
      <c r="AO199" s="1121" t="b">
        <f t="shared" si="66"/>
        <v>0</v>
      </c>
    </row>
    <row r="200" spans="2:41" ht="12.75" customHeight="1">
      <c r="B200" s="467"/>
      <c r="C200" s="1056"/>
      <c r="D200" s="1057"/>
      <c r="E200" s="3292" t="s">
        <v>1557</v>
      </c>
      <c r="F200" s="2671"/>
      <c r="G200" s="2671"/>
      <c r="H200" s="2671"/>
      <c r="I200" s="2671"/>
      <c r="J200" s="2671"/>
      <c r="K200" s="2671"/>
      <c r="L200" s="2671"/>
      <c r="M200" s="2671"/>
      <c r="N200" s="2712"/>
      <c r="O200" s="481"/>
      <c r="P200" s="481"/>
      <c r="Q200" s="1249"/>
      <c r="S200" s="1249"/>
      <c r="AB200" s="1435"/>
      <c r="AO200" s="1121" t="b">
        <f t="shared" si="66"/>
        <v>0</v>
      </c>
    </row>
    <row r="201" spans="2:41" ht="12.75" customHeight="1">
      <c r="B201" s="467"/>
      <c r="C201" s="1056"/>
      <c r="D201" s="982"/>
      <c r="E201" s="989"/>
      <c r="F201" s="990"/>
      <c r="G201" s="987" t="str">
        <f>EUconst_Unit</f>
        <v>Unit</v>
      </c>
      <c r="H201" s="782">
        <f t="shared" ref="H201:N201" si="73">H$1190</f>
        <v>2024</v>
      </c>
      <c r="I201" s="988">
        <f t="shared" si="73"/>
        <v>2025</v>
      </c>
      <c r="J201" s="1810">
        <f t="shared" si="73"/>
        <v>2026</v>
      </c>
      <c r="K201" s="1747">
        <f t="shared" si="73"/>
        <v>2027</v>
      </c>
      <c r="L201" s="1747">
        <f t="shared" si="73"/>
        <v>2028</v>
      </c>
      <c r="M201" s="1747">
        <f t="shared" si="73"/>
        <v>2029</v>
      </c>
      <c r="N201" s="1748">
        <f t="shared" si="73"/>
        <v>2030</v>
      </c>
      <c r="O201" s="481"/>
      <c r="P201" s="481"/>
      <c r="Q201" s="1249"/>
      <c r="S201" s="1249"/>
      <c r="AC201" s="1803">
        <f t="shared" ref="AC201:AI201" si="74">H$1190</f>
        <v>2024</v>
      </c>
      <c r="AD201" s="1803">
        <f t="shared" si="74"/>
        <v>2025</v>
      </c>
      <c r="AE201" s="1803">
        <f t="shared" si="74"/>
        <v>2026</v>
      </c>
      <c r="AF201" s="1803">
        <f t="shared" si="74"/>
        <v>2027</v>
      </c>
      <c r="AG201" s="1803">
        <f t="shared" si="74"/>
        <v>2028</v>
      </c>
      <c r="AH201" s="1803">
        <f t="shared" si="74"/>
        <v>2029</v>
      </c>
      <c r="AI201" s="1803">
        <f t="shared" si="74"/>
        <v>2030</v>
      </c>
      <c r="AO201" s="1121" t="b">
        <f t="shared" si="66"/>
        <v>0</v>
      </c>
    </row>
    <row r="202" spans="2:41" ht="12.75" customHeight="1">
      <c r="B202" s="467"/>
      <c r="C202" s="1056"/>
      <c r="D202" s="1061" t="s">
        <v>6</v>
      </c>
      <c r="E202" s="2475" t="s">
        <v>1483</v>
      </c>
      <c r="F202" s="2410"/>
      <c r="G202" s="815" t="str">
        <f>EUconst_TJpa</f>
        <v>TJ / year</v>
      </c>
      <c r="H202" s="1479" t="str">
        <f>c_ALR2025!M5893</f>
        <v/>
      </c>
      <c r="I202" s="1532"/>
      <c r="J202" s="1811"/>
      <c r="K202" s="1751"/>
      <c r="L202" s="1751"/>
      <c r="M202" s="1751"/>
      <c r="N202" s="1752"/>
      <c r="O202" s="481"/>
      <c r="P202" s="9"/>
      <c r="Q202" s="1963" t="str">
        <f>EUconst_CNTR_FuelInput &amp; I12</f>
        <v>FuelInput_Heat benchmark sub-installation, CL</v>
      </c>
      <c r="S202" s="1249"/>
      <c r="AB202" s="1641" t="s">
        <v>717</v>
      </c>
      <c r="AC202" s="1443" t="b">
        <f>AC192</f>
        <v>0</v>
      </c>
      <c r="AD202" s="1443" t="b">
        <f t="shared" ref="AD202:AI202" si="75">AD192</f>
        <v>0</v>
      </c>
      <c r="AE202" s="1443" t="b">
        <f t="shared" si="75"/>
        <v>0</v>
      </c>
      <c r="AF202" s="1443" t="b">
        <f t="shared" si="75"/>
        <v>0</v>
      </c>
      <c r="AG202" s="1443" t="b">
        <f t="shared" si="75"/>
        <v>0</v>
      </c>
      <c r="AH202" s="1443" t="b">
        <f t="shared" si="75"/>
        <v>0</v>
      </c>
      <c r="AI202" s="1443" t="b">
        <f t="shared" si="75"/>
        <v>0</v>
      </c>
      <c r="AL202" s="1635" t="str">
        <f>IF(AND(CNTR_ExistSubInstEntries,COUNTIFS(AC202:AI202,2,H202:N202,"")&gt;0),EUconst_Error&amp;"FB"&amp;Q12,"")</f>
        <v/>
      </c>
      <c r="AO202" s="1121" t="b">
        <f t="shared" si="66"/>
        <v>0</v>
      </c>
    </row>
    <row r="203" spans="2:41" ht="12.75" customHeight="1">
      <c r="B203" s="467"/>
      <c r="C203" s="1056"/>
      <c r="D203" s="1061" t="s">
        <v>7</v>
      </c>
      <c r="E203" s="2475" t="s">
        <v>1182</v>
      </c>
      <c r="F203" s="2410"/>
      <c r="G203" s="991" t="str">
        <f>EUconst_tCO2pTJ</f>
        <v>t CO2 / TJ</v>
      </c>
      <c r="H203" s="1582" t="str">
        <f>c_ALR2025!M5894</f>
        <v/>
      </c>
      <c r="I203" s="1882"/>
      <c r="J203" s="1811"/>
      <c r="K203" s="1751"/>
      <c r="L203" s="1751"/>
      <c r="M203" s="1751"/>
      <c r="N203" s="1752"/>
      <c r="O203" s="481"/>
      <c r="P203" s="9"/>
      <c r="Q203" s="1963" t="str">
        <f>EUconst_CNTR_FuelEF &amp; I12</f>
        <v>FuelEF_Heat benchmark sub-installation, CL</v>
      </c>
      <c r="S203" s="1249"/>
      <c r="AB203" s="1435"/>
      <c r="AC203" s="1443" t="b">
        <f>AC202</f>
        <v>0</v>
      </c>
      <c r="AD203" s="1443" t="b">
        <f t="shared" ref="AD203:AI203" si="76">AD202</f>
        <v>0</v>
      </c>
      <c r="AE203" s="1443" t="b">
        <f t="shared" si="76"/>
        <v>0</v>
      </c>
      <c r="AF203" s="1443" t="b">
        <f t="shared" si="76"/>
        <v>0</v>
      </c>
      <c r="AG203" s="1443" t="b">
        <f t="shared" si="76"/>
        <v>0</v>
      </c>
      <c r="AH203" s="1443" t="b">
        <f t="shared" si="76"/>
        <v>0</v>
      </c>
      <c r="AI203" s="1443" t="b">
        <f t="shared" si="76"/>
        <v>0</v>
      </c>
      <c r="AL203" s="1635" t="str">
        <f>IF(AND(CNTR_ExistSubInstEntries,COUNTIFS(AC203:AI203,2,H203:N203,"")&gt;0),EUconst_Error&amp;"FB"&amp;Q12,"")</f>
        <v/>
      </c>
      <c r="AO203" s="1121" t="b">
        <f t="shared" si="66"/>
        <v>0</v>
      </c>
    </row>
    <row r="204" spans="2:41" ht="5.0999999999999996" customHeight="1">
      <c r="B204" s="467"/>
      <c r="C204" s="1056"/>
      <c r="D204" s="1057"/>
      <c r="E204" s="1057"/>
      <c r="F204" s="1057"/>
      <c r="G204" s="1057"/>
      <c r="H204" s="1057"/>
      <c r="I204" s="1057"/>
      <c r="J204" s="1965"/>
      <c r="K204" s="1966"/>
      <c r="L204" s="1966"/>
      <c r="M204" s="1966"/>
      <c r="N204" s="1967"/>
      <c r="O204" s="481"/>
      <c r="P204" s="481"/>
      <c r="Q204" s="1249"/>
      <c r="S204" s="1249"/>
      <c r="AB204" s="1435"/>
      <c r="AE204" s="1198"/>
      <c r="AF204" s="1198"/>
      <c r="AG204" s="1198"/>
      <c r="AH204" s="1198"/>
      <c r="AI204" s="1198"/>
      <c r="AO204" s="1121" t="b">
        <f t="shared" si="66"/>
        <v>0</v>
      </c>
    </row>
    <row r="205" spans="2:41" ht="12.75" customHeight="1">
      <c r="B205" s="467"/>
      <c r="C205" s="1056"/>
      <c r="D205" s="1061" t="s">
        <v>8</v>
      </c>
      <c r="E205" s="2475" t="s">
        <v>1481</v>
      </c>
      <c r="F205" s="2410"/>
      <c r="G205" s="815" t="str">
        <f>EUconst_TJpa</f>
        <v>TJ / year</v>
      </c>
      <c r="H205" s="1479" t="str">
        <f>c_ALR2025!M5896</f>
        <v/>
      </c>
      <c r="I205" s="1532"/>
      <c r="J205" s="1811"/>
      <c r="K205" s="1751"/>
      <c r="L205" s="1751"/>
      <c r="M205" s="1751"/>
      <c r="N205" s="1752"/>
      <c r="O205" s="481"/>
      <c r="P205" s="9"/>
      <c r="Q205" s="1140" t="str">
        <f>EUconst_CNTR_WGConsumed &amp; I12</f>
        <v>WasteGasCons_Heat benchmark sub-installation, CL</v>
      </c>
      <c r="S205" s="1249"/>
      <c r="AB205" s="1435"/>
      <c r="AC205" s="1443" t="b">
        <f>AC202</f>
        <v>0</v>
      </c>
      <c r="AD205" s="1443" t="b">
        <f t="shared" ref="AD205:AI205" si="77">AD202</f>
        <v>0</v>
      </c>
      <c r="AE205" s="1443" t="b">
        <f t="shared" si="77"/>
        <v>0</v>
      </c>
      <c r="AF205" s="1443" t="b">
        <f t="shared" si="77"/>
        <v>0</v>
      </c>
      <c r="AG205" s="1443" t="b">
        <f t="shared" si="77"/>
        <v>0</v>
      </c>
      <c r="AH205" s="1443" t="b">
        <f t="shared" si="77"/>
        <v>0</v>
      </c>
      <c r="AI205" s="1443" t="b">
        <f t="shared" si="77"/>
        <v>0</v>
      </c>
      <c r="AL205" s="1635" t="str">
        <f>IF(AND(CNTR_ExistSubInstEntries,COUNTIFS(AC205:AI205,2,H205:N205,"")&gt;0),EUconst_Error&amp;"FB"&amp;Q12,"")</f>
        <v/>
      </c>
      <c r="AO205" s="1121" t="b">
        <f t="shared" si="66"/>
        <v>0</v>
      </c>
    </row>
    <row r="206" spans="2:41" ht="12.75" customHeight="1">
      <c r="B206" s="467"/>
      <c r="C206" s="1056"/>
      <c r="D206" s="1061" t="s">
        <v>18</v>
      </c>
      <c r="E206" s="2475" t="s">
        <v>1482</v>
      </c>
      <c r="F206" s="2410"/>
      <c r="G206" s="991" t="str">
        <f>EUconst_tCO2pTJ</f>
        <v>t CO2 / TJ</v>
      </c>
      <c r="H206" s="1582" t="str">
        <f>c_ALR2025!M5897</f>
        <v/>
      </c>
      <c r="I206" s="1882"/>
      <c r="J206" s="1811"/>
      <c r="K206" s="1751"/>
      <c r="L206" s="1751"/>
      <c r="M206" s="1751"/>
      <c r="N206" s="1752"/>
      <c r="O206" s="481"/>
      <c r="P206" s="9"/>
      <c r="Q206" s="1963" t="str">
        <f>EUconst_CNTR_WGConsumedEF &amp; I12</f>
        <v>WasteGasConsEF_Heat benchmark sub-installation, CL</v>
      </c>
      <c r="S206" s="1249"/>
      <c r="AB206" s="1435"/>
      <c r="AC206" s="1443" t="b">
        <f>AC203</f>
        <v>0</v>
      </c>
      <c r="AD206" s="1443" t="b">
        <f t="shared" ref="AD206:AI206" si="78">AD203</f>
        <v>0</v>
      </c>
      <c r="AE206" s="1443" t="b">
        <f t="shared" si="78"/>
        <v>0</v>
      </c>
      <c r="AF206" s="1443" t="b">
        <f t="shared" si="78"/>
        <v>0</v>
      </c>
      <c r="AG206" s="1443" t="b">
        <f t="shared" si="78"/>
        <v>0</v>
      </c>
      <c r="AH206" s="1443" t="b">
        <f t="shared" si="78"/>
        <v>0</v>
      </c>
      <c r="AI206" s="1443" t="b">
        <f t="shared" si="78"/>
        <v>0</v>
      </c>
      <c r="AL206" s="1635" t="str">
        <f>IF(AND(CNTR_ExistSubInstEntries,COUNTIFS(AC206:AI206,2,H206:N206,"")&gt;0),EUconst_Error&amp;"FB"&amp;Q12,"")</f>
        <v/>
      </c>
      <c r="AO206" s="1121" t="b">
        <f t="shared" si="66"/>
        <v>0</v>
      </c>
    </row>
    <row r="207" spans="2:41" ht="5.0999999999999996" customHeight="1">
      <c r="B207" s="1124"/>
      <c r="C207" s="980"/>
      <c r="D207" s="813"/>
      <c r="E207" s="813"/>
      <c r="F207" s="813"/>
      <c r="G207" s="813"/>
      <c r="H207" s="813"/>
      <c r="I207" s="813"/>
      <c r="J207" s="813"/>
      <c r="K207" s="813"/>
      <c r="L207" s="813"/>
      <c r="M207" s="813"/>
      <c r="N207" s="814"/>
      <c r="O207" s="481"/>
      <c r="P207" s="481"/>
      <c r="S207" s="1249"/>
      <c r="T207" s="1249"/>
      <c r="U207" s="1249"/>
      <c r="V207" s="1249"/>
      <c r="AB207" s="1435"/>
      <c r="AE207" s="1198"/>
      <c r="AF207" s="1198"/>
      <c r="AG207" s="1198"/>
      <c r="AH207" s="1198"/>
      <c r="AI207" s="1198"/>
      <c r="AO207" s="1121" t="b">
        <f t="shared" ref="AO207:AO246" si="79">$AD$12</f>
        <v>0</v>
      </c>
    </row>
    <row r="208" spans="2:41" ht="12.75" customHeight="1">
      <c r="B208" s="467"/>
      <c r="C208" s="1056"/>
      <c r="D208" s="982" t="s">
        <v>57</v>
      </c>
      <c r="E208" s="2671" t="s">
        <v>52</v>
      </c>
      <c r="F208" s="2672"/>
      <c r="G208" s="2672"/>
      <c r="H208" s="2672"/>
      <c r="I208" s="2672"/>
      <c r="J208" s="2672"/>
      <c r="K208" s="2672"/>
      <c r="L208" s="2672"/>
      <c r="M208" s="2672"/>
      <c r="N208" s="2673"/>
      <c r="O208" s="481"/>
      <c r="P208" s="481"/>
      <c r="Q208" s="1249"/>
      <c r="S208" s="1249"/>
      <c r="T208" s="1249"/>
      <c r="U208" s="1249"/>
      <c r="V208" s="1249"/>
      <c r="AB208" s="1435"/>
      <c r="AE208" s="1198"/>
      <c r="AF208" s="1198"/>
      <c r="AG208" s="1198"/>
      <c r="AH208" s="1198"/>
      <c r="AI208" s="1198"/>
      <c r="AO208" s="1121" t="b">
        <f t="shared" si="79"/>
        <v>0</v>
      </c>
    </row>
    <row r="209" spans="2:41" ht="12.75" customHeight="1">
      <c r="B209" s="467"/>
      <c r="C209" s="1056"/>
      <c r="D209" s="1057"/>
      <c r="E209" s="3288" t="s">
        <v>2741</v>
      </c>
      <c r="F209" s="3288"/>
      <c r="G209" s="3288"/>
      <c r="H209" s="3288"/>
      <c r="I209" s="3288"/>
      <c r="J209" s="3288"/>
      <c r="K209" s="3288"/>
      <c r="L209" s="3288"/>
      <c r="M209" s="3288"/>
      <c r="N209" s="3289"/>
      <c r="O209" s="481"/>
      <c r="P209" s="481"/>
      <c r="Q209" s="1249"/>
      <c r="S209" s="1249"/>
      <c r="AB209" s="1435"/>
      <c r="AE209" s="1198"/>
      <c r="AF209" s="1198"/>
      <c r="AG209" s="1198"/>
      <c r="AH209" s="1198"/>
      <c r="AI209" s="1198"/>
      <c r="AO209" s="1121" t="b">
        <f t="shared" si="79"/>
        <v>0</v>
      </c>
    </row>
    <row r="210" spans="2:41" ht="25.5" customHeight="1">
      <c r="B210" s="467"/>
      <c r="C210" s="1056"/>
      <c r="D210" s="1057"/>
      <c r="E210" s="3288" t="s">
        <v>1572</v>
      </c>
      <c r="F210" s="3288"/>
      <c r="G210" s="3288"/>
      <c r="H210" s="3288"/>
      <c r="I210" s="3288"/>
      <c r="J210" s="3288"/>
      <c r="K210" s="3288"/>
      <c r="L210" s="3288"/>
      <c r="M210" s="3288"/>
      <c r="N210" s="3289"/>
      <c r="O210" s="481"/>
      <c r="P210" s="481"/>
      <c r="Q210" s="1249"/>
      <c r="S210" s="1249"/>
      <c r="T210" s="1249"/>
      <c r="U210" s="1249"/>
      <c r="V210" s="1249"/>
      <c r="W210" s="1249"/>
      <c r="X210" s="1249"/>
      <c r="Y210" s="1249"/>
      <c r="Z210" s="1249"/>
      <c r="AB210" s="1435"/>
      <c r="AE210" s="1198"/>
      <c r="AF210" s="1198"/>
      <c r="AG210" s="1198"/>
      <c r="AH210" s="1198"/>
      <c r="AI210" s="1198"/>
      <c r="AO210" s="1121" t="b">
        <f t="shared" si="79"/>
        <v>0</v>
      </c>
    </row>
    <row r="211" spans="2:41" ht="12.75" customHeight="1">
      <c r="B211" s="467"/>
      <c r="C211" s="1056"/>
      <c r="D211" s="982"/>
      <c r="E211" s="2648" t="s">
        <v>52</v>
      </c>
      <c r="F211" s="2648"/>
      <c r="G211" s="987" t="str">
        <f>EUconst_Unit</f>
        <v>Unit</v>
      </c>
      <c r="H211" s="782">
        <f t="shared" ref="H211:N211" si="80">H$1190</f>
        <v>2024</v>
      </c>
      <c r="I211" s="988">
        <f t="shared" si="80"/>
        <v>2025</v>
      </c>
      <c r="J211" s="1810">
        <f t="shared" si="80"/>
        <v>2026</v>
      </c>
      <c r="K211" s="1747">
        <f t="shared" si="80"/>
        <v>2027</v>
      </c>
      <c r="L211" s="1747">
        <f t="shared" si="80"/>
        <v>2028</v>
      </c>
      <c r="M211" s="1747">
        <f t="shared" si="80"/>
        <v>2029</v>
      </c>
      <c r="N211" s="1748">
        <f t="shared" si="80"/>
        <v>2030</v>
      </c>
      <c r="O211" s="481"/>
      <c r="P211" s="481"/>
      <c r="Q211" s="1249"/>
      <c r="S211" s="1249"/>
      <c r="T211" s="1249"/>
      <c r="U211" s="1249"/>
      <c r="V211" s="1249"/>
      <c r="W211" s="1249"/>
      <c r="X211" s="1249"/>
      <c r="Y211" s="1249"/>
      <c r="Z211" s="1249"/>
      <c r="AB211" s="1435"/>
      <c r="AC211" s="1803">
        <f t="shared" ref="AC211:AI211" si="81">H$1190</f>
        <v>2024</v>
      </c>
      <c r="AD211" s="1803">
        <f t="shared" si="81"/>
        <v>2025</v>
      </c>
      <c r="AE211" s="1803">
        <f t="shared" si="81"/>
        <v>2026</v>
      </c>
      <c r="AF211" s="1803">
        <f t="shared" si="81"/>
        <v>2027</v>
      </c>
      <c r="AG211" s="1803">
        <f t="shared" si="81"/>
        <v>2028</v>
      </c>
      <c r="AH211" s="1803">
        <f t="shared" si="81"/>
        <v>2029</v>
      </c>
      <c r="AI211" s="1803">
        <f t="shared" si="81"/>
        <v>2030</v>
      </c>
      <c r="AO211" s="1121" t="b">
        <f t="shared" si="79"/>
        <v>0</v>
      </c>
    </row>
    <row r="212" spans="2:41" ht="12.75" customHeight="1">
      <c r="B212" s="467"/>
      <c r="C212" s="1056"/>
      <c r="D212" s="1057"/>
      <c r="E212" s="3285" t="str">
        <f>E192</f>
        <v>Heat benchmark sub-installation, CL</v>
      </c>
      <c r="F212" s="2410"/>
      <c r="G212" s="815" t="str">
        <f>EUconst_TJpa</f>
        <v>TJ / year</v>
      </c>
      <c r="H212" s="1775" t="str">
        <f>c_ALR2025!M5903</f>
        <v/>
      </c>
      <c r="I212" s="1996"/>
      <c r="J212" s="1812"/>
      <c r="K212" s="1754"/>
      <c r="L212" s="1754"/>
      <c r="M212" s="1754"/>
      <c r="N212" s="1755"/>
      <c r="O212" s="481"/>
      <c r="P212" s="9"/>
      <c r="Q212" s="1963" t="str">
        <f>EUconst_CNTR_HeatProduced &amp; I12</f>
        <v>HeatProd_Heat benchmark sub-installation, CL</v>
      </c>
      <c r="S212" s="1249"/>
      <c r="T212" s="1249"/>
      <c r="U212" s="1249"/>
      <c r="V212" s="1249"/>
      <c r="W212" s="1249"/>
      <c r="X212" s="1249"/>
      <c r="Y212" s="1249"/>
      <c r="Z212" s="1249"/>
      <c r="AB212" s="1641" t="s">
        <v>717</v>
      </c>
      <c r="AC212" s="1443" t="b">
        <f>AC192</f>
        <v>0</v>
      </c>
      <c r="AD212" s="1443" t="b">
        <f t="shared" ref="AD212:AI212" si="82">AD192</f>
        <v>0</v>
      </c>
      <c r="AE212" s="1443" t="b">
        <f t="shared" si="82"/>
        <v>0</v>
      </c>
      <c r="AF212" s="1443" t="b">
        <f t="shared" si="82"/>
        <v>0</v>
      </c>
      <c r="AG212" s="1443" t="b">
        <f t="shared" si="82"/>
        <v>0</v>
      </c>
      <c r="AH212" s="1443" t="b">
        <f t="shared" si="82"/>
        <v>0</v>
      </c>
      <c r="AI212" s="1443" t="b">
        <f t="shared" si="82"/>
        <v>0</v>
      </c>
      <c r="AL212" s="1635" t="str">
        <f>IF(AND(CNTR_ExistSubInstEntries,COUNTIFS(AC212:AI212,2,H212:N212,"")&gt;0),EUconst_Error&amp;"FB"&amp;Q12,"")</f>
        <v/>
      </c>
      <c r="AO212" s="1121" t="b">
        <f t="shared" si="79"/>
        <v>0</v>
      </c>
    </row>
    <row r="213" spans="2:41" ht="5.0999999999999996" customHeight="1">
      <c r="B213" s="467"/>
      <c r="C213" s="1056"/>
      <c r="D213" s="1057"/>
      <c r="E213" s="1057"/>
      <c r="F213" s="1057"/>
      <c r="G213" s="1057"/>
      <c r="H213" s="1057"/>
      <c r="I213" s="1057"/>
      <c r="J213" s="1057"/>
      <c r="K213" s="1057"/>
      <c r="L213" s="1057"/>
      <c r="M213" s="1059"/>
      <c r="N213" s="1060"/>
      <c r="O213" s="481"/>
      <c r="P213" s="481"/>
      <c r="Q213" s="1249"/>
      <c r="S213" s="1249"/>
      <c r="AB213" s="1435"/>
      <c r="AE213" s="1198"/>
      <c r="AF213" s="1198"/>
      <c r="AG213" s="1198"/>
      <c r="AH213" s="1198"/>
      <c r="AI213" s="1198"/>
      <c r="AO213" s="1121" t="b">
        <f t="shared" si="79"/>
        <v>0</v>
      </c>
    </row>
    <row r="214" spans="2:41" ht="12.75" customHeight="1">
      <c r="B214" s="467"/>
      <c r="C214" s="1056"/>
      <c r="D214" s="982" t="s">
        <v>58</v>
      </c>
      <c r="E214" s="2671" t="s">
        <v>556</v>
      </c>
      <c r="F214" s="2672"/>
      <c r="G214" s="2672"/>
      <c r="H214" s="2672"/>
      <c r="I214" s="2672"/>
      <c r="J214" s="2672"/>
      <c r="K214" s="2672"/>
      <c r="L214" s="2672"/>
      <c r="M214" s="2672"/>
      <c r="N214" s="2673"/>
      <c r="O214" s="481"/>
      <c r="P214" s="481"/>
      <c r="Q214" s="1249"/>
      <c r="S214" s="1249"/>
      <c r="AB214" s="1435"/>
      <c r="AE214" s="1198"/>
      <c r="AF214" s="1198"/>
      <c r="AG214" s="1198"/>
      <c r="AH214" s="1198"/>
      <c r="AI214" s="1198"/>
      <c r="AO214" s="1121" t="b">
        <f t="shared" si="79"/>
        <v>0</v>
      </c>
    </row>
    <row r="215" spans="2:41" ht="12.75" customHeight="1">
      <c r="B215" s="467"/>
      <c r="C215" s="1056"/>
      <c r="D215" s="982"/>
      <c r="E215" s="3292" t="s">
        <v>2297</v>
      </c>
      <c r="F215" s="2671"/>
      <c r="G215" s="2671"/>
      <c r="H215" s="2671"/>
      <c r="I215" s="2671"/>
      <c r="J215" s="2671"/>
      <c r="K215" s="2671"/>
      <c r="L215" s="2671"/>
      <c r="M215" s="2671"/>
      <c r="N215" s="2712"/>
      <c r="O215" s="481"/>
      <c r="P215" s="481"/>
      <c r="Q215" s="1249"/>
      <c r="S215" s="1249"/>
      <c r="AB215" s="1435"/>
      <c r="AE215" s="1198"/>
      <c r="AF215" s="1198"/>
      <c r="AG215" s="1198"/>
      <c r="AH215" s="1198"/>
      <c r="AI215" s="1198"/>
      <c r="AO215" s="1121" t="b">
        <f t="shared" si="79"/>
        <v>0</v>
      </c>
    </row>
    <row r="216" spans="2:41" ht="12.75" customHeight="1">
      <c r="B216" s="467"/>
      <c r="C216" s="1056"/>
      <c r="D216" s="1057"/>
      <c r="E216" s="3290" t="s">
        <v>1322</v>
      </c>
      <c r="F216" s="2646"/>
      <c r="G216" s="2646"/>
      <c r="H216" s="2646"/>
      <c r="I216" s="2646"/>
      <c r="J216" s="2646"/>
      <c r="K216" s="2646"/>
      <c r="L216" s="2646"/>
      <c r="M216" s="2646"/>
      <c r="N216" s="2647"/>
      <c r="O216" s="481"/>
      <c r="P216" s="481"/>
      <c r="Q216" s="1249"/>
      <c r="S216" s="1249"/>
      <c r="AB216" s="1435"/>
      <c r="AE216" s="1198"/>
      <c r="AF216" s="1198"/>
      <c r="AG216" s="1198"/>
      <c r="AH216" s="1198"/>
      <c r="AI216" s="1198"/>
      <c r="AO216" s="1121" t="b">
        <f t="shared" si="79"/>
        <v>0</v>
      </c>
    </row>
    <row r="217" spans="2:41" ht="38.85" customHeight="1">
      <c r="B217" s="467"/>
      <c r="C217" s="1056"/>
      <c r="D217" s="1057"/>
      <c r="E217" s="985" t="s">
        <v>1021</v>
      </c>
      <c r="F217" s="3290" t="s">
        <v>1573</v>
      </c>
      <c r="G217" s="2646"/>
      <c r="H217" s="2646"/>
      <c r="I217" s="2646"/>
      <c r="J217" s="2646"/>
      <c r="K217" s="2646"/>
      <c r="L217" s="2646"/>
      <c r="M217" s="2646"/>
      <c r="N217" s="2647"/>
      <c r="O217" s="481"/>
      <c r="P217" s="481"/>
      <c r="Q217" s="1249"/>
      <c r="S217" s="1249"/>
      <c r="AB217" s="1435"/>
      <c r="AE217" s="1198"/>
      <c r="AF217" s="1198"/>
      <c r="AG217" s="1198"/>
      <c r="AH217" s="1198"/>
      <c r="AI217" s="1198"/>
      <c r="AO217" s="1121" t="b">
        <f t="shared" si="79"/>
        <v>0</v>
      </c>
    </row>
    <row r="218" spans="2:41" ht="25.5" customHeight="1">
      <c r="B218" s="467"/>
      <c r="C218" s="1056"/>
      <c r="D218" s="1057"/>
      <c r="E218" s="985" t="s">
        <v>1021</v>
      </c>
      <c r="F218" s="3290" t="s">
        <v>1574</v>
      </c>
      <c r="G218" s="2646"/>
      <c r="H218" s="2646"/>
      <c r="I218" s="2646"/>
      <c r="J218" s="2646"/>
      <c r="K218" s="2646"/>
      <c r="L218" s="2646"/>
      <c r="M218" s="2646"/>
      <c r="N218" s="2647"/>
      <c r="O218" s="481"/>
      <c r="P218" s="481"/>
      <c r="Q218" s="1249"/>
      <c r="S218" s="1249"/>
      <c r="AB218" s="1435"/>
      <c r="AE218" s="1198"/>
      <c r="AF218" s="1198"/>
      <c r="AG218" s="1198"/>
      <c r="AH218" s="1198"/>
      <c r="AI218" s="1198"/>
      <c r="AO218" s="1121" t="b">
        <f t="shared" si="79"/>
        <v>0</v>
      </c>
    </row>
    <row r="219" spans="2:41" ht="12.75" customHeight="1">
      <c r="B219" s="467"/>
      <c r="C219" s="1056"/>
      <c r="D219" s="1057"/>
      <c r="E219" s="985" t="s">
        <v>1021</v>
      </c>
      <c r="F219" s="2645" t="s">
        <v>1480</v>
      </c>
      <c r="G219" s="2646"/>
      <c r="H219" s="2646"/>
      <c r="I219" s="2646"/>
      <c r="J219" s="2646"/>
      <c r="K219" s="2646"/>
      <c r="L219" s="2646"/>
      <c r="M219" s="2646"/>
      <c r="N219" s="2647"/>
      <c r="O219" s="481"/>
      <c r="P219" s="481"/>
      <c r="Q219" s="1249"/>
      <c r="S219" s="1249"/>
      <c r="AB219" s="1435"/>
      <c r="AE219" s="1198"/>
      <c r="AF219" s="1198"/>
      <c r="AG219" s="1198"/>
      <c r="AH219" s="1198"/>
      <c r="AI219" s="1198"/>
      <c r="AO219" s="1121" t="b">
        <f t="shared" si="79"/>
        <v>0</v>
      </c>
    </row>
    <row r="220" spans="2:41" ht="12.75" customHeight="1">
      <c r="B220" s="467"/>
      <c r="C220" s="1056"/>
      <c r="D220" s="1057"/>
      <c r="E220" s="985" t="s">
        <v>1021</v>
      </c>
      <c r="F220" s="3290" t="s">
        <v>1338</v>
      </c>
      <c r="G220" s="2646"/>
      <c r="H220" s="2646"/>
      <c r="I220" s="2646"/>
      <c r="J220" s="2646"/>
      <c r="K220" s="2646"/>
      <c r="L220" s="2646"/>
      <c r="M220" s="2646"/>
      <c r="N220" s="2647"/>
      <c r="O220" s="481"/>
      <c r="P220" s="481"/>
      <c r="Q220" s="1249"/>
      <c r="S220" s="1249"/>
      <c r="AB220" s="1435"/>
      <c r="AE220" s="1198"/>
      <c r="AF220" s="1198"/>
      <c r="AG220" s="1198"/>
      <c r="AH220" s="1198"/>
      <c r="AI220" s="1198"/>
      <c r="AO220" s="1121" t="b">
        <f t="shared" si="79"/>
        <v>0</v>
      </c>
    </row>
    <row r="221" spans="2:41" ht="12.75" customHeight="1">
      <c r="B221" s="467"/>
      <c r="C221" s="1056"/>
      <c r="D221" s="1057"/>
      <c r="E221" s="985" t="s">
        <v>1021</v>
      </c>
      <c r="F221" s="3290" t="s">
        <v>1321</v>
      </c>
      <c r="G221" s="2646"/>
      <c r="H221" s="2646"/>
      <c r="I221" s="2646"/>
      <c r="J221" s="2646"/>
      <c r="K221" s="2646"/>
      <c r="L221" s="2646"/>
      <c r="M221" s="2646"/>
      <c r="N221" s="2647"/>
      <c r="O221" s="481"/>
      <c r="P221" s="481"/>
      <c r="Q221" s="1249"/>
      <c r="S221" s="1249"/>
      <c r="AB221" s="1435"/>
      <c r="AE221" s="1198"/>
      <c r="AF221" s="1198"/>
      <c r="AG221" s="1198"/>
      <c r="AH221" s="1198"/>
      <c r="AI221" s="1198"/>
      <c r="AO221" s="1121" t="b">
        <f t="shared" si="79"/>
        <v>0</v>
      </c>
    </row>
    <row r="222" spans="2:41" ht="12.75" customHeight="1">
      <c r="B222" s="467"/>
      <c r="C222" s="1056"/>
      <c r="D222" s="1057"/>
      <c r="E222" s="3288" t="s">
        <v>2121</v>
      </c>
      <c r="F222" s="3288"/>
      <c r="G222" s="3288"/>
      <c r="H222" s="3288"/>
      <c r="I222" s="3288"/>
      <c r="J222" s="3288"/>
      <c r="K222" s="3288"/>
      <c r="L222" s="3288"/>
      <c r="M222" s="3288"/>
      <c r="N222" s="3289"/>
      <c r="O222" s="481"/>
      <c r="P222" s="481"/>
      <c r="Q222" s="1249"/>
      <c r="S222" s="1249"/>
      <c r="AB222" s="1435"/>
      <c r="AE222" s="1198"/>
      <c r="AF222" s="1198"/>
      <c r="AG222" s="1198"/>
      <c r="AH222" s="1198"/>
      <c r="AI222" s="1198"/>
      <c r="AO222" s="1121" t="b">
        <f t="shared" si="79"/>
        <v>0</v>
      </c>
    </row>
    <row r="223" spans="2:41" ht="12.75" customHeight="1">
      <c r="B223" s="467"/>
      <c r="C223" s="1056"/>
      <c r="D223" s="1057"/>
      <c r="E223" s="3290" t="s">
        <v>1554</v>
      </c>
      <c r="F223" s="2646"/>
      <c r="G223" s="2646"/>
      <c r="H223" s="2646"/>
      <c r="I223" s="2646"/>
      <c r="J223" s="2646"/>
      <c r="K223" s="2646"/>
      <c r="L223" s="2646"/>
      <c r="M223" s="2646"/>
      <c r="N223" s="2647"/>
      <c r="O223" s="481"/>
      <c r="P223" s="481"/>
      <c r="Q223" s="1249"/>
      <c r="S223" s="1249"/>
      <c r="AB223" s="1435"/>
      <c r="AE223" s="1198"/>
      <c r="AF223" s="1198"/>
      <c r="AG223" s="1198"/>
      <c r="AH223" s="1198"/>
      <c r="AI223" s="1198"/>
      <c r="AO223" s="1121" t="b">
        <f t="shared" si="79"/>
        <v>0</v>
      </c>
    </row>
    <row r="224" spans="2:41" ht="12.75" customHeight="1">
      <c r="B224" s="467"/>
      <c r="C224" s="1056"/>
      <c r="D224" s="1057"/>
      <c r="E224" s="3269" t="s">
        <v>1510</v>
      </c>
      <c r="F224" s="3269"/>
      <c r="G224" s="3269"/>
      <c r="H224" s="3269"/>
      <c r="I224" s="3269"/>
      <c r="J224" s="3269"/>
      <c r="K224" s="3269"/>
      <c r="L224" s="3269"/>
      <c r="M224" s="3269"/>
      <c r="N224" s="1007"/>
      <c r="O224" s="481"/>
      <c r="P224" s="481"/>
      <c r="Q224" s="1249"/>
      <c r="AE224" s="1198"/>
      <c r="AF224" s="1198"/>
      <c r="AG224" s="1198"/>
      <c r="AH224" s="1198"/>
      <c r="AI224" s="1198"/>
      <c r="AO224" s="1121" t="b">
        <f t="shared" si="79"/>
        <v>0</v>
      </c>
    </row>
    <row r="225" spans="2:41" ht="12.75" customHeight="1">
      <c r="B225" s="467"/>
      <c r="C225" s="1056"/>
      <c r="D225" s="1057"/>
      <c r="E225" s="2648" t="s">
        <v>1323</v>
      </c>
      <c r="F225" s="2493"/>
      <c r="G225" s="987" t="str">
        <f>EUconst_Unit</f>
        <v>Unit</v>
      </c>
      <c r="H225" s="782">
        <f t="shared" ref="H225:N225" si="83">H$1190</f>
        <v>2024</v>
      </c>
      <c r="I225" s="988">
        <f t="shared" si="83"/>
        <v>2025</v>
      </c>
      <c r="J225" s="1810">
        <f t="shared" si="83"/>
        <v>2026</v>
      </c>
      <c r="K225" s="1747">
        <f t="shared" si="83"/>
        <v>2027</v>
      </c>
      <c r="L225" s="1747">
        <f t="shared" si="83"/>
        <v>2028</v>
      </c>
      <c r="M225" s="1747">
        <f t="shared" si="83"/>
        <v>2029</v>
      </c>
      <c r="N225" s="1748">
        <f t="shared" si="83"/>
        <v>2030</v>
      </c>
      <c r="O225" s="481"/>
      <c r="P225" s="481"/>
      <c r="Q225" s="1249"/>
      <c r="S225" s="1249"/>
      <c r="T225" s="1503">
        <f t="shared" ref="T225:Z225" si="84">H225</f>
        <v>2024</v>
      </c>
      <c r="U225" s="1503">
        <f t="shared" si="84"/>
        <v>2025</v>
      </c>
      <c r="V225" s="1503">
        <f t="shared" si="84"/>
        <v>2026</v>
      </c>
      <c r="W225" s="1503">
        <f t="shared" si="84"/>
        <v>2027</v>
      </c>
      <c r="X225" s="1503">
        <f t="shared" si="84"/>
        <v>2028</v>
      </c>
      <c r="Y225" s="1503">
        <f t="shared" si="84"/>
        <v>2029</v>
      </c>
      <c r="Z225" s="1503">
        <f t="shared" si="84"/>
        <v>2030</v>
      </c>
      <c r="AC225" s="1803">
        <f t="shared" ref="AC225:AI225" si="85">H$1190</f>
        <v>2024</v>
      </c>
      <c r="AD225" s="1803">
        <f t="shared" si="85"/>
        <v>2025</v>
      </c>
      <c r="AE225" s="1803">
        <f t="shared" si="85"/>
        <v>2026</v>
      </c>
      <c r="AF225" s="1803">
        <f t="shared" si="85"/>
        <v>2027</v>
      </c>
      <c r="AG225" s="1803">
        <f t="shared" si="85"/>
        <v>2028</v>
      </c>
      <c r="AH225" s="1803">
        <f t="shared" si="85"/>
        <v>2029</v>
      </c>
      <c r="AI225" s="1803">
        <f t="shared" si="85"/>
        <v>2030</v>
      </c>
      <c r="AO225" s="1121" t="b">
        <f t="shared" si="79"/>
        <v>0</v>
      </c>
    </row>
    <row r="226" spans="2:41" ht="12.75" customHeight="1">
      <c r="B226" s="467"/>
      <c r="C226" s="1056"/>
      <c r="D226" s="1061" t="s">
        <v>6</v>
      </c>
      <c r="E226" s="2475" t="s">
        <v>1087</v>
      </c>
      <c r="F226" s="2410"/>
      <c r="G226" s="815" t="str">
        <f>EUconst_TJpa</f>
        <v>TJ / year</v>
      </c>
      <c r="H226" s="1479" t="str">
        <f>c_ALR2025!M5917</f>
        <v/>
      </c>
      <c r="I226" s="1532"/>
      <c r="J226" s="1811"/>
      <c r="K226" s="1751"/>
      <c r="L226" s="1751"/>
      <c r="M226" s="1751"/>
      <c r="N226" s="1752"/>
      <c r="O226" s="481"/>
      <c r="P226" s="9"/>
      <c r="Q226" s="1963" t="str">
        <f>EUconst_CNTR_HeatImport &amp; I12</f>
        <v>HeatIm_Heat benchmark sub-installation, CL</v>
      </c>
      <c r="S226" s="1997" t="str">
        <f>EUconst_ERR_AttrEmBMapplied &amp; $I12</f>
        <v>ERR_AttrEmBM_Heat benchmark sub-installation, CL</v>
      </c>
      <c r="T226" s="1443">
        <f t="shared" ref="T226:Z226" si="86">IF(AND(H226&lt;&gt;0,H227="",EUconst_StatusOfDataCollection=FALSE),1,0)</f>
        <v>0</v>
      </c>
      <c r="U226" s="1443">
        <f t="shared" si="86"/>
        <v>0</v>
      </c>
      <c r="V226" s="1443">
        <f t="shared" si="86"/>
        <v>0</v>
      </c>
      <c r="W226" s="1443">
        <f t="shared" si="86"/>
        <v>0</v>
      </c>
      <c r="X226" s="1443">
        <f t="shared" si="86"/>
        <v>0</v>
      </c>
      <c r="Y226" s="1443">
        <f t="shared" si="86"/>
        <v>0</v>
      </c>
      <c r="Z226" s="1443">
        <f t="shared" si="86"/>
        <v>0</v>
      </c>
      <c r="AB226" s="1641" t="s">
        <v>717</v>
      </c>
      <c r="AC226" s="1443" t="b">
        <f>AC202</f>
        <v>0</v>
      </c>
      <c r="AD226" s="1443" t="b">
        <f t="shared" ref="AD226:AI226" si="87">AD202</f>
        <v>0</v>
      </c>
      <c r="AE226" s="1443" t="b">
        <f t="shared" si="87"/>
        <v>0</v>
      </c>
      <c r="AF226" s="1443" t="b">
        <f t="shared" si="87"/>
        <v>0</v>
      </c>
      <c r="AG226" s="1443" t="b">
        <f t="shared" si="87"/>
        <v>0</v>
      </c>
      <c r="AH226" s="1443" t="b">
        <f t="shared" si="87"/>
        <v>0</v>
      </c>
      <c r="AI226" s="1443" t="b">
        <f t="shared" si="87"/>
        <v>0</v>
      </c>
      <c r="AL226" s="1635" t="str">
        <f>IF(AND(CNTR_ExistSubInstEntries,COUNTIFS(AC226:AI226,2,H226:N226,"")&gt;0),EUconst_Error&amp;"FB"&amp;Q12,"")</f>
        <v/>
      </c>
      <c r="AO226" s="1121" t="b">
        <f t="shared" si="79"/>
        <v>0</v>
      </c>
    </row>
    <row r="227" spans="2:41" ht="12.75" customHeight="1">
      <c r="B227" s="467"/>
      <c r="C227" s="1056"/>
      <c r="D227" s="1061" t="s">
        <v>7</v>
      </c>
      <c r="E227" s="2475" t="s">
        <v>1103</v>
      </c>
      <c r="F227" s="2410"/>
      <c r="G227" s="815" t="str">
        <f>EUconst_tCO2pTJ</f>
        <v>t CO2 / TJ</v>
      </c>
      <c r="H227" s="1479" t="str">
        <f>c_ALR2025!M5918</f>
        <v/>
      </c>
      <c r="I227" s="1532"/>
      <c r="J227" s="1811"/>
      <c r="K227" s="1751"/>
      <c r="L227" s="1751"/>
      <c r="M227" s="1751"/>
      <c r="N227" s="1752"/>
      <c r="O227" s="481"/>
      <c r="P227" s="9"/>
      <c r="Q227" s="1963" t="str">
        <f>EUconst_CNTR_HeatImportEF &amp; I12</f>
        <v>HeatImEF_Heat benchmark sub-installation, CL</v>
      </c>
      <c r="S227" s="1968" t="str">
        <f>EUconst_CNTR_AttributedEmissions &amp; $I12</f>
        <v>AttrEmissions_Heat benchmark sub-installation, CL</v>
      </c>
      <c r="T227" s="1443" t="str">
        <f t="shared" ref="T227:Z227" si="88">IF(T20,SUM(H226)*IF(ISNUMBER(H227),H227,EUconst_HeatBMvalue),"")</f>
        <v/>
      </c>
      <c r="U227" s="1443" t="str">
        <f t="shared" si="88"/>
        <v/>
      </c>
      <c r="V227" s="1443" t="str">
        <f t="shared" si="88"/>
        <v/>
      </c>
      <c r="W227" s="1443" t="str">
        <f t="shared" si="88"/>
        <v/>
      </c>
      <c r="X227" s="1443" t="str">
        <f t="shared" si="88"/>
        <v/>
      </c>
      <c r="Y227" s="1443" t="str">
        <f t="shared" si="88"/>
        <v/>
      </c>
      <c r="Z227" s="1443" t="str">
        <f t="shared" si="88"/>
        <v/>
      </c>
      <c r="AC227" s="1443" t="b">
        <f>AC203</f>
        <v>0</v>
      </c>
      <c r="AD227" s="1443" t="b">
        <f t="shared" ref="AD227:AI227" si="89">AD203</f>
        <v>0</v>
      </c>
      <c r="AE227" s="1443" t="b">
        <f t="shared" si="89"/>
        <v>0</v>
      </c>
      <c r="AF227" s="1443" t="b">
        <f t="shared" si="89"/>
        <v>0</v>
      </c>
      <c r="AG227" s="1443" t="b">
        <f t="shared" si="89"/>
        <v>0</v>
      </c>
      <c r="AH227" s="1443" t="b">
        <f t="shared" si="89"/>
        <v>0</v>
      </c>
      <c r="AI227" s="1443" t="b">
        <f t="shared" si="89"/>
        <v>0</v>
      </c>
      <c r="AL227" s="1635" t="str">
        <f>IF(AND(CNTR_ExistSubInstEntries,COUNTIFS(AC227:AI227,2,H227:N227,"")&gt;0),EUconst_Error&amp;"FB"&amp;Q12,"")</f>
        <v/>
      </c>
      <c r="AO227" s="1121" t="b">
        <f t="shared" si="79"/>
        <v>0</v>
      </c>
    </row>
    <row r="228" spans="2:41" ht="5.0999999999999996" customHeight="1">
      <c r="B228" s="467"/>
      <c r="C228" s="1056"/>
      <c r="D228" s="1057"/>
      <c r="E228" s="1057"/>
      <c r="F228" s="1057"/>
      <c r="G228" s="1057"/>
      <c r="H228" s="1057"/>
      <c r="I228" s="1057"/>
      <c r="J228" s="1965"/>
      <c r="K228" s="1966"/>
      <c r="L228" s="1966"/>
      <c r="M228" s="1966"/>
      <c r="N228" s="1967"/>
      <c r="O228" s="481"/>
      <c r="P228" s="481"/>
      <c r="Q228" s="1249"/>
      <c r="S228" s="1249"/>
      <c r="AE228" s="1198"/>
      <c r="AF228" s="1198"/>
      <c r="AG228" s="1198"/>
      <c r="AH228" s="1198"/>
      <c r="AI228" s="1198"/>
      <c r="AO228" s="1121" t="b">
        <f t="shared" si="79"/>
        <v>0</v>
      </c>
    </row>
    <row r="229" spans="2:41" ht="12.75" customHeight="1">
      <c r="B229" s="467"/>
      <c r="C229" s="1056"/>
      <c r="D229" s="1057"/>
      <c r="E229" s="2648" t="s">
        <v>1324</v>
      </c>
      <c r="F229" s="2493"/>
      <c r="G229" s="987" t="str">
        <f>EUconst_Unit</f>
        <v>Unit</v>
      </c>
      <c r="H229" s="782">
        <f t="shared" ref="H229:N229" si="90">H$1190</f>
        <v>2024</v>
      </c>
      <c r="I229" s="988">
        <f t="shared" si="90"/>
        <v>2025</v>
      </c>
      <c r="J229" s="1810">
        <f t="shared" si="90"/>
        <v>2026</v>
      </c>
      <c r="K229" s="1747">
        <f t="shared" si="90"/>
        <v>2027</v>
      </c>
      <c r="L229" s="1747">
        <f t="shared" si="90"/>
        <v>2028</v>
      </c>
      <c r="M229" s="1747">
        <f t="shared" si="90"/>
        <v>2029</v>
      </c>
      <c r="N229" s="1748">
        <f t="shared" si="90"/>
        <v>2030</v>
      </c>
      <c r="O229" s="481"/>
      <c r="P229" s="481"/>
      <c r="Q229" s="1249"/>
      <c r="S229" s="1249"/>
      <c r="T229" s="1503">
        <f t="shared" ref="T229:Y229" si="91">H229</f>
        <v>2024</v>
      </c>
      <c r="U229" s="1503">
        <f t="shared" si="91"/>
        <v>2025</v>
      </c>
      <c r="V229" s="1503">
        <f t="shared" si="91"/>
        <v>2026</v>
      </c>
      <c r="W229" s="1503">
        <f t="shared" si="91"/>
        <v>2027</v>
      </c>
      <c r="X229" s="1503">
        <f t="shared" si="91"/>
        <v>2028</v>
      </c>
      <c r="Y229" s="1503">
        <f t="shared" si="91"/>
        <v>2029</v>
      </c>
      <c r="Z229" s="1503">
        <f>N229</f>
        <v>2030</v>
      </c>
      <c r="AB229" s="1435"/>
      <c r="AC229" s="1803">
        <f t="shared" ref="AC229:AI229" si="92">H$1190</f>
        <v>2024</v>
      </c>
      <c r="AD229" s="1803">
        <f t="shared" si="92"/>
        <v>2025</v>
      </c>
      <c r="AE229" s="1803">
        <f t="shared" si="92"/>
        <v>2026</v>
      </c>
      <c r="AF229" s="1803">
        <f t="shared" si="92"/>
        <v>2027</v>
      </c>
      <c r="AG229" s="1803">
        <f t="shared" si="92"/>
        <v>2028</v>
      </c>
      <c r="AH229" s="1803">
        <f t="shared" si="92"/>
        <v>2029</v>
      </c>
      <c r="AI229" s="1803">
        <f t="shared" si="92"/>
        <v>2030</v>
      </c>
      <c r="AO229" s="1121" t="b">
        <f t="shared" si="79"/>
        <v>0</v>
      </c>
    </row>
    <row r="230" spans="2:41" ht="12.75" customHeight="1">
      <c r="B230" s="467"/>
      <c r="C230" s="1056"/>
      <c r="D230" s="1061" t="s">
        <v>18</v>
      </c>
      <c r="E230" s="2475" t="s">
        <v>1087</v>
      </c>
      <c r="F230" s="2410"/>
      <c r="G230" s="815" t="str">
        <f>EUconst_TJpa</f>
        <v>TJ / year</v>
      </c>
      <c r="H230" s="1479" t="str">
        <f>c_ALR2025!M5921</f>
        <v/>
      </c>
      <c r="I230" s="1532"/>
      <c r="J230" s="1811"/>
      <c r="K230" s="1751"/>
      <c r="L230" s="1751"/>
      <c r="M230" s="1751"/>
      <c r="N230" s="1752"/>
      <c r="O230" s="481"/>
      <c r="P230" s="9"/>
      <c r="Q230" s="1963" t="str">
        <f>EUconst_CNTR_HeatImportProduct &amp; I12</f>
        <v>HeatImProd_Heat benchmark sub-installation, CL</v>
      </c>
      <c r="S230" s="1997" t="str">
        <f>EUconst_ERR_AttrEmBMapplied &amp; $I12</f>
        <v>ERR_AttrEmBM_Heat benchmark sub-installation, CL</v>
      </c>
      <c r="T230" s="1443">
        <f t="shared" ref="T230:Z230" si="93">IF(AND(H230&lt;&gt;0,H231="",EUconst_StatusOfDataCollection=FALSE),1,0)</f>
        <v>0</v>
      </c>
      <c r="U230" s="1443">
        <f t="shared" si="93"/>
        <v>0</v>
      </c>
      <c r="V230" s="1443">
        <f t="shared" si="93"/>
        <v>0</v>
      </c>
      <c r="W230" s="1443">
        <f t="shared" si="93"/>
        <v>0</v>
      </c>
      <c r="X230" s="1443">
        <f t="shared" si="93"/>
        <v>0</v>
      </c>
      <c r="Y230" s="1443">
        <f t="shared" si="93"/>
        <v>0</v>
      </c>
      <c r="Z230" s="1443">
        <f t="shared" si="93"/>
        <v>0</v>
      </c>
      <c r="AB230" s="1641" t="s">
        <v>717</v>
      </c>
      <c r="AC230" s="1443" t="b">
        <f>AC226</f>
        <v>0</v>
      </c>
      <c r="AD230" s="1443" t="b">
        <f t="shared" ref="AD230:AI230" si="94">AD226</f>
        <v>0</v>
      </c>
      <c r="AE230" s="1443" t="b">
        <f t="shared" si="94"/>
        <v>0</v>
      </c>
      <c r="AF230" s="1443" t="b">
        <f t="shared" si="94"/>
        <v>0</v>
      </c>
      <c r="AG230" s="1443" t="b">
        <f t="shared" si="94"/>
        <v>0</v>
      </c>
      <c r="AH230" s="1443" t="b">
        <f t="shared" si="94"/>
        <v>0</v>
      </c>
      <c r="AI230" s="1443" t="b">
        <f t="shared" si="94"/>
        <v>0</v>
      </c>
      <c r="AL230" s="1635" t="str">
        <f>IF(AND(CNTR_ExistSubInstEntries,COUNTIFS(AC230:AI230,2,H230:N230,"")&gt;0),EUconst_Error&amp;"FB"&amp;Q12,"")</f>
        <v/>
      </c>
      <c r="AO230" s="1121" t="b">
        <f t="shared" si="79"/>
        <v>0</v>
      </c>
    </row>
    <row r="231" spans="2:41" ht="12.75" customHeight="1">
      <c r="B231" s="467"/>
      <c r="C231" s="1056"/>
      <c r="D231" s="1061" t="s">
        <v>787</v>
      </c>
      <c r="E231" s="2475" t="s">
        <v>1490</v>
      </c>
      <c r="F231" s="2410"/>
      <c r="G231" s="815" t="str">
        <f>EUconst_tCO2pTJ</f>
        <v>t CO2 / TJ</v>
      </c>
      <c r="H231" s="1479" t="str">
        <f>c_ALR2025!M5922</f>
        <v/>
      </c>
      <c r="I231" s="1532"/>
      <c r="J231" s="1811"/>
      <c r="K231" s="1751"/>
      <c r="L231" s="1751"/>
      <c r="M231" s="1751"/>
      <c r="N231" s="1752"/>
      <c r="O231" s="481"/>
      <c r="P231" s="9"/>
      <c r="Q231" s="1963" t="str">
        <f>EUconst_CNTR_HeatImportProductEF &amp; I12</f>
        <v>HeatImProdEF_Heat benchmark sub-installation, CL</v>
      </c>
      <c r="S231" s="1968" t="str">
        <f>EUconst_CNTR_AttributedEmissions &amp; $I12</f>
        <v>AttrEmissions_Heat benchmark sub-installation, CL</v>
      </c>
      <c r="T231" s="1443" t="str">
        <f t="shared" ref="T231:Z231" si="95">IF(T20,SUM(H230)*IF(ISNUMBER(H231),H231,EUconst_HeatBMvalue),"")</f>
        <v/>
      </c>
      <c r="U231" s="1443" t="str">
        <f t="shared" si="95"/>
        <v/>
      </c>
      <c r="V231" s="1443" t="str">
        <f t="shared" si="95"/>
        <v/>
      </c>
      <c r="W231" s="1443" t="str">
        <f t="shared" si="95"/>
        <v/>
      </c>
      <c r="X231" s="1443" t="str">
        <f t="shared" si="95"/>
        <v/>
      </c>
      <c r="Y231" s="1443" t="str">
        <f t="shared" si="95"/>
        <v/>
      </c>
      <c r="Z231" s="1443" t="str">
        <f t="shared" si="95"/>
        <v/>
      </c>
      <c r="AB231" s="1435"/>
      <c r="AC231" s="1443" t="b">
        <f>AC227</f>
        <v>0</v>
      </c>
      <c r="AD231" s="1443" t="b">
        <f t="shared" ref="AD231:AI231" si="96">AD227</f>
        <v>0</v>
      </c>
      <c r="AE231" s="1443" t="b">
        <f t="shared" si="96"/>
        <v>0</v>
      </c>
      <c r="AF231" s="1443" t="b">
        <f t="shared" si="96"/>
        <v>0</v>
      </c>
      <c r="AG231" s="1443" t="b">
        <f t="shared" si="96"/>
        <v>0</v>
      </c>
      <c r="AH231" s="1443" t="b">
        <f t="shared" si="96"/>
        <v>0</v>
      </c>
      <c r="AI231" s="1443" t="b">
        <f t="shared" si="96"/>
        <v>0</v>
      </c>
      <c r="AL231" s="1635" t="str">
        <f>IF(AND(CNTR_ExistSubInstEntries,COUNTIFS(AC231:AI231,2,H231:N231,"")&gt;0),EUconst_Error&amp;"FB"&amp;Q12,"")</f>
        <v/>
      </c>
      <c r="AO231" s="1121" t="b">
        <f t="shared" si="79"/>
        <v>0</v>
      </c>
    </row>
    <row r="232" spans="2:41" ht="5.0999999999999996" customHeight="1">
      <c r="B232" s="467"/>
      <c r="C232" s="1056"/>
      <c r="D232" s="1057"/>
      <c r="E232" s="1057"/>
      <c r="F232" s="1057"/>
      <c r="G232" s="1057"/>
      <c r="H232" s="1057"/>
      <c r="I232" s="1057"/>
      <c r="J232" s="1965"/>
      <c r="K232" s="1966"/>
      <c r="L232" s="1966"/>
      <c r="M232" s="1966"/>
      <c r="N232" s="1967"/>
      <c r="O232" s="481"/>
      <c r="P232" s="481"/>
      <c r="Q232" s="1249"/>
      <c r="S232" s="1249"/>
      <c r="AB232" s="1435"/>
      <c r="AE232" s="1198"/>
      <c r="AF232" s="1198"/>
      <c r="AG232" s="1198"/>
      <c r="AH232" s="1198"/>
      <c r="AI232" s="1198"/>
      <c r="AO232" s="1121" t="b">
        <f t="shared" si="79"/>
        <v>0</v>
      </c>
    </row>
    <row r="233" spans="2:41" ht="12.75" customHeight="1">
      <c r="B233" s="467"/>
      <c r="C233" s="1056"/>
      <c r="D233" s="1057"/>
      <c r="E233" s="2648" t="s">
        <v>1325</v>
      </c>
      <c r="F233" s="2493"/>
      <c r="G233" s="987" t="str">
        <f>EUconst_Unit</f>
        <v>Unit</v>
      </c>
      <c r="H233" s="782">
        <f t="shared" ref="H233:N233" si="97">H$1190</f>
        <v>2024</v>
      </c>
      <c r="I233" s="988">
        <f t="shared" si="97"/>
        <v>2025</v>
      </c>
      <c r="J233" s="1810">
        <f t="shared" si="97"/>
        <v>2026</v>
      </c>
      <c r="K233" s="1747">
        <f t="shared" si="97"/>
        <v>2027</v>
      </c>
      <c r="L233" s="1747">
        <f t="shared" si="97"/>
        <v>2028</v>
      </c>
      <c r="M233" s="1747">
        <f t="shared" si="97"/>
        <v>2029</v>
      </c>
      <c r="N233" s="1748">
        <f t="shared" si="97"/>
        <v>2030</v>
      </c>
      <c r="O233" s="481"/>
      <c r="P233" s="481"/>
      <c r="Q233" s="1249"/>
      <c r="S233" s="1249"/>
      <c r="T233" s="1503">
        <f t="shared" ref="T233:Y233" si="98">H233</f>
        <v>2024</v>
      </c>
      <c r="U233" s="1503">
        <f t="shared" si="98"/>
        <v>2025</v>
      </c>
      <c r="V233" s="1503">
        <f t="shared" si="98"/>
        <v>2026</v>
      </c>
      <c r="W233" s="1503">
        <f t="shared" si="98"/>
        <v>2027</v>
      </c>
      <c r="X233" s="1503">
        <f t="shared" si="98"/>
        <v>2028</v>
      </c>
      <c r="Y233" s="1503">
        <f t="shared" si="98"/>
        <v>2029</v>
      </c>
      <c r="Z233" s="1503">
        <f>N233</f>
        <v>2030</v>
      </c>
      <c r="AB233" s="1435"/>
      <c r="AC233" s="1803">
        <f t="shared" ref="AC233:AI233" si="99">H$1190</f>
        <v>2024</v>
      </c>
      <c r="AD233" s="1803">
        <f t="shared" si="99"/>
        <v>2025</v>
      </c>
      <c r="AE233" s="1803">
        <f t="shared" si="99"/>
        <v>2026</v>
      </c>
      <c r="AF233" s="1803">
        <f t="shared" si="99"/>
        <v>2027</v>
      </c>
      <c r="AG233" s="1803">
        <f t="shared" si="99"/>
        <v>2028</v>
      </c>
      <c r="AH233" s="1803">
        <f t="shared" si="99"/>
        <v>2029</v>
      </c>
      <c r="AI233" s="1803">
        <f t="shared" si="99"/>
        <v>2030</v>
      </c>
      <c r="AO233" s="1121" t="b">
        <f t="shared" si="79"/>
        <v>0</v>
      </c>
    </row>
    <row r="234" spans="2:41" ht="12.75" customHeight="1">
      <c r="B234" s="467"/>
      <c r="C234" s="1056"/>
      <c r="D234" s="1061" t="s">
        <v>789</v>
      </c>
      <c r="E234" s="2475" t="s">
        <v>1087</v>
      </c>
      <c r="F234" s="2410"/>
      <c r="G234" s="815" t="str">
        <f>EUconst_TJpa</f>
        <v>TJ / year</v>
      </c>
      <c r="H234" s="1479" t="str">
        <f>c_ALR2025!M5925</f>
        <v/>
      </c>
      <c r="I234" s="1532"/>
      <c r="J234" s="1811"/>
      <c r="K234" s="1751"/>
      <c r="L234" s="1751"/>
      <c r="M234" s="1751"/>
      <c r="N234" s="1752"/>
      <c r="O234" s="481"/>
      <c r="P234" s="9"/>
      <c r="Q234" s="1963" t="str">
        <f>EUconst_CNTR_HeatImportPulp &amp; I12</f>
        <v>HeatImPulp_Heat benchmark sub-installation, CL</v>
      </c>
      <c r="S234" s="1997" t="str">
        <f>EUconst_ERR_AttrEmBMapplied &amp; $I12</f>
        <v>ERR_AttrEmBM_Heat benchmark sub-installation, CL</v>
      </c>
      <c r="T234" s="1443">
        <f t="shared" ref="T234:Z234" si="100">IF(AND(H234&lt;&gt;0,H235="",EUconst_StatusOfDataCollection=FALSE),1,0)</f>
        <v>0</v>
      </c>
      <c r="U234" s="1443">
        <f t="shared" si="100"/>
        <v>0</v>
      </c>
      <c r="V234" s="1443">
        <f t="shared" si="100"/>
        <v>0</v>
      </c>
      <c r="W234" s="1443">
        <f t="shared" si="100"/>
        <v>0</v>
      </c>
      <c r="X234" s="1443">
        <f t="shared" si="100"/>
        <v>0</v>
      </c>
      <c r="Y234" s="1443">
        <f t="shared" si="100"/>
        <v>0</v>
      </c>
      <c r="Z234" s="1443">
        <f t="shared" si="100"/>
        <v>0</v>
      </c>
      <c r="AB234" s="1641" t="s">
        <v>717</v>
      </c>
      <c r="AC234" s="1443" t="b">
        <f>AC230</f>
        <v>0</v>
      </c>
      <c r="AD234" s="1443" t="b">
        <f t="shared" ref="AD234:AI234" si="101">AD230</f>
        <v>0</v>
      </c>
      <c r="AE234" s="1443" t="b">
        <f t="shared" si="101"/>
        <v>0</v>
      </c>
      <c r="AF234" s="1443" t="b">
        <f t="shared" si="101"/>
        <v>0</v>
      </c>
      <c r="AG234" s="1443" t="b">
        <f t="shared" si="101"/>
        <v>0</v>
      </c>
      <c r="AH234" s="1443" t="b">
        <f t="shared" si="101"/>
        <v>0</v>
      </c>
      <c r="AI234" s="1443" t="b">
        <f t="shared" si="101"/>
        <v>0</v>
      </c>
      <c r="AL234" s="1635" t="str">
        <f>IF(AND(CNTR_ExistSubInstEntries,COUNTIFS(AC234:AI234,2,H234:N234,"")&gt;0),EUconst_Error&amp;"FB"&amp;Q12,"")</f>
        <v/>
      </c>
      <c r="AO234" s="1121" t="b">
        <f t="shared" si="79"/>
        <v>0</v>
      </c>
    </row>
    <row r="235" spans="2:41" ht="12.75" customHeight="1">
      <c r="B235" s="467"/>
      <c r="C235" s="1056"/>
      <c r="D235" s="1061" t="s">
        <v>790</v>
      </c>
      <c r="E235" s="2475" t="s">
        <v>1489</v>
      </c>
      <c r="F235" s="2410"/>
      <c r="G235" s="815" t="str">
        <f>EUconst_tCO2pTJ</f>
        <v>t CO2 / TJ</v>
      </c>
      <c r="H235" s="1479" t="str">
        <f>c_ALR2025!M5926</f>
        <v/>
      </c>
      <c r="I235" s="1532"/>
      <c r="J235" s="1811"/>
      <c r="K235" s="1751"/>
      <c r="L235" s="1751"/>
      <c r="M235" s="1751"/>
      <c r="N235" s="1752"/>
      <c r="O235" s="481"/>
      <c r="P235" s="9"/>
      <c r="Q235" s="1963" t="str">
        <f>EUconst_CNTR_HeatImportPulpEF &amp; I12</f>
        <v>HeatImPulpEF_Heat benchmark sub-installation, CL</v>
      </c>
      <c r="S235" s="1968" t="str">
        <f>EUconst_CNTR_AttributedEmissions &amp; $I12</f>
        <v>AttrEmissions_Heat benchmark sub-installation, CL</v>
      </c>
      <c r="T235" s="1443" t="str">
        <f t="shared" ref="T235:Z235" si="102">IF(T20,SUM(H234)*IF(ISNUMBER(H235),H235,EUconst_HeatBMvalue),"")</f>
        <v/>
      </c>
      <c r="U235" s="1443" t="str">
        <f t="shared" si="102"/>
        <v/>
      </c>
      <c r="V235" s="1443" t="str">
        <f t="shared" si="102"/>
        <v/>
      </c>
      <c r="W235" s="1443" t="str">
        <f t="shared" si="102"/>
        <v/>
      </c>
      <c r="X235" s="1443" t="str">
        <f t="shared" si="102"/>
        <v/>
      </c>
      <c r="Y235" s="1443" t="str">
        <f t="shared" si="102"/>
        <v/>
      </c>
      <c r="Z235" s="1443" t="str">
        <f t="shared" si="102"/>
        <v/>
      </c>
      <c r="AB235" s="1435"/>
      <c r="AC235" s="1443" t="b">
        <f>AC231</f>
        <v>0</v>
      </c>
      <c r="AD235" s="1443" t="b">
        <f t="shared" ref="AD235:AI235" si="103">AD231</f>
        <v>0</v>
      </c>
      <c r="AE235" s="1443" t="b">
        <f t="shared" si="103"/>
        <v>0</v>
      </c>
      <c r="AF235" s="1443" t="b">
        <f t="shared" si="103"/>
        <v>0</v>
      </c>
      <c r="AG235" s="1443" t="b">
        <f t="shared" si="103"/>
        <v>0</v>
      </c>
      <c r="AH235" s="1443" t="b">
        <f t="shared" si="103"/>
        <v>0</v>
      </c>
      <c r="AI235" s="1443" t="b">
        <f t="shared" si="103"/>
        <v>0</v>
      </c>
      <c r="AL235" s="1635" t="str">
        <f>IF(AND(CNTR_ExistSubInstEntries,COUNTIFS(AC235:AI235,2,H235:N235,"")&gt;0),EUconst_Error&amp;"FB"&amp;Q12,"")</f>
        <v/>
      </c>
      <c r="AO235" s="1121" t="b">
        <f t="shared" si="79"/>
        <v>0</v>
      </c>
    </row>
    <row r="236" spans="2:41" ht="5.0999999999999996" customHeight="1">
      <c r="B236" s="467"/>
      <c r="C236" s="1056"/>
      <c r="D236" s="1057"/>
      <c r="E236" s="1057"/>
      <c r="F236" s="1057"/>
      <c r="G236" s="1057"/>
      <c r="H236" s="1057"/>
      <c r="I236" s="1057"/>
      <c r="J236" s="1965"/>
      <c r="K236" s="1966"/>
      <c r="L236" s="1966"/>
      <c r="M236" s="1966"/>
      <c r="N236" s="1967"/>
      <c r="O236" s="481"/>
      <c r="P236" s="481"/>
      <c r="Q236" s="1249"/>
      <c r="S236" s="1249"/>
      <c r="AB236" s="1435"/>
      <c r="AE236" s="1198"/>
      <c r="AF236" s="1198"/>
      <c r="AG236" s="1198"/>
      <c r="AH236" s="1198"/>
      <c r="AI236" s="1198"/>
      <c r="AO236" s="1121" t="b">
        <f t="shared" si="79"/>
        <v>0</v>
      </c>
    </row>
    <row r="237" spans="2:41" ht="12.75" customHeight="1">
      <c r="B237" s="467"/>
      <c r="C237" s="1056"/>
      <c r="D237" s="1057"/>
      <c r="E237" s="2648" t="s">
        <v>1326</v>
      </c>
      <c r="F237" s="2493"/>
      <c r="G237" s="987" t="str">
        <f>EUconst_Unit</f>
        <v>Unit</v>
      </c>
      <c r="H237" s="782">
        <f t="shared" ref="H237:N237" si="104">H$1190</f>
        <v>2024</v>
      </c>
      <c r="I237" s="988">
        <f t="shared" si="104"/>
        <v>2025</v>
      </c>
      <c r="J237" s="1810">
        <f t="shared" si="104"/>
        <v>2026</v>
      </c>
      <c r="K237" s="1747">
        <f t="shared" si="104"/>
        <v>2027</v>
      </c>
      <c r="L237" s="1747">
        <f t="shared" si="104"/>
        <v>2028</v>
      </c>
      <c r="M237" s="1747">
        <f t="shared" si="104"/>
        <v>2029</v>
      </c>
      <c r="N237" s="1748">
        <f t="shared" si="104"/>
        <v>2030</v>
      </c>
      <c r="O237" s="481"/>
      <c r="P237" s="481"/>
      <c r="Q237" s="1249"/>
      <c r="S237" s="1249"/>
      <c r="T237" s="1503">
        <f t="shared" ref="T237:Y237" si="105">H237</f>
        <v>2024</v>
      </c>
      <c r="U237" s="1503">
        <f t="shared" si="105"/>
        <v>2025</v>
      </c>
      <c r="V237" s="1503">
        <f t="shared" si="105"/>
        <v>2026</v>
      </c>
      <c r="W237" s="1503">
        <f t="shared" si="105"/>
        <v>2027</v>
      </c>
      <c r="X237" s="1503">
        <f t="shared" si="105"/>
        <v>2028</v>
      </c>
      <c r="Y237" s="1503">
        <f t="shared" si="105"/>
        <v>2029</v>
      </c>
      <c r="Z237" s="1503">
        <f>N237</f>
        <v>2030</v>
      </c>
      <c r="AB237" s="1435"/>
      <c r="AC237" s="1803">
        <f t="shared" ref="AC237:AI237" si="106">H$1190</f>
        <v>2024</v>
      </c>
      <c r="AD237" s="1803">
        <f t="shared" si="106"/>
        <v>2025</v>
      </c>
      <c r="AE237" s="1803">
        <f t="shared" si="106"/>
        <v>2026</v>
      </c>
      <c r="AF237" s="1803">
        <f t="shared" si="106"/>
        <v>2027</v>
      </c>
      <c r="AG237" s="1803">
        <f t="shared" si="106"/>
        <v>2028</v>
      </c>
      <c r="AH237" s="1803">
        <f t="shared" si="106"/>
        <v>2029</v>
      </c>
      <c r="AI237" s="1803">
        <f t="shared" si="106"/>
        <v>2030</v>
      </c>
      <c r="AO237" s="1121" t="b">
        <f t="shared" si="79"/>
        <v>0</v>
      </c>
    </row>
    <row r="238" spans="2:41" ht="12.75" customHeight="1">
      <c r="B238" s="467"/>
      <c r="C238" s="1056"/>
      <c r="D238" s="1061" t="s">
        <v>64</v>
      </c>
      <c r="E238" s="2475" t="s">
        <v>1087</v>
      </c>
      <c r="F238" s="2410"/>
      <c r="G238" s="815" t="str">
        <f>EUconst_TJpa</f>
        <v>TJ / year</v>
      </c>
      <c r="H238" s="1479" t="str">
        <f>c_ALR2025!M5929</f>
        <v/>
      </c>
      <c r="I238" s="1532"/>
      <c r="J238" s="1811"/>
      <c r="K238" s="1751"/>
      <c r="L238" s="1751"/>
      <c r="M238" s="1751"/>
      <c r="N238" s="1752"/>
      <c r="O238" s="481"/>
      <c r="P238" s="9"/>
      <c r="Q238" s="1963" t="str">
        <f>EUconst_CNTR_HeatImportFuel &amp; I12</f>
        <v>HeatImFuel_Heat benchmark sub-installation, CL</v>
      </c>
      <c r="S238" s="1997" t="str">
        <f>EUconst_ERR_AttrEmBMapplied &amp; $I12</f>
        <v>ERR_AttrEmBM_Heat benchmark sub-installation, CL</v>
      </c>
      <c r="T238" s="1443">
        <f t="shared" ref="T238:Z238" si="107">IF(AND(H238&lt;&gt;0,H239="",EUconst_StatusOfDataCollection=FALSE),1,0)</f>
        <v>0</v>
      </c>
      <c r="U238" s="1443">
        <f t="shared" si="107"/>
        <v>0</v>
      </c>
      <c r="V238" s="1443">
        <f t="shared" si="107"/>
        <v>0</v>
      </c>
      <c r="W238" s="1443">
        <f t="shared" si="107"/>
        <v>0</v>
      </c>
      <c r="X238" s="1443">
        <f t="shared" si="107"/>
        <v>0</v>
      </c>
      <c r="Y238" s="1443">
        <f t="shared" si="107"/>
        <v>0</v>
      </c>
      <c r="Z238" s="1443">
        <f t="shared" si="107"/>
        <v>0</v>
      </c>
      <c r="AB238" s="1641" t="s">
        <v>717</v>
      </c>
      <c r="AC238" s="1443" t="b">
        <f>AC234</f>
        <v>0</v>
      </c>
      <c r="AD238" s="1443" t="b">
        <f t="shared" ref="AD238:AI238" si="108">AD234</f>
        <v>0</v>
      </c>
      <c r="AE238" s="1443" t="b">
        <f t="shared" si="108"/>
        <v>0</v>
      </c>
      <c r="AF238" s="1443" t="b">
        <f t="shared" si="108"/>
        <v>0</v>
      </c>
      <c r="AG238" s="1443" t="b">
        <f t="shared" si="108"/>
        <v>0</v>
      </c>
      <c r="AH238" s="1443" t="b">
        <f t="shared" si="108"/>
        <v>0</v>
      </c>
      <c r="AI238" s="1443" t="b">
        <f t="shared" si="108"/>
        <v>0</v>
      </c>
      <c r="AL238" s="1635" t="str">
        <f>IF(AND(CNTR_ExistSubInstEntries,COUNTIFS(AC238:AI238,2,H238:N238,"")&gt;0),EUconst_Error&amp;"FB"&amp;Q12,"")</f>
        <v/>
      </c>
      <c r="AO238" s="1121" t="b">
        <f t="shared" si="79"/>
        <v>0</v>
      </c>
    </row>
    <row r="239" spans="2:41" ht="12.75" customHeight="1">
      <c r="B239" s="467"/>
      <c r="C239" s="1056"/>
      <c r="D239" s="1061" t="s">
        <v>65</v>
      </c>
      <c r="E239" s="2475" t="s">
        <v>1491</v>
      </c>
      <c r="F239" s="2410"/>
      <c r="G239" s="815" t="str">
        <f>EUconst_tCO2pTJ</f>
        <v>t CO2 / TJ</v>
      </c>
      <c r="H239" s="1479" t="str">
        <f>c_ALR2025!M5930</f>
        <v/>
      </c>
      <c r="I239" s="1532"/>
      <c r="J239" s="1811"/>
      <c r="K239" s="1751"/>
      <c r="L239" s="1751"/>
      <c r="M239" s="1751"/>
      <c r="N239" s="1752"/>
      <c r="O239" s="481"/>
      <c r="P239" s="9"/>
      <c r="Q239" s="1963" t="str">
        <f>EUconst_CNTR_HeatImportFuelEF &amp; I12</f>
        <v>HeatImFuelEF_Heat benchmark sub-installation, CL</v>
      </c>
      <c r="S239" s="1968" t="str">
        <f>EUconst_CNTR_AttributedEmissions &amp; $I12</f>
        <v>AttrEmissions_Heat benchmark sub-installation, CL</v>
      </c>
      <c r="T239" s="1443" t="str">
        <f t="shared" ref="T239:Z239" si="109">IF(T20,SUM(H238)*IF(ISNUMBER(H239),H239,EUconst_HeatBMvalue),"")</f>
        <v/>
      </c>
      <c r="U239" s="1443" t="str">
        <f t="shared" si="109"/>
        <v/>
      </c>
      <c r="V239" s="1443" t="str">
        <f t="shared" si="109"/>
        <v/>
      </c>
      <c r="W239" s="1443" t="str">
        <f t="shared" si="109"/>
        <v/>
      </c>
      <c r="X239" s="1443" t="str">
        <f t="shared" si="109"/>
        <v/>
      </c>
      <c r="Y239" s="1443" t="str">
        <f t="shared" si="109"/>
        <v/>
      </c>
      <c r="Z239" s="1443" t="str">
        <f t="shared" si="109"/>
        <v/>
      </c>
      <c r="AB239" s="1435"/>
      <c r="AC239" s="1443" t="b">
        <f>AC235</f>
        <v>0</v>
      </c>
      <c r="AD239" s="1443" t="b">
        <f t="shared" ref="AD239:AI239" si="110">AD235</f>
        <v>0</v>
      </c>
      <c r="AE239" s="1443" t="b">
        <f t="shared" si="110"/>
        <v>0</v>
      </c>
      <c r="AF239" s="1443" t="b">
        <f t="shared" si="110"/>
        <v>0</v>
      </c>
      <c r="AG239" s="1443" t="b">
        <f t="shared" si="110"/>
        <v>0</v>
      </c>
      <c r="AH239" s="1443" t="b">
        <f t="shared" si="110"/>
        <v>0</v>
      </c>
      <c r="AI239" s="1443" t="b">
        <f t="shared" si="110"/>
        <v>0</v>
      </c>
      <c r="AL239" s="1635" t="str">
        <f>IF(AND(CNTR_ExistSubInstEntries,COUNTIFS(AC239:AI239,2,H239:N239,"")&gt;0),EUconst_Error&amp;"FB"&amp;Q12,"")</f>
        <v/>
      </c>
      <c r="AO239" s="1121" t="b">
        <f t="shared" si="79"/>
        <v>0</v>
      </c>
    </row>
    <row r="240" spans="2:41" ht="5.0999999999999996" customHeight="1">
      <c r="B240" s="467"/>
      <c r="C240" s="1056"/>
      <c r="D240" s="1057"/>
      <c r="E240" s="1057"/>
      <c r="F240" s="1057"/>
      <c r="G240" s="1057"/>
      <c r="H240" s="1057"/>
      <c r="I240" s="1057"/>
      <c r="J240" s="1965"/>
      <c r="K240" s="1966"/>
      <c r="L240" s="1966"/>
      <c r="M240" s="1966"/>
      <c r="N240" s="1967"/>
      <c r="O240" s="481"/>
      <c r="P240" s="481"/>
      <c r="Q240" s="1249"/>
      <c r="S240" s="1249"/>
      <c r="AB240" s="1435"/>
      <c r="AE240" s="1198"/>
      <c r="AF240" s="1198"/>
      <c r="AG240" s="1198"/>
      <c r="AH240" s="1198"/>
      <c r="AI240" s="1198"/>
      <c r="AO240" s="1121" t="b">
        <f t="shared" si="79"/>
        <v>0</v>
      </c>
    </row>
    <row r="241" spans="2:41" ht="12.75" customHeight="1">
      <c r="B241" s="467"/>
      <c r="C241" s="1056"/>
      <c r="D241" s="1057"/>
      <c r="E241" s="2648" t="s">
        <v>1327</v>
      </c>
      <c r="F241" s="2493"/>
      <c r="G241" s="987" t="str">
        <f>EUconst_Unit</f>
        <v>Unit</v>
      </c>
      <c r="H241" s="782">
        <f t="shared" ref="H241:N241" si="111">H$1190</f>
        <v>2024</v>
      </c>
      <c r="I241" s="988">
        <f t="shared" si="111"/>
        <v>2025</v>
      </c>
      <c r="J241" s="1810">
        <f t="shared" si="111"/>
        <v>2026</v>
      </c>
      <c r="K241" s="1747">
        <f t="shared" si="111"/>
        <v>2027</v>
      </c>
      <c r="L241" s="1747">
        <f t="shared" si="111"/>
        <v>2028</v>
      </c>
      <c r="M241" s="1747">
        <f t="shared" si="111"/>
        <v>2029</v>
      </c>
      <c r="N241" s="1748">
        <f t="shared" si="111"/>
        <v>2030</v>
      </c>
      <c r="O241" s="481"/>
      <c r="P241" s="481"/>
      <c r="Q241" s="1249"/>
      <c r="S241" s="1249"/>
      <c r="T241" s="1503">
        <f t="shared" ref="T241:Y241" si="112">H241</f>
        <v>2024</v>
      </c>
      <c r="U241" s="1503">
        <f t="shared" si="112"/>
        <v>2025</v>
      </c>
      <c r="V241" s="1503">
        <f t="shared" si="112"/>
        <v>2026</v>
      </c>
      <c r="W241" s="1503">
        <f t="shared" si="112"/>
        <v>2027</v>
      </c>
      <c r="X241" s="1503">
        <f t="shared" si="112"/>
        <v>2028</v>
      </c>
      <c r="Y241" s="1503">
        <f t="shared" si="112"/>
        <v>2029</v>
      </c>
      <c r="Z241" s="1503">
        <f>N241</f>
        <v>2030</v>
      </c>
      <c r="AB241" s="1435"/>
      <c r="AC241" s="1803">
        <f t="shared" ref="AC241:AI241" si="113">H$1190</f>
        <v>2024</v>
      </c>
      <c r="AD241" s="1803">
        <f t="shared" si="113"/>
        <v>2025</v>
      </c>
      <c r="AE241" s="1803">
        <f t="shared" si="113"/>
        <v>2026</v>
      </c>
      <c r="AF241" s="1803">
        <f t="shared" si="113"/>
        <v>2027</v>
      </c>
      <c r="AG241" s="1803">
        <f t="shared" si="113"/>
        <v>2028</v>
      </c>
      <c r="AH241" s="1803">
        <f t="shared" si="113"/>
        <v>2029</v>
      </c>
      <c r="AI241" s="1803">
        <f t="shared" si="113"/>
        <v>2030</v>
      </c>
      <c r="AO241" s="1121" t="b">
        <f t="shared" si="79"/>
        <v>0</v>
      </c>
    </row>
    <row r="242" spans="2:41" ht="12.75" customHeight="1">
      <c r="B242" s="467"/>
      <c r="C242" s="1056"/>
      <c r="D242" s="1061" t="s">
        <v>1105</v>
      </c>
      <c r="E242" s="2475" t="s">
        <v>1087</v>
      </c>
      <c r="F242" s="2410"/>
      <c r="G242" s="815" t="str">
        <f>EUconst_TJpa</f>
        <v>TJ / year</v>
      </c>
      <c r="H242" s="1479" t="str">
        <f>c_ALR2025!M5933</f>
        <v/>
      </c>
      <c r="I242" s="1532"/>
      <c r="J242" s="1811"/>
      <c r="K242" s="1751"/>
      <c r="L242" s="1751"/>
      <c r="M242" s="1751"/>
      <c r="N242" s="1752"/>
      <c r="O242" s="481"/>
      <c r="P242" s="9"/>
      <c r="Q242" s="1963" t="str">
        <f>EUconst_CNTR_WGImport &amp; I12</f>
        <v>WasteGasIm_Heat benchmark sub-installation, CL</v>
      </c>
      <c r="S242" s="1997" t="str">
        <f>EUconst_ERR_AttrEmBMapplied &amp; $I12</f>
        <v>ERR_AttrEmBM_Heat benchmark sub-installation, CL</v>
      </c>
      <c r="T242" s="1443">
        <f t="shared" ref="T242:Z242" si="114">IF(AND(H242&lt;&gt;0,EUconst_StatusOfDataCollection=FALSE),1,0)</f>
        <v>0</v>
      </c>
      <c r="U242" s="1443">
        <f t="shared" si="114"/>
        <v>0</v>
      </c>
      <c r="V242" s="1443">
        <f t="shared" si="114"/>
        <v>0</v>
      </c>
      <c r="W242" s="1443">
        <f t="shared" si="114"/>
        <v>0</v>
      </c>
      <c r="X242" s="1443">
        <f t="shared" si="114"/>
        <v>0</v>
      </c>
      <c r="Y242" s="1443">
        <f t="shared" si="114"/>
        <v>0</v>
      </c>
      <c r="Z242" s="1443">
        <f t="shared" si="114"/>
        <v>0</v>
      </c>
      <c r="AB242" s="1641" t="s">
        <v>717</v>
      </c>
      <c r="AC242" s="1443" t="b">
        <f>AC238</f>
        <v>0</v>
      </c>
      <c r="AD242" s="1443" t="b">
        <f t="shared" ref="AD242:AI242" si="115">AD238</f>
        <v>0</v>
      </c>
      <c r="AE242" s="1443" t="b">
        <f t="shared" si="115"/>
        <v>0</v>
      </c>
      <c r="AF242" s="1443" t="b">
        <f t="shared" si="115"/>
        <v>0</v>
      </c>
      <c r="AG242" s="1443" t="b">
        <f t="shared" si="115"/>
        <v>0</v>
      </c>
      <c r="AH242" s="1443" t="b">
        <f t="shared" si="115"/>
        <v>0</v>
      </c>
      <c r="AI242" s="1443" t="b">
        <f t="shared" si="115"/>
        <v>0</v>
      </c>
      <c r="AL242" s="1635" t="str">
        <f>IF(AND(CNTR_ExistSubInstEntries,COUNTIFS(AC242:AI242,2,H242:N242,"")&gt;0),EUconst_Error&amp;"FB"&amp;Q12,"")</f>
        <v/>
      </c>
      <c r="AO242" s="1121" t="b">
        <f t="shared" si="79"/>
        <v>0</v>
      </c>
    </row>
    <row r="243" spans="2:41" ht="12.75" customHeight="1">
      <c r="B243" s="467"/>
      <c r="C243" s="1056"/>
      <c r="D243" s="1061" t="s">
        <v>1106</v>
      </c>
      <c r="E243" s="2475" t="s">
        <v>1492</v>
      </c>
      <c r="F243" s="2410"/>
      <c r="G243" s="815" t="str">
        <f>EUconst_tCO2pTJ</f>
        <v>t CO2 / TJ</v>
      </c>
      <c r="H243" s="1479" t="str">
        <f>c_ALR2025!M5934</f>
        <v/>
      </c>
      <c r="I243" s="1532"/>
      <c r="J243" s="1811"/>
      <c r="K243" s="1751"/>
      <c r="L243" s="1751"/>
      <c r="M243" s="1751"/>
      <c r="N243" s="1752"/>
      <c r="O243" s="481"/>
      <c r="P243" s="9"/>
      <c r="Q243" s="1963" t="str">
        <f>EUconst_CNTR_WGImportEF &amp; I12</f>
        <v>WasteGasImEF_Heat benchmark sub-installation, CL</v>
      </c>
      <c r="S243" s="1968" t="str">
        <f>EUconst_CNTR_AttributedEmissions &amp; $I12</f>
        <v>AttrEmissions_Heat benchmark sub-installation, CL</v>
      </c>
      <c r="T243" s="1443" t="str">
        <f t="shared" ref="T243:Z243" si="116">IF(T20,SUM(H242)*IF(ISNUMBER(H243),H243,EUconst_HeatBMvalue),"")</f>
        <v/>
      </c>
      <c r="U243" s="1443" t="str">
        <f t="shared" si="116"/>
        <v/>
      </c>
      <c r="V243" s="1443" t="str">
        <f t="shared" si="116"/>
        <v/>
      </c>
      <c r="W243" s="1443" t="str">
        <f t="shared" si="116"/>
        <v/>
      </c>
      <c r="X243" s="1443" t="str">
        <f t="shared" si="116"/>
        <v/>
      </c>
      <c r="Y243" s="1443" t="str">
        <f t="shared" si="116"/>
        <v/>
      </c>
      <c r="Z243" s="1443" t="str">
        <f t="shared" si="116"/>
        <v/>
      </c>
      <c r="AC243" s="1443" t="b">
        <f>AC239</f>
        <v>0</v>
      </c>
      <c r="AD243" s="1443" t="b">
        <f t="shared" ref="AD243:AI243" si="117">AD239</f>
        <v>0</v>
      </c>
      <c r="AE243" s="1443" t="b">
        <f t="shared" si="117"/>
        <v>0</v>
      </c>
      <c r="AF243" s="1443" t="b">
        <f t="shared" si="117"/>
        <v>0</v>
      </c>
      <c r="AG243" s="1443" t="b">
        <f t="shared" si="117"/>
        <v>0</v>
      </c>
      <c r="AH243" s="1443" t="b">
        <f t="shared" si="117"/>
        <v>0</v>
      </c>
      <c r="AI243" s="1443" t="b">
        <f t="shared" si="117"/>
        <v>0</v>
      </c>
      <c r="AL243" s="1635" t="str">
        <f>IF(AND(CNTR_ExistSubInstEntries,COUNTIFS(AC243:AI243,2,H243:N243,"")&gt;0),EUconst_Error&amp;"FB"&amp;Q12,"")</f>
        <v/>
      </c>
      <c r="AO243" s="1121" t="b">
        <f t="shared" si="79"/>
        <v>0</v>
      </c>
    </row>
    <row r="244" spans="2:41" ht="5.0999999999999996" customHeight="1">
      <c r="B244" s="467"/>
      <c r="C244" s="1056"/>
      <c r="D244" s="1057"/>
      <c r="E244" s="1057"/>
      <c r="F244" s="1057"/>
      <c r="G244" s="1057"/>
      <c r="H244" s="1057"/>
      <c r="I244" s="1057"/>
      <c r="J244" s="1965"/>
      <c r="K244" s="1966"/>
      <c r="L244" s="1966"/>
      <c r="M244" s="1966"/>
      <c r="N244" s="1967"/>
      <c r="O244" s="481"/>
      <c r="P244" s="481"/>
      <c r="Q244" s="1249"/>
      <c r="S244" s="1249"/>
      <c r="T244" s="1249"/>
      <c r="AO244" s="1121" t="b">
        <f t="shared" si="79"/>
        <v>0</v>
      </c>
    </row>
    <row r="245" spans="2:41" ht="12.75" customHeight="1">
      <c r="B245" s="467"/>
      <c r="C245" s="1056"/>
      <c r="D245" s="1061" t="s">
        <v>1108</v>
      </c>
      <c r="E245" s="2475" t="s">
        <v>1169</v>
      </c>
      <c r="F245" s="2410"/>
      <c r="G245" s="815" t="str">
        <f>EUconst_TJpa</f>
        <v>TJ / year</v>
      </c>
      <c r="H245" s="646" t="str">
        <f t="shared" ref="H245:N245" si="118">IF(COUNT(H226,H230,H234,H238,H242)&gt;0,SUM(H226,H230,H234,H238,H242),"")</f>
        <v/>
      </c>
      <c r="I245" s="949" t="str">
        <f t="shared" si="118"/>
        <v/>
      </c>
      <c r="J245" s="1811" t="str">
        <f t="shared" si="118"/>
        <v/>
      </c>
      <c r="K245" s="1751" t="str">
        <f t="shared" si="118"/>
        <v/>
      </c>
      <c r="L245" s="1751" t="str">
        <f t="shared" si="118"/>
        <v/>
      </c>
      <c r="M245" s="1751" t="str">
        <f t="shared" si="118"/>
        <v/>
      </c>
      <c r="N245" s="1752" t="str">
        <f t="shared" si="118"/>
        <v/>
      </c>
      <c r="O245" s="481"/>
      <c r="P245" s="481"/>
      <c r="S245" s="1249"/>
      <c r="T245" s="1249"/>
      <c r="AO245" s="1121" t="b">
        <f t="shared" si="79"/>
        <v>0</v>
      </c>
    </row>
    <row r="246" spans="2:41" ht="12.75" customHeight="1" thickBot="1">
      <c r="B246" s="467"/>
      <c r="C246" s="1063"/>
      <c r="D246" s="1064"/>
      <c r="E246" s="1064"/>
      <c r="F246" s="1064"/>
      <c r="G246" s="1064"/>
      <c r="H246" s="1064"/>
      <c r="I246" s="1064"/>
      <c r="J246" s="1064"/>
      <c r="K246" s="1064"/>
      <c r="L246" s="1064"/>
      <c r="M246" s="1065"/>
      <c r="N246" s="1066"/>
      <c r="O246" s="481"/>
      <c r="P246" s="481"/>
      <c r="Q246" s="1249"/>
      <c r="S246" s="1249"/>
      <c r="AO246" s="1121" t="b">
        <f t="shared" si="79"/>
        <v>0</v>
      </c>
    </row>
    <row r="247" spans="2:41" ht="25.5" customHeight="1" thickBot="1">
      <c r="B247" s="1124"/>
      <c r="C247" s="485"/>
      <c r="D247" s="485"/>
      <c r="E247" s="485"/>
      <c r="F247" s="485"/>
      <c r="G247" s="485"/>
      <c r="H247" s="485"/>
      <c r="I247" s="485"/>
      <c r="J247" s="485"/>
      <c r="K247" s="485"/>
      <c r="L247" s="485"/>
      <c r="M247" s="485"/>
      <c r="N247" s="485"/>
      <c r="O247" s="481"/>
      <c r="P247" s="481"/>
    </row>
    <row r="248" spans="2:41" ht="5.0999999999999996" customHeight="1" thickBot="1">
      <c r="B248" s="467"/>
      <c r="C248" s="686"/>
      <c r="D248" s="686"/>
      <c r="E248" s="686"/>
      <c r="F248" s="686"/>
      <c r="G248" s="686"/>
      <c r="H248" s="686"/>
      <c r="I248" s="686"/>
      <c r="J248" s="686"/>
      <c r="K248" s="686"/>
      <c r="L248" s="686"/>
      <c r="M248" s="686"/>
      <c r="N248" s="686"/>
      <c r="O248" s="481"/>
      <c r="P248" s="481"/>
      <c r="Q248" s="1969"/>
      <c r="R248" s="1969"/>
      <c r="S248" s="1969"/>
      <c r="T248" s="1969"/>
      <c r="U248" s="1969"/>
      <c r="V248" s="1969"/>
      <c r="W248" s="1969"/>
      <c r="X248" s="1969"/>
      <c r="Y248" s="1969"/>
      <c r="Z248" s="1969"/>
      <c r="AA248" s="1969"/>
      <c r="AB248" s="1969"/>
      <c r="AC248" s="1969"/>
      <c r="AD248" s="1969"/>
      <c r="AE248" s="1969"/>
      <c r="AF248" s="1969"/>
      <c r="AG248" s="1969"/>
      <c r="AH248" s="1969"/>
      <c r="AI248" s="1969"/>
      <c r="AJ248" s="1969"/>
      <c r="AK248" s="1969"/>
      <c r="AL248" s="1969"/>
    </row>
    <row r="249" spans="2:41" ht="14.45" customHeight="1" thickBot="1">
      <c r="B249" s="467"/>
      <c r="C249" s="559">
        <f>C12+1</f>
        <v>2</v>
      </c>
      <c r="D249" s="2482" t="str">
        <f>EUconst_FBSubinst &amp; ":"</f>
        <v>Fall-Back sub-installation:</v>
      </c>
      <c r="E249" s="2400"/>
      <c r="F249" s="2400"/>
      <c r="G249" s="2400"/>
      <c r="H249" s="2585"/>
      <c r="I249" s="3293" t="str">
        <f>INDEX(EUconst_FallBackListNames,$C249)</f>
        <v>Heat benchmark sub-installation, non-CL</v>
      </c>
      <c r="J249" s="3294"/>
      <c r="K249" s="3294"/>
      <c r="L249" s="3295"/>
      <c r="M249" s="3370" t="str">
        <f>IF(INDEX(CNTR_FallBackSubInstRelevant,C249)="","",IF(INDEX(CNTR_FallBackSubInstRelevant,C249),EUconst_Relevant,EUconst_NotRelevant))</f>
        <v/>
      </c>
      <c r="N249" s="3371"/>
      <c r="O249" s="481"/>
      <c r="P249" s="481"/>
      <c r="Q249" s="1889">
        <f>C249</f>
        <v>2</v>
      </c>
      <c r="S249" s="1633" t="s">
        <v>558</v>
      </c>
      <c r="T249" s="1634" t="str">
        <f>IF(M249&lt;&gt;EUconst_Relevant,"",MAX(INDEX(CNTR_SubInstStartDate,MATCH($I249,CNTR_SubInstListNames,0)),DATE(2005,1,1)))</f>
        <v/>
      </c>
      <c r="U249" s="1435" t="s">
        <v>1673</v>
      </c>
      <c r="V249" s="1635">
        <f>IF(ISNUMBER(T249),YEAR($T249-1)+1,2005)</f>
        <v>2005</v>
      </c>
      <c r="W249" s="1633" t="s">
        <v>1676</v>
      </c>
      <c r="X249" s="1634" t="str">
        <f>IF(M249&lt;&gt;EUconst_Relevant,"",INDEX(CNTR_SubInstCessationDate,MATCH($I249,CNTR_SubInstListNames,0)))</f>
        <v/>
      </c>
      <c r="Y249" s="1633" t="s">
        <v>1677</v>
      </c>
      <c r="Z249" s="1635">
        <f>IF(SUM(X249)=0,2050,YEAR($X249))</f>
        <v>2050</v>
      </c>
      <c r="AA249" s="1633" t="s">
        <v>1925</v>
      </c>
      <c r="AB249" s="1635" t="b">
        <f>CNTR_ReportingYear&gt;V249</f>
        <v>1</v>
      </c>
      <c r="AC249" s="1633" t="s">
        <v>1343</v>
      </c>
      <c r="AD249" s="1848" t="b">
        <f>AND(CNTR_ExistSubInstEntries,M249=EUconst_NotRelevant)</f>
        <v>0</v>
      </c>
    </row>
    <row r="250" spans="2:41" ht="12.75" customHeight="1">
      <c r="B250" s="1124"/>
      <c r="C250" s="485"/>
      <c r="D250" s="485"/>
      <c r="E250" s="485"/>
      <c r="F250" s="485"/>
      <c r="G250" s="485"/>
      <c r="H250" s="484"/>
      <c r="I250" s="2716" t="str">
        <f>IF(M249&lt;&gt;EUconst_Relevant,"",IF(M249=EUconst_Relevant,HYPERLINK("",EUconst_MsgEnterThisSection),HYPERLINK(R250,EUconst_MsgGoToNextSubInst)))</f>
        <v/>
      </c>
      <c r="J250" s="2717"/>
      <c r="K250" s="2717"/>
      <c r="L250" s="2717"/>
      <c r="M250" s="2718"/>
      <c r="N250" s="2719"/>
      <c r="O250" s="481"/>
      <c r="P250" s="481"/>
      <c r="Q250" s="1198" t="s">
        <v>441</v>
      </c>
      <c r="R250" s="1303" t="str">
        <f>"#JUMP_G"&amp;Q249+1</f>
        <v>#JUMP_G3</v>
      </c>
      <c r="Z250" s="1435"/>
    </row>
    <row r="251" spans="2:41" ht="12.75" customHeight="1">
      <c r="B251" s="467"/>
      <c r="C251" s="467"/>
      <c r="D251" s="485"/>
      <c r="E251" s="2385" t="s">
        <v>1197</v>
      </c>
      <c r="F251" s="2846"/>
      <c r="G251" s="2846"/>
      <c r="H251" s="2846"/>
      <c r="I251" s="2846"/>
      <c r="J251" s="2846"/>
      <c r="K251" s="2846"/>
      <c r="L251" s="2846"/>
      <c r="M251" s="2846"/>
      <c r="N251" s="2846"/>
      <c r="O251" s="481"/>
      <c r="P251" s="481"/>
      <c r="Q251" s="1249"/>
      <c r="R251" s="1249"/>
      <c r="AO251" s="1121" t="b">
        <f>$AD$249</f>
        <v>0</v>
      </c>
    </row>
    <row r="252" spans="2:41" ht="5.0999999999999996" customHeight="1">
      <c r="B252" s="467"/>
      <c r="C252" s="467"/>
      <c r="D252" s="467"/>
      <c r="E252" s="467"/>
      <c r="F252" s="467"/>
      <c r="G252" s="467"/>
      <c r="H252" s="467"/>
      <c r="I252" s="467"/>
      <c r="J252" s="467"/>
      <c r="K252" s="467"/>
      <c r="L252" s="467"/>
      <c r="M252" s="481"/>
      <c r="N252" s="481"/>
      <c r="O252" s="481"/>
      <c r="P252" s="481"/>
      <c r="Q252" s="1249"/>
      <c r="R252" s="1249"/>
      <c r="S252" s="1249"/>
      <c r="T252" s="1249"/>
      <c r="U252" s="1249"/>
      <c r="V252" s="1249"/>
      <c r="W252" s="1249"/>
      <c r="X252" s="1249"/>
      <c r="Y252" s="1249"/>
      <c r="AO252" s="1121" t="b">
        <f t="shared" ref="AO252:AO315" si="119">$AD$249</f>
        <v>0</v>
      </c>
    </row>
    <row r="253" spans="2:41" ht="12.75" customHeight="1">
      <c r="B253" s="467"/>
      <c r="C253" s="482"/>
      <c r="D253" s="482" t="s">
        <v>400</v>
      </c>
      <c r="E253" s="2373" t="s">
        <v>1930</v>
      </c>
      <c r="F253" s="2400"/>
      <c r="G253" s="2400"/>
      <c r="H253" s="2400"/>
      <c r="I253" s="2400"/>
      <c r="J253" s="2400"/>
      <c r="K253" s="2400"/>
      <c r="L253" s="2400"/>
      <c r="M253" s="2400"/>
      <c r="N253" s="2400"/>
      <c r="O253" s="481"/>
      <c r="P253" s="481"/>
      <c r="Q253" s="1249"/>
      <c r="R253" s="1249"/>
      <c r="S253" s="1249"/>
      <c r="T253" s="1249"/>
      <c r="U253" s="1249"/>
      <c r="V253" s="1249"/>
      <c r="W253" s="1249"/>
      <c r="X253" s="1249"/>
      <c r="Y253" s="1249"/>
      <c r="AB253" s="1435"/>
      <c r="AO253" s="1121" t="b">
        <f t="shared" si="119"/>
        <v>0</v>
      </c>
    </row>
    <row r="254" spans="2:41" ht="12.75" customHeight="1">
      <c r="B254" s="467"/>
      <c r="C254" s="485"/>
      <c r="D254" s="485"/>
      <c r="E254" s="3184" t="s">
        <v>1340</v>
      </c>
      <c r="F254" s="3184"/>
      <c r="G254" s="3184"/>
      <c r="H254" s="3184"/>
      <c r="I254" s="3184"/>
      <c r="J254" s="3184"/>
      <c r="K254" s="3184"/>
      <c r="L254" s="3184"/>
      <c r="M254" s="3184"/>
      <c r="N254" s="3184"/>
      <c r="O254" s="481"/>
      <c r="P254" s="481"/>
      <c r="Q254" s="1249"/>
      <c r="AO254" s="1121" t="b">
        <f t="shared" si="119"/>
        <v>0</v>
      </c>
    </row>
    <row r="255" spans="2:41" ht="12.75" customHeight="1">
      <c r="B255" s="467"/>
      <c r="C255" s="467"/>
      <c r="D255" s="485"/>
      <c r="E255" s="3050" t="s">
        <v>1959</v>
      </c>
      <c r="F255" s="2584"/>
      <c r="G255" s="2584"/>
      <c r="H255" s="2584"/>
      <c r="I255" s="2584"/>
      <c r="J255" s="2584"/>
      <c r="K255" s="2584"/>
      <c r="L255" s="2584"/>
      <c r="M255" s="2584"/>
      <c r="N255" s="2584"/>
      <c r="O255" s="481"/>
      <c r="P255" s="481"/>
      <c r="Q255" s="1249"/>
      <c r="AA255" s="1435"/>
      <c r="AB255" s="1435"/>
      <c r="AO255" s="1121" t="b">
        <f t="shared" si="119"/>
        <v>0</v>
      </c>
    </row>
    <row r="256" spans="2:41" ht="12.75" customHeight="1" thickBot="1">
      <c r="B256" s="1124"/>
      <c r="C256" s="482"/>
      <c r="D256" s="482"/>
      <c r="E256" s="707" t="s">
        <v>920</v>
      </c>
      <c r="F256" s="518"/>
      <c r="G256" s="663" t="str">
        <f>EUconst_Unit</f>
        <v>Unit</v>
      </c>
      <c r="H256" s="578">
        <f t="shared" ref="H256:N256" si="120">H$1190</f>
        <v>2024</v>
      </c>
      <c r="I256" s="697">
        <f t="shared" si="120"/>
        <v>2025</v>
      </c>
      <c r="J256" s="1489">
        <f t="shared" si="120"/>
        <v>2026</v>
      </c>
      <c r="K256" s="1490">
        <f t="shared" si="120"/>
        <v>2027</v>
      </c>
      <c r="L256" s="1490">
        <f t="shared" si="120"/>
        <v>2028</v>
      </c>
      <c r="M256" s="1490">
        <f t="shared" si="120"/>
        <v>2029</v>
      </c>
      <c r="N256" s="1490">
        <f t="shared" si="120"/>
        <v>2030</v>
      </c>
      <c r="O256" s="481"/>
      <c r="P256" s="481"/>
      <c r="Q256" s="1504" t="s">
        <v>546</v>
      </c>
      <c r="T256" s="1638">
        <f t="shared" ref="T256:Z256" si="121">H256</f>
        <v>2024</v>
      </c>
      <c r="U256" s="1638">
        <f t="shared" si="121"/>
        <v>2025</v>
      </c>
      <c r="V256" s="1638">
        <f t="shared" si="121"/>
        <v>2026</v>
      </c>
      <c r="W256" s="1638">
        <f t="shared" si="121"/>
        <v>2027</v>
      </c>
      <c r="X256" s="1638">
        <f t="shared" si="121"/>
        <v>2028</v>
      </c>
      <c r="Y256" s="1638">
        <f t="shared" si="121"/>
        <v>2029</v>
      </c>
      <c r="Z256" s="1638">
        <f t="shared" si="121"/>
        <v>2030</v>
      </c>
      <c r="AA256" s="1435"/>
      <c r="AB256" s="1435"/>
      <c r="AO256" s="1121" t="b">
        <f t="shared" si="119"/>
        <v>0</v>
      </c>
    </row>
    <row r="257" spans="1:41" ht="12.75" customHeight="1" thickBot="1">
      <c r="B257" s="1124"/>
      <c r="C257" s="485"/>
      <c r="D257" s="561" t="s">
        <v>6</v>
      </c>
      <c r="E257" s="3296" t="str">
        <f>I249</f>
        <v>Heat benchmark sub-installation, non-CL</v>
      </c>
      <c r="F257" s="3296"/>
      <c r="G257" s="898" t="str">
        <f>INDEX(EUconst_FallBackListUnits,MATCH(E257,EUconst_FallBackListNames,0))</f>
        <v>TJ</v>
      </c>
      <c r="H257" s="668" t="str">
        <f>IF($M249&lt;&gt;EUconst_Relevant,"",IF(H256&gt;=CNTR_ReportingYear,"",IF(AND(H256&gt;=$V249-1,ISNUMBER(INDEX(E_EnergyFlows!H$400:H$406,MATCH($E257,E_EnergyFlows!$E$400:$E$406,0)))),INDEX(E_EnergyFlows!H$400:H$406,MATCH($E257,E_EnergyFlows!$E$400:$E$406,0)),0)))</f>
        <v/>
      </c>
      <c r="I257" s="1021" t="str">
        <f>IF($M249&lt;&gt;EUconst_Relevant,"",IF(I256&gt;=CNTR_ReportingYear,"",IF(AND(I256&gt;=$V249-1,ISNUMBER(INDEX(E_EnergyFlows!I$400:I$406,MATCH($E257,E_EnergyFlows!$E$400:$E$406,0)))),INDEX(E_EnergyFlows!I$400:I$406,MATCH($E257,E_EnergyFlows!$E$400:$E$406,0)),0)))</f>
        <v/>
      </c>
      <c r="J257" s="1491" t="str">
        <f>IF($M249&lt;&gt;EUconst_Relevant,"",IF(J256&gt;=CNTR_ReportingYear,"",IF(AND(J256&gt;=$V249-1,ISNUMBER(INDEX(E_EnergyFlows!J$400:J$406,MATCH($E257,E_EnergyFlows!$E$400:$E$406,0)))),INDEX(E_EnergyFlows!J$400:J$406,MATCH($E257,E_EnergyFlows!$E$400:$E$406,0)),0)))</f>
        <v/>
      </c>
      <c r="K257" s="1492" t="str">
        <f>IF($M249&lt;&gt;EUconst_Relevant,"",IF(K256&gt;=CNTR_ReportingYear,"",IF(AND(K256&gt;=$V249-1,ISNUMBER(INDEX(E_EnergyFlows!K$400:K$406,MATCH($E257,E_EnergyFlows!$E$400:$E$406,0)))),INDEX(E_EnergyFlows!K$400:K$406,MATCH($E257,E_EnergyFlows!$E$400:$E$406,0)),0)))</f>
        <v/>
      </c>
      <c r="L257" s="1492" t="str">
        <f>IF($M249&lt;&gt;EUconst_Relevant,"",IF(L256&gt;=CNTR_ReportingYear,"",IF(AND(L256&gt;=$V249-1,ISNUMBER(INDEX(E_EnergyFlows!L$400:L$406,MATCH($E257,E_EnergyFlows!$E$400:$E$406,0)))),INDEX(E_EnergyFlows!L$400:L$406,MATCH($E257,E_EnergyFlows!$E$400:$E$406,0)),0)))</f>
        <v/>
      </c>
      <c r="M257" s="1492" t="str">
        <f>IF($M249&lt;&gt;EUconst_Relevant,"",IF(M256&gt;=CNTR_ReportingYear,"",IF(AND(M256&gt;=$V249-1,ISNUMBER(INDEX(E_EnergyFlows!M$400:M$406,MATCH($E257,E_EnergyFlows!$E$400:$E$406,0)))),INDEX(E_EnergyFlows!M$400:M$406,MATCH($E257,E_EnergyFlows!$E$400:$E$406,0)),0)))</f>
        <v/>
      </c>
      <c r="N257" s="1492" t="str">
        <f>IF($M249&lt;&gt;EUconst_Relevant,"",IF(N256&gt;=CNTR_ReportingYear,"",IF(AND(N256&gt;=$V249-1,ISNUMBER(INDEX(E_EnergyFlows!N$400:N$406,MATCH($E257,E_EnergyFlows!$E$400:$E$406,0)))),INDEX(E_EnergyFlows!N$400:N$406,MATCH($E257,E_EnergyFlows!$E$400:$E$406,0)),0)))</f>
        <v/>
      </c>
      <c r="O257" s="1136"/>
      <c r="P257" s="481"/>
      <c r="Q257" s="1892" t="str">
        <f>EUconst_CNTR_HAL&amp;E257</f>
        <v>HAL_Heat benchmark sub-installation, non-CL</v>
      </c>
      <c r="S257" s="1893" t="s">
        <v>1674</v>
      </c>
      <c r="T257" s="1981" t="b">
        <f t="shared" ref="T257:Z257" si="122">AND($M249=EUconst_Relevant,T256&lt;CNTR_ReportingYear,T256&gt;=$V249-1)</f>
        <v>0</v>
      </c>
      <c r="U257" s="1982" t="b">
        <f t="shared" si="122"/>
        <v>0</v>
      </c>
      <c r="V257" s="1982" t="b">
        <f t="shared" si="122"/>
        <v>0</v>
      </c>
      <c r="W257" s="1982" t="b">
        <f t="shared" si="122"/>
        <v>0</v>
      </c>
      <c r="X257" s="1982" t="b">
        <f t="shared" si="122"/>
        <v>0</v>
      </c>
      <c r="Y257" s="1982" t="b">
        <f t="shared" si="122"/>
        <v>0</v>
      </c>
      <c r="Z257" s="1983" t="b">
        <f t="shared" si="122"/>
        <v>0</v>
      </c>
      <c r="AC257" s="1893"/>
      <c r="AK257" s="1633" t="s">
        <v>1951</v>
      </c>
      <c r="AL257" s="1443" t="str">
        <f>IF(COUNTIFS(H256:N256,"&lt;"&amp;YEAR(SUM(T249)),H257:N257,"&gt;"&amp;0)&gt;0,EUconst_Error&amp;"FB"&amp;Q249,"")</f>
        <v/>
      </c>
      <c r="AO257" s="1121" t="b">
        <f t="shared" si="119"/>
        <v>0</v>
      </c>
    </row>
    <row r="258" spans="1:41" ht="5.0999999999999996" customHeight="1">
      <c r="B258" s="479"/>
      <c r="C258" s="479"/>
      <c r="D258" s="485"/>
      <c r="E258" s="485"/>
      <c r="F258" s="485"/>
      <c r="G258" s="485"/>
      <c r="H258" s="485"/>
      <c r="I258" s="485"/>
      <c r="J258" s="485"/>
      <c r="K258" s="485"/>
      <c r="L258" s="485"/>
      <c r="M258" s="485"/>
      <c r="N258" s="485"/>
      <c r="O258" s="485"/>
      <c r="P258" s="481"/>
      <c r="Q258" s="1435"/>
      <c r="S258" s="1435"/>
      <c r="T258" s="1435"/>
      <c r="Z258" s="1435"/>
      <c r="AB258" s="1435"/>
      <c r="AO258" s="1121" t="b">
        <f t="shared" si="119"/>
        <v>0</v>
      </c>
    </row>
    <row r="259" spans="1:41" ht="25.5" customHeight="1">
      <c r="B259" s="479"/>
      <c r="C259" s="479"/>
      <c r="D259" s="485"/>
      <c r="E259" s="2385" t="s">
        <v>1712</v>
      </c>
      <c r="F259" s="2846"/>
      <c r="G259" s="2846"/>
      <c r="H259" s="2846"/>
      <c r="I259" s="2846"/>
      <c r="J259" s="2846"/>
      <c r="K259" s="2846"/>
      <c r="L259" s="2846"/>
      <c r="M259" s="2846"/>
      <c r="N259" s="2846"/>
      <c r="O259" s="485"/>
      <c r="P259" s="481"/>
      <c r="Q259" s="1435"/>
      <c r="S259" s="1435"/>
      <c r="T259" s="1435"/>
      <c r="U259" s="1435"/>
      <c r="AE259" s="1198"/>
      <c r="AF259" s="1198"/>
      <c r="AG259" s="1198"/>
      <c r="AH259" s="1198"/>
      <c r="AI259" s="1198"/>
      <c r="AJ259" s="1198"/>
      <c r="AK259" s="1198"/>
      <c r="AL259" s="1198"/>
      <c r="AO259" s="1121" t="b">
        <f t="shared" si="119"/>
        <v>0</v>
      </c>
    </row>
    <row r="260" spans="1:41" ht="14.1" customHeight="1">
      <c r="B260" s="479"/>
      <c r="C260" s="479"/>
      <c r="D260" s="485"/>
      <c r="E260" s="901" t="s">
        <v>1021</v>
      </c>
      <c r="F260" s="3050" t="s">
        <v>2711</v>
      </c>
      <c r="G260" s="2584"/>
      <c r="H260" s="2584"/>
      <c r="I260" s="2584"/>
      <c r="J260" s="2584"/>
      <c r="K260" s="2584"/>
      <c r="L260" s="2584"/>
      <c r="M260" s="2584"/>
      <c r="N260" s="2584"/>
      <c r="O260" s="485"/>
      <c r="P260" s="481"/>
      <c r="Q260" s="1435"/>
      <c r="S260" s="1435"/>
      <c r="T260" s="1435"/>
      <c r="U260" s="1435"/>
      <c r="AE260" s="1198"/>
      <c r="AF260" s="1198"/>
      <c r="AG260" s="1198"/>
      <c r="AH260" s="1198"/>
      <c r="AI260" s="1198"/>
      <c r="AJ260" s="1198"/>
      <c r="AK260" s="1198"/>
      <c r="AL260" s="1198"/>
      <c r="AO260" s="1121" t="b">
        <f t="shared" si="119"/>
        <v>0</v>
      </c>
    </row>
    <row r="261" spans="1:41" ht="12.75" customHeight="1">
      <c r="B261" s="479"/>
      <c r="C261" s="479"/>
      <c r="D261" s="485"/>
      <c r="E261" s="901" t="s">
        <v>1021</v>
      </c>
      <c r="F261" s="3050" t="s">
        <v>1985</v>
      </c>
      <c r="G261" s="2584"/>
      <c r="H261" s="2584"/>
      <c r="I261" s="2584"/>
      <c r="J261" s="2584"/>
      <c r="K261" s="2584"/>
      <c r="L261" s="2584"/>
      <c r="M261" s="2584"/>
      <c r="N261" s="2584"/>
      <c r="O261" s="485"/>
      <c r="P261" s="481"/>
      <c r="Q261" s="1435"/>
      <c r="S261" s="1435"/>
      <c r="T261" s="1435"/>
      <c r="U261" s="1435"/>
      <c r="AE261" s="1198"/>
      <c r="AF261" s="1198"/>
      <c r="AG261" s="1198"/>
      <c r="AH261" s="1198"/>
      <c r="AI261" s="1198"/>
      <c r="AJ261" s="1198"/>
      <c r="AK261" s="1198"/>
      <c r="AL261" s="1198"/>
      <c r="AO261" s="1121" t="b">
        <f t="shared" si="119"/>
        <v>0</v>
      </c>
    </row>
    <row r="262" spans="1:41" ht="12.75" customHeight="1" thickBot="1">
      <c r="B262" s="479"/>
      <c r="C262" s="479"/>
      <c r="D262" s="485"/>
      <c r="E262" s="901" t="s">
        <v>2742</v>
      </c>
      <c r="F262" s="3050" t="s">
        <v>2743</v>
      </c>
      <c r="G262" s="2584"/>
      <c r="H262" s="2584"/>
      <c r="I262" s="2584"/>
      <c r="J262" s="2584"/>
      <c r="K262" s="2584"/>
      <c r="L262" s="2584"/>
      <c r="M262" s="2584"/>
      <c r="N262" s="2584"/>
      <c r="O262" s="485"/>
      <c r="P262" s="481"/>
      <c r="Q262" s="1435"/>
      <c r="S262" s="1435"/>
      <c r="T262" s="1435"/>
      <c r="U262" s="1435"/>
      <c r="AE262" s="1198"/>
      <c r="AF262" s="1198"/>
      <c r="AG262" s="1198"/>
      <c r="AH262" s="1198"/>
      <c r="AI262" s="1198"/>
      <c r="AJ262" s="1198"/>
      <c r="AK262" s="1198"/>
      <c r="AL262" s="1198"/>
      <c r="AO262" s="1121" t="b">
        <f t="shared" si="119"/>
        <v>0</v>
      </c>
    </row>
    <row r="263" spans="1:41" ht="5.0999999999999996" customHeight="1" thickBot="1">
      <c r="B263" s="479"/>
      <c r="C263" s="479"/>
      <c r="D263" s="902"/>
      <c r="E263" s="903"/>
      <c r="F263" s="904"/>
      <c r="G263" s="905"/>
      <c r="H263" s="905"/>
      <c r="I263" s="905"/>
      <c r="J263" s="906"/>
      <c r="K263" s="1798"/>
      <c r="L263" s="1798"/>
      <c r="M263" s="1798"/>
      <c r="N263" s="1798"/>
      <c r="O263" s="485"/>
      <c r="P263" s="481"/>
      <c r="Q263" s="1435"/>
      <c r="S263" s="1435"/>
      <c r="T263" s="1435"/>
      <c r="U263" s="1435"/>
      <c r="AE263" s="1198"/>
      <c r="AF263" s="1198"/>
      <c r="AG263" s="1198"/>
      <c r="AH263" s="1198"/>
      <c r="AI263" s="1198"/>
      <c r="AJ263" s="1198"/>
      <c r="AK263" s="1198"/>
      <c r="AL263" s="1198"/>
      <c r="AO263" s="1121" t="b">
        <f t="shared" si="119"/>
        <v>0</v>
      </c>
    </row>
    <row r="264" spans="1:41" ht="12.75" customHeight="1">
      <c r="B264" s="479"/>
      <c r="C264" s="479"/>
      <c r="D264" s="918"/>
      <c r="E264" s="908" t="s">
        <v>1652</v>
      </c>
      <c r="F264" s="909"/>
      <c r="G264" s="909"/>
      <c r="H264" s="910" t="str">
        <f>EUconst_Unit</f>
        <v>Unit</v>
      </c>
      <c r="I264" s="911" t="s">
        <v>2212</v>
      </c>
      <c r="J264" s="1647">
        <f>J$1190</f>
        <v>2026</v>
      </c>
      <c r="K264" s="1490">
        <f>K$1190</f>
        <v>2027</v>
      </c>
      <c r="L264" s="1490">
        <f>L$1190</f>
        <v>2028</v>
      </c>
      <c r="M264" s="1490">
        <f>M$1190</f>
        <v>2029</v>
      </c>
      <c r="N264" s="1490">
        <f>N$1190</f>
        <v>2030</v>
      </c>
      <c r="O264" s="485"/>
      <c r="P264" s="481"/>
      <c r="Q264" s="1435"/>
      <c r="S264" s="1435"/>
      <c r="T264" s="1435"/>
      <c r="U264" s="1648"/>
      <c r="V264" s="1649">
        <f>J264</f>
        <v>2026</v>
      </c>
      <c r="W264" s="1649">
        <f>K264</f>
        <v>2027</v>
      </c>
      <c r="X264" s="1649">
        <f>L264</f>
        <v>2028</v>
      </c>
      <c r="Y264" s="1649">
        <f>M264</f>
        <v>2029</v>
      </c>
      <c r="Z264" s="1650">
        <f>N264</f>
        <v>2030</v>
      </c>
      <c r="AB264" s="1435"/>
      <c r="AO264" s="1121" t="b">
        <f t="shared" si="119"/>
        <v>0</v>
      </c>
    </row>
    <row r="265" spans="1:41" ht="12.75" customHeight="1">
      <c r="B265" s="479"/>
      <c r="C265" s="479"/>
      <c r="D265" s="915" t="s">
        <v>7</v>
      </c>
      <c r="E265" s="916" t="s">
        <v>1976</v>
      </c>
      <c r="F265" s="916"/>
      <c r="G265" s="916"/>
      <c r="H265" s="944" t="str">
        <f>G257</f>
        <v>TJ</v>
      </c>
      <c r="I265" s="800" t="str">
        <f>IF(V249&gt;($J$1190-3),EUconst_NA,INDEX('B+C_SubInstallations'!$I:$I,MATCH(Q265,'B+C_SubInstallations'!$T:$T,0)))</f>
        <v/>
      </c>
      <c r="J265" s="1894" t="str">
        <f>IF(AND(V265&gt;=3,CNTR_ReportingYear&gt;J264-1),AVERAGE(SUM(H257),SUM(I257)),"")</f>
        <v/>
      </c>
      <c r="K265" s="1895" t="str">
        <f>IF(AND(W265&gt;=3,CNTR_ReportingYear&gt;K264-1),AVERAGE(SUM(I257),SUM(J257)),"")</f>
        <v/>
      </c>
      <c r="L265" s="1895" t="str">
        <f>IF(AND(X265&gt;=3,CNTR_ReportingYear&gt;L264-1),AVERAGE(SUM(J257),SUM(K257)),"")</f>
        <v/>
      </c>
      <c r="M265" s="1895" t="str">
        <f>IF(AND(Y265&gt;=3,CNTR_ReportingYear&gt;M264-1),AVERAGE(SUM(K257),SUM(L257)),"")</f>
        <v/>
      </c>
      <c r="N265" s="1895" t="str">
        <f>IF(AND(Z265&gt;=3,CNTR_ReportingYear&gt;N264-1),AVERAGE(SUM(L257),SUM(M257)),"")</f>
        <v/>
      </c>
      <c r="O265" s="485"/>
      <c r="P265" s="481"/>
      <c r="Q265" s="1704" t="str">
        <f>EUconst_CNTR_HALinitial&amp;I249</f>
        <v>HALini_Heat benchmark sub-installation, non-CL</v>
      </c>
      <c r="S265" s="1435"/>
      <c r="T265" s="1435"/>
      <c r="U265" s="1693" t="s">
        <v>1650</v>
      </c>
      <c r="V265" s="1251">
        <f>IF($M249&lt;&gt;EUconst_Relevant,0,V264-$V249+1)</f>
        <v>0</v>
      </c>
      <c r="W265" s="1251">
        <f>IF($M249&lt;&gt;EUconst_Relevant,0,W264-$V249+1)</f>
        <v>0</v>
      </c>
      <c r="X265" s="1251">
        <f>IF($M249&lt;&gt;EUconst_Relevant,0,X264-$V249+1)</f>
        <v>0</v>
      </c>
      <c r="Y265" s="1251">
        <f>IF($M249&lt;&gt;EUconst_Relevant,0,Y264-$V249+1)</f>
        <v>0</v>
      </c>
      <c r="Z265" s="1896">
        <f>IF($M249&lt;&gt;EUconst_Relevant,0,Z264-$V249+1)</f>
        <v>0</v>
      </c>
      <c r="AB265" s="1435"/>
      <c r="AO265" s="1121" t="b">
        <f t="shared" si="119"/>
        <v>0</v>
      </c>
    </row>
    <row r="266" spans="1:41" ht="12.75" hidden="1" customHeight="1">
      <c r="A266" s="618" t="s">
        <v>2289</v>
      </c>
      <c r="B266" s="479"/>
      <c r="C266" s="479"/>
      <c r="D266" s="915"/>
      <c r="E266" s="916" t="s">
        <v>1648</v>
      </c>
      <c r="F266" s="916"/>
      <c r="G266" s="916"/>
      <c r="H266" s="921"/>
      <c r="I266" s="1657"/>
      <c r="J266" s="17" t="str">
        <f>IF(J265="","",IF($I268=0,IF(J265=0,0%,100%),J265/$I268-1))</f>
        <v/>
      </c>
      <c r="K266" s="22" t="str">
        <f>IF(K265="","",IF($I268=0,IF(K265=0,0%,100%),K265/$I268-1))</f>
        <v/>
      </c>
      <c r="L266" s="22" t="str">
        <f>IF(L265="","",IF($I268=0,IF(L265=0,0%,100%),L265/$I268-1))</f>
        <v/>
      </c>
      <c r="M266" s="22" t="str">
        <f>IF(M265="","",IF($I268=0,IF(M265=0,0%,100%),M265/$I268-1))</f>
        <v/>
      </c>
      <c r="N266" s="22" t="str">
        <f>IF(N265="","",IF($I268=0,IF(N265=0,0%,100%),N265/$I268-1))</f>
        <v/>
      </c>
      <c r="O266" s="485"/>
      <c r="P266" s="481"/>
      <c r="Q266" s="1644" t="str">
        <f>EUconst_CNTR_RelThreshold &amp;I249</f>
        <v>RelThresh_Heat benchmark sub-installation, non-CL</v>
      </c>
      <c r="S266" s="1435"/>
      <c r="T266" s="1435"/>
      <c r="U266" s="1693" t="s">
        <v>1655</v>
      </c>
      <c r="V266" s="1158" t="str">
        <f>IF(J265="","",ABS(J266)&gt;15%)</f>
        <v/>
      </c>
      <c r="W266" s="1158" t="str">
        <f>IF(K265="","",ABS(K266)&gt;15%)</f>
        <v/>
      </c>
      <c r="X266" s="1158" t="str">
        <f>IF(L265="","",ABS(L266)&gt;15%)</f>
        <v/>
      </c>
      <c r="Y266" s="1158" t="str">
        <f>IF(M265="","",ABS(M266)&gt;15%)</f>
        <v/>
      </c>
      <c r="Z266" s="1656" t="str">
        <f>IF(N265="","",ABS(N266)&gt;15%)</f>
        <v/>
      </c>
      <c r="AB266" s="1435"/>
      <c r="AO266" s="1121" t="b">
        <f t="shared" si="119"/>
        <v>0</v>
      </c>
    </row>
    <row r="267" spans="1:41" ht="12.75" customHeight="1">
      <c r="A267" s="618"/>
      <c r="B267" s="479"/>
      <c r="C267" s="479"/>
      <c r="D267" s="915" t="s">
        <v>8</v>
      </c>
      <c r="E267" s="916" t="s">
        <v>1654</v>
      </c>
      <c r="F267" s="916"/>
      <c r="G267" s="916"/>
      <c r="H267" s="921"/>
      <c r="I267" s="1657"/>
      <c r="J267" s="1658" t="str">
        <f>IF(J265="","",IF(V266=FALSE,0%,IF(V267,J266,I405)))</f>
        <v/>
      </c>
      <c r="K267" s="1795" t="str">
        <f>IF(K265="","",IF(W266=FALSE,0%,IF(W267,K266,J405)))</f>
        <v/>
      </c>
      <c r="L267" s="1795" t="str">
        <f>IF(L265="","",IF(X266=FALSE,0%,IF(X267,L266,K405)))</f>
        <v/>
      </c>
      <c r="M267" s="1795" t="str">
        <f>IF(M265="","",IF(Y266=FALSE,0%,IF(Y267,M266,L405)))</f>
        <v/>
      </c>
      <c r="N267" s="1795" t="str">
        <f>IF(N265="","",IF(Z266=FALSE,0%,IF(Z267,N266,M405)))</f>
        <v/>
      </c>
      <c r="O267" s="485"/>
      <c r="P267" s="481"/>
      <c r="Q267" s="1435"/>
      <c r="S267" s="1435"/>
      <c r="T267" s="1435"/>
      <c r="U267" s="1693" t="s">
        <v>1656</v>
      </c>
      <c r="V267" s="1158" t="str">
        <f>IF(J265="","",AND(V266,IF(SUM(I405)&lt;0,OR(SUM(J266)&lt;SUM(I405)-MOD(SUM(I405),5%),J266&gt;=SUM(I405)+5%-MOD(SUM(I405),5%)),OR(SUM(J266)&lt;=SUM(I405)-MOD(SUM(I405),5%),SUM(J266)&gt;SUM(I405)+5%-MOD(SUM(I405),5%)))))</f>
        <v/>
      </c>
      <c r="W267" s="1158" t="str">
        <f>IF(K265="","",AND(W266,IF(SUM(J405)&lt;0,OR(SUM(K266)&lt;SUM(J405)-MOD(SUM(J405),5%),K266&gt;=SUM(J405)+5%-MOD(SUM(J405),5%)),OR(SUM(K266)&lt;=SUM(J405)-MOD(SUM(J405),5%),SUM(K266)&gt;SUM(J405)+5%-MOD(SUM(J405),5%)))))</f>
        <v/>
      </c>
      <c r="X267" s="1158" t="str">
        <f>IF(L265="","",AND(X266,IF(SUM(K405)&lt;0,OR(SUM(L266)&lt;SUM(K405)-MOD(SUM(K405),5%),L266&gt;=SUM(K405)+5%-MOD(SUM(K405),5%)),OR(SUM(L266)&lt;=SUM(K405)-MOD(SUM(K405),5%),SUM(L266)&gt;SUM(K405)+5%-MOD(SUM(K405),5%)))))</f>
        <v/>
      </c>
      <c r="Y267" s="1158" t="str">
        <f>IF(M265="","",AND(Y266,IF(SUM(L405)&lt;0,OR(SUM(M266)&lt;SUM(L405)-MOD(SUM(L405),5%),M266&gt;=SUM(L405)+5%-MOD(SUM(L405),5%)),OR(SUM(M266)&lt;=SUM(L405)-MOD(SUM(L405),5%),SUM(M266)&gt;SUM(L405)+5%-MOD(SUM(L405),5%)))))</f>
        <v/>
      </c>
      <c r="Z267" s="1656" t="str">
        <f>IF(N265="","",AND(Z266,IF(SUM(M405)&lt;0,OR(SUM(N266)&lt;SUM(M405)-MOD(SUM(M405),5%),N266&gt;=SUM(M405)+5%-MOD(SUM(M405),5%)),OR(SUM(N266)&lt;=SUM(M405)-MOD(SUM(M405),5%),SUM(N266)&gt;SUM(M405)+5%-MOD(SUM(M405),5%)))))</f>
        <v/>
      </c>
      <c r="AB267" s="1435"/>
      <c r="AO267" s="1121" t="b">
        <f t="shared" si="119"/>
        <v>0</v>
      </c>
    </row>
    <row r="268" spans="1:41" ht="12.75" customHeight="1" thickBot="1">
      <c r="A268" s="618"/>
      <c r="B268" s="479"/>
      <c r="C268" s="479"/>
      <c r="D268" s="915" t="s">
        <v>18</v>
      </c>
      <c r="E268" s="916" t="s">
        <v>1647</v>
      </c>
      <c r="F268" s="916"/>
      <c r="G268" s="916"/>
      <c r="H268" s="944" t="str">
        <f>H265</f>
        <v>TJ</v>
      </c>
      <c r="I268" s="800" t="str">
        <f>IF(M249&lt;&gt;EUconst_Relevant,"",IF(AB249=FALSE,EUconst_NA,IF(V249&gt;($J$1190-3),INDEX(H257:N257,MATCH($V249,H256:N256,0)),I265)))</f>
        <v/>
      </c>
      <c r="J268" s="1894" t="str">
        <f>IF($M249&lt;&gt;EUconst_Relevant,"",IF(V265&lt;2,SUM(J257),IF(V265&lt;3,SUM(I257),IF(V268="",I268,V268))))</f>
        <v/>
      </c>
      <c r="K268" s="1895" t="str">
        <f>IF($M249&lt;&gt;EUconst_Relevant,"",IF(W265&lt;2,SUM(K257),IF(W265&lt;3,SUM(J257),IF(W268="",J268,W268))))</f>
        <v/>
      </c>
      <c r="L268" s="1895" t="str">
        <f>IF($M249&lt;&gt;EUconst_Relevant,"",IF(X265&lt;2,SUM(L257),IF(X265&lt;3,SUM(K257),IF(X268="",K268,X268))))</f>
        <v/>
      </c>
      <c r="M268" s="1895" t="str">
        <f>IF($M249&lt;&gt;EUconst_Relevant,"",IF(Y265&lt;2,SUM(M257),IF(Y265&lt;3,SUM(L257),IF(Y268="",L268,Y268))))</f>
        <v/>
      </c>
      <c r="N268" s="1895" t="str">
        <f>IF($M249&lt;&gt;EUconst_Relevant,"",IF(Z265&lt;2,SUM(N257),IF(Z265&lt;3,SUM(M257),IF(Z268="",M268,Z268))))</f>
        <v/>
      </c>
      <c r="O268" s="1136"/>
      <c r="P268" s="481"/>
      <c r="Q268" s="1644" t="str">
        <f>EUconst_CNTR_HALprelim&amp;I249</f>
        <v>HALprelim_Heat benchmark sub-installation, non-CL</v>
      </c>
      <c r="S268" s="1435"/>
      <c r="T268" s="1435"/>
      <c r="U268" s="1897" t="s">
        <v>1651</v>
      </c>
      <c r="V268" s="1898" t="str">
        <f>IF(J265="","",IF(CNTR_ReportingYear&lt;J264,I267,IF($I268=0,J265,$I268*(1+J267))))</f>
        <v/>
      </c>
      <c r="W268" s="1898" t="str">
        <f>IF(K265="","",IF(CNTR_ReportingYear&lt;K264,J267,IF($I268=0,K265,$I268*(1+K267))))</f>
        <v/>
      </c>
      <c r="X268" s="1898" t="str">
        <f>IF(L265="","",IF(CNTR_ReportingYear&lt;L264,K267,IF($I268=0,L265,$I268*(1+L267))))</f>
        <v/>
      </c>
      <c r="Y268" s="1898" t="str">
        <f>IF(M265="","",IF(CNTR_ReportingYear&lt;M264,L267,IF($I268=0,M265,$I268*(1+M267))))</f>
        <v/>
      </c>
      <c r="Z268" s="1899" t="str">
        <f>IF(N265="","",IF(CNTR_ReportingYear&lt;N264,M267,IF($I268=0,N265,$I268*(1+N267))))</f>
        <v/>
      </c>
      <c r="AO268" s="1121" t="b">
        <f t="shared" si="119"/>
        <v>0</v>
      </c>
    </row>
    <row r="269" spans="1:41" ht="5.0999999999999996" customHeight="1" thickBot="1">
      <c r="A269" s="618"/>
      <c r="B269" s="1124"/>
      <c r="C269" s="467"/>
      <c r="D269" s="1022"/>
      <c r="E269" s="1023"/>
      <c r="F269" s="1023"/>
      <c r="G269" s="1023"/>
      <c r="H269" s="1023"/>
      <c r="I269" s="1023"/>
      <c r="J269" s="1024"/>
      <c r="K269" s="1900"/>
      <c r="L269" s="1900"/>
      <c r="M269" s="1900"/>
      <c r="N269" s="1900"/>
      <c r="O269" s="481"/>
      <c r="P269" s="481"/>
      <c r="S269" s="1435"/>
      <c r="T269" s="1435"/>
      <c r="Z269" s="1435"/>
      <c r="AA269" s="1435"/>
      <c r="AB269" s="1435"/>
      <c r="AO269" s="1121" t="b">
        <f t="shared" si="119"/>
        <v>0</v>
      </c>
    </row>
    <row r="270" spans="1:41" ht="5.0999999999999996" customHeight="1">
      <c r="A270" s="618"/>
      <c r="B270" s="1124"/>
      <c r="C270" s="467"/>
      <c r="D270" s="467"/>
      <c r="E270" s="467"/>
      <c r="F270" s="467"/>
      <c r="G270" s="467"/>
      <c r="H270" s="467"/>
      <c r="I270" s="467"/>
      <c r="J270" s="467"/>
      <c r="K270" s="467"/>
      <c r="L270" s="467"/>
      <c r="M270" s="467"/>
      <c r="N270" s="467"/>
      <c r="O270" s="481"/>
      <c r="P270" s="481"/>
      <c r="S270" s="1435"/>
      <c r="T270" s="1435"/>
      <c r="Z270" s="1435"/>
      <c r="AA270" s="1435"/>
      <c r="AB270" s="1435"/>
      <c r="AO270" s="1121" t="b">
        <f t="shared" si="119"/>
        <v>0</v>
      </c>
    </row>
    <row r="271" spans="1:41" ht="13.9" customHeight="1">
      <c r="A271" s="618"/>
      <c r="B271" s="1124"/>
      <c r="C271" s="1025"/>
      <c r="D271" s="2482" t="s">
        <v>103</v>
      </c>
      <c r="E271" s="2400"/>
      <c r="F271" s="2400"/>
      <c r="G271" s="2400"/>
      <c r="H271" s="2400"/>
      <c r="I271" s="2400"/>
      <c r="J271" s="2400"/>
      <c r="K271" s="2400"/>
      <c r="L271" s="2400"/>
      <c r="M271" s="2400"/>
      <c r="N271" s="2400"/>
      <c r="O271" s="481"/>
      <c r="P271" s="481"/>
      <c r="Z271" s="1435"/>
      <c r="AA271" s="1435"/>
      <c r="AB271" s="1435"/>
      <c r="AO271" s="1121" t="b">
        <f t="shared" si="119"/>
        <v>0</v>
      </c>
    </row>
    <row r="272" spans="1:41" ht="5.0999999999999996" customHeight="1">
      <c r="A272" s="618"/>
      <c r="B272" s="467"/>
      <c r="C272" s="467"/>
      <c r="D272" s="467"/>
      <c r="E272" s="467"/>
      <c r="F272" s="467"/>
      <c r="G272" s="467"/>
      <c r="H272" s="467"/>
      <c r="I272" s="467"/>
      <c r="J272" s="467"/>
      <c r="K272" s="467"/>
      <c r="L272" s="467"/>
      <c r="M272" s="467"/>
      <c r="N272" s="467"/>
      <c r="O272" s="481"/>
      <c r="P272" s="481"/>
      <c r="Q272" s="1249"/>
      <c r="R272" s="1249"/>
      <c r="Z272" s="1435"/>
      <c r="AA272" s="1435"/>
      <c r="AB272" s="1435"/>
      <c r="AO272" s="1121" t="b">
        <f t="shared" si="119"/>
        <v>0</v>
      </c>
    </row>
    <row r="273" spans="2:41" ht="12.75" customHeight="1">
      <c r="B273" s="467"/>
      <c r="C273" s="482"/>
      <c r="D273" s="482" t="s">
        <v>876</v>
      </c>
      <c r="E273" s="2373" t="s">
        <v>298</v>
      </c>
      <c r="F273" s="2400"/>
      <c r="G273" s="2400"/>
      <c r="H273" s="2400"/>
      <c r="I273" s="2400"/>
      <c r="J273" s="2400"/>
      <c r="K273" s="2400"/>
      <c r="L273" s="2400"/>
      <c r="M273" s="2400"/>
      <c r="N273" s="2400"/>
      <c r="O273" s="481"/>
      <c r="P273" s="481"/>
      <c r="Q273" s="1249"/>
      <c r="AO273" s="1121" t="b">
        <f t="shared" si="119"/>
        <v>0</v>
      </c>
    </row>
    <row r="274" spans="2:41" ht="12.75" customHeight="1">
      <c r="B274" s="467"/>
      <c r="C274" s="485"/>
      <c r="D274" s="485"/>
      <c r="E274" s="2385" t="s">
        <v>925</v>
      </c>
      <c r="F274" s="2846"/>
      <c r="G274" s="2846"/>
      <c r="H274" s="2846"/>
      <c r="I274" s="2846"/>
      <c r="J274" s="2846"/>
      <c r="K274" s="2846"/>
      <c r="L274" s="2846"/>
      <c r="M274" s="2846"/>
      <c r="N274" s="2846"/>
      <c r="O274" s="481"/>
      <c r="P274" s="481"/>
      <c r="Q274" s="1249"/>
      <c r="R274" s="1249"/>
      <c r="S274" s="1249"/>
      <c r="AO274" s="1121" t="b">
        <f t="shared" si="119"/>
        <v>0</v>
      </c>
    </row>
    <row r="275" spans="2:41" ht="12.75" customHeight="1">
      <c r="B275" s="467"/>
      <c r="C275" s="485"/>
      <c r="D275" s="485"/>
      <c r="E275" s="1026" t="s">
        <v>926</v>
      </c>
      <c r="F275" s="2385" t="s">
        <v>927</v>
      </c>
      <c r="G275" s="2846"/>
      <c r="H275" s="2846"/>
      <c r="I275" s="2846"/>
      <c r="J275" s="2846"/>
      <c r="K275" s="2846"/>
      <c r="L275" s="2846"/>
      <c r="M275" s="2846"/>
      <c r="N275" s="2846"/>
      <c r="O275" s="481"/>
      <c r="P275" s="481"/>
      <c r="Q275" s="1249"/>
      <c r="R275" s="1249"/>
      <c r="S275" s="1249"/>
      <c r="AO275" s="1121" t="b">
        <f t="shared" si="119"/>
        <v>0</v>
      </c>
    </row>
    <row r="276" spans="2:41" ht="12.75" customHeight="1">
      <c r="B276" s="467"/>
      <c r="C276" s="485"/>
      <c r="D276" s="485"/>
      <c r="E276" s="1026" t="s">
        <v>926</v>
      </c>
      <c r="F276" s="2385" t="s">
        <v>1005</v>
      </c>
      <c r="G276" s="2846"/>
      <c r="H276" s="2846"/>
      <c r="I276" s="2846"/>
      <c r="J276" s="2846"/>
      <c r="K276" s="2846"/>
      <c r="L276" s="2846"/>
      <c r="M276" s="2846"/>
      <c r="N276" s="2846"/>
      <c r="O276" s="481"/>
      <c r="P276" s="481"/>
      <c r="Q276" s="1249"/>
      <c r="R276" s="1249"/>
      <c r="S276" s="1249"/>
      <c r="AO276" s="1121" t="b">
        <f t="shared" si="119"/>
        <v>0</v>
      </c>
    </row>
    <row r="277" spans="2:41" ht="28.5" customHeight="1">
      <c r="B277" s="467"/>
      <c r="C277" s="485"/>
      <c r="D277" s="485"/>
      <c r="E277" s="1026" t="s">
        <v>926</v>
      </c>
      <c r="F277" s="2385" t="s">
        <v>1228</v>
      </c>
      <c r="G277" s="2846"/>
      <c r="H277" s="2846"/>
      <c r="I277" s="2846"/>
      <c r="J277" s="2846"/>
      <c r="K277" s="2846"/>
      <c r="L277" s="2846"/>
      <c r="M277" s="2846"/>
      <c r="N277" s="2846"/>
      <c r="O277" s="481"/>
      <c r="P277" s="481"/>
      <c r="Q277" s="1249"/>
      <c r="R277" s="1249"/>
      <c r="S277" s="1249"/>
      <c r="AO277" s="1121" t="b">
        <f t="shared" si="119"/>
        <v>0</v>
      </c>
    </row>
    <row r="278" spans="2:41" ht="25.5" customHeight="1">
      <c r="B278" s="467"/>
      <c r="C278" s="485"/>
      <c r="D278" s="485"/>
      <c r="E278" s="2385" t="s">
        <v>1636</v>
      </c>
      <c r="F278" s="2846"/>
      <c r="G278" s="2846"/>
      <c r="H278" s="2846"/>
      <c r="I278" s="2846"/>
      <c r="J278" s="2846"/>
      <c r="K278" s="2846"/>
      <c r="L278" s="2846"/>
      <c r="M278" s="2846"/>
      <c r="N278" s="2846"/>
      <c r="O278" s="481"/>
      <c r="P278" s="481"/>
      <c r="Q278" s="1249"/>
      <c r="AO278" s="1121" t="b">
        <f t="shared" si="119"/>
        <v>0</v>
      </c>
    </row>
    <row r="279" spans="2:41" ht="12.75" customHeight="1">
      <c r="B279" s="467"/>
      <c r="C279" s="485"/>
      <c r="D279" s="485"/>
      <c r="E279" s="2385" t="s">
        <v>2119</v>
      </c>
      <c r="F279" s="2846"/>
      <c r="G279" s="2846"/>
      <c r="H279" s="2846"/>
      <c r="I279" s="2846"/>
      <c r="J279" s="2846"/>
      <c r="K279" s="2846"/>
      <c r="L279" s="2846"/>
      <c r="M279" s="2846"/>
      <c r="N279" s="2846"/>
      <c r="O279" s="481"/>
      <c r="P279" s="481"/>
      <c r="Q279" s="1249"/>
      <c r="AO279" s="1121" t="b">
        <f t="shared" si="119"/>
        <v>0</v>
      </c>
    </row>
    <row r="280" spans="2:41" ht="12.75" customHeight="1">
      <c r="B280" s="467"/>
      <c r="C280" s="485"/>
      <c r="D280" s="485"/>
      <c r="E280" s="2677" t="s">
        <v>2111</v>
      </c>
      <c r="F280" s="2722"/>
      <c r="G280" s="2722"/>
      <c r="H280" s="2722"/>
      <c r="I280" s="2722"/>
      <c r="J280" s="2722"/>
      <c r="K280" s="2722"/>
      <c r="L280" s="2722"/>
      <c r="M280" s="2722"/>
      <c r="N280" s="2722"/>
      <c r="O280" s="481"/>
      <c r="P280" s="481"/>
      <c r="Q280" s="1249"/>
      <c r="AO280" s="1121" t="b">
        <f t="shared" si="119"/>
        <v>0</v>
      </c>
    </row>
    <row r="281" spans="2:41" ht="12.75" customHeight="1">
      <c r="B281" s="467"/>
      <c r="C281" s="485"/>
      <c r="D281" s="485"/>
      <c r="E281" s="2385" t="s">
        <v>29</v>
      </c>
      <c r="F281" s="2846"/>
      <c r="G281" s="2846"/>
      <c r="H281" s="2846"/>
      <c r="I281" s="2846"/>
      <c r="J281" s="2846"/>
      <c r="K281" s="2846"/>
      <c r="L281" s="2846"/>
      <c r="M281" s="2846"/>
      <c r="N281" s="2846"/>
      <c r="O281" s="481"/>
      <c r="P281" s="481"/>
      <c r="Q281" s="1249"/>
      <c r="R281" s="1249"/>
      <c r="S281" s="1249"/>
      <c r="AO281" s="1121" t="b">
        <f t="shared" si="119"/>
        <v>0</v>
      </c>
    </row>
    <row r="282" spans="2:41" ht="12.75" customHeight="1">
      <c r="B282" s="467"/>
      <c r="C282" s="485"/>
      <c r="D282" s="485"/>
      <c r="E282" s="2385" t="s">
        <v>1901</v>
      </c>
      <c r="F282" s="2846"/>
      <c r="G282" s="2846"/>
      <c r="H282" s="2846"/>
      <c r="I282" s="2846"/>
      <c r="J282" s="2846"/>
      <c r="K282" s="2846"/>
      <c r="L282" s="2846"/>
      <c r="M282" s="2846"/>
      <c r="N282" s="2846"/>
      <c r="O282" s="481"/>
      <c r="P282" s="481"/>
      <c r="Q282" s="1249"/>
      <c r="R282" s="1249"/>
      <c r="S282" s="1249"/>
      <c r="AO282" s="1121" t="b">
        <f t="shared" si="119"/>
        <v>0</v>
      </c>
    </row>
    <row r="283" spans="2:41" ht="5.0999999999999996" customHeight="1">
      <c r="B283" s="467"/>
      <c r="C283" s="485"/>
      <c r="D283" s="485"/>
      <c r="E283" s="617"/>
      <c r="F283" s="617"/>
      <c r="G283" s="617"/>
      <c r="H283" s="617"/>
      <c r="I283" s="617"/>
      <c r="J283" s="468"/>
      <c r="K283" s="468"/>
      <c r="L283" s="468"/>
      <c r="M283" s="481"/>
      <c r="N283" s="481"/>
      <c r="O283" s="481"/>
      <c r="P283" s="481"/>
      <c r="Q283" s="1249"/>
      <c r="AO283" s="1121" t="b">
        <f t="shared" si="119"/>
        <v>0</v>
      </c>
    </row>
    <row r="284" spans="2:41" ht="26.45" customHeight="1">
      <c r="B284" s="1124"/>
      <c r="C284" s="482"/>
      <c r="D284" s="956"/>
      <c r="E284" s="2723" t="s">
        <v>485</v>
      </c>
      <c r="F284" s="2724"/>
      <c r="G284" s="2723" t="s">
        <v>488</v>
      </c>
      <c r="H284" s="2724"/>
      <c r="I284" s="2723" t="s">
        <v>1227</v>
      </c>
      <c r="J284" s="2421"/>
      <c r="K284" s="2421"/>
      <c r="L284" s="2724"/>
      <c r="M284" s="957" t="s">
        <v>2112</v>
      </c>
      <c r="N284" s="481"/>
      <c r="O284" s="481"/>
      <c r="P284" s="481"/>
      <c r="S284" s="1888" t="s">
        <v>1902</v>
      </c>
      <c r="AO284" s="1121" t="b">
        <f t="shared" si="119"/>
        <v>0</v>
      </c>
    </row>
    <row r="285" spans="2:41" ht="13.15" customHeight="1">
      <c r="B285" s="1124"/>
      <c r="C285" s="482"/>
      <c r="D285" s="579">
        <v>1</v>
      </c>
      <c r="E285" s="3353" t="str">
        <f>c_ALR2025!E5976</f>
        <v/>
      </c>
      <c r="F285" s="3353"/>
      <c r="G285" s="3353" t="str">
        <f>c_ALR2025!G5976</f>
        <v/>
      </c>
      <c r="H285" s="3353"/>
      <c r="I285" s="3382" t="str">
        <f>c_ALR2025!I5976</f>
        <v/>
      </c>
      <c r="J285" s="3279"/>
      <c r="K285" s="3279" t="e">
        <f>c_ALR2025!#REF!</f>
        <v>#REF!</v>
      </c>
      <c r="L285" s="3383"/>
      <c r="M285" s="1901" t="str">
        <f>c_ALR2025!M5976</f>
        <v/>
      </c>
      <c r="N285" s="481"/>
      <c r="O285" s="481"/>
      <c r="P285" s="481"/>
      <c r="S285" s="1888"/>
      <c r="AO285" s="1121" t="b">
        <f t="shared" si="119"/>
        <v>0</v>
      </c>
    </row>
    <row r="286" spans="2:41" ht="13.15" customHeight="1">
      <c r="B286" s="1124"/>
      <c r="C286" s="482"/>
      <c r="D286" s="582">
        <f>D285+1</f>
        <v>2</v>
      </c>
      <c r="E286" s="3345" t="str">
        <f>c_ALR2025!E5977</f>
        <v/>
      </c>
      <c r="F286" s="3347"/>
      <c r="G286" s="3345" t="str">
        <f>c_ALR2025!G5977</f>
        <v/>
      </c>
      <c r="H286" s="3347"/>
      <c r="I286" s="3345" t="str">
        <f>c_ALR2025!I5977</f>
        <v/>
      </c>
      <c r="J286" s="3346"/>
      <c r="K286" s="3346" t="e">
        <f>c_ALR2025!#REF!</f>
        <v>#REF!</v>
      </c>
      <c r="L286" s="3347"/>
      <c r="M286" s="1902" t="str">
        <f>c_ALR2025!M5977</f>
        <v/>
      </c>
      <c r="N286" s="481"/>
      <c r="O286" s="481"/>
      <c r="P286" s="481"/>
      <c r="S286" s="1888"/>
      <c r="AO286" s="1121" t="b">
        <f t="shared" si="119"/>
        <v>0</v>
      </c>
    </row>
    <row r="287" spans="2:41" ht="13.15" customHeight="1">
      <c r="B287" s="1124"/>
      <c r="C287" s="482"/>
      <c r="D287" s="582">
        <f t="shared" ref="D287:D294" si="123">D286+1</f>
        <v>3</v>
      </c>
      <c r="E287" s="3345" t="str">
        <f>c_ALR2025!E5978</f>
        <v/>
      </c>
      <c r="F287" s="3347"/>
      <c r="G287" s="3345" t="str">
        <f>c_ALR2025!G5978</f>
        <v/>
      </c>
      <c r="H287" s="3347"/>
      <c r="I287" s="3345" t="str">
        <f>c_ALR2025!I5978</f>
        <v/>
      </c>
      <c r="J287" s="3346"/>
      <c r="K287" s="3346" t="e">
        <f>c_ALR2025!#REF!</f>
        <v>#REF!</v>
      </c>
      <c r="L287" s="3347"/>
      <c r="M287" s="1902" t="str">
        <f>c_ALR2025!M5978</f>
        <v/>
      </c>
      <c r="N287" s="481"/>
      <c r="O287" s="481"/>
      <c r="P287" s="481"/>
      <c r="S287" s="1888"/>
      <c r="AO287" s="1121" t="b">
        <f t="shared" si="119"/>
        <v>0</v>
      </c>
    </row>
    <row r="288" spans="2:41" ht="13.15" customHeight="1">
      <c r="B288" s="1124"/>
      <c r="C288" s="482"/>
      <c r="D288" s="582">
        <f t="shared" si="123"/>
        <v>4</v>
      </c>
      <c r="E288" s="3345" t="str">
        <f>c_ALR2025!E5979</f>
        <v/>
      </c>
      <c r="F288" s="3347"/>
      <c r="G288" s="3345" t="str">
        <f>c_ALR2025!G5979</f>
        <v/>
      </c>
      <c r="H288" s="3347"/>
      <c r="I288" s="3345" t="str">
        <f>c_ALR2025!I5979</f>
        <v/>
      </c>
      <c r="J288" s="3346"/>
      <c r="K288" s="3346" t="e">
        <f>c_ALR2025!#REF!</f>
        <v>#REF!</v>
      </c>
      <c r="L288" s="3347"/>
      <c r="M288" s="1902" t="str">
        <f>c_ALR2025!M5979</f>
        <v/>
      </c>
      <c r="N288" s="481"/>
      <c r="O288" s="481"/>
      <c r="P288" s="481"/>
      <c r="S288" s="1888"/>
      <c r="AO288" s="1121" t="b">
        <f t="shared" si="119"/>
        <v>0</v>
      </c>
    </row>
    <row r="289" spans="2:41" ht="13.15" customHeight="1">
      <c r="B289" s="1124"/>
      <c r="C289" s="482"/>
      <c r="D289" s="582">
        <f t="shared" si="123"/>
        <v>5</v>
      </c>
      <c r="E289" s="3345" t="str">
        <f>c_ALR2025!E5980</f>
        <v/>
      </c>
      <c r="F289" s="3347"/>
      <c r="G289" s="3345" t="str">
        <f>c_ALR2025!G5980</f>
        <v/>
      </c>
      <c r="H289" s="3347"/>
      <c r="I289" s="3345" t="str">
        <f>c_ALR2025!I5980</f>
        <v/>
      </c>
      <c r="J289" s="3346"/>
      <c r="K289" s="3346" t="e">
        <f>c_ALR2025!#REF!</f>
        <v>#REF!</v>
      </c>
      <c r="L289" s="3347"/>
      <c r="M289" s="1902" t="str">
        <f>c_ALR2025!M5980</f>
        <v/>
      </c>
      <c r="N289" s="481"/>
      <c r="O289" s="481"/>
      <c r="P289" s="481"/>
      <c r="S289" s="1888"/>
      <c r="AO289" s="1121" t="b">
        <f t="shared" si="119"/>
        <v>0</v>
      </c>
    </row>
    <row r="290" spans="2:41">
      <c r="B290" s="1124"/>
      <c r="C290" s="482"/>
      <c r="D290" s="582">
        <f t="shared" si="123"/>
        <v>6</v>
      </c>
      <c r="E290" s="3345" t="str">
        <f>c_ALR2025!E5981</f>
        <v/>
      </c>
      <c r="F290" s="3347"/>
      <c r="G290" s="3345" t="str">
        <f>c_ALR2025!G5981</f>
        <v/>
      </c>
      <c r="H290" s="3347"/>
      <c r="I290" s="3345" t="str">
        <f>c_ALR2025!I5981</f>
        <v/>
      </c>
      <c r="J290" s="3346"/>
      <c r="K290" s="3346" t="e">
        <f>c_ALR2025!#REF!</f>
        <v>#REF!</v>
      </c>
      <c r="L290" s="3347"/>
      <c r="M290" s="1902" t="str">
        <f>c_ALR2025!M5981</f>
        <v/>
      </c>
      <c r="N290" s="481"/>
      <c r="O290" s="481"/>
      <c r="P290" s="481"/>
      <c r="S290" s="1888"/>
      <c r="AO290" s="1121" t="b">
        <f t="shared" si="119"/>
        <v>0</v>
      </c>
    </row>
    <row r="291" spans="2:41">
      <c r="B291" s="1124"/>
      <c r="C291" s="482"/>
      <c r="D291" s="582">
        <f t="shared" si="123"/>
        <v>7</v>
      </c>
      <c r="E291" s="3345" t="str">
        <f>c_ALR2025!E5982</f>
        <v/>
      </c>
      <c r="F291" s="3347"/>
      <c r="G291" s="3345" t="str">
        <f>c_ALR2025!G5982</f>
        <v/>
      </c>
      <c r="H291" s="3347"/>
      <c r="I291" s="3345" t="str">
        <f>c_ALR2025!I5982</f>
        <v/>
      </c>
      <c r="J291" s="3346"/>
      <c r="K291" s="3346" t="e">
        <f>c_ALR2025!#REF!</f>
        <v>#REF!</v>
      </c>
      <c r="L291" s="3347"/>
      <c r="M291" s="1902" t="str">
        <f>c_ALR2025!M5982</f>
        <v/>
      </c>
      <c r="N291" s="481"/>
      <c r="O291" s="481"/>
      <c r="P291" s="481"/>
      <c r="S291" s="1888"/>
      <c r="AO291" s="1121" t="b">
        <f t="shared" si="119"/>
        <v>0</v>
      </c>
    </row>
    <row r="292" spans="2:41">
      <c r="B292" s="1124"/>
      <c r="C292" s="482"/>
      <c r="D292" s="582">
        <f t="shared" si="123"/>
        <v>8</v>
      </c>
      <c r="E292" s="3345" t="str">
        <f>c_ALR2025!E5983</f>
        <v/>
      </c>
      <c r="F292" s="3347"/>
      <c r="G292" s="3345" t="str">
        <f>c_ALR2025!G5983</f>
        <v/>
      </c>
      <c r="H292" s="3347"/>
      <c r="I292" s="3345" t="str">
        <f>c_ALR2025!I5983</f>
        <v/>
      </c>
      <c r="J292" s="3346"/>
      <c r="K292" s="3346" t="e">
        <f>c_ALR2025!#REF!</f>
        <v>#REF!</v>
      </c>
      <c r="L292" s="3347"/>
      <c r="M292" s="1902" t="str">
        <f>c_ALR2025!M5983</f>
        <v/>
      </c>
      <c r="N292" s="481"/>
      <c r="O292" s="481"/>
      <c r="P292" s="481"/>
      <c r="S292" s="1888"/>
      <c r="AO292" s="1121" t="b">
        <f t="shared" si="119"/>
        <v>0</v>
      </c>
    </row>
    <row r="293" spans="2:41">
      <c r="B293" s="1124"/>
      <c r="C293" s="482"/>
      <c r="D293" s="582">
        <f t="shared" si="123"/>
        <v>9</v>
      </c>
      <c r="E293" s="3345" t="str">
        <f>c_ALR2025!E5984</f>
        <v/>
      </c>
      <c r="F293" s="3347"/>
      <c r="G293" s="3345" t="str">
        <f>c_ALR2025!G5984</f>
        <v/>
      </c>
      <c r="H293" s="3347"/>
      <c r="I293" s="3345" t="str">
        <f>c_ALR2025!I5984</f>
        <v/>
      </c>
      <c r="J293" s="3346"/>
      <c r="K293" s="3346" t="e">
        <f>c_ALR2025!#REF!</f>
        <v>#REF!</v>
      </c>
      <c r="L293" s="3347"/>
      <c r="M293" s="1902" t="str">
        <f>c_ALR2025!M5984</f>
        <v/>
      </c>
      <c r="N293" s="481"/>
      <c r="O293" s="481"/>
      <c r="P293" s="481"/>
      <c r="S293" s="1888"/>
      <c r="AO293" s="1121" t="b">
        <f t="shared" si="119"/>
        <v>0</v>
      </c>
    </row>
    <row r="294" spans="2:41">
      <c r="B294" s="1124"/>
      <c r="C294" s="482"/>
      <c r="D294" s="584">
        <f t="shared" si="123"/>
        <v>10</v>
      </c>
      <c r="E294" s="3343" t="str">
        <f>c_ALR2025!E5985</f>
        <v/>
      </c>
      <c r="F294" s="3344"/>
      <c r="G294" s="3343" t="str">
        <f>c_ALR2025!G5985</f>
        <v/>
      </c>
      <c r="H294" s="3344"/>
      <c r="I294" s="3343" t="str">
        <f>c_ALR2025!I5985</f>
        <v/>
      </c>
      <c r="J294" s="3281"/>
      <c r="K294" s="3281" t="e">
        <f>c_ALR2025!#REF!</f>
        <v>#REF!</v>
      </c>
      <c r="L294" s="3344"/>
      <c r="M294" s="1903" t="str">
        <f>c_ALR2025!M5985</f>
        <v/>
      </c>
      <c r="N294" s="481"/>
      <c r="O294" s="481"/>
      <c r="P294" s="481"/>
      <c r="S294" s="1904" t="s">
        <v>2057</v>
      </c>
      <c r="AO294" s="1121" t="b">
        <f t="shared" si="119"/>
        <v>0</v>
      </c>
    </row>
    <row r="295" spans="2:41">
      <c r="B295" s="1124"/>
      <c r="C295" s="482"/>
      <c r="D295" s="579">
        <v>1</v>
      </c>
      <c r="E295" s="3363"/>
      <c r="F295" s="3364"/>
      <c r="G295" s="3386"/>
      <c r="H295" s="3387"/>
      <c r="I295" s="3388"/>
      <c r="J295" s="3389"/>
      <c r="K295" s="3389"/>
      <c r="L295" s="3390"/>
      <c r="M295" s="1984"/>
      <c r="N295" s="481"/>
      <c r="O295" s="481"/>
      <c r="P295" s="9"/>
      <c r="S295" s="1715" t="b">
        <f>IF(E285 &lt;&gt; "", TRUE, FALSE)</f>
        <v>0</v>
      </c>
      <c r="AO295" s="1121" t="b">
        <f t="shared" si="119"/>
        <v>0</v>
      </c>
    </row>
    <row r="296" spans="2:41">
      <c r="B296" s="1124"/>
      <c r="C296" s="482"/>
      <c r="D296" s="582">
        <f>D295+1</f>
        <v>2</v>
      </c>
      <c r="E296" s="3338"/>
      <c r="F296" s="3339"/>
      <c r="G296" s="3368"/>
      <c r="H296" s="3369"/>
      <c r="I296" s="2843"/>
      <c r="J296" s="3372"/>
      <c r="K296" s="3372"/>
      <c r="L296" s="3373"/>
      <c r="M296" s="1985"/>
      <c r="N296" s="481"/>
      <c r="O296" s="481"/>
      <c r="P296" s="9"/>
      <c r="S296" s="1715" t="b">
        <f t="shared" ref="S296:S304" si="124">IF(E286 &lt;&gt; "", TRUE, FALSE)</f>
        <v>0</v>
      </c>
      <c r="AO296" s="1121" t="b">
        <f t="shared" si="119"/>
        <v>0</v>
      </c>
    </row>
    <row r="297" spans="2:41">
      <c r="B297" s="1124"/>
      <c r="C297" s="482"/>
      <c r="D297" s="582">
        <f t="shared" ref="D297:D304" si="125">D296+1</f>
        <v>3</v>
      </c>
      <c r="E297" s="3338"/>
      <c r="F297" s="3339"/>
      <c r="G297" s="3368"/>
      <c r="H297" s="3369"/>
      <c r="I297" s="2843"/>
      <c r="J297" s="3372"/>
      <c r="K297" s="3372"/>
      <c r="L297" s="3373"/>
      <c r="M297" s="1985"/>
      <c r="N297" s="481"/>
      <c r="O297" s="481"/>
      <c r="P297" s="9"/>
      <c r="S297" s="1715" t="b">
        <f t="shared" si="124"/>
        <v>0</v>
      </c>
      <c r="AO297" s="1121" t="b">
        <f t="shared" si="119"/>
        <v>0</v>
      </c>
    </row>
    <row r="298" spans="2:41">
      <c r="B298" s="1124"/>
      <c r="C298" s="482"/>
      <c r="D298" s="582">
        <f t="shared" si="125"/>
        <v>4</v>
      </c>
      <c r="E298" s="3338"/>
      <c r="F298" s="3339"/>
      <c r="G298" s="3368"/>
      <c r="H298" s="3369"/>
      <c r="I298" s="2843"/>
      <c r="J298" s="3372"/>
      <c r="K298" s="3372"/>
      <c r="L298" s="3373"/>
      <c r="M298" s="1985"/>
      <c r="N298" s="481"/>
      <c r="O298" s="481"/>
      <c r="P298" s="9"/>
      <c r="S298" s="1715" t="b">
        <f t="shared" si="124"/>
        <v>0</v>
      </c>
      <c r="AO298" s="1121" t="b">
        <f t="shared" si="119"/>
        <v>0</v>
      </c>
    </row>
    <row r="299" spans="2:41">
      <c r="B299" s="1124"/>
      <c r="C299" s="482"/>
      <c r="D299" s="582">
        <f t="shared" si="125"/>
        <v>5</v>
      </c>
      <c r="E299" s="3338"/>
      <c r="F299" s="3339"/>
      <c r="G299" s="3368"/>
      <c r="H299" s="3369"/>
      <c r="I299" s="2843"/>
      <c r="J299" s="3372"/>
      <c r="K299" s="3372"/>
      <c r="L299" s="3373"/>
      <c r="M299" s="1985"/>
      <c r="N299" s="481"/>
      <c r="O299" s="481"/>
      <c r="P299" s="9"/>
      <c r="S299" s="1715" t="b">
        <f t="shared" si="124"/>
        <v>0</v>
      </c>
      <c r="AO299" s="1121" t="b">
        <f t="shared" si="119"/>
        <v>0</v>
      </c>
    </row>
    <row r="300" spans="2:41">
      <c r="B300" s="1124"/>
      <c r="C300" s="482"/>
      <c r="D300" s="582">
        <f t="shared" si="125"/>
        <v>6</v>
      </c>
      <c r="E300" s="3338"/>
      <c r="F300" s="3339"/>
      <c r="G300" s="3368"/>
      <c r="H300" s="3369"/>
      <c r="I300" s="2843"/>
      <c r="J300" s="3372"/>
      <c r="K300" s="3372"/>
      <c r="L300" s="3373"/>
      <c r="M300" s="1985"/>
      <c r="N300" s="481"/>
      <c r="O300" s="481"/>
      <c r="P300" s="9"/>
      <c r="S300" s="1715" t="b">
        <f t="shared" si="124"/>
        <v>0</v>
      </c>
      <c r="AO300" s="1121" t="b">
        <f t="shared" si="119"/>
        <v>0</v>
      </c>
    </row>
    <row r="301" spans="2:41">
      <c r="B301" s="1124"/>
      <c r="C301" s="482"/>
      <c r="D301" s="582">
        <f t="shared" si="125"/>
        <v>7</v>
      </c>
      <c r="E301" s="3338"/>
      <c r="F301" s="3339"/>
      <c r="G301" s="3368"/>
      <c r="H301" s="3369"/>
      <c r="I301" s="2843"/>
      <c r="J301" s="3372"/>
      <c r="K301" s="3372"/>
      <c r="L301" s="3373"/>
      <c r="M301" s="1985"/>
      <c r="N301" s="481"/>
      <c r="O301" s="481"/>
      <c r="P301" s="9"/>
      <c r="S301" s="1715" t="b">
        <f t="shared" si="124"/>
        <v>0</v>
      </c>
      <c r="AO301" s="1121" t="b">
        <f t="shared" si="119"/>
        <v>0</v>
      </c>
    </row>
    <row r="302" spans="2:41">
      <c r="B302" s="1124"/>
      <c r="C302" s="482"/>
      <c r="D302" s="582">
        <f t="shared" si="125"/>
        <v>8</v>
      </c>
      <c r="E302" s="3338"/>
      <c r="F302" s="3339"/>
      <c r="G302" s="3368"/>
      <c r="H302" s="3369"/>
      <c r="I302" s="2843"/>
      <c r="J302" s="3372"/>
      <c r="K302" s="3372"/>
      <c r="L302" s="3373"/>
      <c r="M302" s="1985"/>
      <c r="N302" s="481"/>
      <c r="O302" s="481"/>
      <c r="P302" s="9"/>
      <c r="S302" s="1715" t="b">
        <f t="shared" si="124"/>
        <v>0</v>
      </c>
      <c r="AO302" s="1121" t="b">
        <f t="shared" si="119"/>
        <v>0</v>
      </c>
    </row>
    <row r="303" spans="2:41">
      <c r="B303" s="1124"/>
      <c r="C303" s="482"/>
      <c r="D303" s="582">
        <f t="shared" si="125"/>
        <v>9</v>
      </c>
      <c r="E303" s="3338"/>
      <c r="F303" s="3339"/>
      <c r="G303" s="3368"/>
      <c r="H303" s="3369"/>
      <c r="I303" s="2843"/>
      <c r="J303" s="3372"/>
      <c r="K303" s="3372"/>
      <c r="L303" s="3373"/>
      <c r="M303" s="1985"/>
      <c r="N303" s="481"/>
      <c r="O303" s="481"/>
      <c r="P303" s="9"/>
      <c r="S303" s="1715" t="b">
        <f t="shared" si="124"/>
        <v>0</v>
      </c>
      <c r="AO303" s="1121" t="b">
        <f t="shared" si="119"/>
        <v>0</v>
      </c>
    </row>
    <row r="304" spans="2:41">
      <c r="B304" s="1124"/>
      <c r="C304" s="482"/>
      <c r="D304" s="584">
        <f t="shared" si="125"/>
        <v>10</v>
      </c>
      <c r="E304" s="3029"/>
      <c r="F304" s="3030"/>
      <c r="G304" s="3374"/>
      <c r="H304" s="3375"/>
      <c r="I304" s="3016"/>
      <c r="J304" s="3376"/>
      <c r="K304" s="3376"/>
      <c r="L304" s="3377"/>
      <c r="M304" s="1986"/>
      <c r="N304" s="481"/>
      <c r="O304" s="481"/>
      <c r="P304" s="9"/>
      <c r="S304" s="1715" t="b">
        <f t="shared" si="124"/>
        <v>0</v>
      </c>
      <c r="AO304" s="1121" t="b">
        <f t="shared" si="119"/>
        <v>0</v>
      </c>
    </row>
    <row r="305" spans="2:41" ht="12.75" customHeight="1">
      <c r="B305" s="1124"/>
      <c r="C305" s="484"/>
      <c r="D305" s="579">
        <v>1</v>
      </c>
      <c r="E305" s="3379" t="str">
        <f>IF(E295&lt;&gt; "",E295,IF(E285 &lt;&gt; "", E285,""))</f>
        <v/>
      </c>
      <c r="F305" s="2831" t="str">
        <f>IF(F295&lt;&gt; "",F295,IF(F285 &lt;&gt; "", F285,""))</f>
        <v/>
      </c>
      <c r="G305" s="2922" t="str">
        <f>IF(G295&lt;&gt; "",G295,IF(G285 &lt;&gt; "", G285,""))</f>
        <v/>
      </c>
      <c r="H305" s="3380" t="str">
        <f>IF(H295&lt;&gt; "",H295,IF(H285 &lt;&gt; "", H285,""))</f>
        <v/>
      </c>
      <c r="I305" s="2830" t="str">
        <f>IF(I295&lt;&gt; "",I295,IF(I285 &lt;&gt; "", I285,""))</f>
        <v/>
      </c>
      <c r="J305" s="3021" t="str">
        <f t="shared" ref="J305:L305" si="126">IF(J295&lt;&gt; "",J295,IF(J285 &lt;&gt; "", J285,""))</f>
        <v/>
      </c>
      <c r="K305" s="3021" t="e">
        <f t="shared" si="126"/>
        <v>#REF!</v>
      </c>
      <c r="L305" s="3381" t="str">
        <f t="shared" si="126"/>
        <v/>
      </c>
      <c r="M305" s="961" t="str">
        <f>IF(M295&lt;&gt; "",M295,IF(M285 &lt;&gt; "", M285,""))</f>
        <v/>
      </c>
      <c r="N305" s="481" t="str">
        <f>IF(N295&lt;&gt; "",N295,IF(N285 &lt;&gt; "", N285,""))</f>
        <v/>
      </c>
      <c r="O305" s="481"/>
      <c r="R305" s="1633"/>
      <c r="S305" s="1443" t="b">
        <f>TRUE</f>
        <v>1</v>
      </c>
      <c r="AB305" s="1435"/>
      <c r="AK305" s="1633" t="s">
        <v>1954</v>
      </c>
      <c r="AL305" s="1635" t="str">
        <f>IF(AND($M249=EUconst_Relevant,COUNTA(E305:L305)&lt;3),EUconst_Error&amp;"FB"&amp;Q249,"")</f>
        <v/>
      </c>
      <c r="AO305" s="1121" t="b">
        <f t="shared" si="119"/>
        <v>0</v>
      </c>
    </row>
    <row r="306" spans="2:41" ht="12.75" customHeight="1">
      <c r="B306" s="1124"/>
      <c r="C306" s="484"/>
      <c r="D306" s="582">
        <f>D305+1</f>
        <v>2</v>
      </c>
      <c r="E306" s="2825" t="str">
        <f t="shared" ref="E306:L306" si="127">IF(E296&lt;&gt; "",E296,IF(E286 &lt;&gt; "", E286,""))</f>
        <v/>
      </c>
      <c r="F306" s="2826" t="str">
        <f t="shared" si="127"/>
        <v/>
      </c>
      <c r="G306" s="2838" t="str">
        <f t="shared" si="127"/>
        <v/>
      </c>
      <c r="H306" s="3365" t="str">
        <f t="shared" si="127"/>
        <v/>
      </c>
      <c r="I306" s="2825" t="str">
        <f t="shared" ref="I306:I314" si="128">IF(I296&lt;&gt; "",I296,IF(I286 &lt;&gt; "", I286,""))</f>
        <v/>
      </c>
      <c r="J306" s="3402" t="str">
        <f t="shared" si="127"/>
        <v/>
      </c>
      <c r="K306" s="3402" t="e">
        <f t="shared" si="127"/>
        <v>#REF!</v>
      </c>
      <c r="L306" s="3403" t="str">
        <f t="shared" si="127"/>
        <v/>
      </c>
      <c r="M306" s="895" t="str">
        <f t="shared" ref="M306:M314" si="129">IF(M296&lt;&gt; "",M296,IF(M286 &lt;&gt; "", M286,""))</f>
        <v/>
      </c>
      <c r="N306" s="481"/>
      <c r="O306" s="481"/>
      <c r="S306" s="1443" t="b">
        <f>TRUE</f>
        <v>1</v>
      </c>
      <c r="AB306" s="1435"/>
      <c r="AO306" s="1121" t="b">
        <f t="shared" si="119"/>
        <v>0</v>
      </c>
    </row>
    <row r="307" spans="2:41" ht="12.75" customHeight="1">
      <c r="B307" s="1124"/>
      <c r="C307" s="484"/>
      <c r="D307" s="582">
        <f t="shared" ref="D307:D314" si="130">D306+1</f>
        <v>3</v>
      </c>
      <c r="E307" s="2825" t="str">
        <f t="shared" ref="E307:L307" si="131">IF(E297&lt;&gt; "",E297,IF(E287 &lt;&gt; "", E287,""))</f>
        <v/>
      </c>
      <c r="F307" s="2826" t="str">
        <f t="shared" si="131"/>
        <v/>
      </c>
      <c r="G307" s="2838" t="str">
        <f t="shared" si="131"/>
        <v/>
      </c>
      <c r="H307" s="3365" t="str">
        <f t="shared" si="131"/>
        <v/>
      </c>
      <c r="I307" s="2825" t="str">
        <f t="shared" si="128"/>
        <v/>
      </c>
      <c r="J307" s="3402" t="str">
        <f t="shared" si="131"/>
        <v/>
      </c>
      <c r="K307" s="3402" t="e">
        <f t="shared" si="131"/>
        <v>#REF!</v>
      </c>
      <c r="L307" s="3403" t="str">
        <f t="shared" si="131"/>
        <v/>
      </c>
      <c r="M307" s="895" t="str">
        <f t="shared" si="129"/>
        <v/>
      </c>
      <c r="N307" s="481"/>
      <c r="O307" s="481"/>
      <c r="S307" s="1443" t="b">
        <f>TRUE</f>
        <v>1</v>
      </c>
      <c r="AB307" s="1435"/>
      <c r="AO307" s="1121" t="b">
        <f t="shared" si="119"/>
        <v>0</v>
      </c>
    </row>
    <row r="308" spans="2:41" ht="12.75" customHeight="1">
      <c r="B308" s="1124"/>
      <c r="C308" s="484"/>
      <c r="D308" s="582">
        <f t="shared" si="130"/>
        <v>4</v>
      </c>
      <c r="E308" s="2825" t="str">
        <f t="shared" ref="E308:L308" si="132">IF(E298&lt;&gt; "",E298,IF(E288 &lt;&gt; "", E288,""))</f>
        <v/>
      </c>
      <c r="F308" s="2826" t="str">
        <f t="shared" si="132"/>
        <v/>
      </c>
      <c r="G308" s="2838" t="str">
        <f t="shared" si="132"/>
        <v/>
      </c>
      <c r="H308" s="3365" t="str">
        <f t="shared" si="132"/>
        <v/>
      </c>
      <c r="I308" s="2825" t="str">
        <f t="shared" si="128"/>
        <v/>
      </c>
      <c r="J308" s="3402" t="str">
        <f t="shared" si="132"/>
        <v/>
      </c>
      <c r="K308" s="3402" t="e">
        <f t="shared" si="132"/>
        <v>#REF!</v>
      </c>
      <c r="L308" s="3403" t="str">
        <f t="shared" si="132"/>
        <v/>
      </c>
      <c r="M308" s="895" t="str">
        <f t="shared" si="129"/>
        <v/>
      </c>
      <c r="N308" s="481"/>
      <c r="O308" s="481"/>
      <c r="S308" s="1443" t="b">
        <f>TRUE</f>
        <v>1</v>
      </c>
      <c r="AB308" s="1435"/>
      <c r="AO308" s="1121" t="b">
        <f t="shared" si="119"/>
        <v>0</v>
      </c>
    </row>
    <row r="309" spans="2:41" ht="12.75" customHeight="1">
      <c r="B309" s="1124"/>
      <c r="C309" s="484"/>
      <c r="D309" s="582">
        <f t="shared" si="130"/>
        <v>5</v>
      </c>
      <c r="E309" s="2825" t="str">
        <f t="shared" ref="E309:L309" si="133">IF(E299&lt;&gt; "",E299,IF(E289 &lt;&gt; "", E289,""))</f>
        <v/>
      </c>
      <c r="F309" s="2826" t="str">
        <f t="shared" si="133"/>
        <v/>
      </c>
      <c r="G309" s="2838" t="str">
        <f t="shared" si="133"/>
        <v/>
      </c>
      <c r="H309" s="3365" t="str">
        <f t="shared" si="133"/>
        <v/>
      </c>
      <c r="I309" s="2825" t="str">
        <f t="shared" si="128"/>
        <v/>
      </c>
      <c r="J309" s="3402" t="str">
        <f t="shared" si="133"/>
        <v/>
      </c>
      <c r="K309" s="3402" t="e">
        <f t="shared" si="133"/>
        <v>#REF!</v>
      </c>
      <c r="L309" s="3403" t="str">
        <f t="shared" si="133"/>
        <v/>
      </c>
      <c r="M309" s="895" t="str">
        <f t="shared" si="129"/>
        <v/>
      </c>
      <c r="N309" s="481"/>
      <c r="O309" s="481"/>
      <c r="S309" s="1443" t="b">
        <f>TRUE</f>
        <v>1</v>
      </c>
      <c r="Z309" s="1249"/>
      <c r="AA309" s="1249"/>
      <c r="AB309" s="1435"/>
      <c r="AO309" s="1121" t="b">
        <f t="shared" si="119"/>
        <v>0</v>
      </c>
    </row>
    <row r="310" spans="2:41" ht="12.75" customHeight="1">
      <c r="B310" s="1124"/>
      <c r="C310" s="484"/>
      <c r="D310" s="582">
        <f t="shared" si="130"/>
        <v>6</v>
      </c>
      <c r="E310" s="2825" t="str">
        <f t="shared" ref="E310:L310" si="134">IF(E300&lt;&gt; "",E300,IF(E290 &lt;&gt; "", E290,""))</f>
        <v/>
      </c>
      <c r="F310" s="2826" t="str">
        <f t="shared" si="134"/>
        <v/>
      </c>
      <c r="G310" s="2838" t="str">
        <f t="shared" si="134"/>
        <v/>
      </c>
      <c r="H310" s="3365" t="str">
        <f t="shared" si="134"/>
        <v/>
      </c>
      <c r="I310" s="2825" t="str">
        <f t="shared" si="128"/>
        <v/>
      </c>
      <c r="J310" s="3402" t="str">
        <f t="shared" si="134"/>
        <v/>
      </c>
      <c r="K310" s="3402" t="e">
        <f t="shared" si="134"/>
        <v>#REF!</v>
      </c>
      <c r="L310" s="3403" t="str">
        <f t="shared" si="134"/>
        <v/>
      </c>
      <c r="M310" s="895" t="str">
        <f t="shared" si="129"/>
        <v/>
      </c>
      <c r="N310" s="481"/>
      <c r="O310" s="481"/>
      <c r="S310" s="1443" t="b">
        <f>TRUE</f>
        <v>1</v>
      </c>
      <c r="AB310" s="1435"/>
      <c r="AO310" s="1121" t="b">
        <f t="shared" si="119"/>
        <v>0</v>
      </c>
    </row>
    <row r="311" spans="2:41" ht="12.75" customHeight="1">
      <c r="B311" s="1124"/>
      <c r="C311" s="484"/>
      <c r="D311" s="582">
        <f t="shared" si="130"/>
        <v>7</v>
      </c>
      <c r="E311" s="2825" t="str">
        <f t="shared" ref="E311:L311" si="135">IF(E301&lt;&gt; "",E301,IF(E291 &lt;&gt; "", E291,""))</f>
        <v/>
      </c>
      <c r="F311" s="2826" t="str">
        <f t="shared" si="135"/>
        <v/>
      </c>
      <c r="G311" s="2838" t="str">
        <f t="shared" si="135"/>
        <v/>
      </c>
      <c r="H311" s="3365" t="str">
        <f t="shared" si="135"/>
        <v/>
      </c>
      <c r="I311" s="2825" t="str">
        <f t="shared" si="128"/>
        <v/>
      </c>
      <c r="J311" s="3402" t="str">
        <f t="shared" si="135"/>
        <v/>
      </c>
      <c r="K311" s="3402" t="e">
        <f t="shared" si="135"/>
        <v>#REF!</v>
      </c>
      <c r="L311" s="3403" t="str">
        <f t="shared" si="135"/>
        <v/>
      </c>
      <c r="M311" s="895" t="str">
        <f t="shared" si="129"/>
        <v/>
      </c>
      <c r="N311" s="481"/>
      <c r="O311" s="481"/>
      <c r="S311" s="1443" t="b">
        <f>TRUE</f>
        <v>1</v>
      </c>
      <c r="AB311" s="1435"/>
      <c r="AO311" s="1121" t="b">
        <f t="shared" si="119"/>
        <v>0</v>
      </c>
    </row>
    <row r="312" spans="2:41" ht="12.75" customHeight="1">
      <c r="B312" s="1124"/>
      <c r="C312" s="484"/>
      <c r="D312" s="582">
        <f t="shared" si="130"/>
        <v>8</v>
      </c>
      <c r="E312" s="2825" t="str">
        <f t="shared" ref="E312:L312" si="136">IF(E302&lt;&gt; "",E302,IF(E292 &lt;&gt; "", E292,""))</f>
        <v/>
      </c>
      <c r="F312" s="2826" t="str">
        <f t="shared" si="136"/>
        <v/>
      </c>
      <c r="G312" s="2838" t="str">
        <f t="shared" si="136"/>
        <v/>
      </c>
      <c r="H312" s="3365" t="str">
        <f t="shared" si="136"/>
        <v/>
      </c>
      <c r="I312" s="2825" t="str">
        <f t="shared" si="128"/>
        <v/>
      </c>
      <c r="J312" s="3402" t="str">
        <f t="shared" si="136"/>
        <v/>
      </c>
      <c r="K312" s="3402" t="e">
        <f t="shared" si="136"/>
        <v>#REF!</v>
      </c>
      <c r="L312" s="3403" t="str">
        <f t="shared" si="136"/>
        <v/>
      </c>
      <c r="M312" s="895" t="str">
        <f t="shared" si="129"/>
        <v/>
      </c>
      <c r="N312" s="481"/>
      <c r="O312" s="481"/>
      <c r="S312" s="1443" t="b">
        <f>TRUE</f>
        <v>1</v>
      </c>
      <c r="AB312" s="1435"/>
      <c r="AO312" s="1121" t="b">
        <f t="shared" si="119"/>
        <v>0</v>
      </c>
    </row>
    <row r="313" spans="2:41" ht="12.75" customHeight="1">
      <c r="B313" s="1124"/>
      <c r="C313" s="484"/>
      <c r="D313" s="582">
        <f t="shared" si="130"/>
        <v>9</v>
      </c>
      <c r="E313" s="2825" t="str">
        <f t="shared" ref="E313:L313" si="137">IF(E303&lt;&gt; "",E303,IF(E293 &lt;&gt; "", E293,""))</f>
        <v/>
      </c>
      <c r="F313" s="2826" t="str">
        <f t="shared" si="137"/>
        <v/>
      </c>
      <c r="G313" s="2838" t="str">
        <f t="shared" si="137"/>
        <v/>
      </c>
      <c r="H313" s="3365" t="str">
        <f t="shared" si="137"/>
        <v/>
      </c>
      <c r="I313" s="2825" t="str">
        <f t="shared" si="128"/>
        <v/>
      </c>
      <c r="J313" s="3402" t="str">
        <f t="shared" si="137"/>
        <v/>
      </c>
      <c r="K313" s="3402" t="e">
        <f t="shared" si="137"/>
        <v>#REF!</v>
      </c>
      <c r="L313" s="3403" t="str">
        <f t="shared" si="137"/>
        <v/>
      </c>
      <c r="M313" s="895" t="str">
        <f t="shared" si="129"/>
        <v/>
      </c>
      <c r="N313" s="481"/>
      <c r="O313" s="481"/>
      <c r="S313" s="1443" t="b">
        <f>TRUE</f>
        <v>1</v>
      </c>
      <c r="AB313" s="1435"/>
      <c r="AO313" s="1121" t="b">
        <f t="shared" si="119"/>
        <v>0</v>
      </c>
    </row>
    <row r="314" spans="2:41" ht="12.75" customHeight="1">
      <c r="B314" s="1124"/>
      <c r="C314" s="484"/>
      <c r="D314" s="584">
        <f t="shared" si="130"/>
        <v>10</v>
      </c>
      <c r="E314" s="2820" t="str">
        <f t="shared" ref="E314:L314" si="138">IF(E304&lt;&gt; "",E304,IF(E294 &lt;&gt; "", E294,""))</f>
        <v/>
      </c>
      <c r="F314" s="2821" t="str">
        <f t="shared" si="138"/>
        <v/>
      </c>
      <c r="G314" s="2834" t="str">
        <f t="shared" si="138"/>
        <v/>
      </c>
      <c r="H314" s="3412" t="str">
        <f t="shared" si="138"/>
        <v/>
      </c>
      <c r="I314" s="2820" t="str">
        <f t="shared" si="128"/>
        <v/>
      </c>
      <c r="J314" s="3413" t="str">
        <f t="shared" si="138"/>
        <v/>
      </c>
      <c r="K314" s="3413" t="e">
        <f t="shared" si="138"/>
        <v>#REF!</v>
      </c>
      <c r="L314" s="3414" t="str">
        <f t="shared" si="138"/>
        <v/>
      </c>
      <c r="M314" s="968" t="str">
        <f t="shared" si="129"/>
        <v/>
      </c>
      <c r="N314" s="481"/>
      <c r="O314" s="481"/>
      <c r="S314" s="1443" t="b">
        <f>TRUE</f>
        <v>1</v>
      </c>
      <c r="Z314" s="1249"/>
      <c r="AA314" s="1249"/>
      <c r="AB314" s="1435"/>
      <c r="AO314" s="1121" t="b">
        <f t="shared" si="119"/>
        <v>0</v>
      </c>
    </row>
    <row r="315" spans="2:41" ht="5.0999999999999996" customHeight="1">
      <c r="B315" s="467"/>
      <c r="C315" s="467"/>
      <c r="D315" s="467"/>
      <c r="E315" s="467"/>
      <c r="F315" s="467"/>
      <c r="G315" s="467"/>
      <c r="H315" s="467"/>
      <c r="I315" s="467"/>
      <c r="J315" s="467"/>
      <c r="K315" s="467"/>
      <c r="L315" s="467"/>
      <c r="M315" s="467"/>
      <c r="N315" s="467"/>
      <c r="O315" s="481"/>
      <c r="P315" s="481"/>
      <c r="Q315" s="1249"/>
      <c r="R315" s="1249"/>
      <c r="AB315" s="1435"/>
      <c r="AO315" s="1121" t="b">
        <f t="shared" si="119"/>
        <v>0</v>
      </c>
    </row>
    <row r="316" spans="2:41" ht="12.75" customHeight="1">
      <c r="B316" s="467"/>
      <c r="C316" s="482"/>
      <c r="D316" s="482"/>
      <c r="E316" s="2373" t="s">
        <v>1477</v>
      </c>
      <c r="F316" s="2400"/>
      <c r="G316" s="2400"/>
      <c r="H316" s="2400"/>
      <c r="I316" s="2400"/>
      <c r="J316" s="2400"/>
      <c r="K316" s="2400"/>
      <c r="L316" s="2400"/>
      <c r="M316" s="2400"/>
      <c r="N316" s="2400"/>
      <c r="O316" s="481"/>
      <c r="P316" s="481"/>
      <c r="Q316" s="1249"/>
      <c r="AB316" s="1435"/>
      <c r="AO316" s="1121" t="b">
        <f t="shared" ref="AO316:AO379" si="139">$AD$249</f>
        <v>0</v>
      </c>
    </row>
    <row r="317" spans="2:41" ht="25.5" customHeight="1">
      <c r="B317" s="467"/>
      <c r="C317" s="482"/>
      <c r="D317" s="482"/>
      <c r="E317" s="2385" t="s">
        <v>1929</v>
      </c>
      <c r="F317" s="2846"/>
      <c r="G317" s="2846"/>
      <c r="H317" s="2846"/>
      <c r="I317" s="2846"/>
      <c r="J317" s="2846"/>
      <c r="K317" s="2846"/>
      <c r="L317" s="2846"/>
      <c r="M317" s="2846"/>
      <c r="N317" s="2846"/>
      <c r="O317" s="481"/>
      <c r="P317" s="481"/>
      <c r="Q317" s="1249"/>
      <c r="AB317" s="1435"/>
      <c r="AO317" s="1121" t="b">
        <f t="shared" si="139"/>
        <v>0</v>
      </c>
    </row>
    <row r="318" spans="2:41" ht="25.5" customHeight="1">
      <c r="B318" s="467"/>
      <c r="C318" s="482"/>
      <c r="D318" s="482"/>
      <c r="E318" s="2385" t="s">
        <v>1878</v>
      </c>
      <c r="F318" s="2846"/>
      <c r="G318" s="2846"/>
      <c r="H318" s="2846"/>
      <c r="I318" s="2846"/>
      <c r="J318" s="2846"/>
      <c r="K318" s="2846"/>
      <c r="L318" s="2846"/>
      <c r="M318" s="2846"/>
      <c r="N318" s="2846"/>
      <c r="O318" s="481"/>
      <c r="P318" s="481"/>
      <c r="Q318" s="1249"/>
      <c r="AB318" s="1435"/>
      <c r="AO318" s="1121" t="b">
        <f t="shared" si="139"/>
        <v>0</v>
      </c>
    </row>
    <row r="319" spans="2:41" ht="12.75" customHeight="1">
      <c r="B319" s="467"/>
      <c r="C319" s="482"/>
      <c r="D319" s="482"/>
      <c r="E319" s="2385" t="s">
        <v>1947</v>
      </c>
      <c r="F319" s="2846"/>
      <c r="G319" s="2846"/>
      <c r="H319" s="2846"/>
      <c r="I319" s="2846"/>
      <c r="J319" s="2846"/>
      <c r="K319" s="2846"/>
      <c r="L319" s="2846"/>
      <c r="M319" s="2846"/>
      <c r="N319" s="2846"/>
      <c r="O319" s="481"/>
      <c r="P319" s="481"/>
      <c r="Q319" s="1249"/>
      <c r="AB319" s="1435"/>
      <c r="AO319" s="1121" t="b">
        <f t="shared" si="139"/>
        <v>0</v>
      </c>
    </row>
    <row r="320" spans="2:41" ht="5.0999999999999996" customHeight="1">
      <c r="B320" s="467"/>
      <c r="C320" s="485"/>
      <c r="D320" s="485"/>
      <c r="E320" s="617"/>
      <c r="F320" s="617"/>
      <c r="G320" s="617"/>
      <c r="H320" s="617"/>
      <c r="I320" s="617"/>
      <c r="J320" s="468"/>
      <c r="K320" s="468"/>
      <c r="L320" s="468"/>
      <c r="M320" s="481"/>
      <c r="N320" s="481"/>
      <c r="O320" s="481"/>
      <c r="P320" s="481"/>
      <c r="Q320" s="1249"/>
      <c r="AB320" s="1435"/>
      <c r="AO320" s="1121" t="b">
        <f t="shared" si="139"/>
        <v>0</v>
      </c>
    </row>
    <row r="321" spans="1:42" s="1911" customFormat="1" ht="25.5" customHeight="1">
      <c r="A321" s="1905"/>
      <c r="B321" s="1906"/>
      <c r="C321" s="1028"/>
      <c r="D321" s="1029"/>
      <c r="E321" s="870" t="str">
        <f>I284</f>
        <v>Product name, or heat export other than "district heating"</v>
      </c>
      <c r="F321" s="1030" t="str">
        <f>EUconst_Unit</f>
        <v>Unit</v>
      </c>
      <c r="G321" s="1031" t="s">
        <v>2220</v>
      </c>
      <c r="H321" s="1032">
        <f t="shared" ref="H321:N321" si="140">H$1190</f>
        <v>2024</v>
      </c>
      <c r="I321" s="1031">
        <f t="shared" si="140"/>
        <v>2025</v>
      </c>
      <c r="J321" s="1907">
        <f t="shared" si="140"/>
        <v>2026</v>
      </c>
      <c r="K321" s="1908">
        <f t="shared" si="140"/>
        <v>2027</v>
      </c>
      <c r="L321" s="1908">
        <f t="shared" si="140"/>
        <v>2028</v>
      </c>
      <c r="M321" s="1908">
        <f t="shared" si="140"/>
        <v>2029</v>
      </c>
      <c r="N321" s="1908">
        <f t="shared" si="140"/>
        <v>2030</v>
      </c>
      <c r="O321" s="481"/>
      <c r="P321" s="481"/>
      <c r="Q321" s="1909"/>
      <c r="R321" s="1909"/>
      <c r="S321" s="1904" t="s">
        <v>2057</v>
      </c>
      <c r="T321" s="1909"/>
      <c r="U321" s="1909"/>
      <c r="V321" s="1909"/>
      <c r="W321" s="1909"/>
      <c r="X321" s="1909"/>
      <c r="Y321" s="1909"/>
      <c r="Z321" s="1909"/>
      <c r="AA321" s="1909"/>
      <c r="AB321" s="1249" t="s">
        <v>1646</v>
      </c>
      <c r="AC321" s="1909">
        <f t="shared" ref="AC321:AI321" si="141">H321</f>
        <v>2024</v>
      </c>
      <c r="AD321" s="1909">
        <f t="shared" si="141"/>
        <v>2025</v>
      </c>
      <c r="AE321" s="1909">
        <f t="shared" si="141"/>
        <v>2026</v>
      </c>
      <c r="AF321" s="1909">
        <f t="shared" si="141"/>
        <v>2027</v>
      </c>
      <c r="AG321" s="1909">
        <f t="shared" si="141"/>
        <v>2028</v>
      </c>
      <c r="AH321" s="1910">
        <f t="shared" si="141"/>
        <v>2029</v>
      </c>
      <c r="AI321" s="1910">
        <f t="shared" si="141"/>
        <v>2030</v>
      </c>
      <c r="AN321" s="1905"/>
      <c r="AO321" s="1121" t="b">
        <f t="shared" si="139"/>
        <v>0</v>
      </c>
      <c r="AP321" s="1912"/>
    </row>
    <row r="322" spans="1:42" s="1911" customFormat="1" ht="13.15" customHeight="1">
      <c r="A322" s="1905"/>
      <c r="B322" s="1906"/>
      <c r="C322" s="1028"/>
      <c r="D322" s="579">
        <v>1</v>
      </c>
      <c r="E322" s="1913" t="str">
        <f>c_ALR2025!E5993</f>
        <v/>
      </c>
      <c r="F322" s="1763" t="str">
        <f>c_ALR2025!F5993</f>
        <v/>
      </c>
      <c r="G322" s="1914" t="str">
        <f>c_ALR2025!G5993</f>
        <v/>
      </c>
      <c r="H322" s="1915" t="str">
        <f>c_ALR2025!M5993</f>
        <v/>
      </c>
      <c r="I322" s="1987"/>
      <c r="J322" s="1907"/>
      <c r="K322" s="1908"/>
      <c r="L322" s="1908"/>
      <c r="M322" s="1908"/>
      <c r="N322" s="1908"/>
      <c r="O322" s="481"/>
      <c r="P322" s="9"/>
      <c r="Q322" s="1909"/>
      <c r="R322" s="1909"/>
      <c r="S322" s="1715" t="b">
        <f>IF(E322 = "", TRUE, FALSE)</f>
        <v>1</v>
      </c>
      <c r="T322" s="1909"/>
      <c r="U322" s="1909"/>
      <c r="V322" s="1909"/>
      <c r="W322" s="1909"/>
      <c r="X322" s="1909"/>
      <c r="Y322" s="1909"/>
      <c r="Z322" s="1909"/>
      <c r="AA322" s="1909"/>
      <c r="AB322" s="1249"/>
      <c r="AC322" s="1909"/>
      <c r="AD322" s="1909"/>
      <c r="AE322" s="1909"/>
      <c r="AF322" s="1909"/>
      <c r="AG322" s="1909"/>
      <c r="AH322" s="1910"/>
      <c r="AI322" s="1910"/>
      <c r="AN322" s="1905"/>
      <c r="AO322" s="1121" t="b">
        <f t="shared" si="139"/>
        <v>0</v>
      </c>
      <c r="AP322" s="1912"/>
    </row>
    <row r="323" spans="1:42" s="1911" customFormat="1" ht="13.15" customHeight="1">
      <c r="A323" s="1905"/>
      <c r="B323" s="1906"/>
      <c r="C323" s="1028"/>
      <c r="D323" s="582">
        <v>2</v>
      </c>
      <c r="E323" s="1916" t="str">
        <f>c_ALR2025!E5994</f>
        <v/>
      </c>
      <c r="F323" s="1917" t="str">
        <f>c_ALR2025!F5994</f>
        <v/>
      </c>
      <c r="G323" s="1918" t="str">
        <f>c_ALR2025!G5994</f>
        <v/>
      </c>
      <c r="H323" s="1919" t="str">
        <f>c_ALR2025!M5994</f>
        <v/>
      </c>
      <c r="I323" s="1988"/>
      <c r="J323" s="1907"/>
      <c r="K323" s="1908"/>
      <c r="L323" s="1908"/>
      <c r="M323" s="1908"/>
      <c r="N323" s="1908"/>
      <c r="O323" s="481"/>
      <c r="P323" s="9"/>
      <c r="Q323" s="1909"/>
      <c r="R323" s="1909"/>
      <c r="S323" s="1715" t="b">
        <f t="shared" ref="S323:S331" si="142">IF(E323 = "", TRUE, FALSE)</f>
        <v>1</v>
      </c>
      <c r="T323" s="1909"/>
      <c r="U323" s="1909"/>
      <c r="V323" s="1909"/>
      <c r="W323" s="1909"/>
      <c r="X323" s="1909"/>
      <c r="Y323" s="1909"/>
      <c r="Z323" s="1909"/>
      <c r="AA323" s="1909"/>
      <c r="AB323" s="1249"/>
      <c r="AC323" s="1909"/>
      <c r="AD323" s="1909"/>
      <c r="AE323" s="1909"/>
      <c r="AF323" s="1909"/>
      <c r="AG323" s="1909"/>
      <c r="AH323" s="1910"/>
      <c r="AI323" s="1910"/>
      <c r="AN323" s="1905"/>
      <c r="AO323" s="1121" t="b">
        <f t="shared" si="139"/>
        <v>0</v>
      </c>
      <c r="AP323" s="1912"/>
    </row>
    <row r="324" spans="1:42" s="1911" customFormat="1" ht="13.15" customHeight="1">
      <c r="A324" s="1905"/>
      <c r="B324" s="1906"/>
      <c r="C324" s="1028"/>
      <c r="D324" s="582">
        <v>3</v>
      </c>
      <c r="E324" s="1916" t="str">
        <f>c_ALR2025!E5995</f>
        <v/>
      </c>
      <c r="F324" s="1917" t="str">
        <f>c_ALR2025!F5995</f>
        <v/>
      </c>
      <c r="G324" s="1918" t="str">
        <f>c_ALR2025!G5995</f>
        <v/>
      </c>
      <c r="H324" s="1919" t="str">
        <f>c_ALR2025!M5995</f>
        <v/>
      </c>
      <c r="I324" s="1988"/>
      <c r="J324" s="1907"/>
      <c r="K324" s="1908"/>
      <c r="L324" s="1908"/>
      <c r="M324" s="1908"/>
      <c r="N324" s="1908"/>
      <c r="O324" s="481"/>
      <c r="P324" s="9"/>
      <c r="Q324" s="1909"/>
      <c r="R324" s="1909"/>
      <c r="S324" s="1715" t="b">
        <f t="shared" si="142"/>
        <v>1</v>
      </c>
      <c r="T324" s="1909"/>
      <c r="U324" s="1909"/>
      <c r="V324" s="1909"/>
      <c r="W324" s="1909"/>
      <c r="X324" s="1909"/>
      <c r="Y324" s="1909"/>
      <c r="Z324" s="1909"/>
      <c r="AA324" s="1909"/>
      <c r="AB324" s="1249"/>
      <c r="AC324" s="1909"/>
      <c r="AD324" s="1909"/>
      <c r="AE324" s="1909"/>
      <c r="AF324" s="1909"/>
      <c r="AG324" s="1909"/>
      <c r="AH324" s="1910"/>
      <c r="AI324" s="1910"/>
      <c r="AN324" s="1905"/>
      <c r="AO324" s="1121" t="b">
        <f t="shared" si="139"/>
        <v>0</v>
      </c>
      <c r="AP324" s="1912"/>
    </row>
    <row r="325" spans="1:42" s="1911" customFormat="1" ht="13.15" customHeight="1">
      <c r="A325" s="1905"/>
      <c r="B325" s="1906"/>
      <c r="C325" s="1028"/>
      <c r="D325" s="582">
        <v>4</v>
      </c>
      <c r="E325" s="1916" t="str">
        <f>c_ALR2025!E5996</f>
        <v/>
      </c>
      <c r="F325" s="1917" t="str">
        <f>c_ALR2025!F5996</f>
        <v/>
      </c>
      <c r="G325" s="1918" t="str">
        <f>c_ALR2025!G5996</f>
        <v/>
      </c>
      <c r="H325" s="1919" t="str">
        <f>c_ALR2025!M5996</f>
        <v/>
      </c>
      <c r="I325" s="1988"/>
      <c r="J325" s="1907"/>
      <c r="K325" s="1908"/>
      <c r="L325" s="1908"/>
      <c r="M325" s="1908"/>
      <c r="N325" s="1908"/>
      <c r="O325" s="481"/>
      <c r="P325" s="9"/>
      <c r="Q325" s="1909"/>
      <c r="R325" s="1909"/>
      <c r="S325" s="1715" t="b">
        <f t="shared" si="142"/>
        <v>1</v>
      </c>
      <c r="T325" s="1909"/>
      <c r="U325" s="1909"/>
      <c r="V325" s="1909"/>
      <c r="W325" s="1909"/>
      <c r="X325" s="1909"/>
      <c r="Y325" s="1909"/>
      <c r="Z325" s="1909"/>
      <c r="AA325" s="1909"/>
      <c r="AB325" s="1249"/>
      <c r="AC325" s="1909"/>
      <c r="AD325" s="1909"/>
      <c r="AE325" s="1909"/>
      <c r="AF325" s="1909"/>
      <c r="AG325" s="1909"/>
      <c r="AH325" s="1910"/>
      <c r="AI325" s="1910"/>
      <c r="AN325" s="1905"/>
      <c r="AO325" s="1121" t="b">
        <f t="shared" si="139"/>
        <v>0</v>
      </c>
      <c r="AP325" s="1912"/>
    </row>
    <row r="326" spans="1:42" s="1911" customFormat="1" ht="13.15" customHeight="1">
      <c r="A326" s="1905"/>
      <c r="B326" s="1906"/>
      <c r="C326" s="1028"/>
      <c r="D326" s="582">
        <v>5</v>
      </c>
      <c r="E326" s="1916" t="str">
        <f>c_ALR2025!E5997</f>
        <v/>
      </c>
      <c r="F326" s="1917" t="str">
        <f>c_ALR2025!F5997</f>
        <v/>
      </c>
      <c r="G326" s="1918" t="str">
        <f>c_ALR2025!G5997</f>
        <v/>
      </c>
      <c r="H326" s="1919" t="str">
        <f>c_ALR2025!M5997</f>
        <v/>
      </c>
      <c r="I326" s="1988"/>
      <c r="J326" s="1907"/>
      <c r="K326" s="1908"/>
      <c r="L326" s="1908"/>
      <c r="M326" s="1908"/>
      <c r="N326" s="1908"/>
      <c r="O326" s="481"/>
      <c r="P326" s="9"/>
      <c r="Q326" s="1909"/>
      <c r="R326" s="1909"/>
      <c r="S326" s="1715" t="b">
        <f t="shared" si="142"/>
        <v>1</v>
      </c>
      <c r="T326" s="1909"/>
      <c r="U326" s="1909"/>
      <c r="V326" s="1909"/>
      <c r="W326" s="1909"/>
      <c r="X326" s="1909"/>
      <c r="Y326" s="1909"/>
      <c r="Z326" s="1909"/>
      <c r="AA326" s="1909"/>
      <c r="AB326" s="1249"/>
      <c r="AC326" s="1909"/>
      <c r="AD326" s="1909"/>
      <c r="AE326" s="1909"/>
      <c r="AF326" s="1909"/>
      <c r="AG326" s="1909"/>
      <c r="AH326" s="1910"/>
      <c r="AI326" s="1910"/>
      <c r="AN326" s="1905"/>
      <c r="AO326" s="1121" t="b">
        <f t="shared" si="139"/>
        <v>0</v>
      </c>
      <c r="AP326" s="1912"/>
    </row>
    <row r="327" spans="1:42" s="1911" customFormat="1" ht="13.15" customHeight="1">
      <c r="A327" s="1905"/>
      <c r="B327" s="1906"/>
      <c r="C327" s="1028"/>
      <c r="D327" s="582">
        <v>6</v>
      </c>
      <c r="E327" s="1916" t="str">
        <f>c_ALR2025!E5998</f>
        <v/>
      </c>
      <c r="F327" s="1917" t="str">
        <f>c_ALR2025!F5998</f>
        <v/>
      </c>
      <c r="G327" s="1918" t="str">
        <f>c_ALR2025!G5998</f>
        <v/>
      </c>
      <c r="H327" s="1919" t="str">
        <f>c_ALR2025!M5998</f>
        <v/>
      </c>
      <c r="I327" s="1988"/>
      <c r="J327" s="1907"/>
      <c r="K327" s="1908"/>
      <c r="L327" s="1908"/>
      <c r="M327" s="1908"/>
      <c r="N327" s="1908"/>
      <c r="O327" s="481"/>
      <c r="P327" s="9"/>
      <c r="Q327" s="1909"/>
      <c r="R327" s="1909"/>
      <c r="S327" s="1715" t="b">
        <f t="shared" si="142"/>
        <v>1</v>
      </c>
      <c r="T327" s="1909"/>
      <c r="U327" s="1909"/>
      <c r="V327" s="1909"/>
      <c r="W327" s="1909"/>
      <c r="X327" s="1909"/>
      <c r="Y327" s="1909"/>
      <c r="Z327" s="1909"/>
      <c r="AA327" s="1909"/>
      <c r="AB327" s="1249"/>
      <c r="AC327" s="1909"/>
      <c r="AD327" s="1909"/>
      <c r="AE327" s="1909"/>
      <c r="AF327" s="1909"/>
      <c r="AG327" s="1909"/>
      <c r="AH327" s="1910"/>
      <c r="AI327" s="1910"/>
      <c r="AN327" s="1905"/>
      <c r="AO327" s="1121" t="b">
        <f t="shared" si="139"/>
        <v>0</v>
      </c>
      <c r="AP327" s="1912"/>
    </row>
    <row r="328" spans="1:42" s="1911" customFormat="1" ht="13.15" customHeight="1">
      <c r="A328" s="1905"/>
      <c r="B328" s="1906"/>
      <c r="C328" s="1028"/>
      <c r="D328" s="582">
        <v>7</v>
      </c>
      <c r="E328" s="1916" t="str">
        <f>c_ALR2025!E5999</f>
        <v/>
      </c>
      <c r="F328" s="1917" t="str">
        <f>c_ALR2025!F5999</f>
        <v/>
      </c>
      <c r="G328" s="1918" t="str">
        <f>c_ALR2025!G5999</f>
        <v/>
      </c>
      <c r="H328" s="1919" t="str">
        <f>c_ALR2025!M5999</f>
        <v/>
      </c>
      <c r="I328" s="1988"/>
      <c r="J328" s="1907"/>
      <c r="K328" s="1908"/>
      <c r="L328" s="1908"/>
      <c r="M328" s="1908"/>
      <c r="N328" s="1908"/>
      <c r="O328" s="481"/>
      <c r="P328" s="9"/>
      <c r="Q328" s="1909"/>
      <c r="R328" s="1909"/>
      <c r="S328" s="1715" t="b">
        <f t="shared" si="142"/>
        <v>1</v>
      </c>
      <c r="T328" s="1909"/>
      <c r="U328" s="1909"/>
      <c r="V328" s="1909"/>
      <c r="W328" s="1909"/>
      <c r="X328" s="1909"/>
      <c r="Y328" s="1909"/>
      <c r="Z328" s="1909"/>
      <c r="AA328" s="1909"/>
      <c r="AB328" s="1249"/>
      <c r="AC328" s="1909"/>
      <c r="AD328" s="1909"/>
      <c r="AE328" s="1909"/>
      <c r="AF328" s="1909"/>
      <c r="AG328" s="1909"/>
      <c r="AH328" s="1910"/>
      <c r="AI328" s="1910"/>
      <c r="AN328" s="1905"/>
      <c r="AO328" s="1121" t="b">
        <f t="shared" si="139"/>
        <v>0</v>
      </c>
      <c r="AP328" s="1912"/>
    </row>
    <row r="329" spans="1:42" s="1911" customFormat="1" ht="13.15" customHeight="1">
      <c r="A329" s="1905"/>
      <c r="B329" s="1906"/>
      <c r="C329" s="1028"/>
      <c r="D329" s="582">
        <v>8</v>
      </c>
      <c r="E329" s="1916" t="str">
        <f>c_ALR2025!E6000</f>
        <v/>
      </c>
      <c r="F329" s="1917" t="str">
        <f>c_ALR2025!F6000</f>
        <v/>
      </c>
      <c r="G329" s="1918" t="str">
        <f>c_ALR2025!G6000</f>
        <v/>
      </c>
      <c r="H329" s="1919" t="str">
        <f>c_ALR2025!M6000</f>
        <v/>
      </c>
      <c r="I329" s="1988"/>
      <c r="J329" s="1907"/>
      <c r="K329" s="1908"/>
      <c r="L329" s="1908"/>
      <c r="M329" s="1908"/>
      <c r="N329" s="1908"/>
      <c r="O329" s="481"/>
      <c r="P329" s="9"/>
      <c r="Q329" s="1909"/>
      <c r="R329" s="1909"/>
      <c r="S329" s="1715" t="b">
        <f t="shared" si="142"/>
        <v>1</v>
      </c>
      <c r="T329" s="1909"/>
      <c r="U329" s="1909"/>
      <c r="V329" s="1909"/>
      <c r="W329" s="1909"/>
      <c r="X329" s="1909"/>
      <c r="Y329" s="1909"/>
      <c r="Z329" s="1909"/>
      <c r="AA329" s="1909"/>
      <c r="AB329" s="1249"/>
      <c r="AC329" s="1909"/>
      <c r="AD329" s="1909"/>
      <c r="AE329" s="1909"/>
      <c r="AF329" s="1909"/>
      <c r="AG329" s="1909"/>
      <c r="AH329" s="1910"/>
      <c r="AI329" s="1910"/>
      <c r="AN329" s="1905"/>
      <c r="AO329" s="1121" t="b">
        <f t="shared" si="139"/>
        <v>0</v>
      </c>
      <c r="AP329" s="1912"/>
    </row>
    <row r="330" spans="1:42" s="1911" customFormat="1" ht="13.15" customHeight="1">
      <c r="A330" s="1905"/>
      <c r="B330" s="1906"/>
      <c r="C330" s="1028"/>
      <c r="D330" s="582">
        <v>9</v>
      </c>
      <c r="E330" s="1916" t="str">
        <f>c_ALR2025!E6001</f>
        <v/>
      </c>
      <c r="F330" s="1917" t="str">
        <f>c_ALR2025!F6001</f>
        <v/>
      </c>
      <c r="G330" s="1918" t="str">
        <f>c_ALR2025!G6001</f>
        <v/>
      </c>
      <c r="H330" s="1919" t="str">
        <f>c_ALR2025!M6001</f>
        <v/>
      </c>
      <c r="I330" s="1988"/>
      <c r="J330" s="1907"/>
      <c r="K330" s="1908"/>
      <c r="L330" s="1908"/>
      <c r="M330" s="1908"/>
      <c r="N330" s="1908"/>
      <c r="O330" s="481"/>
      <c r="P330" s="9"/>
      <c r="Q330" s="1909"/>
      <c r="R330" s="1909"/>
      <c r="S330" s="1715" t="b">
        <f t="shared" si="142"/>
        <v>1</v>
      </c>
      <c r="T330" s="1909"/>
      <c r="U330" s="1909"/>
      <c r="V330" s="1909"/>
      <c r="W330" s="1909"/>
      <c r="X330" s="1909"/>
      <c r="Y330" s="1909"/>
      <c r="Z330" s="1909"/>
      <c r="AA330" s="1909"/>
      <c r="AB330" s="1249"/>
      <c r="AC330" s="1909"/>
      <c r="AD330" s="1909"/>
      <c r="AE330" s="1909"/>
      <c r="AF330" s="1909"/>
      <c r="AG330" s="1909"/>
      <c r="AH330" s="1910"/>
      <c r="AI330" s="1910"/>
      <c r="AN330" s="1905"/>
      <c r="AO330" s="1121" t="b">
        <f t="shared" si="139"/>
        <v>0</v>
      </c>
      <c r="AP330" s="1912"/>
    </row>
    <row r="331" spans="1:42" s="1911" customFormat="1" ht="13.15" customHeight="1">
      <c r="A331" s="1905"/>
      <c r="B331" s="1906"/>
      <c r="C331" s="1028"/>
      <c r="D331" s="584">
        <v>10</v>
      </c>
      <c r="E331" s="1920" t="str">
        <f>c_ALR2025!E6002</f>
        <v/>
      </c>
      <c r="F331" s="1921" t="str">
        <f>c_ALR2025!F6002</f>
        <v/>
      </c>
      <c r="G331" s="1922" t="str">
        <f>c_ALR2025!G6002</f>
        <v/>
      </c>
      <c r="H331" s="1923" t="str">
        <f>c_ALR2025!M6002</f>
        <v/>
      </c>
      <c r="I331" s="1989"/>
      <c r="J331" s="1907"/>
      <c r="K331" s="1908"/>
      <c r="L331" s="1908"/>
      <c r="M331" s="1908"/>
      <c r="N331" s="1908"/>
      <c r="O331" s="481"/>
      <c r="P331" s="9"/>
      <c r="Q331" s="1909"/>
      <c r="R331" s="1909"/>
      <c r="S331" s="1715" t="b">
        <f t="shared" si="142"/>
        <v>1</v>
      </c>
      <c r="T331" s="1909"/>
      <c r="U331" s="1909"/>
      <c r="V331" s="1909"/>
      <c r="W331" s="1909"/>
      <c r="X331" s="1909"/>
      <c r="Y331" s="1909"/>
      <c r="Z331" s="1909"/>
      <c r="AA331" s="1909"/>
      <c r="AB331" s="1249"/>
      <c r="AC331" s="1909"/>
      <c r="AD331" s="1909"/>
      <c r="AE331" s="1909"/>
      <c r="AF331" s="1909"/>
      <c r="AG331" s="1909"/>
      <c r="AH331" s="1910"/>
      <c r="AI331" s="1910"/>
      <c r="AN331" s="1905"/>
      <c r="AO331" s="1121" t="b">
        <f t="shared" si="139"/>
        <v>0</v>
      </c>
      <c r="AP331" s="1912"/>
    </row>
    <row r="332" spans="1:42" s="1911" customFormat="1" ht="13.15" customHeight="1">
      <c r="A332" s="1905"/>
      <c r="B332" s="1906"/>
      <c r="C332" s="1028"/>
      <c r="D332" s="579">
        <v>1</v>
      </c>
      <c r="E332" s="1034" t="str">
        <f>IF(ISBLANK(I305),"",I305)</f>
        <v/>
      </c>
      <c r="F332" s="1990"/>
      <c r="G332" s="1987"/>
      <c r="H332" s="1924"/>
      <c r="I332" s="1987"/>
      <c r="J332" s="1907"/>
      <c r="K332" s="1908"/>
      <c r="L332" s="1908"/>
      <c r="M332" s="1908"/>
      <c r="N332" s="1908"/>
      <c r="O332" s="481"/>
      <c r="P332" s="9"/>
      <c r="Q332" s="1909"/>
      <c r="R332" s="1909"/>
      <c r="S332" s="1715" t="b">
        <f>IF(AND(S322 = TRUE, E332 &lt;&gt; ""),FALSE, TRUE)</f>
        <v>1</v>
      </c>
      <c r="T332" s="1909"/>
      <c r="U332" s="1909"/>
      <c r="V332" s="1909"/>
      <c r="W332" s="1909"/>
      <c r="X332" s="1909"/>
      <c r="Y332" s="1909"/>
      <c r="Z332" s="1909"/>
      <c r="AA332" s="1909"/>
      <c r="AB332" s="1249"/>
      <c r="AC332" s="1909"/>
      <c r="AD332" s="1909"/>
      <c r="AE332" s="1909"/>
      <c r="AF332" s="1909"/>
      <c r="AG332" s="1909"/>
      <c r="AH332" s="1910"/>
      <c r="AI332" s="1910"/>
      <c r="AN332" s="1905"/>
      <c r="AO332" s="1121" t="b">
        <f t="shared" si="139"/>
        <v>0</v>
      </c>
      <c r="AP332" s="1912"/>
    </row>
    <row r="333" spans="1:42" s="1911" customFormat="1" ht="13.15" customHeight="1">
      <c r="A333" s="1905"/>
      <c r="B333" s="1906"/>
      <c r="C333" s="1028"/>
      <c r="D333" s="582">
        <v>2</v>
      </c>
      <c r="E333" s="1035" t="str">
        <f t="shared" ref="E333:E341" si="143">IF(ISBLANK(I306),"",I306)</f>
        <v/>
      </c>
      <c r="F333" s="1991"/>
      <c r="G333" s="1988"/>
      <c r="H333" s="1925"/>
      <c r="I333" s="1988"/>
      <c r="J333" s="1907"/>
      <c r="K333" s="1908"/>
      <c r="L333" s="1908"/>
      <c r="M333" s="1908"/>
      <c r="N333" s="1908"/>
      <c r="O333" s="481"/>
      <c r="P333" s="9"/>
      <c r="Q333" s="1909"/>
      <c r="R333" s="1909"/>
      <c r="S333" s="1715" t="b">
        <f t="shared" ref="S333:S341" si="144">IF(AND(S323 = TRUE, E333 &lt;&gt; ""),FALSE, TRUE)</f>
        <v>1</v>
      </c>
      <c r="T333" s="1909"/>
      <c r="U333" s="1909"/>
      <c r="V333" s="1909"/>
      <c r="W333" s="1909"/>
      <c r="X333" s="1909"/>
      <c r="Y333" s="1909"/>
      <c r="Z333" s="1909"/>
      <c r="AA333" s="1909"/>
      <c r="AB333" s="1249"/>
      <c r="AC333" s="1909"/>
      <c r="AD333" s="1909"/>
      <c r="AE333" s="1909"/>
      <c r="AF333" s="1909"/>
      <c r="AG333" s="1909"/>
      <c r="AH333" s="1910"/>
      <c r="AI333" s="1910"/>
      <c r="AN333" s="1905"/>
      <c r="AO333" s="1121" t="b">
        <f t="shared" si="139"/>
        <v>0</v>
      </c>
      <c r="AP333" s="1912"/>
    </row>
    <row r="334" spans="1:42" s="1911" customFormat="1" ht="13.15" customHeight="1">
      <c r="A334" s="1905"/>
      <c r="B334" s="1906"/>
      <c r="C334" s="1028"/>
      <c r="D334" s="582">
        <v>3</v>
      </c>
      <c r="E334" s="1035" t="str">
        <f t="shared" si="143"/>
        <v/>
      </c>
      <c r="F334" s="1991"/>
      <c r="G334" s="1988"/>
      <c r="H334" s="1925"/>
      <c r="I334" s="1988"/>
      <c r="J334" s="1907"/>
      <c r="K334" s="1908"/>
      <c r="L334" s="1908"/>
      <c r="M334" s="1908"/>
      <c r="N334" s="1908"/>
      <c r="O334" s="481"/>
      <c r="P334" s="9"/>
      <c r="Q334" s="1909"/>
      <c r="R334" s="1909"/>
      <c r="S334" s="1715" t="b">
        <f t="shared" si="144"/>
        <v>1</v>
      </c>
      <c r="T334" s="1909"/>
      <c r="U334" s="1909"/>
      <c r="V334" s="1909"/>
      <c r="W334" s="1909"/>
      <c r="X334" s="1909"/>
      <c r="Y334" s="1909"/>
      <c r="Z334" s="1909"/>
      <c r="AA334" s="1909"/>
      <c r="AB334" s="1249"/>
      <c r="AC334" s="1909"/>
      <c r="AD334" s="1909"/>
      <c r="AE334" s="1909"/>
      <c r="AF334" s="1909"/>
      <c r="AG334" s="1909"/>
      <c r="AH334" s="1910"/>
      <c r="AI334" s="1910"/>
      <c r="AN334" s="1905"/>
      <c r="AO334" s="1121" t="b">
        <f t="shared" si="139"/>
        <v>0</v>
      </c>
      <c r="AP334" s="1912"/>
    </row>
    <row r="335" spans="1:42" s="1911" customFormat="1" ht="13.15" customHeight="1">
      <c r="A335" s="1905"/>
      <c r="B335" s="1906"/>
      <c r="C335" s="1028"/>
      <c r="D335" s="582">
        <v>4</v>
      </c>
      <c r="E335" s="1035" t="str">
        <f t="shared" si="143"/>
        <v/>
      </c>
      <c r="F335" s="1991"/>
      <c r="G335" s="1988"/>
      <c r="H335" s="1925"/>
      <c r="I335" s="1988"/>
      <c r="J335" s="1907"/>
      <c r="K335" s="1908"/>
      <c r="L335" s="1908"/>
      <c r="M335" s="1908"/>
      <c r="N335" s="1908"/>
      <c r="O335" s="481"/>
      <c r="P335" s="9"/>
      <c r="Q335" s="1909"/>
      <c r="R335" s="1909"/>
      <c r="S335" s="1715" t="b">
        <f t="shared" si="144"/>
        <v>1</v>
      </c>
      <c r="T335" s="1909"/>
      <c r="U335" s="1909"/>
      <c r="V335" s="1909"/>
      <c r="W335" s="1909"/>
      <c r="X335" s="1909"/>
      <c r="Y335" s="1909"/>
      <c r="Z335" s="1909"/>
      <c r="AA335" s="1909"/>
      <c r="AB335" s="1249"/>
      <c r="AC335" s="1909"/>
      <c r="AD335" s="1909"/>
      <c r="AE335" s="1909"/>
      <c r="AF335" s="1909"/>
      <c r="AG335" s="1909"/>
      <c r="AH335" s="1910"/>
      <c r="AI335" s="1910"/>
      <c r="AN335" s="1905"/>
      <c r="AO335" s="1121" t="b">
        <f t="shared" si="139"/>
        <v>0</v>
      </c>
      <c r="AP335" s="1912"/>
    </row>
    <row r="336" spans="1:42" s="1911" customFormat="1" ht="13.15" customHeight="1">
      <c r="A336" s="1905"/>
      <c r="B336" s="1906"/>
      <c r="C336" s="1028"/>
      <c r="D336" s="582">
        <v>5</v>
      </c>
      <c r="E336" s="1035" t="str">
        <f t="shared" si="143"/>
        <v/>
      </c>
      <c r="F336" s="1991"/>
      <c r="G336" s="1988"/>
      <c r="H336" s="1925"/>
      <c r="I336" s="1988"/>
      <c r="J336" s="1907"/>
      <c r="K336" s="1908"/>
      <c r="L336" s="1908"/>
      <c r="M336" s="1908"/>
      <c r="N336" s="1908"/>
      <c r="O336" s="481"/>
      <c r="P336" s="9"/>
      <c r="Q336" s="1909"/>
      <c r="R336" s="1909"/>
      <c r="S336" s="1715" t="b">
        <f t="shared" si="144"/>
        <v>1</v>
      </c>
      <c r="T336" s="1909"/>
      <c r="U336" s="1909"/>
      <c r="V336" s="1909"/>
      <c r="W336" s="1909"/>
      <c r="X336" s="1909"/>
      <c r="Y336" s="1909"/>
      <c r="Z336" s="1909"/>
      <c r="AA336" s="1909"/>
      <c r="AB336" s="1249"/>
      <c r="AC336" s="1909"/>
      <c r="AD336" s="1909"/>
      <c r="AE336" s="1909"/>
      <c r="AF336" s="1909"/>
      <c r="AG336" s="1909"/>
      <c r="AH336" s="1910"/>
      <c r="AI336" s="1910"/>
      <c r="AN336" s="1905"/>
      <c r="AO336" s="1121" t="b">
        <f t="shared" si="139"/>
        <v>0</v>
      </c>
      <c r="AP336" s="1912"/>
    </row>
    <row r="337" spans="1:42" s="1911" customFormat="1" ht="13.15" customHeight="1">
      <c r="A337" s="1905"/>
      <c r="B337" s="1906"/>
      <c r="C337" s="1028"/>
      <c r="D337" s="582">
        <v>6</v>
      </c>
      <c r="E337" s="1035" t="str">
        <f t="shared" si="143"/>
        <v/>
      </c>
      <c r="F337" s="1991"/>
      <c r="G337" s="1988"/>
      <c r="H337" s="1925"/>
      <c r="I337" s="1988"/>
      <c r="J337" s="1907"/>
      <c r="K337" s="1908"/>
      <c r="L337" s="1908"/>
      <c r="M337" s="1908"/>
      <c r="N337" s="1908"/>
      <c r="O337" s="481"/>
      <c r="P337" s="9"/>
      <c r="Q337" s="1909"/>
      <c r="R337" s="1909"/>
      <c r="S337" s="1715" t="b">
        <f t="shared" si="144"/>
        <v>1</v>
      </c>
      <c r="T337" s="1909"/>
      <c r="U337" s="1909"/>
      <c r="V337" s="1909"/>
      <c r="W337" s="1909"/>
      <c r="X337" s="1909"/>
      <c r="Y337" s="1909"/>
      <c r="Z337" s="1909"/>
      <c r="AA337" s="1909"/>
      <c r="AB337" s="1249"/>
      <c r="AC337" s="1909"/>
      <c r="AD337" s="1909"/>
      <c r="AE337" s="1909"/>
      <c r="AF337" s="1909"/>
      <c r="AG337" s="1909"/>
      <c r="AH337" s="1910"/>
      <c r="AI337" s="1910"/>
      <c r="AJ337" s="1910"/>
      <c r="AK337" s="1910"/>
      <c r="AL337" s="1910"/>
      <c r="AN337" s="1905"/>
      <c r="AO337" s="1121" t="b">
        <f t="shared" si="139"/>
        <v>0</v>
      </c>
      <c r="AP337" s="1912"/>
    </row>
    <row r="338" spans="1:42" s="1911" customFormat="1" ht="13.15" customHeight="1">
      <c r="A338" s="1905"/>
      <c r="B338" s="1906"/>
      <c r="C338" s="1028"/>
      <c r="D338" s="582">
        <v>7</v>
      </c>
      <c r="E338" s="1035" t="str">
        <f t="shared" si="143"/>
        <v/>
      </c>
      <c r="F338" s="1991"/>
      <c r="G338" s="1988"/>
      <c r="H338" s="1925"/>
      <c r="I338" s="1988"/>
      <c r="J338" s="1907"/>
      <c r="K338" s="1908"/>
      <c r="L338" s="1908"/>
      <c r="M338" s="1908"/>
      <c r="N338" s="1908"/>
      <c r="O338" s="481"/>
      <c r="P338" s="9"/>
      <c r="Q338" s="1909"/>
      <c r="R338" s="1909"/>
      <c r="S338" s="1715" t="b">
        <f t="shared" si="144"/>
        <v>1</v>
      </c>
      <c r="T338" s="1909"/>
      <c r="U338" s="1909"/>
      <c r="V338" s="1909"/>
      <c r="W338" s="1909"/>
      <c r="X338" s="1909"/>
      <c r="Y338" s="1909"/>
      <c r="Z338" s="1909"/>
      <c r="AA338" s="1909"/>
      <c r="AB338" s="1249"/>
      <c r="AC338" s="1909"/>
      <c r="AD338" s="1909"/>
      <c r="AE338" s="1909"/>
      <c r="AF338" s="1909"/>
      <c r="AG338" s="1909"/>
      <c r="AH338" s="1910"/>
      <c r="AI338" s="1910"/>
      <c r="AJ338" s="1910"/>
      <c r="AK338" s="1910"/>
      <c r="AL338" s="1910"/>
      <c r="AN338" s="1905"/>
      <c r="AO338" s="1121" t="b">
        <f t="shared" si="139"/>
        <v>0</v>
      </c>
      <c r="AP338" s="1912"/>
    </row>
    <row r="339" spans="1:42" s="1911" customFormat="1" ht="13.15" customHeight="1">
      <c r="A339" s="1905"/>
      <c r="B339" s="1906"/>
      <c r="C339" s="1028"/>
      <c r="D339" s="582">
        <v>8</v>
      </c>
      <c r="E339" s="1035" t="str">
        <f t="shared" si="143"/>
        <v/>
      </c>
      <c r="F339" s="1991"/>
      <c r="G339" s="1988"/>
      <c r="H339" s="1925"/>
      <c r="I339" s="1988"/>
      <c r="J339" s="1907"/>
      <c r="K339" s="1908"/>
      <c r="L339" s="1908"/>
      <c r="M339" s="1908"/>
      <c r="N339" s="1908"/>
      <c r="O339" s="481"/>
      <c r="P339" s="9"/>
      <c r="Q339" s="1909"/>
      <c r="R339" s="1909"/>
      <c r="S339" s="1715" t="b">
        <f t="shared" si="144"/>
        <v>1</v>
      </c>
      <c r="T339" s="1909"/>
      <c r="U339" s="1909"/>
      <c r="V339" s="1909"/>
      <c r="W339" s="1909"/>
      <c r="X339" s="1909"/>
      <c r="Y339" s="1909"/>
      <c r="Z339" s="1909"/>
      <c r="AA339" s="1909"/>
      <c r="AB339" s="1249"/>
      <c r="AC339" s="1909"/>
      <c r="AD339" s="1909"/>
      <c r="AE339" s="1909"/>
      <c r="AF339" s="1909"/>
      <c r="AG339" s="1909"/>
      <c r="AH339" s="1910"/>
      <c r="AI339" s="1910"/>
      <c r="AJ339" s="1910"/>
      <c r="AK339" s="1910"/>
      <c r="AL339" s="1910"/>
      <c r="AN339" s="1905"/>
      <c r="AO339" s="1121" t="b">
        <f t="shared" si="139"/>
        <v>0</v>
      </c>
      <c r="AP339" s="1912"/>
    </row>
    <row r="340" spans="1:42" s="1911" customFormat="1" ht="13.15" customHeight="1">
      <c r="A340" s="1905"/>
      <c r="B340" s="1906"/>
      <c r="C340" s="1028"/>
      <c r="D340" s="582">
        <v>9</v>
      </c>
      <c r="E340" s="1035" t="str">
        <f t="shared" si="143"/>
        <v/>
      </c>
      <c r="F340" s="1991"/>
      <c r="G340" s="1988"/>
      <c r="H340" s="1925"/>
      <c r="I340" s="1988"/>
      <c r="J340" s="1907"/>
      <c r="K340" s="1908"/>
      <c r="L340" s="1908"/>
      <c r="M340" s="1908"/>
      <c r="N340" s="1908"/>
      <c r="O340" s="481"/>
      <c r="P340" s="9"/>
      <c r="Q340" s="1909"/>
      <c r="R340" s="1909"/>
      <c r="S340" s="1715" t="b">
        <f t="shared" si="144"/>
        <v>1</v>
      </c>
      <c r="T340" s="1909"/>
      <c r="U340" s="1909"/>
      <c r="V340" s="1909"/>
      <c r="W340" s="1909"/>
      <c r="X340" s="1909"/>
      <c r="Y340" s="1909"/>
      <c r="Z340" s="1909"/>
      <c r="AA340" s="1909"/>
      <c r="AB340" s="1249"/>
      <c r="AC340" s="1909"/>
      <c r="AD340" s="1909"/>
      <c r="AE340" s="1909"/>
      <c r="AF340" s="1909"/>
      <c r="AG340" s="1909"/>
      <c r="AH340" s="1910"/>
      <c r="AI340" s="1910"/>
      <c r="AJ340" s="1910"/>
      <c r="AK340" s="1910"/>
      <c r="AL340" s="1910"/>
      <c r="AN340" s="1905"/>
      <c r="AO340" s="1121" t="b">
        <f t="shared" si="139"/>
        <v>0</v>
      </c>
      <c r="AP340" s="1912"/>
    </row>
    <row r="341" spans="1:42" s="1911" customFormat="1" ht="13.15" customHeight="1" thickBot="1">
      <c r="A341" s="1905"/>
      <c r="B341" s="1906"/>
      <c r="C341" s="1028"/>
      <c r="D341" s="584">
        <v>10</v>
      </c>
      <c r="E341" s="1037" t="str">
        <f t="shared" si="143"/>
        <v/>
      </c>
      <c r="F341" s="1992"/>
      <c r="G341" s="1989"/>
      <c r="H341" s="1926"/>
      <c r="I341" s="1989"/>
      <c r="J341" s="1907"/>
      <c r="K341" s="1908"/>
      <c r="L341" s="1908"/>
      <c r="M341" s="1908"/>
      <c r="N341" s="1908"/>
      <c r="O341" s="481"/>
      <c r="P341" s="9"/>
      <c r="Q341" s="1909"/>
      <c r="R341" s="1909"/>
      <c r="S341" s="1726" t="b">
        <f t="shared" si="144"/>
        <v>1</v>
      </c>
      <c r="T341" s="1909"/>
      <c r="U341" s="1909"/>
      <c r="V341" s="1909"/>
      <c r="W341" s="1909"/>
      <c r="X341" s="1909"/>
      <c r="Y341" s="1909"/>
      <c r="Z341" s="1909"/>
      <c r="AA341" s="1909"/>
      <c r="AB341" s="1249"/>
      <c r="AC341" s="1909"/>
      <c r="AD341" s="1909"/>
      <c r="AE341" s="1909"/>
      <c r="AF341" s="1909"/>
      <c r="AG341" s="1909"/>
      <c r="AH341" s="1910"/>
      <c r="AI341" s="1910"/>
      <c r="AJ341" s="1910"/>
      <c r="AK341" s="1910"/>
      <c r="AL341" s="1910"/>
      <c r="AN341" s="1905"/>
      <c r="AO341" s="1121" t="b">
        <f t="shared" si="139"/>
        <v>0</v>
      </c>
      <c r="AP341" s="1912"/>
    </row>
    <row r="342" spans="1:42" ht="12.75" customHeight="1">
      <c r="B342" s="1124"/>
      <c r="C342" s="484"/>
      <c r="D342" s="579">
        <v>1</v>
      </c>
      <c r="E342" s="960" t="str">
        <f>IF(E332&lt;&gt; "",E332,IF(E322 &lt;&gt; "", E322,""))</f>
        <v/>
      </c>
      <c r="F342" s="732" t="str">
        <f>IF(F332&lt;&gt; "",F332,IF(F322 &lt;&gt; "", F322,""))</f>
        <v/>
      </c>
      <c r="G342" s="962" t="str">
        <f t="shared" ref="G342:I342" si="145">IF(G332&lt;&gt; "",G332,IF(G322 &lt;&gt; "", G322,""))</f>
        <v/>
      </c>
      <c r="H342" s="963" t="str">
        <f t="shared" si="145"/>
        <v/>
      </c>
      <c r="I342" s="962" t="str">
        <f t="shared" si="145"/>
        <v/>
      </c>
      <c r="J342" s="1891"/>
      <c r="K342" s="1684"/>
      <c r="L342" s="1684"/>
      <c r="M342" s="1684"/>
      <c r="N342" s="1684"/>
      <c r="O342" s="481"/>
      <c r="Z342" s="1641" t="s">
        <v>1698</v>
      </c>
      <c r="AA342" s="1993">
        <f>MAX(AC342:AI342)</f>
        <v>2</v>
      </c>
      <c r="AB342" s="1994">
        <f>IF(CNTR_ExistSubInstEntries,IF(OR($M249&lt;&gt;EUconst_Relevant,$V249&gt;2018,$E342=""),0,2),2)</f>
        <v>2</v>
      </c>
      <c r="AC342" s="1994">
        <f t="shared" ref="AC342:AI342" si="146">IF(CNTR_ExistSubInstEntries,IF(OR($M249&lt;&gt;EUconst_Relevant,AC321&gt;=CNTR_ReportingYear,AC321&lt;$V249-1,$E342=""),0,2),2)</f>
        <v>2</v>
      </c>
      <c r="AD342" s="1927">
        <f t="shared" si="146"/>
        <v>2</v>
      </c>
      <c r="AE342" s="1927">
        <f t="shared" si="146"/>
        <v>2</v>
      </c>
      <c r="AF342" s="1927">
        <f t="shared" si="146"/>
        <v>2</v>
      </c>
      <c r="AG342" s="1927">
        <f t="shared" si="146"/>
        <v>2</v>
      </c>
      <c r="AH342" s="1928">
        <f t="shared" si="146"/>
        <v>2</v>
      </c>
      <c r="AI342" s="1929">
        <f t="shared" si="146"/>
        <v>2</v>
      </c>
      <c r="AK342" s="1633" t="s">
        <v>1954</v>
      </c>
      <c r="AL342" s="1635" t="str">
        <f>IF(AND(CNTR_ExistSubInstEntries,COUNTIFS(AB342:AI342,2,G342:N342,"")&gt;0),EUconst_Error&amp;"FB"&amp;Q249,"")</f>
        <v/>
      </c>
      <c r="AO342" s="1121" t="b">
        <f t="shared" si="139"/>
        <v>0</v>
      </c>
      <c r="AP342" s="1135" t="s">
        <v>2492</v>
      </c>
    </row>
    <row r="343" spans="1:42" ht="12.75" customHeight="1">
      <c r="B343" s="1124"/>
      <c r="C343" s="484"/>
      <c r="D343" s="582">
        <f>D342+1</f>
        <v>2</v>
      </c>
      <c r="E343" s="964" t="str">
        <f t="shared" ref="E343:I343" si="147">IF(E333&lt;&gt; "",E333,IF(E323 &lt;&gt; "", E323,""))</f>
        <v/>
      </c>
      <c r="F343" s="1036" t="str">
        <f t="shared" si="147"/>
        <v/>
      </c>
      <c r="G343" s="965" t="str">
        <f t="shared" si="147"/>
        <v/>
      </c>
      <c r="H343" s="966" t="str">
        <f t="shared" si="147"/>
        <v/>
      </c>
      <c r="I343" s="965" t="str">
        <f t="shared" si="147"/>
        <v/>
      </c>
      <c r="J343" s="1891"/>
      <c r="K343" s="1684"/>
      <c r="L343" s="1684"/>
      <c r="M343" s="1684"/>
      <c r="N343" s="1684"/>
      <c r="O343" s="481"/>
      <c r="AA343" s="1930">
        <f t="shared" ref="AA343:AA351" si="148">MAX(AC343:AI343)</f>
        <v>2</v>
      </c>
      <c r="AB343" s="1931">
        <f>IF(CNTR_ExistSubInstEntries,IF(OR($M249&lt;&gt;EUconst_Relevant,$V249&gt;2018,$E343=""),0,2),2)</f>
        <v>2</v>
      </c>
      <c r="AC343" s="1931">
        <f t="shared" ref="AC343:AI343" si="149">IF(CNTR_ExistSubInstEntries,IF(OR($M249&lt;&gt;EUconst_Relevant,AC321&gt;=CNTR_ReportingYear,AC321&lt;$V249-1,$E343=""),0,2),2)</f>
        <v>2</v>
      </c>
      <c r="AD343" s="1931">
        <f t="shared" si="149"/>
        <v>2</v>
      </c>
      <c r="AE343" s="1931">
        <f t="shared" si="149"/>
        <v>2</v>
      </c>
      <c r="AF343" s="1931">
        <f t="shared" si="149"/>
        <v>2</v>
      </c>
      <c r="AG343" s="1931">
        <f t="shared" si="149"/>
        <v>2</v>
      </c>
      <c r="AH343" s="1932">
        <f t="shared" si="149"/>
        <v>2</v>
      </c>
      <c r="AI343" s="1933">
        <f t="shared" si="149"/>
        <v>2</v>
      </c>
      <c r="AK343" s="1633" t="s">
        <v>1954</v>
      </c>
      <c r="AL343" s="1635" t="str">
        <f>IF(AND(CNTR_ExistSubInstEntries,COUNTIFS(AB343:AI343,2,G343:N343,"")&gt;0),EUconst_Error&amp;"FB"&amp;Q249,"")</f>
        <v/>
      </c>
      <c r="AO343" s="1121" t="b">
        <f t="shared" si="139"/>
        <v>0</v>
      </c>
      <c r="AP343" s="1135" t="s">
        <v>2493</v>
      </c>
    </row>
    <row r="344" spans="1:42" ht="12.75" customHeight="1">
      <c r="B344" s="1124"/>
      <c r="C344" s="484"/>
      <c r="D344" s="582">
        <f t="shared" ref="D344:D351" si="150">D343+1</f>
        <v>3</v>
      </c>
      <c r="E344" s="964" t="str">
        <f t="shared" ref="E344:I344" si="151">IF(E334&lt;&gt; "",E334,IF(E324 &lt;&gt; "", E324,""))</f>
        <v/>
      </c>
      <c r="F344" s="1036" t="str">
        <f t="shared" si="151"/>
        <v/>
      </c>
      <c r="G344" s="965" t="str">
        <f t="shared" si="151"/>
        <v/>
      </c>
      <c r="H344" s="966" t="str">
        <f t="shared" si="151"/>
        <v/>
      </c>
      <c r="I344" s="965" t="str">
        <f t="shared" si="151"/>
        <v/>
      </c>
      <c r="J344" s="1891"/>
      <c r="K344" s="1684"/>
      <c r="L344" s="1684"/>
      <c r="M344" s="1684"/>
      <c r="N344" s="1684"/>
      <c r="O344" s="481"/>
      <c r="AA344" s="1930">
        <f t="shared" si="148"/>
        <v>2</v>
      </c>
      <c r="AB344" s="1931">
        <f>IF(CNTR_ExistSubInstEntries,IF(OR($M249&lt;&gt;EUconst_Relevant,$V249&gt;2018,$E344=""),0,2),2)</f>
        <v>2</v>
      </c>
      <c r="AC344" s="1931">
        <f t="shared" ref="AC344:AI344" si="152">IF(CNTR_ExistSubInstEntries,IF(OR($M249&lt;&gt;EUconst_Relevant,AC321&gt;=CNTR_ReportingYear,AC321&lt;$V249-1,$E344=""),0,2),2)</f>
        <v>2</v>
      </c>
      <c r="AD344" s="1931">
        <f t="shared" si="152"/>
        <v>2</v>
      </c>
      <c r="AE344" s="1931">
        <f t="shared" si="152"/>
        <v>2</v>
      </c>
      <c r="AF344" s="1931">
        <f t="shared" si="152"/>
        <v>2</v>
      </c>
      <c r="AG344" s="1931">
        <f t="shared" si="152"/>
        <v>2</v>
      </c>
      <c r="AH344" s="1932">
        <f t="shared" si="152"/>
        <v>2</v>
      </c>
      <c r="AI344" s="1933">
        <f t="shared" si="152"/>
        <v>2</v>
      </c>
      <c r="AK344" s="1633" t="s">
        <v>1954</v>
      </c>
      <c r="AL344" s="1635" t="str">
        <f>IF(AND(CNTR_ExistSubInstEntries,COUNTIFS(AB344:AI344,2,G344:N344,"")&gt;0),EUconst_Error&amp;"FB"&amp;Q249,"")</f>
        <v/>
      </c>
      <c r="AO344" s="1121" t="b">
        <f t="shared" si="139"/>
        <v>0</v>
      </c>
      <c r="AP344" s="1135" t="s">
        <v>2494</v>
      </c>
    </row>
    <row r="345" spans="1:42" ht="12.75" customHeight="1">
      <c r="B345" s="1124"/>
      <c r="C345" s="484"/>
      <c r="D345" s="582">
        <f t="shared" si="150"/>
        <v>4</v>
      </c>
      <c r="E345" s="964" t="str">
        <f t="shared" ref="E345:I345" si="153">IF(E335&lt;&gt; "",E335,IF(E325 &lt;&gt; "", E325,""))</f>
        <v/>
      </c>
      <c r="F345" s="1036" t="str">
        <f t="shared" si="153"/>
        <v/>
      </c>
      <c r="G345" s="965" t="str">
        <f t="shared" si="153"/>
        <v/>
      </c>
      <c r="H345" s="966" t="str">
        <f t="shared" si="153"/>
        <v/>
      </c>
      <c r="I345" s="965" t="str">
        <f t="shared" si="153"/>
        <v/>
      </c>
      <c r="J345" s="1891"/>
      <c r="K345" s="1684"/>
      <c r="L345" s="1684"/>
      <c r="M345" s="1684"/>
      <c r="N345" s="1684"/>
      <c r="O345" s="481"/>
      <c r="U345" s="1435"/>
      <c r="V345" s="1435"/>
      <c r="AA345" s="1930">
        <f t="shared" si="148"/>
        <v>2</v>
      </c>
      <c r="AB345" s="1931">
        <f>IF(CNTR_ExistSubInstEntries,IF(OR($M249&lt;&gt;EUconst_Relevant,$V249&gt;2018,$E345=""),0,2),2)</f>
        <v>2</v>
      </c>
      <c r="AC345" s="1931">
        <f t="shared" ref="AC345:AI345" si="154">IF(CNTR_ExistSubInstEntries,IF(OR($M249&lt;&gt;EUconst_Relevant,AC321&gt;=CNTR_ReportingYear,AC321&lt;$V249-1,$E345=""),0,2),2)</f>
        <v>2</v>
      </c>
      <c r="AD345" s="1931">
        <f t="shared" si="154"/>
        <v>2</v>
      </c>
      <c r="AE345" s="1931">
        <f t="shared" si="154"/>
        <v>2</v>
      </c>
      <c r="AF345" s="1931">
        <f t="shared" si="154"/>
        <v>2</v>
      </c>
      <c r="AG345" s="1931">
        <f t="shared" si="154"/>
        <v>2</v>
      </c>
      <c r="AH345" s="1932">
        <f t="shared" si="154"/>
        <v>2</v>
      </c>
      <c r="AI345" s="1933">
        <f t="shared" si="154"/>
        <v>2</v>
      </c>
      <c r="AK345" s="1633" t="s">
        <v>1954</v>
      </c>
      <c r="AL345" s="1635" t="str">
        <f>IF(AND(CNTR_ExistSubInstEntries,COUNTIFS(AB345:AI345,2,G345:N345,"")&gt;0),EUconst_Error&amp;"FB"&amp;Q249,"")</f>
        <v/>
      </c>
      <c r="AO345" s="1121" t="b">
        <f t="shared" si="139"/>
        <v>0</v>
      </c>
      <c r="AP345" s="1135" t="s">
        <v>2495</v>
      </c>
    </row>
    <row r="346" spans="1:42" ht="12.75" customHeight="1">
      <c r="B346" s="1124"/>
      <c r="C346" s="484"/>
      <c r="D346" s="582">
        <f t="shared" si="150"/>
        <v>5</v>
      </c>
      <c r="E346" s="964" t="str">
        <f t="shared" ref="E346:I346" si="155">IF(E336&lt;&gt; "",E336,IF(E326 &lt;&gt; "", E326,""))</f>
        <v/>
      </c>
      <c r="F346" s="1036" t="str">
        <f t="shared" si="155"/>
        <v/>
      </c>
      <c r="G346" s="965" t="str">
        <f t="shared" si="155"/>
        <v/>
      </c>
      <c r="H346" s="966" t="str">
        <f t="shared" si="155"/>
        <v/>
      </c>
      <c r="I346" s="965" t="str">
        <f t="shared" si="155"/>
        <v/>
      </c>
      <c r="J346" s="1891"/>
      <c r="K346" s="1684"/>
      <c r="L346" s="1684"/>
      <c r="M346" s="1684"/>
      <c r="N346" s="1684"/>
      <c r="O346" s="481"/>
      <c r="U346" s="1435"/>
      <c r="AA346" s="1930">
        <f t="shared" si="148"/>
        <v>2</v>
      </c>
      <c r="AB346" s="1931">
        <f>IF(CNTR_ExistSubInstEntries,IF(OR($M249&lt;&gt;EUconst_Relevant,$V249&gt;2018,$E346=""),0,2),2)</f>
        <v>2</v>
      </c>
      <c r="AC346" s="1931">
        <f t="shared" ref="AC346:AI346" si="156">IF(CNTR_ExistSubInstEntries,IF(OR($M249&lt;&gt;EUconst_Relevant,AC321&gt;=CNTR_ReportingYear,AC321&lt;$V249-1,$E346=""),0,2),2)</f>
        <v>2</v>
      </c>
      <c r="AD346" s="1931">
        <f t="shared" si="156"/>
        <v>2</v>
      </c>
      <c r="AE346" s="1931">
        <f t="shared" si="156"/>
        <v>2</v>
      </c>
      <c r="AF346" s="1931">
        <f t="shared" si="156"/>
        <v>2</v>
      </c>
      <c r="AG346" s="1931">
        <f t="shared" si="156"/>
        <v>2</v>
      </c>
      <c r="AH346" s="1932">
        <f t="shared" si="156"/>
        <v>2</v>
      </c>
      <c r="AI346" s="1933">
        <f t="shared" si="156"/>
        <v>2</v>
      </c>
      <c r="AK346" s="1633" t="s">
        <v>1954</v>
      </c>
      <c r="AL346" s="1635" t="str">
        <f>IF(AND(CNTR_ExistSubInstEntries,COUNTIFS(AB346:AI346,2,G346:N346,"")&gt;0),EUconst_Error&amp;"FB"&amp;Q249,"")</f>
        <v/>
      </c>
      <c r="AO346" s="1121" t="b">
        <f t="shared" si="139"/>
        <v>0</v>
      </c>
      <c r="AP346" s="1135" t="s">
        <v>2496</v>
      </c>
    </row>
    <row r="347" spans="1:42" ht="12.75" customHeight="1">
      <c r="B347" s="1124"/>
      <c r="C347" s="484"/>
      <c r="D347" s="582">
        <f t="shared" si="150"/>
        <v>6</v>
      </c>
      <c r="E347" s="964" t="str">
        <f t="shared" ref="E347:I347" si="157">IF(E337&lt;&gt; "",E337,IF(E327 &lt;&gt; "", E327,""))</f>
        <v/>
      </c>
      <c r="F347" s="1036" t="str">
        <f t="shared" si="157"/>
        <v/>
      </c>
      <c r="G347" s="965" t="str">
        <f t="shared" si="157"/>
        <v/>
      </c>
      <c r="H347" s="966" t="str">
        <f t="shared" si="157"/>
        <v/>
      </c>
      <c r="I347" s="965" t="str">
        <f t="shared" si="157"/>
        <v/>
      </c>
      <c r="J347" s="1891"/>
      <c r="K347" s="1684"/>
      <c r="L347" s="1684"/>
      <c r="M347" s="1684"/>
      <c r="N347" s="1684"/>
      <c r="O347" s="481"/>
      <c r="AA347" s="1930">
        <f t="shared" si="148"/>
        <v>2</v>
      </c>
      <c r="AB347" s="1931">
        <f>IF(CNTR_ExistSubInstEntries,IF(OR($M249&lt;&gt;EUconst_Relevant,$V249&gt;2018,$E347=""),0,2),2)</f>
        <v>2</v>
      </c>
      <c r="AC347" s="1931">
        <f t="shared" ref="AC347:AI347" si="158">IF(CNTR_ExistSubInstEntries,IF(OR($M249&lt;&gt;EUconst_Relevant,AC321&gt;=CNTR_ReportingYear,AC321&lt;$V249-1,$E347=""),0,2),2)</f>
        <v>2</v>
      </c>
      <c r="AD347" s="1931">
        <f t="shared" si="158"/>
        <v>2</v>
      </c>
      <c r="AE347" s="1931">
        <f t="shared" si="158"/>
        <v>2</v>
      </c>
      <c r="AF347" s="1931">
        <f t="shared" si="158"/>
        <v>2</v>
      </c>
      <c r="AG347" s="1931">
        <f t="shared" si="158"/>
        <v>2</v>
      </c>
      <c r="AH347" s="1932">
        <f t="shared" si="158"/>
        <v>2</v>
      </c>
      <c r="AI347" s="1933">
        <f t="shared" si="158"/>
        <v>2</v>
      </c>
      <c r="AK347" s="1633" t="s">
        <v>1954</v>
      </c>
      <c r="AL347" s="1635" t="str">
        <f>IF(AND(CNTR_ExistSubInstEntries,COUNTIFS(AB347:AI347,2,G347:N347,"")&gt;0),EUconst_Error&amp;"FB"&amp;Q249,"")</f>
        <v/>
      </c>
      <c r="AO347" s="1121" t="b">
        <f t="shared" si="139"/>
        <v>0</v>
      </c>
      <c r="AP347" s="1135" t="s">
        <v>2497</v>
      </c>
    </row>
    <row r="348" spans="1:42" ht="12.75" customHeight="1">
      <c r="B348" s="1124"/>
      <c r="C348" s="484"/>
      <c r="D348" s="582">
        <f t="shared" si="150"/>
        <v>7</v>
      </c>
      <c r="E348" s="964" t="str">
        <f t="shared" ref="E348:I348" si="159">IF(E338&lt;&gt; "",E338,IF(E328 &lt;&gt; "", E328,""))</f>
        <v/>
      </c>
      <c r="F348" s="1036" t="str">
        <f t="shared" si="159"/>
        <v/>
      </c>
      <c r="G348" s="965" t="str">
        <f t="shared" si="159"/>
        <v/>
      </c>
      <c r="H348" s="966" t="str">
        <f t="shared" si="159"/>
        <v/>
      </c>
      <c r="I348" s="965" t="str">
        <f t="shared" si="159"/>
        <v/>
      </c>
      <c r="J348" s="1891"/>
      <c r="K348" s="1684"/>
      <c r="L348" s="1684"/>
      <c r="M348" s="1684"/>
      <c r="N348" s="1684"/>
      <c r="O348" s="481"/>
      <c r="AA348" s="1930">
        <f t="shared" si="148"/>
        <v>2</v>
      </c>
      <c r="AB348" s="1931">
        <f>IF(CNTR_ExistSubInstEntries,IF(OR($M249&lt;&gt;EUconst_Relevant,$V249&gt;2018,$E348=""),0,2),2)</f>
        <v>2</v>
      </c>
      <c r="AC348" s="1931">
        <f t="shared" ref="AC348:AI348" si="160">IF(CNTR_ExistSubInstEntries,IF(OR($M249&lt;&gt;EUconst_Relevant,AC321&gt;=CNTR_ReportingYear,AC321&lt;$V249-1,$E348=""),0,2),2)</f>
        <v>2</v>
      </c>
      <c r="AD348" s="1931">
        <f t="shared" si="160"/>
        <v>2</v>
      </c>
      <c r="AE348" s="1931">
        <f t="shared" si="160"/>
        <v>2</v>
      </c>
      <c r="AF348" s="1931">
        <f t="shared" si="160"/>
        <v>2</v>
      </c>
      <c r="AG348" s="1931">
        <f t="shared" si="160"/>
        <v>2</v>
      </c>
      <c r="AH348" s="1932">
        <f t="shared" si="160"/>
        <v>2</v>
      </c>
      <c r="AI348" s="1933">
        <f t="shared" si="160"/>
        <v>2</v>
      </c>
      <c r="AK348" s="1633" t="s">
        <v>1954</v>
      </c>
      <c r="AL348" s="1635" t="str">
        <f>IF(AND(CNTR_ExistSubInstEntries,COUNTIFS(AB348:AI348,2,G348:N348,"")&gt;0),EUconst_Error&amp;"FB"&amp;Q249,"")</f>
        <v/>
      </c>
      <c r="AO348" s="1121" t="b">
        <f t="shared" si="139"/>
        <v>0</v>
      </c>
      <c r="AP348" s="1135" t="s">
        <v>2498</v>
      </c>
    </row>
    <row r="349" spans="1:42" ht="12.75" customHeight="1">
      <c r="B349" s="1124"/>
      <c r="C349" s="484"/>
      <c r="D349" s="582">
        <f t="shared" si="150"/>
        <v>8</v>
      </c>
      <c r="E349" s="964" t="str">
        <f t="shared" ref="E349:I349" si="161">IF(E339&lt;&gt; "",E339,IF(E329 &lt;&gt; "", E329,""))</f>
        <v/>
      </c>
      <c r="F349" s="1036" t="str">
        <f t="shared" si="161"/>
        <v/>
      </c>
      <c r="G349" s="965" t="str">
        <f t="shared" si="161"/>
        <v/>
      </c>
      <c r="H349" s="966" t="str">
        <f t="shared" si="161"/>
        <v/>
      </c>
      <c r="I349" s="965" t="str">
        <f t="shared" si="161"/>
        <v/>
      </c>
      <c r="J349" s="1891"/>
      <c r="K349" s="1684"/>
      <c r="L349" s="1684"/>
      <c r="M349" s="1684"/>
      <c r="N349" s="1684"/>
      <c r="O349" s="481"/>
      <c r="AA349" s="1930">
        <f t="shared" si="148"/>
        <v>2</v>
      </c>
      <c r="AB349" s="1931">
        <f>IF(CNTR_ExistSubInstEntries,IF(OR($M249&lt;&gt;EUconst_Relevant,$V249&gt;2018,$E349=""),0,2),2)</f>
        <v>2</v>
      </c>
      <c r="AC349" s="1931">
        <f t="shared" ref="AC349:AI349" si="162">IF(CNTR_ExistSubInstEntries,IF(OR($M249&lt;&gt;EUconst_Relevant,AC321&gt;=CNTR_ReportingYear,AC321&lt;$V249-1,$E349=""),0,2),2)</f>
        <v>2</v>
      </c>
      <c r="AD349" s="1931">
        <f t="shared" si="162"/>
        <v>2</v>
      </c>
      <c r="AE349" s="1931">
        <f t="shared" si="162"/>
        <v>2</v>
      </c>
      <c r="AF349" s="1931">
        <f t="shared" si="162"/>
        <v>2</v>
      </c>
      <c r="AG349" s="1931">
        <f t="shared" si="162"/>
        <v>2</v>
      </c>
      <c r="AH349" s="1932">
        <f t="shared" si="162"/>
        <v>2</v>
      </c>
      <c r="AI349" s="1933">
        <f t="shared" si="162"/>
        <v>2</v>
      </c>
      <c r="AK349" s="1633" t="s">
        <v>1954</v>
      </c>
      <c r="AL349" s="1635" t="str">
        <f>IF(AND(CNTR_ExistSubInstEntries,COUNTIFS(AB349:AI349,2,G349:N349,"")&gt;0),EUconst_Error&amp;"FB"&amp;Q249,"")</f>
        <v/>
      </c>
      <c r="AO349" s="1121" t="b">
        <f t="shared" si="139"/>
        <v>0</v>
      </c>
      <c r="AP349" s="1135" t="s">
        <v>2499</v>
      </c>
    </row>
    <row r="350" spans="1:42" ht="12.75" customHeight="1">
      <c r="B350" s="1124"/>
      <c r="C350" s="484"/>
      <c r="D350" s="582">
        <f t="shared" si="150"/>
        <v>9</v>
      </c>
      <c r="E350" s="964" t="str">
        <f t="shared" ref="E350:I350" si="163">IF(E340&lt;&gt; "",E340,IF(E330 &lt;&gt; "", E330,""))</f>
        <v/>
      </c>
      <c r="F350" s="1036" t="str">
        <f t="shared" si="163"/>
        <v/>
      </c>
      <c r="G350" s="965" t="str">
        <f t="shared" si="163"/>
        <v/>
      </c>
      <c r="H350" s="966" t="str">
        <f t="shared" si="163"/>
        <v/>
      </c>
      <c r="I350" s="965" t="str">
        <f t="shared" si="163"/>
        <v/>
      </c>
      <c r="J350" s="1891"/>
      <c r="K350" s="1684"/>
      <c r="L350" s="1684"/>
      <c r="M350" s="1684"/>
      <c r="N350" s="1684"/>
      <c r="O350" s="481"/>
      <c r="AA350" s="1930">
        <f t="shared" si="148"/>
        <v>2</v>
      </c>
      <c r="AB350" s="1931">
        <f>IF(CNTR_ExistSubInstEntries,IF(OR($M249&lt;&gt;EUconst_Relevant,$V249&gt;2018,$E350=""),0,2),2)</f>
        <v>2</v>
      </c>
      <c r="AC350" s="1931">
        <f t="shared" ref="AC350:AI350" si="164">IF(CNTR_ExistSubInstEntries,IF(OR($M249&lt;&gt;EUconst_Relevant,AC321&gt;=CNTR_ReportingYear,AC321&lt;$V249-1,$E350=""),0,2),2)</f>
        <v>2</v>
      </c>
      <c r="AD350" s="1931">
        <f t="shared" si="164"/>
        <v>2</v>
      </c>
      <c r="AE350" s="1931">
        <f t="shared" si="164"/>
        <v>2</v>
      </c>
      <c r="AF350" s="1931">
        <f t="shared" si="164"/>
        <v>2</v>
      </c>
      <c r="AG350" s="1931">
        <f t="shared" si="164"/>
        <v>2</v>
      </c>
      <c r="AH350" s="1932">
        <f t="shared" si="164"/>
        <v>2</v>
      </c>
      <c r="AI350" s="1933">
        <f t="shared" si="164"/>
        <v>2</v>
      </c>
      <c r="AK350" s="1633" t="s">
        <v>1954</v>
      </c>
      <c r="AL350" s="1635" t="str">
        <f>IF(AND(CNTR_ExistSubInstEntries,COUNTIFS(AB350:AI350,2,G350:N350,"")&gt;0),EUconst_Error&amp;"FB"&amp;Q249,"")</f>
        <v/>
      </c>
      <c r="AO350" s="1121" t="b">
        <f t="shared" si="139"/>
        <v>0</v>
      </c>
      <c r="AP350" s="1135" t="s">
        <v>2500</v>
      </c>
    </row>
    <row r="351" spans="1:42" ht="12.75" customHeight="1" thickBot="1">
      <c r="B351" s="1124"/>
      <c r="C351" s="484"/>
      <c r="D351" s="584">
        <f t="shared" si="150"/>
        <v>10</v>
      </c>
      <c r="E351" s="967" t="str">
        <f t="shared" ref="E351:I351" si="165">IF(E341&lt;&gt; "",E341,IF(E331 &lt;&gt; "", E331,""))</f>
        <v/>
      </c>
      <c r="F351" s="739" t="str">
        <f t="shared" si="165"/>
        <v/>
      </c>
      <c r="G351" s="969" t="str">
        <f t="shared" si="165"/>
        <v/>
      </c>
      <c r="H351" s="970" t="str">
        <f t="shared" si="165"/>
        <v/>
      </c>
      <c r="I351" s="969" t="str">
        <f t="shared" si="165"/>
        <v/>
      </c>
      <c r="J351" s="1891"/>
      <c r="K351" s="1684"/>
      <c r="L351" s="1684"/>
      <c r="M351" s="1684"/>
      <c r="N351" s="1684"/>
      <c r="O351" s="481"/>
      <c r="AA351" s="1934">
        <f t="shared" si="148"/>
        <v>2</v>
      </c>
      <c r="AB351" s="1935">
        <f>IF(CNTR_ExistSubInstEntries,IF(OR($M249&lt;&gt;EUconst_Relevant,$V249&gt;2018,$E351=""),0,2),2)</f>
        <v>2</v>
      </c>
      <c r="AC351" s="1935">
        <f t="shared" ref="AC351:AI351" si="166">IF(CNTR_ExistSubInstEntries,IF(OR($M249&lt;&gt;EUconst_Relevant,AC321&gt;=CNTR_ReportingYear,AC321&lt;$V249-1,$E351=""),0,2),2)</f>
        <v>2</v>
      </c>
      <c r="AD351" s="1935">
        <f t="shared" si="166"/>
        <v>2</v>
      </c>
      <c r="AE351" s="1935">
        <f t="shared" si="166"/>
        <v>2</v>
      </c>
      <c r="AF351" s="1935">
        <f t="shared" si="166"/>
        <v>2</v>
      </c>
      <c r="AG351" s="1935">
        <f t="shared" si="166"/>
        <v>2</v>
      </c>
      <c r="AH351" s="1936">
        <f t="shared" si="166"/>
        <v>2</v>
      </c>
      <c r="AI351" s="1937">
        <f t="shared" si="166"/>
        <v>2</v>
      </c>
      <c r="AK351" s="1633" t="s">
        <v>1954</v>
      </c>
      <c r="AL351" s="1635" t="str">
        <f>IF(AND(CNTR_ExistSubInstEntries,COUNTIFS(AB351:AI351,2,G351:N351,"")&gt;0),EUconst_Error&amp;"FB"&amp;Q249,"")</f>
        <v/>
      </c>
      <c r="AO351" s="1121" t="b">
        <f t="shared" si="139"/>
        <v>0</v>
      </c>
      <c r="AP351" s="1135" t="s">
        <v>2501</v>
      </c>
    </row>
    <row r="352" spans="1:42" ht="12.75" customHeight="1">
      <c r="B352" s="1124"/>
      <c r="C352" s="485"/>
      <c r="D352" s="971"/>
      <c r="E352" s="972" t="s">
        <v>921</v>
      </c>
      <c r="F352" s="739" t="str">
        <f>IF(F342="","",F342)</f>
        <v/>
      </c>
      <c r="G352" s="973" t="str">
        <f>IF(COUNT(G342:G351)&gt;0,SUMIF($S305:$S314,TRUE,G342:G351),"")</f>
        <v/>
      </c>
      <c r="H352" s="974" t="str">
        <f t="shared" ref="H352:N352" si="167">IF(COUNT(H342:H351)&gt;0,SUMIF($S305:$S314,TRUE,H342:H351),"")</f>
        <v/>
      </c>
      <c r="I352" s="973" t="str">
        <f t="shared" si="167"/>
        <v/>
      </c>
      <c r="J352" s="1891" t="str">
        <f t="shared" si="167"/>
        <v/>
      </c>
      <c r="K352" s="1684" t="str">
        <f t="shared" si="167"/>
        <v/>
      </c>
      <c r="L352" s="1684" t="str">
        <f t="shared" si="167"/>
        <v/>
      </c>
      <c r="M352" s="1684" t="str">
        <f t="shared" si="167"/>
        <v/>
      </c>
      <c r="N352" s="1684" t="str">
        <f t="shared" si="167"/>
        <v/>
      </c>
      <c r="O352" s="481"/>
      <c r="P352" s="481"/>
      <c r="AB352" s="1435"/>
      <c r="AC352" s="1435"/>
      <c r="AD352" s="1435"/>
      <c r="AE352" s="1435"/>
      <c r="AF352" s="1435"/>
      <c r="AG352" s="1435"/>
      <c r="AH352" s="1435"/>
      <c r="AI352" s="1435"/>
      <c r="AO352" s="1121" t="b">
        <f t="shared" si="139"/>
        <v>0</v>
      </c>
    </row>
    <row r="353" spans="1:42" ht="5.0999999999999996" customHeight="1">
      <c r="B353" s="1124"/>
      <c r="C353" s="467"/>
      <c r="D353" s="467"/>
      <c r="E353" s="467"/>
      <c r="F353" s="467"/>
      <c r="G353" s="467"/>
      <c r="H353" s="467"/>
      <c r="I353" s="467"/>
      <c r="J353" s="467"/>
      <c r="K353" s="467"/>
      <c r="L353" s="467"/>
      <c r="M353" s="467"/>
      <c r="N353" s="467"/>
      <c r="O353" s="481"/>
      <c r="P353" s="481"/>
      <c r="Z353" s="1435"/>
      <c r="AA353" s="1435"/>
      <c r="AB353" s="1435"/>
      <c r="AO353" s="1121" t="b">
        <f t="shared" si="139"/>
        <v>0</v>
      </c>
    </row>
    <row r="354" spans="1:42" ht="12.75" customHeight="1">
      <c r="B354" s="1124"/>
      <c r="C354" s="467"/>
      <c r="D354" s="482" t="s">
        <v>1711</v>
      </c>
      <c r="E354" s="2373" t="s">
        <v>1926</v>
      </c>
      <c r="F354" s="2400"/>
      <c r="G354" s="2400"/>
      <c r="H354" s="2400"/>
      <c r="I354" s="2400"/>
      <c r="J354" s="2400"/>
      <c r="K354" s="2400"/>
      <c r="L354" s="2400"/>
      <c r="M354" s="2400"/>
      <c r="N354" s="2400"/>
      <c r="O354" s="481"/>
      <c r="P354" s="481"/>
      <c r="Q354" s="1249"/>
      <c r="S354" s="1502" t="s">
        <v>1927</v>
      </c>
      <c r="T354" s="1938" t="str">
        <f>IF(M249&lt;&gt;EUconst_Relevant,"",IF(COUNTIF(J267:N267,"&gt;"&amp;15%)&gt;0,IF(MSconst_RequireEnEffDetails,2,1),1))</f>
        <v/>
      </c>
      <c r="U354" s="1435" t="s">
        <v>1920</v>
      </c>
      <c r="Z354" s="1435"/>
      <c r="AA354" s="1435"/>
      <c r="AB354" s="1435"/>
      <c r="AO354" s="1121" t="b">
        <f t="shared" si="139"/>
        <v>0</v>
      </c>
    </row>
    <row r="355" spans="1:42" ht="12.75" customHeight="1">
      <c r="B355" s="467"/>
      <c r="C355" s="485"/>
      <c r="D355" s="485"/>
      <c r="E355" s="2385" t="s">
        <v>1877</v>
      </c>
      <c r="F355" s="2846"/>
      <c r="G355" s="2846"/>
      <c r="H355" s="2846"/>
      <c r="I355" s="2846"/>
      <c r="J355" s="2846"/>
      <c r="K355" s="2846"/>
      <c r="L355" s="2846"/>
      <c r="M355" s="2846"/>
      <c r="N355" s="2846"/>
      <c r="O355" s="481"/>
      <c r="P355" s="481"/>
      <c r="Q355" s="1249"/>
      <c r="R355" s="1249"/>
      <c r="S355" s="1249"/>
      <c r="T355" s="1249"/>
      <c r="U355" s="1249"/>
      <c r="V355" s="1249"/>
      <c r="W355" s="1249"/>
      <c r="X355" s="1249"/>
      <c r="Y355" s="1249"/>
      <c r="AB355" s="1435"/>
      <c r="AO355" s="1121" t="b">
        <f t="shared" si="139"/>
        <v>0</v>
      </c>
    </row>
    <row r="356" spans="1:42" ht="12.75" customHeight="1">
      <c r="B356" s="1124"/>
      <c r="C356" s="467"/>
      <c r="D356" s="467"/>
      <c r="E356" s="3258" t="s">
        <v>1957</v>
      </c>
      <c r="F356" s="2467"/>
      <c r="G356" s="2467"/>
      <c r="H356" s="2467"/>
      <c r="I356" s="2467"/>
      <c r="J356" s="2467"/>
      <c r="K356" s="2467"/>
      <c r="L356" s="2467"/>
      <c r="M356" s="2467"/>
      <c r="N356" s="2467"/>
      <c r="O356" s="481"/>
      <c r="P356" s="476"/>
      <c r="Z356" s="1435"/>
      <c r="AA356" s="1435"/>
      <c r="AB356" s="1435"/>
      <c r="AC356" s="1435"/>
      <c r="AO356" s="1121" t="b">
        <f t="shared" si="139"/>
        <v>0</v>
      </c>
    </row>
    <row r="357" spans="1:42" ht="12.75" customHeight="1">
      <c r="B357" s="1124"/>
      <c r="C357" s="467"/>
      <c r="D357" s="467"/>
      <c r="E357" s="3258" t="s">
        <v>2744</v>
      </c>
      <c r="F357" s="2467"/>
      <c r="G357" s="2467"/>
      <c r="H357" s="2467"/>
      <c r="I357" s="2467"/>
      <c r="J357" s="2467"/>
      <c r="K357" s="2467"/>
      <c r="L357" s="2467"/>
      <c r="M357" s="2467"/>
      <c r="N357" s="2467"/>
      <c r="O357" s="481"/>
      <c r="P357" s="481"/>
      <c r="Z357" s="1435"/>
      <c r="AA357" s="1435"/>
      <c r="AB357" s="1435"/>
      <c r="AC357" s="1435"/>
      <c r="AO357" s="1121" t="b">
        <f t="shared" si="139"/>
        <v>0</v>
      </c>
    </row>
    <row r="358" spans="1:42" ht="12.75" customHeight="1">
      <c r="B358" s="1124"/>
      <c r="C358" s="467"/>
      <c r="D358" s="467"/>
      <c r="E358" s="540" t="s">
        <v>1021</v>
      </c>
      <c r="F358" s="3258" t="s">
        <v>1921</v>
      </c>
      <c r="G358" s="2467"/>
      <c r="H358" s="2467"/>
      <c r="I358" s="2467"/>
      <c r="J358" s="2467"/>
      <c r="K358" s="2467"/>
      <c r="L358" s="2467"/>
      <c r="M358" s="2467"/>
      <c r="N358" s="2467"/>
      <c r="O358" s="481"/>
      <c r="P358" s="476"/>
      <c r="Z358" s="1435"/>
      <c r="AA358" s="1435"/>
      <c r="AB358" s="1435"/>
      <c r="AC358" s="1435"/>
      <c r="AO358" s="1121" t="b">
        <f t="shared" si="139"/>
        <v>0</v>
      </c>
    </row>
    <row r="359" spans="1:42" ht="12.75" customHeight="1">
      <c r="B359" s="1124"/>
      <c r="C359" s="467"/>
      <c r="D359" s="467"/>
      <c r="E359" s="540" t="s">
        <v>1021</v>
      </c>
      <c r="F359" s="3258" t="s">
        <v>1922</v>
      </c>
      <c r="G359" s="2467"/>
      <c r="H359" s="2467"/>
      <c r="I359" s="2467"/>
      <c r="J359" s="2467"/>
      <c r="K359" s="2467"/>
      <c r="L359" s="2467"/>
      <c r="M359" s="2467"/>
      <c r="N359" s="2467"/>
      <c r="O359" s="481"/>
      <c r="P359" s="476"/>
      <c r="Z359" s="1435"/>
      <c r="AA359" s="1435"/>
      <c r="AB359" s="1435"/>
      <c r="AC359" s="1435"/>
      <c r="AO359" s="1121" t="b">
        <f t="shared" si="139"/>
        <v>0</v>
      </c>
    </row>
    <row r="360" spans="1:42" ht="12.75" customHeight="1">
      <c r="B360" s="1124"/>
      <c r="C360" s="467"/>
      <c r="D360" s="467"/>
      <c r="E360" s="540" t="s">
        <v>2722</v>
      </c>
      <c r="F360" s="3258" t="s">
        <v>2745</v>
      </c>
      <c r="G360" s="2467"/>
      <c r="H360" s="2467"/>
      <c r="I360" s="2467"/>
      <c r="J360" s="2467"/>
      <c r="K360" s="2467"/>
      <c r="L360" s="2467"/>
      <c r="M360" s="2467"/>
      <c r="N360" s="2467"/>
      <c r="O360" s="481"/>
      <c r="P360" s="476"/>
      <c r="Z360" s="1435"/>
      <c r="AA360" s="1435"/>
      <c r="AB360" s="1435"/>
      <c r="AC360" s="1435"/>
      <c r="AO360" s="1121" t="b">
        <f t="shared" si="139"/>
        <v>0</v>
      </c>
    </row>
    <row r="361" spans="1:42" ht="12.75" customHeight="1">
      <c r="B361" s="1124"/>
      <c r="C361" s="467"/>
      <c r="D361" s="467"/>
      <c r="E361" s="2385" t="s">
        <v>1931</v>
      </c>
      <c r="F361" s="2846"/>
      <c r="G361" s="2846"/>
      <c r="H361" s="2846"/>
      <c r="I361" s="2846"/>
      <c r="J361" s="2846"/>
      <c r="K361" s="2846"/>
      <c r="L361" s="2846"/>
      <c r="M361" s="2846"/>
      <c r="N361" s="2846"/>
      <c r="O361" s="481"/>
      <c r="P361" s="476"/>
      <c r="Z361" s="1435"/>
      <c r="AA361" s="1435"/>
      <c r="AB361" s="1435"/>
      <c r="AC361" s="1435"/>
      <c r="AO361" s="1121" t="b">
        <f t="shared" si="139"/>
        <v>0</v>
      </c>
    </row>
    <row r="362" spans="1:42" ht="12.75" customHeight="1">
      <c r="B362" s="1124"/>
      <c r="C362" s="467"/>
      <c r="D362" s="467"/>
      <c r="E362" s="2385" t="s">
        <v>1903</v>
      </c>
      <c r="F362" s="2846"/>
      <c r="G362" s="2846"/>
      <c r="H362" s="2846"/>
      <c r="I362" s="2846"/>
      <c r="J362" s="2846"/>
      <c r="K362" s="2846"/>
      <c r="L362" s="2846"/>
      <c r="M362" s="2846"/>
      <c r="N362" s="2846"/>
      <c r="O362" s="481"/>
      <c r="P362" s="476"/>
      <c r="Z362" s="1435"/>
      <c r="AA362" s="1435"/>
      <c r="AB362" s="1435"/>
      <c r="AC362" s="1435"/>
      <c r="AO362" s="1121" t="b">
        <f t="shared" si="139"/>
        <v>0</v>
      </c>
    </row>
    <row r="363" spans="1:42" ht="5.0999999999999996" customHeight="1">
      <c r="B363" s="1124"/>
      <c r="C363" s="467"/>
      <c r="D363" s="467"/>
      <c r="E363" s="2465"/>
      <c r="F363" s="2400"/>
      <c r="G363" s="2400"/>
      <c r="H363" s="2400"/>
      <c r="I363" s="2400"/>
      <c r="J363" s="2400"/>
      <c r="K363" s="2400"/>
      <c r="L363" s="2400"/>
      <c r="M363" s="2400"/>
      <c r="N363" s="2400"/>
      <c r="O363" s="481"/>
      <c r="P363" s="476"/>
      <c r="Z363" s="1435"/>
      <c r="AA363" s="1435"/>
      <c r="AB363" s="1435"/>
      <c r="AC363" s="1435"/>
      <c r="AO363" s="1121" t="b">
        <f t="shared" si="139"/>
        <v>0</v>
      </c>
    </row>
    <row r="364" spans="1:42" s="1911" customFormat="1" ht="25.5" customHeight="1" thickBot="1">
      <c r="A364" s="1905"/>
      <c r="B364" s="1906"/>
      <c r="C364" s="1028"/>
      <c r="D364" s="1029"/>
      <c r="E364" s="870" t="str">
        <f>E321</f>
        <v>Product name, or heat export other than "district heating"</v>
      </c>
      <c r="F364" s="1030" t="str">
        <f>EUconst_Unit</f>
        <v>Unit</v>
      </c>
      <c r="G364" s="1031" t="s">
        <v>2213</v>
      </c>
      <c r="H364" s="1032">
        <f t="shared" ref="H364:N364" si="168">H$1190</f>
        <v>2024</v>
      </c>
      <c r="I364" s="1031">
        <f t="shared" si="168"/>
        <v>2025</v>
      </c>
      <c r="J364" s="1952">
        <f t="shared" si="168"/>
        <v>2026</v>
      </c>
      <c r="K364" s="1953">
        <f t="shared" si="168"/>
        <v>2027</v>
      </c>
      <c r="L364" s="1953">
        <f t="shared" si="168"/>
        <v>2028</v>
      </c>
      <c r="M364" s="1953">
        <f t="shared" si="168"/>
        <v>2029</v>
      </c>
      <c r="N364" s="1953">
        <f t="shared" si="168"/>
        <v>2030</v>
      </c>
      <c r="O364" s="481"/>
      <c r="P364" s="476"/>
      <c r="Q364" s="1909"/>
      <c r="R364" s="1909"/>
      <c r="S364" s="1249" t="s">
        <v>1675</v>
      </c>
      <c r="T364" s="1909">
        <f t="shared" ref="T364:Z364" si="169">H364</f>
        <v>2024</v>
      </c>
      <c r="U364" s="1909">
        <f t="shared" si="169"/>
        <v>2025</v>
      </c>
      <c r="V364" s="1909">
        <f t="shared" si="169"/>
        <v>2026</v>
      </c>
      <c r="W364" s="1909">
        <f t="shared" si="169"/>
        <v>2027</v>
      </c>
      <c r="X364" s="1909">
        <f t="shared" si="169"/>
        <v>2028</v>
      </c>
      <c r="Y364" s="1909">
        <f t="shared" si="169"/>
        <v>2029</v>
      </c>
      <c r="Z364" s="1909">
        <f t="shared" si="169"/>
        <v>2030</v>
      </c>
      <c r="AA364" s="1909"/>
      <c r="AB364" s="1249" t="s">
        <v>1646</v>
      </c>
      <c r="AC364" s="1909">
        <f t="shared" ref="AC364:AI364" si="170">H364</f>
        <v>2024</v>
      </c>
      <c r="AD364" s="1909">
        <f t="shared" si="170"/>
        <v>2025</v>
      </c>
      <c r="AE364" s="1909">
        <f t="shared" si="170"/>
        <v>2026</v>
      </c>
      <c r="AF364" s="1909">
        <f t="shared" si="170"/>
        <v>2027</v>
      </c>
      <c r="AG364" s="1909">
        <f t="shared" si="170"/>
        <v>2028</v>
      </c>
      <c r="AH364" s="1910">
        <f t="shared" si="170"/>
        <v>2029</v>
      </c>
      <c r="AI364" s="1910">
        <f t="shared" si="170"/>
        <v>2030</v>
      </c>
      <c r="AJ364" s="1910"/>
      <c r="AK364" s="1910"/>
      <c r="AL364" s="1910"/>
      <c r="AN364" s="1905"/>
      <c r="AO364" s="1121" t="b">
        <f t="shared" si="139"/>
        <v>0</v>
      </c>
      <c r="AP364" s="1912"/>
    </row>
    <row r="365" spans="1:42" ht="12.75" customHeight="1">
      <c r="B365" s="1124"/>
      <c r="C365" s="484"/>
      <c r="D365" s="579">
        <v>1</v>
      </c>
      <c r="E365" s="1034" t="str">
        <f t="shared" ref="E365:E374" si="171">E342</f>
        <v/>
      </c>
      <c r="F365" s="950" t="str">
        <f t="shared" ref="F365:F376" si="172">EUconst_TJ</f>
        <v>TJ</v>
      </c>
      <c r="G365" s="1914" t="str">
        <f>c_ALR2025!G6016</f>
        <v/>
      </c>
      <c r="H365" s="1915" t="str">
        <f>c_ALR2025!M6016</f>
        <v/>
      </c>
      <c r="I365" s="1987"/>
      <c r="J365" s="1491"/>
      <c r="K365" s="1492"/>
      <c r="L365" s="1492"/>
      <c r="M365" s="1492"/>
      <c r="N365" s="1492"/>
      <c r="O365" s="481"/>
      <c r="P365" s="9"/>
      <c r="S365" s="1939" t="str">
        <f>IF($M249&lt;&gt;EUconst_Relevant,"",
IF($V249&gt;($J$1190-3),
              IF(INDEX(H342:N342,MATCH($V249,$T364:$Z364,0))=0,0,INDEX(H365:N365,MATCH($V249,$T364:$Z364,0))/INDEX(H342:N342,MATCH($V249,$T364:$Z364,0))),
                             IF(ISNUMBER(G342),
                                            IF(OR(G342=0,$S305=FALSE),0,G365/G342),"")))</f>
        <v/>
      </c>
      <c r="T365" s="1940" t="str">
        <f t="shared" ref="T365:T374" si="173">IF($E342="","",IF($S305=FALSE,0,IF(SUM($S365)=0,SUM(H365),SUM(H342)*SUM($S365))))</f>
        <v/>
      </c>
      <c r="U365" s="1940" t="str">
        <f t="shared" ref="U365:U374" si="174">IF($E342="","",IF($S305=FALSE,0,IF(SUM($S365)=0,SUM(I365),SUM(I342)*SUM($S365))))</f>
        <v/>
      </c>
      <c r="V365" s="1940" t="str">
        <f t="shared" ref="V365:V374" si="175">IF($E342="","",IF($S305=FALSE,0,IF(SUM($S365)=0,SUM(J365),SUM(J342)*SUM($S365))))</f>
        <v/>
      </c>
      <c r="W365" s="1940" t="str">
        <f t="shared" ref="W365:W374" si="176">IF($E342="","",IF($S305=FALSE,0,IF(SUM($S365)=0,SUM(K365),SUM(K342)*SUM($S365))))</f>
        <v/>
      </c>
      <c r="X365" s="1940" t="str">
        <f t="shared" ref="X365:X374" si="177">IF($E342="","",IF($S305=FALSE,0,IF(SUM($S365)=0,SUM(L365),SUM(L342)*SUM($S365))))</f>
        <v/>
      </c>
      <c r="Y365" s="1940" t="str">
        <f t="shared" ref="Y365:Y374" si="178">IF($E342="","",IF($S305=FALSE,0,IF(SUM($S365)=0,SUM(M365),SUM(M342)*SUM($S365))))</f>
        <v/>
      </c>
      <c r="Z365" s="1941" t="str">
        <f t="shared" ref="Z365:Z374" si="179">IF($E342="","",IF($S305=FALSE,0,IF(SUM($S365)=0,SUM(N365),SUM(N342)*SUM($S365))))</f>
        <v/>
      </c>
      <c r="AA365" s="1942" t="s">
        <v>1698</v>
      </c>
      <c r="AB365" s="1943">
        <f>AC365</f>
        <v>2</v>
      </c>
      <c r="AC365" s="1994">
        <f>IF(CNTR_ExistSubInstEntries,IF(OR($M249&lt;&gt;EUconst_Relevant,AC364&gt;=CNTR_ReportingYear,AC364&lt;V249-1,$E365=""),0,IF(AND($T354=2,$S305),2,1)),2)</f>
        <v>2</v>
      </c>
      <c r="AD365" s="1927">
        <f>IF(CNTR_ExistSubInstEntries,IF(OR($M249&lt;&gt;EUconst_Relevant,AD364&gt;=CNTR_ReportingYear,AD364&lt;V249-1,$E365=""),0,IF(AND($T354=2,$S305),2,1)),2)</f>
        <v>2</v>
      </c>
      <c r="AE365" s="1927">
        <f>IF(CNTR_ExistSubInstEntries,IF(OR($M249&lt;&gt;EUconst_Relevant,AE364&gt;=CNTR_ReportingYear,AE364&lt;V249-1,$E365=""),0,IF(AND($T354=2,$S305),2,1)),2)</f>
        <v>2</v>
      </c>
      <c r="AF365" s="1927">
        <f>IF(CNTR_ExistSubInstEntries,IF(OR($M249&lt;&gt;EUconst_Relevant,AF364&gt;=CNTR_ReportingYear,AF364&lt;V249-1,$E365=""),0,IF(AND($T354=2,$S305),2,1)),2)</f>
        <v>2</v>
      </c>
      <c r="AG365" s="1927">
        <f>IF(CNTR_ExistSubInstEntries,IF(OR($M249&lt;&gt;EUconst_Relevant,AG364&gt;=CNTR_ReportingYear,AG364&lt;V249-1,$E365=""),0,IF(AND($T354=2,$S305),2,1)),2)</f>
        <v>2</v>
      </c>
      <c r="AH365" s="1928">
        <f>IF(CNTR_ExistSubInstEntries,IF(OR($M249&lt;&gt;EUconst_Relevant,AH364&gt;=CNTR_ReportingYear,AH364&lt;V249-1,$E365=""),0,IF(AND($T354=2,$S305),2,1)),2)</f>
        <v>2</v>
      </c>
      <c r="AI365" s="1929">
        <f>IF(CNTR_ExistSubInstEntries,IF(OR($M249&lt;&gt;EUconst_Relevant,AI364&gt;=CNTR_ReportingYear,AI364&lt;V249-1,$E365=""),0,IF(AND($T354=2,$S305),2,1)),2)</f>
        <v>2</v>
      </c>
      <c r="AK365" s="1633" t="s">
        <v>1954</v>
      </c>
      <c r="AL365" s="1635" t="str">
        <f>IF(AND(CNTR_ExistSubInstEntries,COUNTIFS(AB365:AI365,2,G365:N365,"")&gt;0),EUconst_Error&amp;"FB"&amp;Q249,"")</f>
        <v/>
      </c>
      <c r="AO365" s="1121" t="b">
        <f t="shared" si="139"/>
        <v>0</v>
      </c>
    </row>
    <row r="366" spans="1:42" ht="12.75" customHeight="1">
      <c r="B366" s="1124"/>
      <c r="C366" s="484"/>
      <c r="D366" s="582">
        <f>D365+1</f>
        <v>2</v>
      </c>
      <c r="E366" s="1035" t="str">
        <f t="shared" si="171"/>
        <v/>
      </c>
      <c r="F366" s="1038" t="str">
        <f t="shared" si="172"/>
        <v>TJ</v>
      </c>
      <c r="G366" s="1918" t="str">
        <f>c_ALR2025!G6017</f>
        <v/>
      </c>
      <c r="H366" s="1919" t="str">
        <f>c_ALR2025!M6017</f>
        <v/>
      </c>
      <c r="I366" s="1988"/>
      <c r="J366" s="1491"/>
      <c r="K366" s="1492"/>
      <c r="L366" s="1492"/>
      <c r="M366" s="1492"/>
      <c r="N366" s="1492"/>
      <c r="O366" s="481"/>
      <c r="P366" s="9"/>
      <c r="S366" s="1944" t="str">
        <f>IF($M249&lt;&gt;EUconst_Relevant,"",
IF($V249&gt;($J$1190-3),
              IF(INDEX(H343:N343,MATCH($V249,$T364:$Z364,0))=0,0,INDEX(H366:N366,MATCH($V249,$T364:$Z364,0))/INDEX(H343:N343,MATCH($V249,$T364:$Z364,0))),
                             IF(ISNUMBER(G343),
                                            IF(OR(G343=0,$S306=FALSE),0,G366/G343),"")))</f>
        <v/>
      </c>
      <c r="T366" s="1945" t="str">
        <f t="shared" si="173"/>
        <v/>
      </c>
      <c r="U366" s="1945" t="str">
        <f t="shared" si="174"/>
        <v/>
      </c>
      <c r="V366" s="1945" t="str">
        <f t="shared" si="175"/>
        <v/>
      </c>
      <c r="W366" s="1945" t="str">
        <f t="shared" si="176"/>
        <v/>
      </c>
      <c r="X366" s="1945" t="str">
        <f t="shared" si="177"/>
        <v/>
      </c>
      <c r="Y366" s="1945" t="str">
        <f t="shared" si="178"/>
        <v/>
      </c>
      <c r="Z366" s="1946" t="str">
        <f t="shared" si="179"/>
        <v/>
      </c>
      <c r="AB366" s="1930">
        <f t="shared" ref="AB366:AB374" si="180">AC366</f>
        <v>2</v>
      </c>
      <c r="AC366" s="1931">
        <f>IF(CNTR_ExistSubInstEntries,IF(OR($M249&lt;&gt;EUconst_Relevant,AC364&gt;=CNTR_ReportingYear,AC364&lt;V249-1,$E366=""),0,IF(AND($T354=2,$S306),2,1)),2)</f>
        <v>2</v>
      </c>
      <c r="AD366" s="1931">
        <f>IF(CNTR_ExistSubInstEntries,IF(OR($M249&lt;&gt;EUconst_Relevant,AD364&gt;=CNTR_ReportingYear,AD364&lt;V249-1,$E366=""),0,IF(AND($T354=2,$S306),2,1)),2)</f>
        <v>2</v>
      </c>
      <c r="AE366" s="1931">
        <f>IF(CNTR_ExistSubInstEntries,IF(OR($M249&lt;&gt;EUconst_Relevant,AE364&gt;=CNTR_ReportingYear,AE364&lt;V249-1,$E366=""),0,IF(AND($T354=2,$S306),2,1)),2)</f>
        <v>2</v>
      </c>
      <c r="AF366" s="1931">
        <f>IF(CNTR_ExistSubInstEntries,IF(OR($M249&lt;&gt;EUconst_Relevant,AF364&gt;=CNTR_ReportingYear,AF364&lt;V249-1,$E366=""),0,IF(AND($T354=2,$S306),2,1)),2)</f>
        <v>2</v>
      </c>
      <c r="AG366" s="1931">
        <f>IF(CNTR_ExistSubInstEntries,IF(OR($M249&lt;&gt;EUconst_Relevant,AG364&gt;=CNTR_ReportingYear,AG364&lt;V249-1,$E366=""),0,IF(AND($T354=2,$S306),2,1)),2)</f>
        <v>2</v>
      </c>
      <c r="AH366" s="1931">
        <f>IF(CNTR_ExistSubInstEntries,IF(OR($M249&lt;&gt;EUconst_Relevant,AH364&gt;=CNTR_ReportingYear,AH364&lt;V249-1,$E366=""),0,IF(AND($T354=2,$S306),2,1)),2)</f>
        <v>2</v>
      </c>
      <c r="AI366" s="1947">
        <f>IF(CNTR_ExistSubInstEntries,IF(OR($M249&lt;&gt;EUconst_Relevant,AI364&gt;=CNTR_ReportingYear,AI364&lt;V249-1,$E366=""),0,IF(AND($T354=2,$S306),2,1)),2)</f>
        <v>2</v>
      </c>
      <c r="AK366" s="1633" t="s">
        <v>1954</v>
      </c>
      <c r="AL366" s="1635" t="str">
        <f>IF(AND(CNTR_ExistSubInstEntries,COUNTIFS(AB366:AI366,2,G366:N366,"")&gt;0),EUconst_Error&amp;"FB"&amp;Q249,"")</f>
        <v/>
      </c>
      <c r="AO366" s="1121" t="b">
        <f t="shared" si="139"/>
        <v>0</v>
      </c>
    </row>
    <row r="367" spans="1:42" ht="12.75" customHeight="1">
      <c r="B367" s="1124"/>
      <c r="C367" s="484"/>
      <c r="D367" s="582">
        <f t="shared" ref="D367:D374" si="181">D366+1</f>
        <v>3</v>
      </c>
      <c r="E367" s="1035" t="str">
        <f t="shared" si="171"/>
        <v/>
      </c>
      <c r="F367" s="1038" t="str">
        <f t="shared" si="172"/>
        <v>TJ</v>
      </c>
      <c r="G367" s="1918" t="str">
        <f>c_ALR2025!G6018</f>
        <v/>
      </c>
      <c r="H367" s="1919" t="str">
        <f>c_ALR2025!M6018</f>
        <v/>
      </c>
      <c r="I367" s="1988"/>
      <c r="J367" s="1491"/>
      <c r="K367" s="1492"/>
      <c r="L367" s="1492"/>
      <c r="M367" s="1492"/>
      <c r="N367" s="1492"/>
      <c r="O367" s="481"/>
      <c r="P367" s="9"/>
      <c r="S367" s="1944" t="str">
        <f>IF($M249&lt;&gt;EUconst_Relevant,"",
IF($V249&gt;($J$1190-3),
              IF(INDEX(H344:N344,MATCH($V249,$T364:$Z364,0))=0,0,INDEX(H367:N367,MATCH($V249,$T364:$Z364,0))/INDEX(H344:N344,MATCH($V249,$T364:$Z364,0))),
                             IF(ISNUMBER(G344),
                                            IF(OR(G344=0,$S307=FALSE),0,G367/G344),"")))</f>
        <v/>
      </c>
      <c r="T367" s="1945" t="str">
        <f t="shared" si="173"/>
        <v/>
      </c>
      <c r="U367" s="1945" t="str">
        <f t="shared" si="174"/>
        <v/>
      </c>
      <c r="V367" s="1945" t="str">
        <f t="shared" si="175"/>
        <v/>
      </c>
      <c r="W367" s="1945" t="str">
        <f t="shared" si="176"/>
        <v/>
      </c>
      <c r="X367" s="1945" t="str">
        <f t="shared" si="177"/>
        <v/>
      </c>
      <c r="Y367" s="1945" t="str">
        <f t="shared" si="178"/>
        <v/>
      </c>
      <c r="Z367" s="1946" t="str">
        <f t="shared" si="179"/>
        <v/>
      </c>
      <c r="AB367" s="1930">
        <f t="shared" si="180"/>
        <v>2</v>
      </c>
      <c r="AC367" s="1931">
        <f>IF(CNTR_ExistSubInstEntries,IF(OR($M249&lt;&gt;EUconst_Relevant,AC364&gt;=CNTR_ReportingYear,AC364&lt;V249-1,$E367=""),0,IF(AND($T354=2,$S307),2,1)),2)</f>
        <v>2</v>
      </c>
      <c r="AD367" s="1931">
        <f>IF(CNTR_ExistSubInstEntries,IF(OR($M249&lt;&gt;EUconst_Relevant,AD364&gt;=CNTR_ReportingYear,AD364&lt;V249-1,$E367=""),0,IF(AND($T354=2,$S307),2,1)),2)</f>
        <v>2</v>
      </c>
      <c r="AE367" s="1931">
        <f>IF(CNTR_ExistSubInstEntries,IF(OR($M249&lt;&gt;EUconst_Relevant,AE364&gt;=CNTR_ReportingYear,AE364&lt;V249-1,$E367=""),0,IF(AND($T354=2,$S307),2,1)),2)</f>
        <v>2</v>
      </c>
      <c r="AF367" s="1931">
        <f>IF(CNTR_ExistSubInstEntries,IF(OR($M249&lt;&gt;EUconst_Relevant,AF364&gt;=CNTR_ReportingYear,AF364&lt;V249-1,$E367=""),0,IF(AND($T354=2,$S307),2,1)),2)</f>
        <v>2</v>
      </c>
      <c r="AG367" s="1931">
        <f>IF(CNTR_ExistSubInstEntries,IF(OR($M249&lt;&gt;EUconst_Relevant,AG364&gt;=CNTR_ReportingYear,AG364&lt;V249-1,$E367=""),0,IF(AND($T354=2,$S307),2,1)),2)</f>
        <v>2</v>
      </c>
      <c r="AH367" s="1931">
        <f>IF(CNTR_ExistSubInstEntries,IF(OR($M249&lt;&gt;EUconst_Relevant,AH364&gt;=CNTR_ReportingYear,AH364&lt;V249-1,$E367=""),0,IF(AND($T354=2,$S307),2,1)),2)</f>
        <v>2</v>
      </c>
      <c r="AI367" s="1947">
        <f>IF(CNTR_ExistSubInstEntries,IF(OR($M249&lt;&gt;EUconst_Relevant,AI364&gt;=CNTR_ReportingYear,AI364&lt;V249-1,$E367=""),0,IF(AND($T354=2,$S307),2,1)),2)</f>
        <v>2</v>
      </c>
      <c r="AK367" s="1633" t="s">
        <v>1954</v>
      </c>
      <c r="AL367" s="1635" t="str">
        <f>IF(AND(CNTR_ExistSubInstEntries,COUNTIFS(AB367:AI367,2,G367:N367,"")&gt;0),EUconst_Error&amp;"FB"&amp;Q249,"")</f>
        <v/>
      </c>
      <c r="AO367" s="1121" t="b">
        <f t="shared" si="139"/>
        <v>0</v>
      </c>
    </row>
    <row r="368" spans="1:42" ht="12.75" customHeight="1">
      <c r="B368" s="1124"/>
      <c r="C368" s="484"/>
      <c r="D368" s="582">
        <f t="shared" si="181"/>
        <v>4</v>
      </c>
      <c r="E368" s="1035" t="str">
        <f t="shared" si="171"/>
        <v/>
      </c>
      <c r="F368" s="1038" t="str">
        <f t="shared" si="172"/>
        <v>TJ</v>
      </c>
      <c r="G368" s="1918" t="str">
        <f>c_ALR2025!G6019</f>
        <v/>
      </c>
      <c r="H368" s="1919" t="str">
        <f>c_ALR2025!M6019</f>
        <v/>
      </c>
      <c r="I368" s="1988"/>
      <c r="J368" s="1491"/>
      <c r="K368" s="1492"/>
      <c r="L368" s="1492"/>
      <c r="M368" s="1492"/>
      <c r="N368" s="1492"/>
      <c r="O368" s="481"/>
      <c r="P368" s="9"/>
      <c r="S368" s="1944" t="str">
        <f>IF($M249&lt;&gt;EUconst_Relevant,"",
IF($V249&gt;($J$1190-3),
              IF(INDEX(H345:N345,MATCH($V249,$T364:$Z364,0))=0,0,INDEX(H368:N368,MATCH($V249,$T364:$Z364,0))/INDEX(H345:N345,MATCH($V249,$T364:$Z364,0))),
                             IF(ISNUMBER(G345),
                                            IF(OR(G345=0,$S308=FALSE),0,G368/G345),"")))</f>
        <v/>
      </c>
      <c r="T368" s="1945" t="str">
        <f t="shared" si="173"/>
        <v/>
      </c>
      <c r="U368" s="1945" t="str">
        <f t="shared" si="174"/>
        <v/>
      </c>
      <c r="V368" s="1945" t="str">
        <f t="shared" si="175"/>
        <v/>
      </c>
      <c r="W368" s="1945" t="str">
        <f t="shared" si="176"/>
        <v/>
      </c>
      <c r="X368" s="1945" t="str">
        <f t="shared" si="177"/>
        <v/>
      </c>
      <c r="Y368" s="1945" t="str">
        <f t="shared" si="178"/>
        <v/>
      </c>
      <c r="Z368" s="1946" t="str">
        <f t="shared" si="179"/>
        <v/>
      </c>
      <c r="AB368" s="1930">
        <f t="shared" si="180"/>
        <v>2</v>
      </c>
      <c r="AC368" s="1931">
        <f>IF(CNTR_ExistSubInstEntries,IF(OR($M249&lt;&gt;EUconst_Relevant,AC364&gt;=CNTR_ReportingYear,AC364&lt;V249-1,$E368=""),0,IF(AND($T354=2,$S308),2,1)),2)</f>
        <v>2</v>
      </c>
      <c r="AD368" s="1931">
        <f>IF(CNTR_ExistSubInstEntries,IF(OR($M249&lt;&gt;EUconst_Relevant,AD364&gt;=CNTR_ReportingYear,AD364&lt;V249-1,$E368=""),0,IF(AND($T354=2,$S308),2,1)),2)</f>
        <v>2</v>
      </c>
      <c r="AE368" s="1931">
        <f>IF(CNTR_ExistSubInstEntries,IF(OR($M249&lt;&gt;EUconst_Relevant,AE364&gt;=CNTR_ReportingYear,AE364&lt;V249-1,$E368=""),0,IF(AND($T354=2,$S308),2,1)),2)</f>
        <v>2</v>
      </c>
      <c r="AF368" s="1931">
        <f>IF(CNTR_ExistSubInstEntries,IF(OR($M249&lt;&gt;EUconst_Relevant,AF364&gt;=CNTR_ReportingYear,AF364&lt;V249-1,$E368=""),0,IF(AND($T354=2,$S308),2,1)),2)</f>
        <v>2</v>
      </c>
      <c r="AG368" s="1931">
        <f>IF(CNTR_ExistSubInstEntries,IF(OR($M249&lt;&gt;EUconst_Relevant,AG364&gt;=CNTR_ReportingYear,AG364&lt;V249-1,$E368=""),0,IF(AND($T354=2,$S308),2,1)),2)</f>
        <v>2</v>
      </c>
      <c r="AH368" s="1931">
        <f>IF(CNTR_ExistSubInstEntries,IF(OR($M249&lt;&gt;EUconst_Relevant,AH364&gt;=CNTR_ReportingYear,AH364&lt;V249-1,$E368=""),0,IF(AND($T354=2,$S308),2,1)),2)</f>
        <v>2</v>
      </c>
      <c r="AI368" s="1947">
        <f>IF(CNTR_ExistSubInstEntries,IF(OR($M249&lt;&gt;EUconst_Relevant,AI364&gt;=CNTR_ReportingYear,AI364&lt;V249-1,$E368=""),0,IF(AND($T354=2,$S308),2,1)),2)</f>
        <v>2</v>
      </c>
      <c r="AK368" s="1633" t="s">
        <v>1954</v>
      </c>
      <c r="AL368" s="1635" t="str">
        <f>IF(AND(CNTR_ExistSubInstEntries,COUNTIFS(AB368:AI368,2,G368:N368,"")&gt;0),EUconst_Error&amp;"FB"&amp;Q249,"")</f>
        <v/>
      </c>
      <c r="AO368" s="1121" t="b">
        <f t="shared" si="139"/>
        <v>0</v>
      </c>
    </row>
    <row r="369" spans="1:42" ht="12.75" customHeight="1">
      <c r="B369" s="1124"/>
      <c r="C369" s="484"/>
      <c r="D369" s="582">
        <f t="shared" si="181"/>
        <v>5</v>
      </c>
      <c r="E369" s="1035" t="str">
        <f t="shared" si="171"/>
        <v/>
      </c>
      <c r="F369" s="1038" t="str">
        <f t="shared" si="172"/>
        <v>TJ</v>
      </c>
      <c r="G369" s="1918" t="str">
        <f>c_ALR2025!G6020</f>
        <v/>
      </c>
      <c r="H369" s="1919" t="str">
        <f>c_ALR2025!M6020</f>
        <v/>
      </c>
      <c r="I369" s="1988"/>
      <c r="J369" s="1491"/>
      <c r="K369" s="1492"/>
      <c r="L369" s="1492"/>
      <c r="M369" s="1492"/>
      <c r="N369" s="1492"/>
      <c r="O369" s="481"/>
      <c r="P369" s="9"/>
      <c r="S369" s="1944" t="str">
        <f>IF($M249&lt;&gt;EUconst_Relevant,"",
IF($V249&gt;($J$1190-3),
              IF(INDEX(H346:N346,MATCH($V249,$T364:$Z364,0))=0,0,INDEX(H369:N369,MATCH($V249,$T364:$Z364,0))/INDEX(H346:N346,MATCH($V249,$T364:$Z364,0))),
                             IF(ISNUMBER(G346),
                                            IF(OR(G346=0,$S309=FALSE),0,G369/G346),"")))</f>
        <v/>
      </c>
      <c r="T369" s="1945" t="str">
        <f t="shared" si="173"/>
        <v/>
      </c>
      <c r="U369" s="1945" t="str">
        <f t="shared" si="174"/>
        <v/>
      </c>
      <c r="V369" s="1945" t="str">
        <f t="shared" si="175"/>
        <v/>
      </c>
      <c r="W369" s="1945" t="str">
        <f t="shared" si="176"/>
        <v/>
      </c>
      <c r="X369" s="1945" t="str">
        <f t="shared" si="177"/>
        <v/>
      </c>
      <c r="Y369" s="1945" t="str">
        <f t="shared" si="178"/>
        <v/>
      </c>
      <c r="Z369" s="1946" t="str">
        <f t="shared" si="179"/>
        <v/>
      </c>
      <c r="AB369" s="1930">
        <f t="shared" si="180"/>
        <v>2</v>
      </c>
      <c r="AC369" s="1931">
        <f>IF(CNTR_ExistSubInstEntries,IF(OR($M249&lt;&gt;EUconst_Relevant,AC364&gt;=CNTR_ReportingYear,AC364&lt;V249-1,$E369=""),0,IF(AND($T354=2,$S309),2,1)),2)</f>
        <v>2</v>
      </c>
      <c r="AD369" s="1931">
        <f>IF(CNTR_ExistSubInstEntries,IF(OR($M249&lt;&gt;EUconst_Relevant,AD364&gt;=CNTR_ReportingYear,AD364&lt;V249-1,$E369=""),0,IF(AND($T354=2,$S309),2,1)),2)</f>
        <v>2</v>
      </c>
      <c r="AE369" s="1931">
        <f>IF(CNTR_ExistSubInstEntries,IF(OR($M249&lt;&gt;EUconst_Relevant,AE364&gt;=CNTR_ReportingYear,AE364&lt;V249-1,$E369=""),0,IF(AND($T354=2,$S309),2,1)),2)</f>
        <v>2</v>
      </c>
      <c r="AF369" s="1931">
        <f>IF(CNTR_ExistSubInstEntries,IF(OR($M249&lt;&gt;EUconst_Relevant,AF364&gt;=CNTR_ReportingYear,AF364&lt;V249-1,$E369=""),0,IF(AND($T354=2,$S309),2,1)),2)</f>
        <v>2</v>
      </c>
      <c r="AG369" s="1931">
        <f>IF(CNTR_ExistSubInstEntries,IF(OR($M249&lt;&gt;EUconst_Relevant,AG364&gt;=CNTR_ReportingYear,AG364&lt;V249-1,$E369=""),0,IF(AND($T354=2,$S309),2,1)),2)</f>
        <v>2</v>
      </c>
      <c r="AH369" s="1931">
        <f>IF(CNTR_ExistSubInstEntries,IF(OR($M249&lt;&gt;EUconst_Relevant,AH364&gt;=CNTR_ReportingYear,AH364&lt;V249-1,$E369=""),0,IF(AND($T354=2,$S309),2,1)),2)</f>
        <v>2</v>
      </c>
      <c r="AI369" s="1947">
        <f>IF(CNTR_ExistSubInstEntries,IF(OR($M249&lt;&gt;EUconst_Relevant,AI364&gt;=CNTR_ReportingYear,AI364&lt;V249-1,$E369=""),0,IF(AND($T354=2,$S309),2,1)),2)</f>
        <v>2</v>
      </c>
      <c r="AK369" s="1633" t="s">
        <v>1954</v>
      </c>
      <c r="AL369" s="1635" t="str">
        <f>IF(AND(CNTR_ExistSubInstEntries,COUNTIFS(AB369:AI369,2,G369:N369,"")&gt;0),EUconst_Error&amp;"FB"&amp;Q249,"")</f>
        <v/>
      </c>
      <c r="AO369" s="1121" t="b">
        <f t="shared" si="139"/>
        <v>0</v>
      </c>
    </row>
    <row r="370" spans="1:42" ht="12.75" customHeight="1">
      <c r="B370" s="1124"/>
      <c r="C370" s="484"/>
      <c r="D370" s="582">
        <f t="shared" si="181"/>
        <v>6</v>
      </c>
      <c r="E370" s="1035" t="str">
        <f t="shared" si="171"/>
        <v/>
      </c>
      <c r="F370" s="1038" t="str">
        <f t="shared" si="172"/>
        <v>TJ</v>
      </c>
      <c r="G370" s="1918" t="str">
        <f>c_ALR2025!G6021</f>
        <v/>
      </c>
      <c r="H370" s="1919" t="str">
        <f>c_ALR2025!M6021</f>
        <v/>
      </c>
      <c r="I370" s="1988"/>
      <c r="J370" s="1491"/>
      <c r="K370" s="1492"/>
      <c r="L370" s="1492"/>
      <c r="M370" s="1492"/>
      <c r="N370" s="1492"/>
      <c r="O370" s="481"/>
      <c r="P370" s="9"/>
      <c r="S370" s="1944" t="str">
        <f>IF($M249&lt;&gt;EUconst_Relevant,"",
IF($V249&gt;($J$1190-3),
              IF(INDEX(H347:N347,MATCH($V249,$T364:$Z364,0))=0,0,INDEX(H370:N370,MATCH($V249,$T364:$Z364,0))/INDEX(H347:N347,MATCH($V249,$T364:$Z364,0))),
                             IF(ISNUMBER(G347),
                                            IF(OR(G347=0,$S310=FALSE),0,G370/G347),"")))</f>
        <v/>
      </c>
      <c r="T370" s="1945" t="str">
        <f t="shared" si="173"/>
        <v/>
      </c>
      <c r="U370" s="1945" t="str">
        <f t="shared" si="174"/>
        <v/>
      </c>
      <c r="V370" s="1945" t="str">
        <f t="shared" si="175"/>
        <v/>
      </c>
      <c r="W370" s="1945" t="str">
        <f t="shared" si="176"/>
        <v/>
      </c>
      <c r="X370" s="1945" t="str">
        <f t="shared" si="177"/>
        <v/>
      </c>
      <c r="Y370" s="1945" t="str">
        <f t="shared" si="178"/>
        <v/>
      </c>
      <c r="Z370" s="1946" t="str">
        <f t="shared" si="179"/>
        <v/>
      </c>
      <c r="AB370" s="1930">
        <f t="shared" si="180"/>
        <v>2</v>
      </c>
      <c r="AC370" s="1931">
        <f>IF(CNTR_ExistSubInstEntries,IF(OR($M249&lt;&gt;EUconst_Relevant,AC364&gt;=CNTR_ReportingYear,AC364&lt;V249-1,$E370=""),0,IF(AND($T354=2,$S310),2,1)),2)</f>
        <v>2</v>
      </c>
      <c r="AD370" s="1931">
        <f>IF(CNTR_ExistSubInstEntries,IF(OR($M249&lt;&gt;EUconst_Relevant,AD364&gt;=CNTR_ReportingYear,AD364&lt;V249-1,$E370=""),0,IF(AND($T354=2,$S310),2,1)),2)</f>
        <v>2</v>
      </c>
      <c r="AE370" s="1931">
        <f>IF(CNTR_ExistSubInstEntries,IF(OR($M249&lt;&gt;EUconst_Relevant,AE364&gt;=CNTR_ReportingYear,AE364&lt;V249-1,$E370=""),0,IF(AND($T354=2,$S310),2,1)),2)</f>
        <v>2</v>
      </c>
      <c r="AF370" s="1931">
        <f>IF(CNTR_ExistSubInstEntries,IF(OR($M249&lt;&gt;EUconst_Relevant,AF364&gt;=CNTR_ReportingYear,AF364&lt;V249-1,$E370=""),0,IF(AND($T354=2,$S310),2,1)),2)</f>
        <v>2</v>
      </c>
      <c r="AG370" s="1931">
        <f>IF(CNTR_ExistSubInstEntries,IF(OR($M249&lt;&gt;EUconst_Relevant,AG364&gt;=CNTR_ReportingYear,AG364&lt;V249-1,$E370=""),0,IF(AND($T354=2,$S310),2,1)),2)</f>
        <v>2</v>
      </c>
      <c r="AH370" s="1931">
        <f>IF(CNTR_ExistSubInstEntries,IF(OR($M249&lt;&gt;EUconst_Relevant,AH364&gt;=CNTR_ReportingYear,AH364&lt;V249-1,$E370=""),0,IF(AND($T354=2,$S310),2,1)),2)</f>
        <v>2</v>
      </c>
      <c r="AI370" s="1947">
        <f>IF(CNTR_ExistSubInstEntries,IF(OR($M249&lt;&gt;EUconst_Relevant,AI364&gt;=CNTR_ReportingYear,AI364&lt;V249-1,$E370=""),0,IF(AND($T354=2,$S310),2,1)),2)</f>
        <v>2</v>
      </c>
      <c r="AK370" s="1633" t="s">
        <v>1954</v>
      </c>
      <c r="AL370" s="1635" t="str">
        <f>IF(AND(CNTR_ExistSubInstEntries,COUNTIFS(AB370:AI370,2,G370:N370,"")&gt;0),EUconst_Error&amp;"FB"&amp;Q249,"")</f>
        <v/>
      </c>
      <c r="AO370" s="1121" t="b">
        <f t="shared" si="139"/>
        <v>0</v>
      </c>
    </row>
    <row r="371" spans="1:42" ht="12.75" customHeight="1">
      <c r="B371" s="1124"/>
      <c r="C371" s="484"/>
      <c r="D371" s="582">
        <f t="shared" si="181"/>
        <v>7</v>
      </c>
      <c r="E371" s="1035" t="str">
        <f t="shared" si="171"/>
        <v/>
      </c>
      <c r="F371" s="1038" t="str">
        <f t="shared" si="172"/>
        <v>TJ</v>
      </c>
      <c r="G371" s="1918" t="str">
        <f>c_ALR2025!G6022</f>
        <v/>
      </c>
      <c r="H371" s="1919" t="str">
        <f>c_ALR2025!M6022</f>
        <v/>
      </c>
      <c r="I371" s="1988"/>
      <c r="J371" s="1491"/>
      <c r="K371" s="1492"/>
      <c r="L371" s="1492"/>
      <c r="M371" s="1492"/>
      <c r="N371" s="1492"/>
      <c r="O371" s="481"/>
      <c r="P371" s="9"/>
      <c r="S371" s="1944" t="str">
        <f>IF($M249&lt;&gt;EUconst_Relevant,"",
IF($V249&gt;($J$1190-3),
              IF(INDEX(H348:N348,MATCH($V249,$T364:$Z364,0))=0,0,INDEX(H371:N371,MATCH($V249,$T364:$Z364,0))/INDEX(H348:N348,MATCH($V249,$T364:$Z364,0))),
                             IF(ISNUMBER(G348),
                                            IF(OR(G348=0,$S311=FALSE),0,G371/G348),"")))</f>
        <v/>
      </c>
      <c r="T371" s="1945" t="str">
        <f t="shared" si="173"/>
        <v/>
      </c>
      <c r="U371" s="1945" t="str">
        <f t="shared" si="174"/>
        <v/>
      </c>
      <c r="V371" s="1945" t="str">
        <f t="shared" si="175"/>
        <v/>
      </c>
      <c r="W371" s="1945" t="str">
        <f t="shared" si="176"/>
        <v/>
      </c>
      <c r="X371" s="1945" t="str">
        <f t="shared" si="177"/>
        <v/>
      </c>
      <c r="Y371" s="1945" t="str">
        <f t="shared" si="178"/>
        <v/>
      </c>
      <c r="Z371" s="1946" t="str">
        <f t="shared" si="179"/>
        <v/>
      </c>
      <c r="AB371" s="1930">
        <f t="shared" si="180"/>
        <v>2</v>
      </c>
      <c r="AC371" s="1931">
        <f>IF(CNTR_ExistSubInstEntries,IF(OR($M249&lt;&gt;EUconst_Relevant,AC364&gt;=CNTR_ReportingYear,AC364&lt;V249-1,$E371=""),0,IF(AND($T354=2,$S311),2,1)),2)</f>
        <v>2</v>
      </c>
      <c r="AD371" s="1931">
        <f>IF(CNTR_ExistSubInstEntries,IF(OR($M249&lt;&gt;EUconst_Relevant,AD364&gt;=CNTR_ReportingYear,AD364&lt;V249-1,$E371=""),0,IF(AND($T354=2,$S311),2,1)),2)</f>
        <v>2</v>
      </c>
      <c r="AE371" s="1931">
        <f>IF(CNTR_ExistSubInstEntries,IF(OR($M249&lt;&gt;EUconst_Relevant,AE364&gt;=CNTR_ReportingYear,AE364&lt;V249-1,$E371=""),0,IF(AND($T354=2,$S311),2,1)),2)</f>
        <v>2</v>
      </c>
      <c r="AF371" s="1931">
        <f>IF(CNTR_ExistSubInstEntries,IF(OR($M249&lt;&gt;EUconst_Relevant,AF364&gt;=CNTR_ReportingYear,AF364&lt;V249-1,$E371=""),0,IF(AND($T354=2,$S311),2,1)),2)</f>
        <v>2</v>
      </c>
      <c r="AG371" s="1931">
        <f>IF(CNTR_ExistSubInstEntries,IF(OR($M249&lt;&gt;EUconst_Relevant,AG364&gt;=CNTR_ReportingYear,AG364&lt;V249-1,$E371=""),0,IF(AND($T354=2,$S311),2,1)),2)</f>
        <v>2</v>
      </c>
      <c r="AH371" s="1931">
        <f>IF(CNTR_ExistSubInstEntries,IF(OR($M249&lt;&gt;EUconst_Relevant,AH364&gt;=CNTR_ReportingYear,AH364&lt;V249-1,$E371=""),0,IF(AND($T354=2,$S311),2,1)),2)</f>
        <v>2</v>
      </c>
      <c r="AI371" s="1947">
        <f>IF(CNTR_ExistSubInstEntries,IF(OR($M249&lt;&gt;EUconst_Relevant,AI364&gt;=CNTR_ReportingYear,AI364&lt;V249-1,$E371=""),0,IF(AND($T354=2,$S311),2,1)),2)</f>
        <v>2</v>
      </c>
      <c r="AK371" s="1633" t="s">
        <v>1954</v>
      </c>
      <c r="AL371" s="1635" t="str">
        <f>IF(AND(CNTR_ExistSubInstEntries,COUNTIFS(AB371:AI371,2,G371:N371,"")&gt;0),EUconst_Error&amp;"FB"&amp;Q249,"")</f>
        <v/>
      </c>
      <c r="AO371" s="1121" t="b">
        <f t="shared" si="139"/>
        <v>0</v>
      </c>
    </row>
    <row r="372" spans="1:42" ht="12.75" customHeight="1">
      <c r="B372" s="1124"/>
      <c r="C372" s="484"/>
      <c r="D372" s="582">
        <f t="shared" si="181"/>
        <v>8</v>
      </c>
      <c r="E372" s="1035" t="str">
        <f t="shared" si="171"/>
        <v/>
      </c>
      <c r="F372" s="1038" t="str">
        <f t="shared" si="172"/>
        <v>TJ</v>
      </c>
      <c r="G372" s="1918" t="str">
        <f>c_ALR2025!G6023</f>
        <v/>
      </c>
      <c r="H372" s="1919" t="str">
        <f>c_ALR2025!M6023</f>
        <v/>
      </c>
      <c r="I372" s="1988"/>
      <c r="J372" s="1491"/>
      <c r="K372" s="1492"/>
      <c r="L372" s="1492"/>
      <c r="M372" s="1492"/>
      <c r="N372" s="1492"/>
      <c r="O372" s="481"/>
      <c r="P372" s="9"/>
      <c r="S372" s="1944" t="str">
        <f>IF($M249&lt;&gt;EUconst_Relevant,"",
IF($V249&gt;($J$1190-3),
              IF(INDEX(H349:N349,MATCH($V249,$T364:$Z364,0))=0,0,INDEX(H372:N372,MATCH($V249,$T364:$Z364,0))/INDEX(H349:N349,MATCH($V249,$T364:$Z364,0))),
                             IF(ISNUMBER(G349),
                                            IF(OR(G349=0,$S312=FALSE),0,G372/G349),"")))</f>
        <v/>
      </c>
      <c r="T372" s="1945" t="str">
        <f t="shared" si="173"/>
        <v/>
      </c>
      <c r="U372" s="1945" t="str">
        <f t="shared" si="174"/>
        <v/>
      </c>
      <c r="V372" s="1945" t="str">
        <f t="shared" si="175"/>
        <v/>
      </c>
      <c r="W372" s="1945" t="str">
        <f t="shared" si="176"/>
        <v/>
      </c>
      <c r="X372" s="1945" t="str">
        <f t="shared" si="177"/>
        <v/>
      </c>
      <c r="Y372" s="1945" t="str">
        <f t="shared" si="178"/>
        <v/>
      </c>
      <c r="Z372" s="1946" t="str">
        <f t="shared" si="179"/>
        <v/>
      </c>
      <c r="AB372" s="1930">
        <f t="shared" si="180"/>
        <v>2</v>
      </c>
      <c r="AC372" s="1931">
        <f>IF(CNTR_ExistSubInstEntries,IF(OR($M249&lt;&gt;EUconst_Relevant,AC364&gt;=CNTR_ReportingYear,AC364&lt;V249-1,$E372=""),0,IF(AND($T354=2,$S312),2,1)),2)</f>
        <v>2</v>
      </c>
      <c r="AD372" s="1931">
        <f>IF(CNTR_ExistSubInstEntries,IF(OR($M249&lt;&gt;EUconst_Relevant,AD364&gt;=CNTR_ReportingYear,AD364&lt;V249-1,$E372=""),0,IF(AND($T354=2,$S312),2,1)),2)</f>
        <v>2</v>
      </c>
      <c r="AE372" s="1931">
        <f>IF(CNTR_ExistSubInstEntries,IF(OR($M249&lt;&gt;EUconst_Relevant,AE364&gt;=CNTR_ReportingYear,AE364&lt;V249-1,$E372=""),0,IF(AND($T354=2,$S312),2,1)),2)</f>
        <v>2</v>
      </c>
      <c r="AF372" s="1931">
        <f>IF(CNTR_ExistSubInstEntries,IF(OR($M249&lt;&gt;EUconst_Relevant,AF364&gt;=CNTR_ReportingYear,AF364&lt;V249-1,$E372=""),0,IF(AND($T354=2,$S312),2,1)),2)</f>
        <v>2</v>
      </c>
      <c r="AG372" s="1931">
        <f>IF(CNTR_ExistSubInstEntries,IF(OR($M249&lt;&gt;EUconst_Relevant,AG364&gt;=CNTR_ReportingYear,AG364&lt;V249-1,$E372=""),0,IF(AND($T354=2,$S312),2,1)),2)</f>
        <v>2</v>
      </c>
      <c r="AH372" s="1931">
        <f>IF(CNTR_ExistSubInstEntries,IF(OR($M249&lt;&gt;EUconst_Relevant,AH364&gt;=CNTR_ReportingYear,AH364&lt;V249-1,$E372=""),0,IF(AND($T354=2,$S312),2,1)),2)</f>
        <v>2</v>
      </c>
      <c r="AI372" s="1947">
        <f>IF(CNTR_ExistSubInstEntries,IF(OR($M249&lt;&gt;EUconst_Relevant,AI364&gt;=CNTR_ReportingYear,AI364&lt;V249-1,$E372=""),0,IF(AND($T354=2,$S312),2,1)),2)</f>
        <v>2</v>
      </c>
      <c r="AK372" s="1633" t="s">
        <v>1954</v>
      </c>
      <c r="AL372" s="1635" t="str">
        <f>IF(AND(CNTR_ExistSubInstEntries,COUNTIFS(AB372:AI372,2,G372:N372,"")&gt;0),EUconst_Error&amp;"FB"&amp;Q249,"")</f>
        <v/>
      </c>
      <c r="AO372" s="1121" t="b">
        <f t="shared" si="139"/>
        <v>0</v>
      </c>
    </row>
    <row r="373" spans="1:42" ht="12.75" customHeight="1">
      <c r="B373" s="1124"/>
      <c r="C373" s="484"/>
      <c r="D373" s="582">
        <f t="shared" si="181"/>
        <v>9</v>
      </c>
      <c r="E373" s="1035" t="str">
        <f t="shared" si="171"/>
        <v/>
      </c>
      <c r="F373" s="1038" t="str">
        <f t="shared" si="172"/>
        <v>TJ</v>
      </c>
      <c r="G373" s="1918" t="str">
        <f>c_ALR2025!G6024</f>
        <v/>
      </c>
      <c r="H373" s="1919" t="str">
        <f>c_ALR2025!M6024</f>
        <v/>
      </c>
      <c r="I373" s="1988"/>
      <c r="J373" s="1491"/>
      <c r="K373" s="1492"/>
      <c r="L373" s="1492"/>
      <c r="M373" s="1492"/>
      <c r="N373" s="1492"/>
      <c r="O373" s="481"/>
      <c r="P373" s="9"/>
      <c r="S373" s="1944" t="str">
        <f>IF($M249&lt;&gt;EUconst_Relevant,"",
IF($V249&gt;($J$1190-3),
              IF(INDEX(H350:N350,MATCH($V249,$T364:$Z364,0))=0,0,INDEX(H373:N373,MATCH($V249,$T364:$Z364,0))/INDEX(H350:N350,MATCH($V249,$T364:$Z364,0))),
                             IF(ISNUMBER(G350),
                                            IF(OR(G350=0,$S313=FALSE),0,G373/G350),"")))</f>
        <v/>
      </c>
      <c r="T373" s="1945" t="str">
        <f t="shared" si="173"/>
        <v/>
      </c>
      <c r="U373" s="1945" t="str">
        <f t="shared" si="174"/>
        <v/>
      </c>
      <c r="V373" s="1945" t="str">
        <f t="shared" si="175"/>
        <v/>
      </c>
      <c r="W373" s="1945" t="str">
        <f t="shared" si="176"/>
        <v/>
      </c>
      <c r="X373" s="1945" t="str">
        <f t="shared" si="177"/>
        <v/>
      </c>
      <c r="Y373" s="1945" t="str">
        <f t="shared" si="178"/>
        <v/>
      </c>
      <c r="Z373" s="1946" t="str">
        <f t="shared" si="179"/>
        <v/>
      </c>
      <c r="AB373" s="1930">
        <f t="shared" si="180"/>
        <v>2</v>
      </c>
      <c r="AC373" s="1931">
        <f>IF(CNTR_ExistSubInstEntries,IF(OR($M249&lt;&gt;EUconst_Relevant,AC364&gt;=CNTR_ReportingYear,AC364&lt;V249-1,$E373=""),0,IF(AND($T354=2,$S313),2,1)),2)</f>
        <v>2</v>
      </c>
      <c r="AD373" s="1931">
        <f>IF(CNTR_ExistSubInstEntries,IF(OR($M249&lt;&gt;EUconst_Relevant,AD364&gt;=CNTR_ReportingYear,AD364&lt;V249-1,$E373=""),0,IF(AND($T354=2,$S313),2,1)),2)</f>
        <v>2</v>
      </c>
      <c r="AE373" s="1931">
        <f>IF(CNTR_ExistSubInstEntries,IF(OR($M249&lt;&gt;EUconst_Relevant,AE364&gt;=CNTR_ReportingYear,AE364&lt;V249-1,$E373=""),0,IF(AND($T354=2,$S313),2,1)),2)</f>
        <v>2</v>
      </c>
      <c r="AF373" s="1931">
        <f>IF(CNTR_ExistSubInstEntries,IF(OR($M249&lt;&gt;EUconst_Relevant,AF364&gt;=CNTR_ReportingYear,AF364&lt;V249-1,$E373=""),0,IF(AND($T354=2,$S313),2,1)),2)</f>
        <v>2</v>
      </c>
      <c r="AG373" s="1931">
        <f>IF(CNTR_ExistSubInstEntries,IF(OR($M249&lt;&gt;EUconst_Relevant,AG364&gt;=CNTR_ReportingYear,AG364&lt;V249-1,$E373=""),0,IF(AND($T354=2,$S313),2,1)),2)</f>
        <v>2</v>
      </c>
      <c r="AH373" s="1931">
        <f>IF(CNTR_ExistSubInstEntries,IF(OR($M249&lt;&gt;EUconst_Relevant,AH364&gt;=CNTR_ReportingYear,AH364&lt;V249-1,$E373=""),0,IF(AND($T354=2,$S313),2,1)),2)</f>
        <v>2</v>
      </c>
      <c r="AI373" s="1947">
        <f>IF(CNTR_ExistSubInstEntries,IF(OR($M249&lt;&gt;EUconst_Relevant,AI364&gt;=CNTR_ReportingYear,AI364&lt;V249-1,$E373=""),0,IF(AND($T354=2,$S313),2,1)),2)</f>
        <v>2</v>
      </c>
      <c r="AK373" s="1633" t="s">
        <v>1954</v>
      </c>
      <c r="AL373" s="1635" t="str">
        <f>IF(AND(CNTR_ExistSubInstEntries,COUNTIFS(AB373:AI373,2,G373:N373,"")&gt;0),EUconst_Error&amp;"FB"&amp;Q249,"")</f>
        <v/>
      </c>
      <c r="AO373" s="1121" t="b">
        <f t="shared" si="139"/>
        <v>0</v>
      </c>
    </row>
    <row r="374" spans="1:42" ht="12.75" customHeight="1" thickBot="1">
      <c r="B374" s="1124"/>
      <c r="C374" s="484"/>
      <c r="D374" s="584">
        <f t="shared" si="181"/>
        <v>10</v>
      </c>
      <c r="E374" s="1037" t="str">
        <f t="shared" si="171"/>
        <v/>
      </c>
      <c r="F374" s="1039" t="str">
        <f t="shared" si="172"/>
        <v>TJ</v>
      </c>
      <c r="G374" s="1922" t="str">
        <f>c_ALR2025!G6025</f>
        <v/>
      </c>
      <c r="H374" s="1923" t="str">
        <f>c_ALR2025!M6025</f>
        <v/>
      </c>
      <c r="I374" s="1989"/>
      <c r="J374" s="1491"/>
      <c r="K374" s="1492"/>
      <c r="L374" s="1492"/>
      <c r="M374" s="1492"/>
      <c r="N374" s="1492"/>
      <c r="O374" s="481"/>
      <c r="P374" s="9"/>
      <c r="S374" s="1948" t="str">
        <f>IF($M249&lt;&gt;EUconst_Relevant,"",
IF($V249&gt;($J$1190-3),
              IF(INDEX(H351:N351,MATCH($V249,$T364:$Z364,0))=0,0,INDEX(H374:N374,MATCH($V249,$T364:$Z364,0))/INDEX(H351:N351,MATCH($V249,$T364:$Z364,0))),
                             IF(ISNUMBER(G351),
                                            IF(OR(G351=0,$S314=FALSE),0,G374/G351),"")))</f>
        <v/>
      </c>
      <c r="T374" s="1949" t="str">
        <f t="shared" si="173"/>
        <v/>
      </c>
      <c r="U374" s="1949" t="str">
        <f t="shared" si="174"/>
        <v/>
      </c>
      <c r="V374" s="1949" t="str">
        <f t="shared" si="175"/>
        <v/>
      </c>
      <c r="W374" s="1949" t="str">
        <f t="shared" si="176"/>
        <v/>
      </c>
      <c r="X374" s="1949" t="str">
        <f t="shared" si="177"/>
        <v/>
      </c>
      <c r="Y374" s="1949" t="str">
        <f t="shared" si="178"/>
        <v/>
      </c>
      <c r="Z374" s="1950" t="str">
        <f t="shared" si="179"/>
        <v/>
      </c>
      <c r="AB374" s="1934">
        <f t="shared" si="180"/>
        <v>2</v>
      </c>
      <c r="AC374" s="1935">
        <f>IF(CNTR_ExistSubInstEntries,IF(OR($M249&lt;&gt;EUconst_Relevant,AC364&gt;=CNTR_ReportingYear,AC364&lt;V249-1,$E374=""),0,IF(AND($T354=2,$S314),2,1)),2)</f>
        <v>2</v>
      </c>
      <c r="AD374" s="1935">
        <f>IF(CNTR_ExistSubInstEntries,IF(OR($M249&lt;&gt;EUconst_Relevant,AD364&gt;=CNTR_ReportingYear,AD364&lt;V249-1,$E374=""),0,IF(AND($T354=2,$S314),2,1)),2)</f>
        <v>2</v>
      </c>
      <c r="AE374" s="1935">
        <f>IF(CNTR_ExistSubInstEntries,IF(OR($M249&lt;&gt;EUconst_Relevant,AE364&gt;=CNTR_ReportingYear,AE364&lt;V249-1,$E374=""),0,IF(AND($T354=2,$S314),2,1)),2)</f>
        <v>2</v>
      </c>
      <c r="AF374" s="1935">
        <f>IF(CNTR_ExistSubInstEntries,IF(OR($M249&lt;&gt;EUconst_Relevant,AF364&gt;=CNTR_ReportingYear,AF364&lt;V249-1,$E374=""),0,IF(AND($T354=2,$S314),2,1)),2)</f>
        <v>2</v>
      </c>
      <c r="AG374" s="1935">
        <f>IF(CNTR_ExistSubInstEntries,IF(OR($M249&lt;&gt;EUconst_Relevant,AG364&gt;=CNTR_ReportingYear,AG364&lt;V249-1,$E374=""),0,IF(AND($T354=2,$S314),2,1)),2)</f>
        <v>2</v>
      </c>
      <c r="AH374" s="1935">
        <f>IF(CNTR_ExistSubInstEntries,IF(OR($M249&lt;&gt;EUconst_Relevant,AH364&gt;=CNTR_ReportingYear,AH364&lt;V249-1,$E374=""),0,IF(AND($T354=2,$S314),2,1)),2)</f>
        <v>2</v>
      </c>
      <c r="AI374" s="1951">
        <f>IF(CNTR_ExistSubInstEntries,IF(OR($M249&lt;&gt;EUconst_Relevant,AI364&gt;=CNTR_ReportingYear,AI364&lt;V249-1,$E374=""),0,IF(AND($T354=2,$S314),2,1)),2)</f>
        <v>2</v>
      </c>
      <c r="AK374" s="1633" t="s">
        <v>1954</v>
      </c>
      <c r="AL374" s="1635" t="str">
        <f>IF(AND(CNTR_ExistSubInstEntries,COUNTIFS(AB374:AI374,2,G374:N374,"")&gt;0),EUconst_Error&amp;"FB"&amp;Q249,"")</f>
        <v/>
      </c>
      <c r="AO374" s="1121" t="b">
        <f t="shared" si="139"/>
        <v>0</v>
      </c>
    </row>
    <row r="375" spans="1:42" ht="12.75" customHeight="1">
      <c r="B375" s="1124"/>
      <c r="C375" s="485"/>
      <c r="D375" s="971"/>
      <c r="E375" s="972" t="s">
        <v>1713</v>
      </c>
      <c r="F375" s="1039" t="str">
        <f t="shared" si="172"/>
        <v>TJ</v>
      </c>
      <c r="G375" s="973" t="str">
        <f>IF(COUNT(G365:G374)&gt;0,SUMIF($S305:$S314,TRUE,G365:G374),"")</f>
        <v/>
      </c>
      <c r="H375" s="974" t="str">
        <f t="shared" ref="H375:N375" si="182">IF(COUNT(H365:H374)&gt;0,SUMIF($S305:$S314,TRUE,H365:H374),"")</f>
        <v/>
      </c>
      <c r="I375" s="973" t="str">
        <f t="shared" si="182"/>
        <v/>
      </c>
      <c r="J375" s="1491" t="str">
        <f t="shared" si="182"/>
        <v/>
      </c>
      <c r="K375" s="1492" t="str">
        <f t="shared" si="182"/>
        <v/>
      </c>
      <c r="L375" s="1492" t="str">
        <f t="shared" si="182"/>
        <v/>
      </c>
      <c r="M375" s="1492" t="str">
        <f t="shared" si="182"/>
        <v/>
      </c>
      <c r="N375" s="1492" t="str">
        <f t="shared" si="182"/>
        <v/>
      </c>
      <c r="O375" s="481"/>
      <c r="P375" s="481"/>
      <c r="S375" s="1198" t="str">
        <f>IF(AND(SUM(S365:S374)&gt;0,G381=""),INDEX(H375:N375,MATCH($V249,T364:Z364,0))/INDEX(H352:N352,MATCH($V249,T364:Z364,0)),G381)</f>
        <v/>
      </c>
      <c r="AB375" s="1435"/>
      <c r="AO375" s="1121" t="b">
        <f t="shared" si="139"/>
        <v>0</v>
      </c>
    </row>
    <row r="376" spans="1:42" ht="12.75" customHeight="1">
      <c r="B376" s="1124"/>
      <c r="C376" s="485"/>
      <c r="D376" s="698"/>
      <c r="E376" s="948" t="s">
        <v>1723</v>
      </c>
      <c r="F376" s="1040" t="str">
        <f t="shared" si="172"/>
        <v>TJ</v>
      </c>
      <c r="G376" s="42" t="str">
        <f>IF(COUNT(I265,G375)=2,IF(I265=0,EUconst_NA,G375/I265),"")</f>
        <v/>
      </c>
      <c r="H376" s="43" t="str">
        <f t="shared" ref="H376:N376" si="183">IF(COUNT(H257,H375)=2,IF(H257=0,EUconst_NA,H375/H257),"")</f>
        <v/>
      </c>
      <c r="I376" s="44" t="str">
        <f t="shared" si="183"/>
        <v/>
      </c>
      <c r="J376" s="46" t="str">
        <f t="shared" si="183"/>
        <v/>
      </c>
      <c r="K376" s="27" t="str">
        <f t="shared" si="183"/>
        <v/>
      </c>
      <c r="L376" s="27" t="str">
        <f t="shared" si="183"/>
        <v/>
      </c>
      <c r="M376" s="27" t="str">
        <f t="shared" si="183"/>
        <v/>
      </c>
      <c r="N376" s="27" t="str">
        <f t="shared" si="183"/>
        <v/>
      </c>
      <c r="O376" s="481"/>
      <c r="P376" s="481"/>
      <c r="AB376" s="1435"/>
      <c r="AO376" s="1121" t="b">
        <f t="shared" si="139"/>
        <v>0</v>
      </c>
    </row>
    <row r="377" spans="1:42" ht="5.0999999999999996" customHeight="1">
      <c r="B377" s="1124"/>
      <c r="C377" s="467"/>
      <c r="D377" s="467"/>
      <c r="E377" s="467"/>
      <c r="F377" s="467"/>
      <c r="G377" s="467"/>
      <c r="H377" s="467"/>
      <c r="I377" s="467"/>
      <c r="J377" s="467"/>
      <c r="K377" s="467"/>
      <c r="L377" s="467"/>
      <c r="M377" s="467"/>
      <c r="N377" s="467"/>
      <c r="O377" s="481"/>
      <c r="P377" s="481"/>
      <c r="Z377" s="1435"/>
      <c r="AA377" s="1435"/>
      <c r="AB377" s="1435"/>
      <c r="AO377" s="1121" t="b">
        <f t="shared" si="139"/>
        <v>0</v>
      </c>
    </row>
    <row r="378" spans="1:42" ht="12.75" customHeight="1">
      <c r="B378" s="467"/>
      <c r="C378" s="482"/>
      <c r="D378" s="482" t="s">
        <v>1716</v>
      </c>
      <c r="E378" s="2373" t="s">
        <v>1819</v>
      </c>
      <c r="F378" s="2400"/>
      <c r="G378" s="2400"/>
      <c r="H378" s="2400"/>
      <c r="I378" s="2400"/>
      <c r="J378" s="2400"/>
      <c r="K378" s="2400"/>
      <c r="L378" s="2400"/>
      <c r="M378" s="2400"/>
      <c r="N378" s="2400"/>
      <c r="O378" s="481"/>
      <c r="P378" s="481"/>
      <c r="Q378" s="1249"/>
      <c r="AB378" s="1435"/>
      <c r="AO378" s="1121" t="b">
        <f t="shared" si="139"/>
        <v>0</v>
      </c>
    </row>
    <row r="379" spans="1:42" ht="12.75" customHeight="1">
      <c r="B379" s="1124"/>
      <c r="C379" s="467"/>
      <c r="D379" s="467"/>
      <c r="E379" s="2385" t="s">
        <v>1934</v>
      </c>
      <c r="F379" s="2846"/>
      <c r="G379" s="2846"/>
      <c r="H379" s="2846"/>
      <c r="I379" s="2846"/>
      <c r="J379" s="2846"/>
      <c r="K379" s="2846"/>
      <c r="L379" s="2846"/>
      <c r="M379" s="2846"/>
      <c r="N379" s="2846"/>
      <c r="O379" s="481"/>
      <c r="P379" s="481"/>
      <c r="Z379" s="1435"/>
      <c r="AA379" s="1435"/>
      <c r="AB379" s="1435"/>
      <c r="AO379" s="1121" t="b">
        <f t="shared" si="139"/>
        <v>0</v>
      </c>
    </row>
    <row r="380" spans="1:42" s="1911" customFormat="1" ht="12.75" customHeight="1">
      <c r="A380" s="1905"/>
      <c r="B380" s="1906"/>
      <c r="C380" s="481"/>
      <c r="D380" s="1028"/>
      <c r="E380" s="871"/>
      <c r="F380" s="1030" t="str">
        <f>EUconst_Unit</f>
        <v>Unit</v>
      </c>
      <c r="G380" s="1031" t="s">
        <v>2213</v>
      </c>
      <c r="H380" s="1033">
        <f t="shared" ref="H380:N380" si="184">H$1190</f>
        <v>2024</v>
      </c>
      <c r="I380" s="1031">
        <f t="shared" si="184"/>
        <v>2025</v>
      </c>
      <c r="J380" s="1952">
        <f t="shared" si="184"/>
        <v>2026</v>
      </c>
      <c r="K380" s="1953">
        <f t="shared" si="184"/>
        <v>2027</v>
      </c>
      <c r="L380" s="1953">
        <f t="shared" si="184"/>
        <v>2028</v>
      </c>
      <c r="M380" s="1953">
        <f t="shared" si="184"/>
        <v>2029</v>
      </c>
      <c r="N380" s="1953">
        <f t="shared" si="184"/>
        <v>2030</v>
      </c>
      <c r="O380" s="476"/>
      <c r="P380" s="481"/>
      <c r="Q380" s="1909"/>
      <c r="R380" s="1909"/>
      <c r="S380" s="1909"/>
      <c r="T380" s="1909"/>
      <c r="U380" s="1909"/>
      <c r="V380" s="1909"/>
      <c r="W380" s="1909"/>
      <c r="X380" s="1909"/>
      <c r="Y380" s="1909"/>
      <c r="Z380" s="1909"/>
      <c r="AA380" s="1954"/>
      <c r="AB380" s="1249"/>
      <c r="AC380" s="1909"/>
      <c r="AD380" s="1909"/>
      <c r="AE380" s="1909"/>
      <c r="AF380" s="1909"/>
      <c r="AG380" s="1909"/>
      <c r="AH380" s="1909"/>
      <c r="AI380" s="1909"/>
      <c r="AJ380" s="1909"/>
      <c r="AK380" s="1909"/>
      <c r="AL380" s="1909"/>
      <c r="AN380" s="1905"/>
      <c r="AO380" s="1121" t="b">
        <f t="shared" ref="AO380:AO443" si="185">$AD$249</f>
        <v>0</v>
      </c>
      <c r="AP380" s="1912"/>
    </row>
    <row r="381" spans="1:42" ht="25.5" customHeight="1">
      <c r="B381" s="1124"/>
      <c r="C381" s="485"/>
      <c r="D381" s="561"/>
      <c r="E381" s="948" t="s">
        <v>1819</v>
      </c>
      <c r="F381" s="1041" t="str">
        <f>EUconst_TJ &amp; " / " &amp; IF(F352="",EUconst_Unit,F352)</f>
        <v>TJ / Unit</v>
      </c>
      <c r="G381" s="1042" t="str">
        <f>IF(AND(SUM(G375)&gt;0,V249&lt;=$H$1190),SUMPRODUCT(S365:S374,G365:G374)/G375,"")</f>
        <v/>
      </c>
      <c r="H381" s="1043" t="str">
        <f t="shared" ref="H381:N381" si="186">IF(SUM(H375)&gt;0,$S375*H375/SUM(T365:T374),"")</f>
        <v/>
      </c>
      <c r="I381" s="1044" t="str">
        <f t="shared" si="186"/>
        <v/>
      </c>
      <c r="J381" s="1955" t="str">
        <f t="shared" si="186"/>
        <v/>
      </c>
      <c r="K381" s="1956" t="str">
        <f t="shared" si="186"/>
        <v/>
      </c>
      <c r="L381" s="1956" t="str">
        <f t="shared" si="186"/>
        <v/>
      </c>
      <c r="M381" s="1956" t="str">
        <f t="shared" si="186"/>
        <v/>
      </c>
      <c r="N381" s="1956" t="str">
        <f t="shared" si="186"/>
        <v/>
      </c>
      <c r="O381" s="1136"/>
      <c r="P381" s="481"/>
      <c r="Q381" s="1644" t="str">
        <f>EUconst_CNTR_EnEff&amp;I249</f>
        <v>EnEff_Heat benchmark sub-installation, non-CL</v>
      </c>
      <c r="AB381" s="1435"/>
      <c r="AE381" s="1198"/>
      <c r="AF381" s="1198"/>
      <c r="AG381" s="1198"/>
      <c r="AH381" s="1198"/>
      <c r="AI381" s="1198"/>
      <c r="AJ381" s="1198"/>
      <c r="AK381" s="1198"/>
      <c r="AL381" s="1198"/>
      <c r="AO381" s="1121" t="b">
        <f t="shared" si="185"/>
        <v>0</v>
      </c>
    </row>
    <row r="382" spans="1:42" ht="5.0999999999999996" customHeight="1" thickBot="1">
      <c r="B382" s="1124"/>
      <c r="C382" s="485"/>
      <c r="D382" s="485"/>
      <c r="E382" s="485"/>
      <c r="F382" s="485"/>
      <c r="G382" s="485"/>
      <c r="H382" s="485"/>
      <c r="I382" s="952"/>
      <c r="J382" s="485"/>
      <c r="K382" s="485"/>
      <c r="L382" s="485"/>
      <c r="M382" s="485"/>
      <c r="N382" s="485"/>
      <c r="O382" s="485"/>
      <c r="P382" s="481"/>
      <c r="Q382" s="1702"/>
      <c r="S382" s="1435"/>
      <c r="T382" s="1435"/>
      <c r="AB382" s="1435"/>
      <c r="AE382" s="1198"/>
      <c r="AF382" s="1198"/>
      <c r="AG382" s="1198"/>
      <c r="AH382" s="1198"/>
      <c r="AI382" s="1198"/>
      <c r="AJ382" s="1198"/>
      <c r="AK382" s="1198"/>
      <c r="AL382" s="1198"/>
      <c r="AO382" s="1121" t="b">
        <f t="shared" si="185"/>
        <v>0</v>
      </c>
    </row>
    <row r="383" spans="1:42" ht="5.0999999999999996" customHeight="1" thickBot="1">
      <c r="B383" s="1124"/>
      <c r="C383" s="485"/>
      <c r="D383" s="902"/>
      <c r="E383" s="942"/>
      <c r="F383" s="942"/>
      <c r="G383" s="942"/>
      <c r="H383" s="942"/>
      <c r="I383" s="1045"/>
      <c r="J383" s="943"/>
      <c r="K383" s="1791"/>
      <c r="L383" s="1791"/>
      <c r="M383" s="1791"/>
      <c r="N383" s="1791"/>
      <c r="O383" s="485"/>
      <c r="P383" s="481"/>
      <c r="Q383" s="1702"/>
      <c r="S383" s="1435"/>
      <c r="T383" s="1435"/>
      <c r="AB383" s="1435"/>
      <c r="AE383" s="1198"/>
      <c r="AF383" s="1198"/>
      <c r="AG383" s="1198"/>
      <c r="AH383" s="1198"/>
      <c r="AI383" s="1198"/>
      <c r="AJ383" s="1198"/>
      <c r="AK383" s="1198"/>
      <c r="AL383" s="1198"/>
      <c r="AO383" s="1121" t="b">
        <f t="shared" si="185"/>
        <v>0</v>
      </c>
    </row>
    <row r="384" spans="1:42" ht="12.75" customHeight="1">
      <c r="B384" s="479"/>
      <c r="C384" s="485"/>
      <c r="D384" s="918"/>
      <c r="E384" s="908" t="s">
        <v>1777</v>
      </c>
      <c r="F384" s="909"/>
      <c r="G384" s="909"/>
      <c r="H384" s="910" t="str">
        <f>EUconst_Unit</f>
        <v>Unit</v>
      </c>
      <c r="I384" s="911" t="s">
        <v>1675</v>
      </c>
      <c r="J384" s="1647">
        <f>J$1190</f>
        <v>2026</v>
      </c>
      <c r="K384" s="1490">
        <f>K$1190</f>
        <v>2027</v>
      </c>
      <c r="L384" s="1490">
        <f>L$1190</f>
        <v>2028</v>
      </c>
      <c r="M384" s="1490">
        <f>M$1190</f>
        <v>2029</v>
      </c>
      <c r="N384" s="1490">
        <f>N$1190</f>
        <v>2030</v>
      </c>
      <c r="O384" s="485"/>
      <c r="P384" s="481"/>
      <c r="Q384" s="1435"/>
      <c r="U384" s="1648"/>
      <c r="V384" s="1649">
        <f>J384</f>
        <v>2026</v>
      </c>
      <c r="W384" s="1649">
        <f>K384</f>
        <v>2027</v>
      </c>
      <c r="X384" s="1649">
        <f>L384</f>
        <v>2028</v>
      </c>
      <c r="Y384" s="1649">
        <f>M384</f>
        <v>2029</v>
      </c>
      <c r="Z384" s="1650">
        <f>N384</f>
        <v>2030</v>
      </c>
      <c r="AB384" s="1435"/>
      <c r="AE384" s="1198"/>
      <c r="AF384" s="1198"/>
      <c r="AG384" s="1198"/>
      <c r="AH384" s="1198"/>
      <c r="AI384" s="1198"/>
      <c r="AJ384" s="1198"/>
      <c r="AK384" s="1198"/>
      <c r="AL384" s="1198"/>
      <c r="AO384" s="1121" t="b">
        <f t="shared" si="185"/>
        <v>0</v>
      </c>
    </row>
    <row r="385" spans="2:41" ht="12.75" customHeight="1">
      <c r="B385" s="479"/>
      <c r="C385" s="485"/>
      <c r="D385" s="915" t="s">
        <v>7</v>
      </c>
      <c r="E385" s="2735" t="s">
        <v>1818</v>
      </c>
      <c r="F385" s="2735"/>
      <c r="G385" s="2735"/>
      <c r="H385" s="1048" t="str">
        <f>F381</f>
        <v>TJ / Unit</v>
      </c>
      <c r="I385" s="1049" t="str">
        <f>IF(M249&lt;&gt;EUconst_Relevant,"",IF(V249&gt;($J$1190-3),INDEX(H381:N381,MATCH($V249,H380:N380,0)),G381))</f>
        <v/>
      </c>
      <c r="J385" s="1691" t="str">
        <f>IF(AND(V385&gt;=3,COUNT(H381:I381)=2),IF(CNTR_ReportingYear&gt;J380-1,AVERAGE(H381:I381),""),"")</f>
        <v/>
      </c>
      <c r="K385" s="1794" t="str">
        <f>IF(AND(W385&gt;=3,COUNT(I381:J381)=2),IF(CNTR_ReportingYear&gt;K380-1,AVERAGE(I381:J381),""),"")</f>
        <v/>
      </c>
      <c r="L385" s="1794" t="str">
        <f>IF(AND(X385&gt;=3,COUNT(J381:K381)=2),IF(CNTR_ReportingYear&gt;L380-1,AVERAGE(J381:K381),""),"")</f>
        <v/>
      </c>
      <c r="M385" s="1794" t="str">
        <f>IF(AND(Y385&gt;=3,COUNT(K381:L381)=2),IF(CNTR_ReportingYear&gt;M380-1,AVERAGE(K381:L381),""),"")</f>
        <v/>
      </c>
      <c r="N385" s="1794" t="str">
        <f>IF(AND(Z385&gt;=3,COUNT(L381:M381)=2),IF(CNTR_ReportingYear&gt;N380-1,AVERAGE(L381:M381),""),"")</f>
        <v/>
      </c>
      <c r="O385" s="485"/>
      <c r="P385" s="481"/>
      <c r="Q385" s="1704" t="str">
        <f>EUconst_CNTR_EnEffInitial &amp; I249</f>
        <v>EnEffIni_Heat benchmark sub-installation, non-CL</v>
      </c>
      <c r="U385" s="1693" t="s">
        <v>1650</v>
      </c>
      <c r="V385" s="1251">
        <f>V265</f>
        <v>0</v>
      </c>
      <c r="W385" s="1251">
        <f>W265</f>
        <v>0</v>
      </c>
      <c r="X385" s="1251">
        <f>X265</f>
        <v>0</v>
      </c>
      <c r="Y385" s="1251">
        <f>Y265</f>
        <v>0</v>
      </c>
      <c r="Z385" s="1896">
        <f>Z265</f>
        <v>0</v>
      </c>
      <c r="AB385" s="1435"/>
      <c r="AE385" s="1198"/>
      <c r="AF385" s="1198"/>
      <c r="AG385" s="1198"/>
      <c r="AH385" s="1198"/>
      <c r="AI385" s="1198"/>
      <c r="AO385" s="1121" t="b">
        <f t="shared" si="185"/>
        <v>0</v>
      </c>
    </row>
    <row r="386" spans="2:41" ht="12.75" customHeight="1">
      <c r="B386" s="479"/>
      <c r="C386" s="485"/>
      <c r="D386" s="915" t="s">
        <v>8</v>
      </c>
      <c r="E386" s="2735" t="s">
        <v>1928</v>
      </c>
      <c r="F386" s="2736"/>
      <c r="G386" s="2736"/>
      <c r="H386" s="2736"/>
      <c r="I386" s="2737"/>
      <c r="J386" s="17" t="str">
        <f>IF(J385="","",IF(SUM($I385)=0,IF(J385=0,0%,100%),1-J385/$I385))</f>
        <v/>
      </c>
      <c r="K386" s="22" t="str">
        <f>IF(K385="","",IF(SUM($I385)=0,IF(K385=0,0%,100%),1-K385/$I385))</f>
        <v/>
      </c>
      <c r="L386" s="22" t="str">
        <f>IF(L385="","",IF(SUM($I385)=0,IF(L385=0,0%,100%),1-L385/$I385))</f>
        <v/>
      </c>
      <c r="M386" s="22" t="str">
        <f>IF(M385="","",IF(SUM($I385)=0,IF(M385=0,0%,100%),1-M385/$I385))</f>
        <v/>
      </c>
      <c r="N386" s="22" t="str">
        <f>IF(N385="","",IF(SUM($I385)=0,IF(N385=0,0%,100%),1-N385/$I385))</f>
        <v/>
      </c>
      <c r="O386" s="485"/>
      <c r="P386" s="481"/>
      <c r="Q386" s="1644" t="str">
        <f>EUconst_CNTR_EnEffPct&amp;I249</f>
        <v>EnEffPct_Heat benchmark sub-installation, non-CL</v>
      </c>
      <c r="U386" s="1693" t="s">
        <v>1655</v>
      </c>
      <c r="V386" s="1158" t="str">
        <f>IF(J385="","",J386&gt;15%)</f>
        <v/>
      </c>
      <c r="W386" s="1158" t="str">
        <f>IF(K385="","",K386&gt;15%)</f>
        <v/>
      </c>
      <c r="X386" s="1158" t="str">
        <f>IF(L385="","",L386&gt;15%)</f>
        <v/>
      </c>
      <c r="Y386" s="1158" t="str">
        <f>IF(M385="","",M386&gt;15%)</f>
        <v/>
      </c>
      <c r="Z386" s="1656" t="str">
        <f>IF(N385="","",N386&gt;15%)</f>
        <v/>
      </c>
      <c r="AB386" s="1435"/>
      <c r="AE386" s="1198"/>
      <c r="AF386" s="1198"/>
      <c r="AG386" s="1198"/>
      <c r="AH386" s="1198"/>
      <c r="AI386" s="1198"/>
      <c r="AO386" s="1121" t="b">
        <f t="shared" si="185"/>
        <v>0</v>
      </c>
    </row>
    <row r="387" spans="2:41" ht="5.0999999999999996" customHeight="1">
      <c r="B387" s="479"/>
      <c r="C387" s="485"/>
      <c r="D387" s="918"/>
      <c r="E387" s="909"/>
      <c r="F387" s="909"/>
      <c r="G387" s="909"/>
      <c r="H387" s="909"/>
      <c r="I387" s="909"/>
      <c r="J387" s="922"/>
      <c r="K387" s="1791"/>
      <c r="L387" s="1791"/>
      <c r="M387" s="1791"/>
      <c r="N387" s="1791"/>
      <c r="O387" s="485"/>
      <c r="P387" s="481"/>
      <c r="Q387" s="1435"/>
      <c r="U387" s="1663"/>
      <c r="V387" s="1137"/>
      <c r="W387" s="1137"/>
      <c r="X387" s="1137"/>
      <c r="Y387" s="1137"/>
      <c r="Z387" s="1957"/>
      <c r="AB387" s="1435"/>
      <c r="AO387" s="1121" t="b">
        <f t="shared" si="185"/>
        <v>0</v>
      </c>
    </row>
    <row r="388" spans="2:41" ht="12.75" customHeight="1">
      <c r="B388" s="479"/>
      <c r="C388" s="485"/>
      <c r="D388" s="907" t="s">
        <v>1778</v>
      </c>
      <c r="E388" s="3410" t="s">
        <v>1945</v>
      </c>
      <c r="F388" s="3410"/>
      <c r="G388" s="3410"/>
      <c r="H388" s="3410"/>
      <c r="I388" s="3410"/>
      <c r="J388" s="3411"/>
      <c r="K388" s="1798"/>
      <c r="L388" s="1798"/>
      <c r="M388" s="1798"/>
      <c r="N388" s="1798"/>
      <c r="O388" s="485"/>
      <c r="P388" s="481"/>
      <c r="Q388" s="1435"/>
      <c r="U388" s="1663"/>
      <c r="V388" s="1435"/>
      <c r="Z388" s="1664"/>
      <c r="AB388" s="1435"/>
      <c r="AO388" s="1121" t="b">
        <f t="shared" si="185"/>
        <v>0</v>
      </c>
    </row>
    <row r="389" spans="2:41" ht="12.75" customHeight="1">
      <c r="B389" s="479"/>
      <c r="C389" s="485"/>
      <c r="D389" s="918"/>
      <c r="E389" s="923" t="s">
        <v>1946</v>
      </c>
      <c r="F389" s="923"/>
      <c r="G389" s="923"/>
      <c r="H389" s="923"/>
      <c r="I389" s="923"/>
      <c r="J389" s="1647">
        <f>J$1190</f>
        <v>2026</v>
      </c>
      <c r="K389" s="1490">
        <f>K$1190</f>
        <v>2027</v>
      </c>
      <c r="L389" s="1490">
        <f>L$1190</f>
        <v>2028</v>
      </c>
      <c r="M389" s="1490">
        <f>M$1190</f>
        <v>2029</v>
      </c>
      <c r="N389" s="1490">
        <f>N$1190</f>
        <v>2030</v>
      </c>
      <c r="O389" s="485"/>
      <c r="P389" s="481"/>
      <c r="Q389" s="1435"/>
      <c r="U389" s="1663"/>
      <c r="Z389" s="1664"/>
      <c r="AB389" s="1435"/>
      <c r="AO389" s="1121" t="b">
        <f t="shared" si="185"/>
        <v>0</v>
      </c>
    </row>
    <row r="390" spans="2:41" ht="12.75" customHeight="1">
      <c r="B390" s="479"/>
      <c r="C390" s="485"/>
      <c r="D390" s="918"/>
      <c r="E390" s="1047" t="s">
        <v>2108</v>
      </c>
      <c r="F390" s="2735"/>
      <c r="G390" s="2735"/>
      <c r="H390" s="2735"/>
      <c r="I390" s="2735"/>
      <c r="J390" s="1666" t="str">
        <f>IF($M249&lt;&gt;EUconst_Relevant,"",INDEX(K_Summary!J:J,MATCH($Q390,K_Summary!$P:$P,0)))</f>
        <v/>
      </c>
      <c r="K390" s="1791" t="str">
        <f>IF($M249&lt;&gt;EUconst_Relevant,"",INDEX(K_Summary!K:K,MATCH($Q390,K_Summary!$P:$P,0)))</f>
        <v/>
      </c>
      <c r="L390" s="1791" t="str">
        <f>IF($M249&lt;&gt;EUconst_Relevant,"",INDEX(K_Summary!L:L,MATCH($Q390,K_Summary!$P:$P,0)))</f>
        <v/>
      </c>
      <c r="M390" s="1791" t="str">
        <f>IF($M249&lt;&gt;EUconst_Relevant,"",INDEX(K_Summary!M:M,MATCH($Q390,K_Summary!$P:$P,0)))</f>
        <v/>
      </c>
      <c r="N390" s="1791" t="str">
        <f>IF($M249&lt;&gt;EUconst_Relevant,"",INDEX(K_Summary!N:N,MATCH($Q390,K_Summary!$P:$P,0)))</f>
        <v/>
      </c>
      <c r="O390" s="485"/>
      <c r="P390" s="481"/>
      <c r="Q390" s="1644" t="str">
        <f>EUconst_CNTR_100EUA_ActivityLevel&amp;I249</f>
        <v>EUA100AL_Heat benchmark sub-installation, non-CL</v>
      </c>
      <c r="U390" s="1663"/>
      <c r="Z390" s="1664"/>
      <c r="AB390" s="1435"/>
      <c r="AO390" s="1121" t="b">
        <f t="shared" si="185"/>
        <v>0</v>
      </c>
    </row>
    <row r="391" spans="2:41" ht="5.0999999999999996" customHeight="1">
      <c r="B391" s="479"/>
      <c r="C391" s="485"/>
      <c r="D391" s="918"/>
      <c r="E391" s="909"/>
      <c r="F391" s="909"/>
      <c r="G391" s="909"/>
      <c r="H391" s="909"/>
      <c r="I391" s="909"/>
      <c r="J391" s="922"/>
      <c r="K391" s="1791"/>
      <c r="L391" s="1791"/>
      <c r="M391" s="1791"/>
      <c r="N391" s="1791"/>
      <c r="O391" s="485"/>
      <c r="P391" s="481"/>
      <c r="Q391" s="1435"/>
      <c r="U391" s="1663"/>
      <c r="V391" s="1435"/>
      <c r="Z391" s="1664"/>
      <c r="AB391" s="1435"/>
      <c r="AO391" s="1121" t="b">
        <f t="shared" si="185"/>
        <v>0</v>
      </c>
    </row>
    <row r="392" spans="2:41" ht="12.75" customHeight="1">
      <c r="B392" s="479"/>
      <c r="C392" s="485"/>
      <c r="D392" s="907" t="s">
        <v>1779</v>
      </c>
      <c r="E392" s="3410" t="s">
        <v>1660</v>
      </c>
      <c r="F392" s="3410"/>
      <c r="G392" s="3410"/>
      <c r="H392" s="3410"/>
      <c r="I392" s="3410"/>
      <c r="J392" s="3411"/>
      <c r="K392" s="1798"/>
      <c r="L392" s="1798"/>
      <c r="M392" s="1798"/>
      <c r="N392" s="1798"/>
      <c r="O392" s="485"/>
      <c r="P392" s="481"/>
      <c r="Q392" s="1435"/>
      <c r="U392" s="1663"/>
      <c r="V392" s="1435"/>
      <c r="Z392" s="1664"/>
      <c r="AB392" s="1435"/>
      <c r="AO392" s="1121" t="b">
        <f t="shared" si="185"/>
        <v>0</v>
      </c>
    </row>
    <row r="393" spans="2:41" ht="12.75" customHeight="1">
      <c r="B393" s="479"/>
      <c r="C393" s="485"/>
      <c r="D393" s="918"/>
      <c r="E393" s="923" t="s">
        <v>1653</v>
      </c>
      <c r="F393" s="923"/>
      <c r="G393" s="923"/>
      <c r="H393" s="923"/>
      <c r="I393" s="923"/>
      <c r="J393" s="1647">
        <f>J$1190</f>
        <v>2026</v>
      </c>
      <c r="K393" s="1490">
        <f>K$1190</f>
        <v>2027</v>
      </c>
      <c r="L393" s="1490">
        <f>L$1190</f>
        <v>2028</v>
      </c>
      <c r="M393" s="1490">
        <f>M$1190</f>
        <v>2029</v>
      </c>
      <c r="N393" s="1490">
        <f>N$1190</f>
        <v>2030</v>
      </c>
      <c r="O393" s="485"/>
      <c r="P393" s="481"/>
      <c r="Q393" s="1435"/>
      <c r="U393" s="1665"/>
      <c r="Z393" s="1664"/>
      <c r="AB393" s="1435"/>
      <c r="AO393" s="1121" t="b">
        <f t="shared" si="185"/>
        <v>0</v>
      </c>
    </row>
    <row r="394" spans="2:41" ht="12.75" customHeight="1">
      <c r="B394" s="479"/>
      <c r="C394" s="485"/>
      <c r="D394" s="915" t="s">
        <v>6</v>
      </c>
      <c r="E394" s="2735" t="s">
        <v>2243</v>
      </c>
      <c r="F394" s="2735"/>
      <c r="G394" s="2735"/>
      <c r="H394" s="2735"/>
      <c r="I394" s="2741"/>
      <c r="J394" s="1666" t="str">
        <f>IF($M249&lt;&gt;EUconst_Relevant,"",AND(J390,OR(AND(SUM(J266)&lt;-15%,SUM(J386)&gt;15%),AND(SUM(J266)&gt;15%,SUM(J386&lt;-15%)))))</f>
        <v/>
      </c>
      <c r="K394" s="1791" t="str">
        <f>IF($M249&lt;&gt;EUconst_Relevant,"",AND(K390,OR(AND(SUM(K266)&lt;-15%,SUM(K386)&gt;15%),AND(SUM(K266)&gt;15%,SUM(K386&lt;-15%)))))</f>
        <v/>
      </c>
      <c r="L394" s="1791" t="str">
        <f>IF($M249&lt;&gt;EUconst_Relevant,"",AND(L390,OR(AND(SUM(L266)&lt;-15%,SUM(L386)&gt;15%),AND(SUM(L266)&gt;15%,SUM(L386&lt;-15%)))))</f>
        <v/>
      </c>
      <c r="M394" s="1791" t="str">
        <f>IF($M249&lt;&gt;EUconst_Relevant,"",AND(M390,OR(AND(SUM(M266)&lt;-15%,SUM(M386)&gt;15%),AND(SUM(M266)&gt;15%,SUM(M386&lt;-15%)))))</f>
        <v/>
      </c>
      <c r="N394" s="1791" t="str">
        <f>IF($M249&lt;&gt;EUconst_Relevant,"",AND(N390,OR(AND(SUM(N266)&lt;-15%,SUM(N386)&gt;15%),AND(SUM(N266)&gt;15%,SUM(N386&lt;-15%)))))</f>
        <v/>
      </c>
      <c r="O394" s="485"/>
      <c r="P394" s="481"/>
      <c r="Q394" s="1644" t="str">
        <f>EUconst_CNTR_CARejectionRelevant&amp;I249</f>
        <v>CARejectRel_Heat benchmark sub-installation, non-CL</v>
      </c>
      <c r="U394" s="1663"/>
      <c r="V394" s="1435"/>
      <c r="Z394" s="1664"/>
      <c r="AB394" s="1435"/>
      <c r="AO394" s="1121" t="b">
        <f t="shared" si="185"/>
        <v>0</v>
      </c>
    </row>
    <row r="395" spans="2:41" ht="25.5" customHeight="1">
      <c r="B395" s="1124"/>
      <c r="C395" s="485"/>
      <c r="D395" s="1050"/>
      <c r="E395" s="3404" t="s">
        <v>2244</v>
      </c>
      <c r="F395" s="3404"/>
      <c r="G395" s="3404"/>
      <c r="H395" s="3404"/>
      <c r="I395" s="3404"/>
      <c r="J395" s="3405"/>
      <c r="K395" s="1798"/>
      <c r="L395" s="1798"/>
      <c r="M395" s="1798"/>
      <c r="N395" s="1798"/>
      <c r="O395" s="485"/>
      <c r="P395" s="481"/>
      <c r="U395" s="1663"/>
      <c r="Z395" s="1664"/>
      <c r="AA395" s="1435"/>
      <c r="AB395" s="1435"/>
      <c r="AO395" s="1121" t="b">
        <f t="shared" si="185"/>
        <v>0</v>
      </c>
    </row>
    <row r="396" spans="2:41" ht="12.75" customHeight="1">
      <c r="B396" s="1124"/>
      <c r="C396" s="485"/>
      <c r="D396" s="1050"/>
      <c r="E396" s="3395" t="s">
        <v>1848</v>
      </c>
      <c r="F396" s="3395"/>
      <c r="G396" s="3395"/>
      <c r="H396" s="3395"/>
      <c r="I396" s="3395"/>
      <c r="J396" s="3396"/>
      <c r="K396" s="1798"/>
      <c r="L396" s="1798"/>
      <c r="M396" s="1798"/>
      <c r="N396" s="1798"/>
      <c r="O396" s="485"/>
      <c r="P396" s="481"/>
      <c r="U396" s="1663"/>
      <c r="Z396" s="1664"/>
      <c r="AA396" s="1435"/>
      <c r="AB396" s="1435"/>
      <c r="AO396" s="1121" t="b">
        <f t="shared" si="185"/>
        <v>0</v>
      </c>
    </row>
    <row r="397" spans="2:41" ht="5.0999999999999996" customHeight="1">
      <c r="B397" s="479"/>
      <c r="C397" s="485"/>
      <c r="D397" s="915"/>
      <c r="E397" s="909"/>
      <c r="F397" s="909"/>
      <c r="G397" s="909"/>
      <c r="H397" s="909"/>
      <c r="I397" s="909"/>
      <c r="J397" s="922"/>
      <c r="K397" s="1791"/>
      <c r="L397" s="1791"/>
      <c r="M397" s="1791"/>
      <c r="N397" s="1791"/>
      <c r="O397" s="485"/>
      <c r="P397" s="481"/>
      <c r="Q397" s="1435"/>
      <c r="U397" s="1663"/>
      <c r="V397" s="1435"/>
      <c r="Z397" s="1664"/>
      <c r="AB397" s="1435"/>
      <c r="AO397" s="1121" t="b">
        <f t="shared" si="185"/>
        <v>0</v>
      </c>
    </row>
    <row r="398" spans="2:41" ht="12.75" customHeight="1">
      <c r="B398" s="479"/>
      <c r="C398" s="485"/>
      <c r="D398" s="915" t="s">
        <v>7</v>
      </c>
      <c r="E398" s="2735" t="s">
        <v>2245</v>
      </c>
      <c r="F398" s="2736"/>
      <c r="G398" s="2736"/>
      <c r="H398" s="2736"/>
      <c r="I398" s="2737"/>
      <c r="J398" s="45" t="b">
        <v>0</v>
      </c>
      <c r="K398" s="1958" t="b">
        <v>0</v>
      </c>
      <c r="L398" s="1958" t="b">
        <v>0</v>
      </c>
      <c r="M398" s="1958" t="b">
        <v>0</v>
      </c>
      <c r="N398" s="1958" t="b">
        <v>0</v>
      </c>
      <c r="O398" s="485"/>
      <c r="P398" s="9"/>
      <c r="Q398" s="1644" t="str">
        <f>EUconst_CNTR_CARejection &amp; I249</f>
        <v>CAReject_Heat benchmark sub-installation, non-CL</v>
      </c>
      <c r="U398" s="1663"/>
      <c r="V398" s="1435"/>
      <c r="Z398" s="1664"/>
      <c r="AD398" s="1435" t="s">
        <v>1117</v>
      </c>
      <c r="AE398" s="1995" t="b">
        <f>AND($M249=EUconst_Relevant,J394=FALSE)</f>
        <v>0</v>
      </c>
      <c r="AF398" s="1644" t="b">
        <f>AND($M249=EUconst_Relevant,K394=FALSE)</f>
        <v>0</v>
      </c>
      <c r="AG398" s="1644" t="b">
        <f>AND($M249=EUconst_Relevant,L394=FALSE)</f>
        <v>0</v>
      </c>
      <c r="AH398" s="1644" t="b">
        <f>AND($M249=EUconst_Relevant,M394=FALSE)</f>
        <v>0</v>
      </c>
      <c r="AI398" s="1644" t="b">
        <f>AND($M249=EUconst_Relevant,N394=FALSE)</f>
        <v>0</v>
      </c>
      <c r="AO398" s="1121" t="b">
        <f t="shared" si="185"/>
        <v>0</v>
      </c>
    </row>
    <row r="399" spans="2:41" ht="12.75" customHeight="1">
      <c r="B399" s="1124"/>
      <c r="C399" s="485"/>
      <c r="D399" s="1050"/>
      <c r="E399" s="3406" t="s">
        <v>2246</v>
      </c>
      <c r="F399" s="3406"/>
      <c r="G399" s="3406"/>
      <c r="H399" s="3406"/>
      <c r="I399" s="3406"/>
      <c r="J399" s="3407"/>
      <c r="K399" s="1153"/>
      <c r="L399" s="1153"/>
      <c r="M399" s="1153"/>
      <c r="N399" s="1153"/>
      <c r="O399" s="485"/>
      <c r="P399" s="481"/>
      <c r="U399" s="1663"/>
      <c r="Z399" s="1664"/>
      <c r="AA399" s="1435"/>
      <c r="AB399" s="1435"/>
      <c r="AO399" s="1121" t="b">
        <f t="shared" si="185"/>
        <v>0</v>
      </c>
    </row>
    <row r="400" spans="2:41" ht="12.75" customHeight="1">
      <c r="B400" s="1124"/>
      <c r="C400" s="485"/>
      <c r="D400" s="1050"/>
      <c r="E400" s="3408" t="s">
        <v>2334</v>
      </c>
      <c r="F400" s="3408"/>
      <c r="G400" s="3408"/>
      <c r="H400" s="3408"/>
      <c r="I400" s="3408"/>
      <c r="J400" s="3409"/>
      <c r="K400" s="1798"/>
      <c r="L400" s="1798"/>
      <c r="M400" s="1798"/>
      <c r="N400" s="1798"/>
      <c r="O400" s="485"/>
      <c r="P400" s="481"/>
      <c r="U400" s="1663"/>
      <c r="Z400" s="1664"/>
      <c r="AA400" s="1435"/>
      <c r="AB400" s="1435"/>
      <c r="AO400" s="1121" t="b">
        <f t="shared" si="185"/>
        <v>0</v>
      </c>
    </row>
    <row r="401" spans="2:41" ht="25.5" customHeight="1">
      <c r="B401" s="1124"/>
      <c r="C401" s="485"/>
      <c r="D401" s="1050"/>
      <c r="E401" s="3395" t="s">
        <v>2248</v>
      </c>
      <c r="F401" s="3395"/>
      <c r="G401" s="3395"/>
      <c r="H401" s="3395"/>
      <c r="I401" s="3395"/>
      <c r="J401" s="3396"/>
      <c r="K401" s="1798"/>
      <c r="L401" s="1798"/>
      <c r="M401" s="1798"/>
      <c r="N401" s="1798"/>
      <c r="O401" s="485"/>
      <c r="P401" s="481"/>
      <c r="U401" s="1663"/>
      <c r="Z401" s="1664"/>
      <c r="AA401" s="1435"/>
      <c r="AB401" s="1435"/>
      <c r="AO401" s="1121" t="b">
        <f t="shared" si="185"/>
        <v>0</v>
      </c>
    </row>
    <row r="402" spans="2:41" ht="5.0999999999999996" customHeight="1">
      <c r="B402" s="479"/>
      <c r="C402" s="485"/>
      <c r="D402" s="918"/>
      <c r="E402" s="909"/>
      <c r="F402" s="909"/>
      <c r="G402" s="909"/>
      <c r="H402" s="909"/>
      <c r="I402" s="909"/>
      <c r="J402" s="922"/>
      <c r="K402" s="1791"/>
      <c r="L402" s="1791"/>
      <c r="M402" s="1791"/>
      <c r="N402" s="1791"/>
      <c r="O402" s="485"/>
      <c r="P402" s="481"/>
      <c r="Q402" s="1435"/>
      <c r="U402" s="1663"/>
      <c r="V402" s="1435"/>
      <c r="Z402" s="1664"/>
      <c r="AB402" s="1435"/>
      <c r="AO402" s="1121" t="b">
        <f t="shared" si="185"/>
        <v>0</v>
      </c>
    </row>
    <row r="403" spans="2:41" ht="12.75" customHeight="1">
      <c r="B403" s="479"/>
      <c r="C403" s="485"/>
      <c r="D403" s="907" t="s">
        <v>1883</v>
      </c>
      <c r="E403" s="3410" t="s">
        <v>1660</v>
      </c>
      <c r="F403" s="3410"/>
      <c r="G403" s="3410"/>
      <c r="H403" s="3410"/>
      <c r="I403" s="3410"/>
      <c r="J403" s="3411"/>
      <c r="K403" s="1798"/>
      <c r="L403" s="1798"/>
      <c r="M403" s="1798"/>
      <c r="N403" s="1798"/>
      <c r="O403" s="485"/>
      <c r="P403" s="481"/>
      <c r="Q403" s="1435"/>
      <c r="U403" s="1663"/>
      <c r="V403" s="1435"/>
      <c r="Z403" s="1664"/>
      <c r="AB403" s="1435"/>
      <c r="AO403" s="1121" t="b">
        <f t="shared" si="185"/>
        <v>0</v>
      </c>
    </row>
    <row r="404" spans="2:41" ht="12.75" customHeight="1" thickBot="1">
      <c r="B404" s="1124"/>
      <c r="C404" s="485"/>
      <c r="D404" s="1050"/>
      <c r="E404" s="3395" t="s">
        <v>2249</v>
      </c>
      <c r="F404" s="3395"/>
      <c r="G404" s="3395"/>
      <c r="H404" s="3395"/>
      <c r="I404" s="3395"/>
      <c r="J404" s="3396"/>
      <c r="K404" s="1798"/>
      <c r="L404" s="1798"/>
      <c r="M404" s="1798"/>
      <c r="N404" s="1798"/>
      <c r="O404" s="481"/>
      <c r="P404" s="481"/>
      <c r="U404" s="1663"/>
      <c r="Z404" s="1664"/>
      <c r="AA404" s="1435"/>
      <c r="AB404" s="1435"/>
      <c r="AO404" s="1121" t="b">
        <f t="shared" si="185"/>
        <v>0</v>
      </c>
    </row>
    <row r="405" spans="2:41" ht="12.75" customHeight="1" thickBot="1">
      <c r="B405" s="479"/>
      <c r="C405" s="485"/>
      <c r="D405" s="915"/>
      <c r="E405" s="2735" t="s">
        <v>1657</v>
      </c>
      <c r="F405" s="2735"/>
      <c r="G405" s="2735"/>
      <c r="H405" s="2735"/>
      <c r="I405" s="1051"/>
      <c r="J405" s="1668" t="str">
        <f>IF(J390="","",IF(J393&gt;$Z249,-100%,IF(OR(AND(J390,J394=FALSE),AND(J394,J398=FALSE),V385&lt;1),J267,IF(J398=TRUE,0%,I405))))</f>
        <v/>
      </c>
      <c r="K405" s="1796" t="str">
        <f>IF(K390="","",IF(K393&gt;$Z249,-100%,IF(OR(AND(K390,K394=FALSE),AND(K394,K398=FALSE),W385&lt;1),K267,IF(K398=TRUE,0%,J405))))</f>
        <v/>
      </c>
      <c r="L405" s="1796" t="str">
        <f>IF(L390="","",IF(L393&gt;$Z249,-100%,IF(OR(AND(L390,L394=FALSE),AND(L394,L398=FALSE),X385&lt;1),L267,IF(L398=TRUE,0%,K405))))</f>
        <v/>
      </c>
      <c r="M405" s="1796" t="str">
        <f>IF(M390="","",IF(M393&gt;$Z249,-100%,IF(OR(AND(M390,M394=FALSE),AND(M394,M398=FALSE),Y385&lt;1),M267,IF(M398=TRUE,0%,L405))))</f>
        <v/>
      </c>
      <c r="N405" s="1796" t="str">
        <f>IF(N390="","",IF(N393&gt;$Z249,-100%,IF(OR(AND(N390,N394=FALSE),AND(N394,N398=FALSE),Z385&lt;1),N267,IF(N398=TRUE,0%,M405))))</f>
        <v/>
      </c>
      <c r="O405" s="485"/>
      <c r="P405" s="481"/>
      <c r="Q405" s="1644" t="str">
        <f>EUconst_CNTR_HALAdjPct &amp; I249</f>
        <v>HALAdjPct_Heat benchmark sub-installation, non-CL</v>
      </c>
      <c r="U405" s="1663" t="s">
        <v>1658</v>
      </c>
      <c r="V405" s="1670">
        <f>J389</f>
        <v>2026</v>
      </c>
      <c r="W405" s="1670">
        <f>K389</f>
        <v>2027</v>
      </c>
      <c r="X405" s="1670">
        <f>L389</f>
        <v>2028</v>
      </c>
      <c r="Y405" s="1670">
        <f>M389</f>
        <v>2029</v>
      </c>
      <c r="Z405" s="1671">
        <f>N389</f>
        <v>2030</v>
      </c>
      <c r="AB405" s="1435"/>
      <c r="AO405" s="1121" t="b">
        <f t="shared" si="185"/>
        <v>0</v>
      </c>
    </row>
    <row r="406" spans="2:41" ht="12.75" customHeight="1" thickBot="1">
      <c r="B406" s="479"/>
      <c r="C406" s="485"/>
      <c r="D406" s="918"/>
      <c r="E406" s="2735" t="s">
        <v>1649</v>
      </c>
      <c r="F406" s="2736"/>
      <c r="G406" s="2736"/>
      <c r="H406" s="639" t="str">
        <f>H265</f>
        <v>TJ</v>
      </c>
      <c r="I406" s="800" t="str">
        <f>I268</f>
        <v/>
      </c>
      <c r="J406" s="1959" t="str">
        <f>IF($M249&lt;&gt;EUconst_Relevant,"",IF(OR(J405="",$I406=0,$I406=EUconst_NA),IF(OR(J390=TRUE,J393&lt;=$V249),J268,SUM(I406)),$I406*(1+SUM(J405))))</f>
        <v/>
      </c>
      <c r="K406" s="1960" t="str">
        <f>IF($M249&lt;&gt;EUconst_Relevant,"",IF(OR(K405="",$I406=0,$I406=EUconst_NA),IF(OR(K390=TRUE,K393&lt;=$V249),K268,SUM(J406)),$I406*(1+SUM(K405))))</f>
        <v/>
      </c>
      <c r="L406" s="1960" t="str">
        <f>IF($M249&lt;&gt;EUconst_Relevant,"",IF(OR(L405="",$I406=0,$I406=EUconst_NA),IF(OR(L390=TRUE,L393&lt;=$V249),L268,SUM(K406)),$I406*(1+SUM(L405))))</f>
        <v/>
      </c>
      <c r="M406" s="1960" t="str">
        <f>IF($M249&lt;&gt;EUconst_Relevant,"",IF(OR(M405="",$I406=0,$I406=EUconst_NA),IF(OR(M390=TRUE,M393&lt;=$V249),M268,SUM(L406)),$I406*(1+SUM(M405))))</f>
        <v/>
      </c>
      <c r="N406" s="1960" t="str">
        <f>IF($M249&lt;&gt;EUconst_Relevant,"",IF(OR(N405="",$I406=0,$I406=EUconst_NA),IF(OR(N390=TRUE,N393&lt;=$V249),N268,SUM(M406)),$I406*(1+SUM(N405))))</f>
        <v/>
      </c>
      <c r="O406" s="485"/>
      <c r="P406" s="481"/>
      <c r="Q406" s="1644" t="str">
        <f>EUconst_CNTR_HALfinal&amp;I249</f>
        <v>HALfinal_Heat benchmark sub-installation, non-CL</v>
      </c>
      <c r="U406" s="1961" t="b">
        <v>0</v>
      </c>
      <c r="V406" s="1675" t="b">
        <f>IF(J390=TRUE,V266,U406)</f>
        <v>0</v>
      </c>
      <c r="W406" s="1675" t="b">
        <f>IF(K390=TRUE,W266,V406)</f>
        <v>0</v>
      </c>
      <c r="X406" s="1675" t="b">
        <f>IF(L390=TRUE,X266,W406)</f>
        <v>0</v>
      </c>
      <c r="Y406" s="1675" t="b">
        <f>IF(M390=TRUE,Y266,X406)</f>
        <v>0</v>
      </c>
      <c r="Z406" s="1676" t="b">
        <f>IF(N390=TRUE,Z266,Y406)</f>
        <v>0</v>
      </c>
      <c r="AK406" s="1633" t="s">
        <v>1951</v>
      </c>
      <c r="AL406" s="1443" t="str">
        <f>IF(OR(ISERROR(J406),ISERROR(K406),ISERROR(L406),ISERROR(M406),ISERROR(N406)),EUconst_Error&amp;"FB"&amp; Q249,"")</f>
        <v/>
      </c>
      <c r="AO406" s="1121" t="b">
        <f t="shared" si="185"/>
        <v>0</v>
      </c>
    </row>
    <row r="407" spans="2:41" ht="5.0999999999999996" customHeight="1" thickBot="1">
      <c r="B407" s="1124"/>
      <c r="C407" s="485"/>
      <c r="D407" s="924"/>
      <c r="E407" s="925"/>
      <c r="F407" s="925"/>
      <c r="G407" s="925"/>
      <c r="H407" s="925"/>
      <c r="I407" s="925"/>
      <c r="J407" s="926"/>
      <c r="K407" s="1791"/>
      <c r="L407" s="1791"/>
      <c r="M407" s="1791"/>
      <c r="N407" s="1791"/>
      <c r="O407" s="481"/>
      <c r="P407" s="481"/>
      <c r="AB407" s="1435"/>
      <c r="AO407" s="1121" t="b">
        <f t="shared" si="185"/>
        <v>0</v>
      </c>
    </row>
    <row r="408" spans="2:41" ht="12.75" customHeight="1" thickBot="1">
      <c r="B408" s="1124"/>
      <c r="C408" s="485"/>
      <c r="D408" s="485"/>
      <c r="E408" s="485"/>
      <c r="F408" s="485"/>
      <c r="G408" s="485"/>
      <c r="H408" s="485"/>
      <c r="I408" s="485"/>
      <c r="J408" s="485"/>
      <c r="K408" s="485"/>
      <c r="L408" s="485"/>
      <c r="M408" s="485"/>
      <c r="N408" s="485"/>
      <c r="O408" s="481"/>
      <c r="P408" s="481"/>
      <c r="AB408" s="1435"/>
      <c r="AO408" s="1121" t="b">
        <f t="shared" si="185"/>
        <v>0</v>
      </c>
    </row>
    <row r="409" spans="2:41" ht="5.0999999999999996" customHeight="1">
      <c r="B409" s="467"/>
      <c r="C409" s="1052"/>
      <c r="D409" s="1053"/>
      <c r="E409" s="1053"/>
      <c r="F409" s="1053"/>
      <c r="G409" s="1053"/>
      <c r="H409" s="1053"/>
      <c r="I409" s="1053"/>
      <c r="J409" s="1053"/>
      <c r="K409" s="1053"/>
      <c r="L409" s="1053"/>
      <c r="M409" s="1054"/>
      <c r="N409" s="1055"/>
      <c r="O409" s="481"/>
      <c r="P409" s="481"/>
      <c r="Q409" s="1249"/>
      <c r="S409" s="1249"/>
      <c r="T409" s="1249"/>
      <c r="AB409" s="1435"/>
      <c r="AO409" s="1121" t="b">
        <f t="shared" si="185"/>
        <v>0</v>
      </c>
    </row>
    <row r="410" spans="2:41" ht="15" customHeight="1">
      <c r="B410" s="1124"/>
      <c r="C410" s="1056"/>
      <c r="D410" s="2678" t="s">
        <v>2746</v>
      </c>
      <c r="E410" s="2672"/>
      <c r="F410" s="2672"/>
      <c r="G410" s="2672"/>
      <c r="H410" s="2672"/>
      <c r="I410" s="2672"/>
      <c r="J410" s="2672"/>
      <c r="K410" s="2672"/>
      <c r="L410" s="2672"/>
      <c r="M410" s="2672"/>
      <c r="N410" s="2673"/>
      <c r="O410" s="481"/>
      <c r="P410" s="481"/>
      <c r="S410" s="1249"/>
      <c r="T410" s="1249"/>
      <c r="AB410" s="1435"/>
      <c r="AO410" s="1121" t="b">
        <f t="shared" si="185"/>
        <v>0</v>
      </c>
    </row>
    <row r="411" spans="2:41" ht="5.0999999999999996" customHeight="1">
      <c r="B411" s="1124"/>
      <c r="C411" s="980"/>
      <c r="D411" s="813"/>
      <c r="E411" s="813"/>
      <c r="F411" s="813"/>
      <c r="G411" s="813"/>
      <c r="H411" s="813"/>
      <c r="I411" s="813"/>
      <c r="J411" s="813"/>
      <c r="K411" s="813"/>
      <c r="L411" s="813"/>
      <c r="M411" s="813"/>
      <c r="N411" s="814"/>
      <c r="O411" s="481"/>
      <c r="P411" s="481"/>
      <c r="S411" s="1249"/>
      <c r="T411" s="1249"/>
      <c r="AB411" s="1435"/>
      <c r="AO411" s="1121" t="b">
        <f t="shared" si="185"/>
        <v>0</v>
      </c>
    </row>
    <row r="412" spans="2:41" ht="15" customHeight="1">
      <c r="B412" s="1124"/>
      <c r="C412" s="980"/>
      <c r="D412" s="2679" t="str">
        <f>EUconst_FBSubinst &amp; ":"</f>
        <v>Fall-Back sub-installation:</v>
      </c>
      <c r="E412" s="2646"/>
      <c r="F412" s="2646"/>
      <c r="G412" s="2646"/>
      <c r="H412" s="2680"/>
      <c r="I412" s="3293" t="str">
        <f>I249</f>
        <v>Heat benchmark sub-installation, non-CL</v>
      </c>
      <c r="J412" s="3294"/>
      <c r="K412" s="3294"/>
      <c r="L412" s="3294"/>
      <c r="M412" s="3294"/>
      <c r="N412" s="3295"/>
      <c r="O412" s="481"/>
      <c r="P412" s="481"/>
      <c r="S412" s="1249"/>
      <c r="T412" s="1249"/>
      <c r="AB412" s="1435"/>
      <c r="AO412" s="1121" t="b">
        <f t="shared" si="185"/>
        <v>0</v>
      </c>
    </row>
    <row r="413" spans="2:41" ht="5.0999999999999996" customHeight="1">
      <c r="B413" s="1124"/>
      <c r="C413" s="980"/>
      <c r="D413" s="813"/>
      <c r="E413" s="813"/>
      <c r="F413" s="813"/>
      <c r="G413" s="813"/>
      <c r="H413" s="813"/>
      <c r="I413" s="813"/>
      <c r="J413" s="813"/>
      <c r="K413" s="813"/>
      <c r="L413" s="813"/>
      <c r="M413" s="813"/>
      <c r="N413" s="814"/>
      <c r="O413" s="481"/>
      <c r="P413" s="481"/>
      <c r="S413" s="1249"/>
      <c r="T413" s="1249"/>
      <c r="AB413" s="1435"/>
      <c r="AO413" s="1121" t="b">
        <f t="shared" si="185"/>
        <v>0</v>
      </c>
    </row>
    <row r="414" spans="2:41" ht="30" customHeight="1">
      <c r="B414" s="467"/>
      <c r="C414" s="1056"/>
      <c r="D414" s="1057"/>
      <c r="E414" s="2745" t="s">
        <v>2154</v>
      </c>
      <c r="F414" s="2745"/>
      <c r="G414" s="2745"/>
      <c r="H414" s="2745"/>
      <c r="I414" s="2745"/>
      <c r="J414" s="2745"/>
      <c r="K414" s="2745"/>
      <c r="L414" s="2745"/>
      <c r="M414" s="2745"/>
      <c r="N414" s="1058"/>
      <c r="O414" s="481"/>
      <c r="P414" s="481"/>
      <c r="Q414" s="1249"/>
      <c r="AB414" s="1435"/>
      <c r="AO414" s="1121" t="b">
        <f t="shared" si="185"/>
        <v>0</v>
      </c>
    </row>
    <row r="415" spans="2:41" ht="30" customHeight="1">
      <c r="B415" s="479"/>
      <c r="C415" s="977"/>
      <c r="D415" s="981"/>
      <c r="E415" s="2691" t="s">
        <v>1550</v>
      </c>
      <c r="F415" s="2691"/>
      <c r="G415" s="2691"/>
      <c r="H415" s="2691"/>
      <c r="I415" s="2691"/>
      <c r="J415" s="2691"/>
      <c r="K415" s="2691"/>
      <c r="L415" s="2691"/>
      <c r="M415" s="2691"/>
      <c r="N415" s="1015"/>
      <c r="O415" s="481"/>
      <c r="P415" s="481"/>
      <c r="Q415" s="1435"/>
      <c r="AB415" s="1435"/>
      <c r="AO415" s="1121" t="b">
        <f t="shared" si="185"/>
        <v>0</v>
      </c>
    </row>
    <row r="416" spans="2:41" ht="12.75" customHeight="1">
      <c r="B416" s="479"/>
      <c r="C416" s="977"/>
      <c r="D416" s="981"/>
      <c r="E416" s="2691" t="s">
        <v>1549</v>
      </c>
      <c r="F416" s="2391"/>
      <c r="G416" s="2391"/>
      <c r="H416" s="2391"/>
      <c r="I416" s="2391"/>
      <c r="J416" s="2391"/>
      <c r="K416" s="2391"/>
      <c r="L416" s="2391"/>
      <c r="M416" s="2391"/>
      <c r="N416" s="1015"/>
      <c r="O416" s="481"/>
      <c r="P416" s="481"/>
      <c r="Q416" s="1435"/>
      <c r="AB416" s="1435"/>
      <c r="AO416" s="1121" t="b">
        <f t="shared" si="185"/>
        <v>0</v>
      </c>
    </row>
    <row r="417" spans="2:41" ht="15" customHeight="1">
      <c r="B417" s="479"/>
      <c r="C417" s="977"/>
      <c r="D417" s="981"/>
      <c r="E417" s="3269" t="s">
        <v>1643</v>
      </c>
      <c r="F417" s="3269"/>
      <c r="G417" s="3269"/>
      <c r="H417" s="3269"/>
      <c r="I417" s="3269"/>
      <c r="J417" s="3269"/>
      <c r="K417" s="3269"/>
      <c r="L417" s="3269"/>
      <c r="M417" s="3269"/>
      <c r="N417" s="1015"/>
      <c r="O417" s="481"/>
      <c r="P417" s="481"/>
      <c r="Q417" s="1435"/>
      <c r="AB417" s="1435"/>
      <c r="AO417" s="1121" t="b">
        <f t="shared" si="185"/>
        <v>0</v>
      </c>
    </row>
    <row r="418" spans="2:41" ht="15" customHeight="1">
      <c r="B418" s="467"/>
      <c r="C418" s="1056"/>
      <c r="D418" s="1057"/>
      <c r="E418" s="3291" t="s">
        <v>1475</v>
      </c>
      <c r="F418" s="3291"/>
      <c r="G418" s="3291"/>
      <c r="H418" s="3291"/>
      <c r="I418" s="3291"/>
      <c r="J418" s="3291"/>
      <c r="K418" s="3291"/>
      <c r="L418" s="3291"/>
      <c r="M418" s="3291"/>
      <c r="N418" s="1058"/>
      <c r="O418" s="481"/>
      <c r="P418" s="481"/>
      <c r="Q418" s="1249"/>
      <c r="AB418" s="1435"/>
      <c r="AO418" s="1121" t="b">
        <f t="shared" si="185"/>
        <v>0</v>
      </c>
    </row>
    <row r="419" spans="2:41" ht="5.0999999999999996" customHeight="1">
      <c r="B419" s="1124"/>
      <c r="C419" s="980"/>
      <c r="D419" s="813"/>
      <c r="E419" s="813"/>
      <c r="F419" s="813"/>
      <c r="G419" s="813"/>
      <c r="H419" s="813"/>
      <c r="I419" s="813"/>
      <c r="J419" s="813"/>
      <c r="K419" s="813"/>
      <c r="L419" s="813"/>
      <c r="M419" s="813"/>
      <c r="N419" s="814"/>
      <c r="O419" s="481"/>
      <c r="P419" s="481"/>
      <c r="S419" s="1249"/>
      <c r="T419" s="1249"/>
      <c r="AB419" s="1435"/>
      <c r="AO419" s="1121" t="b">
        <f t="shared" si="185"/>
        <v>0</v>
      </c>
    </row>
    <row r="420" spans="2:41" ht="12.75" customHeight="1">
      <c r="B420" s="467"/>
      <c r="C420" s="1056"/>
      <c r="D420" s="982" t="s">
        <v>48</v>
      </c>
      <c r="E420" s="2671" t="s">
        <v>1611</v>
      </c>
      <c r="F420" s="2672"/>
      <c r="G420" s="2672"/>
      <c r="H420" s="2672"/>
      <c r="I420" s="2672"/>
      <c r="J420" s="2672"/>
      <c r="K420" s="2672"/>
      <c r="L420" s="2672"/>
      <c r="M420" s="2672"/>
      <c r="N420" s="2673"/>
      <c r="O420" s="481"/>
      <c r="P420" s="481"/>
      <c r="Q420" s="1249"/>
      <c r="S420" s="1249"/>
      <c r="T420" s="1249"/>
      <c r="AB420" s="1435"/>
      <c r="AO420" s="1121" t="b">
        <f t="shared" si="185"/>
        <v>0</v>
      </c>
    </row>
    <row r="421" spans="2:41" ht="12.75" customHeight="1">
      <c r="B421" s="467"/>
      <c r="C421" s="1056"/>
      <c r="D421" s="982"/>
      <c r="E421" s="3366" t="s">
        <v>2295</v>
      </c>
      <c r="F421" s="3366"/>
      <c r="G421" s="3366"/>
      <c r="H421" s="3366"/>
      <c r="I421" s="3366"/>
      <c r="J421" s="3366"/>
      <c r="K421" s="3366"/>
      <c r="L421" s="3366"/>
      <c r="M421" s="3366"/>
      <c r="N421" s="3367"/>
      <c r="O421" s="481"/>
      <c r="P421" s="481"/>
      <c r="Q421" s="1249"/>
      <c r="S421" s="1249"/>
      <c r="T421" s="1249"/>
      <c r="AB421" s="1435"/>
      <c r="AO421" s="1121" t="b">
        <f t="shared" si="185"/>
        <v>0</v>
      </c>
    </row>
    <row r="422" spans="2:41" ht="12.75" customHeight="1">
      <c r="B422" s="467"/>
      <c r="C422" s="1056"/>
      <c r="D422" s="1057"/>
      <c r="E422" s="3288" t="s">
        <v>1261</v>
      </c>
      <c r="F422" s="3288"/>
      <c r="G422" s="3288"/>
      <c r="H422" s="3288"/>
      <c r="I422" s="3288"/>
      <c r="J422" s="3288"/>
      <c r="K422" s="3288"/>
      <c r="L422" s="3288"/>
      <c r="M422" s="3288"/>
      <c r="N422" s="3289"/>
      <c r="O422" s="481"/>
      <c r="P422" s="481"/>
      <c r="Q422" s="1249"/>
      <c r="S422" s="1249"/>
      <c r="AB422" s="1435"/>
      <c r="AO422" s="1121" t="b">
        <f t="shared" si="185"/>
        <v>0</v>
      </c>
    </row>
    <row r="423" spans="2:41" ht="25.5" customHeight="1">
      <c r="B423" s="467"/>
      <c r="C423" s="1056"/>
      <c r="D423" s="1057"/>
      <c r="E423" s="985" t="s">
        <v>1021</v>
      </c>
      <c r="F423" s="3290" t="s">
        <v>1262</v>
      </c>
      <c r="G423" s="3290"/>
      <c r="H423" s="3290"/>
      <c r="I423" s="3290"/>
      <c r="J423" s="3290"/>
      <c r="K423" s="3290"/>
      <c r="L423" s="3290"/>
      <c r="M423" s="3290"/>
      <c r="N423" s="3378"/>
      <c r="O423" s="481"/>
      <c r="P423" s="481"/>
      <c r="Q423" s="1249"/>
      <c r="S423" s="1249"/>
      <c r="AB423" s="1435"/>
      <c r="AO423" s="1121" t="b">
        <f t="shared" si="185"/>
        <v>0</v>
      </c>
    </row>
    <row r="424" spans="2:41" ht="38.25" customHeight="1">
      <c r="B424" s="479"/>
      <c r="C424" s="977"/>
      <c r="D424" s="981"/>
      <c r="E424" s="985"/>
      <c r="F424" s="3267" t="s">
        <v>1566</v>
      </c>
      <c r="G424" s="2380"/>
      <c r="H424" s="2380"/>
      <c r="I424" s="2380"/>
      <c r="J424" s="2380"/>
      <c r="K424" s="2380"/>
      <c r="L424" s="2380"/>
      <c r="M424" s="2380"/>
      <c r="N424" s="3268"/>
      <c r="O424" s="481"/>
      <c r="P424" s="481"/>
      <c r="Q424" s="1435"/>
      <c r="S424" s="1435"/>
      <c r="AB424" s="1435"/>
      <c r="AO424" s="1121" t="b">
        <f t="shared" si="185"/>
        <v>0</v>
      </c>
    </row>
    <row r="425" spans="2:41" ht="12.75" customHeight="1">
      <c r="B425" s="467"/>
      <c r="C425" s="1056"/>
      <c r="D425" s="1057"/>
      <c r="E425" s="985" t="s">
        <v>1021</v>
      </c>
      <c r="F425" s="3290" t="s">
        <v>1486</v>
      </c>
      <c r="G425" s="3290"/>
      <c r="H425" s="3290"/>
      <c r="I425" s="3290"/>
      <c r="J425" s="3290"/>
      <c r="K425" s="3290"/>
      <c r="L425" s="3290"/>
      <c r="M425" s="3290"/>
      <c r="N425" s="3378"/>
      <c r="O425" s="481"/>
      <c r="P425" s="481"/>
      <c r="Q425" s="1249"/>
      <c r="S425" s="1249"/>
      <c r="AB425" s="1435"/>
      <c r="AO425" s="1121" t="b">
        <f t="shared" si="185"/>
        <v>0</v>
      </c>
    </row>
    <row r="426" spans="2:41" ht="26.1" customHeight="1">
      <c r="B426" s="467"/>
      <c r="C426" s="1056"/>
      <c r="D426" s="1057"/>
      <c r="E426" s="985"/>
      <c r="F426" s="3290" t="s">
        <v>1568</v>
      </c>
      <c r="G426" s="3290"/>
      <c r="H426" s="3290"/>
      <c r="I426" s="3290"/>
      <c r="J426" s="3290"/>
      <c r="K426" s="3290"/>
      <c r="L426" s="3290"/>
      <c r="M426" s="3290"/>
      <c r="N426" s="3378"/>
      <c r="O426" s="481"/>
      <c r="P426" s="481"/>
      <c r="Q426" s="1249"/>
      <c r="S426" s="1249"/>
      <c r="AB426" s="1435"/>
      <c r="AO426" s="1121" t="b">
        <f t="shared" si="185"/>
        <v>0</v>
      </c>
    </row>
    <row r="427" spans="2:41" ht="25.5" customHeight="1" thickBot="1">
      <c r="B427" s="467"/>
      <c r="C427" s="1056"/>
      <c r="D427" s="1057"/>
      <c r="E427" s="985" t="s">
        <v>1021</v>
      </c>
      <c r="F427" s="3290" t="s">
        <v>1570</v>
      </c>
      <c r="G427" s="2646"/>
      <c r="H427" s="2646"/>
      <c r="I427" s="2646"/>
      <c r="J427" s="2646"/>
      <c r="K427" s="2646"/>
      <c r="L427" s="2646"/>
      <c r="M427" s="2646"/>
      <c r="N427" s="2647"/>
      <c r="O427" s="481"/>
      <c r="P427" s="481"/>
      <c r="Q427" s="1249"/>
      <c r="S427" s="1249"/>
      <c r="AB427" s="1435"/>
      <c r="AO427" s="1121" t="b">
        <f t="shared" si="185"/>
        <v>0</v>
      </c>
    </row>
    <row r="428" spans="2:41" ht="12.75" customHeight="1" thickBot="1">
      <c r="B428" s="467"/>
      <c r="C428" s="1056"/>
      <c r="D428" s="982"/>
      <c r="E428" s="989" t="s">
        <v>915</v>
      </c>
      <c r="F428" s="990"/>
      <c r="G428" s="987" t="str">
        <f>EUconst_Unit</f>
        <v>Unit</v>
      </c>
      <c r="H428" s="782">
        <f t="shared" ref="H428:N428" si="187">H$1190</f>
        <v>2024</v>
      </c>
      <c r="I428" s="988">
        <f t="shared" si="187"/>
        <v>2025</v>
      </c>
      <c r="J428" s="1810">
        <f t="shared" si="187"/>
        <v>2026</v>
      </c>
      <c r="K428" s="1747">
        <f t="shared" si="187"/>
        <v>2027</v>
      </c>
      <c r="L428" s="1747">
        <f t="shared" si="187"/>
        <v>2028</v>
      </c>
      <c r="M428" s="1747">
        <f t="shared" si="187"/>
        <v>2029</v>
      </c>
      <c r="N428" s="1748">
        <f t="shared" si="187"/>
        <v>2030</v>
      </c>
      <c r="O428" s="481"/>
      <c r="P428" s="481"/>
      <c r="Q428" s="1249"/>
      <c r="S428" s="1962"/>
      <c r="T428" s="1749">
        <f t="shared" ref="T428:Z428" si="188">H428</f>
        <v>2024</v>
      </c>
      <c r="U428" s="1749">
        <f t="shared" si="188"/>
        <v>2025</v>
      </c>
      <c r="V428" s="1749">
        <f t="shared" si="188"/>
        <v>2026</v>
      </c>
      <c r="W428" s="1749">
        <f t="shared" si="188"/>
        <v>2027</v>
      </c>
      <c r="X428" s="1749">
        <f t="shared" si="188"/>
        <v>2028</v>
      </c>
      <c r="Y428" s="1749">
        <f t="shared" si="188"/>
        <v>2029</v>
      </c>
      <c r="Z428" s="1750">
        <f t="shared" si="188"/>
        <v>2030</v>
      </c>
      <c r="AC428" s="1638">
        <f t="shared" ref="AC428:AI428" si="189">H$1190</f>
        <v>2024</v>
      </c>
      <c r="AD428" s="1638">
        <f t="shared" si="189"/>
        <v>2025</v>
      </c>
      <c r="AE428" s="1638">
        <f t="shared" si="189"/>
        <v>2026</v>
      </c>
      <c r="AF428" s="1638">
        <f t="shared" si="189"/>
        <v>2027</v>
      </c>
      <c r="AG428" s="1638">
        <f t="shared" si="189"/>
        <v>2028</v>
      </c>
      <c r="AH428" s="1638">
        <f t="shared" si="189"/>
        <v>2029</v>
      </c>
      <c r="AI428" s="1638">
        <f t="shared" si="189"/>
        <v>2030</v>
      </c>
      <c r="AO428" s="1121" t="b">
        <f t="shared" si="185"/>
        <v>0</v>
      </c>
    </row>
    <row r="429" spans="2:41" ht="12.75" customHeight="1" thickBot="1">
      <c r="B429" s="467"/>
      <c r="C429" s="1056"/>
      <c r="D429" s="1057"/>
      <c r="E429" s="3285" t="str">
        <f>I249</f>
        <v>Heat benchmark sub-installation, non-CL</v>
      </c>
      <c r="F429" s="2410"/>
      <c r="G429" s="815" t="str">
        <f>EUconst_tCO2epa</f>
        <v>t CO2e/year</v>
      </c>
      <c r="H429" s="1775" t="str">
        <f>c_ALR2025!M6080</f>
        <v/>
      </c>
      <c r="I429" s="1996"/>
      <c r="J429" s="1812"/>
      <c r="K429" s="1754"/>
      <c r="L429" s="1754"/>
      <c r="M429" s="1754"/>
      <c r="N429" s="1755"/>
      <c r="O429" s="481"/>
      <c r="P429" s="9"/>
      <c r="Q429" s="1963" t="str">
        <f>EUconst_CNTR_Emissions &amp; I249</f>
        <v>DirEmissions_Heat benchmark sub-installation, non-CL</v>
      </c>
      <c r="S429" s="1964" t="str">
        <f>EUconst_CNTR_AttributedEmissions &amp; I249</f>
        <v>AttrEmissions_Heat benchmark sub-installation, non-CL</v>
      </c>
      <c r="T429" s="1743" t="str">
        <f t="shared" ref="T429:Z429" si="190">IF(T257,SUM(H429),"")</f>
        <v/>
      </c>
      <c r="U429" s="1743" t="str">
        <f t="shared" si="190"/>
        <v/>
      </c>
      <c r="V429" s="1743" t="str">
        <f t="shared" si="190"/>
        <v/>
      </c>
      <c r="W429" s="1743" t="str">
        <f t="shared" si="190"/>
        <v/>
      </c>
      <c r="X429" s="1743" t="str">
        <f t="shared" si="190"/>
        <v/>
      </c>
      <c r="Y429" s="1743" t="str">
        <f t="shared" si="190"/>
        <v/>
      </c>
      <c r="Z429" s="1744" t="str">
        <f t="shared" si="190"/>
        <v/>
      </c>
      <c r="AB429" s="1641" t="s">
        <v>717</v>
      </c>
      <c r="AC429" s="1853" t="b">
        <f t="shared" ref="AC429:AI429" si="191">IF(CNTR_ExistSubInstEntries,OR($M249&lt;&gt;EUconst_Relevant,AC428&gt;=CNTR_ReportingYear,AC428&lt;$V249-1),FALSE)</f>
        <v>0</v>
      </c>
      <c r="AD429" s="1642" t="b">
        <f t="shared" si="191"/>
        <v>0</v>
      </c>
      <c r="AE429" s="1642" t="b">
        <f t="shared" si="191"/>
        <v>0</v>
      </c>
      <c r="AF429" s="1642" t="b">
        <f t="shared" si="191"/>
        <v>0</v>
      </c>
      <c r="AG429" s="1642" t="b">
        <f t="shared" si="191"/>
        <v>0</v>
      </c>
      <c r="AH429" s="1642" t="b">
        <f t="shared" si="191"/>
        <v>0</v>
      </c>
      <c r="AI429" s="1643" t="b">
        <f t="shared" si="191"/>
        <v>0</v>
      </c>
      <c r="AK429" s="1633" t="s">
        <v>1954</v>
      </c>
      <c r="AL429" s="1635" t="str">
        <f>IF(AND(CNTR_ExistSubInstEntries,COUNTIFS(AC429:AI429,2,H429:N429,"")&gt;0),EUconst_Error&amp;"FB"&amp;Q249,"")</f>
        <v/>
      </c>
      <c r="AO429" s="1121" t="b">
        <f t="shared" si="185"/>
        <v>0</v>
      </c>
    </row>
    <row r="430" spans="2:41" ht="5.0999999999999996" customHeight="1">
      <c r="B430" s="467"/>
      <c r="C430" s="1056"/>
      <c r="D430" s="1057"/>
      <c r="E430" s="1057"/>
      <c r="F430" s="1057"/>
      <c r="G430" s="1057"/>
      <c r="H430" s="1057"/>
      <c r="I430" s="1057"/>
      <c r="J430" s="1057"/>
      <c r="K430" s="1057"/>
      <c r="L430" s="1057"/>
      <c r="M430" s="1059"/>
      <c r="N430" s="1060"/>
      <c r="O430" s="481"/>
      <c r="P430" s="481"/>
      <c r="Q430" s="1249"/>
      <c r="S430" s="1249"/>
      <c r="AB430" s="1435"/>
      <c r="AO430" s="1121" t="b">
        <f t="shared" si="185"/>
        <v>0</v>
      </c>
    </row>
    <row r="431" spans="2:41" ht="12.75" customHeight="1">
      <c r="B431" s="467"/>
      <c r="C431" s="1056"/>
      <c r="D431" s="982" t="s">
        <v>881</v>
      </c>
      <c r="E431" s="2649" t="s">
        <v>1189</v>
      </c>
      <c r="F431" s="2649"/>
      <c r="G431" s="2649"/>
      <c r="H431" s="2649"/>
      <c r="I431" s="2649"/>
      <c r="J431" s="2649"/>
      <c r="K431" s="2649"/>
      <c r="L431" s="2649"/>
      <c r="M431" s="2649"/>
      <c r="N431" s="2749"/>
      <c r="O431" s="481"/>
      <c r="P431" s="481"/>
      <c r="S431" s="1249"/>
      <c r="AB431" s="1435"/>
      <c r="AO431" s="1121" t="b">
        <f t="shared" si="185"/>
        <v>0</v>
      </c>
    </row>
    <row r="432" spans="2:41" ht="12.75" customHeight="1">
      <c r="B432" s="467"/>
      <c r="C432" s="1056"/>
      <c r="D432" s="1057"/>
      <c r="E432" s="3290" t="s">
        <v>1569</v>
      </c>
      <c r="F432" s="2646"/>
      <c r="G432" s="2646"/>
      <c r="H432" s="2646"/>
      <c r="I432" s="2646"/>
      <c r="J432" s="2646"/>
      <c r="K432" s="2646"/>
      <c r="L432" s="2646"/>
      <c r="M432" s="2646"/>
      <c r="N432" s="2647"/>
      <c r="O432" s="481"/>
      <c r="P432" s="481"/>
      <c r="Q432" s="1249"/>
      <c r="R432" s="1249"/>
      <c r="S432" s="1249"/>
      <c r="AB432" s="1435"/>
      <c r="AO432" s="1121" t="b">
        <f t="shared" si="185"/>
        <v>0</v>
      </c>
    </row>
    <row r="433" spans="2:41" ht="25.5" customHeight="1">
      <c r="B433" s="467"/>
      <c r="C433" s="1056"/>
      <c r="D433" s="1057"/>
      <c r="E433" s="3267" t="s">
        <v>2122</v>
      </c>
      <c r="F433" s="3267"/>
      <c r="G433" s="3267"/>
      <c r="H433" s="3267"/>
      <c r="I433" s="3267"/>
      <c r="J433" s="3267"/>
      <c r="K433" s="3267"/>
      <c r="L433" s="3267"/>
      <c r="M433" s="3267"/>
      <c r="N433" s="3298"/>
      <c r="O433" s="481"/>
      <c r="P433" s="481"/>
      <c r="Q433" s="1249"/>
      <c r="S433" s="1249"/>
      <c r="AB433" s="1435"/>
      <c r="AO433" s="1121" t="b">
        <f t="shared" si="185"/>
        <v>0</v>
      </c>
    </row>
    <row r="434" spans="2:41" ht="12.75" customHeight="1">
      <c r="B434" s="467"/>
      <c r="C434" s="1056"/>
      <c r="D434" s="1057"/>
      <c r="E434" s="3290" t="s">
        <v>1594</v>
      </c>
      <c r="F434" s="2646"/>
      <c r="G434" s="2646"/>
      <c r="H434" s="2646"/>
      <c r="I434" s="2646"/>
      <c r="J434" s="2646"/>
      <c r="K434" s="2646"/>
      <c r="L434" s="2646"/>
      <c r="M434" s="2646"/>
      <c r="N434" s="2647"/>
      <c r="O434" s="481"/>
      <c r="P434" s="481"/>
      <c r="Q434" s="1249"/>
      <c r="S434" s="1249"/>
      <c r="AB434" s="1435"/>
      <c r="AO434" s="1121" t="b">
        <f t="shared" si="185"/>
        <v>0</v>
      </c>
    </row>
    <row r="435" spans="2:41" ht="12.75" customHeight="1">
      <c r="B435" s="467"/>
      <c r="C435" s="1056"/>
      <c r="D435" s="1057"/>
      <c r="E435" s="3290" t="s">
        <v>1487</v>
      </c>
      <c r="F435" s="2646"/>
      <c r="G435" s="2646"/>
      <c r="H435" s="2646"/>
      <c r="I435" s="2646"/>
      <c r="J435" s="2646"/>
      <c r="K435" s="2646"/>
      <c r="L435" s="2646"/>
      <c r="M435" s="2646"/>
      <c r="N435" s="2647"/>
      <c r="O435" s="481"/>
      <c r="P435" s="481"/>
      <c r="Q435" s="1249"/>
      <c r="S435" s="1249"/>
      <c r="AB435" s="1435"/>
      <c r="AO435" s="1121" t="b">
        <f t="shared" si="185"/>
        <v>0</v>
      </c>
    </row>
    <row r="436" spans="2:41" ht="12.75" customHeight="1">
      <c r="B436" s="467"/>
      <c r="C436" s="1056"/>
      <c r="D436" s="1057"/>
      <c r="E436" s="3290" t="s">
        <v>1571</v>
      </c>
      <c r="F436" s="2646"/>
      <c r="G436" s="2646"/>
      <c r="H436" s="2646"/>
      <c r="I436" s="2646"/>
      <c r="J436" s="2646"/>
      <c r="K436" s="2646"/>
      <c r="L436" s="2646"/>
      <c r="M436" s="2646"/>
      <c r="N436" s="2647"/>
      <c r="O436" s="481"/>
      <c r="P436" s="481"/>
      <c r="Q436" s="1249"/>
      <c r="S436" s="1249"/>
      <c r="AB436" s="1435"/>
      <c r="AO436" s="1121" t="b">
        <f t="shared" si="185"/>
        <v>0</v>
      </c>
    </row>
    <row r="437" spans="2:41" ht="12.75" customHeight="1">
      <c r="B437" s="467"/>
      <c r="C437" s="1056"/>
      <c r="D437" s="1057"/>
      <c r="E437" s="3292" t="s">
        <v>1557</v>
      </c>
      <c r="F437" s="2671"/>
      <c r="G437" s="2671"/>
      <c r="H437" s="2671"/>
      <c r="I437" s="2671"/>
      <c r="J437" s="2671"/>
      <c r="K437" s="2671"/>
      <c r="L437" s="2671"/>
      <c r="M437" s="2671"/>
      <c r="N437" s="2712"/>
      <c r="O437" s="481"/>
      <c r="P437" s="481"/>
      <c r="Q437" s="1249"/>
      <c r="S437" s="1249"/>
      <c r="AB437" s="1435"/>
      <c r="AO437" s="1121" t="b">
        <f t="shared" si="185"/>
        <v>0</v>
      </c>
    </row>
    <row r="438" spans="2:41" ht="12.75" customHeight="1">
      <c r="B438" s="467"/>
      <c r="C438" s="1056"/>
      <c r="D438" s="982"/>
      <c r="E438" s="989"/>
      <c r="F438" s="990"/>
      <c r="G438" s="987" t="str">
        <f>EUconst_Unit</f>
        <v>Unit</v>
      </c>
      <c r="H438" s="782">
        <f t="shared" ref="H438:N438" si="192">H$1190</f>
        <v>2024</v>
      </c>
      <c r="I438" s="988">
        <f t="shared" si="192"/>
        <v>2025</v>
      </c>
      <c r="J438" s="1810">
        <f t="shared" si="192"/>
        <v>2026</v>
      </c>
      <c r="K438" s="1747">
        <f t="shared" si="192"/>
        <v>2027</v>
      </c>
      <c r="L438" s="1747">
        <f t="shared" si="192"/>
        <v>2028</v>
      </c>
      <c r="M438" s="1747">
        <f t="shared" si="192"/>
        <v>2029</v>
      </c>
      <c r="N438" s="1748">
        <f t="shared" si="192"/>
        <v>2030</v>
      </c>
      <c r="O438" s="481"/>
      <c r="P438" s="481"/>
      <c r="Q438" s="1249"/>
      <c r="S438" s="1249"/>
      <c r="AC438" s="1803">
        <f t="shared" ref="AC438:AI438" si="193">H$1190</f>
        <v>2024</v>
      </c>
      <c r="AD438" s="1803">
        <f t="shared" si="193"/>
        <v>2025</v>
      </c>
      <c r="AE438" s="1803">
        <f t="shared" si="193"/>
        <v>2026</v>
      </c>
      <c r="AF438" s="1803">
        <f t="shared" si="193"/>
        <v>2027</v>
      </c>
      <c r="AG438" s="1803">
        <f t="shared" si="193"/>
        <v>2028</v>
      </c>
      <c r="AH438" s="1803">
        <f t="shared" si="193"/>
        <v>2029</v>
      </c>
      <c r="AI438" s="1803">
        <f t="shared" si="193"/>
        <v>2030</v>
      </c>
      <c r="AO438" s="1121" t="b">
        <f t="shared" si="185"/>
        <v>0</v>
      </c>
    </row>
    <row r="439" spans="2:41" ht="12.75" customHeight="1">
      <c r="B439" s="467"/>
      <c r="C439" s="1056"/>
      <c r="D439" s="1061" t="s">
        <v>6</v>
      </c>
      <c r="E439" s="2475" t="s">
        <v>1483</v>
      </c>
      <c r="F439" s="2410"/>
      <c r="G439" s="815" t="str">
        <f>EUconst_TJpa</f>
        <v>TJ / year</v>
      </c>
      <c r="H439" s="1479" t="str">
        <f>c_ALR2025!M6090</f>
        <v/>
      </c>
      <c r="I439" s="1532"/>
      <c r="J439" s="1811"/>
      <c r="K439" s="1751"/>
      <c r="L439" s="1751"/>
      <c r="M439" s="1751"/>
      <c r="N439" s="1752"/>
      <c r="O439" s="481"/>
      <c r="P439" s="9"/>
      <c r="Q439" s="1963" t="str">
        <f>EUconst_CNTR_FuelInput &amp; I249</f>
        <v>FuelInput_Heat benchmark sub-installation, non-CL</v>
      </c>
      <c r="S439" s="1249"/>
      <c r="AB439" s="1641" t="s">
        <v>717</v>
      </c>
      <c r="AC439" s="1443" t="b">
        <f>AC429</f>
        <v>0</v>
      </c>
      <c r="AD439" s="1443" t="b">
        <f t="shared" ref="AD439:AI439" si="194">AD429</f>
        <v>0</v>
      </c>
      <c r="AE439" s="1443" t="b">
        <f t="shared" si="194"/>
        <v>0</v>
      </c>
      <c r="AF439" s="1443" t="b">
        <f t="shared" si="194"/>
        <v>0</v>
      </c>
      <c r="AG439" s="1443" t="b">
        <f t="shared" si="194"/>
        <v>0</v>
      </c>
      <c r="AH439" s="1443" t="b">
        <f t="shared" si="194"/>
        <v>0</v>
      </c>
      <c r="AI439" s="1443" t="b">
        <f t="shared" si="194"/>
        <v>0</v>
      </c>
      <c r="AL439" s="1635" t="str">
        <f>IF(AND(CNTR_ExistSubInstEntries,COUNTIFS(AC439:AI439,2,H439:N439,"")&gt;0),EUconst_Error&amp;"FB"&amp;Q249,"")</f>
        <v/>
      </c>
      <c r="AO439" s="1121" t="b">
        <f t="shared" si="185"/>
        <v>0</v>
      </c>
    </row>
    <row r="440" spans="2:41" ht="12.75" customHeight="1">
      <c r="B440" s="467"/>
      <c r="C440" s="1056"/>
      <c r="D440" s="1061" t="s">
        <v>7</v>
      </c>
      <c r="E440" s="2475" t="s">
        <v>1182</v>
      </c>
      <c r="F440" s="2410"/>
      <c r="G440" s="991" t="str">
        <f>EUconst_tCO2pTJ</f>
        <v>t CO2 / TJ</v>
      </c>
      <c r="H440" s="1582" t="str">
        <f>c_ALR2025!M6091</f>
        <v/>
      </c>
      <c r="I440" s="1882"/>
      <c r="J440" s="1811"/>
      <c r="K440" s="1751"/>
      <c r="L440" s="1751"/>
      <c r="M440" s="1751"/>
      <c r="N440" s="1752"/>
      <c r="O440" s="481"/>
      <c r="P440" s="9"/>
      <c r="Q440" s="1963" t="str">
        <f>EUconst_CNTR_FuelEF &amp; I249</f>
        <v>FuelEF_Heat benchmark sub-installation, non-CL</v>
      </c>
      <c r="S440" s="1249"/>
      <c r="AB440" s="1435"/>
      <c r="AC440" s="1443" t="b">
        <f>AC439</f>
        <v>0</v>
      </c>
      <c r="AD440" s="1443" t="b">
        <f t="shared" ref="AD440:AI440" si="195">AD439</f>
        <v>0</v>
      </c>
      <c r="AE440" s="1443" t="b">
        <f t="shared" si="195"/>
        <v>0</v>
      </c>
      <c r="AF440" s="1443" t="b">
        <f t="shared" si="195"/>
        <v>0</v>
      </c>
      <c r="AG440" s="1443" t="b">
        <f t="shared" si="195"/>
        <v>0</v>
      </c>
      <c r="AH440" s="1443" t="b">
        <f t="shared" si="195"/>
        <v>0</v>
      </c>
      <c r="AI440" s="1443" t="b">
        <f t="shared" si="195"/>
        <v>0</v>
      </c>
      <c r="AL440" s="1635" t="str">
        <f>IF(AND(CNTR_ExistSubInstEntries,COUNTIFS(AC440:AI440,2,H440:N440,"")&gt;0),EUconst_Error&amp;"FB"&amp;Q249,"")</f>
        <v/>
      </c>
      <c r="AO440" s="1121" t="b">
        <f t="shared" si="185"/>
        <v>0</v>
      </c>
    </row>
    <row r="441" spans="2:41" ht="5.0999999999999996" customHeight="1">
      <c r="B441" s="467"/>
      <c r="C441" s="1056"/>
      <c r="D441" s="1057"/>
      <c r="E441" s="1057"/>
      <c r="F441" s="1057"/>
      <c r="G441" s="1057"/>
      <c r="H441" s="1057"/>
      <c r="I441" s="1057"/>
      <c r="J441" s="1965"/>
      <c r="K441" s="1966"/>
      <c r="L441" s="1966"/>
      <c r="M441" s="1966"/>
      <c r="N441" s="1967"/>
      <c r="O441" s="481"/>
      <c r="P441" s="481"/>
      <c r="Q441" s="1249"/>
      <c r="S441" s="1249"/>
      <c r="AB441" s="1435"/>
      <c r="AE441" s="1198"/>
      <c r="AF441" s="1198"/>
      <c r="AG441" s="1198"/>
      <c r="AH441" s="1198"/>
      <c r="AI441" s="1198"/>
      <c r="AO441" s="1121" t="b">
        <f t="shared" si="185"/>
        <v>0</v>
      </c>
    </row>
    <row r="442" spans="2:41" ht="12.75" customHeight="1">
      <c r="B442" s="467"/>
      <c r="C442" s="1056"/>
      <c r="D442" s="1061" t="s">
        <v>8</v>
      </c>
      <c r="E442" s="2475" t="s">
        <v>1481</v>
      </c>
      <c r="F442" s="2410"/>
      <c r="G442" s="815" t="str">
        <f>EUconst_TJpa</f>
        <v>TJ / year</v>
      </c>
      <c r="H442" s="1479" t="str">
        <f>c_ALR2025!M6093</f>
        <v/>
      </c>
      <c r="I442" s="1532"/>
      <c r="J442" s="1811"/>
      <c r="K442" s="1751"/>
      <c r="L442" s="1751"/>
      <c r="M442" s="1751"/>
      <c r="N442" s="1752"/>
      <c r="O442" s="481"/>
      <c r="P442" s="9"/>
      <c r="Q442" s="1140" t="str">
        <f>EUconst_CNTR_WGConsumed &amp; I249</f>
        <v>WasteGasCons_Heat benchmark sub-installation, non-CL</v>
      </c>
      <c r="S442" s="1249"/>
      <c r="AB442" s="1435"/>
      <c r="AC442" s="1443" t="b">
        <f>AC439</f>
        <v>0</v>
      </c>
      <c r="AD442" s="1443" t="b">
        <f t="shared" ref="AD442:AI442" si="196">AD439</f>
        <v>0</v>
      </c>
      <c r="AE442" s="1443" t="b">
        <f t="shared" si="196"/>
        <v>0</v>
      </c>
      <c r="AF442" s="1443" t="b">
        <f t="shared" si="196"/>
        <v>0</v>
      </c>
      <c r="AG442" s="1443" t="b">
        <f t="shared" si="196"/>
        <v>0</v>
      </c>
      <c r="AH442" s="1443" t="b">
        <f t="shared" si="196"/>
        <v>0</v>
      </c>
      <c r="AI442" s="1443" t="b">
        <f t="shared" si="196"/>
        <v>0</v>
      </c>
      <c r="AL442" s="1635" t="str">
        <f>IF(AND(CNTR_ExistSubInstEntries,COUNTIFS(AC442:AI442,2,H442:N442,"")&gt;0),EUconst_Error&amp;"FB"&amp;Q249,"")</f>
        <v/>
      </c>
      <c r="AO442" s="1121" t="b">
        <f t="shared" si="185"/>
        <v>0</v>
      </c>
    </row>
    <row r="443" spans="2:41" ht="12.75" customHeight="1">
      <c r="B443" s="467"/>
      <c r="C443" s="1056"/>
      <c r="D443" s="1061" t="s">
        <v>18</v>
      </c>
      <c r="E443" s="2475" t="s">
        <v>1482</v>
      </c>
      <c r="F443" s="2410"/>
      <c r="G443" s="991" t="str">
        <f>EUconst_tCO2pTJ</f>
        <v>t CO2 / TJ</v>
      </c>
      <c r="H443" s="1582" t="str">
        <f>c_ALR2025!M6094</f>
        <v/>
      </c>
      <c r="I443" s="1882"/>
      <c r="J443" s="1811"/>
      <c r="K443" s="1751"/>
      <c r="L443" s="1751"/>
      <c r="M443" s="1751"/>
      <c r="N443" s="1752"/>
      <c r="O443" s="481"/>
      <c r="P443" s="9"/>
      <c r="Q443" s="1963" t="str">
        <f>EUconst_CNTR_WGConsumedEF &amp; I249</f>
        <v>WasteGasConsEF_Heat benchmark sub-installation, non-CL</v>
      </c>
      <c r="S443" s="1249"/>
      <c r="AB443" s="1435"/>
      <c r="AC443" s="1443" t="b">
        <f>AC440</f>
        <v>0</v>
      </c>
      <c r="AD443" s="1443" t="b">
        <f t="shared" ref="AD443:AI443" si="197">AD440</f>
        <v>0</v>
      </c>
      <c r="AE443" s="1443" t="b">
        <f t="shared" si="197"/>
        <v>0</v>
      </c>
      <c r="AF443" s="1443" t="b">
        <f t="shared" si="197"/>
        <v>0</v>
      </c>
      <c r="AG443" s="1443" t="b">
        <f t="shared" si="197"/>
        <v>0</v>
      </c>
      <c r="AH443" s="1443" t="b">
        <f t="shared" si="197"/>
        <v>0</v>
      </c>
      <c r="AI443" s="1443" t="b">
        <f t="shared" si="197"/>
        <v>0</v>
      </c>
      <c r="AL443" s="1635" t="str">
        <f>IF(AND(CNTR_ExistSubInstEntries,COUNTIFS(AC443:AI443,2,H443:N443,"")&gt;0),EUconst_Error&amp;"FB"&amp;Q249,"")</f>
        <v/>
      </c>
      <c r="AO443" s="1121" t="b">
        <f t="shared" si="185"/>
        <v>0</v>
      </c>
    </row>
    <row r="444" spans="2:41" ht="5.0999999999999996" customHeight="1">
      <c r="B444" s="1124"/>
      <c r="C444" s="980"/>
      <c r="D444" s="813"/>
      <c r="E444" s="813"/>
      <c r="F444" s="813"/>
      <c r="G444" s="813"/>
      <c r="H444" s="813"/>
      <c r="I444" s="813"/>
      <c r="J444" s="813"/>
      <c r="K444" s="813"/>
      <c r="L444" s="813"/>
      <c r="M444" s="813"/>
      <c r="N444" s="814"/>
      <c r="O444" s="481"/>
      <c r="P444" s="481"/>
      <c r="S444" s="1249"/>
      <c r="T444" s="1249"/>
      <c r="U444" s="1249"/>
      <c r="V444" s="1249"/>
      <c r="AB444" s="1435"/>
      <c r="AE444" s="1198"/>
      <c r="AF444" s="1198"/>
      <c r="AG444" s="1198"/>
      <c r="AH444" s="1198"/>
      <c r="AI444" s="1198"/>
      <c r="AO444" s="1121" t="b">
        <f t="shared" ref="AO444:AO483" si="198">$AD$249</f>
        <v>0</v>
      </c>
    </row>
    <row r="445" spans="2:41" ht="12.75" customHeight="1">
      <c r="B445" s="467"/>
      <c r="C445" s="1056"/>
      <c r="D445" s="982" t="s">
        <v>57</v>
      </c>
      <c r="E445" s="2671" t="s">
        <v>52</v>
      </c>
      <c r="F445" s="2672"/>
      <c r="G445" s="2672"/>
      <c r="H445" s="2672"/>
      <c r="I445" s="2672"/>
      <c r="J445" s="2672"/>
      <c r="K445" s="2672"/>
      <c r="L445" s="2672"/>
      <c r="M445" s="2672"/>
      <c r="N445" s="2673"/>
      <c r="O445" s="481"/>
      <c r="P445" s="481"/>
      <c r="Q445" s="1249"/>
      <c r="S445" s="1249"/>
      <c r="T445" s="1249"/>
      <c r="U445" s="1249"/>
      <c r="V445" s="1249"/>
      <c r="AB445" s="1435"/>
      <c r="AE445" s="1198"/>
      <c r="AF445" s="1198"/>
      <c r="AG445" s="1198"/>
      <c r="AH445" s="1198"/>
      <c r="AI445" s="1198"/>
      <c r="AO445" s="1121" t="b">
        <f t="shared" si="198"/>
        <v>0</v>
      </c>
    </row>
    <row r="446" spans="2:41" ht="12.75" customHeight="1">
      <c r="B446" s="467"/>
      <c r="C446" s="1056"/>
      <c r="D446" s="1057"/>
      <c r="E446" s="3288" t="s">
        <v>2741</v>
      </c>
      <c r="F446" s="3288"/>
      <c r="G446" s="3288"/>
      <c r="H446" s="3288"/>
      <c r="I446" s="3288"/>
      <c r="J446" s="3288"/>
      <c r="K446" s="3288"/>
      <c r="L446" s="3288"/>
      <c r="M446" s="3288"/>
      <c r="N446" s="3289"/>
      <c r="O446" s="481"/>
      <c r="P446" s="481"/>
      <c r="Q446" s="1249"/>
      <c r="S446" s="1249"/>
      <c r="AB446" s="1435"/>
      <c r="AE446" s="1198"/>
      <c r="AF446" s="1198"/>
      <c r="AG446" s="1198"/>
      <c r="AH446" s="1198"/>
      <c r="AI446" s="1198"/>
      <c r="AO446" s="1121" t="b">
        <f t="shared" si="198"/>
        <v>0</v>
      </c>
    </row>
    <row r="447" spans="2:41" ht="25.5" customHeight="1">
      <c r="B447" s="467"/>
      <c r="C447" s="1056"/>
      <c r="D447" s="1057"/>
      <c r="E447" s="3288" t="s">
        <v>1572</v>
      </c>
      <c r="F447" s="3288"/>
      <c r="G447" s="3288"/>
      <c r="H447" s="3288"/>
      <c r="I447" s="3288"/>
      <c r="J447" s="3288"/>
      <c r="K447" s="3288"/>
      <c r="L447" s="3288"/>
      <c r="M447" s="3288"/>
      <c r="N447" s="3289"/>
      <c r="O447" s="481"/>
      <c r="P447" s="481"/>
      <c r="Q447" s="1249"/>
      <c r="S447" s="1249"/>
      <c r="T447" s="1249"/>
      <c r="U447" s="1249"/>
      <c r="V447" s="1249"/>
      <c r="W447" s="1249"/>
      <c r="X447" s="1249"/>
      <c r="Y447" s="1249"/>
      <c r="Z447" s="1249"/>
      <c r="AB447" s="1435"/>
      <c r="AE447" s="1198"/>
      <c r="AF447" s="1198"/>
      <c r="AG447" s="1198"/>
      <c r="AH447" s="1198"/>
      <c r="AI447" s="1198"/>
      <c r="AO447" s="1121" t="b">
        <f t="shared" si="198"/>
        <v>0</v>
      </c>
    </row>
    <row r="448" spans="2:41" ht="12.75" customHeight="1">
      <c r="B448" s="467"/>
      <c r="C448" s="1056"/>
      <c r="D448" s="982"/>
      <c r="E448" s="2648" t="s">
        <v>52</v>
      </c>
      <c r="F448" s="2648"/>
      <c r="G448" s="987" t="str">
        <f>EUconst_Unit</f>
        <v>Unit</v>
      </c>
      <c r="H448" s="782">
        <f t="shared" ref="H448:N448" si="199">H$1190</f>
        <v>2024</v>
      </c>
      <c r="I448" s="988">
        <f t="shared" si="199"/>
        <v>2025</v>
      </c>
      <c r="J448" s="1810">
        <f t="shared" si="199"/>
        <v>2026</v>
      </c>
      <c r="K448" s="1747">
        <f t="shared" si="199"/>
        <v>2027</v>
      </c>
      <c r="L448" s="1747">
        <f t="shared" si="199"/>
        <v>2028</v>
      </c>
      <c r="M448" s="1747">
        <f t="shared" si="199"/>
        <v>2029</v>
      </c>
      <c r="N448" s="1748">
        <f t="shared" si="199"/>
        <v>2030</v>
      </c>
      <c r="O448" s="481"/>
      <c r="P448" s="481"/>
      <c r="Q448" s="1249"/>
      <c r="S448" s="1249"/>
      <c r="T448" s="1249"/>
      <c r="U448" s="1249"/>
      <c r="V448" s="1249"/>
      <c r="W448" s="1249"/>
      <c r="X448" s="1249"/>
      <c r="Y448" s="1249"/>
      <c r="Z448" s="1249"/>
      <c r="AB448" s="1435"/>
      <c r="AC448" s="1803">
        <f t="shared" ref="AC448:AI448" si="200">H$1190</f>
        <v>2024</v>
      </c>
      <c r="AD448" s="1803">
        <f t="shared" si="200"/>
        <v>2025</v>
      </c>
      <c r="AE448" s="1803">
        <f t="shared" si="200"/>
        <v>2026</v>
      </c>
      <c r="AF448" s="1803">
        <f t="shared" si="200"/>
        <v>2027</v>
      </c>
      <c r="AG448" s="1803">
        <f t="shared" si="200"/>
        <v>2028</v>
      </c>
      <c r="AH448" s="1803">
        <f t="shared" si="200"/>
        <v>2029</v>
      </c>
      <c r="AI448" s="1803">
        <f t="shared" si="200"/>
        <v>2030</v>
      </c>
      <c r="AO448" s="1121" t="b">
        <f t="shared" si="198"/>
        <v>0</v>
      </c>
    </row>
    <row r="449" spans="2:41" ht="12.75" customHeight="1">
      <c r="B449" s="467"/>
      <c r="C449" s="1056"/>
      <c r="D449" s="1057"/>
      <c r="E449" s="3285" t="str">
        <f>E429</f>
        <v>Heat benchmark sub-installation, non-CL</v>
      </c>
      <c r="F449" s="2410"/>
      <c r="G449" s="815" t="str">
        <f>EUconst_TJpa</f>
        <v>TJ / year</v>
      </c>
      <c r="H449" s="1775" t="str">
        <f>c_ALR2025!M6100</f>
        <v/>
      </c>
      <c r="I449" s="1996"/>
      <c r="J449" s="1812"/>
      <c r="K449" s="1754"/>
      <c r="L449" s="1754"/>
      <c r="M449" s="1754"/>
      <c r="N449" s="1755"/>
      <c r="O449" s="481"/>
      <c r="P449" s="9"/>
      <c r="Q449" s="1963" t="str">
        <f>EUconst_CNTR_HeatProduced &amp; I249</f>
        <v>HeatProd_Heat benchmark sub-installation, non-CL</v>
      </c>
      <c r="S449" s="1249"/>
      <c r="T449" s="1249"/>
      <c r="U449" s="1249"/>
      <c r="V449" s="1249"/>
      <c r="W449" s="1249"/>
      <c r="X449" s="1249"/>
      <c r="Y449" s="1249"/>
      <c r="Z449" s="1249"/>
      <c r="AB449" s="1641" t="s">
        <v>717</v>
      </c>
      <c r="AC449" s="1443" t="b">
        <f>AC429</f>
        <v>0</v>
      </c>
      <c r="AD449" s="1443" t="b">
        <f t="shared" ref="AD449:AI449" si="201">AD429</f>
        <v>0</v>
      </c>
      <c r="AE449" s="1443" t="b">
        <f t="shared" si="201"/>
        <v>0</v>
      </c>
      <c r="AF449" s="1443" t="b">
        <f t="shared" si="201"/>
        <v>0</v>
      </c>
      <c r="AG449" s="1443" t="b">
        <f t="shared" si="201"/>
        <v>0</v>
      </c>
      <c r="AH449" s="1443" t="b">
        <f t="shared" si="201"/>
        <v>0</v>
      </c>
      <c r="AI449" s="1443" t="b">
        <f t="shared" si="201"/>
        <v>0</v>
      </c>
      <c r="AL449" s="1635" t="str">
        <f>IF(AND(CNTR_ExistSubInstEntries,COUNTIFS(AC449:AI449,2,H449:N449,"")&gt;0),EUconst_Error&amp;"FB"&amp;Q249,"")</f>
        <v/>
      </c>
      <c r="AO449" s="1121" t="b">
        <f t="shared" si="198"/>
        <v>0</v>
      </c>
    </row>
    <row r="450" spans="2:41" ht="5.0999999999999996" customHeight="1">
      <c r="B450" s="467"/>
      <c r="C450" s="1056"/>
      <c r="D450" s="1057"/>
      <c r="E450" s="1057"/>
      <c r="F450" s="1057"/>
      <c r="G450" s="1057"/>
      <c r="H450" s="1057"/>
      <c r="I450" s="1057"/>
      <c r="J450" s="1057"/>
      <c r="K450" s="1057"/>
      <c r="L450" s="1057"/>
      <c r="M450" s="1059"/>
      <c r="N450" s="1060"/>
      <c r="O450" s="481"/>
      <c r="P450" s="481"/>
      <c r="Q450" s="1249"/>
      <c r="S450" s="1249"/>
      <c r="AB450" s="1435"/>
      <c r="AE450" s="1198"/>
      <c r="AF450" s="1198"/>
      <c r="AG450" s="1198"/>
      <c r="AH450" s="1198"/>
      <c r="AI450" s="1198"/>
      <c r="AO450" s="1121" t="b">
        <f t="shared" si="198"/>
        <v>0</v>
      </c>
    </row>
    <row r="451" spans="2:41" ht="12.75" customHeight="1">
      <c r="B451" s="467"/>
      <c r="C451" s="1056"/>
      <c r="D451" s="982" t="s">
        <v>58</v>
      </c>
      <c r="E451" s="2671" t="s">
        <v>556</v>
      </c>
      <c r="F451" s="2672"/>
      <c r="G451" s="2672"/>
      <c r="H451" s="2672"/>
      <c r="I451" s="2672"/>
      <c r="J451" s="2672"/>
      <c r="K451" s="2672"/>
      <c r="L451" s="2672"/>
      <c r="M451" s="2672"/>
      <c r="N451" s="2673"/>
      <c r="O451" s="481"/>
      <c r="P451" s="481"/>
      <c r="Q451" s="1249"/>
      <c r="S451" s="1249"/>
      <c r="AB451" s="1435"/>
      <c r="AE451" s="1198"/>
      <c r="AF451" s="1198"/>
      <c r="AG451" s="1198"/>
      <c r="AH451" s="1198"/>
      <c r="AI451" s="1198"/>
      <c r="AO451" s="1121" t="b">
        <f t="shared" si="198"/>
        <v>0</v>
      </c>
    </row>
    <row r="452" spans="2:41" ht="12.75" customHeight="1">
      <c r="B452" s="467"/>
      <c r="C452" s="1056"/>
      <c r="D452" s="982"/>
      <c r="E452" s="3292" t="s">
        <v>2297</v>
      </c>
      <c r="F452" s="2671"/>
      <c r="G452" s="2671"/>
      <c r="H452" s="2671"/>
      <c r="I452" s="2671"/>
      <c r="J452" s="2671"/>
      <c r="K452" s="2671"/>
      <c r="L452" s="2671"/>
      <c r="M452" s="2671"/>
      <c r="N452" s="2712"/>
      <c r="O452" s="481"/>
      <c r="P452" s="481"/>
      <c r="Q452" s="1249"/>
      <c r="S452" s="1249"/>
      <c r="AB452" s="1435"/>
      <c r="AE452" s="1198"/>
      <c r="AF452" s="1198"/>
      <c r="AG452" s="1198"/>
      <c r="AH452" s="1198"/>
      <c r="AI452" s="1198"/>
      <c r="AO452" s="1121" t="b">
        <f t="shared" si="198"/>
        <v>0</v>
      </c>
    </row>
    <row r="453" spans="2:41" ht="12.75" customHeight="1">
      <c r="B453" s="467"/>
      <c r="C453" s="1056"/>
      <c r="D453" s="1057"/>
      <c r="E453" s="3290" t="s">
        <v>1322</v>
      </c>
      <c r="F453" s="2646"/>
      <c r="G453" s="2646"/>
      <c r="H453" s="2646"/>
      <c r="I453" s="2646"/>
      <c r="J453" s="2646"/>
      <c r="K453" s="2646"/>
      <c r="L453" s="2646"/>
      <c r="M453" s="2646"/>
      <c r="N453" s="2647"/>
      <c r="O453" s="481"/>
      <c r="P453" s="481"/>
      <c r="Q453" s="1249"/>
      <c r="S453" s="1249"/>
      <c r="AB453" s="1435"/>
      <c r="AE453" s="1198"/>
      <c r="AF453" s="1198"/>
      <c r="AG453" s="1198"/>
      <c r="AH453" s="1198"/>
      <c r="AI453" s="1198"/>
      <c r="AO453" s="1121" t="b">
        <f t="shared" si="198"/>
        <v>0</v>
      </c>
    </row>
    <row r="454" spans="2:41" ht="38.85" customHeight="1">
      <c r="B454" s="467"/>
      <c r="C454" s="1056"/>
      <c r="D454" s="1057"/>
      <c r="E454" s="985" t="s">
        <v>1021</v>
      </c>
      <c r="F454" s="3290" t="s">
        <v>1573</v>
      </c>
      <c r="G454" s="2646"/>
      <c r="H454" s="2646"/>
      <c r="I454" s="2646"/>
      <c r="J454" s="2646"/>
      <c r="K454" s="2646"/>
      <c r="L454" s="2646"/>
      <c r="M454" s="2646"/>
      <c r="N454" s="2647"/>
      <c r="O454" s="481"/>
      <c r="P454" s="481"/>
      <c r="Q454" s="1249"/>
      <c r="S454" s="1249"/>
      <c r="AB454" s="1435"/>
      <c r="AE454" s="1198"/>
      <c r="AF454" s="1198"/>
      <c r="AG454" s="1198"/>
      <c r="AH454" s="1198"/>
      <c r="AI454" s="1198"/>
      <c r="AO454" s="1121" t="b">
        <f t="shared" si="198"/>
        <v>0</v>
      </c>
    </row>
    <row r="455" spans="2:41" ht="25.5" customHeight="1">
      <c r="B455" s="467"/>
      <c r="C455" s="1056"/>
      <c r="D455" s="1057"/>
      <c r="E455" s="985" t="s">
        <v>1021</v>
      </c>
      <c r="F455" s="3290" t="s">
        <v>1574</v>
      </c>
      <c r="G455" s="2646"/>
      <c r="H455" s="2646"/>
      <c r="I455" s="2646"/>
      <c r="J455" s="2646"/>
      <c r="K455" s="2646"/>
      <c r="L455" s="2646"/>
      <c r="M455" s="2646"/>
      <c r="N455" s="2647"/>
      <c r="O455" s="481"/>
      <c r="P455" s="481"/>
      <c r="Q455" s="1249"/>
      <c r="S455" s="1249"/>
      <c r="AB455" s="1435"/>
      <c r="AE455" s="1198"/>
      <c r="AF455" s="1198"/>
      <c r="AG455" s="1198"/>
      <c r="AH455" s="1198"/>
      <c r="AI455" s="1198"/>
      <c r="AO455" s="1121" t="b">
        <f t="shared" si="198"/>
        <v>0</v>
      </c>
    </row>
    <row r="456" spans="2:41" ht="12.75" customHeight="1">
      <c r="B456" s="467"/>
      <c r="C456" s="1056"/>
      <c r="D456" s="1057"/>
      <c r="E456" s="985" t="s">
        <v>1021</v>
      </c>
      <c r="F456" s="3290" t="s">
        <v>1480</v>
      </c>
      <c r="G456" s="2646"/>
      <c r="H456" s="2646"/>
      <c r="I456" s="2646"/>
      <c r="J456" s="2646"/>
      <c r="K456" s="2646"/>
      <c r="L456" s="2646"/>
      <c r="M456" s="2646"/>
      <c r="N456" s="2647"/>
      <c r="O456" s="481"/>
      <c r="P456" s="481"/>
      <c r="Q456" s="1249"/>
      <c r="S456" s="1249"/>
      <c r="AB456" s="1435"/>
      <c r="AE456" s="1198"/>
      <c r="AF456" s="1198"/>
      <c r="AG456" s="1198"/>
      <c r="AH456" s="1198"/>
      <c r="AI456" s="1198"/>
      <c r="AO456" s="1121" t="b">
        <f t="shared" si="198"/>
        <v>0</v>
      </c>
    </row>
    <row r="457" spans="2:41" ht="12.75" customHeight="1">
      <c r="B457" s="467"/>
      <c r="C457" s="1056"/>
      <c r="D457" s="1057"/>
      <c r="E457" s="985" t="s">
        <v>1021</v>
      </c>
      <c r="F457" s="3290" t="s">
        <v>1338</v>
      </c>
      <c r="G457" s="2646"/>
      <c r="H457" s="2646"/>
      <c r="I457" s="2646"/>
      <c r="J457" s="2646"/>
      <c r="K457" s="2646"/>
      <c r="L457" s="2646"/>
      <c r="M457" s="2646"/>
      <c r="N457" s="2647"/>
      <c r="O457" s="481"/>
      <c r="P457" s="481"/>
      <c r="Q457" s="1249"/>
      <c r="S457" s="1249"/>
      <c r="AB457" s="1435"/>
      <c r="AE457" s="1198"/>
      <c r="AF457" s="1198"/>
      <c r="AG457" s="1198"/>
      <c r="AH457" s="1198"/>
      <c r="AI457" s="1198"/>
      <c r="AO457" s="1121" t="b">
        <f t="shared" si="198"/>
        <v>0</v>
      </c>
    </row>
    <row r="458" spans="2:41" ht="12.75" customHeight="1">
      <c r="B458" s="467"/>
      <c r="C458" s="1056"/>
      <c r="D458" s="1057"/>
      <c r="E458" s="985" t="s">
        <v>1021</v>
      </c>
      <c r="F458" s="3290" t="s">
        <v>1321</v>
      </c>
      <c r="G458" s="2646"/>
      <c r="H458" s="2646"/>
      <c r="I458" s="2646"/>
      <c r="J458" s="2646"/>
      <c r="K458" s="2646"/>
      <c r="L458" s="2646"/>
      <c r="M458" s="2646"/>
      <c r="N458" s="2647"/>
      <c r="O458" s="481"/>
      <c r="P458" s="481"/>
      <c r="Q458" s="1249"/>
      <c r="S458" s="1249"/>
      <c r="AB458" s="1435"/>
      <c r="AE458" s="1198"/>
      <c r="AF458" s="1198"/>
      <c r="AG458" s="1198"/>
      <c r="AH458" s="1198"/>
      <c r="AI458" s="1198"/>
      <c r="AO458" s="1121" t="b">
        <f t="shared" si="198"/>
        <v>0</v>
      </c>
    </row>
    <row r="459" spans="2:41" ht="12.75" customHeight="1">
      <c r="B459" s="467"/>
      <c r="C459" s="1056"/>
      <c r="D459" s="1057"/>
      <c r="E459" s="3288" t="s">
        <v>2121</v>
      </c>
      <c r="F459" s="3288"/>
      <c r="G459" s="3288"/>
      <c r="H459" s="3288"/>
      <c r="I459" s="3288"/>
      <c r="J459" s="3288"/>
      <c r="K459" s="3288"/>
      <c r="L459" s="3288"/>
      <c r="M459" s="3288"/>
      <c r="N459" s="3289"/>
      <c r="O459" s="481"/>
      <c r="P459" s="481"/>
      <c r="Q459" s="1249"/>
      <c r="S459" s="1249"/>
      <c r="AB459" s="1435"/>
      <c r="AE459" s="1198"/>
      <c r="AF459" s="1198"/>
      <c r="AG459" s="1198"/>
      <c r="AH459" s="1198"/>
      <c r="AI459" s="1198"/>
      <c r="AO459" s="1121" t="b">
        <f t="shared" si="198"/>
        <v>0</v>
      </c>
    </row>
    <row r="460" spans="2:41" ht="12.75" customHeight="1">
      <c r="B460" s="467"/>
      <c r="C460" s="1056"/>
      <c r="D460" s="1057"/>
      <c r="E460" s="3290" t="s">
        <v>1554</v>
      </c>
      <c r="F460" s="2646"/>
      <c r="G460" s="2646"/>
      <c r="H460" s="2646"/>
      <c r="I460" s="2646"/>
      <c r="J460" s="2646"/>
      <c r="K460" s="2646"/>
      <c r="L460" s="2646"/>
      <c r="M460" s="2646"/>
      <c r="N460" s="2647"/>
      <c r="O460" s="481"/>
      <c r="P460" s="481"/>
      <c r="Q460" s="1249"/>
      <c r="S460" s="1249"/>
      <c r="AB460" s="1435"/>
      <c r="AE460" s="1198"/>
      <c r="AF460" s="1198"/>
      <c r="AG460" s="1198"/>
      <c r="AH460" s="1198"/>
      <c r="AI460" s="1198"/>
      <c r="AO460" s="1121" t="b">
        <f t="shared" si="198"/>
        <v>0</v>
      </c>
    </row>
    <row r="461" spans="2:41" ht="12.75" customHeight="1">
      <c r="B461" s="467"/>
      <c r="C461" s="1056"/>
      <c r="D461" s="1057"/>
      <c r="E461" s="3269" t="s">
        <v>1510</v>
      </c>
      <c r="F461" s="3269"/>
      <c r="G461" s="3269"/>
      <c r="H461" s="3269"/>
      <c r="I461" s="3269"/>
      <c r="J461" s="3269"/>
      <c r="K461" s="3269"/>
      <c r="L461" s="3269"/>
      <c r="M461" s="3269"/>
      <c r="N461" s="1007"/>
      <c r="O461" s="481"/>
      <c r="P461" s="481"/>
      <c r="Q461" s="1249"/>
      <c r="AE461" s="1198"/>
      <c r="AF461" s="1198"/>
      <c r="AG461" s="1198"/>
      <c r="AH461" s="1198"/>
      <c r="AI461" s="1198"/>
      <c r="AO461" s="1121" t="b">
        <f t="shared" si="198"/>
        <v>0</v>
      </c>
    </row>
    <row r="462" spans="2:41" ht="12.75" customHeight="1">
      <c r="B462" s="467"/>
      <c r="C462" s="1056"/>
      <c r="D462" s="1057"/>
      <c r="E462" s="2648" t="s">
        <v>1323</v>
      </c>
      <c r="F462" s="2493"/>
      <c r="G462" s="987" t="str">
        <f>EUconst_Unit</f>
        <v>Unit</v>
      </c>
      <c r="H462" s="782">
        <f t="shared" ref="H462:N462" si="202">H$1190</f>
        <v>2024</v>
      </c>
      <c r="I462" s="988">
        <f t="shared" si="202"/>
        <v>2025</v>
      </c>
      <c r="J462" s="1810">
        <f t="shared" si="202"/>
        <v>2026</v>
      </c>
      <c r="K462" s="1747">
        <f t="shared" si="202"/>
        <v>2027</v>
      </c>
      <c r="L462" s="1747">
        <f t="shared" si="202"/>
        <v>2028</v>
      </c>
      <c r="M462" s="1747">
        <f t="shared" si="202"/>
        <v>2029</v>
      </c>
      <c r="N462" s="1748">
        <f t="shared" si="202"/>
        <v>2030</v>
      </c>
      <c r="O462" s="481"/>
      <c r="P462" s="481"/>
      <c r="Q462" s="1249"/>
      <c r="S462" s="1249"/>
      <c r="T462" s="1503">
        <f t="shared" ref="T462:Z462" si="203">H462</f>
        <v>2024</v>
      </c>
      <c r="U462" s="1503">
        <f t="shared" si="203"/>
        <v>2025</v>
      </c>
      <c r="V462" s="1503">
        <f t="shared" si="203"/>
        <v>2026</v>
      </c>
      <c r="W462" s="1503">
        <f t="shared" si="203"/>
        <v>2027</v>
      </c>
      <c r="X462" s="1503">
        <f t="shared" si="203"/>
        <v>2028</v>
      </c>
      <c r="Y462" s="1503">
        <f t="shared" si="203"/>
        <v>2029</v>
      </c>
      <c r="Z462" s="1503">
        <f t="shared" si="203"/>
        <v>2030</v>
      </c>
      <c r="AC462" s="1803">
        <f t="shared" ref="AC462:AI462" si="204">H$1190</f>
        <v>2024</v>
      </c>
      <c r="AD462" s="1803">
        <f t="shared" si="204"/>
        <v>2025</v>
      </c>
      <c r="AE462" s="1803">
        <f t="shared" si="204"/>
        <v>2026</v>
      </c>
      <c r="AF462" s="1803">
        <f t="shared" si="204"/>
        <v>2027</v>
      </c>
      <c r="AG462" s="1803">
        <f t="shared" si="204"/>
        <v>2028</v>
      </c>
      <c r="AH462" s="1803">
        <f t="shared" si="204"/>
        <v>2029</v>
      </c>
      <c r="AI462" s="1803">
        <f t="shared" si="204"/>
        <v>2030</v>
      </c>
      <c r="AO462" s="1121" t="b">
        <f t="shared" si="198"/>
        <v>0</v>
      </c>
    </row>
    <row r="463" spans="2:41" ht="12.75" customHeight="1">
      <c r="B463" s="467"/>
      <c r="C463" s="1056"/>
      <c r="D463" s="1061" t="s">
        <v>6</v>
      </c>
      <c r="E463" s="2475" t="s">
        <v>1087</v>
      </c>
      <c r="F463" s="2410"/>
      <c r="G463" s="815" t="str">
        <f>EUconst_TJpa</f>
        <v>TJ / year</v>
      </c>
      <c r="H463" s="1479" t="str">
        <f>c_ALR2025!M6114</f>
        <v/>
      </c>
      <c r="I463" s="1532"/>
      <c r="J463" s="1811"/>
      <c r="K463" s="1751"/>
      <c r="L463" s="1751"/>
      <c r="M463" s="1751"/>
      <c r="N463" s="1752"/>
      <c r="O463" s="481"/>
      <c r="P463" s="9"/>
      <c r="Q463" s="1963" t="str">
        <f>EUconst_CNTR_HeatImport &amp; I249</f>
        <v>HeatIm_Heat benchmark sub-installation, non-CL</v>
      </c>
      <c r="S463" s="1997" t="str">
        <f>EUconst_ERR_AttrEmBMapplied &amp; $I249</f>
        <v>ERR_AttrEmBM_Heat benchmark sub-installation, non-CL</v>
      </c>
      <c r="T463" s="1443">
        <f t="shared" ref="T463:Z463" si="205">IF(AND(H463&lt;&gt;0,H464="",EUconst_StatusOfDataCollection=FALSE),1,0)</f>
        <v>0</v>
      </c>
      <c r="U463" s="1443">
        <f t="shared" si="205"/>
        <v>0</v>
      </c>
      <c r="V463" s="1443">
        <f t="shared" si="205"/>
        <v>0</v>
      </c>
      <c r="W463" s="1443">
        <f t="shared" si="205"/>
        <v>0</v>
      </c>
      <c r="X463" s="1443">
        <f t="shared" si="205"/>
        <v>0</v>
      </c>
      <c r="Y463" s="1443">
        <f t="shared" si="205"/>
        <v>0</v>
      </c>
      <c r="Z463" s="1443">
        <f t="shared" si="205"/>
        <v>0</v>
      </c>
      <c r="AB463" s="1641" t="s">
        <v>717</v>
      </c>
      <c r="AC463" s="1443" t="b">
        <f>AC439</f>
        <v>0</v>
      </c>
      <c r="AD463" s="1443" t="b">
        <f t="shared" ref="AD463:AI463" si="206">AD439</f>
        <v>0</v>
      </c>
      <c r="AE463" s="1443" t="b">
        <f t="shared" si="206"/>
        <v>0</v>
      </c>
      <c r="AF463" s="1443" t="b">
        <f t="shared" si="206"/>
        <v>0</v>
      </c>
      <c r="AG463" s="1443" t="b">
        <f t="shared" si="206"/>
        <v>0</v>
      </c>
      <c r="AH463" s="1443" t="b">
        <f t="shared" si="206"/>
        <v>0</v>
      </c>
      <c r="AI463" s="1443" t="b">
        <f t="shared" si="206"/>
        <v>0</v>
      </c>
      <c r="AL463" s="1635" t="str">
        <f>IF(AND(CNTR_ExistSubInstEntries,COUNTIFS(AC463:AI463,2,H463:N463,"")&gt;0),EUconst_Error&amp;"FB"&amp;Q249,"")</f>
        <v/>
      </c>
      <c r="AO463" s="1121" t="b">
        <f t="shared" si="198"/>
        <v>0</v>
      </c>
    </row>
    <row r="464" spans="2:41" ht="12.75" customHeight="1">
      <c r="B464" s="467"/>
      <c r="C464" s="1056"/>
      <c r="D464" s="1061" t="s">
        <v>7</v>
      </c>
      <c r="E464" s="2475" t="s">
        <v>1103</v>
      </c>
      <c r="F464" s="2410"/>
      <c r="G464" s="815" t="str">
        <f>EUconst_tCO2pTJ</f>
        <v>t CO2 / TJ</v>
      </c>
      <c r="H464" s="1479" t="str">
        <f>c_ALR2025!M6115</f>
        <v/>
      </c>
      <c r="I464" s="1532"/>
      <c r="J464" s="1811"/>
      <c r="K464" s="1751"/>
      <c r="L464" s="1751"/>
      <c r="M464" s="1751"/>
      <c r="N464" s="1752"/>
      <c r="O464" s="481"/>
      <c r="P464" s="9"/>
      <c r="Q464" s="1963" t="str">
        <f>EUconst_CNTR_HeatImportEF &amp; I249</f>
        <v>HeatImEF_Heat benchmark sub-installation, non-CL</v>
      </c>
      <c r="S464" s="1968" t="str">
        <f>EUconst_CNTR_AttributedEmissions &amp; $I249</f>
        <v>AttrEmissions_Heat benchmark sub-installation, non-CL</v>
      </c>
      <c r="T464" s="1443" t="str">
        <f t="shared" ref="T464:Z464" si="207">IF(T257,SUM(H463)*IF(ISNUMBER(H464),H464,EUconst_HeatBMvalue),"")</f>
        <v/>
      </c>
      <c r="U464" s="1443" t="str">
        <f t="shared" si="207"/>
        <v/>
      </c>
      <c r="V464" s="1443" t="str">
        <f t="shared" si="207"/>
        <v/>
      </c>
      <c r="W464" s="1443" t="str">
        <f t="shared" si="207"/>
        <v/>
      </c>
      <c r="X464" s="1443" t="str">
        <f t="shared" si="207"/>
        <v/>
      </c>
      <c r="Y464" s="1443" t="str">
        <f t="shared" si="207"/>
        <v/>
      </c>
      <c r="Z464" s="1443" t="str">
        <f t="shared" si="207"/>
        <v/>
      </c>
      <c r="AC464" s="1443" t="b">
        <f>AC440</f>
        <v>0</v>
      </c>
      <c r="AD464" s="1443" t="b">
        <f t="shared" ref="AD464:AI464" si="208">AD440</f>
        <v>0</v>
      </c>
      <c r="AE464" s="1443" t="b">
        <f t="shared" si="208"/>
        <v>0</v>
      </c>
      <c r="AF464" s="1443" t="b">
        <f t="shared" si="208"/>
        <v>0</v>
      </c>
      <c r="AG464" s="1443" t="b">
        <f t="shared" si="208"/>
        <v>0</v>
      </c>
      <c r="AH464" s="1443" t="b">
        <f t="shared" si="208"/>
        <v>0</v>
      </c>
      <c r="AI464" s="1443" t="b">
        <f t="shared" si="208"/>
        <v>0</v>
      </c>
      <c r="AL464" s="1635" t="str">
        <f>IF(AND(CNTR_ExistSubInstEntries,COUNTIFS(AC464:AI464,2,H464:N464,"")&gt;0),EUconst_Error&amp;"FB"&amp;Q249,"")</f>
        <v/>
      </c>
      <c r="AO464" s="1121" t="b">
        <f t="shared" si="198"/>
        <v>0</v>
      </c>
    </row>
    <row r="465" spans="2:41" ht="5.0999999999999996" customHeight="1">
      <c r="B465" s="467"/>
      <c r="C465" s="1056"/>
      <c r="D465" s="1057"/>
      <c r="E465" s="1057"/>
      <c r="F465" s="1057"/>
      <c r="G465" s="1057"/>
      <c r="H465" s="1057"/>
      <c r="I465" s="1057"/>
      <c r="J465" s="1965"/>
      <c r="K465" s="1966"/>
      <c r="L465" s="1966"/>
      <c r="M465" s="1966"/>
      <c r="N465" s="1967"/>
      <c r="O465" s="481"/>
      <c r="P465" s="481"/>
      <c r="Q465" s="1249"/>
      <c r="S465" s="1249"/>
      <c r="AE465" s="1198"/>
      <c r="AF465" s="1198"/>
      <c r="AG465" s="1198"/>
      <c r="AH465" s="1198"/>
      <c r="AI465" s="1198"/>
      <c r="AO465" s="1121" t="b">
        <f t="shared" si="198"/>
        <v>0</v>
      </c>
    </row>
    <row r="466" spans="2:41" ht="12.75" customHeight="1">
      <c r="B466" s="467"/>
      <c r="C466" s="1056"/>
      <c r="D466" s="1057"/>
      <c r="E466" s="2648" t="s">
        <v>1324</v>
      </c>
      <c r="F466" s="2493"/>
      <c r="G466" s="987" t="str">
        <f>EUconst_Unit</f>
        <v>Unit</v>
      </c>
      <c r="H466" s="782">
        <f t="shared" ref="H466:N466" si="209">H$1190</f>
        <v>2024</v>
      </c>
      <c r="I466" s="988">
        <f t="shared" si="209"/>
        <v>2025</v>
      </c>
      <c r="J466" s="1810">
        <f t="shared" si="209"/>
        <v>2026</v>
      </c>
      <c r="K466" s="1747">
        <f t="shared" si="209"/>
        <v>2027</v>
      </c>
      <c r="L466" s="1747">
        <f t="shared" si="209"/>
        <v>2028</v>
      </c>
      <c r="M466" s="1747">
        <f t="shared" si="209"/>
        <v>2029</v>
      </c>
      <c r="N466" s="1748">
        <f t="shared" si="209"/>
        <v>2030</v>
      </c>
      <c r="O466" s="481"/>
      <c r="P466" s="481"/>
      <c r="Q466" s="1249"/>
      <c r="S466" s="1249"/>
      <c r="T466" s="1503">
        <f t="shared" ref="T466:Z466" si="210">H466</f>
        <v>2024</v>
      </c>
      <c r="U466" s="1503">
        <f t="shared" si="210"/>
        <v>2025</v>
      </c>
      <c r="V466" s="1503">
        <f t="shared" si="210"/>
        <v>2026</v>
      </c>
      <c r="W466" s="1503">
        <f t="shared" si="210"/>
        <v>2027</v>
      </c>
      <c r="X466" s="1503">
        <f t="shared" si="210"/>
        <v>2028</v>
      </c>
      <c r="Y466" s="1503">
        <f t="shared" si="210"/>
        <v>2029</v>
      </c>
      <c r="Z466" s="1503">
        <f t="shared" si="210"/>
        <v>2030</v>
      </c>
      <c r="AB466" s="1435"/>
      <c r="AC466" s="1803">
        <f t="shared" ref="AC466:AI466" si="211">H$1190</f>
        <v>2024</v>
      </c>
      <c r="AD466" s="1803">
        <f t="shared" si="211"/>
        <v>2025</v>
      </c>
      <c r="AE466" s="1803">
        <f t="shared" si="211"/>
        <v>2026</v>
      </c>
      <c r="AF466" s="1803">
        <f t="shared" si="211"/>
        <v>2027</v>
      </c>
      <c r="AG466" s="1803">
        <f t="shared" si="211"/>
        <v>2028</v>
      </c>
      <c r="AH466" s="1803">
        <f t="shared" si="211"/>
        <v>2029</v>
      </c>
      <c r="AI466" s="1803">
        <f t="shared" si="211"/>
        <v>2030</v>
      </c>
      <c r="AO466" s="1121" t="b">
        <f t="shared" si="198"/>
        <v>0</v>
      </c>
    </row>
    <row r="467" spans="2:41" ht="12.75" customHeight="1">
      <c r="B467" s="467"/>
      <c r="C467" s="1056"/>
      <c r="D467" s="1061" t="s">
        <v>18</v>
      </c>
      <c r="E467" s="2475" t="s">
        <v>1087</v>
      </c>
      <c r="F467" s="2410"/>
      <c r="G467" s="815" t="str">
        <f>EUconst_TJpa</f>
        <v>TJ / year</v>
      </c>
      <c r="H467" s="1479" t="str">
        <f>c_ALR2025!M6118</f>
        <v/>
      </c>
      <c r="I467" s="1532"/>
      <c r="J467" s="1811"/>
      <c r="K467" s="1751"/>
      <c r="L467" s="1751"/>
      <c r="M467" s="1751"/>
      <c r="N467" s="1752"/>
      <c r="O467" s="481"/>
      <c r="P467" s="9"/>
      <c r="Q467" s="1963" t="str">
        <f>EUconst_CNTR_HeatImportProduct &amp; I249</f>
        <v>HeatImProd_Heat benchmark sub-installation, non-CL</v>
      </c>
      <c r="S467" s="1997" t="str">
        <f>EUconst_ERR_AttrEmBMapplied &amp; $I249</f>
        <v>ERR_AttrEmBM_Heat benchmark sub-installation, non-CL</v>
      </c>
      <c r="T467" s="1443">
        <f t="shared" ref="T467:Z467" si="212">IF(AND(H467&lt;&gt;0,H468="",EUconst_StatusOfDataCollection=FALSE),1,0)</f>
        <v>0</v>
      </c>
      <c r="U467" s="1443">
        <f t="shared" si="212"/>
        <v>0</v>
      </c>
      <c r="V467" s="1443">
        <f t="shared" si="212"/>
        <v>0</v>
      </c>
      <c r="W467" s="1443">
        <f t="shared" si="212"/>
        <v>0</v>
      </c>
      <c r="X467" s="1443">
        <f t="shared" si="212"/>
        <v>0</v>
      </c>
      <c r="Y467" s="1443">
        <f t="shared" si="212"/>
        <v>0</v>
      </c>
      <c r="Z467" s="1443">
        <f t="shared" si="212"/>
        <v>0</v>
      </c>
      <c r="AB467" s="1641" t="s">
        <v>717</v>
      </c>
      <c r="AC467" s="1443" t="b">
        <f>AC463</f>
        <v>0</v>
      </c>
      <c r="AD467" s="1443" t="b">
        <f t="shared" ref="AD467:AI467" si="213">AD463</f>
        <v>0</v>
      </c>
      <c r="AE467" s="1443" t="b">
        <f t="shared" si="213"/>
        <v>0</v>
      </c>
      <c r="AF467" s="1443" t="b">
        <f t="shared" si="213"/>
        <v>0</v>
      </c>
      <c r="AG467" s="1443" t="b">
        <f t="shared" si="213"/>
        <v>0</v>
      </c>
      <c r="AH467" s="1443" t="b">
        <f t="shared" si="213"/>
        <v>0</v>
      </c>
      <c r="AI467" s="1443" t="b">
        <f t="shared" si="213"/>
        <v>0</v>
      </c>
      <c r="AL467" s="1635" t="str">
        <f>IF(AND(CNTR_ExistSubInstEntries,COUNTIFS(AC467:AI467,2,H467:N467,"")&gt;0),EUconst_Error&amp;"FB"&amp;Q249,"")</f>
        <v/>
      </c>
      <c r="AO467" s="1121" t="b">
        <f t="shared" si="198"/>
        <v>0</v>
      </c>
    </row>
    <row r="468" spans="2:41" ht="12.75" customHeight="1">
      <c r="B468" s="467"/>
      <c r="C468" s="1056"/>
      <c r="D468" s="1061" t="s">
        <v>787</v>
      </c>
      <c r="E468" s="2475" t="s">
        <v>1490</v>
      </c>
      <c r="F468" s="2410"/>
      <c r="G468" s="815" t="str">
        <f>EUconst_tCO2pTJ</f>
        <v>t CO2 / TJ</v>
      </c>
      <c r="H468" s="1479" t="str">
        <f>c_ALR2025!M6119</f>
        <v/>
      </c>
      <c r="I468" s="1532"/>
      <c r="J468" s="1811"/>
      <c r="K468" s="1751"/>
      <c r="L468" s="1751"/>
      <c r="M468" s="1751"/>
      <c r="N468" s="1752"/>
      <c r="O468" s="481"/>
      <c r="P468" s="9"/>
      <c r="Q468" s="1963" t="str">
        <f>EUconst_CNTR_HeatImportProductEF &amp; I249</f>
        <v>HeatImProdEF_Heat benchmark sub-installation, non-CL</v>
      </c>
      <c r="S468" s="1968" t="str">
        <f>EUconst_CNTR_AttributedEmissions &amp; $I249</f>
        <v>AttrEmissions_Heat benchmark sub-installation, non-CL</v>
      </c>
      <c r="T468" s="1443" t="str">
        <f t="shared" ref="T468:Z468" si="214">IF(T257,SUM(H467)*IF(ISNUMBER(H468),H468,EUconst_HeatBMvalue),"")</f>
        <v/>
      </c>
      <c r="U468" s="1443" t="str">
        <f t="shared" si="214"/>
        <v/>
      </c>
      <c r="V468" s="1443" t="str">
        <f t="shared" si="214"/>
        <v/>
      </c>
      <c r="W468" s="1443" t="str">
        <f t="shared" si="214"/>
        <v/>
      </c>
      <c r="X468" s="1443" t="str">
        <f t="shared" si="214"/>
        <v/>
      </c>
      <c r="Y468" s="1443" t="str">
        <f t="shared" si="214"/>
        <v/>
      </c>
      <c r="Z468" s="1443" t="str">
        <f t="shared" si="214"/>
        <v/>
      </c>
      <c r="AB468" s="1435"/>
      <c r="AC468" s="1443" t="b">
        <f>AC464</f>
        <v>0</v>
      </c>
      <c r="AD468" s="1443" t="b">
        <f t="shared" ref="AD468:AI468" si="215">AD464</f>
        <v>0</v>
      </c>
      <c r="AE468" s="1443" t="b">
        <f t="shared" si="215"/>
        <v>0</v>
      </c>
      <c r="AF468" s="1443" t="b">
        <f t="shared" si="215"/>
        <v>0</v>
      </c>
      <c r="AG468" s="1443" t="b">
        <f t="shared" si="215"/>
        <v>0</v>
      </c>
      <c r="AH468" s="1443" t="b">
        <f t="shared" si="215"/>
        <v>0</v>
      </c>
      <c r="AI468" s="1443" t="b">
        <f t="shared" si="215"/>
        <v>0</v>
      </c>
      <c r="AL468" s="1635" t="str">
        <f>IF(AND(CNTR_ExistSubInstEntries,COUNTIFS(AC468:AI468,2,H468:N468,"")&gt;0),EUconst_Error&amp;"FB"&amp;Q249,"")</f>
        <v/>
      </c>
      <c r="AO468" s="1121" t="b">
        <f t="shared" si="198"/>
        <v>0</v>
      </c>
    </row>
    <row r="469" spans="2:41" ht="5.0999999999999996" customHeight="1">
      <c r="B469" s="467"/>
      <c r="C469" s="1056"/>
      <c r="D469" s="1057"/>
      <c r="E469" s="1057"/>
      <c r="F469" s="1057"/>
      <c r="G469" s="1057"/>
      <c r="H469" s="1057"/>
      <c r="I469" s="1057"/>
      <c r="J469" s="1965"/>
      <c r="K469" s="1966"/>
      <c r="L469" s="1966"/>
      <c r="M469" s="1966"/>
      <c r="N469" s="1967"/>
      <c r="O469" s="481"/>
      <c r="P469" s="481"/>
      <c r="Q469" s="1249"/>
      <c r="S469" s="1249"/>
      <c r="AB469" s="1435"/>
      <c r="AE469" s="1198"/>
      <c r="AF469" s="1198"/>
      <c r="AG469" s="1198"/>
      <c r="AH469" s="1198"/>
      <c r="AI469" s="1198"/>
      <c r="AO469" s="1121" t="b">
        <f t="shared" si="198"/>
        <v>0</v>
      </c>
    </row>
    <row r="470" spans="2:41" ht="12.75" customHeight="1">
      <c r="B470" s="467"/>
      <c r="C470" s="1056"/>
      <c r="D470" s="1057"/>
      <c r="E470" s="2648" t="s">
        <v>1325</v>
      </c>
      <c r="F470" s="2493"/>
      <c r="G470" s="987" t="str">
        <f>EUconst_Unit</f>
        <v>Unit</v>
      </c>
      <c r="H470" s="782">
        <f t="shared" ref="H470:N470" si="216">H$1190</f>
        <v>2024</v>
      </c>
      <c r="I470" s="988">
        <f t="shared" si="216"/>
        <v>2025</v>
      </c>
      <c r="J470" s="1810">
        <f t="shared" si="216"/>
        <v>2026</v>
      </c>
      <c r="K470" s="1747">
        <f t="shared" si="216"/>
        <v>2027</v>
      </c>
      <c r="L470" s="1747">
        <f t="shared" si="216"/>
        <v>2028</v>
      </c>
      <c r="M470" s="1747">
        <f t="shared" si="216"/>
        <v>2029</v>
      </c>
      <c r="N470" s="1748">
        <f t="shared" si="216"/>
        <v>2030</v>
      </c>
      <c r="O470" s="481"/>
      <c r="P470" s="481"/>
      <c r="Q470" s="1249"/>
      <c r="S470" s="1249"/>
      <c r="T470" s="1503">
        <f t="shared" ref="T470:Z470" si="217">H470</f>
        <v>2024</v>
      </c>
      <c r="U470" s="1503">
        <f t="shared" si="217"/>
        <v>2025</v>
      </c>
      <c r="V470" s="1503">
        <f t="shared" si="217"/>
        <v>2026</v>
      </c>
      <c r="W470" s="1503">
        <f t="shared" si="217"/>
        <v>2027</v>
      </c>
      <c r="X470" s="1503">
        <f t="shared" si="217"/>
        <v>2028</v>
      </c>
      <c r="Y470" s="1503">
        <f t="shared" si="217"/>
        <v>2029</v>
      </c>
      <c r="Z470" s="1503">
        <f t="shared" si="217"/>
        <v>2030</v>
      </c>
      <c r="AB470" s="1435"/>
      <c r="AC470" s="1803">
        <f t="shared" ref="AC470:AI470" si="218">H$1190</f>
        <v>2024</v>
      </c>
      <c r="AD470" s="1803">
        <f t="shared" si="218"/>
        <v>2025</v>
      </c>
      <c r="AE470" s="1803">
        <f t="shared" si="218"/>
        <v>2026</v>
      </c>
      <c r="AF470" s="1803">
        <f t="shared" si="218"/>
        <v>2027</v>
      </c>
      <c r="AG470" s="1803">
        <f t="shared" si="218"/>
        <v>2028</v>
      </c>
      <c r="AH470" s="1803">
        <f t="shared" si="218"/>
        <v>2029</v>
      </c>
      <c r="AI470" s="1803">
        <f t="shared" si="218"/>
        <v>2030</v>
      </c>
      <c r="AO470" s="1121" t="b">
        <f t="shared" si="198"/>
        <v>0</v>
      </c>
    </row>
    <row r="471" spans="2:41" ht="12.75" customHeight="1">
      <c r="B471" s="467"/>
      <c r="C471" s="1056"/>
      <c r="D471" s="1061" t="s">
        <v>789</v>
      </c>
      <c r="E471" s="2475" t="s">
        <v>1087</v>
      </c>
      <c r="F471" s="2410"/>
      <c r="G471" s="815" t="str">
        <f>EUconst_TJpa</f>
        <v>TJ / year</v>
      </c>
      <c r="H471" s="1479" t="str">
        <f>c_ALR2025!M6122</f>
        <v/>
      </c>
      <c r="I471" s="1532"/>
      <c r="J471" s="1811"/>
      <c r="K471" s="1751"/>
      <c r="L471" s="1751"/>
      <c r="M471" s="1751"/>
      <c r="N471" s="1752"/>
      <c r="O471" s="481"/>
      <c r="P471" s="9"/>
      <c r="Q471" s="1963" t="str">
        <f>EUconst_CNTR_HeatImportPulp &amp; I249</f>
        <v>HeatImPulp_Heat benchmark sub-installation, non-CL</v>
      </c>
      <c r="S471" s="1997" t="str">
        <f>EUconst_ERR_AttrEmBMapplied &amp; $I249</f>
        <v>ERR_AttrEmBM_Heat benchmark sub-installation, non-CL</v>
      </c>
      <c r="T471" s="1443">
        <f t="shared" ref="T471:Z471" si="219">IF(AND(H471&lt;&gt;0,H472="",EUconst_StatusOfDataCollection=FALSE),1,0)</f>
        <v>0</v>
      </c>
      <c r="U471" s="1443">
        <f t="shared" si="219"/>
        <v>0</v>
      </c>
      <c r="V471" s="1443">
        <f t="shared" si="219"/>
        <v>0</v>
      </c>
      <c r="W471" s="1443">
        <f t="shared" si="219"/>
        <v>0</v>
      </c>
      <c r="X471" s="1443">
        <f t="shared" si="219"/>
        <v>0</v>
      </c>
      <c r="Y471" s="1443">
        <f t="shared" si="219"/>
        <v>0</v>
      </c>
      <c r="Z471" s="1443">
        <f t="shared" si="219"/>
        <v>0</v>
      </c>
      <c r="AB471" s="1641" t="s">
        <v>717</v>
      </c>
      <c r="AC471" s="1443" t="b">
        <f>AC467</f>
        <v>0</v>
      </c>
      <c r="AD471" s="1443" t="b">
        <f t="shared" ref="AD471:AI471" si="220">AD467</f>
        <v>0</v>
      </c>
      <c r="AE471" s="1443" t="b">
        <f t="shared" si="220"/>
        <v>0</v>
      </c>
      <c r="AF471" s="1443" t="b">
        <f t="shared" si="220"/>
        <v>0</v>
      </c>
      <c r="AG471" s="1443" t="b">
        <f t="shared" si="220"/>
        <v>0</v>
      </c>
      <c r="AH471" s="1443" t="b">
        <f t="shared" si="220"/>
        <v>0</v>
      </c>
      <c r="AI471" s="1443" t="b">
        <f t="shared" si="220"/>
        <v>0</v>
      </c>
      <c r="AL471" s="1635" t="str">
        <f>IF(AND(CNTR_ExistSubInstEntries,COUNTIFS(AC471:AI471,2,H471:N471,"")&gt;0),EUconst_Error&amp;"FB"&amp;Q249,"")</f>
        <v/>
      </c>
      <c r="AO471" s="1121" t="b">
        <f t="shared" si="198"/>
        <v>0</v>
      </c>
    </row>
    <row r="472" spans="2:41" ht="12.75" customHeight="1">
      <c r="B472" s="467"/>
      <c r="C472" s="1056"/>
      <c r="D472" s="1061" t="s">
        <v>790</v>
      </c>
      <c r="E472" s="2475" t="s">
        <v>1489</v>
      </c>
      <c r="F472" s="2410"/>
      <c r="G472" s="815" t="str">
        <f>EUconst_tCO2pTJ</f>
        <v>t CO2 / TJ</v>
      </c>
      <c r="H472" s="1479" t="str">
        <f>c_ALR2025!M6123</f>
        <v/>
      </c>
      <c r="I472" s="1532"/>
      <c r="J472" s="1811"/>
      <c r="K472" s="1751"/>
      <c r="L472" s="1751"/>
      <c r="M472" s="1751"/>
      <c r="N472" s="1752"/>
      <c r="O472" s="481"/>
      <c r="P472" s="9"/>
      <c r="Q472" s="1963" t="str">
        <f>EUconst_CNTR_HeatImportPulpEF &amp; I249</f>
        <v>HeatImPulpEF_Heat benchmark sub-installation, non-CL</v>
      </c>
      <c r="S472" s="1968" t="str">
        <f>EUconst_CNTR_AttributedEmissions &amp; $I249</f>
        <v>AttrEmissions_Heat benchmark sub-installation, non-CL</v>
      </c>
      <c r="T472" s="1443" t="str">
        <f t="shared" ref="T472:Z472" si="221">IF(T257,SUM(H471)*IF(ISNUMBER(H472),H472,EUconst_HeatBMvalue),"")</f>
        <v/>
      </c>
      <c r="U472" s="1443" t="str">
        <f t="shared" si="221"/>
        <v/>
      </c>
      <c r="V472" s="1443" t="str">
        <f t="shared" si="221"/>
        <v/>
      </c>
      <c r="W472" s="1443" t="str">
        <f t="shared" si="221"/>
        <v/>
      </c>
      <c r="X472" s="1443" t="str">
        <f t="shared" si="221"/>
        <v/>
      </c>
      <c r="Y472" s="1443" t="str">
        <f t="shared" si="221"/>
        <v/>
      </c>
      <c r="Z472" s="1443" t="str">
        <f t="shared" si="221"/>
        <v/>
      </c>
      <c r="AB472" s="1435"/>
      <c r="AC472" s="1443" t="b">
        <f>AC468</f>
        <v>0</v>
      </c>
      <c r="AD472" s="1443" t="b">
        <f t="shared" ref="AD472:AI472" si="222">AD468</f>
        <v>0</v>
      </c>
      <c r="AE472" s="1443" t="b">
        <f t="shared" si="222"/>
        <v>0</v>
      </c>
      <c r="AF472" s="1443" t="b">
        <f t="shared" si="222"/>
        <v>0</v>
      </c>
      <c r="AG472" s="1443" t="b">
        <f t="shared" si="222"/>
        <v>0</v>
      </c>
      <c r="AH472" s="1443" t="b">
        <f t="shared" si="222"/>
        <v>0</v>
      </c>
      <c r="AI472" s="1443" t="b">
        <f t="shared" si="222"/>
        <v>0</v>
      </c>
      <c r="AL472" s="1635" t="str">
        <f>IF(AND(CNTR_ExistSubInstEntries,COUNTIFS(AC472:AI472,2,H472:N472,"")&gt;0),EUconst_Error&amp;"FB"&amp;Q249,"")</f>
        <v/>
      </c>
      <c r="AO472" s="1121" t="b">
        <f t="shared" si="198"/>
        <v>0</v>
      </c>
    </row>
    <row r="473" spans="2:41" ht="5.0999999999999996" customHeight="1">
      <c r="B473" s="467"/>
      <c r="C473" s="1056"/>
      <c r="D473" s="1057"/>
      <c r="E473" s="1057"/>
      <c r="F473" s="1057"/>
      <c r="G473" s="1057"/>
      <c r="H473" s="1057"/>
      <c r="I473" s="1057"/>
      <c r="J473" s="1965"/>
      <c r="K473" s="1966"/>
      <c r="L473" s="1966"/>
      <c r="M473" s="1966"/>
      <c r="N473" s="1967"/>
      <c r="O473" s="481"/>
      <c r="P473" s="481"/>
      <c r="Q473" s="1249"/>
      <c r="S473" s="1249"/>
      <c r="AB473" s="1435"/>
      <c r="AE473" s="1198"/>
      <c r="AF473" s="1198"/>
      <c r="AG473" s="1198"/>
      <c r="AH473" s="1198"/>
      <c r="AI473" s="1198"/>
      <c r="AO473" s="1121" t="b">
        <f t="shared" si="198"/>
        <v>0</v>
      </c>
    </row>
    <row r="474" spans="2:41" ht="12.75" customHeight="1">
      <c r="B474" s="467"/>
      <c r="C474" s="1056"/>
      <c r="D474" s="1057"/>
      <c r="E474" s="2648" t="s">
        <v>1326</v>
      </c>
      <c r="F474" s="2493"/>
      <c r="G474" s="987" t="str">
        <f>EUconst_Unit</f>
        <v>Unit</v>
      </c>
      <c r="H474" s="782">
        <f t="shared" ref="H474:N474" si="223">H$1190</f>
        <v>2024</v>
      </c>
      <c r="I474" s="988">
        <f t="shared" si="223"/>
        <v>2025</v>
      </c>
      <c r="J474" s="1810">
        <f t="shared" si="223"/>
        <v>2026</v>
      </c>
      <c r="K474" s="1747">
        <f t="shared" si="223"/>
        <v>2027</v>
      </c>
      <c r="L474" s="1747">
        <f t="shared" si="223"/>
        <v>2028</v>
      </c>
      <c r="M474" s="1747">
        <f t="shared" si="223"/>
        <v>2029</v>
      </c>
      <c r="N474" s="1748">
        <f t="shared" si="223"/>
        <v>2030</v>
      </c>
      <c r="O474" s="481"/>
      <c r="P474" s="481"/>
      <c r="Q474" s="1249"/>
      <c r="S474" s="1249"/>
      <c r="T474" s="1503">
        <f t="shared" ref="T474:Z474" si="224">H474</f>
        <v>2024</v>
      </c>
      <c r="U474" s="1503">
        <f t="shared" si="224"/>
        <v>2025</v>
      </c>
      <c r="V474" s="1503">
        <f t="shared" si="224"/>
        <v>2026</v>
      </c>
      <c r="W474" s="1503">
        <f t="shared" si="224"/>
        <v>2027</v>
      </c>
      <c r="X474" s="1503">
        <f t="shared" si="224"/>
        <v>2028</v>
      </c>
      <c r="Y474" s="1503">
        <f t="shared" si="224"/>
        <v>2029</v>
      </c>
      <c r="Z474" s="1503">
        <f t="shared" si="224"/>
        <v>2030</v>
      </c>
      <c r="AB474" s="1435"/>
      <c r="AC474" s="1803">
        <f t="shared" ref="AC474:AI474" si="225">H$1190</f>
        <v>2024</v>
      </c>
      <c r="AD474" s="1803">
        <f t="shared" si="225"/>
        <v>2025</v>
      </c>
      <c r="AE474" s="1803">
        <f t="shared" si="225"/>
        <v>2026</v>
      </c>
      <c r="AF474" s="1803">
        <f t="shared" si="225"/>
        <v>2027</v>
      </c>
      <c r="AG474" s="1803">
        <f t="shared" si="225"/>
        <v>2028</v>
      </c>
      <c r="AH474" s="1803">
        <f t="shared" si="225"/>
        <v>2029</v>
      </c>
      <c r="AI474" s="1803">
        <f t="shared" si="225"/>
        <v>2030</v>
      </c>
      <c r="AO474" s="1121" t="b">
        <f t="shared" si="198"/>
        <v>0</v>
      </c>
    </row>
    <row r="475" spans="2:41" ht="12.75" customHeight="1">
      <c r="B475" s="467"/>
      <c r="C475" s="1056"/>
      <c r="D475" s="1061" t="s">
        <v>64</v>
      </c>
      <c r="E475" s="2475" t="s">
        <v>1087</v>
      </c>
      <c r="F475" s="2410"/>
      <c r="G475" s="815" t="str">
        <f>EUconst_TJpa</f>
        <v>TJ / year</v>
      </c>
      <c r="H475" s="1479" t="str">
        <f>c_ALR2025!M6126</f>
        <v/>
      </c>
      <c r="I475" s="1532"/>
      <c r="J475" s="1811"/>
      <c r="K475" s="1751"/>
      <c r="L475" s="1751"/>
      <c r="M475" s="1751"/>
      <c r="N475" s="1752"/>
      <c r="O475" s="481"/>
      <c r="P475" s="9"/>
      <c r="Q475" s="1963" t="str">
        <f>EUconst_CNTR_HeatImportFuel &amp; I249</f>
        <v>HeatImFuel_Heat benchmark sub-installation, non-CL</v>
      </c>
      <c r="S475" s="1997" t="str">
        <f>EUconst_ERR_AttrEmBMapplied &amp; $I249</f>
        <v>ERR_AttrEmBM_Heat benchmark sub-installation, non-CL</v>
      </c>
      <c r="T475" s="1443">
        <f t="shared" ref="T475:Z475" si="226">IF(AND(H475&lt;&gt;0,H476="",EUconst_StatusOfDataCollection=FALSE),1,0)</f>
        <v>0</v>
      </c>
      <c r="U475" s="1443">
        <f t="shared" si="226"/>
        <v>0</v>
      </c>
      <c r="V475" s="1443">
        <f t="shared" si="226"/>
        <v>0</v>
      </c>
      <c r="W475" s="1443">
        <f t="shared" si="226"/>
        <v>0</v>
      </c>
      <c r="X475" s="1443">
        <f t="shared" si="226"/>
        <v>0</v>
      </c>
      <c r="Y475" s="1443">
        <f t="shared" si="226"/>
        <v>0</v>
      </c>
      <c r="Z475" s="1443">
        <f t="shared" si="226"/>
        <v>0</v>
      </c>
      <c r="AB475" s="1641" t="s">
        <v>717</v>
      </c>
      <c r="AC475" s="1443" t="b">
        <f>AC471</f>
        <v>0</v>
      </c>
      <c r="AD475" s="1443" t="b">
        <f t="shared" ref="AD475:AI475" si="227">AD471</f>
        <v>0</v>
      </c>
      <c r="AE475" s="1443" t="b">
        <f t="shared" si="227"/>
        <v>0</v>
      </c>
      <c r="AF475" s="1443" t="b">
        <f t="shared" si="227"/>
        <v>0</v>
      </c>
      <c r="AG475" s="1443" t="b">
        <f t="shared" si="227"/>
        <v>0</v>
      </c>
      <c r="AH475" s="1443" t="b">
        <f t="shared" si="227"/>
        <v>0</v>
      </c>
      <c r="AI475" s="1443" t="b">
        <f t="shared" si="227"/>
        <v>0</v>
      </c>
      <c r="AL475" s="1635" t="str">
        <f>IF(AND(CNTR_ExistSubInstEntries,COUNTIFS(AC475:AI475,2,H475:N475,"")&gt;0),EUconst_Error&amp;"FB"&amp;Q249,"")</f>
        <v/>
      </c>
      <c r="AO475" s="1121" t="b">
        <f t="shared" si="198"/>
        <v>0</v>
      </c>
    </row>
    <row r="476" spans="2:41" ht="12.75" customHeight="1">
      <c r="B476" s="467"/>
      <c r="C476" s="1056"/>
      <c r="D476" s="1061" t="s">
        <v>65</v>
      </c>
      <c r="E476" s="2475" t="s">
        <v>1491</v>
      </c>
      <c r="F476" s="2410"/>
      <c r="G476" s="815" t="str">
        <f>EUconst_tCO2pTJ</f>
        <v>t CO2 / TJ</v>
      </c>
      <c r="H476" s="1479" t="str">
        <f>c_ALR2025!M6127</f>
        <v/>
      </c>
      <c r="I476" s="1532"/>
      <c r="J476" s="1811"/>
      <c r="K476" s="1751"/>
      <c r="L476" s="1751"/>
      <c r="M476" s="1751"/>
      <c r="N476" s="1752"/>
      <c r="O476" s="481"/>
      <c r="P476" s="9"/>
      <c r="Q476" s="1963" t="str">
        <f>EUconst_CNTR_HeatImportFuelEF &amp; I249</f>
        <v>HeatImFuelEF_Heat benchmark sub-installation, non-CL</v>
      </c>
      <c r="S476" s="1968" t="str">
        <f>EUconst_CNTR_AttributedEmissions &amp; $I249</f>
        <v>AttrEmissions_Heat benchmark sub-installation, non-CL</v>
      </c>
      <c r="T476" s="1443" t="str">
        <f t="shared" ref="T476:Z476" si="228">IF(T257,SUM(H475)*IF(ISNUMBER(H476),H476,EUconst_HeatBMvalue),"")</f>
        <v/>
      </c>
      <c r="U476" s="1443" t="str">
        <f t="shared" si="228"/>
        <v/>
      </c>
      <c r="V476" s="1443" t="str">
        <f t="shared" si="228"/>
        <v/>
      </c>
      <c r="W476" s="1443" t="str">
        <f t="shared" si="228"/>
        <v/>
      </c>
      <c r="X476" s="1443" t="str">
        <f t="shared" si="228"/>
        <v/>
      </c>
      <c r="Y476" s="1443" t="str">
        <f t="shared" si="228"/>
        <v/>
      </c>
      <c r="Z476" s="1443" t="str">
        <f t="shared" si="228"/>
        <v/>
      </c>
      <c r="AB476" s="1435"/>
      <c r="AC476" s="1443" t="b">
        <f>AC472</f>
        <v>0</v>
      </c>
      <c r="AD476" s="1443" t="b">
        <f t="shared" ref="AD476:AI476" si="229">AD472</f>
        <v>0</v>
      </c>
      <c r="AE476" s="1443" t="b">
        <f t="shared" si="229"/>
        <v>0</v>
      </c>
      <c r="AF476" s="1443" t="b">
        <f t="shared" si="229"/>
        <v>0</v>
      </c>
      <c r="AG476" s="1443" t="b">
        <f t="shared" si="229"/>
        <v>0</v>
      </c>
      <c r="AH476" s="1443" t="b">
        <f t="shared" si="229"/>
        <v>0</v>
      </c>
      <c r="AI476" s="1443" t="b">
        <f t="shared" si="229"/>
        <v>0</v>
      </c>
      <c r="AL476" s="1635" t="str">
        <f>IF(AND(CNTR_ExistSubInstEntries,COUNTIFS(AC476:AI476,2,H476:N476,"")&gt;0),EUconst_Error&amp;"FB"&amp;Q249,"")</f>
        <v/>
      </c>
      <c r="AO476" s="1121" t="b">
        <f t="shared" si="198"/>
        <v>0</v>
      </c>
    </row>
    <row r="477" spans="2:41" ht="5.0999999999999996" customHeight="1">
      <c r="B477" s="467"/>
      <c r="C477" s="1056"/>
      <c r="D477" s="1057"/>
      <c r="E477" s="1057"/>
      <c r="F477" s="1057"/>
      <c r="G477" s="1057"/>
      <c r="H477" s="1057"/>
      <c r="I477" s="1057"/>
      <c r="J477" s="1965"/>
      <c r="K477" s="1966"/>
      <c r="L477" s="1966"/>
      <c r="M477" s="1966"/>
      <c r="N477" s="1967"/>
      <c r="O477" s="481"/>
      <c r="P477" s="481"/>
      <c r="Q477" s="1249"/>
      <c r="S477" s="1249"/>
      <c r="AB477" s="1435"/>
      <c r="AE477" s="1198"/>
      <c r="AF477" s="1198"/>
      <c r="AG477" s="1198"/>
      <c r="AH477" s="1198"/>
      <c r="AI477" s="1198"/>
      <c r="AO477" s="1121" t="b">
        <f t="shared" si="198"/>
        <v>0</v>
      </c>
    </row>
    <row r="478" spans="2:41" ht="12.75" customHeight="1">
      <c r="B478" s="467"/>
      <c r="C478" s="1056"/>
      <c r="D478" s="1057"/>
      <c r="E478" s="2648" t="s">
        <v>1327</v>
      </c>
      <c r="F478" s="2493"/>
      <c r="G478" s="987" t="str">
        <f>EUconst_Unit</f>
        <v>Unit</v>
      </c>
      <c r="H478" s="782">
        <f t="shared" ref="H478:N478" si="230">H$1190</f>
        <v>2024</v>
      </c>
      <c r="I478" s="988">
        <f t="shared" si="230"/>
        <v>2025</v>
      </c>
      <c r="J478" s="1810">
        <f t="shared" si="230"/>
        <v>2026</v>
      </c>
      <c r="K478" s="1747">
        <f t="shared" si="230"/>
        <v>2027</v>
      </c>
      <c r="L478" s="1747">
        <f t="shared" si="230"/>
        <v>2028</v>
      </c>
      <c r="M478" s="1747">
        <f t="shared" si="230"/>
        <v>2029</v>
      </c>
      <c r="N478" s="1748">
        <f t="shared" si="230"/>
        <v>2030</v>
      </c>
      <c r="O478" s="481"/>
      <c r="P478" s="481"/>
      <c r="Q478" s="1249"/>
      <c r="S478" s="1249"/>
      <c r="T478" s="1503">
        <f t="shared" ref="T478:Z478" si="231">H478</f>
        <v>2024</v>
      </c>
      <c r="U478" s="1503">
        <f t="shared" si="231"/>
        <v>2025</v>
      </c>
      <c r="V478" s="1503">
        <f t="shared" si="231"/>
        <v>2026</v>
      </c>
      <c r="W478" s="1503">
        <f t="shared" si="231"/>
        <v>2027</v>
      </c>
      <c r="X478" s="1503">
        <f t="shared" si="231"/>
        <v>2028</v>
      </c>
      <c r="Y478" s="1503">
        <f t="shared" si="231"/>
        <v>2029</v>
      </c>
      <c r="Z478" s="1503">
        <f t="shared" si="231"/>
        <v>2030</v>
      </c>
      <c r="AB478" s="1435"/>
      <c r="AC478" s="1803">
        <f t="shared" ref="AC478:AI478" si="232">H$1190</f>
        <v>2024</v>
      </c>
      <c r="AD478" s="1803">
        <f t="shared" si="232"/>
        <v>2025</v>
      </c>
      <c r="AE478" s="1803">
        <f t="shared" si="232"/>
        <v>2026</v>
      </c>
      <c r="AF478" s="1803">
        <f t="shared" si="232"/>
        <v>2027</v>
      </c>
      <c r="AG478" s="1803">
        <f t="shared" si="232"/>
        <v>2028</v>
      </c>
      <c r="AH478" s="1803">
        <f t="shared" si="232"/>
        <v>2029</v>
      </c>
      <c r="AI478" s="1803">
        <f t="shared" si="232"/>
        <v>2030</v>
      </c>
      <c r="AO478" s="1121" t="b">
        <f t="shared" si="198"/>
        <v>0</v>
      </c>
    </row>
    <row r="479" spans="2:41" ht="12.75" customHeight="1">
      <c r="B479" s="467"/>
      <c r="C479" s="1056"/>
      <c r="D479" s="1061" t="s">
        <v>1105</v>
      </c>
      <c r="E479" s="2475" t="s">
        <v>1087</v>
      </c>
      <c r="F479" s="2410"/>
      <c r="G479" s="815" t="str">
        <f>EUconst_TJpa</f>
        <v>TJ / year</v>
      </c>
      <c r="H479" s="1479" t="str">
        <f>c_ALR2025!M6130</f>
        <v/>
      </c>
      <c r="I479" s="1532"/>
      <c r="J479" s="1811"/>
      <c r="K479" s="1751"/>
      <c r="L479" s="1751"/>
      <c r="M479" s="1751"/>
      <c r="N479" s="1752"/>
      <c r="O479" s="481"/>
      <c r="P479" s="9"/>
      <c r="Q479" s="1963" t="str">
        <f>EUconst_CNTR_WGImport &amp; I249</f>
        <v>WasteGasIm_Heat benchmark sub-installation, non-CL</v>
      </c>
      <c r="S479" s="1997" t="str">
        <f>EUconst_ERR_AttrEmBMapplied &amp; $I249</f>
        <v>ERR_AttrEmBM_Heat benchmark sub-installation, non-CL</v>
      </c>
      <c r="T479" s="1443">
        <f t="shared" ref="T479:Z479" si="233">IF(AND(H479&lt;&gt;0,EUconst_StatusOfDataCollection=FALSE),1,0)</f>
        <v>0</v>
      </c>
      <c r="U479" s="1443">
        <f t="shared" si="233"/>
        <v>0</v>
      </c>
      <c r="V479" s="1443">
        <f t="shared" si="233"/>
        <v>0</v>
      </c>
      <c r="W479" s="1443">
        <f t="shared" si="233"/>
        <v>0</v>
      </c>
      <c r="X479" s="1443">
        <f t="shared" si="233"/>
        <v>0</v>
      </c>
      <c r="Y479" s="1443">
        <f t="shared" si="233"/>
        <v>0</v>
      </c>
      <c r="Z479" s="1443">
        <f t="shared" si="233"/>
        <v>0</v>
      </c>
      <c r="AB479" s="1641" t="s">
        <v>717</v>
      </c>
      <c r="AC479" s="1443" t="b">
        <f>AC475</f>
        <v>0</v>
      </c>
      <c r="AD479" s="1443" t="b">
        <f t="shared" ref="AD479:AI479" si="234">AD475</f>
        <v>0</v>
      </c>
      <c r="AE479" s="1443" t="b">
        <f t="shared" si="234"/>
        <v>0</v>
      </c>
      <c r="AF479" s="1443" t="b">
        <f t="shared" si="234"/>
        <v>0</v>
      </c>
      <c r="AG479" s="1443" t="b">
        <f t="shared" si="234"/>
        <v>0</v>
      </c>
      <c r="AH479" s="1443" t="b">
        <f t="shared" si="234"/>
        <v>0</v>
      </c>
      <c r="AI479" s="1443" t="b">
        <f t="shared" si="234"/>
        <v>0</v>
      </c>
      <c r="AL479" s="1635" t="str">
        <f>IF(AND(CNTR_ExistSubInstEntries,COUNTIFS(AC479:AI479,2,H479:N479,"")&gt;0),EUconst_Error&amp;"FB"&amp;Q249,"")</f>
        <v/>
      </c>
      <c r="AO479" s="1121" t="b">
        <f t="shared" si="198"/>
        <v>0</v>
      </c>
    </row>
    <row r="480" spans="2:41" ht="12.75" customHeight="1">
      <c r="B480" s="467"/>
      <c r="C480" s="1056"/>
      <c r="D480" s="1061" t="s">
        <v>1106</v>
      </c>
      <c r="E480" s="2475" t="s">
        <v>1492</v>
      </c>
      <c r="F480" s="2410"/>
      <c r="G480" s="815" t="str">
        <f>EUconst_tCO2pTJ</f>
        <v>t CO2 / TJ</v>
      </c>
      <c r="H480" s="1479" t="str">
        <f>c_ALR2025!M6131</f>
        <v/>
      </c>
      <c r="I480" s="1532"/>
      <c r="J480" s="1811"/>
      <c r="K480" s="1751"/>
      <c r="L480" s="1751"/>
      <c r="M480" s="1751"/>
      <c r="N480" s="1752"/>
      <c r="O480" s="481"/>
      <c r="P480" s="9"/>
      <c r="Q480" s="1963" t="str">
        <f>EUconst_CNTR_WGImportEF &amp; I249</f>
        <v>WasteGasImEF_Heat benchmark sub-installation, non-CL</v>
      </c>
      <c r="S480" s="1968" t="str">
        <f>EUconst_CNTR_AttributedEmissions &amp; $I249</f>
        <v>AttrEmissions_Heat benchmark sub-installation, non-CL</v>
      </c>
      <c r="T480" s="1443" t="str">
        <f t="shared" ref="T480:Z480" si="235">IF(T257,SUM(H479)*IF(ISNUMBER(H480),H480,EUconst_HeatBMvalue),"")</f>
        <v/>
      </c>
      <c r="U480" s="1443" t="str">
        <f t="shared" si="235"/>
        <v/>
      </c>
      <c r="V480" s="1443" t="str">
        <f t="shared" si="235"/>
        <v/>
      </c>
      <c r="W480" s="1443" t="str">
        <f t="shared" si="235"/>
        <v/>
      </c>
      <c r="X480" s="1443" t="str">
        <f t="shared" si="235"/>
        <v/>
      </c>
      <c r="Y480" s="1443" t="str">
        <f t="shared" si="235"/>
        <v/>
      </c>
      <c r="Z480" s="1443" t="str">
        <f t="shared" si="235"/>
        <v/>
      </c>
      <c r="AC480" s="1443" t="b">
        <f>AC476</f>
        <v>0</v>
      </c>
      <c r="AD480" s="1443" t="b">
        <f t="shared" ref="AD480:AI480" si="236">AD476</f>
        <v>0</v>
      </c>
      <c r="AE480" s="1443" t="b">
        <f t="shared" si="236"/>
        <v>0</v>
      </c>
      <c r="AF480" s="1443" t="b">
        <f t="shared" si="236"/>
        <v>0</v>
      </c>
      <c r="AG480" s="1443" t="b">
        <f t="shared" si="236"/>
        <v>0</v>
      </c>
      <c r="AH480" s="1443" t="b">
        <f t="shared" si="236"/>
        <v>0</v>
      </c>
      <c r="AI480" s="1443" t="b">
        <f t="shared" si="236"/>
        <v>0</v>
      </c>
      <c r="AL480" s="1635" t="str">
        <f>IF(AND(CNTR_ExistSubInstEntries,COUNTIFS(AC480:AI480,2,H480:N480,"")&gt;0),EUconst_Error&amp;"FB"&amp;Q249,"")</f>
        <v/>
      </c>
      <c r="AO480" s="1121" t="b">
        <f t="shared" si="198"/>
        <v>0</v>
      </c>
    </row>
    <row r="481" spans="2:41" ht="5.0999999999999996" customHeight="1">
      <c r="B481" s="467"/>
      <c r="C481" s="1056"/>
      <c r="D481" s="1057"/>
      <c r="E481" s="1057"/>
      <c r="F481" s="1057"/>
      <c r="G481" s="1057"/>
      <c r="H481" s="1057"/>
      <c r="I481" s="1057"/>
      <c r="J481" s="1965"/>
      <c r="K481" s="1966"/>
      <c r="L481" s="1966"/>
      <c r="M481" s="1966"/>
      <c r="N481" s="1967"/>
      <c r="O481" s="481"/>
      <c r="P481" s="481"/>
      <c r="Q481" s="1249"/>
      <c r="S481" s="1249"/>
      <c r="T481" s="1249"/>
      <c r="AO481" s="1121" t="b">
        <f t="shared" si="198"/>
        <v>0</v>
      </c>
    </row>
    <row r="482" spans="2:41" ht="12.75" customHeight="1">
      <c r="B482" s="467"/>
      <c r="C482" s="1056"/>
      <c r="D482" s="1061" t="s">
        <v>1108</v>
      </c>
      <c r="E482" s="2475" t="s">
        <v>1169</v>
      </c>
      <c r="F482" s="2410"/>
      <c r="G482" s="815" t="str">
        <f>EUconst_TJpa</f>
        <v>TJ / year</v>
      </c>
      <c r="H482" s="646" t="str">
        <f t="shared" ref="H482:N482" si="237">IF(COUNT(H463,H467,H471,H475,H479)&gt;0,SUM(H463,H467,H471,H475,H479),"")</f>
        <v/>
      </c>
      <c r="I482" s="949" t="str">
        <f t="shared" si="237"/>
        <v/>
      </c>
      <c r="J482" s="1811" t="str">
        <f t="shared" si="237"/>
        <v/>
      </c>
      <c r="K482" s="1751" t="str">
        <f t="shared" si="237"/>
        <v/>
      </c>
      <c r="L482" s="1751" t="str">
        <f t="shared" si="237"/>
        <v/>
      </c>
      <c r="M482" s="1751" t="str">
        <f t="shared" si="237"/>
        <v/>
      </c>
      <c r="N482" s="1752" t="str">
        <f t="shared" si="237"/>
        <v/>
      </c>
      <c r="O482" s="481"/>
      <c r="P482" s="481"/>
      <c r="S482" s="1249"/>
      <c r="T482" s="1249"/>
      <c r="AO482" s="1121" t="b">
        <f t="shared" si="198"/>
        <v>0</v>
      </c>
    </row>
    <row r="483" spans="2:41" ht="12.75" customHeight="1" thickBot="1">
      <c r="B483" s="467"/>
      <c r="C483" s="1063"/>
      <c r="D483" s="1064"/>
      <c r="E483" s="1064"/>
      <c r="F483" s="1064"/>
      <c r="G483" s="1064"/>
      <c r="H483" s="1064"/>
      <c r="I483" s="1064"/>
      <c r="J483" s="1064"/>
      <c r="K483" s="1064"/>
      <c r="L483" s="1064"/>
      <c r="M483" s="1065"/>
      <c r="N483" s="1066"/>
      <c r="O483" s="481"/>
      <c r="P483" s="481"/>
      <c r="Q483" s="1249"/>
      <c r="S483" s="1249"/>
      <c r="AO483" s="1121" t="b">
        <f t="shared" si="198"/>
        <v>0</v>
      </c>
    </row>
    <row r="484" spans="2:41" ht="25.5" customHeight="1" thickBot="1">
      <c r="B484" s="1124"/>
      <c r="C484" s="485"/>
      <c r="D484" s="485"/>
      <c r="E484" s="485"/>
      <c r="F484" s="485"/>
      <c r="G484" s="485"/>
      <c r="H484" s="485"/>
      <c r="I484" s="485"/>
      <c r="J484" s="485"/>
      <c r="K484" s="485"/>
      <c r="L484" s="485"/>
      <c r="M484" s="485"/>
      <c r="N484" s="485"/>
      <c r="O484" s="481"/>
      <c r="P484" s="481"/>
    </row>
    <row r="485" spans="2:41" ht="5.0999999999999996" customHeight="1" thickBot="1">
      <c r="B485" s="467"/>
      <c r="C485" s="686"/>
      <c r="D485" s="686"/>
      <c r="E485" s="686"/>
      <c r="F485" s="686"/>
      <c r="G485" s="686"/>
      <c r="H485" s="686"/>
      <c r="I485" s="686"/>
      <c r="J485" s="686"/>
      <c r="K485" s="686"/>
      <c r="L485" s="686"/>
      <c r="M485" s="686"/>
      <c r="N485" s="686"/>
      <c r="O485" s="481"/>
      <c r="P485" s="481"/>
      <c r="Q485" s="1969"/>
      <c r="R485" s="1969"/>
      <c r="S485" s="1969"/>
      <c r="T485" s="1969"/>
      <c r="U485" s="1969"/>
      <c r="V485" s="1969"/>
      <c r="W485" s="1969"/>
      <c r="X485" s="1969"/>
      <c r="Y485" s="1969"/>
      <c r="Z485" s="1969"/>
      <c r="AA485" s="1969"/>
      <c r="AB485" s="1969"/>
      <c r="AC485" s="1969"/>
      <c r="AD485" s="1969"/>
      <c r="AE485" s="1969"/>
      <c r="AF485" s="1969"/>
      <c r="AG485" s="1969"/>
      <c r="AH485" s="1969"/>
      <c r="AI485" s="1969"/>
      <c r="AJ485" s="1969"/>
      <c r="AK485" s="1969"/>
      <c r="AL485" s="1969"/>
    </row>
    <row r="486" spans="2:41" ht="14.45" customHeight="1" thickBot="1">
      <c r="B486" s="467"/>
      <c r="C486" s="559">
        <f>C249+1</f>
        <v>3</v>
      </c>
      <c r="D486" s="2482" t="str">
        <f>EUconst_FBSubinst &amp; ":"</f>
        <v>Fall-Back sub-installation:</v>
      </c>
      <c r="E486" s="2400"/>
      <c r="F486" s="2400"/>
      <c r="G486" s="2400"/>
      <c r="H486" s="2585"/>
      <c r="I486" s="3293" t="str">
        <f>INDEX(EUconst_FallBackListNames,$C486)</f>
        <v>District heating sub-installation</v>
      </c>
      <c r="J486" s="3294"/>
      <c r="K486" s="3294"/>
      <c r="L486" s="3295"/>
      <c r="M486" s="3370" t="str">
        <f>IF(INDEX(CNTR_FallBackSubInstRelevant,C486)="","",IF(INDEX(CNTR_FallBackSubInstRelevant,C486),EUconst_Relevant,EUconst_NotRelevant))</f>
        <v/>
      </c>
      <c r="N486" s="3371"/>
      <c r="O486" s="481"/>
      <c r="P486" s="481"/>
      <c r="Q486" s="1889">
        <f>C486</f>
        <v>3</v>
      </c>
      <c r="S486" s="1633" t="s">
        <v>558</v>
      </c>
      <c r="T486" s="1634" t="str">
        <f>IF(M486&lt;&gt;EUconst_Relevant,"",MAX(INDEX(CNTR_SubInstStartDate,MATCH($I486,CNTR_SubInstListNames,0)),DATE(2005,1,1)))</f>
        <v/>
      </c>
      <c r="U486" s="1435" t="s">
        <v>1673</v>
      </c>
      <c r="V486" s="1635">
        <f>IF(ISNUMBER(T486),YEAR($T486-1)+1,2005)</f>
        <v>2005</v>
      </c>
      <c r="W486" s="1633" t="s">
        <v>1676</v>
      </c>
      <c r="X486" s="1634" t="str">
        <f>IF(M486&lt;&gt;EUconst_Relevant,"",INDEX(CNTR_SubInstCessationDate,MATCH($I486,CNTR_SubInstListNames,0)))</f>
        <v/>
      </c>
      <c r="Y486" s="1633" t="s">
        <v>1677</v>
      </c>
      <c r="Z486" s="1635">
        <f>IF(SUM(X486)=0,2050,YEAR($X486))</f>
        <v>2050</v>
      </c>
      <c r="AA486" s="1633" t="s">
        <v>1925</v>
      </c>
      <c r="AB486" s="1635" t="b">
        <f>CNTR_ReportingYear&gt;V486</f>
        <v>1</v>
      </c>
      <c r="AC486" s="1633" t="s">
        <v>1343</v>
      </c>
      <c r="AD486" s="1848" t="b">
        <f>AND(CNTR_ExistSubInstEntries,M486=EUconst_NotRelevant)</f>
        <v>0</v>
      </c>
    </row>
    <row r="487" spans="2:41" ht="12.75" customHeight="1">
      <c r="B487" s="1124"/>
      <c r="C487" s="485"/>
      <c r="D487" s="485"/>
      <c r="E487" s="485"/>
      <c r="F487" s="485"/>
      <c r="G487" s="485"/>
      <c r="H487" s="484"/>
      <c r="I487" s="2716" t="str">
        <f>IF(M486&lt;&gt;EUconst_Relevant,"",IF(M486=EUconst_Relevant,HYPERLINK("",EUconst_MsgEnterThisSection),HYPERLINK(R487,EUconst_MsgGoToNextSubInst)))</f>
        <v/>
      </c>
      <c r="J487" s="2717"/>
      <c r="K487" s="2717"/>
      <c r="L487" s="2717"/>
      <c r="M487" s="2718"/>
      <c r="N487" s="2719"/>
      <c r="O487" s="481"/>
      <c r="P487" s="481"/>
      <c r="Q487" s="1198" t="s">
        <v>441</v>
      </c>
      <c r="R487" s="1303" t="str">
        <f>"#JUMP_G"&amp;Q486+1</f>
        <v>#JUMP_G4</v>
      </c>
      <c r="Z487" s="1435"/>
    </row>
    <row r="488" spans="2:41" ht="12.75" customHeight="1">
      <c r="B488" s="467"/>
      <c r="C488" s="467"/>
      <c r="D488" s="485"/>
      <c r="E488" s="2385" t="s">
        <v>1197</v>
      </c>
      <c r="F488" s="2846"/>
      <c r="G488" s="2846"/>
      <c r="H488" s="2846"/>
      <c r="I488" s="2846"/>
      <c r="J488" s="2846"/>
      <c r="K488" s="2846"/>
      <c r="L488" s="2846"/>
      <c r="M488" s="2846"/>
      <c r="N488" s="2846"/>
      <c r="O488" s="481"/>
      <c r="P488" s="481"/>
      <c r="Q488" s="1249"/>
      <c r="R488" s="1249"/>
      <c r="AO488" s="1121" t="b">
        <f>$AD$486</f>
        <v>0</v>
      </c>
    </row>
    <row r="489" spans="2:41" ht="5.0999999999999996" customHeight="1">
      <c r="B489" s="467"/>
      <c r="C489" s="467"/>
      <c r="D489" s="467"/>
      <c r="E489" s="467"/>
      <c r="F489" s="467"/>
      <c r="G489" s="467"/>
      <c r="H489" s="467"/>
      <c r="I489" s="467"/>
      <c r="J489" s="467"/>
      <c r="K489" s="467"/>
      <c r="L489" s="467"/>
      <c r="M489" s="481"/>
      <c r="N489" s="481"/>
      <c r="O489" s="481"/>
      <c r="P489" s="481"/>
      <c r="Q489" s="1249"/>
      <c r="R489" s="1249"/>
      <c r="S489" s="1249"/>
      <c r="T489" s="1249"/>
      <c r="U489" s="1249"/>
      <c r="V489" s="1249"/>
      <c r="W489" s="1249"/>
      <c r="X489" s="1249"/>
      <c r="Y489" s="1249"/>
      <c r="AO489" s="1121" t="b">
        <f t="shared" ref="AO489:AO552" si="238">$AD$486</f>
        <v>0</v>
      </c>
    </row>
    <row r="490" spans="2:41" ht="12.75" customHeight="1">
      <c r="B490" s="467"/>
      <c r="C490" s="482"/>
      <c r="D490" s="482" t="s">
        <v>400</v>
      </c>
      <c r="E490" s="2373" t="s">
        <v>1930</v>
      </c>
      <c r="F490" s="2400"/>
      <c r="G490" s="2400"/>
      <c r="H490" s="2400"/>
      <c r="I490" s="2400"/>
      <c r="J490" s="2400"/>
      <c r="K490" s="2400"/>
      <c r="L490" s="2400"/>
      <c r="M490" s="2400"/>
      <c r="N490" s="2400"/>
      <c r="O490" s="481"/>
      <c r="P490" s="481"/>
      <c r="Q490" s="1249"/>
      <c r="R490" s="1249"/>
      <c r="S490" s="1249"/>
      <c r="T490" s="1249"/>
      <c r="U490" s="1249"/>
      <c r="V490" s="1249"/>
      <c r="W490" s="1249"/>
      <c r="X490" s="1249"/>
      <c r="Y490" s="1249"/>
      <c r="AB490" s="1435"/>
      <c r="AO490" s="1121" t="b">
        <f t="shared" si="238"/>
        <v>0</v>
      </c>
    </row>
    <row r="491" spans="2:41" ht="12.75" customHeight="1">
      <c r="B491" s="467"/>
      <c r="C491" s="485"/>
      <c r="D491" s="485"/>
      <c r="E491" s="3184" t="s">
        <v>1340</v>
      </c>
      <c r="F491" s="3184"/>
      <c r="G491" s="3184"/>
      <c r="H491" s="3184"/>
      <c r="I491" s="3184"/>
      <c r="J491" s="3184"/>
      <c r="K491" s="3184"/>
      <c r="L491" s="3184"/>
      <c r="M491" s="3184"/>
      <c r="N491" s="3184"/>
      <c r="O491" s="481"/>
      <c r="P491" s="481"/>
      <c r="Q491" s="1249"/>
      <c r="AO491" s="1121" t="b">
        <f t="shared" si="238"/>
        <v>0</v>
      </c>
    </row>
    <row r="492" spans="2:41" ht="12.75" customHeight="1">
      <c r="B492" s="467"/>
      <c r="C492" s="467"/>
      <c r="D492" s="485"/>
      <c r="E492" s="3050" t="s">
        <v>1959</v>
      </c>
      <c r="F492" s="2584"/>
      <c r="G492" s="2584"/>
      <c r="H492" s="2584"/>
      <c r="I492" s="2584"/>
      <c r="J492" s="2584"/>
      <c r="K492" s="2584"/>
      <c r="L492" s="2584"/>
      <c r="M492" s="2584"/>
      <c r="N492" s="2584"/>
      <c r="O492" s="481"/>
      <c r="P492" s="481"/>
      <c r="Q492" s="1249"/>
      <c r="AA492" s="1435"/>
      <c r="AB492" s="1435"/>
      <c r="AO492" s="1121" t="b">
        <f t="shared" si="238"/>
        <v>0</v>
      </c>
    </row>
    <row r="493" spans="2:41" ht="12.75" customHeight="1" thickBot="1">
      <c r="B493" s="1124"/>
      <c r="C493" s="482"/>
      <c r="D493" s="482"/>
      <c r="E493" s="707" t="s">
        <v>920</v>
      </c>
      <c r="F493" s="518"/>
      <c r="G493" s="663" t="str">
        <f>EUconst_Unit</f>
        <v>Unit</v>
      </c>
      <c r="H493" s="578">
        <f t="shared" ref="H493:N493" si="239">H$1190</f>
        <v>2024</v>
      </c>
      <c r="I493" s="697">
        <f t="shared" si="239"/>
        <v>2025</v>
      </c>
      <c r="J493" s="1489">
        <f t="shared" si="239"/>
        <v>2026</v>
      </c>
      <c r="K493" s="1490">
        <f t="shared" si="239"/>
        <v>2027</v>
      </c>
      <c r="L493" s="1490">
        <f t="shared" si="239"/>
        <v>2028</v>
      </c>
      <c r="M493" s="1490">
        <f t="shared" si="239"/>
        <v>2029</v>
      </c>
      <c r="N493" s="1490">
        <f t="shared" si="239"/>
        <v>2030</v>
      </c>
      <c r="O493" s="481"/>
      <c r="P493" s="481"/>
      <c r="Q493" s="1504" t="s">
        <v>546</v>
      </c>
      <c r="T493" s="1638">
        <f t="shared" ref="T493:Z493" si="240">H493</f>
        <v>2024</v>
      </c>
      <c r="U493" s="1638">
        <f t="shared" si="240"/>
        <v>2025</v>
      </c>
      <c r="V493" s="1638">
        <f t="shared" si="240"/>
        <v>2026</v>
      </c>
      <c r="W493" s="1638">
        <f t="shared" si="240"/>
        <v>2027</v>
      </c>
      <c r="X493" s="1638">
        <f t="shared" si="240"/>
        <v>2028</v>
      </c>
      <c r="Y493" s="1638">
        <f t="shared" si="240"/>
        <v>2029</v>
      </c>
      <c r="Z493" s="1638">
        <f t="shared" si="240"/>
        <v>2030</v>
      </c>
      <c r="AA493" s="1435"/>
      <c r="AB493" s="1435"/>
      <c r="AO493" s="1121" t="b">
        <f t="shared" si="238"/>
        <v>0</v>
      </c>
    </row>
    <row r="494" spans="2:41" ht="12.75" customHeight="1" thickBot="1">
      <c r="B494" s="1124"/>
      <c r="C494" s="485"/>
      <c r="D494" s="561" t="s">
        <v>6</v>
      </c>
      <c r="E494" s="3296" t="str">
        <f>I486</f>
        <v>District heating sub-installation</v>
      </c>
      <c r="F494" s="3296"/>
      <c r="G494" s="898" t="str">
        <f>INDEX(EUconst_FallBackListUnits,MATCH(E494,EUconst_FallBackListNames,0))</f>
        <v>TJ</v>
      </c>
      <c r="H494" s="668" t="str">
        <f>IF($M486&lt;&gt;EUconst_Relevant,"",IF(H493&gt;=CNTR_ReportingYear,"",IF(AND(H493&gt;=$V486-1,ISNUMBER(INDEX(E_EnergyFlows!H$400:H$406,MATCH($E494,E_EnergyFlows!$E$400:$E$406,0)))),INDEX(E_EnergyFlows!H$400:H$406,MATCH($E494,E_EnergyFlows!$E$400:$E$406,0)),0)))</f>
        <v/>
      </c>
      <c r="I494" s="1021" t="str">
        <f>IF($M486&lt;&gt;EUconst_Relevant,"",IF(I493&gt;=CNTR_ReportingYear,"",IF(AND(I493&gt;=$V486-1,ISNUMBER(INDEX(E_EnergyFlows!I$400:I$406,MATCH($E494,E_EnergyFlows!$E$400:$E$406,0)))),INDEX(E_EnergyFlows!I$400:I$406,MATCH($E494,E_EnergyFlows!$E$400:$E$406,0)),0)))</f>
        <v/>
      </c>
      <c r="J494" s="1491" t="str">
        <f>IF($M486&lt;&gt;EUconst_Relevant,"",IF(J493&gt;=CNTR_ReportingYear,"",IF(AND(J493&gt;=$V486-1,ISNUMBER(INDEX(E_EnergyFlows!J$400:J$406,MATCH($E494,E_EnergyFlows!$E$400:$E$406,0)))),INDEX(E_EnergyFlows!J$400:J$406,MATCH($E494,E_EnergyFlows!$E$400:$E$406,0)),0)))</f>
        <v/>
      </c>
      <c r="K494" s="1492" t="str">
        <f>IF($M486&lt;&gt;EUconst_Relevant,"",IF(K493&gt;=CNTR_ReportingYear,"",IF(AND(K493&gt;=$V486-1,ISNUMBER(INDEX(E_EnergyFlows!K$400:K$406,MATCH($E494,E_EnergyFlows!$E$400:$E$406,0)))),INDEX(E_EnergyFlows!K$400:K$406,MATCH($E494,E_EnergyFlows!$E$400:$E$406,0)),0)))</f>
        <v/>
      </c>
      <c r="L494" s="1492" t="str">
        <f>IF($M486&lt;&gt;EUconst_Relevant,"",IF(L493&gt;=CNTR_ReportingYear,"",IF(AND(L493&gt;=$V486-1,ISNUMBER(INDEX(E_EnergyFlows!L$400:L$406,MATCH($E494,E_EnergyFlows!$E$400:$E$406,0)))),INDEX(E_EnergyFlows!L$400:L$406,MATCH($E494,E_EnergyFlows!$E$400:$E$406,0)),0)))</f>
        <v/>
      </c>
      <c r="M494" s="1492" t="str">
        <f>IF($M486&lt;&gt;EUconst_Relevant,"",IF(M493&gt;=CNTR_ReportingYear,"",IF(AND(M493&gt;=$V486-1,ISNUMBER(INDEX(E_EnergyFlows!M$400:M$406,MATCH($E494,E_EnergyFlows!$E$400:$E$406,0)))),INDEX(E_EnergyFlows!M$400:M$406,MATCH($E494,E_EnergyFlows!$E$400:$E$406,0)),0)))</f>
        <v/>
      </c>
      <c r="N494" s="1492" t="str">
        <f>IF($M486&lt;&gt;EUconst_Relevant,"",IF(N493&gt;=CNTR_ReportingYear,"",IF(AND(N493&gt;=$V486-1,ISNUMBER(INDEX(E_EnergyFlows!N$400:N$406,MATCH($E494,E_EnergyFlows!$E$400:$E$406,0)))),INDEX(E_EnergyFlows!N$400:N$406,MATCH($E494,E_EnergyFlows!$E$400:$E$406,0)),0)))</f>
        <v/>
      </c>
      <c r="O494" s="1136"/>
      <c r="P494" s="481"/>
      <c r="Q494" s="1892" t="str">
        <f>EUconst_CNTR_HAL&amp;E494</f>
        <v>HAL_District heating sub-installation</v>
      </c>
      <c r="S494" s="1893" t="s">
        <v>1674</v>
      </c>
      <c r="T494" s="1981" t="b">
        <f t="shared" ref="T494:Z494" si="241">AND($M486=EUconst_Relevant,T493&lt;CNTR_ReportingYear,T493&gt;=$V486-1)</f>
        <v>0</v>
      </c>
      <c r="U494" s="1982" t="b">
        <f t="shared" si="241"/>
        <v>0</v>
      </c>
      <c r="V494" s="1982" t="b">
        <f t="shared" si="241"/>
        <v>0</v>
      </c>
      <c r="W494" s="1982" t="b">
        <f t="shared" si="241"/>
        <v>0</v>
      </c>
      <c r="X494" s="1982" t="b">
        <f t="shared" si="241"/>
        <v>0</v>
      </c>
      <c r="Y494" s="1982" t="b">
        <f t="shared" si="241"/>
        <v>0</v>
      </c>
      <c r="Z494" s="1983" t="b">
        <f t="shared" si="241"/>
        <v>0</v>
      </c>
      <c r="AC494" s="1893"/>
      <c r="AK494" s="1633" t="s">
        <v>1951</v>
      </c>
      <c r="AL494" s="1443" t="str">
        <f>IF(COUNTIFS(H493:N493,"&lt;"&amp;YEAR(SUM(T486)),H494:N494,"&gt;"&amp;0)&gt;0,EUconst_Error&amp;"FB"&amp;Q486,"")</f>
        <v/>
      </c>
      <c r="AO494" s="1121" t="b">
        <f t="shared" si="238"/>
        <v>0</v>
      </c>
    </row>
    <row r="495" spans="2:41" ht="5.0999999999999996" customHeight="1">
      <c r="B495" s="479"/>
      <c r="C495" s="479"/>
      <c r="D495" s="485"/>
      <c r="E495" s="485"/>
      <c r="F495" s="485"/>
      <c r="G495" s="485"/>
      <c r="H495" s="485"/>
      <c r="I495" s="485"/>
      <c r="J495" s="485"/>
      <c r="K495" s="485"/>
      <c r="L495" s="485"/>
      <c r="M495" s="485"/>
      <c r="N495" s="485"/>
      <c r="O495" s="485"/>
      <c r="P495" s="481"/>
      <c r="Q495" s="1435"/>
      <c r="S495" s="1435"/>
      <c r="T495" s="1435"/>
      <c r="Z495" s="1435"/>
      <c r="AB495" s="1435"/>
      <c r="AO495" s="1121" t="b">
        <f t="shared" si="238"/>
        <v>0</v>
      </c>
    </row>
    <row r="496" spans="2:41" ht="25.5" customHeight="1">
      <c r="B496" s="479"/>
      <c r="C496" s="479"/>
      <c r="D496" s="485"/>
      <c r="E496" s="2385" t="s">
        <v>1712</v>
      </c>
      <c r="F496" s="2846"/>
      <c r="G496" s="2846"/>
      <c r="H496" s="2846"/>
      <c r="I496" s="2846"/>
      <c r="J496" s="2846"/>
      <c r="K496" s="2846"/>
      <c r="L496" s="2846"/>
      <c r="M496" s="2846"/>
      <c r="N496" s="2846"/>
      <c r="O496" s="485"/>
      <c r="P496" s="481"/>
      <c r="Q496" s="1435"/>
      <c r="S496" s="1435"/>
      <c r="T496" s="1435"/>
      <c r="U496" s="1435"/>
      <c r="AE496" s="1198"/>
      <c r="AF496" s="1198"/>
      <c r="AG496" s="1198"/>
      <c r="AH496" s="1198"/>
      <c r="AI496" s="1198"/>
      <c r="AJ496" s="1198"/>
      <c r="AK496" s="1198"/>
      <c r="AL496" s="1198"/>
      <c r="AO496" s="1121" t="b">
        <f t="shared" si="238"/>
        <v>0</v>
      </c>
    </row>
    <row r="497" spans="1:41" ht="12.75" customHeight="1">
      <c r="B497" s="479"/>
      <c r="C497" s="479"/>
      <c r="D497" s="485"/>
      <c r="E497" s="901" t="s">
        <v>1021</v>
      </c>
      <c r="F497" s="3050" t="s">
        <v>2711</v>
      </c>
      <c r="G497" s="2584"/>
      <c r="H497" s="2584"/>
      <c r="I497" s="2584"/>
      <c r="J497" s="2584"/>
      <c r="K497" s="2584"/>
      <c r="L497" s="2584"/>
      <c r="M497" s="2584"/>
      <c r="N497" s="2584"/>
      <c r="O497" s="485"/>
      <c r="P497" s="481"/>
      <c r="Q497" s="1435"/>
      <c r="S497" s="1435"/>
      <c r="T497" s="1435"/>
      <c r="U497" s="1435"/>
      <c r="AO497" s="1121" t="b">
        <f t="shared" si="238"/>
        <v>0</v>
      </c>
    </row>
    <row r="498" spans="1:41" ht="12.75" customHeight="1">
      <c r="B498" s="479"/>
      <c r="C498" s="479"/>
      <c r="D498" s="485"/>
      <c r="E498" s="901" t="s">
        <v>1021</v>
      </c>
      <c r="F498" s="3050" t="s">
        <v>1985</v>
      </c>
      <c r="G498" s="2584"/>
      <c r="H498" s="2584"/>
      <c r="I498" s="2584"/>
      <c r="J498" s="2584"/>
      <c r="K498" s="2584"/>
      <c r="L498" s="2584"/>
      <c r="M498" s="2584"/>
      <c r="N498" s="2584"/>
      <c r="O498" s="485"/>
      <c r="P498" s="481"/>
      <c r="Q498" s="1435"/>
      <c r="S498" s="1435"/>
      <c r="T498" s="1435"/>
      <c r="U498" s="1435"/>
      <c r="AO498" s="1121" t="b">
        <f t="shared" si="238"/>
        <v>0</v>
      </c>
    </row>
    <row r="499" spans="1:41" ht="12.75" customHeight="1" thickBot="1">
      <c r="B499" s="479"/>
      <c r="C499" s="479"/>
      <c r="D499" s="485"/>
      <c r="E499" s="901" t="s">
        <v>2258</v>
      </c>
      <c r="F499" s="3050" t="s">
        <v>2251</v>
      </c>
      <c r="G499" s="2584"/>
      <c r="H499" s="2584"/>
      <c r="I499" s="2584"/>
      <c r="J499" s="2584"/>
      <c r="K499" s="2584"/>
      <c r="L499" s="2584"/>
      <c r="M499" s="2584"/>
      <c r="N499" s="2584"/>
      <c r="O499" s="485"/>
      <c r="P499" s="481"/>
      <c r="Q499" s="1435"/>
      <c r="S499" s="1435"/>
      <c r="T499" s="1435"/>
      <c r="U499" s="1435"/>
      <c r="AO499" s="1121" t="b">
        <f t="shared" si="238"/>
        <v>0</v>
      </c>
    </row>
    <row r="500" spans="1:41" ht="5.0999999999999996" customHeight="1" thickBot="1">
      <c r="B500" s="479"/>
      <c r="C500" s="479"/>
      <c r="D500" s="902"/>
      <c r="E500" s="903"/>
      <c r="F500" s="904"/>
      <c r="G500" s="905"/>
      <c r="H500" s="905"/>
      <c r="I500" s="905"/>
      <c r="J500" s="906"/>
      <c r="K500" s="1798"/>
      <c r="L500" s="1798"/>
      <c r="M500" s="1798"/>
      <c r="N500" s="1798"/>
      <c r="O500" s="485"/>
      <c r="P500" s="481"/>
      <c r="Q500" s="1435"/>
      <c r="S500" s="1435"/>
      <c r="T500" s="1435"/>
      <c r="U500" s="1435"/>
      <c r="AO500" s="1121" t="b">
        <f t="shared" si="238"/>
        <v>0</v>
      </c>
    </row>
    <row r="501" spans="1:41" ht="12.75" customHeight="1">
      <c r="B501" s="479"/>
      <c r="C501" s="479"/>
      <c r="D501" s="918"/>
      <c r="E501" s="908" t="s">
        <v>1652</v>
      </c>
      <c r="F501" s="909"/>
      <c r="G501" s="909"/>
      <c r="H501" s="910" t="str">
        <f>EUconst_Unit</f>
        <v>Unit</v>
      </c>
      <c r="I501" s="911" t="s">
        <v>2212</v>
      </c>
      <c r="J501" s="1647">
        <f>J$1190</f>
        <v>2026</v>
      </c>
      <c r="K501" s="1490">
        <f>K$1190</f>
        <v>2027</v>
      </c>
      <c r="L501" s="1490">
        <f>L$1190</f>
        <v>2028</v>
      </c>
      <c r="M501" s="1490">
        <f>M$1190</f>
        <v>2029</v>
      </c>
      <c r="N501" s="1490">
        <f>N$1190</f>
        <v>2030</v>
      </c>
      <c r="O501" s="485"/>
      <c r="P501" s="481"/>
      <c r="Q501" s="1435"/>
      <c r="S501" s="1435"/>
      <c r="T501" s="1435"/>
      <c r="U501" s="1648"/>
      <c r="V501" s="1649">
        <f>J501</f>
        <v>2026</v>
      </c>
      <c r="W501" s="1649">
        <f>K501</f>
        <v>2027</v>
      </c>
      <c r="X501" s="1649">
        <f>L501</f>
        <v>2028</v>
      </c>
      <c r="Y501" s="1649">
        <f>M501</f>
        <v>2029</v>
      </c>
      <c r="Z501" s="1650">
        <f>N501</f>
        <v>2030</v>
      </c>
      <c r="AO501" s="1121" t="b">
        <f t="shared" si="238"/>
        <v>0</v>
      </c>
    </row>
    <row r="502" spans="1:41" ht="12.75" customHeight="1">
      <c r="B502" s="479"/>
      <c r="C502" s="479"/>
      <c r="D502" s="915" t="s">
        <v>7</v>
      </c>
      <c r="E502" s="916" t="s">
        <v>1976</v>
      </c>
      <c r="F502" s="916"/>
      <c r="G502" s="916"/>
      <c r="H502" s="944" t="str">
        <f>G494</f>
        <v>TJ</v>
      </c>
      <c r="I502" s="800" t="str">
        <f>IF(V486&gt;($J$1190-3),EUconst_NA,INDEX('B+C_SubInstallations'!$I:$I,MATCH(Q502,'B+C_SubInstallations'!$T:$T,0)))</f>
        <v/>
      </c>
      <c r="J502" s="1894" t="str">
        <f>IF(AND(V502&gt;=3,CNTR_ReportingYear&gt;J501-1),AVERAGE(SUM(H494),SUM(I494)),"")</f>
        <v/>
      </c>
      <c r="K502" s="1895" t="str">
        <f>IF(AND(W502&gt;=3,CNTR_ReportingYear&gt;K501-1),AVERAGE(SUM(I494),SUM(J494)),"")</f>
        <v/>
      </c>
      <c r="L502" s="1895" t="str">
        <f>IF(AND(X502&gt;=3,CNTR_ReportingYear&gt;L501-1),AVERAGE(SUM(J494),SUM(K494)),"")</f>
        <v/>
      </c>
      <c r="M502" s="1895" t="str">
        <f>IF(AND(Y502&gt;=3,CNTR_ReportingYear&gt;M501-1),AVERAGE(SUM(K494),SUM(L494)),"")</f>
        <v/>
      </c>
      <c r="N502" s="1895" t="str">
        <f>IF(AND(Z502&gt;=3,CNTR_ReportingYear&gt;N501-1),AVERAGE(SUM(L494),SUM(M494)),"")</f>
        <v/>
      </c>
      <c r="O502" s="485"/>
      <c r="P502" s="481"/>
      <c r="Q502" s="1704" t="str">
        <f>EUconst_CNTR_HALinitial&amp;I486</f>
        <v>HALini_District heating sub-installation</v>
      </c>
      <c r="S502" s="1435"/>
      <c r="T502" s="1435"/>
      <c r="U502" s="1693" t="s">
        <v>1650</v>
      </c>
      <c r="V502" s="1251">
        <f>IF($M486&lt;&gt;EUconst_Relevant,0,V501-$V486+1)</f>
        <v>0</v>
      </c>
      <c r="W502" s="1251">
        <f>IF($M486&lt;&gt;EUconst_Relevant,0,W501-$V486+1)</f>
        <v>0</v>
      </c>
      <c r="X502" s="1251">
        <f>IF($M486&lt;&gt;EUconst_Relevant,0,X501-$V486+1)</f>
        <v>0</v>
      </c>
      <c r="Y502" s="1251">
        <f>IF($M486&lt;&gt;EUconst_Relevant,0,Y501-$V486+1)</f>
        <v>0</v>
      </c>
      <c r="Z502" s="1896">
        <f>IF($M486&lt;&gt;EUconst_Relevant,0,Z501-$V486+1)</f>
        <v>0</v>
      </c>
      <c r="AO502" s="1121" t="b">
        <f t="shared" si="238"/>
        <v>0</v>
      </c>
    </row>
    <row r="503" spans="1:41" ht="12.75" hidden="1" customHeight="1">
      <c r="A503" s="618" t="s">
        <v>2289</v>
      </c>
      <c r="B503" s="479"/>
      <c r="C503" s="479"/>
      <c r="D503" s="915"/>
      <c r="E503" s="916" t="s">
        <v>1648</v>
      </c>
      <c r="F503" s="916"/>
      <c r="G503" s="916"/>
      <c r="H503" s="921"/>
      <c r="I503" s="1657"/>
      <c r="J503" s="17" t="str">
        <f>IF(J502="","",IF($I505=0,IF(J502=0,0%,100%),J502/$I505-1))</f>
        <v/>
      </c>
      <c r="K503" s="22" t="str">
        <f>IF(K502="","",IF($I505=0,IF(K502=0,0%,100%),K502/$I505-1))</f>
        <v/>
      </c>
      <c r="L503" s="22" t="str">
        <f>IF(L502="","",IF($I505=0,IF(L502=0,0%,100%),L502/$I505-1))</f>
        <v/>
      </c>
      <c r="M503" s="22" t="str">
        <f>IF(M502="","",IF($I505=0,IF(M502=0,0%,100%),M502/$I505-1))</f>
        <v/>
      </c>
      <c r="N503" s="22" t="str">
        <f>IF(N502="","",IF($I505=0,IF(N502=0,0%,100%),N502/$I505-1))</f>
        <v/>
      </c>
      <c r="O503" s="485"/>
      <c r="P503" s="481"/>
      <c r="Q503" s="1644" t="str">
        <f>EUconst_CNTR_RelThreshold &amp;I486</f>
        <v>RelThresh_District heating sub-installation</v>
      </c>
      <c r="S503" s="1435"/>
      <c r="T503" s="1435"/>
      <c r="U503" s="1693" t="s">
        <v>1655</v>
      </c>
      <c r="V503" s="1158" t="str">
        <f>IF(J502="","",ABS(J503)&gt;15%)</f>
        <v/>
      </c>
      <c r="W503" s="1158" t="str">
        <f>IF(K502="","",ABS(K503)&gt;15%)</f>
        <v/>
      </c>
      <c r="X503" s="1158" t="str">
        <f>IF(L502="","",ABS(L503)&gt;15%)</f>
        <v/>
      </c>
      <c r="Y503" s="1158" t="str">
        <f>IF(M502="","",ABS(M503)&gt;15%)</f>
        <v/>
      </c>
      <c r="Z503" s="1656" t="str">
        <f>IF(N502="","",ABS(N503)&gt;15%)</f>
        <v/>
      </c>
      <c r="AO503" s="1121" t="b">
        <f t="shared" si="238"/>
        <v>0</v>
      </c>
    </row>
    <row r="504" spans="1:41" ht="12.75" customHeight="1">
      <c r="A504" s="618"/>
      <c r="B504" s="479"/>
      <c r="C504" s="479"/>
      <c r="D504" s="915" t="s">
        <v>8</v>
      </c>
      <c r="E504" s="916" t="s">
        <v>1654</v>
      </c>
      <c r="F504" s="916"/>
      <c r="G504" s="916"/>
      <c r="H504" s="921"/>
      <c r="I504" s="1657"/>
      <c r="J504" s="1658" t="str">
        <f>IF(J502="","",IF(V503=FALSE,0%,IF(V504,J503,I510)))</f>
        <v/>
      </c>
      <c r="K504" s="1795" t="str">
        <f>IF(K502="","",IF(W503=FALSE,0%,IF(W504,K503,J510)))</f>
        <v/>
      </c>
      <c r="L504" s="1795" t="str">
        <f>IF(L502="","",IF(X503=FALSE,0%,IF(X504,L503,K510)))</f>
        <v/>
      </c>
      <c r="M504" s="1795" t="str">
        <f>IF(M502="","",IF(Y503=FALSE,0%,IF(Y504,M503,L510)))</f>
        <v/>
      </c>
      <c r="N504" s="1795" t="str">
        <f>IF(N502="","",IF(Z503=FALSE,0%,IF(Z504,N503,M510)))</f>
        <v/>
      </c>
      <c r="O504" s="485"/>
      <c r="P504" s="481"/>
      <c r="Q504" s="1435"/>
      <c r="S504" s="1435"/>
      <c r="T504" s="1435"/>
      <c r="U504" s="1693" t="s">
        <v>1656</v>
      </c>
      <c r="V504" s="1158" t="str">
        <f>IF(J502="","",AND(V503,IF(SUM(I510)&lt;0,OR(SUM(J503)&lt;SUM(I510)-MOD(SUM(I510),5%),J503&gt;=SUM(I510)+5%-MOD(SUM(I510),5%)),OR(SUM(J503)&lt;=SUM(I510)-MOD(SUM(I510),5%),SUM(J503)&gt;SUM(I510)+5%-MOD(SUM(I510),5%)))))</f>
        <v/>
      </c>
      <c r="W504" s="1158" t="str">
        <f>IF(K502="","",AND(W503,IF(SUM(J510)&lt;0,OR(SUM(K503)&lt;SUM(J510)-MOD(SUM(J510),5%),K503&gt;=SUM(J510)+5%-MOD(SUM(J510),5%)),OR(SUM(K503)&lt;=SUM(J510)-MOD(SUM(J510),5%),SUM(K503)&gt;SUM(J510)+5%-MOD(SUM(J510),5%)))))</f>
        <v/>
      </c>
      <c r="X504" s="1158" t="str">
        <f>IF(L502="","",AND(X503,IF(SUM(K510)&lt;0,OR(SUM(L503)&lt;SUM(K510)-MOD(SUM(K510),5%),L503&gt;=SUM(K510)+5%-MOD(SUM(K510),5%)),OR(SUM(L503)&lt;=SUM(K510)-MOD(SUM(K510),5%),SUM(L503)&gt;SUM(K510)+5%-MOD(SUM(K510),5%)))))</f>
        <v/>
      </c>
      <c r="Y504" s="1158" t="str">
        <f>IF(M502="","",AND(Y503,IF(SUM(L510)&lt;0,OR(SUM(M503)&lt;SUM(L510)-MOD(SUM(L510),5%),M503&gt;=SUM(L510)+5%-MOD(SUM(L510),5%)),OR(SUM(M503)&lt;=SUM(L510)-MOD(SUM(L510),5%),SUM(M503)&gt;SUM(L510)+5%-MOD(SUM(L510),5%)))))</f>
        <v/>
      </c>
      <c r="Z504" s="1656" t="str">
        <f>IF(N502="","",AND(Z503,IF(SUM(M510)&lt;0,OR(SUM(N503)&lt;SUM(M510)-MOD(SUM(M510),5%),N503&gt;=SUM(M510)+5%-MOD(SUM(M510),5%)),OR(SUM(N503)&lt;=SUM(M510)-MOD(SUM(M510),5%),SUM(N503)&gt;SUM(M510)+5%-MOD(SUM(M510),5%)))))</f>
        <v/>
      </c>
      <c r="AO504" s="1121" t="b">
        <f t="shared" si="238"/>
        <v>0</v>
      </c>
    </row>
    <row r="505" spans="1:41" ht="12.75" customHeight="1">
      <c r="A505" s="618"/>
      <c r="B505" s="479"/>
      <c r="C505" s="479"/>
      <c r="D505" s="915" t="s">
        <v>18</v>
      </c>
      <c r="E505" s="916" t="s">
        <v>1647</v>
      </c>
      <c r="F505" s="916"/>
      <c r="G505" s="916"/>
      <c r="H505" s="944" t="str">
        <f>H502</f>
        <v>TJ</v>
      </c>
      <c r="I505" s="800" t="str">
        <f>IF(M486&lt;&gt;EUconst_Relevant,"",IF(AB486=FALSE,EUconst_NA,IF(V486&gt;($J$1190-3),INDEX(H494:N494,MATCH($V486,H493:N493,0)),I502)))</f>
        <v/>
      </c>
      <c r="J505" s="1894" t="str">
        <f>IF($M486&lt;&gt;EUconst_Relevant,"",IF(V502&lt;2,SUM(J494),IF(V502&lt;3,SUM(I494),IF(V505="",I505,V505))))</f>
        <v/>
      </c>
      <c r="K505" s="1895" t="str">
        <f>IF($M486&lt;&gt;EUconst_Relevant,"",IF(W502&lt;2,SUM(K494),IF(W502&lt;3,SUM(J494),IF(W505="",J505,W505))))</f>
        <v/>
      </c>
      <c r="L505" s="1895" t="str">
        <f>IF($M486&lt;&gt;EUconst_Relevant,"",IF(X502&lt;2,SUM(L494),IF(X502&lt;3,SUM(K494),IF(X505="",K505,X505))))</f>
        <v/>
      </c>
      <c r="M505" s="1895" t="str">
        <f>IF($M486&lt;&gt;EUconst_Relevant,"",IF(Y502&lt;2,SUM(M494),IF(Y502&lt;3,SUM(L494),IF(Y505="",L505,Y505))))</f>
        <v/>
      </c>
      <c r="N505" s="1895" t="str">
        <f>IF($M486&lt;&gt;EUconst_Relevant,"",IF(Z502&lt;2,SUM(N494),IF(Z502&lt;3,SUM(M494),IF(Z505="",M505,Z505))))</f>
        <v/>
      </c>
      <c r="O505" s="1136"/>
      <c r="P505" s="481"/>
      <c r="Q505" s="1644" t="str">
        <f>EUconst_CNTR_HALprelim&amp;I486</f>
        <v>HALprelim_District heating sub-installation</v>
      </c>
      <c r="S505" s="1435"/>
      <c r="T505" s="1435"/>
      <c r="U505" s="1693" t="s">
        <v>1651</v>
      </c>
      <c r="V505" s="1660" t="str">
        <f>IF(J502="","",IF(CNTR_ReportingYear&lt;J501,I504,IF($I505=0,J502,$I505*(1+J504))))</f>
        <v/>
      </c>
      <c r="W505" s="1660" t="str">
        <f>IF(K502="","",IF(CNTR_ReportingYear&lt;K501,J504,IF($I505=0,K502,$I505*(1+K504))))</f>
        <v/>
      </c>
      <c r="X505" s="1660" t="str">
        <f>IF(L502="","",IF(CNTR_ReportingYear&lt;L501,K504,IF($I505=0,L502,$I505*(1+L504))))</f>
        <v/>
      </c>
      <c r="Y505" s="1660" t="str">
        <f>IF(M502="","",IF(CNTR_ReportingYear&lt;M501,L504,IF($I505=0,M502,$I505*(1+M504))))</f>
        <v/>
      </c>
      <c r="Z505" s="1660" t="str">
        <f>IF(N502="","",IF(CNTR_ReportingYear&lt;N501,M504,IF($I505=0,N502,$I505*(1+N504))))</f>
        <v/>
      </c>
      <c r="AO505" s="1121" t="b">
        <f t="shared" si="238"/>
        <v>0</v>
      </c>
    </row>
    <row r="506" spans="1:41" ht="5.0999999999999996" customHeight="1">
      <c r="A506" s="618"/>
      <c r="B506" s="479"/>
      <c r="C506" s="479"/>
      <c r="D506" s="918"/>
      <c r="E506" s="909"/>
      <c r="F506" s="909"/>
      <c r="G506" s="909"/>
      <c r="H506" s="909"/>
      <c r="I506" s="909"/>
      <c r="J506" s="922"/>
      <c r="K506" s="1791"/>
      <c r="L506" s="1791"/>
      <c r="M506" s="1791"/>
      <c r="N506" s="1791"/>
      <c r="O506" s="485"/>
      <c r="P506" s="485"/>
      <c r="Q506" s="1435"/>
      <c r="U506" s="1663"/>
      <c r="V506" s="1435"/>
      <c r="Z506" s="1664"/>
      <c r="AO506" s="1121" t="b">
        <f t="shared" si="238"/>
        <v>0</v>
      </c>
    </row>
    <row r="507" spans="1:41" ht="12.75" customHeight="1">
      <c r="A507" s="618"/>
      <c r="B507" s="479"/>
      <c r="C507" s="479"/>
      <c r="D507" s="918"/>
      <c r="E507" s="923" t="s">
        <v>1653</v>
      </c>
      <c r="F507" s="923"/>
      <c r="G507" s="923"/>
      <c r="H507" s="923"/>
      <c r="I507" s="923"/>
      <c r="J507" s="1647">
        <f>J$1190</f>
        <v>2026</v>
      </c>
      <c r="K507" s="1490">
        <f>K$1190</f>
        <v>2027</v>
      </c>
      <c r="L507" s="1490">
        <f>L$1190</f>
        <v>2028</v>
      </c>
      <c r="M507" s="1490">
        <f>M$1190</f>
        <v>2029</v>
      </c>
      <c r="N507" s="1490">
        <f>N$1190</f>
        <v>2030</v>
      </c>
      <c r="O507" s="485"/>
      <c r="P507" s="485"/>
      <c r="Q507" s="1435"/>
      <c r="U507" s="1665"/>
      <c r="Z507" s="1664"/>
      <c r="AO507" s="1121" t="b">
        <f t="shared" si="238"/>
        <v>0</v>
      </c>
    </row>
    <row r="508" spans="1:41" ht="12.75" customHeight="1">
      <c r="A508" s="618"/>
      <c r="B508" s="479"/>
      <c r="C508" s="479"/>
      <c r="D508" s="915" t="s">
        <v>787</v>
      </c>
      <c r="E508" s="916" t="s">
        <v>2108</v>
      </c>
      <c r="F508" s="916"/>
      <c r="G508" s="916"/>
      <c r="H508" s="916"/>
      <c r="I508" s="916"/>
      <c r="J508" s="1666" t="str">
        <f>IF($M486&lt;&gt;EUconst_Relevant,"",INDEX(K_Summary!J:J,MATCH($Q508,K_Summary!$P:$P,0)))</f>
        <v/>
      </c>
      <c r="K508" s="1791" t="str">
        <f>IF($M486&lt;&gt;EUconst_Relevant,"",INDEX(K_Summary!K:K,MATCH($Q508,K_Summary!$P:$P,0)))</f>
        <v/>
      </c>
      <c r="L508" s="1791" t="str">
        <f>IF($M486&lt;&gt;EUconst_Relevant,"",INDEX(K_Summary!L:L,MATCH($Q508,K_Summary!$P:$P,0)))</f>
        <v/>
      </c>
      <c r="M508" s="1791" t="str">
        <f>IF($M486&lt;&gt;EUconst_Relevant,"",INDEX(K_Summary!M:M,MATCH($Q508,K_Summary!$P:$P,0)))</f>
        <v/>
      </c>
      <c r="N508" s="1791" t="str">
        <f>IF($M486&lt;&gt;EUconst_Relevant,"",INDEX(K_Summary!N:N,MATCH($Q508,K_Summary!$P:$P,0)))</f>
        <v/>
      </c>
      <c r="O508" s="485"/>
      <c r="P508" s="485"/>
      <c r="Q508" s="1641" t="str">
        <f>EUconst_CNTR_100EUA_ActivityLevel&amp;I486</f>
        <v>EUA100AL_District heating sub-installation</v>
      </c>
      <c r="U508" s="1665"/>
      <c r="V508" s="8"/>
      <c r="W508" s="8"/>
      <c r="X508" s="8"/>
      <c r="Y508" s="8"/>
      <c r="Z508" s="1664"/>
      <c r="AO508" s="1121" t="b">
        <f t="shared" si="238"/>
        <v>0</v>
      </c>
    </row>
    <row r="509" spans="1:41" ht="5.0999999999999996" customHeight="1" thickBot="1">
      <c r="A509" s="618"/>
      <c r="B509" s="479"/>
      <c r="C509" s="479"/>
      <c r="D509" s="918"/>
      <c r="E509" s="909"/>
      <c r="F509" s="909"/>
      <c r="G509" s="909"/>
      <c r="H509" s="909"/>
      <c r="I509" s="909"/>
      <c r="J509" s="922"/>
      <c r="K509" s="1791"/>
      <c r="L509" s="1791"/>
      <c r="M509" s="1791"/>
      <c r="N509" s="1791"/>
      <c r="O509" s="485"/>
      <c r="P509" s="485"/>
      <c r="Q509" s="1435"/>
      <c r="U509" s="1663"/>
      <c r="V509" s="1435"/>
      <c r="Z509" s="1664"/>
      <c r="AO509" s="1121" t="b">
        <f t="shared" si="238"/>
        <v>0</v>
      </c>
    </row>
    <row r="510" spans="1:41" ht="12.75" customHeight="1" thickBot="1">
      <c r="B510" s="479"/>
      <c r="C510" s="479"/>
      <c r="D510" s="915" t="s">
        <v>788</v>
      </c>
      <c r="E510" s="916" t="s">
        <v>1657</v>
      </c>
      <c r="F510" s="916"/>
      <c r="G510" s="916"/>
      <c r="H510" s="921"/>
      <c r="I510" s="1667"/>
      <c r="J510" s="1668" t="str">
        <f>IF(J508="","",IF(J501&gt;$Z486,-100%,IF(OR(J508,V502&lt;1),J504,I510)))</f>
        <v/>
      </c>
      <c r="K510" s="1796" t="str">
        <f>IF(K508="","",IF(K501&gt;$Z486,-100%,IF(OR(K508,W502&lt;1),K504,J510)))</f>
        <v/>
      </c>
      <c r="L510" s="1796" t="str">
        <f>IF(L508="","",IF(L501&gt;$Z486,-100%,IF(OR(L508,X502&lt;1),L504,K510)))</f>
        <v/>
      </c>
      <c r="M510" s="1796" t="str">
        <f>IF(M508="","",IF(M501&gt;$Z486,-100%,IF(OR(M508,Y502&lt;1),M504,L510)))</f>
        <v/>
      </c>
      <c r="N510" s="1796" t="str">
        <f>IF(N508="","",IF(N501&gt;$Z486,-100%,IF(OR(N508,Z502&lt;1),N504,M510)))</f>
        <v/>
      </c>
      <c r="O510" s="485"/>
      <c r="P510" s="1136"/>
      <c r="Q510" s="1644" t="str">
        <f>EUconst_CNTR_HALAdjPct &amp; I486</f>
        <v>HALAdjPct_District heating sub-installation</v>
      </c>
      <c r="U510" s="1663" t="s">
        <v>1658</v>
      </c>
      <c r="V510" s="1670">
        <f>J507</f>
        <v>2026</v>
      </c>
      <c r="W510" s="1670">
        <f>K507</f>
        <v>2027</v>
      </c>
      <c r="X510" s="1670">
        <f>L507</f>
        <v>2028</v>
      </c>
      <c r="Y510" s="1670">
        <f>M507</f>
        <v>2029</v>
      </c>
      <c r="Z510" s="1671">
        <f>N507</f>
        <v>2030</v>
      </c>
      <c r="AO510" s="1121" t="b">
        <f t="shared" si="238"/>
        <v>0</v>
      </c>
    </row>
    <row r="511" spans="1:41" ht="12.75" customHeight="1" thickBot="1">
      <c r="A511" s="618"/>
      <c r="B511" s="479"/>
      <c r="C511" s="479"/>
      <c r="D511" s="915" t="s">
        <v>789</v>
      </c>
      <c r="E511" s="916" t="s">
        <v>1659</v>
      </c>
      <c r="F511" s="916"/>
      <c r="G511" s="916"/>
      <c r="H511" s="639" t="str">
        <f>H502</f>
        <v>TJ</v>
      </c>
      <c r="I511" s="917" t="str">
        <f>I505</f>
        <v/>
      </c>
      <c r="J511" s="1672" t="str">
        <f>IF($M486&lt;&gt;EUconst_Relevant,"",IF(OR($I511=0,J510="",$I511=EUconst_NA),IF(OR(J508=TRUE,J507&lt;=$V486),J505,SUM(I511)),$I511*(1+SUM(J510))))</f>
        <v/>
      </c>
      <c r="K511" s="1800" t="str">
        <f>IF($M486&lt;&gt;EUconst_Relevant,"",IF(OR($I511=0,K510="",$I511=EUconst_NA),IF(OR(K508=TRUE,K507&lt;=$V486),K505,SUM(J511)),$I511*(1+SUM(K510))))</f>
        <v/>
      </c>
      <c r="L511" s="1800" t="str">
        <f>IF($M486&lt;&gt;EUconst_Relevant,"",IF(OR($I511=0,L510="",$I511=EUconst_NA),IF(OR(L508=TRUE,L507&lt;=$V486),L505,SUM(K511)),$I511*(1+SUM(L510))))</f>
        <v/>
      </c>
      <c r="M511" s="1800" t="str">
        <f>IF($M486&lt;&gt;EUconst_Relevant,"",IF(OR($I511=0,M510="",$I511=EUconst_NA),IF(OR(M508=TRUE,M507&lt;=$V486),M505,SUM(L511)),$I511*(1+SUM(M510))))</f>
        <v/>
      </c>
      <c r="N511" s="1800" t="str">
        <f>IF($M486&lt;&gt;EUconst_Relevant,"",IF(OR($I511=0,N510="",$I511=EUconst_NA),IF(OR(N508=TRUE,N507&lt;=$V486),N505,SUM(M511)),$I511*(1+SUM(N510))))</f>
        <v/>
      </c>
      <c r="O511" s="485"/>
      <c r="P511" s="485"/>
      <c r="Q511" s="1641" t="str">
        <f>EUconst_CNTR_HALfinal&amp;I486</f>
        <v>HALfinal_District heating sub-installation</v>
      </c>
      <c r="U511" s="1674" t="b">
        <v>0</v>
      </c>
      <c r="V511" s="1675" t="str">
        <f>IF(V494,IF(J508=TRUE,V503,U511),"")</f>
        <v/>
      </c>
      <c r="W511" s="1675" t="str">
        <f>IF(W494,IF(K508=TRUE,W503,V511),"")</f>
        <v/>
      </c>
      <c r="X511" s="1675" t="str">
        <f>IF(X494,IF(L508=TRUE,X503,W511),"")</f>
        <v/>
      </c>
      <c r="Y511" s="1675" t="str">
        <f>IF(Y494,IF(M508=TRUE,Y503,X511),"")</f>
        <v/>
      </c>
      <c r="Z511" s="1676" t="str">
        <f>IF(Z494,IF(N508=TRUE,Z503,Y511),"")</f>
        <v/>
      </c>
      <c r="AO511" s="1121" t="b">
        <f t="shared" si="238"/>
        <v>0</v>
      </c>
    </row>
    <row r="512" spans="1:41" ht="5.0999999999999996" customHeight="1" thickBot="1">
      <c r="B512" s="479"/>
      <c r="C512" s="479"/>
      <c r="D512" s="924"/>
      <c r="E512" s="925"/>
      <c r="F512" s="925"/>
      <c r="G512" s="925"/>
      <c r="H512" s="925"/>
      <c r="I512" s="925"/>
      <c r="J512" s="926"/>
      <c r="K512" s="1791"/>
      <c r="L512" s="1791"/>
      <c r="M512" s="1791"/>
      <c r="N512" s="1791"/>
      <c r="O512" s="485"/>
      <c r="P512" s="485"/>
      <c r="Q512" s="1435"/>
      <c r="U512" s="1435"/>
      <c r="V512" s="1435"/>
      <c r="AO512" s="1121" t="b">
        <f t="shared" si="238"/>
        <v>0</v>
      </c>
    </row>
    <row r="513" spans="2:41" ht="5.0999999999999996" customHeight="1">
      <c r="B513" s="1124"/>
      <c r="C513" s="467"/>
      <c r="D513" s="467"/>
      <c r="E513" s="467"/>
      <c r="F513" s="467"/>
      <c r="G513" s="467"/>
      <c r="H513" s="467"/>
      <c r="I513" s="467"/>
      <c r="J513" s="467"/>
      <c r="K513" s="467"/>
      <c r="L513" s="467"/>
      <c r="M513" s="467"/>
      <c r="N513" s="467"/>
      <c r="O513" s="481"/>
      <c r="P513" s="481"/>
      <c r="AO513" s="1121" t="b">
        <f t="shared" si="238"/>
        <v>0</v>
      </c>
    </row>
    <row r="514" spans="2:41" ht="13.9" customHeight="1">
      <c r="B514" s="1124"/>
      <c r="C514" s="1025"/>
      <c r="D514" s="2482" t="s">
        <v>103</v>
      </c>
      <c r="E514" s="2400"/>
      <c r="F514" s="2400"/>
      <c r="G514" s="2400"/>
      <c r="H514" s="2400"/>
      <c r="I514" s="2400"/>
      <c r="J514" s="2400"/>
      <c r="K514" s="2400"/>
      <c r="L514" s="2400"/>
      <c r="M514" s="2400"/>
      <c r="N514" s="2400"/>
      <c r="O514" s="481"/>
      <c r="P514" s="481"/>
      <c r="AO514" s="1121" t="b">
        <f t="shared" si="238"/>
        <v>0</v>
      </c>
    </row>
    <row r="515" spans="2:41" ht="5.0999999999999996" customHeight="1">
      <c r="B515" s="467"/>
      <c r="C515" s="467"/>
      <c r="D515" s="467"/>
      <c r="E515" s="467"/>
      <c r="F515" s="467"/>
      <c r="G515" s="467"/>
      <c r="H515" s="467"/>
      <c r="I515" s="467"/>
      <c r="J515" s="467"/>
      <c r="K515" s="467"/>
      <c r="L515" s="467"/>
      <c r="M515" s="467"/>
      <c r="N515" s="467"/>
      <c r="O515" s="481"/>
      <c r="P515" s="481"/>
      <c r="AO515" s="1121" t="b">
        <f t="shared" si="238"/>
        <v>0</v>
      </c>
    </row>
    <row r="516" spans="2:41" ht="12.75" customHeight="1">
      <c r="B516" s="467"/>
      <c r="C516" s="482"/>
      <c r="D516" s="482" t="s">
        <v>876</v>
      </c>
      <c r="E516" s="2373" t="s">
        <v>298</v>
      </c>
      <c r="F516" s="2400"/>
      <c r="G516" s="2400"/>
      <c r="H516" s="2400"/>
      <c r="I516" s="2400"/>
      <c r="J516" s="2400"/>
      <c r="K516" s="2400"/>
      <c r="L516" s="2400"/>
      <c r="M516" s="2400"/>
      <c r="N516" s="2400"/>
      <c r="O516" s="481"/>
      <c r="P516" s="481"/>
      <c r="AO516" s="1121" t="b">
        <f t="shared" si="238"/>
        <v>0</v>
      </c>
    </row>
    <row r="517" spans="2:41" ht="12.75" customHeight="1">
      <c r="B517" s="467"/>
      <c r="C517" s="485"/>
      <c r="D517" s="485"/>
      <c r="E517" s="2385" t="s">
        <v>1933</v>
      </c>
      <c r="F517" s="2846"/>
      <c r="G517" s="2846"/>
      <c r="H517" s="2846"/>
      <c r="I517" s="2846"/>
      <c r="J517" s="2846"/>
      <c r="K517" s="2846"/>
      <c r="L517" s="2846"/>
      <c r="M517" s="2846"/>
      <c r="N517" s="2846"/>
      <c r="O517" s="481"/>
      <c r="P517" s="481"/>
      <c r="AO517" s="1121" t="b">
        <f t="shared" si="238"/>
        <v>0</v>
      </c>
    </row>
    <row r="518" spans="2:41" ht="5.0999999999999996" customHeight="1">
      <c r="B518" s="467"/>
      <c r="C518" s="485"/>
      <c r="D518" s="485"/>
      <c r="E518" s="617"/>
      <c r="F518" s="617"/>
      <c r="G518" s="617"/>
      <c r="H518" s="617"/>
      <c r="I518" s="617"/>
      <c r="J518" s="468"/>
      <c r="K518" s="468"/>
      <c r="L518" s="468"/>
      <c r="M518" s="481"/>
      <c r="N518" s="481"/>
      <c r="O518" s="481"/>
      <c r="P518" s="481"/>
      <c r="AO518" s="1121" t="b">
        <f t="shared" si="238"/>
        <v>0</v>
      </c>
    </row>
    <row r="519" spans="2:41">
      <c r="B519" s="1124"/>
      <c r="C519" s="482"/>
      <c r="D519" s="956"/>
      <c r="E519" s="2723" t="s">
        <v>485</v>
      </c>
      <c r="F519" s="2724"/>
      <c r="G519" s="2750" t="s">
        <v>1932</v>
      </c>
      <c r="H519" s="2509"/>
      <c r="I519" s="2509"/>
      <c r="J519" s="2509"/>
      <c r="K519" s="2509"/>
      <c r="L519" s="2751"/>
      <c r="M519" s="481"/>
      <c r="N519" s="481"/>
      <c r="O519" s="481"/>
      <c r="P519" s="481"/>
      <c r="AO519" s="1121" t="b">
        <f t="shared" si="238"/>
        <v>0</v>
      </c>
    </row>
    <row r="520" spans="2:41" ht="12.75" customHeight="1">
      <c r="B520" s="1124"/>
      <c r="C520" s="484"/>
      <c r="D520" s="579">
        <v>1</v>
      </c>
      <c r="E520" s="2752" t="s">
        <v>1339</v>
      </c>
      <c r="F520" s="2753"/>
      <c r="G520" s="2909"/>
      <c r="H520" s="3363"/>
      <c r="I520" s="3363"/>
      <c r="J520" s="3363"/>
      <c r="K520" s="3363"/>
      <c r="L520" s="3364"/>
      <c r="M520" s="481"/>
      <c r="N520" s="481"/>
      <c r="O520" s="481"/>
      <c r="P520" s="9"/>
      <c r="AO520" s="1121" t="b">
        <f t="shared" si="238"/>
        <v>0</v>
      </c>
    </row>
    <row r="521" spans="2:41" ht="12.75" customHeight="1">
      <c r="B521" s="1124"/>
      <c r="C521" s="484"/>
      <c r="D521" s="582">
        <f>D520+1</f>
        <v>2</v>
      </c>
      <c r="E521" s="2754" t="s">
        <v>1339</v>
      </c>
      <c r="F521" s="2755"/>
      <c r="G521" s="3337"/>
      <c r="H521" s="3338"/>
      <c r="I521" s="3338"/>
      <c r="J521" s="3338"/>
      <c r="K521" s="3338"/>
      <c r="L521" s="3339"/>
      <c r="M521" s="481"/>
      <c r="N521" s="481"/>
      <c r="O521" s="481"/>
      <c r="P521" s="9"/>
      <c r="AO521" s="1121" t="b">
        <f t="shared" si="238"/>
        <v>0</v>
      </c>
    </row>
    <row r="522" spans="2:41" ht="12.75" customHeight="1">
      <c r="B522" s="1124"/>
      <c r="C522" s="484"/>
      <c r="D522" s="582">
        <f t="shared" ref="D522:D529" si="242">D521+1</f>
        <v>3</v>
      </c>
      <c r="E522" s="2754" t="s">
        <v>1339</v>
      </c>
      <c r="F522" s="2755"/>
      <c r="G522" s="3337"/>
      <c r="H522" s="3338"/>
      <c r="I522" s="3338"/>
      <c r="J522" s="3338"/>
      <c r="K522" s="3338"/>
      <c r="L522" s="3339"/>
      <c r="M522" s="481"/>
      <c r="N522" s="481"/>
      <c r="O522" s="481"/>
      <c r="P522" s="9"/>
      <c r="AO522" s="1121" t="b">
        <f t="shared" si="238"/>
        <v>0</v>
      </c>
    </row>
    <row r="523" spans="2:41" ht="12.75" customHeight="1">
      <c r="B523" s="1124"/>
      <c r="C523" s="484"/>
      <c r="D523" s="582">
        <f t="shared" si="242"/>
        <v>4</v>
      </c>
      <c r="E523" s="2754" t="s">
        <v>1339</v>
      </c>
      <c r="F523" s="2755"/>
      <c r="G523" s="3337"/>
      <c r="H523" s="3338"/>
      <c r="I523" s="3338"/>
      <c r="J523" s="3338"/>
      <c r="K523" s="3338"/>
      <c r="L523" s="3339"/>
      <c r="M523" s="481"/>
      <c r="N523" s="481"/>
      <c r="O523" s="481"/>
      <c r="P523" s="9"/>
      <c r="AO523" s="1121" t="b">
        <f t="shared" si="238"/>
        <v>0</v>
      </c>
    </row>
    <row r="524" spans="2:41" ht="12.75" customHeight="1">
      <c r="B524" s="1124"/>
      <c r="C524" s="484"/>
      <c r="D524" s="582">
        <f t="shared" si="242"/>
        <v>5</v>
      </c>
      <c r="E524" s="2754" t="s">
        <v>1339</v>
      </c>
      <c r="F524" s="2755"/>
      <c r="G524" s="3337"/>
      <c r="H524" s="3338"/>
      <c r="I524" s="3338"/>
      <c r="J524" s="3338"/>
      <c r="K524" s="3338"/>
      <c r="L524" s="3339"/>
      <c r="M524" s="481"/>
      <c r="N524" s="481"/>
      <c r="O524" s="481"/>
      <c r="P524" s="9"/>
      <c r="AO524" s="1121" t="b">
        <f t="shared" si="238"/>
        <v>0</v>
      </c>
    </row>
    <row r="525" spans="2:41" ht="12.75" customHeight="1">
      <c r="B525" s="1124"/>
      <c r="C525" s="484"/>
      <c r="D525" s="582">
        <f t="shared" si="242"/>
        <v>6</v>
      </c>
      <c r="E525" s="2754" t="s">
        <v>1339</v>
      </c>
      <c r="F525" s="2755"/>
      <c r="G525" s="3337"/>
      <c r="H525" s="3338"/>
      <c r="I525" s="3338"/>
      <c r="J525" s="3338"/>
      <c r="K525" s="3338"/>
      <c r="L525" s="3339"/>
      <c r="M525" s="481"/>
      <c r="N525" s="481"/>
      <c r="O525" s="481"/>
      <c r="P525" s="9"/>
      <c r="AO525" s="1121" t="b">
        <f t="shared" si="238"/>
        <v>0</v>
      </c>
    </row>
    <row r="526" spans="2:41" ht="12.75" customHeight="1">
      <c r="B526" s="1124"/>
      <c r="C526" s="484"/>
      <c r="D526" s="582">
        <f t="shared" si="242"/>
        <v>7</v>
      </c>
      <c r="E526" s="2754" t="s">
        <v>1339</v>
      </c>
      <c r="F526" s="2755"/>
      <c r="G526" s="3337"/>
      <c r="H526" s="3338"/>
      <c r="I526" s="3338"/>
      <c r="J526" s="3338"/>
      <c r="K526" s="3338"/>
      <c r="L526" s="3339"/>
      <c r="M526" s="481"/>
      <c r="N526" s="481"/>
      <c r="O526" s="481"/>
      <c r="P526" s="9"/>
      <c r="AO526" s="1121" t="b">
        <f t="shared" si="238"/>
        <v>0</v>
      </c>
    </row>
    <row r="527" spans="2:41" ht="12.75" customHeight="1">
      <c r="B527" s="1124"/>
      <c r="C527" s="484"/>
      <c r="D527" s="582">
        <f t="shared" si="242"/>
        <v>8</v>
      </c>
      <c r="E527" s="2754" t="s">
        <v>1339</v>
      </c>
      <c r="F527" s="2755"/>
      <c r="G527" s="3337"/>
      <c r="H527" s="3338"/>
      <c r="I527" s="3338"/>
      <c r="J527" s="3338"/>
      <c r="K527" s="3338"/>
      <c r="L527" s="3339"/>
      <c r="M527" s="481"/>
      <c r="N527" s="481"/>
      <c r="O527" s="481"/>
      <c r="P527" s="9"/>
      <c r="AO527" s="1121" t="b">
        <f t="shared" si="238"/>
        <v>0</v>
      </c>
    </row>
    <row r="528" spans="2:41" ht="12.75" customHeight="1">
      <c r="B528" s="1124"/>
      <c r="C528" s="484"/>
      <c r="D528" s="582">
        <f t="shared" si="242"/>
        <v>9</v>
      </c>
      <c r="E528" s="2754" t="s">
        <v>1339</v>
      </c>
      <c r="F528" s="2755"/>
      <c r="G528" s="3337"/>
      <c r="H528" s="3338"/>
      <c r="I528" s="3338"/>
      <c r="J528" s="3338"/>
      <c r="K528" s="3338"/>
      <c r="L528" s="3339"/>
      <c r="M528" s="481"/>
      <c r="N528" s="481"/>
      <c r="O528" s="481"/>
      <c r="P528" s="9"/>
      <c r="AO528" s="1121" t="b">
        <f t="shared" si="238"/>
        <v>0</v>
      </c>
    </row>
    <row r="529" spans="2:41" ht="12.75" customHeight="1">
      <c r="B529" s="1124"/>
      <c r="C529" s="484"/>
      <c r="D529" s="584">
        <f t="shared" si="242"/>
        <v>10</v>
      </c>
      <c r="E529" s="2756" t="s">
        <v>1339</v>
      </c>
      <c r="F529" s="2757"/>
      <c r="G529" s="3028"/>
      <c r="H529" s="3029"/>
      <c r="I529" s="3029"/>
      <c r="J529" s="3029"/>
      <c r="K529" s="3029"/>
      <c r="L529" s="3030"/>
      <c r="M529" s="481"/>
      <c r="N529" s="481"/>
      <c r="O529" s="481"/>
      <c r="P529" s="9"/>
      <c r="AO529" s="1121" t="b">
        <f t="shared" si="238"/>
        <v>0</v>
      </c>
    </row>
    <row r="530" spans="2:41" ht="5.0999999999999996" customHeight="1">
      <c r="B530" s="467"/>
      <c r="C530" s="467"/>
      <c r="D530" s="467"/>
      <c r="E530" s="467"/>
      <c r="F530" s="467"/>
      <c r="G530" s="467"/>
      <c r="H530" s="467"/>
      <c r="I530" s="467"/>
      <c r="J530" s="467"/>
      <c r="K530" s="467"/>
      <c r="L530" s="467"/>
      <c r="M530" s="467"/>
      <c r="N530" s="467"/>
      <c r="O530" s="481"/>
      <c r="P530" s="481"/>
      <c r="AO530" s="1121" t="b">
        <f t="shared" si="238"/>
        <v>0</v>
      </c>
    </row>
    <row r="531" spans="2:41" ht="5.0999999999999996" customHeight="1" thickBot="1">
      <c r="B531" s="1124"/>
      <c r="C531" s="467"/>
      <c r="D531" s="467"/>
      <c r="E531" s="467"/>
      <c r="F531" s="467"/>
      <c r="G531" s="467"/>
      <c r="H531" s="467"/>
      <c r="I531" s="467"/>
      <c r="J531" s="467"/>
      <c r="K531" s="467"/>
      <c r="L531" s="467"/>
      <c r="M531" s="467"/>
      <c r="N531" s="467"/>
      <c r="O531" s="481"/>
      <c r="P531" s="481"/>
      <c r="AO531" s="1121" t="b">
        <f t="shared" si="238"/>
        <v>0</v>
      </c>
    </row>
    <row r="532" spans="2:41" ht="5.0999999999999996" customHeight="1">
      <c r="B532" s="467"/>
      <c r="C532" s="1052"/>
      <c r="D532" s="1053"/>
      <c r="E532" s="1053"/>
      <c r="F532" s="1053"/>
      <c r="G532" s="1053"/>
      <c r="H532" s="1053"/>
      <c r="I532" s="1053"/>
      <c r="J532" s="1053"/>
      <c r="K532" s="1053"/>
      <c r="L532" s="1053"/>
      <c r="M532" s="1054"/>
      <c r="N532" s="1055"/>
      <c r="O532" s="481"/>
      <c r="P532" s="481"/>
      <c r="AO532" s="1121" t="b">
        <f t="shared" si="238"/>
        <v>0</v>
      </c>
    </row>
    <row r="533" spans="2:41" ht="15" customHeight="1">
      <c r="B533" s="1124"/>
      <c r="C533" s="1056"/>
      <c r="D533" s="2678" t="s">
        <v>2746</v>
      </c>
      <c r="E533" s="2672"/>
      <c r="F533" s="2672"/>
      <c r="G533" s="2672"/>
      <c r="H533" s="2672"/>
      <c r="I533" s="2672"/>
      <c r="J533" s="2672"/>
      <c r="K533" s="2672"/>
      <c r="L533" s="2672"/>
      <c r="M533" s="2672"/>
      <c r="N533" s="2673"/>
      <c r="O533" s="481"/>
      <c r="P533" s="481"/>
      <c r="AO533" s="1121" t="b">
        <f t="shared" si="238"/>
        <v>0</v>
      </c>
    </row>
    <row r="534" spans="2:41" ht="5.0999999999999996" customHeight="1">
      <c r="B534" s="1124"/>
      <c r="C534" s="980"/>
      <c r="D534" s="813"/>
      <c r="E534" s="813"/>
      <c r="F534" s="813"/>
      <c r="G534" s="813"/>
      <c r="H534" s="813"/>
      <c r="I534" s="813"/>
      <c r="J534" s="813"/>
      <c r="K534" s="813"/>
      <c r="L534" s="813"/>
      <c r="M534" s="813"/>
      <c r="N534" s="814"/>
      <c r="O534" s="481"/>
      <c r="P534" s="481"/>
      <c r="AO534" s="1121" t="b">
        <f t="shared" si="238"/>
        <v>0</v>
      </c>
    </row>
    <row r="535" spans="2:41" ht="15" customHeight="1">
      <c r="B535" s="1124"/>
      <c r="C535" s="980"/>
      <c r="D535" s="2679" t="str">
        <f>EUconst_FBSubinst &amp; ":"</f>
        <v>Fall-Back sub-installation:</v>
      </c>
      <c r="E535" s="2646"/>
      <c r="F535" s="2646"/>
      <c r="G535" s="2646"/>
      <c r="H535" s="2680"/>
      <c r="I535" s="3293" t="str">
        <f>I486</f>
        <v>District heating sub-installation</v>
      </c>
      <c r="J535" s="3294"/>
      <c r="K535" s="3294"/>
      <c r="L535" s="3294"/>
      <c r="M535" s="3294"/>
      <c r="N535" s="3295"/>
      <c r="O535" s="481"/>
      <c r="P535" s="481"/>
      <c r="AO535" s="1121" t="b">
        <f t="shared" si="238"/>
        <v>0</v>
      </c>
    </row>
    <row r="536" spans="2:41" ht="5.0999999999999996" customHeight="1">
      <c r="B536" s="1124"/>
      <c r="C536" s="980"/>
      <c r="D536" s="813"/>
      <c r="E536" s="813"/>
      <c r="F536" s="813"/>
      <c r="G536" s="813"/>
      <c r="H536" s="813"/>
      <c r="I536" s="813"/>
      <c r="J536" s="813"/>
      <c r="K536" s="813"/>
      <c r="L536" s="813"/>
      <c r="M536" s="813"/>
      <c r="N536" s="814"/>
      <c r="O536" s="481"/>
      <c r="P536" s="481"/>
      <c r="AO536" s="1121" t="b">
        <f t="shared" si="238"/>
        <v>0</v>
      </c>
    </row>
    <row r="537" spans="2:41" ht="30" customHeight="1">
      <c r="B537" s="467"/>
      <c r="C537" s="1056"/>
      <c r="D537" s="1057"/>
      <c r="E537" s="2745" t="s">
        <v>2154</v>
      </c>
      <c r="F537" s="2745"/>
      <c r="G537" s="2745"/>
      <c r="H537" s="2745"/>
      <c r="I537" s="2745"/>
      <c r="J537" s="2745"/>
      <c r="K537" s="2745"/>
      <c r="L537" s="2745"/>
      <c r="M537" s="2745"/>
      <c r="N537" s="1058"/>
      <c r="O537" s="481"/>
      <c r="P537" s="481"/>
      <c r="AO537" s="1121" t="b">
        <f t="shared" si="238"/>
        <v>0</v>
      </c>
    </row>
    <row r="538" spans="2:41" ht="30" customHeight="1">
      <c r="B538" s="479"/>
      <c r="C538" s="977"/>
      <c r="D538" s="981"/>
      <c r="E538" s="2691" t="s">
        <v>2259</v>
      </c>
      <c r="F538" s="2691"/>
      <c r="G538" s="2691"/>
      <c r="H538" s="2691"/>
      <c r="I538" s="2691"/>
      <c r="J538" s="2691"/>
      <c r="K538" s="2691"/>
      <c r="L538" s="2691"/>
      <c r="M538" s="2691"/>
      <c r="N538" s="1015"/>
      <c r="O538" s="481"/>
      <c r="P538" s="481"/>
      <c r="AO538" s="1121" t="b">
        <f t="shared" si="238"/>
        <v>0</v>
      </c>
    </row>
    <row r="539" spans="2:41" ht="12.75" customHeight="1">
      <c r="B539" s="479"/>
      <c r="C539" s="977"/>
      <c r="D539" s="981"/>
      <c r="E539" s="2691" t="s">
        <v>2238</v>
      </c>
      <c r="F539" s="2391"/>
      <c r="G539" s="2391"/>
      <c r="H539" s="2391"/>
      <c r="I539" s="2391"/>
      <c r="J539" s="2391"/>
      <c r="K539" s="2391"/>
      <c r="L539" s="2391"/>
      <c r="M539" s="2391"/>
      <c r="N539" s="1015"/>
      <c r="O539" s="481"/>
      <c r="P539" s="481"/>
      <c r="AO539" s="1121" t="b">
        <f t="shared" si="238"/>
        <v>0</v>
      </c>
    </row>
    <row r="540" spans="2:41" ht="40.5" customHeight="1">
      <c r="B540" s="479"/>
      <c r="C540" s="977"/>
      <c r="D540" s="981"/>
      <c r="E540" s="3269" t="s">
        <v>2223</v>
      </c>
      <c r="F540" s="3269"/>
      <c r="G540" s="3269"/>
      <c r="H540" s="3269"/>
      <c r="I540" s="3269"/>
      <c r="J540" s="3269"/>
      <c r="K540" s="3269"/>
      <c r="L540" s="3269"/>
      <c r="M540" s="3269"/>
      <c r="N540" s="1015"/>
      <c r="O540" s="481"/>
      <c r="P540" s="481"/>
      <c r="AO540" s="1121" t="b">
        <f t="shared" si="238"/>
        <v>0</v>
      </c>
    </row>
    <row r="541" spans="2:41" ht="15" customHeight="1">
      <c r="B541" s="467"/>
      <c r="C541" s="1056"/>
      <c r="D541" s="1057"/>
      <c r="E541" s="3291" t="s">
        <v>1475</v>
      </c>
      <c r="F541" s="3291"/>
      <c r="G541" s="3291"/>
      <c r="H541" s="3291"/>
      <c r="I541" s="3291"/>
      <c r="J541" s="3291"/>
      <c r="K541" s="3291"/>
      <c r="L541" s="3291"/>
      <c r="M541" s="3291"/>
      <c r="N541" s="1058"/>
      <c r="O541" s="481"/>
      <c r="P541" s="481"/>
      <c r="AO541" s="1121" t="b">
        <f t="shared" si="238"/>
        <v>0</v>
      </c>
    </row>
    <row r="542" spans="2:41" ht="5.0999999999999996" customHeight="1">
      <c r="B542" s="1124"/>
      <c r="C542" s="980"/>
      <c r="D542" s="813"/>
      <c r="E542" s="813"/>
      <c r="F542" s="813"/>
      <c r="G542" s="813"/>
      <c r="H542" s="813"/>
      <c r="I542" s="813"/>
      <c r="J542" s="813"/>
      <c r="K542" s="813"/>
      <c r="L542" s="813"/>
      <c r="M542" s="813"/>
      <c r="N542" s="814"/>
      <c r="O542" s="481"/>
      <c r="P542" s="481"/>
      <c r="AO542" s="1121" t="b">
        <f t="shared" si="238"/>
        <v>0</v>
      </c>
    </row>
    <row r="543" spans="2:41" ht="12.75" customHeight="1">
      <c r="B543" s="467"/>
      <c r="C543" s="1056"/>
      <c r="D543" s="982" t="s">
        <v>48</v>
      </c>
      <c r="E543" s="2671" t="s">
        <v>1611</v>
      </c>
      <c r="F543" s="2672"/>
      <c r="G543" s="2672"/>
      <c r="H543" s="2672"/>
      <c r="I543" s="2672"/>
      <c r="J543" s="2672"/>
      <c r="K543" s="2672"/>
      <c r="L543" s="2672"/>
      <c r="M543" s="2672"/>
      <c r="N543" s="2673"/>
      <c r="O543" s="481"/>
      <c r="P543" s="481"/>
      <c r="AO543" s="1121" t="b">
        <f t="shared" si="238"/>
        <v>0</v>
      </c>
    </row>
    <row r="544" spans="2:41" ht="12.75" customHeight="1">
      <c r="B544" s="467"/>
      <c r="C544" s="1056"/>
      <c r="D544" s="982"/>
      <c r="E544" s="3366" t="s">
        <v>2295</v>
      </c>
      <c r="F544" s="3366"/>
      <c r="G544" s="3366"/>
      <c r="H544" s="3366"/>
      <c r="I544" s="3366"/>
      <c r="J544" s="3366"/>
      <c r="K544" s="3366"/>
      <c r="L544" s="3366"/>
      <c r="M544" s="3366"/>
      <c r="N544" s="3367"/>
      <c r="O544" s="481"/>
      <c r="P544" s="481"/>
      <c r="AO544" s="1121" t="b">
        <f t="shared" si="238"/>
        <v>0</v>
      </c>
    </row>
    <row r="545" spans="2:41" ht="12.75" customHeight="1">
      <c r="B545" s="467"/>
      <c r="C545" s="1056"/>
      <c r="D545" s="1057"/>
      <c r="E545" s="3288" t="s">
        <v>1261</v>
      </c>
      <c r="F545" s="3288"/>
      <c r="G545" s="3288"/>
      <c r="H545" s="3288"/>
      <c r="I545" s="3288"/>
      <c r="J545" s="3288"/>
      <c r="K545" s="3288"/>
      <c r="L545" s="3288"/>
      <c r="M545" s="3288"/>
      <c r="N545" s="3289"/>
      <c r="O545" s="481"/>
      <c r="P545" s="481"/>
      <c r="Q545" s="1249"/>
      <c r="S545" s="1249"/>
      <c r="AB545" s="1435"/>
      <c r="AO545" s="1121" t="b">
        <f t="shared" si="238"/>
        <v>0</v>
      </c>
    </row>
    <row r="546" spans="2:41" ht="25.5" customHeight="1">
      <c r="B546" s="467"/>
      <c r="C546" s="1056"/>
      <c r="D546" s="1057"/>
      <c r="E546" s="985" t="s">
        <v>1021</v>
      </c>
      <c r="F546" s="3290" t="s">
        <v>1262</v>
      </c>
      <c r="G546" s="3290"/>
      <c r="H546" s="3290"/>
      <c r="I546" s="3290"/>
      <c r="J546" s="3290"/>
      <c r="K546" s="3290"/>
      <c r="L546" s="3290"/>
      <c r="M546" s="3290"/>
      <c r="N546" s="3378"/>
      <c r="O546" s="481"/>
      <c r="P546" s="481"/>
      <c r="Q546" s="1249"/>
      <c r="S546" s="1249"/>
      <c r="AB546" s="1435"/>
      <c r="AO546" s="1121" t="b">
        <f t="shared" si="238"/>
        <v>0</v>
      </c>
    </row>
    <row r="547" spans="2:41" ht="38.25" customHeight="1">
      <c r="B547" s="479"/>
      <c r="C547" s="977"/>
      <c r="D547" s="981"/>
      <c r="E547" s="985"/>
      <c r="F547" s="3267" t="s">
        <v>1566</v>
      </c>
      <c r="G547" s="2380"/>
      <c r="H547" s="2380"/>
      <c r="I547" s="2380"/>
      <c r="J547" s="2380"/>
      <c r="K547" s="2380"/>
      <c r="L547" s="2380"/>
      <c r="M547" s="2380"/>
      <c r="N547" s="3268"/>
      <c r="O547" s="481"/>
      <c r="P547" s="481"/>
      <c r="Q547" s="1435"/>
      <c r="S547" s="1435"/>
      <c r="AB547" s="1435"/>
      <c r="AO547" s="1121" t="b">
        <f t="shared" si="238"/>
        <v>0</v>
      </c>
    </row>
    <row r="548" spans="2:41" ht="12.75" customHeight="1">
      <c r="B548" s="467"/>
      <c r="C548" s="1056"/>
      <c r="D548" s="1057"/>
      <c r="E548" s="985" t="s">
        <v>1021</v>
      </c>
      <c r="F548" s="3290" t="s">
        <v>1486</v>
      </c>
      <c r="G548" s="3290"/>
      <c r="H548" s="3290"/>
      <c r="I548" s="3290"/>
      <c r="J548" s="3290"/>
      <c r="K548" s="3290"/>
      <c r="L548" s="3290"/>
      <c r="M548" s="3290"/>
      <c r="N548" s="3378"/>
      <c r="O548" s="481"/>
      <c r="P548" s="481"/>
      <c r="Q548" s="1249"/>
      <c r="S548" s="1249"/>
      <c r="AB548" s="1435"/>
      <c r="AO548" s="1121" t="b">
        <f t="shared" si="238"/>
        <v>0</v>
      </c>
    </row>
    <row r="549" spans="2:41" ht="26.1" customHeight="1">
      <c r="B549" s="467"/>
      <c r="C549" s="1056"/>
      <c r="D549" s="1057"/>
      <c r="E549" s="985"/>
      <c r="F549" s="3290" t="s">
        <v>1568</v>
      </c>
      <c r="G549" s="3290"/>
      <c r="H549" s="3290"/>
      <c r="I549" s="3290"/>
      <c r="J549" s="3290"/>
      <c r="K549" s="3290"/>
      <c r="L549" s="3290"/>
      <c r="M549" s="3290"/>
      <c r="N549" s="3378"/>
      <c r="O549" s="481"/>
      <c r="P549" s="481"/>
      <c r="Q549" s="1249"/>
      <c r="S549" s="1249"/>
      <c r="AB549" s="1435"/>
      <c r="AO549" s="1121" t="b">
        <f t="shared" si="238"/>
        <v>0</v>
      </c>
    </row>
    <row r="550" spans="2:41" ht="25.5" customHeight="1" thickBot="1">
      <c r="B550" s="467"/>
      <c r="C550" s="1056"/>
      <c r="D550" s="1057"/>
      <c r="E550" s="985" t="s">
        <v>1021</v>
      </c>
      <c r="F550" s="3290" t="s">
        <v>1570</v>
      </c>
      <c r="G550" s="2646"/>
      <c r="H550" s="2646"/>
      <c r="I550" s="2646"/>
      <c r="J550" s="2646"/>
      <c r="K550" s="2646"/>
      <c r="L550" s="2646"/>
      <c r="M550" s="2646"/>
      <c r="N550" s="2647"/>
      <c r="O550" s="481"/>
      <c r="P550" s="481"/>
      <c r="Q550" s="1249"/>
      <c r="S550" s="1249"/>
      <c r="AB550" s="1435"/>
      <c r="AO550" s="1121" t="b">
        <f t="shared" si="238"/>
        <v>0</v>
      </c>
    </row>
    <row r="551" spans="2:41" ht="12.75" customHeight="1" thickBot="1">
      <c r="B551" s="467"/>
      <c r="C551" s="1056"/>
      <c r="D551" s="982"/>
      <c r="E551" s="989" t="s">
        <v>915</v>
      </c>
      <c r="F551" s="990"/>
      <c r="G551" s="987" t="str">
        <f>EUconst_Unit</f>
        <v>Unit</v>
      </c>
      <c r="H551" s="782">
        <f t="shared" ref="H551:N551" si="243">H$1190</f>
        <v>2024</v>
      </c>
      <c r="I551" s="988">
        <f t="shared" si="243"/>
        <v>2025</v>
      </c>
      <c r="J551" s="1810">
        <f t="shared" si="243"/>
        <v>2026</v>
      </c>
      <c r="K551" s="1747">
        <f t="shared" si="243"/>
        <v>2027</v>
      </c>
      <c r="L551" s="1747">
        <f t="shared" si="243"/>
        <v>2028</v>
      </c>
      <c r="M551" s="1747">
        <f t="shared" si="243"/>
        <v>2029</v>
      </c>
      <c r="N551" s="1748">
        <f t="shared" si="243"/>
        <v>2030</v>
      </c>
      <c r="O551" s="481"/>
      <c r="P551" s="481"/>
      <c r="Q551" s="1249"/>
      <c r="S551" s="1962"/>
      <c r="T551" s="1749">
        <f t="shared" ref="T551:Z551" si="244">H551</f>
        <v>2024</v>
      </c>
      <c r="U551" s="1749">
        <f t="shared" si="244"/>
        <v>2025</v>
      </c>
      <c r="V551" s="1749">
        <f t="shared" si="244"/>
        <v>2026</v>
      </c>
      <c r="W551" s="1749">
        <f t="shared" si="244"/>
        <v>2027</v>
      </c>
      <c r="X551" s="1749">
        <f t="shared" si="244"/>
        <v>2028</v>
      </c>
      <c r="Y551" s="1749">
        <f t="shared" si="244"/>
        <v>2029</v>
      </c>
      <c r="Z551" s="1750">
        <f t="shared" si="244"/>
        <v>2030</v>
      </c>
      <c r="AC551" s="1638">
        <f t="shared" ref="AC551:AI551" si="245">H$1190</f>
        <v>2024</v>
      </c>
      <c r="AD551" s="1638">
        <f t="shared" si="245"/>
        <v>2025</v>
      </c>
      <c r="AE551" s="1638">
        <f t="shared" si="245"/>
        <v>2026</v>
      </c>
      <c r="AF551" s="1638">
        <f t="shared" si="245"/>
        <v>2027</v>
      </c>
      <c r="AG551" s="1638">
        <f t="shared" si="245"/>
        <v>2028</v>
      </c>
      <c r="AH551" s="1638">
        <f t="shared" si="245"/>
        <v>2029</v>
      </c>
      <c r="AI551" s="1638">
        <f t="shared" si="245"/>
        <v>2030</v>
      </c>
      <c r="AO551" s="1121" t="b">
        <f t="shared" si="238"/>
        <v>0</v>
      </c>
    </row>
    <row r="552" spans="2:41" ht="12.75" customHeight="1" thickBot="1">
      <c r="B552" s="467"/>
      <c r="C552" s="1056"/>
      <c r="D552" s="1057"/>
      <c r="E552" s="3285" t="str">
        <f>I486</f>
        <v>District heating sub-installation</v>
      </c>
      <c r="F552" s="2410"/>
      <c r="G552" s="815" t="str">
        <f>EUconst_tCO2epa</f>
        <v>t CO2e/year</v>
      </c>
      <c r="H552" s="1775" t="str">
        <f>c_ALR2025!M6203</f>
        <v/>
      </c>
      <c r="I552" s="1996"/>
      <c r="J552" s="1812"/>
      <c r="K552" s="1754"/>
      <c r="L552" s="1754"/>
      <c r="M552" s="1754"/>
      <c r="N552" s="1755"/>
      <c r="O552" s="481"/>
      <c r="P552" s="9"/>
      <c r="Q552" s="1963" t="str">
        <f>EUconst_CNTR_Emissions &amp; I486</f>
        <v>DirEmissions_District heating sub-installation</v>
      </c>
      <c r="S552" s="1964" t="str">
        <f>EUconst_CNTR_AttributedEmissions &amp; I486</f>
        <v>AttrEmissions_District heating sub-installation</v>
      </c>
      <c r="T552" s="1743" t="str">
        <f t="shared" ref="T552:Z552" si="246">IF(T494,SUM(H552),"")</f>
        <v/>
      </c>
      <c r="U552" s="1743" t="str">
        <f t="shared" si="246"/>
        <v/>
      </c>
      <c r="V552" s="1743" t="str">
        <f t="shared" si="246"/>
        <v/>
      </c>
      <c r="W552" s="1743" t="str">
        <f t="shared" si="246"/>
        <v/>
      </c>
      <c r="X552" s="1743" t="str">
        <f t="shared" si="246"/>
        <v/>
      </c>
      <c r="Y552" s="1743" t="str">
        <f t="shared" si="246"/>
        <v/>
      </c>
      <c r="Z552" s="1744" t="str">
        <f t="shared" si="246"/>
        <v/>
      </c>
      <c r="AB552" s="1641" t="s">
        <v>717</v>
      </c>
      <c r="AC552" s="1853" t="b">
        <f t="shared" ref="AC552:AI552" si="247">IF(CNTR_ExistSubInstEntries,OR($M486&lt;&gt;EUconst_Relevant,AC551&gt;=CNTR_ReportingYear,AC551&lt;$V486-1),FALSE)</f>
        <v>0</v>
      </c>
      <c r="AD552" s="1642" t="b">
        <f t="shared" si="247"/>
        <v>0</v>
      </c>
      <c r="AE552" s="1642" t="b">
        <f t="shared" si="247"/>
        <v>0</v>
      </c>
      <c r="AF552" s="1642" t="b">
        <f t="shared" si="247"/>
        <v>0</v>
      </c>
      <c r="AG552" s="1642" t="b">
        <f t="shared" si="247"/>
        <v>0</v>
      </c>
      <c r="AH552" s="1642" t="b">
        <f t="shared" si="247"/>
        <v>0</v>
      </c>
      <c r="AI552" s="1643" t="b">
        <f t="shared" si="247"/>
        <v>0</v>
      </c>
      <c r="AK552" s="1633" t="s">
        <v>1954</v>
      </c>
      <c r="AL552" s="1635" t="str">
        <f>IF(AND(CNTR_ExistSubInstEntries,COUNTIFS(AC552:AI552,2,H552:N552,"")&gt;0),EUconst_Error&amp;"FB"&amp;Q486,"")</f>
        <v/>
      </c>
      <c r="AO552" s="1121" t="b">
        <f t="shared" si="238"/>
        <v>0</v>
      </c>
    </row>
    <row r="553" spans="2:41" ht="5.0999999999999996" customHeight="1">
      <c r="B553" s="467"/>
      <c r="C553" s="1056"/>
      <c r="D553" s="1057"/>
      <c r="E553" s="1057"/>
      <c r="F553" s="1057"/>
      <c r="G553" s="1057"/>
      <c r="H553" s="1057"/>
      <c r="I553" s="1057"/>
      <c r="J553" s="1057"/>
      <c r="K553" s="1057"/>
      <c r="L553" s="1057"/>
      <c r="M553" s="1059"/>
      <c r="N553" s="1060"/>
      <c r="O553" s="481"/>
      <c r="P553" s="481"/>
      <c r="Q553" s="1249"/>
      <c r="S553" s="1249"/>
      <c r="AB553" s="1435"/>
      <c r="AO553" s="1121" t="b">
        <f t="shared" ref="AO553:AO606" si="248">$AD$486</f>
        <v>0</v>
      </c>
    </row>
    <row r="554" spans="2:41" ht="12.75" customHeight="1">
      <c r="B554" s="467"/>
      <c r="C554" s="1056"/>
      <c r="D554" s="982" t="s">
        <v>881</v>
      </c>
      <c r="E554" s="2649" t="s">
        <v>1189</v>
      </c>
      <c r="F554" s="2649"/>
      <c r="G554" s="2649"/>
      <c r="H554" s="2649"/>
      <c r="I554" s="2649"/>
      <c r="J554" s="2649"/>
      <c r="K554" s="2649"/>
      <c r="L554" s="2649"/>
      <c r="M554" s="2649"/>
      <c r="N554" s="2749"/>
      <c r="O554" s="481"/>
      <c r="P554" s="481"/>
      <c r="S554" s="1249"/>
      <c r="AB554" s="1435"/>
      <c r="AO554" s="1121" t="b">
        <f t="shared" si="248"/>
        <v>0</v>
      </c>
    </row>
    <row r="555" spans="2:41" ht="12.75" customHeight="1">
      <c r="B555" s="467"/>
      <c r="C555" s="1056"/>
      <c r="D555" s="1057"/>
      <c r="E555" s="3290" t="s">
        <v>1569</v>
      </c>
      <c r="F555" s="2646"/>
      <c r="G555" s="2646"/>
      <c r="H555" s="2646"/>
      <c r="I555" s="2646"/>
      <c r="J555" s="2646"/>
      <c r="K555" s="2646"/>
      <c r="L555" s="2646"/>
      <c r="M555" s="2646"/>
      <c r="N555" s="2647"/>
      <c r="O555" s="481"/>
      <c r="P555" s="481"/>
      <c r="Q555" s="1249"/>
      <c r="R555" s="1249"/>
      <c r="S555" s="1249"/>
      <c r="AB555" s="1435"/>
      <c r="AO555" s="1121" t="b">
        <f t="shared" si="248"/>
        <v>0</v>
      </c>
    </row>
    <row r="556" spans="2:41" ht="25.5" customHeight="1">
      <c r="B556" s="467"/>
      <c r="C556" s="1056"/>
      <c r="D556" s="1057"/>
      <c r="E556" s="3290" t="s">
        <v>2224</v>
      </c>
      <c r="F556" s="2646"/>
      <c r="G556" s="2646"/>
      <c r="H556" s="2646"/>
      <c r="I556" s="2646"/>
      <c r="J556" s="2646"/>
      <c r="K556" s="2646"/>
      <c r="L556" s="2646"/>
      <c r="M556" s="2646"/>
      <c r="N556" s="2647"/>
      <c r="O556" s="481"/>
      <c r="P556" s="481"/>
      <c r="Q556" s="1249"/>
      <c r="S556" s="1249"/>
      <c r="AB556" s="1435"/>
      <c r="AO556" s="1121" t="b">
        <f t="shared" si="248"/>
        <v>0</v>
      </c>
    </row>
    <row r="557" spans="2:41" ht="12.75" customHeight="1">
      <c r="B557" s="467"/>
      <c r="C557" s="1056"/>
      <c r="D557" s="1057"/>
      <c r="E557" s="3290" t="s">
        <v>1594</v>
      </c>
      <c r="F557" s="2646"/>
      <c r="G557" s="2646"/>
      <c r="H557" s="2646"/>
      <c r="I557" s="2646"/>
      <c r="J557" s="2646"/>
      <c r="K557" s="2646"/>
      <c r="L557" s="2646"/>
      <c r="M557" s="2646"/>
      <c r="N557" s="2647"/>
      <c r="O557" s="481"/>
      <c r="P557" s="481"/>
      <c r="Q557" s="1249"/>
      <c r="S557" s="1249"/>
      <c r="AB557" s="1435"/>
      <c r="AO557" s="1121" t="b">
        <f t="shared" si="248"/>
        <v>0</v>
      </c>
    </row>
    <row r="558" spans="2:41" ht="12.75" customHeight="1">
      <c r="B558" s="467"/>
      <c r="C558" s="1056"/>
      <c r="D558" s="1057"/>
      <c r="E558" s="3290" t="s">
        <v>1487</v>
      </c>
      <c r="F558" s="2646"/>
      <c r="G558" s="2646"/>
      <c r="H558" s="2646"/>
      <c r="I558" s="2646"/>
      <c r="J558" s="2646"/>
      <c r="K558" s="2646"/>
      <c r="L558" s="2646"/>
      <c r="M558" s="2646"/>
      <c r="N558" s="2647"/>
      <c r="O558" s="481"/>
      <c r="P558" s="481"/>
      <c r="Q558" s="1249"/>
      <c r="S558" s="1249"/>
      <c r="AB558" s="1435"/>
      <c r="AO558" s="1121" t="b">
        <f t="shared" si="248"/>
        <v>0</v>
      </c>
    </row>
    <row r="559" spans="2:41" ht="12.75" customHeight="1">
      <c r="B559" s="467"/>
      <c r="C559" s="1056"/>
      <c r="D559" s="1057"/>
      <c r="E559" s="3290" t="s">
        <v>1571</v>
      </c>
      <c r="F559" s="2646"/>
      <c r="G559" s="2646"/>
      <c r="H559" s="2646"/>
      <c r="I559" s="2646"/>
      <c r="J559" s="2646"/>
      <c r="K559" s="2646"/>
      <c r="L559" s="2646"/>
      <c r="M559" s="2646"/>
      <c r="N559" s="2647"/>
      <c r="O559" s="481"/>
      <c r="P559" s="481"/>
      <c r="Q559" s="1249"/>
      <c r="S559" s="1249"/>
      <c r="AB559" s="1435"/>
      <c r="AO559" s="1121" t="b">
        <f t="shared" si="248"/>
        <v>0</v>
      </c>
    </row>
    <row r="560" spans="2:41" ht="12.75" customHeight="1">
      <c r="B560" s="467"/>
      <c r="C560" s="1056"/>
      <c r="D560" s="1057"/>
      <c r="E560" s="3292" t="s">
        <v>1557</v>
      </c>
      <c r="F560" s="2671"/>
      <c r="G560" s="2671"/>
      <c r="H560" s="2671"/>
      <c r="I560" s="2671"/>
      <c r="J560" s="2671"/>
      <c r="K560" s="2671"/>
      <c r="L560" s="2671"/>
      <c r="M560" s="2671"/>
      <c r="N560" s="2712"/>
      <c r="O560" s="481"/>
      <c r="P560" s="481"/>
      <c r="Q560" s="1249"/>
      <c r="S560" s="1249"/>
      <c r="AB560" s="1435"/>
      <c r="AO560" s="1121" t="b">
        <f t="shared" si="248"/>
        <v>0</v>
      </c>
    </row>
    <row r="561" spans="2:41" ht="12.75" customHeight="1">
      <c r="B561" s="467"/>
      <c r="C561" s="1056"/>
      <c r="D561" s="982"/>
      <c r="E561" s="989"/>
      <c r="F561" s="990"/>
      <c r="G561" s="987" t="str">
        <f>EUconst_Unit</f>
        <v>Unit</v>
      </c>
      <c r="H561" s="782">
        <f t="shared" ref="H561:N561" si="249">H$1190</f>
        <v>2024</v>
      </c>
      <c r="I561" s="988">
        <f t="shared" si="249"/>
        <v>2025</v>
      </c>
      <c r="J561" s="1810">
        <f t="shared" si="249"/>
        <v>2026</v>
      </c>
      <c r="K561" s="1747">
        <f t="shared" si="249"/>
        <v>2027</v>
      </c>
      <c r="L561" s="1747">
        <f t="shared" si="249"/>
        <v>2028</v>
      </c>
      <c r="M561" s="1747">
        <f t="shared" si="249"/>
        <v>2029</v>
      </c>
      <c r="N561" s="1748">
        <f t="shared" si="249"/>
        <v>2030</v>
      </c>
      <c r="O561" s="481"/>
      <c r="P561" s="481"/>
      <c r="Q561" s="1249"/>
      <c r="S561" s="1249"/>
      <c r="AC561" s="1803">
        <f t="shared" ref="AC561:AI561" si="250">H$1190</f>
        <v>2024</v>
      </c>
      <c r="AD561" s="1803">
        <f t="shared" si="250"/>
        <v>2025</v>
      </c>
      <c r="AE561" s="1803">
        <f t="shared" si="250"/>
        <v>2026</v>
      </c>
      <c r="AF561" s="1803">
        <f t="shared" si="250"/>
        <v>2027</v>
      </c>
      <c r="AG561" s="1803">
        <f t="shared" si="250"/>
        <v>2028</v>
      </c>
      <c r="AH561" s="1803">
        <f t="shared" si="250"/>
        <v>2029</v>
      </c>
      <c r="AI561" s="1803">
        <f t="shared" si="250"/>
        <v>2030</v>
      </c>
      <c r="AO561" s="1121" t="b">
        <f t="shared" si="248"/>
        <v>0</v>
      </c>
    </row>
    <row r="562" spans="2:41" ht="12.75" customHeight="1">
      <c r="B562" s="467"/>
      <c r="C562" s="1056"/>
      <c r="D562" s="1061" t="s">
        <v>6</v>
      </c>
      <c r="E562" s="2475" t="s">
        <v>1483</v>
      </c>
      <c r="F562" s="2410"/>
      <c r="G562" s="815" t="str">
        <f>EUconst_TJpa</f>
        <v>TJ / year</v>
      </c>
      <c r="H562" s="1479" t="str">
        <f>c_ALR2025!M6213</f>
        <v/>
      </c>
      <c r="I562" s="1532"/>
      <c r="J562" s="1811"/>
      <c r="K562" s="1751"/>
      <c r="L562" s="1751"/>
      <c r="M562" s="1751"/>
      <c r="N562" s="1752"/>
      <c r="O562" s="481"/>
      <c r="P562" s="9"/>
      <c r="Q562" s="1963" t="str">
        <f>EUconst_CNTR_FuelInput &amp; I486</f>
        <v>FuelInput_District heating sub-installation</v>
      </c>
      <c r="S562" s="1249"/>
      <c r="AB562" s="1641" t="s">
        <v>717</v>
      </c>
      <c r="AC562" s="1443" t="b">
        <f>AC552</f>
        <v>0</v>
      </c>
      <c r="AD562" s="1443" t="b">
        <f t="shared" ref="AD562:AI562" si="251">AD552</f>
        <v>0</v>
      </c>
      <c r="AE562" s="1443" t="b">
        <f t="shared" si="251"/>
        <v>0</v>
      </c>
      <c r="AF562" s="1443" t="b">
        <f t="shared" si="251"/>
        <v>0</v>
      </c>
      <c r="AG562" s="1443" t="b">
        <f t="shared" si="251"/>
        <v>0</v>
      </c>
      <c r="AH562" s="1443" t="b">
        <f t="shared" si="251"/>
        <v>0</v>
      </c>
      <c r="AI562" s="1443" t="b">
        <f t="shared" si="251"/>
        <v>0</v>
      </c>
      <c r="AL562" s="1635" t="str">
        <f>IF(AND(CNTR_ExistSubInstEntries,COUNTIFS(AC562:AI562,2,H562:N562,"")&gt;0),EUconst_Error&amp;"FB"&amp;Q486,"")</f>
        <v/>
      </c>
      <c r="AO562" s="1121" t="b">
        <f t="shared" si="248"/>
        <v>0</v>
      </c>
    </row>
    <row r="563" spans="2:41" ht="12.75" customHeight="1">
      <c r="B563" s="467"/>
      <c r="C563" s="1056"/>
      <c r="D563" s="1061" t="s">
        <v>7</v>
      </c>
      <c r="E563" s="2475" t="s">
        <v>1182</v>
      </c>
      <c r="F563" s="2410"/>
      <c r="G563" s="991" t="str">
        <f>EUconst_tCO2pTJ</f>
        <v>t CO2 / TJ</v>
      </c>
      <c r="H563" s="1582" t="str">
        <f>c_ALR2025!M6214</f>
        <v/>
      </c>
      <c r="I563" s="1882"/>
      <c r="J563" s="1811"/>
      <c r="K563" s="1751"/>
      <c r="L563" s="1751"/>
      <c r="M563" s="1751"/>
      <c r="N563" s="1752"/>
      <c r="O563" s="481"/>
      <c r="P563" s="9"/>
      <c r="Q563" s="1963" t="str">
        <f>EUconst_CNTR_FuelEF &amp; I486</f>
        <v>FuelEF_District heating sub-installation</v>
      </c>
      <c r="S563" s="1249"/>
      <c r="AB563" s="1435"/>
      <c r="AC563" s="1443" t="b">
        <f>AC562</f>
        <v>0</v>
      </c>
      <c r="AD563" s="1443" t="b">
        <f t="shared" ref="AD563:AI563" si="252">AD562</f>
        <v>0</v>
      </c>
      <c r="AE563" s="1443" t="b">
        <f t="shared" si="252"/>
        <v>0</v>
      </c>
      <c r="AF563" s="1443" t="b">
        <f t="shared" si="252"/>
        <v>0</v>
      </c>
      <c r="AG563" s="1443" t="b">
        <f t="shared" si="252"/>
        <v>0</v>
      </c>
      <c r="AH563" s="1443" t="b">
        <f t="shared" si="252"/>
        <v>0</v>
      </c>
      <c r="AI563" s="1443" t="b">
        <f t="shared" si="252"/>
        <v>0</v>
      </c>
      <c r="AL563" s="1635" t="str">
        <f>IF(AND(CNTR_ExistSubInstEntries,COUNTIFS(AC563:AI563,2,H563:N563,"")&gt;0),EUconst_Error&amp;"FB"&amp;Q486,"")</f>
        <v/>
      </c>
      <c r="AO563" s="1121" t="b">
        <f t="shared" si="248"/>
        <v>0</v>
      </c>
    </row>
    <row r="564" spans="2:41" ht="5.0999999999999996" customHeight="1">
      <c r="B564" s="467"/>
      <c r="C564" s="1056"/>
      <c r="D564" s="1057"/>
      <c r="E564" s="1057"/>
      <c r="F564" s="1057"/>
      <c r="G564" s="1057"/>
      <c r="H564" s="1057"/>
      <c r="I564" s="1057"/>
      <c r="J564" s="1965"/>
      <c r="K564" s="1966"/>
      <c r="L564" s="1966"/>
      <c r="M564" s="1966"/>
      <c r="N564" s="1967"/>
      <c r="O564" s="481"/>
      <c r="P564" s="481"/>
      <c r="Q564" s="1249"/>
      <c r="S564" s="1249"/>
      <c r="AB564" s="1435"/>
      <c r="AE564" s="1198"/>
      <c r="AF564" s="1198"/>
      <c r="AG564" s="1198"/>
      <c r="AH564" s="1198"/>
      <c r="AI564" s="1198"/>
      <c r="AO564" s="1121" t="b">
        <f t="shared" si="248"/>
        <v>0</v>
      </c>
    </row>
    <row r="565" spans="2:41" ht="12.75" customHeight="1">
      <c r="B565" s="467"/>
      <c r="C565" s="1056"/>
      <c r="D565" s="1061" t="s">
        <v>8</v>
      </c>
      <c r="E565" s="2475" t="s">
        <v>1481</v>
      </c>
      <c r="F565" s="2410"/>
      <c r="G565" s="815" t="str">
        <f>EUconst_TJpa</f>
        <v>TJ / year</v>
      </c>
      <c r="H565" s="1479" t="str">
        <f>c_ALR2025!M6216</f>
        <v/>
      </c>
      <c r="I565" s="1532"/>
      <c r="J565" s="1811"/>
      <c r="K565" s="1751"/>
      <c r="L565" s="1751"/>
      <c r="M565" s="1751"/>
      <c r="N565" s="1752"/>
      <c r="O565" s="481"/>
      <c r="P565" s="9"/>
      <c r="Q565" s="1140" t="str">
        <f>EUconst_CNTR_WGConsumed &amp; I486</f>
        <v>WasteGasCons_District heating sub-installation</v>
      </c>
      <c r="S565" s="1249"/>
      <c r="AB565" s="1435"/>
      <c r="AC565" s="1443" t="b">
        <f>AC562</f>
        <v>0</v>
      </c>
      <c r="AD565" s="1443" t="b">
        <f t="shared" ref="AD565:AI565" si="253">AD562</f>
        <v>0</v>
      </c>
      <c r="AE565" s="1443" t="b">
        <f t="shared" si="253"/>
        <v>0</v>
      </c>
      <c r="AF565" s="1443" t="b">
        <f t="shared" si="253"/>
        <v>0</v>
      </c>
      <c r="AG565" s="1443" t="b">
        <f t="shared" si="253"/>
        <v>0</v>
      </c>
      <c r="AH565" s="1443" t="b">
        <f t="shared" si="253"/>
        <v>0</v>
      </c>
      <c r="AI565" s="1443" t="b">
        <f t="shared" si="253"/>
        <v>0</v>
      </c>
      <c r="AL565" s="1635" t="str">
        <f>IF(AND(CNTR_ExistSubInstEntries,COUNTIFS(AC565:AI565,2,H565:N565,"")&gt;0),EUconst_Error&amp;"FB"&amp;Q486,"")</f>
        <v/>
      </c>
      <c r="AO565" s="1121" t="b">
        <f t="shared" si="248"/>
        <v>0</v>
      </c>
    </row>
    <row r="566" spans="2:41" ht="12.75" customHeight="1">
      <c r="B566" s="467"/>
      <c r="C566" s="1056"/>
      <c r="D566" s="1061" t="s">
        <v>18</v>
      </c>
      <c r="E566" s="2475" t="s">
        <v>1482</v>
      </c>
      <c r="F566" s="2410"/>
      <c r="G566" s="991" t="str">
        <f>EUconst_tCO2pTJ</f>
        <v>t CO2 / TJ</v>
      </c>
      <c r="H566" s="1582" t="str">
        <f>c_ALR2025!M6217</f>
        <v/>
      </c>
      <c r="I566" s="1882"/>
      <c r="J566" s="1811"/>
      <c r="K566" s="1751"/>
      <c r="L566" s="1751"/>
      <c r="M566" s="1751"/>
      <c r="N566" s="1752"/>
      <c r="O566" s="481"/>
      <c r="P566" s="9"/>
      <c r="Q566" s="1963" t="str">
        <f>EUconst_CNTR_WGConsumedEF &amp; I486</f>
        <v>WasteGasConsEF_District heating sub-installation</v>
      </c>
      <c r="S566" s="1249"/>
      <c r="AB566" s="1435"/>
      <c r="AC566" s="1443" t="b">
        <f>AC563</f>
        <v>0</v>
      </c>
      <c r="AD566" s="1443" t="b">
        <f t="shared" ref="AD566:AI566" si="254">AD563</f>
        <v>0</v>
      </c>
      <c r="AE566" s="1443" t="b">
        <f t="shared" si="254"/>
        <v>0</v>
      </c>
      <c r="AF566" s="1443" t="b">
        <f t="shared" si="254"/>
        <v>0</v>
      </c>
      <c r="AG566" s="1443" t="b">
        <f t="shared" si="254"/>
        <v>0</v>
      </c>
      <c r="AH566" s="1443" t="b">
        <f t="shared" si="254"/>
        <v>0</v>
      </c>
      <c r="AI566" s="1443" t="b">
        <f t="shared" si="254"/>
        <v>0</v>
      </c>
      <c r="AL566" s="1635" t="str">
        <f>IF(AND(CNTR_ExistSubInstEntries,COUNTIFS(AC566:AI566,2,H566:N566,"")&gt;0),EUconst_Error&amp;"FB"&amp;Q486,"")</f>
        <v/>
      </c>
      <c r="AO566" s="1121" t="b">
        <f t="shared" si="248"/>
        <v>0</v>
      </c>
    </row>
    <row r="567" spans="2:41" ht="5.0999999999999996" customHeight="1">
      <c r="B567" s="1124"/>
      <c r="C567" s="980"/>
      <c r="D567" s="813"/>
      <c r="E567" s="813"/>
      <c r="F567" s="813"/>
      <c r="G567" s="813"/>
      <c r="H567" s="813"/>
      <c r="I567" s="813"/>
      <c r="J567" s="813"/>
      <c r="K567" s="813"/>
      <c r="L567" s="813"/>
      <c r="M567" s="813"/>
      <c r="N567" s="814"/>
      <c r="O567" s="481"/>
      <c r="P567" s="481"/>
      <c r="S567" s="1249"/>
      <c r="T567" s="1249"/>
      <c r="U567" s="1249"/>
      <c r="V567" s="1249"/>
      <c r="AB567" s="1435"/>
      <c r="AE567" s="1198"/>
      <c r="AF567" s="1198"/>
      <c r="AG567" s="1198"/>
      <c r="AH567" s="1198"/>
      <c r="AI567" s="1198"/>
      <c r="AO567" s="1121" t="b">
        <f t="shared" si="248"/>
        <v>0</v>
      </c>
    </row>
    <row r="568" spans="2:41" ht="12.75" customHeight="1">
      <c r="B568" s="467"/>
      <c r="C568" s="1056"/>
      <c r="D568" s="982" t="s">
        <v>57</v>
      </c>
      <c r="E568" s="2671" t="s">
        <v>52</v>
      </c>
      <c r="F568" s="2672"/>
      <c r="G568" s="2672"/>
      <c r="H568" s="2672"/>
      <c r="I568" s="2672"/>
      <c r="J568" s="2672"/>
      <c r="K568" s="2672"/>
      <c r="L568" s="2672"/>
      <c r="M568" s="2672"/>
      <c r="N568" s="2673"/>
      <c r="O568" s="481"/>
      <c r="P568" s="481"/>
      <c r="Q568" s="1249"/>
      <c r="S568" s="1249"/>
      <c r="T568" s="1249"/>
      <c r="U568" s="1249"/>
      <c r="V568" s="1249"/>
      <c r="AB568" s="1435"/>
      <c r="AE568" s="1198"/>
      <c r="AF568" s="1198"/>
      <c r="AG568" s="1198"/>
      <c r="AH568" s="1198"/>
      <c r="AI568" s="1198"/>
      <c r="AO568" s="1121" t="b">
        <f t="shared" si="248"/>
        <v>0</v>
      </c>
    </row>
    <row r="569" spans="2:41" ht="12.75" customHeight="1">
      <c r="B569" s="467"/>
      <c r="C569" s="1056"/>
      <c r="D569" s="1057"/>
      <c r="E569" s="3288" t="s">
        <v>2741</v>
      </c>
      <c r="F569" s="3288"/>
      <c r="G569" s="3288"/>
      <c r="H569" s="3288"/>
      <c r="I569" s="3288"/>
      <c r="J569" s="3288"/>
      <c r="K569" s="3288"/>
      <c r="L569" s="3288"/>
      <c r="M569" s="3288"/>
      <c r="N569" s="3289"/>
      <c r="O569" s="481"/>
      <c r="P569" s="481"/>
      <c r="Q569" s="1249"/>
      <c r="S569" s="1249"/>
      <c r="AB569" s="1435"/>
      <c r="AE569" s="1198"/>
      <c r="AF569" s="1198"/>
      <c r="AG569" s="1198"/>
      <c r="AH569" s="1198"/>
      <c r="AI569" s="1198"/>
      <c r="AO569" s="1121" t="b">
        <f t="shared" si="248"/>
        <v>0</v>
      </c>
    </row>
    <row r="570" spans="2:41" ht="25.5" customHeight="1">
      <c r="B570" s="467"/>
      <c r="C570" s="1056"/>
      <c r="D570" s="1057"/>
      <c r="E570" s="3288" t="s">
        <v>1572</v>
      </c>
      <c r="F570" s="3288"/>
      <c r="G570" s="3288"/>
      <c r="H570" s="3288"/>
      <c r="I570" s="3288"/>
      <c r="J570" s="3288"/>
      <c r="K570" s="3288"/>
      <c r="L570" s="3288"/>
      <c r="M570" s="3288"/>
      <c r="N570" s="3289"/>
      <c r="O570" s="481"/>
      <c r="P570" s="481"/>
      <c r="Q570" s="1249"/>
      <c r="S570" s="1249"/>
      <c r="T570" s="1249"/>
      <c r="U570" s="1249"/>
      <c r="V570" s="1249"/>
      <c r="W570" s="1249"/>
      <c r="X570" s="1249"/>
      <c r="Y570" s="1249"/>
      <c r="Z570" s="1249"/>
      <c r="AB570" s="1435"/>
      <c r="AE570" s="1198"/>
      <c r="AF570" s="1198"/>
      <c r="AG570" s="1198"/>
      <c r="AH570" s="1198"/>
      <c r="AI570" s="1198"/>
      <c r="AO570" s="1121" t="b">
        <f t="shared" si="248"/>
        <v>0</v>
      </c>
    </row>
    <row r="571" spans="2:41" ht="12.75" customHeight="1">
      <c r="B571" s="467"/>
      <c r="C571" s="1056"/>
      <c r="D571" s="982"/>
      <c r="E571" s="2648" t="s">
        <v>52</v>
      </c>
      <c r="F571" s="2648"/>
      <c r="G571" s="987" t="str">
        <f>EUconst_Unit</f>
        <v>Unit</v>
      </c>
      <c r="H571" s="782">
        <f t="shared" ref="H571:N571" si="255">H$1190</f>
        <v>2024</v>
      </c>
      <c r="I571" s="988">
        <f t="shared" si="255"/>
        <v>2025</v>
      </c>
      <c r="J571" s="1810">
        <f t="shared" si="255"/>
        <v>2026</v>
      </c>
      <c r="K571" s="1747">
        <f t="shared" si="255"/>
        <v>2027</v>
      </c>
      <c r="L571" s="1747">
        <f t="shared" si="255"/>
        <v>2028</v>
      </c>
      <c r="M571" s="1747">
        <f t="shared" si="255"/>
        <v>2029</v>
      </c>
      <c r="N571" s="1748">
        <f t="shared" si="255"/>
        <v>2030</v>
      </c>
      <c r="O571" s="481"/>
      <c r="P571" s="481"/>
      <c r="Q571" s="1249"/>
      <c r="S571" s="1249"/>
      <c r="T571" s="1249"/>
      <c r="U571" s="1249"/>
      <c r="V571" s="1249"/>
      <c r="W571" s="1249"/>
      <c r="X571" s="1249"/>
      <c r="Y571" s="1249"/>
      <c r="Z571" s="1249"/>
      <c r="AB571" s="1435"/>
      <c r="AC571" s="1803">
        <f t="shared" ref="AC571:AI571" si="256">H$1190</f>
        <v>2024</v>
      </c>
      <c r="AD571" s="1803">
        <f t="shared" si="256"/>
        <v>2025</v>
      </c>
      <c r="AE571" s="1803">
        <f t="shared" si="256"/>
        <v>2026</v>
      </c>
      <c r="AF571" s="1803">
        <f t="shared" si="256"/>
        <v>2027</v>
      </c>
      <c r="AG571" s="1803">
        <f t="shared" si="256"/>
        <v>2028</v>
      </c>
      <c r="AH571" s="1803">
        <f t="shared" si="256"/>
        <v>2029</v>
      </c>
      <c r="AI571" s="1803">
        <f t="shared" si="256"/>
        <v>2030</v>
      </c>
      <c r="AO571" s="1121" t="b">
        <f t="shared" si="248"/>
        <v>0</v>
      </c>
    </row>
    <row r="572" spans="2:41" ht="12.75" customHeight="1">
      <c r="B572" s="467"/>
      <c r="C572" s="1056"/>
      <c r="D572" s="1057"/>
      <c r="E572" s="3285" t="str">
        <f>E552</f>
        <v>District heating sub-installation</v>
      </c>
      <c r="F572" s="2410"/>
      <c r="G572" s="815" t="str">
        <f>EUconst_TJpa</f>
        <v>TJ / year</v>
      </c>
      <c r="H572" s="1775" t="str">
        <f>c_ALR2025!M6223</f>
        <v/>
      </c>
      <c r="I572" s="1996"/>
      <c r="J572" s="1812"/>
      <c r="K572" s="1754"/>
      <c r="L572" s="1754"/>
      <c r="M572" s="1754"/>
      <c r="N572" s="1755"/>
      <c r="O572" s="481"/>
      <c r="P572" s="9"/>
      <c r="Q572" s="1963" t="str">
        <f>EUconst_CNTR_HeatProduced &amp; I486</f>
        <v>HeatProd_District heating sub-installation</v>
      </c>
      <c r="S572" s="1249"/>
      <c r="T572" s="1249"/>
      <c r="U572" s="1249"/>
      <c r="V572" s="1249"/>
      <c r="W572" s="1249"/>
      <c r="X572" s="1249"/>
      <c r="Y572" s="1249"/>
      <c r="Z572" s="1249"/>
      <c r="AB572" s="1641" t="s">
        <v>717</v>
      </c>
      <c r="AC572" s="1443" t="b">
        <f>AC552</f>
        <v>0</v>
      </c>
      <c r="AD572" s="1443" t="b">
        <f t="shared" ref="AD572:AI572" si="257">AD552</f>
        <v>0</v>
      </c>
      <c r="AE572" s="1443" t="b">
        <f t="shared" si="257"/>
        <v>0</v>
      </c>
      <c r="AF572" s="1443" t="b">
        <f t="shared" si="257"/>
        <v>0</v>
      </c>
      <c r="AG572" s="1443" t="b">
        <f t="shared" si="257"/>
        <v>0</v>
      </c>
      <c r="AH572" s="1443" t="b">
        <f t="shared" si="257"/>
        <v>0</v>
      </c>
      <c r="AI572" s="1443" t="b">
        <f t="shared" si="257"/>
        <v>0</v>
      </c>
      <c r="AL572" s="1635" t="str">
        <f>IF(AND(CNTR_ExistSubInstEntries,COUNTIFS(AC572:AI572,2,H572:N572,"")&gt;0),EUconst_Error&amp;"FB"&amp;Q486,"")</f>
        <v/>
      </c>
      <c r="AO572" s="1121" t="b">
        <f t="shared" si="248"/>
        <v>0</v>
      </c>
    </row>
    <row r="573" spans="2:41" ht="5.0999999999999996" customHeight="1">
      <c r="B573" s="467"/>
      <c r="C573" s="1056"/>
      <c r="D573" s="1057"/>
      <c r="E573" s="1057"/>
      <c r="F573" s="1057"/>
      <c r="G573" s="1057"/>
      <c r="H573" s="1057"/>
      <c r="I573" s="1057"/>
      <c r="J573" s="1057"/>
      <c r="K573" s="1057"/>
      <c r="L573" s="1057"/>
      <c r="M573" s="1059"/>
      <c r="N573" s="1060"/>
      <c r="O573" s="481"/>
      <c r="P573" s="481"/>
      <c r="Q573" s="1249"/>
      <c r="S573" s="1249"/>
      <c r="AB573" s="1435"/>
      <c r="AE573" s="1198"/>
      <c r="AF573" s="1198"/>
      <c r="AG573" s="1198"/>
      <c r="AH573" s="1198"/>
      <c r="AI573" s="1198"/>
      <c r="AO573" s="1121" t="b">
        <f t="shared" si="248"/>
        <v>0</v>
      </c>
    </row>
    <row r="574" spans="2:41" ht="12.75" customHeight="1">
      <c r="B574" s="467"/>
      <c r="C574" s="1056"/>
      <c r="D574" s="982" t="s">
        <v>58</v>
      </c>
      <c r="E574" s="2671" t="s">
        <v>556</v>
      </c>
      <c r="F574" s="2672"/>
      <c r="G574" s="2672"/>
      <c r="H574" s="2672"/>
      <c r="I574" s="2672"/>
      <c r="J574" s="2672"/>
      <c r="K574" s="2672"/>
      <c r="L574" s="2672"/>
      <c r="M574" s="2672"/>
      <c r="N574" s="2673"/>
      <c r="O574" s="481"/>
      <c r="P574" s="481"/>
      <c r="Q574" s="1249"/>
      <c r="S574" s="1249"/>
      <c r="AB574" s="1435"/>
      <c r="AE574" s="1198"/>
      <c r="AF574" s="1198"/>
      <c r="AG574" s="1198"/>
      <c r="AH574" s="1198"/>
      <c r="AI574" s="1198"/>
      <c r="AO574" s="1121" t="b">
        <f t="shared" si="248"/>
        <v>0</v>
      </c>
    </row>
    <row r="575" spans="2:41" ht="12.75" customHeight="1">
      <c r="B575" s="467"/>
      <c r="C575" s="1056"/>
      <c r="D575" s="982"/>
      <c r="E575" s="3292" t="s">
        <v>2297</v>
      </c>
      <c r="F575" s="2671"/>
      <c r="G575" s="2671"/>
      <c r="H575" s="2671"/>
      <c r="I575" s="2671"/>
      <c r="J575" s="2671"/>
      <c r="K575" s="2671"/>
      <c r="L575" s="2671"/>
      <c r="M575" s="2671"/>
      <c r="N575" s="2712"/>
      <c r="O575" s="481"/>
      <c r="P575" s="481"/>
      <c r="Q575" s="1249"/>
      <c r="S575" s="1249"/>
      <c r="AB575" s="1435"/>
      <c r="AE575" s="1198"/>
      <c r="AF575" s="1198"/>
      <c r="AG575" s="1198"/>
      <c r="AH575" s="1198"/>
      <c r="AI575" s="1198"/>
      <c r="AO575" s="1121" t="b">
        <f t="shared" si="248"/>
        <v>0</v>
      </c>
    </row>
    <row r="576" spans="2:41" ht="12.75" customHeight="1">
      <c r="B576" s="467"/>
      <c r="C576" s="1056"/>
      <c r="D576" s="1057"/>
      <c r="E576" s="3290" t="s">
        <v>1322</v>
      </c>
      <c r="F576" s="2646"/>
      <c r="G576" s="2646"/>
      <c r="H576" s="2646"/>
      <c r="I576" s="2646"/>
      <c r="J576" s="2646"/>
      <c r="K576" s="2646"/>
      <c r="L576" s="2646"/>
      <c r="M576" s="2646"/>
      <c r="N576" s="2647"/>
      <c r="O576" s="481"/>
      <c r="P576" s="481"/>
      <c r="Q576" s="1249"/>
      <c r="S576" s="1249"/>
      <c r="AB576" s="1435"/>
      <c r="AE576" s="1198"/>
      <c r="AF576" s="1198"/>
      <c r="AG576" s="1198"/>
      <c r="AH576" s="1198"/>
      <c r="AI576" s="1198"/>
      <c r="AO576" s="1121" t="b">
        <f t="shared" si="248"/>
        <v>0</v>
      </c>
    </row>
    <row r="577" spans="2:41" ht="38.85" customHeight="1">
      <c r="B577" s="467"/>
      <c r="C577" s="1056"/>
      <c r="D577" s="1057"/>
      <c r="E577" s="985" t="s">
        <v>1021</v>
      </c>
      <c r="F577" s="3290" t="s">
        <v>1573</v>
      </c>
      <c r="G577" s="2646"/>
      <c r="H577" s="2646"/>
      <c r="I577" s="2646"/>
      <c r="J577" s="2646"/>
      <c r="K577" s="2646"/>
      <c r="L577" s="2646"/>
      <c r="M577" s="2646"/>
      <c r="N577" s="2647"/>
      <c r="O577" s="481"/>
      <c r="P577" s="481"/>
      <c r="Q577" s="1249"/>
      <c r="S577" s="1249"/>
      <c r="AB577" s="1435"/>
      <c r="AE577" s="1198"/>
      <c r="AF577" s="1198"/>
      <c r="AG577" s="1198"/>
      <c r="AH577" s="1198"/>
      <c r="AI577" s="1198"/>
      <c r="AO577" s="1121" t="b">
        <f t="shared" si="248"/>
        <v>0</v>
      </c>
    </row>
    <row r="578" spans="2:41" ht="25.5" customHeight="1">
      <c r="B578" s="467"/>
      <c r="C578" s="1056"/>
      <c r="D578" s="1057"/>
      <c r="E578" s="985" t="s">
        <v>1021</v>
      </c>
      <c r="F578" s="3290" t="s">
        <v>1574</v>
      </c>
      <c r="G578" s="2646"/>
      <c r="H578" s="2646"/>
      <c r="I578" s="2646"/>
      <c r="J578" s="2646"/>
      <c r="K578" s="2646"/>
      <c r="L578" s="2646"/>
      <c r="M578" s="2646"/>
      <c r="N578" s="2647"/>
      <c r="O578" s="481"/>
      <c r="P578" s="481"/>
      <c r="Q578" s="1249"/>
      <c r="S578" s="1249"/>
      <c r="AB578" s="1435"/>
      <c r="AE578" s="1198"/>
      <c r="AF578" s="1198"/>
      <c r="AG578" s="1198"/>
      <c r="AH578" s="1198"/>
      <c r="AI578" s="1198"/>
      <c r="AO578" s="1121" t="b">
        <f t="shared" si="248"/>
        <v>0</v>
      </c>
    </row>
    <row r="579" spans="2:41" ht="12.75" customHeight="1">
      <c r="B579" s="467"/>
      <c r="C579" s="1056"/>
      <c r="D579" s="1057"/>
      <c r="E579" s="985" t="s">
        <v>1021</v>
      </c>
      <c r="F579" s="3290" t="s">
        <v>1480</v>
      </c>
      <c r="G579" s="2646"/>
      <c r="H579" s="2646"/>
      <c r="I579" s="2646"/>
      <c r="J579" s="2646"/>
      <c r="K579" s="2646"/>
      <c r="L579" s="2646"/>
      <c r="M579" s="2646"/>
      <c r="N579" s="2647"/>
      <c r="O579" s="481"/>
      <c r="P579" s="481"/>
      <c r="Q579" s="1249"/>
      <c r="S579" s="1249"/>
      <c r="AB579" s="1435"/>
      <c r="AE579" s="1198"/>
      <c r="AF579" s="1198"/>
      <c r="AG579" s="1198"/>
      <c r="AH579" s="1198"/>
      <c r="AI579" s="1198"/>
      <c r="AO579" s="1121" t="b">
        <f t="shared" si="248"/>
        <v>0</v>
      </c>
    </row>
    <row r="580" spans="2:41" ht="12.75" customHeight="1">
      <c r="B580" s="467"/>
      <c r="C580" s="1056"/>
      <c r="D580" s="1057"/>
      <c r="E580" s="985" t="s">
        <v>1021</v>
      </c>
      <c r="F580" s="3290" t="s">
        <v>1338</v>
      </c>
      <c r="G580" s="2646"/>
      <c r="H580" s="2646"/>
      <c r="I580" s="2646"/>
      <c r="J580" s="2646"/>
      <c r="K580" s="2646"/>
      <c r="L580" s="2646"/>
      <c r="M580" s="2646"/>
      <c r="N580" s="2647"/>
      <c r="O580" s="481"/>
      <c r="P580" s="481"/>
      <c r="Q580" s="1249"/>
      <c r="S580" s="1249"/>
      <c r="AB580" s="1435"/>
      <c r="AE580" s="1198"/>
      <c r="AF580" s="1198"/>
      <c r="AG580" s="1198"/>
      <c r="AH580" s="1198"/>
      <c r="AI580" s="1198"/>
      <c r="AO580" s="1121" t="b">
        <f t="shared" si="248"/>
        <v>0</v>
      </c>
    </row>
    <row r="581" spans="2:41" ht="12.75" customHeight="1">
      <c r="B581" s="467"/>
      <c r="C581" s="1056"/>
      <c r="D581" s="1057"/>
      <c r="E581" s="985" t="s">
        <v>1021</v>
      </c>
      <c r="F581" s="3290" t="s">
        <v>1321</v>
      </c>
      <c r="G581" s="2646"/>
      <c r="H581" s="2646"/>
      <c r="I581" s="2646"/>
      <c r="J581" s="2646"/>
      <c r="K581" s="2646"/>
      <c r="L581" s="2646"/>
      <c r="M581" s="2646"/>
      <c r="N581" s="2647"/>
      <c r="O581" s="481"/>
      <c r="P581" s="481"/>
      <c r="Q581" s="1249"/>
      <c r="S581" s="1249"/>
      <c r="AB581" s="1435"/>
      <c r="AE581" s="1198"/>
      <c r="AF581" s="1198"/>
      <c r="AG581" s="1198"/>
      <c r="AH581" s="1198"/>
      <c r="AI581" s="1198"/>
      <c r="AO581" s="1121" t="b">
        <f t="shared" si="248"/>
        <v>0</v>
      </c>
    </row>
    <row r="582" spans="2:41" ht="12.75" customHeight="1">
      <c r="B582" s="467"/>
      <c r="C582" s="1056"/>
      <c r="D582" s="1057"/>
      <c r="E582" s="3288" t="s">
        <v>2121</v>
      </c>
      <c r="F582" s="3288"/>
      <c r="G582" s="3288"/>
      <c r="H582" s="3288"/>
      <c r="I582" s="3288"/>
      <c r="J582" s="3288"/>
      <c r="K582" s="3288"/>
      <c r="L582" s="3288"/>
      <c r="M582" s="3288"/>
      <c r="N582" s="3289"/>
      <c r="O582" s="481"/>
      <c r="P582" s="481"/>
      <c r="Q582" s="1249"/>
      <c r="S582" s="1249"/>
      <c r="AB582" s="1435"/>
      <c r="AE582" s="1198"/>
      <c r="AF582" s="1198"/>
      <c r="AG582" s="1198"/>
      <c r="AH582" s="1198"/>
      <c r="AI582" s="1198"/>
      <c r="AO582" s="1121" t="b">
        <f t="shared" si="248"/>
        <v>0</v>
      </c>
    </row>
    <row r="583" spans="2:41" ht="12.75" customHeight="1">
      <c r="B583" s="467"/>
      <c r="C583" s="1056"/>
      <c r="D583" s="1057"/>
      <c r="E583" s="3290" t="s">
        <v>1554</v>
      </c>
      <c r="F583" s="2646"/>
      <c r="G583" s="2646"/>
      <c r="H583" s="2646"/>
      <c r="I583" s="2646"/>
      <c r="J583" s="2646"/>
      <c r="K583" s="2646"/>
      <c r="L583" s="2646"/>
      <c r="M583" s="2646"/>
      <c r="N583" s="2647"/>
      <c r="O583" s="481"/>
      <c r="P583" s="481"/>
      <c r="Q583" s="1249"/>
      <c r="S583" s="1249"/>
      <c r="AB583" s="1435"/>
      <c r="AE583" s="1198"/>
      <c r="AF583" s="1198"/>
      <c r="AG583" s="1198"/>
      <c r="AH583" s="1198"/>
      <c r="AI583" s="1198"/>
      <c r="AO583" s="1121" t="b">
        <f t="shared" si="248"/>
        <v>0</v>
      </c>
    </row>
    <row r="584" spans="2:41" ht="12.75" customHeight="1">
      <c r="B584" s="467"/>
      <c r="C584" s="1056"/>
      <c r="D584" s="1057"/>
      <c r="E584" s="3269" t="s">
        <v>1510</v>
      </c>
      <c r="F584" s="3269"/>
      <c r="G584" s="3269"/>
      <c r="H584" s="3269"/>
      <c r="I584" s="3269"/>
      <c r="J584" s="3269"/>
      <c r="K584" s="3269"/>
      <c r="L584" s="3269"/>
      <c r="M584" s="3269"/>
      <c r="N584" s="1007"/>
      <c r="O584" s="481"/>
      <c r="P584" s="481"/>
      <c r="Q584" s="1249"/>
      <c r="AE584" s="1198"/>
      <c r="AF584" s="1198"/>
      <c r="AG584" s="1198"/>
      <c r="AH584" s="1198"/>
      <c r="AI584" s="1198"/>
      <c r="AO584" s="1121" t="b">
        <f t="shared" si="248"/>
        <v>0</v>
      </c>
    </row>
    <row r="585" spans="2:41" ht="12.75" customHeight="1">
      <c r="B585" s="467"/>
      <c r="C585" s="1056"/>
      <c r="D585" s="1057"/>
      <c r="E585" s="2648" t="s">
        <v>1323</v>
      </c>
      <c r="F585" s="2493"/>
      <c r="G585" s="987" t="str">
        <f>EUconst_Unit</f>
        <v>Unit</v>
      </c>
      <c r="H585" s="782">
        <f t="shared" ref="H585:N585" si="258">H$1190</f>
        <v>2024</v>
      </c>
      <c r="I585" s="988">
        <f t="shared" si="258"/>
        <v>2025</v>
      </c>
      <c r="J585" s="1810">
        <f t="shared" si="258"/>
        <v>2026</v>
      </c>
      <c r="K585" s="1747">
        <f t="shared" si="258"/>
        <v>2027</v>
      </c>
      <c r="L585" s="1747">
        <f t="shared" si="258"/>
        <v>2028</v>
      </c>
      <c r="M585" s="1747">
        <f t="shared" si="258"/>
        <v>2029</v>
      </c>
      <c r="N585" s="1748">
        <f t="shared" si="258"/>
        <v>2030</v>
      </c>
      <c r="O585" s="481"/>
      <c r="P585" s="481"/>
      <c r="Q585" s="1249"/>
      <c r="S585" s="1249"/>
      <c r="T585" s="1503">
        <f t="shared" ref="T585:Z585" si="259">H585</f>
        <v>2024</v>
      </c>
      <c r="U585" s="1503">
        <f t="shared" si="259"/>
        <v>2025</v>
      </c>
      <c r="V585" s="1503">
        <f t="shared" si="259"/>
        <v>2026</v>
      </c>
      <c r="W585" s="1503">
        <f t="shared" si="259"/>
        <v>2027</v>
      </c>
      <c r="X585" s="1503">
        <f t="shared" si="259"/>
        <v>2028</v>
      </c>
      <c r="Y585" s="1503">
        <f t="shared" si="259"/>
        <v>2029</v>
      </c>
      <c r="Z585" s="1503">
        <f t="shared" si="259"/>
        <v>2030</v>
      </c>
      <c r="AC585" s="1803">
        <f t="shared" ref="AC585:AI585" si="260">H$1190</f>
        <v>2024</v>
      </c>
      <c r="AD585" s="1803">
        <f t="shared" si="260"/>
        <v>2025</v>
      </c>
      <c r="AE585" s="1803">
        <f t="shared" si="260"/>
        <v>2026</v>
      </c>
      <c r="AF585" s="1803">
        <f t="shared" si="260"/>
        <v>2027</v>
      </c>
      <c r="AG585" s="1803">
        <f t="shared" si="260"/>
        <v>2028</v>
      </c>
      <c r="AH585" s="1803">
        <f t="shared" si="260"/>
        <v>2029</v>
      </c>
      <c r="AI585" s="1803">
        <f t="shared" si="260"/>
        <v>2030</v>
      </c>
      <c r="AO585" s="1121" t="b">
        <f t="shared" si="248"/>
        <v>0</v>
      </c>
    </row>
    <row r="586" spans="2:41" ht="12.75" customHeight="1">
      <c r="B586" s="467"/>
      <c r="C586" s="1056"/>
      <c r="D586" s="1061" t="s">
        <v>6</v>
      </c>
      <c r="E586" s="2475" t="s">
        <v>1087</v>
      </c>
      <c r="F586" s="2410"/>
      <c r="G586" s="815" t="str">
        <f>EUconst_TJpa</f>
        <v>TJ / year</v>
      </c>
      <c r="H586" s="1479" t="str">
        <f>c_ALR2025!M6237</f>
        <v/>
      </c>
      <c r="I586" s="1532"/>
      <c r="J586" s="1811"/>
      <c r="K586" s="1751"/>
      <c r="L586" s="1751"/>
      <c r="M586" s="1751"/>
      <c r="N586" s="1752"/>
      <c r="O586" s="481"/>
      <c r="P586" s="9"/>
      <c r="Q586" s="1963" t="str">
        <f>EUconst_CNTR_HeatImport &amp; I486</f>
        <v>HeatIm_District heating sub-installation</v>
      </c>
      <c r="S586" s="1997" t="str">
        <f>EUconst_ERR_AttrEmBMapplied &amp; $I486</f>
        <v>ERR_AttrEmBM_District heating sub-installation</v>
      </c>
      <c r="T586" s="1443">
        <f t="shared" ref="T586:Z586" si="261">IF(AND(H586&lt;&gt;0,H587="",EUconst_StatusOfDataCollection=FALSE),1,0)</f>
        <v>0</v>
      </c>
      <c r="U586" s="1443">
        <f t="shared" si="261"/>
        <v>0</v>
      </c>
      <c r="V586" s="1443">
        <f t="shared" si="261"/>
        <v>0</v>
      </c>
      <c r="W586" s="1443">
        <f t="shared" si="261"/>
        <v>0</v>
      </c>
      <c r="X586" s="1443">
        <f t="shared" si="261"/>
        <v>0</v>
      </c>
      <c r="Y586" s="1443">
        <f t="shared" si="261"/>
        <v>0</v>
      </c>
      <c r="Z586" s="1443">
        <f t="shared" si="261"/>
        <v>0</v>
      </c>
      <c r="AB586" s="1641" t="s">
        <v>717</v>
      </c>
      <c r="AC586" s="1443" t="b">
        <f>AC562</f>
        <v>0</v>
      </c>
      <c r="AD586" s="1443" t="b">
        <f t="shared" ref="AD586:AI586" si="262">AD562</f>
        <v>0</v>
      </c>
      <c r="AE586" s="1443" t="b">
        <f t="shared" si="262"/>
        <v>0</v>
      </c>
      <c r="AF586" s="1443" t="b">
        <f t="shared" si="262"/>
        <v>0</v>
      </c>
      <c r="AG586" s="1443" t="b">
        <f t="shared" si="262"/>
        <v>0</v>
      </c>
      <c r="AH586" s="1443" t="b">
        <f t="shared" si="262"/>
        <v>0</v>
      </c>
      <c r="AI586" s="1443" t="b">
        <f t="shared" si="262"/>
        <v>0</v>
      </c>
      <c r="AL586" s="1635" t="str">
        <f>IF(AND(CNTR_ExistSubInstEntries,COUNTIFS(AC586:AI586,2,H586:N586,"")&gt;0),EUconst_Error&amp;"FB"&amp;Q486,"")</f>
        <v/>
      </c>
      <c r="AO586" s="1121" t="b">
        <f t="shared" si="248"/>
        <v>0</v>
      </c>
    </row>
    <row r="587" spans="2:41" ht="12.75" customHeight="1">
      <c r="B587" s="467"/>
      <c r="C587" s="1056"/>
      <c r="D587" s="1061" t="s">
        <v>7</v>
      </c>
      <c r="E587" s="2475" t="s">
        <v>1103</v>
      </c>
      <c r="F587" s="2410"/>
      <c r="G587" s="815" t="str">
        <f>EUconst_tCO2pTJ</f>
        <v>t CO2 / TJ</v>
      </c>
      <c r="H587" s="1479" t="str">
        <f>c_ALR2025!M6238</f>
        <v/>
      </c>
      <c r="I587" s="1532"/>
      <c r="J587" s="1811"/>
      <c r="K587" s="1751"/>
      <c r="L587" s="1751"/>
      <c r="M587" s="1751"/>
      <c r="N587" s="1752"/>
      <c r="O587" s="481"/>
      <c r="P587" s="9"/>
      <c r="Q587" s="1963" t="str">
        <f>EUconst_CNTR_HeatImportEF &amp; I486</f>
        <v>HeatImEF_District heating sub-installation</v>
      </c>
      <c r="S587" s="1968" t="str">
        <f>EUconst_CNTR_AttributedEmissions &amp; $I486</f>
        <v>AttrEmissions_District heating sub-installation</v>
      </c>
      <c r="T587" s="1443" t="str">
        <f t="shared" ref="T587:Z587" si="263">IF(T494,SUM(H586)*IF(ISNUMBER(H587),H587,EUconst_HeatBMvalue),"")</f>
        <v/>
      </c>
      <c r="U587" s="1443" t="str">
        <f t="shared" si="263"/>
        <v/>
      </c>
      <c r="V587" s="1443" t="str">
        <f t="shared" si="263"/>
        <v/>
      </c>
      <c r="W587" s="1443" t="str">
        <f t="shared" si="263"/>
        <v/>
      </c>
      <c r="X587" s="1443" t="str">
        <f t="shared" si="263"/>
        <v/>
      </c>
      <c r="Y587" s="1443" t="str">
        <f t="shared" si="263"/>
        <v/>
      </c>
      <c r="Z587" s="1443" t="str">
        <f t="shared" si="263"/>
        <v/>
      </c>
      <c r="AC587" s="1443" t="b">
        <f>AC563</f>
        <v>0</v>
      </c>
      <c r="AD587" s="1443" t="b">
        <f t="shared" ref="AD587:AI587" si="264">AD563</f>
        <v>0</v>
      </c>
      <c r="AE587" s="1443" t="b">
        <f t="shared" si="264"/>
        <v>0</v>
      </c>
      <c r="AF587" s="1443" t="b">
        <f t="shared" si="264"/>
        <v>0</v>
      </c>
      <c r="AG587" s="1443" t="b">
        <f t="shared" si="264"/>
        <v>0</v>
      </c>
      <c r="AH587" s="1443" t="b">
        <f t="shared" si="264"/>
        <v>0</v>
      </c>
      <c r="AI587" s="1443" t="b">
        <f t="shared" si="264"/>
        <v>0</v>
      </c>
      <c r="AL587" s="1635" t="str">
        <f>IF(AND(CNTR_ExistSubInstEntries,COUNTIFS(AC587:AI587,2,H587:N587,"")&gt;0),EUconst_Error&amp;"FB"&amp;Q486,"")</f>
        <v/>
      </c>
      <c r="AO587" s="1121" t="b">
        <f t="shared" si="248"/>
        <v>0</v>
      </c>
    </row>
    <row r="588" spans="2:41" ht="5.0999999999999996" customHeight="1">
      <c r="B588" s="467"/>
      <c r="C588" s="1056"/>
      <c r="D588" s="1057"/>
      <c r="E588" s="1057"/>
      <c r="F588" s="1057"/>
      <c r="G588" s="1057"/>
      <c r="H588" s="1057"/>
      <c r="I588" s="1057"/>
      <c r="J588" s="1965"/>
      <c r="K588" s="1966"/>
      <c r="L588" s="1966"/>
      <c r="M588" s="1966"/>
      <c r="N588" s="1967"/>
      <c r="O588" s="481"/>
      <c r="P588" s="481"/>
      <c r="Q588" s="1249"/>
      <c r="S588" s="1249"/>
      <c r="AE588" s="1198"/>
      <c r="AF588" s="1198"/>
      <c r="AG588" s="1198"/>
      <c r="AH588" s="1198"/>
      <c r="AI588" s="1198"/>
      <c r="AO588" s="1121" t="b">
        <f t="shared" si="248"/>
        <v>0</v>
      </c>
    </row>
    <row r="589" spans="2:41" ht="12.75" customHeight="1">
      <c r="B589" s="467"/>
      <c r="C589" s="1056"/>
      <c r="D589" s="1057"/>
      <c r="E589" s="2648" t="s">
        <v>1324</v>
      </c>
      <c r="F589" s="2493"/>
      <c r="G589" s="987" t="str">
        <f>EUconst_Unit</f>
        <v>Unit</v>
      </c>
      <c r="H589" s="782">
        <f t="shared" ref="H589:N589" si="265">H$1190</f>
        <v>2024</v>
      </c>
      <c r="I589" s="988">
        <f t="shared" si="265"/>
        <v>2025</v>
      </c>
      <c r="J589" s="1810">
        <f t="shared" si="265"/>
        <v>2026</v>
      </c>
      <c r="K589" s="1747">
        <f t="shared" si="265"/>
        <v>2027</v>
      </c>
      <c r="L589" s="1747">
        <f t="shared" si="265"/>
        <v>2028</v>
      </c>
      <c r="M589" s="1747">
        <f t="shared" si="265"/>
        <v>2029</v>
      </c>
      <c r="N589" s="1748">
        <f t="shared" si="265"/>
        <v>2030</v>
      </c>
      <c r="O589" s="481"/>
      <c r="P589" s="481"/>
      <c r="Q589" s="1249"/>
      <c r="S589" s="1249"/>
      <c r="T589" s="1503">
        <f t="shared" ref="T589:Z589" si="266">H589</f>
        <v>2024</v>
      </c>
      <c r="U589" s="1503">
        <f t="shared" si="266"/>
        <v>2025</v>
      </c>
      <c r="V589" s="1503">
        <f t="shared" si="266"/>
        <v>2026</v>
      </c>
      <c r="W589" s="1503">
        <f t="shared" si="266"/>
        <v>2027</v>
      </c>
      <c r="X589" s="1503">
        <f t="shared" si="266"/>
        <v>2028</v>
      </c>
      <c r="Y589" s="1503">
        <f t="shared" si="266"/>
        <v>2029</v>
      </c>
      <c r="Z589" s="1503">
        <f t="shared" si="266"/>
        <v>2030</v>
      </c>
      <c r="AB589" s="1435"/>
      <c r="AC589" s="1803">
        <f t="shared" ref="AC589:AI589" si="267">H$1190</f>
        <v>2024</v>
      </c>
      <c r="AD589" s="1803">
        <f t="shared" si="267"/>
        <v>2025</v>
      </c>
      <c r="AE589" s="1803">
        <f t="shared" si="267"/>
        <v>2026</v>
      </c>
      <c r="AF589" s="1803">
        <f t="shared" si="267"/>
        <v>2027</v>
      </c>
      <c r="AG589" s="1803">
        <f t="shared" si="267"/>
        <v>2028</v>
      </c>
      <c r="AH589" s="1803">
        <f t="shared" si="267"/>
        <v>2029</v>
      </c>
      <c r="AI589" s="1803">
        <f t="shared" si="267"/>
        <v>2030</v>
      </c>
      <c r="AO589" s="1121" t="b">
        <f t="shared" si="248"/>
        <v>0</v>
      </c>
    </row>
    <row r="590" spans="2:41" ht="12.75" customHeight="1">
      <c r="B590" s="467"/>
      <c r="C590" s="1056"/>
      <c r="D590" s="1061" t="s">
        <v>18</v>
      </c>
      <c r="E590" s="2475" t="s">
        <v>1087</v>
      </c>
      <c r="F590" s="2410"/>
      <c r="G590" s="815" t="str">
        <f>EUconst_TJpa</f>
        <v>TJ / year</v>
      </c>
      <c r="H590" s="1479" t="str">
        <f>c_ALR2025!M6241</f>
        <v/>
      </c>
      <c r="I590" s="1532"/>
      <c r="J590" s="1811"/>
      <c r="K590" s="1751"/>
      <c r="L590" s="1751"/>
      <c r="M590" s="1751"/>
      <c r="N590" s="1752"/>
      <c r="O590" s="481"/>
      <c r="P590" s="9"/>
      <c r="Q590" s="1963" t="str">
        <f>EUconst_CNTR_HeatImportProduct &amp; I486</f>
        <v>HeatImProd_District heating sub-installation</v>
      </c>
      <c r="S590" s="1997" t="str">
        <f>EUconst_ERR_AttrEmBMapplied &amp; $I486</f>
        <v>ERR_AttrEmBM_District heating sub-installation</v>
      </c>
      <c r="T590" s="1443">
        <f t="shared" ref="T590:Z590" si="268">IF(AND(H590&lt;&gt;0,H591="",EUconst_StatusOfDataCollection=FALSE),1,0)</f>
        <v>0</v>
      </c>
      <c r="U590" s="1443">
        <f t="shared" si="268"/>
        <v>0</v>
      </c>
      <c r="V590" s="1443">
        <f t="shared" si="268"/>
        <v>0</v>
      </c>
      <c r="W590" s="1443">
        <f t="shared" si="268"/>
        <v>0</v>
      </c>
      <c r="X590" s="1443">
        <f t="shared" si="268"/>
        <v>0</v>
      </c>
      <c r="Y590" s="1443">
        <f t="shared" si="268"/>
        <v>0</v>
      </c>
      <c r="Z590" s="1443">
        <f t="shared" si="268"/>
        <v>0</v>
      </c>
      <c r="AB590" s="1641" t="s">
        <v>717</v>
      </c>
      <c r="AC590" s="1443" t="b">
        <f>AC586</f>
        <v>0</v>
      </c>
      <c r="AD590" s="1443" t="b">
        <f t="shared" ref="AD590:AI590" si="269">AD586</f>
        <v>0</v>
      </c>
      <c r="AE590" s="1443" t="b">
        <f t="shared" si="269"/>
        <v>0</v>
      </c>
      <c r="AF590" s="1443" t="b">
        <f t="shared" si="269"/>
        <v>0</v>
      </c>
      <c r="AG590" s="1443" t="b">
        <f t="shared" si="269"/>
        <v>0</v>
      </c>
      <c r="AH590" s="1443" t="b">
        <f t="shared" si="269"/>
        <v>0</v>
      </c>
      <c r="AI590" s="1443" t="b">
        <f t="shared" si="269"/>
        <v>0</v>
      </c>
      <c r="AL590" s="1635" t="str">
        <f>IF(AND(CNTR_ExistSubInstEntries,COUNTIFS(AC590:AI590,2,H590:N590,"")&gt;0),EUconst_Error&amp;"FB"&amp;Q486,"")</f>
        <v/>
      </c>
      <c r="AO590" s="1121" t="b">
        <f t="shared" si="248"/>
        <v>0</v>
      </c>
    </row>
    <row r="591" spans="2:41" ht="12.75" customHeight="1">
      <c r="B591" s="467"/>
      <c r="C591" s="1056"/>
      <c r="D591" s="1061" t="s">
        <v>787</v>
      </c>
      <c r="E591" s="2475" t="s">
        <v>1490</v>
      </c>
      <c r="F591" s="2410"/>
      <c r="G591" s="815" t="str">
        <f>EUconst_tCO2pTJ</f>
        <v>t CO2 / TJ</v>
      </c>
      <c r="H591" s="1479" t="str">
        <f>c_ALR2025!M6242</f>
        <v/>
      </c>
      <c r="I591" s="1532"/>
      <c r="J591" s="1811"/>
      <c r="K591" s="1751"/>
      <c r="L591" s="1751"/>
      <c r="M591" s="1751"/>
      <c r="N591" s="1752"/>
      <c r="O591" s="481"/>
      <c r="P591" s="9"/>
      <c r="Q591" s="1963" t="str">
        <f>EUconst_CNTR_HeatImportProductEF &amp; I486</f>
        <v>HeatImProdEF_District heating sub-installation</v>
      </c>
      <c r="S591" s="1968" t="str">
        <f>EUconst_CNTR_AttributedEmissions &amp; $I486</f>
        <v>AttrEmissions_District heating sub-installation</v>
      </c>
      <c r="T591" s="1443" t="str">
        <f t="shared" ref="T591:Z591" si="270">IF(T494,SUM(H590)*IF(ISNUMBER(H591),H591,EUconst_HeatBMvalue),"")</f>
        <v/>
      </c>
      <c r="U591" s="1443" t="str">
        <f t="shared" si="270"/>
        <v/>
      </c>
      <c r="V591" s="1443" t="str">
        <f t="shared" si="270"/>
        <v/>
      </c>
      <c r="W591" s="1443" t="str">
        <f t="shared" si="270"/>
        <v/>
      </c>
      <c r="X591" s="1443" t="str">
        <f t="shared" si="270"/>
        <v/>
      </c>
      <c r="Y591" s="1443" t="str">
        <f t="shared" si="270"/>
        <v/>
      </c>
      <c r="Z591" s="1443" t="str">
        <f t="shared" si="270"/>
        <v/>
      </c>
      <c r="AB591" s="1435"/>
      <c r="AC591" s="1443" t="b">
        <f>AC587</f>
        <v>0</v>
      </c>
      <c r="AD591" s="1443" t="b">
        <f t="shared" ref="AD591:AI591" si="271">AD587</f>
        <v>0</v>
      </c>
      <c r="AE591" s="1443" t="b">
        <f t="shared" si="271"/>
        <v>0</v>
      </c>
      <c r="AF591" s="1443" t="b">
        <f t="shared" si="271"/>
        <v>0</v>
      </c>
      <c r="AG591" s="1443" t="b">
        <f t="shared" si="271"/>
        <v>0</v>
      </c>
      <c r="AH591" s="1443" t="b">
        <f t="shared" si="271"/>
        <v>0</v>
      </c>
      <c r="AI591" s="1443" t="b">
        <f t="shared" si="271"/>
        <v>0</v>
      </c>
      <c r="AL591" s="1635" t="str">
        <f>IF(AND(CNTR_ExistSubInstEntries,COUNTIFS(AC591:AI591,2,H591:N591,"")&gt;0),EUconst_Error&amp;"FB"&amp;Q486,"")</f>
        <v/>
      </c>
      <c r="AO591" s="1121" t="b">
        <f t="shared" si="248"/>
        <v>0</v>
      </c>
    </row>
    <row r="592" spans="2:41" ht="5.0999999999999996" customHeight="1">
      <c r="B592" s="467"/>
      <c r="C592" s="1056"/>
      <c r="D592" s="1057"/>
      <c r="E592" s="1057"/>
      <c r="F592" s="1057"/>
      <c r="G592" s="1057"/>
      <c r="H592" s="1057"/>
      <c r="I592" s="1057"/>
      <c r="J592" s="1965"/>
      <c r="K592" s="1966"/>
      <c r="L592" s="1966"/>
      <c r="M592" s="1966"/>
      <c r="N592" s="1967"/>
      <c r="O592" s="481"/>
      <c r="P592" s="481"/>
      <c r="Q592" s="1249"/>
      <c r="S592" s="1249"/>
      <c r="AB592" s="1435"/>
      <c r="AE592" s="1198"/>
      <c r="AF592" s="1198"/>
      <c r="AG592" s="1198"/>
      <c r="AH592" s="1198"/>
      <c r="AI592" s="1198"/>
      <c r="AO592" s="1121" t="b">
        <f t="shared" si="248"/>
        <v>0</v>
      </c>
    </row>
    <row r="593" spans="2:41" ht="12.75" customHeight="1">
      <c r="B593" s="467"/>
      <c r="C593" s="1056"/>
      <c r="D593" s="1057"/>
      <c r="E593" s="2648" t="s">
        <v>1325</v>
      </c>
      <c r="F593" s="2493"/>
      <c r="G593" s="987" t="str">
        <f>EUconst_Unit</f>
        <v>Unit</v>
      </c>
      <c r="H593" s="782">
        <f t="shared" ref="H593:N593" si="272">H$1190</f>
        <v>2024</v>
      </c>
      <c r="I593" s="988">
        <f t="shared" si="272"/>
        <v>2025</v>
      </c>
      <c r="J593" s="1810">
        <f t="shared" si="272"/>
        <v>2026</v>
      </c>
      <c r="K593" s="1747">
        <f t="shared" si="272"/>
        <v>2027</v>
      </c>
      <c r="L593" s="1747">
        <f t="shared" si="272"/>
        <v>2028</v>
      </c>
      <c r="M593" s="1747">
        <f t="shared" si="272"/>
        <v>2029</v>
      </c>
      <c r="N593" s="1748">
        <f t="shared" si="272"/>
        <v>2030</v>
      </c>
      <c r="O593" s="481"/>
      <c r="P593" s="481"/>
      <c r="Q593" s="1249"/>
      <c r="S593" s="1249"/>
      <c r="T593" s="1503">
        <f t="shared" ref="T593:Z593" si="273">H593</f>
        <v>2024</v>
      </c>
      <c r="U593" s="1503">
        <f t="shared" si="273"/>
        <v>2025</v>
      </c>
      <c r="V593" s="1503">
        <f t="shared" si="273"/>
        <v>2026</v>
      </c>
      <c r="W593" s="1503">
        <f t="shared" si="273"/>
        <v>2027</v>
      </c>
      <c r="X593" s="1503">
        <f t="shared" si="273"/>
        <v>2028</v>
      </c>
      <c r="Y593" s="1503">
        <f t="shared" si="273"/>
        <v>2029</v>
      </c>
      <c r="Z593" s="1503">
        <f t="shared" si="273"/>
        <v>2030</v>
      </c>
      <c r="AB593" s="1435"/>
      <c r="AC593" s="1803">
        <f t="shared" ref="AC593:AI593" si="274">H$1190</f>
        <v>2024</v>
      </c>
      <c r="AD593" s="1803">
        <f t="shared" si="274"/>
        <v>2025</v>
      </c>
      <c r="AE593" s="1803">
        <f t="shared" si="274"/>
        <v>2026</v>
      </c>
      <c r="AF593" s="1803">
        <f t="shared" si="274"/>
        <v>2027</v>
      </c>
      <c r="AG593" s="1803">
        <f t="shared" si="274"/>
        <v>2028</v>
      </c>
      <c r="AH593" s="1803">
        <f t="shared" si="274"/>
        <v>2029</v>
      </c>
      <c r="AI593" s="1803">
        <f t="shared" si="274"/>
        <v>2030</v>
      </c>
      <c r="AO593" s="1121" t="b">
        <f t="shared" si="248"/>
        <v>0</v>
      </c>
    </row>
    <row r="594" spans="2:41" ht="12.75" customHeight="1">
      <c r="B594" s="467"/>
      <c r="C594" s="1056"/>
      <c r="D594" s="1061" t="s">
        <v>789</v>
      </c>
      <c r="E594" s="2475" t="s">
        <v>1087</v>
      </c>
      <c r="F594" s="2410"/>
      <c r="G594" s="815" t="str">
        <f>EUconst_TJpa</f>
        <v>TJ / year</v>
      </c>
      <c r="H594" s="1479" t="str">
        <f>c_ALR2025!M6245</f>
        <v/>
      </c>
      <c r="I594" s="1532"/>
      <c r="J594" s="1811"/>
      <c r="K594" s="1751"/>
      <c r="L594" s="1751"/>
      <c r="M594" s="1751"/>
      <c r="N594" s="1752"/>
      <c r="O594" s="481"/>
      <c r="P594" s="9"/>
      <c r="Q594" s="1963" t="str">
        <f>EUconst_CNTR_HeatImportPulp &amp; I486</f>
        <v>HeatImPulp_District heating sub-installation</v>
      </c>
      <c r="S594" s="1997" t="str">
        <f>EUconst_ERR_AttrEmBMapplied &amp; $I486</f>
        <v>ERR_AttrEmBM_District heating sub-installation</v>
      </c>
      <c r="T594" s="1443">
        <f t="shared" ref="T594:Z594" si="275">IF(AND(H594&lt;&gt;0,H595="",EUconst_StatusOfDataCollection=FALSE),1,0)</f>
        <v>0</v>
      </c>
      <c r="U594" s="1443">
        <f t="shared" si="275"/>
        <v>0</v>
      </c>
      <c r="V594" s="1443">
        <f t="shared" si="275"/>
        <v>0</v>
      </c>
      <c r="W594" s="1443">
        <f t="shared" si="275"/>
        <v>0</v>
      </c>
      <c r="X594" s="1443">
        <f t="shared" si="275"/>
        <v>0</v>
      </c>
      <c r="Y594" s="1443">
        <f t="shared" si="275"/>
        <v>0</v>
      </c>
      <c r="Z594" s="1443">
        <f t="shared" si="275"/>
        <v>0</v>
      </c>
      <c r="AB594" s="1641" t="s">
        <v>717</v>
      </c>
      <c r="AC594" s="1443" t="b">
        <f>AC590</f>
        <v>0</v>
      </c>
      <c r="AD594" s="1443" t="b">
        <f t="shared" ref="AD594:AI594" si="276">AD590</f>
        <v>0</v>
      </c>
      <c r="AE594" s="1443" t="b">
        <f t="shared" si="276"/>
        <v>0</v>
      </c>
      <c r="AF594" s="1443" t="b">
        <f t="shared" si="276"/>
        <v>0</v>
      </c>
      <c r="AG594" s="1443" t="b">
        <f t="shared" si="276"/>
        <v>0</v>
      </c>
      <c r="AH594" s="1443" t="b">
        <f t="shared" si="276"/>
        <v>0</v>
      </c>
      <c r="AI594" s="1443" t="b">
        <f t="shared" si="276"/>
        <v>0</v>
      </c>
      <c r="AL594" s="1635" t="str">
        <f>IF(AND(CNTR_ExistSubInstEntries,COUNTIFS(AC594:AI594,2,H594:N594,"")&gt;0),EUconst_Error&amp;"FB"&amp;Q486,"")</f>
        <v/>
      </c>
      <c r="AO594" s="1121" t="b">
        <f t="shared" si="248"/>
        <v>0</v>
      </c>
    </row>
    <row r="595" spans="2:41" ht="12.75" customHeight="1">
      <c r="B595" s="467"/>
      <c r="C595" s="1056"/>
      <c r="D595" s="1061" t="s">
        <v>790</v>
      </c>
      <c r="E595" s="2475" t="s">
        <v>1489</v>
      </c>
      <c r="F595" s="2410"/>
      <c r="G595" s="815" t="str">
        <f>EUconst_tCO2pTJ</f>
        <v>t CO2 / TJ</v>
      </c>
      <c r="H595" s="1479" t="str">
        <f>c_ALR2025!M6246</f>
        <v/>
      </c>
      <c r="I595" s="1532"/>
      <c r="J595" s="1811"/>
      <c r="K595" s="1751"/>
      <c r="L595" s="1751"/>
      <c r="M595" s="1751"/>
      <c r="N595" s="1752"/>
      <c r="O595" s="481"/>
      <c r="P595" s="9"/>
      <c r="Q595" s="1963" t="str">
        <f>EUconst_CNTR_HeatImportPulpEF &amp; I486</f>
        <v>HeatImPulpEF_District heating sub-installation</v>
      </c>
      <c r="S595" s="1968" t="str">
        <f>EUconst_CNTR_AttributedEmissions &amp; $I486</f>
        <v>AttrEmissions_District heating sub-installation</v>
      </c>
      <c r="T595" s="1443" t="str">
        <f t="shared" ref="T595:Z595" si="277">IF(T494,SUM(H594)*IF(ISNUMBER(H595),H595,EUconst_HeatBMvalue),"")</f>
        <v/>
      </c>
      <c r="U595" s="1443" t="str">
        <f t="shared" si="277"/>
        <v/>
      </c>
      <c r="V595" s="1443" t="str">
        <f t="shared" si="277"/>
        <v/>
      </c>
      <c r="W595" s="1443" t="str">
        <f t="shared" si="277"/>
        <v/>
      </c>
      <c r="X595" s="1443" t="str">
        <f t="shared" si="277"/>
        <v/>
      </c>
      <c r="Y595" s="1443" t="str">
        <f t="shared" si="277"/>
        <v/>
      </c>
      <c r="Z595" s="1443" t="str">
        <f t="shared" si="277"/>
        <v/>
      </c>
      <c r="AB595" s="1435"/>
      <c r="AC595" s="1443" t="b">
        <f>AC591</f>
        <v>0</v>
      </c>
      <c r="AD595" s="1443" t="b">
        <f t="shared" ref="AD595:AI595" si="278">AD591</f>
        <v>0</v>
      </c>
      <c r="AE595" s="1443" t="b">
        <f t="shared" si="278"/>
        <v>0</v>
      </c>
      <c r="AF595" s="1443" t="b">
        <f t="shared" si="278"/>
        <v>0</v>
      </c>
      <c r="AG595" s="1443" t="b">
        <f t="shared" si="278"/>
        <v>0</v>
      </c>
      <c r="AH595" s="1443" t="b">
        <f t="shared" si="278"/>
        <v>0</v>
      </c>
      <c r="AI595" s="1443" t="b">
        <f t="shared" si="278"/>
        <v>0</v>
      </c>
      <c r="AL595" s="1635" t="str">
        <f>IF(AND(CNTR_ExistSubInstEntries,COUNTIFS(AC595:AI595,2,H595:N595,"")&gt;0),EUconst_Error&amp;"FB"&amp;Q486,"")</f>
        <v/>
      </c>
      <c r="AO595" s="1121" t="b">
        <f t="shared" si="248"/>
        <v>0</v>
      </c>
    </row>
    <row r="596" spans="2:41" ht="5.0999999999999996" customHeight="1">
      <c r="B596" s="467"/>
      <c r="C596" s="1056"/>
      <c r="D596" s="1057"/>
      <c r="E596" s="1057"/>
      <c r="F596" s="1057"/>
      <c r="G596" s="1057"/>
      <c r="H596" s="1057"/>
      <c r="I596" s="1057"/>
      <c r="J596" s="1965"/>
      <c r="K596" s="1966"/>
      <c r="L596" s="1966"/>
      <c r="M596" s="1966"/>
      <c r="N596" s="1967"/>
      <c r="O596" s="481"/>
      <c r="P596" s="481"/>
      <c r="Q596" s="1249"/>
      <c r="S596" s="1249"/>
      <c r="AB596" s="1435"/>
      <c r="AE596" s="1198"/>
      <c r="AF596" s="1198"/>
      <c r="AG596" s="1198"/>
      <c r="AH596" s="1198"/>
      <c r="AI596" s="1198"/>
      <c r="AO596" s="1121" t="b">
        <f t="shared" si="248"/>
        <v>0</v>
      </c>
    </row>
    <row r="597" spans="2:41" ht="12.75" customHeight="1">
      <c r="B597" s="467"/>
      <c r="C597" s="1056"/>
      <c r="D597" s="1057"/>
      <c r="E597" s="2648" t="s">
        <v>1326</v>
      </c>
      <c r="F597" s="2493"/>
      <c r="G597" s="987" t="str">
        <f>EUconst_Unit</f>
        <v>Unit</v>
      </c>
      <c r="H597" s="782">
        <f t="shared" ref="H597:N597" si="279">H$1190</f>
        <v>2024</v>
      </c>
      <c r="I597" s="988">
        <f t="shared" si="279"/>
        <v>2025</v>
      </c>
      <c r="J597" s="1810">
        <f t="shared" si="279"/>
        <v>2026</v>
      </c>
      <c r="K597" s="1747">
        <f t="shared" si="279"/>
        <v>2027</v>
      </c>
      <c r="L597" s="1747">
        <f t="shared" si="279"/>
        <v>2028</v>
      </c>
      <c r="M597" s="1747">
        <f t="shared" si="279"/>
        <v>2029</v>
      </c>
      <c r="N597" s="1748">
        <f t="shared" si="279"/>
        <v>2030</v>
      </c>
      <c r="O597" s="481"/>
      <c r="P597" s="481"/>
      <c r="Q597" s="1249"/>
      <c r="S597" s="1249"/>
      <c r="T597" s="1503">
        <f t="shared" ref="T597:Z597" si="280">H597</f>
        <v>2024</v>
      </c>
      <c r="U597" s="1503">
        <f t="shared" si="280"/>
        <v>2025</v>
      </c>
      <c r="V597" s="1503">
        <f t="shared" si="280"/>
        <v>2026</v>
      </c>
      <c r="W597" s="1503">
        <f t="shared" si="280"/>
        <v>2027</v>
      </c>
      <c r="X597" s="1503">
        <f t="shared" si="280"/>
        <v>2028</v>
      </c>
      <c r="Y597" s="1503">
        <f t="shared" si="280"/>
        <v>2029</v>
      </c>
      <c r="Z597" s="1503">
        <f t="shared" si="280"/>
        <v>2030</v>
      </c>
      <c r="AB597" s="1435"/>
      <c r="AC597" s="1803">
        <f t="shared" ref="AC597:AI597" si="281">H$1190</f>
        <v>2024</v>
      </c>
      <c r="AD597" s="1803">
        <f t="shared" si="281"/>
        <v>2025</v>
      </c>
      <c r="AE597" s="1803">
        <f t="shared" si="281"/>
        <v>2026</v>
      </c>
      <c r="AF597" s="1803">
        <f t="shared" si="281"/>
        <v>2027</v>
      </c>
      <c r="AG597" s="1803">
        <f t="shared" si="281"/>
        <v>2028</v>
      </c>
      <c r="AH597" s="1803">
        <f t="shared" si="281"/>
        <v>2029</v>
      </c>
      <c r="AI597" s="1803">
        <f t="shared" si="281"/>
        <v>2030</v>
      </c>
      <c r="AO597" s="1121" t="b">
        <f t="shared" si="248"/>
        <v>0</v>
      </c>
    </row>
    <row r="598" spans="2:41" ht="12.75" customHeight="1">
      <c r="B598" s="467"/>
      <c r="C598" s="1056"/>
      <c r="D598" s="1061" t="s">
        <v>64</v>
      </c>
      <c r="E598" s="2475" t="s">
        <v>1087</v>
      </c>
      <c r="F598" s="2410"/>
      <c r="G598" s="815" t="str">
        <f>EUconst_TJpa</f>
        <v>TJ / year</v>
      </c>
      <c r="H598" s="1479" t="str">
        <f>c_ALR2025!M6249</f>
        <v/>
      </c>
      <c r="I598" s="1532"/>
      <c r="J598" s="1811"/>
      <c r="K598" s="1751"/>
      <c r="L598" s="1751"/>
      <c r="M598" s="1751"/>
      <c r="N598" s="1752"/>
      <c r="O598" s="481"/>
      <c r="P598" s="9"/>
      <c r="Q598" s="1963" t="str">
        <f>EUconst_CNTR_HeatImportFuel &amp; I486</f>
        <v>HeatImFuel_District heating sub-installation</v>
      </c>
      <c r="S598" s="1997" t="str">
        <f>EUconst_ERR_AttrEmBMapplied &amp; $I486</f>
        <v>ERR_AttrEmBM_District heating sub-installation</v>
      </c>
      <c r="T598" s="1443">
        <f t="shared" ref="T598:Z598" si="282">IF(AND(H598&lt;&gt;0,H599="",EUconst_StatusOfDataCollection=FALSE),1,0)</f>
        <v>0</v>
      </c>
      <c r="U598" s="1443">
        <f t="shared" si="282"/>
        <v>0</v>
      </c>
      <c r="V598" s="1443">
        <f t="shared" si="282"/>
        <v>0</v>
      </c>
      <c r="W598" s="1443">
        <f t="shared" si="282"/>
        <v>0</v>
      </c>
      <c r="X598" s="1443">
        <f t="shared" si="282"/>
        <v>0</v>
      </c>
      <c r="Y598" s="1443">
        <f t="shared" si="282"/>
        <v>0</v>
      </c>
      <c r="Z598" s="1443">
        <f t="shared" si="282"/>
        <v>0</v>
      </c>
      <c r="AB598" s="1641" t="s">
        <v>717</v>
      </c>
      <c r="AC598" s="1443" t="b">
        <f>AC594</f>
        <v>0</v>
      </c>
      <c r="AD598" s="1443" t="b">
        <f t="shared" ref="AD598:AI598" si="283">AD594</f>
        <v>0</v>
      </c>
      <c r="AE598" s="1443" t="b">
        <f t="shared" si="283"/>
        <v>0</v>
      </c>
      <c r="AF598" s="1443" t="b">
        <f t="shared" si="283"/>
        <v>0</v>
      </c>
      <c r="AG598" s="1443" t="b">
        <f t="shared" si="283"/>
        <v>0</v>
      </c>
      <c r="AH598" s="1443" t="b">
        <f t="shared" si="283"/>
        <v>0</v>
      </c>
      <c r="AI598" s="1443" t="b">
        <f t="shared" si="283"/>
        <v>0</v>
      </c>
      <c r="AL598" s="1635" t="str">
        <f>IF(AND(CNTR_ExistSubInstEntries,COUNTIFS(AC598:AI598,2,H598:N598,"")&gt;0),EUconst_Error&amp;"FB"&amp;Q486,"")</f>
        <v/>
      </c>
      <c r="AO598" s="1121" t="b">
        <f t="shared" si="248"/>
        <v>0</v>
      </c>
    </row>
    <row r="599" spans="2:41" ht="12.75" customHeight="1">
      <c r="B599" s="467"/>
      <c r="C599" s="1056"/>
      <c r="D599" s="1061" t="s">
        <v>65</v>
      </c>
      <c r="E599" s="2475" t="s">
        <v>1491</v>
      </c>
      <c r="F599" s="2410"/>
      <c r="G599" s="815" t="str">
        <f>EUconst_tCO2pTJ</f>
        <v>t CO2 / TJ</v>
      </c>
      <c r="H599" s="1479" t="str">
        <f>c_ALR2025!M6250</f>
        <v/>
      </c>
      <c r="I599" s="1532"/>
      <c r="J599" s="1811"/>
      <c r="K599" s="1751"/>
      <c r="L599" s="1751"/>
      <c r="M599" s="1751"/>
      <c r="N599" s="1752"/>
      <c r="O599" s="481"/>
      <c r="P599" s="9"/>
      <c r="Q599" s="1963" t="str">
        <f>EUconst_CNTR_HeatImportFuelEF &amp; I486</f>
        <v>HeatImFuelEF_District heating sub-installation</v>
      </c>
      <c r="S599" s="1968" t="str">
        <f>EUconst_CNTR_AttributedEmissions &amp; $I486</f>
        <v>AttrEmissions_District heating sub-installation</v>
      </c>
      <c r="T599" s="1443" t="str">
        <f t="shared" ref="T599:Z599" si="284">IF(T494,SUM(H598)*IF(ISNUMBER(H599),H599,EUconst_HeatBMvalue),"")</f>
        <v/>
      </c>
      <c r="U599" s="1443" t="str">
        <f t="shared" si="284"/>
        <v/>
      </c>
      <c r="V599" s="1443" t="str">
        <f t="shared" si="284"/>
        <v/>
      </c>
      <c r="W599" s="1443" t="str">
        <f t="shared" si="284"/>
        <v/>
      </c>
      <c r="X599" s="1443" t="str">
        <f t="shared" si="284"/>
        <v/>
      </c>
      <c r="Y599" s="1443" t="str">
        <f t="shared" si="284"/>
        <v/>
      </c>
      <c r="Z599" s="1443" t="str">
        <f t="shared" si="284"/>
        <v/>
      </c>
      <c r="AB599" s="1435"/>
      <c r="AC599" s="1443" t="b">
        <f>AC595</f>
        <v>0</v>
      </c>
      <c r="AD599" s="1443" t="b">
        <f t="shared" ref="AD599:AI599" si="285">AD595</f>
        <v>0</v>
      </c>
      <c r="AE599" s="1443" t="b">
        <f t="shared" si="285"/>
        <v>0</v>
      </c>
      <c r="AF599" s="1443" t="b">
        <f t="shared" si="285"/>
        <v>0</v>
      </c>
      <c r="AG599" s="1443" t="b">
        <f t="shared" si="285"/>
        <v>0</v>
      </c>
      <c r="AH599" s="1443" t="b">
        <f t="shared" si="285"/>
        <v>0</v>
      </c>
      <c r="AI599" s="1443" t="b">
        <f t="shared" si="285"/>
        <v>0</v>
      </c>
      <c r="AL599" s="1635" t="str">
        <f>IF(AND(CNTR_ExistSubInstEntries,COUNTIFS(AC599:AI599,2,H599:N599,"")&gt;0),EUconst_Error&amp;"FB"&amp;Q486,"")</f>
        <v/>
      </c>
      <c r="AO599" s="1121" t="b">
        <f t="shared" si="248"/>
        <v>0</v>
      </c>
    </row>
    <row r="600" spans="2:41" ht="5.0999999999999996" customHeight="1">
      <c r="B600" s="467"/>
      <c r="C600" s="1056"/>
      <c r="D600" s="1057"/>
      <c r="E600" s="1057"/>
      <c r="F600" s="1057"/>
      <c r="G600" s="1057"/>
      <c r="H600" s="1057"/>
      <c r="I600" s="1057"/>
      <c r="J600" s="1965"/>
      <c r="K600" s="1966"/>
      <c r="L600" s="1966"/>
      <c r="M600" s="1966"/>
      <c r="N600" s="1967"/>
      <c r="O600" s="481"/>
      <c r="P600" s="481"/>
      <c r="Q600" s="1249"/>
      <c r="S600" s="1249"/>
      <c r="AB600" s="1435"/>
      <c r="AE600" s="1198"/>
      <c r="AF600" s="1198"/>
      <c r="AG600" s="1198"/>
      <c r="AH600" s="1198"/>
      <c r="AI600" s="1198"/>
      <c r="AO600" s="1121" t="b">
        <f t="shared" si="248"/>
        <v>0</v>
      </c>
    </row>
    <row r="601" spans="2:41" ht="12.75" customHeight="1">
      <c r="B601" s="467"/>
      <c r="C601" s="1056"/>
      <c r="D601" s="1057"/>
      <c r="E601" s="2648" t="s">
        <v>1327</v>
      </c>
      <c r="F601" s="2493"/>
      <c r="G601" s="987" t="str">
        <f>EUconst_Unit</f>
        <v>Unit</v>
      </c>
      <c r="H601" s="782">
        <f t="shared" ref="H601:N601" si="286">H$1190</f>
        <v>2024</v>
      </c>
      <c r="I601" s="988">
        <f t="shared" si="286"/>
        <v>2025</v>
      </c>
      <c r="J601" s="1810">
        <f t="shared" si="286"/>
        <v>2026</v>
      </c>
      <c r="K601" s="1747">
        <f t="shared" si="286"/>
        <v>2027</v>
      </c>
      <c r="L601" s="1747">
        <f t="shared" si="286"/>
        <v>2028</v>
      </c>
      <c r="M601" s="1747">
        <f t="shared" si="286"/>
        <v>2029</v>
      </c>
      <c r="N601" s="1748">
        <f t="shared" si="286"/>
        <v>2030</v>
      </c>
      <c r="O601" s="481"/>
      <c r="P601" s="481"/>
      <c r="Q601" s="1249"/>
      <c r="S601" s="1249"/>
      <c r="T601" s="1503">
        <f t="shared" ref="T601:Z601" si="287">H601</f>
        <v>2024</v>
      </c>
      <c r="U601" s="1503">
        <f t="shared" si="287"/>
        <v>2025</v>
      </c>
      <c r="V601" s="1503">
        <f t="shared" si="287"/>
        <v>2026</v>
      </c>
      <c r="W601" s="1503">
        <f t="shared" si="287"/>
        <v>2027</v>
      </c>
      <c r="X601" s="1503">
        <f t="shared" si="287"/>
        <v>2028</v>
      </c>
      <c r="Y601" s="1503">
        <f t="shared" si="287"/>
        <v>2029</v>
      </c>
      <c r="Z601" s="1503">
        <f t="shared" si="287"/>
        <v>2030</v>
      </c>
      <c r="AB601" s="1435"/>
      <c r="AC601" s="1803">
        <f t="shared" ref="AC601:AI601" si="288">H$1190</f>
        <v>2024</v>
      </c>
      <c r="AD601" s="1803">
        <f t="shared" si="288"/>
        <v>2025</v>
      </c>
      <c r="AE601" s="1803">
        <f t="shared" si="288"/>
        <v>2026</v>
      </c>
      <c r="AF601" s="1803">
        <f t="shared" si="288"/>
        <v>2027</v>
      </c>
      <c r="AG601" s="1803">
        <f t="shared" si="288"/>
        <v>2028</v>
      </c>
      <c r="AH601" s="1803">
        <f t="shared" si="288"/>
        <v>2029</v>
      </c>
      <c r="AI601" s="1803">
        <f t="shared" si="288"/>
        <v>2030</v>
      </c>
      <c r="AO601" s="1121" t="b">
        <f t="shared" si="248"/>
        <v>0</v>
      </c>
    </row>
    <row r="602" spans="2:41" ht="12.75" customHeight="1">
      <c r="B602" s="467"/>
      <c r="C602" s="1056"/>
      <c r="D602" s="1061" t="s">
        <v>1105</v>
      </c>
      <c r="E602" s="2475" t="s">
        <v>1087</v>
      </c>
      <c r="F602" s="2410"/>
      <c r="G602" s="815" t="str">
        <f>EUconst_TJpa</f>
        <v>TJ / year</v>
      </c>
      <c r="H602" s="1479" t="str">
        <f>c_ALR2025!M6253</f>
        <v/>
      </c>
      <c r="I602" s="1532"/>
      <c r="J602" s="1811"/>
      <c r="K602" s="1751"/>
      <c r="L602" s="1751"/>
      <c r="M602" s="1751"/>
      <c r="N602" s="1752"/>
      <c r="O602" s="481"/>
      <c r="P602" s="9"/>
      <c r="Q602" s="1963" t="str">
        <f>EUconst_CNTR_WGImport &amp; I486</f>
        <v>WasteGasIm_District heating sub-installation</v>
      </c>
      <c r="S602" s="1997" t="str">
        <f>EUconst_ERR_AttrEmBMapplied &amp; $I486</f>
        <v>ERR_AttrEmBM_District heating sub-installation</v>
      </c>
      <c r="T602" s="1443">
        <f t="shared" ref="T602:Z602" si="289">IF(AND(H602&lt;&gt;0,EUconst_StatusOfDataCollection=FALSE),1,0)</f>
        <v>0</v>
      </c>
      <c r="U602" s="1443">
        <f t="shared" si="289"/>
        <v>0</v>
      </c>
      <c r="V602" s="1443">
        <f t="shared" si="289"/>
        <v>0</v>
      </c>
      <c r="W602" s="1443">
        <f t="shared" si="289"/>
        <v>0</v>
      </c>
      <c r="X602" s="1443">
        <f t="shared" si="289"/>
        <v>0</v>
      </c>
      <c r="Y602" s="1443">
        <f t="shared" si="289"/>
        <v>0</v>
      </c>
      <c r="Z602" s="1443">
        <f t="shared" si="289"/>
        <v>0</v>
      </c>
      <c r="AB602" s="1641" t="s">
        <v>717</v>
      </c>
      <c r="AC602" s="1443" t="b">
        <f>AC598</f>
        <v>0</v>
      </c>
      <c r="AD602" s="1443" t="b">
        <f t="shared" ref="AD602:AI602" si="290">AD598</f>
        <v>0</v>
      </c>
      <c r="AE602" s="1443" t="b">
        <f t="shared" si="290"/>
        <v>0</v>
      </c>
      <c r="AF602" s="1443" t="b">
        <f t="shared" si="290"/>
        <v>0</v>
      </c>
      <c r="AG602" s="1443" t="b">
        <f t="shared" si="290"/>
        <v>0</v>
      </c>
      <c r="AH602" s="1443" t="b">
        <f t="shared" si="290"/>
        <v>0</v>
      </c>
      <c r="AI602" s="1443" t="b">
        <f t="shared" si="290"/>
        <v>0</v>
      </c>
      <c r="AL602" s="1635" t="str">
        <f>IF(AND(CNTR_ExistSubInstEntries,COUNTIFS(AC602:AI602,2,H602:N602,"")&gt;0),EUconst_Error&amp;"FB"&amp;Q486,"")</f>
        <v/>
      </c>
      <c r="AO602" s="1121" t="b">
        <f t="shared" si="248"/>
        <v>0</v>
      </c>
    </row>
    <row r="603" spans="2:41" ht="12.75" customHeight="1">
      <c r="B603" s="467"/>
      <c r="C603" s="1056"/>
      <c r="D603" s="1061" t="s">
        <v>1106</v>
      </c>
      <c r="E603" s="2475" t="s">
        <v>1492</v>
      </c>
      <c r="F603" s="2410"/>
      <c r="G603" s="815" t="str">
        <f>EUconst_tCO2pTJ</f>
        <v>t CO2 / TJ</v>
      </c>
      <c r="H603" s="1479" t="str">
        <f>c_ALR2025!M6254</f>
        <v/>
      </c>
      <c r="I603" s="1532"/>
      <c r="J603" s="1811"/>
      <c r="K603" s="1751"/>
      <c r="L603" s="1751"/>
      <c r="M603" s="1751"/>
      <c r="N603" s="1752"/>
      <c r="O603" s="481"/>
      <c r="P603" s="9"/>
      <c r="Q603" s="1963" t="str">
        <f>EUconst_CNTR_WGImportEF &amp; I486</f>
        <v>WasteGasImEF_District heating sub-installation</v>
      </c>
      <c r="S603" s="1968" t="str">
        <f>EUconst_CNTR_AttributedEmissions &amp; $I486</f>
        <v>AttrEmissions_District heating sub-installation</v>
      </c>
      <c r="T603" s="1443" t="str">
        <f t="shared" ref="T603:Z603" si="291">IF(T494,SUM(H602)*IF(ISNUMBER(H603),H603,EUconst_HeatBMvalue),"")</f>
        <v/>
      </c>
      <c r="U603" s="1443" t="str">
        <f t="shared" si="291"/>
        <v/>
      </c>
      <c r="V603" s="1443" t="str">
        <f t="shared" si="291"/>
        <v/>
      </c>
      <c r="W603" s="1443" t="str">
        <f t="shared" si="291"/>
        <v/>
      </c>
      <c r="X603" s="1443" t="str">
        <f t="shared" si="291"/>
        <v/>
      </c>
      <c r="Y603" s="1443" t="str">
        <f t="shared" si="291"/>
        <v/>
      </c>
      <c r="Z603" s="1443" t="str">
        <f t="shared" si="291"/>
        <v/>
      </c>
      <c r="AC603" s="1443" t="b">
        <f>AC599</f>
        <v>0</v>
      </c>
      <c r="AD603" s="1443" t="b">
        <f t="shared" ref="AD603:AI603" si="292">AD599</f>
        <v>0</v>
      </c>
      <c r="AE603" s="1443" t="b">
        <f t="shared" si="292"/>
        <v>0</v>
      </c>
      <c r="AF603" s="1443" t="b">
        <f t="shared" si="292"/>
        <v>0</v>
      </c>
      <c r="AG603" s="1443" t="b">
        <f t="shared" si="292"/>
        <v>0</v>
      </c>
      <c r="AH603" s="1443" t="b">
        <f t="shared" si="292"/>
        <v>0</v>
      </c>
      <c r="AI603" s="1443" t="b">
        <f t="shared" si="292"/>
        <v>0</v>
      </c>
      <c r="AL603" s="1635" t="str">
        <f>IF(AND(CNTR_ExistSubInstEntries,COUNTIFS(AC603:AI603,2,H603:N603,"")&gt;0),EUconst_Error&amp;"FB"&amp;Q486,"")</f>
        <v/>
      </c>
      <c r="AO603" s="1121" t="b">
        <f t="shared" si="248"/>
        <v>0</v>
      </c>
    </row>
    <row r="604" spans="2:41" ht="5.0999999999999996" customHeight="1">
      <c r="B604" s="467"/>
      <c r="C604" s="1056"/>
      <c r="D604" s="1057"/>
      <c r="E604" s="1057"/>
      <c r="F604" s="1057"/>
      <c r="G604" s="1057"/>
      <c r="H604" s="1057"/>
      <c r="I604" s="1057"/>
      <c r="J604" s="1965"/>
      <c r="K604" s="1966"/>
      <c r="L604" s="1966"/>
      <c r="M604" s="1966"/>
      <c r="N604" s="1967"/>
      <c r="O604" s="481"/>
      <c r="P604" s="481"/>
      <c r="Q604" s="1249"/>
      <c r="S604" s="1249"/>
      <c r="T604" s="1249"/>
      <c r="AO604" s="1121" t="b">
        <f t="shared" si="248"/>
        <v>0</v>
      </c>
    </row>
    <row r="605" spans="2:41" ht="12.75" customHeight="1">
      <c r="B605" s="467"/>
      <c r="C605" s="1056"/>
      <c r="D605" s="1061" t="s">
        <v>1108</v>
      </c>
      <c r="E605" s="2475" t="s">
        <v>1169</v>
      </c>
      <c r="F605" s="2410"/>
      <c r="G605" s="815" t="str">
        <f>EUconst_TJpa</f>
        <v>TJ / year</v>
      </c>
      <c r="H605" s="646" t="str">
        <f t="shared" ref="H605:N605" si="293">IF(COUNT(H586,H590,H594,H598,H602)&gt;0,SUM(H586,H590,H594,H598,H602),"")</f>
        <v/>
      </c>
      <c r="I605" s="949" t="str">
        <f t="shared" si="293"/>
        <v/>
      </c>
      <c r="J605" s="1811" t="str">
        <f t="shared" si="293"/>
        <v/>
      </c>
      <c r="K605" s="1751" t="str">
        <f t="shared" si="293"/>
        <v/>
      </c>
      <c r="L605" s="1751" t="str">
        <f t="shared" si="293"/>
        <v/>
      </c>
      <c r="M605" s="1751" t="str">
        <f t="shared" si="293"/>
        <v/>
      </c>
      <c r="N605" s="1752" t="str">
        <f t="shared" si="293"/>
        <v/>
      </c>
      <c r="O605" s="481"/>
      <c r="P605" s="481"/>
      <c r="S605" s="1249"/>
      <c r="T605" s="1249"/>
      <c r="AO605" s="1121" t="b">
        <f t="shared" si="248"/>
        <v>0</v>
      </c>
    </row>
    <row r="606" spans="2:41" ht="12.75" customHeight="1" thickBot="1">
      <c r="B606" s="467"/>
      <c r="C606" s="1063"/>
      <c r="D606" s="1064"/>
      <c r="E606" s="1064"/>
      <c r="F606" s="1064"/>
      <c r="G606" s="1064"/>
      <c r="H606" s="1064"/>
      <c r="I606" s="1064"/>
      <c r="J606" s="1064"/>
      <c r="K606" s="1064"/>
      <c r="L606" s="1064"/>
      <c r="M606" s="1065"/>
      <c r="N606" s="1066"/>
      <c r="O606" s="481"/>
      <c r="P606" s="481"/>
      <c r="Q606" s="1249"/>
      <c r="S606" s="1249"/>
      <c r="AO606" s="1121" t="b">
        <f t="shared" si="248"/>
        <v>0</v>
      </c>
    </row>
    <row r="607" spans="2:41" ht="25.5" customHeight="1" thickBot="1">
      <c r="B607" s="1124"/>
      <c r="C607" s="485"/>
      <c r="D607" s="485"/>
      <c r="E607" s="485"/>
      <c r="F607" s="485"/>
      <c r="G607" s="485"/>
      <c r="H607" s="485"/>
      <c r="I607" s="485"/>
      <c r="J607" s="485"/>
      <c r="K607" s="485"/>
      <c r="L607" s="485"/>
      <c r="M607" s="485"/>
      <c r="N607" s="485"/>
      <c r="O607" s="481"/>
      <c r="P607" s="481"/>
    </row>
    <row r="608" spans="2:41" ht="5.0999999999999996" customHeight="1" thickBot="1">
      <c r="B608" s="467"/>
      <c r="C608" s="686"/>
      <c r="D608" s="686"/>
      <c r="E608" s="686"/>
      <c r="F608" s="686"/>
      <c r="G608" s="686"/>
      <c r="H608" s="686"/>
      <c r="I608" s="686"/>
      <c r="J608" s="686"/>
      <c r="K608" s="686"/>
      <c r="L608" s="686"/>
      <c r="M608" s="686"/>
      <c r="N608" s="686"/>
      <c r="O608" s="481"/>
      <c r="P608" s="481"/>
      <c r="Q608" s="1969"/>
      <c r="R608" s="1969"/>
      <c r="S608" s="1969"/>
      <c r="T608" s="1969"/>
      <c r="U608" s="1969"/>
      <c r="V608" s="1969"/>
      <c r="W608" s="1969"/>
      <c r="X608" s="1969"/>
      <c r="Y608" s="1969"/>
      <c r="Z608" s="1969"/>
      <c r="AA608" s="1969"/>
      <c r="AB608" s="1969"/>
      <c r="AC608" s="1969"/>
      <c r="AD608" s="1969"/>
      <c r="AE608" s="1969"/>
      <c r="AF608" s="1969"/>
      <c r="AG608" s="1969"/>
      <c r="AH608" s="1969"/>
      <c r="AI608" s="1969"/>
      <c r="AJ608" s="1969"/>
      <c r="AK608" s="1969"/>
      <c r="AL608" s="1969"/>
    </row>
    <row r="609" spans="2:41" ht="14.45" customHeight="1" thickBot="1">
      <c r="B609" s="467"/>
      <c r="C609" s="559">
        <f>C486+1</f>
        <v>4</v>
      </c>
      <c r="D609" s="2482" t="str">
        <f>EUconst_FBSubinst &amp; ":"</f>
        <v>Fall-Back sub-installation:</v>
      </c>
      <c r="E609" s="2400"/>
      <c r="F609" s="2400"/>
      <c r="G609" s="2400"/>
      <c r="H609" s="2585"/>
      <c r="I609" s="3293" t="str">
        <f>INDEX(EUconst_FallBackListNames,$C609)</f>
        <v>Fuel benchmark sub-installation, CL</v>
      </c>
      <c r="J609" s="3294"/>
      <c r="K609" s="3294"/>
      <c r="L609" s="3295"/>
      <c r="M609" s="3370" t="str">
        <f>IF(INDEX(CNTR_FallBackSubInstRelevant,C609)="","",IF(INDEX(CNTR_FallBackSubInstRelevant,C609),EUconst_Relevant,EUconst_NotRelevant))</f>
        <v/>
      </c>
      <c r="N609" s="3371"/>
      <c r="O609" s="481"/>
      <c r="P609" s="481"/>
      <c r="Q609" s="1889">
        <f>C609</f>
        <v>4</v>
      </c>
      <c r="S609" s="1633" t="s">
        <v>558</v>
      </c>
      <c r="T609" s="1634" t="str">
        <f>IF(M609&lt;&gt;EUconst_Relevant,"",MAX(INDEX(CNTR_SubInstStartDate,MATCH($I609,CNTR_SubInstListNames,0)),DATE(2005,1,1)))</f>
        <v/>
      </c>
      <c r="U609" s="1435" t="s">
        <v>1673</v>
      </c>
      <c r="V609" s="1635">
        <f>IF(ISNUMBER(T609),YEAR($T609-1)+1,2005)</f>
        <v>2005</v>
      </c>
      <c r="W609" s="1633" t="s">
        <v>1676</v>
      </c>
      <c r="X609" s="1634" t="str">
        <f>IF(M609&lt;&gt;EUconst_Relevant,"",INDEX(CNTR_SubInstCessationDate,MATCH($I609,CNTR_SubInstListNames,0)))</f>
        <v/>
      </c>
      <c r="Y609" s="1633" t="s">
        <v>1677</v>
      </c>
      <c r="Z609" s="1635">
        <f>IF(SUM(X609)=0,2050,YEAR($X609))</f>
        <v>2050</v>
      </c>
      <c r="AA609" s="1633" t="s">
        <v>1925</v>
      </c>
      <c r="AB609" s="1635" t="b">
        <f>CNTR_ReportingYear&gt;V609</f>
        <v>1</v>
      </c>
      <c r="AC609" s="1633" t="s">
        <v>1343</v>
      </c>
      <c r="AD609" s="1848" t="b">
        <f>AND(CNTR_ExistSubInstEntries,M609=EUconst_NotRelevant)</f>
        <v>0</v>
      </c>
    </row>
    <row r="610" spans="2:41" ht="12.75" customHeight="1">
      <c r="B610" s="1124"/>
      <c r="C610" s="485"/>
      <c r="D610" s="485"/>
      <c r="E610" s="485"/>
      <c r="F610" s="485"/>
      <c r="G610" s="485"/>
      <c r="H610" s="484"/>
      <c r="I610" s="2716" t="str">
        <f>IF(M609&lt;&gt;EUconst_Relevant,"",IF(M609=EUconst_Relevant,HYPERLINK("",EUconst_MsgEnterThisSection),HYPERLINK(R610,EUconst_MsgGoToNextSubInst)))</f>
        <v/>
      </c>
      <c r="J610" s="2717"/>
      <c r="K610" s="2717"/>
      <c r="L610" s="2717"/>
      <c r="M610" s="2718"/>
      <c r="N610" s="2719"/>
      <c r="O610" s="481"/>
      <c r="P610" s="481"/>
      <c r="Q610" s="1198" t="s">
        <v>441</v>
      </c>
      <c r="R610" s="1303" t="str">
        <f>"#JUMP_G"&amp;Q609+1</f>
        <v>#JUMP_G5</v>
      </c>
      <c r="Z610" s="1435"/>
    </row>
    <row r="611" spans="2:41" ht="12.75" customHeight="1">
      <c r="B611" s="467"/>
      <c r="C611" s="467"/>
      <c r="D611" s="485"/>
      <c r="E611" s="2385" t="s">
        <v>1197</v>
      </c>
      <c r="F611" s="2846"/>
      <c r="G611" s="2846"/>
      <c r="H611" s="2846"/>
      <c r="I611" s="2846"/>
      <c r="J611" s="2846"/>
      <c r="K611" s="2846"/>
      <c r="L611" s="2846"/>
      <c r="M611" s="2846"/>
      <c r="N611" s="2846"/>
      <c r="O611" s="481"/>
      <c r="P611" s="481"/>
      <c r="Q611" s="1249"/>
      <c r="R611" s="1249"/>
      <c r="AO611" s="1121" t="b">
        <f>$AD$609</f>
        <v>0</v>
      </c>
    </row>
    <row r="612" spans="2:41" ht="5.0999999999999996" customHeight="1">
      <c r="B612" s="467"/>
      <c r="C612" s="467"/>
      <c r="D612" s="467"/>
      <c r="E612" s="467"/>
      <c r="F612" s="467"/>
      <c r="G612" s="467"/>
      <c r="H612" s="467"/>
      <c r="I612" s="467"/>
      <c r="J612" s="467"/>
      <c r="K612" s="467"/>
      <c r="L612" s="467"/>
      <c r="M612" s="481"/>
      <c r="N612" s="481"/>
      <c r="O612" s="481"/>
      <c r="P612" s="481"/>
      <c r="Q612" s="1249"/>
      <c r="R612" s="1249"/>
      <c r="S612" s="1249"/>
      <c r="T612" s="1249"/>
      <c r="U612" s="1249"/>
      <c r="V612" s="1249"/>
      <c r="W612" s="1249"/>
      <c r="X612" s="1249"/>
      <c r="Y612" s="1249"/>
      <c r="AO612" s="1121" t="b">
        <f t="shared" ref="AO612:AO675" si="294">$AD$609</f>
        <v>0</v>
      </c>
    </row>
    <row r="613" spans="2:41" ht="12.75" customHeight="1">
      <c r="B613" s="467"/>
      <c r="C613" s="482"/>
      <c r="D613" s="482" t="s">
        <v>400</v>
      </c>
      <c r="E613" s="2373" t="s">
        <v>1930</v>
      </c>
      <c r="F613" s="2400"/>
      <c r="G613" s="2400"/>
      <c r="H613" s="2400"/>
      <c r="I613" s="2400"/>
      <c r="J613" s="2400"/>
      <c r="K613" s="2400"/>
      <c r="L613" s="2400"/>
      <c r="M613" s="2400"/>
      <c r="N613" s="2400"/>
      <c r="O613" s="481"/>
      <c r="P613" s="481"/>
      <c r="Q613" s="1249"/>
      <c r="R613" s="1249"/>
      <c r="S613" s="1249"/>
      <c r="T613" s="1249"/>
      <c r="U613" s="1249"/>
      <c r="V613" s="1249"/>
      <c r="W613" s="1249"/>
      <c r="X613" s="1249"/>
      <c r="Y613" s="1249"/>
      <c r="AB613" s="1435"/>
      <c r="AO613" s="1121" t="b">
        <f t="shared" si="294"/>
        <v>0</v>
      </c>
    </row>
    <row r="614" spans="2:41" ht="12.75" customHeight="1">
      <c r="B614" s="467"/>
      <c r="C614" s="485"/>
      <c r="D614" s="485"/>
      <c r="E614" s="3184" t="s">
        <v>1960</v>
      </c>
      <c r="F614" s="3184"/>
      <c r="G614" s="3184"/>
      <c r="H614" s="3184"/>
      <c r="I614" s="3184"/>
      <c r="J614" s="3184"/>
      <c r="K614" s="3184"/>
      <c r="L614" s="3184"/>
      <c r="M614" s="3184"/>
      <c r="N614" s="3184"/>
      <c r="O614" s="481"/>
      <c r="P614" s="481"/>
      <c r="Q614" s="1249"/>
      <c r="AO614" s="1121" t="b">
        <f t="shared" si="294"/>
        <v>0</v>
      </c>
    </row>
    <row r="615" spans="2:41" ht="12.75" customHeight="1">
      <c r="B615" s="467"/>
      <c r="C615" s="467"/>
      <c r="D615" s="485"/>
      <c r="E615" s="3050" t="s">
        <v>1959</v>
      </c>
      <c r="F615" s="2584"/>
      <c r="G615" s="2584"/>
      <c r="H615" s="2584"/>
      <c r="I615" s="2584"/>
      <c r="J615" s="2584"/>
      <c r="K615" s="2584"/>
      <c r="L615" s="2584"/>
      <c r="M615" s="2584"/>
      <c r="N615" s="2584"/>
      <c r="O615" s="481"/>
      <c r="P615" s="481"/>
      <c r="Q615" s="1249"/>
      <c r="AA615" s="1435"/>
      <c r="AB615" s="1435"/>
      <c r="AO615" s="1121" t="b">
        <f t="shared" si="294"/>
        <v>0</v>
      </c>
    </row>
    <row r="616" spans="2:41" ht="12.75" customHeight="1" thickBot="1">
      <c r="B616" s="1124"/>
      <c r="C616" s="482"/>
      <c r="D616" s="482"/>
      <c r="E616" s="707" t="s">
        <v>920</v>
      </c>
      <c r="F616" s="518"/>
      <c r="G616" s="663" t="str">
        <f>EUconst_Unit</f>
        <v>Unit</v>
      </c>
      <c r="H616" s="578">
        <f t="shared" ref="H616:N616" si="295">H$1190</f>
        <v>2024</v>
      </c>
      <c r="I616" s="697">
        <f t="shared" si="295"/>
        <v>2025</v>
      </c>
      <c r="J616" s="1489">
        <f t="shared" si="295"/>
        <v>2026</v>
      </c>
      <c r="K616" s="1490">
        <f t="shared" si="295"/>
        <v>2027</v>
      </c>
      <c r="L616" s="1490">
        <f t="shared" si="295"/>
        <v>2028</v>
      </c>
      <c r="M616" s="1490">
        <f t="shared" si="295"/>
        <v>2029</v>
      </c>
      <c r="N616" s="1490">
        <f t="shared" si="295"/>
        <v>2030</v>
      </c>
      <c r="O616" s="481"/>
      <c r="P616" s="481"/>
      <c r="Q616" s="1504" t="s">
        <v>546</v>
      </c>
      <c r="T616" s="1638">
        <f t="shared" ref="T616:Z616" si="296">H616</f>
        <v>2024</v>
      </c>
      <c r="U616" s="1638">
        <f t="shared" si="296"/>
        <v>2025</v>
      </c>
      <c r="V616" s="1638">
        <f t="shared" si="296"/>
        <v>2026</v>
      </c>
      <c r="W616" s="1638">
        <f t="shared" si="296"/>
        <v>2027</v>
      </c>
      <c r="X616" s="1638">
        <f t="shared" si="296"/>
        <v>2028</v>
      </c>
      <c r="Y616" s="1638">
        <f t="shared" si="296"/>
        <v>2029</v>
      </c>
      <c r="Z616" s="1638">
        <f t="shared" si="296"/>
        <v>2030</v>
      </c>
      <c r="AA616" s="1435"/>
      <c r="AB616" s="1435"/>
      <c r="AO616" s="1121" t="b">
        <f t="shared" si="294"/>
        <v>0</v>
      </c>
    </row>
    <row r="617" spans="2:41" ht="12.75" customHeight="1" thickBot="1">
      <c r="B617" s="1124"/>
      <c r="C617" s="485"/>
      <c r="D617" s="561" t="s">
        <v>6</v>
      </c>
      <c r="E617" s="3296" t="str">
        <f>I609</f>
        <v>Fuel benchmark sub-installation, CL</v>
      </c>
      <c r="F617" s="3296"/>
      <c r="G617" s="898" t="str">
        <f>INDEX(EUconst_FallBackListUnits,MATCH(E617,EUconst_FallBackListNames,0))</f>
        <v>TJ</v>
      </c>
      <c r="H617" s="668" t="str">
        <f>IF($M609&lt;&gt;EUconst_Relevant,"",IF(H616&gt;=CNTR_ReportingYear,"",IF(AND(H616&gt;=$V609-1,ISNUMBER(INDEX(E_EnergyFlows!H$400:H$406,MATCH($E617,E_EnergyFlows!$E$400:$E$406,0)))),INDEX(E_EnergyFlows!H$400:H$406,MATCH($E617,E_EnergyFlows!$E$400:$E$406,0)),0)))</f>
        <v/>
      </c>
      <c r="I617" s="1021" t="str">
        <f>IF($M609&lt;&gt;EUconst_Relevant,"",IF(I616&gt;=CNTR_ReportingYear,"",IF(AND(I616&gt;=$V609-1,ISNUMBER(INDEX(E_EnergyFlows!I$400:I$406,MATCH($E617,E_EnergyFlows!$E$400:$E$406,0)))),INDEX(E_EnergyFlows!I$400:I$406,MATCH($E617,E_EnergyFlows!$E$400:$E$406,0)),0)))</f>
        <v/>
      </c>
      <c r="J617" s="1491" t="str">
        <f>IF($M609&lt;&gt;EUconst_Relevant,"",IF(J616&gt;=CNTR_ReportingYear,"",IF(AND(J616&gt;=$V609-1,ISNUMBER(INDEX(E_EnergyFlows!J$400:J$406,MATCH($E617,E_EnergyFlows!$E$400:$E$406,0)))),INDEX(E_EnergyFlows!J$400:J$406,MATCH($E617,E_EnergyFlows!$E$400:$E$406,0)),0)))</f>
        <v/>
      </c>
      <c r="K617" s="1492" t="str">
        <f>IF($M609&lt;&gt;EUconst_Relevant,"",IF(K616&gt;=CNTR_ReportingYear,"",IF(AND(K616&gt;=$V609-1,ISNUMBER(INDEX(E_EnergyFlows!K$400:K$406,MATCH($E617,E_EnergyFlows!$E$400:$E$406,0)))),INDEX(E_EnergyFlows!K$400:K$406,MATCH($E617,E_EnergyFlows!$E$400:$E$406,0)),0)))</f>
        <v/>
      </c>
      <c r="L617" s="1492" t="str">
        <f>IF($M609&lt;&gt;EUconst_Relevant,"",IF(L616&gt;=CNTR_ReportingYear,"",IF(AND(L616&gt;=$V609-1,ISNUMBER(INDEX(E_EnergyFlows!L$400:L$406,MATCH($E617,E_EnergyFlows!$E$400:$E$406,0)))),INDEX(E_EnergyFlows!L$400:L$406,MATCH($E617,E_EnergyFlows!$E$400:$E$406,0)),0)))</f>
        <v/>
      </c>
      <c r="M617" s="1492" t="str">
        <f>IF($M609&lt;&gt;EUconst_Relevant,"",IF(M616&gt;=CNTR_ReportingYear,"",IF(AND(M616&gt;=$V609-1,ISNUMBER(INDEX(E_EnergyFlows!M$400:M$406,MATCH($E617,E_EnergyFlows!$E$400:$E$406,0)))),INDEX(E_EnergyFlows!M$400:M$406,MATCH($E617,E_EnergyFlows!$E$400:$E$406,0)),0)))</f>
        <v/>
      </c>
      <c r="N617" s="1492" t="str">
        <f>IF($M609&lt;&gt;EUconst_Relevant,"",IF(N616&gt;=CNTR_ReportingYear,"",IF(AND(N616&gt;=$V609-1,ISNUMBER(INDEX(E_EnergyFlows!N$400:N$406,MATCH($E617,E_EnergyFlows!$E$400:$E$406,0)))),INDEX(E_EnergyFlows!N$400:N$406,MATCH($E617,E_EnergyFlows!$E$400:$E$406,0)),0)))</f>
        <v/>
      </c>
      <c r="O617" s="1136"/>
      <c r="P617" s="481"/>
      <c r="Q617" s="1892" t="str">
        <f>EUconst_CNTR_HAL&amp;E617</f>
        <v>HAL_Fuel benchmark sub-installation, CL</v>
      </c>
      <c r="S617" s="1893" t="s">
        <v>1674</v>
      </c>
      <c r="T617" s="1981" t="b">
        <f t="shared" ref="T617:Z617" si="297">AND($M609=EUconst_Relevant,T616&lt;CNTR_ReportingYear,T616&gt;=$V609-1)</f>
        <v>0</v>
      </c>
      <c r="U617" s="1982" t="b">
        <f t="shared" si="297"/>
        <v>0</v>
      </c>
      <c r="V617" s="1982" t="b">
        <f t="shared" si="297"/>
        <v>0</v>
      </c>
      <c r="W617" s="1982" t="b">
        <f t="shared" si="297"/>
        <v>0</v>
      </c>
      <c r="X617" s="1982" t="b">
        <f t="shared" si="297"/>
        <v>0</v>
      </c>
      <c r="Y617" s="1982" t="b">
        <f t="shared" si="297"/>
        <v>0</v>
      </c>
      <c r="Z617" s="1983" t="b">
        <f t="shared" si="297"/>
        <v>0</v>
      </c>
      <c r="AC617" s="1893"/>
      <c r="AK617" s="1633" t="s">
        <v>1951</v>
      </c>
      <c r="AL617" s="1443" t="str">
        <f>IF(COUNTIFS(H616:N616,"&lt;"&amp;YEAR(SUM(T609)),H617:N617,"&gt;"&amp;0)&gt;0,EUconst_Error&amp;"FB"&amp;Q609,"")</f>
        <v/>
      </c>
      <c r="AO617" s="1121" t="b">
        <f t="shared" si="294"/>
        <v>0</v>
      </c>
    </row>
    <row r="618" spans="2:41" ht="5.0999999999999996" customHeight="1">
      <c r="B618" s="479"/>
      <c r="C618" s="479"/>
      <c r="D618" s="485"/>
      <c r="E618" s="485"/>
      <c r="F618" s="485"/>
      <c r="G618" s="485"/>
      <c r="H618" s="485"/>
      <c r="I618" s="485"/>
      <c r="J618" s="485"/>
      <c r="K618" s="485"/>
      <c r="L618" s="485"/>
      <c r="M618" s="485"/>
      <c r="N618" s="485"/>
      <c r="O618" s="485"/>
      <c r="P618" s="481"/>
      <c r="Q618" s="1435"/>
      <c r="S618" s="1435"/>
      <c r="T618" s="1435"/>
      <c r="Z618" s="1435"/>
      <c r="AB618" s="1435"/>
      <c r="AO618" s="1121" t="b">
        <f t="shared" si="294"/>
        <v>0</v>
      </c>
    </row>
    <row r="619" spans="2:41" ht="48.4" customHeight="1">
      <c r="B619" s="479"/>
      <c r="C619" s="479"/>
      <c r="D619" s="485"/>
      <c r="E619" s="2385" t="s">
        <v>2225</v>
      </c>
      <c r="F619" s="2846"/>
      <c r="G619" s="2846"/>
      <c r="H619" s="2846"/>
      <c r="I619" s="2846"/>
      <c r="J619" s="2846"/>
      <c r="K619" s="2846"/>
      <c r="L619" s="2846"/>
      <c r="M619" s="2846"/>
      <c r="N619" s="2846"/>
      <c r="O619" s="485"/>
      <c r="P619" s="481"/>
      <c r="Q619" s="1435"/>
      <c r="S619" s="1435"/>
      <c r="T619" s="1435"/>
      <c r="U619" s="1435"/>
      <c r="AE619" s="1198"/>
      <c r="AF619" s="1198"/>
      <c r="AG619" s="1198"/>
      <c r="AH619" s="1198"/>
      <c r="AI619" s="1198"/>
      <c r="AJ619" s="1198"/>
      <c r="AK619" s="1198"/>
      <c r="AL619" s="1198"/>
      <c r="AO619" s="1121" t="b">
        <f t="shared" si="294"/>
        <v>0</v>
      </c>
    </row>
    <row r="620" spans="2:41" ht="12.75" customHeight="1">
      <c r="B620" s="479"/>
      <c r="C620" s="479"/>
      <c r="D620" s="485"/>
      <c r="E620" s="901" t="s">
        <v>1021</v>
      </c>
      <c r="F620" s="3050" t="s">
        <v>2711</v>
      </c>
      <c r="G620" s="2584"/>
      <c r="H620" s="2584"/>
      <c r="I620" s="2584"/>
      <c r="J620" s="2584"/>
      <c r="K620" s="2584"/>
      <c r="L620" s="2584"/>
      <c r="M620" s="2584"/>
      <c r="N620" s="2584"/>
      <c r="O620" s="485"/>
      <c r="P620" s="481"/>
      <c r="Q620" s="1435"/>
      <c r="S620" s="1435"/>
      <c r="T620" s="1435"/>
      <c r="U620" s="1435"/>
      <c r="AE620" s="1198"/>
      <c r="AF620" s="1198"/>
      <c r="AG620" s="1198"/>
      <c r="AH620" s="1198"/>
      <c r="AI620" s="1198"/>
      <c r="AJ620" s="1198"/>
      <c r="AK620" s="1198"/>
      <c r="AL620" s="1198"/>
      <c r="AO620" s="1121" t="b">
        <f t="shared" si="294"/>
        <v>0</v>
      </c>
    </row>
    <row r="621" spans="2:41" ht="12.75" customHeight="1">
      <c r="B621" s="479"/>
      <c r="C621" s="479"/>
      <c r="D621" s="485"/>
      <c r="E621" s="901" t="s">
        <v>1021</v>
      </c>
      <c r="F621" s="3050" t="s">
        <v>1985</v>
      </c>
      <c r="G621" s="2584"/>
      <c r="H621" s="2584"/>
      <c r="I621" s="2584"/>
      <c r="J621" s="2584"/>
      <c r="K621" s="2584"/>
      <c r="L621" s="2584"/>
      <c r="M621" s="2584"/>
      <c r="N621" s="2584"/>
      <c r="O621" s="485"/>
      <c r="P621" s="481"/>
      <c r="Q621" s="1435"/>
      <c r="S621" s="1435"/>
      <c r="T621" s="1435"/>
      <c r="U621" s="1435"/>
      <c r="AE621" s="1198"/>
      <c r="AF621" s="1198"/>
      <c r="AG621" s="1198"/>
      <c r="AH621" s="1198"/>
      <c r="AI621" s="1198"/>
      <c r="AJ621" s="1198"/>
      <c r="AK621" s="1198"/>
      <c r="AL621" s="1198"/>
      <c r="AO621" s="1121" t="b">
        <f t="shared" si="294"/>
        <v>0</v>
      </c>
    </row>
    <row r="622" spans="2:41" ht="12.75" customHeight="1" thickBot="1">
      <c r="B622" s="479"/>
      <c r="C622" s="479"/>
      <c r="D622" s="485"/>
      <c r="E622" s="901" t="s">
        <v>2256</v>
      </c>
      <c r="F622" s="3050" t="s">
        <v>2747</v>
      </c>
      <c r="G622" s="2584"/>
      <c r="H622" s="2584"/>
      <c r="I622" s="2584"/>
      <c r="J622" s="2584"/>
      <c r="K622" s="2584"/>
      <c r="L622" s="2584"/>
      <c r="M622" s="2584"/>
      <c r="N622" s="2584"/>
      <c r="O622" s="485"/>
      <c r="P622" s="481"/>
      <c r="Q622" s="1435"/>
      <c r="S622" s="1435"/>
      <c r="T622" s="1435"/>
      <c r="U622" s="1435"/>
      <c r="AE622" s="1198"/>
      <c r="AF622" s="1198"/>
      <c r="AG622" s="1198"/>
      <c r="AH622" s="1198"/>
      <c r="AI622" s="1198"/>
      <c r="AJ622" s="1198"/>
      <c r="AK622" s="1198"/>
      <c r="AL622" s="1198"/>
      <c r="AO622" s="1121" t="b">
        <f t="shared" si="294"/>
        <v>0</v>
      </c>
    </row>
    <row r="623" spans="2:41" ht="5.0999999999999996" customHeight="1" thickBot="1">
      <c r="B623" s="479"/>
      <c r="C623" s="479"/>
      <c r="D623" s="902"/>
      <c r="E623" s="903"/>
      <c r="F623" s="904"/>
      <c r="G623" s="905"/>
      <c r="H623" s="905"/>
      <c r="I623" s="905"/>
      <c r="J623" s="906"/>
      <c r="K623" s="1798"/>
      <c r="L623" s="1798"/>
      <c r="M623" s="1798"/>
      <c r="N623" s="1798"/>
      <c r="O623" s="485"/>
      <c r="P623" s="481"/>
      <c r="Q623" s="1435"/>
      <c r="S623" s="1435"/>
      <c r="T623" s="1435"/>
      <c r="U623" s="1435"/>
      <c r="AE623" s="1198"/>
      <c r="AF623" s="1198"/>
      <c r="AG623" s="1198"/>
      <c r="AH623" s="1198"/>
      <c r="AI623" s="1198"/>
      <c r="AJ623" s="1198"/>
      <c r="AK623" s="1198"/>
      <c r="AL623" s="1198"/>
      <c r="AO623" s="1121" t="b">
        <f t="shared" si="294"/>
        <v>0</v>
      </c>
    </row>
    <row r="624" spans="2:41" ht="12.75" customHeight="1">
      <c r="B624" s="479"/>
      <c r="C624" s="479"/>
      <c r="D624" s="918"/>
      <c r="E624" s="908" t="s">
        <v>1652</v>
      </c>
      <c r="F624" s="909"/>
      <c r="G624" s="909"/>
      <c r="H624" s="910" t="str">
        <f>EUconst_Unit</f>
        <v>Unit</v>
      </c>
      <c r="I624" s="911" t="s">
        <v>2212</v>
      </c>
      <c r="J624" s="1647">
        <f>J$1190</f>
        <v>2026</v>
      </c>
      <c r="K624" s="1490">
        <f>K$1190</f>
        <v>2027</v>
      </c>
      <c r="L624" s="1490">
        <f>L$1190</f>
        <v>2028</v>
      </c>
      <c r="M624" s="1490">
        <f>M$1190</f>
        <v>2029</v>
      </c>
      <c r="N624" s="1490">
        <f>N$1190</f>
        <v>2030</v>
      </c>
      <c r="O624" s="485"/>
      <c r="P624" s="481"/>
      <c r="Q624" s="1435"/>
      <c r="S624" s="1435"/>
      <c r="T624" s="1435"/>
      <c r="U624" s="1648"/>
      <c r="V624" s="1649">
        <f>J624</f>
        <v>2026</v>
      </c>
      <c r="W624" s="1649">
        <f>K624</f>
        <v>2027</v>
      </c>
      <c r="X624" s="1649">
        <f>L624</f>
        <v>2028</v>
      </c>
      <c r="Y624" s="1649">
        <f>M624</f>
        <v>2029</v>
      </c>
      <c r="Z624" s="1650">
        <f>N624</f>
        <v>2030</v>
      </c>
      <c r="AB624" s="1435"/>
      <c r="AO624" s="1121" t="b">
        <f t="shared" si="294"/>
        <v>0</v>
      </c>
    </row>
    <row r="625" spans="1:41" ht="12.75" customHeight="1">
      <c r="B625" s="479"/>
      <c r="C625" s="479"/>
      <c r="D625" s="915" t="s">
        <v>7</v>
      </c>
      <c r="E625" s="916" t="s">
        <v>1976</v>
      </c>
      <c r="F625" s="916"/>
      <c r="G625" s="916"/>
      <c r="H625" s="944" t="str">
        <f>G617</f>
        <v>TJ</v>
      </c>
      <c r="I625" s="800" t="str">
        <f>IF(V609&gt;($J$1190-3),EUconst_NA,INDEX('B+C_SubInstallations'!$I:$I,MATCH(Q625,'B+C_SubInstallations'!$T:$T,0)))</f>
        <v/>
      </c>
      <c r="J625" s="1894" t="str">
        <f>IF(AND(V625&gt;=3,CNTR_ReportingYear&gt;J624-1),AVERAGE(SUM(H617),SUM(I617)),"")</f>
        <v/>
      </c>
      <c r="K625" s="1895" t="str">
        <f>IF(AND(W625&gt;=3,CNTR_ReportingYear&gt;K624-1),AVERAGE(SUM(I617),SUM(J617)),"")</f>
        <v/>
      </c>
      <c r="L625" s="1895" t="str">
        <f>IF(AND(X625&gt;=3,CNTR_ReportingYear&gt;L624-1),AVERAGE(SUM(J617),SUM(K617)),"")</f>
        <v/>
      </c>
      <c r="M625" s="1895" t="str">
        <f>IF(AND(Y625&gt;=3,CNTR_ReportingYear&gt;M624-1),AVERAGE(SUM(K617),SUM(L617)),"")</f>
        <v/>
      </c>
      <c r="N625" s="1895" t="str">
        <f>IF(AND(Z625&gt;=3,CNTR_ReportingYear&gt;N624-1),AVERAGE(SUM(L617),SUM(M617)),"")</f>
        <v/>
      </c>
      <c r="O625" s="485"/>
      <c r="P625" s="481"/>
      <c r="Q625" s="1704" t="str">
        <f>EUconst_CNTR_HALinitial&amp;I609</f>
        <v>HALini_Fuel benchmark sub-installation, CL</v>
      </c>
      <c r="S625" s="1435"/>
      <c r="T625" s="1435"/>
      <c r="U625" s="1693" t="s">
        <v>1650</v>
      </c>
      <c r="V625" s="1251">
        <f>IF($M609&lt;&gt;EUconst_Relevant,0,V624-$V609+1)</f>
        <v>0</v>
      </c>
      <c r="W625" s="1251">
        <f>IF($M609&lt;&gt;EUconst_Relevant,0,W624-$V609+1)</f>
        <v>0</v>
      </c>
      <c r="X625" s="1251">
        <f>IF($M609&lt;&gt;EUconst_Relevant,0,X624-$V609+1)</f>
        <v>0</v>
      </c>
      <c r="Y625" s="1251">
        <f>IF($M609&lt;&gt;EUconst_Relevant,0,Y624-$V609+1)</f>
        <v>0</v>
      </c>
      <c r="Z625" s="1896">
        <f>IF($M609&lt;&gt;EUconst_Relevant,0,Z624-$V609+1)</f>
        <v>0</v>
      </c>
      <c r="AO625" s="1121" t="b">
        <f t="shared" si="294"/>
        <v>0</v>
      </c>
    </row>
    <row r="626" spans="1:41" ht="12.75" hidden="1" customHeight="1">
      <c r="A626" s="618" t="s">
        <v>2289</v>
      </c>
      <c r="B626" s="479"/>
      <c r="C626" s="479"/>
      <c r="D626" s="915"/>
      <c r="E626" s="916" t="s">
        <v>1648</v>
      </c>
      <c r="F626" s="916"/>
      <c r="G626" s="916"/>
      <c r="H626" s="921"/>
      <c r="I626" s="1657"/>
      <c r="J626" s="17" t="str">
        <f>IF(J625="","",IF($I628=0,IF(J625=0,0%,100%),J625/$I628-1))</f>
        <v/>
      </c>
      <c r="K626" s="22" t="str">
        <f>IF(K625="","",IF($I628=0,IF(K625=0,0%,100%),K625/$I628-1))</f>
        <v/>
      </c>
      <c r="L626" s="22" t="str">
        <f>IF(L625="","",IF($I628=0,IF(L625=0,0%,100%),L625/$I628-1))</f>
        <v/>
      </c>
      <c r="M626" s="22" t="str">
        <f>IF(M625="","",IF($I628=0,IF(M625=0,0%,100%),M625/$I628-1))</f>
        <v/>
      </c>
      <c r="N626" s="22" t="str">
        <f>IF(N625="","",IF($I628=0,IF(N625=0,0%,100%),N625/$I628-1))</f>
        <v/>
      </c>
      <c r="O626" s="485"/>
      <c r="P626" s="481"/>
      <c r="Q626" s="1644" t="str">
        <f>EUconst_CNTR_RelThreshold &amp;I609</f>
        <v>RelThresh_Fuel benchmark sub-installation, CL</v>
      </c>
      <c r="S626" s="1435"/>
      <c r="T626" s="1435"/>
      <c r="U626" s="1693" t="s">
        <v>1655</v>
      </c>
      <c r="V626" s="1158" t="str">
        <f>IF(J625="","",ABS(J626)&gt;15%)</f>
        <v/>
      </c>
      <c r="W626" s="1158" t="str">
        <f>IF(K625="","",ABS(K626)&gt;15%)</f>
        <v/>
      </c>
      <c r="X626" s="1158" t="str">
        <f>IF(L625="","",ABS(L626)&gt;15%)</f>
        <v/>
      </c>
      <c r="Y626" s="1158" t="str">
        <f>IF(M625="","",ABS(M626)&gt;15%)</f>
        <v/>
      </c>
      <c r="Z626" s="1656" t="str">
        <f>IF(N625="","",ABS(N626)&gt;15%)</f>
        <v/>
      </c>
      <c r="AO626" s="1121" t="b">
        <f t="shared" si="294"/>
        <v>0</v>
      </c>
    </row>
    <row r="627" spans="1:41" ht="12.75" customHeight="1">
      <c r="A627" s="618"/>
      <c r="B627" s="479"/>
      <c r="C627" s="479"/>
      <c r="D627" s="915" t="s">
        <v>8</v>
      </c>
      <c r="E627" s="916" t="s">
        <v>1654</v>
      </c>
      <c r="F627" s="916"/>
      <c r="G627" s="916"/>
      <c r="H627" s="921"/>
      <c r="I627" s="1657"/>
      <c r="J627" s="1658" t="str">
        <f>IF(J625="","",IF(V626=FALSE,0%,IF(V627,J626,I763)))</f>
        <v/>
      </c>
      <c r="K627" s="1795" t="str">
        <f>IF(K625="","",IF(W626=FALSE,0%,IF(W627,K626,J763)))</f>
        <v/>
      </c>
      <c r="L627" s="1795" t="str">
        <f>IF(L625="","",IF(X626=FALSE,0%,IF(X627,L626,K763)))</f>
        <v/>
      </c>
      <c r="M627" s="1795" t="str">
        <f>IF(M625="","",IF(Y626=FALSE,0%,IF(Y627,M626,L763)))</f>
        <v/>
      </c>
      <c r="N627" s="1795" t="str">
        <f>IF(N625="","",IF(Z626=FALSE,0%,IF(Z627,N626,M763)))</f>
        <v/>
      </c>
      <c r="O627" s="485"/>
      <c r="P627" s="481"/>
      <c r="Q627" s="1435"/>
      <c r="S627" s="1435"/>
      <c r="T627" s="1435"/>
      <c r="U627" s="1693" t="s">
        <v>1656</v>
      </c>
      <c r="V627" s="1158" t="str">
        <f>IF(J625="","",AND(V626,IF(SUM(I763)&lt;0,OR(SUM(J626)&lt;SUM(I763)-MOD(SUM(I763),5%),J626&gt;=SUM(I763)+5%-MOD(SUM(I763),5%)),OR(SUM(J626)&lt;=SUM(I763)-MOD(SUM(I763),5%),SUM(J626)&gt;SUM(I763)+5%-MOD(SUM(I763),5%)))))</f>
        <v/>
      </c>
      <c r="W627" s="1158" t="str">
        <f>IF(K625="","",AND(W626,IF(SUM(J763)&lt;0,OR(SUM(K626)&lt;SUM(J763)-MOD(SUM(J763),5%),K626&gt;=SUM(J763)+5%-MOD(SUM(J763),5%)),OR(SUM(K626)&lt;=SUM(J763)-MOD(SUM(J763),5%),SUM(K626)&gt;SUM(J763)+5%-MOD(SUM(J763),5%)))))</f>
        <v/>
      </c>
      <c r="X627" s="1158" t="str">
        <f>IF(L625="","",AND(X626,IF(SUM(K763)&lt;0,OR(SUM(L626)&lt;SUM(K763)-MOD(SUM(K763),5%),L626&gt;=SUM(K763)+5%-MOD(SUM(K763),5%)),OR(SUM(L626)&lt;=SUM(K763)-MOD(SUM(K763),5%),SUM(L626)&gt;SUM(K763)+5%-MOD(SUM(K763),5%)))))</f>
        <v/>
      </c>
      <c r="Y627" s="1158" t="str">
        <f>IF(M625="","",AND(Y626,IF(SUM(L763)&lt;0,OR(SUM(M626)&lt;SUM(L763)-MOD(SUM(L763),5%),M626&gt;=SUM(L763)+5%-MOD(SUM(L763),5%)),OR(SUM(M626)&lt;=SUM(L763)-MOD(SUM(L763),5%),SUM(M626)&gt;SUM(L763)+5%-MOD(SUM(L763),5%)))))</f>
        <v/>
      </c>
      <c r="Z627" s="1656" t="str">
        <f>IF(N625="","",AND(Z626,IF(SUM(M763)&lt;0,OR(SUM(N626)&lt;SUM(M763)-MOD(SUM(M763),5%),N626&gt;=SUM(M763)+5%-MOD(SUM(M763),5%)),OR(SUM(N626)&lt;=SUM(M763)-MOD(SUM(M763),5%),SUM(N626)&gt;SUM(M763)+5%-MOD(SUM(M763),5%)))))</f>
        <v/>
      </c>
      <c r="AO627" s="1121" t="b">
        <f t="shared" si="294"/>
        <v>0</v>
      </c>
    </row>
    <row r="628" spans="1:41" ht="12.75" customHeight="1" thickBot="1">
      <c r="A628" s="618"/>
      <c r="B628" s="479"/>
      <c r="C628" s="479"/>
      <c r="D628" s="915" t="s">
        <v>18</v>
      </c>
      <c r="E628" s="916" t="s">
        <v>1647</v>
      </c>
      <c r="F628" s="916"/>
      <c r="G628" s="916"/>
      <c r="H628" s="944" t="str">
        <f>H625</f>
        <v>TJ</v>
      </c>
      <c r="I628" s="800" t="str">
        <f>IF(M609&lt;&gt;EUconst_Relevant,"",IF(AB609=FALSE,EUconst_NA,IF(V609&gt;($J$1190-3),INDEX(H617:N617,MATCH($V609,H616:N616,0)),I625)))</f>
        <v/>
      </c>
      <c r="J628" s="1894" t="str">
        <f>IF($M609&lt;&gt;EUconst_Relevant,"",IF(V625&lt;2,SUM(J617),IF(V625&lt;3,SUM(I617),IF(V628="",I628,V628))))</f>
        <v/>
      </c>
      <c r="K628" s="1895" t="str">
        <f>IF($M609&lt;&gt;EUconst_Relevant,"",IF(W625&lt;2,SUM(K617),IF(W625&lt;3,SUM(J617),IF(W628="",J628,W628))))</f>
        <v/>
      </c>
      <c r="L628" s="1895" t="str">
        <f>IF($M609&lt;&gt;EUconst_Relevant,"",IF(X625&lt;2,SUM(L617),IF(X625&lt;3,SUM(K617),IF(X628="",K628,X628))))</f>
        <v/>
      </c>
      <c r="M628" s="1895" t="str">
        <f>IF($M609&lt;&gt;EUconst_Relevant,"",IF(Y625&lt;2,SUM(M617),IF(Y625&lt;3,SUM(L617),IF(Y628="",L628,Y628))))</f>
        <v/>
      </c>
      <c r="N628" s="1895" t="str">
        <f>IF($M609&lt;&gt;EUconst_Relevant,"",IF(Z625&lt;2,SUM(N617),IF(Z625&lt;3,SUM(M617),IF(Z628="",M628,Z628))))</f>
        <v/>
      </c>
      <c r="O628" s="1136"/>
      <c r="P628" s="481"/>
      <c r="Q628" s="1644" t="str">
        <f>EUconst_CNTR_HALprelim&amp;I609</f>
        <v>HALprelim_Fuel benchmark sub-installation, CL</v>
      </c>
      <c r="S628" s="1435"/>
      <c r="T628" s="1435"/>
      <c r="U628" s="1897" t="s">
        <v>1651</v>
      </c>
      <c r="V628" s="1898" t="str">
        <f>IF(J625="","",IF(CNTR_ReportingYear&lt;J624,I627,IF($I628=0,J625,$I628*(1+J627))))</f>
        <v/>
      </c>
      <c r="W628" s="1898" t="str">
        <f>IF(K625="","",IF(CNTR_ReportingYear&lt;K624,J627,IF($I628=0,K625,$I628*(1+K627))))</f>
        <v/>
      </c>
      <c r="X628" s="1898" t="str">
        <f>IF(L625="","",IF(CNTR_ReportingYear&lt;L624,K627,IF($I628=0,L625,$I628*(1+L627))))</f>
        <v/>
      </c>
      <c r="Y628" s="1898" t="str">
        <f>IF(M625="","",IF(CNTR_ReportingYear&lt;M624,L627,IF($I628=0,M625,$I628*(1+M627))))</f>
        <v/>
      </c>
      <c r="Z628" s="1899" t="str">
        <f>IF(N625="","",IF(CNTR_ReportingYear&lt;N624,M627,IF($I628=0,N625,$I628*(1+N627))))</f>
        <v/>
      </c>
      <c r="AO628" s="1121" t="b">
        <f t="shared" si="294"/>
        <v>0</v>
      </c>
    </row>
    <row r="629" spans="1:41" ht="5.0999999999999996" customHeight="1" thickBot="1">
      <c r="A629" s="618"/>
      <c r="B629" s="1124"/>
      <c r="C629" s="467"/>
      <c r="D629" s="1022"/>
      <c r="E629" s="1023"/>
      <c r="F629" s="1023"/>
      <c r="G629" s="1023"/>
      <c r="H629" s="1023"/>
      <c r="I629" s="1023"/>
      <c r="J629" s="1024"/>
      <c r="K629" s="1900"/>
      <c r="L629" s="1900"/>
      <c r="M629" s="1900"/>
      <c r="N629" s="1900"/>
      <c r="O629" s="481"/>
      <c r="P629" s="481"/>
      <c r="S629" s="1435"/>
      <c r="T629" s="1435"/>
      <c r="Z629" s="1435"/>
      <c r="AO629" s="1121" t="b">
        <f t="shared" si="294"/>
        <v>0</v>
      </c>
    </row>
    <row r="630" spans="1:41" ht="5.0999999999999996" customHeight="1">
      <c r="A630" s="618"/>
      <c r="B630" s="1124"/>
      <c r="C630" s="467"/>
      <c r="D630" s="467"/>
      <c r="E630" s="467"/>
      <c r="F630" s="467"/>
      <c r="G630" s="467"/>
      <c r="H630" s="467"/>
      <c r="I630" s="467"/>
      <c r="J630" s="467"/>
      <c r="K630" s="467"/>
      <c r="L630" s="467"/>
      <c r="M630" s="467"/>
      <c r="N630" s="467"/>
      <c r="O630" s="481"/>
      <c r="P630" s="481"/>
      <c r="S630" s="1435"/>
      <c r="T630" s="1435"/>
      <c r="Z630" s="1435"/>
      <c r="AO630" s="1121" t="b">
        <f t="shared" si="294"/>
        <v>0</v>
      </c>
    </row>
    <row r="631" spans="1:41" ht="13.9" customHeight="1">
      <c r="A631" s="618"/>
      <c r="B631" s="1124"/>
      <c r="C631" s="1025"/>
      <c r="D631" s="2482" t="s">
        <v>103</v>
      </c>
      <c r="E631" s="2400"/>
      <c r="F631" s="2400"/>
      <c r="G631" s="2400"/>
      <c r="H631" s="2400"/>
      <c r="I631" s="2400"/>
      <c r="J631" s="2400"/>
      <c r="K631" s="2400"/>
      <c r="L631" s="2400"/>
      <c r="M631" s="2400"/>
      <c r="N631" s="2400"/>
      <c r="O631" s="481"/>
      <c r="P631" s="481"/>
      <c r="Z631" s="1435"/>
      <c r="AO631" s="1121" t="b">
        <f t="shared" si="294"/>
        <v>0</v>
      </c>
    </row>
    <row r="632" spans="1:41" ht="5.0999999999999996" customHeight="1">
      <c r="A632" s="618"/>
      <c r="B632" s="467"/>
      <c r="C632" s="467"/>
      <c r="D632" s="467"/>
      <c r="E632" s="467"/>
      <c r="F632" s="467"/>
      <c r="G632" s="467"/>
      <c r="H632" s="467"/>
      <c r="I632" s="467"/>
      <c r="J632" s="467"/>
      <c r="K632" s="467"/>
      <c r="L632" s="467"/>
      <c r="M632" s="467"/>
      <c r="N632" s="467"/>
      <c r="O632" s="481"/>
      <c r="P632" s="481"/>
      <c r="Q632" s="1249"/>
      <c r="R632" s="1249"/>
      <c r="Z632" s="1435"/>
      <c r="AO632" s="1121" t="b">
        <f t="shared" si="294"/>
        <v>0</v>
      </c>
    </row>
    <row r="633" spans="1:41" ht="12.75" customHeight="1">
      <c r="B633" s="467"/>
      <c r="C633" s="482"/>
      <c r="D633" s="482" t="s">
        <v>876</v>
      </c>
      <c r="E633" s="2373" t="s">
        <v>298</v>
      </c>
      <c r="F633" s="2400"/>
      <c r="G633" s="2400"/>
      <c r="H633" s="2400"/>
      <c r="I633" s="2400"/>
      <c r="J633" s="2400"/>
      <c r="K633" s="2400"/>
      <c r="L633" s="2400"/>
      <c r="M633" s="2400"/>
      <c r="N633" s="2400"/>
      <c r="O633" s="481"/>
      <c r="P633" s="481"/>
      <c r="Q633" s="1249"/>
      <c r="AO633" s="1121" t="b">
        <f t="shared" si="294"/>
        <v>0</v>
      </c>
    </row>
    <row r="634" spans="1:41" ht="12.75" customHeight="1">
      <c r="A634" s="618"/>
      <c r="B634" s="467"/>
      <c r="C634" s="485"/>
      <c r="D634" s="485"/>
      <c r="E634" s="2385" t="s">
        <v>925</v>
      </c>
      <c r="F634" s="2846"/>
      <c r="G634" s="2846"/>
      <c r="H634" s="2846"/>
      <c r="I634" s="2846"/>
      <c r="J634" s="2846"/>
      <c r="K634" s="2846"/>
      <c r="L634" s="2846"/>
      <c r="M634" s="2846"/>
      <c r="N634" s="2846"/>
      <c r="O634" s="481"/>
      <c r="P634" s="481"/>
      <c r="Q634" s="1249"/>
      <c r="R634" s="1249"/>
      <c r="S634" s="1249"/>
      <c r="T634" s="1249"/>
      <c r="U634" s="1249"/>
      <c r="V634" s="1249"/>
      <c r="W634" s="1249"/>
      <c r="X634" s="1249"/>
      <c r="Y634" s="1249"/>
      <c r="Z634" s="1249"/>
      <c r="AO634" s="1121" t="b">
        <f t="shared" si="294"/>
        <v>0</v>
      </c>
    </row>
    <row r="635" spans="1:41" ht="12.75" customHeight="1">
      <c r="B635" s="467"/>
      <c r="C635" s="485"/>
      <c r="D635" s="485"/>
      <c r="E635" s="1026" t="s">
        <v>926</v>
      </c>
      <c r="F635" s="2385" t="s">
        <v>927</v>
      </c>
      <c r="G635" s="2846"/>
      <c r="H635" s="2846"/>
      <c r="I635" s="2846"/>
      <c r="J635" s="2846"/>
      <c r="K635" s="2846"/>
      <c r="L635" s="2846"/>
      <c r="M635" s="2846"/>
      <c r="N635" s="2846"/>
      <c r="O635" s="481"/>
      <c r="P635" s="481"/>
      <c r="Q635" s="1249"/>
      <c r="R635" s="1249"/>
      <c r="S635" s="1249"/>
      <c r="T635" s="1249"/>
      <c r="U635" s="1249"/>
      <c r="V635" s="1249"/>
      <c r="W635" s="1249"/>
      <c r="X635" s="1249"/>
      <c r="Y635" s="1249"/>
      <c r="Z635" s="1249"/>
      <c r="AO635" s="1121" t="b">
        <f t="shared" si="294"/>
        <v>0</v>
      </c>
    </row>
    <row r="636" spans="1:41" ht="12.75" customHeight="1">
      <c r="B636" s="467"/>
      <c r="C636" s="485"/>
      <c r="D636" s="485"/>
      <c r="E636" s="1026" t="s">
        <v>926</v>
      </c>
      <c r="F636" s="2385" t="s">
        <v>1006</v>
      </c>
      <c r="G636" s="2846"/>
      <c r="H636" s="2846"/>
      <c r="I636" s="2846"/>
      <c r="J636" s="2846"/>
      <c r="K636" s="2846"/>
      <c r="L636" s="2846"/>
      <c r="M636" s="2846"/>
      <c r="N636" s="2846"/>
      <c r="O636" s="481"/>
      <c r="P636" s="481"/>
      <c r="Q636" s="1249"/>
      <c r="R636" s="1249"/>
      <c r="S636" s="1249"/>
      <c r="T636" s="1249"/>
      <c r="U636" s="1249"/>
      <c r="V636" s="1249"/>
      <c r="W636" s="1249"/>
      <c r="X636" s="1249"/>
      <c r="Y636" s="1249"/>
      <c r="AO636" s="1121" t="b">
        <f t="shared" si="294"/>
        <v>0</v>
      </c>
    </row>
    <row r="637" spans="1:41" ht="25.5" customHeight="1">
      <c r="B637" s="467"/>
      <c r="C637" s="485"/>
      <c r="D637" s="485"/>
      <c r="E637" s="2385" t="s">
        <v>1636</v>
      </c>
      <c r="F637" s="2846"/>
      <c r="G637" s="2846"/>
      <c r="H637" s="2846"/>
      <c r="I637" s="2846"/>
      <c r="J637" s="2846"/>
      <c r="K637" s="2846"/>
      <c r="L637" s="2846"/>
      <c r="M637" s="2846"/>
      <c r="N637" s="2846"/>
      <c r="O637" s="481"/>
      <c r="P637" s="481"/>
      <c r="Q637" s="1249"/>
      <c r="AO637" s="1121" t="b">
        <f t="shared" si="294"/>
        <v>0</v>
      </c>
    </row>
    <row r="638" spans="1:41" ht="12.75" customHeight="1">
      <c r="B638" s="467"/>
      <c r="C638" s="485"/>
      <c r="D638" s="485"/>
      <c r="E638" s="2385" t="s">
        <v>2119</v>
      </c>
      <c r="F638" s="2385"/>
      <c r="G638" s="2385"/>
      <c r="H638" s="2385"/>
      <c r="I638" s="2385"/>
      <c r="J638" s="2385"/>
      <c r="K638" s="2385"/>
      <c r="L638" s="2385"/>
      <c r="M638" s="2385"/>
      <c r="N638" s="2385"/>
      <c r="O638" s="481"/>
      <c r="P638" s="481"/>
      <c r="Q638" s="1249"/>
      <c r="AO638" s="1121" t="b">
        <f t="shared" si="294"/>
        <v>0</v>
      </c>
    </row>
    <row r="639" spans="1:41" ht="12.75" customHeight="1">
      <c r="B639" s="467"/>
      <c r="C639" s="485"/>
      <c r="D639" s="485"/>
      <c r="E639" s="2677" t="s">
        <v>2111</v>
      </c>
      <c r="F639" s="2722"/>
      <c r="G639" s="2722"/>
      <c r="H639" s="2722"/>
      <c r="I639" s="2722"/>
      <c r="J639" s="2722"/>
      <c r="K639" s="2722"/>
      <c r="L639" s="2722"/>
      <c r="M639" s="2722"/>
      <c r="N639" s="2722"/>
      <c r="O639" s="481"/>
      <c r="P639" s="481"/>
      <c r="Q639" s="1249"/>
      <c r="AO639" s="1121" t="b">
        <f t="shared" si="294"/>
        <v>0</v>
      </c>
    </row>
    <row r="640" spans="1:41" ht="12.75" customHeight="1">
      <c r="B640" s="467"/>
      <c r="C640" s="485"/>
      <c r="D640" s="485"/>
      <c r="E640" s="2385" t="s">
        <v>29</v>
      </c>
      <c r="F640" s="2846"/>
      <c r="G640" s="2846"/>
      <c r="H640" s="2846"/>
      <c r="I640" s="2846"/>
      <c r="J640" s="2846"/>
      <c r="K640" s="2846"/>
      <c r="L640" s="2846"/>
      <c r="M640" s="2846"/>
      <c r="N640" s="2846"/>
      <c r="O640" s="481"/>
      <c r="P640" s="481"/>
      <c r="Q640" s="1249"/>
      <c r="R640" s="1249"/>
      <c r="S640" s="1249"/>
      <c r="T640" s="1249"/>
      <c r="U640" s="1249"/>
      <c r="V640" s="1249"/>
      <c r="W640" s="1249"/>
      <c r="X640" s="1249"/>
      <c r="Y640" s="1249"/>
      <c r="AO640" s="1121" t="b">
        <f t="shared" si="294"/>
        <v>0</v>
      </c>
    </row>
    <row r="641" spans="2:41" ht="5.0999999999999996" customHeight="1">
      <c r="B641" s="467"/>
      <c r="C641" s="485"/>
      <c r="D641" s="485"/>
      <c r="E641" s="617"/>
      <c r="F641" s="617"/>
      <c r="G641" s="617"/>
      <c r="H641" s="617"/>
      <c r="I641" s="617"/>
      <c r="J641" s="468"/>
      <c r="K641" s="468"/>
      <c r="L641" s="468"/>
      <c r="M641" s="481"/>
      <c r="N641" s="481"/>
      <c r="O641" s="481"/>
      <c r="P641" s="481"/>
      <c r="Q641" s="1249"/>
      <c r="AO641" s="1121" t="b">
        <f t="shared" si="294"/>
        <v>0</v>
      </c>
    </row>
    <row r="642" spans="2:41" ht="25.5" customHeight="1">
      <c r="B642" s="1124"/>
      <c r="C642" s="482"/>
      <c r="D642" s="956"/>
      <c r="E642" s="2723" t="s">
        <v>485</v>
      </c>
      <c r="F642" s="2724"/>
      <c r="G642" s="2758" t="s">
        <v>28</v>
      </c>
      <c r="H642" s="2508"/>
      <c r="I642" s="2508"/>
      <c r="J642" s="2508"/>
      <c r="K642" s="2508"/>
      <c r="L642" s="2580"/>
      <c r="M642" s="957" t="s">
        <v>2112</v>
      </c>
      <c r="N642" s="481"/>
      <c r="O642" s="481"/>
      <c r="P642" s="481"/>
      <c r="S642" s="1888" t="s">
        <v>1902</v>
      </c>
      <c r="AO642" s="1121" t="b">
        <f t="shared" si="294"/>
        <v>0</v>
      </c>
    </row>
    <row r="643" spans="2:41">
      <c r="B643" s="1124"/>
      <c r="C643" s="482"/>
      <c r="D643" s="579">
        <v>1</v>
      </c>
      <c r="E643" s="3353" t="str">
        <f>c_ALR2025!E6294</f>
        <v/>
      </c>
      <c r="F643" s="3353"/>
      <c r="G643" s="3382" t="str">
        <f>c_ALR2025!G6294</f>
        <v/>
      </c>
      <c r="H643" s="3279"/>
      <c r="I643" s="3279"/>
      <c r="J643" s="3279"/>
      <c r="K643" s="3279"/>
      <c r="L643" s="3383"/>
      <c r="M643" s="1901" t="str">
        <f>c_ALR2025!M6294</f>
        <v/>
      </c>
      <c r="N643" s="481"/>
      <c r="O643" s="481"/>
      <c r="P643" s="481"/>
      <c r="S643" s="1888"/>
      <c r="AO643" s="1121" t="b">
        <f t="shared" si="294"/>
        <v>0</v>
      </c>
    </row>
    <row r="644" spans="2:41">
      <c r="B644" s="1124"/>
      <c r="C644" s="482"/>
      <c r="D644" s="582">
        <f>D643+1</f>
        <v>2</v>
      </c>
      <c r="E644" s="3345" t="str">
        <f>c_ALR2025!E6295</f>
        <v/>
      </c>
      <c r="F644" s="3347"/>
      <c r="G644" s="3345" t="str">
        <f>c_ALR2025!G6295</f>
        <v/>
      </c>
      <c r="H644" s="3346"/>
      <c r="I644" s="3346"/>
      <c r="J644" s="3346"/>
      <c r="K644" s="3346"/>
      <c r="L644" s="3347"/>
      <c r="M644" s="1902" t="str">
        <f>c_ALR2025!M6295</f>
        <v/>
      </c>
      <c r="N644" s="481"/>
      <c r="O644" s="481"/>
      <c r="P644" s="481"/>
      <c r="S644" s="1888"/>
      <c r="AO644" s="1121" t="b">
        <f t="shared" si="294"/>
        <v>0</v>
      </c>
    </row>
    <row r="645" spans="2:41">
      <c r="B645" s="1124"/>
      <c r="C645" s="482"/>
      <c r="D645" s="582">
        <f t="shared" ref="D645:D652" si="298">D644+1</f>
        <v>3</v>
      </c>
      <c r="E645" s="3345" t="str">
        <f>c_ALR2025!E6296</f>
        <v/>
      </c>
      <c r="F645" s="3347"/>
      <c r="G645" s="3345" t="str">
        <f>c_ALR2025!G6296</f>
        <v/>
      </c>
      <c r="H645" s="3346"/>
      <c r="I645" s="3346"/>
      <c r="J645" s="3346"/>
      <c r="K645" s="3346"/>
      <c r="L645" s="3347"/>
      <c r="M645" s="1902" t="str">
        <f>c_ALR2025!M6296</f>
        <v/>
      </c>
      <c r="N645" s="481"/>
      <c r="O645" s="481"/>
      <c r="P645" s="481"/>
      <c r="S645" s="1888"/>
      <c r="AO645" s="1121" t="b">
        <f t="shared" si="294"/>
        <v>0</v>
      </c>
    </row>
    <row r="646" spans="2:41">
      <c r="B646" s="1124"/>
      <c r="C646" s="482"/>
      <c r="D646" s="582">
        <f t="shared" si="298"/>
        <v>4</v>
      </c>
      <c r="E646" s="3345" t="str">
        <f>c_ALR2025!E6297</f>
        <v/>
      </c>
      <c r="F646" s="3347"/>
      <c r="G646" s="3345" t="str">
        <f>c_ALR2025!G6297</f>
        <v/>
      </c>
      <c r="H646" s="3346"/>
      <c r="I646" s="3346"/>
      <c r="J646" s="3346"/>
      <c r="K646" s="3346"/>
      <c r="L646" s="3347"/>
      <c r="M646" s="1902" t="str">
        <f>c_ALR2025!M6297</f>
        <v/>
      </c>
      <c r="N646" s="481"/>
      <c r="O646" s="481"/>
      <c r="P646" s="481"/>
      <c r="S646" s="1888"/>
      <c r="AO646" s="1121" t="b">
        <f t="shared" si="294"/>
        <v>0</v>
      </c>
    </row>
    <row r="647" spans="2:41">
      <c r="B647" s="1124"/>
      <c r="C647" s="482"/>
      <c r="D647" s="582">
        <f t="shared" si="298"/>
        <v>5</v>
      </c>
      <c r="E647" s="3345" t="str">
        <f>c_ALR2025!E6298</f>
        <v/>
      </c>
      <c r="F647" s="3347"/>
      <c r="G647" s="3345" t="str">
        <f>c_ALR2025!G6298</f>
        <v/>
      </c>
      <c r="H647" s="3346"/>
      <c r="I647" s="3346"/>
      <c r="J647" s="3346"/>
      <c r="K647" s="3346"/>
      <c r="L647" s="3347"/>
      <c r="M647" s="1902" t="str">
        <f>c_ALR2025!M6298</f>
        <v/>
      </c>
      <c r="N647" s="481"/>
      <c r="O647" s="481"/>
      <c r="P647" s="481"/>
      <c r="S647" s="1888"/>
      <c r="AO647" s="1121" t="b">
        <f t="shared" si="294"/>
        <v>0</v>
      </c>
    </row>
    <row r="648" spans="2:41">
      <c r="B648" s="1124"/>
      <c r="C648" s="482"/>
      <c r="D648" s="582">
        <f t="shared" si="298"/>
        <v>6</v>
      </c>
      <c r="E648" s="3345" t="str">
        <f>c_ALR2025!E6299</f>
        <v/>
      </c>
      <c r="F648" s="3347"/>
      <c r="G648" s="3345" t="str">
        <f>c_ALR2025!G6299</f>
        <v/>
      </c>
      <c r="H648" s="3346"/>
      <c r="I648" s="3346"/>
      <c r="J648" s="3346"/>
      <c r="K648" s="3346"/>
      <c r="L648" s="3347"/>
      <c r="M648" s="1902" t="str">
        <f>c_ALR2025!M6299</f>
        <v/>
      </c>
      <c r="N648" s="481"/>
      <c r="O648" s="481"/>
      <c r="P648" s="481"/>
      <c r="S648" s="1888"/>
      <c r="AO648" s="1121" t="b">
        <f t="shared" si="294"/>
        <v>0</v>
      </c>
    </row>
    <row r="649" spans="2:41">
      <c r="B649" s="1124"/>
      <c r="C649" s="482"/>
      <c r="D649" s="582">
        <f t="shared" si="298"/>
        <v>7</v>
      </c>
      <c r="E649" s="3345" t="str">
        <f>c_ALR2025!E6300</f>
        <v/>
      </c>
      <c r="F649" s="3347"/>
      <c r="G649" s="3345" t="str">
        <f>c_ALR2025!G6300</f>
        <v/>
      </c>
      <c r="H649" s="3346"/>
      <c r="I649" s="3346"/>
      <c r="J649" s="3346"/>
      <c r="K649" s="3346"/>
      <c r="L649" s="3347"/>
      <c r="M649" s="1902" t="str">
        <f>c_ALR2025!M6300</f>
        <v/>
      </c>
      <c r="N649" s="481"/>
      <c r="O649" s="481"/>
      <c r="P649" s="481"/>
      <c r="S649" s="1888"/>
      <c r="AO649" s="1121" t="b">
        <f t="shared" si="294"/>
        <v>0</v>
      </c>
    </row>
    <row r="650" spans="2:41">
      <c r="B650" s="1124"/>
      <c r="C650" s="482"/>
      <c r="D650" s="582">
        <f t="shared" si="298"/>
        <v>8</v>
      </c>
      <c r="E650" s="3345" t="str">
        <f>c_ALR2025!E6301</f>
        <v/>
      </c>
      <c r="F650" s="3347"/>
      <c r="G650" s="3345" t="str">
        <f>c_ALR2025!G6301</f>
        <v/>
      </c>
      <c r="H650" s="3346"/>
      <c r="I650" s="3346"/>
      <c r="J650" s="3346"/>
      <c r="K650" s="3346"/>
      <c r="L650" s="3347"/>
      <c r="M650" s="1902" t="str">
        <f>c_ALR2025!M6301</f>
        <v/>
      </c>
      <c r="N650" s="481"/>
      <c r="O650" s="481"/>
      <c r="P650" s="481"/>
      <c r="S650" s="1888"/>
      <c r="AO650" s="1121" t="b">
        <f t="shared" si="294"/>
        <v>0</v>
      </c>
    </row>
    <row r="651" spans="2:41">
      <c r="B651" s="1124"/>
      <c r="C651" s="482"/>
      <c r="D651" s="582">
        <f t="shared" si="298"/>
        <v>9</v>
      </c>
      <c r="E651" s="3345" t="str">
        <f>c_ALR2025!E6302</f>
        <v/>
      </c>
      <c r="F651" s="3347"/>
      <c r="G651" s="3345" t="str">
        <f>c_ALR2025!G6302</f>
        <v/>
      </c>
      <c r="H651" s="3346"/>
      <c r="I651" s="3346"/>
      <c r="J651" s="3346"/>
      <c r="K651" s="3346"/>
      <c r="L651" s="3347"/>
      <c r="M651" s="1902" t="str">
        <f>c_ALR2025!M6302</f>
        <v/>
      </c>
      <c r="N651" s="481"/>
      <c r="O651" s="481"/>
      <c r="P651" s="481"/>
      <c r="S651" s="1888"/>
      <c r="AO651" s="1121" t="b">
        <f t="shared" si="294"/>
        <v>0</v>
      </c>
    </row>
    <row r="652" spans="2:41">
      <c r="B652" s="1124"/>
      <c r="C652" s="482"/>
      <c r="D652" s="584">
        <f t="shared" si="298"/>
        <v>10</v>
      </c>
      <c r="E652" s="3343" t="str">
        <f>c_ALR2025!E6303</f>
        <v/>
      </c>
      <c r="F652" s="3344"/>
      <c r="G652" s="3343" t="str">
        <f>c_ALR2025!G6303</f>
        <v/>
      </c>
      <c r="H652" s="3281"/>
      <c r="I652" s="3281"/>
      <c r="J652" s="3281"/>
      <c r="K652" s="3281"/>
      <c r="L652" s="3344"/>
      <c r="M652" s="1903" t="str">
        <f>c_ALR2025!M6303</f>
        <v/>
      </c>
      <c r="N652" s="481"/>
      <c r="O652" s="481"/>
      <c r="P652" s="481"/>
      <c r="S652" s="1904" t="s">
        <v>2057</v>
      </c>
      <c r="AO652" s="1121" t="b">
        <f t="shared" si="294"/>
        <v>0</v>
      </c>
    </row>
    <row r="653" spans="2:41">
      <c r="B653" s="1124"/>
      <c r="C653" s="482"/>
      <c r="D653" s="579">
        <v>1</v>
      </c>
      <c r="E653" s="3363"/>
      <c r="F653" s="3364"/>
      <c r="G653" s="2909"/>
      <c r="H653" s="3363"/>
      <c r="I653" s="3363"/>
      <c r="J653" s="3363"/>
      <c r="K653" s="3363"/>
      <c r="L653" s="3364"/>
      <c r="M653" s="1984"/>
      <c r="N653" s="481"/>
      <c r="O653" s="481"/>
      <c r="P653" s="481"/>
      <c r="S653" s="1715" t="b">
        <f>IF(E643 &lt;&gt; "", TRUE, FALSE)</f>
        <v>0</v>
      </c>
      <c r="AO653" s="1121" t="b">
        <f t="shared" si="294"/>
        <v>0</v>
      </c>
    </row>
    <row r="654" spans="2:41">
      <c r="B654" s="1124"/>
      <c r="C654" s="482"/>
      <c r="D654" s="582">
        <f>D653+1</f>
        <v>2</v>
      </c>
      <c r="E654" s="3338"/>
      <c r="F654" s="3339"/>
      <c r="G654" s="3337"/>
      <c r="H654" s="3338"/>
      <c r="I654" s="3338"/>
      <c r="J654" s="3338"/>
      <c r="K654" s="3338"/>
      <c r="L654" s="3339"/>
      <c r="M654" s="1985"/>
      <c r="N654" s="481"/>
      <c r="O654" s="481"/>
      <c r="P654" s="481"/>
      <c r="S654" s="1715" t="b">
        <f t="shared" ref="S654:S662" si="299">IF(E644 &lt;&gt; "", TRUE, FALSE)</f>
        <v>0</v>
      </c>
      <c r="AO654" s="1121" t="b">
        <f t="shared" si="294"/>
        <v>0</v>
      </c>
    </row>
    <row r="655" spans="2:41">
      <c r="B655" s="1124"/>
      <c r="C655" s="482"/>
      <c r="D655" s="582">
        <f t="shared" ref="D655:D662" si="300">D654+1</f>
        <v>3</v>
      </c>
      <c r="E655" s="3338"/>
      <c r="F655" s="3339"/>
      <c r="G655" s="3337"/>
      <c r="H655" s="3338"/>
      <c r="I655" s="3338"/>
      <c r="J655" s="3338"/>
      <c r="K655" s="3338"/>
      <c r="L655" s="3339"/>
      <c r="M655" s="1985"/>
      <c r="N655" s="481"/>
      <c r="O655" s="481"/>
      <c r="P655" s="481"/>
      <c r="S655" s="1715" t="b">
        <f t="shared" si="299"/>
        <v>0</v>
      </c>
      <c r="AO655" s="1121" t="b">
        <f t="shared" si="294"/>
        <v>0</v>
      </c>
    </row>
    <row r="656" spans="2:41">
      <c r="B656" s="1124"/>
      <c r="C656" s="482"/>
      <c r="D656" s="582">
        <f t="shared" si="300"/>
        <v>4</v>
      </c>
      <c r="E656" s="3338"/>
      <c r="F656" s="3339"/>
      <c r="G656" s="3337"/>
      <c r="H656" s="3338"/>
      <c r="I656" s="3338"/>
      <c r="J656" s="3338"/>
      <c r="K656" s="3338"/>
      <c r="L656" s="3339"/>
      <c r="M656" s="1985"/>
      <c r="N656" s="481"/>
      <c r="O656" s="481"/>
      <c r="P656" s="481"/>
      <c r="S656" s="1715" t="b">
        <f t="shared" si="299"/>
        <v>0</v>
      </c>
      <c r="AO656" s="1121" t="b">
        <f t="shared" si="294"/>
        <v>0</v>
      </c>
    </row>
    <row r="657" spans="2:41">
      <c r="B657" s="1124"/>
      <c r="C657" s="482"/>
      <c r="D657" s="582">
        <f t="shared" si="300"/>
        <v>5</v>
      </c>
      <c r="E657" s="3338"/>
      <c r="F657" s="3339"/>
      <c r="G657" s="3337"/>
      <c r="H657" s="3338"/>
      <c r="I657" s="3338"/>
      <c r="J657" s="3338"/>
      <c r="K657" s="3338"/>
      <c r="L657" s="3339"/>
      <c r="M657" s="1985"/>
      <c r="N657" s="481"/>
      <c r="O657" s="481"/>
      <c r="P657" s="481"/>
      <c r="S657" s="1715" t="b">
        <f t="shared" si="299"/>
        <v>0</v>
      </c>
      <c r="Z657" s="1249"/>
      <c r="AA657" s="1249"/>
      <c r="AB657" s="1435"/>
      <c r="AO657" s="1121" t="b">
        <f t="shared" si="294"/>
        <v>0</v>
      </c>
    </row>
    <row r="658" spans="2:41">
      <c r="B658" s="1124"/>
      <c r="C658" s="482"/>
      <c r="D658" s="582">
        <f t="shared" si="300"/>
        <v>6</v>
      </c>
      <c r="E658" s="3338"/>
      <c r="F658" s="3339"/>
      <c r="G658" s="3337"/>
      <c r="H658" s="3338"/>
      <c r="I658" s="3338"/>
      <c r="J658" s="3338"/>
      <c r="K658" s="3338"/>
      <c r="L658" s="3339"/>
      <c r="M658" s="1985"/>
      <c r="N658" s="481"/>
      <c r="O658" s="481"/>
      <c r="P658" s="481"/>
      <c r="S658" s="1715" t="b">
        <f t="shared" si="299"/>
        <v>0</v>
      </c>
      <c r="Z658" s="1249"/>
      <c r="AA658" s="1249"/>
      <c r="AB658" s="1435"/>
      <c r="AO658" s="1121" t="b">
        <f t="shared" si="294"/>
        <v>0</v>
      </c>
    </row>
    <row r="659" spans="2:41">
      <c r="B659" s="1124"/>
      <c r="C659" s="482"/>
      <c r="D659" s="582">
        <f t="shared" si="300"/>
        <v>7</v>
      </c>
      <c r="E659" s="3338"/>
      <c r="F659" s="3339"/>
      <c r="G659" s="3337"/>
      <c r="H659" s="3338"/>
      <c r="I659" s="3338"/>
      <c r="J659" s="3338"/>
      <c r="K659" s="3338"/>
      <c r="L659" s="3339"/>
      <c r="M659" s="1985"/>
      <c r="N659" s="481"/>
      <c r="O659" s="481"/>
      <c r="P659" s="481"/>
      <c r="S659" s="1715" t="b">
        <f t="shared" si="299"/>
        <v>0</v>
      </c>
      <c r="Z659" s="1249"/>
      <c r="AA659" s="1249"/>
      <c r="AB659" s="1435"/>
      <c r="AO659" s="1121" t="b">
        <f t="shared" si="294"/>
        <v>0</v>
      </c>
    </row>
    <row r="660" spans="2:41">
      <c r="B660" s="1124"/>
      <c r="C660" s="482"/>
      <c r="D660" s="582">
        <f t="shared" si="300"/>
        <v>8</v>
      </c>
      <c r="E660" s="3338"/>
      <c r="F660" s="3339"/>
      <c r="G660" s="3337"/>
      <c r="H660" s="3338"/>
      <c r="I660" s="3338"/>
      <c r="J660" s="3338"/>
      <c r="K660" s="3338"/>
      <c r="L660" s="3339"/>
      <c r="M660" s="1985"/>
      <c r="N660" s="481"/>
      <c r="O660" s="481"/>
      <c r="P660" s="481"/>
      <c r="S660" s="1715" t="b">
        <f t="shared" si="299"/>
        <v>0</v>
      </c>
      <c r="Z660" s="1249"/>
      <c r="AA660" s="1249"/>
      <c r="AB660" s="1435"/>
      <c r="AO660" s="1121" t="b">
        <f t="shared" si="294"/>
        <v>0</v>
      </c>
    </row>
    <row r="661" spans="2:41">
      <c r="B661" s="1124"/>
      <c r="C661" s="482"/>
      <c r="D661" s="582">
        <f t="shared" si="300"/>
        <v>9</v>
      </c>
      <c r="E661" s="3338"/>
      <c r="F661" s="3339"/>
      <c r="G661" s="3337"/>
      <c r="H661" s="3338"/>
      <c r="I661" s="3338"/>
      <c r="J661" s="3338"/>
      <c r="K661" s="3338"/>
      <c r="L661" s="3339"/>
      <c r="M661" s="1985"/>
      <c r="N661" s="481"/>
      <c r="O661" s="481"/>
      <c r="P661" s="481"/>
      <c r="S661" s="1715" t="b">
        <f t="shared" si="299"/>
        <v>0</v>
      </c>
      <c r="Z661" s="1249"/>
      <c r="AA661" s="1249"/>
      <c r="AB661" s="1435"/>
      <c r="AO661" s="1121" t="b">
        <f t="shared" si="294"/>
        <v>0</v>
      </c>
    </row>
    <row r="662" spans="2:41">
      <c r="B662" s="1124"/>
      <c r="C662" s="482"/>
      <c r="D662" s="584">
        <f t="shared" si="300"/>
        <v>10</v>
      </c>
      <c r="E662" s="3029"/>
      <c r="F662" s="3030"/>
      <c r="G662" s="3028"/>
      <c r="H662" s="3029"/>
      <c r="I662" s="3029"/>
      <c r="J662" s="3029"/>
      <c r="K662" s="3029"/>
      <c r="L662" s="3030"/>
      <c r="M662" s="1986"/>
      <c r="N662" s="481"/>
      <c r="O662" s="481"/>
      <c r="P662" s="481"/>
      <c r="S662" s="1715" t="b">
        <f t="shared" si="299"/>
        <v>0</v>
      </c>
      <c r="Z662" s="1249"/>
      <c r="AA662" s="1249"/>
      <c r="AB662" s="1435"/>
      <c r="AO662" s="1121" t="b">
        <f t="shared" si="294"/>
        <v>0</v>
      </c>
    </row>
    <row r="663" spans="2:41" ht="12.75" customHeight="1">
      <c r="B663" s="1124"/>
      <c r="C663" s="484"/>
      <c r="D663" s="579">
        <v>1</v>
      </c>
      <c r="E663" s="3379" t="str">
        <f>IF(E653&lt;&gt; "",E653,IF(E643 &lt;&gt; "", E643,""))</f>
        <v/>
      </c>
      <c r="F663" s="2831" t="str">
        <f>IF(F653&lt;&gt; "",F653,IF(F643 &lt;&gt; "", F643,""))</f>
        <v/>
      </c>
      <c r="G663" s="2830" t="str">
        <f>IF(G653&lt;&gt; "",G653,IF(G643 &lt;&gt; "", G643,""))</f>
        <v/>
      </c>
      <c r="H663" s="3379"/>
      <c r="I663" s="3379"/>
      <c r="J663" s="3379"/>
      <c r="K663" s="3379"/>
      <c r="L663" s="2831"/>
      <c r="M663" s="961" t="str">
        <f t="shared" ref="M663:M672" si="301">IF(M653&lt;&gt; "",M653,IF(M643 &lt;&gt; "", M643,""))</f>
        <v/>
      </c>
      <c r="N663" s="481"/>
      <c r="O663" s="481"/>
      <c r="P663" s="9"/>
      <c r="R663" s="1633"/>
      <c r="S663" s="1443" t="b">
        <f>TRUE</f>
        <v>1</v>
      </c>
      <c r="AB663" s="1435"/>
      <c r="AK663" s="1633" t="s">
        <v>1954</v>
      </c>
      <c r="AL663" s="1635" t="str">
        <f>IF(AND($M609=EUconst_Relevant,COUNTA(E663:L663)&lt;2),EUconst_Error&amp;"FB"&amp;Q609,"")</f>
        <v/>
      </c>
      <c r="AO663" s="1121" t="b">
        <f t="shared" si="294"/>
        <v>0</v>
      </c>
    </row>
    <row r="664" spans="2:41" ht="12.75" customHeight="1">
      <c r="B664" s="1124"/>
      <c r="C664" s="484"/>
      <c r="D664" s="582">
        <f>D663+1</f>
        <v>2</v>
      </c>
      <c r="E664" s="2825" t="str">
        <f t="shared" ref="E664:G664" si="302">IF(E654&lt;&gt; "",E654,IF(E644 &lt;&gt; "", E644,""))</f>
        <v/>
      </c>
      <c r="F664" s="2826" t="str">
        <f t="shared" si="302"/>
        <v/>
      </c>
      <c r="G664" s="2825" t="str">
        <f t="shared" si="302"/>
        <v/>
      </c>
      <c r="H664" s="2827"/>
      <c r="I664" s="2827"/>
      <c r="J664" s="2827"/>
      <c r="K664" s="2827"/>
      <c r="L664" s="2826"/>
      <c r="M664" s="895" t="str">
        <f t="shared" si="301"/>
        <v/>
      </c>
      <c r="N664" s="481"/>
      <c r="O664" s="481"/>
      <c r="P664" s="9"/>
      <c r="S664" s="1443" t="b">
        <f>TRUE</f>
        <v>1</v>
      </c>
      <c r="AB664" s="1435"/>
      <c r="AO664" s="1121" t="b">
        <f t="shared" si="294"/>
        <v>0</v>
      </c>
    </row>
    <row r="665" spans="2:41" ht="12.75" customHeight="1">
      <c r="B665" s="1124"/>
      <c r="C665" s="484"/>
      <c r="D665" s="582">
        <f t="shared" ref="D665:D672" si="303">D664+1</f>
        <v>3</v>
      </c>
      <c r="E665" s="2825" t="str">
        <f t="shared" ref="E665:G665" si="304">IF(E655&lt;&gt; "",E655,IF(E645 &lt;&gt; "", E645,""))</f>
        <v/>
      </c>
      <c r="F665" s="2826" t="str">
        <f t="shared" si="304"/>
        <v/>
      </c>
      <c r="G665" s="2825" t="str">
        <f t="shared" si="304"/>
        <v/>
      </c>
      <c r="H665" s="2827"/>
      <c r="I665" s="2827"/>
      <c r="J665" s="2827"/>
      <c r="K665" s="2827"/>
      <c r="L665" s="2826"/>
      <c r="M665" s="895" t="str">
        <f t="shared" si="301"/>
        <v/>
      </c>
      <c r="N665" s="481"/>
      <c r="O665" s="481"/>
      <c r="P665" s="9"/>
      <c r="S665" s="1443" t="b">
        <f>TRUE</f>
        <v>1</v>
      </c>
      <c r="AB665" s="1435"/>
      <c r="AO665" s="1121" t="b">
        <f t="shared" si="294"/>
        <v>0</v>
      </c>
    </row>
    <row r="666" spans="2:41" ht="12.75" customHeight="1">
      <c r="B666" s="1124"/>
      <c r="C666" s="484"/>
      <c r="D666" s="582">
        <f t="shared" si="303"/>
        <v>4</v>
      </c>
      <c r="E666" s="2825" t="str">
        <f t="shared" ref="E666:G666" si="305">IF(E656&lt;&gt; "",E656,IF(E646 &lt;&gt; "", E646,""))</f>
        <v/>
      </c>
      <c r="F666" s="2826" t="str">
        <f t="shared" si="305"/>
        <v/>
      </c>
      <c r="G666" s="2825" t="str">
        <f t="shared" si="305"/>
        <v/>
      </c>
      <c r="H666" s="2827"/>
      <c r="I666" s="2827"/>
      <c r="J666" s="2827"/>
      <c r="K666" s="2827"/>
      <c r="L666" s="2826"/>
      <c r="M666" s="895" t="str">
        <f t="shared" si="301"/>
        <v/>
      </c>
      <c r="N666" s="481"/>
      <c r="O666" s="481"/>
      <c r="P666" s="9"/>
      <c r="S666" s="1443" t="b">
        <f>TRUE</f>
        <v>1</v>
      </c>
      <c r="AB666" s="1435"/>
      <c r="AO666" s="1121" t="b">
        <f t="shared" si="294"/>
        <v>0</v>
      </c>
    </row>
    <row r="667" spans="2:41" ht="12.75" customHeight="1">
      <c r="B667" s="1124"/>
      <c r="C667" s="484"/>
      <c r="D667" s="582">
        <f t="shared" si="303"/>
        <v>5</v>
      </c>
      <c r="E667" s="2825" t="str">
        <f t="shared" ref="E667:G667" si="306">IF(E657&lt;&gt; "",E657,IF(E647 &lt;&gt; "", E647,""))</f>
        <v/>
      </c>
      <c r="F667" s="2826" t="str">
        <f t="shared" si="306"/>
        <v/>
      </c>
      <c r="G667" s="2825" t="str">
        <f t="shared" si="306"/>
        <v/>
      </c>
      <c r="H667" s="2827"/>
      <c r="I667" s="2827"/>
      <c r="J667" s="2827"/>
      <c r="K667" s="2827"/>
      <c r="L667" s="2826"/>
      <c r="M667" s="895" t="str">
        <f t="shared" si="301"/>
        <v/>
      </c>
      <c r="N667" s="481"/>
      <c r="O667" s="481"/>
      <c r="P667" s="9"/>
      <c r="S667" s="1443" t="b">
        <f>TRUE</f>
        <v>1</v>
      </c>
      <c r="Z667" s="1249"/>
      <c r="AA667" s="1249"/>
      <c r="AB667" s="1435"/>
      <c r="AO667" s="1121" t="b">
        <f t="shared" si="294"/>
        <v>0</v>
      </c>
    </row>
    <row r="668" spans="2:41" ht="12.75" customHeight="1">
      <c r="B668" s="1124"/>
      <c r="C668" s="484"/>
      <c r="D668" s="582">
        <f t="shared" si="303"/>
        <v>6</v>
      </c>
      <c r="E668" s="2825" t="str">
        <f t="shared" ref="E668:G668" si="307">IF(E658&lt;&gt; "",E658,IF(E648 &lt;&gt; "", E648,""))</f>
        <v/>
      </c>
      <c r="F668" s="2826" t="str">
        <f t="shared" si="307"/>
        <v/>
      </c>
      <c r="G668" s="2825" t="str">
        <f t="shared" si="307"/>
        <v/>
      </c>
      <c r="H668" s="2827"/>
      <c r="I668" s="2827"/>
      <c r="J668" s="2827"/>
      <c r="K668" s="2827"/>
      <c r="L668" s="2826"/>
      <c r="M668" s="895" t="str">
        <f t="shared" si="301"/>
        <v/>
      </c>
      <c r="N668" s="481"/>
      <c r="O668" s="481"/>
      <c r="P668" s="9"/>
      <c r="S668" s="1443" t="b">
        <f>TRUE</f>
        <v>1</v>
      </c>
      <c r="AB668" s="1435"/>
      <c r="AO668" s="1121" t="b">
        <f t="shared" si="294"/>
        <v>0</v>
      </c>
    </row>
    <row r="669" spans="2:41" ht="12.75" customHeight="1">
      <c r="B669" s="1124"/>
      <c r="C669" s="484"/>
      <c r="D669" s="582">
        <f t="shared" si="303"/>
        <v>7</v>
      </c>
      <c r="E669" s="2825" t="str">
        <f t="shared" ref="E669:G669" si="308">IF(E659&lt;&gt; "",E659,IF(E649 &lt;&gt; "", E649,""))</f>
        <v/>
      </c>
      <c r="F669" s="2826" t="str">
        <f t="shared" si="308"/>
        <v/>
      </c>
      <c r="G669" s="2825" t="str">
        <f t="shared" si="308"/>
        <v/>
      </c>
      <c r="H669" s="2827"/>
      <c r="I669" s="2827"/>
      <c r="J669" s="2827"/>
      <c r="K669" s="2827"/>
      <c r="L669" s="2826"/>
      <c r="M669" s="895" t="str">
        <f t="shared" si="301"/>
        <v/>
      </c>
      <c r="N669" s="481"/>
      <c r="O669" s="481"/>
      <c r="P669" s="9"/>
      <c r="S669" s="1443" t="b">
        <f>TRUE</f>
        <v>1</v>
      </c>
      <c r="AB669" s="1435"/>
      <c r="AO669" s="1121" t="b">
        <f t="shared" si="294"/>
        <v>0</v>
      </c>
    </row>
    <row r="670" spans="2:41" ht="12.75" customHeight="1">
      <c r="B670" s="1124"/>
      <c r="C670" s="484"/>
      <c r="D670" s="582">
        <f t="shared" si="303"/>
        <v>8</v>
      </c>
      <c r="E670" s="2825" t="str">
        <f t="shared" ref="E670:G670" si="309">IF(E660&lt;&gt; "",E660,IF(E650 &lt;&gt; "", E650,""))</f>
        <v/>
      </c>
      <c r="F670" s="2826" t="str">
        <f t="shared" si="309"/>
        <v/>
      </c>
      <c r="G670" s="2825" t="str">
        <f t="shared" si="309"/>
        <v/>
      </c>
      <c r="H670" s="2827"/>
      <c r="I670" s="2827"/>
      <c r="J670" s="2827"/>
      <c r="K670" s="2827"/>
      <c r="L670" s="2826"/>
      <c r="M670" s="895" t="str">
        <f t="shared" si="301"/>
        <v/>
      </c>
      <c r="N670" s="481"/>
      <c r="O670" s="481"/>
      <c r="P670" s="9"/>
      <c r="S670" s="1443" t="b">
        <f>TRUE</f>
        <v>1</v>
      </c>
      <c r="AB670" s="1435"/>
      <c r="AO670" s="1121" t="b">
        <f t="shared" si="294"/>
        <v>0</v>
      </c>
    </row>
    <row r="671" spans="2:41" ht="12.75" customHeight="1">
      <c r="B671" s="1124"/>
      <c r="C671" s="484"/>
      <c r="D671" s="582">
        <f t="shared" si="303"/>
        <v>9</v>
      </c>
      <c r="E671" s="2825" t="str">
        <f t="shared" ref="E671:G671" si="310">IF(E661&lt;&gt; "",E661,IF(E651 &lt;&gt; "", E651,""))</f>
        <v/>
      </c>
      <c r="F671" s="2826" t="str">
        <f t="shared" si="310"/>
        <v/>
      </c>
      <c r="G671" s="2825" t="str">
        <f t="shared" si="310"/>
        <v/>
      </c>
      <c r="H671" s="2827"/>
      <c r="I671" s="2827"/>
      <c r="J671" s="2827"/>
      <c r="K671" s="2827"/>
      <c r="L671" s="2826"/>
      <c r="M671" s="895" t="str">
        <f t="shared" si="301"/>
        <v/>
      </c>
      <c r="N671" s="481"/>
      <c r="O671" s="481"/>
      <c r="P671" s="9"/>
      <c r="S671" s="1443" t="b">
        <f>TRUE</f>
        <v>1</v>
      </c>
      <c r="AB671" s="1435"/>
      <c r="AO671" s="1121" t="b">
        <f t="shared" si="294"/>
        <v>0</v>
      </c>
    </row>
    <row r="672" spans="2:41" ht="12.75" customHeight="1">
      <c r="B672" s="1124"/>
      <c r="C672" s="484"/>
      <c r="D672" s="584">
        <f t="shared" si="303"/>
        <v>10</v>
      </c>
      <c r="E672" s="2820" t="str">
        <f t="shared" ref="E672:G672" si="311">IF(E662&lt;&gt; "",E662,IF(E652 &lt;&gt; "", E652,""))</f>
        <v/>
      </c>
      <c r="F672" s="2821" t="str">
        <f t="shared" si="311"/>
        <v/>
      </c>
      <c r="G672" s="2820" t="str">
        <f t="shared" si="311"/>
        <v/>
      </c>
      <c r="H672" s="2822"/>
      <c r="I672" s="2822"/>
      <c r="J672" s="2822"/>
      <c r="K672" s="2822"/>
      <c r="L672" s="2821"/>
      <c r="M672" s="968" t="str">
        <f t="shared" si="301"/>
        <v/>
      </c>
      <c r="N672" s="481"/>
      <c r="O672" s="481"/>
      <c r="P672" s="9"/>
      <c r="S672" s="1443" t="b">
        <f>TRUE</f>
        <v>1</v>
      </c>
      <c r="Z672" s="1249"/>
      <c r="AA672" s="1249"/>
      <c r="AB672" s="1435"/>
      <c r="AO672" s="1121" t="b">
        <f t="shared" si="294"/>
        <v>0</v>
      </c>
    </row>
    <row r="673" spans="1:42" ht="5.0999999999999996" customHeight="1">
      <c r="B673" s="467"/>
      <c r="C673" s="467"/>
      <c r="D673" s="467"/>
      <c r="E673" s="467"/>
      <c r="F673" s="467"/>
      <c r="G673" s="467"/>
      <c r="H673" s="467"/>
      <c r="I673" s="467"/>
      <c r="J673" s="467"/>
      <c r="K673" s="467"/>
      <c r="L673" s="467"/>
      <c r="M673" s="467"/>
      <c r="N673" s="467"/>
      <c r="O673" s="481"/>
      <c r="P673" s="481"/>
      <c r="Q673" s="1249"/>
      <c r="R673" s="1249"/>
      <c r="AB673" s="1435"/>
      <c r="AO673" s="1121" t="b">
        <f t="shared" si="294"/>
        <v>0</v>
      </c>
    </row>
    <row r="674" spans="1:42" ht="12.75" customHeight="1">
      <c r="B674" s="467"/>
      <c r="C674" s="482"/>
      <c r="D674" s="482"/>
      <c r="E674" s="2373" t="s">
        <v>1477</v>
      </c>
      <c r="F674" s="2400"/>
      <c r="G674" s="2400"/>
      <c r="H674" s="2400"/>
      <c r="I674" s="2400"/>
      <c r="J674" s="2400"/>
      <c r="K674" s="2400"/>
      <c r="L674" s="2400"/>
      <c r="M674" s="2400"/>
      <c r="N674" s="2400"/>
      <c r="O674" s="481"/>
      <c r="P674" s="481"/>
      <c r="Q674" s="1249"/>
      <c r="AB674" s="1435"/>
      <c r="AO674" s="1121" t="b">
        <f t="shared" si="294"/>
        <v>0</v>
      </c>
    </row>
    <row r="675" spans="1:42" ht="25.5" customHeight="1">
      <c r="B675" s="467"/>
      <c r="C675" s="482"/>
      <c r="D675" s="482"/>
      <c r="E675" s="2385" t="s">
        <v>1929</v>
      </c>
      <c r="F675" s="2846"/>
      <c r="G675" s="2846"/>
      <c r="H675" s="2846"/>
      <c r="I675" s="2846"/>
      <c r="J675" s="2846"/>
      <c r="K675" s="2846"/>
      <c r="L675" s="2846"/>
      <c r="M675" s="2846"/>
      <c r="N675" s="2846"/>
      <c r="O675" s="481"/>
      <c r="P675" s="481"/>
      <c r="Q675" s="1249"/>
      <c r="AB675" s="1435"/>
      <c r="AO675" s="1121" t="b">
        <f t="shared" si="294"/>
        <v>0</v>
      </c>
    </row>
    <row r="676" spans="1:42" ht="25.5" customHeight="1">
      <c r="B676" s="467"/>
      <c r="C676" s="482"/>
      <c r="D676" s="482"/>
      <c r="E676" s="2385" t="s">
        <v>1878</v>
      </c>
      <c r="F676" s="2846"/>
      <c r="G676" s="2846"/>
      <c r="H676" s="2846"/>
      <c r="I676" s="2846"/>
      <c r="J676" s="2846"/>
      <c r="K676" s="2846"/>
      <c r="L676" s="2846"/>
      <c r="M676" s="2846"/>
      <c r="N676" s="2846"/>
      <c r="O676" s="481"/>
      <c r="P676" s="481"/>
      <c r="Q676" s="1249"/>
      <c r="AB676" s="1435"/>
      <c r="AO676" s="1121" t="b">
        <f t="shared" ref="AO676:AO739" si="312">$AD$609</f>
        <v>0</v>
      </c>
    </row>
    <row r="677" spans="1:42" ht="12.75" customHeight="1">
      <c r="B677" s="467"/>
      <c r="C677" s="482"/>
      <c r="D677" s="482"/>
      <c r="E677" s="2385" t="s">
        <v>2222</v>
      </c>
      <c r="F677" s="2846"/>
      <c r="G677" s="2846"/>
      <c r="H677" s="2846"/>
      <c r="I677" s="2846"/>
      <c r="J677" s="2846"/>
      <c r="K677" s="2846"/>
      <c r="L677" s="2846"/>
      <c r="M677" s="2846"/>
      <c r="N677" s="2846"/>
      <c r="O677" s="481"/>
      <c r="P677" s="481"/>
      <c r="Q677" s="1249"/>
      <c r="AB677" s="1435"/>
      <c r="AO677" s="1121" t="b">
        <f t="shared" si="312"/>
        <v>0</v>
      </c>
    </row>
    <row r="678" spans="1:42" ht="5.0999999999999996" customHeight="1">
      <c r="B678" s="467"/>
      <c r="C678" s="485"/>
      <c r="D678" s="485"/>
      <c r="E678" s="617"/>
      <c r="F678" s="617"/>
      <c r="G678" s="617"/>
      <c r="H678" s="617"/>
      <c r="I678" s="617"/>
      <c r="J678" s="468"/>
      <c r="K678" s="468"/>
      <c r="L678" s="468"/>
      <c r="M678" s="481"/>
      <c r="N678" s="481"/>
      <c r="O678" s="481"/>
      <c r="P678" s="481"/>
      <c r="Q678" s="1249"/>
      <c r="AB678" s="1435"/>
      <c r="AO678" s="1121" t="b">
        <f t="shared" si="312"/>
        <v>0</v>
      </c>
    </row>
    <row r="679" spans="1:42" s="1911" customFormat="1" ht="25.5" customHeight="1">
      <c r="A679" s="1905"/>
      <c r="B679" s="1906"/>
      <c r="C679" s="1028"/>
      <c r="D679" s="1029"/>
      <c r="E679" s="870" t="str">
        <f>G642</f>
        <v>Product name or service type</v>
      </c>
      <c r="F679" s="1030" t="str">
        <f>EUconst_Unit</f>
        <v>Unit</v>
      </c>
      <c r="G679" s="1031" t="s">
        <v>2213</v>
      </c>
      <c r="H679" s="1032">
        <f t="shared" ref="H679:N679" si="313">H$1190</f>
        <v>2024</v>
      </c>
      <c r="I679" s="1031">
        <f t="shared" si="313"/>
        <v>2025</v>
      </c>
      <c r="J679" s="1907">
        <f t="shared" si="313"/>
        <v>2026</v>
      </c>
      <c r="K679" s="1908">
        <f t="shared" si="313"/>
        <v>2027</v>
      </c>
      <c r="L679" s="1908">
        <f t="shared" si="313"/>
        <v>2028</v>
      </c>
      <c r="M679" s="1908">
        <f t="shared" si="313"/>
        <v>2029</v>
      </c>
      <c r="N679" s="1908">
        <f t="shared" si="313"/>
        <v>2030</v>
      </c>
      <c r="O679" s="481"/>
      <c r="P679" s="481"/>
      <c r="Q679" s="1909"/>
      <c r="R679" s="1909"/>
      <c r="S679" s="1904" t="s">
        <v>2057</v>
      </c>
      <c r="T679" s="1909"/>
      <c r="U679" s="1909"/>
      <c r="V679" s="1909"/>
      <c r="W679" s="1909"/>
      <c r="X679" s="1909"/>
      <c r="Y679" s="1909"/>
      <c r="Z679" s="1909"/>
      <c r="AA679" s="1909"/>
      <c r="AB679" s="1249" t="s">
        <v>1646</v>
      </c>
      <c r="AC679" s="1909">
        <f t="shared" ref="AC679:AI679" si="314">H679</f>
        <v>2024</v>
      </c>
      <c r="AD679" s="1909">
        <f t="shared" si="314"/>
        <v>2025</v>
      </c>
      <c r="AE679" s="1909">
        <f t="shared" si="314"/>
        <v>2026</v>
      </c>
      <c r="AF679" s="1909">
        <f t="shared" si="314"/>
        <v>2027</v>
      </c>
      <c r="AG679" s="1909">
        <f t="shared" si="314"/>
        <v>2028</v>
      </c>
      <c r="AH679" s="1910">
        <f t="shared" si="314"/>
        <v>2029</v>
      </c>
      <c r="AI679" s="1910">
        <f t="shared" si="314"/>
        <v>2030</v>
      </c>
      <c r="AN679" s="1905"/>
      <c r="AO679" s="1121" t="b">
        <f t="shared" si="312"/>
        <v>0</v>
      </c>
      <c r="AP679" s="1912"/>
    </row>
    <row r="680" spans="1:42" s="1911" customFormat="1">
      <c r="A680" s="1905"/>
      <c r="B680" s="1906"/>
      <c r="C680" s="1028"/>
      <c r="D680" s="579">
        <v>1</v>
      </c>
      <c r="E680" s="1913" t="str">
        <f>c_ALR2025!E6311</f>
        <v/>
      </c>
      <c r="F680" s="1763" t="str">
        <f>c_ALR2025!F6311</f>
        <v/>
      </c>
      <c r="G680" s="1914" t="str">
        <f>c_ALR2025!G6311</f>
        <v/>
      </c>
      <c r="H680" s="1915" t="str">
        <f>c_ALR2025!M6311</f>
        <v/>
      </c>
      <c r="I680" s="1987"/>
      <c r="J680" s="1907"/>
      <c r="K680" s="1908"/>
      <c r="L680" s="1908"/>
      <c r="M680" s="1908"/>
      <c r="N680" s="1908"/>
      <c r="O680" s="481"/>
      <c r="P680" s="481"/>
      <c r="Q680" s="1909"/>
      <c r="R680" s="1909"/>
      <c r="S680" s="1715" t="b">
        <f>IF(E680 = "", TRUE, FALSE)</f>
        <v>1</v>
      </c>
      <c r="T680" s="1909"/>
      <c r="U680" s="1909"/>
      <c r="V680" s="1909"/>
      <c r="W680" s="1909"/>
      <c r="X680" s="1909"/>
      <c r="Y680" s="1909"/>
      <c r="Z680" s="1909"/>
      <c r="AA680" s="1909"/>
      <c r="AB680" s="1249"/>
      <c r="AC680" s="1909"/>
      <c r="AD680" s="1909"/>
      <c r="AE680" s="1909"/>
      <c r="AF680" s="1909"/>
      <c r="AG680" s="1909"/>
      <c r="AH680" s="1910"/>
      <c r="AI680" s="1910"/>
      <c r="AN680" s="1905"/>
      <c r="AO680" s="1121" t="b">
        <f t="shared" si="312"/>
        <v>0</v>
      </c>
      <c r="AP680" s="1912"/>
    </row>
    <row r="681" spans="1:42" s="1911" customFormat="1">
      <c r="A681" s="1905"/>
      <c r="B681" s="1906"/>
      <c r="C681" s="1028"/>
      <c r="D681" s="582">
        <v>2</v>
      </c>
      <c r="E681" s="1916" t="str">
        <f>c_ALR2025!E6312</f>
        <v/>
      </c>
      <c r="F681" s="1917" t="str">
        <f>c_ALR2025!F6312</f>
        <v/>
      </c>
      <c r="G681" s="1918" t="str">
        <f>c_ALR2025!G6312</f>
        <v/>
      </c>
      <c r="H681" s="1919" t="str">
        <f>c_ALR2025!M6312</f>
        <v/>
      </c>
      <c r="I681" s="1988"/>
      <c r="J681" s="1907"/>
      <c r="K681" s="1908"/>
      <c r="L681" s="1908"/>
      <c r="M681" s="1908"/>
      <c r="N681" s="1908"/>
      <c r="O681" s="481"/>
      <c r="P681" s="481"/>
      <c r="Q681" s="1909"/>
      <c r="R681" s="1909"/>
      <c r="S681" s="1715" t="b">
        <f t="shared" ref="S681:S689" si="315">IF(E681 = "", TRUE, FALSE)</f>
        <v>1</v>
      </c>
      <c r="T681" s="1909"/>
      <c r="U681" s="1909"/>
      <c r="V681" s="1909"/>
      <c r="W681" s="1909"/>
      <c r="X681" s="1909"/>
      <c r="Y681" s="1909"/>
      <c r="Z681" s="1909"/>
      <c r="AA681" s="1909"/>
      <c r="AB681" s="1249"/>
      <c r="AC681" s="1909"/>
      <c r="AD681" s="1909"/>
      <c r="AE681" s="1909"/>
      <c r="AF681" s="1909"/>
      <c r="AG681" s="1909"/>
      <c r="AH681" s="1910"/>
      <c r="AI681" s="1910"/>
      <c r="AN681" s="1905"/>
      <c r="AO681" s="1121" t="b">
        <f t="shared" si="312"/>
        <v>0</v>
      </c>
      <c r="AP681" s="1912"/>
    </row>
    <row r="682" spans="1:42" s="1911" customFormat="1">
      <c r="A682" s="1905"/>
      <c r="B682" s="1906"/>
      <c r="C682" s="1028"/>
      <c r="D682" s="582">
        <v>3</v>
      </c>
      <c r="E682" s="1916" t="str">
        <f>c_ALR2025!E6313</f>
        <v/>
      </c>
      <c r="F682" s="1917" t="str">
        <f>c_ALR2025!F6313</f>
        <v/>
      </c>
      <c r="G682" s="1918" t="str">
        <f>c_ALR2025!G6313</f>
        <v/>
      </c>
      <c r="H682" s="1919" t="str">
        <f>c_ALR2025!M6313</f>
        <v/>
      </c>
      <c r="I682" s="1988"/>
      <c r="J682" s="1907"/>
      <c r="K682" s="1908"/>
      <c r="L682" s="1908"/>
      <c r="M682" s="1908"/>
      <c r="N682" s="1908"/>
      <c r="O682" s="481"/>
      <c r="P682" s="481"/>
      <c r="Q682" s="1909"/>
      <c r="R682" s="1909"/>
      <c r="S682" s="1715" t="b">
        <f t="shared" si="315"/>
        <v>1</v>
      </c>
      <c r="T682" s="1909"/>
      <c r="U682" s="1909"/>
      <c r="V682" s="1909"/>
      <c r="W682" s="1909"/>
      <c r="X682" s="1909"/>
      <c r="Y682" s="1909"/>
      <c r="Z682" s="1909"/>
      <c r="AA682" s="1909"/>
      <c r="AB682" s="1249"/>
      <c r="AC682" s="1909"/>
      <c r="AD682" s="1909"/>
      <c r="AE682" s="1909"/>
      <c r="AF682" s="1909"/>
      <c r="AG682" s="1909"/>
      <c r="AH682" s="1910"/>
      <c r="AI682" s="1910"/>
      <c r="AN682" s="1905"/>
      <c r="AO682" s="1121" t="b">
        <f t="shared" si="312"/>
        <v>0</v>
      </c>
      <c r="AP682" s="1912"/>
    </row>
    <row r="683" spans="1:42" s="1911" customFormat="1">
      <c r="A683" s="1905"/>
      <c r="B683" s="1906"/>
      <c r="C683" s="1028"/>
      <c r="D683" s="582">
        <v>4</v>
      </c>
      <c r="E683" s="1916" t="str">
        <f>c_ALR2025!E6314</f>
        <v/>
      </c>
      <c r="F683" s="1917" t="str">
        <f>c_ALR2025!F6314</f>
        <v/>
      </c>
      <c r="G683" s="1918" t="str">
        <f>c_ALR2025!G6314</f>
        <v/>
      </c>
      <c r="H683" s="1919" t="str">
        <f>c_ALR2025!M6314</f>
        <v/>
      </c>
      <c r="I683" s="1988"/>
      <c r="J683" s="1907"/>
      <c r="K683" s="1908"/>
      <c r="L683" s="1908"/>
      <c r="M683" s="1908"/>
      <c r="N683" s="1908"/>
      <c r="O683" s="481"/>
      <c r="P683" s="481"/>
      <c r="Q683" s="1909"/>
      <c r="R683" s="1909"/>
      <c r="S683" s="1715" t="b">
        <f t="shared" si="315"/>
        <v>1</v>
      </c>
      <c r="T683" s="1909"/>
      <c r="U683" s="1909"/>
      <c r="V683" s="1909"/>
      <c r="W683" s="1909"/>
      <c r="X683" s="1909"/>
      <c r="Y683" s="1909"/>
      <c r="Z683" s="1909"/>
      <c r="AA683" s="1909"/>
      <c r="AB683" s="1249"/>
      <c r="AC683" s="1909"/>
      <c r="AD683" s="1909"/>
      <c r="AE683" s="1909"/>
      <c r="AF683" s="1909"/>
      <c r="AG683" s="1909"/>
      <c r="AH683" s="1910"/>
      <c r="AI683" s="1910"/>
      <c r="AN683" s="1905"/>
      <c r="AO683" s="1121" t="b">
        <f t="shared" si="312"/>
        <v>0</v>
      </c>
      <c r="AP683" s="1912"/>
    </row>
    <row r="684" spans="1:42" s="1911" customFormat="1">
      <c r="A684" s="1905"/>
      <c r="B684" s="1906"/>
      <c r="C684" s="1028"/>
      <c r="D684" s="582">
        <v>5</v>
      </c>
      <c r="E684" s="1916" t="str">
        <f>c_ALR2025!E6315</f>
        <v/>
      </c>
      <c r="F684" s="1917" t="str">
        <f>c_ALR2025!F6315</f>
        <v/>
      </c>
      <c r="G684" s="1918" t="str">
        <f>c_ALR2025!G6315</f>
        <v/>
      </c>
      <c r="H684" s="1919" t="str">
        <f>c_ALR2025!M6315</f>
        <v/>
      </c>
      <c r="I684" s="1988"/>
      <c r="J684" s="1907"/>
      <c r="K684" s="1908"/>
      <c r="L684" s="1908"/>
      <c r="M684" s="1908"/>
      <c r="N684" s="1908"/>
      <c r="O684" s="481"/>
      <c r="P684" s="481"/>
      <c r="Q684" s="1909"/>
      <c r="R684" s="1909"/>
      <c r="S684" s="1715" t="b">
        <f t="shared" si="315"/>
        <v>1</v>
      </c>
      <c r="T684" s="1909"/>
      <c r="U684" s="1909"/>
      <c r="V684" s="1909"/>
      <c r="W684" s="1909"/>
      <c r="X684" s="1909"/>
      <c r="Y684" s="1909"/>
      <c r="Z684" s="1909"/>
      <c r="AA684" s="1909"/>
      <c r="AB684" s="1249"/>
      <c r="AC684" s="1909"/>
      <c r="AD684" s="1909"/>
      <c r="AE684" s="1909"/>
      <c r="AF684" s="1909"/>
      <c r="AG684" s="1909"/>
      <c r="AH684" s="1910"/>
      <c r="AI684" s="1910"/>
      <c r="AN684" s="1905"/>
      <c r="AO684" s="1121" t="b">
        <f t="shared" si="312"/>
        <v>0</v>
      </c>
      <c r="AP684" s="1912"/>
    </row>
    <row r="685" spans="1:42" s="1911" customFormat="1">
      <c r="A685" s="1905"/>
      <c r="B685" s="1906"/>
      <c r="C685" s="1028"/>
      <c r="D685" s="582">
        <v>6</v>
      </c>
      <c r="E685" s="1916" t="str">
        <f>c_ALR2025!E6316</f>
        <v/>
      </c>
      <c r="F685" s="1917" t="str">
        <f>c_ALR2025!F6316</f>
        <v/>
      </c>
      <c r="G685" s="1918" t="str">
        <f>c_ALR2025!G6316</f>
        <v/>
      </c>
      <c r="H685" s="1919" t="str">
        <f>c_ALR2025!M6316</f>
        <v/>
      </c>
      <c r="I685" s="1988"/>
      <c r="J685" s="1907"/>
      <c r="K685" s="1908"/>
      <c r="L685" s="1908"/>
      <c r="M685" s="1908"/>
      <c r="N685" s="1908"/>
      <c r="O685" s="481"/>
      <c r="P685" s="481"/>
      <c r="Q685" s="1909"/>
      <c r="R685" s="1909"/>
      <c r="S685" s="1715" t="b">
        <f t="shared" si="315"/>
        <v>1</v>
      </c>
      <c r="T685" s="1909"/>
      <c r="U685" s="1909"/>
      <c r="V685" s="1909"/>
      <c r="W685" s="1909"/>
      <c r="X685" s="1909"/>
      <c r="Y685" s="1909"/>
      <c r="Z685" s="1909"/>
      <c r="AA685" s="1909"/>
      <c r="AB685" s="1249"/>
      <c r="AC685" s="1909"/>
      <c r="AD685" s="1909"/>
      <c r="AE685" s="1909"/>
      <c r="AF685" s="1909"/>
      <c r="AG685" s="1909"/>
      <c r="AH685" s="1910"/>
      <c r="AI685" s="1910"/>
      <c r="AN685" s="1905"/>
      <c r="AO685" s="1121" t="b">
        <f t="shared" si="312"/>
        <v>0</v>
      </c>
      <c r="AP685" s="1912"/>
    </row>
    <row r="686" spans="1:42" s="1911" customFormat="1">
      <c r="A686" s="1905"/>
      <c r="B686" s="1906"/>
      <c r="C686" s="1028"/>
      <c r="D686" s="582">
        <v>7</v>
      </c>
      <c r="E686" s="1916" t="str">
        <f>c_ALR2025!E6317</f>
        <v/>
      </c>
      <c r="F686" s="1917" t="str">
        <f>c_ALR2025!F6317</f>
        <v/>
      </c>
      <c r="G686" s="1918" t="str">
        <f>c_ALR2025!G6317</f>
        <v/>
      </c>
      <c r="H686" s="1919" t="str">
        <f>c_ALR2025!M6317</f>
        <v/>
      </c>
      <c r="I686" s="1988"/>
      <c r="J686" s="1907"/>
      <c r="K686" s="1908"/>
      <c r="L686" s="1908"/>
      <c r="M686" s="1908"/>
      <c r="N686" s="1908"/>
      <c r="O686" s="481"/>
      <c r="P686" s="481"/>
      <c r="Q686" s="1909"/>
      <c r="R686" s="1909"/>
      <c r="S686" s="1715" t="b">
        <f t="shared" si="315"/>
        <v>1</v>
      </c>
      <c r="T686" s="1909"/>
      <c r="U686" s="1909"/>
      <c r="V686" s="1909"/>
      <c r="W686" s="1909"/>
      <c r="X686" s="1909"/>
      <c r="Y686" s="1909"/>
      <c r="Z686" s="1909"/>
      <c r="AA686" s="1909"/>
      <c r="AB686" s="1249"/>
      <c r="AC686" s="1909"/>
      <c r="AD686" s="1909"/>
      <c r="AE686" s="1909"/>
      <c r="AF686" s="1909"/>
      <c r="AG686" s="1909"/>
      <c r="AH686" s="1910"/>
      <c r="AI686" s="1910"/>
      <c r="AN686" s="1905"/>
      <c r="AO686" s="1121" t="b">
        <f t="shared" si="312"/>
        <v>0</v>
      </c>
      <c r="AP686" s="1912"/>
    </row>
    <row r="687" spans="1:42" s="1911" customFormat="1">
      <c r="A687" s="1905"/>
      <c r="B687" s="1906"/>
      <c r="C687" s="1028"/>
      <c r="D687" s="582">
        <v>8</v>
      </c>
      <c r="E687" s="1916" t="str">
        <f>c_ALR2025!E6318</f>
        <v/>
      </c>
      <c r="F687" s="1917" t="str">
        <f>c_ALR2025!F6318</f>
        <v/>
      </c>
      <c r="G687" s="1918" t="str">
        <f>c_ALR2025!G6318</f>
        <v/>
      </c>
      <c r="H687" s="1919" t="str">
        <f>c_ALR2025!M6318</f>
        <v/>
      </c>
      <c r="I687" s="1988"/>
      <c r="J687" s="1907"/>
      <c r="K687" s="1908"/>
      <c r="L687" s="1908"/>
      <c r="M687" s="1908"/>
      <c r="N687" s="1908"/>
      <c r="O687" s="481"/>
      <c r="P687" s="481"/>
      <c r="Q687" s="1909"/>
      <c r="R687" s="1909"/>
      <c r="S687" s="1715" t="b">
        <f t="shared" si="315"/>
        <v>1</v>
      </c>
      <c r="T687" s="1909"/>
      <c r="U687" s="1909"/>
      <c r="V687" s="1909"/>
      <c r="W687" s="1909"/>
      <c r="X687" s="1909"/>
      <c r="Y687" s="1909"/>
      <c r="Z687" s="1909"/>
      <c r="AA687" s="1909"/>
      <c r="AB687" s="1249"/>
      <c r="AC687" s="1909"/>
      <c r="AD687" s="1909"/>
      <c r="AE687" s="1909"/>
      <c r="AF687" s="1909"/>
      <c r="AG687" s="1909"/>
      <c r="AH687" s="1910"/>
      <c r="AI687" s="1910"/>
      <c r="AN687" s="1905"/>
      <c r="AO687" s="1121" t="b">
        <f t="shared" si="312"/>
        <v>0</v>
      </c>
      <c r="AP687" s="1912"/>
    </row>
    <row r="688" spans="1:42" s="1911" customFormat="1">
      <c r="A688" s="1905"/>
      <c r="B688" s="1906"/>
      <c r="C688" s="1028"/>
      <c r="D688" s="582">
        <v>9</v>
      </c>
      <c r="E688" s="1916" t="str">
        <f>c_ALR2025!E6319</f>
        <v/>
      </c>
      <c r="F688" s="1917" t="str">
        <f>c_ALR2025!F6319</f>
        <v/>
      </c>
      <c r="G688" s="1918" t="str">
        <f>c_ALR2025!G6319</f>
        <v/>
      </c>
      <c r="H688" s="1919" t="str">
        <f>c_ALR2025!M6319</f>
        <v/>
      </c>
      <c r="I688" s="1988"/>
      <c r="J688" s="1907"/>
      <c r="K688" s="1908"/>
      <c r="L688" s="1908"/>
      <c r="M688" s="1908"/>
      <c r="N688" s="1908"/>
      <c r="O688" s="481"/>
      <c r="P688" s="481"/>
      <c r="Q688" s="1909"/>
      <c r="R688" s="1909"/>
      <c r="S688" s="1715" t="b">
        <f t="shared" si="315"/>
        <v>1</v>
      </c>
      <c r="T688" s="1909"/>
      <c r="U688" s="1909"/>
      <c r="V688" s="1909"/>
      <c r="W688" s="1909"/>
      <c r="X688" s="1909"/>
      <c r="Y688" s="1909"/>
      <c r="Z688" s="1909"/>
      <c r="AA688" s="1909"/>
      <c r="AB688" s="1249"/>
      <c r="AC688" s="1909"/>
      <c r="AD688" s="1909"/>
      <c r="AE688" s="1909"/>
      <c r="AF688" s="1909"/>
      <c r="AG688" s="1909"/>
      <c r="AH688" s="1910"/>
      <c r="AI688" s="1910"/>
      <c r="AN688" s="1905"/>
      <c r="AO688" s="1121" t="b">
        <f t="shared" si="312"/>
        <v>0</v>
      </c>
      <c r="AP688" s="1912"/>
    </row>
    <row r="689" spans="1:42" s="1911" customFormat="1">
      <c r="A689" s="1905"/>
      <c r="B689" s="1906"/>
      <c r="C689" s="1028"/>
      <c r="D689" s="584">
        <v>10</v>
      </c>
      <c r="E689" s="1920" t="str">
        <f>c_ALR2025!E6320</f>
        <v/>
      </c>
      <c r="F689" s="1921" t="str">
        <f>c_ALR2025!F6320</f>
        <v/>
      </c>
      <c r="G689" s="1922" t="str">
        <f>c_ALR2025!G6320</f>
        <v/>
      </c>
      <c r="H689" s="1923" t="str">
        <f>c_ALR2025!M6320</f>
        <v/>
      </c>
      <c r="I689" s="1989"/>
      <c r="J689" s="1907"/>
      <c r="K689" s="1908"/>
      <c r="L689" s="1908"/>
      <c r="M689" s="1908"/>
      <c r="N689" s="1908"/>
      <c r="O689" s="481"/>
      <c r="P689" s="481"/>
      <c r="Q689" s="1909"/>
      <c r="R689" s="1909"/>
      <c r="S689" s="1715" t="b">
        <f t="shared" si="315"/>
        <v>1</v>
      </c>
      <c r="T689" s="1909"/>
      <c r="U689" s="1909"/>
      <c r="V689" s="1909"/>
      <c r="W689" s="1909"/>
      <c r="X689" s="1909"/>
      <c r="Y689" s="1909"/>
      <c r="Z689" s="1909"/>
      <c r="AA689" s="1909"/>
      <c r="AB689" s="1249"/>
      <c r="AC689" s="1909"/>
      <c r="AD689" s="1909"/>
      <c r="AE689" s="1909"/>
      <c r="AF689" s="1909"/>
      <c r="AG689" s="1909"/>
      <c r="AH689" s="1910"/>
      <c r="AI689" s="1910"/>
      <c r="AJ689" s="1910"/>
      <c r="AK689" s="1910"/>
      <c r="AL689" s="1910"/>
      <c r="AN689" s="1905"/>
      <c r="AO689" s="1121" t="b">
        <f t="shared" si="312"/>
        <v>0</v>
      </c>
      <c r="AP689" s="1912"/>
    </row>
    <row r="690" spans="1:42" s="1911" customFormat="1">
      <c r="A690" s="1905"/>
      <c r="B690" s="1906"/>
      <c r="C690" s="1028"/>
      <c r="D690" s="579">
        <v>1</v>
      </c>
      <c r="E690" s="1034" t="str">
        <f>IF(ISBLANK(G663),"",G663)</f>
        <v/>
      </c>
      <c r="F690" s="1990"/>
      <c r="G690" s="1987"/>
      <c r="H690" s="1924"/>
      <c r="I690" s="1987"/>
      <c r="J690" s="1907"/>
      <c r="K690" s="1908"/>
      <c r="L690" s="1908"/>
      <c r="M690" s="1908"/>
      <c r="N690" s="1908"/>
      <c r="O690" s="481"/>
      <c r="P690" s="481"/>
      <c r="Q690" s="1909"/>
      <c r="R690" s="1909"/>
      <c r="S690" s="1715" t="b">
        <f>IF(AND(S680 = TRUE, E690 &lt;&gt; ""),FALSE, TRUE)</f>
        <v>1</v>
      </c>
      <c r="T690" s="1909"/>
      <c r="U690" s="1909"/>
      <c r="V690" s="1909"/>
      <c r="W690" s="1909"/>
      <c r="X690" s="1909"/>
      <c r="Y690" s="1909"/>
      <c r="Z690" s="1909"/>
      <c r="AA690" s="1909"/>
      <c r="AB690" s="1249"/>
      <c r="AC690" s="1909"/>
      <c r="AD690" s="1909"/>
      <c r="AE690" s="1909"/>
      <c r="AF690" s="1909"/>
      <c r="AG690" s="1909"/>
      <c r="AH690" s="1910"/>
      <c r="AI690" s="1910"/>
      <c r="AJ690" s="1910"/>
      <c r="AK690" s="1910"/>
      <c r="AL690" s="1910"/>
      <c r="AN690" s="1905"/>
      <c r="AO690" s="1121" t="b">
        <f t="shared" si="312"/>
        <v>0</v>
      </c>
      <c r="AP690" s="1912"/>
    </row>
    <row r="691" spans="1:42" s="1911" customFormat="1">
      <c r="A691" s="1905"/>
      <c r="B691" s="1906"/>
      <c r="C691" s="1028"/>
      <c r="D691" s="582">
        <v>2</v>
      </c>
      <c r="E691" s="1035" t="str">
        <f t="shared" ref="E691:E699" si="316">IF(ISBLANK(G664),"",G664)</f>
        <v/>
      </c>
      <c r="F691" s="1991"/>
      <c r="G691" s="1988"/>
      <c r="H691" s="1925"/>
      <c r="I691" s="1988"/>
      <c r="J691" s="1907"/>
      <c r="K691" s="1908"/>
      <c r="L691" s="1908"/>
      <c r="M691" s="1908"/>
      <c r="N691" s="1908"/>
      <c r="O691" s="481"/>
      <c r="P691" s="481"/>
      <c r="Q691" s="1909"/>
      <c r="R691" s="1909"/>
      <c r="S691" s="1715" t="b">
        <f t="shared" ref="S691:S699" si="317">IF(AND(S681 = TRUE, E691 &lt;&gt; ""),FALSE, TRUE)</f>
        <v>1</v>
      </c>
      <c r="T691" s="1909"/>
      <c r="U691" s="1909"/>
      <c r="V691" s="1909"/>
      <c r="W691" s="1909"/>
      <c r="X691" s="1909"/>
      <c r="Y691" s="1909"/>
      <c r="Z691" s="1909"/>
      <c r="AA691" s="1909"/>
      <c r="AB691" s="1249"/>
      <c r="AC691" s="1909"/>
      <c r="AD691" s="1909"/>
      <c r="AE691" s="1909"/>
      <c r="AF691" s="1909"/>
      <c r="AG691" s="1909"/>
      <c r="AH691" s="1910"/>
      <c r="AI691" s="1910"/>
      <c r="AJ691" s="1910"/>
      <c r="AK691" s="1910"/>
      <c r="AL691" s="1910"/>
      <c r="AN691" s="1905"/>
      <c r="AO691" s="1121" t="b">
        <f t="shared" si="312"/>
        <v>0</v>
      </c>
      <c r="AP691" s="1912"/>
    </row>
    <row r="692" spans="1:42" s="1911" customFormat="1">
      <c r="A692" s="1905"/>
      <c r="B692" s="1906"/>
      <c r="C692" s="1028"/>
      <c r="D692" s="582">
        <v>3</v>
      </c>
      <c r="E692" s="1035" t="str">
        <f t="shared" si="316"/>
        <v/>
      </c>
      <c r="F692" s="1991"/>
      <c r="G692" s="1988"/>
      <c r="H692" s="1925"/>
      <c r="I692" s="1988"/>
      <c r="J692" s="1907"/>
      <c r="K692" s="1908"/>
      <c r="L692" s="1908"/>
      <c r="M692" s="1908"/>
      <c r="N692" s="1908"/>
      <c r="O692" s="481"/>
      <c r="P692" s="481"/>
      <c r="Q692" s="1909"/>
      <c r="R692" s="1909"/>
      <c r="S692" s="1715" t="b">
        <f t="shared" si="317"/>
        <v>1</v>
      </c>
      <c r="T692" s="1909"/>
      <c r="U692" s="1909"/>
      <c r="V692" s="1909"/>
      <c r="W692" s="1909"/>
      <c r="X692" s="1909"/>
      <c r="Y692" s="1909"/>
      <c r="Z692" s="1909"/>
      <c r="AA692" s="1909"/>
      <c r="AB692" s="1249"/>
      <c r="AC692" s="1909"/>
      <c r="AD692" s="1909"/>
      <c r="AE692" s="1909"/>
      <c r="AF692" s="1909"/>
      <c r="AG692" s="1909"/>
      <c r="AH692" s="1910"/>
      <c r="AI692" s="1910"/>
      <c r="AJ692" s="1910"/>
      <c r="AK692" s="1910"/>
      <c r="AL692" s="1910"/>
      <c r="AN692" s="1905"/>
      <c r="AO692" s="1121" t="b">
        <f t="shared" si="312"/>
        <v>0</v>
      </c>
      <c r="AP692" s="1912"/>
    </row>
    <row r="693" spans="1:42" s="1911" customFormat="1">
      <c r="A693" s="1905"/>
      <c r="B693" s="1906"/>
      <c r="C693" s="1028"/>
      <c r="D693" s="582">
        <v>4</v>
      </c>
      <c r="E693" s="1035" t="str">
        <f t="shared" si="316"/>
        <v/>
      </c>
      <c r="F693" s="1991"/>
      <c r="G693" s="1988"/>
      <c r="H693" s="1925"/>
      <c r="I693" s="1988"/>
      <c r="J693" s="1907"/>
      <c r="K693" s="1908"/>
      <c r="L693" s="1908"/>
      <c r="M693" s="1908"/>
      <c r="N693" s="1908"/>
      <c r="O693" s="481"/>
      <c r="P693" s="481"/>
      <c r="Q693" s="1909"/>
      <c r="R693" s="1909"/>
      <c r="S693" s="1715" t="b">
        <f t="shared" si="317"/>
        <v>1</v>
      </c>
      <c r="T693" s="1909"/>
      <c r="U693" s="1909"/>
      <c r="V693" s="1909"/>
      <c r="W693" s="1909"/>
      <c r="X693" s="1909"/>
      <c r="Y693" s="1909"/>
      <c r="Z693" s="1909"/>
      <c r="AA693" s="1909"/>
      <c r="AB693" s="1249"/>
      <c r="AC693" s="1909"/>
      <c r="AD693" s="1909"/>
      <c r="AE693" s="1909"/>
      <c r="AF693" s="1909"/>
      <c r="AG693" s="1909"/>
      <c r="AH693" s="1910"/>
      <c r="AI693" s="1910"/>
      <c r="AJ693" s="1910"/>
      <c r="AK693" s="1910"/>
      <c r="AL693" s="1910"/>
      <c r="AN693" s="1905"/>
      <c r="AO693" s="1121" t="b">
        <f t="shared" si="312"/>
        <v>0</v>
      </c>
      <c r="AP693" s="1912"/>
    </row>
    <row r="694" spans="1:42" s="1911" customFormat="1">
      <c r="A694" s="1905"/>
      <c r="B694" s="1906"/>
      <c r="C694" s="1028"/>
      <c r="D694" s="582">
        <v>5</v>
      </c>
      <c r="E694" s="1035" t="str">
        <f t="shared" si="316"/>
        <v/>
      </c>
      <c r="F694" s="1991"/>
      <c r="G694" s="1988"/>
      <c r="H694" s="1925"/>
      <c r="I694" s="1988"/>
      <c r="J694" s="1907"/>
      <c r="K694" s="1908"/>
      <c r="L694" s="1908"/>
      <c r="M694" s="1908"/>
      <c r="N694" s="1908"/>
      <c r="O694" s="481"/>
      <c r="P694" s="481"/>
      <c r="Q694" s="1909"/>
      <c r="R694" s="1909"/>
      <c r="S694" s="1715" t="b">
        <f t="shared" si="317"/>
        <v>1</v>
      </c>
      <c r="T694" s="1909"/>
      <c r="U694" s="1909"/>
      <c r="V694" s="1909"/>
      <c r="W694" s="1909"/>
      <c r="X694" s="1909"/>
      <c r="Y694" s="1909"/>
      <c r="Z694" s="1909"/>
      <c r="AA694" s="1909"/>
      <c r="AB694" s="1249"/>
      <c r="AC694" s="1909"/>
      <c r="AD694" s="1909"/>
      <c r="AE694" s="1909"/>
      <c r="AF694" s="1909"/>
      <c r="AG694" s="1909"/>
      <c r="AH694" s="1910"/>
      <c r="AI694" s="1910"/>
      <c r="AJ694" s="1910"/>
      <c r="AK694" s="1910"/>
      <c r="AL694" s="1910"/>
      <c r="AN694" s="1905"/>
      <c r="AO694" s="1121" t="b">
        <f t="shared" si="312"/>
        <v>0</v>
      </c>
      <c r="AP694" s="1912"/>
    </row>
    <row r="695" spans="1:42" s="1911" customFormat="1">
      <c r="A695" s="1905"/>
      <c r="B695" s="1906"/>
      <c r="C695" s="1028"/>
      <c r="D695" s="582">
        <v>6</v>
      </c>
      <c r="E695" s="1035" t="str">
        <f t="shared" si="316"/>
        <v/>
      </c>
      <c r="F695" s="1991"/>
      <c r="G695" s="1988"/>
      <c r="H695" s="1925"/>
      <c r="I695" s="1988"/>
      <c r="J695" s="1907"/>
      <c r="K695" s="1908"/>
      <c r="L695" s="1908"/>
      <c r="M695" s="1908"/>
      <c r="N695" s="1908"/>
      <c r="O695" s="481"/>
      <c r="P695" s="481"/>
      <c r="Q695" s="1909"/>
      <c r="R695" s="1909"/>
      <c r="S695" s="1715" t="b">
        <f t="shared" si="317"/>
        <v>1</v>
      </c>
      <c r="T695" s="1909"/>
      <c r="U695" s="1909"/>
      <c r="V695" s="1909"/>
      <c r="W695" s="1909"/>
      <c r="X695" s="1909"/>
      <c r="Y695" s="1909"/>
      <c r="Z695" s="1909"/>
      <c r="AA695" s="1909"/>
      <c r="AB695" s="1249"/>
      <c r="AC695" s="1909"/>
      <c r="AD695" s="1909"/>
      <c r="AE695" s="1909"/>
      <c r="AF695" s="1909"/>
      <c r="AG695" s="1909"/>
      <c r="AH695" s="1910"/>
      <c r="AI695" s="1910"/>
      <c r="AJ695" s="1910"/>
      <c r="AK695" s="1910"/>
      <c r="AL695" s="1910"/>
      <c r="AN695" s="1905"/>
      <c r="AO695" s="1121" t="b">
        <f t="shared" si="312"/>
        <v>0</v>
      </c>
      <c r="AP695" s="1912"/>
    </row>
    <row r="696" spans="1:42" s="1911" customFormat="1">
      <c r="A696" s="1905"/>
      <c r="B696" s="1906"/>
      <c r="C696" s="1028"/>
      <c r="D696" s="582">
        <v>7</v>
      </c>
      <c r="E696" s="1035" t="str">
        <f t="shared" si="316"/>
        <v/>
      </c>
      <c r="F696" s="1991"/>
      <c r="G696" s="1988"/>
      <c r="H696" s="1925"/>
      <c r="I696" s="1988"/>
      <c r="J696" s="1907"/>
      <c r="K696" s="1908"/>
      <c r="L696" s="1908"/>
      <c r="M696" s="1908"/>
      <c r="N696" s="1908"/>
      <c r="O696" s="481"/>
      <c r="P696" s="481"/>
      <c r="Q696" s="1909"/>
      <c r="R696" s="1909"/>
      <c r="S696" s="1715" t="b">
        <f t="shared" si="317"/>
        <v>1</v>
      </c>
      <c r="T696" s="1909"/>
      <c r="U696" s="1909"/>
      <c r="V696" s="1909"/>
      <c r="W696" s="1909"/>
      <c r="X696" s="1909"/>
      <c r="Y696" s="1909"/>
      <c r="Z696" s="1909"/>
      <c r="AA696" s="1909"/>
      <c r="AB696" s="1249"/>
      <c r="AC696" s="1909"/>
      <c r="AD696" s="1909"/>
      <c r="AE696" s="1909"/>
      <c r="AF696" s="1909"/>
      <c r="AG696" s="1909"/>
      <c r="AH696" s="1910"/>
      <c r="AI696" s="1910"/>
      <c r="AJ696" s="1910"/>
      <c r="AK696" s="1910"/>
      <c r="AL696" s="1910"/>
      <c r="AN696" s="1905"/>
      <c r="AO696" s="1121" t="b">
        <f t="shared" si="312"/>
        <v>0</v>
      </c>
      <c r="AP696" s="1912"/>
    </row>
    <row r="697" spans="1:42" s="1911" customFormat="1">
      <c r="A697" s="1905"/>
      <c r="B697" s="1906"/>
      <c r="C697" s="1028"/>
      <c r="D697" s="582">
        <v>8</v>
      </c>
      <c r="E697" s="1035" t="str">
        <f t="shared" si="316"/>
        <v/>
      </c>
      <c r="F697" s="1991"/>
      <c r="G697" s="1988"/>
      <c r="H697" s="1925"/>
      <c r="I697" s="1988"/>
      <c r="J697" s="1907"/>
      <c r="K697" s="1908"/>
      <c r="L697" s="1908"/>
      <c r="M697" s="1908"/>
      <c r="N697" s="1908"/>
      <c r="O697" s="481"/>
      <c r="P697" s="481"/>
      <c r="Q697" s="1909"/>
      <c r="R697" s="1909"/>
      <c r="S697" s="1715" t="b">
        <f t="shared" si="317"/>
        <v>1</v>
      </c>
      <c r="T697" s="1909"/>
      <c r="U697" s="1909"/>
      <c r="V697" s="1909"/>
      <c r="W697" s="1909"/>
      <c r="X697" s="1909"/>
      <c r="Y697" s="1909"/>
      <c r="Z697" s="1909"/>
      <c r="AA697" s="1909"/>
      <c r="AB697" s="1249"/>
      <c r="AC697" s="1909"/>
      <c r="AD697" s="1909"/>
      <c r="AE697" s="1909"/>
      <c r="AF697" s="1909"/>
      <c r="AG697" s="1909"/>
      <c r="AH697" s="1910"/>
      <c r="AI697" s="1910"/>
      <c r="AJ697" s="1910"/>
      <c r="AK697" s="1910"/>
      <c r="AL697" s="1910"/>
      <c r="AN697" s="1905"/>
      <c r="AO697" s="1121" t="b">
        <f t="shared" si="312"/>
        <v>0</v>
      </c>
      <c r="AP697" s="1912"/>
    </row>
    <row r="698" spans="1:42" s="1911" customFormat="1">
      <c r="A698" s="1905"/>
      <c r="B698" s="1906"/>
      <c r="C698" s="1028"/>
      <c r="D698" s="582">
        <v>9</v>
      </c>
      <c r="E698" s="1035" t="str">
        <f t="shared" si="316"/>
        <v/>
      </c>
      <c r="F698" s="1991"/>
      <c r="G698" s="1988"/>
      <c r="H698" s="1925"/>
      <c r="I698" s="1988"/>
      <c r="J698" s="1907"/>
      <c r="K698" s="1908"/>
      <c r="L698" s="1908"/>
      <c r="M698" s="1908"/>
      <c r="N698" s="1908"/>
      <c r="O698" s="481"/>
      <c r="P698" s="481"/>
      <c r="Q698" s="1909"/>
      <c r="R698" s="1909"/>
      <c r="S698" s="1715" t="b">
        <f t="shared" si="317"/>
        <v>1</v>
      </c>
      <c r="T698" s="1909"/>
      <c r="U698" s="1909"/>
      <c r="V698" s="1909"/>
      <c r="W698" s="1909"/>
      <c r="X698" s="1909"/>
      <c r="Y698" s="1909"/>
      <c r="Z698" s="1909"/>
      <c r="AA698" s="1909"/>
      <c r="AB698" s="1249"/>
      <c r="AC698" s="1909"/>
      <c r="AD698" s="1909"/>
      <c r="AE698" s="1909"/>
      <c r="AF698" s="1909"/>
      <c r="AG698" s="1909"/>
      <c r="AH698" s="1910"/>
      <c r="AI698" s="1910"/>
      <c r="AJ698" s="1910"/>
      <c r="AK698" s="1910"/>
      <c r="AL698" s="1910"/>
      <c r="AN698" s="1905"/>
      <c r="AO698" s="1121" t="b">
        <f t="shared" si="312"/>
        <v>0</v>
      </c>
      <c r="AP698" s="1912"/>
    </row>
    <row r="699" spans="1:42" s="1911" customFormat="1" ht="13.5" thickBot="1">
      <c r="A699" s="1905"/>
      <c r="B699" s="1906"/>
      <c r="C699" s="1028"/>
      <c r="D699" s="584">
        <v>10</v>
      </c>
      <c r="E699" s="1037" t="str">
        <f t="shared" si="316"/>
        <v/>
      </c>
      <c r="F699" s="1992"/>
      <c r="G699" s="1989"/>
      <c r="H699" s="1926"/>
      <c r="I699" s="1989"/>
      <c r="J699" s="1907"/>
      <c r="K699" s="1908"/>
      <c r="L699" s="1908"/>
      <c r="M699" s="1908"/>
      <c r="N699" s="1908"/>
      <c r="O699" s="481"/>
      <c r="P699" s="481"/>
      <c r="Q699" s="1909"/>
      <c r="R699" s="1909"/>
      <c r="S699" s="1726" t="b">
        <f t="shared" si="317"/>
        <v>1</v>
      </c>
      <c r="T699" s="1909"/>
      <c r="U699" s="1909"/>
      <c r="V699" s="1909"/>
      <c r="W699" s="1909"/>
      <c r="X699" s="1909"/>
      <c r="Y699" s="1909"/>
      <c r="Z699" s="1909"/>
      <c r="AA699" s="1909"/>
      <c r="AB699" s="1249"/>
      <c r="AC699" s="1909"/>
      <c r="AD699" s="1909"/>
      <c r="AE699" s="1909"/>
      <c r="AF699" s="1909"/>
      <c r="AG699" s="1909"/>
      <c r="AH699" s="1910"/>
      <c r="AI699" s="1910"/>
      <c r="AJ699" s="1910"/>
      <c r="AK699" s="1910"/>
      <c r="AL699" s="1910"/>
      <c r="AN699" s="1905"/>
      <c r="AO699" s="1121" t="b">
        <f t="shared" si="312"/>
        <v>0</v>
      </c>
      <c r="AP699" s="1912"/>
    </row>
    <row r="700" spans="1:42" ht="12.75" customHeight="1">
      <c r="B700" s="1124"/>
      <c r="C700" s="484"/>
      <c r="D700" s="579">
        <v>1</v>
      </c>
      <c r="E700" s="960" t="str">
        <f>IF(E690&lt;&gt; "",E690,IF(E680 &lt;&gt; "", E680,""))</f>
        <v/>
      </c>
      <c r="F700" s="732" t="str">
        <f>IF(F690&lt;&gt; "",F690,IF(F680 &lt;&gt; "", F680,""))</f>
        <v/>
      </c>
      <c r="G700" s="962" t="str">
        <f t="shared" ref="G700:I700" si="318">IF(G690&lt;&gt; "",G690,IF(G680 &lt;&gt; "", G680,""))</f>
        <v/>
      </c>
      <c r="H700" s="963" t="str">
        <f t="shared" si="318"/>
        <v/>
      </c>
      <c r="I700" s="962" t="str">
        <f t="shared" si="318"/>
        <v/>
      </c>
      <c r="J700" s="1891">
        <v>224110</v>
      </c>
      <c r="K700" s="1684"/>
      <c r="L700" s="1684"/>
      <c r="M700" s="1684"/>
      <c r="N700" s="1684"/>
      <c r="O700" s="481"/>
      <c r="P700" s="9"/>
      <c r="Z700" s="1641" t="s">
        <v>1698</v>
      </c>
      <c r="AA700" s="1993">
        <f>MAX(AC700:AI700)</f>
        <v>2</v>
      </c>
      <c r="AB700" s="1994">
        <f>IF(CNTR_ExistSubInstEntries,IF(OR($M609&lt;&gt;EUconst_Relevant,$V609&gt;2018,$E700=""),0,2),2)</f>
        <v>2</v>
      </c>
      <c r="AC700" s="1994">
        <f t="shared" ref="AC700:AI700" si="319">IF(CNTR_ExistSubInstEntries,IF(OR($M609&lt;&gt;EUconst_Relevant,AC679&gt;=CNTR_ReportingYear,AC679&lt;$V609-1,$E700=""),0,2),2)</f>
        <v>2</v>
      </c>
      <c r="AD700" s="1927">
        <f t="shared" si="319"/>
        <v>2</v>
      </c>
      <c r="AE700" s="1927">
        <f t="shared" si="319"/>
        <v>2</v>
      </c>
      <c r="AF700" s="1927">
        <f t="shared" si="319"/>
        <v>2</v>
      </c>
      <c r="AG700" s="1927">
        <f t="shared" si="319"/>
        <v>2</v>
      </c>
      <c r="AH700" s="1928">
        <f t="shared" si="319"/>
        <v>2</v>
      </c>
      <c r="AI700" s="1929">
        <f t="shared" si="319"/>
        <v>2</v>
      </c>
      <c r="AK700" s="1633" t="s">
        <v>1954</v>
      </c>
      <c r="AL700" s="1635" t="str">
        <f>IF(AND(CNTR_ExistSubInstEntries,COUNTIFS(AB700:AI700,2,G700:N700,"")&gt;0),EUconst_Error&amp;"FB"&amp;Q609,"")</f>
        <v/>
      </c>
      <c r="AO700" s="1121" t="b">
        <f t="shared" si="312"/>
        <v>0</v>
      </c>
    </row>
    <row r="701" spans="1:42" ht="12.75" customHeight="1">
      <c r="B701" s="1124"/>
      <c r="C701" s="484"/>
      <c r="D701" s="582">
        <f>D700+1</f>
        <v>2</v>
      </c>
      <c r="E701" s="964" t="str">
        <f t="shared" ref="E701:I701" si="320">IF(E691&lt;&gt; "",E691,IF(E681 &lt;&gt; "", E681,""))</f>
        <v/>
      </c>
      <c r="F701" s="1036" t="str">
        <f t="shared" si="320"/>
        <v/>
      </c>
      <c r="G701" s="965" t="str">
        <f t="shared" si="320"/>
        <v/>
      </c>
      <c r="H701" s="966" t="str">
        <f t="shared" si="320"/>
        <v/>
      </c>
      <c r="I701" s="965" t="str">
        <f t="shared" si="320"/>
        <v/>
      </c>
      <c r="J701" s="1891"/>
      <c r="K701" s="1684"/>
      <c r="L701" s="1684"/>
      <c r="M701" s="1684"/>
      <c r="N701" s="1684"/>
      <c r="O701" s="481"/>
      <c r="P701" s="9"/>
      <c r="AA701" s="1930">
        <f t="shared" ref="AA701:AA709" si="321">MAX(AC701:AI701)</f>
        <v>2</v>
      </c>
      <c r="AB701" s="1931">
        <f>IF(CNTR_ExistSubInstEntries,IF(OR($M609&lt;&gt;EUconst_Relevant,$V609&gt;2018,$E701=""),0,2),2)</f>
        <v>2</v>
      </c>
      <c r="AC701" s="1931">
        <f t="shared" ref="AC701:AI701" si="322">IF(CNTR_ExistSubInstEntries,IF(OR($M609&lt;&gt;EUconst_Relevant,AC679&gt;=CNTR_ReportingYear,AC679&lt;$V609-1,$E701=""),0,2),2)</f>
        <v>2</v>
      </c>
      <c r="AD701" s="1931">
        <f t="shared" si="322"/>
        <v>2</v>
      </c>
      <c r="AE701" s="1931">
        <f t="shared" si="322"/>
        <v>2</v>
      </c>
      <c r="AF701" s="1931">
        <f t="shared" si="322"/>
        <v>2</v>
      </c>
      <c r="AG701" s="1931">
        <f t="shared" si="322"/>
        <v>2</v>
      </c>
      <c r="AH701" s="1932">
        <f t="shared" si="322"/>
        <v>2</v>
      </c>
      <c r="AI701" s="1933">
        <f t="shared" si="322"/>
        <v>2</v>
      </c>
      <c r="AK701" s="1633" t="s">
        <v>1954</v>
      </c>
      <c r="AL701" s="1635" t="str">
        <f>IF(AND(CNTR_ExistSubInstEntries,COUNTIFS(AB701:AI701,2,G701:N701,"")&gt;0),EUconst_Error&amp;"FB"&amp;Q609,"")</f>
        <v/>
      </c>
      <c r="AO701" s="1121" t="b">
        <f t="shared" si="312"/>
        <v>0</v>
      </c>
    </row>
    <row r="702" spans="1:42" ht="12.75" customHeight="1">
      <c r="B702" s="1124"/>
      <c r="C702" s="484"/>
      <c r="D702" s="582">
        <f t="shared" ref="D702:D709" si="323">D701+1</f>
        <v>3</v>
      </c>
      <c r="E702" s="964" t="str">
        <f t="shared" ref="E702:I702" si="324">IF(E692&lt;&gt; "",E692,IF(E682 &lt;&gt; "", E682,""))</f>
        <v/>
      </c>
      <c r="F702" s="1036" t="str">
        <f t="shared" si="324"/>
        <v/>
      </c>
      <c r="G702" s="965" t="str">
        <f t="shared" si="324"/>
        <v/>
      </c>
      <c r="H702" s="966" t="str">
        <f t="shared" si="324"/>
        <v/>
      </c>
      <c r="I702" s="965" t="str">
        <f t="shared" si="324"/>
        <v/>
      </c>
      <c r="J702" s="1891"/>
      <c r="K702" s="1684"/>
      <c r="L702" s="1684"/>
      <c r="M702" s="1684"/>
      <c r="N702" s="1684"/>
      <c r="O702" s="481"/>
      <c r="P702" s="9"/>
      <c r="AA702" s="1930">
        <f t="shared" si="321"/>
        <v>2</v>
      </c>
      <c r="AB702" s="1931">
        <f>IF(CNTR_ExistSubInstEntries,IF(OR($M609&lt;&gt;EUconst_Relevant,$V609&gt;2018,$E702=""),0,2),2)</f>
        <v>2</v>
      </c>
      <c r="AC702" s="1931">
        <f t="shared" ref="AC702:AI702" si="325">IF(CNTR_ExistSubInstEntries,IF(OR($M609&lt;&gt;EUconst_Relevant,AC679&gt;=CNTR_ReportingYear,AC679&lt;$V609-1,$E702=""),0,2),2)</f>
        <v>2</v>
      </c>
      <c r="AD702" s="1931">
        <f t="shared" si="325"/>
        <v>2</v>
      </c>
      <c r="AE702" s="1931">
        <f t="shared" si="325"/>
        <v>2</v>
      </c>
      <c r="AF702" s="1931">
        <f t="shared" si="325"/>
        <v>2</v>
      </c>
      <c r="AG702" s="1931">
        <f t="shared" si="325"/>
        <v>2</v>
      </c>
      <c r="AH702" s="1932">
        <f t="shared" si="325"/>
        <v>2</v>
      </c>
      <c r="AI702" s="1933">
        <f t="shared" si="325"/>
        <v>2</v>
      </c>
      <c r="AK702" s="1633" t="s">
        <v>1954</v>
      </c>
      <c r="AL702" s="1635" t="str">
        <f>IF(AND(CNTR_ExistSubInstEntries,COUNTIFS(AB702:AI702,2,G702:N702,"")&gt;0),EUconst_Error&amp;"FB"&amp;Q609,"")</f>
        <v/>
      </c>
      <c r="AO702" s="1121" t="b">
        <f t="shared" si="312"/>
        <v>0</v>
      </c>
    </row>
    <row r="703" spans="1:42" ht="12.75" customHeight="1">
      <c r="B703" s="1124"/>
      <c r="C703" s="484"/>
      <c r="D703" s="582">
        <f t="shared" si="323"/>
        <v>4</v>
      </c>
      <c r="E703" s="964" t="str">
        <f t="shared" ref="E703:I703" si="326">IF(E693&lt;&gt; "",E693,IF(E683 &lt;&gt; "", E683,""))</f>
        <v/>
      </c>
      <c r="F703" s="1036" t="str">
        <f t="shared" si="326"/>
        <v/>
      </c>
      <c r="G703" s="965" t="str">
        <f t="shared" si="326"/>
        <v/>
      </c>
      <c r="H703" s="966" t="str">
        <f t="shared" si="326"/>
        <v/>
      </c>
      <c r="I703" s="965" t="str">
        <f t="shared" si="326"/>
        <v/>
      </c>
      <c r="J703" s="1891"/>
      <c r="K703" s="1684"/>
      <c r="L703" s="1684"/>
      <c r="M703" s="1684"/>
      <c r="N703" s="1684"/>
      <c r="O703" s="481"/>
      <c r="P703" s="9"/>
      <c r="U703" s="1435"/>
      <c r="V703" s="1435"/>
      <c r="AA703" s="1930">
        <f t="shared" si="321"/>
        <v>2</v>
      </c>
      <c r="AB703" s="1931">
        <f>IF(CNTR_ExistSubInstEntries,IF(OR($M609&lt;&gt;EUconst_Relevant,$V609&gt;2018,$E703=""),0,2),2)</f>
        <v>2</v>
      </c>
      <c r="AC703" s="1931">
        <f t="shared" ref="AC703:AI703" si="327">IF(CNTR_ExistSubInstEntries,IF(OR($M609&lt;&gt;EUconst_Relevant,AC679&gt;=CNTR_ReportingYear,AC679&lt;$V609-1,$E703=""),0,2),2)</f>
        <v>2</v>
      </c>
      <c r="AD703" s="1931">
        <f t="shared" si="327"/>
        <v>2</v>
      </c>
      <c r="AE703" s="1931">
        <f t="shared" si="327"/>
        <v>2</v>
      </c>
      <c r="AF703" s="1931">
        <f t="shared" si="327"/>
        <v>2</v>
      </c>
      <c r="AG703" s="1931">
        <f t="shared" si="327"/>
        <v>2</v>
      </c>
      <c r="AH703" s="1932">
        <f t="shared" si="327"/>
        <v>2</v>
      </c>
      <c r="AI703" s="1933">
        <f t="shared" si="327"/>
        <v>2</v>
      </c>
      <c r="AK703" s="1633" t="s">
        <v>1954</v>
      </c>
      <c r="AL703" s="1635" t="str">
        <f>IF(AND(CNTR_ExistSubInstEntries,COUNTIFS(AB703:AI703,2,G703:N703,"")&gt;0),EUconst_Error&amp;"FB"&amp;Q609,"")</f>
        <v/>
      </c>
      <c r="AO703" s="1121" t="b">
        <f t="shared" si="312"/>
        <v>0</v>
      </c>
    </row>
    <row r="704" spans="1:42" ht="12.75" customHeight="1">
      <c r="B704" s="1124"/>
      <c r="C704" s="484"/>
      <c r="D704" s="582">
        <f t="shared" si="323"/>
        <v>5</v>
      </c>
      <c r="E704" s="964" t="str">
        <f t="shared" ref="E704:I704" si="328">IF(E694&lt;&gt; "",E694,IF(E684 &lt;&gt; "", E684,""))</f>
        <v/>
      </c>
      <c r="F704" s="1036" t="str">
        <f t="shared" si="328"/>
        <v/>
      </c>
      <c r="G704" s="965" t="str">
        <f t="shared" si="328"/>
        <v/>
      </c>
      <c r="H704" s="966" t="str">
        <f t="shared" si="328"/>
        <v/>
      </c>
      <c r="I704" s="965" t="str">
        <f t="shared" si="328"/>
        <v/>
      </c>
      <c r="J704" s="1891"/>
      <c r="K704" s="1684"/>
      <c r="L704" s="1684"/>
      <c r="M704" s="1684"/>
      <c r="N704" s="1684"/>
      <c r="O704" s="481"/>
      <c r="P704" s="9"/>
      <c r="U704" s="1435"/>
      <c r="AA704" s="1930">
        <f t="shared" si="321"/>
        <v>2</v>
      </c>
      <c r="AB704" s="1931">
        <f>IF(CNTR_ExistSubInstEntries,IF(OR($M609&lt;&gt;EUconst_Relevant,$V609&gt;2018,$E704=""),0,2),2)</f>
        <v>2</v>
      </c>
      <c r="AC704" s="1931">
        <f t="shared" ref="AC704:AI704" si="329">IF(CNTR_ExistSubInstEntries,IF(OR($M609&lt;&gt;EUconst_Relevant,AC679&gt;=CNTR_ReportingYear,AC679&lt;$V609-1,$E704=""),0,2),2)</f>
        <v>2</v>
      </c>
      <c r="AD704" s="1931">
        <f t="shared" si="329"/>
        <v>2</v>
      </c>
      <c r="AE704" s="1931">
        <f t="shared" si="329"/>
        <v>2</v>
      </c>
      <c r="AF704" s="1931">
        <f t="shared" si="329"/>
        <v>2</v>
      </c>
      <c r="AG704" s="1931">
        <f t="shared" si="329"/>
        <v>2</v>
      </c>
      <c r="AH704" s="1932">
        <f t="shared" si="329"/>
        <v>2</v>
      </c>
      <c r="AI704" s="1933">
        <f t="shared" si="329"/>
        <v>2</v>
      </c>
      <c r="AK704" s="1633" t="s">
        <v>1954</v>
      </c>
      <c r="AL704" s="1635" t="str">
        <f>IF(AND(CNTR_ExistSubInstEntries,COUNTIFS(AB704:AI704,2,G704:N704,"")&gt;0),EUconst_Error&amp;"FB"&amp;Q609,"")</f>
        <v/>
      </c>
      <c r="AO704" s="1121" t="b">
        <f t="shared" si="312"/>
        <v>0</v>
      </c>
    </row>
    <row r="705" spans="2:41" ht="12.75" customHeight="1">
      <c r="B705" s="1124"/>
      <c r="C705" s="484"/>
      <c r="D705" s="582">
        <f t="shared" si="323"/>
        <v>6</v>
      </c>
      <c r="E705" s="964" t="str">
        <f t="shared" ref="E705:I705" si="330">IF(E695&lt;&gt; "",E695,IF(E685 &lt;&gt; "", E685,""))</f>
        <v/>
      </c>
      <c r="F705" s="1036" t="str">
        <f t="shared" si="330"/>
        <v/>
      </c>
      <c r="G705" s="965" t="str">
        <f t="shared" si="330"/>
        <v/>
      </c>
      <c r="H705" s="966" t="str">
        <f t="shared" si="330"/>
        <v/>
      </c>
      <c r="I705" s="965" t="str">
        <f t="shared" si="330"/>
        <v/>
      </c>
      <c r="J705" s="1891"/>
      <c r="K705" s="1684"/>
      <c r="L705" s="1684"/>
      <c r="M705" s="1684"/>
      <c r="N705" s="1684"/>
      <c r="O705" s="481"/>
      <c r="P705" s="9"/>
      <c r="AA705" s="1930">
        <f t="shared" si="321"/>
        <v>2</v>
      </c>
      <c r="AB705" s="1931">
        <f>IF(CNTR_ExistSubInstEntries,IF(OR($M609&lt;&gt;EUconst_Relevant,$V609&gt;2018,$E705=""),0,2),2)</f>
        <v>2</v>
      </c>
      <c r="AC705" s="1931">
        <f t="shared" ref="AC705:AI705" si="331">IF(CNTR_ExistSubInstEntries,IF(OR($M609&lt;&gt;EUconst_Relevant,AC679&gt;=CNTR_ReportingYear,AC679&lt;$V609-1,$E705=""),0,2),2)</f>
        <v>2</v>
      </c>
      <c r="AD705" s="1931">
        <f t="shared" si="331"/>
        <v>2</v>
      </c>
      <c r="AE705" s="1931">
        <f t="shared" si="331"/>
        <v>2</v>
      </c>
      <c r="AF705" s="1931">
        <f t="shared" si="331"/>
        <v>2</v>
      </c>
      <c r="AG705" s="1931">
        <f t="shared" si="331"/>
        <v>2</v>
      </c>
      <c r="AH705" s="1932">
        <f t="shared" si="331"/>
        <v>2</v>
      </c>
      <c r="AI705" s="1933">
        <f t="shared" si="331"/>
        <v>2</v>
      </c>
      <c r="AK705" s="1633" t="s">
        <v>1954</v>
      </c>
      <c r="AL705" s="1635" t="str">
        <f>IF(AND(CNTR_ExistSubInstEntries,COUNTIFS(AB705:AI705,2,G705:N705,"")&gt;0),EUconst_Error&amp;"FB"&amp;Q609,"")</f>
        <v/>
      </c>
      <c r="AO705" s="1121" t="b">
        <f t="shared" si="312"/>
        <v>0</v>
      </c>
    </row>
    <row r="706" spans="2:41" ht="12.75" customHeight="1">
      <c r="B706" s="1124"/>
      <c r="C706" s="484"/>
      <c r="D706" s="582">
        <f t="shared" si="323"/>
        <v>7</v>
      </c>
      <c r="E706" s="964" t="str">
        <f t="shared" ref="E706:I706" si="332">IF(E696&lt;&gt; "",E696,IF(E686 &lt;&gt; "", E686,""))</f>
        <v/>
      </c>
      <c r="F706" s="1036" t="str">
        <f t="shared" si="332"/>
        <v/>
      </c>
      <c r="G706" s="965" t="str">
        <f t="shared" si="332"/>
        <v/>
      </c>
      <c r="H706" s="966" t="str">
        <f t="shared" si="332"/>
        <v/>
      </c>
      <c r="I706" s="965" t="str">
        <f t="shared" si="332"/>
        <v/>
      </c>
      <c r="J706" s="1891"/>
      <c r="K706" s="1684"/>
      <c r="L706" s="1684"/>
      <c r="M706" s="1684"/>
      <c r="N706" s="1684"/>
      <c r="O706" s="481"/>
      <c r="P706" s="9"/>
      <c r="AA706" s="1930">
        <f t="shared" si="321"/>
        <v>2</v>
      </c>
      <c r="AB706" s="1931">
        <f>IF(CNTR_ExistSubInstEntries,IF(OR($M609&lt;&gt;EUconst_Relevant,$V609&gt;2018,$E706=""),0,2),2)</f>
        <v>2</v>
      </c>
      <c r="AC706" s="1931">
        <f t="shared" ref="AC706:AI706" si="333">IF(CNTR_ExistSubInstEntries,IF(OR($M609&lt;&gt;EUconst_Relevant,AC679&gt;=CNTR_ReportingYear,AC679&lt;$V609-1,$E706=""),0,2),2)</f>
        <v>2</v>
      </c>
      <c r="AD706" s="1931">
        <f t="shared" si="333"/>
        <v>2</v>
      </c>
      <c r="AE706" s="1931">
        <f t="shared" si="333"/>
        <v>2</v>
      </c>
      <c r="AF706" s="1931">
        <f t="shared" si="333"/>
        <v>2</v>
      </c>
      <c r="AG706" s="1931">
        <f t="shared" si="333"/>
        <v>2</v>
      </c>
      <c r="AH706" s="1932">
        <f t="shared" si="333"/>
        <v>2</v>
      </c>
      <c r="AI706" s="1933">
        <f t="shared" si="333"/>
        <v>2</v>
      </c>
      <c r="AK706" s="1633" t="s">
        <v>1954</v>
      </c>
      <c r="AL706" s="1635" t="str">
        <f>IF(AND(CNTR_ExistSubInstEntries,COUNTIFS(AB706:AI706,2,G706:N706,"")&gt;0),EUconst_Error&amp;"FB"&amp;Q609,"")</f>
        <v/>
      </c>
      <c r="AO706" s="1121" t="b">
        <f t="shared" si="312"/>
        <v>0</v>
      </c>
    </row>
    <row r="707" spans="2:41" ht="12.75" customHeight="1">
      <c r="B707" s="1124"/>
      <c r="C707" s="484"/>
      <c r="D707" s="582">
        <f t="shared" si="323"/>
        <v>8</v>
      </c>
      <c r="E707" s="964" t="str">
        <f t="shared" ref="E707:I707" si="334">IF(E697&lt;&gt; "",E697,IF(E687 &lt;&gt; "", E687,""))</f>
        <v/>
      </c>
      <c r="F707" s="1036" t="str">
        <f t="shared" si="334"/>
        <v/>
      </c>
      <c r="G707" s="965" t="str">
        <f t="shared" si="334"/>
        <v/>
      </c>
      <c r="H707" s="966" t="str">
        <f t="shared" si="334"/>
        <v/>
      </c>
      <c r="I707" s="965" t="str">
        <f t="shared" si="334"/>
        <v/>
      </c>
      <c r="J707" s="1891"/>
      <c r="K707" s="1684"/>
      <c r="L707" s="1684"/>
      <c r="M707" s="1684"/>
      <c r="N707" s="1684"/>
      <c r="O707" s="481"/>
      <c r="P707" s="9"/>
      <c r="AA707" s="1930">
        <f t="shared" si="321"/>
        <v>2</v>
      </c>
      <c r="AB707" s="1931">
        <f>IF(CNTR_ExistSubInstEntries,IF(OR($M609&lt;&gt;EUconst_Relevant,$V609&gt;2018,$E707=""),0,2),2)</f>
        <v>2</v>
      </c>
      <c r="AC707" s="1931">
        <f t="shared" ref="AC707:AI707" si="335">IF(CNTR_ExistSubInstEntries,IF(OR($M609&lt;&gt;EUconst_Relevant,AC679&gt;=CNTR_ReportingYear,AC679&lt;$V609-1,$E707=""),0,2),2)</f>
        <v>2</v>
      </c>
      <c r="AD707" s="1931">
        <f t="shared" si="335"/>
        <v>2</v>
      </c>
      <c r="AE707" s="1931">
        <f t="shared" si="335"/>
        <v>2</v>
      </c>
      <c r="AF707" s="1931">
        <f t="shared" si="335"/>
        <v>2</v>
      </c>
      <c r="AG707" s="1931">
        <f t="shared" si="335"/>
        <v>2</v>
      </c>
      <c r="AH707" s="1932">
        <f t="shared" si="335"/>
        <v>2</v>
      </c>
      <c r="AI707" s="1933">
        <f t="shared" si="335"/>
        <v>2</v>
      </c>
      <c r="AK707" s="1633" t="s">
        <v>1954</v>
      </c>
      <c r="AL707" s="1635" t="str">
        <f>IF(AND(CNTR_ExistSubInstEntries,COUNTIFS(AB707:AI707,2,G707:N707,"")&gt;0),EUconst_Error&amp;"FB"&amp;Q609,"")</f>
        <v/>
      </c>
      <c r="AO707" s="1121" t="b">
        <f t="shared" si="312"/>
        <v>0</v>
      </c>
    </row>
    <row r="708" spans="2:41" ht="12.75" customHeight="1">
      <c r="B708" s="1124"/>
      <c r="C708" s="484"/>
      <c r="D708" s="582">
        <f t="shared" si="323"/>
        <v>9</v>
      </c>
      <c r="E708" s="964" t="str">
        <f t="shared" ref="E708:I708" si="336">IF(E698&lt;&gt; "",E698,IF(E688 &lt;&gt; "", E688,""))</f>
        <v/>
      </c>
      <c r="F708" s="1036" t="str">
        <f t="shared" si="336"/>
        <v/>
      </c>
      <c r="G708" s="965" t="str">
        <f t="shared" si="336"/>
        <v/>
      </c>
      <c r="H708" s="966" t="str">
        <f t="shared" si="336"/>
        <v/>
      </c>
      <c r="I708" s="965" t="str">
        <f t="shared" si="336"/>
        <v/>
      </c>
      <c r="J708" s="1891"/>
      <c r="K708" s="1684"/>
      <c r="L708" s="1684"/>
      <c r="M708" s="1684"/>
      <c r="N708" s="1684"/>
      <c r="O708" s="481"/>
      <c r="P708" s="9"/>
      <c r="AA708" s="1930">
        <f t="shared" si="321"/>
        <v>2</v>
      </c>
      <c r="AB708" s="1931">
        <f>IF(CNTR_ExistSubInstEntries,IF(OR($M609&lt;&gt;EUconst_Relevant,$V609&gt;2018,$E708=""),0,2),2)</f>
        <v>2</v>
      </c>
      <c r="AC708" s="1931">
        <f t="shared" ref="AC708:AI708" si="337">IF(CNTR_ExistSubInstEntries,IF(OR($M609&lt;&gt;EUconst_Relevant,AC679&gt;=CNTR_ReportingYear,AC679&lt;$V609-1,$E708=""),0,2),2)</f>
        <v>2</v>
      </c>
      <c r="AD708" s="1931">
        <f t="shared" si="337"/>
        <v>2</v>
      </c>
      <c r="AE708" s="1931">
        <f t="shared" si="337"/>
        <v>2</v>
      </c>
      <c r="AF708" s="1931">
        <f t="shared" si="337"/>
        <v>2</v>
      </c>
      <c r="AG708" s="1931">
        <f t="shared" si="337"/>
        <v>2</v>
      </c>
      <c r="AH708" s="1932">
        <f t="shared" si="337"/>
        <v>2</v>
      </c>
      <c r="AI708" s="1933">
        <f t="shared" si="337"/>
        <v>2</v>
      </c>
      <c r="AK708" s="1633" t="s">
        <v>1954</v>
      </c>
      <c r="AL708" s="1635" t="str">
        <f>IF(AND(CNTR_ExistSubInstEntries,COUNTIFS(AB708:AI708,2,G708:N708,"")&gt;0),EUconst_Error&amp;"FB"&amp;Q609,"")</f>
        <v/>
      </c>
      <c r="AO708" s="1121" t="b">
        <f t="shared" si="312"/>
        <v>0</v>
      </c>
    </row>
    <row r="709" spans="2:41" ht="12.75" customHeight="1" thickBot="1">
      <c r="B709" s="1124"/>
      <c r="C709" s="484"/>
      <c r="D709" s="584">
        <f t="shared" si="323"/>
        <v>10</v>
      </c>
      <c r="E709" s="967" t="str">
        <f t="shared" ref="E709:I709" si="338">IF(E699&lt;&gt; "",E699,IF(E689 &lt;&gt; "", E689,""))</f>
        <v/>
      </c>
      <c r="F709" s="739" t="str">
        <f t="shared" si="338"/>
        <v/>
      </c>
      <c r="G709" s="969" t="str">
        <f t="shared" si="338"/>
        <v/>
      </c>
      <c r="H709" s="970" t="str">
        <f t="shared" si="338"/>
        <v/>
      </c>
      <c r="I709" s="969" t="str">
        <f t="shared" si="338"/>
        <v/>
      </c>
      <c r="J709" s="1891"/>
      <c r="K709" s="1684"/>
      <c r="L709" s="1684"/>
      <c r="M709" s="1684"/>
      <c r="N709" s="1684"/>
      <c r="O709" s="481"/>
      <c r="P709" s="9"/>
      <c r="AA709" s="1934">
        <f t="shared" si="321"/>
        <v>2</v>
      </c>
      <c r="AB709" s="1935">
        <f>IF(CNTR_ExistSubInstEntries,IF(OR($M609&lt;&gt;EUconst_Relevant,$V609&gt;2018,$E709=""),0,2),2)</f>
        <v>2</v>
      </c>
      <c r="AC709" s="1935">
        <f t="shared" ref="AC709:AI709" si="339">IF(CNTR_ExistSubInstEntries,IF(OR($M609&lt;&gt;EUconst_Relevant,AC679&gt;=CNTR_ReportingYear,AC679&lt;$V609-1,$E709=""),0,2),2)</f>
        <v>2</v>
      </c>
      <c r="AD709" s="1935">
        <f t="shared" si="339"/>
        <v>2</v>
      </c>
      <c r="AE709" s="1935">
        <f t="shared" si="339"/>
        <v>2</v>
      </c>
      <c r="AF709" s="1935">
        <f t="shared" si="339"/>
        <v>2</v>
      </c>
      <c r="AG709" s="1935">
        <f t="shared" si="339"/>
        <v>2</v>
      </c>
      <c r="AH709" s="1936">
        <f t="shared" si="339"/>
        <v>2</v>
      </c>
      <c r="AI709" s="1937">
        <f t="shared" si="339"/>
        <v>2</v>
      </c>
      <c r="AK709" s="1633" t="s">
        <v>1954</v>
      </c>
      <c r="AL709" s="1635" t="str">
        <f>IF(AND(CNTR_ExistSubInstEntries,COUNTIFS(AB709:AI709,2,G709:N709,"")&gt;0),EUconst_Error&amp;"FB"&amp;Q609,"")</f>
        <v/>
      </c>
      <c r="AO709" s="1121" t="b">
        <f t="shared" si="312"/>
        <v>0</v>
      </c>
    </row>
    <row r="710" spans="2:41" ht="12.75" customHeight="1">
      <c r="B710" s="1124"/>
      <c r="C710" s="485"/>
      <c r="D710" s="971"/>
      <c r="E710" s="972" t="s">
        <v>921</v>
      </c>
      <c r="F710" s="739" t="str">
        <f>IF(F700="","",F700)</f>
        <v/>
      </c>
      <c r="G710" s="973" t="str">
        <f>IF(COUNT(G700:G709)&gt;0,SUMIF($S663:$S672,TRUE,G700:G709),"")</f>
        <v/>
      </c>
      <c r="H710" s="974" t="str">
        <f t="shared" ref="H710:N710" si="340">IF(COUNT(H700:H709)&gt;0,SUMIF($S663:$S672,TRUE,H700:H709),"")</f>
        <v/>
      </c>
      <c r="I710" s="973" t="str">
        <f t="shared" si="340"/>
        <v/>
      </c>
      <c r="J710" s="1891">
        <f t="shared" si="340"/>
        <v>224110</v>
      </c>
      <c r="K710" s="1684" t="str">
        <f t="shared" si="340"/>
        <v/>
      </c>
      <c r="L710" s="1684" t="str">
        <f t="shared" si="340"/>
        <v/>
      </c>
      <c r="M710" s="1684" t="str">
        <f t="shared" si="340"/>
        <v/>
      </c>
      <c r="N710" s="1684" t="str">
        <f t="shared" si="340"/>
        <v/>
      </c>
      <c r="O710" s="481"/>
      <c r="P710" s="481"/>
      <c r="AB710" s="1435"/>
      <c r="AC710" s="1435"/>
      <c r="AD710" s="1435"/>
      <c r="AE710" s="1435"/>
      <c r="AF710" s="1435"/>
      <c r="AG710" s="1435"/>
      <c r="AH710" s="1435"/>
      <c r="AI710" s="1435"/>
      <c r="AO710" s="1121" t="b">
        <f t="shared" si="312"/>
        <v>0</v>
      </c>
    </row>
    <row r="711" spans="2:41" ht="5.0999999999999996" customHeight="1">
      <c r="B711" s="1124"/>
      <c r="C711" s="467"/>
      <c r="D711" s="467"/>
      <c r="E711" s="467"/>
      <c r="F711" s="467"/>
      <c r="G711" s="467"/>
      <c r="H711" s="467"/>
      <c r="I711" s="467"/>
      <c r="J711" s="467"/>
      <c r="K711" s="467"/>
      <c r="L711" s="467"/>
      <c r="M711" s="467"/>
      <c r="N711" s="467"/>
      <c r="O711" s="481"/>
      <c r="P711" s="481"/>
      <c r="Z711" s="1435"/>
      <c r="AA711" s="1435"/>
      <c r="AB711" s="1435"/>
      <c r="AO711" s="1121" t="b">
        <f t="shared" si="312"/>
        <v>0</v>
      </c>
    </row>
    <row r="712" spans="2:41" ht="12.75" customHeight="1">
      <c r="B712" s="1124"/>
      <c r="C712" s="467"/>
      <c r="D712" s="482" t="s">
        <v>1711</v>
      </c>
      <c r="E712" s="2373" t="s">
        <v>1926</v>
      </c>
      <c r="F712" s="2400"/>
      <c r="G712" s="2400"/>
      <c r="H712" s="2400"/>
      <c r="I712" s="2400"/>
      <c r="J712" s="2400"/>
      <c r="K712" s="2400"/>
      <c r="L712" s="2400"/>
      <c r="M712" s="2400"/>
      <c r="N712" s="2400"/>
      <c r="O712" s="481"/>
      <c r="P712" s="481"/>
      <c r="Q712" s="1249"/>
      <c r="S712" s="1502" t="s">
        <v>1927</v>
      </c>
      <c r="T712" s="1938" t="str">
        <f>IF(M609&lt;&gt;EUconst_Relevant,"",IF(COUNTIF(J627:N627,"&gt;"&amp;15%)&gt;0,IF(MSconst_RequireEnEffDetails,2,1),1))</f>
        <v/>
      </c>
      <c r="U712" s="1435" t="s">
        <v>1920</v>
      </c>
      <c r="Z712" s="1435"/>
      <c r="AA712" s="1435"/>
      <c r="AB712" s="1435"/>
      <c r="AO712" s="1121" t="b">
        <f t="shared" si="312"/>
        <v>0</v>
      </c>
    </row>
    <row r="713" spans="2:41" ht="12.75" customHeight="1">
      <c r="B713" s="467"/>
      <c r="C713" s="485"/>
      <c r="D713" s="485"/>
      <c r="E713" s="2385" t="s">
        <v>1877</v>
      </c>
      <c r="F713" s="2846"/>
      <c r="G713" s="2846"/>
      <c r="H713" s="2846"/>
      <c r="I713" s="2846"/>
      <c r="J713" s="2846"/>
      <c r="K713" s="2846"/>
      <c r="L713" s="2846"/>
      <c r="M713" s="2846"/>
      <c r="N713" s="2846"/>
      <c r="O713" s="481"/>
      <c r="P713" s="481"/>
      <c r="Q713" s="1249"/>
      <c r="R713" s="1249"/>
      <c r="S713" s="1249"/>
      <c r="T713" s="1249"/>
      <c r="U713" s="1249"/>
      <c r="V713" s="1249"/>
      <c r="W713" s="1249"/>
      <c r="X713" s="1249"/>
      <c r="Y713" s="1249"/>
      <c r="AB713" s="1435"/>
      <c r="AO713" s="1121" t="b">
        <f t="shared" si="312"/>
        <v>0</v>
      </c>
    </row>
    <row r="714" spans="2:41" ht="12.75" customHeight="1">
      <c r="B714" s="1124"/>
      <c r="C714" s="467"/>
      <c r="D714" s="467"/>
      <c r="E714" s="3258" t="s">
        <v>1957</v>
      </c>
      <c r="F714" s="2467"/>
      <c r="G714" s="2467"/>
      <c r="H714" s="2467"/>
      <c r="I714" s="2467"/>
      <c r="J714" s="2467"/>
      <c r="K714" s="2467"/>
      <c r="L714" s="2467"/>
      <c r="M714" s="2467"/>
      <c r="N714" s="2467"/>
      <c r="O714" s="481"/>
      <c r="P714" s="476"/>
      <c r="Z714" s="1435"/>
      <c r="AA714" s="1435"/>
      <c r="AB714" s="1435"/>
      <c r="AC714" s="1435"/>
      <c r="AO714" s="1121" t="b">
        <f t="shared" si="312"/>
        <v>0</v>
      </c>
    </row>
    <row r="715" spans="2:41" ht="12.75" customHeight="1">
      <c r="B715" s="1124"/>
      <c r="C715" s="467"/>
      <c r="D715" s="467"/>
      <c r="E715" s="3258" t="s">
        <v>2744</v>
      </c>
      <c r="F715" s="2467"/>
      <c r="G715" s="2467"/>
      <c r="H715" s="2467"/>
      <c r="I715" s="2467"/>
      <c r="J715" s="2467"/>
      <c r="K715" s="2467"/>
      <c r="L715" s="2467"/>
      <c r="M715" s="2467"/>
      <c r="N715" s="2467"/>
      <c r="O715" s="481"/>
      <c r="P715" s="481"/>
      <c r="Z715" s="1435"/>
      <c r="AA715" s="1435"/>
      <c r="AB715" s="1435"/>
      <c r="AC715" s="1435"/>
      <c r="AO715" s="1121" t="b">
        <f t="shared" si="312"/>
        <v>0</v>
      </c>
    </row>
    <row r="716" spans="2:41" ht="12.75" customHeight="1">
      <c r="B716" s="1124"/>
      <c r="C716" s="467"/>
      <c r="D716" s="467"/>
      <c r="E716" s="540" t="s">
        <v>1021</v>
      </c>
      <c r="F716" s="3258" t="s">
        <v>1921</v>
      </c>
      <c r="G716" s="2467"/>
      <c r="H716" s="2467"/>
      <c r="I716" s="2467"/>
      <c r="J716" s="2467"/>
      <c r="K716" s="2467"/>
      <c r="L716" s="2467"/>
      <c r="M716" s="2467"/>
      <c r="N716" s="2467"/>
      <c r="O716" s="481"/>
      <c r="P716" s="476"/>
      <c r="Z716" s="1435"/>
      <c r="AA716" s="1435"/>
      <c r="AB716" s="1435"/>
      <c r="AC716" s="1435"/>
      <c r="AO716" s="1121" t="b">
        <f t="shared" si="312"/>
        <v>0</v>
      </c>
    </row>
    <row r="717" spans="2:41" ht="12.75" customHeight="1">
      <c r="B717" s="1124"/>
      <c r="C717" s="467"/>
      <c r="D717" s="467"/>
      <c r="E717" s="540" t="s">
        <v>1021</v>
      </c>
      <c r="F717" s="3258" t="s">
        <v>1936</v>
      </c>
      <c r="G717" s="2467"/>
      <c r="H717" s="2467"/>
      <c r="I717" s="2467"/>
      <c r="J717" s="2467"/>
      <c r="K717" s="2467"/>
      <c r="L717" s="2467"/>
      <c r="M717" s="2467"/>
      <c r="N717" s="2467"/>
      <c r="O717" s="481"/>
      <c r="P717" s="476"/>
      <c r="Z717" s="1435"/>
      <c r="AA717" s="1435"/>
      <c r="AB717" s="1435"/>
      <c r="AC717" s="1435"/>
      <c r="AO717" s="1121" t="b">
        <f t="shared" si="312"/>
        <v>0</v>
      </c>
    </row>
    <row r="718" spans="2:41" ht="12.75" customHeight="1">
      <c r="B718" s="1124"/>
      <c r="C718" s="467"/>
      <c r="D718" s="467"/>
      <c r="E718" s="540" t="s">
        <v>1021</v>
      </c>
      <c r="F718" s="3258" t="s">
        <v>2303</v>
      </c>
      <c r="G718" s="2467"/>
      <c r="H718" s="2467"/>
      <c r="I718" s="2467"/>
      <c r="J718" s="2467"/>
      <c r="K718" s="2467"/>
      <c r="L718" s="2467"/>
      <c r="M718" s="2467"/>
      <c r="N718" s="2467"/>
      <c r="O718" s="481"/>
      <c r="P718" s="476"/>
      <c r="Z718" s="1435"/>
      <c r="AA718" s="1435"/>
      <c r="AB718" s="1435"/>
      <c r="AC718" s="1435"/>
      <c r="AO718" s="1121" t="b">
        <f t="shared" si="312"/>
        <v>0</v>
      </c>
    </row>
    <row r="719" spans="2:41" ht="12.75" customHeight="1">
      <c r="B719" s="1124"/>
      <c r="C719" s="467"/>
      <c r="D719" s="467"/>
      <c r="E719" s="2385" t="s">
        <v>1931</v>
      </c>
      <c r="F719" s="2846"/>
      <c r="G719" s="2846"/>
      <c r="H719" s="2846"/>
      <c r="I719" s="2846"/>
      <c r="J719" s="2846"/>
      <c r="K719" s="2846"/>
      <c r="L719" s="2846"/>
      <c r="M719" s="2846"/>
      <c r="N719" s="2846"/>
      <c r="O719" s="481"/>
      <c r="P719" s="476"/>
      <c r="Z719" s="1435"/>
      <c r="AA719" s="1435"/>
      <c r="AB719" s="1435"/>
      <c r="AC719" s="1435"/>
      <c r="AO719" s="1121" t="b">
        <f t="shared" si="312"/>
        <v>0</v>
      </c>
    </row>
    <row r="720" spans="2:41" ht="12.75" customHeight="1">
      <c r="B720" s="1124"/>
      <c r="C720" s="467"/>
      <c r="D720" s="467"/>
      <c r="E720" s="2385" t="s">
        <v>2238</v>
      </c>
      <c r="F720" s="2846"/>
      <c r="G720" s="2846"/>
      <c r="H720" s="2846"/>
      <c r="I720" s="2846"/>
      <c r="J720" s="2846"/>
      <c r="K720" s="2846"/>
      <c r="L720" s="2846"/>
      <c r="M720" s="2846"/>
      <c r="N720" s="2846"/>
      <c r="O720" s="481"/>
      <c r="P720" s="476"/>
      <c r="Z720" s="1435"/>
      <c r="AA720" s="1435"/>
      <c r="AB720" s="1435"/>
      <c r="AC720" s="1435"/>
      <c r="AO720" s="1121" t="b">
        <f t="shared" si="312"/>
        <v>0</v>
      </c>
    </row>
    <row r="721" spans="1:42" ht="5.0999999999999996" customHeight="1">
      <c r="B721" s="1124"/>
      <c r="C721" s="467"/>
      <c r="D721" s="467"/>
      <c r="E721" s="2465"/>
      <c r="F721" s="2400"/>
      <c r="G721" s="2400"/>
      <c r="H721" s="2400"/>
      <c r="I721" s="2400"/>
      <c r="J721" s="2400"/>
      <c r="K721" s="2400"/>
      <c r="L721" s="2400"/>
      <c r="M721" s="2400"/>
      <c r="N721" s="2400"/>
      <c r="O721" s="481"/>
      <c r="P721" s="476"/>
      <c r="Z721" s="1435"/>
      <c r="AA721" s="1435"/>
      <c r="AB721" s="1435"/>
      <c r="AC721" s="1435"/>
      <c r="AO721" s="1121" t="b">
        <f t="shared" si="312"/>
        <v>0</v>
      </c>
    </row>
    <row r="722" spans="1:42" s="1911" customFormat="1" ht="25.5" customHeight="1" thickBot="1">
      <c r="A722" s="1905"/>
      <c r="B722" s="1906"/>
      <c r="C722" s="1028"/>
      <c r="D722" s="1029"/>
      <c r="E722" s="870" t="str">
        <f>E679</f>
        <v>Product name or service type</v>
      </c>
      <c r="F722" s="1030" t="str">
        <f>EUconst_Unit</f>
        <v>Unit</v>
      </c>
      <c r="G722" s="1031" t="s">
        <v>2213</v>
      </c>
      <c r="H722" s="1032">
        <f t="shared" ref="H722:N722" si="341">H$1190</f>
        <v>2024</v>
      </c>
      <c r="I722" s="1031">
        <f t="shared" si="341"/>
        <v>2025</v>
      </c>
      <c r="J722" s="1952">
        <f t="shared" si="341"/>
        <v>2026</v>
      </c>
      <c r="K722" s="1953">
        <f t="shared" si="341"/>
        <v>2027</v>
      </c>
      <c r="L722" s="1953">
        <f t="shared" si="341"/>
        <v>2028</v>
      </c>
      <c r="M722" s="1953">
        <f t="shared" si="341"/>
        <v>2029</v>
      </c>
      <c r="N722" s="1953">
        <f t="shared" si="341"/>
        <v>2030</v>
      </c>
      <c r="O722" s="481"/>
      <c r="P722" s="476"/>
      <c r="Q722" s="1909"/>
      <c r="R722" s="1909"/>
      <c r="S722" s="1249" t="s">
        <v>1675</v>
      </c>
      <c r="T722" s="1909">
        <f t="shared" ref="T722:Z722" si="342">H722</f>
        <v>2024</v>
      </c>
      <c r="U722" s="1909">
        <f t="shared" si="342"/>
        <v>2025</v>
      </c>
      <c r="V722" s="1909">
        <f t="shared" si="342"/>
        <v>2026</v>
      </c>
      <c r="W722" s="1909">
        <f t="shared" si="342"/>
        <v>2027</v>
      </c>
      <c r="X722" s="1909">
        <f t="shared" si="342"/>
        <v>2028</v>
      </c>
      <c r="Y722" s="1909">
        <f t="shared" si="342"/>
        <v>2029</v>
      </c>
      <c r="Z722" s="1909">
        <f t="shared" si="342"/>
        <v>2030</v>
      </c>
      <c r="AA722" s="1909"/>
      <c r="AB722" s="1249" t="s">
        <v>1646</v>
      </c>
      <c r="AC722" s="1909">
        <f t="shared" ref="AC722:AI722" si="343">H722</f>
        <v>2024</v>
      </c>
      <c r="AD722" s="1909">
        <f t="shared" si="343"/>
        <v>2025</v>
      </c>
      <c r="AE722" s="1909">
        <f t="shared" si="343"/>
        <v>2026</v>
      </c>
      <c r="AF722" s="1909">
        <f t="shared" si="343"/>
        <v>2027</v>
      </c>
      <c r="AG722" s="1909">
        <f t="shared" si="343"/>
        <v>2028</v>
      </c>
      <c r="AH722" s="1910">
        <f t="shared" si="343"/>
        <v>2029</v>
      </c>
      <c r="AI722" s="1910">
        <f t="shared" si="343"/>
        <v>2030</v>
      </c>
      <c r="AJ722" s="1910"/>
      <c r="AK722" s="1910"/>
      <c r="AL722" s="1910"/>
      <c r="AN722" s="1905"/>
      <c r="AO722" s="1121" t="b">
        <f t="shared" si="312"/>
        <v>0</v>
      </c>
      <c r="AP722" s="1912"/>
    </row>
    <row r="723" spans="1:42" ht="12.75" customHeight="1">
      <c r="B723" s="1124"/>
      <c r="C723" s="484"/>
      <c r="D723" s="579">
        <v>1</v>
      </c>
      <c r="E723" s="1034" t="str">
        <f t="shared" ref="E723:E732" si="344">E700</f>
        <v/>
      </c>
      <c r="F723" s="950" t="str">
        <f t="shared" ref="F723:F734" si="345">EUconst_TJ</f>
        <v>TJ</v>
      </c>
      <c r="G723" s="1914" t="str">
        <f>c_ALR2025!G6334</f>
        <v/>
      </c>
      <c r="H723" s="1915" t="str">
        <f>c_ALR2025!M6334</f>
        <v/>
      </c>
      <c r="I723" s="1987"/>
      <c r="J723" s="1491"/>
      <c r="K723" s="1492"/>
      <c r="L723" s="1492"/>
      <c r="M723" s="1492"/>
      <c r="N723" s="1492"/>
      <c r="O723" s="481"/>
      <c r="P723" s="9"/>
      <c r="S723" s="1939" t="str">
        <f>IF($M609&lt;&gt;EUconst_Relevant,"",
IF($V609&gt;($J$1190-3),
              IF(INDEX(H700:N700,MATCH($V609,$T722:$Z722,0))=0,0,INDEX(H723:N723,MATCH($V609,$T722:$Z722,0))/INDEX(H700:N700,MATCH($V609,$T722:$Z722,0))),
                             IF(ISNUMBER(G700),
                                            IF(OR(G700=0,$S663=FALSE),0,G723/G700),"")))</f>
        <v/>
      </c>
      <c r="T723" s="1940" t="str">
        <f t="shared" ref="T723:T732" si="346">IF($E700="","",IF($S663=FALSE,0,IF(SUM($S723)=0,SUM(H723),SUM(H700)*SUM($S723))))</f>
        <v/>
      </c>
      <c r="U723" s="1940" t="str">
        <f t="shared" ref="U723:U732" si="347">IF($E700="","",IF($S663=FALSE,0,IF(SUM($S723)=0,SUM(I723),SUM(I700)*SUM($S723))))</f>
        <v/>
      </c>
      <c r="V723" s="1940" t="str">
        <f t="shared" ref="V723:V732" si="348">IF($E700="","",IF($S663=FALSE,0,IF(SUM($S723)=0,SUM(J723),SUM(J700)*SUM($S723))))</f>
        <v/>
      </c>
      <c r="W723" s="1940" t="str">
        <f t="shared" ref="W723:W732" si="349">IF($E700="","",IF($S663=FALSE,0,IF(SUM($S723)=0,SUM(K723),SUM(K700)*SUM($S723))))</f>
        <v/>
      </c>
      <c r="X723" s="1940" t="str">
        <f t="shared" ref="X723:X732" si="350">IF($E700="","",IF($S663=FALSE,0,IF(SUM($S723)=0,SUM(L723),SUM(L700)*SUM($S723))))</f>
        <v/>
      </c>
      <c r="Y723" s="1940" t="str">
        <f t="shared" ref="Y723:Y732" si="351">IF($E700="","",IF($S663=FALSE,0,IF(SUM($S723)=0,SUM(M723),SUM(M700)*SUM($S723))))</f>
        <v/>
      </c>
      <c r="Z723" s="1941" t="str">
        <f t="shared" ref="Z723:Z732" si="352">IF($E700="","",IF($S663=FALSE,0,IF(SUM($S723)=0,SUM(N723),SUM(N700)*SUM($S723))))</f>
        <v/>
      </c>
      <c r="AA723" s="1942" t="s">
        <v>1698</v>
      </c>
      <c r="AB723" s="1943">
        <f>AC723</f>
        <v>2</v>
      </c>
      <c r="AC723" s="1994">
        <f>IF(CNTR_ExistSubInstEntries,IF(OR($M609&lt;&gt;EUconst_Relevant,AC722&gt;=CNTR_ReportingYear,AC722&lt;V609-1,$E723=""),0,IF(AND($T712=2,$S663),2,1)),2)</f>
        <v>2</v>
      </c>
      <c r="AD723" s="1927">
        <f>IF(CNTR_ExistSubInstEntries,IF(OR($M609&lt;&gt;EUconst_Relevant,AD722&gt;=CNTR_ReportingYear,AD722&lt;V609-1,$E723=""),0,IF(AND($T712=2,$S663),2,1)),2)</f>
        <v>2</v>
      </c>
      <c r="AE723" s="1927">
        <f>IF(CNTR_ExistSubInstEntries,IF(OR($M609&lt;&gt;EUconst_Relevant,AE722&gt;=CNTR_ReportingYear,AE722&lt;V609-1,$E723=""),0,IF(AND($T712=2,$S663),2,1)),2)</f>
        <v>2</v>
      </c>
      <c r="AF723" s="1927">
        <f>IF(CNTR_ExistSubInstEntries,IF(OR($M609&lt;&gt;EUconst_Relevant,AF722&gt;=CNTR_ReportingYear,AF722&lt;V609-1,$E723=""),0,IF(AND($T712=2,$S663),2,1)),2)</f>
        <v>2</v>
      </c>
      <c r="AG723" s="1927">
        <f>IF(CNTR_ExistSubInstEntries,IF(OR($M609&lt;&gt;EUconst_Relevant,AG722&gt;=CNTR_ReportingYear,AG722&lt;V609-1,$E723=""),0,IF(AND($T712=2,$S663),2,1)),2)</f>
        <v>2</v>
      </c>
      <c r="AH723" s="1928">
        <f>IF(CNTR_ExistSubInstEntries,IF(OR($M609&lt;&gt;EUconst_Relevant,AH722&gt;=CNTR_ReportingYear,AH722&lt;V609-1,$E723=""),0,IF(AND($T712=2,$S663),2,1)),2)</f>
        <v>2</v>
      </c>
      <c r="AI723" s="1929">
        <f>IF(CNTR_ExistSubInstEntries,IF(OR($M609&lt;&gt;EUconst_Relevant,AI722&gt;=CNTR_ReportingYear,AI722&lt;V609-1,$E723=""),0,IF(AND($T712=2,$S663),2,1)),2)</f>
        <v>2</v>
      </c>
      <c r="AK723" s="1633" t="s">
        <v>1954</v>
      </c>
      <c r="AL723" s="1635" t="str">
        <f>IF(AND(CNTR_ExistSubInstEntries,COUNTIFS(AB723:AI723,2,G723:N723,"")&gt;0),EUconst_Error&amp;"FB"&amp;Q609,"")</f>
        <v/>
      </c>
      <c r="AO723" s="1121" t="b">
        <f t="shared" si="312"/>
        <v>0</v>
      </c>
    </row>
    <row r="724" spans="1:42" ht="12.75" customHeight="1">
      <c r="B724" s="1124"/>
      <c r="C724" s="484"/>
      <c r="D724" s="582">
        <f>D723+1</f>
        <v>2</v>
      </c>
      <c r="E724" s="1035" t="str">
        <f t="shared" si="344"/>
        <v/>
      </c>
      <c r="F724" s="1038" t="str">
        <f t="shared" si="345"/>
        <v>TJ</v>
      </c>
      <c r="G724" s="1918" t="str">
        <f>c_ALR2025!G6335</f>
        <v/>
      </c>
      <c r="H724" s="1919" t="str">
        <f>c_ALR2025!M6335</f>
        <v/>
      </c>
      <c r="I724" s="1988"/>
      <c r="J724" s="1491"/>
      <c r="K724" s="1492"/>
      <c r="L724" s="1492"/>
      <c r="M724" s="1492"/>
      <c r="N724" s="1492"/>
      <c r="O724" s="481"/>
      <c r="P724" s="9"/>
      <c r="S724" s="1944" t="str">
        <f>IF($M609&lt;&gt;EUconst_Relevant,"",
IF($V609&gt;($J$1190-3),
              IF(INDEX(H701:N701,MATCH($V609,$T722:$Z722,0))=0,0,INDEX(H724:N724,MATCH($V609,$T722:$Z722,0))/INDEX(H701:N701,MATCH($V609,$T722:$Z722,0))),
                             IF(ISNUMBER(G701),
                                            IF(OR(G701=0,$S664=FALSE),0,G724/G701),"")))</f>
        <v/>
      </c>
      <c r="T724" s="1945" t="str">
        <f t="shared" si="346"/>
        <v/>
      </c>
      <c r="U724" s="1945" t="str">
        <f t="shared" si="347"/>
        <v/>
      </c>
      <c r="V724" s="1945" t="str">
        <f t="shared" si="348"/>
        <v/>
      </c>
      <c r="W724" s="1945" t="str">
        <f t="shared" si="349"/>
        <v/>
      </c>
      <c r="X724" s="1945" t="str">
        <f t="shared" si="350"/>
        <v/>
      </c>
      <c r="Y724" s="1945" t="str">
        <f t="shared" si="351"/>
        <v/>
      </c>
      <c r="Z724" s="1946" t="str">
        <f t="shared" si="352"/>
        <v/>
      </c>
      <c r="AB724" s="1930">
        <f t="shared" ref="AB724:AB732" si="353">AC724</f>
        <v>2</v>
      </c>
      <c r="AC724" s="1931">
        <f>IF(CNTR_ExistSubInstEntries,IF(OR($M609&lt;&gt;EUconst_Relevant,AC722&gt;=CNTR_ReportingYear,AC722&lt;V609-1,$E724=""),0,IF(AND($T712=2,$S664),2,1)),2)</f>
        <v>2</v>
      </c>
      <c r="AD724" s="1931">
        <f>IF(CNTR_ExistSubInstEntries,IF(OR($M609&lt;&gt;EUconst_Relevant,AD722&gt;=CNTR_ReportingYear,AD722&lt;V609-1,$E724=""),0,IF(AND($T712=2,$S664),2,1)),2)</f>
        <v>2</v>
      </c>
      <c r="AE724" s="1931">
        <f>IF(CNTR_ExistSubInstEntries,IF(OR($M609&lt;&gt;EUconst_Relevant,AE722&gt;=CNTR_ReportingYear,AE722&lt;V609-1,$E724=""),0,IF(AND($T712=2,$S664),2,1)),2)</f>
        <v>2</v>
      </c>
      <c r="AF724" s="1931">
        <f>IF(CNTR_ExistSubInstEntries,IF(OR($M609&lt;&gt;EUconst_Relevant,AF722&gt;=CNTR_ReportingYear,AF722&lt;V609-1,$E724=""),0,IF(AND($T712=2,$S664),2,1)),2)</f>
        <v>2</v>
      </c>
      <c r="AG724" s="1931">
        <f>IF(CNTR_ExistSubInstEntries,IF(OR($M609&lt;&gt;EUconst_Relevant,AG722&gt;=CNTR_ReportingYear,AG722&lt;V609-1,$E724=""),0,IF(AND($T712=2,$S664),2,1)),2)</f>
        <v>2</v>
      </c>
      <c r="AH724" s="1931">
        <f>IF(CNTR_ExistSubInstEntries,IF(OR($M609&lt;&gt;EUconst_Relevant,AH722&gt;=CNTR_ReportingYear,AH722&lt;V609-1,$E724=""),0,IF(AND($T712=2,$S664),2,1)),2)</f>
        <v>2</v>
      </c>
      <c r="AI724" s="1947">
        <f>IF(CNTR_ExistSubInstEntries,IF(OR($M609&lt;&gt;EUconst_Relevant,AI722&gt;=CNTR_ReportingYear,AI722&lt;V609-1,$E724=""),0,IF(AND($T712=2,$S664),2,1)),2)</f>
        <v>2</v>
      </c>
      <c r="AK724" s="1633" t="s">
        <v>1954</v>
      </c>
      <c r="AL724" s="1635" t="str">
        <f>IF(AND(CNTR_ExistSubInstEntries,COUNTIFS(AB724:AI724,2,G724:N724,"")&gt;0),EUconst_Error&amp;"FB"&amp;Q609,"")</f>
        <v/>
      </c>
      <c r="AO724" s="1121" t="b">
        <f t="shared" si="312"/>
        <v>0</v>
      </c>
    </row>
    <row r="725" spans="1:42" ht="12.75" customHeight="1">
      <c r="B725" s="1124"/>
      <c r="C725" s="484"/>
      <c r="D725" s="582">
        <f t="shared" ref="D725:D732" si="354">D724+1</f>
        <v>3</v>
      </c>
      <c r="E725" s="1035" t="str">
        <f t="shared" si="344"/>
        <v/>
      </c>
      <c r="F725" s="1038" t="str">
        <f t="shared" si="345"/>
        <v>TJ</v>
      </c>
      <c r="G725" s="1918" t="str">
        <f>c_ALR2025!G6336</f>
        <v/>
      </c>
      <c r="H725" s="1919" t="str">
        <f>c_ALR2025!M6336</f>
        <v/>
      </c>
      <c r="I725" s="1988"/>
      <c r="J725" s="1491"/>
      <c r="K725" s="1492"/>
      <c r="L725" s="1492"/>
      <c r="M725" s="1492"/>
      <c r="N725" s="1492"/>
      <c r="O725" s="481"/>
      <c r="P725" s="9"/>
      <c r="S725" s="1944" t="str">
        <f>IF($M609&lt;&gt;EUconst_Relevant,"",
IF($V609&gt;($J$1190-3),
              IF(INDEX(H702:N702,MATCH($V609,$T722:$Z722,0))=0,0,INDEX(H725:N725,MATCH($V609,$T722:$Z722,0))/INDEX(H702:N702,MATCH($V609,$T722:$Z722,0))),
                             IF(ISNUMBER(G702),
                                            IF(OR(G702=0,$S665=FALSE),0,G725/G702),"")))</f>
        <v/>
      </c>
      <c r="T725" s="1945" t="str">
        <f t="shared" si="346"/>
        <v/>
      </c>
      <c r="U725" s="1945" t="str">
        <f t="shared" si="347"/>
        <v/>
      </c>
      <c r="V725" s="1945" t="str">
        <f t="shared" si="348"/>
        <v/>
      </c>
      <c r="W725" s="1945" t="str">
        <f t="shared" si="349"/>
        <v/>
      </c>
      <c r="X725" s="1945" t="str">
        <f t="shared" si="350"/>
        <v/>
      </c>
      <c r="Y725" s="1945" t="str">
        <f t="shared" si="351"/>
        <v/>
      </c>
      <c r="Z725" s="1946" t="str">
        <f t="shared" si="352"/>
        <v/>
      </c>
      <c r="AB725" s="1930">
        <f t="shared" si="353"/>
        <v>2</v>
      </c>
      <c r="AC725" s="1931">
        <f>IF(CNTR_ExistSubInstEntries,IF(OR($M609&lt;&gt;EUconst_Relevant,AC722&gt;=CNTR_ReportingYear,AC722&lt;V609-1,$E725=""),0,IF(AND($T712=2,$S665),2,1)),2)</f>
        <v>2</v>
      </c>
      <c r="AD725" s="1931">
        <f>IF(CNTR_ExistSubInstEntries,IF(OR($M609&lt;&gt;EUconst_Relevant,AD722&gt;=CNTR_ReportingYear,AD722&lt;V609-1,$E725=""),0,IF(AND($T712=2,$S665),2,1)),2)</f>
        <v>2</v>
      </c>
      <c r="AE725" s="1931">
        <f>IF(CNTR_ExistSubInstEntries,IF(OR($M609&lt;&gt;EUconst_Relevant,AE722&gt;=CNTR_ReportingYear,AE722&lt;V609-1,$E725=""),0,IF(AND($T712=2,$S665),2,1)),2)</f>
        <v>2</v>
      </c>
      <c r="AF725" s="1931">
        <f>IF(CNTR_ExistSubInstEntries,IF(OR($M609&lt;&gt;EUconst_Relevant,AF722&gt;=CNTR_ReportingYear,AF722&lt;V609-1,$E725=""),0,IF(AND($T712=2,$S665),2,1)),2)</f>
        <v>2</v>
      </c>
      <c r="AG725" s="1931">
        <f>IF(CNTR_ExistSubInstEntries,IF(OR($M609&lt;&gt;EUconst_Relevant,AG722&gt;=CNTR_ReportingYear,AG722&lt;V609-1,$E725=""),0,IF(AND($T712=2,$S665),2,1)),2)</f>
        <v>2</v>
      </c>
      <c r="AH725" s="1931">
        <f>IF(CNTR_ExistSubInstEntries,IF(OR($M609&lt;&gt;EUconst_Relevant,AH722&gt;=CNTR_ReportingYear,AH722&lt;V609-1,$E725=""),0,IF(AND($T712=2,$S665),2,1)),2)</f>
        <v>2</v>
      </c>
      <c r="AI725" s="1947">
        <f>IF(CNTR_ExistSubInstEntries,IF(OR($M609&lt;&gt;EUconst_Relevant,AI722&gt;=CNTR_ReportingYear,AI722&lt;V609-1,$E725=""),0,IF(AND($T712=2,$S665),2,1)),2)</f>
        <v>2</v>
      </c>
      <c r="AK725" s="1633" t="s">
        <v>1954</v>
      </c>
      <c r="AL725" s="1635" t="str">
        <f>IF(AND(CNTR_ExistSubInstEntries,COUNTIFS(AB725:AI725,2,G725:N725,"")&gt;0),EUconst_Error&amp;"FB"&amp;Q609,"")</f>
        <v/>
      </c>
      <c r="AO725" s="1121" t="b">
        <f t="shared" si="312"/>
        <v>0</v>
      </c>
    </row>
    <row r="726" spans="1:42" ht="12.75" customHeight="1">
      <c r="B726" s="1124"/>
      <c r="C726" s="484"/>
      <c r="D726" s="582">
        <f t="shared" si="354"/>
        <v>4</v>
      </c>
      <c r="E726" s="1035" t="str">
        <f t="shared" si="344"/>
        <v/>
      </c>
      <c r="F726" s="1038" t="str">
        <f t="shared" si="345"/>
        <v>TJ</v>
      </c>
      <c r="G726" s="1918" t="str">
        <f>c_ALR2025!G6337</f>
        <v/>
      </c>
      <c r="H726" s="1919" t="str">
        <f>c_ALR2025!M6337</f>
        <v/>
      </c>
      <c r="I726" s="1988"/>
      <c r="J726" s="1491"/>
      <c r="K726" s="1492"/>
      <c r="L726" s="1492"/>
      <c r="M726" s="1492"/>
      <c r="N726" s="1492"/>
      <c r="O726" s="481"/>
      <c r="P726" s="9"/>
      <c r="S726" s="1944" t="str">
        <f>IF($M609&lt;&gt;EUconst_Relevant,"",
IF($V609&gt;($J$1190-3),
              IF(INDEX(H703:N703,MATCH($V609,$T722:$Z722,0))=0,0,INDEX(H726:N726,MATCH($V609,$T722:$Z722,0))/INDEX(H703:N703,MATCH($V609,$T722:$Z722,0))),
                             IF(ISNUMBER(G703),
                                            IF(OR(G703=0,$S666=FALSE),0,G726/G703),"")))</f>
        <v/>
      </c>
      <c r="T726" s="1945" t="str">
        <f t="shared" si="346"/>
        <v/>
      </c>
      <c r="U726" s="1945" t="str">
        <f t="shared" si="347"/>
        <v/>
      </c>
      <c r="V726" s="1945" t="str">
        <f t="shared" si="348"/>
        <v/>
      </c>
      <c r="W726" s="1945" t="str">
        <f t="shared" si="349"/>
        <v/>
      </c>
      <c r="X726" s="1945" t="str">
        <f t="shared" si="350"/>
        <v/>
      </c>
      <c r="Y726" s="1945" t="str">
        <f t="shared" si="351"/>
        <v/>
      </c>
      <c r="Z726" s="1946" t="str">
        <f t="shared" si="352"/>
        <v/>
      </c>
      <c r="AB726" s="1930">
        <f t="shared" si="353"/>
        <v>2</v>
      </c>
      <c r="AC726" s="1931">
        <f>IF(CNTR_ExistSubInstEntries,IF(OR($M609&lt;&gt;EUconst_Relevant,AC722&gt;=CNTR_ReportingYear,AC722&lt;V609-1,$E726=""),0,IF(AND($T712=2,$S666),2,1)),2)</f>
        <v>2</v>
      </c>
      <c r="AD726" s="1931">
        <f>IF(CNTR_ExistSubInstEntries,IF(OR($M609&lt;&gt;EUconst_Relevant,AD722&gt;=CNTR_ReportingYear,AD722&lt;V609-1,$E726=""),0,IF(AND($T712=2,$S666),2,1)),2)</f>
        <v>2</v>
      </c>
      <c r="AE726" s="1931">
        <f>IF(CNTR_ExistSubInstEntries,IF(OR($M609&lt;&gt;EUconst_Relevant,AE722&gt;=CNTR_ReportingYear,AE722&lt;V609-1,$E726=""),0,IF(AND($T712=2,$S666),2,1)),2)</f>
        <v>2</v>
      </c>
      <c r="AF726" s="1931">
        <f>IF(CNTR_ExistSubInstEntries,IF(OR($M609&lt;&gt;EUconst_Relevant,AF722&gt;=CNTR_ReportingYear,AF722&lt;V609-1,$E726=""),0,IF(AND($T712=2,$S666),2,1)),2)</f>
        <v>2</v>
      </c>
      <c r="AG726" s="1931">
        <f>IF(CNTR_ExistSubInstEntries,IF(OR($M609&lt;&gt;EUconst_Relevant,AG722&gt;=CNTR_ReportingYear,AG722&lt;V609-1,$E726=""),0,IF(AND($T712=2,$S666),2,1)),2)</f>
        <v>2</v>
      </c>
      <c r="AH726" s="1931">
        <f>IF(CNTR_ExistSubInstEntries,IF(OR($M609&lt;&gt;EUconst_Relevant,AH722&gt;=CNTR_ReportingYear,AH722&lt;V609-1,$E726=""),0,IF(AND($T712=2,$S666),2,1)),2)</f>
        <v>2</v>
      </c>
      <c r="AI726" s="1947">
        <f>IF(CNTR_ExistSubInstEntries,IF(OR($M609&lt;&gt;EUconst_Relevant,AI722&gt;=CNTR_ReportingYear,AI722&lt;V609-1,$E726=""),0,IF(AND($T712=2,$S666),2,1)),2)</f>
        <v>2</v>
      </c>
      <c r="AK726" s="1633" t="s">
        <v>1954</v>
      </c>
      <c r="AL726" s="1635" t="str">
        <f>IF(AND(CNTR_ExistSubInstEntries,COUNTIFS(AB726:AI726,2,G726:N726,"")&gt;0),EUconst_Error&amp;"FB"&amp;Q609,"")</f>
        <v/>
      </c>
      <c r="AO726" s="1121" t="b">
        <f t="shared" si="312"/>
        <v>0</v>
      </c>
    </row>
    <row r="727" spans="1:42" ht="12.75" customHeight="1">
      <c r="B727" s="1124"/>
      <c r="C727" s="484"/>
      <c r="D727" s="582">
        <f t="shared" si="354"/>
        <v>5</v>
      </c>
      <c r="E727" s="1035" t="str">
        <f t="shared" si="344"/>
        <v/>
      </c>
      <c r="F727" s="1038" t="str">
        <f t="shared" si="345"/>
        <v>TJ</v>
      </c>
      <c r="G727" s="1918" t="str">
        <f>c_ALR2025!G6338</f>
        <v/>
      </c>
      <c r="H727" s="1919" t="str">
        <f>c_ALR2025!M6338</f>
        <v/>
      </c>
      <c r="I727" s="1988"/>
      <c r="J727" s="1491"/>
      <c r="K727" s="1492"/>
      <c r="L727" s="1492"/>
      <c r="M727" s="1492"/>
      <c r="N727" s="1492"/>
      <c r="O727" s="481"/>
      <c r="P727" s="9"/>
      <c r="S727" s="1944" t="str">
        <f>IF($M609&lt;&gt;EUconst_Relevant,"",
IF($V609&gt;($J$1190-3),
              IF(INDEX(H704:N704,MATCH($V609,$T722:$Z722,0))=0,0,INDEX(H727:N727,MATCH($V609,$T722:$Z722,0))/INDEX(H704:N704,MATCH($V609,$T722:$Z722,0))),
                             IF(ISNUMBER(G704),
                                            IF(OR(G704=0,$S667=FALSE),0,G727/G704),"")))</f>
        <v/>
      </c>
      <c r="T727" s="1945" t="str">
        <f t="shared" si="346"/>
        <v/>
      </c>
      <c r="U727" s="1945" t="str">
        <f t="shared" si="347"/>
        <v/>
      </c>
      <c r="V727" s="1945" t="str">
        <f t="shared" si="348"/>
        <v/>
      </c>
      <c r="W727" s="1945" t="str">
        <f t="shared" si="349"/>
        <v/>
      </c>
      <c r="X727" s="1945" t="str">
        <f t="shared" si="350"/>
        <v/>
      </c>
      <c r="Y727" s="1945" t="str">
        <f t="shared" si="351"/>
        <v/>
      </c>
      <c r="Z727" s="1946" t="str">
        <f t="shared" si="352"/>
        <v/>
      </c>
      <c r="AB727" s="1930">
        <f t="shared" si="353"/>
        <v>2</v>
      </c>
      <c r="AC727" s="1931">
        <f>IF(CNTR_ExistSubInstEntries,IF(OR($M609&lt;&gt;EUconst_Relevant,AC722&gt;=CNTR_ReportingYear,AC722&lt;V609-1,$E727=""),0,IF(AND($T712=2,$S667),2,1)),2)</f>
        <v>2</v>
      </c>
      <c r="AD727" s="1931">
        <f>IF(CNTR_ExistSubInstEntries,IF(OR($M609&lt;&gt;EUconst_Relevant,AD722&gt;=CNTR_ReportingYear,AD722&lt;V609-1,$E727=""),0,IF(AND($T712=2,$S667),2,1)),2)</f>
        <v>2</v>
      </c>
      <c r="AE727" s="1931">
        <f>IF(CNTR_ExistSubInstEntries,IF(OR($M609&lt;&gt;EUconst_Relevant,AE722&gt;=CNTR_ReportingYear,AE722&lt;V609-1,$E727=""),0,IF(AND($T712=2,$S667),2,1)),2)</f>
        <v>2</v>
      </c>
      <c r="AF727" s="1931">
        <f>IF(CNTR_ExistSubInstEntries,IF(OR($M609&lt;&gt;EUconst_Relevant,AF722&gt;=CNTR_ReportingYear,AF722&lt;V609-1,$E727=""),0,IF(AND($T712=2,$S667),2,1)),2)</f>
        <v>2</v>
      </c>
      <c r="AG727" s="1931">
        <f>IF(CNTR_ExistSubInstEntries,IF(OR($M609&lt;&gt;EUconst_Relevant,AG722&gt;=CNTR_ReportingYear,AG722&lt;V609-1,$E727=""),0,IF(AND($T712=2,$S667),2,1)),2)</f>
        <v>2</v>
      </c>
      <c r="AH727" s="1931">
        <f>IF(CNTR_ExistSubInstEntries,IF(OR($M609&lt;&gt;EUconst_Relevant,AH722&gt;=CNTR_ReportingYear,AH722&lt;V609-1,$E727=""),0,IF(AND($T712=2,$S667),2,1)),2)</f>
        <v>2</v>
      </c>
      <c r="AI727" s="1947">
        <f>IF(CNTR_ExistSubInstEntries,IF(OR($M609&lt;&gt;EUconst_Relevant,AI722&gt;=CNTR_ReportingYear,AI722&lt;V609-1,$E727=""),0,IF(AND($T712=2,$S667),2,1)),2)</f>
        <v>2</v>
      </c>
      <c r="AK727" s="1633" t="s">
        <v>1954</v>
      </c>
      <c r="AL727" s="1635" t="str">
        <f>IF(AND(CNTR_ExistSubInstEntries,COUNTIFS(AB727:AI727,2,G727:N727,"")&gt;0),EUconst_Error&amp;"FB"&amp;Q609,"")</f>
        <v/>
      </c>
      <c r="AO727" s="1121" t="b">
        <f t="shared" si="312"/>
        <v>0</v>
      </c>
    </row>
    <row r="728" spans="1:42" ht="12.75" customHeight="1">
      <c r="B728" s="1124"/>
      <c r="C728" s="484"/>
      <c r="D728" s="582">
        <f t="shared" si="354"/>
        <v>6</v>
      </c>
      <c r="E728" s="1035" t="str">
        <f t="shared" si="344"/>
        <v/>
      </c>
      <c r="F728" s="1038" t="str">
        <f t="shared" si="345"/>
        <v>TJ</v>
      </c>
      <c r="G728" s="1918" t="str">
        <f>c_ALR2025!G6339</f>
        <v/>
      </c>
      <c r="H728" s="1919" t="str">
        <f>c_ALR2025!M6339</f>
        <v/>
      </c>
      <c r="I728" s="1988"/>
      <c r="J728" s="1491"/>
      <c r="K728" s="1492"/>
      <c r="L728" s="1492"/>
      <c r="M728" s="1492"/>
      <c r="N728" s="1492"/>
      <c r="O728" s="481"/>
      <c r="P728" s="9"/>
      <c r="S728" s="1944" t="str">
        <f>IF($M609&lt;&gt;EUconst_Relevant,"",
IF($V609&gt;($J$1190-3),
              IF(INDEX(H705:N705,MATCH($V609,$T722:$Z722,0))=0,0,INDEX(H728:N728,MATCH($V609,$T722:$Z722,0))/INDEX(H705:N705,MATCH($V609,$T722:$Z722,0))),
                             IF(ISNUMBER(G705),
                                            IF(OR(G705=0,$S668=FALSE),0,G728/G705),"")))</f>
        <v/>
      </c>
      <c r="T728" s="1945" t="str">
        <f t="shared" si="346"/>
        <v/>
      </c>
      <c r="U728" s="1945" t="str">
        <f t="shared" si="347"/>
        <v/>
      </c>
      <c r="V728" s="1945" t="str">
        <f t="shared" si="348"/>
        <v/>
      </c>
      <c r="W728" s="1945" t="str">
        <f t="shared" si="349"/>
        <v/>
      </c>
      <c r="X728" s="1945" t="str">
        <f t="shared" si="350"/>
        <v/>
      </c>
      <c r="Y728" s="1945" t="str">
        <f t="shared" si="351"/>
        <v/>
      </c>
      <c r="Z728" s="1946" t="str">
        <f t="shared" si="352"/>
        <v/>
      </c>
      <c r="AB728" s="1930">
        <f t="shared" si="353"/>
        <v>2</v>
      </c>
      <c r="AC728" s="1931">
        <f>IF(CNTR_ExistSubInstEntries,IF(OR($M609&lt;&gt;EUconst_Relevant,AC722&gt;=CNTR_ReportingYear,AC722&lt;V609-1,$E728=""),0,IF(AND($T712=2,$S668),2,1)),2)</f>
        <v>2</v>
      </c>
      <c r="AD728" s="1931">
        <f>IF(CNTR_ExistSubInstEntries,IF(OR($M609&lt;&gt;EUconst_Relevant,AD722&gt;=CNTR_ReportingYear,AD722&lt;V609-1,$E728=""),0,IF(AND($T712=2,$S668),2,1)),2)</f>
        <v>2</v>
      </c>
      <c r="AE728" s="1931">
        <f>IF(CNTR_ExistSubInstEntries,IF(OR($M609&lt;&gt;EUconst_Relevant,AE722&gt;=CNTR_ReportingYear,AE722&lt;V609-1,$E728=""),0,IF(AND($T712=2,$S668),2,1)),2)</f>
        <v>2</v>
      </c>
      <c r="AF728" s="1931">
        <f>IF(CNTR_ExistSubInstEntries,IF(OR($M609&lt;&gt;EUconst_Relevant,AF722&gt;=CNTR_ReportingYear,AF722&lt;V609-1,$E728=""),0,IF(AND($T712=2,$S668),2,1)),2)</f>
        <v>2</v>
      </c>
      <c r="AG728" s="1931">
        <f>IF(CNTR_ExistSubInstEntries,IF(OR($M609&lt;&gt;EUconst_Relevant,AG722&gt;=CNTR_ReportingYear,AG722&lt;V609-1,$E728=""),0,IF(AND($T712=2,$S668),2,1)),2)</f>
        <v>2</v>
      </c>
      <c r="AH728" s="1931">
        <f>IF(CNTR_ExistSubInstEntries,IF(OR($M609&lt;&gt;EUconst_Relevant,AH722&gt;=CNTR_ReportingYear,AH722&lt;V609-1,$E728=""),0,IF(AND($T712=2,$S668),2,1)),2)</f>
        <v>2</v>
      </c>
      <c r="AI728" s="1947">
        <f>IF(CNTR_ExistSubInstEntries,IF(OR($M609&lt;&gt;EUconst_Relevant,AI722&gt;=CNTR_ReportingYear,AI722&lt;V609-1,$E728=""),0,IF(AND($T712=2,$S668),2,1)),2)</f>
        <v>2</v>
      </c>
      <c r="AK728" s="1633" t="s">
        <v>1954</v>
      </c>
      <c r="AL728" s="1635" t="str">
        <f>IF(AND(CNTR_ExistSubInstEntries,COUNTIFS(AB728:AI728,2,G728:N728,"")&gt;0),EUconst_Error&amp;"FB"&amp;Q609,"")</f>
        <v/>
      </c>
      <c r="AO728" s="1121" t="b">
        <f t="shared" si="312"/>
        <v>0</v>
      </c>
    </row>
    <row r="729" spans="1:42" ht="12.75" customHeight="1">
      <c r="B729" s="1124"/>
      <c r="C729" s="484"/>
      <c r="D729" s="582">
        <f t="shared" si="354"/>
        <v>7</v>
      </c>
      <c r="E729" s="1035" t="str">
        <f t="shared" si="344"/>
        <v/>
      </c>
      <c r="F729" s="1038" t="str">
        <f t="shared" si="345"/>
        <v>TJ</v>
      </c>
      <c r="G729" s="1918" t="str">
        <f>c_ALR2025!G6340</f>
        <v/>
      </c>
      <c r="H729" s="1919" t="str">
        <f>c_ALR2025!M6340</f>
        <v/>
      </c>
      <c r="I729" s="1988"/>
      <c r="J729" s="1491"/>
      <c r="K729" s="1492"/>
      <c r="L729" s="1492"/>
      <c r="M729" s="1492"/>
      <c r="N729" s="1492"/>
      <c r="O729" s="481"/>
      <c r="P729" s="9"/>
      <c r="S729" s="1944" t="str">
        <f>IF($M609&lt;&gt;EUconst_Relevant,"",
IF($V609&gt;($J$1190-3),
              IF(INDEX(H706:N706,MATCH($V609,$T722:$Z722,0))=0,0,INDEX(H729:N729,MATCH($V609,$T722:$Z722,0))/INDEX(H706:N706,MATCH($V609,$T722:$Z722,0))),
                             IF(ISNUMBER(G706),
                                            IF(OR(G706=0,$S669=FALSE),0,G729/G706),"")))</f>
        <v/>
      </c>
      <c r="T729" s="1945" t="str">
        <f t="shared" si="346"/>
        <v/>
      </c>
      <c r="U729" s="1945" t="str">
        <f t="shared" si="347"/>
        <v/>
      </c>
      <c r="V729" s="1945" t="str">
        <f t="shared" si="348"/>
        <v/>
      </c>
      <c r="W729" s="1945" t="str">
        <f t="shared" si="349"/>
        <v/>
      </c>
      <c r="X729" s="1945" t="str">
        <f t="shared" si="350"/>
        <v/>
      </c>
      <c r="Y729" s="1945" t="str">
        <f t="shared" si="351"/>
        <v/>
      </c>
      <c r="Z729" s="1946" t="str">
        <f t="shared" si="352"/>
        <v/>
      </c>
      <c r="AB729" s="1930">
        <f t="shared" si="353"/>
        <v>2</v>
      </c>
      <c r="AC729" s="1931">
        <f>IF(CNTR_ExistSubInstEntries,IF(OR($M609&lt;&gt;EUconst_Relevant,AC722&gt;=CNTR_ReportingYear,AC722&lt;V609-1,$E729=""),0,IF(AND($T712=2,$S669),2,1)),2)</f>
        <v>2</v>
      </c>
      <c r="AD729" s="1931">
        <f>IF(CNTR_ExistSubInstEntries,IF(OR($M609&lt;&gt;EUconst_Relevant,AD722&gt;=CNTR_ReportingYear,AD722&lt;V609-1,$E729=""),0,IF(AND($T712=2,$S669),2,1)),2)</f>
        <v>2</v>
      </c>
      <c r="AE729" s="1931">
        <f>IF(CNTR_ExistSubInstEntries,IF(OR($M609&lt;&gt;EUconst_Relevant,AE722&gt;=CNTR_ReportingYear,AE722&lt;V609-1,$E729=""),0,IF(AND($T712=2,$S669),2,1)),2)</f>
        <v>2</v>
      </c>
      <c r="AF729" s="1931">
        <f>IF(CNTR_ExistSubInstEntries,IF(OR($M609&lt;&gt;EUconst_Relevant,AF722&gt;=CNTR_ReportingYear,AF722&lt;V609-1,$E729=""),0,IF(AND($T712=2,$S669),2,1)),2)</f>
        <v>2</v>
      </c>
      <c r="AG729" s="1931">
        <f>IF(CNTR_ExistSubInstEntries,IF(OR($M609&lt;&gt;EUconst_Relevant,AG722&gt;=CNTR_ReportingYear,AG722&lt;V609-1,$E729=""),0,IF(AND($T712=2,$S669),2,1)),2)</f>
        <v>2</v>
      </c>
      <c r="AH729" s="1931">
        <f>IF(CNTR_ExistSubInstEntries,IF(OR($M609&lt;&gt;EUconst_Relevant,AH722&gt;=CNTR_ReportingYear,AH722&lt;V609-1,$E729=""),0,IF(AND($T712=2,$S669),2,1)),2)</f>
        <v>2</v>
      </c>
      <c r="AI729" s="1947">
        <f>IF(CNTR_ExistSubInstEntries,IF(OR($M609&lt;&gt;EUconst_Relevant,AI722&gt;=CNTR_ReportingYear,AI722&lt;V609-1,$E729=""),0,IF(AND($T712=2,$S669),2,1)),2)</f>
        <v>2</v>
      </c>
      <c r="AK729" s="1633" t="s">
        <v>1954</v>
      </c>
      <c r="AL729" s="1635" t="str">
        <f>IF(AND(CNTR_ExistSubInstEntries,COUNTIFS(AB729:AI729,2,G729:N729,"")&gt;0),EUconst_Error&amp;"FB"&amp;Q609,"")</f>
        <v/>
      </c>
      <c r="AO729" s="1121" t="b">
        <f t="shared" si="312"/>
        <v>0</v>
      </c>
    </row>
    <row r="730" spans="1:42" ht="12.75" customHeight="1">
      <c r="B730" s="1124"/>
      <c r="C730" s="484"/>
      <c r="D730" s="582">
        <f t="shared" si="354"/>
        <v>8</v>
      </c>
      <c r="E730" s="1035" t="str">
        <f t="shared" si="344"/>
        <v/>
      </c>
      <c r="F730" s="1038" t="str">
        <f t="shared" si="345"/>
        <v>TJ</v>
      </c>
      <c r="G730" s="1918" t="str">
        <f>c_ALR2025!G6341</f>
        <v/>
      </c>
      <c r="H730" s="1919" t="str">
        <f>c_ALR2025!M6341</f>
        <v/>
      </c>
      <c r="I730" s="1988"/>
      <c r="J730" s="1491"/>
      <c r="K730" s="1492"/>
      <c r="L730" s="1492"/>
      <c r="M730" s="1492"/>
      <c r="N730" s="1492"/>
      <c r="O730" s="481"/>
      <c r="P730" s="9"/>
      <c r="S730" s="1944" t="str">
        <f>IF($M609&lt;&gt;EUconst_Relevant,"",
IF($V609&gt;($J$1190-3),
              IF(INDEX(H707:N707,MATCH($V609,$T722:$Z722,0))=0,0,INDEX(H730:N730,MATCH($V609,$T722:$Z722,0))/INDEX(H707:N707,MATCH($V609,$T722:$Z722,0))),
                             IF(ISNUMBER(G707),
                                            IF(OR(G707=0,$S670=FALSE),0,G730/G707),"")))</f>
        <v/>
      </c>
      <c r="T730" s="1945" t="str">
        <f t="shared" si="346"/>
        <v/>
      </c>
      <c r="U730" s="1945" t="str">
        <f t="shared" si="347"/>
        <v/>
      </c>
      <c r="V730" s="1945" t="str">
        <f t="shared" si="348"/>
        <v/>
      </c>
      <c r="W730" s="1945" t="str">
        <f t="shared" si="349"/>
        <v/>
      </c>
      <c r="X730" s="1945" t="str">
        <f t="shared" si="350"/>
        <v/>
      </c>
      <c r="Y730" s="1945" t="str">
        <f t="shared" si="351"/>
        <v/>
      </c>
      <c r="Z730" s="1946" t="str">
        <f t="shared" si="352"/>
        <v/>
      </c>
      <c r="AB730" s="1930">
        <f t="shared" si="353"/>
        <v>2</v>
      </c>
      <c r="AC730" s="1931">
        <f>IF(CNTR_ExistSubInstEntries,IF(OR($M609&lt;&gt;EUconst_Relevant,AC722&gt;=CNTR_ReportingYear,AC722&lt;V609-1,$E730=""),0,IF(AND($T712=2,$S670),2,1)),2)</f>
        <v>2</v>
      </c>
      <c r="AD730" s="1931">
        <f>IF(CNTR_ExistSubInstEntries,IF(OR($M609&lt;&gt;EUconst_Relevant,AD722&gt;=CNTR_ReportingYear,AD722&lt;V609-1,$E730=""),0,IF(AND($T712=2,$S670),2,1)),2)</f>
        <v>2</v>
      </c>
      <c r="AE730" s="1931">
        <f>IF(CNTR_ExistSubInstEntries,IF(OR($M609&lt;&gt;EUconst_Relevant,AE722&gt;=CNTR_ReportingYear,AE722&lt;V609-1,$E730=""),0,IF(AND($T712=2,$S670),2,1)),2)</f>
        <v>2</v>
      </c>
      <c r="AF730" s="1931">
        <f>IF(CNTR_ExistSubInstEntries,IF(OR($M609&lt;&gt;EUconst_Relevant,AF722&gt;=CNTR_ReportingYear,AF722&lt;V609-1,$E730=""),0,IF(AND($T712=2,$S670),2,1)),2)</f>
        <v>2</v>
      </c>
      <c r="AG730" s="1931">
        <f>IF(CNTR_ExistSubInstEntries,IF(OR($M609&lt;&gt;EUconst_Relevant,AG722&gt;=CNTR_ReportingYear,AG722&lt;V609-1,$E730=""),0,IF(AND($T712=2,$S670),2,1)),2)</f>
        <v>2</v>
      </c>
      <c r="AH730" s="1931">
        <f>IF(CNTR_ExistSubInstEntries,IF(OR($M609&lt;&gt;EUconst_Relevant,AH722&gt;=CNTR_ReportingYear,AH722&lt;V609-1,$E730=""),0,IF(AND($T712=2,$S670),2,1)),2)</f>
        <v>2</v>
      </c>
      <c r="AI730" s="1947">
        <f>IF(CNTR_ExistSubInstEntries,IF(OR($M609&lt;&gt;EUconst_Relevant,AI722&gt;=CNTR_ReportingYear,AI722&lt;V609-1,$E730=""),0,IF(AND($T712=2,$S670),2,1)),2)</f>
        <v>2</v>
      </c>
      <c r="AK730" s="1633" t="s">
        <v>1954</v>
      </c>
      <c r="AL730" s="1635" t="str">
        <f>IF(AND(CNTR_ExistSubInstEntries,COUNTIFS(AB730:AI730,2,G730:N730,"")&gt;0),EUconst_Error&amp;"FB"&amp;Q609,"")</f>
        <v/>
      </c>
      <c r="AO730" s="1121" t="b">
        <f t="shared" si="312"/>
        <v>0</v>
      </c>
    </row>
    <row r="731" spans="1:42" ht="12.75" customHeight="1">
      <c r="B731" s="1124"/>
      <c r="C731" s="484"/>
      <c r="D731" s="582">
        <f t="shared" si="354"/>
        <v>9</v>
      </c>
      <c r="E731" s="1035" t="str">
        <f t="shared" si="344"/>
        <v/>
      </c>
      <c r="F731" s="1038" t="str">
        <f t="shared" si="345"/>
        <v>TJ</v>
      </c>
      <c r="G731" s="1918" t="str">
        <f>c_ALR2025!G6342</f>
        <v/>
      </c>
      <c r="H731" s="1919" t="str">
        <f>c_ALR2025!M6342</f>
        <v/>
      </c>
      <c r="I731" s="1988"/>
      <c r="J731" s="1491"/>
      <c r="K731" s="1492"/>
      <c r="L731" s="1492"/>
      <c r="M731" s="1492"/>
      <c r="N731" s="1492"/>
      <c r="O731" s="481"/>
      <c r="P731" s="9"/>
      <c r="S731" s="1944" t="str">
        <f>IF($M609&lt;&gt;EUconst_Relevant,"",
IF($V609&gt;($J$1190-3),
              IF(INDEX(H708:N708,MATCH($V609,$T722:$Z722,0))=0,0,INDEX(H731:N731,MATCH($V609,$T722:$Z722,0))/INDEX(H708:N708,MATCH($V609,$T722:$Z722,0))),
                             IF(ISNUMBER(G708),
                                            IF(OR(G708=0,$S671=FALSE),0,G731/G708),"")))</f>
        <v/>
      </c>
      <c r="T731" s="1945" t="str">
        <f t="shared" si="346"/>
        <v/>
      </c>
      <c r="U731" s="1945" t="str">
        <f t="shared" si="347"/>
        <v/>
      </c>
      <c r="V731" s="1945" t="str">
        <f t="shared" si="348"/>
        <v/>
      </c>
      <c r="W731" s="1945" t="str">
        <f t="shared" si="349"/>
        <v/>
      </c>
      <c r="X731" s="1945" t="str">
        <f t="shared" si="350"/>
        <v/>
      </c>
      <c r="Y731" s="1945" t="str">
        <f t="shared" si="351"/>
        <v/>
      </c>
      <c r="Z731" s="1946" t="str">
        <f t="shared" si="352"/>
        <v/>
      </c>
      <c r="AB731" s="1930">
        <f t="shared" si="353"/>
        <v>2</v>
      </c>
      <c r="AC731" s="1931">
        <f>IF(CNTR_ExistSubInstEntries,IF(OR($M609&lt;&gt;EUconst_Relevant,AC722&gt;=CNTR_ReportingYear,AC722&lt;V609-1,$E731=""),0,IF(AND($T712=2,$S671),2,1)),2)</f>
        <v>2</v>
      </c>
      <c r="AD731" s="1931">
        <f>IF(CNTR_ExistSubInstEntries,IF(OR($M609&lt;&gt;EUconst_Relevant,AD722&gt;=CNTR_ReportingYear,AD722&lt;V609-1,$E731=""),0,IF(AND($T712=2,$S671),2,1)),2)</f>
        <v>2</v>
      </c>
      <c r="AE731" s="1931">
        <f>IF(CNTR_ExistSubInstEntries,IF(OR($M609&lt;&gt;EUconst_Relevant,AE722&gt;=CNTR_ReportingYear,AE722&lt;V609-1,$E731=""),0,IF(AND($T712=2,$S671),2,1)),2)</f>
        <v>2</v>
      </c>
      <c r="AF731" s="1931">
        <f>IF(CNTR_ExistSubInstEntries,IF(OR($M609&lt;&gt;EUconst_Relevant,AF722&gt;=CNTR_ReportingYear,AF722&lt;V609-1,$E731=""),0,IF(AND($T712=2,$S671),2,1)),2)</f>
        <v>2</v>
      </c>
      <c r="AG731" s="1931">
        <f>IF(CNTR_ExistSubInstEntries,IF(OR($M609&lt;&gt;EUconst_Relevant,AG722&gt;=CNTR_ReportingYear,AG722&lt;V609-1,$E731=""),0,IF(AND($T712=2,$S671),2,1)),2)</f>
        <v>2</v>
      </c>
      <c r="AH731" s="1931">
        <f>IF(CNTR_ExistSubInstEntries,IF(OR($M609&lt;&gt;EUconst_Relevant,AH722&gt;=CNTR_ReportingYear,AH722&lt;V609-1,$E731=""),0,IF(AND($T712=2,$S671),2,1)),2)</f>
        <v>2</v>
      </c>
      <c r="AI731" s="1947">
        <f>IF(CNTR_ExistSubInstEntries,IF(OR($M609&lt;&gt;EUconst_Relevant,AI722&gt;=CNTR_ReportingYear,AI722&lt;V609-1,$E731=""),0,IF(AND($T712=2,$S671),2,1)),2)</f>
        <v>2</v>
      </c>
      <c r="AK731" s="1633" t="s">
        <v>1954</v>
      </c>
      <c r="AL731" s="1635" t="str">
        <f>IF(AND(CNTR_ExistSubInstEntries,COUNTIFS(AB731:AI731,2,G731:N731,"")&gt;0),EUconst_Error&amp;"FB"&amp;Q609,"")</f>
        <v/>
      </c>
      <c r="AO731" s="1121" t="b">
        <f t="shared" si="312"/>
        <v>0</v>
      </c>
    </row>
    <row r="732" spans="1:42" ht="12.75" customHeight="1" thickBot="1">
      <c r="B732" s="1124"/>
      <c r="C732" s="484"/>
      <c r="D732" s="584">
        <f t="shared" si="354"/>
        <v>10</v>
      </c>
      <c r="E732" s="1037" t="str">
        <f t="shared" si="344"/>
        <v/>
      </c>
      <c r="F732" s="1039" t="str">
        <f t="shared" si="345"/>
        <v>TJ</v>
      </c>
      <c r="G732" s="1922" t="str">
        <f>c_ALR2025!G6343</f>
        <v/>
      </c>
      <c r="H732" s="1923" t="str">
        <f>c_ALR2025!M6343</f>
        <v/>
      </c>
      <c r="I732" s="1989"/>
      <c r="J732" s="1491"/>
      <c r="K732" s="1492"/>
      <c r="L732" s="1492"/>
      <c r="M732" s="1492"/>
      <c r="N732" s="1492"/>
      <c r="O732" s="481"/>
      <c r="P732" s="9"/>
      <c r="S732" s="1948" t="str">
        <f>IF($M609&lt;&gt;EUconst_Relevant,"",
IF($V609&gt;($J$1190-3),
              IF(INDEX(H709:N709,MATCH($V609,$T722:$Z722,0))=0,0,INDEX(H732:N732,MATCH($V609,$T722:$Z722,0))/INDEX(H709:N709,MATCH($V609,$T722:$Z722,0))),
                             IF(ISNUMBER(G709),
                                            IF(OR(G709=0,$S672=FALSE),0,G732/G709),"")))</f>
        <v/>
      </c>
      <c r="T732" s="1949" t="str">
        <f t="shared" si="346"/>
        <v/>
      </c>
      <c r="U732" s="1949" t="str">
        <f t="shared" si="347"/>
        <v/>
      </c>
      <c r="V732" s="1949" t="str">
        <f t="shared" si="348"/>
        <v/>
      </c>
      <c r="W732" s="1949" t="str">
        <f t="shared" si="349"/>
        <v/>
      </c>
      <c r="X732" s="1949" t="str">
        <f t="shared" si="350"/>
        <v/>
      </c>
      <c r="Y732" s="1949" t="str">
        <f t="shared" si="351"/>
        <v/>
      </c>
      <c r="Z732" s="1950" t="str">
        <f t="shared" si="352"/>
        <v/>
      </c>
      <c r="AB732" s="1934">
        <f t="shared" si="353"/>
        <v>2</v>
      </c>
      <c r="AC732" s="1935">
        <f>IF(CNTR_ExistSubInstEntries,IF(OR($M609&lt;&gt;EUconst_Relevant,AC722&gt;=CNTR_ReportingYear,AC722&lt;V609-1,$E732=""),0,IF(AND($T712=2,$S672),2,1)),2)</f>
        <v>2</v>
      </c>
      <c r="AD732" s="1935">
        <f>IF(CNTR_ExistSubInstEntries,IF(OR($M609&lt;&gt;EUconst_Relevant,AD722&gt;=CNTR_ReportingYear,AD722&lt;V609-1,$E732=""),0,IF(AND($T712=2,$S672),2,1)),2)</f>
        <v>2</v>
      </c>
      <c r="AE732" s="1935">
        <f>IF(CNTR_ExistSubInstEntries,IF(OR($M609&lt;&gt;EUconst_Relevant,AE722&gt;=CNTR_ReportingYear,AE722&lt;V609-1,$E732=""),0,IF(AND($T712=2,$S672),2,1)),2)</f>
        <v>2</v>
      </c>
      <c r="AF732" s="1935">
        <f>IF(CNTR_ExistSubInstEntries,IF(OR($M609&lt;&gt;EUconst_Relevant,AF722&gt;=CNTR_ReportingYear,AF722&lt;V609-1,$E732=""),0,IF(AND($T712=2,$S672),2,1)),2)</f>
        <v>2</v>
      </c>
      <c r="AG732" s="1935">
        <f>IF(CNTR_ExistSubInstEntries,IF(OR($M609&lt;&gt;EUconst_Relevant,AG722&gt;=CNTR_ReportingYear,AG722&lt;V609-1,$E732=""),0,IF(AND($T712=2,$S672),2,1)),2)</f>
        <v>2</v>
      </c>
      <c r="AH732" s="1935">
        <f>IF(CNTR_ExistSubInstEntries,IF(OR($M609&lt;&gt;EUconst_Relevant,AH722&gt;=CNTR_ReportingYear,AH722&lt;V609-1,$E732=""),0,IF(AND($T712=2,$S672),2,1)),2)</f>
        <v>2</v>
      </c>
      <c r="AI732" s="1951">
        <f>IF(CNTR_ExistSubInstEntries,IF(OR($M609&lt;&gt;EUconst_Relevant,AI722&gt;=CNTR_ReportingYear,AI722&lt;V609-1,$E732=""),0,IF(AND($T712=2,$S672),2,1)),2)</f>
        <v>2</v>
      </c>
      <c r="AK732" s="1633" t="s">
        <v>1954</v>
      </c>
      <c r="AL732" s="1635" t="str">
        <f>IF(AND(CNTR_ExistSubInstEntries,COUNTIFS(AB732:AI732,2,G732:N732,"")&gt;0),EUconst_Error&amp;"FB"&amp;Q609,"")</f>
        <v/>
      </c>
      <c r="AO732" s="1121" t="b">
        <f t="shared" si="312"/>
        <v>0</v>
      </c>
    </row>
    <row r="733" spans="1:42" ht="12.75" customHeight="1">
      <c r="B733" s="1124"/>
      <c r="C733" s="485"/>
      <c r="D733" s="971"/>
      <c r="E733" s="972" t="s">
        <v>1713</v>
      </c>
      <c r="F733" s="1039" t="str">
        <f t="shared" si="345"/>
        <v>TJ</v>
      </c>
      <c r="G733" s="973" t="str">
        <f>IF(COUNT(G723:G732)&gt;0,SUMIF($S663:$S672,TRUE,G723:G732),"")</f>
        <v/>
      </c>
      <c r="H733" s="974" t="str">
        <f t="shared" ref="H733:N733" si="355">IF(COUNT(H723:H732)&gt;0,SUMIF($S663:$S672,TRUE,H723:H732),"")</f>
        <v/>
      </c>
      <c r="I733" s="973" t="str">
        <f t="shared" si="355"/>
        <v/>
      </c>
      <c r="J733" s="1491" t="str">
        <f t="shared" si="355"/>
        <v/>
      </c>
      <c r="K733" s="1492" t="str">
        <f t="shared" si="355"/>
        <v/>
      </c>
      <c r="L733" s="1492" t="str">
        <f t="shared" si="355"/>
        <v/>
      </c>
      <c r="M733" s="1492" t="str">
        <f t="shared" si="355"/>
        <v/>
      </c>
      <c r="N733" s="1492" t="str">
        <f t="shared" si="355"/>
        <v/>
      </c>
      <c r="O733" s="481"/>
      <c r="P733" s="481"/>
      <c r="S733" s="1198" t="str">
        <f>IF(AND(SUM(S723:S732)&gt;0,G739=""),INDEX(H733:N733,MATCH($V609,T722:Z722,0))/INDEX(H710:N710,MATCH($V609,T722:Z722,0)),G739)</f>
        <v/>
      </c>
      <c r="AB733" s="1435"/>
      <c r="AO733" s="1121" t="b">
        <f t="shared" si="312"/>
        <v>0</v>
      </c>
    </row>
    <row r="734" spans="1:42" ht="12.75" customHeight="1">
      <c r="B734" s="1124"/>
      <c r="C734" s="485"/>
      <c r="D734" s="698"/>
      <c r="E734" s="948" t="s">
        <v>1723</v>
      </c>
      <c r="F734" s="1040" t="str">
        <f t="shared" si="345"/>
        <v>TJ</v>
      </c>
      <c r="G734" s="42" t="str">
        <f>IF(COUNT(I625,G733)=2,IF(I625=0,EUconst_NA,G733/I625),"")</f>
        <v/>
      </c>
      <c r="H734" s="43" t="str">
        <f t="shared" ref="H734:N734" si="356">IF(COUNT(H617,H733)=2,IF(H617=0,EUconst_NA,H733/H617),"")</f>
        <v/>
      </c>
      <c r="I734" s="44" t="str">
        <f t="shared" si="356"/>
        <v/>
      </c>
      <c r="J734" s="46" t="str">
        <f t="shared" si="356"/>
        <v/>
      </c>
      <c r="K734" s="27" t="str">
        <f t="shared" si="356"/>
        <v/>
      </c>
      <c r="L734" s="27" t="str">
        <f t="shared" si="356"/>
        <v/>
      </c>
      <c r="M734" s="27" t="str">
        <f t="shared" si="356"/>
        <v/>
      </c>
      <c r="N734" s="27" t="str">
        <f t="shared" si="356"/>
        <v/>
      </c>
      <c r="O734" s="481"/>
      <c r="P734" s="481"/>
      <c r="AB734" s="1435"/>
      <c r="AO734" s="1121" t="b">
        <f t="shared" si="312"/>
        <v>0</v>
      </c>
    </row>
    <row r="735" spans="1:42" ht="5.0999999999999996" customHeight="1">
      <c r="B735" s="1124"/>
      <c r="C735" s="467"/>
      <c r="D735" s="467"/>
      <c r="E735" s="467"/>
      <c r="F735" s="467"/>
      <c r="G735" s="467"/>
      <c r="H735" s="467"/>
      <c r="I735" s="467"/>
      <c r="J735" s="467"/>
      <c r="K735" s="467"/>
      <c r="L735" s="467"/>
      <c r="M735" s="467"/>
      <c r="N735" s="467"/>
      <c r="O735" s="481"/>
      <c r="P735" s="481"/>
      <c r="Z735" s="1435"/>
      <c r="AA735" s="1435"/>
      <c r="AB735" s="1435"/>
      <c r="AO735" s="1121" t="b">
        <f t="shared" si="312"/>
        <v>0</v>
      </c>
    </row>
    <row r="736" spans="1:42" ht="12.75" customHeight="1">
      <c r="B736" s="467"/>
      <c r="C736" s="482"/>
      <c r="D736" s="482" t="s">
        <v>1716</v>
      </c>
      <c r="E736" s="2373" t="s">
        <v>1819</v>
      </c>
      <c r="F736" s="2400"/>
      <c r="G736" s="2400"/>
      <c r="H736" s="2400"/>
      <c r="I736" s="2400"/>
      <c r="J736" s="2400"/>
      <c r="K736" s="2400"/>
      <c r="L736" s="2400"/>
      <c r="M736" s="2400"/>
      <c r="N736" s="2400"/>
      <c r="O736" s="481"/>
      <c r="P736" s="481"/>
      <c r="Q736" s="1249"/>
      <c r="AB736" s="1435"/>
      <c r="AO736" s="1121" t="b">
        <f t="shared" si="312"/>
        <v>0</v>
      </c>
    </row>
    <row r="737" spans="1:42" ht="12.75" customHeight="1">
      <c r="B737" s="1124"/>
      <c r="C737" s="467"/>
      <c r="D737" s="467"/>
      <c r="E737" s="2385" t="s">
        <v>2251</v>
      </c>
      <c r="F737" s="2846"/>
      <c r="G737" s="2846"/>
      <c r="H737" s="2846"/>
      <c r="I737" s="2846"/>
      <c r="J737" s="2846"/>
      <c r="K737" s="2846"/>
      <c r="L737" s="2846"/>
      <c r="M737" s="2846"/>
      <c r="N737" s="2846"/>
      <c r="O737" s="481"/>
      <c r="P737" s="481"/>
      <c r="Z737" s="1435"/>
      <c r="AO737" s="1121" t="b">
        <f t="shared" si="312"/>
        <v>0</v>
      </c>
    </row>
    <row r="738" spans="1:42" s="1911" customFormat="1" ht="12.75" customHeight="1">
      <c r="A738" s="1905"/>
      <c r="B738" s="1906"/>
      <c r="C738" s="481"/>
      <c r="D738" s="1028"/>
      <c r="E738" s="871"/>
      <c r="F738" s="1030" t="str">
        <f>EUconst_Unit</f>
        <v>Unit</v>
      </c>
      <c r="G738" s="1031" t="s">
        <v>2213</v>
      </c>
      <c r="H738" s="1033">
        <f t="shared" ref="H738:N738" si="357">H$1190</f>
        <v>2024</v>
      </c>
      <c r="I738" s="1031">
        <f t="shared" si="357"/>
        <v>2025</v>
      </c>
      <c r="J738" s="1952">
        <f t="shared" si="357"/>
        <v>2026</v>
      </c>
      <c r="K738" s="1953">
        <f t="shared" si="357"/>
        <v>2027</v>
      </c>
      <c r="L738" s="1953">
        <f t="shared" si="357"/>
        <v>2028</v>
      </c>
      <c r="M738" s="1953">
        <f t="shared" si="357"/>
        <v>2029</v>
      </c>
      <c r="N738" s="1953">
        <f t="shared" si="357"/>
        <v>2030</v>
      </c>
      <c r="O738" s="476"/>
      <c r="P738" s="481"/>
      <c r="Q738" s="1909"/>
      <c r="R738" s="1909"/>
      <c r="S738" s="1909"/>
      <c r="T738" s="1909"/>
      <c r="U738" s="1909"/>
      <c r="V738" s="1909"/>
      <c r="W738" s="1909"/>
      <c r="X738" s="1909"/>
      <c r="Y738" s="1909"/>
      <c r="Z738" s="1909"/>
      <c r="AN738" s="1905"/>
      <c r="AO738" s="1121" t="b">
        <f t="shared" si="312"/>
        <v>0</v>
      </c>
      <c r="AP738" s="1912"/>
    </row>
    <row r="739" spans="1:42" ht="25.5" customHeight="1">
      <c r="B739" s="1124"/>
      <c r="C739" s="485"/>
      <c r="D739" s="561"/>
      <c r="E739" s="948" t="s">
        <v>1819</v>
      </c>
      <c r="F739" s="1041" t="str">
        <f>EUconst_TJ &amp; " / " &amp; IF(F710="",EUconst_Unit,F710)</f>
        <v>TJ / Unit</v>
      </c>
      <c r="G739" s="1042" t="str">
        <f>IF(AND(SUM(G733)&gt;0,V609&lt;=$H$1190),SUMPRODUCT(S723:S732,G723:G732)/G733,"")</f>
        <v/>
      </c>
      <c r="H739" s="1043" t="str">
        <f t="shared" ref="H739:N739" si="358">IF(SUM(H733)&gt;0,$S733*H733/SUM(T723:T732),"")</f>
        <v/>
      </c>
      <c r="I739" s="1044" t="str">
        <f t="shared" si="358"/>
        <v/>
      </c>
      <c r="J739" s="1955" t="str">
        <f t="shared" si="358"/>
        <v/>
      </c>
      <c r="K739" s="1956" t="str">
        <f t="shared" si="358"/>
        <v/>
      </c>
      <c r="L739" s="1956" t="str">
        <f t="shared" si="358"/>
        <v/>
      </c>
      <c r="M739" s="1956" t="str">
        <f t="shared" si="358"/>
        <v/>
      </c>
      <c r="N739" s="1956" t="str">
        <f t="shared" si="358"/>
        <v/>
      </c>
      <c r="O739" s="1136"/>
      <c r="P739" s="481"/>
      <c r="Q739" s="1644" t="str">
        <f>EUconst_CNTR_EnEff&amp;I609</f>
        <v>EnEff_Fuel benchmark sub-installation, CL</v>
      </c>
      <c r="AO739" s="1121" t="b">
        <f t="shared" si="312"/>
        <v>0</v>
      </c>
    </row>
    <row r="740" spans="1:42" ht="5.0999999999999996" customHeight="1" thickBot="1">
      <c r="B740" s="1124"/>
      <c r="C740" s="485"/>
      <c r="D740" s="485"/>
      <c r="E740" s="485"/>
      <c r="F740" s="485"/>
      <c r="G740" s="485"/>
      <c r="H740" s="485"/>
      <c r="I740" s="952"/>
      <c r="J740" s="485"/>
      <c r="K740" s="485"/>
      <c r="L740" s="485"/>
      <c r="M740" s="485"/>
      <c r="N740" s="485"/>
      <c r="O740" s="485"/>
      <c r="P740" s="481"/>
      <c r="Q740" s="1702"/>
      <c r="S740" s="1435"/>
      <c r="T740" s="1435"/>
      <c r="AO740" s="1121" t="b">
        <f t="shared" ref="AO740:AO793" si="359">$AD$609</f>
        <v>0</v>
      </c>
    </row>
    <row r="741" spans="1:42" ht="5.0999999999999996" customHeight="1" thickBot="1">
      <c r="B741" s="1124"/>
      <c r="C741" s="485"/>
      <c r="D741" s="902"/>
      <c r="E741" s="942"/>
      <c r="F741" s="942"/>
      <c r="G741" s="942"/>
      <c r="H741" s="942"/>
      <c r="I741" s="1045"/>
      <c r="J741" s="943"/>
      <c r="K741" s="1791"/>
      <c r="L741" s="1791"/>
      <c r="M741" s="1791"/>
      <c r="N741" s="1791"/>
      <c r="O741" s="485"/>
      <c r="P741" s="481"/>
      <c r="Q741" s="1702"/>
      <c r="S741" s="1435"/>
      <c r="T741" s="1435"/>
      <c r="AO741" s="1121" t="b">
        <f t="shared" si="359"/>
        <v>0</v>
      </c>
    </row>
    <row r="742" spans="1:42" ht="12.75" customHeight="1">
      <c r="B742" s="479"/>
      <c r="C742" s="485"/>
      <c r="D742" s="918"/>
      <c r="E742" s="908" t="s">
        <v>1777</v>
      </c>
      <c r="F742" s="909"/>
      <c r="G742" s="909"/>
      <c r="H742" s="910" t="str">
        <f>EUconst_Unit</f>
        <v>Unit</v>
      </c>
      <c r="I742" s="911" t="s">
        <v>1675</v>
      </c>
      <c r="J742" s="1647">
        <f>J$1190</f>
        <v>2026</v>
      </c>
      <c r="K742" s="1490">
        <f>K$1190</f>
        <v>2027</v>
      </c>
      <c r="L742" s="1490">
        <f>L$1190</f>
        <v>2028</v>
      </c>
      <c r="M742" s="1490">
        <f>M$1190</f>
        <v>2029</v>
      </c>
      <c r="N742" s="1490">
        <f>N$1190</f>
        <v>2030</v>
      </c>
      <c r="O742" s="485"/>
      <c r="P742" s="481"/>
      <c r="Q742" s="1435"/>
      <c r="U742" s="1648"/>
      <c r="V742" s="1649">
        <f>J742</f>
        <v>2026</v>
      </c>
      <c r="W742" s="1649">
        <f>K742</f>
        <v>2027</v>
      </c>
      <c r="X742" s="1649">
        <f>L742</f>
        <v>2028</v>
      </c>
      <c r="Y742" s="1649">
        <f>M742</f>
        <v>2029</v>
      </c>
      <c r="Z742" s="1650">
        <f>N742</f>
        <v>2030</v>
      </c>
      <c r="AO742" s="1121" t="b">
        <f t="shared" si="359"/>
        <v>0</v>
      </c>
    </row>
    <row r="743" spans="1:42" ht="12.75" customHeight="1">
      <c r="B743" s="479"/>
      <c r="C743" s="485"/>
      <c r="D743" s="915" t="s">
        <v>7</v>
      </c>
      <c r="E743" s="2735" t="s">
        <v>1818</v>
      </c>
      <c r="F743" s="2735"/>
      <c r="G743" s="2735"/>
      <c r="H743" s="1048" t="str">
        <f>F739</f>
        <v>TJ / Unit</v>
      </c>
      <c r="I743" s="1049" t="str">
        <f>IF(M609&lt;&gt;EUconst_Relevant,"",IF(V609&gt;($J$1190-3),INDEX(H739:N739,MATCH($V609,H738:N738,0)),G739))</f>
        <v/>
      </c>
      <c r="J743" s="1691" t="str">
        <f>IF(AND(V743&gt;=3,COUNT(H739:I739)=2),IF(CNTR_ReportingYear&gt;J738-1,AVERAGE(H739:I739),""),"")</f>
        <v/>
      </c>
      <c r="K743" s="1794" t="str">
        <f>IF(AND(W743&gt;=3,COUNT(I739:J739)=2),IF(CNTR_ReportingYear&gt;K738-1,AVERAGE(I739:J739),""),"")</f>
        <v/>
      </c>
      <c r="L743" s="1794" t="str">
        <f>IF(AND(X743&gt;=3,COUNT(J739:K739)=2),IF(CNTR_ReportingYear&gt;L738-1,AVERAGE(J739:K739),""),"")</f>
        <v/>
      </c>
      <c r="M743" s="1794" t="str">
        <f>IF(AND(Y743&gt;=3,COUNT(K739:L739)=2),IF(CNTR_ReportingYear&gt;M738-1,AVERAGE(K739:L739),""),"")</f>
        <v/>
      </c>
      <c r="N743" s="1794" t="str">
        <f>IF(AND(Z743&gt;=3,COUNT(L739:M739)=2),IF(CNTR_ReportingYear&gt;N738-1,AVERAGE(L739:M739),""),"")</f>
        <v/>
      </c>
      <c r="O743" s="485"/>
      <c r="P743" s="481"/>
      <c r="Q743" s="1704" t="str">
        <f>EUconst_CNTR_EnEffInitial &amp; I609</f>
        <v>EnEffIni_Fuel benchmark sub-installation, CL</v>
      </c>
      <c r="U743" s="1693" t="s">
        <v>1650</v>
      </c>
      <c r="V743" s="1251">
        <f>V625</f>
        <v>0</v>
      </c>
      <c r="W743" s="1251">
        <f>W625</f>
        <v>0</v>
      </c>
      <c r="X743" s="1251">
        <f>X625</f>
        <v>0</v>
      </c>
      <c r="Y743" s="1251">
        <f>Y625</f>
        <v>0</v>
      </c>
      <c r="Z743" s="1896">
        <f>Z625</f>
        <v>0</v>
      </c>
      <c r="AO743" s="1121" t="b">
        <f t="shared" si="359"/>
        <v>0</v>
      </c>
    </row>
    <row r="744" spans="1:42" ht="12.75" customHeight="1">
      <c r="B744" s="479"/>
      <c r="C744" s="485"/>
      <c r="D744" s="915" t="s">
        <v>8</v>
      </c>
      <c r="E744" s="2735" t="s">
        <v>1928</v>
      </c>
      <c r="F744" s="2736"/>
      <c r="G744" s="2736"/>
      <c r="H744" s="2736"/>
      <c r="I744" s="2737"/>
      <c r="J744" s="17" t="str">
        <f>IF(J743="","",IF(SUM($I743)=0,IF(J743=0,0%,100%),1-J743/$I743))</f>
        <v/>
      </c>
      <c r="K744" s="22" t="str">
        <f>IF(K743="","",IF(SUM($I743)=0,IF(K743=0,0%,100%),1-K743/$I743))</f>
        <v/>
      </c>
      <c r="L744" s="22" t="str">
        <f>IF(L743="","",IF(SUM($I743)=0,IF(L743=0,0%,100%),1-L743/$I743))</f>
        <v/>
      </c>
      <c r="M744" s="22" t="str">
        <f>IF(M743="","",IF(SUM($I743)=0,IF(M743=0,0%,100%),1-M743/$I743))</f>
        <v/>
      </c>
      <c r="N744" s="22" t="str">
        <f>IF(N743="","",IF(SUM($I743)=0,IF(N743=0,0%,100%),1-N743/$I743))</f>
        <v/>
      </c>
      <c r="O744" s="485"/>
      <c r="P744" s="481"/>
      <c r="Q744" s="1644" t="str">
        <f>EUconst_CNTR_EnEffPct&amp;I609</f>
        <v>EnEffPct_Fuel benchmark sub-installation, CL</v>
      </c>
      <c r="U744" s="1693" t="s">
        <v>1655</v>
      </c>
      <c r="V744" s="1158" t="str">
        <f>IF(J743="","",J744&gt;15%)</f>
        <v/>
      </c>
      <c r="W744" s="1158" t="str">
        <f>IF(K743="","",K744&gt;15%)</f>
        <v/>
      </c>
      <c r="X744" s="1158" t="str">
        <f>IF(L743="","",L744&gt;15%)</f>
        <v/>
      </c>
      <c r="Y744" s="1158" t="str">
        <f>IF(M743="","",M744&gt;15%)</f>
        <v/>
      </c>
      <c r="Z744" s="1656" t="str">
        <f>IF(N743="","",N744&gt;15%)</f>
        <v/>
      </c>
      <c r="AO744" s="1121" t="b">
        <f t="shared" si="359"/>
        <v>0</v>
      </c>
    </row>
    <row r="745" spans="1:42" ht="5.0999999999999996" customHeight="1">
      <c r="B745" s="479"/>
      <c r="C745" s="485"/>
      <c r="D745" s="918"/>
      <c r="E745" s="909"/>
      <c r="F745" s="909"/>
      <c r="G745" s="909"/>
      <c r="H745" s="909"/>
      <c r="I745" s="909"/>
      <c r="J745" s="922"/>
      <c r="K745" s="1791"/>
      <c r="L745" s="1791"/>
      <c r="M745" s="1791"/>
      <c r="N745" s="1791"/>
      <c r="O745" s="485"/>
      <c r="P745" s="481"/>
      <c r="Q745" s="1435"/>
      <c r="U745" s="1663"/>
      <c r="V745" s="1137"/>
      <c r="W745" s="1137"/>
      <c r="X745" s="1137"/>
      <c r="Y745" s="1137"/>
      <c r="Z745" s="1957"/>
      <c r="AO745" s="1121" t="b">
        <f t="shared" si="359"/>
        <v>0</v>
      </c>
    </row>
    <row r="746" spans="1:42" ht="12.75" customHeight="1">
      <c r="B746" s="479"/>
      <c r="C746" s="485"/>
      <c r="D746" s="907" t="s">
        <v>1778</v>
      </c>
      <c r="E746" s="3410" t="s">
        <v>1945</v>
      </c>
      <c r="F746" s="3410"/>
      <c r="G746" s="3410"/>
      <c r="H746" s="3410"/>
      <c r="I746" s="3410"/>
      <c r="J746" s="3411"/>
      <c r="K746" s="1798"/>
      <c r="L746" s="1798"/>
      <c r="M746" s="1798"/>
      <c r="N746" s="1798"/>
      <c r="O746" s="485"/>
      <c r="P746" s="481"/>
      <c r="Q746" s="1435"/>
      <c r="U746" s="1663"/>
      <c r="V746" s="1435"/>
      <c r="Z746" s="1664"/>
      <c r="AO746" s="1121" t="b">
        <f t="shared" si="359"/>
        <v>0</v>
      </c>
    </row>
    <row r="747" spans="1:42" ht="12.75" customHeight="1">
      <c r="B747" s="479"/>
      <c r="C747" s="485"/>
      <c r="D747" s="918"/>
      <c r="E747" s="923" t="s">
        <v>1946</v>
      </c>
      <c r="F747" s="923"/>
      <c r="G747" s="923"/>
      <c r="H747" s="923"/>
      <c r="I747" s="923"/>
      <c r="J747" s="1647">
        <f>J$1190</f>
        <v>2026</v>
      </c>
      <c r="K747" s="1490">
        <f>K$1190</f>
        <v>2027</v>
      </c>
      <c r="L747" s="1490">
        <f>L$1190</f>
        <v>2028</v>
      </c>
      <c r="M747" s="1490">
        <f>M$1190</f>
        <v>2029</v>
      </c>
      <c r="N747" s="1490">
        <f>N$1190</f>
        <v>2030</v>
      </c>
      <c r="O747" s="485"/>
      <c r="P747" s="481"/>
      <c r="Q747" s="1435"/>
      <c r="U747" s="1663"/>
      <c r="Z747" s="1664"/>
      <c r="AO747" s="1121" t="b">
        <f t="shared" si="359"/>
        <v>0</v>
      </c>
    </row>
    <row r="748" spans="1:42" ht="12.75" customHeight="1">
      <c r="B748" s="479"/>
      <c r="C748" s="485"/>
      <c r="D748" s="918"/>
      <c r="E748" s="1047" t="s">
        <v>2108</v>
      </c>
      <c r="F748" s="2735"/>
      <c r="G748" s="2735"/>
      <c r="H748" s="2735"/>
      <c r="I748" s="2735"/>
      <c r="J748" s="1666" t="str">
        <f>IF($M609&lt;&gt;EUconst_Relevant,"",INDEX(K_Summary!J:J,MATCH($Q748,K_Summary!$P:$P,0)))</f>
        <v/>
      </c>
      <c r="K748" s="1791" t="str">
        <f>IF($M609&lt;&gt;EUconst_Relevant,"",INDEX(K_Summary!K:K,MATCH($Q748,K_Summary!$P:$P,0)))</f>
        <v/>
      </c>
      <c r="L748" s="1791" t="str">
        <f>IF($M609&lt;&gt;EUconst_Relevant,"",INDEX(K_Summary!L:L,MATCH($Q748,K_Summary!$P:$P,0)))</f>
        <v/>
      </c>
      <c r="M748" s="1791" t="str">
        <f>IF($M609&lt;&gt;EUconst_Relevant,"",INDEX(K_Summary!M:M,MATCH($Q748,K_Summary!$P:$P,0)))</f>
        <v/>
      </c>
      <c r="N748" s="1791" t="str">
        <f>IF($M609&lt;&gt;EUconst_Relevant,"",INDEX(K_Summary!N:N,MATCH($Q748,K_Summary!$P:$P,0)))</f>
        <v/>
      </c>
      <c r="O748" s="485"/>
      <c r="P748" s="481"/>
      <c r="Q748" s="1644" t="str">
        <f>EUconst_CNTR_100EUA_ActivityLevel&amp;I609</f>
        <v>EUA100AL_Fuel benchmark sub-installation, CL</v>
      </c>
      <c r="U748" s="1663"/>
      <c r="Z748" s="1664"/>
      <c r="AO748" s="1121" t="b">
        <f t="shared" si="359"/>
        <v>0</v>
      </c>
    </row>
    <row r="749" spans="1:42" ht="5.0999999999999996" customHeight="1">
      <c r="B749" s="479"/>
      <c r="C749" s="485"/>
      <c r="D749" s="918"/>
      <c r="E749" s="909"/>
      <c r="F749" s="909"/>
      <c r="G749" s="909"/>
      <c r="H749" s="909"/>
      <c r="I749" s="909"/>
      <c r="J749" s="922"/>
      <c r="K749" s="1791"/>
      <c r="L749" s="1791"/>
      <c r="M749" s="1791"/>
      <c r="N749" s="1791"/>
      <c r="O749" s="485"/>
      <c r="P749" s="481"/>
      <c r="Q749" s="1435"/>
      <c r="U749" s="1663"/>
      <c r="V749" s="1435"/>
      <c r="Z749" s="1664"/>
      <c r="AO749" s="1121" t="b">
        <f t="shared" si="359"/>
        <v>0</v>
      </c>
    </row>
    <row r="750" spans="1:42" ht="12.75" customHeight="1">
      <c r="B750" s="479"/>
      <c r="C750" s="485"/>
      <c r="D750" s="907" t="s">
        <v>1779</v>
      </c>
      <c r="E750" s="3410" t="s">
        <v>1660</v>
      </c>
      <c r="F750" s="3410"/>
      <c r="G750" s="3410"/>
      <c r="H750" s="3410"/>
      <c r="I750" s="3410"/>
      <c r="J750" s="3411"/>
      <c r="K750" s="1798"/>
      <c r="L750" s="1798"/>
      <c r="M750" s="1798"/>
      <c r="N750" s="1798"/>
      <c r="O750" s="485"/>
      <c r="P750" s="481"/>
      <c r="Q750" s="1435"/>
      <c r="U750" s="1663"/>
      <c r="V750" s="1435"/>
      <c r="Z750" s="1664"/>
      <c r="AO750" s="1121" t="b">
        <f t="shared" si="359"/>
        <v>0</v>
      </c>
    </row>
    <row r="751" spans="1:42" ht="12.75" customHeight="1">
      <c r="B751" s="479"/>
      <c r="C751" s="485"/>
      <c r="D751" s="918"/>
      <c r="E751" s="923" t="s">
        <v>1653</v>
      </c>
      <c r="F751" s="923"/>
      <c r="G751" s="923"/>
      <c r="H751" s="923"/>
      <c r="I751" s="923"/>
      <c r="J751" s="1647">
        <f>J$1190</f>
        <v>2026</v>
      </c>
      <c r="K751" s="1490">
        <f>K$1190</f>
        <v>2027</v>
      </c>
      <c r="L751" s="1490">
        <f>L$1190</f>
        <v>2028</v>
      </c>
      <c r="M751" s="1490">
        <f>M$1190</f>
        <v>2029</v>
      </c>
      <c r="N751" s="1490">
        <f>N$1190</f>
        <v>2030</v>
      </c>
      <c r="O751" s="485"/>
      <c r="P751" s="481"/>
      <c r="Q751" s="1435"/>
      <c r="U751" s="1665"/>
      <c r="Z751" s="1664"/>
      <c r="AO751" s="1121" t="b">
        <f t="shared" si="359"/>
        <v>0</v>
      </c>
    </row>
    <row r="752" spans="1:42" ht="12.75" customHeight="1">
      <c r="B752" s="479"/>
      <c r="C752" s="485"/>
      <c r="D752" s="915" t="s">
        <v>6</v>
      </c>
      <c r="E752" s="2735" t="s">
        <v>2226</v>
      </c>
      <c r="F752" s="2735"/>
      <c r="G752" s="2735"/>
      <c r="H752" s="2735"/>
      <c r="I752" s="2741"/>
      <c r="J752" s="1666" t="str">
        <f>IF($M609&lt;&gt;EUconst_Relevant,"",AND(J748,OR(AND(SUM(J626)&lt;-15%,SUM(J744)&gt;15%),AND(SUM(J626)&gt;15%,SUM(J744&lt;-15%)))))</f>
        <v/>
      </c>
      <c r="K752" s="1791" t="str">
        <f>IF($M609&lt;&gt;EUconst_Relevant,"",AND(K748,OR(AND(SUM(K626)&lt;-15%,SUM(K744)&gt;15%),AND(SUM(K626)&gt;15%,SUM(K744&lt;-15%)))))</f>
        <v/>
      </c>
      <c r="L752" s="1791" t="str">
        <f>IF($M609&lt;&gt;EUconst_Relevant,"",AND(L748,OR(AND(SUM(L626)&lt;-15%,SUM(L744)&gt;15%),AND(SUM(L626)&gt;15%,SUM(L744&lt;-15%)))))</f>
        <v/>
      </c>
      <c r="M752" s="1791" t="str">
        <f>IF($M609&lt;&gt;EUconst_Relevant,"",AND(M748,OR(AND(SUM(M626)&lt;-15%,SUM(M744)&gt;15%),AND(SUM(M626)&gt;15%,SUM(M744&lt;-15%)))))</f>
        <v/>
      </c>
      <c r="N752" s="1791" t="str">
        <f>IF($M609&lt;&gt;EUconst_Relevant,"",AND(N748,OR(AND(SUM(N626)&lt;-15%,SUM(N744)&gt;15%),AND(SUM(N626)&gt;15%,SUM(N744&lt;-15%)))))</f>
        <v/>
      </c>
      <c r="O752" s="485"/>
      <c r="P752" s="481"/>
      <c r="Q752" s="1644" t="str">
        <f>EUconst_CNTR_CARejectionRelevant&amp;I609</f>
        <v>CARejectRel_Fuel benchmark sub-installation, CL</v>
      </c>
      <c r="U752" s="1663"/>
      <c r="V752" s="1435"/>
      <c r="Z752" s="1664"/>
      <c r="AO752" s="1121" t="b">
        <f t="shared" si="359"/>
        <v>0</v>
      </c>
    </row>
    <row r="753" spans="2:41" ht="40.700000000000003" customHeight="1">
      <c r="B753" s="1124"/>
      <c r="C753" s="485"/>
      <c r="D753" s="1050"/>
      <c r="E753" s="3404" t="s">
        <v>2260</v>
      </c>
      <c r="F753" s="3404"/>
      <c r="G753" s="3404"/>
      <c r="H753" s="3404"/>
      <c r="I753" s="3404"/>
      <c r="J753" s="3405"/>
      <c r="K753" s="1798"/>
      <c r="L753" s="1798"/>
      <c r="M753" s="1798"/>
      <c r="N753" s="1798"/>
      <c r="O753" s="485"/>
      <c r="P753" s="481"/>
      <c r="U753" s="1663"/>
      <c r="Z753" s="1664"/>
      <c r="AA753" s="1435"/>
      <c r="AB753" s="1435"/>
      <c r="AO753" s="1121" t="b">
        <f t="shared" si="359"/>
        <v>0</v>
      </c>
    </row>
    <row r="754" spans="2:41" ht="12.75" customHeight="1">
      <c r="B754" s="1124"/>
      <c r="C754" s="485"/>
      <c r="D754" s="1050"/>
      <c r="E754" s="3395" t="s">
        <v>1848</v>
      </c>
      <c r="F754" s="3395"/>
      <c r="G754" s="3395"/>
      <c r="H754" s="3395"/>
      <c r="I754" s="3395"/>
      <c r="J754" s="3396"/>
      <c r="K754" s="1798"/>
      <c r="L754" s="1798"/>
      <c r="M754" s="1798"/>
      <c r="N754" s="1798"/>
      <c r="O754" s="485"/>
      <c r="P754" s="481"/>
      <c r="U754" s="1663"/>
      <c r="Z754" s="1664"/>
      <c r="AA754" s="1435"/>
      <c r="AB754" s="1435"/>
      <c r="AO754" s="1121" t="b">
        <f t="shared" si="359"/>
        <v>0</v>
      </c>
    </row>
    <row r="755" spans="2:41" ht="5.0999999999999996" customHeight="1">
      <c r="B755" s="479"/>
      <c r="C755" s="485"/>
      <c r="D755" s="915"/>
      <c r="E755" s="909"/>
      <c r="F755" s="909"/>
      <c r="G755" s="909"/>
      <c r="H755" s="909"/>
      <c r="I755" s="909"/>
      <c r="J755" s="922"/>
      <c r="K755" s="1791"/>
      <c r="L755" s="1791"/>
      <c r="M755" s="1791"/>
      <c r="N755" s="1791"/>
      <c r="O755" s="485"/>
      <c r="P755" s="481"/>
      <c r="Q755" s="1435"/>
      <c r="U755" s="1663"/>
      <c r="V755" s="1435"/>
      <c r="Z755" s="1664"/>
      <c r="AB755" s="1435"/>
      <c r="AO755" s="1121" t="b">
        <f t="shared" si="359"/>
        <v>0</v>
      </c>
    </row>
    <row r="756" spans="2:41" ht="12.75" customHeight="1">
      <c r="B756" s="479"/>
      <c r="C756" s="485"/>
      <c r="D756" s="915" t="s">
        <v>7</v>
      </c>
      <c r="E756" s="2735" t="s">
        <v>2245</v>
      </c>
      <c r="F756" s="2736"/>
      <c r="G756" s="2736"/>
      <c r="H756" s="2736"/>
      <c r="I756" s="2737"/>
      <c r="J756" s="45" t="b">
        <v>0</v>
      </c>
      <c r="K756" s="1958" t="b">
        <v>0</v>
      </c>
      <c r="L756" s="1958" t="b">
        <v>0</v>
      </c>
      <c r="M756" s="1958" t="b">
        <v>0</v>
      </c>
      <c r="N756" s="1958" t="b">
        <v>0</v>
      </c>
      <c r="O756" s="485"/>
      <c r="P756" s="9"/>
      <c r="Q756" s="1644" t="str">
        <f>EUconst_CNTR_CARejection &amp; I609</f>
        <v>CAReject_Fuel benchmark sub-installation, CL</v>
      </c>
      <c r="U756" s="1663"/>
      <c r="V756" s="1435"/>
      <c r="Z756" s="1664"/>
      <c r="AD756" s="1435" t="s">
        <v>1117</v>
      </c>
      <c r="AE756" s="1995" t="b">
        <f>AND($M609=EUconst_Relevant,J752=FALSE)</f>
        <v>0</v>
      </c>
      <c r="AF756" s="1644" t="b">
        <f>AND($M609=EUconst_Relevant,K752=FALSE)</f>
        <v>0</v>
      </c>
      <c r="AG756" s="1644" t="b">
        <f>AND($M609=EUconst_Relevant,L752=FALSE)</f>
        <v>0</v>
      </c>
      <c r="AH756" s="1644" t="b">
        <f>AND($M609=EUconst_Relevant,M752=FALSE)</f>
        <v>0</v>
      </c>
      <c r="AI756" s="1644" t="b">
        <f>AND($M609=EUconst_Relevant,N752=FALSE)</f>
        <v>0</v>
      </c>
      <c r="AO756" s="1121" t="b">
        <f t="shared" si="359"/>
        <v>0</v>
      </c>
    </row>
    <row r="757" spans="2:41" ht="12.75" customHeight="1">
      <c r="B757" s="1124"/>
      <c r="C757" s="485"/>
      <c r="D757" s="1050"/>
      <c r="E757" s="3406" t="s">
        <v>2246</v>
      </c>
      <c r="F757" s="3406"/>
      <c r="G757" s="3406"/>
      <c r="H757" s="3406"/>
      <c r="I757" s="3406"/>
      <c r="J757" s="3407"/>
      <c r="K757" s="1153"/>
      <c r="L757" s="1153"/>
      <c r="M757" s="1153"/>
      <c r="N757" s="1153"/>
      <c r="O757" s="485"/>
      <c r="P757" s="481"/>
      <c r="U757" s="1663"/>
      <c r="Z757" s="1664"/>
      <c r="AA757" s="1435"/>
      <c r="AB757" s="1435"/>
      <c r="AO757" s="1121" t="b">
        <f t="shared" si="359"/>
        <v>0</v>
      </c>
    </row>
    <row r="758" spans="2:41" ht="12.75" customHeight="1">
      <c r="B758" s="1124"/>
      <c r="C758" s="485"/>
      <c r="D758" s="1050"/>
      <c r="E758" s="3408" t="s">
        <v>2334</v>
      </c>
      <c r="F758" s="3408"/>
      <c r="G758" s="3408"/>
      <c r="H758" s="3408"/>
      <c r="I758" s="3408"/>
      <c r="J758" s="3409"/>
      <c r="K758" s="1798"/>
      <c r="L758" s="1798"/>
      <c r="M758" s="1798"/>
      <c r="N758" s="1798"/>
      <c r="O758" s="485"/>
      <c r="P758" s="481"/>
      <c r="U758" s="1663"/>
      <c r="Z758" s="1664"/>
      <c r="AA758" s="1435"/>
      <c r="AB758" s="1435"/>
      <c r="AO758" s="1121" t="b">
        <f t="shared" si="359"/>
        <v>0</v>
      </c>
    </row>
    <row r="759" spans="2:41" ht="41.1" customHeight="1">
      <c r="B759" s="1124"/>
      <c r="C759" s="485"/>
      <c r="D759" s="1050"/>
      <c r="E759" s="3395" t="s">
        <v>2248</v>
      </c>
      <c r="F759" s="3395"/>
      <c r="G759" s="3395"/>
      <c r="H759" s="3395"/>
      <c r="I759" s="3395"/>
      <c r="J759" s="3396"/>
      <c r="K759" s="1798"/>
      <c r="L759" s="1798"/>
      <c r="M759" s="1798"/>
      <c r="N759" s="1798"/>
      <c r="O759" s="485"/>
      <c r="P759" s="481"/>
      <c r="U759" s="1663"/>
      <c r="Z759" s="1664"/>
      <c r="AA759" s="1435"/>
      <c r="AB759" s="1435"/>
      <c r="AO759" s="1121" t="b">
        <f t="shared" si="359"/>
        <v>0</v>
      </c>
    </row>
    <row r="760" spans="2:41" ht="5.0999999999999996" customHeight="1">
      <c r="B760" s="479"/>
      <c r="C760" s="485"/>
      <c r="D760" s="918"/>
      <c r="E760" s="909"/>
      <c r="F760" s="909"/>
      <c r="G760" s="909"/>
      <c r="H760" s="909"/>
      <c r="I760" s="909"/>
      <c r="J760" s="922"/>
      <c r="K760" s="1791"/>
      <c r="L760" s="1791"/>
      <c r="M760" s="1791"/>
      <c r="N760" s="1791"/>
      <c r="O760" s="485"/>
      <c r="P760" s="481"/>
      <c r="Q760" s="1435"/>
      <c r="U760" s="1663"/>
      <c r="V760" s="1435"/>
      <c r="Z760" s="1664"/>
      <c r="AB760" s="1435"/>
      <c r="AO760" s="1121" t="b">
        <f t="shared" si="359"/>
        <v>0</v>
      </c>
    </row>
    <row r="761" spans="2:41" ht="12.75" customHeight="1">
      <c r="B761" s="479"/>
      <c r="C761" s="485"/>
      <c r="D761" s="907" t="s">
        <v>1883</v>
      </c>
      <c r="E761" s="3410" t="s">
        <v>1660</v>
      </c>
      <c r="F761" s="3410"/>
      <c r="G761" s="3410"/>
      <c r="H761" s="3410"/>
      <c r="I761" s="3410"/>
      <c r="J761" s="3411"/>
      <c r="K761" s="1798"/>
      <c r="L761" s="1798"/>
      <c r="M761" s="1798"/>
      <c r="N761" s="1798"/>
      <c r="O761" s="485"/>
      <c r="P761" s="481"/>
      <c r="Q761" s="1435"/>
      <c r="U761" s="1663"/>
      <c r="V761" s="1435"/>
      <c r="Z761" s="1664"/>
      <c r="AB761" s="1435"/>
      <c r="AO761" s="1121" t="b">
        <f t="shared" si="359"/>
        <v>0</v>
      </c>
    </row>
    <row r="762" spans="2:41" ht="12.75" customHeight="1" thickBot="1">
      <c r="B762" s="1124"/>
      <c r="C762" s="485"/>
      <c r="D762" s="1050"/>
      <c r="E762" s="3395" t="s">
        <v>2249</v>
      </c>
      <c r="F762" s="3395"/>
      <c r="G762" s="3395"/>
      <c r="H762" s="3395"/>
      <c r="I762" s="3395"/>
      <c r="J762" s="3396"/>
      <c r="K762" s="1798"/>
      <c r="L762" s="1798"/>
      <c r="M762" s="1798"/>
      <c r="N762" s="1798"/>
      <c r="O762" s="481"/>
      <c r="P762" s="481"/>
      <c r="U762" s="1663"/>
      <c r="Z762" s="1664"/>
      <c r="AA762" s="1435"/>
      <c r="AB762" s="1435"/>
      <c r="AO762" s="1121" t="b">
        <f t="shared" si="359"/>
        <v>0</v>
      </c>
    </row>
    <row r="763" spans="2:41" ht="12.75" customHeight="1" thickBot="1">
      <c r="B763" s="479"/>
      <c r="C763" s="485"/>
      <c r="D763" s="915"/>
      <c r="E763" s="2735" t="s">
        <v>1657</v>
      </c>
      <c r="F763" s="2735"/>
      <c r="G763" s="2735"/>
      <c r="H763" s="2735"/>
      <c r="I763" s="1051"/>
      <c r="J763" s="1668" t="str">
        <f>IF(J748="","",IF(J751&gt;$Z609,-100%,IF(OR(AND(J748,J752=FALSE),AND(J752,J756=FALSE),V743&lt;1),J627,IF(J756=TRUE,0%,I763))))</f>
        <v/>
      </c>
      <c r="K763" s="1796" t="str">
        <f>IF(K748="","",IF(K751&gt;$Z609,-100%,IF(OR(AND(K748,K752=FALSE),AND(K752,K756=FALSE),W743&lt;1),K627,IF(K756=TRUE,0%,J763))))</f>
        <v/>
      </c>
      <c r="L763" s="1796" t="str">
        <f>IF(L748="","",IF(L751&gt;$Z609,-100%,IF(OR(AND(L748,L752=FALSE),AND(L752,L756=FALSE),X743&lt;1),L627,IF(L756=TRUE,0%,K763))))</f>
        <v/>
      </c>
      <c r="M763" s="1796" t="str">
        <f>IF(M748="","",IF(M751&gt;$Z609,-100%,IF(OR(AND(M748,M752=FALSE),AND(M752,M756=FALSE),Y743&lt;1),M627,IF(M756=TRUE,0%,L763))))</f>
        <v/>
      </c>
      <c r="N763" s="1796" t="str">
        <f>IF(N748="","",IF(N751&gt;$Z609,-100%,IF(OR(AND(N748,N752=FALSE),AND(N752,N756=FALSE),Z743&lt;1),N627,IF(N756=TRUE,0%,M763))))</f>
        <v/>
      </c>
      <c r="O763" s="485"/>
      <c r="P763" s="481"/>
      <c r="Q763" s="1644" t="str">
        <f>EUconst_CNTR_HALAdjPct &amp; I609</f>
        <v>HALAdjPct_Fuel benchmark sub-installation, CL</v>
      </c>
      <c r="U763" s="1663" t="s">
        <v>1658</v>
      </c>
      <c r="V763" s="1670">
        <f>J747</f>
        <v>2026</v>
      </c>
      <c r="W763" s="1670">
        <f>K747</f>
        <v>2027</v>
      </c>
      <c r="X763" s="1670">
        <f>L747</f>
        <v>2028</v>
      </c>
      <c r="Y763" s="1670">
        <f>M747</f>
        <v>2029</v>
      </c>
      <c r="Z763" s="1671">
        <f>N747</f>
        <v>2030</v>
      </c>
      <c r="AB763" s="1435"/>
      <c r="AO763" s="1121" t="b">
        <f t="shared" si="359"/>
        <v>0</v>
      </c>
    </row>
    <row r="764" spans="2:41" ht="12.75" customHeight="1" thickBot="1">
      <c r="B764" s="479"/>
      <c r="C764" s="485"/>
      <c r="D764" s="918"/>
      <c r="E764" s="2735" t="s">
        <v>1649</v>
      </c>
      <c r="F764" s="2736"/>
      <c r="G764" s="2736"/>
      <c r="H764" s="639" t="str">
        <f>H625</f>
        <v>TJ</v>
      </c>
      <c r="I764" s="800" t="str">
        <f>I628</f>
        <v/>
      </c>
      <c r="J764" s="1959" t="str">
        <f>IF($M609&lt;&gt;EUconst_Relevant,"",IF(OR(J763="",$I764=0,$I764=EUconst_NA),IF(OR(J748=TRUE,J751&lt;=$V609),J628,SUM(I764)),$I764*(1+SUM(J763))))</f>
        <v/>
      </c>
      <c r="K764" s="1960" t="str">
        <f>IF($M609&lt;&gt;EUconst_Relevant,"",IF(OR(K763="",$I764=0,$I764=EUconst_NA),IF(OR(K748=TRUE,K751&lt;=$V609),K628,SUM(J764)),$I764*(1+SUM(K763))))</f>
        <v/>
      </c>
      <c r="L764" s="1960" t="str">
        <f>IF($M609&lt;&gt;EUconst_Relevant,"",IF(OR(L763="",$I764=0,$I764=EUconst_NA),IF(OR(L748=TRUE,L751&lt;=$V609),L628,SUM(K764)),$I764*(1+SUM(L763))))</f>
        <v/>
      </c>
      <c r="M764" s="1960" t="str">
        <f>IF($M609&lt;&gt;EUconst_Relevant,"",IF(OR(M763="",$I764=0,$I764=EUconst_NA),IF(OR(M748=TRUE,M751&lt;=$V609),M628,SUM(L764)),$I764*(1+SUM(M763))))</f>
        <v/>
      </c>
      <c r="N764" s="1960" t="str">
        <f>IF($M609&lt;&gt;EUconst_Relevant,"",IF(OR(N763="",$I764=0,$I764=EUconst_NA),IF(OR(N748=TRUE,N751&lt;=$V609),N628,SUM(M764)),$I764*(1+SUM(N763))))</f>
        <v/>
      </c>
      <c r="O764" s="485"/>
      <c r="P764" s="481"/>
      <c r="Q764" s="1644" t="str">
        <f>EUconst_CNTR_HALfinal&amp;I609</f>
        <v>HALfinal_Fuel benchmark sub-installation, CL</v>
      </c>
      <c r="U764" s="1961" t="b">
        <v>0</v>
      </c>
      <c r="V764" s="1675" t="b">
        <f>IF(J748=TRUE,V626,U764)</f>
        <v>0</v>
      </c>
      <c r="W764" s="1675" t="b">
        <f>IF(K748=TRUE,W626,V764)</f>
        <v>0</v>
      </c>
      <c r="X764" s="1675" t="b">
        <f>IF(L748=TRUE,X626,W764)</f>
        <v>0</v>
      </c>
      <c r="Y764" s="1675" t="b">
        <f>IF(M748=TRUE,Y626,X764)</f>
        <v>0</v>
      </c>
      <c r="Z764" s="1676" t="b">
        <f>IF(N748=TRUE,Z626,Y764)</f>
        <v>0</v>
      </c>
      <c r="AA764" s="1633" t="s">
        <v>1951</v>
      </c>
      <c r="AB764" s="1443" t="str">
        <f>IF(OR(ISERROR(J764),ISERROR(K764),ISERROR(L764),ISERROR(M764),ISERROR(N764)),EUconst_Error&amp;"FB"&amp; Q609,"")</f>
        <v/>
      </c>
      <c r="AO764" s="1121" t="b">
        <f t="shared" si="359"/>
        <v>0</v>
      </c>
    </row>
    <row r="765" spans="2:41" ht="5.0999999999999996" customHeight="1" thickBot="1">
      <c r="B765" s="1124"/>
      <c r="C765" s="485"/>
      <c r="D765" s="924"/>
      <c r="E765" s="925"/>
      <c r="F765" s="925"/>
      <c r="G765" s="925"/>
      <c r="H765" s="925"/>
      <c r="I765" s="925"/>
      <c r="J765" s="926"/>
      <c r="K765" s="1791"/>
      <c r="L765" s="1791"/>
      <c r="M765" s="1791"/>
      <c r="N765" s="1791"/>
      <c r="O765" s="481"/>
      <c r="P765" s="481"/>
      <c r="AB765" s="1435"/>
      <c r="AO765" s="1121" t="b">
        <f t="shared" si="359"/>
        <v>0</v>
      </c>
    </row>
    <row r="766" spans="2:41" ht="12.75" customHeight="1" thickBot="1">
      <c r="B766" s="1124"/>
      <c r="C766" s="485"/>
      <c r="D766" s="485"/>
      <c r="E766" s="485"/>
      <c r="F766" s="485"/>
      <c r="G766" s="485"/>
      <c r="H766" s="485"/>
      <c r="I766" s="485"/>
      <c r="J766" s="485"/>
      <c r="K766" s="485"/>
      <c r="L766" s="485"/>
      <c r="M766" s="485"/>
      <c r="N766" s="485"/>
      <c r="O766" s="481"/>
      <c r="P766" s="481"/>
      <c r="AB766" s="1435"/>
      <c r="AO766" s="1121" t="b">
        <f t="shared" si="359"/>
        <v>0</v>
      </c>
    </row>
    <row r="767" spans="2:41" ht="5.0999999999999996" customHeight="1">
      <c r="B767" s="467"/>
      <c r="C767" s="1052"/>
      <c r="D767" s="1053"/>
      <c r="E767" s="1053"/>
      <c r="F767" s="1053"/>
      <c r="G767" s="1053"/>
      <c r="H767" s="1053"/>
      <c r="I767" s="1053"/>
      <c r="J767" s="1053"/>
      <c r="K767" s="1053"/>
      <c r="L767" s="1053"/>
      <c r="M767" s="1054"/>
      <c r="N767" s="1055"/>
      <c r="O767" s="481"/>
      <c r="P767" s="481"/>
      <c r="Q767" s="1249"/>
      <c r="S767" s="1249"/>
      <c r="T767" s="1249"/>
      <c r="AO767" s="1121" t="b">
        <f t="shared" si="359"/>
        <v>0</v>
      </c>
    </row>
    <row r="768" spans="2:41" ht="15" customHeight="1">
      <c r="B768" s="1124"/>
      <c r="C768" s="1056"/>
      <c r="D768" s="3307" t="s">
        <v>2746</v>
      </c>
      <c r="E768" s="3307"/>
      <c r="F768" s="3307"/>
      <c r="G768" s="3307"/>
      <c r="H768" s="3307"/>
      <c r="I768" s="3307"/>
      <c r="J768" s="3307"/>
      <c r="K768" s="3307"/>
      <c r="L768" s="3307"/>
      <c r="M768" s="3307"/>
      <c r="N768" s="3308"/>
      <c r="O768" s="481"/>
      <c r="P768" s="481"/>
      <c r="S768" s="1249"/>
      <c r="T768" s="1249"/>
      <c r="AO768" s="1121" t="b">
        <f t="shared" si="359"/>
        <v>0</v>
      </c>
    </row>
    <row r="769" spans="2:41" ht="5.0999999999999996" customHeight="1">
      <c r="B769" s="1124"/>
      <c r="C769" s="980"/>
      <c r="D769" s="813"/>
      <c r="E769" s="813"/>
      <c r="F769" s="813"/>
      <c r="G769" s="813"/>
      <c r="H769" s="813"/>
      <c r="I769" s="813"/>
      <c r="J769" s="813"/>
      <c r="K769" s="813"/>
      <c r="L769" s="813"/>
      <c r="M769" s="813"/>
      <c r="N769" s="814"/>
      <c r="O769" s="481"/>
      <c r="P769" s="481"/>
      <c r="S769" s="1249"/>
      <c r="T769" s="1249"/>
      <c r="AO769" s="1121" t="b">
        <f t="shared" si="359"/>
        <v>0</v>
      </c>
    </row>
    <row r="770" spans="2:41" ht="15" customHeight="1">
      <c r="B770" s="1124"/>
      <c r="C770" s="980"/>
      <c r="D770" s="2679" t="str">
        <f>EUconst_FBSubinst &amp; ":"</f>
        <v>Fall-Back sub-installation:</v>
      </c>
      <c r="E770" s="2646"/>
      <c r="F770" s="2646"/>
      <c r="G770" s="2646"/>
      <c r="H770" s="2680"/>
      <c r="I770" s="3293" t="str">
        <f>I609</f>
        <v>Fuel benchmark sub-installation, CL</v>
      </c>
      <c r="J770" s="3294"/>
      <c r="K770" s="3294"/>
      <c r="L770" s="3294"/>
      <c r="M770" s="3294"/>
      <c r="N770" s="3295"/>
      <c r="O770" s="481"/>
      <c r="P770" s="481"/>
      <c r="S770" s="1249"/>
      <c r="T770" s="1249"/>
      <c r="AO770" s="1121" t="b">
        <f t="shared" si="359"/>
        <v>0</v>
      </c>
    </row>
    <row r="771" spans="2:41" ht="5.0999999999999996" customHeight="1">
      <c r="B771" s="1124"/>
      <c r="C771" s="980"/>
      <c r="D771" s="813"/>
      <c r="E771" s="813"/>
      <c r="F771" s="813"/>
      <c r="G771" s="813"/>
      <c r="H771" s="813"/>
      <c r="I771" s="813"/>
      <c r="J771" s="813"/>
      <c r="K771" s="813"/>
      <c r="L771" s="813"/>
      <c r="M771" s="813"/>
      <c r="N771" s="814"/>
      <c r="O771" s="481"/>
      <c r="P771" s="481"/>
      <c r="S771" s="1249"/>
      <c r="T771" s="1249"/>
      <c r="AO771" s="1121" t="b">
        <f t="shared" si="359"/>
        <v>0</v>
      </c>
    </row>
    <row r="772" spans="2:41" ht="12.75" customHeight="1">
      <c r="B772" s="467"/>
      <c r="C772" s="1056"/>
      <c r="D772" s="982" t="s">
        <v>48</v>
      </c>
      <c r="E772" s="2671" t="s">
        <v>1611</v>
      </c>
      <c r="F772" s="2672"/>
      <c r="G772" s="2672"/>
      <c r="H772" s="2672"/>
      <c r="I772" s="2672"/>
      <c r="J772" s="2672"/>
      <c r="K772" s="2672"/>
      <c r="L772" s="2672"/>
      <c r="M772" s="2672"/>
      <c r="N772" s="2673"/>
      <c r="O772" s="481"/>
      <c r="P772" s="481"/>
      <c r="Q772" s="1249"/>
      <c r="S772" s="1249"/>
      <c r="T772" s="1249"/>
      <c r="AO772" s="1121" t="b">
        <f t="shared" si="359"/>
        <v>0</v>
      </c>
    </row>
    <row r="773" spans="2:41" ht="12.75" customHeight="1">
      <c r="B773" s="467"/>
      <c r="C773" s="1056"/>
      <c r="D773" s="982"/>
      <c r="E773" s="3366" t="s">
        <v>2295</v>
      </c>
      <c r="F773" s="3366"/>
      <c r="G773" s="3366"/>
      <c r="H773" s="3366"/>
      <c r="I773" s="3366"/>
      <c r="J773" s="3366"/>
      <c r="K773" s="3366"/>
      <c r="L773" s="3366"/>
      <c r="M773" s="3366"/>
      <c r="N773" s="3367"/>
      <c r="O773" s="481"/>
      <c r="P773" s="481"/>
      <c r="Q773" s="1249"/>
      <c r="S773" s="1249"/>
      <c r="T773" s="1249"/>
      <c r="AO773" s="1121" t="b">
        <f t="shared" si="359"/>
        <v>0</v>
      </c>
    </row>
    <row r="774" spans="2:41" ht="25.5" customHeight="1">
      <c r="B774" s="467"/>
      <c r="C774" s="1056"/>
      <c r="D774" s="1057"/>
      <c r="E774" s="3288" t="s">
        <v>1342</v>
      </c>
      <c r="F774" s="3288"/>
      <c r="G774" s="3288"/>
      <c r="H774" s="3288"/>
      <c r="I774" s="3288"/>
      <c r="J774" s="3288"/>
      <c r="K774" s="3288"/>
      <c r="L774" s="3288"/>
      <c r="M774" s="3288"/>
      <c r="N774" s="3289"/>
      <c r="O774" s="481"/>
      <c r="P774" s="481"/>
      <c r="Q774" s="1249"/>
      <c r="S774" s="1249"/>
      <c r="AO774" s="1121" t="b">
        <f t="shared" si="359"/>
        <v>0</v>
      </c>
    </row>
    <row r="775" spans="2:41" ht="25.5" customHeight="1" thickBot="1">
      <c r="B775" s="467"/>
      <c r="C775" s="1056"/>
      <c r="D775" s="1057"/>
      <c r="E775" s="3288" t="s">
        <v>1575</v>
      </c>
      <c r="F775" s="3288"/>
      <c r="G775" s="3288"/>
      <c r="H775" s="3288"/>
      <c r="I775" s="3288"/>
      <c r="J775" s="3288"/>
      <c r="K775" s="3288"/>
      <c r="L775" s="3288"/>
      <c r="M775" s="3288"/>
      <c r="N775" s="3289"/>
      <c r="O775" s="481"/>
      <c r="P775" s="481"/>
      <c r="Q775" s="1249"/>
      <c r="S775" s="1249"/>
      <c r="AB775" s="1435"/>
      <c r="AC775" s="1435"/>
      <c r="AD775" s="1435"/>
      <c r="AE775" s="1435"/>
      <c r="AF775" s="1435"/>
      <c r="AG775" s="1435"/>
      <c r="AH775" s="1435"/>
      <c r="AI775" s="1435"/>
      <c r="AJ775" s="1435"/>
      <c r="AK775" s="1435"/>
      <c r="AL775" s="1435"/>
      <c r="AO775" s="1121" t="b">
        <f t="shared" si="359"/>
        <v>0</v>
      </c>
    </row>
    <row r="776" spans="2:41" ht="12.75" customHeight="1" thickBot="1">
      <c r="B776" s="467"/>
      <c r="C776" s="1056"/>
      <c r="D776" s="982"/>
      <c r="E776" s="989" t="s">
        <v>915</v>
      </c>
      <c r="F776" s="990"/>
      <c r="G776" s="987" t="str">
        <f>EUconst_Unit</f>
        <v>Unit</v>
      </c>
      <c r="H776" s="782">
        <f t="shared" ref="H776:N776" si="360">H$1190</f>
        <v>2024</v>
      </c>
      <c r="I776" s="988">
        <f t="shared" si="360"/>
        <v>2025</v>
      </c>
      <c r="J776" s="1810">
        <f t="shared" si="360"/>
        <v>2026</v>
      </c>
      <c r="K776" s="1747">
        <f t="shared" si="360"/>
        <v>2027</v>
      </c>
      <c r="L776" s="1747">
        <f t="shared" si="360"/>
        <v>2028</v>
      </c>
      <c r="M776" s="1747">
        <f t="shared" si="360"/>
        <v>2029</v>
      </c>
      <c r="N776" s="1748">
        <f t="shared" si="360"/>
        <v>2030</v>
      </c>
      <c r="O776" s="481"/>
      <c r="P776" s="481"/>
      <c r="Q776" s="1249"/>
      <c r="S776" s="1962"/>
      <c r="T776" s="1749">
        <f t="shared" ref="T776:Z776" si="361">H776</f>
        <v>2024</v>
      </c>
      <c r="U776" s="1749">
        <f t="shared" si="361"/>
        <v>2025</v>
      </c>
      <c r="V776" s="1749">
        <f t="shared" si="361"/>
        <v>2026</v>
      </c>
      <c r="W776" s="1749">
        <f t="shared" si="361"/>
        <v>2027</v>
      </c>
      <c r="X776" s="1749">
        <f t="shared" si="361"/>
        <v>2028</v>
      </c>
      <c r="Y776" s="1749">
        <f t="shared" si="361"/>
        <v>2029</v>
      </c>
      <c r="Z776" s="1750">
        <f t="shared" si="361"/>
        <v>2030</v>
      </c>
      <c r="AC776" s="1638">
        <f t="shared" ref="AC776:AI776" si="362">H$1190</f>
        <v>2024</v>
      </c>
      <c r="AD776" s="1638">
        <f t="shared" si="362"/>
        <v>2025</v>
      </c>
      <c r="AE776" s="1638">
        <f t="shared" si="362"/>
        <v>2026</v>
      </c>
      <c r="AF776" s="1638">
        <f t="shared" si="362"/>
        <v>2027</v>
      </c>
      <c r="AG776" s="1638">
        <f t="shared" si="362"/>
        <v>2028</v>
      </c>
      <c r="AH776" s="1638">
        <f t="shared" si="362"/>
        <v>2029</v>
      </c>
      <c r="AI776" s="1638">
        <f t="shared" si="362"/>
        <v>2030</v>
      </c>
      <c r="AJ776" s="1435"/>
      <c r="AK776" s="1435"/>
      <c r="AL776" s="1435"/>
      <c r="AO776" s="1121" t="b">
        <f t="shared" si="359"/>
        <v>0</v>
      </c>
    </row>
    <row r="777" spans="2:41" ht="12.75" customHeight="1" thickBot="1">
      <c r="B777" s="467"/>
      <c r="C777" s="1056"/>
      <c r="D777" s="1057"/>
      <c r="E777" s="3285" t="str">
        <f>I770</f>
        <v>Fuel benchmark sub-installation, CL</v>
      </c>
      <c r="F777" s="2410"/>
      <c r="G777" s="815" t="str">
        <f>EUconst_tCO2epa</f>
        <v>t CO2e/year</v>
      </c>
      <c r="H777" s="1775" t="str">
        <f>c_ALR2025!M6388</f>
        <v/>
      </c>
      <c r="I777" s="1996"/>
      <c r="J777" s="1812"/>
      <c r="K777" s="1754"/>
      <c r="L777" s="1754"/>
      <c r="M777" s="1754"/>
      <c r="N777" s="1755"/>
      <c r="O777" s="481"/>
      <c r="P777" s="481"/>
      <c r="Q777" s="1963" t="str">
        <f>EUconst_CNTR_Emissions &amp; I770</f>
        <v>DirEmissions_Fuel benchmark sub-installation, CL</v>
      </c>
      <c r="S777" s="1964" t="str">
        <f>EUconst_CNTR_AttributedEmissions &amp; I770</f>
        <v>AttrEmissions_Fuel benchmark sub-installation, CL</v>
      </c>
      <c r="T777" s="1743" t="str">
        <f t="shared" ref="T777:Z777" si="363">IF(T617,SUM(H777),"")</f>
        <v/>
      </c>
      <c r="U777" s="1743" t="str">
        <f t="shared" si="363"/>
        <v/>
      </c>
      <c r="V777" s="1743" t="str">
        <f t="shared" si="363"/>
        <v/>
      </c>
      <c r="W777" s="1743" t="str">
        <f t="shared" si="363"/>
        <v/>
      </c>
      <c r="X777" s="1743" t="str">
        <f t="shared" si="363"/>
        <v/>
      </c>
      <c r="Y777" s="1743" t="str">
        <f t="shared" si="363"/>
        <v/>
      </c>
      <c r="Z777" s="1744" t="str">
        <f t="shared" si="363"/>
        <v/>
      </c>
      <c r="AB777" s="1641" t="s">
        <v>717</v>
      </c>
      <c r="AC777" s="1853" t="b">
        <f t="shared" ref="AC777:AI777" si="364">IF(CNTR_ExistSubInstEntries,OR($M609&lt;&gt;EUconst_Relevant,AC776&gt;=CNTR_ReportingYear,AC776&lt;$V609-1),FALSE)</f>
        <v>0</v>
      </c>
      <c r="AD777" s="1642" t="b">
        <f t="shared" si="364"/>
        <v>0</v>
      </c>
      <c r="AE777" s="1642" t="b">
        <f t="shared" si="364"/>
        <v>0</v>
      </c>
      <c r="AF777" s="1642" t="b">
        <f t="shared" si="364"/>
        <v>0</v>
      </c>
      <c r="AG777" s="1642" t="b">
        <f t="shared" si="364"/>
        <v>0</v>
      </c>
      <c r="AH777" s="1642" t="b">
        <f t="shared" si="364"/>
        <v>0</v>
      </c>
      <c r="AI777" s="1643" t="b">
        <f t="shared" si="364"/>
        <v>0</v>
      </c>
      <c r="AJ777" s="1435"/>
      <c r="AK777" s="1633" t="s">
        <v>1954</v>
      </c>
      <c r="AL777" s="1635" t="str">
        <f>IF(AND(CNTR_ExistSubInstEntries,COUNTIFS(AC777:AI777,2,H777:N777,"")&gt;0),EUconst_Error&amp;"FB"&amp;Q609,"")</f>
        <v/>
      </c>
      <c r="AO777" s="1121" t="b">
        <f t="shared" si="359"/>
        <v>0</v>
      </c>
    </row>
    <row r="778" spans="2:41" ht="5.0999999999999996" customHeight="1">
      <c r="B778" s="467"/>
      <c r="C778" s="1056"/>
      <c r="D778" s="1057"/>
      <c r="E778" s="1057"/>
      <c r="F778" s="1057"/>
      <c r="G778" s="1057"/>
      <c r="H778" s="1057"/>
      <c r="I778" s="1057"/>
      <c r="J778" s="1057"/>
      <c r="K778" s="1057"/>
      <c r="L778" s="1057"/>
      <c r="M778" s="1057"/>
      <c r="N778" s="1060"/>
      <c r="O778" s="481"/>
      <c r="P778" s="481"/>
      <c r="Q778" s="1249"/>
      <c r="S778" s="1249"/>
      <c r="AB778" s="1435"/>
      <c r="AC778" s="1435"/>
      <c r="AD778" s="1435"/>
      <c r="AE778" s="1435"/>
      <c r="AF778" s="1435"/>
      <c r="AG778" s="1435"/>
      <c r="AH778" s="1435"/>
      <c r="AI778" s="1435"/>
      <c r="AJ778" s="1435"/>
      <c r="AK778" s="1435"/>
      <c r="AL778" s="1435"/>
      <c r="AO778" s="1121" t="b">
        <f t="shared" si="359"/>
        <v>0</v>
      </c>
    </row>
    <row r="779" spans="2:41" ht="12.75" customHeight="1">
      <c r="B779" s="467"/>
      <c r="C779" s="1056"/>
      <c r="D779" s="982" t="s">
        <v>881</v>
      </c>
      <c r="E779" s="983" t="s">
        <v>1189</v>
      </c>
      <c r="F779" s="983"/>
      <c r="G779" s="983"/>
      <c r="H779" s="983"/>
      <c r="I779" s="983"/>
      <c r="J779" s="983"/>
      <c r="K779" s="983"/>
      <c r="L779" s="983"/>
      <c r="M779" s="983"/>
      <c r="N779" s="984"/>
      <c r="O779" s="481"/>
      <c r="P779" s="481"/>
      <c r="S779" s="1249"/>
      <c r="AB779" s="1435"/>
      <c r="AC779" s="1435"/>
      <c r="AD779" s="1435"/>
      <c r="AE779" s="1435"/>
      <c r="AF779" s="1435"/>
      <c r="AG779" s="1435"/>
      <c r="AH779" s="1435"/>
      <c r="AI779" s="1435"/>
      <c r="AJ779" s="1435"/>
      <c r="AK779" s="1435"/>
      <c r="AL779" s="1435"/>
      <c r="AO779" s="1121" t="b">
        <f t="shared" si="359"/>
        <v>0</v>
      </c>
    </row>
    <row r="780" spans="2:41" ht="12.75" customHeight="1">
      <c r="B780" s="467"/>
      <c r="C780" s="1056"/>
      <c r="D780" s="1057"/>
      <c r="E780" s="3267" t="s">
        <v>1576</v>
      </c>
      <c r="F780" s="2380"/>
      <c r="G780" s="2380"/>
      <c r="H780" s="2380"/>
      <c r="I780" s="2380"/>
      <c r="J780" s="2380"/>
      <c r="K780" s="2380"/>
      <c r="L780" s="2380"/>
      <c r="M780" s="2380"/>
      <c r="N780" s="3268"/>
      <c r="O780" s="481"/>
      <c r="P780" s="481"/>
      <c r="Q780" s="1249"/>
      <c r="S780" s="1249"/>
      <c r="AB780" s="1435"/>
      <c r="AC780" s="1435"/>
      <c r="AD780" s="1435"/>
      <c r="AE780" s="1435"/>
      <c r="AF780" s="1435"/>
      <c r="AG780" s="1435"/>
      <c r="AH780" s="1435"/>
      <c r="AI780" s="1435"/>
      <c r="AJ780" s="1435"/>
      <c r="AK780" s="1435"/>
      <c r="AL780" s="1435"/>
      <c r="AO780" s="1121" t="b">
        <f t="shared" si="359"/>
        <v>0</v>
      </c>
    </row>
    <row r="781" spans="2:41" ht="12.75" customHeight="1">
      <c r="B781" s="467"/>
      <c r="C781" s="1056"/>
      <c r="D781" s="1057"/>
      <c r="E781" s="3267" t="s">
        <v>1493</v>
      </c>
      <c r="F781" s="2380"/>
      <c r="G781" s="2380"/>
      <c r="H781" s="2380"/>
      <c r="I781" s="2380"/>
      <c r="J781" s="2380"/>
      <c r="K781" s="2380"/>
      <c r="L781" s="2380"/>
      <c r="M781" s="2380"/>
      <c r="N781" s="3268"/>
      <c r="O781" s="481"/>
      <c r="P781" s="481"/>
      <c r="Q781" s="1249"/>
      <c r="S781" s="1249"/>
      <c r="AB781" s="1435"/>
      <c r="AC781" s="1435"/>
      <c r="AD781" s="1435"/>
      <c r="AE781" s="1435"/>
      <c r="AF781" s="1435"/>
      <c r="AG781" s="1435"/>
      <c r="AH781" s="1435"/>
      <c r="AI781" s="1435"/>
      <c r="AJ781" s="1435"/>
      <c r="AK781" s="1435"/>
      <c r="AL781" s="1435"/>
      <c r="AO781" s="1121" t="b">
        <f t="shared" si="359"/>
        <v>0</v>
      </c>
    </row>
    <row r="782" spans="2:41" ht="12.75" customHeight="1">
      <c r="B782" s="467"/>
      <c r="C782" s="1056"/>
      <c r="D782" s="982"/>
      <c r="E782" s="989"/>
      <c r="F782" s="990"/>
      <c r="G782" s="987" t="str">
        <f>EUconst_Unit</f>
        <v>Unit</v>
      </c>
      <c r="H782" s="782">
        <f t="shared" ref="H782:N782" si="365">H$1190</f>
        <v>2024</v>
      </c>
      <c r="I782" s="988">
        <f t="shared" si="365"/>
        <v>2025</v>
      </c>
      <c r="J782" s="1810">
        <f t="shared" si="365"/>
        <v>2026</v>
      </c>
      <c r="K782" s="1747">
        <f t="shared" si="365"/>
        <v>2027</v>
      </c>
      <c r="L782" s="1747">
        <f t="shared" si="365"/>
        <v>2028</v>
      </c>
      <c r="M782" s="1747">
        <f t="shared" si="365"/>
        <v>2029</v>
      </c>
      <c r="N782" s="1748">
        <f t="shared" si="365"/>
        <v>2030</v>
      </c>
      <c r="O782" s="481"/>
      <c r="P782" s="481"/>
      <c r="Q782" s="1249"/>
      <c r="S782" s="1249"/>
      <c r="AC782" s="1803">
        <f t="shared" ref="AC782:AI782" si="366">H$1190</f>
        <v>2024</v>
      </c>
      <c r="AD782" s="1803">
        <f t="shared" si="366"/>
        <v>2025</v>
      </c>
      <c r="AE782" s="1803">
        <f t="shared" si="366"/>
        <v>2026</v>
      </c>
      <c r="AF782" s="1803">
        <f t="shared" si="366"/>
        <v>2027</v>
      </c>
      <c r="AG782" s="1803">
        <f t="shared" si="366"/>
        <v>2028</v>
      </c>
      <c r="AH782" s="1803">
        <f t="shared" si="366"/>
        <v>2029</v>
      </c>
      <c r="AI782" s="1803">
        <f t="shared" si="366"/>
        <v>2030</v>
      </c>
      <c r="AO782" s="1121" t="b">
        <f t="shared" si="359"/>
        <v>0</v>
      </c>
    </row>
    <row r="783" spans="2:41" ht="12.75" customHeight="1">
      <c r="B783" s="467"/>
      <c r="C783" s="1056"/>
      <c r="D783" s="1061" t="s">
        <v>6</v>
      </c>
      <c r="E783" s="2475" t="s">
        <v>1577</v>
      </c>
      <c r="F783" s="2410"/>
      <c r="G783" s="815" t="str">
        <f>EUconst_TJpa</f>
        <v>TJ / year</v>
      </c>
      <c r="H783" s="646" t="str">
        <f>H617</f>
        <v/>
      </c>
      <c r="I783" s="949" t="str">
        <f t="shared" ref="I783:N783" si="367">I617</f>
        <v/>
      </c>
      <c r="J783" s="1811" t="str">
        <f t="shared" si="367"/>
        <v/>
      </c>
      <c r="K783" s="1751" t="str">
        <f t="shared" si="367"/>
        <v/>
      </c>
      <c r="L783" s="1751" t="str">
        <f t="shared" si="367"/>
        <v/>
      </c>
      <c r="M783" s="1751" t="str">
        <f t="shared" si="367"/>
        <v/>
      </c>
      <c r="N783" s="1752" t="str">
        <f t="shared" si="367"/>
        <v/>
      </c>
      <c r="O783" s="481"/>
      <c r="P783" s="481"/>
      <c r="Q783" s="1963" t="str">
        <f>EUconst_CNTR_FuelInput &amp; I770</f>
        <v>FuelInput_Fuel benchmark sub-installation, CL</v>
      </c>
      <c r="S783" s="1249"/>
      <c r="T783" s="1503">
        <f t="shared" ref="T783:Y783" si="368">H782</f>
        <v>2024</v>
      </c>
      <c r="U783" s="1503">
        <f t="shared" si="368"/>
        <v>2025</v>
      </c>
      <c r="V783" s="1503">
        <f t="shared" si="368"/>
        <v>2026</v>
      </c>
      <c r="W783" s="1503">
        <f t="shared" si="368"/>
        <v>2027</v>
      </c>
      <c r="X783" s="1503">
        <f t="shared" si="368"/>
        <v>2028</v>
      </c>
      <c r="Y783" s="1503">
        <f t="shared" si="368"/>
        <v>2029</v>
      </c>
      <c r="Z783" s="1503">
        <f>N782</f>
        <v>2030</v>
      </c>
      <c r="AB783" s="1641" t="s">
        <v>717</v>
      </c>
      <c r="AC783" s="1443" t="b">
        <f>AC777</f>
        <v>0</v>
      </c>
      <c r="AD783" s="1443" t="b">
        <f t="shared" ref="AD783:AI783" si="369">AD777</f>
        <v>0</v>
      </c>
      <c r="AE783" s="1443" t="b">
        <f t="shared" si="369"/>
        <v>0</v>
      </c>
      <c r="AF783" s="1443" t="b">
        <f t="shared" si="369"/>
        <v>0</v>
      </c>
      <c r="AG783" s="1443" t="b">
        <f t="shared" si="369"/>
        <v>0</v>
      </c>
      <c r="AH783" s="1443" t="b">
        <f t="shared" si="369"/>
        <v>0</v>
      </c>
      <c r="AI783" s="1443" t="b">
        <f t="shared" si="369"/>
        <v>0</v>
      </c>
      <c r="AK783" s="1633" t="s">
        <v>1954</v>
      </c>
      <c r="AL783" s="1635" t="str">
        <f>IF(AND(CNTR_ExistSubInstEntries,COUNTIFS(AC783:AI783,2,H783:N783,"")&gt;0),EUconst_Error&amp;"FB"&amp;Q609,"")</f>
        <v/>
      </c>
      <c r="AO783" s="1121" t="b">
        <f t="shared" si="359"/>
        <v>0</v>
      </c>
    </row>
    <row r="784" spans="2:41" ht="12.75" customHeight="1">
      <c r="B784" s="467"/>
      <c r="C784" s="1056"/>
      <c r="D784" s="1061" t="s">
        <v>7</v>
      </c>
      <c r="E784" s="2475" t="s">
        <v>1597</v>
      </c>
      <c r="F784" s="2410"/>
      <c r="G784" s="991" t="str">
        <f>EUconst_tCO2pTJ</f>
        <v>t CO2 / TJ</v>
      </c>
      <c r="H784" s="646" t="str">
        <f t="shared" ref="H784:N784" si="370">IF(COUNT(H777,H783)=2,H777/H783,"")</f>
        <v/>
      </c>
      <c r="I784" s="949" t="str">
        <f t="shared" si="370"/>
        <v/>
      </c>
      <c r="J784" s="1811" t="str">
        <f t="shared" si="370"/>
        <v/>
      </c>
      <c r="K784" s="1751" t="str">
        <f t="shared" si="370"/>
        <v/>
      </c>
      <c r="L784" s="1751" t="str">
        <f t="shared" si="370"/>
        <v/>
      </c>
      <c r="M784" s="1751" t="str">
        <f t="shared" si="370"/>
        <v/>
      </c>
      <c r="N784" s="1752" t="str">
        <f t="shared" si="370"/>
        <v/>
      </c>
      <c r="O784" s="481"/>
      <c r="P784" s="481"/>
      <c r="Q784" s="1963" t="str">
        <f>EUconst_CNTR_FuelEF &amp;I770</f>
        <v>FuelEF_Fuel benchmark sub-installation, CL</v>
      </c>
      <c r="S784" s="1997" t="str">
        <f>EUconst_ERR_AttrEmBMapplied &amp; I770</f>
        <v>ERR_AttrEmBM_Fuel benchmark sub-installation, CL</v>
      </c>
      <c r="T784" s="1443">
        <f t="shared" ref="T784:Z784" si="371">IF(AND(OR(H786&lt;&gt;0,AND(H789&lt;&gt;0,H790="")),EUconst_StatusOfDataCollection=FALSE),1,0)</f>
        <v>0</v>
      </c>
      <c r="U784" s="1443">
        <f t="shared" si="371"/>
        <v>0</v>
      </c>
      <c r="V784" s="1443">
        <f t="shared" si="371"/>
        <v>0</v>
      </c>
      <c r="W784" s="1443">
        <f t="shared" si="371"/>
        <v>0</v>
      </c>
      <c r="X784" s="1443">
        <f t="shared" si="371"/>
        <v>0</v>
      </c>
      <c r="Y784" s="1443">
        <f t="shared" si="371"/>
        <v>0</v>
      </c>
      <c r="Z784" s="1443">
        <f t="shared" si="371"/>
        <v>0</v>
      </c>
      <c r="AB784" s="1435"/>
      <c r="AC784" s="1443" t="b">
        <f>AC783</f>
        <v>0</v>
      </c>
      <c r="AD784" s="1443" t="b">
        <f t="shared" ref="AD784:AI784" si="372">AD783</f>
        <v>0</v>
      </c>
      <c r="AE784" s="1443" t="b">
        <f t="shared" si="372"/>
        <v>0</v>
      </c>
      <c r="AF784" s="1443" t="b">
        <f t="shared" si="372"/>
        <v>0</v>
      </c>
      <c r="AG784" s="1443" t="b">
        <f t="shared" si="372"/>
        <v>0</v>
      </c>
      <c r="AH784" s="1443" t="b">
        <f t="shared" si="372"/>
        <v>0</v>
      </c>
      <c r="AI784" s="1443" t="b">
        <f t="shared" si="372"/>
        <v>0</v>
      </c>
      <c r="AK784" s="1633" t="s">
        <v>1954</v>
      </c>
      <c r="AL784" s="1635" t="str">
        <f>IF(AND(CNTR_ExistSubInstEntries,COUNTIFS(AC784:AI784,2,H784:N784,"")&gt;0),EUconst_Error&amp;"FB"&amp;Q609,"")</f>
        <v/>
      </c>
      <c r="AO784" s="1121" t="b">
        <f t="shared" si="359"/>
        <v>0</v>
      </c>
    </row>
    <row r="785" spans="2:41" ht="5.0999999999999996" customHeight="1">
      <c r="B785" s="467"/>
      <c r="C785" s="1056"/>
      <c r="D785" s="1057"/>
      <c r="E785" s="1057"/>
      <c r="F785" s="1057"/>
      <c r="G785" s="1057"/>
      <c r="H785" s="1057"/>
      <c r="I785" s="1057"/>
      <c r="J785" s="1965"/>
      <c r="K785" s="1966"/>
      <c r="L785" s="1966"/>
      <c r="M785" s="1966"/>
      <c r="N785" s="1967"/>
      <c r="O785" s="481"/>
      <c r="P785" s="481"/>
      <c r="Q785" s="1249"/>
      <c r="AB785" s="1435"/>
      <c r="AE785" s="1198"/>
      <c r="AF785" s="1198"/>
      <c r="AG785" s="1198"/>
      <c r="AH785" s="1198"/>
      <c r="AI785" s="1198"/>
      <c r="AO785" s="1121" t="b">
        <f t="shared" si="359"/>
        <v>0</v>
      </c>
    </row>
    <row r="786" spans="2:41" ht="12.75" customHeight="1">
      <c r="B786" s="467"/>
      <c r="C786" s="1056"/>
      <c r="D786" s="1061" t="s">
        <v>8</v>
      </c>
      <c r="E786" s="2475" t="s">
        <v>1481</v>
      </c>
      <c r="F786" s="2410"/>
      <c r="G786" s="815" t="str">
        <f>EUconst_TJpa</f>
        <v>TJ / year</v>
      </c>
      <c r="H786" s="1479" t="str">
        <f>c_ALR2025!M6397</f>
        <v/>
      </c>
      <c r="I786" s="1532"/>
      <c r="J786" s="1811"/>
      <c r="K786" s="1751"/>
      <c r="L786" s="1751"/>
      <c r="M786" s="1751"/>
      <c r="N786" s="1752"/>
      <c r="O786" s="481"/>
      <c r="P786" s="481"/>
      <c r="Q786" s="1140" t="str">
        <f>EUconst_CNTR_WGConsumed &amp; I770</f>
        <v>WasteGasCons_Fuel benchmark sub-installation, CL</v>
      </c>
      <c r="AB786" s="1435"/>
      <c r="AC786" s="1443" t="b">
        <f>AC783</f>
        <v>0</v>
      </c>
      <c r="AD786" s="1443" t="b">
        <f t="shared" ref="AD786:AI786" si="373">AD783</f>
        <v>0</v>
      </c>
      <c r="AE786" s="1443" t="b">
        <f t="shared" si="373"/>
        <v>0</v>
      </c>
      <c r="AF786" s="1443" t="b">
        <f t="shared" si="373"/>
        <v>0</v>
      </c>
      <c r="AG786" s="1443" t="b">
        <f t="shared" si="373"/>
        <v>0</v>
      </c>
      <c r="AH786" s="1443" t="b">
        <f t="shared" si="373"/>
        <v>0</v>
      </c>
      <c r="AI786" s="1443" t="b">
        <f t="shared" si="373"/>
        <v>0</v>
      </c>
      <c r="AK786" s="1633" t="s">
        <v>1954</v>
      </c>
      <c r="AL786" s="1635" t="str">
        <f>IF(AND(CNTR_ExistSubInstEntries,COUNTIFS(AC786:AI786,2,H786:N786,"")&gt;0),EUconst_Error&amp;"FB"&amp;Q609,"")</f>
        <v/>
      </c>
      <c r="AO786" s="1121" t="b">
        <f t="shared" si="359"/>
        <v>0</v>
      </c>
    </row>
    <row r="787" spans="2:41" ht="12.75" customHeight="1">
      <c r="B787" s="467"/>
      <c r="C787" s="1056"/>
      <c r="D787" s="1061" t="s">
        <v>18</v>
      </c>
      <c r="E787" s="2475" t="s">
        <v>1482</v>
      </c>
      <c r="F787" s="2410"/>
      <c r="G787" s="991" t="str">
        <f>EUconst_tCO2pTJ</f>
        <v>t CO2 / TJ</v>
      </c>
      <c r="H787" s="1582" t="str">
        <f>c_ALR2025!M6398</f>
        <v/>
      </c>
      <c r="I787" s="1882"/>
      <c r="J787" s="1811"/>
      <c r="K787" s="1751"/>
      <c r="L787" s="1751"/>
      <c r="M787" s="1751"/>
      <c r="N787" s="1752"/>
      <c r="O787" s="481"/>
      <c r="P787" s="481"/>
      <c r="Q787" s="1963" t="str">
        <f>EUconst_CNTR_WGConsumedEF &amp; I770</f>
        <v>WasteGasConsEF_Fuel benchmark sub-installation, CL</v>
      </c>
      <c r="S787" s="1968" t="str">
        <f>EUconst_CNTR_AttributedEmissions &amp; I770</f>
        <v>AttrEmissions_Fuel benchmark sub-installation, CL</v>
      </c>
      <c r="T787" s="1443" t="str">
        <f t="shared" ref="T787:Z787" si="374">IF(T617,SUM(H786)*EUconst_FuelBMvalue,"")</f>
        <v/>
      </c>
      <c r="U787" s="1443" t="str">
        <f t="shared" si="374"/>
        <v/>
      </c>
      <c r="V787" s="1443" t="str">
        <f t="shared" si="374"/>
        <v/>
      </c>
      <c r="W787" s="1443" t="str">
        <f t="shared" si="374"/>
        <v/>
      </c>
      <c r="X787" s="1443" t="str">
        <f t="shared" si="374"/>
        <v/>
      </c>
      <c r="Y787" s="1443" t="str">
        <f t="shared" si="374"/>
        <v/>
      </c>
      <c r="Z787" s="1443" t="str">
        <f t="shared" si="374"/>
        <v/>
      </c>
      <c r="AB787" s="1435"/>
      <c r="AC787" s="1443" t="b">
        <f>AC784</f>
        <v>0</v>
      </c>
      <c r="AD787" s="1443" t="b">
        <f t="shared" ref="AD787:AI787" si="375">AD784</f>
        <v>0</v>
      </c>
      <c r="AE787" s="1443" t="b">
        <f t="shared" si="375"/>
        <v>0</v>
      </c>
      <c r="AF787" s="1443" t="b">
        <f t="shared" si="375"/>
        <v>0</v>
      </c>
      <c r="AG787" s="1443" t="b">
        <f t="shared" si="375"/>
        <v>0</v>
      </c>
      <c r="AH787" s="1443" t="b">
        <f t="shared" si="375"/>
        <v>0</v>
      </c>
      <c r="AI787" s="1443" t="b">
        <f t="shared" si="375"/>
        <v>0</v>
      </c>
      <c r="AK787" s="1633" t="s">
        <v>1954</v>
      </c>
      <c r="AL787" s="1635" t="str">
        <f>IF(AND(CNTR_ExistSubInstEntries,COUNTIFS(AC787:AI787,2,H787:N787,"")&gt;0),EUconst_Error&amp;"FB"&amp;Q609,"")</f>
        <v/>
      </c>
      <c r="AO787" s="1121" t="b">
        <f t="shared" si="359"/>
        <v>0</v>
      </c>
    </row>
    <row r="788" spans="2:41" ht="5.0999999999999996" customHeight="1">
      <c r="B788" s="467"/>
      <c r="C788" s="1056"/>
      <c r="D788" s="1057"/>
      <c r="E788" s="1057"/>
      <c r="F788" s="1057"/>
      <c r="G788" s="1057"/>
      <c r="H788" s="1057"/>
      <c r="I788" s="1057"/>
      <c r="J788" s="1965"/>
      <c r="K788" s="1966"/>
      <c r="L788" s="1966"/>
      <c r="M788" s="1966"/>
      <c r="N788" s="1967"/>
      <c r="O788" s="481"/>
      <c r="P788" s="481"/>
      <c r="Q788" s="1249"/>
      <c r="AE788" s="1198"/>
      <c r="AF788" s="1198"/>
      <c r="AG788" s="1198"/>
      <c r="AH788" s="1198"/>
      <c r="AI788" s="1198"/>
      <c r="AO788" s="1121" t="b">
        <f t="shared" si="359"/>
        <v>0</v>
      </c>
    </row>
    <row r="789" spans="2:41" ht="12.75" customHeight="1">
      <c r="B789" s="467"/>
      <c r="C789" s="1056"/>
      <c r="D789" s="982" t="s">
        <v>57</v>
      </c>
      <c r="E789" s="2470" t="s">
        <v>1079</v>
      </c>
      <c r="F789" s="2410"/>
      <c r="G789" s="815" t="str">
        <f>EUconst_TJpa</f>
        <v>TJ / year</v>
      </c>
      <c r="H789" s="1479" t="str">
        <f>c_ALR2025!M6400</f>
        <v/>
      </c>
      <c r="I789" s="1532"/>
      <c r="J789" s="1811"/>
      <c r="K789" s="1751"/>
      <c r="L789" s="1751"/>
      <c r="M789" s="1751"/>
      <c r="N789" s="1752"/>
      <c r="O789" s="481"/>
      <c r="P789" s="481"/>
      <c r="Q789" s="1970" t="str">
        <f>EUconst_CNTR_HeatExport &amp; I770</f>
        <v>HeatEx_Fuel benchmark sub-installation, CL</v>
      </c>
      <c r="S789" s="1968" t="str">
        <f>EUconst_CNTR_AttributedEmissions &amp; I770</f>
        <v>AttrEmissions_Fuel benchmark sub-installation, CL</v>
      </c>
      <c r="T789" s="1443" t="str">
        <f t="shared" ref="T789:Z789" si="376">IF(T617,-SUM(H789)*IF(ISNUMBER(H790),H790,EUconst_HeatBMvalue),"")</f>
        <v/>
      </c>
      <c r="U789" s="1443" t="str">
        <f t="shared" si="376"/>
        <v/>
      </c>
      <c r="V789" s="1443" t="str">
        <f t="shared" si="376"/>
        <v/>
      </c>
      <c r="W789" s="1443" t="str">
        <f t="shared" si="376"/>
        <v/>
      </c>
      <c r="X789" s="1443" t="str">
        <f t="shared" si="376"/>
        <v/>
      </c>
      <c r="Y789" s="1443" t="str">
        <f t="shared" si="376"/>
        <v/>
      </c>
      <c r="Z789" s="1443" t="str">
        <f t="shared" si="376"/>
        <v/>
      </c>
      <c r="AC789" s="1443" t="b">
        <f>AC786</f>
        <v>0</v>
      </c>
      <c r="AD789" s="1443" t="b">
        <f t="shared" ref="AD789:AI789" si="377">AD786</f>
        <v>0</v>
      </c>
      <c r="AE789" s="1443" t="b">
        <f t="shared" si="377"/>
        <v>0</v>
      </c>
      <c r="AF789" s="1443" t="b">
        <f t="shared" si="377"/>
        <v>0</v>
      </c>
      <c r="AG789" s="1443" t="b">
        <f t="shared" si="377"/>
        <v>0</v>
      </c>
      <c r="AH789" s="1443" t="b">
        <f t="shared" si="377"/>
        <v>0</v>
      </c>
      <c r="AI789" s="1443" t="b">
        <f t="shared" si="377"/>
        <v>0</v>
      </c>
      <c r="AK789" s="1633" t="s">
        <v>1954</v>
      </c>
      <c r="AL789" s="1635" t="str">
        <f>IF(AND(CNTR_ExistSubInstEntries,COUNTIFS(AC789:AI789,2,H789:N789,"")&gt;0),EUconst_Error&amp;"FB"&amp;Q609,"")</f>
        <v/>
      </c>
      <c r="AO789" s="1121" t="b">
        <f t="shared" si="359"/>
        <v>0</v>
      </c>
    </row>
    <row r="790" spans="2:41" ht="12.75" customHeight="1">
      <c r="B790" s="467"/>
      <c r="C790" s="1056"/>
      <c r="D790" s="982"/>
      <c r="E790" s="2475" t="s">
        <v>1541</v>
      </c>
      <c r="F790" s="2410"/>
      <c r="G790" s="991" t="str">
        <f>EUconst_tCO2pTJ</f>
        <v>t CO2 / TJ</v>
      </c>
      <c r="H790" s="1582" t="str">
        <f>c_ALR2025!M6401</f>
        <v/>
      </c>
      <c r="I790" s="1882"/>
      <c r="J790" s="1811"/>
      <c r="K790" s="1751"/>
      <c r="L790" s="1751"/>
      <c r="M790" s="1751"/>
      <c r="N790" s="1752"/>
      <c r="O790" s="481"/>
      <c r="P790" s="481"/>
      <c r="Q790" s="1970" t="str">
        <f>EUconst_CNTR_HeatExportEF &amp; I770</f>
        <v>HeatExEF_Fuel benchmark sub-installation, CL</v>
      </c>
      <c r="S790" s="1971"/>
      <c r="AC790" s="1443" t="b">
        <f>AC787</f>
        <v>0</v>
      </c>
      <c r="AD790" s="1443" t="b">
        <f t="shared" ref="AD790:AI790" si="378">AD787</f>
        <v>0</v>
      </c>
      <c r="AE790" s="1443" t="b">
        <f t="shared" si="378"/>
        <v>0</v>
      </c>
      <c r="AF790" s="1443" t="b">
        <f t="shared" si="378"/>
        <v>0</v>
      </c>
      <c r="AG790" s="1443" t="b">
        <f t="shared" si="378"/>
        <v>0</v>
      </c>
      <c r="AH790" s="1443" t="b">
        <f t="shared" si="378"/>
        <v>0</v>
      </c>
      <c r="AI790" s="1443" t="b">
        <f t="shared" si="378"/>
        <v>0</v>
      </c>
      <c r="AK790" s="1633" t="s">
        <v>1954</v>
      </c>
      <c r="AL790" s="1635" t="str">
        <f>IF(AND(CNTR_ExistSubInstEntries,COUNTIFS(AC790:AI790,2,H790:N790,"")&gt;0),EUconst_Error&amp;"FB"&amp;Q609,"")</f>
        <v/>
      </c>
      <c r="AO790" s="1121" t="b">
        <f t="shared" si="359"/>
        <v>0</v>
      </c>
    </row>
    <row r="791" spans="2:41" ht="12.75" customHeight="1">
      <c r="B791" s="467"/>
      <c r="C791" s="1056"/>
      <c r="D791" s="982"/>
      <c r="E791" s="3292" t="s">
        <v>2297</v>
      </c>
      <c r="F791" s="2671"/>
      <c r="G791" s="2671"/>
      <c r="H791" s="2671"/>
      <c r="I791" s="2671"/>
      <c r="J791" s="2671"/>
      <c r="K791" s="2671"/>
      <c r="L791" s="2671"/>
      <c r="M791" s="2671"/>
      <c r="N791" s="2712"/>
      <c r="O791" s="481"/>
      <c r="P791" s="481"/>
      <c r="Q791" s="1249"/>
      <c r="S791" s="1971"/>
      <c r="AE791" s="1198"/>
      <c r="AF791" s="1198"/>
      <c r="AG791" s="1198"/>
      <c r="AH791" s="1198"/>
      <c r="AI791" s="1198"/>
      <c r="AO791" s="1121" t="b">
        <f t="shared" si="359"/>
        <v>0</v>
      </c>
    </row>
    <row r="792" spans="2:41" ht="12.75" customHeight="1">
      <c r="B792" s="467"/>
      <c r="C792" s="1056"/>
      <c r="D792" s="1057"/>
      <c r="E792" s="3290" t="s">
        <v>1353</v>
      </c>
      <c r="F792" s="2646"/>
      <c r="G792" s="2646"/>
      <c r="H792" s="2646"/>
      <c r="I792" s="2646"/>
      <c r="J792" s="2646"/>
      <c r="K792" s="2646"/>
      <c r="L792" s="2646"/>
      <c r="M792" s="2646"/>
      <c r="N792" s="2647"/>
      <c r="O792" s="481"/>
      <c r="P792" s="481"/>
      <c r="Q792" s="1249"/>
      <c r="S792" s="1249"/>
      <c r="AE792" s="1198"/>
      <c r="AF792" s="1198"/>
      <c r="AG792" s="1198"/>
      <c r="AH792" s="1198"/>
      <c r="AI792" s="1198"/>
      <c r="AO792" s="1121" t="b">
        <f t="shared" si="359"/>
        <v>0</v>
      </c>
    </row>
    <row r="793" spans="2:41" ht="12.75" customHeight="1" thickBot="1">
      <c r="B793" s="467"/>
      <c r="C793" s="1063"/>
      <c r="D793" s="1064"/>
      <c r="E793" s="1064"/>
      <c r="F793" s="1064"/>
      <c r="G793" s="1064"/>
      <c r="H793" s="1064"/>
      <c r="I793" s="1064"/>
      <c r="J793" s="1064"/>
      <c r="K793" s="1064"/>
      <c r="L793" s="1064"/>
      <c r="M793" s="1065"/>
      <c r="N793" s="1066"/>
      <c r="O793" s="481"/>
      <c r="P793" s="481"/>
      <c r="Q793" s="1249"/>
      <c r="S793" s="1249"/>
      <c r="AE793" s="1198"/>
      <c r="AF793" s="1198"/>
      <c r="AG793" s="1198"/>
      <c r="AH793" s="1198"/>
      <c r="AI793" s="1198"/>
      <c r="AO793" s="1121" t="b">
        <f t="shared" si="359"/>
        <v>0</v>
      </c>
    </row>
    <row r="794" spans="2:41" ht="25.5" customHeight="1" thickBot="1">
      <c r="B794" s="1124"/>
      <c r="C794" s="485"/>
      <c r="D794" s="485"/>
      <c r="E794" s="485"/>
      <c r="F794" s="485"/>
      <c r="G794" s="485"/>
      <c r="H794" s="485"/>
      <c r="I794" s="485"/>
      <c r="J794" s="485"/>
      <c r="K794" s="485"/>
      <c r="L794" s="485"/>
      <c r="M794" s="485"/>
      <c r="N794" s="485"/>
      <c r="O794" s="481"/>
      <c r="P794" s="481"/>
    </row>
    <row r="795" spans="2:41" ht="5.0999999999999996" customHeight="1" thickBot="1">
      <c r="B795" s="467"/>
      <c r="C795" s="686"/>
      <c r="D795" s="686"/>
      <c r="E795" s="686"/>
      <c r="F795" s="686"/>
      <c r="G795" s="686"/>
      <c r="H795" s="686"/>
      <c r="I795" s="686"/>
      <c r="J795" s="686"/>
      <c r="K795" s="686"/>
      <c r="L795" s="686"/>
      <c r="M795" s="686"/>
      <c r="N795" s="686"/>
      <c r="O795" s="481"/>
      <c r="P795" s="481"/>
      <c r="Q795" s="1969"/>
      <c r="R795" s="1969"/>
      <c r="S795" s="1969"/>
      <c r="T795" s="1969"/>
      <c r="U795" s="1969"/>
      <c r="V795" s="1969"/>
      <c r="W795" s="1969"/>
      <c r="X795" s="1969"/>
      <c r="Y795" s="1969"/>
      <c r="Z795" s="1969"/>
      <c r="AA795" s="1969"/>
      <c r="AB795" s="1969"/>
      <c r="AC795" s="1969"/>
      <c r="AD795" s="1969"/>
      <c r="AE795" s="1969"/>
      <c r="AF795" s="1969"/>
      <c r="AG795" s="1969"/>
      <c r="AH795" s="1969"/>
      <c r="AI795" s="1969"/>
      <c r="AJ795" s="1969"/>
      <c r="AK795" s="1969"/>
      <c r="AL795" s="1969"/>
    </row>
    <row r="796" spans="2:41" ht="14.45" customHeight="1" thickBot="1">
      <c r="B796" s="467"/>
      <c r="C796" s="559">
        <f>C609+1</f>
        <v>5</v>
      </c>
      <c r="D796" s="2482" t="str">
        <f>EUconst_FBSubinst &amp; ":"</f>
        <v>Fall-Back sub-installation:</v>
      </c>
      <c r="E796" s="2400"/>
      <c r="F796" s="2400"/>
      <c r="G796" s="2400"/>
      <c r="H796" s="2585"/>
      <c r="I796" s="3293" t="str">
        <f>INDEX(EUconst_FallBackListNames,$C796)</f>
        <v>Fuel benchmark sub-installation, non-CL</v>
      </c>
      <c r="J796" s="3294"/>
      <c r="K796" s="3294"/>
      <c r="L796" s="3295"/>
      <c r="M796" s="3370" t="str">
        <f>IF(INDEX(CNTR_FallBackSubInstRelevant,C796)="","",IF(INDEX(CNTR_FallBackSubInstRelevant,C796),EUconst_Relevant,EUconst_NotRelevant))</f>
        <v/>
      </c>
      <c r="N796" s="3371"/>
      <c r="O796" s="481"/>
      <c r="P796" s="481"/>
      <c r="Q796" s="1889">
        <f>C796</f>
        <v>5</v>
      </c>
      <c r="S796" s="1633" t="s">
        <v>558</v>
      </c>
      <c r="T796" s="1634" t="str">
        <f>IF(M796&lt;&gt;EUconst_Relevant,"",MAX(INDEX(CNTR_SubInstStartDate,MATCH($I796,CNTR_SubInstListNames,0)),DATE(2005,1,1)))</f>
        <v/>
      </c>
      <c r="U796" s="1435" t="s">
        <v>1673</v>
      </c>
      <c r="V796" s="1635">
        <f>IF(ISNUMBER(T796),YEAR($T796-1)+1,2005)</f>
        <v>2005</v>
      </c>
      <c r="W796" s="1633" t="s">
        <v>1676</v>
      </c>
      <c r="X796" s="1634" t="str">
        <f>IF(M796&lt;&gt;EUconst_Relevant,"",INDEX(CNTR_SubInstCessationDate,MATCH($I796,CNTR_SubInstListNames,0)))</f>
        <v/>
      </c>
      <c r="Y796" s="1633" t="s">
        <v>1677</v>
      </c>
      <c r="Z796" s="1635">
        <f>IF(SUM(X796)=0,2050,YEAR($X796))</f>
        <v>2050</v>
      </c>
      <c r="AA796" s="1633" t="s">
        <v>1925</v>
      </c>
      <c r="AB796" s="1635" t="b">
        <f>CNTR_ReportingYear&gt;V796</f>
        <v>1</v>
      </c>
      <c r="AC796" s="1633" t="s">
        <v>1343</v>
      </c>
      <c r="AD796" s="1848" t="b">
        <f>AND(CNTR_ExistSubInstEntries,M796=EUconst_NotRelevant)</f>
        <v>0</v>
      </c>
    </row>
    <row r="797" spans="2:41" ht="12.75" customHeight="1">
      <c r="B797" s="1124"/>
      <c r="C797" s="485"/>
      <c r="D797" s="485"/>
      <c r="E797" s="485"/>
      <c r="F797" s="485"/>
      <c r="G797" s="485"/>
      <c r="H797" s="484"/>
      <c r="I797" s="2716" t="str">
        <f>IF(M796&lt;&gt;EUconst_Relevant,"",IF(M796=EUconst_Relevant,HYPERLINK("",EUconst_MsgEnterThisSection),HYPERLINK(R797,EUconst_MsgGoToNextSubInst)))</f>
        <v/>
      </c>
      <c r="J797" s="2717"/>
      <c r="K797" s="2717"/>
      <c r="L797" s="2717"/>
      <c r="M797" s="2718"/>
      <c r="N797" s="2719"/>
      <c r="O797" s="481"/>
      <c r="P797" s="481"/>
      <c r="Q797" s="1198" t="s">
        <v>441</v>
      </c>
      <c r="R797" s="1303" t="str">
        <f>"#JUMP_G"&amp;Q796+1</f>
        <v>#JUMP_G6</v>
      </c>
      <c r="Z797" s="1435"/>
    </row>
    <row r="798" spans="2:41" ht="12.75" customHeight="1">
      <c r="B798" s="467"/>
      <c r="C798" s="467"/>
      <c r="D798" s="485"/>
      <c r="E798" s="2385" t="s">
        <v>1197</v>
      </c>
      <c r="F798" s="2846"/>
      <c r="G798" s="2846"/>
      <c r="H798" s="2846"/>
      <c r="I798" s="2846"/>
      <c r="J798" s="2846"/>
      <c r="K798" s="2846"/>
      <c r="L798" s="2846"/>
      <c r="M798" s="2846"/>
      <c r="N798" s="2846"/>
      <c r="O798" s="481"/>
      <c r="P798" s="481"/>
      <c r="Q798" s="1249"/>
      <c r="R798" s="1249"/>
      <c r="AO798" s="1121" t="b">
        <f>$AD$796</f>
        <v>0</v>
      </c>
    </row>
    <row r="799" spans="2:41" ht="5.0999999999999996" customHeight="1">
      <c r="B799" s="467"/>
      <c r="C799" s="467"/>
      <c r="D799" s="467"/>
      <c r="E799" s="467"/>
      <c r="F799" s="467"/>
      <c r="G799" s="467"/>
      <c r="H799" s="467"/>
      <c r="I799" s="467"/>
      <c r="J799" s="467"/>
      <c r="K799" s="467"/>
      <c r="L799" s="467"/>
      <c r="M799" s="481"/>
      <c r="N799" s="481"/>
      <c r="O799" s="481"/>
      <c r="P799" s="481"/>
      <c r="Q799" s="1249"/>
      <c r="R799" s="1249"/>
      <c r="S799" s="1249"/>
      <c r="T799" s="1249"/>
      <c r="U799" s="1249"/>
      <c r="V799" s="1249"/>
      <c r="W799" s="1249"/>
      <c r="X799" s="1249"/>
      <c r="Y799" s="1249"/>
      <c r="AO799" s="1121" t="b">
        <f t="shared" ref="AO799:AO862" si="379">$AD$796</f>
        <v>0</v>
      </c>
    </row>
    <row r="800" spans="2:41" ht="12.75" customHeight="1">
      <c r="B800" s="467"/>
      <c r="C800" s="482"/>
      <c r="D800" s="482" t="s">
        <v>400</v>
      </c>
      <c r="E800" s="2373" t="s">
        <v>1930</v>
      </c>
      <c r="F800" s="2400"/>
      <c r="G800" s="2400"/>
      <c r="H800" s="2400"/>
      <c r="I800" s="2400"/>
      <c r="J800" s="2400"/>
      <c r="K800" s="2400"/>
      <c r="L800" s="2400"/>
      <c r="M800" s="2400"/>
      <c r="N800" s="2400"/>
      <c r="O800" s="481"/>
      <c r="P800" s="481"/>
      <c r="Q800" s="1249"/>
      <c r="R800" s="1249"/>
      <c r="S800" s="1249"/>
      <c r="T800" s="1249"/>
      <c r="U800" s="1249"/>
      <c r="V800" s="1249"/>
      <c r="W800" s="1249"/>
      <c r="X800" s="1249"/>
      <c r="Y800" s="1249"/>
      <c r="AB800" s="1435"/>
      <c r="AO800" s="1121" t="b">
        <f t="shared" si="379"/>
        <v>0</v>
      </c>
    </row>
    <row r="801" spans="1:41" ht="12.75" customHeight="1">
      <c r="B801" s="467"/>
      <c r="C801" s="485"/>
      <c r="D801" s="485"/>
      <c r="E801" s="3184" t="s">
        <v>1960</v>
      </c>
      <c r="F801" s="3184"/>
      <c r="G801" s="3184"/>
      <c r="H801" s="3184"/>
      <c r="I801" s="3184"/>
      <c r="J801" s="3184"/>
      <c r="K801" s="3184"/>
      <c r="L801" s="3184"/>
      <c r="M801" s="3184"/>
      <c r="N801" s="3184"/>
      <c r="O801" s="481"/>
      <c r="P801" s="481"/>
      <c r="Q801" s="1249"/>
      <c r="AO801" s="1121" t="b">
        <f t="shared" si="379"/>
        <v>0</v>
      </c>
    </row>
    <row r="802" spans="1:41" ht="12.75" customHeight="1">
      <c r="B802" s="467"/>
      <c r="C802" s="467"/>
      <c r="D802" s="485"/>
      <c r="E802" s="3050" t="s">
        <v>2221</v>
      </c>
      <c r="F802" s="2584"/>
      <c r="G802" s="2584"/>
      <c r="H802" s="2584"/>
      <c r="I802" s="2584"/>
      <c r="J802" s="2584"/>
      <c r="K802" s="2584"/>
      <c r="L802" s="2584"/>
      <c r="M802" s="2584"/>
      <c r="N802" s="2584"/>
      <c r="O802" s="481"/>
      <c r="P802" s="481"/>
      <c r="Q802" s="1249"/>
      <c r="AA802" s="1435"/>
      <c r="AB802" s="1435"/>
      <c r="AO802" s="1121" t="b">
        <f t="shared" si="379"/>
        <v>0</v>
      </c>
    </row>
    <row r="803" spans="1:41" ht="12.75" customHeight="1" thickBot="1">
      <c r="B803" s="1124"/>
      <c r="C803" s="482"/>
      <c r="D803" s="482"/>
      <c r="E803" s="707" t="s">
        <v>920</v>
      </c>
      <c r="F803" s="518"/>
      <c r="G803" s="663" t="str">
        <f>EUconst_Unit</f>
        <v>Unit</v>
      </c>
      <c r="H803" s="578">
        <f t="shared" ref="H803:N803" si="380">H$1190</f>
        <v>2024</v>
      </c>
      <c r="I803" s="697">
        <f t="shared" si="380"/>
        <v>2025</v>
      </c>
      <c r="J803" s="1489">
        <f t="shared" si="380"/>
        <v>2026</v>
      </c>
      <c r="K803" s="1490">
        <f t="shared" si="380"/>
        <v>2027</v>
      </c>
      <c r="L803" s="1490">
        <f t="shared" si="380"/>
        <v>2028</v>
      </c>
      <c r="M803" s="1490">
        <f t="shared" si="380"/>
        <v>2029</v>
      </c>
      <c r="N803" s="1490">
        <f t="shared" si="380"/>
        <v>2030</v>
      </c>
      <c r="O803" s="481"/>
      <c r="P803" s="481"/>
      <c r="Q803" s="1504" t="s">
        <v>546</v>
      </c>
      <c r="T803" s="1638">
        <f t="shared" ref="T803:Z803" si="381">H803</f>
        <v>2024</v>
      </c>
      <c r="U803" s="1638">
        <f t="shared" si="381"/>
        <v>2025</v>
      </c>
      <c r="V803" s="1638">
        <f t="shared" si="381"/>
        <v>2026</v>
      </c>
      <c r="W803" s="1638">
        <f t="shared" si="381"/>
        <v>2027</v>
      </c>
      <c r="X803" s="1638">
        <f t="shared" si="381"/>
        <v>2028</v>
      </c>
      <c r="Y803" s="1638">
        <f t="shared" si="381"/>
        <v>2029</v>
      </c>
      <c r="Z803" s="1638">
        <f t="shared" si="381"/>
        <v>2030</v>
      </c>
      <c r="AA803" s="1435"/>
      <c r="AB803" s="1435"/>
      <c r="AO803" s="1121" t="b">
        <f t="shared" si="379"/>
        <v>0</v>
      </c>
    </row>
    <row r="804" spans="1:41" ht="12.75" customHeight="1" thickBot="1">
      <c r="B804" s="1124"/>
      <c r="C804" s="485"/>
      <c r="D804" s="561" t="s">
        <v>6</v>
      </c>
      <c r="E804" s="3296" t="str">
        <f>I796</f>
        <v>Fuel benchmark sub-installation, non-CL</v>
      </c>
      <c r="F804" s="3296"/>
      <c r="G804" s="898" t="str">
        <f>INDEX(EUconst_FallBackListUnits,MATCH(E804,EUconst_FallBackListNames,0))</f>
        <v>TJ</v>
      </c>
      <c r="H804" s="668" t="str">
        <f>IF($M796&lt;&gt;EUconst_Relevant,"",IF(H803&gt;=CNTR_ReportingYear,"",IF(AND(H803&gt;=$V796-1,ISNUMBER(INDEX(E_EnergyFlows!H$400:H$406,MATCH($E804,E_EnergyFlows!$E$400:$E$406,0)))),INDEX(E_EnergyFlows!H$400:H$406,MATCH($E804,E_EnergyFlows!$E$400:$E$406,0)),0)))</f>
        <v/>
      </c>
      <c r="I804" s="1021" t="str">
        <f>IF($M796&lt;&gt;EUconst_Relevant,"",IF(I803&gt;=CNTR_ReportingYear,"",IF(AND(I803&gt;=$V796-1,ISNUMBER(INDEX(E_EnergyFlows!I$400:I$406,MATCH($E804,E_EnergyFlows!$E$400:$E$406,0)))),INDEX(E_EnergyFlows!I$400:I$406,MATCH($E804,E_EnergyFlows!$E$400:$E$406,0)),0)))</f>
        <v/>
      </c>
      <c r="J804" s="1491" t="str">
        <f>IF($M796&lt;&gt;EUconst_Relevant,"",IF(J803&gt;=CNTR_ReportingYear,"",IF(AND(J803&gt;=$V796-1,ISNUMBER(INDEX(E_EnergyFlows!J$400:J$406,MATCH($E804,E_EnergyFlows!$E$400:$E$406,0)))),INDEX(E_EnergyFlows!J$400:J$406,MATCH($E804,E_EnergyFlows!$E$400:$E$406,0)),0)))</f>
        <v/>
      </c>
      <c r="K804" s="1492" t="str">
        <f>IF($M796&lt;&gt;EUconst_Relevant,"",IF(K803&gt;=CNTR_ReportingYear,"",IF(AND(K803&gt;=$V796-1,ISNUMBER(INDEX(E_EnergyFlows!K$400:K$406,MATCH($E804,E_EnergyFlows!$E$400:$E$406,0)))),INDEX(E_EnergyFlows!K$400:K$406,MATCH($E804,E_EnergyFlows!$E$400:$E$406,0)),0)))</f>
        <v/>
      </c>
      <c r="L804" s="1492" t="str">
        <f>IF($M796&lt;&gt;EUconst_Relevant,"",IF(L803&gt;=CNTR_ReportingYear,"",IF(AND(L803&gt;=$V796-1,ISNUMBER(INDEX(E_EnergyFlows!L$400:L$406,MATCH($E804,E_EnergyFlows!$E$400:$E$406,0)))),INDEX(E_EnergyFlows!L$400:L$406,MATCH($E804,E_EnergyFlows!$E$400:$E$406,0)),0)))</f>
        <v/>
      </c>
      <c r="M804" s="1492" t="str">
        <f>IF($M796&lt;&gt;EUconst_Relevant,"",IF(M803&gt;=CNTR_ReportingYear,"",IF(AND(M803&gt;=$V796-1,ISNUMBER(INDEX(E_EnergyFlows!M$400:M$406,MATCH($E804,E_EnergyFlows!$E$400:$E$406,0)))),INDEX(E_EnergyFlows!M$400:M$406,MATCH($E804,E_EnergyFlows!$E$400:$E$406,0)),0)))</f>
        <v/>
      </c>
      <c r="N804" s="1492" t="str">
        <f>IF($M796&lt;&gt;EUconst_Relevant,"",IF(N803&gt;=CNTR_ReportingYear,"",IF(AND(N803&gt;=$V796-1,ISNUMBER(INDEX(E_EnergyFlows!N$400:N$406,MATCH($E804,E_EnergyFlows!$E$400:$E$406,0)))),INDEX(E_EnergyFlows!N$400:N$406,MATCH($E804,E_EnergyFlows!$E$400:$E$406,0)),0)))</f>
        <v/>
      </c>
      <c r="O804" s="1136"/>
      <c r="P804" s="481"/>
      <c r="Q804" s="1892" t="str">
        <f>EUconst_CNTR_HAL&amp;E804</f>
        <v>HAL_Fuel benchmark sub-installation, non-CL</v>
      </c>
      <c r="S804" s="1893" t="s">
        <v>1674</v>
      </c>
      <c r="T804" s="1981" t="b">
        <f t="shared" ref="T804:Z804" si="382">AND($M796=EUconst_Relevant,T803&lt;CNTR_ReportingYear,T803&gt;=$V796-1)</f>
        <v>0</v>
      </c>
      <c r="U804" s="1982" t="b">
        <f t="shared" si="382"/>
        <v>0</v>
      </c>
      <c r="V804" s="1982" t="b">
        <f t="shared" si="382"/>
        <v>0</v>
      </c>
      <c r="W804" s="1982" t="b">
        <f t="shared" si="382"/>
        <v>0</v>
      </c>
      <c r="X804" s="1982" t="b">
        <f t="shared" si="382"/>
        <v>0</v>
      </c>
      <c r="Y804" s="1982" t="b">
        <f t="shared" si="382"/>
        <v>0</v>
      </c>
      <c r="Z804" s="1983" t="b">
        <f t="shared" si="382"/>
        <v>0</v>
      </c>
      <c r="AC804" s="1893"/>
      <c r="AK804" s="1633" t="s">
        <v>1951</v>
      </c>
      <c r="AL804" s="1443" t="str">
        <f>IF(COUNTIFS(H803:N803,"&lt;"&amp;YEAR(SUM(T796)),H804:N804,"&gt;"&amp;0)&gt;0,EUconst_Error&amp;"FB"&amp;Q796,"")</f>
        <v/>
      </c>
      <c r="AO804" s="1121" t="b">
        <f t="shared" si="379"/>
        <v>0</v>
      </c>
    </row>
    <row r="805" spans="1:41" ht="5.0999999999999996" customHeight="1">
      <c r="B805" s="479"/>
      <c r="C805" s="479"/>
      <c r="D805" s="485"/>
      <c r="E805" s="485"/>
      <c r="F805" s="485"/>
      <c r="G805" s="485"/>
      <c r="H805" s="485"/>
      <c r="I805" s="485"/>
      <c r="J805" s="485"/>
      <c r="K805" s="485"/>
      <c r="L805" s="485"/>
      <c r="M805" s="485"/>
      <c r="N805" s="485"/>
      <c r="O805" s="485"/>
      <c r="P805" s="481"/>
      <c r="Q805" s="1435"/>
      <c r="S805" s="1435"/>
      <c r="T805" s="1435"/>
      <c r="Z805" s="1435"/>
      <c r="AB805" s="1435"/>
      <c r="AO805" s="1121" t="b">
        <f t="shared" si="379"/>
        <v>0</v>
      </c>
    </row>
    <row r="806" spans="1:41" ht="25.5" customHeight="1">
      <c r="B806" s="479"/>
      <c r="C806" s="479"/>
      <c r="D806" s="485"/>
      <c r="E806" s="2385" t="s">
        <v>1712</v>
      </c>
      <c r="F806" s="2846"/>
      <c r="G806" s="2846"/>
      <c r="H806" s="2846"/>
      <c r="I806" s="2846"/>
      <c r="J806" s="2846"/>
      <c r="K806" s="2846"/>
      <c r="L806" s="2846"/>
      <c r="M806" s="2846"/>
      <c r="N806" s="2846"/>
      <c r="O806" s="485"/>
      <c r="P806" s="481"/>
      <c r="Q806" s="1435"/>
      <c r="S806" s="1435"/>
      <c r="T806" s="1435"/>
      <c r="U806" s="1435"/>
      <c r="AE806" s="1198"/>
      <c r="AF806" s="1198"/>
      <c r="AG806" s="1198"/>
      <c r="AH806" s="1198"/>
      <c r="AI806" s="1198"/>
      <c r="AJ806" s="1198"/>
      <c r="AK806" s="1198"/>
      <c r="AL806" s="1198"/>
      <c r="AO806" s="1121" t="b">
        <f t="shared" si="379"/>
        <v>0</v>
      </c>
    </row>
    <row r="807" spans="1:41" ht="12.75" customHeight="1">
      <c r="B807" s="479"/>
      <c r="C807" s="479"/>
      <c r="D807" s="485"/>
      <c r="E807" s="901" t="s">
        <v>1021</v>
      </c>
      <c r="F807" s="3050" t="s">
        <v>2711</v>
      </c>
      <c r="G807" s="2584"/>
      <c r="H807" s="2584"/>
      <c r="I807" s="2584"/>
      <c r="J807" s="2584"/>
      <c r="K807" s="2584"/>
      <c r="L807" s="2584"/>
      <c r="M807" s="2584"/>
      <c r="N807" s="2584"/>
      <c r="O807" s="485"/>
      <c r="P807" s="481"/>
      <c r="Q807" s="1435"/>
      <c r="S807" s="1435"/>
      <c r="T807" s="1435"/>
      <c r="U807" s="1435"/>
      <c r="AE807" s="1198"/>
      <c r="AF807" s="1198"/>
      <c r="AG807" s="1198"/>
      <c r="AH807" s="1198"/>
      <c r="AI807" s="1198"/>
      <c r="AJ807" s="1198"/>
      <c r="AK807" s="1198"/>
      <c r="AL807" s="1198"/>
      <c r="AO807" s="1121" t="b">
        <f t="shared" si="379"/>
        <v>0</v>
      </c>
    </row>
    <row r="808" spans="1:41" ht="12.75" customHeight="1">
      <c r="B808" s="479"/>
      <c r="C808" s="479"/>
      <c r="D808" s="485"/>
      <c r="E808" s="901" t="s">
        <v>1021</v>
      </c>
      <c r="F808" s="3050" t="s">
        <v>1985</v>
      </c>
      <c r="G808" s="2584"/>
      <c r="H808" s="2584"/>
      <c r="I808" s="2584"/>
      <c r="J808" s="2584"/>
      <c r="K808" s="2584"/>
      <c r="L808" s="2584"/>
      <c r="M808" s="2584"/>
      <c r="N808" s="2584"/>
      <c r="O808" s="485"/>
      <c r="P808" s="481"/>
      <c r="Q808" s="1435"/>
      <c r="S808" s="1435"/>
      <c r="T808" s="1435"/>
      <c r="U808" s="1435"/>
      <c r="AE808" s="1198"/>
      <c r="AF808" s="1198"/>
      <c r="AG808" s="1198"/>
      <c r="AH808" s="1198"/>
      <c r="AI808" s="1198"/>
      <c r="AJ808" s="1198"/>
      <c r="AK808" s="1198"/>
      <c r="AL808" s="1198"/>
      <c r="AO808" s="1121" t="b">
        <f t="shared" si="379"/>
        <v>0</v>
      </c>
    </row>
    <row r="809" spans="1:41" ht="12.75" customHeight="1" thickBot="1">
      <c r="B809" s="479"/>
      <c r="C809" s="479"/>
      <c r="D809" s="485"/>
      <c r="E809" s="901" t="s">
        <v>2723</v>
      </c>
      <c r="F809" s="3050" t="s">
        <v>2723</v>
      </c>
      <c r="G809" s="2584"/>
      <c r="H809" s="2584"/>
      <c r="I809" s="2584"/>
      <c r="J809" s="2584"/>
      <c r="K809" s="2584"/>
      <c r="L809" s="2584"/>
      <c r="M809" s="2584"/>
      <c r="N809" s="2584"/>
      <c r="O809" s="485"/>
      <c r="P809" s="481"/>
      <c r="Q809" s="1435"/>
      <c r="S809" s="1435"/>
      <c r="T809" s="1435"/>
      <c r="U809" s="1435"/>
      <c r="AE809" s="1198"/>
      <c r="AF809" s="1198"/>
      <c r="AG809" s="1198"/>
      <c r="AH809" s="1198"/>
      <c r="AI809" s="1198"/>
      <c r="AJ809" s="1198"/>
      <c r="AK809" s="1198"/>
      <c r="AL809" s="1198"/>
      <c r="AO809" s="1121" t="b">
        <f t="shared" si="379"/>
        <v>0</v>
      </c>
    </row>
    <row r="810" spans="1:41" ht="5.0999999999999996" customHeight="1" thickBot="1">
      <c r="B810" s="479"/>
      <c r="C810" s="479"/>
      <c r="D810" s="902"/>
      <c r="E810" s="903"/>
      <c r="F810" s="904"/>
      <c r="G810" s="905"/>
      <c r="H810" s="905"/>
      <c r="I810" s="905"/>
      <c r="J810" s="906"/>
      <c r="K810" s="1798"/>
      <c r="L810" s="1798"/>
      <c r="M810" s="1798"/>
      <c r="N810" s="1798"/>
      <c r="O810" s="485"/>
      <c r="P810" s="481"/>
      <c r="Q810" s="1435"/>
      <c r="S810" s="1435"/>
      <c r="T810" s="1435"/>
      <c r="U810" s="1435"/>
      <c r="AE810" s="1198"/>
      <c r="AF810" s="1198"/>
      <c r="AG810" s="1198"/>
      <c r="AH810" s="1198"/>
      <c r="AI810" s="1198"/>
      <c r="AJ810" s="1198"/>
      <c r="AK810" s="1198"/>
      <c r="AL810" s="1198"/>
      <c r="AO810" s="1121" t="b">
        <f t="shared" si="379"/>
        <v>0</v>
      </c>
    </row>
    <row r="811" spans="1:41" ht="12.75" customHeight="1">
      <c r="B811" s="479"/>
      <c r="C811" s="479"/>
      <c r="D811" s="918"/>
      <c r="E811" s="908" t="s">
        <v>1652</v>
      </c>
      <c r="F811" s="909"/>
      <c r="G811" s="909"/>
      <c r="H811" s="910" t="str">
        <f>EUconst_Unit</f>
        <v>Unit</v>
      </c>
      <c r="I811" s="911" t="s">
        <v>1646</v>
      </c>
      <c r="J811" s="1647">
        <f>J$1190</f>
        <v>2026</v>
      </c>
      <c r="K811" s="1490">
        <f>K$1190</f>
        <v>2027</v>
      </c>
      <c r="L811" s="1490">
        <f>L$1190</f>
        <v>2028</v>
      </c>
      <c r="M811" s="1490">
        <f>M$1190</f>
        <v>2029</v>
      </c>
      <c r="N811" s="1490">
        <f>N$1190</f>
        <v>2030</v>
      </c>
      <c r="O811" s="485"/>
      <c r="P811" s="481"/>
      <c r="Q811" s="1435"/>
      <c r="S811" s="1435"/>
      <c r="T811" s="1435"/>
      <c r="U811" s="1648"/>
      <c r="V811" s="1649">
        <f>J811</f>
        <v>2026</v>
      </c>
      <c r="W811" s="1649">
        <f>K811</f>
        <v>2027</v>
      </c>
      <c r="X811" s="1649">
        <f>L811</f>
        <v>2028</v>
      </c>
      <c r="Y811" s="1649">
        <f>M811</f>
        <v>2029</v>
      </c>
      <c r="Z811" s="1650">
        <f>N811</f>
        <v>2030</v>
      </c>
      <c r="AB811" s="1435"/>
      <c r="AO811" s="1121" t="b">
        <f t="shared" si="379"/>
        <v>0</v>
      </c>
    </row>
    <row r="812" spans="1:41" ht="12.75" customHeight="1">
      <c r="B812" s="479"/>
      <c r="C812" s="479"/>
      <c r="D812" s="915" t="s">
        <v>7</v>
      </c>
      <c r="E812" s="916" t="s">
        <v>1976</v>
      </c>
      <c r="F812" s="916"/>
      <c r="G812" s="916"/>
      <c r="H812" s="944" t="str">
        <f>G804</f>
        <v>TJ</v>
      </c>
      <c r="I812" s="800" t="str">
        <f>IF(V796&gt;($J$1190-3),EUconst_NA,INDEX('B+C_SubInstallations'!$I:$I,MATCH(Q812,'B+C_SubInstallations'!$T:$T,0)))</f>
        <v/>
      </c>
      <c r="J812" s="1894" t="str">
        <f>IF(AND(V812&gt;=3,CNTR_ReportingYear&gt;J811-1),AVERAGE(SUM(H804),SUM(I804)),"")</f>
        <v/>
      </c>
      <c r="K812" s="1895" t="str">
        <f>IF(AND(W812&gt;=3,CNTR_ReportingYear&gt;K811-1),AVERAGE(SUM(I804),SUM(J804)),"")</f>
        <v/>
      </c>
      <c r="L812" s="1895" t="str">
        <f>IF(AND(X812&gt;=3,CNTR_ReportingYear&gt;L811-1),AVERAGE(SUM(J804),SUM(K804)),"")</f>
        <v/>
      </c>
      <c r="M812" s="1895" t="str">
        <f>IF(AND(Y812&gt;=3,CNTR_ReportingYear&gt;M811-1),AVERAGE(SUM(K804),SUM(L804)),"")</f>
        <v/>
      </c>
      <c r="N812" s="1895" t="str">
        <f>IF(AND(Z812&gt;=3,CNTR_ReportingYear&gt;N811-1),AVERAGE(SUM(L804),SUM(M804)),"")</f>
        <v/>
      </c>
      <c r="O812" s="485"/>
      <c r="P812" s="481"/>
      <c r="Q812" s="1704" t="str">
        <f>EUconst_CNTR_HALinitial&amp;I796</f>
        <v>HALini_Fuel benchmark sub-installation, non-CL</v>
      </c>
      <c r="S812" s="1435"/>
      <c r="T812" s="1435"/>
      <c r="U812" s="1693" t="s">
        <v>1650</v>
      </c>
      <c r="V812" s="1251">
        <f>IF($M796&lt;&gt;EUconst_Relevant,0,V811-$V796+1)</f>
        <v>0</v>
      </c>
      <c r="W812" s="1251">
        <f>IF($M796&lt;&gt;EUconst_Relevant,0,W811-$V796+1)</f>
        <v>0</v>
      </c>
      <c r="X812" s="1251">
        <f>IF($M796&lt;&gt;EUconst_Relevant,0,X811-$V796+1)</f>
        <v>0</v>
      </c>
      <c r="Y812" s="1251">
        <f>IF($M796&lt;&gt;EUconst_Relevant,0,Y811-$V796+1)</f>
        <v>0</v>
      </c>
      <c r="Z812" s="1896">
        <f>IF($M796&lt;&gt;EUconst_Relevant,0,Z811-$V796+1)</f>
        <v>0</v>
      </c>
      <c r="AB812" s="1435"/>
      <c r="AO812" s="1121" t="b">
        <f t="shared" si="379"/>
        <v>0</v>
      </c>
    </row>
    <row r="813" spans="1:41" ht="12.75" hidden="1" customHeight="1">
      <c r="A813" s="618" t="s">
        <v>2289</v>
      </c>
      <c r="B813" s="479"/>
      <c r="C813" s="479"/>
      <c r="D813" s="915"/>
      <c r="E813" s="916" t="s">
        <v>1648</v>
      </c>
      <c r="F813" s="916"/>
      <c r="G813" s="916"/>
      <c r="H813" s="921"/>
      <c r="I813" s="1657"/>
      <c r="J813" s="17" t="str">
        <f>IF(J812="","",IF($I815=0,IF(J812=0,0%,100%),J812/$I815-1))</f>
        <v/>
      </c>
      <c r="K813" s="22" t="str">
        <f>IF(K812="","",IF($I815=0,IF(K812=0,0%,100%),K812/$I815-1))</f>
        <v/>
      </c>
      <c r="L813" s="22" t="str">
        <f>IF(L812="","",IF($I815=0,IF(L812=0,0%,100%),L812/$I815-1))</f>
        <v/>
      </c>
      <c r="M813" s="22" t="str">
        <f>IF(M812="","",IF($I815=0,IF(M812=0,0%,100%),M812/$I815-1))</f>
        <v/>
      </c>
      <c r="N813" s="22" t="str">
        <f>IF(N812="","",IF($I815=0,IF(N812=0,0%,100%),N812/$I815-1))</f>
        <v/>
      </c>
      <c r="O813" s="485"/>
      <c r="P813" s="481"/>
      <c r="Q813" s="1644" t="str">
        <f>EUconst_CNTR_RelThreshold &amp;I796</f>
        <v>RelThresh_Fuel benchmark sub-installation, non-CL</v>
      </c>
      <c r="S813" s="1435"/>
      <c r="T813" s="1435"/>
      <c r="U813" s="1693" t="s">
        <v>1655</v>
      </c>
      <c r="V813" s="1158" t="str">
        <f>IF(J812="","",ABS(J813)&gt;15%)</f>
        <v/>
      </c>
      <c r="W813" s="1158" t="str">
        <f>IF(K812="","",ABS(K813)&gt;15%)</f>
        <v/>
      </c>
      <c r="X813" s="1158" t="str">
        <f>IF(L812="","",ABS(L813)&gt;15%)</f>
        <v/>
      </c>
      <c r="Y813" s="1158" t="str">
        <f>IF(M812="","",ABS(M813)&gt;15%)</f>
        <v/>
      </c>
      <c r="Z813" s="1656" t="str">
        <f>IF(N812="","",ABS(N813)&gt;15%)</f>
        <v/>
      </c>
      <c r="AB813" s="1435"/>
      <c r="AO813" s="1121" t="b">
        <f t="shared" si="379"/>
        <v>0</v>
      </c>
    </row>
    <row r="814" spans="1:41" ht="12.75" customHeight="1">
      <c r="A814" s="618"/>
      <c r="B814" s="479"/>
      <c r="C814" s="479"/>
      <c r="D814" s="915" t="s">
        <v>8</v>
      </c>
      <c r="E814" s="916" t="s">
        <v>1654</v>
      </c>
      <c r="F814" s="916"/>
      <c r="G814" s="916"/>
      <c r="H814" s="921"/>
      <c r="I814" s="1657"/>
      <c r="J814" s="1658" t="str">
        <f>IF(J812="","",IF(V813=FALSE,0%,IF(V814,J813,I950)))</f>
        <v/>
      </c>
      <c r="K814" s="1795" t="str">
        <f>IF(K812="","",IF(W813=FALSE,0%,IF(W814,K813,J950)))</f>
        <v/>
      </c>
      <c r="L814" s="1795" t="str">
        <f>IF(L812="","",IF(X813=FALSE,0%,IF(X814,L813,K950)))</f>
        <v/>
      </c>
      <c r="M814" s="1795" t="str">
        <f>IF(M812="","",IF(Y813=FALSE,0%,IF(Y814,M813,L950)))</f>
        <v/>
      </c>
      <c r="N814" s="1795" t="str">
        <f>IF(N812="","",IF(Z813=FALSE,0%,IF(Z814,N813,M950)))</f>
        <v/>
      </c>
      <c r="O814" s="485"/>
      <c r="P814" s="481"/>
      <c r="Q814" s="1435"/>
      <c r="S814" s="1435"/>
      <c r="T814" s="1435"/>
      <c r="U814" s="1693" t="s">
        <v>1656</v>
      </c>
      <c r="V814" s="1158" t="str">
        <f>IF(J812="","",AND(V813,IF(SUM(I950)&lt;0,OR(SUM(J813)&lt;SUM(I950)-MOD(SUM(I950),5%),J813&gt;=SUM(I950)+5%-MOD(SUM(I950),5%)),OR(SUM(J813)&lt;=SUM(I950)-MOD(SUM(I950),5%),SUM(J813)&gt;SUM(I950)+5%-MOD(SUM(I950),5%)))))</f>
        <v/>
      </c>
      <c r="W814" s="1158" t="str">
        <f>IF(K812="","",AND(W813,IF(SUM(J950)&lt;0,OR(SUM(K813)&lt;SUM(J950)-MOD(SUM(J950),5%),K813&gt;=SUM(J950)+5%-MOD(SUM(J950),5%)),OR(SUM(K813)&lt;=SUM(J950)-MOD(SUM(J950),5%),SUM(K813)&gt;SUM(J950)+5%-MOD(SUM(J950),5%)))))</f>
        <v/>
      </c>
      <c r="X814" s="1158" t="str">
        <f>IF(L812="","",AND(X813,IF(SUM(K950)&lt;0,OR(SUM(L813)&lt;SUM(K950)-MOD(SUM(K950),5%),L813&gt;=SUM(K950)+5%-MOD(SUM(K950),5%)),OR(SUM(L813)&lt;=SUM(K950)-MOD(SUM(K950),5%),SUM(L813)&gt;SUM(K950)+5%-MOD(SUM(K950),5%)))))</f>
        <v/>
      </c>
      <c r="Y814" s="1158" t="str">
        <f>IF(M812="","",AND(Y813,IF(SUM(L950)&lt;0,OR(SUM(M813)&lt;SUM(L950)-MOD(SUM(L950),5%),M813&gt;=SUM(L950)+5%-MOD(SUM(L950),5%)),OR(SUM(M813)&lt;=SUM(L950)-MOD(SUM(L950),5%),SUM(M813)&gt;SUM(L950)+5%-MOD(SUM(L950),5%)))))</f>
        <v/>
      </c>
      <c r="Z814" s="1656" t="str">
        <f>IF(N812="","",AND(Z813,IF(SUM(M950)&lt;0,OR(SUM(N813)&lt;SUM(M950)-MOD(SUM(M950),5%),N813&gt;=SUM(M950)+5%-MOD(SUM(M950),5%)),OR(SUM(N813)&lt;=SUM(M950)-MOD(SUM(M950),5%),SUM(N813)&gt;SUM(M950)+5%-MOD(SUM(M950),5%)))))</f>
        <v/>
      </c>
      <c r="AB814" s="1435"/>
      <c r="AO814" s="1121" t="b">
        <f t="shared" si="379"/>
        <v>0</v>
      </c>
    </row>
    <row r="815" spans="1:41" ht="12.75" customHeight="1" thickBot="1">
      <c r="A815" s="618"/>
      <c r="B815" s="479"/>
      <c r="C815" s="479"/>
      <c r="D815" s="915" t="s">
        <v>18</v>
      </c>
      <c r="E815" s="916" t="s">
        <v>1647</v>
      </c>
      <c r="F815" s="916"/>
      <c r="G815" s="916"/>
      <c r="H815" s="944" t="str">
        <f>H812</f>
        <v>TJ</v>
      </c>
      <c r="I815" s="800" t="str">
        <f>IF(M796&lt;&gt;EUconst_Relevant,"",IF(AB796=FALSE,EUconst_NA,IF(V796&gt;($J$1190-3),INDEX(H804:N804,MATCH($V796,H803:N803,0)),I812)))</f>
        <v/>
      </c>
      <c r="J815" s="1894" t="str">
        <f>IF($M796&lt;&gt;EUconst_Relevant,"",IF(V812&lt;2,SUM(J804),IF(V812&lt;3,SUM(I804),IF(V815="",I815,V815))))</f>
        <v/>
      </c>
      <c r="K815" s="1895" t="str">
        <f>IF($M796&lt;&gt;EUconst_Relevant,"",IF(W812&lt;2,SUM(K804),IF(W812&lt;3,SUM(J804),IF(W815="",J815,W815))))</f>
        <v/>
      </c>
      <c r="L815" s="1895" t="str">
        <f>IF($M796&lt;&gt;EUconst_Relevant,"",IF(X812&lt;2,SUM(L804),IF(X812&lt;3,SUM(K804),IF(X815="",K815,X815))))</f>
        <v/>
      </c>
      <c r="M815" s="1895" t="str">
        <f>IF($M796&lt;&gt;EUconst_Relevant,"",IF(Y812&lt;2,SUM(M804),IF(Y812&lt;3,SUM(L804),IF(Y815="",L815,Y815))))</f>
        <v/>
      </c>
      <c r="N815" s="1895" t="str">
        <f>IF($M796&lt;&gt;EUconst_Relevant,"",IF(Z812&lt;2,SUM(N804),IF(Z812&lt;3,SUM(M804),IF(Z815="",M815,Z815))))</f>
        <v/>
      </c>
      <c r="O815" s="1136"/>
      <c r="P815" s="481"/>
      <c r="Q815" s="1644" t="str">
        <f>EUconst_CNTR_HALprelim&amp;I796</f>
        <v>HALprelim_Fuel benchmark sub-installation, non-CL</v>
      </c>
      <c r="S815" s="1435"/>
      <c r="T815" s="1435"/>
      <c r="U815" s="1897" t="s">
        <v>1651</v>
      </c>
      <c r="V815" s="1898" t="str">
        <f>IF(J812="","",IF(CNTR_ReportingYear&lt;J811,I814,IF($I815=0,J812,$I815*(1+J814))))</f>
        <v/>
      </c>
      <c r="W815" s="1898" t="str">
        <f>IF(K812="","",IF(CNTR_ReportingYear&lt;K811,J814,IF($I815=0,K812,$I815*(1+K814))))</f>
        <v/>
      </c>
      <c r="X815" s="1898" t="str">
        <f>IF(L812="","",IF(CNTR_ReportingYear&lt;L811,K814,IF($I815=0,L812,$I815*(1+L814))))</f>
        <v/>
      </c>
      <c r="Y815" s="1898" t="str">
        <f>IF(M812="","",IF(CNTR_ReportingYear&lt;M811,L814,IF($I815=0,M812,$I815*(1+M814))))</f>
        <v/>
      </c>
      <c r="Z815" s="1899" t="str">
        <f>IF(N812="","",IF(CNTR_ReportingYear&lt;N811,M814,IF($I815=0,N812,$I815*(1+N814))))</f>
        <v/>
      </c>
      <c r="AB815" s="1435"/>
      <c r="AO815" s="1121" t="b">
        <f t="shared" si="379"/>
        <v>0</v>
      </c>
    </row>
    <row r="816" spans="1:41" ht="5.0999999999999996" customHeight="1" thickBot="1">
      <c r="A816" s="618"/>
      <c r="B816" s="1124"/>
      <c r="C816" s="467"/>
      <c r="D816" s="1022"/>
      <c r="E816" s="1023"/>
      <c r="F816" s="1023"/>
      <c r="G816" s="1023"/>
      <c r="H816" s="1023"/>
      <c r="I816" s="1023"/>
      <c r="J816" s="1024"/>
      <c r="K816" s="1900"/>
      <c r="L816" s="1900"/>
      <c r="M816" s="1900"/>
      <c r="N816" s="1900"/>
      <c r="O816" s="481"/>
      <c r="P816" s="481"/>
      <c r="S816" s="1435"/>
      <c r="T816" s="1435"/>
      <c r="Z816" s="1435"/>
      <c r="AA816" s="1435"/>
      <c r="AB816" s="1435"/>
      <c r="AO816" s="1121" t="b">
        <f t="shared" si="379"/>
        <v>0</v>
      </c>
    </row>
    <row r="817" spans="2:41" ht="5.0999999999999996" customHeight="1">
      <c r="B817" s="1124"/>
      <c r="C817" s="467"/>
      <c r="D817" s="467"/>
      <c r="E817" s="467"/>
      <c r="F817" s="467"/>
      <c r="G817" s="467"/>
      <c r="H817" s="467"/>
      <c r="I817" s="467"/>
      <c r="J817" s="467"/>
      <c r="K817" s="467"/>
      <c r="L817" s="467"/>
      <c r="M817" s="467"/>
      <c r="N817" s="467"/>
      <c r="O817" s="481"/>
      <c r="P817" s="481"/>
      <c r="S817" s="1435"/>
      <c r="AO817" s="1121" t="b">
        <f t="shared" si="379"/>
        <v>0</v>
      </c>
    </row>
    <row r="818" spans="2:41" ht="15" customHeight="1">
      <c r="B818" s="1124"/>
      <c r="C818" s="1025"/>
      <c r="D818" s="2482" t="s">
        <v>103</v>
      </c>
      <c r="E818" s="2400"/>
      <c r="F818" s="2400"/>
      <c r="G818" s="2400"/>
      <c r="H818" s="2400"/>
      <c r="I818" s="2400"/>
      <c r="J818" s="2400"/>
      <c r="K818" s="2400"/>
      <c r="L818" s="2400"/>
      <c r="M818" s="2400"/>
      <c r="N818" s="2400"/>
      <c r="O818" s="481"/>
      <c r="P818" s="481"/>
      <c r="AO818" s="1121" t="b">
        <f t="shared" si="379"/>
        <v>0</v>
      </c>
    </row>
    <row r="819" spans="2:41" ht="5.0999999999999996" customHeight="1">
      <c r="B819" s="467"/>
      <c r="C819" s="467"/>
      <c r="D819" s="467"/>
      <c r="E819" s="467"/>
      <c r="F819" s="467"/>
      <c r="G819" s="467"/>
      <c r="H819" s="467"/>
      <c r="I819" s="467"/>
      <c r="J819" s="467"/>
      <c r="K819" s="467"/>
      <c r="L819" s="467"/>
      <c r="M819" s="467"/>
      <c r="N819" s="467"/>
      <c r="O819" s="481"/>
      <c r="P819" s="481"/>
      <c r="Q819" s="1249"/>
      <c r="R819" s="1249"/>
      <c r="AO819" s="1121" t="b">
        <f t="shared" si="379"/>
        <v>0</v>
      </c>
    </row>
    <row r="820" spans="2:41" ht="12.75" customHeight="1">
      <c r="B820" s="467"/>
      <c r="C820" s="482"/>
      <c r="D820" s="482" t="s">
        <v>876</v>
      </c>
      <c r="E820" s="2373" t="s">
        <v>298</v>
      </c>
      <c r="F820" s="2400"/>
      <c r="G820" s="2400"/>
      <c r="H820" s="2400"/>
      <c r="I820" s="2400"/>
      <c r="J820" s="2400"/>
      <c r="K820" s="2400"/>
      <c r="L820" s="2400"/>
      <c r="M820" s="2400"/>
      <c r="N820" s="2400"/>
      <c r="O820" s="481"/>
      <c r="P820" s="481"/>
      <c r="Q820" s="1249"/>
      <c r="AO820" s="1121" t="b">
        <f t="shared" si="379"/>
        <v>0</v>
      </c>
    </row>
    <row r="821" spans="2:41" ht="12.75" customHeight="1">
      <c r="B821" s="467"/>
      <c r="C821" s="485"/>
      <c r="D821" s="485"/>
      <c r="E821" s="2385" t="s">
        <v>925</v>
      </c>
      <c r="F821" s="2846"/>
      <c r="G821" s="2846"/>
      <c r="H821" s="2846"/>
      <c r="I821" s="2846"/>
      <c r="J821" s="2846"/>
      <c r="K821" s="2846"/>
      <c r="L821" s="2846"/>
      <c r="M821" s="2846"/>
      <c r="N821" s="2846"/>
      <c r="O821" s="481"/>
      <c r="P821" s="481"/>
      <c r="Q821" s="1249"/>
      <c r="R821" s="1249"/>
      <c r="S821" s="1249"/>
      <c r="AO821" s="1121" t="b">
        <f t="shared" si="379"/>
        <v>0</v>
      </c>
    </row>
    <row r="822" spans="2:41" ht="12.75" customHeight="1">
      <c r="B822" s="467"/>
      <c r="C822" s="485"/>
      <c r="D822" s="485"/>
      <c r="E822" s="1026" t="s">
        <v>926</v>
      </c>
      <c r="F822" s="2385" t="s">
        <v>927</v>
      </c>
      <c r="G822" s="2846"/>
      <c r="H822" s="2846"/>
      <c r="I822" s="2846"/>
      <c r="J822" s="2846"/>
      <c r="K822" s="2846"/>
      <c r="L822" s="2846"/>
      <c r="M822" s="2846"/>
      <c r="N822" s="2846"/>
      <c r="O822" s="481"/>
      <c r="P822" s="481"/>
      <c r="Q822" s="1249"/>
      <c r="R822" s="1249"/>
      <c r="S822" s="1249"/>
      <c r="AO822" s="1121" t="b">
        <f t="shared" si="379"/>
        <v>0</v>
      </c>
    </row>
    <row r="823" spans="2:41" ht="12.75" customHeight="1">
      <c r="B823" s="467"/>
      <c r="C823" s="485"/>
      <c r="D823" s="485"/>
      <c r="E823" s="1026" t="s">
        <v>926</v>
      </c>
      <c r="F823" s="2385" t="s">
        <v>1006</v>
      </c>
      <c r="G823" s="2846"/>
      <c r="H823" s="2846"/>
      <c r="I823" s="2846"/>
      <c r="J823" s="2846"/>
      <c r="K823" s="2846"/>
      <c r="L823" s="2846"/>
      <c r="M823" s="2846"/>
      <c r="N823" s="2846"/>
      <c r="O823" s="481"/>
      <c r="P823" s="481"/>
      <c r="Q823" s="1249"/>
      <c r="R823" s="1249"/>
      <c r="S823" s="1249"/>
      <c r="AO823" s="1121" t="b">
        <f t="shared" si="379"/>
        <v>0</v>
      </c>
    </row>
    <row r="824" spans="2:41" ht="25.5" customHeight="1">
      <c r="B824" s="467"/>
      <c r="C824" s="485"/>
      <c r="D824" s="485"/>
      <c r="E824" s="2385" t="s">
        <v>1636</v>
      </c>
      <c r="F824" s="2846"/>
      <c r="G824" s="2846"/>
      <c r="H824" s="2846"/>
      <c r="I824" s="2846"/>
      <c r="J824" s="2846"/>
      <c r="K824" s="2846"/>
      <c r="L824" s="2846"/>
      <c r="M824" s="2846"/>
      <c r="N824" s="2846"/>
      <c r="O824" s="481"/>
      <c r="P824" s="481"/>
      <c r="Q824" s="1249"/>
      <c r="AO824" s="1121" t="b">
        <f t="shared" si="379"/>
        <v>0</v>
      </c>
    </row>
    <row r="825" spans="2:41" ht="12.75" customHeight="1">
      <c r="B825" s="467"/>
      <c r="C825" s="485"/>
      <c r="D825" s="485"/>
      <c r="E825" s="2385" t="s">
        <v>2119</v>
      </c>
      <c r="F825" s="2846"/>
      <c r="G825" s="2846"/>
      <c r="H825" s="2846"/>
      <c r="I825" s="2846"/>
      <c r="J825" s="2846"/>
      <c r="K825" s="2846"/>
      <c r="L825" s="2846"/>
      <c r="M825" s="2846"/>
      <c r="N825" s="2846"/>
      <c r="O825" s="481"/>
      <c r="P825" s="481"/>
      <c r="Q825" s="1249"/>
      <c r="AO825" s="1121" t="b">
        <f t="shared" si="379"/>
        <v>0</v>
      </c>
    </row>
    <row r="826" spans="2:41" ht="12.75" customHeight="1">
      <c r="B826" s="467"/>
      <c r="C826" s="485"/>
      <c r="D826" s="485"/>
      <c r="E826" s="2677" t="s">
        <v>2111</v>
      </c>
      <c r="F826" s="2722"/>
      <c r="G826" s="2722"/>
      <c r="H826" s="2722"/>
      <c r="I826" s="2722"/>
      <c r="J826" s="2722"/>
      <c r="K826" s="2722"/>
      <c r="L826" s="2722"/>
      <c r="M826" s="2722"/>
      <c r="N826" s="2722"/>
      <c r="O826" s="481"/>
      <c r="P826" s="481"/>
      <c r="Q826" s="1249"/>
      <c r="AO826" s="1121" t="b">
        <f t="shared" si="379"/>
        <v>0</v>
      </c>
    </row>
    <row r="827" spans="2:41" ht="12.75" customHeight="1">
      <c r="B827" s="467"/>
      <c r="C827" s="485"/>
      <c r="D827" s="485"/>
      <c r="E827" s="2385" t="s">
        <v>29</v>
      </c>
      <c r="F827" s="2846"/>
      <c r="G827" s="2846"/>
      <c r="H827" s="2846"/>
      <c r="I827" s="2846"/>
      <c r="J827" s="2846"/>
      <c r="K827" s="2846"/>
      <c r="L827" s="2846"/>
      <c r="M827" s="2846"/>
      <c r="N827" s="2846"/>
      <c r="O827" s="481"/>
      <c r="P827" s="481"/>
      <c r="Q827" s="1249"/>
      <c r="R827" s="1249"/>
      <c r="S827" s="1249"/>
      <c r="AO827" s="1121" t="b">
        <f t="shared" si="379"/>
        <v>0</v>
      </c>
    </row>
    <row r="828" spans="2:41" ht="5.0999999999999996" customHeight="1">
      <c r="B828" s="467"/>
      <c r="C828" s="485"/>
      <c r="D828" s="485"/>
      <c r="E828" s="617"/>
      <c r="F828" s="617"/>
      <c r="G828" s="617"/>
      <c r="H828" s="617"/>
      <c r="I828" s="617"/>
      <c r="J828" s="468"/>
      <c r="K828" s="468"/>
      <c r="L828" s="468"/>
      <c r="M828" s="481"/>
      <c r="N828" s="481"/>
      <c r="O828" s="481"/>
      <c r="P828" s="481"/>
      <c r="Q828" s="1249"/>
      <c r="AO828" s="1121" t="b">
        <f t="shared" si="379"/>
        <v>0</v>
      </c>
    </row>
    <row r="829" spans="2:41" ht="25.5" customHeight="1">
      <c r="B829" s="1124"/>
      <c r="C829" s="482"/>
      <c r="D829" s="956"/>
      <c r="E829" s="2723" t="s">
        <v>485</v>
      </c>
      <c r="F829" s="2724"/>
      <c r="G829" s="2758" t="s">
        <v>28</v>
      </c>
      <c r="H829" s="2508"/>
      <c r="I829" s="2508"/>
      <c r="J829" s="2508"/>
      <c r="K829" s="2508"/>
      <c r="L829" s="2580"/>
      <c r="M829" s="957" t="s">
        <v>2112</v>
      </c>
      <c r="N829" s="481"/>
      <c r="O829" s="481"/>
      <c r="P829" s="481"/>
      <c r="S829" s="1888" t="s">
        <v>1902</v>
      </c>
      <c r="AO829" s="1121" t="b">
        <f t="shared" si="379"/>
        <v>0</v>
      </c>
    </row>
    <row r="830" spans="2:41">
      <c r="B830" s="1124"/>
      <c r="C830" s="482"/>
      <c r="D830" s="579">
        <v>1</v>
      </c>
      <c r="E830" s="3353" t="str">
        <f>c_ALR2025!E6441</f>
        <v/>
      </c>
      <c r="F830" s="3353"/>
      <c r="G830" s="3382" t="str">
        <f>c_ALR2025!G6441</f>
        <v/>
      </c>
      <c r="H830" s="3279"/>
      <c r="I830" s="3279" t="e">
        <f>c_ALR2025!#REF!</f>
        <v>#REF!</v>
      </c>
      <c r="J830" s="3279"/>
      <c r="K830" s="3279" t="e">
        <f>c_ALR2025!#REF!</f>
        <v>#REF!</v>
      </c>
      <c r="L830" s="3383"/>
      <c r="M830" s="1901" t="str">
        <f>c_ALR2025!M6441</f>
        <v/>
      </c>
      <c r="N830" s="481"/>
      <c r="O830" s="481"/>
      <c r="P830" s="481"/>
      <c r="S830" s="1888"/>
      <c r="AO830" s="1121" t="b">
        <f t="shared" si="379"/>
        <v>0</v>
      </c>
    </row>
    <row r="831" spans="2:41">
      <c r="B831" s="1124"/>
      <c r="C831" s="482"/>
      <c r="D831" s="582">
        <f>D830+1</f>
        <v>2</v>
      </c>
      <c r="E831" s="3345" t="str">
        <f>c_ALR2025!E6442</f>
        <v/>
      </c>
      <c r="F831" s="3347"/>
      <c r="G831" s="3345" t="str">
        <f>c_ALR2025!G6442</f>
        <v/>
      </c>
      <c r="H831" s="3346"/>
      <c r="I831" s="3346" t="e">
        <f>c_ALR2025!#REF!</f>
        <v>#REF!</v>
      </c>
      <c r="J831" s="3346"/>
      <c r="K831" s="3346" t="e">
        <f>c_ALR2025!#REF!</f>
        <v>#REF!</v>
      </c>
      <c r="L831" s="3347"/>
      <c r="M831" s="1902" t="str">
        <f>c_ALR2025!M6442</f>
        <v/>
      </c>
      <c r="N831" s="481"/>
      <c r="O831" s="481"/>
      <c r="P831" s="481"/>
      <c r="S831" s="1888"/>
      <c r="AO831" s="1121" t="b">
        <f t="shared" si="379"/>
        <v>0</v>
      </c>
    </row>
    <row r="832" spans="2:41">
      <c r="B832" s="1124"/>
      <c r="C832" s="482"/>
      <c r="D832" s="582">
        <f t="shared" ref="D832:D839" si="383">D831+1</f>
        <v>3</v>
      </c>
      <c r="E832" s="3345" t="str">
        <f>c_ALR2025!E6443</f>
        <v/>
      </c>
      <c r="F832" s="3347"/>
      <c r="G832" s="3345" t="str">
        <f>c_ALR2025!G6443</f>
        <v/>
      </c>
      <c r="H832" s="3346"/>
      <c r="I832" s="3346" t="e">
        <f>c_ALR2025!#REF!</f>
        <v>#REF!</v>
      </c>
      <c r="J832" s="3346"/>
      <c r="K832" s="3346" t="e">
        <f>c_ALR2025!#REF!</f>
        <v>#REF!</v>
      </c>
      <c r="L832" s="3347"/>
      <c r="M832" s="1902" t="str">
        <f>c_ALR2025!M6443</f>
        <v/>
      </c>
      <c r="N832" s="481"/>
      <c r="O832" s="481"/>
      <c r="P832" s="481"/>
      <c r="S832" s="1888"/>
      <c r="AO832" s="1121" t="b">
        <f t="shared" si="379"/>
        <v>0</v>
      </c>
    </row>
    <row r="833" spans="2:41">
      <c r="B833" s="1124"/>
      <c r="C833" s="482"/>
      <c r="D833" s="582">
        <f t="shared" si="383"/>
        <v>4</v>
      </c>
      <c r="E833" s="3345" t="str">
        <f>c_ALR2025!E6444</f>
        <v/>
      </c>
      <c r="F833" s="3347"/>
      <c r="G833" s="3345" t="str">
        <f>c_ALR2025!G6444</f>
        <v/>
      </c>
      <c r="H833" s="3346"/>
      <c r="I833" s="3346" t="e">
        <f>c_ALR2025!#REF!</f>
        <v>#REF!</v>
      </c>
      <c r="J833" s="3346"/>
      <c r="K833" s="3346" t="e">
        <f>c_ALR2025!#REF!</f>
        <v>#REF!</v>
      </c>
      <c r="L833" s="3347"/>
      <c r="M833" s="1902" t="str">
        <f>c_ALR2025!M6444</f>
        <v/>
      </c>
      <c r="N833" s="481"/>
      <c r="O833" s="481"/>
      <c r="P833" s="481"/>
      <c r="S833" s="1888"/>
      <c r="AO833" s="1121" t="b">
        <f t="shared" si="379"/>
        <v>0</v>
      </c>
    </row>
    <row r="834" spans="2:41">
      <c r="B834" s="1124"/>
      <c r="C834" s="482"/>
      <c r="D834" s="582">
        <f t="shared" si="383"/>
        <v>5</v>
      </c>
      <c r="E834" s="3345" t="str">
        <f>c_ALR2025!E6445</f>
        <v/>
      </c>
      <c r="F834" s="3347"/>
      <c r="G834" s="3345" t="str">
        <f>c_ALR2025!G6445</f>
        <v/>
      </c>
      <c r="H834" s="3346"/>
      <c r="I834" s="3346" t="e">
        <f>c_ALR2025!#REF!</f>
        <v>#REF!</v>
      </c>
      <c r="J834" s="3346"/>
      <c r="K834" s="3346" t="e">
        <f>c_ALR2025!#REF!</f>
        <v>#REF!</v>
      </c>
      <c r="L834" s="3347"/>
      <c r="M834" s="1902" t="str">
        <f>c_ALR2025!M6445</f>
        <v/>
      </c>
      <c r="N834" s="481"/>
      <c r="O834" s="481"/>
      <c r="P834" s="481"/>
      <c r="S834" s="1888"/>
      <c r="AO834" s="1121" t="b">
        <f t="shared" si="379"/>
        <v>0</v>
      </c>
    </row>
    <row r="835" spans="2:41">
      <c r="B835" s="1124"/>
      <c r="C835" s="482"/>
      <c r="D835" s="582">
        <f t="shared" si="383"/>
        <v>6</v>
      </c>
      <c r="E835" s="3345" t="str">
        <f>c_ALR2025!E6446</f>
        <v/>
      </c>
      <c r="F835" s="3347"/>
      <c r="G835" s="3345" t="str">
        <f>c_ALR2025!G6446</f>
        <v/>
      </c>
      <c r="H835" s="3346"/>
      <c r="I835" s="3346" t="e">
        <f>c_ALR2025!#REF!</f>
        <v>#REF!</v>
      </c>
      <c r="J835" s="3346"/>
      <c r="K835" s="3346" t="e">
        <f>c_ALR2025!#REF!</f>
        <v>#REF!</v>
      </c>
      <c r="L835" s="3347"/>
      <c r="M835" s="1902" t="str">
        <f>c_ALR2025!M6446</f>
        <v/>
      </c>
      <c r="N835" s="481"/>
      <c r="O835" s="481"/>
      <c r="P835" s="481"/>
      <c r="S835" s="1888"/>
      <c r="AO835" s="1121" t="b">
        <f t="shared" si="379"/>
        <v>0</v>
      </c>
    </row>
    <row r="836" spans="2:41">
      <c r="B836" s="1124"/>
      <c r="C836" s="482"/>
      <c r="D836" s="582">
        <f t="shared" si="383"/>
        <v>7</v>
      </c>
      <c r="E836" s="3345" t="str">
        <f>c_ALR2025!E6447</f>
        <v/>
      </c>
      <c r="F836" s="3347"/>
      <c r="G836" s="3345" t="str">
        <f>c_ALR2025!G6447</f>
        <v/>
      </c>
      <c r="H836" s="3346"/>
      <c r="I836" s="3346" t="e">
        <f>c_ALR2025!#REF!</f>
        <v>#REF!</v>
      </c>
      <c r="J836" s="3346"/>
      <c r="K836" s="3346" t="e">
        <f>c_ALR2025!#REF!</f>
        <v>#REF!</v>
      </c>
      <c r="L836" s="3347"/>
      <c r="M836" s="1902" t="str">
        <f>c_ALR2025!M6447</f>
        <v/>
      </c>
      <c r="N836" s="481"/>
      <c r="O836" s="481"/>
      <c r="P836" s="481"/>
      <c r="S836" s="1888"/>
      <c r="AO836" s="1121" t="b">
        <f t="shared" si="379"/>
        <v>0</v>
      </c>
    </row>
    <row r="837" spans="2:41">
      <c r="B837" s="1124"/>
      <c r="C837" s="482"/>
      <c r="D837" s="582">
        <f t="shared" si="383"/>
        <v>8</v>
      </c>
      <c r="E837" s="3345" t="str">
        <f>c_ALR2025!E6448</f>
        <v/>
      </c>
      <c r="F837" s="3347"/>
      <c r="G837" s="3345" t="str">
        <f>c_ALR2025!G6448</f>
        <v/>
      </c>
      <c r="H837" s="3346"/>
      <c r="I837" s="3346" t="e">
        <f>c_ALR2025!#REF!</f>
        <v>#REF!</v>
      </c>
      <c r="J837" s="3346"/>
      <c r="K837" s="3346" t="e">
        <f>c_ALR2025!#REF!</f>
        <v>#REF!</v>
      </c>
      <c r="L837" s="3347"/>
      <c r="M837" s="1902" t="str">
        <f>c_ALR2025!M6448</f>
        <v/>
      </c>
      <c r="N837" s="481"/>
      <c r="O837" s="481"/>
      <c r="P837" s="481"/>
      <c r="S837" s="1888"/>
      <c r="AO837" s="1121" t="b">
        <f t="shared" si="379"/>
        <v>0</v>
      </c>
    </row>
    <row r="838" spans="2:41">
      <c r="B838" s="1124"/>
      <c r="C838" s="482"/>
      <c r="D838" s="582">
        <f t="shared" si="383"/>
        <v>9</v>
      </c>
      <c r="E838" s="3345" t="str">
        <f>c_ALR2025!E6449</f>
        <v/>
      </c>
      <c r="F838" s="3347"/>
      <c r="G838" s="3345" t="str">
        <f>c_ALR2025!G6449</f>
        <v/>
      </c>
      <c r="H838" s="3346"/>
      <c r="I838" s="3346" t="e">
        <f>c_ALR2025!#REF!</f>
        <v>#REF!</v>
      </c>
      <c r="J838" s="3346"/>
      <c r="K838" s="3346" t="e">
        <f>c_ALR2025!#REF!</f>
        <v>#REF!</v>
      </c>
      <c r="L838" s="3347"/>
      <c r="M838" s="1902" t="str">
        <f>c_ALR2025!M6449</f>
        <v/>
      </c>
      <c r="N838" s="481"/>
      <c r="O838" s="481"/>
      <c r="P838" s="481"/>
      <c r="S838" s="1888"/>
      <c r="AO838" s="1121" t="b">
        <f t="shared" si="379"/>
        <v>0</v>
      </c>
    </row>
    <row r="839" spans="2:41">
      <c r="B839" s="1124"/>
      <c r="C839" s="482"/>
      <c r="D839" s="584">
        <f t="shared" si="383"/>
        <v>10</v>
      </c>
      <c r="E839" s="3343" t="str">
        <f>c_ALR2025!E6450</f>
        <v/>
      </c>
      <c r="F839" s="3344"/>
      <c r="G839" s="3343" t="str">
        <f>c_ALR2025!G6450</f>
        <v/>
      </c>
      <c r="H839" s="3281"/>
      <c r="I839" s="3281" t="e">
        <f>c_ALR2025!#REF!</f>
        <v>#REF!</v>
      </c>
      <c r="J839" s="3281"/>
      <c r="K839" s="3281" t="e">
        <f>c_ALR2025!#REF!</f>
        <v>#REF!</v>
      </c>
      <c r="L839" s="3344"/>
      <c r="M839" s="1903" t="str">
        <f>c_ALR2025!M6450</f>
        <v/>
      </c>
      <c r="N839" s="481"/>
      <c r="O839" s="481"/>
      <c r="P839" s="481"/>
      <c r="S839" s="1904" t="s">
        <v>2057</v>
      </c>
      <c r="AO839" s="1121" t="b">
        <f t="shared" si="379"/>
        <v>0</v>
      </c>
    </row>
    <row r="840" spans="2:41">
      <c r="B840" s="1124"/>
      <c r="C840" s="482"/>
      <c r="D840" s="579">
        <v>1</v>
      </c>
      <c r="E840" s="3363"/>
      <c r="F840" s="3364"/>
      <c r="G840" s="2909"/>
      <c r="H840" s="3363"/>
      <c r="I840" s="3363"/>
      <c r="J840" s="3363"/>
      <c r="K840" s="3363"/>
      <c r="L840" s="3364"/>
      <c r="M840" s="1984"/>
      <c r="N840" s="481"/>
      <c r="O840" s="481"/>
      <c r="P840" s="481"/>
      <c r="S840" s="1715" t="b">
        <f>IF(E830 &lt;&gt; "", TRUE, FALSE)</f>
        <v>0</v>
      </c>
      <c r="AO840" s="1121" t="b">
        <f t="shared" si="379"/>
        <v>0</v>
      </c>
    </row>
    <row r="841" spans="2:41">
      <c r="B841" s="1124"/>
      <c r="C841" s="482"/>
      <c r="D841" s="582">
        <f>D840+1</f>
        <v>2</v>
      </c>
      <c r="E841" s="3338"/>
      <c r="F841" s="3339"/>
      <c r="G841" s="3337"/>
      <c r="H841" s="3338"/>
      <c r="I841" s="3338"/>
      <c r="J841" s="3338"/>
      <c r="K841" s="3338"/>
      <c r="L841" s="3339"/>
      <c r="M841" s="1985"/>
      <c r="N841" s="481"/>
      <c r="O841" s="481"/>
      <c r="P841" s="481"/>
      <c r="S841" s="1715" t="b">
        <f t="shared" ref="S841:S849" si="384">IF(E831 &lt;&gt; "", TRUE, FALSE)</f>
        <v>0</v>
      </c>
      <c r="AO841" s="1121" t="b">
        <f t="shared" si="379"/>
        <v>0</v>
      </c>
    </row>
    <row r="842" spans="2:41">
      <c r="B842" s="1124"/>
      <c r="C842" s="482"/>
      <c r="D842" s="582">
        <f t="shared" ref="D842:D849" si="385">D841+1</f>
        <v>3</v>
      </c>
      <c r="E842" s="3338"/>
      <c r="F842" s="3339"/>
      <c r="G842" s="3337"/>
      <c r="H842" s="3338"/>
      <c r="I842" s="3338"/>
      <c r="J842" s="3338"/>
      <c r="K842" s="3338"/>
      <c r="L842" s="3339"/>
      <c r="M842" s="1985"/>
      <c r="N842" s="481"/>
      <c r="O842" s="481"/>
      <c r="P842" s="481"/>
      <c r="S842" s="1715" t="b">
        <f t="shared" si="384"/>
        <v>0</v>
      </c>
      <c r="AO842" s="1121" t="b">
        <f t="shared" si="379"/>
        <v>0</v>
      </c>
    </row>
    <row r="843" spans="2:41">
      <c r="B843" s="1124"/>
      <c r="C843" s="482"/>
      <c r="D843" s="582">
        <f t="shared" si="385"/>
        <v>4</v>
      </c>
      <c r="E843" s="3338"/>
      <c r="F843" s="3339"/>
      <c r="G843" s="3337"/>
      <c r="H843" s="3338"/>
      <c r="I843" s="3338"/>
      <c r="J843" s="3338"/>
      <c r="K843" s="3338"/>
      <c r="L843" s="3339"/>
      <c r="M843" s="1985"/>
      <c r="N843" s="481"/>
      <c r="O843" s="481"/>
      <c r="P843" s="481"/>
      <c r="S843" s="1715" t="b">
        <f t="shared" si="384"/>
        <v>0</v>
      </c>
      <c r="AO843" s="1121" t="b">
        <f t="shared" si="379"/>
        <v>0</v>
      </c>
    </row>
    <row r="844" spans="2:41">
      <c r="B844" s="1124"/>
      <c r="C844" s="482"/>
      <c r="D844" s="582">
        <f t="shared" si="385"/>
        <v>5</v>
      </c>
      <c r="E844" s="3338"/>
      <c r="F844" s="3339"/>
      <c r="G844" s="3337"/>
      <c r="H844" s="3338"/>
      <c r="I844" s="3338"/>
      <c r="J844" s="3338"/>
      <c r="K844" s="3338"/>
      <c r="L844" s="3339"/>
      <c r="M844" s="1985"/>
      <c r="N844" s="481"/>
      <c r="O844" s="481"/>
      <c r="P844" s="481"/>
      <c r="S844" s="1715" t="b">
        <f t="shared" si="384"/>
        <v>0</v>
      </c>
      <c r="AO844" s="1121" t="b">
        <f t="shared" si="379"/>
        <v>0</v>
      </c>
    </row>
    <row r="845" spans="2:41">
      <c r="B845" s="1124"/>
      <c r="C845" s="482"/>
      <c r="D845" s="582">
        <f t="shared" si="385"/>
        <v>6</v>
      </c>
      <c r="E845" s="3338"/>
      <c r="F845" s="3339"/>
      <c r="G845" s="3337"/>
      <c r="H845" s="3338"/>
      <c r="I845" s="3338"/>
      <c r="J845" s="3338"/>
      <c r="K845" s="3338"/>
      <c r="L845" s="3339"/>
      <c r="M845" s="1985"/>
      <c r="N845" s="481"/>
      <c r="O845" s="481"/>
      <c r="P845" s="481"/>
      <c r="S845" s="1715" t="b">
        <f t="shared" si="384"/>
        <v>0</v>
      </c>
      <c r="AO845" s="1121" t="b">
        <f t="shared" si="379"/>
        <v>0</v>
      </c>
    </row>
    <row r="846" spans="2:41">
      <c r="B846" s="1124"/>
      <c r="C846" s="482"/>
      <c r="D846" s="582">
        <f t="shared" si="385"/>
        <v>7</v>
      </c>
      <c r="E846" s="3338"/>
      <c r="F846" s="3339"/>
      <c r="G846" s="3337"/>
      <c r="H846" s="3338"/>
      <c r="I846" s="3338"/>
      <c r="J846" s="3338"/>
      <c r="K846" s="3338"/>
      <c r="L846" s="3339"/>
      <c r="M846" s="1985"/>
      <c r="N846" s="481"/>
      <c r="O846" s="481"/>
      <c r="P846" s="481"/>
      <c r="S846" s="1715" t="b">
        <f t="shared" si="384"/>
        <v>0</v>
      </c>
      <c r="AO846" s="1121" t="b">
        <f t="shared" si="379"/>
        <v>0</v>
      </c>
    </row>
    <row r="847" spans="2:41">
      <c r="B847" s="1124"/>
      <c r="C847" s="482"/>
      <c r="D847" s="582">
        <f t="shared" si="385"/>
        <v>8</v>
      </c>
      <c r="E847" s="3338"/>
      <c r="F847" s="3339"/>
      <c r="G847" s="3337"/>
      <c r="H847" s="3338"/>
      <c r="I847" s="3338"/>
      <c r="J847" s="3338"/>
      <c r="K847" s="3338"/>
      <c r="L847" s="3339"/>
      <c r="M847" s="1985"/>
      <c r="N847" s="481"/>
      <c r="O847" s="481"/>
      <c r="P847" s="481"/>
      <c r="S847" s="1715" t="b">
        <f t="shared" si="384"/>
        <v>0</v>
      </c>
      <c r="AO847" s="1121" t="b">
        <f t="shared" si="379"/>
        <v>0</v>
      </c>
    </row>
    <row r="848" spans="2:41">
      <c r="B848" s="1124"/>
      <c r="C848" s="482"/>
      <c r="D848" s="582">
        <f t="shared" si="385"/>
        <v>9</v>
      </c>
      <c r="E848" s="3338"/>
      <c r="F848" s="3339"/>
      <c r="G848" s="3337"/>
      <c r="H848" s="3338"/>
      <c r="I848" s="3338"/>
      <c r="J848" s="3338"/>
      <c r="K848" s="3338"/>
      <c r="L848" s="3339"/>
      <c r="M848" s="1985"/>
      <c r="N848" s="481"/>
      <c r="O848" s="481"/>
      <c r="P848" s="481"/>
      <c r="S848" s="1715" t="b">
        <f t="shared" si="384"/>
        <v>0</v>
      </c>
      <c r="AO848" s="1121" t="b">
        <f t="shared" si="379"/>
        <v>0</v>
      </c>
    </row>
    <row r="849" spans="2:41">
      <c r="B849" s="1124"/>
      <c r="C849" s="482"/>
      <c r="D849" s="584">
        <f t="shared" si="385"/>
        <v>10</v>
      </c>
      <c r="E849" s="3029"/>
      <c r="F849" s="3030"/>
      <c r="G849" s="3028"/>
      <c r="H849" s="3029"/>
      <c r="I849" s="3029"/>
      <c r="J849" s="3029"/>
      <c r="K849" s="3029"/>
      <c r="L849" s="3030"/>
      <c r="M849" s="1986"/>
      <c r="N849" s="481"/>
      <c r="O849" s="481"/>
      <c r="P849" s="481"/>
      <c r="S849" s="1715" t="b">
        <f t="shared" si="384"/>
        <v>0</v>
      </c>
      <c r="Z849" s="1249"/>
      <c r="AA849" s="1249"/>
      <c r="AB849" s="1435"/>
      <c r="AO849" s="1121" t="b">
        <f t="shared" si="379"/>
        <v>0</v>
      </c>
    </row>
    <row r="850" spans="2:41" ht="12.75" customHeight="1">
      <c r="B850" s="1124"/>
      <c r="C850" s="484"/>
      <c r="D850" s="579">
        <v>1</v>
      </c>
      <c r="E850" s="3379" t="str">
        <f>IF(E840&lt;&gt; "",E840,IF(E830 &lt;&gt; "", E830,""))</f>
        <v/>
      </c>
      <c r="F850" s="2831" t="str">
        <f>IF(F840&lt;&gt; "",F840,IF(F830 &lt;&gt; "", F830,""))</f>
        <v/>
      </c>
      <c r="G850" s="2830" t="str">
        <f>IF(G840&lt;&gt; "",G840,IF(G830 &lt;&gt; "", G830,""))</f>
        <v/>
      </c>
      <c r="H850" s="3379"/>
      <c r="I850" s="3379"/>
      <c r="J850" s="3379"/>
      <c r="K850" s="3379"/>
      <c r="L850" s="2831"/>
      <c r="M850" s="961" t="str">
        <f t="shared" ref="M850:M859" si="386">IF(M840&lt;&gt; "",M840,IF(M830 &lt;&gt; "", M830,""))</f>
        <v/>
      </c>
      <c r="N850" s="481"/>
      <c r="O850" s="481"/>
      <c r="P850" s="9"/>
      <c r="R850" s="1633"/>
      <c r="S850" s="1443" t="b">
        <f>TRUE</f>
        <v>1</v>
      </c>
      <c r="AB850" s="1435"/>
      <c r="AK850" s="1633" t="s">
        <v>1954</v>
      </c>
      <c r="AL850" s="1635" t="str">
        <f>IF(AND($M796=EUconst_Relevant,COUNTA(E850:L850)&lt;2),EUconst_Error&amp;"FB"&amp;Q796,"")</f>
        <v/>
      </c>
      <c r="AO850" s="1121" t="b">
        <f t="shared" si="379"/>
        <v>0</v>
      </c>
    </row>
    <row r="851" spans="2:41" ht="12.75" customHeight="1">
      <c r="B851" s="1124"/>
      <c r="C851" s="484"/>
      <c r="D851" s="582">
        <f>D850+1</f>
        <v>2</v>
      </c>
      <c r="E851" s="2825" t="str">
        <f t="shared" ref="E851:G851" si="387">IF(E841&lt;&gt; "",E841,IF(E831 &lt;&gt; "", E831,""))</f>
        <v/>
      </c>
      <c r="F851" s="2826" t="str">
        <f t="shared" si="387"/>
        <v/>
      </c>
      <c r="G851" s="2825" t="str">
        <f t="shared" si="387"/>
        <v/>
      </c>
      <c r="H851" s="2827"/>
      <c r="I851" s="2827"/>
      <c r="J851" s="2827"/>
      <c r="K851" s="2827"/>
      <c r="L851" s="2826"/>
      <c r="M851" s="895" t="str">
        <f t="shared" si="386"/>
        <v/>
      </c>
      <c r="N851" s="481"/>
      <c r="O851" s="481"/>
      <c r="P851" s="9"/>
      <c r="S851" s="1443" t="b">
        <f>TRUE</f>
        <v>1</v>
      </c>
      <c r="AB851" s="1435"/>
      <c r="AO851" s="1121" t="b">
        <f t="shared" si="379"/>
        <v>0</v>
      </c>
    </row>
    <row r="852" spans="2:41" ht="12.75" customHeight="1">
      <c r="B852" s="1124"/>
      <c r="C852" s="484"/>
      <c r="D852" s="582">
        <f t="shared" ref="D852:D859" si="388">D851+1</f>
        <v>3</v>
      </c>
      <c r="E852" s="2825" t="str">
        <f t="shared" ref="E852:G852" si="389">IF(E842&lt;&gt; "",E842,IF(E832 &lt;&gt; "", E832,""))</f>
        <v/>
      </c>
      <c r="F852" s="2826" t="str">
        <f t="shared" si="389"/>
        <v/>
      </c>
      <c r="G852" s="2825" t="str">
        <f t="shared" si="389"/>
        <v/>
      </c>
      <c r="H852" s="2827"/>
      <c r="I852" s="2827"/>
      <c r="J852" s="2827"/>
      <c r="K852" s="2827"/>
      <c r="L852" s="2826"/>
      <c r="M852" s="895" t="str">
        <f t="shared" si="386"/>
        <v/>
      </c>
      <c r="N852" s="481"/>
      <c r="O852" s="481"/>
      <c r="P852" s="9"/>
      <c r="S852" s="1443" t="b">
        <f>TRUE</f>
        <v>1</v>
      </c>
      <c r="AB852" s="1435"/>
      <c r="AO852" s="1121" t="b">
        <f t="shared" si="379"/>
        <v>0</v>
      </c>
    </row>
    <row r="853" spans="2:41" ht="12.75" customHeight="1">
      <c r="B853" s="1124"/>
      <c r="C853" s="484"/>
      <c r="D853" s="582">
        <f t="shared" si="388"/>
        <v>4</v>
      </c>
      <c r="E853" s="2825" t="str">
        <f t="shared" ref="E853:G853" si="390">IF(E843&lt;&gt; "",E843,IF(E833 &lt;&gt; "", E833,""))</f>
        <v/>
      </c>
      <c r="F853" s="2826" t="str">
        <f t="shared" si="390"/>
        <v/>
      </c>
      <c r="G853" s="2825" t="str">
        <f t="shared" si="390"/>
        <v/>
      </c>
      <c r="H853" s="2827"/>
      <c r="I853" s="2827"/>
      <c r="J853" s="2827"/>
      <c r="K853" s="2827"/>
      <c r="L853" s="2826"/>
      <c r="M853" s="895" t="str">
        <f t="shared" si="386"/>
        <v/>
      </c>
      <c r="N853" s="481"/>
      <c r="O853" s="481"/>
      <c r="P853" s="9"/>
      <c r="S853" s="1443" t="b">
        <f>TRUE</f>
        <v>1</v>
      </c>
      <c r="AB853" s="1435"/>
      <c r="AO853" s="1121" t="b">
        <f t="shared" si="379"/>
        <v>0</v>
      </c>
    </row>
    <row r="854" spans="2:41" ht="12.75" customHeight="1">
      <c r="B854" s="1124"/>
      <c r="C854" s="484"/>
      <c r="D854" s="582">
        <f t="shared" si="388"/>
        <v>5</v>
      </c>
      <c r="E854" s="2825" t="str">
        <f t="shared" ref="E854:G854" si="391">IF(E844&lt;&gt; "",E844,IF(E834 &lt;&gt; "", E834,""))</f>
        <v/>
      </c>
      <c r="F854" s="2826" t="str">
        <f t="shared" si="391"/>
        <v/>
      </c>
      <c r="G854" s="2825" t="str">
        <f t="shared" si="391"/>
        <v/>
      </c>
      <c r="H854" s="2827"/>
      <c r="I854" s="2827"/>
      <c r="J854" s="2827"/>
      <c r="K854" s="2827"/>
      <c r="L854" s="2826"/>
      <c r="M854" s="895" t="str">
        <f t="shared" si="386"/>
        <v/>
      </c>
      <c r="N854" s="481"/>
      <c r="O854" s="481"/>
      <c r="P854" s="9"/>
      <c r="S854" s="1443" t="b">
        <f>TRUE</f>
        <v>1</v>
      </c>
      <c r="Z854" s="1249"/>
      <c r="AA854" s="1249"/>
      <c r="AB854" s="1435"/>
      <c r="AO854" s="1121" t="b">
        <f t="shared" si="379"/>
        <v>0</v>
      </c>
    </row>
    <row r="855" spans="2:41" ht="12.75" customHeight="1">
      <c r="B855" s="1124"/>
      <c r="C855" s="484"/>
      <c r="D855" s="582">
        <f t="shared" si="388"/>
        <v>6</v>
      </c>
      <c r="E855" s="2825" t="str">
        <f t="shared" ref="E855:G855" si="392">IF(E845&lt;&gt; "",E845,IF(E835 &lt;&gt; "", E835,""))</f>
        <v/>
      </c>
      <c r="F855" s="2826" t="str">
        <f t="shared" si="392"/>
        <v/>
      </c>
      <c r="G855" s="2825" t="str">
        <f t="shared" si="392"/>
        <v/>
      </c>
      <c r="H855" s="2827"/>
      <c r="I855" s="2827"/>
      <c r="J855" s="2827"/>
      <c r="K855" s="2827"/>
      <c r="L855" s="2826"/>
      <c r="M855" s="895" t="str">
        <f t="shared" si="386"/>
        <v/>
      </c>
      <c r="N855" s="481"/>
      <c r="O855" s="481"/>
      <c r="P855" s="9"/>
      <c r="S855" s="1443" t="b">
        <f>TRUE</f>
        <v>1</v>
      </c>
      <c r="AB855" s="1435"/>
      <c r="AO855" s="1121" t="b">
        <f t="shared" si="379"/>
        <v>0</v>
      </c>
    </row>
    <row r="856" spans="2:41" ht="12.75" customHeight="1">
      <c r="B856" s="1124"/>
      <c r="C856" s="484"/>
      <c r="D856" s="582">
        <f t="shared" si="388"/>
        <v>7</v>
      </c>
      <c r="E856" s="2825" t="str">
        <f t="shared" ref="E856:G856" si="393">IF(E846&lt;&gt; "",E846,IF(E836 &lt;&gt; "", E836,""))</f>
        <v/>
      </c>
      <c r="F856" s="2826" t="str">
        <f t="shared" si="393"/>
        <v/>
      </c>
      <c r="G856" s="2825" t="str">
        <f t="shared" si="393"/>
        <v/>
      </c>
      <c r="H856" s="2827"/>
      <c r="I856" s="2827"/>
      <c r="J856" s="2827"/>
      <c r="K856" s="2827"/>
      <c r="L856" s="2826"/>
      <c r="M856" s="895" t="str">
        <f t="shared" si="386"/>
        <v/>
      </c>
      <c r="N856" s="481"/>
      <c r="O856" s="481"/>
      <c r="P856" s="9"/>
      <c r="S856" s="1443" t="b">
        <f>TRUE</f>
        <v>1</v>
      </c>
      <c r="AB856" s="1435"/>
      <c r="AO856" s="1121" t="b">
        <f t="shared" si="379"/>
        <v>0</v>
      </c>
    </row>
    <row r="857" spans="2:41" ht="12.75" customHeight="1">
      <c r="B857" s="1124"/>
      <c r="C857" s="484"/>
      <c r="D857" s="582">
        <f t="shared" si="388"/>
        <v>8</v>
      </c>
      <c r="E857" s="2825" t="str">
        <f t="shared" ref="E857:G857" si="394">IF(E847&lt;&gt; "",E847,IF(E837 &lt;&gt; "", E837,""))</f>
        <v/>
      </c>
      <c r="F857" s="2826" t="str">
        <f t="shared" si="394"/>
        <v/>
      </c>
      <c r="G857" s="2825" t="str">
        <f t="shared" si="394"/>
        <v/>
      </c>
      <c r="H857" s="2827"/>
      <c r="I857" s="2827"/>
      <c r="J857" s="2827"/>
      <c r="K857" s="2827"/>
      <c r="L857" s="2826"/>
      <c r="M857" s="895" t="str">
        <f t="shared" si="386"/>
        <v/>
      </c>
      <c r="N857" s="481"/>
      <c r="O857" s="481"/>
      <c r="P857" s="9"/>
      <c r="S857" s="1443" t="b">
        <f>TRUE</f>
        <v>1</v>
      </c>
      <c r="AB857" s="1435"/>
      <c r="AO857" s="1121" t="b">
        <f t="shared" si="379"/>
        <v>0</v>
      </c>
    </row>
    <row r="858" spans="2:41" ht="12.75" customHeight="1">
      <c r="B858" s="1124"/>
      <c r="C858" s="484"/>
      <c r="D858" s="582">
        <f t="shared" si="388"/>
        <v>9</v>
      </c>
      <c r="E858" s="2825" t="str">
        <f t="shared" ref="E858:G858" si="395">IF(E848&lt;&gt; "",E848,IF(E838 &lt;&gt; "", E838,""))</f>
        <v/>
      </c>
      <c r="F858" s="2826" t="str">
        <f t="shared" si="395"/>
        <v/>
      </c>
      <c r="G858" s="2825" t="str">
        <f t="shared" si="395"/>
        <v/>
      </c>
      <c r="H858" s="2827"/>
      <c r="I858" s="2827"/>
      <c r="J858" s="2827"/>
      <c r="K858" s="2827"/>
      <c r="L858" s="2826"/>
      <c r="M858" s="895" t="str">
        <f t="shared" si="386"/>
        <v/>
      </c>
      <c r="N858" s="481"/>
      <c r="O858" s="481"/>
      <c r="P858" s="9"/>
      <c r="S858" s="1443" t="b">
        <f>TRUE</f>
        <v>1</v>
      </c>
      <c r="AB858" s="1435"/>
      <c r="AO858" s="1121" t="b">
        <f t="shared" si="379"/>
        <v>0</v>
      </c>
    </row>
    <row r="859" spans="2:41" ht="12.75" customHeight="1">
      <c r="B859" s="1124"/>
      <c r="C859" s="484"/>
      <c r="D859" s="584">
        <f t="shared" si="388"/>
        <v>10</v>
      </c>
      <c r="E859" s="2820" t="str">
        <f t="shared" ref="E859:G859" si="396">IF(E849&lt;&gt; "",E849,IF(E839 &lt;&gt; "", E839,""))</f>
        <v/>
      </c>
      <c r="F859" s="2821" t="str">
        <f t="shared" si="396"/>
        <v/>
      </c>
      <c r="G859" s="2820" t="str">
        <f t="shared" si="396"/>
        <v/>
      </c>
      <c r="H859" s="2822"/>
      <c r="I859" s="2822"/>
      <c r="J859" s="2822"/>
      <c r="K859" s="2822"/>
      <c r="L859" s="2821"/>
      <c r="M859" s="968" t="str">
        <f t="shared" si="386"/>
        <v/>
      </c>
      <c r="N859" s="481"/>
      <c r="O859" s="481"/>
      <c r="P859" s="9"/>
      <c r="S859" s="1443" t="b">
        <f>TRUE</f>
        <v>1</v>
      </c>
      <c r="Z859" s="1249"/>
      <c r="AA859" s="1249"/>
      <c r="AB859" s="1435"/>
      <c r="AO859" s="1121" t="b">
        <f t="shared" si="379"/>
        <v>0</v>
      </c>
    </row>
    <row r="860" spans="2:41" ht="5.0999999999999996" customHeight="1">
      <c r="B860" s="467"/>
      <c r="C860" s="467"/>
      <c r="D860" s="467"/>
      <c r="E860" s="467"/>
      <c r="F860" s="467"/>
      <c r="G860" s="467"/>
      <c r="H860" s="467"/>
      <c r="I860" s="467"/>
      <c r="J860" s="467"/>
      <c r="K860" s="467"/>
      <c r="L860" s="467"/>
      <c r="M860" s="467"/>
      <c r="N860" s="467"/>
      <c r="O860" s="481"/>
      <c r="P860" s="481"/>
      <c r="Q860" s="1249"/>
      <c r="R860" s="1249"/>
      <c r="AB860" s="1435"/>
      <c r="AO860" s="1121" t="b">
        <f t="shared" si="379"/>
        <v>0</v>
      </c>
    </row>
    <row r="861" spans="2:41" ht="12.75" customHeight="1">
      <c r="B861" s="467"/>
      <c r="C861" s="482"/>
      <c r="D861" s="482"/>
      <c r="E861" s="2373" t="s">
        <v>1477</v>
      </c>
      <c r="F861" s="2400"/>
      <c r="G861" s="2400"/>
      <c r="H861" s="2400"/>
      <c r="I861" s="2400"/>
      <c r="J861" s="2400"/>
      <c r="K861" s="2400"/>
      <c r="L861" s="2400"/>
      <c r="M861" s="2400"/>
      <c r="N861" s="2400"/>
      <c r="O861" s="481"/>
      <c r="P861" s="481"/>
      <c r="Q861" s="1249"/>
      <c r="AB861" s="1435"/>
      <c r="AO861" s="1121" t="b">
        <f t="shared" si="379"/>
        <v>0</v>
      </c>
    </row>
    <row r="862" spans="2:41" ht="25.5" customHeight="1">
      <c r="B862" s="467"/>
      <c r="C862" s="482"/>
      <c r="D862" s="482"/>
      <c r="E862" s="2385" t="s">
        <v>1929</v>
      </c>
      <c r="F862" s="2846"/>
      <c r="G862" s="2846"/>
      <c r="H862" s="2846"/>
      <c r="I862" s="2846"/>
      <c r="J862" s="2846"/>
      <c r="K862" s="2846"/>
      <c r="L862" s="2846"/>
      <c r="M862" s="2846"/>
      <c r="N862" s="2846"/>
      <c r="O862" s="481"/>
      <c r="P862" s="481"/>
      <c r="Q862" s="1249"/>
      <c r="AB862" s="1435"/>
      <c r="AO862" s="1121" t="b">
        <f t="shared" si="379"/>
        <v>0</v>
      </c>
    </row>
    <row r="863" spans="2:41" ht="25.5" customHeight="1">
      <c r="B863" s="467"/>
      <c r="C863" s="482"/>
      <c r="D863" s="482"/>
      <c r="E863" s="2385" t="s">
        <v>1878</v>
      </c>
      <c r="F863" s="2846"/>
      <c r="G863" s="2846"/>
      <c r="H863" s="2846"/>
      <c r="I863" s="2846"/>
      <c r="J863" s="2846"/>
      <c r="K863" s="2846"/>
      <c r="L863" s="2846"/>
      <c r="M863" s="2846"/>
      <c r="N863" s="2846"/>
      <c r="O863" s="481"/>
      <c r="P863" s="481"/>
      <c r="Q863" s="1249"/>
      <c r="AB863" s="1435"/>
      <c r="AO863" s="1121" t="b">
        <f t="shared" ref="AO863:AO926" si="397">$AD$796</f>
        <v>0</v>
      </c>
    </row>
    <row r="864" spans="2:41" ht="12.75" customHeight="1">
      <c r="B864" s="467"/>
      <c r="C864" s="482"/>
      <c r="D864" s="482"/>
      <c r="E864" s="2385" t="s">
        <v>1947</v>
      </c>
      <c r="F864" s="2846"/>
      <c r="G864" s="2846"/>
      <c r="H864" s="2846"/>
      <c r="I864" s="2846"/>
      <c r="J864" s="2846"/>
      <c r="K864" s="2846"/>
      <c r="L864" s="2846"/>
      <c r="M864" s="2846"/>
      <c r="N864" s="2846"/>
      <c r="O864" s="481"/>
      <c r="P864" s="481"/>
      <c r="Q864" s="1249"/>
      <c r="AB864" s="1435"/>
      <c r="AO864" s="1121" t="b">
        <f t="shared" si="397"/>
        <v>0</v>
      </c>
    </row>
    <row r="865" spans="1:42" ht="5.0999999999999996" customHeight="1">
      <c r="B865" s="467"/>
      <c r="C865" s="485"/>
      <c r="D865" s="485"/>
      <c r="E865" s="617"/>
      <c r="F865" s="617"/>
      <c r="G865" s="617"/>
      <c r="H865" s="617"/>
      <c r="I865" s="617"/>
      <c r="J865" s="468"/>
      <c r="K865" s="468"/>
      <c r="L865" s="468"/>
      <c r="M865" s="481"/>
      <c r="N865" s="481"/>
      <c r="O865" s="481"/>
      <c r="P865" s="481"/>
      <c r="Q865" s="1249"/>
      <c r="AB865" s="1435"/>
      <c r="AO865" s="1121" t="b">
        <f t="shared" si="397"/>
        <v>0</v>
      </c>
    </row>
    <row r="866" spans="1:42" s="1911" customFormat="1" ht="25.5" customHeight="1">
      <c r="A866" s="1905"/>
      <c r="B866" s="1906"/>
      <c r="C866" s="1028"/>
      <c r="D866" s="1029"/>
      <c r="E866" s="870" t="str">
        <f>G829</f>
        <v>Product name or service type</v>
      </c>
      <c r="F866" s="1030" t="str">
        <f>EUconst_Unit</f>
        <v>Unit</v>
      </c>
      <c r="G866" s="1031" t="s">
        <v>2213</v>
      </c>
      <c r="H866" s="1032">
        <f t="shared" ref="H866:N866" si="398">H$1190</f>
        <v>2024</v>
      </c>
      <c r="I866" s="1031">
        <f t="shared" si="398"/>
        <v>2025</v>
      </c>
      <c r="J866" s="1907">
        <f t="shared" si="398"/>
        <v>2026</v>
      </c>
      <c r="K866" s="1908">
        <f t="shared" si="398"/>
        <v>2027</v>
      </c>
      <c r="L866" s="1908">
        <f t="shared" si="398"/>
        <v>2028</v>
      </c>
      <c r="M866" s="1908">
        <f t="shared" si="398"/>
        <v>2029</v>
      </c>
      <c r="N866" s="1908">
        <f t="shared" si="398"/>
        <v>2030</v>
      </c>
      <c r="O866" s="481"/>
      <c r="P866" s="481"/>
      <c r="Q866" s="1909"/>
      <c r="R866" s="1909"/>
      <c r="S866" s="1904" t="s">
        <v>2057</v>
      </c>
      <c r="T866" s="1909"/>
      <c r="U866" s="1909"/>
      <c r="V866" s="1909"/>
      <c r="W866" s="1909"/>
      <c r="X866" s="1909"/>
      <c r="Y866" s="1909"/>
      <c r="Z866" s="1909"/>
      <c r="AA866" s="1909"/>
      <c r="AB866" s="1249" t="s">
        <v>1646</v>
      </c>
      <c r="AC866" s="1909">
        <f t="shared" ref="AC866:AI866" si="399">H866</f>
        <v>2024</v>
      </c>
      <c r="AD866" s="1909">
        <f t="shared" si="399"/>
        <v>2025</v>
      </c>
      <c r="AE866" s="1909">
        <f t="shared" si="399"/>
        <v>2026</v>
      </c>
      <c r="AF866" s="1909">
        <f t="shared" si="399"/>
        <v>2027</v>
      </c>
      <c r="AG866" s="1909">
        <f t="shared" si="399"/>
        <v>2028</v>
      </c>
      <c r="AH866" s="1910">
        <f t="shared" si="399"/>
        <v>2029</v>
      </c>
      <c r="AI866" s="1910">
        <f t="shared" si="399"/>
        <v>2030</v>
      </c>
      <c r="AN866" s="1905"/>
      <c r="AO866" s="1121" t="b">
        <f t="shared" si="397"/>
        <v>0</v>
      </c>
      <c r="AP866" s="1912"/>
    </row>
    <row r="867" spans="1:42" s="1911" customFormat="1">
      <c r="A867" s="1905"/>
      <c r="B867" s="1906"/>
      <c r="C867" s="1028"/>
      <c r="D867" s="579">
        <v>1</v>
      </c>
      <c r="E867" s="1913" t="str">
        <f>c_ALR2025!E6458</f>
        <v/>
      </c>
      <c r="F867" s="1763" t="str">
        <f>c_ALR2025!F6458</f>
        <v/>
      </c>
      <c r="G867" s="1914" t="str">
        <f>c_ALR2025!G6458</f>
        <v/>
      </c>
      <c r="H867" s="1915" t="str">
        <f>c_ALR2025!M6458</f>
        <v/>
      </c>
      <c r="I867" s="1987"/>
      <c r="J867" s="1907"/>
      <c r="K867" s="1908"/>
      <c r="L867" s="1908"/>
      <c r="M867" s="1908"/>
      <c r="N867" s="1908"/>
      <c r="O867" s="481"/>
      <c r="P867" s="9"/>
      <c r="Q867" s="1909"/>
      <c r="R867" s="1909"/>
      <c r="S867" s="1715" t="b">
        <f>IF(E867 = "", TRUE, FALSE)</f>
        <v>1</v>
      </c>
      <c r="T867" s="1909"/>
      <c r="U867" s="1909"/>
      <c r="V867" s="1909"/>
      <c r="W867" s="1909"/>
      <c r="X867" s="1909"/>
      <c r="Y867" s="1909"/>
      <c r="Z867" s="1909"/>
      <c r="AA867" s="1909"/>
      <c r="AB867" s="1249"/>
      <c r="AC867" s="1909"/>
      <c r="AD867" s="1909"/>
      <c r="AE867" s="1909"/>
      <c r="AF867" s="1909"/>
      <c r="AG867" s="1909"/>
      <c r="AH867" s="1910"/>
      <c r="AI867" s="1910"/>
      <c r="AN867" s="1905"/>
      <c r="AO867" s="1121" t="b">
        <f t="shared" si="397"/>
        <v>0</v>
      </c>
      <c r="AP867" s="1912"/>
    </row>
    <row r="868" spans="1:42" s="1911" customFormat="1">
      <c r="A868" s="1905"/>
      <c r="B868" s="1906"/>
      <c r="C868" s="1028"/>
      <c r="D868" s="582">
        <v>2</v>
      </c>
      <c r="E868" s="1916" t="str">
        <f>c_ALR2025!E6459</f>
        <v/>
      </c>
      <c r="F868" s="1917" t="str">
        <f>c_ALR2025!F6459</f>
        <v/>
      </c>
      <c r="G868" s="1918" t="str">
        <f>c_ALR2025!G6459</f>
        <v/>
      </c>
      <c r="H868" s="1919" t="str">
        <f>c_ALR2025!M6459</f>
        <v/>
      </c>
      <c r="I868" s="1988"/>
      <c r="J868" s="1907"/>
      <c r="K868" s="1908"/>
      <c r="L868" s="1908"/>
      <c r="M868" s="1908"/>
      <c r="N868" s="1908"/>
      <c r="O868" s="481"/>
      <c r="P868" s="9"/>
      <c r="Q868" s="1909"/>
      <c r="R868" s="1909"/>
      <c r="S868" s="1715" t="b">
        <f t="shared" ref="S868:S876" si="400">IF(E868 = "", TRUE, FALSE)</f>
        <v>1</v>
      </c>
      <c r="T868" s="1909"/>
      <c r="U868" s="1909"/>
      <c r="V868" s="1909"/>
      <c r="W868" s="1909"/>
      <c r="X868" s="1909"/>
      <c r="Y868" s="1909"/>
      <c r="Z868" s="1909"/>
      <c r="AA868" s="1909"/>
      <c r="AB868" s="1249"/>
      <c r="AC868" s="1909"/>
      <c r="AD868" s="1909"/>
      <c r="AE868" s="1909"/>
      <c r="AF868" s="1909"/>
      <c r="AG868" s="1909"/>
      <c r="AH868" s="1910"/>
      <c r="AI868" s="1910"/>
      <c r="AN868" s="1905"/>
      <c r="AO868" s="1121" t="b">
        <f t="shared" si="397"/>
        <v>0</v>
      </c>
      <c r="AP868" s="1912"/>
    </row>
    <row r="869" spans="1:42" s="1911" customFormat="1">
      <c r="A869" s="1905"/>
      <c r="B869" s="1906"/>
      <c r="C869" s="1028"/>
      <c r="D869" s="582">
        <v>3</v>
      </c>
      <c r="E869" s="1916" t="str">
        <f>c_ALR2025!E6460</f>
        <v/>
      </c>
      <c r="F869" s="1917" t="str">
        <f>c_ALR2025!F6460</f>
        <v/>
      </c>
      <c r="G869" s="1918" t="str">
        <f>c_ALR2025!G6460</f>
        <v/>
      </c>
      <c r="H869" s="1919" t="str">
        <f>c_ALR2025!M6460</f>
        <v/>
      </c>
      <c r="I869" s="1988"/>
      <c r="J869" s="1907"/>
      <c r="K869" s="1908"/>
      <c r="L869" s="1908"/>
      <c r="M869" s="1908"/>
      <c r="N869" s="1908"/>
      <c r="O869" s="481"/>
      <c r="P869" s="9"/>
      <c r="Q869" s="1909"/>
      <c r="R869" s="1909"/>
      <c r="S869" s="1715" t="b">
        <f t="shared" si="400"/>
        <v>1</v>
      </c>
      <c r="T869" s="1909"/>
      <c r="U869" s="1909"/>
      <c r="V869" s="1909"/>
      <c r="W869" s="1909"/>
      <c r="X869" s="1909"/>
      <c r="Y869" s="1909"/>
      <c r="Z869" s="1909"/>
      <c r="AA869" s="1909"/>
      <c r="AB869" s="1249"/>
      <c r="AC869" s="1909"/>
      <c r="AD869" s="1909"/>
      <c r="AE869" s="1909"/>
      <c r="AF869" s="1909"/>
      <c r="AG869" s="1909"/>
      <c r="AH869" s="1910"/>
      <c r="AI869" s="1910"/>
      <c r="AN869" s="1905"/>
      <c r="AO869" s="1121" t="b">
        <f t="shared" si="397"/>
        <v>0</v>
      </c>
      <c r="AP869" s="1912"/>
    </row>
    <row r="870" spans="1:42" s="1911" customFormat="1">
      <c r="A870" s="1905"/>
      <c r="B870" s="1906"/>
      <c r="C870" s="1028"/>
      <c r="D870" s="582">
        <v>4</v>
      </c>
      <c r="E870" s="1916" t="str">
        <f>c_ALR2025!E6461</f>
        <v/>
      </c>
      <c r="F870" s="1917" t="str">
        <f>c_ALR2025!F6461</f>
        <v/>
      </c>
      <c r="G870" s="1918" t="str">
        <f>c_ALR2025!G6461</f>
        <v/>
      </c>
      <c r="H870" s="1919" t="str">
        <f>c_ALR2025!M6461</f>
        <v/>
      </c>
      <c r="I870" s="1988"/>
      <c r="J870" s="1907"/>
      <c r="K870" s="1908"/>
      <c r="L870" s="1908"/>
      <c r="M870" s="1908"/>
      <c r="N870" s="1908"/>
      <c r="O870" s="481"/>
      <c r="P870" s="9"/>
      <c r="Q870" s="1909"/>
      <c r="R870" s="1909"/>
      <c r="S870" s="1715" t="b">
        <f t="shared" si="400"/>
        <v>1</v>
      </c>
      <c r="T870" s="1909"/>
      <c r="U870" s="1909"/>
      <c r="V870" s="1909"/>
      <c r="W870" s="1909"/>
      <c r="X870" s="1909"/>
      <c r="Y870" s="1909"/>
      <c r="Z870" s="1909"/>
      <c r="AA870" s="1909"/>
      <c r="AB870" s="1249"/>
      <c r="AC870" s="1909"/>
      <c r="AD870" s="1909"/>
      <c r="AE870" s="1909"/>
      <c r="AF870" s="1909"/>
      <c r="AG870" s="1909"/>
      <c r="AH870" s="1910"/>
      <c r="AI870" s="1910"/>
      <c r="AN870" s="1905"/>
      <c r="AO870" s="1121" t="b">
        <f t="shared" si="397"/>
        <v>0</v>
      </c>
      <c r="AP870" s="1912"/>
    </row>
    <row r="871" spans="1:42" s="1911" customFormat="1">
      <c r="A871" s="1905"/>
      <c r="B871" s="1906"/>
      <c r="C871" s="1028"/>
      <c r="D871" s="582">
        <v>5</v>
      </c>
      <c r="E871" s="1916" t="str">
        <f>c_ALR2025!E6462</f>
        <v/>
      </c>
      <c r="F871" s="1917" t="str">
        <f>c_ALR2025!F6462</f>
        <v/>
      </c>
      <c r="G871" s="1918" t="str">
        <f>c_ALR2025!G6462</f>
        <v/>
      </c>
      <c r="H871" s="1919" t="str">
        <f>c_ALR2025!M6462</f>
        <v/>
      </c>
      <c r="I871" s="1988"/>
      <c r="J871" s="1907"/>
      <c r="K871" s="1908"/>
      <c r="L871" s="1908"/>
      <c r="M871" s="1908"/>
      <c r="N871" s="1908"/>
      <c r="O871" s="481"/>
      <c r="P871" s="9"/>
      <c r="Q871" s="1909"/>
      <c r="R871" s="1909"/>
      <c r="S871" s="1715" t="b">
        <f t="shared" si="400"/>
        <v>1</v>
      </c>
      <c r="T871" s="1909"/>
      <c r="U871" s="1909"/>
      <c r="V871" s="1909"/>
      <c r="W871" s="1909"/>
      <c r="X871" s="1909"/>
      <c r="Y871" s="1909"/>
      <c r="Z871" s="1909"/>
      <c r="AA871" s="1909"/>
      <c r="AB871" s="1249"/>
      <c r="AC871" s="1909"/>
      <c r="AD871" s="1909"/>
      <c r="AE871" s="1909"/>
      <c r="AF871" s="1909"/>
      <c r="AG871" s="1909"/>
      <c r="AH871" s="1910"/>
      <c r="AI871" s="1910"/>
      <c r="AN871" s="1905"/>
      <c r="AO871" s="1121" t="b">
        <f t="shared" si="397"/>
        <v>0</v>
      </c>
      <c r="AP871" s="1912"/>
    </row>
    <row r="872" spans="1:42" s="1911" customFormat="1">
      <c r="A872" s="1905"/>
      <c r="B872" s="1906"/>
      <c r="C872" s="1028"/>
      <c r="D872" s="582">
        <v>6</v>
      </c>
      <c r="E872" s="1916" t="str">
        <f>c_ALR2025!E6463</f>
        <v/>
      </c>
      <c r="F872" s="1917" t="str">
        <f>c_ALR2025!F6463</f>
        <v/>
      </c>
      <c r="G872" s="1918" t="str">
        <f>c_ALR2025!G6463</f>
        <v/>
      </c>
      <c r="H872" s="1919" t="str">
        <f>c_ALR2025!M6463</f>
        <v/>
      </c>
      <c r="I872" s="1988"/>
      <c r="J872" s="1907"/>
      <c r="K872" s="1908"/>
      <c r="L872" s="1908"/>
      <c r="M872" s="1908"/>
      <c r="N872" s="1908"/>
      <c r="O872" s="481"/>
      <c r="P872" s="9"/>
      <c r="Q872" s="1909"/>
      <c r="R872" s="1909"/>
      <c r="S872" s="1715" t="b">
        <f t="shared" si="400"/>
        <v>1</v>
      </c>
      <c r="T872" s="1909"/>
      <c r="U872" s="1909"/>
      <c r="V872" s="1909"/>
      <c r="W872" s="1909"/>
      <c r="X872" s="1909"/>
      <c r="Y872" s="1909"/>
      <c r="Z872" s="1909"/>
      <c r="AA872" s="1909"/>
      <c r="AB872" s="1249"/>
      <c r="AC872" s="1909"/>
      <c r="AD872" s="1909"/>
      <c r="AE872" s="1909"/>
      <c r="AF872" s="1909"/>
      <c r="AG872" s="1909"/>
      <c r="AH872" s="1910"/>
      <c r="AI872" s="1910"/>
      <c r="AN872" s="1905"/>
      <c r="AO872" s="1121" t="b">
        <f t="shared" si="397"/>
        <v>0</v>
      </c>
      <c r="AP872" s="1912"/>
    </row>
    <row r="873" spans="1:42" s="1911" customFormat="1">
      <c r="A873" s="1905"/>
      <c r="B873" s="1906"/>
      <c r="C873" s="1028"/>
      <c r="D873" s="582">
        <v>7</v>
      </c>
      <c r="E873" s="1916" t="str">
        <f>c_ALR2025!E6464</f>
        <v/>
      </c>
      <c r="F873" s="1917" t="str">
        <f>c_ALR2025!F6464</f>
        <v/>
      </c>
      <c r="G873" s="1918" t="str">
        <f>c_ALR2025!G6464</f>
        <v/>
      </c>
      <c r="H873" s="1919" t="str">
        <f>c_ALR2025!M6464</f>
        <v/>
      </c>
      <c r="I873" s="1988"/>
      <c r="J873" s="1907"/>
      <c r="K873" s="1908"/>
      <c r="L873" s="1908"/>
      <c r="M873" s="1908"/>
      <c r="N873" s="1908"/>
      <c r="O873" s="481"/>
      <c r="P873" s="9"/>
      <c r="Q873" s="1909"/>
      <c r="R873" s="1909"/>
      <c r="S873" s="1715" t="b">
        <f t="shared" si="400"/>
        <v>1</v>
      </c>
      <c r="T873" s="1909"/>
      <c r="U873" s="1909"/>
      <c r="V873" s="1909"/>
      <c r="W873" s="1909"/>
      <c r="X873" s="1909"/>
      <c r="Y873" s="1909"/>
      <c r="Z873" s="1909"/>
      <c r="AA873" s="1909"/>
      <c r="AB873" s="1249"/>
      <c r="AC873" s="1909"/>
      <c r="AD873" s="1909"/>
      <c r="AE873" s="1909"/>
      <c r="AF873" s="1909"/>
      <c r="AG873" s="1909"/>
      <c r="AH873" s="1910"/>
      <c r="AI873" s="1910"/>
      <c r="AN873" s="1905"/>
      <c r="AO873" s="1121" t="b">
        <f t="shared" si="397"/>
        <v>0</v>
      </c>
      <c r="AP873" s="1912"/>
    </row>
    <row r="874" spans="1:42" s="1911" customFormat="1">
      <c r="A874" s="1905"/>
      <c r="B874" s="1906"/>
      <c r="C874" s="1028"/>
      <c r="D874" s="582">
        <v>8</v>
      </c>
      <c r="E874" s="1916" t="str">
        <f>c_ALR2025!E6465</f>
        <v/>
      </c>
      <c r="F874" s="1917" t="str">
        <f>c_ALR2025!F6465</f>
        <v/>
      </c>
      <c r="G874" s="1918" t="str">
        <f>c_ALR2025!G6465</f>
        <v/>
      </c>
      <c r="H874" s="1919" t="str">
        <f>c_ALR2025!M6465</f>
        <v/>
      </c>
      <c r="I874" s="1988"/>
      <c r="J874" s="1907"/>
      <c r="K874" s="1908"/>
      <c r="L874" s="1908"/>
      <c r="M874" s="1908"/>
      <c r="N874" s="1908"/>
      <c r="O874" s="481"/>
      <c r="P874" s="9"/>
      <c r="Q874" s="1909"/>
      <c r="R874" s="1909"/>
      <c r="S874" s="1715" t="b">
        <f t="shared" si="400"/>
        <v>1</v>
      </c>
      <c r="T874" s="1909"/>
      <c r="U874" s="1909"/>
      <c r="V874" s="1909"/>
      <c r="W874" s="1909"/>
      <c r="X874" s="1909"/>
      <c r="Y874" s="1909"/>
      <c r="Z874" s="1909"/>
      <c r="AA874" s="1909"/>
      <c r="AB874" s="1249"/>
      <c r="AC874" s="1909"/>
      <c r="AD874" s="1909"/>
      <c r="AE874" s="1909"/>
      <c r="AF874" s="1909"/>
      <c r="AG874" s="1909"/>
      <c r="AH874" s="1910"/>
      <c r="AI874" s="1910"/>
      <c r="AN874" s="1905"/>
      <c r="AO874" s="1121" t="b">
        <f t="shared" si="397"/>
        <v>0</v>
      </c>
      <c r="AP874" s="1912"/>
    </row>
    <row r="875" spans="1:42" s="1911" customFormat="1">
      <c r="A875" s="1905"/>
      <c r="B875" s="1906"/>
      <c r="C875" s="1028"/>
      <c r="D875" s="582">
        <v>9</v>
      </c>
      <c r="E875" s="1916" t="str">
        <f>c_ALR2025!E6466</f>
        <v/>
      </c>
      <c r="F875" s="1917" t="str">
        <f>c_ALR2025!F6466</f>
        <v/>
      </c>
      <c r="G875" s="1918" t="str">
        <f>c_ALR2025!G6466</f>
        <v/>
      </c>
      <c r="H875" s="1919" t="str">
        <f>c_ALR2025!M6466</f>
        <v/>
      </c>
      <c r="I875" s="1988"/>
      <c r="J875" s="1907"/>
      <c r="K875" s="1908"/>
      <c r="L875" s="1908"/>
      <c r="M875" s="1908"/>
      <c r="N875" s="1908"/>
      <c r="O875" s="481"/>
      <c r="P875" s="9"/>
      <c r="Q875" s="1909"/>
      <c r="R875" s="1909"/>
      <c r="S875" s="1715" t="b">
        <f t="shared" si="400"/>
        <v>1</v>
      </c>
      <c r="T875" s="1909"/>
      <c r="U875" s="1909"/>
      <c r="V875" s="1909"/>
      <c r="W875" s="1909"/>
      <c r="X875" s="1909"/>
      <c r="Y875" s="1909"/>
      <c r="Z875" s="1909"/>
      <c r="AA875" s="1909"/>
      <c r="AB875" s="1249"/>
      <c r="AC875" s="1909"/>
      <c r="AD875" s="1909"/>
      <c r="AE875" s="1909"/>
      <c r="AF875" s="1909"/>
      <c r="AG875" s="1909"/>
      <c r="AH875" s="1910"/>
      <c r="AI875" s="1910"/>
      <c r="AN875" s="1905"/>
      <c r="AO875" s="1121" t="b">
        <f t="shared" si="397"/>
        <v>0</v>
      </c>
      <c r="AP875" s="1912"/>
    </row>
    <row r="876" spans="1:42" s="1911" customFormat="1">
      <c r="A876" s="1905"/>
      <c r="B876" s="1906"/>
      <c r="C876" s="1028"/>
      <c r="D876" s="584">
        <v>10</v>
      </c>
      <c r="E876" s="1920" t="str">
        <f>c_ALR2025!E6467</f>
        <v/>
      </c>
      <c r="F876" s="1921" t="str">
        <f>c_ALR2025!F6467</f>
        <v/>
      </c>
      <c r="G876" s="1922" t="str">
        <f>c_ALR2025!G6467</f>
        <v/>
      </c>
      <c r="H876" s="1923" t="str">
        <f>c_ALR2025!M6467</f>
        <v/>
      </c>
      <c r="I876" s="1989"/>
      <c r="J876" s="1907"/>
      <c r="K876" s="1908"/>
      <c r="L876" s="1908"/>
      <c r="M876" s="1908"/>
      <c r="N876" s="1908"/>
      <c r="O876" s="481"/>
      <c r="P876" s="9"/>
      <c r="Q876" s="1909"/>
      <c r="R876" s="1909"/>
      <c r="S876" s="1715" t="b">
        <f t="shared" si="400"/>
        <v>1</v>
      </c>
      <c r="T876" s="1909"/>
      <c r="U876" s="1909"/>
      <c r="V876" s="1909"/>
      <c r="W876" s="1909"/>
      <c r="X876" s="1909"/>
      <c r="Y876" s="1909"/>
      <c r="Z876" s="1909"/>
      <c r="AA876" s="1909"/>
      <c r="AB876" s="1249"/>
      <c r="AC876" s="1909"/>
      <c r="AD876" s="1909"/>
      <c r="AE876" s="1909"/>
      <c r="AF876" s="1909"/>
      <c r="AG876" s="1909"/>
      <c r="AH876" s="1910"/>
      <c r="AI876" s="1910"/>
      <c r="AN876" s="1905"/>
      <c r="AO876" s="1121" t="b">
        <f t="shared" si="397"/>
        <v>0</v>
      </c>
      <c r="AP876" s="1912"/>
    </row>
    <row r="877" spans="1:42" s="1911" customFormat="1">
      <c r="A877" s="1905"/>
      <c r="B877" s="1906"/>
      <c r="C877" s="1028"/>
      <c r="D877" s="579">
        <v>1</v>
      </c>
      <c r="E877" s="1034" t="str">
        <f>IF(ISBLANK(G850),"",G850)</f>
        <v/>
      </c>
      <c r="F877" s="1990"/>
      <c r="G877" s="1987"/>
      <c r="H877" s="1924"/>
      <c r="I877" s="1987"/>
      <c r="J877" s="1907"/>
      <c r="K877" s="1908"/>
      <c r="L877" s="1908"/>
      <c r="M877" s="1908"/>
      <c r="N877" s="1908"/>
      <c r="O877" s="481"/>
      <c r="P877" s="9"/>
      <c r="Q877" s="1909"/>
      <c r="R877" s="1909"/>
      <c r="S877" s="1715" t="b">
        <f>IF(AND(S867 = TRUE, E877 &lt;&gt; ""),FALSE, TRUE)</f>
        <v>1</v>
      </c>
      <c r="T877" s="1909"/>
      <c r="U877" s="1909"/>
      <c r="V877" s="1909"/>
      <c r="W877" s="1909"/>
      <c r="X877" s="1909"/>
      <c r="Y877" s="1909"/>
      <c r="Z877" s="1909"/>
      <c r="AA877" s="1909"/>
      <c r="AB877" s="1249"/>
      <c r="AC877" s="1909"/>
      <c r="AD877" s="1909"/>
      <c r="AE877" s="1909"/>
      <c r="AF877" s="1909"/>
      <c r="AG877" s="1909"/>
      <c r="AH877" s="1910"/>
      <c r="AI877" s="1910"/>
      <c r="AN877" s="1905"/>
      <c r="AO877" s="1121" t="b">
        <f t="shared" si="397"/>
        <v>0</v>
      </c>
      <c r="AP877" s="1912"/>
    </row>
    <row r="878" spans="1:42" s="1911" customFormat="1">
      <c r="A878" s="1905"/>
      <c r="B878" s="1906"/>
      <c r="C878" s="1028"/>
      <c r="D878" s="582">
        <v>2</v>
      </c>
      <c r="E878" s="1035" t="str">
        <f t="shared" ref="E878:E886" si="401">IF(ISBLANK(G851),"",G851)</f>
        <v/>
      </c>
      <c r="F878" s="1991"/>
      <c r="G878" s="1988"/>
      <c r="H878" s="1925"/>
      <c r="I878" s="1988"/>
      <c r="J878" s="1907"/>
      <c r="K878" s="1908"/>
      <c r="L878" s="1908"/>
      <c r="M878" s="1908"/>
      <c r="N878" s="1908"/>
      <c r="O878" s="481"/>
      <c r="P878" s="9"/>
      <c r="Q878" s="1909"/>
      <c r="R878" s="1909"/>
      <c r="S878" s="1715" t="b">
        <f t="shared" ref="S878:S886" si="402">IF(AND(S868 = TRUE, E878 &lt;&gt; ""),FALSE, TRUE)</f>
        <v>1</v>
      </c>
      <c r="T878" s="1909"/>
      <c r="U878" s="1909"/>
      <c r="V878" s="1909"/>
      <c r="W878" s="1909"/>
      <c r="X878" s="1909"/>
      <c r="Y878" s="1909"/>
      <c r="Z878" s="1909"/>
      <c r="AA878" s="1909"/>
      <c r="AB878" s="1249"/>
      <c r="AC878" s="1909"/>
      <c r="AD878" s="1909"/>
      <c r="AE878" s="1909"/>
      <c r="AF878" s="1909"/>
      <c r="AG878" s="1909"/>
      <c r="AH878" s="1910"/>
      <c r="AI878" s="1910"/>
      <c r="AN878" s="1905"/>
      <c r="AO878" s="1121" t="b">
        <f t="shared" si="397"/>
        <v>0</v>
      </c>
      <c r="AP878" s="1912"/>
    </row>
    <row r="879" spans="1:42" s="1911" customFormat="1">
      <c r="A879" s="1905"/>
      <c r="B879" s="1906"/>
      <c r="C879" s="1028"/>
      <c r="D879" s="582">
        <v>3</v>
      </c>
      <c r="E879" s="1035" t="str">
        <f t="shared" si="401"/>
        <v/>
      </c>
      <c r="F879" s="1991"/>
      <c r="G879" s="1988"/>
      <c r="H879" s="1925"/>
      <c r="I879" s="1988"/>
      <c r="J879" s="1907"/>
      <c r="K879" s="1908"/>
      <c r="L879" s="1908"/>
      <c r="M879" s="1908"/>
      <c r="N879" s="1908"/>
      <c r="O879" s="481"/>
      <c r="P879" s="9"/>
      <c r="Q879" s="1909"/>
      <c r="R879" s="1909"/>
      <c r="S879" s="1715" t="b">
        <f t="shared" si="402"/>
        <v>1</v>
      </c>
      <c r="T879" s="1909"/>
      <c r="U879" s="1909"/>
      <c r="V879" s="1909"/>
      <c r="W879" s="1909"/>
      <c r="X879" s="1909"/>
      <c r="Y879" s="1909"/>
      <c r="Z879" s="1909"/>
      <c r="AA879" s="1909"/>
      <c r="AB879" s="1249"/>
      <c r="AC879" s="1909"/>
      <c r="AD879" s="1909"/>
      <c r="AE879" s="1909"/>
      <c r="AF879" s="1909"/>
      <c r="AG879" s="1909"/>
      <c r="AH879" s="1910"/>
      <c r="AI879" s="1910"/>
      <c r="AN879" s="1905"/>
      <c r="AO879" s="1121" t="b">
        <f t="shared" si="397"/>
        <v>0</v>
      </c>
      <c r="AP879" s="1912"/>
    </row>
    <row r="880" spans="1:42" s="1911" customFormat="1">
      <c r="A880" s="1905"/>
      <c r="B880" s="1906"/>
      <c r="C880" s="1028"/>
      <c r="D880" s="582">
        <v>4</v>
      </c>
      <c r="E880" s="1035" t="str">
        <f t="shared" si="401"/>
        <v/>
      </c>
      <c r="F880" s="1991"/>
      <c r="G880" s="1988"/>
      <c r="H880" s="1925"/>
      <c r="I880" s="1988"/>
      <c r="J880" s="1907"/>
      <c r="K880" s="1908"/>
      <c r="L880" s="1908"/>
      <c r="M880" s="1908"/>
      <c r="N880" s="1908"/>
      <c r="O880" s="481"/>
      <c r="P880" s="9"/>
      <c r="Q880" s="1909"/>
      <c r="R880" s="1909"/>
      <c r="S880" s="1715" t="b">
        <f t="shared" si="402"/>
        <v>1</v>
      </c>
      <c r="T880" s="1909"/>
      <c r="U880" s="1909"/>
      <c r="V880" s="1909"/>
      <c r="W880" s="1909"/>
      <c r="X880" s="1909"/>
      <c r="Y880" s="1909"/>
      <c r="Z880" s="1909"/>
      <c r="AA880" s="1909"/>
      <c r="AB880" s="1249"/>
      <c r="AC880" s="1909"/>
      <c r="AD880" s="1909"/>
      <c r="AE880" s="1909"/>
      <c r="AF880" s="1909"/>
      <c r="AG880" s="1909"/>
      <c r="AH880" s="1910"/>
      <c r="AI880" s="1910"/>
      <c r="AN880" s="1905"/>
      <c r="AO880" s="1121" t="b">
        <f t="shared" si="397"/>
        <v>0</v>
      </c>
      <c r="AP880" s="1912"/>
    </row>
    <row r="881" spans="1:42" s="1911" customFormat="1">
      <c r="A881" s="1905"/>
      <c r="B881" s="1906"/>
      <c r="C881" s="1028"/>
      <c r="D881" s="582">
        <v>5</v>
      </c>
      <c r="E881" s="1035" t="str">
        <f t="shared" si="401"/>
        <v/>
      </c>
      <c r="F881" s="1991"/>
      <c r="G881" s="1988"/>
      <c r="H881" s="1925"/>
      <c r="I881" s="1988"/>
      <c r="J881" s="1907"/>
      <c r="K881" s="1908"/>
      <c r="L881" s="1908"/>
      <c r="M881" s="1908"/>
      <c r="N881" s="1908"/>
      <c r="O881" s="481"/>
      <c r="P881" s="9"/>
      <c r="Q881" s="1909"/>
      <c r="R881" s="1909"/>
      <c r="S881" s="1715" t="b">
        <f t="shared" si="402"/>
        <v>1</v>
      </c>
      <c r="T881" s="1909"/>
      <c r="U881" s="1909"/>
      <c r="V881" s="1909"/>
      <c r="W881" s="1909"/>
      <c r="X881" s="1909"/>
      <c r="Y881" s="1909"/>
      <c r="Z881" s="1909"/>
      <c r="AA881" s="1909"/>
      <c r="AB881" s="1249"/>
      <c r="AC881" s="1909"/>
      <c r="AD881" s="1909"/>
      <c r="AE881" s="1909"/>
      <c r="AF881" s="1909"/>
      <c r="AG881" s="1909"/>
      <c r="AH881" s="1910"/>
      <c r="AI881" s="1910"/>
      <c r="AJ881" s="1910"/>
      <c r="AK881" s="1910"/>
      <c r="AL881" s="1910"/>
      <c r="AN881" s="1905"/>
      <c r="AO881" s="1121" t="b">
        <f t="shared" si="397"/>
        <v>0</v>
      </c>
      <c r="AP881" s="1912"/>
    </row>
    <row r="882" spans="1:42" s="1911" customFormat="1">
      <c r="A882" s="1905"/>
      <c r="B882" s="1906"/>
      <c r="C882" s="1028"/>
      <c r="D882" s="582">
        <v>6</v>
      </c>
      <c r="E882" s="1035" t="str">
        <f t="shared" si="401"/>
        <v/>
      </c>
      <c r="F882" s="1991"/>
      <c r="G882" s="1988"/>
      <c r="H882" s="1925"/>
      <c r="I882" s="1988"/>
      <c r="J882" s="1907"/>
      <c r="K882" s="1908"/>
      <c r="L882" s="1908"/>
      <c r="M882" s="1908"/>
      <c r="N882" s="1908"/>
      <c r="O882" s="481"/>
      <c r="P882" s="9"/>
      <c r="Q882" s="1909"/>
      <c r="R882" s="1909"/>
      <c r="S882" s="1715" t="b">
        <f t="shared" si="402"/>
        <v>1</v>
      </c>
      <c r="T882" s="1909"/>
      <c r="U882" s="1909"/>
      <c r="V882" s="1909"/>
      <c r="W882" s="1909"/>
      <c r="X882" s="1909"/>
      <c r="Y882" s="1909"/>
      <c r="Z882" s="1909"/>
      <c r="AA882" s="1909"/>
      <c r="AB882" s="1249"/>
      <c r="AC882" s="1909"/>
      <c r="AD882" s="1909"/>
      <c r="AE882" s="1909"/>
      <c r="AF882" s="1909"/>
      <c r="AG882" s="1909"/>
      <c r="AH882" s="1910"/>
      <c r="AI882" s="1910"/>
      <c r="AJ882" s="1910"/>
      <c r="AK882" s="1910"/>
      <c r="AL882" s="1910"/>
      <c r="AN882" s="1905"/>
      <c r="AO882" s="1121" t="b">
        <f t="shared" si="397"/>
        <v>0</v>
      </c>
      <c r="AP882" s="1912"/>
    </row>
    <row r="883" spans="1:42" s="1911" customFormat="1">
      <c r="A883" s="1905"/>
      <c r="B883" s="1906"/>
      <c r="C883" s="1028"/>
      <c r="D883" s="582">
        <v>7</v>
      </c>
      <c r="E883" s="1035" t="str">
        <f t="shared" si="401"/>
        <v/>
      </c>
      <c r="F883" s="1991"/>
      <c r="G883" s="1988"/>
      <c r="H883" s="1925"/>
      <c r="I883" s="1988"/>
      <c r="J883" s="1907"/>
      <c r="K883" s="1908"/>
      <c r="L883" s="1908"/>
      <c r="M883" s="1908"/>
      <c r="N883" s="1908"/>
      <c r="O883" s="481"/>
      <c r="P883" s="9"/>
      <c r="Q883" s="1909"/>
      <c r="R883" s="1909"/>
      <c r="S883" s="1715" t="b">
        <f t="shared" si="402"/>
        <v>1</v>
      </c>
      <c r="T883" s="1909"/>
      <c r="U883" s="1909"/>
      <c r="V883" s="1909"/>
      <c r="W883" s="1909"/>
      <c r="X883" s="1909"/>
      <c r="Y883" s="1909"/>
      <c r="Z883" s="1909"/>
      <c r="AA883" s="1909"/>
      <c r="AB883" s="1249"/>
      <c r="AC883" s="1909"/>
      <c r="AD883" s="1909"/>
      <c r="AE883" s="1909"/>
      <c r="AF883" s="1909"/>
      <c r="AG883" s="1909"/>
      <c r="AH883" s="1910"/>
      <c r="AI883" s="1910"/>
      <c r="AJ883" s="1910"/>
      <c r="AK883" s="1910"/>
      <c r="AL883" s="1910"/>
      <c r="AN883" s="1905"/>
      <c r="AO883" s="1121" t="b">
        <f t="shared" si="397"/>
        <v>0</v>
      </c>
      <c r="AP883" s="1912"/>
    </row>
    <row r="884" spans="1:42" s="1911" customFormat="1">
      <c r="A884" s="1905"/>
      <c r="B884" s="1906"/>
      <c r="C884" s="1028"/>
      <c r="D884" s="582">
        <v>8</v>
      </c>
      <c r="E884" s="1035" t="str">
        <f t="shared" si="401"/>
        <v/>
      </c>
      <c r="F884" s="1991"/>
      <c r="G884" s="1988"/>
      <c r="H884" s="1925"/>
      <c r="I884" s="1988"/>
      <c r="J884" s="1907"/>
      <c r="K884" s="1908"/>
      <c r="L884" s="1908"/>
      <c r="M884" s="1908"/>
      <c r="N884" s="1908"/>
      <c r="O884" s="481"/>
      <c r="P884" s="9"/>
      <c r="Q884" s="1909"/>
      <c r="R884" s="1909"/>
      <c r="S884" s="1715" t="b">
        <f t="shared" si="402"/>
        <v>1</v>
      </c>
      <c r="T884" s="1909"/>
      <c r="U884" s="1909"/>
      <c r="V884" s="1909"/>
      <c r="W884" s="1909"/>
      <c r="X884" s="1909"/>
      <c r="Y884" s="1909"/>
      <c r="Z884" s="1909"/>
      <c r="AA884" s="1909"/>
      <c r="AB884" s="1249"/>
      <c r="AC884" s="1909"/>
      <c r="AD884" s="1909"/>
      <c r="AE884" s="1909"/>
      <c r="AF884" s="1909"/>
      <c r="AG884" s="1909"/>
      <c r="AH884" s="1910"/>
      <c r="AI884" s="1910"/>
      <c r="AJ884" s="1910"/>
      <c r="AK884" s="1910"/>
      <c r="AL884" s="1910"/>
      <c r="AN884" s="1905"/>
      <c r="AO884" s="1121" t="b">
        <f t="shared" si="397"/>
        <v>0</v>
      </c>
      <c r="AP884" s="1912"/>
    </row>
    <row r="885" spans="1:42" s="1911" customFormat="1">
      <c r="A885" s="1905"/>
      <c r="B885" s="1906"/>
      <c r="C885" s="1028"/>
      <c r="D885" s="582">
        <v>9</v>
      </c>
      <c r="E885" s="1035" t="str">
        <f t="shared" si="401"/>
        <v/>
      </c>
      <c r="F885" s="1991"/>
      <c r="G885" s="1988"/>
      <c r="H885" s="1925"/>
      <c r="I885" s="1988"/>
      <c r="J885" s="1907"/>
      <c r="K885" s="1908"/>
      <c r="L885" s="1908"/>
      <c r="M885" s="1908"/>
      <c r="N885" s="1908"/>
      <c r="O885" s="481"/>
      <c r="P885" s="9"/>
      <c r="Q885" s="1909"/>
      <c r="R885" s="1909"/>
      <c r="S885" s="1715" t="b">
        <f t="shared" si="402"/>
        <v>1</v>
      </c>
      <c r="T885" s="1909"/>
      <c r="U885" s="1909"/>
      <c r="V885" s="1909"/>
      <c r="W885" s="1909"/>
      <c r="X885" s="1909"/>
      <c r="Y885" s="1909"/>
      <c r="Z885" s="1909"/>
      <c r="AA885" s="1909"/>
      <c r="AB885" s="1249"/>
      <c r="AC885" s="1909"/>
      <c r="AD885" s="1909"/>
      <c r="AE885" s="1909"/>
      <c r="AF885" s="1909"/>
      <c r="AG885" s="1909"/>
      <c r="AH885" s="1910"/>
      <c r="AI885" s="1910"/>
      <c r="AJ885" s="1910"/>
      <c r="AK885" s="1910"/>
      <c r="AL885" s="1910"/>
      <c r="AN885" s="1905"/>
      <c r="AO885" s="1121" t="b">
        <f t="shared" si="397"/>
        <v>0</v>
      </c>
      <c r="AP885" s="1912"/>
    </row>
    <row r="886" spans="1:42" s="1911" customFormat="1" ht="13.5" thickBot="1">
      <c r="A886" s="1905"/>
      <c r="B886" s="1906"/>
      <c r="C886" s="1028"/>
      <c r="D886" s="584">
        <v>10</v>
      </c>
      <c r="E886" s="1037" t="str">
        <f t="shared" si="401"/>
        <v/>
      </c>
      <c r="F886" s="1992"/>
      <c r="G886" s="1989"/>
      <c r="H886" s="1926"/>
      <c r="I886" s="1989"/>
      <c r="J886" s="1907"/>
      <c r="K886" s="1908"/>
      <c r="L886" s="1908"/>
      <c r="M886" s="1908"/>
      <c r="N886" s="1908"/>
      <c r="O886" s="481"/>
      <c r="P886" s="9"/>
      <c r="Q886" s="1909"/>
      <c r="R886" s="1909"/>
      <c r="S886" s="1726" t="b">
        <f t="shared" si="402"/>
        <v>1</v>
      </c>
      <c r="T886" s="1909"/>
      <c r="U886" s="1909"/>
      <c r="V886" s="1909"/>
      <c r="W886" s="1909"/>
      <c r="X886" s="1909"/>
      <c r="Y886" s="1909"/>
      <c r="Z886" s="1909"/>
      <c r="AA886" s="1909"/>
      <c r="AB886" s="1249"/>
      <c r="AC886" s="1909"/>
      <c r="AD886" s="1909"/>
      <c r="AE886" s="1909"/>
      <c r="AF886" s="1909"/>
      <c r="AG886" s="1909"/>
      <c r="AH886" s="1910"/>
      <c r="AI886" s="1910"/>
      <c r="AJ886" s="1910"/>
      <c r="AK886" s="1910"/>
      <c r="AL886" s="1910"/>
      <c r="AN886" s="1905"/>
      <c r="AO886" s="1121" t="b">
        <f t="shared" si="397"/>
        <v>0</v>
      </c>
      <c r="AP886" s="1912"/>
    </row>
    <row r="887" spans="1:42" ht="12.75" customHeight="1">
      <c r="B887" s="1124"/>
      <c r="C887" s="484"/>
      <c r="D887" s="579">
        <v>1</v>
      </c>
      <c r="E887" s="960" t="str">
        <f>IF(E877&lt;&gt; "",E877,IF(E867 &lt;&gt; "", E867,""))</f>
        <v/>
      </c>
      <c r="F887" s="732" t="str">
        <f>IF(F877&lt;&gt; "",F877,IF(F867 &lt;&gt; "", F867,""))</f>
        <v/>
      </c>
      <c r="G887" s="962" t="str">
        <f t="shared" ref="G887:I887" si="403">IF(G877&lt;&gt; "",G877,IF(G867 &lt;&gt; "", G867,""))</f>
        <v/>
      </c>
      <c r="H887" s="963" t="str">
        <f t="shared" si="403"/>
        <v/>
      </c>
      <c r="I887" s="962" t="str">
        <f t="shared" si="403"/>
        <v/>
      </c>
      <c r="J887" s="1891"/>
      <c r="K887" s="1684"/>
      <c r="L887" s="1684"/>
      <c r="M887" s="1684"/>
      <c r="N887" s="1684"/>
      <c r="O887" s="481"/>
      <c r="Z887" s="1641" t="s">
        <v>1698</v>
      </c>
      <c r="AA887" s="1993">
        <f>MAX(AC887:AI887)</f>
        <v>2</v>
      </c>
      <c r="AB887" s="1994">
        <f>IF(CNTR_ExistSubInstEntries,IF(OR($M796&lt;&gt;EUconst_Relevant,$V796&gt;2018,$E887=""),0,2),2)</f>
        <v>2</v>
      </c>
      <c r="AC887" s="1994">
        <f t="shared" ref="AC887:AI887" si="404">IF(CNTR_ExistSubInstEntries,IF(OR($M796&lt;&gt;EUconst_Relevant,AC866&gt;=CNTR_ReportingYear,AC866&lt;$V796-1,$E887=""),0,2),2)</f>
        <v>2</v>
      </c>
      <c r="AD887" s="1927">
        <f t="shared" si="404"/>
        <v>2</v>
      </c>
      <c r="AE887" s="1927">
        <f t="shared" si="404"/>
        <v>2</v>
      </c>
      <c r="AF887" s="1927">
        <f t="shared" si="404"/>
        <v>2</v>
      </c>
      <c r="AG887" s="1927">
        <f t="shared" si="404"/>
        <v>2</v>
      </c>
      <c r="AH887" s="1928">
        <f t="shared" si="404"/>
        <v>2</v>
      </c>
      <c r="AI887" s="1929">
        <f t="shared" si="404"/>
        <v>2</v>
      </c>
      <c r="AK887" s="1633" t="s">
        <v>1954</v>
      </c>
      <c r="AL887" s="1635" t="str">
        <f>IF(AND(CNTR_ExistSubInstEntries,COUNTIFS(AB887:AI887,2,G887:N887,"")&gt;0),EUconst_Error&amp;"FB"&amp;Q796,"")</f>
        <v/>
      </c>
      <c r="AO887" s="1121" t="b">
        <f t="shared" si="397"/>
        <v>0</v>
      </c>
    </row>
    <row r="888" spans="1:42" ht="12.75" customHeight="1">
      <c r="B888" s="1124"/>
      <c r="C888" s="484"/>
      <c r="D888" s="582">
        <f>D887+1</f>
        <v>2</v>
      </c>
      <c r="E888" s="964" t="str">
        <f t="shared" ref="E888:I888" si="405">IF(E878&lt;&gt; "",E878,IF(E868 &lt;&gt; "", E868,""))</f>
        <v/>
      </c>
      <c r="F888" s="1036" t="str">
        <f t="shared" si="405"/>
        <v/>
      </c>
      <c r="G888" s="965" t="str">
        <f t="shared" si="405"/>
        <v/>
      </c>
      <c r="H888" s="966" t="str">
        <f t="shared" si="405"/>
        <v/>
      </c>
      <c r="I888" s="965" t="str">
        <f t="shared" si="405"/>
        <v/>
      </c>
      <c r="J888" s="1891"/>
      <c r="K888" s="1684"/>
      <c r="L888" s="1684"/>
      <c r="M888" s="1684"/>
      <c r="N888" s="1684"/>
      <c r="O888" s="481"/>
      <c r="AA888" s="1930">
        <f t="shared" ref="AA888:AA896" si="406">MAX(AC888:AI888)</f>
        <v>2</v>
      </c>
      <c r="AB888" s="1931">
        <f>IF(CNTR_ExistSubInstEntries,IF(OR($M796&lt;&gt;EUconst_Relevant,$V796&gt;2018,$E888=""),0,2),2)</f>
        <v>2</v>
      </c>
      <c r="AC888" s="1931">
        <f t="shared" ref="AC888:AI888" si="407">IF(CNTR_ExistSubInstEntries,IF(OR($M796&lt;&gt;EUconst_Relevant,AC866&gt;=CNTR_ReportingYear,AC866&lt;$V796-1,$E888=""),0,2),2)</f>
        <v>2</v>
      </c>
      <c r="AD888" s="1931">
        <f t="shared" si="407"/>
        <v>2</v>
      </c>
      <c r="AE888" s="1931">
        <f t="shared" si="407"/>
        <v>2</v>
      </c>
      <c r="AF888" s="1931">
        <f t="shared" si="407"/>
        <v>2</v>
      </c>
      <c r="AG888" s="1931">
        <f t="shared" si="407"/>
        <v>2</v>
      </c>
      <c r="AH888" s="1932">
        <f t="shared" si="407"/>
        <v>2</v>
      </c>
      <c r="AI888" s="1933">
        <f t="shared" si="407"/>
        <v>2</v>
      </c>
      <c r="AK888" s="1633" t="s">
        <v>1954</v>
      </c>
      <c r="AL888" s="1635" t="str">
        <f>IF(AND(CNTR_ExistSubInstEntries,COUNTIFS(AB888:AI888,2,G888:N888,"")&gt;0),EUconst_Error&amp;"FB"&amp;Q796,"")</f>
        <v/>
      </c>
      <c r="AO888" s="1121" t="b">
        <f t="shared" si="397"/>
        <v>0</v>
      </c>
    </row>
    <row r="889" spans="1:42" ht="12.75" customHeight="1">
      <c r="B889" s="1124"/>
      <c r="C889" s="484"/>
      <c r="D889" s="582">
        <f t="shared" ref="D889:D896" si="408">D888+1</f>
        <v>3</v>
      </c>
      <c r="E889" s="964" t="str">
        <f t="shared" ref="E889:I889" si="409">IF(E879&lt;&gt; "",E879,IF(E869 &lt;&gt; "", E869,""))</f>
        <v/>
      </c>
      <c r="F889" s="1036" t="str">
        <f t="shared" si="409"/>
        <v/>
      </c>
      <c r="G889" s="965" t="str">
        <f t="shared" si="409"/>
        <v/>
      </c>
      <c r="H889" s="966" t="str">
        <f t="shared" si="409"/>
        <v/>
      </c>
      <c r="I889" s="965" t="str">
        <f t="shared" si="409"/>
        <v/>
      </c>
      <c r="J889" s="1891"/>
      <c r="K889" s="1684"/>
      <c r="L889" s="1684"/>
      <c r="M889" s="1684"/>
      <c r="N889" s="1684"/>
      <c r="O889" s="481"/>
      <c r="AA889" s="1930">
        <f t="shared" si="406"/>
        <v>2</v>
      </c>
      <c r="AB889" s="1931">
        <f>IF(CNTR_ExistSubInstEntries,IF(OR($M796&lt;&gt;EUconst_Relevant,$V796&gt;2018,$E889=""),0,2),2)</f>
        <v>2</v>
      </c>
      <c r="AC889" s="1931">
        <f t="shared" ref="AC889:AI889" si="410">IF(CNTR_ExistSubInstEntries,IF(OR($M796&lt;&gt;EUconst_Relevant,AC866&gt;=CNTR_ReportingYear,AC866&lt;$V796-1,$E889=""),0,2),2)</f>
        <v>2</v>
      </c>
      <c r="AD889" s="1931">
        <f t="shared" si="410"/>
        <v>2</v>
      </c>
      <c r="AE889" s="1931">
        <f t="shared" si="410"/>
        <v>2</v>
      </c>
      <c r="AF889" s="1931">
        <f t="shared" si="410"/>
        <v>2</v>
      </c>
      <c r="AG889" s="1931">
        <f t="shared" si="410"/>
        <v>2</v>
      </c>
      <c r="AH889" s="1932">
        <f t="shared" si="410"/>
        <v>2</v>
      </c>
      <c r="AI889" s="1933">
        <f t="shared" si="410"/>
        <v>2</v>
      </c>
      <c r="AK889" s="1633" t="s">
        <v>1954</v>
      </c>
      <c r="AL889" s="1635" t="str">
        <f>IF(AND(CNTR_ExistSubInstEntries,COUNTIFS(AB889:AI889,2,G889:N889,"")&gt;0),EUconst_Error&amp;"FB"&amp;Q796,"")</f>
        <v/>
      </c>
      <c r="AO889" s="1121" t="b">
        <f t="shared" si="397"/>
        <v>0</v>
      </c>
    </row>
    <row r="890" spans="1:42" ht="12.75" customHeight="1">
      <c r="B890" s="1124"/>
      <c r="C890" s="484"/>
      <c r="D890" s="582">
        <f t="shared" si="408"/>
        <v>4</v>
      </c>
      <c r="E890" s="964" t="str">
        <f t="shared" ref="E890:I890" si="411">IF(E880&lt;&gt; "",E880,IF(E870 &lt;&gt; "", E870,""))</f>
        <v/>
      </c>
      <c r="F890" s="1036" t="str">
        <f t="shared" si="411"/>
        <v/>
      </c>
      <c r="G890" s="965" t="str">
        <f t="shared" si="411"/>
        <v/>
      </c>
      <c r="H890" s="966" t="str">
        <f t="shared" si="411"/>
        <v/>
      </c>
      <c r="I890" s="965" t="str">
        <f t="shared" si="411"/>
        <v/>
      </c>
      <c r="J890" s="1891"/>
      <c r="K890" s="1684"/>
      <c r="L890" s="1684"/>
      <c r="M890" s="1684"/>
      <c r="N890" s="1684"/>
      <c r="O890" s="481"/>
      <c r="U890" s="1435"/>
      <c r="V890" s="1435"/>
      <c r="AA890" s="1930">
        <f t="shared" si="406"/>
        <v>2</v>
      </c>
      <c r="AB890" s="1931">
        <f>IF(CNTR_ExistSubInstEntries,IF(OR($M796&lt;&gt;EUconst_Relevant,$V796&gt;2018,$E890=""),0,2),2)</f>
        <v>2</v>
      </c>
      <c r="AC890" s="1931">
        <f t="shared" ref="AC890:AI890" si="412">IF(CNTR_ExistSubInstEntries,IF(OR($M796&lt;&gt;EUconst_Relevant,AC866&gt;=CNTR_ReportingYear,AC866&lt;$V796-1,$E890=""),0,2),2)</f>
        <v>2</v>
      </c>
      <c r="AD890" s="1931">
        <f t="shared" si="412"/>
        <v>2</v>
      </c>
      <c r="AE890" s="1931">
        <f t="shared" si="412"/>
        <v>2</v>
      </c>
      <c r="AF890" s="1931">
        <f t="shared" si="412"/>
        <v>2</v>
      </c>
      <c r="AG890" s="1931">
        <f t="shared" si="412"/>
        <v>2</v>
      </c>
      <c r="AH890" s="1932">
        <f t="shared" si="412"/>
        <v>2</v>
      </c>
      <c r="AI890" s="1933">
        <f t="shared" si="412"/>
        <v>2</v>
      </c>
      <c r="AK890" s="1633" t="s">
        <v>1954</v>
      </c>
      <c r="AL890" s="1635" t="str">
        <f>IF(AND(CNTR_ExistSubInstEntries,COUNTIFS(AB890:AI890,2,G890:N890,"")&gt;0),EUconst_Error&amp;"FB"&amp;Q796,"")</f>
        <v/>
      </c>
      <c r="AO890" s="1121" t="b">
        <f t="shared" si="397"/>
        <v>0</v>
      </c>
    </row>
    <row r="891" spans="1:42" ht="12.75" customHeight="1">
      <c r="B891" s="1124"/>
      <c r="C891" s="484"/>
      <c r="D891" s="582">
        <f t="shared" si="408"/>
        <v>5</v>
      </c>
      <c r="E891" s="964" t="str">
        <f t="shared" ref="E891:I891" si="413">IF(E881&lt;&gt; "",E881,IF(E871 &lt;&gt; "", E871,""))</f>
        <v/>
      </c>
      <c r="F891" s="1036" t="str">
        <f t="shared" si="413"/>
        <v/>
      </c>
      <c r="G891" s="965" t="str">
        <f t="shared" si="413"/>
        <v/>
      </c>
      <c r="H891" s="966" t="str">
        <f t="shared" si="413"/>
        <v/>
      </c>
      <c r="I891" s="965" t="str">
        <f t="shared" si="413"/>
        <v/>
      </c>
      <c r="J891" s="1891"/>
      <c r="K891" s="1684"/>
      <c r="L891" s="1684"/>
      <c r="M891" s="1684"/>
      <c r="N891" s="1684"/>
      <c r="O891" s="481"/>
      <c r="U891" s="1435"/>
      <c r="AA891" s="1930">
        <f t="shared" si="406"/>
        <v>2</v>
      </c>
      <c r="AB891" s="1931">
        <f>IF(CNTR_ExistSubInstEntries,IF(OR($M796&lt;&gt;EUconst_Relevant,$V796&gt;2018,$E891=""),0,2),2)</f>
        <v>2</v>
      </c>
      <c r="AC891" s="1931">
        <f t="shared" ref="AC891:AI891" si="414">IF(CNTR_ExistSubInstEntries,IF(OR($M796&lt;&gt;EUconst_Relevant,AC866&gt;=CNTR_ReportingYear,AC866&lt;$V796-1,$E891=""),0,2),2)</f>
        <v>2</v>
      </c>
      <c r="AD891" s="1931">
        <f t="shared" si="414"/>
        <v>2</v>
      </c>
      <c r="AE891" s="1931">
        <f t="shared" si="414"/>
        <v>2</v>
      </c>
      <c r="AF891" s="1931">
        <f t="shared" si="414"/>
        <v>2</v>
      </c>
      <c r="AG891" s="1931">
        <f t="shared" si="414"/>
        <v>2</v>
      </c>
      <c r="AH891" s="1932">
        <f t="shared" si="414"/>
        <v>2</v>
      </c>
      <c r="AI891" s="1933">
        <f t="shared" si="414"/>
        <v>2</v>
      </c>
      <c r="AK891" s="1633" t="s">
        <v>1954</v>
      </c>
      <c r="AL891" s="1635" t="str">
        <f>IF(AND(CNTR_ExistSubInstEntries,COUNTIFS(AB891:AI891,2,G891:N891,"")&gt;0),EUconst_Error&amp;"FB"&amp;Q796,"")</f>
        <v/>
      </c>
      <c r="AO891" s="1121" t="b">
        <f t="shared" si="397"/>
        <v>0</v>
      </c>
    </row>
    <row r="892" spans="1:42" ht="12.75" customHeight="1">
      <c r="B892" s="1124"/>
      <c r="C892" s="484"/>
      <c r="D892" s="582">
        <f t="shared" si="408"/>
        <v>6</v>
      </c>
      <c r="E892" s="964" t="str">
        <f t="shared" ref="E892:I892" si="415">IF(E882&lt;&gt; "",E882,IF(E872 &lt;&gt; "", E872,""))</f>
        <v/>
      </c>
      <c r="F892" s="1036" t="str">
        <f t="shared" si="415"/>
        <v/>
      </c>
      <c r="G892" s="965" t="str">
        <f t="shared" si="415"/>
        <v/>
      </c>
      <c r="H892" s="966" t="str">
        <f t="shared" si="415"/>
        <v/>
      </c>
      <c r="I892" s="965" t="str">
        <f t="shared" si="415"/>
        <v/>
      </c>
      <c r="J892" s="1891"/>
      <c r="K892" s="1684"/>
      <c r="L892" s="1684"/>
      <c r="M892" s="1684"/>
      <c r="N892" s="1684"/>
      <c r="O892" s="481"/>
      <c r="AA892" s="1930">
        <f t="shared" si="406"/>
        <v>2</v>
      </c>
      <c r="AB892" s="1931">
        <f>IF(CNTR_ExistSubInstEntries,IF(OR($M796&lt;&gt;EUconst_Relevant,$V796&gt;2018,$E892=""),0,2),2)</f>
        <v>2</v>
      </c>
      <c r="AC892" s="1931">
        <f t="shared" ref="AC892:AI892" si="416">IF(CNTR_ExistSubInstEntries,IF(OR($M796&lt;&gt;EUconst_Relevant,AC866&gt;=CNTR_ReportingYear,AC866&lt;$V796-1,$E892=""),0,2),2)</f>
        <v>2</v>
      </c>
      <c r="AD892" s="1931">
        <f t="shared" si="416"/>
        <v>2</v>
      </c>
      <c r="AE892" s="1931">
        <f t="shared" si="416"/>
        <v>2</v>
      </c>
      <c r="AF892" s="1931">
        <f t="shared" si="416"/>
        <v>2</v>
      </c>
      <c r="AG892" s="1931">
        <f t="shared" si="416"/>
        <v>2</v>
      </c>
      <c r="AH892" s="1932">
        <f t="shared" si="416"/>
        <v>2</v>
      </c>
      <c r="AI892" s="1933">
        <f t="shared" si="416"/>
        <v>2</v>
      </c>
      <c r="AK892" s="1633" t="s">
        <v>1954</v>
      </c>
      <c r="AL892" s="1635" t="str">
        <f>IF(AND(CNTR_ExistSubInstEntries,COUNTIFS(AB892:AI892,2,G892:N892,"")&gt;0),EUconst_Error&amp;"FB"&amp;Q796,"")</f>
        <v/>
      </c>
      <c r="AO892" s="1121" t="b">
        <f t="shared" si="397"/>
        <v>0</v>
      </c>
    </row>
    <row r="893" spans="1:42" ht="12.75" customHeight="1">
      <c r="B893" s="1124"/>
      <c r="C893" s="484"/>
      <c r="D893" s="582">
        <f t="shared" si="408"/>
        <v>7</v>
      </c>
      <c r="E893" s="964" t="str">
        <f t="shared" ref="E893:I893" si="417">IF(E883&lt;&gt; "",E883,IF(E873 &lt;&gt; "", E873,""))</f>
        <v/>
      </c>
      <c r="F893" s="1036" t="str">
        <f t="shared" si="417"/>
        <v/>
      </c>
      <c r="G893" s="965" t="str">
        <f t="shared" si="417"/>
        <v/>
      </c>
      <c r="H893" s="966" t="str">
        <f t="shared" si="417"/>
        <v/>
      </c>
      <c r="I893" s="965" t="str">
        <f t="shared" si="417"/>
        <v/>
      </c>
      <c r="J893" s="1891"/>
      <c r="K893" s="1684"/>
      <c r="L893" s="1684"/>
      <c r="M893" s="1684"/>
      <c r="N893" s="1684"/>
      <c r="O893" s="481"/>
      <c r="AA893" s="1930">
        <f t="shared" si="406"/>
        <v>2</v>
      </c>
      <c r="AB893" s="1931">
        <f>IF(CNTR_ExistSubInstEntries,IF(OR($M796&lt;&gt;EUconst_Relevant,$V796&gt;2018,$E893=""),0,2),2)</f>
        <v>2</v>
      </c>
      <c r="AC893" s="1931">
        <f t="shared" ref="AC893:AI893" si="418">IF(CNTR_ExistSubInstEntries,IF(OR($M796&lt;&gt;EUconst_Relevant,AC866&gt;=CNTR_ReportingYear,AC866&lt;$V796-1,$E893=""),0,2),2)</f>
        <v>2</v>
      </c>
      <c r="AD893" s="1931">
        <f t="shared" si="418"/>
        <v>2</v>
      </c>
      <c r="AE893" s="1931">
        <f t="shared" si="418"/>
        <v>2</v>
      </c>
      <c r="AF893" s="1931">
        <f t="shared" si="418"/>
        <v>2</v>
      </c>
      <c r="AG893" s="1931">
        <f t="shared" si="418"/>
        <v>2</v>
      </c>
      <c r="AH893" s="1932">
        <f t="shared" si="418"/>
        <v>2</v>
      </c>
      <c r="AI893" s="1933">
        <f t="shared" si="418"/>
        <v>2</v>
      </c>
      <c r="AK893" s="1633" t="s">
        <v>1954</v>
      </c>
      <c r="AL893" s="1635" t="str">
        <f>IF(AND(CNTR_ExistSubInstEntries,COUNTIFS(AB893:AI893,2,G893:N893,"")&gt;0),EUconst_Error&amp;"FB"&amp;Q796,"")</f>
        <v/>
      </c>
      <c r="AO893" s="1121" t="b">
        <f t="shared" si="397"/>
        <v>0</v>
      </c>
    </row>
    <row r="894" spans="1:42" ht="12.75" customHeight="1">
      <c r="B894" s="1124"/>
      <c r="C894" s="484"/>
      <c r="D894" s="582">
        <f t="shared" si="408"/>
        <v>8</v>
      </c>
      <c r="E894" s="964" t="str">
        <f t="shared" ref="E894:I894" si="419">IF(E884&lt;&gt; "",E884,IF(E874 &lt;&gt; "", E874,""))</f>
        <v/>
      </c>
      <c r="F894" s="1036" t="str">
        <f t="shared" si="419"/>
        <v/>
      </c>
      <c r="G894" s="965" t="str">
        <f t="shared" si="419"/>
        <v/>
      </c>
      <c r="H894" s="966" t="str">
        <f t="shared" si="419"/>
        <v/>
      </c>
      <c r="I894" s="965" t="str">
        <f t="shared" si="419"/>
        <v/>
      </c>
      <c r="J894" s="1891"/>
      <c r="K894" s="1684"/>
      <c r="L894" s="1684"/>
      <c r="M894" s="1684"/>
      <c r="N894" s="1684"/>
      <c r="O894" s="481"/>
      <c r="AA894" s="1930">
        <f t="shared" si="406"/>
        <v>2</v>
      </c>
      <c r="AB894" s="1931">
        <f>IF(CNTR_ExistSubInstEntries,IF(OR($M796&lt;&gt;EUconst_Relevant,$V796&gt;2018,$E894=""),0,2),2)</f>
        <v>2</v>
      </c>
      <c r="AC894" s="1931">
        <f t="shared" ref="AC894:AI894" si="420">IF(CNTR_ExistSubInstEntries,IF(OR($M796&lt;&gt;EUconst_Relevant,AC866&gt;=CNTR_ReportingYear,AC866&lt;$V796-1,$E894=""),0,2),2)</f>
        <v>2</v>
      </c>
      <c r="AD894" s="1931">
        <f t="shared" si="420"/>
        <v>2</v>
      </c>
      <c r="AE894" s="1931">
        <f t="shared" si="420"/>
        <v>2</v>
      </c>
      <c r="AF894" s="1931">
        <f t="shared" si="420"/>
        <v>2</v>
      </c>
      <c r="AG894" s="1931">
        <f t="shared" si="420"/>
        <v>2</v>
      </c>
      <c r="AH894" s="1932">
        <f t="shared" si="420"/>
        <v>2</v>
      </c>
      <c r="AI894" s="1933">
        <f t="shared" si="420"/>
        <v>2</v>
      </c>
      <c r="AK894" s="1633" t="s">
        <v>1954</v>
      </c>
      <c r="AL894" s="1635" t="str">
        <f>IF(AND(CNTR_ExistSubInstEntries,COUNTIFS(AB894:AI894,2,G894:N894,"")&gt;0),EUconst_Error&amp;"FB"&amp;Q796,"")</f>
        <v/>
      </c>
      <c r="AO894" s="1121" t="b">
        <f t="shared" si="397"/>
        <v>0</v>
      </c>
    </row>
    <row r="895" spans="1:42" ht="12.75" customHeight="1">
      <c r="B895" s="1124"/>
      <c r="C895" s="484"/>
      <c r="D895" s="582">
        <f t="shared" si="408"/>
        <v>9</v>
      </c>
      <c r="E895" s="964" t="str">
        <f t="shared" ref="E895:I895" si="421">IF(E885&lt;&gt; "",E885,IF(E875 &lt;&gt; "", E875,""))</f>
        <v/>
      </c>
      <c r="F895" s="1036" t="str">
        <f t="shared" si="421"/>
        <v/>
      </c>
      <c r="G895" s="965" t="str">
        <f t="shared" si="421"/>
        <v/>
      </c>
      <c r="H895" s="966" t="str">
        <f t="shared" si="421"/>
        <v/>
      </c>
      <c r="I895" s="965" t="str">
        <f t="shared" si="421"/>
        <v/>
      </c>
      <c r="J895" s="1891"/>
      <c r="K895" s="1684"/>
      <c r="L895" s="1684"/>
      <c r="M895" s="1684"/>
      <c r="N895" s="1684"/>
      <c r="O895" s="481"/>
      <c r="AA895" s="1930">
        <f t="shared" si="406"/>
        <v>2</v>
      </c>
      <c r="AB895" s="1931">
        <f>IF(CNTR_ExistSubInstEntries,IF(OR($M796&lt;&gt;EUconst_Relevant,$V796&gt;2018,$E895=""),0,2),2)</f>
        <v>2</v>
      </c>
      <c r="AC895" s="1931">
        <f t="shared" ref="AC895:AI895" si="422">IF(CNTR_ExistSubInstEntries,IF(OR($M796&lt;&gt;EUconst_Relevant,AC866&gt;=CNTR_ReportingYear,AC866&lt;$V796-1,$E895=""),0,2),2)</f>
        <v>2</v>
      </c>
      <c r="AD895" s="1931">
        <f t="shared" si="422"/>
        <v>2</v>
      </c>
      <c r="AE895" s="1931">
        <f t="shared" si="422"/>
        <v>2</v>
      </c>
      <c r="AF895" s="1931">
        <f t="shared" si="422"/>
        <v>2</v>
      </c>
      <c r="AG895" s="1931">
        <f t="shared" si="422"/>
        <v>2</v>
      </c>
      <c r="AH895" s="1932">
        <f t="shared" si="422"/>
        <v>2</v>
      </c>
      <c r="AI895" s="1933">
        <f t="shared" si="422"/>
        <v>2</v>
      </c>
      <c r="AK895" s="1633" t="s">
        <v>1954</v>
      </c>
      <c r="AL895" s="1635" t="str">
        <f>IF(AND(CNTR_ExistSubInstEntries,COUNTIFS(AB895:AI895,2,G895:N895,"")&gt;0),EUconst_Error&amp;"FB"&amp;Q796,"")</f>
        <v/>
      </c>
      <c r="AO895" s="1121" t="b">
        <f t="shared" si="397"/>
        <v>0</v>
      </c>
    </row>
    <row r="896" spans="1:42" ht="12.75" customHeight="1" thickBot="1">
      <c r="B896" s="1124"/>
      <c r="C896" s="484"/>
      <c r="D896" s="584">
        <f t="shared" si="408"/>
        <v>10</v>
      </c>
      <c r="E896" s="967" t="str">
        <f t="shared" ref="E896:I896" si="423">IF(E886&lt;&gt; "",E886,IF(E876 &lt;&gt; "", E876,""))</f>
        <v/>
      </c>
      <c r="F896" s="739" t="str">
        <f t="shared" si="423"/>
        <v/>
      </c>
      <c r="G896" s="969" t="str">
        <f t="shared" si="423"/>
        <v/>
      </c>
      <c r="H896" s="970" t="str">
        <f t="shared" si="423"/>
        <v/>
      </c>
      <c r="I896" s="969" t="str">
        <f t="shared" si="423"/>
        <v/>
      </c>
      <c r="J896" s="1891"/>
      <c r="K896" s="1684"/>
      <c r="L896" s="1684"/>
      <c r="M896" s="1684"/>
      <c r="N896" s="1684"/>
      <c r="O896" s="481"/>
      <c r="AA896" s="1934">
        <f t="shared" si="406"/>
        <v>2</v>
      </c>
      <c r="AB896" s="1935">
        <f>IF(CNTR_ExistSubInstEntries,IF(OR($M796&lt;&gt;EUconst_Relevant,$V796&gt;2018,$E896=""),0,2),2)</f>
        <v>2</v>
      </c>
      <c r="AC896" s="1935">
        <f t="shared" ref="AC896:AI896" si="424">IF(CNTR_ExistSubInstEntries,IF(OR($M796&lt;&gt;EUconst_Relevant,AC866&gt;=CNTR_ReportingYear,AC866&lt;$V796-1,$E896=""),0,2),2)</f>
        <v>2</v>
      </c>
      <c r="AD896" s="1935">
        <f t="shared" si="424"/>
        <v>2</v>
      </c>
      <c r="AE896" s="1935">
        <f t="shared" si="424"/>
        <v>2</v>
      </c>
      <c r="AF896" s="1935">
        <f t="shared" si="424"/>
        <v>2</v>
      </c>
      <c r="AG896" s="1935">
        <f t="shared" si="424"/>
        <v>2</v>
      </c>
      <c r="AH896" s="1936">
        <f t="shared" si="424"/>
        <v>2</v>
      </c>
      <c r="AI896" s="1937">
        <f t="shared" si="424"/>
        <v>2</v>
      </c>
      <c r="AK896" s="1633" t="s">
        <v>1954</v>
      </c>
      <c r="AL896" s="1635" t="str">
        <f>IF(AND(CNTR_ExistSubInstEntries,COUNTIFS(AB896:AI896,2,G896:N896,"")&gt;0),EUconst_Error&amp;"FB"&amp;Q796,"")</f>
        <v/>
      </c>
      <c r="AO896" s="1121" t="b">
        <f t="shared" si="397"/>
        <v>0</v>
      </c>
    </row>
    <row r="897" spans="1:42" ht="12.75" customHeight="1">
      <c r="B897" s="1124"/>
      <c r="C897" s="485"/>
      <c r="D897" s="971"/>
      <c r="E897" s="972" t="s">
        <v>921</v>
      </c>
      <c r="F897" s="739" t="str">
        <f>IF(F887="","",F887)</f>
        <v/>
      </c>
      <c r="G897" s="973" t="str">
        <f>IF(COUNT(G887:G896)&gt;0,SUMIF($S850:$S859,TRUE,G887:G896),"")</f>
        <v/>
      </c>
      <c r="H897" s="974" t="str">
        <f t="shared" ref="H897:N897" si="425">IF(COUNT(H887:H896)&gt;0,SUMIF($S850:$S859,TRUE,H887:H896),"")</f>
        <v/>
      </c>
      <c r="I897" s="973" t="str">
        <f t="shared" si="425"/>
        <v/>
      </c>
      <c r="J897" s="1891" t="str">
        <f t="shared" si="425"/>
        <v/>
      </c>
      <c r="K897" s="1684" t="str">
        <f t="shared" si="425"/>
        <v/>
      </c>
      <c r="L897" s="1684" t="str">
        <f t="shared" si="425"/>
        <v/>
      </c>
      <c r="M897" s="1684" t="str">
        <f t="shared" si="425"/>
        <v/>
      </c>
      <c r="N897" s="1684" t="str">
        <f t="shared" si="425"/>
        <v/>
      </c>
      <c r="O897" s="481"/>
      <c r="P897" s="481"/>
      <c r="AB897" s="1435"/>
      <c r="AC897" s="1435"/>
      <c r="AD897" s="1435"/>
      <c r="AE897" s="1435"/>
      <c r="AF897" s="1435"/>
      <c r="AG897" s="1435"/>
      <c r="AH897" s="1435"/>
      <c r="AI897" s="1435"/>
      <c r="AO897" s="1121" t="b">
        <f t="shared" si="397"/>
        <v>0</v>
      </c>
    </row>
    <row r="898" spans="1:42" ht="5.0999999999999996" customHeight="1">
      <c r="B898" s="1124"/>
      <c r="C898" s="467"/>
      <c r="D898" s="467"/>
      <c r="E898" s="467"/>
      <c r="F898" s="467"/>
      <c r="G898" s="467"/>
      <c r="H898" s="467"/>
      <c r="I898" s="467"/>
      <c r="J898" s="467"/>
      <c r="K898" s="467"/>
      <c r="L898" s="467"/>
      <c r="M898" s="467"/>
      <c r="N898" s="467"/>
      <c r="O898" s="481"/>
      <c r="P898" s="481"/>
      <c r="Z898" s="1435"/>
      <c r="AA898" s="1435"/>
      <c r="AB898" s="1435"/>
      <c r="AO898" s="1121" t="b">
        <f t="shared" si="397"/>
        <v>0</v>
      </c>
    </row>
    <row r="899" spans="1:42" ht="12.75" customHeight="1">
      <c r="B899" s="1124"/>
      <c r="C899" s="467"/>
      <c r="D899" s="482" t="s">
        <v>1711</v>
      </c>
      <c r="E899" s="2373" t="s">
        <v>1926</v>
      </c>
      <c r="F899" s="2400"/>
      <c r="G899" s="2400"/>
      <c r="H899" s="2400"/>
      <c r="I899" s="2400"/>
      <c r="J899" s="2400"/>
      <c r="K899" s="2400"/>
      <c r="L899" s="2400"/>
      <c r="M899" s="2400"/>
      <c r="N899" s="2400"/>
      <c r="O899" s="481"/>
      <c r="P899" s="481"/>
      <c r="Q899" s="1249"/>
      <c r="S899" s="1502" t="s">
        <v>1927</v>
      </c>
      <c r="T899" s="1938" t="str">
        <f>IF(M796&lt;&gt;EUconst_Relevant,"",IF(COUNTIF(J814:N814,"&gt;"&amp;15%)&gt;0,IF(MSconst_RequireEnEffDetails,2,1),1))</f>
        <v/>
      </c>
      <c r="U899" s="1435" t="s">
        <v>1920</v>
      </c>
      <c r="Z899" s="1435"/>
      <c r="AA899" s="1435"/>
      <c r="AB899" s="1435"/>
      <c r="AO899" s="1121" t="b">
        <f t="shared" si="397"/>
        <v>0</v>
      </c>
    </row>
    <row r="900" spans="1:42" ht="12.75" customHeight="1">
      <c r="B900" s="467"/>
      <c r="C900" s="485"/>
      <c r="D900" s="485"/>
      <c r="E900" s="2385" t="s">
        <v>1877</v>
      </c>
      <c r="F900" s="2846"/>
      <c r="G900" s="2846"/>
      <c r="H900" s="2846"/>
      <c r="I900" s="2846"/>
      <c r="J900" s="2846"/>
      <c r="K900" s="2846"/>
      <c r="L900" s="2846"/>
      <c r="M900" s="2846"/>
      <c r="N900" s="2846"/>
      <c r="O900" s="481"/>
      <c r="P900" s="481"/>
      <c r="Q900" s="1249"/>
      <c r="R900" s="1249"/>
      <c r="S900" s="1249"/>
      <c r="T900" s="1249"/>
      <c r="U900" s="1249"/>
      <c r="V900" s="1249"/>
      <c r="W900" s="1249"/>
      <c r="X900" s="1249"/>
      <c r="Y900" s="1249"/>
      <c r="AB900" s="1435"/>
      <c r="AO900" s="1121" t="b">
        <f t="shared" si="397"/>
        <v>0</v>
      </c>
    </row>
    <row r="901" spans="1:42" ht="12.75" customHeight="1">
      <c r="B901" s="1124"/>
      <c r="C901" s="467"/>
      <c r="D901" s="467"/>
      <c r="E901" s="3258" t="s">
        <v>1957</v>
      </c>
      <c r="F901" s="2467"/>
      <c r="G901" s="2467"/>
      <c r="H901" s="2467"/>
      <c r="I901" s="2467"/>
      <c r="J901" s="2467"/>
      <c r="K901" s="2467"/>
      <c r="L901" s="2467"/>
      <c r="M901" s="2467"/>
      <c r="N901" s="2467"/>
      <c r="O901" s="481"/>
      <c r="P901" s="476"/>
      <c r="Z901" s="1435"/>
      <c r="AA901" s="1435"/>
      <c r="AB901" s="1435"/>
      <c r="AC901" s="1435"/>
      <c r="AO901" s="1121" t="b">
        <f t="shared" si="397"/>
        <v>0</v>
      </c>
    </row>
    <row r="902" spans="1:42" ht="12.75" customHeight="1">
      <c r="B902" s="1124"/>
      <c r="C902" s="467"/>
      <c r="D902" s="467"/>
      <c r="E902" s="3258" t="s">
        <v>2744</v>
      </c>
      <c r="F902" s="2467"/>
      <c r="G902" s="2467"/>
      <c r="H902" s="2467"/>
      <c r="I902" s="2467"/>
      <c r="J902" s="2467"/>
      <c r="K902" s="2467"/>
      <c r="L902" s="2467"/>
      <c r="M902" s="2467"/>
      <c r="N902" s="2467"/>
      <c r="O902" s="481"/>
      <c r="P902" s="481"/>
      <c r="Z902" s="1435"/>
      <c r="AA902" s="1435"/>
      <c r="AB902" s="1435"/>
      <c r="AC902" s="1435"/>
      <c r="AO902" s="1121" t="b">
        <f t="shared" si="397"/>
        <v>0</v>
      </c>
    </row>
    <row r="903" spans="1:42" ht="12.75" customHeight="1">
      <c r="B903" s="1124"/>
      <c r="C903" s="467"/>
      <c r="D903" s="467"/>
      <c r="E903" s="540" t="s">
        <v>1021</v>
      </c>
      <c r="F903" s="3258" t="s">
        <v>1921</v>
      </c>
      <c r="G903" s="2467"/>
      <c r="H903" s="2467"/>
      <c r="I903" s="2467"/>
      <c r="J903" s="2467"/>
      <c r="K903" s="2467"/>
      <c r="L903" s="2467"/>
      <c r="M903" s="2467"/>
      <c r="N903" s="2467"/>
      <c r="O903" s="481"/>
      <c r="P903" s="476"/>
      <c r="Z903" s="1435"/>
      <c r="AA903" s="1435"/>
      <c r="AB903" s="1435"/>
      <c r="AC903" s="1435"/>
      <c r="AO903" s="1121" t="b">
        <f t="shared" si="397"/>
        <v>0</v>
      </c>
    </row>
    <row r="904" spans="1:42" ht="12.75" customHeight="1">
      <c r="B904" s="1124"/>
      <c r="C904" s="467"/>
      <c r="D904" s="467"/>
      <c r="E904" s="540" t="s">
        <v>1021</v>
      </c>
      <c r="F904" s="3258" t="s">
        <v>1936</v>
      </c>
      <c r="G904" s="2467"/>
      <c r="H904" s="2467"/>
      <c r="I904" s="2467"/>
      <c r="J904" s="2467"/>
      <c r="K904" s="2467"/>
      <c r="L904" s="2467"/>
      <c r="M904" s="2467"/>
      <c r="N904" s="2467"/>
      <c r="O904" s="481"/>
      <c r="P904" s="476"/>
      <c r="Z904" s="1435"/>
      <c r="AA904" s="1435"/>
      <c r="AB904" s="1435"/>
      <c r="AC904" s="1435"/>
      <c r="AO904" s="1121" t="b">
        <f t="shared" si="397"/>
        <v>0</v>
      </c>
    </row>
    <row r="905" spans="1:42" ht="12.75" customHeight="1">
      <c r="B905" s="1124"/>
      <c r="C905" s="467"/>
      <c r="D905" s="467"/>
      <c r="E905" s="540" t="s">
        <v>1021</v>
      </c>
      <c r="F905" s="3258" t="s">
        <v>2303</v>
      </c>
      <c r="G905" s="2467"/>
      <c r="H905" s="2467"/>
      <c r="I905" s="2467"/>
      <c r="J905" s="2467"/>
      <c r="K905" s="2467"/>
      <c r="L905" s="2467"/>
      <c r="M905" s="2467"/>
      <c r="N905" s="2467"/>
      <c r="O905" s="481"/>
      <c r="P905" s="476"/>
      <c r="Z905" s="1435"/>
      <c r="AA905" s="1435"/>
      <c r="AB905" s="1435"/>
      <c r="AC905" s="1435"/>
      <c r="AO905" s="1121" t="b">
        <f t="shared" si="397"/>
        <v>0</v>
      </c>
    </row>
    <row r="906" spans="1:42" ht="12.75" customHeight="1">
      <c r="B906" s="1124"/>
      <c r="C906" s="467"/>
      <c r="D906" s="467"/>
      <c r="E906" s="2385" t="s">
        <v>1931</v>
      </c>
      <c r="F906" s="2846"/>
      <c r="G906" s="2846"/>
      <c r="H906" s="2846"/>
      <c r="I906" s="2846"/>
      <c r="J906" s="2846"/>
      <c r="K906" s="2846"/>
      <c r="L906" s="2846"/>
      <c r="M906" s="2846"/>
      <c r="N906" s="2846"/>
      <c r="O906" s="481"/>
      <c r="P906" s="476"/>
      <c r="Z906" s="1435"/>
      <c r="AA906" s="1435"/>
      <c r="AB906" s="1435"/>
      <c r="AC906" s="1435"/>
      <c r="AO906" s="1121" t="b">
        <f t="shared" si="397"/>
        <v>0</v>
      </c>
    </row>
    <row r="907" spans="1:42" ht="12.75" customHeight="1">
      <c r="B907" s="1124"/>
      <c r="C907" s="467"/>
      <c r="D907" s="467"/>
      <c r="E907" s="2385" t="s">
        <v>1903</v>
      </c>
      <c r="F907" s="2846"/>
      <c r="G907" s="2846"/>
      <c r="H907" s="2846"/>
      <c r="I907" s="2846"/>
      <c r="J907" s="2846"/>
      <c r="K907" s="2846"/>
      <c r="L907" s="2846"/>
      <c r="M907" s="2846"/>
      <c r="N907" s="2846"/>
      <c r="O907" s="481"/>
      <c r="P907" s="476"/>
      <c r="Z907" s="1435"/>
      <c r="AA907" s="1435"/>
      <c r="AB907" s="1435"/>
      <c r="AC907" s="1435"/>
      <c r="AO907" s="1121" t="b">
        <f t="shared" si="397"/>
        <v>0</v>
      </c>
    </row>
    <row r="908" spans="1:42" ht="5.0999999999999996" customHeight="1">
      <c r="B908" s="1124"/>
      <c r="C908" s="467"/>
      <c r="D908" s="467"/>
      <c r="E908" s="2465"/>
      <c r="F908" s="2400"/>
      <c r="G908" s="2400"/>
      <c r="H908" s="2400"/>
      <c r="I908" s="2400"/>
      <c r="J908" s="2400"/>
      <c r="K908" s="2400"/>
      <c r="L908" s="2400"/>
      <c r="M908" s="2400"/>
      <c r="N908" s="2400"/>
      <c r="O908" s="481"/>
      <c r="P908" s="476"/>
      <c r="Z908" s="1435"/>
      <c r="AA908" s="1435"/>
      <c r="AB908" s="1435"/>
      <c r="AC908" s="1435"/>
      <c r="AO908" s="1121" t="b">
        <f t="shared" si="397"/>
        <v>0</v>
      </c>
    </row>
    <row r="909" spans="1:42" s="1911" customFormat="1" ht="25.5" customHeight="1" thickBot="1">
      <c r="A909" s="1905"/>
      <c r="B909" s="1906"/>
      <c r="C909" s="1028"/>
      <c r="D909" s="1029"/>
      <c r="E909" s="870" t="str">
        <f>E866</f>
        <v>Product name or service type</v>
      </c>
      <c r="F909" s="1030" t="str">
        <f>EUconst_Unit</f>
        <v>Unit</v>
      </c>
      <c r="G909" s="1031" t="s">
        <v>2220</v>
      </c>
      <c r="H909" s="1032">
        <f t="shared" ref="H909:N909" si="426">H$1190</f>
        <v>2024</v>
      </c>
      <c r="I909" s="1031">
        <f t="shared" si="426"/>
        <v>2025</v>
      </c>
      <c r="J909" s="1952">
        <f t="shared" si="426"/>
        <v>2026</v>
      </c>
      <c r="K909" s="1953">
        <f t="shared" si="426"/>
        <v>2027</v>
      </c>
      <c r="L909" s="1953">
        <f t="shared" si="426"/>
        <v>2028</v>
      </c>
      <c r="M909" s="1953">
        <f t="shared" si="426"/>
        <v>2029</v>
      </c>
      <c r="N909" s="1953">
        <f t="shared" si="426"/>
        <v>2030</v>
      </c>
      <c r="O909" s="481"/>
      <c r="P909" s="476"/>
      <c r="Q909" s="1909"/>
      <c r="R909" s="1909"/>
      <c r="S909" s="1249" t="s">
        <v>1675</v>
      </c>
      <c r="T909" s="1909">
        <f t="shared" ref="T909:Z909" si="427">H909</f>
        <v>2024</v>
      </c>
      <c r="U909" s="1909">
        <f t="shared" si="427"/>
        <v>2025</v>
      </c>
      <c r="V909" s="1909">
        <f t="shared" si="427"/>
        <v>2026</v>
      </c>
      <c r="W909" s="1909">
        <f t="shared" si="427"/>
        <v>2027</v>
      </c>
      <c r="X909" s="1909">
        <f t="shared" si="427"/>
        <v>2028</v>
      </c>
      <c r="Y909" s="1909">
        <f t="shared" si="427"/>
        <v>2029</v>
      </c>
      <c r="Z909" s="1909">
        <f t="shared" si="427"/>
        <v>2030</v>
      </c>
      <c r="AA909" s="1909"/>
      <c r="AB909" s="1249" t="s">
        <v>1646</v>
      </c>
      <c r="AC909" s="1909">
        <f t="shared" ref="AC909:AI909" si="428">H909</f>
        <v>2024</v>
      </c>
      <c r="AD909" s="1909">
        <f t="shared" si="428"/>
        <v>2025</v>
      </c>
      <c r="AE909" s="1909">
        <f t="shared" si="428"/>
        <v>2026</v>
      </c>
      <c r="AF909" s="1909">
        <f t="shared" si="428"/>
        <v>2027</v>
      </c>
      <c r="AG909" s="1909">
        <f t="shared" si="428"/>
        <v>2028</v>
      </c>
      <c r="AH909" s="1910">
        <f t="shared" si="428"/>
        <v>2029</v>
      </c>
      <c r="AI909" s="1910">
        <f t="shared" si="428"/>
        <v>2030</v>
      </c>
      <c r="AJ909" s="1910"/>
      <c r="AK909" s="1910"/>
      <c r="AL909" s="1910"/>
      <c r="AN909" s="1905"/>
      <c r="AO909" s="1121" t="b">
        <f t="shared" si="397"/>
        <v>0</v>
      </c>
      <c r="AP909" s="1912"/>
    </row>
    <row r="910" spans="1:42" ht="12.75" customHeight="1">
      <c r="B910" s="1124"/>
      <c r="C910" s="484"/>
      <c r="D910" s="579">
        <v>1</v>
      </c>
      <c r="E910" s="1034" t="str">
        <f t="shared" ref="E910:E919" si="429">E887</f>
        <v/>
      </c>
      <c r="F910" s="950" t="str">
        <f t="shared" ref="F910:F921" si="430">EUconst_TJ</f>
        <v>TJ</v>
      </c>
      <c r="G910" s="1914" t="str">
        <f>c_ALR2025!G6481</f>
        <v/>
      </c>
      <c r="H910" s="1915" t="str">
        <f>c_ALR2025!M6481</f>
        <v/>
      </c>
      <c r="I910" s="1987"/>
      <c r="J910" s="1491"/>
      <c r="K910" s="1492"/>
      <c r="L910" s="1492"/>
      <c r="M910" s="1492"/>
      <c r="N910" s="1492"/>
      <c r="O910" s="481"/>
      <c r="P910" s="9"/>
      <c r="S910" s="1939" t="str">
        <f>IF($M796&lt;&gt;EUconst_Relevant,"",
IF($V796&gt;($J$1190-3),
              IF(INDEX(H887:N887,MATCH($V796,$T909:$Z909,0))=0,0,INDEX(H910:N910,MATCH($V796,$T909:$Z909,0))/INDEX(H887:N887,MATCH($V796,$T909:$Z909,0))),
                             IF(ISNUMBER(G887),
                                            IF(OR(G887=0,$S850=FALSE),0,G910/G887),"")))</f>
        <v/>
      </c>
      <c r="T910" s="1940" t="str">
        <f t="shared" ref="T910:T919" si="431">IF($E887="","",IF($S850=FALSE,0,IF(SUM($S910)=0,SUM(H910),SUM(H887)*SUM($S910))))</f>
        <v/>
      </c>
      <c r="U910" s="1940" t="str">
        <f t="shared" ref="U910:U919" si="432">IF($E887="","",IF($S850=FALSE,0,IF(SUM($S910)=0,SUM(I910),SUM(I887)*SUM($S910))))</f>
        <v/>
      </c>
      <c r="V910" s="1940" t="str">
        <f t="shared" ref="V910:V919" si="433">IF($E887="","",IF($S850=FALSE,0,IF(SUM($S910)=0,SUM(J910),SUM(J887)*SUM($S910))))</f>
        <v/>
      </c>
      <c r="W910" s="1940" t="str">
        <f t="shared" ref="W910:W919" si="434">IF($E887="","",IF($S850=FALSE,0,IF(SUM($S910)=0,SUM(K910),SUM(K887)*SUM($S910))))</f>
        <v/>
      </c>
      <c r="X910" s="1940" t="str">
        <f t="shared" ref="X910:X919" si="435">IF($E887="","",IF($S850=FALSE,0,IF(SUM($S910)=0,SUM(L910),SUM(L887)*SUM($S910))))</f>
        <v/>
      </c>
      <c r="Y910" s="1940" t="str">
        <f t="shared" ref="Y910:Y919" si="436">IF($E887="","",IF($S850=FALSE,0,IF(SUM($S910)=0,SUM(M910),SUM(M887)*SUM($S910))))</f>
        <v/>
      </c>
      <c r="Z910" s="1941" t="str">
        <f t="shared" ref="Z910:Z919" si="437">IF($E887="","",IF($S850=FALSE,0,IF(SUM($S910)=0,SUM(N910),SUM(N887)*SUM($S910))))</f>
        <v/>
      </c>
      <c r="AA910" s="1942" t="s">
        <v>1698</v>
      </c>
      <c r="AB910" s="1943">
        <f>AC910</f>
        <v>2</v>
      </c>
      <c r="AC910" s="1994">
        <f>IF(CNTR_ExistSubInstEntries,IF(OR($M796&lt;&gt;EUconst_Relevant,AC909&gt;=CNTR_ReportingYear,AC909&lt;V796-1,$E910=""),0,IF(AND($T899=2,$S850),2,1)),2)</f>
        <v>2</v>
      </c>
      <c r="AD910" s="1927">
        <f>IF(CNTR_ExistSubInstEntries,IF(OR($M796&lt;&gt;EUconst_Relevant,AD909&gt;=CNTR_ReportingYear,AD909&lt;V796-1,$E910=""),0,IF(AND($T899=2,$S850),2,1)),2)</f>
        <v>2</v>
      </c>
      <c r="AE910" s="1927">
        <f>IF(CNTR_ExistSubInstEntries,IF(OR($M796&lt;&gt;EUconst_Relevant,AE909&gt;=CNTR_ReportingYear,AE909&lt;V796-1,$E910=""),0,IF(AND($T899=2,$S850),2,1)),2)</f>
        <v>2</v>
      </c>
      <c r="AF910" s="1927">
        <f>IF(CNTR_ExistSubInstEntries,IF(OR($M796&lt;&gt;EUconst_Relevant,AF909&gt;=CNTR_ReportingYear,AF909&lt;V796-1,$E910=""),0,IF(AND($T899=2,$S850),2,1)),2)</f>
        <v>2</v>
      </c>
      <c r="AG910" s="1927">
        <f>IF(CNTR_ExistSubInstEntries,IF(OR($M796&lt;&gt;EUconst_Relevant,AG909&gt;=CNTR_ReportingYear,AG909&lt;V796-1,$E910=""),0,IF(AND($T899=2,$S850),2,1)),2)</f>
        <v>2</v>
      </c>
      <c r="AH910" s="1928">
        <f>IF(CNTR_ExistSubInstEntries,IF(OR($M796&lt;&gt;EUconst_Relevant,AH909&gt;=CNTR_ReportingYear,AH909&lt;V796-1,$E910=""),0,IF(AND($T899=2,$S850),2,1)),2)</f>
        <v>2</v>
      </c>
      <c r="AI910" s="1929">
        <f>IF(CNTR_ExistSubInstEntries,IF(OR($M796&lt;&gt;EUconst_Relevant,AI909&gt;=CNTR_ReportingYear,AI909&lt;V796-1,$E910=""),0,IF(AND($T899=2,$S850),2,1)),2)</f>
        <v>2</v>
      </c>
      <c r="AK910" s="1633" t="s">
        <v>1954</v>
      </c>
      <c r="AL910" s="1635" t="str">
        <f>IF(AND(CNTR_ExistSubInstEntries,COUNTIFS(AB910:AI910,2,G910:N910,"")&gt;0),EUconst_Error&amp;"FB"&amp;Q796,"")</f>
        <v/>
      </c>
      <c r="AO910" s="1121" t="b">
        <f t="shared" si="397"/>
        <v>0</v>
      </c>
    </row>
    <row r="911" spans="1:42" ht="12.75" customHeight="1">
      <c r="B911" s="1124"/>
      <c r="C911" s="484"/>
      <c r="D911" s="582">
        <f>D910+1</f>
        <v>2</v>
      </c>
      <c r="E911" s="1035" t="str">
        <f t="shared" si="429"/>
        <v/>
      </c>
      <c r="F911" s="1038" t="str">
        <f t="shared" si="430"/>
        <v>TJ</v>
      </c>
      <c r="G911" s="1918" t="str">
        <f>c_ALR2025!G6482</f>
        <v/>
      </c>
      <c r="H911" s="1919" t="str">
        <f>c_ALR2025!M6482</f>
        <v/>
      </c>
      <c r="I911" s="1988"/>
      <c r="J911" s="1491"/>
      <c r="K911" s="1492"/>
      <c r="L911" s="1492"/>
      <c r="M911" s="1492"/>
      <c r="N911" s="1492"/>
      <c r="O911" s="481"/>
      <c r="P911" s="9"/>
      <c r="S911" s="1944" t="str">
        <f>IF($M796&lt;&gt;EUconst_Relevant,"",
IF($V796&gt;($J$1190-3),
              IF(INDEX(H888:N888,MATCH($V796,$T909:$Z909,0))=0,0,INDEX(H911:N911,MATCH($V796,$T909:$Z909,0))/INDEX(H888:N888,MATCH($V796,$T909:$Z909,0))),
                             IF(ISNUMBER(G888),
                                            IF(OR(G888=0,$S851=FALSE),0,G911/G888),"")))</f>
        <v/>
      </c>
      <c r="T911" s="1945" t="str">
        <f t="shared" si="431"/>
        <v/>
      </c>
      <c r="U911" s="1945" t="str">
        <f t="shared" si="432"/>
        <v/>
      </c>
      <c r="V911" s="1945" t="str">
        <f t="shared" si="433"/>
        <v/>
      </c>
      <c r="W911" s="1945" t="str">
        <f t="shared" si="434"/>
        <v/>
      </c>
      <c r="X911" s="1945" t="str">
        <f t="shared" si="435"/>
        <v/>
      </c>
      <c r="Y911" s="1945" t="str">
        <f t="shared" si="436"/>
        <v/>
      </c>
      <c r="Z911" s="1946" t="str">
        <f t="shared" si="437"/>
        <v/>
      </c>
      <c r="AB911" s="1930">
        <f t="shared" ref="AB911:AB919" si="438">AC911</f>
        <v>2</v>
      </c>
      <c r="AC911" s="1931">
        <f>IF(CNTR_ExistSubInstEntries,IF(OR($M796&lt;&gt;EUconst_Relevant,AC909&gt;=CNTR_ReportingYear,AC909&lt;V796-1,$E911=""),0,IF(AND($T899=2,$S851),2,1)),2)</f>
        <v>2</v>
      </c>
      <c r="AD911" s="1931">
        <f>IF(CNTR_ExistSubInstEntries,IF(OR($M796&lt;&gt;EUconst_Relevant,AD909&gt;=CNTR_ReportingYear,AD909&lt;V796-1,$E911=""),0,IF(AND($T899=2,$S851),2,1)),2)</f>
        <v>2</v>
      </c>
      <c r="AE911" s="1931">
        <f>IF(CNTR_ExistSubInstEntries,IF(OR($M796&lt;&gt;EUconst_Relevant,AE909&gt;=CNTR_ReportingYear,AE909&lt;V796-1,$E911=""),0,IF(AND($T899=2,$S851),2,1)),2)</f>
        <v>2</v>
      </c>
      <c r="AF911" s="1931">
        <f>IF(CNTR_ExistSubInstEntries,IF(OR($M796&lt;&gt;EUconst_Relevant,AF909&gt;=CNTR_ReportingYear,AF909&lt;V796-1,$E911=""),0,IF(AND($T899=2,$S851),2,1)),2)</f>
        <v>2</v>
      </c>
      <c r="AG911" s="1931">
        <f>IF(CNTR_ExistSubInstEntries,IF(OR($M796&lt;&gt;EUconst_Relevant,AG909&gt;=CNTR_ReportingYear,AG909&lt;V796-1,$E911=""),0,IF(AND($T899=2,$S851),2,1)),2)</f>
        <v>2</v>
      </c>
      <c r="AH911" s="1931">
        <f>IF(CNTR_ExistSubInstEntries,IF(OR($M796&lt;&gt;EUconst_Relevant,AH909&gt;=CNTR_ReportingYear,AH909&lt;V796-1,$E911=""),0,IF(AND($T899=2,$S851),2,1)),2)</f>
        <v>2</v>
      </c>
      <c r="AI911" s="1947">
        <f>IF(CNTR_ExistSubInstEntries,IF(OR($M796&lt;&gt;EUconst_Relevant,AI909&gt;=CNTR_ReportingYear,AI909&lt;V796-1,$E911=""),0,IF(AND($T899=2,$S851),2,1)),2)</f>
        <v>2</v>
      </c>
      <c r="AK911" s="1633" t="s">
        <v>1954</v>
      </c>
      <c r="AL911" s="1635" t="str">
        <f>IF(AND(CNTR_ExistSubInstEntries,COUNTIFS(AB911:AI911,2,G911:N911,"")&gt;0),EUconst_Error&amp;"FB"&amp;Q796,"")</f>
        <v/>
      </c>
      <c r="AO911" s="1121" t="b">
        <f t="shared" si="397"/>
        <v>0</v>
      </c>
    </row>
    <row r="912" spans="1:42" ht="12.75" customHeight="1">
      <c r="B912" s="1124"/>
      <c r="C912" s="484"/>
      <c r="D912" s="582">
        <f t="shared" ref="D912:D919" si="439">D911+1</f>
        <v>3</v>
      </c>
      <c r="E912" s="1035" t="str">
        <f t="shared" si="429"/>
        <v/>
      </c>
      <c r="F912" s="1038" t="str">
        <f t="shared" si="430"/>
        <v>TJ</v>
      </c>
      <c r="G912" s="1918" t="str">
        <f>c_ALR2025!G6483</f>
        <v/>
      </c>
      <c r="H912" s="1919" t="str">
        <f>c_ALR2025!M6483</f>
        <v/>
      </c>
      <c r="I912" s="1988"/>
      <c r="J912" s="1491"/>
      <c r="K912" s="1492"/>
      <c r="L912" s="1492"/>
      <c r="M912" s="1492"/>
      <c r="N912" s="1492"/>
      <c r="O912" s="481"/>
      <c r="P912" s="9"/>
      <c r="S912" s="1944" t="str">
        <f>IF($M796&lt;&gt;EUconst_Relevant,"",
IF($V796&gt;($J$1190-3),
              IF(INDEX(H889:N889,MATCH($V796,$T909:$Z909,0))=0,0,INDEX(H912:N912,MATCH($V796,$T909:$Z909,0))/INDEX(H889:N889,MATCH($V796,$T909:$Z909,0))),
                             IF(ISNUMBER(G889),
                                            IF(OR(G889=0,$S852=FALSE),0,G912/G889),"")))</f>
        <v/>
      </c>
      <c r="T912" s="1945" t="str">
        <f t="shared" si="431"/>
        <v/>
      </c>
      <c r="U912" s="1945" t="str">
        <f t="shared" si="432"/>
        <v/>
      </c>
      <c r="V912" s="1945" t="str">
        <f t="shared" si="433"/>
        <v/>
      </c>
      <c r="W912" s="1945" t="str">
        <f t="shared" si="434"/>
        <v/>
      </c>
      <c r="X912" s="1945" t="str">
        <f t="shared" si="435"/>
        <v/>
      </c>
      <c r="Y912" s="1945" t="str">
        <f t="shared" si="436"/>
        <v/>
      </c>
      <c r="Z912" s="1946" t="str">
        <f t="shared" si="437"/>
        <v/>
      </c>
      <c r="AB912" s="1930">
        <f t="shared" si="438"/>
        <v>2</v>
      </c>
      <c r="AC912" s="1931">
        <f>IF(CNTR_ExistSubInstEntries,IF(OR($M796&lt;&gt;EUconst_Relevant,AC909&gt;=CNTR_ReportingYear,AC909&lt;V796-1,$E912=""),0,IF(AND($T899=2,$S852),2,1)),2)</f>
        <v>2</v>
      </c>
      <c r="AD912" s="1931">
        <f>IF(CNTR_ExistSubInstEntries,IF(OR($M796&lt;&gt;EUconst_Relevant,AD909&gt;=CNTR_ReportingYear,AD909&lt;V796-1,$E912=""),0,IF(AND($T899=2,$S852),2,1)),2)</f>
        <v>2</v>
      </c>
      <c r="AE912" s="1931">
        <f>IF(CNTR_ExistSubInstEntries,IF(OR($M796&lt;&gt;EUconst_Relevant,AE909&gt;=CNTR_ReportingYear,AE909&lt;V796-1,$E912=""),0,IF(AND($T899=2,$S852),2,1)),2)</f>
        <v>2</v>
      </c>
      <c r="AF912" s="1931">
        <f>IF(CNTR_ExistSubInstEntries,IF(OR($M796&lt;&gt;EUconst_Relevant,AF909&gt;=CNTR_ReportingYear,AF909&lt;V796-1,$E912=""),0,IF(AND($T899=2,$S852),2,1)),2)</f>
        <v>2</v>
      </c>
      <c r="AG912" s="1931">
        <f>IF(CNTR_ExistSubInstEntries,IF(OR($M796&lt;&gt;EUconst_Relevant,AG909&gt;=CNTR_ReportingYear,AG909&lt;V796-1,$E912=""),0,IF(AND($T899=2,$S852),2,1)),2)</f>
        <v>2</v>
      </c>
      <c r="AH912" s="1931">
        <f>IF(CNTR_ExistSubInstEntries,IF(OR($M796&lt;&gt;EUconst_Relevant,AH909&gt;=CNTR_ReportingYear,AH909&lt;V796-1,$E912=""),0,IF(AND($T899=2,$S852),2,1)),2)</f>
        <v>2</v>
      </c>
      <c r="AI912" s="1947">
        <f>IF(CNTR_ExistSubInstEntries,IF(OR($M796&lt;&gt;EUconst_Relevant,AI909&gt;=CNTR_ReportingYear,AI909&lt;V796-1,$E912=""),0,IF(AND($T899=2,$S852),2,1)),2)</f>
        <v>2</v>
      </c>
      <c r="AK912" s="1633" t="s">
        <v>1954</v>
      </c>
      <c r="AL912" s="1635" t="str">
        <f>IF(AND(CNTR_ExistSubInstEntries,COUNTIFS(AB912:AI912,2,G912:N912,"")&gt;0),EUconst_Error&amp;"FB"&amp;Q796,"")</f>
        <v/>
      </c>
      <c r="AO912" s="1121" t="b">
        <f t="shared" si="397"/>
        <v>0</v>
      </c>
    </row>
    <row r="913" spans="1:42" ht="12.75" customHeight="1">
      <c r="B913" s="1124"/>
      <c r="C913" s="484"/>
      <c r="D913" s="582">
        <f t="shared" si="439"/>
        <v>4</v>
      </c>
      <c r="E913" s="1035" t="str">
        <f t="shared" si="429"/>
        <v/>
      </c>
      <c r="F913" s="1038" t="str">
        <f t="shared" si="430"/>
        <v>TJ</v>
      </c>
      <c r="G913" s="1918" t="str">
        <f>c_ALR2025!G6484</f>
        <v/>
      </c>
      <c r="H913" s="1919" t="str">
        <f>c_ALR2025!M6484</f>
        <v/>
      </c>
      <c r="I913" s="1988"/>
      <c r="J913" s="1491"/>
      <c r="K913" s="1492"/>
      <c r="L913" s="1492"/>
      <c r="M913" s="1492"/>
      <c r="N913" s="1492"/>
      <c r="O913" s="481"/>
      <c r="P913" s="9"/>
      <c r="S913" s="1944" t="str">
        <f>IF($M796&lt;&gt;EUconst_Relevant,"",
IF($V796&gt;($J$1190-3),
              IF(INDEX(H890:N890,MATCH($V796,$T909:$Z909,0))=0,0,INDEX(H913:N913,MATCH($V796,$T909:$Z909,0))/INDEX(H890:N890,MATCH($V796,$T909:$Z909,0))),
                             IF(ISNUMBER(G890),
                                            IF(OR(G890=0,$S853=FALSE),0,G913/G890),"")))</f>
        <v/>
      </c>
      <c r="T913" s="1945" t="str">
        <f t="shared" si="431"/>
        <v/>
      </c>
      <c r="U913" s="1945" t="str">
        <f t="shared" si="432"/>
        <v/>
      </c>
      <c r="V913" s="1945" t="str">
        <f t="shared" si="433"/>
        <v/>
      </c>
      <c r="W913" s="1945" t="str">
        <f t="shared" si="434"/>
        <v/>
      </c>
      <c r="X913" s="1945" t="str">
        <f t="shared" si="435"/>
        <v/>
      </c>
      <c r="Y913" s="1945" t="str">
        <f t="shared" si="436"/>
        <v/>
      </c>
      <c r="Z913" s="1946" t="str">
        <f t="shared" si="437"/>
        <v/>
      </c>
      <c r="AB913" s="1930">
        <f t="shared" si="438"/>
        <v>2</v>
      </c>
      <c r="AC913" s="1931">
        <f>IF(CNTR_ExistSubInstEntries,IF(OR($M796&lt;&gt;EUconst_Relevant,AC909&gt;=CNTR_ReportingYear,AC909&lt;V796-1,$E913=""),0,IF(AND($T899=2,$S853),2,1)),2)</f>
        <v>2</v>
      </c>
      <c r="AD913" s="1931">
        <f>IF(CNTR_ExistSubInstEntries,IF(OR($M796&lt;&gt;EUconst_Relevant,AD909&gt;=CNTR_ReportingYear,AD909&lt;V796-1,$E913=""),0,IF(AND($T899=2,$S853),2,1)),2)</f>
        <v>2</v>
      </c>
      <c r="AE913" s="1931">
        <f>IF(CNTR_ExistSubInstEntries,IF(OR($M796&lt;&gt;EUconst_Relevant,AE909&gt;=CNTR_ReportingYear,AE909&lt;V796-1,$E913=""),0,IF(AND($T899=2,$S853),2,1)),2)</f>
        <v>2</v>
      </c>
      <c r="AF913" s="1931">
        <f>IF(CNTR_ExistSubInstEntries,IF(OR($M796&lt;&gt;EUconst_Relevant,AF909&gt;=CNTR_ReportingYear,AF909&lt;V796-1,$E913=""),0,IF(AND($T899=2,$S853),2,1)),2)</f>
        <v>2</v>
      </c>
      <c r="AG913" s="1931">
        <f>IF(CNTR_ExistSubInstEntries,IF(OR($M796&lt;&gt;EUconst_Relevant,AG909&gt;=CNTR_ReportingYear,AG909&lt;V796-1,$E913=""),0,IF(AND($T899=2,$S853),2,1)),2)</f>
        <v>2</v>
      </c>
      <c r="AH913" s="1931">
        <f>IF(CNTR_ExistSubInstEntries,IF(OR($M796&lt;&gt;EUconst_Relevant,AH909&gt;=CNTR_ReportingYear,AH909&lt;V796-1,$E913=""),0,IF(AND($T899=2,$S853),2,1)),2)</f>
        <v>2</v>
      </c>
      <c r="AI913" s="1947">
        <f>IF(CNTR_ExistSubInstEntries,IF(OR($M796&lt;&gt;EUconst_Relevant,AI909&gt;=CNTR_ReportingYear,AI909&lt;V796-1,$E913=""),0,IF(AND($T899=2,$S853),2,1)),2)</f>
        <v>2</v>
      </c>
      <c r="AK913" s="1633" t="s">
        <v>1954</v>
      </c>
      <c r="AL913" s="1635" t="str">
        <f>IF(AND(CNTR_ExistSubInstEntries,COUNTIFS(AB913:AI913,2,G913:N913,"")&gt;0),EUconst_Error&amp;"FB"&amp;Q796,"")</f>
        <v/>
      </c>
      <c r="AO913" s="1121" t="b">
        <f t="shared" si="397"/>
        <v>0</v>
      </c>
    </row>
    <row r="914" spans="1:42" ht="12.75" customHeight="1">
      <c r="B914" s="1124"/>
      <c r="C914" s="484"/>
      <c r="D914" s="582">
        <f t="shared" si="439"/>
        <v>5</v>
      </c>
      <c r="E914" s="1035" t="str">
        <f t="shared" si="429"/>
        <v/>
      </c>
      <c r="F914" s="1038" t="str">
        <f t="shared" si="430"/>
        <v>TJ</v>
      </c>
      <c r="G914" s="1918" t="str">
        <f>c_ALR2025!G6485</f>
        <v/>
      </c>
      <c r="H914" s="1919" t="str">
        <f>c_ALR2025!M6485</f>
        <v/>
      </c>
      <c r="I914" s="1988"/>
      <c r="J914" s="1491"/>
      <c r="K914" s="1492"/>
      <c r="L914" s="1492"/>
      <c r="M914" s="1492"/>
      <c r="N914" s="1492"/>
      <c r="O914" s="481"/>
      <c r="P914" s="9"/>
      <c r="S914" s="1944" t="str">
        <f>IF($M796&lt;&gt;EUconst_Relevant,"",
IF($V796&gt;($J$1190-3),
              IF(INDEX(H891:N891,MATCH($V796,$T909:$Z909,0))=0,0,INDEX(H914:N914,MATCH($V796,$T909:$Z909,0))/INDEX(H891:N891,MATCH($V796,$T909:$Z909,0))),
                             IF(ISNUMBER(G891),
                                            IF(OR(G891=0,$S854=FALSE),0,G914/G891),"")))</f>
        <v/>
      </c>
      <c r="T914" s="1945" t="str">
        <f t="shared" si="431"/>
        <v/>
      </c>
      <c r="U914" s="1945" t="str">
        <f t="shared" si="432"/>
        <v/>
      </c>
      <c r="V914" s="1945" t="str">
        <f t="shared" si="433"/>
        <v/>
      </c>
      <c r="W914" s="1945" t="str">
        <f t="shared" si="434"/>
        <v/>
      </c>
      <c r="X914" s="1945" t="str">
        <f t="shared" si="435"/>
        <v/>
      </c>
      <c r="Y914" s="1945" t="str">
        <f t="shared" si="436"/>
        <v/>
      </c>
      <c r="Z914" s="1946" t="str">
        <f t="shared" si="437"/>
        <v/>
      </c>
      <c r="AB914" s="1930">
        <f t="shared" si="438"/>
        <v>2</v>
      </c>
      <c r="AC914" s="1931">
        <f>IF(CNTR_ExistSubInstEntries,IF(OR($M796&lt;&gt;EUconst_Relevant,AC909&gt;=CNTR_ReportingYear,AC909&lt;V796-1,$E914=""),0,IF(AND($T899=2,$S854),2,1)),2)</f>
        <v>2</v>
      </c>
      <c r="AD914" s="1931">
        <f>IF(CNTR_ExistSubInstEntries,IF(OR($M796&lt;&gt;EUconst_Relevant,AD909&gt;=CNTR_ReportingYear,AD909&lt;V796-1,$E914=""),0,IF(AND($T899=2,$S854),2,1)),2)</f>
        <v>2</v>
      </c>
      <c r="AE914" s="1931">
        <f>IF(CNTR_ExistSubInstEntries,IF(OR($M796&lt;&gt;EUconst_Relevant,AE909&gt;=CNTR_ReportingYear,AE909&lt;V796-1,$E914=""),0,IF(AND($T899=2,$S854),2,1)),2)</f>
        <v>2</v>
      </c>
      <c r="AF914" s="1931">
        <f>IF(CNTR_ExistSubInstEntries,IF(OR($M796&lt;&gt;EUconst_Relevant,AF909&gt;=CNTR_ReportingYear,AF909&lt;V796-1,$E914=""),0,IF(AND($T899=2,$S854),2,1)),2)</f>
        <v>2</v>
      </c>
      <c r="AG914" s="1931">
        <f>IF(CNTR_ExistSubInstEntries,IF(OR($M796&lt;&gt;EUconst_Relevant,AG909&gt;=CNTR_ReportingYear,AG909&lt;V796-1,$E914=""),0,IF(AND($T899=2,$S854),2,1)),2)</f>
        <v>2</v>
      </c>
      <c r="AH914" s="1931">
        <f>IF(CNTR_ExistSubInstEntries,IF(OR($M796&lt;&gt;EUconst_Relevant,AH909&gt;=CNTR_ReportingYear,AH909&lt;V796-1,$E914=""),0,IF(AND($T899=2,$S854),2,1)),2)</f>
        <v>2</v>
      </c>
      <c r="AI914" s="1947">
        <f>IF(CNTR_ExistSubInstEntries,IF(OR($M796&lt;&gt;EUconst_Relevant,AI909&gt;=CNTR_ReportingYear,AI909&lt;V796-1,$E914=""),0,IF(AND($T899=2,$S854),2,1)),2)</f>
        <v>2</v>
      </c>
      <c r="AK914" s="1633" t="s">
        <v>1954</v>
      </c>
      <c r="AL914" s="1635" t="str">
        <f>IF(AND(CNTR_ExistSubInstEntries,COUNTIFS(AB914:AI914,2,G914:N914,"")&gt;0),EUconst_Error&amp;"FB"&amp;Q796,"")</f>
        <v/>
      </c>
      <c r="AO914" s="1121" t="b">
        <f t="shared" si="397"/>
        <v>0</v>
      </c>
    </row>
    <row r="915" spans="1:42" ht="12.75" customHeight="1">
      <c r="B915" s="1124"/>
      <c r="C915" s="484"/>
      <c r="D915" s="582">
        <f t="shared" si="439"/>
        <v>6</v>
      </c>
      <c r="E915" s="1035" t="str">
        <f t="shared" si="429"/>
        <v/>
      </c>
      <c r="F915" s="1038" t="str">
        <f t="shared" si="430"/>
        <v>TJ</v>
      </c>
      <c r="G915" s="1918" t="str">
        <f>c_ALR2025!G6486</f>
        <v/>
      </c>
      <c r="H915" s="1919" t="str">
        <f>c_ALR2025!M6486</f>
        <v/>
      </c>
      <c r="I915" s="1988"/>
      <c r="J915" s="1491"/>
      <c r="K915" s="1492"/>
      <c r="L915" s="1492"/>
      <c r="M915" s="1492"/>
      <c r="N915" s="1492"/>
      <c r="O915" s="481"/>
      <c r="P915" s="9"/>
      <c r="S915" s="1944" t="str">
        <f>IF($M796&lt;&gt;EUconst_Relevant,"",
IF($V796&gt;($J$1190-3),
              IF(INDEX(H892:N892,MATCH($V796,$T909:$Z909,0))=0,0,INDEX(H915:N915,MATCH($V796,$T909:$Z909,0))/INDEX(H892:N892,MATCH($V796,$T909:$Z909,0))),
                             IF(ISNUMBER(G892),
                                            IF(OR(G892=0,$S855=FALSE),0,G915/G892),"")))</f>
        <v/>
      </c>
      <c r="T915" s="1945" t="str">
        <f t="shared" si="431"/>
        <v/>
      </c>
      <c r="U915" s="1945" t="str">
        <f t="shared" si="432"/>
        <v/>
      </c>
      <c r="V915" s="1945" t="str">
        <f t="shared" si="433"/>
        <v/>
      </c>
      <c r="W915" s="1945" t="str">
        <f t="shared" si="434"/>
        <v/>
      </c>
      <c r="X915" s="1945" t="str">
        <f t="shared" si="435"/>
        <v/>
      </c>
      <c r="Y915" s="1945" t="str">
        <f t="shared" si="436"/>
        <v/>
      </c>
      <c r="Z915" s="1946" t="str">
        <f t="shared" si="437"/>
        <v/>
      </c>
      <c r="AB915" s="1930">
        <f t="shared" si="438"/>
        <v>2</v>
      </c>
      <c r="AC915" s="1931">
        <f>IF(CNTR_ExistSubInstEntries,IF(OR($M796&lt;&gt;EUconst_Relevant,AC909&gt;=CNTR_ReportingYear,AC909&lt;V796-1,$E915=""),0,IF(AND($T899=2,$S855),2,1)),2)</f>
        <v>2</v>
      </c>
      <c r="AD915" s="1931">
        <f>IF(CNTR_ExistSubInstEntries,IF(OR($M796&lt;&gt;EUconst_Relevant,AD909&gt;=CNTR_ReportingYear,AD909&lt;V796-1,$E915=""),0,IF(AND($T899=2,$S855),2,1)),2)</f>
        <v>2</v>
      </c>
      <c r="AE915" s="1931">
        <f>IF(CNTR_ExistSubInstEntries,IF(OR($M796&lt;&gt;EUconst_Relevant,AE909&gt;=CNTR_ReportingYear,AE909&lt;V796-1,$E915=""),0,IF(AND($T899=2,$S855),2,1)),2)</f>
        <v>2</v>
      </c>
      <c r="AF915" s="1931">
        <f>IF(CNTR_ExistSubInstEntries,IF(OR($M796&lt;&gt;EUconst_Relevant,AF909&gt;=CNTR_ReportingYear,AF909&lt;V796-1,$E915=""),0,IF(AND($T899=2,$S855),2,1)),2)</f>
        <v>2</v>
      </c>
      <c r="AG915" s="1931">
        <f>IF(CNTR_ExistSubInstEntries,IF(OR($M796&lt;&gt;EUconst_Relevant,AG909&gt;=CNTR_ReportingYear,AG909&lt;V796-1,$E915=""),0,IF(AND($T899=2,$S855),2,1)),2)</f>
        <v>2</v>
      </c>
      <c r="AH915" s="1931">
        <f>IF(CNTR_ExistSubInstEntries,IF(OR($M796&lt;&gt;EUconst_Relevant,AH909&gt;=CNTR_ReportingYear,AH909&lt;V796-1,$E915=""),0,IF(AND($T899=2,$S855),2,1)),2)</f>
        <v>2</v>
      </c>
      <c r="AI915" s="1947">
        <f>IF(CNTR_ExistSubInstEntries,IF(OR($M796&lt;&gt;EUconst_Relevant,AI909&gt;=CNTR_ReportingYear,AI909&lt;V796-1,$E915=""),0,IF(AND($T899=2,$S855),2,1)),2)</f>
        <v>2</v>
      </c>
      <c r="AK915" s="1633" t="s">
        <v>1954</v>
      </c>
      <c r="AL915" s="1635" t="str">
        <f>IF(AND(CNTR_ExistSubInstEntries,COUNTIFS(AB915:AI915,2,G915:N915,"")&gt;0),EUconst_Error&amp;"FB"&amp;Q796,"")</f>
        <v/>
      </c>
      <c r="AO915" s="1121" t="b">
        <f t="shared" si="397"/>
        <v>0</v>
      </c>
    </row>
    <row r="916" spans="1:42" ht="12.75" customHeight="1">
      <c r="B916" s="1124"/>
      <c r="C916" s="484"/>
      <c r="D916" s="582">
        <f t="shared" si="439"/>
        <v>7</v>
      </c>
      <c r="E916" s="1035" t="str">
        <f t="shared" si="429"/>
        <v/>
      </c>
      <c r="F916" s="1038" t="str">
        <f t="shared" si="430"/>
        <v>TJ</v>
      </c>
      <c r="G916" s="1918" t="str">
        <f>c_ALR2025!G6487</f>
        <v/>
      </c>
      <c r="H916" s="1919" t="str">
        <f>c_ALR2025!M6487</f>
        <v/>
      </c>
      <c r="I916" s="1988"/>
      <c r="J916" s="1491"/>
      <c r="K916" s="1492"/>
      <c r="L916" s="1492"/>
      <c r="M916" s="1492"/>
      <c r="N916" s="1492"/>
      <c r="O916" s="481"/>
      <c r="P916" s="9"/>
      <c r="S916" s="1944" t="str">
        <f>IF($M796&lt;&gt;EUconst_Relevant,"",
IF($V796&gt;($J$1190-3),
              IF(INDEX(H893:N893,MATCH($V796,$T909:$Z909,0))=0,0,INDEX(H916:N916,MATCH($V796,$T909:$Z909,0))/INDEX(H893:N893,MATCH($V796,$T909:$Z909,0))),
                             IF(ISNUMBER(G893),
                                            IF(OR(G893=0,$S856=FALSE),0,G916/G893),"")))</f>
        <v/>
      </c>
      <c r="T916" s="1945" t="str">
        <f t="shared" si="431"/>
        <v/>
      </c>
      <c r="U916" s="1945" t="str">
        <f t="shared" si="432"/>
        <v/>
      </c>
      <c r="V916" s="1945" t="str">
        <f t="shared" si="433"/>
        <v/>
      </c>
      <c r="W916" s="1945" t="str">
        <f t="shared" si="434"/>
        <v/>
      </c>
      <c r="X916" s="1945" t="str">
        <f t="shared" si="435"/>
        <v/>
      </c>
      <c r="Y916" s="1945" t="str">
        <f t="shared" si="436"/>
        <v/>
      </c>
      <c r="Z916" s="1946" t="str">
        <f t="shared" si="437"/>
        <v/>
      </c>
      <c r="AB916" s="1930">
        <f t="shared" si="438"/>
        <v>2</v>
      </c>
      <c r="AC916" s="1931">
        <f>IF(CNTR_ExistSubInstEntries,IF(OR($M796&lt;&gt;EUconst_Relevant,AC909&gt;=CNTR_ReportingYear,AC909&lt;V796-1,$E916=""),0,IF(AND($T899=2,$S856),2,1)),2)</f>
        <v>2</v>
      </c>
      <c r="AD916" s="1931">
        <f>IF(CNTR_ExistSubInstEntries,IF(OR($M796&lt;&gt;EUconst_Relevant,AD909&gt;=CNTR_ReportingYear,AD909&lt;V796-1,$E916=""),0,IF(AND($T899=2,$S856),2,1)),2)</f>
        <v>2</v>
      </c>
      <c r="AE916" s="1931">
        <f>IF(CNTR_ExistSubInstEntries,IF(OR($M796&lt;&gt;EUconst_Relevant,AE909&gt;=CNTR_ReportingYear,AE909&lt;V796-1,$E916=""),0,IF(AND($T899=2,$S856),2,1)),2)</f>
        <v>2</v>
      </c>
      <c r="AF916" s="1931">
        <f>IF(CNTR_ExistSubInstEntries,IF(OR($M796&lt;&gt;EUconst_Relevant,AF909&gt;=CNTR_ReportingYear,AF909&lt;V796-1,$E916=""),0,IF(AND($T899=2,$S856),2,1)),2)</f>
        <v>2</v>
      </c>
      <c r="AG916" s="1931">
        <f>IF(CNTR_ExistSubInstEntries,IF(OR($M796&lt;&gt;EUconst_Relevant,AG909&gt;=CNTR_ReportingYear,AG909&lt;V796-1,$E916=""),0,IF(AND($T899=2,$S856),2,1)),2)</f>
        <v>2</v>
      </c>
      <c r="AH916" s="1931">
        <f>IF(CNTR_ExistSubInstEntries,IF(OR($M796&lt;&gt;EUconst_Relevant,AH909&gt;=CNTR_ReportingYear,AH909&lt;V796-1,$E916=""),0,IF(AND($T899=2,$S856),2,1)),2)</f>
        <v>2</v>
      </c>
      <c r="AI916" s="1947">
        <f>IF(CNTR_ExistSubInstEntries,IF(OR($M796&lt;&gt;EUconst_Relevant,AI909&gt;=CNTR_ReportingYear,AI909&lt;V796-1,$E916=""),0,IF(AND($T899=2,$S856),2,1)),2)</f>
        <v>2</v>
      </c>
      <c r="AK916" s="1633" t="s">
        <v>1954</v>
      </c>
      <c r="AL916" s="1635" t="str">
        <f>IF(AND(CNTR_ExistSubInstEntries,COUNTIFS(AB916:AI916,2,G916:N916,"")&gt;0),EUconst_Error&amp;"FB"&amp;Q796,"")</f>
        <v/>
      </c>
      <c r="AO916" s="1121" t="b">
        <f t="shared" si="397"/>
        <v>0</v>
      </c>
    </row>
    <row r="917" spans="1:42" ht="12.75" customHeight="1">
      <c r="B917" s="1124"/>
      <c r="C917" s="484"/>
      <c r="D917" s="582">
        <f t="shared" si="439"/>
        <v>8</v>
      </c>
      <c r="E917" s="1035" t="str">
        <f t="shared" si="429"/>
        <v/>
      </c>
      <c r="F917" s="1038" t="str">
        <f t="shared" si="430"/>
        <v>TJ</v>
      </c>
      <c r="G917" s="1918" t="str">
        <f>c_ALR2025!G6488</f>
        <v/>
      </c>
      <c r="H917" s="1919" t="str">
        <f>c_ALR2025!M6488</f>
        <v/>
      </c>
      <c r="I917" s="1988"/>
      <c r="J917" s="1491"/>
      <c r="K917" s="1492"/>
      <c r="L917" s="1492"/>
      <c r="M917" s="1492"/>
      <c r="N917" s="1492"/>
      <c r="O917" s="481"/>
      <c r="P917" s="9"/>
      <c r="S917" s="1944" t="str">
        <f>IF($M796&lt;&gt;EUconst_Relevant,"",
IF($V796&gt;($J$1190-3),
              IF(INDEX(H894:N894,MATCH($V796,$T909:$Z909,0))=0,0,INDEX(H917:N917,MATCH($V796,$T909:$Z909,0))/INDEX(H894:N894,MATCH($V796,$T909:$Z909,0))),
                             IF(ISNUMBER(G894),
                                            IF(OR(G894=0,$S857=FALSE),0,G917/G894),"")))</f>
        <v/>
      </c>
      <c r="T917" s="1945" t="str">
        <f t="shared" si="431"/>
        <v/>
      </c>
      <c r="U917" s="1945" t="str">
        <f t="shared" si="432"/>
        <v/>
      </c>
      <c r="V917" s="1945" t="str">
        <f t="shared" si="433"/>
        <v/>
      </c>
      <c r="W917" s="1945" t="str">
        <f t="shared" si="434"/>
        <v/>
      </c>
      <c r="X917" s="1945" t="str">
        <f t="shared" si="435"/>
        <v/>
      </c>
      <c r="Y917" s="1945" t="str">
        <f t="shared" si="436"/>
        <v/>
      </c>
      <c r="Z917" s="1946" t="str">
        <f t="shared" si="437"/>
        <v/>
      </c>
      <c r="AB917" s="1930">
        <f t="shared" si="438"/>
        <v>2</v>
      </c>
      <c r="AC917" s="1931">
        <f>IF(CNTR_ExistSubInstEntries,IF(OR($M796&lt;&gt;EUconst_Relevant,AC909&gt;=CNTR_ReportingYear,AC909&lt;V796-1,$E917=""),0,IF(AND($T899=2,$S857),2,1)),2)</f>
        <v>2</v>
      </c>
      <c r="AD917" s="1931">
        <f>IF(CNTR_ExistSubInstEntries,IF(OR($M796&lt;&gt;EUconst_Relevant,AD909&gt;=CNTR_ReportingYear,AD909&lt;V796-1,$E917=""),0,IF(AND($T899=2,$S857),2,1)),2)</f>
        <v>2</v>
      </c>
      <c r="AE917" s="1931">
        <f>IF(CNTR_ExistSubInstEntries,IF(OR($M796&lt;&gt;EUconst_Relevant,AE909&gt;=CNTR_ReportingYear,AE909&lt;V796-1,$E917=""),0,IF(AND($T899=2,$S857),2,1)),2)</f>
        <v>2</v>
      </c>
      <c r="AF917" s="1931">
        <f>IF(CNTR_ExistSubInstEntries,IF(OR($M796&lt;&gt;EUconst_Relevant,AF909&gt;=CNTR_ReportingYear,AF909&lt;V796-1,$E917=""),0,IF(AND($T899=2,$S857),2,1)),2)</f>
        <v>2</v>
      </c>
      <c r="AG917" s="1931">
        <f>IF(CNTR_ExistSubInstEntries,IF(OR($M796&lt;&gt;EUconst_Relevant,AG909&gt;=CNTR_ReportingYear,AG909&lt;V796-1,$E917=""),0,IF(AND($T899=2,$S857),2,1)),2)</f>
        <v>2</v>
      </c>
      <c r="AH917" s="1931">
        <f>IF(CNTR_ExistSubInstEntries,IF(OR($M796&lt;&gt;EUconst_Relevant,AH909&gt;=CNTR_ReportingYear,AH909&lt;V796-1,$E917=""),0,IF(AND($T899=2,$S857),2,1)),2)</f>
        <v>2</v>
      </c>
      <c r="AI917" s="1947">
        <f>IF(CNTR_ExistSubInstEntries,IF(OR($M796&lt;&gt;EUconst_Relevant,AI909&gt;=CNTR_ReportingYear,AI909&lt;V796-1,$E917=""),0,IF(AND($T899=2,$S857),2,1)),2)</f>
        <v>2</v>
      </c>
      <c r="AK917" s="1633" t="s">
        <v>1954</v>
      </c>
      <c r="AL917" s="1635" t="str">
        <f>IF(AND(CNTR_ExistSubInstEntries,COUNTIFS(AB917:AI917,2,G917:N917,"")&gt;0),EUconst_Error&amp;"FB"&amp;Q796,"")</f>
        <v/>
      </c>
      <c r="AO917" s="1121" t="b">
        <f t="shared" si="397"/>
        <v>0</v>
      </c>
    </row>
    <row r="918" spans="1:42" ht="12.75" customHeight="1">
      <c r="B918" s="1124"/>
      <c r="C918" s="484"/>
      <c r="D918" s="582">
        <f t="shared" si="439"/>
        <v>9</v>
      </c>
      <c r="E918" s="1035" t="str">
        <f t="shared" si="429"/>
        <v/>
      </c>
      <c r="F918" s="1038" t="str">
        <f t="shared" si="430"/>
        <v>TJ</v>
      </c>
      <c r="G918" s="1918" t="str">
        <f>c_ALR2025!G6489</f>
        <v/>
      </c>
      <c r="H918" s="1919" t="str">
        <f>c_ALR2025!M6489</f>
        <v/>
      </c>
      <c r="I918" s="1988"/>
      <c r="J918" s="1491"/>
      <c r="K918" s="1492"/>
      <c r="L918" s="1492"/>
      <c r="M918" s="1492"/>
      <c r="N918" s="1492"/>
      <c r="O918" s="481"/>
      <c r="P918" s="9"/>
      <c r="S918" s="1944" t="str">
        <f>IF($M796&lt;&gt;EUconst_Relevant,"",
IF($V796&gt;($J$1190-3),
              IF(INDEX(H895:N895,MATCH($V796,$T909:$Z909,0))=0,0,INDEX(H918:N918,MATCH($V796,$T909:$Z909,0))/INDEX(H895:N895,MATCH($V796,$T909:$Z909,0))),
                             IF(ISNUMBER(G895),
                                            IF(OR(G895=0,$S858=FALSE),0,G918/G895),"")))</f>
        <v/>
      </c>
      <c r="T918" s="1945" t="str">
        <f t="shared" si="431"/>
        <v/>
      </c>
      <c r="U918" s="1945" t="str">
        <f t="shared" si="432"/>
        <v/>
      </c>
      <c r="V918" s="1945" t="str">
        <f t="shared" si="433"/>
        <v/>
      </c>
      <c r="W918" s="1945" t="str">
        <f t="shared" si="434"/>
        <v/>
      </c>
      <c r="X918" s="1945" t="str">
        <f t="shared" si="435"/>
        <v/>
      </c>
      <c r="Y918" s="1945" t="str">
        <f t="shared" si="436"/>
        <v/>
      </c>
      <c r="Z918" s="1946" t="str">
        <f t="shared" si="437"/>
        <v/>
      </c>
      <c r="AB918" s="1930">
        <f t="shared" si="438"/>
        <v>2</v>
      </c>
      <c r="AC918" s="1931">
        <f>IF(CNTR_ExistSubInstEntries,IF(OR($M796&lt;&gt;EUconst_Relevant,AC909&gt;=CNTR_ReportingYear,AC909&lt;V796-1,$E918=""),0,IF(AND($T899=2,$S858),2,1)),2)</f>
        <v>2</v>
      </c>
      <c r="AD918" s="1931">
        <f>IF(CNTR_ExistSubInstEntries,IF(OR($M796&lt;&gt;EUconst_Relevant,AD909&gt;=CNTR_ReportingYear,AD909&lt;V796-1,$E918=""),0,IF(AND($T899=2,$S858),2,1)),2)</f>
        <v>2</v>
      </c>
      <c r="AE918" s="1931">
        <f>IF(CNTR_ExistSubInstEntries,IF(OR($M796&lt;&gt;EUconst_Relevant,AE909&gt;=CNTR_ReportingYear,AE909&lt;V796-1,$E918=""),0,IF(AND($T899=2,$S858),2,1)),2)</f>
        <v>2</v>
      </c>
      <c r="AF918" s="1931">
        <f>IF(CNTR_ExistSubInstEntries,IF(OR($M796&lt;&gt;EUconst_Relevant,AF909&gt;=CNTR_ReportingYear,AF909&lt;V796-1,$E918=""),0,IF(AND($T899=2,$S858),2,1)),2)</f>
        <v>2</v>
      </c>
      <c r="AG918" s="1931">
        <f>IF(CNTR_ExistSubInstEntries,IF(OR($M796&lt;&gt;EUconst_Relevant,AG909&gt;=CNTR_ReportingYear,AG909&lt;V796-1,$E918=""),0,IF(AND($T899=2,$S858),2,1)),2)</f>
        <v>2</v>
      </c>
      <c r="AH918" s="1931">
        <f>IF(CNTR_ExistSubInstEntries,IF(OR($M796&lt;&gt;EUconst_Relevant,AH909&gt;=CNTR_ReportingYear,AH909&lt;V796-1,$E918=""),0,IF(AND($T899=2,$S858),2,1)),2)</f>
        <v>2</v>
      </c>
      <c r="AI918" s="1947">
        <f>IF(CNTR_ExistSubInstEntries,IF(OR($M796&lt;&gt;EUconst_Relevant,AI909&gt;=CNTR_ReportingYear,AI909&lt;V796-1,$E918=""),0,IF(AND($T899=2,$S858),2,1)),2)</f>
        <v>2</v>
      </c>
      <c r="AK918" s="1633" t="s">
        <v>1954</v>
      </c>
      <c r="AL918" s="1635" t="str">
        <f>IF(AND(CNTR_ExistSubInstEntries,COUNTIFS(AB918:AI918,2,G918:N918,"")&gt;0),EUconst_Error&amp;"FB"&amp;Q796,"")</f>
        <v/>
      </c>
      <c r="AO918" s="1121" t="b">
        <f t="shared" si="397"/>
        <v>0</v>
      </c>
    </row>
    <row r="919" spans="1:42" ht="12.75" customHeight="1" thickBot="1">
      <c r="B919" s="1124"/>
      <c r="C919" s="484"/>
      <c r="D919" s="584">
        <f t="shared" si="439"/>
        <v>10</v>
      </c>
      <c r="E919" s="1037" t="str">
        <f t="shared" si="429"/>
        <v/>
      </c>
      <c r="F919" s="1039" t="str">
        <f t="shared" si="430"/>
        <v>TJ</v>
      </c>
      <c r="G919" s="1922" t="str">
        <f>c_ALR2025!G6490</f>
        <v/>
      </c>
      <c r="H919" s="1923" t="str">
        <f>c_ALR2025!M6490</f>
        <v/>
      </c>
      <c r="I919" s="1989"/>
      <c r="J919" s="1491"/>
      <c r="K919" s="1492"/>
      <c r="L919" s="1492"/>
      <c r="M919" s="1492"/>
      <c r="N919" s="1492"/>
      <c r="O919" s="481"/>
      <c r="P919" s="9"/>
      <c r="S919" s="1948" t="str">
        <f>IF($M796&lt;&gt;EUconst_Relevant,"",
IF($V796&gt;($J$1190-3),
              IF(INDEX(H896:N896,MATCH($V796,$T909:$Z909,0))=0,0,INDEX(H919:N919,MATCH($V796,$T909:$Z909,0))/INDEX(H896:N896,MATCH($V796,$T909:$Z909,0))),
                             IF(ISNUMBER(G896),
                                            IF(OR(G896=0,$S859=FALSE),0,G919/G896),"")))</f>
        <v/>
      </c>
      <c r="T919" s="1949" t="str">
        <f t="shared" si="431"/>
        <v/>
      </c>
      <c r="U919" s="1949" t="str">
        <f t="shared" si="432"/>
        <v/>
      </c>
      <c r="V919" s="1949" t="str">
        <f t="shared" si="433"/>
        <v/>
      </c>
      <c r="W919" s="1949" t="str">
        <f t="shared" si="434"/>
        <v/>
      </c>
      <c r="X919" s="1949" t="str">
        <f t="shared" si="435"/>
        <v/>
      </c>
      <c r="Y919" s="1949" t="str">
        <f t="shared" si="436"/>
        <v/>
      </c>
      <c r="Z919" s="1950" t="str">
        <f t="shared" si="437"/>
        <v/>
      </c>
      <c r="AB919" s="1934">
        <f t="shared" si="438"/>
        <v>2</v>
      </c>
      <c r="AC919" s="1935">
        <f>IF(CNTR_ExistSubInstEntries,IF(OR($M796&lt;&gt;EUconst_Relevant,AC909&gt;=CNTR_ReportingYear,AC909&lt;V796-1,$E919=""),0,IF(AND($T899=2,$S859),2,1)),2)</f>
        <v>2</v>
      </c>
      <c r="AD919" s="1935">
        <f>IF(CNTR_ExistSubInstEntries,IF(OR($M796&lt;&gt;EUconst_Relevant,AD909&gt;=CNTR_ReportingYear,AD909&lt;V796-1,$E919=""),0,IF(AND($T899=2,$S859),2,1)),2)</f>
        <v>2</v>
      </c>
      <c r="AE919" s="1935">
        <f>IF(CNTR_ExistSubInstEntries,IF(OR($M796&lt;&gt;EUconst_Relevant,AE909&gt;=CNTR_ReportingYear,AE909&lt;V796-1,$E919=""),0,IF(AND($T899=2,$S859),2,1)),2)</f>
        <v>2</v>
      </c>
      <c r="AF919" s="1935">
        <f>IF(CNTR_ExistSubInstEntries,IF(OR($M796&lt;&gt;EUconst_Relevant,AF909&gt;=CNTR_ReportingYear,AF909&lt;V796-1,$E919=""),0,IF(AND($T899=2,$S859),2,1)),2)</f>
        <v>2</v>
      </c>
      <c r="AG919" s="1935">
        <f>IF(CNTR_ExistSubInstEntries,IF(OR($M796&lt;&gt;EUconst_Relevant,AG909&gt;=CNTR_ReportingYear,AG909&lt;V796-1,$E919=""),0,IF(AND($T899=2,$S859),2,1)),2)</f>
        <v>2</v>
      </c>
      <c r="AH919" s="1935">
        <f>IF(CNTR_ExistSubInstEntries,IF(OR($M796&lt;&gt;EUconst_Relevant,AH909&gt;=CNTR_ReportingYear,AH909&lt;V796-1,$E919=""),0,IF(AND($T899=2,$S859),2,1)),2)</f>
        <v>2</v>
      </c>
      <c r="AI919" s="1951">
        <f>IF(CNTR_ExistSubInstEntries,IF(OR($M796&lt;&gt;EUconst_Relevant,AI909&gt;=CNTR_ReportingYear,AI909&lt;V796-1,$E919=""),0,IF(AND($T899=2,$S859),2,1)),2)</f>
        <v>2</v>
      </c>
      <c r="AK919" s="1633" t="s">
        <v>1954</v>
      </c>
      <c r="AL919" s="1635" t="str">
        <f>IF(AND(CNTR_ExistSubInstEntries,COUNTIFS(AB919:AI919,2,G919:N919,"")&gt;0),EUconst_Error&amp;"FB"&amp;Q796,"")</f>
        <v/>
      </c>
      <c r="AO919" s="1121" t="b">
        <f t="shared" si="397"/>
        <v>0</v>
      </c>
    </row>
    <row r="920" spans="1:42" ht="12.75" customHeight="1">
      <c r="B920" s="1124"/>
      <c r="C920" s="485"/>
      <c r="D920" s="971"/>
      <c r="E920" s="972" t="s">
        <v>1713</v>
      </c>
      <c r="F920" s="1039" t="str">
        <f t="shared" si="430"/>
        <v>TJ</v>
      </c>
      <c r="G920" s="973" t="str">
        <f>IF(COUNT(G910:G919)&gt;0,SUMIF($S850:$S859,TRUE,G910:G919),"")</f>
        <v/>
      </c>
      <c r="H920" s="974" t="str">
        <f t="shared" ref="H920:N920" si="440">IF(COUNT(H910:H919)&gt;0,SUMIF($S850:$S859,TRUE,H910:H919),"")</f>
        <v/>
      </c>
      <c r="I920" s="973" t="str">
        <f t="shared" si="440"/>
        <v/>
      </c>
      <c r="J920" s="1491" t="str">
        <f t="shared" si="440"/>
        <v/>
      </c>
      <c r="K920" s="1492" t="str">
        <f t="shared" si="440"/>
        <v/>
      </c>
      <c r="L920" s="1492" t="str">
        <f t="shared" si="440"/>
        <v/>
      </c>
      <c r="M920" s="1492" t="str">
        <f t="shared" si="440"/>
        <v/>
      </c>
      <c r="N920" s="1492" t="str">
        <f t="shared" si="440"/>
        <v/>
      </c>
      <c r="O920" s="481"/>
      <c r="P920" s="481"/>
      <c r="S920" s="1198" t="str">
        <f>IF(AND(SUM(S910:S919)&gt;0,G926=""),INDEX(H920:N920,MATCH($V796,T909:Z909,0))/INDEX(H897:N897,MATCH($V796,T909:Z909,0)),G926)</f>
        <v/>
      </c>
      <c r="AB920" s="1435"/>
      <c r="AO920" s="1121" t="b">
        <f t="shared" si="397"/>
        <v>0</v>
      </c>
    </row>
    <row r="921" spans="1:42" ht="12.75" customHeight="1">
      <c r="B921" s="1124"/>
      <c r="C921" s="485"/>
      <c r="D921" s="698"/>
      <c r="E921" s="948" t="s">
        <v>1723</v>
      </c>
      <c r="F921" s="1040" t="str">
        <f t="shared" si="430"/>
        <v>TJ</v>
      </c>
      <c r="G921" s="42" t="str">
        <f>IF(COUNT(I812,G920)=2,IF(I812=0,EUconst_NA,G920/I812),"")</f>
        <v/>
      </c>
      <c r="H921" s="43" t="str">
        <f t="shared" ref="H921:N921" si="441">IF(COUNT(H804,H920)=2,IF(H804=0,EUconst_NA,H920/H804),"")</f>
        <v/>
      </c>
      <c r="I921" s="44" t="str">
        <f t="shared" si="441"/>
        <v/>
      </c>
      <c r="J921" s="46" t="str">
        <f t="shared" si="441"/>
        <v/>
      </c>
      <c r="K921" s="27" t="str">
        <f t="shared" si="441"/>
        <v/>
      </c>
      <c r="L921" s="27" t="str">
        <f t="shared" si="441"/>
        <v/>
      </c>
      <c r="M921" s="27" t="str">
        <f t="shared" si="441"/>
        <v/>
      </c>
      <c r="N921" s="27" t="str">
        <f t="shared" si="441"/>
        <v/>
      </c>
      <c r="O921" s="481"/>
      <c r="P921" s="481"/>
      <c r="AB921" s="1435"/>
      <c r="AO921" s="1121" t="b">
        <f t="shared" si="397"/>
        <v>0</v>
      </c>
    </row>
    <row r="922" spans="1:42" ht="5.0999999999999996" customHeight="1">
      <c r="B922" s="1124"/>
      <c r="C922" s="467"/>
      <c r="D922" s="467"/>
      <c r="E922" s="467"/>
      <c r="F922" s="467"/>
      <c r="G922" s="467"/>
      <c r="H922" s="467"/>
      <c r="I922" s="467"/>
      <c r="J922" s="467"/>
      <c r="K922" s="467"/>
      <c r="L922" s="467"/>
      <c r="M922" s="467"/>
      <c r="N922" s="467"/>
      <c r="O922" s="481"/>
      <c r="P922" s="481"/>
      <c r="Z922" s="1435"/>
      <c r="AA922" s="1435"/>
      <c r="AB922" s="1435"/>
      <c r="AO922" s="1121" t="b">
        <f t="shared" si="397"/>
        <v>0</v>
      </c>
    </row>
    <row r="923" spans="1:42" ht="12.75" customHeight="1">
      <c r="B923" s="467"/>
      <c r="C923" s="482"/>
      <c r="D923" s="482" t="s">
        <v>1716</v>
      </c>
      <c r="E923" s="2373" t="s">
        <v>1819</v>
      </c>
      <c r="F923" s="2400"/>
      <c r="G923" s="2400"/>
      <c r="H923" s="2400"/>
      <c r="I923" s="2400"/>
      <c r="J923" s="2400"/>
      <c r="K923" s="2400"/>
      <c r="L923" s="2400"/>
      <c r="M923" s="2400"/>
      <c r="N923" s="2400"/>
      <c r="O923" s="481"/>
      <c r="P923" s="481"/>
      <c r="Q923" s="1249"/>
      <c r="AB923" s="1435"/>
      <c r="AO923" s="1121" t="b">
        <f t="shared" si="397"/>
        <v>0</v>
      </c>
    </row>
    <row r="924" spans="1:42" ht="12.75" customHeight="1">
      <c r="B924" s="1124"/>
      <c r="C924" s="467"/>
      <c r="D924" s="467"/>
      <c r="E924" s="2385" t="s">
        <v>1934</v>
      </c>
      <c r="F924" s="2846"/>
      <c r="G924" s="2846"/>
      <c r="H924" s="2846"/>
      <c r="I924" s="2846"/>
      <c r="J924" s="2846"/>
      <c r="K924" s="2846"/>
      <c r="L924" s="2846"/>
      <c r="M924" s="2846"/>
      <c r="N924" s="2846"/>
      <c r="O924" s="481"/>
      <c r="P924" s="481"/>
      <c r="Z924" s="1435"/>
      <c r="AA924" s="1435"/>
      <c r="AB924" s="1435"/>
      <c r="AO924" s="1121" t="b">
        <f t="shared" si="397"/>
        <v>0</v>
      </c>
    </row>
    <row r="925" spans="1:42" s="1911" customFormat="1" ht="12.75" customHeight="1">
      <c r="A925" s="1905"/>
      <c r="B925" s="1906"/>
      <c r="C925" s="481"/>
      <c r="D925" s="1028"/>
      <c r="E925" s="871"/>
      <c r="F925" s="1030" t="str">
        <f>EUconst_Unit</f>
        <v>Unit</v>
      </c>
      <c r="G925" s="1031" t="s">
        <v>2213</v>
      </c>
      <c r="H925" s="1033">
        <f t="shared" ref="H925:N925" si="442">H$1190</f>
        <v>2024</v>
      </c>
      <c r="I925" s="1031">
        <f t="shared" si="442"/>
        <v>2025</v>
      </c>
      <c r="J925" s="1952">
        <f t="shared" si="442"/>
        <v>2026</v>
      </c>
      <c r="K925" s="1953">
        <f t="shared" si="442"/>
        <v>2027</v>
      </c>
      <c r="L925" s="1953">
        <f t="shared" si="442"/>
        <v>2028</v>
      </c>
      <c r="M925" s="1953">
        <f t="shared" si="442"/>
        <v>2029</v>
      </c>
      <c r="N925" s="1953">
        <f t="shared" si="442"/>
        <v>2030</v>
      </c>
      <c r="O925" s="476"/>
      <c r="P925" s="481"/>
      <c r="Q925" s="1909"/>
      <c r="R925" s="1909"/>
      <c r="S925" s="1909"/>
      <c r="T925" s="1909"/>
      <c r="U925" s="1909"/>
      <c r="V925" s="1909"/>
      <c r="W925" s="1909"/>
      <c r="X925" s="1909"/>
      <c r="Y925" s="1909"/>
      <c r="Z925" s="1909"/>
      <c r="AA925" s="1954"/>
      <c r="AB925" s="1249"/>
      <c r="AC925" s="1909"/>
      <c r="AD925" s="1909"/>
      <c r="AE925" s="1909"/>
      <c r="AF925" s="1909"/>
      <c r="AG925" s="1909"/>
      <c r="AH925" s="1909"/>
      <c r="AI925" s="1909"/>
      <c r="AJ925" s="1909"/>
      <c r="AK925" s="1909"/>
      <c r="AL925" s="1909"/>
      <c r="AN925" s="1905"/>
      <c r="AO925" s="1121" t="b">
        <f t="shared" si="397"/>
        <v>0</v>
      </c>
      <c r="AP925" s="1912"/>
    </row>
    <row r="926" spans="1:42" ht="25.5" customHeight="1">
      <c r="B926" s="1124"/>
      <c r="C926" s="485"/>
      <c r="D926" s="561"/>
      <c r="E926" s="948" t="s">
        <v>1819</v>
      </c>
      <c r="F926" s="1041" t="str">
        <f>EUconst_TJ &amp; " / " &amp; IF(F897="",EUconst_Unit,F897)</f>
        <v>TJ / Unit</v>
      </c>
      <c r="G926" s="1042" t="str">
        <f>IF(AND(SUM(G920)&gt;0,V796&lt;=$H$1190),SUMPRODUCT(S910:S919,G910:G919)/G920,"")</f>
        <v/>
      </c>
      <c r="H926" s="1043" t="str">
        <f t="shared" ref="H926:N926" si="443">IF(SUM(H920)&gt;0,$S920*H920/SUM(T910:T919),"")</f>
        <v/>
      </c>
      <c r="I926" s="1044" t="str">
        <f t="shared" si="443"/>
        <v/>
      </c>
      <c r="J926" s="1955" t="str">
        <f t="shared" si="443"/>
        <v/>
      </c>
      <c r="K926" s="1956" t="str">
        <f t="shared" si="443"/>
        <v/>
      </c>
      <c r="L926" s="1956" t="str">
        <f t="shared" si="443"/>
        <v/>
      </c>
      <c r="M926" s="1956" t="str">
        <f t="shared" si="443"/>
        <v/>
      </c>
      <c r="N926" s="1956" t="str">
        <f t="shared" si="443"/>
        <v/>
      </c>
      <c r="O926" s="1136"/>
      <c r="P926" s="481"/>
      <c r="Q926" s="1644" t="str">
        <f>EUconst_CNTR_EnEff&amp;I796</f>
        <v>EnEff_Fuel benchmark sub-installation, non-CL</v>
      </c>
      <c r="AB926" s="1435"/>
      <c r="AE926" s="1198"/>
      <c r="AF926" s="1198"/>
      <c r="AG926" s="1198"/>
      <c r="AH926" s="1198"/>
      <c r="AI926" s="1198"/>
      <c r="AJ926" s="1198"/>
      <c r="AK926" s="1198"/>
      <c r="AL926" s="1198"/>
      <c r="AO926" s="1121" t="b">
        <f t="shared" si="397"/>
        <v>0</v>
      </c>
    </row>
    <row r="927" spans="1:42" ht="5.0999999999999996" customHeight="1" thickBot="1">
      <c r="B927" s="1124"/>
      <c r="C927" s="485"/>
      <c r="D927" s="485"/>
      <c r="E927" s="485"/>
      <c r="F927" s="485"/>
      <c r="G927" s="485"/>
      <c r="H927" s="485"/>
      <c r="I927" s="952"/>
      <c r="J927" s="485"/>
      <c r="K927" s="485"/>
      <c r="L927" s="485"/>
      <c r="M927" s="485"/>
      <c r="N927" s="485"/>
      <c r="O927" s="485"/>
      <c r="P927" s="481"/>
      <c r="Q927" s="1702"/>
      <c r="S927" s="1435"/>
      <c r="T927" s="1435"/>
      <c r="AB927" s="1435"/>
      <c r="AE927" s="1198"/>
      <c r="AF927" s="1198"/>
      <c r="AG927" s="1198"/>
      <c r="AH927" s="1198"/>
      <c r="AI927" s="1198"/>
      <c r="AJ927" s="1198"/>
      <c r="AK927" s="1198"/>
      <c r="AL927" s="1198"/>
      <c r="AO927" s="1121" t="b">
        <f t="shared" ref="AO927:AO980" si="444">$AD$796</f>
        <v>0</v>
      </c>
    </row>
    <row r="928" spans="1:42" ht="5.0999999999999996" customHeight="1" thickBot="1">
      <c r="B928" s="1124"/>
      <c r="C928" s="485"/>
      <c r="D928" s="902"/>
      <c r="E928" s="942"/>
      <c r="F928" s="942"/>
      <c r="G928" s="942"/>
      <c r="H928" s="942"/>
      <c r="I928" s="1045"/>
      <c r="J928" s="943"/>
      <c r="K928" s="1791"/>
      <c r="L928" s="1791"/>
      <c r="M928" s="1791"/>
      <c r="N928" s="1791"/>
      <c r="O928" s="485"/>
      <c r="P928" s="481"/>
      <c r="Q928" s="1702"/>
      <c r="S928" s="1435"/>
      <c r="T928" s="1435"/>
      <c r="AB928" s="1435"/>
      <c r="AE928" s="1198"/>
      <c r="AF928" s="1198"/>
      <c r="AG928" s="1198"/>
      <c r="AH928" s="1198"/>
      <c r="AI928" s="1198"/>
      <c r="AJ928" s="1198"/>
      <c r="AK928" s="1198"/>
      <c r="AL928" s="1198"/>
      <c r="AO928" s="1121" t="b">
        <f t="shared" si="444"/>
        <v>0</v>
      </c>
    </row>
    <row r="929" spans="2:41" ht="12.75" customHeight="1">
      <c r="B929" s="479"/>
      <c r="C929" s="485"/>
      <c r="D929" s="918"/>
      <c r="E929" s="908" t="s">
        <v>1777</v>
      </c>
      <c r="F929" s="909"/>
      <c r="G929" s="909"/>
      <c r="H929" s="910" t="str">
        <f>EUconst_Unit</f>
        <v>Unit</v>
      </c>
      <c r="I929" s="911" t="s">
        <v>1675</v>
      </c>
      <c r="J929" s="1647">
        <f>J$1190</f>
        <v>2026</v>
      </c>
      <c r="K929" s="1490">
        <f>K$1190</f>
        <v>2027</v>
      </c>
      <c r="L929" s="1490">
        <f>L$1190</f>
        <v>2028</v>
      </c>
      <c r="M929" s="1490">
        <f>M$1190</f>
        <v>2029</v>
      </c>
      <c r="N929" s="1490">
        <f>N$1190</f>
        <v>2030</v>
      </c>
      <c r="O929" s="485"/>
      <c r="P929" s="481"/>
      <c r="Q929" s="1435"/>
      <c r="U929" s="1648"/>
      <c r="V929" s="1649">
        <f>J929</f>
        <v>2026</v>
      </c>
      <c r="W929" s="1649">
        <f>K929</f>
        <v>2027</v>
      </c>
      <c r="X929" s="1649">
        <f>L929</f>
        <v>2028</v>
      </c>
      <c r="Y929" s="1649">
        <f>M929</f>
        <v>2029</v>
      </c>
      <c r="Z929" s="1650">
        <f>N929</f>
        <v>2030</v>
      </c>
      <c r="AB929" s="1435"/>
      <c r="AE929" s="1198"/>
      <c r="AF929" s="1198"/>
      <c r="AG929" s="1198"/>
      <c r="AH929" s="1198"/>
      <c r="AI929" s="1198"/>
      <c r="AO929" s="1121" t="b">
        <f t="shared" si="444"/>
        <v>0</v>
      </c>
    </row>
    <row r="930" spans="2:41" ht="12.75" customHeight="1">
      <c r="B930" s="479"/>
      <c r="C930" s="485"/>
      <c r="D930" s="915" t="s">
        <v>7</v>
      </c>
      <c r="E930" s="2735" t="s">
        <v>1818</v>
      </c>
      <c r="F930" s="2735"/>
      <c r="G930" s="2735"/>
      <c r="H930" s="1048" t="str">
        <f>F926</f>
        <v>TJ / Unit</v>
      </c>
      <c r="I930" s="1049" t="str">
        <f>IF(M796&lt;&gt;EUconst_Relevant,"",IF(V796&gt;($J$1190-3),INDEX(H926:N926,MATCH($V796,H925:N925,0)),G926))</f>
        <v/>
      </c>
      <c r="J930" s="1691" t="str">
        <f>IF(AND(V930&gt;=3,COUNT(H926:I926)=2),IF(CNTR_ReportingYear&gt;J925-1,AVERAGE(H926:I926),""),"")</f>
        <v/>
      </c>
      <c r="K930" s="1794" t="str">
        <f>IF(AND(W930&gt;=3,COUNT(I926:J926)=2),IF(CNTR_ReportingYear&gt;K925-1,AVERAGE(I926:J926),""),"")</f>
        <v/>
      </c>
      <c r="L930" s="1794" t="str">
        <f>IF(AND(X930&gt;=3,COUNT(J926:K926)=2),IF(CNTR_ReportingYear&gt;L925-1,AVERAGE(J926:K926),""),"")</f>
        <v/>
      </c>
      <c r="M930" s="1794" t="str">
        <f>IF(AND(Y930&gt;=3,COUNT(K926:L926)=2),IF(CNTR_ReportingYear&gt;M925-1,AVERAGE(K926:L926),""),"")</f>
        <v/>
      </c>
      <c r="N930" s="1794" t="str">
        <f>IF(AND(Z930&gt;=3,COUNT(L926:M926)=2),IF(CNTR_ReportingYear&gt;N925-1,AVERAGE(L926:M926),""),"")</f>
        <v/>
      </c>
      <c r="O930" s="485"/>
      <c r="P930" s="481"/>
      <c r="Q930" s="1704" t="str">
        <f>EUconst_CNTR_EnEffInitial &amp; I796</f>
        <v>EnEffIni_Fuel benchmark sub-installation, non-CL</v>
      </c>
      <c r="U930" s="1693" t="s">
        <v>1650</v>
      </c>
      <c r="V930" s="1251">
        <f>V812</f>
        <v>0</v>
      </c>
      <c r="W930" s="1251">
        <f>W812</f>
        <v>0</v>
      </c>
      <c r="X930" s="1251">
        <f>X812</f>
        <v>0</v>
      </c>
      <c r="Y930" s="1251">
        <f>Y812</f>
        <v>0</v>
      </c>
      <c r="Z930" s="1896">
        <f>Z812</f>
        <v>0</v>
      </c>
      <c r="AB930" s="1435"/>
      <c r="AE930" s="1198"/>
      <c r="AF930" s="1198"/>
      <c r="AG930" s="1198"/>
      <c r="AH930" s="1198"/>
      <c r="AI930" s="1198"/>
      <c r="AO930" s="1121" t="b">
        <f t="shared" si="444"/>
        <v>0</v>
      </c>
    </row>
    <row r="931" spans="2:41" ht="12.75" customHeight="1">
      <c r="B931" s="479"/>
      <c r="C931" s="485"/>
      <c r="D931" s="915" t="s">
        <v>8</v>
      </c>
      <c r="E931" s="2735" t="s">
        <v>1928</v>
      </c>
      <c r="F931" s="2736"/>
      <c r="G931" s="2736"/>
      <c r="H931" s="2736"/>
      <c r="I931" s="2737"/>
      <c r="J931" s="17" t="str">
        <f>IF(J930="","",IF(SUM($I930)=0,IF(J930=0,0%,100%),1-J930/$I930))</f>
        <v/>
      </c>
      <c r="K931" s="22" t="str">
        <f>IF(K930="","",IF(SUM($I930)=0,IF(K930=0,0%,100%),1-K930/$I930))</f>
        <v/>
      </c>
      <c r="L931" s="22" t="str">
        <f>IF(L930="","",IF(SUM($I930)=0,IF(L930=0,0%,100%),1-L930/$I930))</f>
        <v/>
      </c>
      <c r="M931" s="22" t="str">
        <f>IF(M930="","",IF(SUM($I930)=0,IF(M930=0,0%,100%),1-M930/$I930))</f>
        <v/>
      </c>
      <c r="N931" s="22" t="str">
        <f>IF(N930="","",IF(SUM($I930)=0,IF(N930=0,0%,100%),1-N930/$I930))</f>
        <v/>
      </c>
      <c r="O931" s="485"/>
      <c r="P931" s="481"/>
      <c r="Q931" s="1644" t="str">
        <f>EUconst_CNTR_EnEffPct&amp;I796</f>
        <v>EnEffPct_Fuel benchmark sub-installation, non-CL</v>
      </c>
      <c r="U931" s="1693" t="s">
        <v>1655</v>
      </c>
      <c r="V931" s="1158" t="str">
        <f>IF(J930="","",J931&gt;15%)</f>
        <v/>
      </c>
      <c r="W931" s="1158" t="str">
        <f>IF(K930="","",K931&gt;15%)</f>
        <v/>
      </c>
      <c r="X931" s="1158" t="str">
        <f>IF(L930="","",L931&gt;15%)</f>
        <v/>
      </c>
      <c r="Y931" s="1158" t="str">
        <f>IF(M930="","",M931&gt;15%)</f>
        <v/>
      </c>
      <c r="Z931" s="1656" t="str">
        <f>IF(N930="","",N931&gt;15%)</f>
        <v/>
      </c>
      <c r="AB931" s="1435"/>
      <c r="AE931" s="1198"/>
      <c r="AF931" s="1198"/>
      <c r="AG931" s="1198"/>
      <c r="AH931" s="1198"/>
      <c r="AI931" s="1198"/>
      <c r="AO931" s="1121" t="b">
        <f t="shared" si="444"/>
        <v>0</v>
      </c>
    </row>
    <row r="932" spans="2:41" ht="5.0999999999999996" customHeight="1">
      <c r="B932" s="479"/>
      <c r="C932" s="485"/>
      <c r="D932" s="918"/>
      <c r="E932" s="909"/>
      <c r="F932" s="909"/>
      <c r="G932" s="909"/>
      <c r="H932" s="909"/>
      <c r="I932" s="909"/>
      <c r="J932" s="922"/>
      <c r="K932" s="1791"/>
      <c r="L932" s="1791"/>
      <c r="M932" s="1791"/>
      <c r="N932" s="1791"/>
      <c r="O932" s="485"/>
      <c r="P932" s="481"/>
      <c r="Q932" s="1435"/>
      <c r="U932" s="1663"/>
      <c r="V932" s="1137"/>
      <c r="W932" s="1137"/>
      <c r="X932" s="1137"/>
      <c r="Y932" s="1137"/>
      <c r="Z932" s="1957"/>
      <c r="AB932" s="1435"/>
      <c r="AO932" s="1121" t="b">
        <f t="shared" si="444"/>
        <v>0</v>
      </c>
    </row>
    <row r="933" spans="2:41" ht="12.75" customHeight="1">
      <c r="B933" s="479"/>
      <c r="C933" s="485"/>
      <c r="D933" s="907" t="s">
        <v>1778</v>
      </c>
      <c r="E933" s="3410" t="s">
        <v>1945</v>
      </c>
      <c r="F933" s="3410"/>
      <c r="G933" s="3410"/>
      <c r="H933" s="3410"/>
      <c r="I933" s="3410"/>
      <c r="J933" s="3411"/>
      <c r="K933" s="1798"/>
      <c r="L933" s="1798"/>
      <c r="M933" s="1798"/>
      <c r="N933" s="1798"/>
      <c r="O933" s="485"/>
      <c r="P933" s="481"/>
      <c r="Q933" s="1435"/>
      <c r="U933" s="1663"/>
      <c r="V933" s="1435"/>
      <c r="Z933" s="1664"/>
      <c r="AB933" s="1435"/>
      <c r="AO933" s="1121" t="b">
        <f t="shared" si="444"/>
        <v>0</v>
      </c>
    </row>
    <row r="934" spans="2:41" ht="12.75" customHeight="1">
      <c r="B934" s="479"/>
      <c r="C934" s="485"/>
      <c r="D934" s="918"/>
      <c r="E934" s="923" t="s">
        <v>1946</v>
      </c>
      <c r="F934" s="923"/>
      <c r="G934" s="923"/>
      <c r="H934" s="923"/>
      <c r="I934" s="923"/>
      <c r="J934" s="1647">
        <f>J$1190</f>
        <v>2026</v>
      </c>
      <c r="K934" s="1490">
        <f>K$1190</f>
        <v>2027</v>
      </c>
      <c r="L934" s="1490">
        <f>L$1190</f>
        <v>2028</v>
      </c>
      <c r="M934" s="1490">
        <f>M$1190</f>
        <v>2029</v>
      </c>
      <c r="N934" s="1490">
        <f>N$1190</f>
        <v>2030</v>
      </c>
      <c r="O934" s="485"/>
      <c r="P934" s="481"/>
      <c r="Q934" s="1435"/>
      <c r="U934" s="1663"/>
      <c r="Z934" s="1664"/>
      <c r="AB934" s="1435"/>
      <c r="AO934" s="1121" t="b">
        <f t="shared" si="444"/>
        <v>0</v>
      </c>
    </row>
    <row r="935" spans="2:41" ht="12.75" customHeight="1">
      <c r="B935" s="479"/>
      <c r="C935" s="485"/>
      <c r="D935" s="918"/>
      <c r="E935" s="1047" t="s">
        <v>2108</v>
      </c>
      <c r="F935" s="2735"/>
      <c r="G935" s="2735"/>
      <c r="H935" s="2735"/>
      <c r="I935" s="2735"/>
      <c r="J935" s="1666" t="str">
        <f>IF($M796&lt;&gt;EUconst_Relevant,"",INDEX(K_Summary!J:J,MATCH($Q935,K_Summary!$P:$P,0)))</f>
        <v/>
      </c>
      <c r="K935" s="1791" t="str">
        <f>IF($M796&lt;&gt;EUconst_Relevant,"",INDEX(K_Summary!K:K,MATCH($Q935,K_Summary!$P:$P,0)))</f>
        <v/>
      </c>
      <c r="L935" s="1791" t="str">
        <f>IF($M796&lt;&gt;EUconst_Relevant,"",INDEX(K_Summary!L:L,MATCH($Q935,K_Summary!$P:$P,0)))</f>
        <v/>
      </c>
      <c r="M935" s="1791" t="str">
        <f>IF($M796&lt;&gt;EUconst_Relevant,"",INDEX(K_Summary!M:M,MATCH($Q935,K_Summary!$P:$P,0)))</f>
        <v/>
      </c>
      <c r="N935" s="1791" t="str">
        <f>IF($M796&lt;&gt;EUconst_Relevant,"",INDEX(K_Summary!N:N,MATCH($Q935,K_Summary!$P:$P,0)))</f>
        <v/>
      </c>
      <c r="O935" s="485"/>
      <c r="P935" s="481"/>
      <c r="Q935" s="1644" t="str">
        <f>EUconst_CNTR_100EUA_ActivityLevel&amp;I796</f>
        <v>EUA100AL_Fuel benchmark sub-installation, non-CL</v>
      </c>
      <c r="U935" s="1663"/>
      <c r="Z935" s="1664"/>
      <c r="AB935" s="1435"/>
      <c r="AO935" s="1121" t="b">
        <f t="shared" si="444"/>
        <v>0</v>
      </c>
    </row>
    <row r="936" spans="2:41" ht="5.0999999999999996" customHeight="1">
      <c r="B936" s="479"/>
      <c r="C936" s="485"/>
      <c r="D936" s="918"/>
      <c r="E936" s="909"/>
      <c r="F936" s="909"/>
      <c r="G936" s="909"/>
      <c r="H936" s="909"/>
      <c r="I936" s="909"/>
      <c r="J936" s="922"/>
      <c r="K936" s="1791"/>
      <c r="L936" s="1791"/>
      <c r="M936" s="1791"/>
      <c r="N936" s="1791"/>
      <c r="O936" s="485"/>
      <c r="P936" s="481"/>
      <c r="Q936" s="1435"/>
      <c r="U936" s="1663"/>
      <c r="V936" s="1435"/>
      <c r="Z936" s="1664"/>
      <c r="AB936" s="1435"/>
      <c r="AO936" s="1121" t="b">
        <f t="shared" si="444"/>
        <v>0</v>
      </c>
    </row>
    <row r="937" spans="2:41" ht="12.75" customHeight="1">
      <c r="B937" s="479"/>
      <c r="C937" s="485"/>
      <c r="D937" s="907" t="s">
        <v>1779</v>
      </c>
      <c r="E937" s="3410" t="s">
        <v>1660</v>
      </c>
      <c r="F937" s="3410"/>
      <c r="G937" s="3410"/>
      <c r="H937" s="3410"/>
      <c r="I937" s="3410"/>
      <c r="J937" s="3411"/>
      <c r="K937" s="1798"/>
      <c r="L937" s="1798"/>
      <c r="M937" s="1798"/>
      <c r="N937" s="1798"/>
      <c r="O937" s="485"/>
      <c r="P937" s="481"/>
      <c r="Q937" s="1435"/>
      <c r="U937" s="1663"/>
      <c r="V937" s="1435"/>
      <c r="Z937" s="1664"/>
      <c r="AB937" s="1435"/>
      <c r="AO937" s="1121" t="b">
        <f t="shared" si="444"/>
        <v>0</v>
      </c>
    </row>
    <row r="938" spans="2:41" ht="12.75" customHeight="1">
      <c r="B938" s="479"/>
      <c r="C938" s="485"/>
      <c r="D938" s="918"/>
      <c r="E938" s="923" t="s">
        <v>1653</v>
      </c>
      <c r="F938" s="923"/>
      <c r="G938" s="923"/>
      <c r="H938" s="923"/>
      <c r="I938" s="923"/>
      <c r="J938" s="1647">
        <f>J$1190</f>
        <v>2026</v>
      </c>
      <c r="K938" s="1490">
        <f>K$1190</f>
        <v>2027</v>
      </c>
      <c r="L938" s="1490">
        <f>L$1190</f>
        <v>2028</v>
      </c>
      <c r="M938" s="1490">
        <f>M$1190</f>
        <v>2029</v>
      </c>
      <c r="N938" s="1490">
        <f>N$1190</f>
        <v>2030</v>
      </c>
      <c r="O938" s="485"/>
      <c r="P938" s="481"/>
      <c r="Q938" s="1435"/>
      <c r="U938" s="1665"/>
      <c r="Z938" s="1664"/>
      <c r="AB938" s="1435"/>
      <c r="AO938" s="1121" t="b">
        <f t="shared" si="444"/>
        <v>0</v>
      </c>
    </row>
    <row r="939" spans="2:41" ht="12.75" customHeight="1">
      <c r="B939" s="479"/>
      <c r="C939" s="485"/>
      <c r="D939" s="915" t="s">
        <v>6</v>
      </c>
      <c r="E939" s="2735" t="s">
        <v>2243</v>
      </c>
      <c r="F939" s="2735"/>
      <c r="G939" s="2735"/>
      <c r="H939" s="2735"/>
      <c r="I939" s="2741"/>
      <c r="J939" s="1666" t="str">
        <f>IF($M796&lt;&gt;EUconst_Relevant,"",AND(J935,OR(AND(SUM(J813)&lt;-15%,SUM(J931)&gt;15%),AND(SUM(J813)&gt;15%,SUM(J931&lt;-15%)))))</f>
        <v/>
      </c>
      <c r="K939" s="1791" t="str">
        <f>IF($M796&lt;&gt;EUconst_Relevant,"",AND(K935,OR(AND(SUM(K813)&lt;-15%,SUM(K931)&gt;15%),AND(SUM(K813)&gt;15%,SUM(K931&lt;-15%)))))</f>
        <v/>
      </c>
      <c r="L939" s="1791" t="str">
        <f>IF($M796&lt;&gt;EUconst_Relevant,"",AND(L935,OR(AND(SUM(L813)&lt;-15%,SUM(L931)&gt;15%),AND(SUM(L813)&gt;15%,SUM(L931&lt;-15%)))))</f>
        <v/>
      </c>
      <c r="M939" s="1791" t="str">
        <f>IF($M796&lt;&gt;EUconst_Relevant,"",AND(M935,OR(AND(SUM(M813)&lt;-15%,SUM(M931)&gt;15%),AND(SUM(M813)&gt;15%,SUM(M931&lt;-15%)))))</f>
        <v/>
      </c>
      <c r="N939" s="1791" t="str">
        <f>IF($M796&lt;&gt;EUconst_Relevant,"",AND(N935,OR(AND(SUM(N813)&lt;-15%,SUM(N931)&gt;15%),AND(SUM(N813)&gt;15%,SUM(N931&lt;-15%)))))</f>
        <v/>
      </c>
      <c r="O939" s="485"/>
      <c r="P939" s="481"/>
      <c r="Q939" s="1644" t="str">
        <f>EUconst_CNTR_CARejectionRelevant&amp;I796</f>
        <v>CARejectRel_Fuel benchmark sub-installation, non-CL</v>
      </c>
      <c r="U939" s="1663"/>
      <c r="V939" s="1435"/>
      <c r="Z939" s="1664"/>
      <c r="AB939" s="1435"/>
      <c r="AO939" s="1121" t="b">
        <f t="shared" si="444"/>
        <v>0</v>
      </c>
    </row>
    <row r="940" spans="2:41" ht="25.5" customHeight="1">
      <c r="B940" s="1124"/>
      <c r="C940" s="485"/>
      <c r="D940" s="1050"/>
      <c r="E940" s="3404" t="s">
        <v>2244</v>
      </c>
      <c r="F940" s="3404"/>
      <c r="G940" s="3404"/>
      <c r="H940" s="3404"/>
      <c r="I940" s="3404"/>
      <c r="J940" s="3405"/>
      <c r="K940" s="1798"/>
      <c r="L940" s="1798"/>
      <c r="M940" s="1798"/>
      <c r="N940" s="1798"/>
      <c r="O940" s="485"/>
      <c r="P940" s="481"/>
      <c r="U940" s="1663"/>
      <c r="Z940" s="1664"/>
      <c r="AA940" s="1435"/>
      <c r="AB940" s="1435"/>
      <c r="AO940" s="1121" t="b">
        <f t="shared" si="444"/>
        <v>0</v>
      </c>
    </row>
    <row r="941" spans="2:41" ht="12.75" customHeight="1">
      <c r="B941" s="1124"/>
      <c r="C941" s="485"/>
      <c r="D941" s="1050"/>
      <c r="E941" s="3395" t="s">
        <v>1848</v>
      </c>
      <c r="F941" s="3395"/>
      <c r="G941" s="3395"/>
      <c r="H941" s="3395"/>
      <c r="I941" s="3395"/>
      <c r="J941" s="3396"/>
      <c r="K941" s="1798"/>
      <c r="L941" s="1798"/>
      <c r="M941" s="1798"/>
      <c r="N941" s="1798"/>
      <c r="O941" s="485"/>
      <c r="P941" s="481"/>
      <c r="U941" s="1663"/>
      <c r="Z941" s="1664"/>
      <c r="AA941" s="1435"/>
      <c r="AB941" s="1435"/>
      <c r="AO941" s="1121" t="b">
        <f t="shared" si="444"/>
        <v>0</v>
      </c>
    </row>
    <row r="942" spans="2:41" ht="5.0999999999999996" customHeight="1">
      <c r="B942" s="479"/>
      <c r="C942" s="485"/>
      <c r="D942" s="915"/>
      <c r="E942" s="909"/>
      <c r="F942" s="909"/>
      <c r="G942" s="909"/>
      <c r="H942" s="909"/>
      <c r="I942" s="909"/>
      <c r="J942" s="922"/>
      <c r="K942" s="1791"/>
      <c r="L942" s="1791"/>
      <c r="M942" s="1791"/>
      <c r="N942" s="1791"/>
      <c r="O942" s="485"/>
      <c r="P942" s="481"/>
      <c r="Q942" s="1435"/>
      <c r="U942" s="1663"/>
      <c r="V942" s="1435"/>
      <c r="Z942" s="1664"/>
      <c r="AB942" s="1435"/>
      <c r="AO942" s="1121" t="b">
        <f t="shared" si="444"/>
        <v>0</v>
      </c>
    </row>
    <row r="943" spans="2:41" ht="12.75" customHeight="1">
      <c r="B943" s="479"/>
      <c r="C943" s="485"/>
      <c r="D943" s="915" t="s">
        <v>7</v>
      </c>
      <c r="E943" s="2735" t="s">
        <v>2245</v>
      </c>
      <c r="F943" s="2736"/>
      <c r="G943" s="2736"/>
      <c r="H943" s="2736"/>
      <c r="I943" s="2737"/>
      <c r="J943" s="45" t="b">
        <v>0</v>
      </c>
      <c r="K943" s="1958" t="b">
        <v>0</v>
      </c>
      <c r="L943" s="1958" t="b">
        <v>0</v>
      </c>
      <c r="M943" s="1958" t="b">
        <v>0</v>
      </c>
      <c r="N943" s="1958" t="b">
        <v>0</v>
      </c>
      <c r="O943" s="485"/>
      <c r="P943" s="9"/>
      <c r="Q943" s="1644" t="str">
        <f>EUconst_CNTR_CARejection &amp; I796</f>
        <v>CAReject_Fuel benchmark sub-installation, non-CL</v>
      </c>
      <c r="U943" s="1663"/>
      <c r="V943" s="1435"/>
      <c r="Z943" s="1664"/>
      <c r="AD943" s="1435" t="s">
        <v>1117</v>
      </c>
      <c r="AE943" s="1995" t="b">
        <f>AND($M796=EUconst_Relevant,J939=FALSE)</f>
        <v>0</v>
      </c>
      <c r="AF943" s="1644" t="b">
        <f>AND($M796=EUconst_Relevant,K939=FALSE)</f>
        <v>0</v>
      </c>
      <c r="AG943" s="1644" t="b">
        <f>AND($M796=EUconst_Relevant,L939=FALSE)</f>
        <v>0</v>
      </c>
      <c r="AH943" s="1644" t="b">
        <f>AND($M796=EUconst_Relevant,M939=FALSE)</f>
        <v>0</v>
      </c>
      <c r="AI943" s="1644" t="b">
        <f>AND($M796=EUconst_Relevant,N939=FALSE)</f>
        <v>0</v>
      </c>
      <c r="AO943" s="1121" t="b">
        <f t="shared" si="444"/>
        <v>0</v>
      </c>
    </row>
    <row r="944" spans="2:41" ht="12.75" customHeight="1">
      <c r="B944" s="1124"/>
      <c r="C944" s="485"/>
      <c r="D944" s="1050"/>
      <c r="E944" s="3406" t="s">
        <v>2246</v>
      </c>
      <c r="F944" s="3406"/>
      <c r="G944" s="3406"/>
      <c r="H944" s="3406"/>
      <c r="I944" s="3406"/>
      <c r="J944" s="3407"/>
      <c r="K944" s="1153"/>
      <c r="L944" s="1153"/>
      <c r="M944" s="1153"/>
      <c r="N944" s="1153"/>
      <c r="O944" s="485"/>
      <c r="P944" s="481"/>
      <c r="U944" s="1663"/>
      <c r="Z944" s="1664"/>
      <c r="AA944" s="1435"/>
      <c r="AB944" s="1435"/>
      <c r="AO944" s="1121" t="b">
        <f t="shared" si="444"/>
        <v>0</v>
      </c>
    </row>
    <row r="945" spans="2:41" ht="12.75" customHeight="1">
      <c r="B945" s="1124"/>
      <c r="C945" s="485"/>
      <c r="D945" s="1050"/>
      <c r="E945" s="3395" t="s">
        <v>2334</v>
      </c>
      <c r="F945" s="3395"/>
      <c r="G945" s="3395"/>
      <c r="H945" s="3395"/>
      <c r="I945" s="3395"/>
      <c r="J945" s="3396"/>
      <c r="K945" s="1798"/>
      <c r="L945" s="1798"/>
      <c r="M945" s="1798"/>
      <c r="N945" s="1798"/>
      <c r="O945" s="485"/>
      <c r="P945" s="481"/>
      <c r="U945" s="1663"/>
      <c r="Z945" s="1664"/>
      <c r="AA945" s="1435"/>
      <c r="AB945" s="1435"/>
      <c r="AO945" s="1121" t="b">
        <f t="shared" si="444"/>
        <v>0</v>
      </c>
    </row>
    <row r="946" spans="2:41" ht="25.5" customHeight="1">
      <c r="B946" s="1124"/>
      <c r="C946" s="485"/>
      <c r="D946" s="1050"/>
      <c r="E946" s="3395" t="s">
        <v>2248</v>
      </c>
      <c r="F946" s="3395"/>
      <c r="G946" s="3395"/>
      <c r="H946" s="3395"/>
      <c r="I946" s="3395"/>
      <c r="J946" s="3396"/>
      <c r="K946" s="1798"/>
      <c r="L946" s="1798"/>
      <c r="M946" s="1798"/>
      <c r="N946" s="1798"/>
      <c r="O946" s="485"/>
      <c r="P946" s="481"/>
      <c r="U946" s="1663"/>
      <c r="Z946" s="1664"/>
      <c r="AA946" s="1435"/>
      <c r="AB946" s="1435"/>
      <c r="AO946" s="1121" t="b">
        <f t="shared" si="444"/>
        <v>0</v>
      </c>
    </row>
    <row r="947" spans="2:41" ht="5.0999999999999996" customHeight="1">
      <c r="B947" s="479"/>
      <c r="C947" s="485"/>
      <c r="D947" s="918"/>
      <c r="E947" s="909"/>
      <c r="F947" s="909"/>
      <c r="G947" s="909"/>
      <c r="H947" s="909"/>
      <c r="I947" s="909"/>
      <c r="J947" s="922"/>
      <c r="K947" s="1791"/>
      <c r="L947" s="1791"/>
      <c r="M947" s="1791"/>
      <c r="N947" s="1791"/>
      <c r="O947" s="485"/>
      <c r="P947" s="481"/>
      <c r="Q947" s="1435"/>
      <c r="U947" s="1663"/>
      <c r="V947" s="1435"/>
      <c r="Z947" s="1664"/>
      <c r="AB947" s="1435"/>
      <c r="AO947" s="1121" t="b">
        <f t="shared" si="444"/>
        <v>0</v>
      </c>
    </row>
    <row r="948" spans="2:41" ht="12.75" customHeight="1">
      <c r="B948" s="479"/>
      <c r="C948" s="485"/>
      <c r="D948" s="907" t="s">
        <v>1883</v>
      </c>
      <c r="E948" s="3410" t="s">
        <v>1660</v>
      </c>
      <c r="F948" s="3410"/>
      <c r="G948" s="3410"/>
      <c r="H948" s="3410"/>
      <c r="I948" s="3410"/>
      <c r="J948" s="3411"/>
      <c r="K948" s="1798"/>
      <c r="L948" s="1798"/>
      <c r="M948" s="1798"/>
      <c r="N948" s="1798"/>
      <c r="O948" s="485"/>
      <c r="P948" s="481"/>
      <c r="Q948" s="1435"/>
      <c r="U948" s="1663"/>
      <c r="V948" s="1435"/>
      <c r="Z948" s="1664"/>
      <c r="AB948" s="1435"/>
      <c r="AO948" s="1121" t="b">
        <f t="shared" si="444"/>
        <v>0</v>
      </c>
    </row>
    <row r="949" spans="2:41" ht="12.75" customHeight="1" thickBot="1">
      <c r="B949" s="1124"/>
      <c r="C949" s="485"/>
      <c r="D949" s="1050"/>
      <c r="E949" s="3395" t="s">
        <v>2249</v>
      </c>
      <c r="F949" s="3395"/>
      <c r="G949" s="3395"/>
      <c r="H949" s="3395"/>
      <c r="I949" s="3395"/>
      <c r="J949" s="3396"/>
      <c r="K949" s="1798"/>
      <c r="L949" s="1798"/>
      <c r="M949" s="1798"/>
      <c r="N949" s="1798"/>
      <c r="O949" s="481"/>
      <c r="P949" s="481"/>
      <c r="U949" s="1663"/>
      <c r="Z949" s="1664"/>
      <c r="AA949" s="1435"/>
      <c r="AB949" s="1435"/>
      <c r="AO949" s="1121" t="b">
        <f t="shared" si="444"/>
        <v>0</v>
      </c>
    </row>
    <row r="950" spans="2:41" ht="12.75" customHeight="1" thickBot="1">
      <c r="B950" s="479"/>
      <c r="C950" s="485"/>
      <c r="D950" s="915"/>
      <c r="E950" s="2735" t="s">
        <v>1657</v>
      </c>
      <c r="F950" s="2735"/>
      <c r="G950" s="2735"/>
      <c r="H950" s="2735"/>
      <c r="I950" s="1051"/>
      <c r="J950" s="1668" t="str">
        <f>IF(J935="","",IF(J938&gt;$Z796,-100%,IF(OR(AND(J935,J939=FALSE),AND(J939,J943=FALSE),V930&lt;1),J814,IF(J943=TRUE,0%,I950))))</f>
        <v/>
      </c>
      <c r="K950" s="1796" t="str">
        <f>IF(K935="","",IF(K938&gt;$Z796,-100%,IF(OR(AND(K935,K939=FALSE),AND(K939,K943=FALSE),W930&lt;1),K814,IF(K943=TRUE,0%,J950))))</f>
        <v/>
      </c>
      <c r="L950" s="1796" t="str">
        <f>IF(L935="","",IF(L938&gt;$Z796,-100%,IF(OR(AND(L935,L939=FALSE),AND(L939,L943=FALSE),X930&lt;1),L814,IF(L943=TRUE,0%,K950))))</f>
        <v/>
      </c>
      <c r="M950" s="1796" t="str">
        <f>IF(M935="","",IF(M938&gt;$Z796,-100%,IF(OR(AND(M935,M939=FALSE),AND(M939,M943=FALSE),Y930&lt;1),M814,IF(M943=TRUE,0%,L950))))</f>
        <v/>
      </c>
      <c r="N950" s="1796" t="str">
        <f>IF(N935="","",IF(N938&gt;$Z796,-100%,IF(OR(AND(N935,N939=FALSE),AND(N939,N943=FALSE),Z930&lt;1),N814,IF(N943=TRUE,0%,M950))))</f>
        <v/>
      </c>
      <c r="O950" s="485"/>
      <c r="P950" s="481"/>
      <c r="Q950" s="1644" t="str">
        <f>EUconst_CNTR_HALAdjPct &amp; I796</f>
        <v>HALAdjPct_Fuel benchmark sub-installation, non-CL</v>
      </c>
      <c r="U950" s="1663" t="s">
        <v>1658</v>
      </c>
      <c r="V950" s="1670">
        <f>J934</f>
        <v>2026</v>
      </c>
      <c r="W950" s="1670">
        <f>K934</f>
        <v>2027</v>
      </c>
      <c r="X950" s="1670">
        <f>L934</f>
        <v>2028</v>
      </c>
      <c r="Y950" s="1670">
        <f>M934</f>
        <v>2029</v>
      </c>
      <c r="Z950" s="1671">
        <f>N934</f>
        <v>2030</v>
      </c>
      <c r="AB950" s="1435"/>
      <c r="AO950" s="1121" t="b">
        <f t="shared" si="444"/>
        <v>0</v>
      </c>
    </row>
    <row r="951" spans="2:41" ht="12.75" customHeight="1" thickBot="1">
      <c r="B951" s="479"/>
      <c r="C951" s="485"/>
      <c r="D951" s="918"/>
      <c r="E951" s="2735" t="s">
        <v>1649</v>
      </c>
      <c r="F951" s="2736"/>
      <c r="G951" s="2736"/>
      <c r="H951" s="639" t="str">
        <f>H812</f>
        <v>TJ</v>
      </c>
      <c r="I951" s="800" t="str">
        <f>I815</f>
        <v/>
      </c>
      <c r="J951" s="1959" t="str">
        <f>IF($M796&lt;&gt;EUconst_Relevant,"",IF(OR(J950="",$I951=0,$I951=EUconst_NA),IF(OR(J935=TRUE,J938&lt;=$V796),J815,SUM(I951)),$I951*(1+SUM(J950))))</f>
        <v/>
      </c>
      <c r="K951" s="1960" t="str">
        <f>IF($M796&lt;&gt;EUconst_Relevant,"",IF(OR(K950="",$I951=0,$I951=EUconst_NA),IF(OR(K935=TRUE,K938&lt;=$V796),K815,SUM(J951)),$I951*(1+SUM(K950))))</f>
        <v/>
      </c>
      <c r="L951" s="1960" t="str">
        <f>IF($M796&lt;&gt;EUconst_Relevant,"",IF(OR(L950="",$I951=0,$I951=EUconst_NA),IF(OR(L935=TRUE,L938&lt;=$V796),L815,SUM(K951)),$I951*(1+SUM(L950))))</f>
        <v/>
      </c>
      <c r="M951" s="1960" t="str">
        <f>IF($M796&lt;&gt;EUconst_Relevant,"",IF(OR(M950="",$I951=0,$I951=EUconst_NA),IF(OR(M935=TRUE,M938&lt;=$V796),M815,SUM(L951)),$I951*(1+SUM(M950))))</f>
        <v/>
      </c>
      <c r="N951" s="1960" t="str">
        <f>IF($M796&lt;&gt;EUconst_Relevant,"",IF(OR(N950="",$I951=0,$I951=EUconst_NA),IF(OR(N935=TRUE,N938&lt;=$V796),N815,SUM(M951)),$I951*(1+SUM(N950))))</f>
        <v/>
      </c>
      <c r="O951" s="485"/>
      <c r="P951" s="481"/>
      <c r="Q951" s="1644" t="str">
        <f>EUconst_CNTR_HALfinal&amp;I796</f>
        <v>HALfinal_Fuel benchmark sub-installation, non-CL</v>
      </c>
      <c r="U951" s="1961" t="b">
        <v>0</v>
      </c>
      <c r="V951" s="1675" t="b">
        <f>IF(J935=TRUE,V813,U951)</f>
        <v>0</v>
      </c>
      <c r="W951" s="1675" t="b">
        <f>IF(K935=TRUE,W813,V951)</f>
        <v>0</v>
      </c>
      <c r="X951" s="1675" t="b">
        <f>IF(L935=TRUE,X813,W951)</f>
        <v>0</v>
      </c>
      <c r="Y951" s="1675" t="b">
        <f>IF(M935=TRUE,Y813,X951)</f>
        <v>0</v>
      </c>
      <c r="Z951" s="1676" t="b">
        <f>IF(N935=TRUE,Z813,Y951)</f>
        <v>0</v>
      </c>
      <c r="AA951" s="1633" t="s">
        <v>1951</v>
      </c>
      <c r="AB951" s="1443" t="str">
        <f>IF(OR(ISERROR(J951),ISERROR(K951),ISERROR(L951),ISERROR(M951),ISERROR(N951)),EUconst_Error&amp;"FB"&amp; Q796,"")</f>
        <v/>
      </c>
      <c r="AO951" s="1121" t="b">
        <f t="shared" si="444"/>
        <v>0</v>
      </c>
    </row>
    <row r="952" spans="2:41" ht="5.0999999999999996" customHeight="1" thickBot="1">
      <c r="B952" s="1124"/>
      <c r="C952" s="485"/>
      <c r="D952" s="924"/>
      <c r="E952" s="925"/>
      <c r="F952" s="925"/>
      <c r="G952" s="925"/>
      <c r="H952" s="925"/>
      <c r="I952" s="925"/>
      <c r="J952" s="926"/>
      <c r="K952" s="1791"/>
      <c r="L952" s="1791"/>
      <c r="M952" s="1791"/>
      <c r="N952" s="1791"/>
      <c r="O952" s="481"/>
      <c r="P952" s="481"/>
      <c r="AB952" s="1435"/>
      <c r="AO952" s="1121" t="b">
        <f t="shared" si="444"/>
        <v>0</v>
      </c>
    </row>
    <row r="953" spans="2:41" ht="12.75" customHeight="1" thickBot="1">
      <c r="B953" s="1124"/>
      <c r="C953" s="485"/>
      <c r="D953" s="485"/>
      <c r="E953" s="485"/>
      <c r="F953" s="485"/>
      <c r="G953" s="485"/>
      <c r="H953" s="485"/>
      <c r="I953" s="485"/>
      <c r="J953" s="485"/>
      <c r="K953" s="485"/>
      <c r="L953" s="485"/>
      <c r="M953" s="485"/>
      <c r="N953" s="485"/>
      <c r="O953" s="481"/>
      <c r="P953" s="481"/>
      <c r="AB953" s="1435"/>
      <c r="AO953" s="1121" t="b">
        <f t="shared" si="444"/>
        <v>0</v>
      </c>
    </row>
    <row r="954" spans="2:41" ht="5.0999999999999996" customHeight="1">
      <c r="B954" s="467"/>
      <c r="C954" s="1052"/>
      <c r="D954" s="1053"/>
      <c r="E954" s="1053"/>
      <c r="F954" s="1053"/>
      <c r="G954" s="1053"/>
      <c r="H954" s="1053"/>
      <c r="I954" s="1053"/>
      <c r="J954" s="1053"/>
      <c r="K954" s="1053"/>
      <c r="L954" s="1053"/>
      <c r="M954" s="1054"/>
      <c r="N954" s="1055"/>
      <c r="O954" s="481"/>
      <c r="P954" s="481"/>
      <c r="Q954" s="1249"/>
      <c r="S954" s="1249"/>
      <c r="T954" s="1249"/>
      <c r="AO954" s="1121" t="b">
        <f t="shared" si="444"/>
        <v>0</v>
      </c>
    </row>
    <row r="955" spans="2:41" ht="15" customHeight="1">
      <c r="B955" s="1124"/>
      <c r="C955" s="1056"/>
      <c r="D955" s="2678" t="s">
        <v>2746</v>
      </c>
      <c r="E955" s="2672"/>
      <c r="F955" s="2672"/>
      <c r="G955" s="2672"/>
      <c r="H955" s="2672"/>
      <c r="I955" s="2672"/>
      <c r="J955" s="2672"/>
      <c r="K955" s="2672"/>
      <c r="L955" s="2672"/>
      <c r="M955" s="2672"/>
      <c r="N955" s="2673"/>
      <c r="O955" s="481"/>
      <c r="P955" s="481"/>
      <c r="S955" s="1249"/>
      <c r="T955" s="1249"/>
      <c r="AO955" s="1121" t="b">
        <f t="shared" si="444"/>
        <v>0</v>
      </c>
    </row>
    <row r="956" spans="2:41" ht="5.0999999999999996" customHeight="1">
      <c r="B956" s="1124"/>
      <c r="C956" s="980"/>
      <c r="D956" s="813"/>
      <c r="E956" s="813"/>
      <c r="F956" s="813"/>
      <c r="G956" s="813"/>
      <c r="H956" s="813"/>
      <c r="I956" s="813"/>
      <c r="J956" s="813"/>
      <c r="K956" s="813"/>
      <c r="L956" s="813"/>
      <c r="M956" s="813"/>
      <c r="N956" s="814"/>
      <c r="O956" s="481"/>
      <c r="P956" s="481"/>
      <c r="S956" s="1249"/>
      <c r="T956" s="1249"/>
      <c r="AO956" s="1121" t="b">
        <f t="shared" si="444"/>
        <v>0</v>
      </c>
    </row>
    <row r="957" spans="2:41" ht="15" customHeight="1">
      <c r="B957" s="1124"/>
      <c r="C957" s="980"/>
      <c r="D957" s="2679" t="str">
        <f>EUconst_FBSubinst &amp; ":"</f>
        <v>Fall-Back sub-installation:</v>
      </c>
      <c r="E957" s="2646"/>
      <c r="F957" s="2646"/>
      <c r="G957" s="2646"/>
      <c r="H957" s="2680"/>
      <c r="I957" s="3293" t="str">
        <f>I796</f>
        <v>Fuel benchmark sub-installation, non-CL</v>
      </c>
      <c r="J957" s="3294"/>
      <c r="K957" s="3294"/>
      <c r="L957" s="3294"/>
      <c r="M957" s="3294"/>
      <c r="N957" s="3295"/>
      <c r="O957" s="481"/>
      <c r="P957" s="481"/>
      <c r="S957" s="1249"/>
      <c r="T957" s="1249"/>
      <c r="AO957" s="1121" t="b">
        <f t="shared" si="444"/>
        <v>0</v>
      </c>
    </row>
    <row r="958" spans="2:41" ht="5.0999999999999996" customHeight="1">
      <c r="B958" s="1124"/>
      <c r="C958" s="980"/>
      <c r="D958" s="813"/>
      <c r="E958" s="813"/>
      <c r="F958" s="813"/>
      <c r="G958" s="813"/>
      <c r="H958" s="813"/>
      <c r="I958" s="813"/>
      <c r="J958" s="813"/>
      <c r="K958" s="813"/>
      <c r="L958" s="813"/>
      <c r="M958" s="813"/>
      <c r="N958" s="814"/>
      <c r="O958" s="481"/>
      <c r="P958" s="481"/>
      <c r="S958" s="1249"/>
      <c r="T958" s="1249"/>
      <c r="AO958" s="1121" t="b">
        <f t="shared" si="444"/>
        <v>0</v>
      </c>
    </row>
    <row r="959" spans="2:41" ht="12.75" customHeight="1">
      <c r="B959" s="467"/>
      <c r="C959" s="1056"/>
      <c r="D959" s="982" t="s">
        <v>48</v>
      </c>
      <c r="E959" s="2671" t="s">
        <v>1611</v>
      </c>
      <c r="F959" s="2672"/>
      <c r="G959" s="2672"/>
      <c r="H959" s="2672"/>
      <c r="I959" s="2672"/>
      <c r="J959" s="2672"/>
      <c r="K959" s="2672"/>
      <c r="L959" s="2672"/>
      <c r="M959" s="2672"/>
      <c r="N959" s="2673"/>
      <c r="O959" s="481"/>
      <c r="P959" s="481"/>
      <c r="Q959" s="1249"/>
      <c r="S959" s="1249"/>
      <c r="T959" s="1249"/>
      <c r="AO959" s="1121" t="b">
        <f t="shared" si="444"/>
        <v>0</v>
      </c>
    </row>
    <row r="960" spans="2:41" ht="12.75" customHeight="1">
      <c r="B960" s="467"/>
      <c r="C960" s="1056"/>
      <c r="D960" s="982"/>
      <c r="E960" s="3366" t="s">
        <v>2295</v>
      </c>
      <c r="F960" s="3366"/>
      <c r="G960" s="3366"/>
      <c r="H960" s="3366"/>
      <c r="I960" s="3366"/>
      <c r="J960" s="3366"/>
      <c r="K960" s="3366"/>
      <c r="L960" s="3366"/>
      <c r="M960" s="3366"/>
      <c r="N960" s="3367"/>
      <c r="O960" s="481"/>
      <c r="P960" s="481"/>
      <c r="Q960" s="1249"/>
      <c r="S960" s="1249"/>
      <c r="T960" s="1249"/>
      <c r="AO960" s="1121" t="b">
        <f t="shared" si="444"/>
        <v>0</v>
      </c>
    </row>
    <row r="961" spans="2:41" ht="25.5" customHeight="1">
      <c r="B961" s="467"/>
      <c r="C961" s="1056"/>
      <c r="D961" s="1057"/>
      <c r="E961" s="3288" t="s">
        <v>1342</v>
      </c>
      <c r="F961" s="3288"/>
      <c r="G961" s="3288"/>
      <c r="H961" s="3288"/>
      <c r="I961" s="3288"/>
      <c r="J961" s="3288"/>
      <c r="K961" s="3288"/>
      <c r="L961" s="3288"/>
      <c r="M961" s="3288"/>
      <c r="N961" s="3289"/>
      <c r="O961" s="481"/>
      <c r="P961" s="481"/>
      <c r="Q961" s="1249"/>
      <c r="S961" s="1249"/>
      <c r="AO961" s="1121" t="b">
        <f t="shared" si="444"/>
        <v>0</v>
      </c>
    </row>
    <row r="962" spans="2:41" ht="25.5" customHeight="1" thickBot="1">
      <c r="B962" s="467"/>
      <c r="C962" s="1056"/>
      <c r="D962" s="1057"/>
      <c r="E962" s="3288" t="s">
        <v>1575</v>
      </c>
      <c r="F962" s="3288"/>
      <c r="G962" s="3288"/>
      <c r="H962" s="3288"/>
      <c r="I962" s="3288"/>
      <c r="J962" s="3288"/>
      <c r="K962" s="3288"/>
      <c r="L962" s="3288"/>
      <c r="M962" s="3288"/>
      <c r="N962" s="3289"/>
      <c r="O962" s="481"/>
      <c r="P962" s="481"/>
      <c r="Q962" s="1249"/>
      <c r="S962" s="1249"/>
      <c r="AB962" s="1435"/>
      <c r="AC962" s="1435"/>
      <c r="AD962" s="1435"/>
      <c r="AE962" s="1435"/>
      <c r="AF962" s="1435"/>
      <c r="AG962" s="1435"/>
      <c r="AH962" s="1435"/>
      <c r="AI962" s="1435"/>
      <c r="AJ962" s="1435"/>
      <c r="AK962" s="1435"/>
      <c r="AL962" s="1435"/>
      <c r="AO962" s="1121" t="b">
        <f t="shared" si="444"/>
        <v>0</v>
      </c>
    </row>
    <row r="963" spans="2:41" ht="12.75" customHeight="1" thickBot="1">
      <c r="B963" s="467"/>
      <c r="C963" s="1056"/>
      <c r="D963" s="982"/>
      <c r="E963" s="989" t="s">
        <v>915</v>
      </c>
      <c r="F963" s="990"/>
      <c r="G963" s="987" t="str">
        <f>EUconst_Unit</f>
        <v>Unit</v>
      </c>
      <c r="H963" s="782">
        <f t="shared" ref="H963:N963" si="445">H$1190</f>
        <v>2024</v>
      </c>
      <c r="I963" s="988">
        <f t="shared" si="445"/>
        <v>2025</v>
      </c>
      <c r="J963" s="1810">
        <f t="shared" si="445"/>
        <v>2026</v>
      </c>
      <c r="K963" s="1747">
        <f t="shared" si="445"/>
        <v>2027</v>
      </c>
      <c r="L963" s="1747">
        <f t="shared" si="445"/>
        <v>2028</v>
      </c>
      <c r="M963" s="1747">
        <f t="shared" si="445"/>
        <v>2029</v>
      </c>
      <c r="N963" s="1748">
        <f t="shared" si="445"/>
        <v>2030</v>
      </c>
      <c r="O963" s="481"/>
      <c r="P963" s="481"/>
      <c r="Q963" s="1249"/>
      <c r="S963" s="1962"/>
      <c r="T963" s="1749">
        <f t="shared" ref="T963:Z963" si="446">H963</f>
        <v>2024</v>
      </c>
      <c r="U963" s="1749">
        <f t="shared" si="446"/>
        <v>2025</v>
      </c>
      <c r="V963" s="1749">
        <f t="shared" si="446"/>
        <v>2026</v>
      </c>
      <c r="W963" s="1749">
        <f t="shared" si="446"/>
        <v>2027</v>
      </c>
      <c r="X963" s="1749">
        <f t="shared" si="446"/>
        <v>2028</v>
      </c>
      <c r="Y963" s="1749">
        <f t="shared" si="446"/>
        <v>2029</v>
      </c>
      <c r="Z963" s="1750">
        <f t="shared" si="446"/>
        <v>2030</v>
      </c>
      <c r="AC963" s="1638">
        <f t="shared" ref="AC963:AI963" si="447">H$1190</f>
        <v>2024</v>
      </c>
      <c r="AD963" s="1638">
        <f t="shared" si="447"/>
        <v>2025</v>
      </c>
      <c r="AE963" s="1638">
        <f t="shared" si="447"/>
        <v>2026</v>
      </c>
      <c r="AF963" s="1638">
        <f t="shared" si="447"/>
        <v>2027</v>
      </c>
      <c r="AG963" s="1638">
        <f t="shared" si="447"/>
        <v>2028</v>
      </c>
      <c r="AH963" s="1638">
        <f t="shared" si="447"/>
        <v>2029</v>
      </c>
      <c r="AI963" s="1638">
        <f t="shared" si="447"/>
        <v>2030</v>
      </c>
      <c r="AJ963" s="1435"/>
      <c r="AK963" s="1435"/>
      <c r="AL963" s="1435"/>
      <c r="AO963" s="1121" t="b">
        <f t="shared" si="444"/>
        <v>0</v>
      </c>
    </row>
    <row r="964" spans="2:41" ht="12.75" customHeight="1" thickBot="1">
      <c r="B964" s="467"/>
      <c r="C964" s="1056"/>
      <c r="D964" s="1057"/>
      <c r="E964" s="3285" t="str">
        <f>I957</f>
        <v>Fuel benchmark sub-installation, non-CL</v>
      </c>
      <c r="F964" s="2410"/>
      <c r="G964" s="815" t="str">
        <f>EUconst_tCO2epa</f>
        <v>t CO2e/year</v>
      </c>
      <c r="H964" s="1775" t="str">
        <f>c_ALR2025!M6535</f>
        <v/>
      </c>
      <c r="I964" s="1996"/>
      <c r="J964" s="1812"/>
      <c r="K964" s="1754"/>
      <c r="L964" s="1754"/>
      <c r="M964" s="1754"/>
      <c r="N964" s="1755"/>
      <c r="O964" s="481"/>
      <c r="P964" s="481"/>
      <c r="Q964" s="1963" t="str">
        <f>EUconst_CNTR_Emissions &amp; I957</f>
        <v>DirEmissions_Fuel benchmark sub-installation, non-CL</v>
      </c>
      <c r="S964" s="1964" t="str">
        <f>EUconst_CNTR_AttributedEmissions &amp; I957</f>
        <v>AttrEmissions_Fuel benchmark sub-installation, non-CL</v>
      </c>
      <c r="T964" s="1743" t="str">
        <f t="shared" ref="T964:Z964" si="448">IF(T804,SUM(H964),"")</f>
        <v/>
      </c>
      <c r="U964" s="1743" t="str">
        <f t="shared" si="448"/>
        <v/>
      </c>
      <c r="V964" s="1743" t="str">
        <f t="shared" si="448"/>
        <v/>
      </c>
      <c r="W964" s="1743" t="str">
        <f t="shared" si="448"/>
        <v/>
      </c>
      <c r="X964" s="1743" t="str">
        <f t="shared" si="448"/>
        <v/>
      </c>
      <c r="Y964" s="1743" t="str">
        <f t="shared" si="448"/>
        <v/>
      </c>
      <c r="Z964" s="1744" t="str">
        <f t="shared" si="448"/>
        <v/>
      </c>
      <c r="AB964" s="1641" t="s">
        <v>717</v>
      </c>
      <c r="AC964" s="1853" t="b">
        <f t="shared" ref="AC964:AI964" si="449">IF(CNTR_ExistSubInstEntries,OR($M796&lt;&gt;EUconst_Relevant,AC963&gt;=CNTR_ReportingYear,AC963&lt;$V796-1),FALSE)</f>
        <v>0</v>
      </c>
      <c r="AD964" s="1642" t="b">
        <f t="shared" si="449"/>
        <v>0</v>
      </c>
      <c r="AE964" s="1642" t="b">
        <f t="shared" si="449"/>
        <v>0</v>
      </c>
      <c r="AF964" s="1642" t="b">
        <f t="shared" si="449"/>
        <v>0</v>
      </c>
      <c r="AG964" s="1642" t="b">
        <f t="shared" si="449"/>
        <v>0</v>
      </c>
      <c r="AH964" s="1642" t="b">
        <f t="shared" si="449"/>
        <v>0</v>
      </c>
      <c r="AI964" s="1643" t="b">
        <f t="shared" si="449"/>
        <v>0</v>
      </c>
      <c r="AJ964" s="1435"/>
      <c r="AK964" s="1633" t="s">
        <v>1954</v>
      </c>
      <c r="AL964" s="1635" t="str">
        <f>IF(AND(CNTR_ExistSubInstEntries,COUNTIFS(AC964:AI964,2,H964:N964,"")&gt;0),EUconst_Error&amp;"FB"&amp;Q796,"")</f>
        <v/>
      </c>
      <c r="AO964" s="1121" t="b">
        <f t="shared" si="444"/>
        <v>0</v>
      </c>
    </row>
    <row r="965" spans="2:41" ht="5.0999999999999996" customHeight="1">
      <c r="B965" s="467"/>
      <c r="C965" s="1056"/>
      <c r="D965" s="1057"/>
      <c r="E965" s="1057"/>
      <c r="F965" s="1057"/>
      <c r="G965" s="1057"/>
      <c r="H965" s="1057"/>
      <c r="I965" s="1057"/>
      <c r="J965" s="1057"/>
      <c r="K965" s="1057"/>
      <c r="L965" s="1057"/>
      <c r="M965" s="1057"/>
      <c r="N965" s="1060"/>
      <c r="O965" s="481"/>
      <c r="P965" s="481"/>
      <c r="Q965" s="1249"/>
      <c r="S965" s="1249"/>
      <c r="AB965" s="1435"/>
      <c r="AC965" s="1435"/>
      <c r="AD965" s="1435"/>
      <c r="AE965" s="1435"/>
      <c r="AF965" s="1435"/>
      <c r="AG965" s="1435"/>
      <c r="AH965" s="1435"/>
      <c r="AI965" s="1435"/>
      <c r="AJ965" s="1435"/>
      <c r="AK965" s="1435"/>
      <c r="AL965" s="1435"/>
      <c r="AO965" s="1121" t="b">
        <f t="shared" si="444"/>
        <v>0</v>
      </c>
    </row>
    <row r="966" spans="2:41" ht="12.75" customHeight="1">
      <c r="B966" s="467"/>
      <c r="C966" s="1056"/>
      <c r="D966" s="982" t="s">
        <v>881</v>
      </c>
      <c r="E966" s="2649" t="s">
        <v>1189</v>
      </c>
      <c r="F966" s="2391"/>
      <c r="G966" s="2391"/>
      <c r="H966" s="2391"/>
      <c r="I966" s="2391"/>
      <c r="J966" s="2391"/>
      <c r="K966" s="2391"/>
      <c r="L966" s="2391"/>
      <c r="M966" s="2391"/>
      <c r="N966" s="2650"/>
      <c r="O966" s="481"/>
      <c r="P966" s="481"/>
      <c r="S966" s="1249"/>
      <c r="AB966" s="1435"/>
      <c r="AC966" s="1435"/>
      <c r="AD966" s="1435"/>
      <c r="AE966" s="1435"/>
      <c r="AF966" s="1435"/>
      <c r="AG966" s="1435"/>
      <c r="AH966" s="1435"/>
      <c r="AI966" s="1435"/>
      <c r="AJ966" s="1435"/>
      <c r="AK966" s="1435"/>
      <c r="AL966" s="1435"/>
      <c r="AO966" s="1121" t="b">
        <f t="shared" si="444"/>
        <v>0</v>
      </c>
    </row>
    <row r="967" spans="2:41" ht="12.75" customHeight="1">
      <c r="B967" s="467"/>
      <c r="C967" s="1056"/>
      <c r="D967" s="1057"/>
      <c r="E967" s="3267" t="s">
        <v>1576</v>
      </c>
      <c r="F967" s="2380"/>
      <c r="G967" s="2380"/>
      <c r="H967" s="2380"/>
      <c r="I967" s="2380"/>
      <c r="J967" s="2380"/>
      <c r="K967" s="2380"/>
      <c r="L967" s="2380"/>
      <c r="M967" s="2380"/>
      <c r="N967" s="3268"/>
      <c r="O967" s="481"/>
      <c r="P967" s="481"/>
      <c r="Q967" s="1249"/>
      <c r="S967" s="1249"/>
      <c r="AB967" s="1435"/>
      <c r="AC967" s="1435"/>
      <c r="AD967" s="1435"/>
      <c r="AE967" s="1435"/>
      <c r="AF967" s="1435"/>
      <c r="AG967" s="1435"/>
      <c r="AH967" s="1435"/>
      <c r="AI967" s="1435"/>
      <c r="AJ967" s="1435"/>
      <c r="AK967" s="1435"/>
      <c r="AL967" s="1435"/>
      <c r="AO967" s="1121" t="b">
        <f t="shared" si="444"/>
        <v>0</v>
      </c>
    </row>
    <row r="968" spans="2:41" ht="12.75" customHeight="1">
      <c r="B968" s="467"/>
      <c r="C968" s="1056"/>
      <c r="D968" s="1057"/>
      <c r="E968" s="3267" t="s">
        <v>1493</v>
      </c>
      <c r="F968" s="2380"/>
      <c r="G968" s="2380"/>
      <c r="H968" s="2380"/>
      <c r="I968" s="2380"/>
      <c r="J968" s="2380"/>
      <c r="K968" s="2380"/>
      <c r="L968" s="2380"/>
      <c r="M968" s="2380"/>
      <c r="N968" s="3268"/>
      <c r="O968" s="481"/>
      <c r="P968" s="481"/>
      <c r="Q968" s="1249"/>
      <c r="S968" s="1249"/>
      <c r="AB968" s="1435"/>
      <c r="AC968" s="1435"/>
      <c r="AD968" s="1435"/>
      <c r="AE968" s="1435"/>
      <c r="AF968" s="1435"/>
      <c r="AG968" s="1435"/>
      <c r="AH968" s="1435"/>
      <c r="AI968" s="1435"/>
      <c r="AJ968" s="1435"/>
      <c r="AK968" s="1435"/>
      <c r="AL968" s="1435"/>
      <c r="AO968" s="1121" t="b">
        <f t="shared" si="444"/>
        <v>0</v>
      </c>
    </row>
    <row r="969" spans="2:41" ht="12.75" customHeight="1">
      <c r="B969" s="467"/>
      <c r="C969" s="1056"/>
      <c r="D969" s="982"/>
      <c r="E969" s="989"/>
      <c r="F969" s="990"/>
      <c r="G969" s="987" t="str">
        <f>EUconst_Unit</f>
        <v>Unit</v>
      </c>
      <c r="H969" s="782">
        <f t="shared" ref="H969:N969" si="450">H$1190</f>
        <v>2024</v>
      </c>
      <c r="I969" s="988">
        <f t="shared" si="450"/>
        <v>2025</v>
      </c>
      <c r="J969" s="1810">
        <f t="shared" si="450"/>
        <v>2026</v>
      </c>
      <c r="K969" s="1747">
        <f t="shared" si="450"/>
        <v>2027</v>
      </c>
      <c r="L969" s="1747">
        <f t="shared" si="450"/>
        <v>2028</v>
      </c>
      <c r="M969" s="1747">
        <f t="shared" si="450"/>
        <v>2029</v>
      </c>
      <c r="N969" s="1748">
        <f t="shared" si="450"/>
        <v>2030</v>
      </c>
      <c r="O969" s="481"/>
      <c r="P969" s="481"/>
      <c r="Q969" s="1249"/>
      <c r="S969" s="1249"/>
      <c r="AC969" s="1803">
        <f t="shared" ref="AC969:AI969" si="451">H$1190</f>
        <v>2024</v>
      </c>
      <c r="AD969" s="1803">
        <f t="shared" si="451"/>
        <v>2025</v>
      </c>
      <c r="AE969" s="1803">
        <f t="shared" si="451"/>
        <v>2026</v>
      </c>
      <c r="AF969" s="1803">
        <f t="shared" si="451"/>
        <v>2027</v>
      </c>
      <c r="AG969" s="1803">
        <f t="shared" si="451"/>
        <v>2028</v>
      </c>
      <c r="AH969" s="1803">
        <f t="shared" si="451"/>
        <v>2029</v>
      </c>
      <c r="AI969" s="1803">
        <f t="shared" si="451"/>
        <v>2030</v>
      </c>
      <c r="AO969" s="1121" t="b">
        <f t="shared" si="444"/>
        <v>0</v>
      </c>
    </row>
    <row r="970" spans="2:41" ht="12.75" customHeight="1">
      <c r="B970" s="467"/>
      <c r="C970" s="1056"/>
      <c r="D970" s="1061" t="s">
        <v>6</v>
      </c>
      <c r="E970" s="2475" t="s">
        <v>1577</v>
      </c>
      <c r="F970" s="2410"/>
      <c r="G970" s="815" t="str">
        <f>EUconst_TJpa</f>
        <v>TJ / year</v>
      </c>
      <c r="H970" s="646" t="str">
        <f>H804</f>
        <v/>
      </c>
      <c r="I970" s="949" t="str">
        <f t="shared" ref="I970:N970" si="452">I804</f>
        <v/>
      </c>
      <c r="J970" s="1811" t="str">
        <f t="shared" si="452"/>
        <v/>
      </c>
      <c r="K970" s="1751" t="str">
        <f t="shared" si="452"/>
        <v/>
      </c>
      <c r="L970" s="1751" t="str">
        <f t="shared" si="452"/>
        <v/>
      </c>
      <c r="M970" s="1751" t="str">
        <f t="shared" si="452"/>
        <v/>
      </c>
      <c r="N970" s="1752" t="str">
        <f t="shared" si="452"/>
        <v/>
      </c>
      <c r="O970" s="481"/>
      <c r="P970" s="481"/>
      <c r="Q970" s="1963" t="str">
        <f>EUconst_CNTR_FuelInput &amp; I957</f>
        <v>FuelInput_Fuel benchmark sub-installation, non-CL</v>
      </c>
      <c r="S970" s="1249"/>
      <c r="T970" s="1503">
        <f t="shared" ref="T970:Z970" si="453">H969</f>
        <v>2024</v>
      </c>
      <c r="U970" s="1503">
        <f t="shared" si="453"/>
        <v>2025</v>
      </c>
      <c r="V970" s="1503">
        <f t="shared" si="453"/>
        <v>2026</v>
      </c>
      <c r="W970" s="1503">
        <f t="shared" si="453"/>
        <v>2027</v>
      </c>
      <c r="X970" s="1503">
        <f t="shared" si="453"/>
        <v>2028</v>
      </c>
      <c r="Y970" s="1503">
        <f t="shared" si="453"/>
        <v>2029</v>
      </c>
      <c r="Z970" s="1503">
        <f t="shared" si="453"/>
        <v>2030</v>
      </c>
      <c r="AB970" s="1641" t="s">
        <v>717</v>
      </c>
      <c r="AC970" s="1443" t="b">
        <f>AC964</f>
        <v>0</v>
      </c>
      <c r="AD970" s="1443" t="b">
        <f t="shared" ref="AD970:AI970" si="454">AD964</f>
        <v>0</v>
      </c>
      <c r="AE970" s="1443" t="b">
        <f t="shared" si="454"/>
        <v>0</v>
      </c>
      <c r="AF970" s="1443" t="b">
        <f t="shared" si="454"/>
        <v>0</v>
      </c>
      <c r="AG970" s="1443" t="b">
        <f t="shared" si="454"/>
        <v>0</v>
      </c>
      <c r="AH970" s="1443" t="b">
        <f t="shared" si="454"/>
        <v>0</v>
      </c>
      <c r="AI970" s="1443" t="b">
        <f t="shared" si="454"/>
        <v>0</v>
      </c>
      <c r="AK970" s="1633" t="s">
        <v>1954</v>
      </c>
      <c r="AL970" s="1635" t="str">
        <f>IF(AND(CNTR_ExistSubInstEntries,COUNTIFS(AC970:AI970,2,H970:N970,"")&gt;0),EUconst_Error&amp;"FB"&amp;Q796,"")</f>
        <v/>
      </c>
      <c r="AO970" s="1121" t="b">
        <f t="shared" si="444"/>
        <v>0</v>
      </c>
    </row>
    <row r="971" spans="2:41" ht="12.75" customHeight="1">
      <c r="B971" s="467"/>
      <c r="C971" s="1056"/>
      <c r="D971" s="1061" t="s">
        <v>7</v>
      </c>
      <c r="E971" s="2475" t="s">
        <v>1597</v>
      </c>
      <c r="F971" s="2410"/>
      <c r="G971" s="991" t="str">
        <f>EUconst_tCO2pTJ</f>
        <v>t CO2 / TJ</v>
      </c>
      <c r="H971" s="646" t="str">
        <f t="shared" ref="H971:N971" si="455">IF(COUNT(H964,H970)=2,H964/H970,"")</f>
        <v/>
      </c>
      <c r="I971" s="949" t="str">
        <f t="shared" si="455"/>
        <v/>
      </c>
      <c r="J971" s="1811" t="str">
        <f t="shared" si="455"/>
        <v/>
      </c>
      <c r="K971" s="1751" t="str">
        <f t="shared" si="455"/>
        <v/>
      </c>
      <c r="L971" s="1751" t="str">
        <f t="shared" si="455"/>
        <v/>
      </c>
      <c r="M971" s="1751" t="str">
        <f t="shared" si="455"/>
        <v/>
      </c>
      <c r="N971" s="1752" t="str">
        <f t="shared" si="455"/>
        <v/>
      </c>
      <c r="O971" s="481"/>
      <c r="P971" s="481"/>
      <c r="Q971" s="1963" t="str">
        <f>EUconst_CNTR_FuelEF &amp;I957</f>
        <v>FuelEF_Fuel benchmark sub-installation, non-CL</v>
      </c>
      <c r="S971" s="1997" t="str">
        <f>EUconst_ERR_AttrEmBMapplied &amp; I957</f>
        <v>ERR_AttrEmBM_Fuel benchmark sub-installation, non-CL</v>
      </c>
      <c r="T971" s="1443">
        <f t="shared" ref="T971:Z971" si="456">IF(AND(OR(H973&lt;&gt;0,AND(H976&lt;&gt;0,H977="")),EUconst_StatusOfDataCollection=FALSE),1,0)</f>
        <v>0</v>
      </c>
      <c r="U971" s="1443">
        <f t="shared" si="456"/>
        <v>0</v>
      </c>
      <c r="V971" s="1443">
        <f t="shared" si="456"/>
        <v>0</v>
      </c>
      <c r="W971" s="1443">
        <f t="shared" si="456"/>
        <v>0</v>
      </c>
      <c r="X971" s="1443">
        <f t="shared" si="456"/>
        <v>0</v>
      </c>
      <c r="Y971" s="1443">
        <f t="shared" si="456"/>
        <v>0</v>
      </c>
      <c r="Z971" s="1443">
        <f t="shared" si="456"/>
        <v>0</v>
      </c>
      <c r="AB971" s="1435"/>
      <c r="AC971" s="1443" t="b">
        <f>AC970</f>
        <v>0</v>
      </c>
      <c r="AD971" s="1443" t="b">
        <f t="shared" ref="AD971:AI971" si="457">AD970</f>
        <v>0</v>
      </c>
      <c r="AE971" s="1443" t="b">
        <f t="shared" si="457"/>
        <v>0</v>
      </c>
      <c r="AF971" s="1443" t="b">
        <f t="shared" si="457"/>
        <v>0</v>
      </c>
      <c r="AG971" s="1443" t="b">
        <f t="shared" si="457"/>
        <v>0</v>
      </c>
      <c r="AH971" s="1443" t="b">
        <f t="shared" si="457"/>
        <v>0</v>
      </c>
      <c r="AI971" s="1443" t="b">
        <f t="shared" si="457"/>
        <v>0</v>
      </c>
      <c r="AK971" s="1633" t="s">
        <v>1954</v>
      </c>
      <c r="AL971" s="1635" t="str">
        <f>IF(AND(CNTR_ExistSubInstEntries,COUNTIFS(AC971:AI971,2,H971:N971,"")&gt;0),EUconst_Error&amp;"FB"&amp;Q796,"")</f>
        <v/>
      </c>
      <c r="AO971" s="1121" t="b">
        <f t="shared" si="444"/>
        <v>0</v>
      </c>
    </row>
    <row r="972" spans="2:41" ht="5.0999999999999996" customHeight="1">
      <c r="B972" s="467"/>
      <c r="C972" s="1056"/>
      <c r="D972" s="1057"/>
      <c r="E972" s="1057"/>
      <c r="F972" s="1057"/>
      <c r="G972" s="1057"/>
      <c r="H972" s="1057"/>
      <c r="I972" s="1057"/>
      <c r="J972" s="1965"/>
      <c r="K972" s="1966"/>
      <c r="L972" s="1966"/>
      <c r="M972" s="1966"/>
      <c r="N972" s="1967"/>
      <c r="O972" s="481"/>
      <c r="P972" s="481"/>
      <c r="Q972" s="1249"/>
      <c r="AB972" s="1435"/>
      <c r="AE972" s="1198"/>
      <c r="AF972" s="1198"/>
      <c r="AG972" s="1198"/>
      <c r="AH972" s="1198"/>
      <c r="AI972" s="1198"/>
      <c r="AO972" s="1121" t="b">
        <f t="shared" si="444"/>
        <v>0</v>
      </c>
    </row>
    <row r="973" spans="2:41" ht="12.75" customHeight="1">
      <c r="B973" s="467"/>
      <c r="C973" s="1056"/>
      <c r="D973" s="1061" t="s">
        <v>8</v>
      </c>
      <c r="E973" s="2475" t="s">
        <v>1481</v>
      </c>
      <c r="F973" s="2410"/>
      <c r="G973" s="815" t="str">
        <f>EUconst_TJpa</f>
        <v>TJ / year</v>
      </c>
      <c r="H973" s="1479" t="str">
        <f>c_ALR2025!M6544</f>
        <v/>
      </c>
      <c r="I973" s="1532"/>
      <c r="J973" s="1811"/>
      <c r="K973" s="1751"/>
      <c r="L973" s="1751"/>
      <c r="M973" s="1751"/>
      <c r="N973" s="1752"/>
      <c r="O973" s="481"/>
      <c r="P973" s="481"/>
      <c r="Q973" s="1140" t="str">
        <f>EUconst_CNTR_WGConsumed &amp; I957</f>
        <v>WasteGasCons_Fuel benchmark sub-installation, non-CL</v>
      </c>
      <c r="AB973" s="1435"/>
      <c r="AC973" s="1443" t="b">
        <f>AC970</f>
        <v>0</v>
      </c>
      <c r="AD973" s="1443" t="b">
        <f t="shared" ref="AD973:AI973" si="458">AD970</f>
        <v>0</v>
      </c>
      <c r="AE973" s="1443" t="b">
        <f t="shared" si="458"/>
        <v>0</v>
      </c>
      <c r="AF973" s="1443" t="b">
        <f t="shared" si="458"/>
        <v>0</v>
      </c>
      <c r="AG973" s="1443" t="b">
        <f t="shared" si="458"/>
        <v>0</v>
      </c>
      <c r="AH973" s="1443" t="b">
        <f t="shared" si="458"/>
        <v>0</v>
      </c>
      <c r="AI973" s="1443" t="b">
        <f t="shared" si="458"/>
        <v>0</v>
      </c>
      <c r="AK973" s="1633" t="s">
        <v>1954</v>
      </c>
      <c r="AL973" s="1635" t="str">
        <f>IF(AND(CNTR_ExistSubInstEntries,COUNTIFS(AC973:AI973,2,H973:N973,"")&gt;0),EUconst_Error&amp;"FB"&amp;Q796,"")</f>
        <v/>
      </c>
      <c r="AO973" s="1121" t="b">
        <f t="shared" si="444"/>
        <v>0</v>
      </c>
    </row>
    <row r="974" spans="2:41" ht="12.75" customHeight="1">
      <c r="B974" s="467"/>
      <c r="C974" s="1056"/>
      <c r="D974" s="1061" t="s">
        <v>18</v>
      </c>
      <c r="E974" s="2475" t="s">
        <v>1482</v>
      </c>
      <c r="F974" s="2410"/>
      <c r="G974" s="991" t="str">
        <f>EUconst_tCO2pTJ</f>
        <v>t CO2 / TJ</v>
      </c>
      <c r="H974" s="1582" t="str">
        <f>c_ALR2025!M6545</f>
        <v/>
      </c>
      <c r="I974" s="1882"/>
      <c r="J974" s="1811"/>
      <c r="K974" s="1751"/>
      <c r="L974" s="1751"/>
      <c r="M974" s="1751"/>
      <c r="N974" s="1752"/>
      <c r="O974" s="481"/>
      <c r="P974" s="481"/>
      <c r="Q974" s="1963" t="str">
        <f>EUconst_CNTR_WGConsumedEF &amp; I957</f>
        <v>WasteGasConsEF_Fuel benchmark sub-installation, non-CL</v>
      </c>
      <c r="S974" s="1968" t="str">
        <f>EUconst_CNTR_AttributedEmissions &amp; I957</f>
        <v>AttrEmissions_Fuel benchmark sub-installation, non-CL</v>
      </c>
      <c r="T974" s="1443" t="str">
        <f t="shared" ref="T974:Z974" si="459">IF(T804,SUM(H973)*EUconst_FuelBMvalue,"")</f>
        <v/>
      </c>
      <c r="U974" s="1443" t="str">
        <f t="shared" si="459"/>
        <v/>
      </c>
      <c r="V974" s="1443" t="str">
        <f t="shared" si="459"/>
        <v/>
      </c>
      <c r="W974" s="1443" t="str">
        <f t="shared" si="459"/>
        <v/>
      </c>
      <c r="X974" s="1443" t="str">
        <f t="shared" si="459"/>
        <v/>
      </c>
      <c r="Y974" s="1443" t="str">
        <f t="shared" si="459"/>
        <v/>
      </c>
      <c r="Z974" s="1443" t="str">
        <f t="shared" si="459"/>
        <v/>
      </c>
      <c r="AB974" s="1435"/>
      <c r="AC974" s="1443" t="b">
        <f>AC971</f>
        <v>0</v>
      </c>
      <c r="AD974" s="1443" t="b">
        <f t="shared" ref="AD974:AI974" si="460">AD971</f>
        <v>0</v>
      </c>
      <c r="AE974" s="1443" t="b">
        <f t="shared" si="460"/>
        <v>0</v>
      </c>
      <c r="AF974" s="1443" t="b">
        <f t="shared" si="460"/>
        <v>0</v>
      </c>
      <c r="AG974" s="1443" t="b">
        <f t="shared" si="460"/>
        <v>0</v>
      </c>
      <c r="AH974" s="1443" t="b">
        <f t="shared" si="460"/>
        <v>0</v>
      </c>
      <c r="AI974" s="1443" t="b">
        <f t="shared" si="460"/>
        <v>0</v>
      </c>
      <c r="AK974" s="1633" t="s">
        <v>1954</v>
      </c>
      <c r="AL974" s="1635" t="str">
        <f>IF(AND(CNTR_ExistSubInstEntries,COUNTIFS(AC974:AI974,2,H974:N974,"")&gt;0),EUconst_Error&amp;"FB"&amp;Q796,"")</f>
        <v/>
      </c>
      <c r="AO974" s="1121" t="b">
        <f t="shared" si="444"/>
        <v>0</v>
      </c>
    </row>
    <row r="975" spans="2:41" ht="5.0999999999999996" customHeight="1">
      <c r="B975" s="467"/>
      <c r="C975" s="1056"/>
      <c r="D975" s="1057"/>
      <c r="E975" s="1057"/>
      <c r="F975" s="1057"/>
      <c r="G975" s="1057"/>
      <c r="H975" s="1057"/>
      <c r="I975" s="1057"/>
      <c r="J975" s="1965"/>
      <c r="K975" s="1966"/>
      <c r="L975" s="1966"/>
      <c r="M975" s="1966"/>
      <c r="N975" s="1967"/>
      <c r="O975" s="481"/>
      <c r="P975" s="481"/>
      <c r="Q975" s="1249"/>
      <c r="AE975" s="1198"/>
      <c r="AF975" s="1198"/>
      <c r="AG975" s="1198"/>
      <c r="AH975" s="1198"/>
      <c r="AI975" s="1198"/>
      <c r="AO975" s="1121" t="b">
        <f t="shared" si="444"/>
        <v>0</v>
      </c>
    </row>
    <row r="976" spans="2:41" ht="12.75" customHeight="1">
      <c r="B976" s="467"/>
      <c r="C976" s="1056"/>
      <c r="D976" s="982" t="s">
        <v>57</v>
      </c>
      <c r="E976" s="2470" t="s">
        <v>1079</v>
      </c>
      <c r="F976" s="2410"/>
      <c r="G976" s="815" t="str">
        <f>EUconst_TJpa</f>
        <v>TJ / year</v>
      </c>
      <c r="H976" s="1479" t="str">
        <f>c_ALR2025!M6547</f>
        <v/>
      </c>
      <c r="I976" s="1532"/>
      <c r="J976" s="1811"/>
      <c r="K976" s="1751"/>
      <c r="L976" s="1751"/>
      <c r="M976" s="1751"/>
      <c r="N976" s="1752"/>
      <c r="O976" s="481"/>
      <c r="P976" s="481"/>
      <c r="Q976" s="1970" t="str">
        <f>EUconst_CNTR_HeatExport &amp; I957</f>
        <v>HeatEx_Fuel benchmark sub-installation, non-CL</v>
      </c>
      <c r="S976" s="1968" t="str">
        <f>EUconst_CNTR_AttributedEmissions &amp; I957</f>
        <v>AttrEmissions_Fuel benchmark sub-installation, non-CL</v>
      </c>
      <c r="T976" s="1443" t="str">
        <f t="shared" ref="T976:Z976" si="461">IF(T804,-SUM(H976)*IF(ISNUMBER(H977),H977,EUconst_HeatBMvalue),"")</f>
        <v/>
      </c>
      <c r="U976" s="1443" t="str">
        <f t="shared" si="461"/>
        <v/>
      </c>
      <c r="V976" s="1443" t="str">
        <f t="shared" si="461"/>
        <v/>
      </c>
      <c r="W976" s="1443" t="str">
        <f t="shared" si="461"/>
        <v/>
      </c>
      <c r="X976" s="1443" t="str">
        <f t="shared" si="461"/>
        <v/>
      </c>
      <c r="Y976" s="1443" t="str">
        <f t="shared" si="461"/>
        <v/>
      </c>
      <c r="Z976" s="1443" t="str">
        <f t="shared" si="461"/>
        <v/>
      </c>
      <c r="AC976" s="1443" t="b">
        <f>AC973</f>
        <v>0</v>
      </c>
      <c r="AD976" s="1443" t="b">
        <f t="shared" ref="AD976:AI976" si="462">AD973</f>
        <v>0</v>
      </c>
      <c r="AE976" s="1443" t="b">
        <f t="shared" si="462"/>
        <v>0</v>
      </c>
      <c r="AF976" s="1443" t="b">
        <f t="shared" si="462"/>
        <v>0</v>
      </c>
      <c r="AG976" s="1443" t="b">
        <f t="shared" si="462"/>
        <v>0</v>
      </c>
      <c r="AH976" s="1443" t="b">
        <f t="shared" si="462"/>
        <v>0</v>
      </c>
      <c r="AI976" s="1443" t="b">
        <f t="shared" si="462"/>
        <v>0</v>
      </c>
      <c r="AK976" s="1633" t="s">
        <v>1954</v>
      </c>
      <c r="AL976" s="1635" t="str">
        <f>IF(AND(CNTR_ExistSubInstEntries,COUNTIFS(AC976:AI976,2,H976:N976,"")&gt;0),EUconst_Error&amp;"FB"&amp;Q796,"")</f>
        <v/>
      </c>
      <c r="AO976" s="1121" t="b">
        <f t="shared" si="444"/>
        <v>0</v>
      </c>
    </row>
    <row r="977" spans="2:41" ht="12.75" customHeight="1">
      <c r="B977" s="467"/>
      <c r="C977" s="1056"/>
      <c r="D977" s="982"/>
      <c r="E977" s="2475" t="s">
        <v>1541</v>
      </c>
      <c r="F977" s="2410"/>
      <c r="G977" s="991" t="str">
        <f>EUconst_tCO2pTJ</f>
        <v>t CO2 / TJ</v>
      </c>
      <c r="H977" s="1582" t="str">
        <f>c_ALR2025!M6548</f>
        <v/>
      </c>
      <c r="I977" s="1882"/>
      <c r="J977" s="1811"/>
      <c r="K977" s="1751"/>
      <c r="L977" s="1751"/>
      <c r="M977" s="1751"/>
      <c r="N977" s="1752"/>
      <c r="O977" s="481"/>
      <c r="P977" s="481"/>
      <c r="Q977" s="1970" t="str">
        <f>EUconst_CNTR_HeatExportEF &amp; I957</f>
        <v>HeatExEF_Fuel benchmark sub-installation, non-CL</v>
      </c>
      <c r="S977" s="1971"/>
      <c r="AC977" s="1443" t="b">
        <f>AC974</f>
        <v>0</v>
      </c>
      <c r="AD977" s="1443" t="b">
        <f t="shared" ref="AD977:AI977" si="463">AD974</f>
        <v>0</v>
      </c>
      <c r="AE977" s="1443" t="b">
        <f t="shared" si="463"/>
        <v>0</v>
      </c>
      <c r="AF977" s="1443" t="b">
        <f t="shared" si="463"/>
        <v>0</v>
      </c>
      <c r="AG977" s="1443" t="b">
        <f t="shared" si="463"/>
        <v>0</v>
      </c>
      <c r="AH977" s="1443" t="b">
        <f t="shared" si="463"/>
        <v>0</v>
      </c>
      <c r="AI977" s="1443" t="b">
        <f t="shared" si="463"/>
        <v>0</v>
      </c>
      <c r="AK977" s="1633" t="s">
        <v>1954</v>
      </c>
      <c r="AL977" s="1635" t="str">
        <f>IF(AND(CNTR_ExistSubInstEntries,COUNTIFS(AC977:AI977,2,H977:N977,"")&gt;0),EUconst_Error&amp;"FB"&amp;Q796,"")</f>
        <v/>
      </c>
      <c r="AO977" s="1121" t="b">
        <f t="shared" si="444"/>
        <v>0</v>
      </c>
    </row>
    <row r="978" spans="2:41" ht="12.75" customHeight="1">
      <c r="B978" s="467"/>
      <c r="C978" s="1056"/>
      <c r="D978" s="982"/>
      <c r="E978" s="3292" t="s">
        <v>2297</v>
      </c>
      <c r="F978" s="2671"/>
      <c r="G978" s="2671"/>
      <c r="H978" s="2671"/>
      <c r="I978" s="2671"/>
      <c r="J978" s="2671"/>
      <c r="K978" s="2671"/>
      <c r="L978" s="2671"/>
      <c r="M978" s="2671"/>
      <c r="N978" s="2712"/>
      <c r="O978" s="481"/>
      <c r="P978" s="481"/>
      <c r="Q978" s="1249"/>
      <c r="S978" s="1971"/>
      <c r="AE978" s="1198"/>
      <c r="AF978" s="1198"/>
      <c r="AG978" s="1198"/>
      <c r="AH978" s="1198"/>
      <c r="AI978" s="1198"/>
      <c r="AO978" s="1121" t="b">
        <f t="shared" si="444"/>
        <v>0</v>
      </c>
    </row>
    <row r="979" spans="2:41" ht="12.75" customHeight="1">
      <c r="B979" s="467"/>
      <c r="C979" s="1056"/>
      <c r="D979" s="1057"/>
      <c r="E979" s="3290" t="s">
        <v>1353</v>
      </c>
      <c r="F979" s="2646"/>
      <c r="G979" s="2646"/>
      <c r="H979" s="2646"/>
      <c r="I979" s="2646"/>
      <c r="J979" s="2646"/>
      <c r="K979" s="2646"/>
      <c r="L979" s="2646"/>
      <c r="M979" s="2646"/>
      <c r="N979" s="2647"/>
      <c r="O979" s="481"/>
      <c r="P979" s="481"/>
      <c r="Q979" s="1249"/>
      <c r="S979" s="1249"/>
      <c r="AE979" s="1198"/>
      <c r="AF979" s="1198"/>
      <c r="AG979" s="1198"/>
      <c r="AH979" s="1198"/>
      <c r="AI979" s="1198"/>
      <c r="AO979" s="1121" t="b">
        <f t="shared" si="444"/>
        <v>0</v>
      </c>
    </row>
    <row r="980" spans="2:41" ht="12.75" customHeight="1" thickBot="1">
      <c r="B980" s="467"/>
      <c r="C980" s="1063"/>
      <c r="D980" s="1064"/>
      <c r="E980" s="1064"/>
      <c r="F980" s="1064"/>
      <c r="G980" s="1064"/>
      <c r="H980" s="1064"/>
      <c r="I980" s="1064"/>
      <c r="J980" s="1064"/>
      <c r="K980" s="1064"/>
      <c r="L980" s="1064"/>
      <c r="M980" s="1065"/>
      <c r="N980" s="1066"/>
      <c r="O980" s="481"/>
      <c r="P980" s="481"/>
      <c r="Q980" s="1249"/>
      <c r="S980" s="1249"/>
      <c r="AE980" s="1198"/>
      <c r="AF980" s="1198"/>
      <c r="AG980" s="1198"/>
      <c r="AH980" s="1198"/>
      <c r="AI980" s="1198"/>
      <c r="AO980" s="1121" t="b">
        <f t="shared" si="444"/>
        <v>0</v>
      </c>
    </row>
    <row r="981" spans="2:41" ht="25.5" customHeight="1" thickBot="1">
      <c r="B981" s="1124"/>
      <c r="C981" s="485"/>
      <c r="D981" s="485"/>
      <c r="E981" s="485"/>
      <c r="F981" s="485"/>
      <c r="G981" s="485"/>
      <c r="H981" s="485"/>
      <c r="I981" s="485"/>
      <c r="J981" s="485"/>
      <c r="K981" s="485"/>
      <c r="L981" s="485"/>
      <c r="M981" s="485"/>
      <c r="N981" s="485"/>
      <c r="O981" s="481"/>
      <c r="P981" s="481"/>
    </row>
    <row r="982" spans="2:41" ht="5.0999999999999996" customHeight="1" thickBot="1">
      <c r="B982" s="467"/>
      <c r="C982" s="686"/>
      <c r="D982" s="686"/>
      <c r="E982" s="686"/>
      <c r="F982" s="686"/>
      <c r="G982" s="686"/>
      <c r="H982" s="686"/>
      <c r="I982" s="686"/>
      <c r="J982" s="686"/>
      <c r="K982" s="686"/>
      <c r="L982" s="686"/>
      <c r="M982" s="686"/>
      <c r="N982" s="686"/>
      <c r="O982" s="481"/>
      <c r="P982" s="481"/>
      <c r="Q982" s="1969"/>
      <c r="R982" s="1969"/>
      <c r="S982" s="1969"/>
      <c r="T982" s="1969"/>
      <c r="U982" s="1969"/>
      <c r="V982" s="1969"/>
      <c r="W982" s="1969"/>
      <c r="X982" s="1969"/>
      <c r="Y982" s="1969"/>
      <c r="Z982" s="1969"/>
      <c r="AA982" s="1969"/>
      <c r="AB982" s="1969"/>
      <c r="AC982" s="1969"/>
      <c r="AD982" s="1969"/>
      <c r="AE982" s="1969"/>
      <c r="AF982" s="1969"/>
      <c r="AG982" s="1969"/>
      <c r="AH982" s="1969"/>
      <c r="AI982" s="1969"/>
      <c r="AJ982" s="1969"/>
      <c r="AK982" s="1969"/>
      <c r="AL982" s="1969"/>
    </row>
    <row r="983" spans="2:41" ht="14.45" customHeight="1" thickBot="1">
      <c r="B983" s="467"/>
      <c r="C983" s="559">
        <f>C796+1</f>
        <v>6</v>
      </c>
      <c r="D983" s="2482" t="str">
        <f>EUconst_FBSubinst &amp; ":"</f>
        <v>Fall-Back sub-installation:</v>
      </c>
      <c r="E983" s="2400"/>
      <c r="F983" s="2400"/>
      <c r="G983" s="2400"/>
      <c r="H983" s="2585"/>
      <c r="I983" s="3293" t="str">
        <f>INDEX(EUconst_FallBackListNames,$C983)</f>
        <v>Process emissions sub-installation, CL</v>
      </c>
      <c r="J983" s="3294"/>
      <c r="K983" s="3294"/>
      <c r="L983" s="3295"/>
      <c r="M983" s="3370" t="str">
        <f>IF(INDEX(CNTR_FallBackSubInstRelevant,C983)="","",IF(INDEX(CNTR_FallBackSubInstRelevant,C983),EUconst_Relevant,EUconst_NotRelevant))</f>
        <v/>
      </c>
      <c r="N983" s="3371"/>
      <c r="O983" s="481"/>
      <c r="P983" s="481"/>
      <c r="Q983" s="1889">
        <f>C983</f>
        <v>6</v>
      </c>
      <c r="S983" s="1633" t="s">
        <v>558</v>
      </c>
      <c r="T983" s="1634" t="str">
        <f>IF(M983&lt;&gt;EUconst_Relevant,"",MAX(INDEX(CNTR_SubInstStartDate,MATCH($I983,CNTR_SubInstListNames,0)),DATE(2005,1,1)))</f>
        <v/>
      </c>
      <c r="U983" s="1435" t="s">
        <v>1673</v>
      </c>
      <c r="V983" s="1635">
        <f>IF(ISNUMBER(T983),YEAR($T983-1)+1,2005)</f>
        <v>2005</v>
      </c>
      <c r="W983" s="1633" t="s">
        <v>1676</v>
      </c>
      <c r="X983" s="1634" t="str">
        <f>IF(M983&lt;&gt;EUconst_Relevant,"",INDEX(CNTR_SubInstCessationDate,MATCH($I983,CNTR_SubInstListNames,0)))</f>
        <v/>
      </c>
      <c r="Y983" s="1633" t="s">
        <v>1677</v>
      </c>
      <c r="Z983" s="1635">
        <f>IF(SUM(X983)=0,2050,YEAR($X983))</f>
        <v>2050</v>
      </c>
      <c r="AA983" s="1633" t="s">
        <v>1925</v>
      </c>
      <c r="AB983" s="1635" t="b">
        <f>CNTR_ReportingYear&gt;V983</f>
        <v>1</v>
      </c>
      <c r="AC983" s="1633" t="s">
        <v>1343</v>
      </c>
      <c r="AD983" s="1848" t="b">
        <f>AND(CNTR_ExistSubInstEntries,M983=EUconst_NotRelevant)</f>
        <v>0</v>
      </c>
    </row>
    <row r="984" spans="2:41" ht="12.75" customHeight="1">
      <c r="B984" s="1124"/>
      <c r="C984" s="485"/>
      <c r="D984" s="485"/>
      <c r="E984" s="485"/>
      <c r="F984" s="485"/>
      <c r="G984" s="485"/>
      <c r="H984" s="484"/>
      <c r="I984" s="2716" t="str">
        <f>IF(M983&lt;&gt;EUconst_Relevant,"",IF(M983=EUconst_Relevant,HYPERLINK("",EUconst_MsgEnterThisSection),HYPERLINK(R984,EUconst_MsgGoToNextSubInst)))</f>
        <v/>
      </c>
      <c r="J984" s="2717"/>
      <c r="K984" s="2717"/>
      <c r="L984" s="2717"/>
      <c r="M984" s="2718"/>
      <c r="N984" s="2719"/>
      <c r="O984" s="481"/>
      <c r="P984" s="481"/>
      <c r="Q984" s="1198" t="s">
        <v>441</v>
      </c>
      <c r="R984" s="1303" t="str">
        <f>"#JUMP_G"&amp;Q983+1</f>
        <v>#JUMP_G7</v>
      </c>
      <c r="Z984" s="1435"/>
    </row>
    <row r="985" spans="2:41" ht="12.75" customHeight="1">
      <c r="B985" s="467"/>
      <c r="C985" s="467"/>
      <c r="D985" s="485"/>
      <c r="E985" s="2385" t="s">
        <v>1197</v>
      </c>
      <c r="F985" s="2846"/>
      <c r="G985" s="2846"/>
      <c r="H985" s="2846"/>
      <c r="I985" s="2846"/>
      <c r="J985" s="2846"/>
      <c r="K985" s="2846"/>
      <c r="L985" s="2846"/>
      <c r="M985" s="2846"/>
      <c r="N985" s="2846"/>
      <c r="O985" s="481"/>
      <c r="P985" s="481"/>
      <c r="Q985" s="1249"/>
      <c r="R985" s="1249"/>
      <c r="AO985" s="1121" t="b">
        <f>$AD$983</f>
        <v>0</v>
      </c>
    </row>
    <row r="986" spans="2:41" ht="5.0999999999999996" customHeight="1">
      <c r="B986" s="467"/>
      <c r="C986" s="467"/>
      <c r="D986" s="467"/>
      <c r="E986" s="467"/>
      <c r="F986" s="467"/>
      <c r="G986" s="467"/>
      <c r="H986" s="467"/>
      <c r="I986" s="467"/>
      <c r="J986" s="467"/>
      <c r="K986" s="467"/>
      <c r="L986" s="467"/>
      <c r="M986" s="481"/>
      <c r="N986" s="481"/>
      <c r="O986" s="481"/>
      <c r="P986" s="481"/>
      <c r="Q986" s="1249"/>
      <c r="R986" s="1249"/>
      <c r="S986" s="1249"/>
      <c r="T986" s="1249"/>
      <c r="U986" s="1249"/>
      <c r="V986" s="1249"/>
      <c r="W986" s="1249"/>
      <c r="X986" s="1249"/>
      <c r="Y986" s="1249"/>
      <c r="AO986" s="1121" t="b">
        <f t="shared" ref="AO986:AO1049" si="464">$AD$983</f>
        <v>0</v>
      </c>
    </row>
    <row r="987" spans="2:41" ht="12.75" customHeight="1">
      <c r="B987" s="467"/>
      <c r="C987" s="482"/>
      <c r="D987" s="482" t="s">
        <v>400</v>
      </c>
      <c r="E987" s="2373" t="s">
        <v>1930</v>
      </c>
      <c r="F987" s="2400"/>
      <c r="G987" s="2400"/>
      <c r="H987" s="2400"/>
      <c r="I987" s="2400"/>
      <c r="J987" s="2400"/>
      <c r="K987" s="2400"/>
      <c r="L987" s="2400"/>
      <c r="M987" s="2400"/>
      <c r="N987" s="2400"/>
      <c r="O987" s="481"/>
      <c r="P987" s="481"/>
      <c r="Q987" s="1249"/>
      <c r="AB987" s="1435"/>
      <c r="AO987" s="1121" t="b">
        <f t="shared" si="464"/>
        <v>0</v>
      </c>
    </row>
    <row r="988" spans="2:41" ht="12.75" customHeight="1">
      <c r="B988" s="467"/>
      <c r="C988" s="485"/>
      <c r="D988" s="485"/>
      <c r="E988" s="3184" t="s">
        <v>1484</v>
      </c>
      <c r="F988" s="3184"/>
      <c r="G988" s="3184"/>
      <c r="H988" s="3184"/>
      <c r="I988" s="3184"/>
      <c r="J988" s="3184"/>
      <c r="K988" s="3184"/>
      <c r="L988" s="3184"/>
      <c r="M988" s="3184"/>
      <c r="N988" s="3184"/>
      <c r="O988" s="481"/>
      <c r="P988" s="481"/>
      <c r="Q988" s="1249"/>
      <c r="AO988" s="1121" t="b">
        <f t="shared" si="464"/>
        <v>0</v>
      </c>
    </row>
    <row r="989" spans="2:41" ht="12.75" customHeight="1" thickBot="1">
      <c r="B989" s="1124"/>
      <c r="C989" s="482"/>
      <c r="D989" s="482"/>
      <c r="E989" s="1070" t="s">
        <v>920</v>
      </c>
      <c r="F989" s="1071"/>
      <c r="G989" s="1072" t="str">
        <f>EUconst_Unit</f>
        <v>Unit</v>
      </c>
      <c r="H989" s="1073">
        <f t="shared" ref="H989:N989" si="465">H$1190</f>
        <v>2024</v>
      </c>
      <c r="I989" s="1074">
        <f t="shared" si="465"/>
        <v>2025</v>
      </c>
      <c r="J989" s="1489">
        <f t="shared" si="465"/>
        <v>2026</v>
      </c>
      <c r="K989" s="1490">
        <f t="shared" si="465"/>
        <v>2027</v>
      </c>
      <c r="L989" s="1490">
        <f t="shared" si="465"/>
        <v>2028</v>
      </c>
      <c r="M989" s="1490">
        <f t="shared" si="465"/>
        <v>2029</v>
      </c>
      <c r="N989" s="1490">
        <f t="shared" si="465"/>
        <v>2030</v>
      </c>
      <c r="O989" s="481"/>
      <c r="P989" s="481"/>
      <c r="Q989" s="1504" t="s">
        <v>546</v>
      </c>
      <c r="T989" s="1638">
        <f t="shared" ref="T989:Z989" si="466">H989</f>
        <v>2024</v>
      </c>
      <c r="U989" s="1638">
        <f t="shared" si="466"/>
        <v>2025</v>
      </c>
      <c r="V989" s="1638">
        <f t="shared" si="466"/>
        <v>2026</v>
      </c>
      <c r="W989" s="1638">
        <f t="shared" si="466"/>
        <v>2027</v>
      </c>
      <c r="X989" s="1638">
        <f t="shared" si="466"/>
        <v>2028</v>
      </c>
      <c r="Y989" s="1638">
        <f t="shared" si="466"/>
        <v>2029</v>
      </c>
      <c r="Z989" s="1638">
        <f t="shared" si="466"/>
        <v>2030</v>
      </c>
      <c r="AA989" s="1435"/>
      <c r="AC989" s="1638">
        <f>T989</f>
        <v>2024</v>
      </c>
      <c r="AD989" s="1638">
        <f t="shared" ref="AD989:AI989" si="467">U989</f>
        <v>2025</v>
      </c>
      <c r="AE989" s="1638">
        <f t="shared" si="467"/>
        <v>2026</v>
      </c>
      <c r="AF989" s="1638">
        <f t="shared" si="467"/>
        <v>2027</v>
      </c>
      <c r="AG989" s="1638">
        <f t="shared" si="467"/>
        <v>2028</v>
      </c>
      <c r="AH989" s="1638">
        <f t="shared" si="467"/>
        <v>2029</v>
      </c>
      <c r="AI989" s="1638">
        <f t="shared" si="467"/>
        <v>2030</v>
      </c>
      <c r="AO989" s="1121" t="b">
        <f t="shared" si="464"/>
        <v>0</v>
      </c>
    </row>
    <row r="990" spans="2:41" ht="12.75" customHeight="1" thickBot="1">
      <c r="B990" s="1124"/>
      <c r="C990" s="485"/>
      <c r="D990" s="561" t="s">
        <v>6</v>
      </c>
      <c r="E990" s="3296" t="str">
        <f>I983</f>
        <v>Process emissions sub-installation, CL</v>
      </c>
      <c r="F990" s="3296"/>
      <c r="G990" s="898" t="str">
        <f>INDEX(EUconst_FallBackListUnits,MATCH(E990,EUconst_FallBackListNames,0))</f>
        <v>t CO2e</v>
      </c>
      <c r="H990" s="1479" t="str">
        <f>c_ALR2025!M6561</f>
        <v/>
      </c>
      <c r="I990" s="1528"/>
      <c r="J990" s="1491"/>
      <c r="K990" s="1492"/>
      <c r="L990" s="1492"/>
      <c r="M990" s="1492"/>
      <c r="N990" s="1492"/>
      <c r="O990" s="1136"/>
      <c r="P990" s="481"/>
      <c r="Q990" s="1892" t="str">
        <f>EUconst_CNTR_HAL&amp;E990</f>
        <v>HAL_Process emissions sub-installation, CL</v>
      </c>
      <c r="S990" s="1893" t="s">
        <v>1674</v>
      </c>
      <c r="T990" s="1981" t="b">
        <f t="shared" ref="T990:Z990" si="468">AND($M983=EUconst_Relevant,T989&lt;CNTR_ReportingYear,T989&gt;=$V983-1)</f>
        <v>0</v>
      </c>
      <c r="U990" s="1982" t="b">
        <f t="shared" si="468"/>
        <v>0</v>
      </c>
      <c r="V990" s="1982" t="b">
        <f t="shared" si="468"/>
        <v>0</v>
      </c>
      <c r="W990" s="1982" t="b">
        <f t="shared" si="468"/>
        <v>0</v>
      </c>
      <c r="X990" s="1982" t="b">
        <f t="shared" si="468"/>
        <v>0</v>
      </c>
      <c r="Y990" s="1982" t="b">
        <f t="shared" si="468"/>
        <v>0</v>
      </c>
      <c r="Z990" s="1983" t="b">
        <f t="shared" si="468"/>
        <v>0</v>
      </c>
      <c r="AB990" s="1641" t="s">
        <v>717</v>
      </c>
      <c r="AC990" s="1853" t="b">
        <f t="shared" ref="AC990:AI990" si="469">IF(CNTR_ExistSubInstEntries,OR($M983=EUconst_NotRelevant,AC989&gt;=CNTR_ReportingYear,AC989&lt;$V983-1),FALSE)</f>
        <v>0</v>
      </c>
      <c r="AD990" s="1642" t="b">
        <f t="shared" si="469"/>
        <v>0</v>
      </c>
      <c r="AE990" s="1642" t="b">
        <f t="shared" si="469"/>
        <v>0</v>
      </c>
      <c r="AF990" s="1642" t="b">
        <f t="shared" si="469"/>
        <v>0</v>
      </c>
      <c r="AG990" s="1642" t="b">
        <f t="shared" si="469"/>
        <v>0</v>
      </c>
      <c r="AH990" s="1642" t="b">
        <f t="shared" si="469"/>
        <v>0</v>
      </c>
      <c r="AI990" s="1643" t="b">
        <f t="shared" si="469"/>
        <v>0</v>
      </c>
      <c r="AK990" s="1633" t="s">
        <v>1951</v>
      </c>
      <c r="AL990" s="1443" t="str">
        <f>IF(COUNTIFS(H989:N989,"&lt;"&amp;YEAR(SUM(T983)),H990:N990,"&gt;"&amp;0)&gt;0,EUconst_Error&amp;"FB"&amp;Q983,"")</f>
        <v/>
      </c>
      <c r="AO990" s="1121" t="b">
        <f t="shared" si="464"/>
        <v>0</v>
      </c>
    </row>
    <row r="991" spans="2:41" ht="5.0999999999999996" customHeight="1">
      <c r="B991" s="479"/>
      <c r="C991" s="479"/>
      <c r="D991" s="485"/>
      <c r="E991" s="485"/>
      <c r="F991" s="485"/>
      <c r="G991" s="485"/>
      <c r="H991" s="485"/>
      <c r="I991" s="485"/>
      <c r="J991" s="485"/>
      <c r="K991" s="485"/>
      <c r="L991" s="485"/>
      <c r="M991" s="485"/>
      <c r="N991" s="485"/>
      <c r="O991" s="485"/>
      <c r="P991" s="481"/>
      <c r="Q991" s="1435"/>
      <c r="S991" s="1435"/>
      <c r="T991" s="1435"/>
      <c r="Z991" s="1435"/>
      <c r="AB991" s="1435"/>
      <c r="AO991" s="1121" t="b">
        <f t="shared" si="464"/>
        <v>0</v>
      </c>
    </row>
    <row r="992" spans="2:41" ht="25.5" customHeight="1">
      <c r="B992" s="479"/>
      <c r="C992" s="479"/>
      <c r="D992" s="485"/>
      <c r="E992" s="2385" t="s">
        <v>1712</v>
      </c>
      <c r="F992" s="2846"/>
      <c r="G992" s="2846"/>
      <c r="H992" s="2846"/>
      <c r="I992" s="2846"/>
      <c r="J992" s="2846"/>
      <c r="K992" s="2846"/>
      <c r="L992" s="2846"/>
      <c r="M992" s="2846"/>
      <c r="N992" s="2846"/>
      <c r="O992" s="485"/>
      <c r="P992" s="481"/>
      <c r="Q992" s="1435"/>
      <c r="S992" s="1435"/>
      <c r="T992" s="1435"/>
      <c r="U992" s="1435"/>
      <c r="AE992" s="1198"/>
      <c r="AF992" s="1198"/>
      <c r="AG992" s="1198"/>
      <c r="AH992" s="1198"/>
      <c r="AI992" s="1198"/>
      <c r="AJ992" s="1198"/>
      <c r="AK992" s="1198"/>
      <c r="AL992" s="1198"/>
      <c r="AO992" s="1121" t="b">
        <f t="shared" si="464"/>
        <v>0</v>
      </c>
    </row>
    <row r="993" spans="1:41" ht="12.75" customHeight="1">
      <c r="B993" s="479"/>
      <c r="C993" s="479"/>
      <c r="D993" s="485"/>
      <c r="E993" s="901" t="s">
        <v>1021</v>
      </c>
      <c r="F993" s="3050" t="s">
        <v>2711</v>
      </c>
      <c r="G993" s="2584"/>
      <c r="H993" s="2584"/>
      <c r="I993" s="2584"/>
      <c r="J993" s="2584"/>
      <c r="K993" s="2584"/>
      <c r="L993" s="2584"/>
      <c r="M993" s="2584"/>
      <c r="N993" s="2584"/>
      <c r="O993" s="485"/>
      <c r="P993" s="481"/>
      <c r="Q993" s="1435"/>
      <c r="S993" s="1435"/>
      <c r="T993" s="1435"/>
      <c r="U993" s="1435"/>
      <c r="AO993" s="1121" t="b">
        <f t="shared" si="464"/>
        <v>0</v>
      </c>
    </row>
    <row r="994" spans="1:41" ht="12.75" customHeight="1">
      <c r="B994" s="479"/>
      <c r="C994" s="479"/>
      <c r="D994" s="485"/>
      <c r="E994" s="901" t="s">
        <v>1021</v>
      </c>
      <c r="F994" s="3050" t="s">
        <v>1985</v>
      </c>
      <c r="G994" s="2584"/>
      <c r="H994" s="2584"/>
      <c r="I994" s="2584"/>
      <c r="J994" s="2584"/>
      <c r="K994" s="2584"/>
      <c r="L994" s="2584"/>
      <c r="M994" s="2584"/>
      <c r="N994" s="2584"/>
      <c r="O994" s="485"/>
      <c r="P994" s="481"/>
      <c r="Q994" s="1435"/>
      <c r="S994" s="1435"/>
      <c r="T994" s="1435"/>
      <c r="U994" s="1435"/>
      <c r="AO994" s="1121" t="b">
        <f t="shared" si="464"/>
        <v>0</v>
      </c>
    </row>
    <row r="995" spans="1:41" ht="12.75" customHeight="1" thickBot="1">
      <c r="B995" s="479"/>
      <c r="C995" s="479"/>
      <c r="D995" s="485"/>
      <c r="E995" s="901" t="s">
        <v>2748</v>
      </c>
      <c r="F995" s="3050" t="s">
        <v>2720</v>
      </c>
      <c r="G995" s="2584"/>
      <c r="H995" s="2584"/>
      <c r="I995" s="2584"/>
      <c r="J995" s="2584"/>
      <c r="K995" s="2584"/>
      <c r="L995" s="2584"/>
      <c r="M995" s="2584"/>
      <c r="N995" s="2584"/>
      <c r="O995" s="485"/>
      <c r="P995" s="481"/>
      <c r="Q995" s="1435"/>
      <c r="S995" s="1435"/>
      <c r="T995" s="1435"/>
      <c r="U995" s="1435"/>
      <c r="AO995" s="1121" t="b">
        <f t="shared" si="464"/>
        <v>0</v>
      </c>
    </row>
    <row r="996" spans="1:41" ht="5.0999999999999996" customHeight="1" thickBot="1">
      <c r="B996" s="479"/>
      <c r="C996" s="479"/>
      <c r="D996" s="902"/>
      <c r="E996" s="903"/>
      <c r="F996" s="904"/>
      <c r="G996" s="905"/>
      <c r="H996" s="905"/>
      <c r="I996" s="905"/>
      <c r="J996" s="906"/>
      <c r="K996" s="1798"/>
      <c r="L996" s="1798"/>
      <c r="M996" s="1798"/>
      <c r="N996" s="1798"/>
      <c r="O996" s="485"/>
      <c r="P996" s="481"/>
      <c r="Q996" s="1435"/>
      <c r="S996" s="1435"/>
      <c r="T996" s="1435"/>
      <c r="U996" s="1435"/>
      <c r="AO996" s="1121" t="b">
        <f t="shared" si="464"/>
        <v>0</v>
      </c>
    </row>
    <row r="997" spans="1:41" ht="12.75" customHeight="1">
      <c r="B997" s="479"/>
      <c r="C997" s="479"/>
      <c r="D997" s="918"/>
      <c r="E997" s="908" t="s">
        <v>1652</v>
      </c>
      <c r="F997" s="909"/>
      <c r="G997" s="909"/>
      <c r="H997" s="910" t="str">
        <f>EUconst_Unit</f>
        <v>Unit</v>
      </c>
      <c r="I997" s="911" t="s">
        <v>1646</v>
      </c>
      <c r="J997" s="1647">
        <f>J$1190</f>
        <v>2026</v>
      </c>
      <c r="K997" s="1490">
        <f>K$1190</f>
        <v>2027</v>
      </c>
      <c r="L997" s="1490">
        <f>L$1190</f>
        <v>2028</v>
      </c>
      <c r="M997" s="1490">
        <f>M$1190</f>
        <v>2029</v>
      </c>
      <c r="N997" s="1490">
        <f>N$1190</f>
        <v>2030</v>
      </c>
      <c r="O997" s="485"/>
      <c r="P997" s="481"/>
      <c r="Q997" s="1435"/>
      <c r="S997" s="1435"/>
      <c r="T997" s="1435"/>
      <c r="U997" s="1648"/>
      <c r="V997" s="1649">
        <f>J997</f>
        <v>2026</v>
      </c>
      <c r="W997" s="1649">
        <f>K997</f>
        <v>2027</v>
      </c>
      <c r="X997" s="1649">
        <f>L997</f>
        <v>2028</v>
      </c>
      <c r="Y997" s="1649">
        <f>M997</f>
        <v>2029</v>
      </c>
      <c r="Z997" s="1650">
        <f>N997</f>
        <v>2030</v>
      </c>
      <c r="AO997" s="1121" t="b">
        <f t="shared" si="464"/>
        <v>0</v>
      </c>
    </row>
    <row r="998" spans="1:41" ht="12.75" customHeight="1">
      <c r="B998" s="479"/>
      <c r="C998" s="479"/>
      <c r="D998" s="915" t="s">
        <v>7</v>
      </c>
      <c r="E998" s="916" t="s">
        <v>1976</v>
      </c>
      <c r="F998" s="916"/>
      <c r="G998" s="916"/>
      <c r="H998" s="944" t="str">
        <f>G990</f>
        <v>t CO2e</v>
      </c>
      <c r="I998" s="800" t="str">
        <f>IF(V983&gt;($J$1190-3),EUconst_NA,INDEX('B+C_SubInstallations'!$I:$I,MATCH(Q998,'B+C_SubInstallations'!$T:$T,0)))</f>
        <v/>
      </c>
      <c r="J998" s="1894" t="str">
        <f>IF(AND(V998&gt;=3,CNTR_ReportingYear&gt;J997-1),AVERAGE(SUM(H990),SUM(I990)),"")</f>
        <v/>
      </c>
      <c r="K998" s="1895" t="str">
        <f>IF(AND(W998&gt;=3,CNTR_ReportingYear&gt;K997-1),AVERAGE(SUM(I990),SUM(J990)),"")</f>
        <v/>
      </c>
      <c r="L998" s="1895" t="str">
        <f>IF(AND(X998&gt;=3,CNTR_ReportingYear&gt;L997-1),AVERAGE(SUM(J990),SUM(K990)),"")</f>
        <v/>
      </c>
      <c r="M998" s="1895" t="str">
        <f>IF(AND(Y998&gt;=3,CNTR_ReportingYear&gt;M997-1),AVERAGE(SUM(K990),SUM(L990)),"")</f>
        <v/>
      </c>
      <c r="N998" s="1895" t="str">
        <f>IF(AND(Z998&gt;=3,CNTR_ReportingYear&gt;N997-1),AVERAGE(SUM(L990),SUM(M990)),"")</f>
        <v/>
      </c>
      <c r="O998" s="485"/>
      <c r="P998" s="481"/>
      <c r="Q998" s="1704" t="str">
        <f>EUconst_CNTR_HALinitial&amp;I983</f>
        <v>HALini_Process emissions sub-installation, CL</v>
      </c>
      <c r="S998" s="1435"/>
      <c r="T998" s="1435"/>
      <c r="U998" s="1693" t="s">
        <v>1650</v>
      </c>
      <c r="V998" s="1251">
        <f>IF($M983&lt;&gt;EUconst_Relevant,0,V997-$V983+1)</f>
        <v>0</v>
      </c>
      <c r="W998" s="1251">
        <f>IF($M983&lt;&gt;EUconst_Relevant,0,W997-$V983+1)</f>
        <v>0</v>
      </c>
      <c r="X998" s="1251">
        <f>IF($M983&lt;&gt;EUconst_Relevant,0,X997-$V983+1)</f>
        <v>0</v>
      </c>
      <c r="Y998" s="1251">
        <f>IF($M983&lt;&gt;EUconst_Relevant,0,Y997-$V983+1)</f>
        <v>0</v>
      </c>
      <c r="Z998" s="1896">
        <f>IF($M983&lt;&gt;EUconst_Relevant,0,Z997-$V983+1)</f>
        <v>0</v>
      </c>
      <c r="AO998" s="1121" t="b">
        <f t="shared" si="464"/>
        <v>0</v>
      </c>
    </row>
    <row r="999" spans="1:41" ht="12.75" hidden="1" customHeight="1">
      <c r="A999" s="618" t="s">
        <v>2289</v>
      </c>
      <c r="B999" s="479"/>
      <c r="C999" s="479"/>
      <c r="D999" s="915"/>
      <c r="E999" s="916" t="s">
        <v>1648</v>
      </c>
      <c r="F999" s="916"/>
      <c r="G999" s="916"/>
      <c r="H999" s="921"/>
      <c r="I999" s="1657"/>
      <c r="J999" s="17" t="str">
        <f>IF(J998="","",IF($I1001=0,IF(J998=0,0%,100%),J998/$I1001-1))</f>
        <v/>
      </c>
      <c r="K999" s="22" t="str">
        <f>IF(K998="","",IF($I1001=0,IF(K998=0,0%,100%),K998/$I1001-1))</f>
        <v/>
      </c>
      <c r="L999" s="22" t="str">
        <f>IF(L998="","",IF($I1001=0,IF(L998=0,0%,100%),L998/$I1001-1))</f>
        <v/>
      </c>
      <c r="M999" s="22" t="str">
        <f>IF(M998="","",IF($I1001=0,IF(M998=0,0%,100%),M998/$I1001-1))</f>
        <v/>
      </c>
      <c r="N999" s="22" t="str">
        <f>IF(N998="","",IF($I1001=0,IF(N998=0,0%,100%),N998/$I1001-1))</f>
        <v/>
      </c>
      <c r="O999" s="485"/>
      <c r="P999" s="481"/>
      <c r="Q999" s="1644" t="str">
        <f>EUconst_CNTR_RelThreshold &amp;I983</f>
        <v>RelThresh_Process emissions sub-installation, CL</v>
      </c>
      <c r="S999" s="1435"/>
      <c r="T999" s="1435"/>
      <c r="U999" s="1693" t="s">
        <v>1655</v>
      </c>
      <c r="V999" s="1158" t="str">
        <f>IF(J998="","",ABS(J999)&gt;15%)</f>
        <v/>
      </c>
      <c r="W999" s="1158" t="str">
        <f>IF(K998="","",ABS(K999)&gt;15%)</f>
        <v/>
      </c>
      <c r="X999" s="1158" t="str">
        <f>IF(L998="","",ABS(L999)&gt;15%)</f>
        <v/>
      </c>
      <c r="Y999" s="1158" t="str">
        <f>IF(M998="","",ABS(M999)&gt;15%)</f>
        <v/>
      </c>
      <c r="Z999" s="1656" t="str">
        <f>IF(N998="","",ABS(N999)&gt;15%)</f>
        <v/>
      </c>
      <c r="AO999" s="1121" t="b">
        <f t="shared" si="464"/>
        <v>0</v>
      </c>
    </row>
    <row r="1000" spans="1:41" ht="12.75" customHeight="1">
      <c r="A1000" s="618"/>
      <c r="B1000" s="479"/>
      <c r="C1000" s="479"/>
      <c r="D1000" s="915" t="s">
        <v>8</v>
      </c>
      <c r="E1000" s="916" t="s">
        <v>1654</v>
      </c>
      <c r="F1000" s="916"/>
      <c r="G1000" s="916"/>
      <c r="H1000" s="921"/>
      <c r="I1000" s="1657"/>
      <c r="J1000" s="1658" t="str">
        <f>IF(J998="","",IF(V999=FALSE,0%,IF(V1000,J999,I1006)))</f>
        <v/>
      </c>
      <c r="K1000" s="1795" t="str">
        <f>IF(K998="","",IF(W999=FALSE,0%,IF(W1000,K999,J1006)))</f>
        <v/>
      </c>
      <c r="L1000" s="1795" t="str">
        <f>IF(L998="","",IF(X999=FALSE,0%,IF(X1000,L999,K1006)))</f>
        <v/>
      </c>
      <c r="M1000" s="1795" t="str">
        <f>IF(M998="","",IF(Y999=FALSE,0%,IF(Y1000,M999,L1006)))</f>
        <v/>
      </c>
      <c r="N1000" s="1795" t="str">
        <f>IF(N998="","",IF(Z999=FALSE,0%,IF(Z1000,N999,M1006)))</f>
        <v/>
      </c>
      <c r="O1000" s="485"/>
      <c r="P1000" s="481"/>
      <c r="Q1000" s="1435"/>
      <c r="S1000" s="1435"/>
      <c r="T1000" s="1435"/>
      <c r="U1000" s="1693" t="s">
        <v>1656</v>
      </c>
      <c r="V1000" s="1158" t="str">
        <f>IF(J998="","",AND(V999,IF(SUM(I1006)&lt;0,OR(SUM(J999)&lt;SUM(I1006)-MOD(SUM(I1006),5%),J999&gt;=SUM(I1006)+5%-MOD(SUM(I1006),5%)),OR(SUM(J999)&lt;=SUM(I1006)-MOD(SUM(I1006),5%),SUM(J999)&gt;SUM(I1006)+5%-MOD(SUM(I1006),5%)))))</f>
        <v/>
      </c>
      <c r="W1000" s="1158" t="str">
        <f>IF(K998="","",AND(W999,IF(SUM(J1006)&lt;0,OR(SUM(K999)&lt;SUM(J1006)-MOD(SUM(J1006),5%),K999&gt;=SUM(J1006)+5%-MOD(SUM(J1006),5%)),OR(SUM(K999)&lt;=SUM(J1006)-MOD(SUM(J1006),5%),SUM(K999)&gt;SUM(J1006)+5%-MOD(SUM(J1006),5%)))))</f>
        <v/>
      </c>
      <c r="X1000" s="1158" t="str">
        <f>IF(L998="","",AND(X999,IF(SUM(K1006)&lt;0,OR(SUM(L999)&lt;SUM(K1006)-MOD(SUM(K1006),5%),L999&gt;=SUM(K1006)+5%-MOD(SUM(K1006),5%)),OR(SUM(L999)&lt;=SUM(K1006)-MOD(SUM(K1006),5%),SUM(L999)&gt;SUM(K1006)+5%-MOD(SUM(K1006),5%)))))</f>
        <v/>
      </c>
      <c r="Y1000" s="1158" t="str">
        <f>IF(M998="","",AND(Y999,IF(SUM(L1006)&lt;0,OR(SUM(M999)&lt;SUM(L1006)-MOD(SUM(L1006),5%),M999&gt;=SUM(L1006)+5%-MOD(SUM(L1006),5%)),OR(SUM(M999)&lt;=SUM(L1006)-MOD(SUM(L1006),5%),SUM(M999)&gt;SUM(L1006)+5%-MOD(SUM(L1006),5%)))))</f>
        <v/>
      </c>
      <c r="Z1000" s="1656" t="str">
        <f>IF(N998="","",AND(Z999,IF(SUM(M1006)&lt;0,OR(SUM(N999)&lt;SUM(M1006)-MOD(SUM(M1006),5%),N999&gt;=SUM(M1006)+5%-MOD(SUM(M1006),5%)),OR(SUM(N999)&lt;=SUM(M1006)-MOD(SUM(M1006),5%),SUM(N999)&gt;SUM(M1006)+5%-MOD(SUM(M1006),5%)))))</f>
        <v/>
      </c>
      <c r="AO1000" s="1121" t="b">
        <f t="shared" si="464"/>
        <v>0</v>
      </c>
    </row>
    <row r="1001" spans="1:41" ht="12.75" customHeight="1">
      <c r="A1001" s="618"/>
      <c r="B1001" s="479"/>
      <c r="C1001" s="479"/>
      <c r="D1001" s="915" t="s">
        <v>18</v>
      </c>
      <c r="E1001" s="916" t="s">
        <v>1647</v>
      </c>
      <c r="F1001" s="916"/>
      <c r="G1001" s="916"/>
      <c r="H1001" s="944" t="str">
        <f>H998</f>
        <v>t CO2e</v>
      </c>
      <c r="I1001" s="800" t="str">
        <f>IF(M983&lt;&gt;EUconst_Relevant,"",IF(AB983=FALSE,EUconst_NA,IF(V983&gt;($J$1190-3),INDEX(H990:N990,MATCH($V983,H989:N989,0)),I998)))</f>
        <v/>
      </c>
      <c r="J1001" s="1894" t="str">
        <f>IF($M983&lt;&gt;EUconst_Relevant,"",IF(V998&lt;2,SUM(J990),IF(V998&lt;3,SUM(I990),IF(V1001="",I1001,V1001))))</f>
        <v/>
      </c>
      <c r="K1001" s="1895" t="str">
        <f>IF($M983&lt;&gt;EUconst_Relevant,"",IF(W998&lt;2,SUM(K990),IF(W998&lt;3,SUM(J990),IF(W1001="",J1001,W1001))))</f>
        <v/>
      </c>
      <c r="L1001" s="1895" t="str">
        <f>IF($M983&lt;&gt;EUconst_Relevant,"",IF(X998&lt;2,SUM(L990),IF(X998&lt;3,SUM(K990),IF(X1001="",K1001,X1001))))</f>
        <v/>
      </c>
      <c r="M1001" s="1895" t="str">
        <f>IF($M983&lt;&gt;EUconst_Relevant,"",IF(Y998&lt;2,SUM(M990),IF(Y998&lt;3,SUM(L990),IF(Y1001="",L1001,Y1001))))</f>
        <v/>
      </c>
      <c r="N1001" s="1895" t="str">
        <f>IF($M983&lt;&gt;EUconst_Relevant,"",IF(Z998&lt;2,SUM(N990),IF(Z998&lt;3,SUM(M990),IF(Z1001="",M1001,Z1001))))</f>
        <v/>
      </c>
      <c r="O1001" s="1136"/>
      <c r="P1001" s="481"/>
      <c r="Q1001" s="1644" t="str">
        <f>EUconst_CNTR_HALprelim&amp;I983</f>
        <v>HALprelim_Process emissions sub-installation, CL</v>
      </c>
      <c r="S1001" s="1435"/>
      <c r="T1001" s="1435"/>
      <c r="U1001" s="1693" t="s">
        <v>1651</v>
      </c>
      <c r="V1001" s="1660" t="str">
        <f>IF(J998="","",IF(CNTR_ReportingYear&lt;J997,I1000,IF($I1001=0,J998,$I1001*(1+J1000))))</f>
        <v/>
      </c>
      <c r="W1001" s="1660" t="str">
        <f>IF(K998="","",IF(CNTR_ReportingYear&lt;K997,J1000,IF($I1001=0,K998,$I1001*(1+K1000))))</f>
        <v/>
      </c>
      <c r="X1001" s="1660" t="str">
        <f>IF(L998="","",IF(CNTR_ReportingYear&lt;L997,K1000,IF($I1001=0,L998,$I1001*(1+L1000))))</f>
        <v/>
      </c>
      <c r="Y1001" s="1660" t="str">
        <f>IF(M998="","",IF(CNTR_ReportingYear&lt;M997,L1000,IF($I1001=0,M998,$I1001*(1+M1000))))</f>
        <v/>
      </c>
      <c r="Z1001" s="1661" t="str">
        <f>IF(N998="","",IF(CNTR_ReportingYear&lt;N997,M1000,IF($I1001=0,N998,$I1001*(1+N1000))))</f>
        <v/>
      </c>
      <c r="AO1001" s="1121" t="b">
        <f t="shared" si="464"/>
        <v>0</v>
      </c>
    </row>
    <row r="1002" spans="1:41" ht="5.0999999999999996" customHeight="1">
      <c r="A1002" s="618"/>
      <c r="B1002" s="479"/>
      <c r="C1002" s="479"/>
      <c r="D1002" s="918"/>
      <c r="E1002" s="909"/>
      <c r="F1002" s="909"/>
      <c r="G1002" s="909"/>
      <c r="H1002" s="909"/>
      <c r="I1002" s="909"/>
      <c r="J1002" s="922"/>
      <c r="K1002" s="1791"/>
      <c r="L1002" s="1791"/>
      <c r="M1002" s="1791"/>
      <c r="N1002" s="1791"/>
      <c r="O1002" s="485"/>
      <c r="P1002" s="485"/>
      <c r="Q1002" s="1435"/>
      <c r="U1002" s="1663"/>
      <c r="V1002" s="1435"/>
      <c r="Z1002" s="1664"/>
      <c r="AO1002" s="1121" t="b">
        <f t="shared" si="464"/>
        <v>0</v>
      </c>
    </row>
    <row r="1003" spans="1:41" ht="12.75" customHeight="1">
      <c r="A1003" s="618"/>
      <c r="B1003" s="479"/>
      <c r="C1003" s="479"/>
      <c r="D1003" s="918"/>
      <c r="E1003" s="923" t="s">
        <v>1653</v>
      </c>
      <c r="F1003" s="923"/>
      <c r="G1003" s="923"/>
      <c r="H1003" s="923"/>
      <c r="I1003" s="923"/>
      <c r="J1003" s="1647">
        <f>J$1190</f>
        <v>2026</v>
      </c>
      <c r="K1003" s="1490">
        <f>K$1190</f>
        <v>2027</v>
      </c>
      <c r="L1003" s="1490">
        <f>L$1190</f>
        <v>2028</v>
      </c>
      <c r="M1003" s="1490">
        <f>M$1190</f>
        <v>2029</v>
      </c>
      <c r="N1003" s="1490">
        <f>N$1190</f>
        <v>2030</v>
      </c>
      <c r="O1003" s="485"/>
      <c r="P1003" s="485"/>
      <c r="Q1003" s="1435"/>
      <c r="U1003" s="1665"/>
      <c r="Z1003" s="1664"/>
      <c r="AO1003" s="1121" t="b">
        <f t="shared" si="464"/>
        <v>0</v>
      </c>
    </row>
    <row r="1004" spans="1:41" ht="12.75" customHeight="1">
      <c r="A1004" s="618"/>
      <c r="B1004" s="479"/>
      <c r="C1004" s="479"/>
      <c r="D1004" s="915" t="s">
        <v>8</v>
      </c>
      <c r="E1004" s="916" t="s">
        <v>2108</v>
      </c>
      <c r="F1004" s="916"/>
      <c r="G1004" s="916"/>
      <c r="H1004" s="916"/>
      <c r="I1004" s="916"/>
      <c r="J1004" s="1666" t="str">
        <f>IF($M983&lt;&gt;EUconst_Relevant,"",INDEX(K_Summary!J:J,MATCH($Q1004,K_Summary!$P:$P,0)))</f>
        <v/>
      </c>
      <c r="K1004" s="1791" t="str">
        <f>IF($M983&lt;&gt;EUconst_Relevant,"",INDEX(K_Summary!K:K,MATCH($Q1004,K_Summary!$P:$P,0)))</f>
        <v/>
      </c>
      <c r="L1004" s="1791" t="str">
        <f>IF($M983&lt;&gt;EUconst_Relevant,"",INDEX(K_Summary!L:L,MATCH($Q1004,K_Summary!$P:$P,0)))</f>
        <v/>
      </c>
      <c r="M1004" s="1791" t="str">
        <f>IF($M983&lt;&gt;EUconst_Relevant,"",INDEX(K_Summary!M:M,MATCH($Q1004,K_Summary!$P:$P,0)))</f>
        <v/>
      </c>
      <c r="N1004" s="1791" t="str">
        <f>IF($M983&lt;&gt;EUconst_Relevant,"",INDEX(K_Summary!N:N,MATCH($Q1004,K_Summary!$P:$P,0)))</f>
        <v/>
      </c>
      <c r="O1004" s="485"/>
      <c r="P1004" s="485"/>
      <c r="Q1004" s="1641" t="str">
        <f>EUconst_CNTR_100EUA_ActivityLevel&amp;I983</f>
        <v>EUA100AL_Process emissions sub-installation, CL</v>
      </c>
      <c r="U1004" s="1665"/>
      <c r="V1004" s="8"/>
      <c r="W1004" s="8"/>
      <c r="X1004" s="8"/>
      <c r="Y1004" s="8"/>
      <c r="Z1004" s="1664"/>
      <c r="AO1004" s="1121" t="b">
        <f t="shared" si="464"/>
        <v>0</v>
      </c>
    </row>
    <row r="1005" spans="1:41" ht="5.0999999999999996" customHeight="1" thickBot="1">
      <c r="A1005" s="618"/>
      <c r="B1005" s="479"/>
      <c r="C1005" s="479"/>
      <c r="D1005" s="918"/>
      <c r="E1005" s="909"/>
      <c r="F1005" s="909"/>
      <c r="G1005" s="909"/>
      <c r="H1005" s="909"/>
      <c r="I1005" s="909"/>
      <c r="J1005" s="922"/>
      <c r="K1005" s="1791"/>
      <c r="L1005" s="1791"/>
      <c r="M1005" s="1791"/>
      <c r="N1005" s="1791"/>
      <c r="O1005" s="485"/>
      <c r="P1005" s="485"/>
      <c r="Q1005" s="1435"/>
      <c r="U1005" s="1663"/>
      <c r="V1005" s="1435"/>
      <c r="Z1005" s="1664"/>
      <c r="AO1005" s="1121" t="b">
        <f t="shared" si="464"/>
        <v>0</v>
      </c>
    </row>
    <row r="1006" spans="1:41" ht="12.75" customHeight="1" thickBot="1">
      <c r="B1006" s="479"/>
      <c r="C1006" s="479"/>
      <c r="D1006" s="915" t="s">
        <v>18</v>
      </c>
      <c r="E1006" s="916" t="s">
        <v>1657</v>
      </c>
      <c r="F1006" s="916"/>
      <c r="G1006" s="916"/>
      <c r="H1006" s="921"/>
      <c r="I1006" s="1667"/>
      <c r="J1006" s="1668" t="str">
        <f>IF(J1004="","",IF(J997&gt;$Z983,-100%,IF(OR(J1004,V998&lt;1),J1000,I1006)))</f>
        <v/>
      </c>
      <c r="K1006" s="1796" t="str">
        <f>IF(K1004="","",IF(K997&gt;$Z983,-100%,IF(OR(K1004,W998&lt;1),K1000,J1006)))</f>
        <v/>
      </c>
      <c r="L1006" s="1796" t="str">
        <f>IF(L1004="","",IF(L997&gt;$Z983,-100%,IF(OR(L1004,X998&lt;1),L1000,K1006)))</f>
        <v/>
      </c>
      <c r="M1006" s="1796" t="str">
        <f>IF(M1004="","",IF(M997&gt;$Z983,-100%,IF(OR(M1004,Y998&lt;1),M1000,L1006)))</f>
        <v/>
      </c>
      <c r="N1006" s="1796" t="str">
        <f>IF(N1004="","",IF(N997&gt;$Z983,-100%,IF(OR(N1004,Z998&lt;1),N1000,M1006)))</f>
        <v/>
      </c>
      <c r="O1006" s="485"/>
      <c r="P1006" s="1136"/>
      <c r="Q1006" s="1644" t="str">
        <f>EUconst_CNTR_HALAdjPct &amp; I983</f>
        <v>HALAdjPct_Process emissions sub-installation, CL</v>
      </c>
      <c r="U1006" s="1663" t="s">
        <v>1658</v>
      </c>
      <c r="V1006" s="1670">
        <f>J1003</f>
        <v>2026</v>
      </c>
      <c r="W1006" s="1670">
        <f>K1003</f>
        <v>2027</v>
      </c>
      <c r="X1006" s="1670">
        <f>L1003</f>
        <v>2028</v>
      </c>
      <c r="Y1006" s="1670">
        <f>M1003</f>
        <v>2029</v>
      </c>
      <c r="Z1006" s="1671">
        <f>N1003</f>
        <v>2030</v>
      </c>
      <c r="AO1006" s="1121" t="b">
        <f t="shared" si="464"/>
        <v>0</v>
      </c>
    </row>
    <row r="1007" spans="1:41" ht="12.75" customHeight="1" thickBot="1">
      <c r="A1007" s="618"/>
      <c r="B1007" s="479"/>
      <c r="C1007" s="479"/>
      <c r="D1007" s="915" t="s">
        <v>787</v>
      </c>
      <c r="E1007" s="916" t="s">
        <v>1659</v>
      </c>
      <c r="F1007" s="916"/>
      <c r="G1007" s="916"/>
      <c r="H1007" s="639" t="str">
        <f>H998</f>
        <v>t CO2e</v>
      </c>
      <c r="I1007" s="917" t="str">
        <f>I1001</f>
        <v/>
      </c>
      <c r="J1007" s="1672" t="str">
        <f>IF($M983&lt;&gt;EUconst_Relevant,"",IF(OR($I1007=0,J1006="",$I1007=EUconst_NA),IF(OR(J1004=TRUE,J1003&lt;=$V983),J1001,SUM(I1007)),$I1007*(1+SUM(J1006))))</f>
        <v/>
      </c>
      <c r="K1007" s="1800" t="str">
        <f>IF($M983&lt;&gt;EUconst_Relevant,"",IF(OR($I1007=0,K1006="",$I1007=EUconst_NA),IF(OR(K1004=TRUE,K1003&lt;=$V983),K1001,SUM(J1007)),$I1007*(1+SUM(K1006))))</f>
        <v/>
      </c>
      <c r="L1007" s="1800" t="str">
        <f>IF($M983&lt;&gt;EUconst_Relevant,"",IF(OR($I1007=0,L1006="",$I1007=EUconst_NA),IF(OR(L1004=TRUE,L1003&lt;=$V983),L1001,SUM(K1007)),$I1007*(1+SUM(L1006))))</f>
        <v/>
      </c>
      <c r="M1007" s="1800" t="str">
        <f>IF($M983&lt;&gt;EUconst_Relevant,"",IF(OR($I1007=0,M1006="",$I1007=EUconst_NA),IF(OR(M1004=TRUE,M1003&lt;=$V983),M1001,SUM(L1007)),$I1007*(1+SUM(M1006))))</f>
        <v/>
      </c>
      <c r="N1007" s="1800" t="str">
        <f>IF($M983&lt;&gt;EUconst_Relevant,"",IF(OR($I1007=0,N1006="",$I1007=EUconst_NA),IF(OR(N1004=TRUE,N1003&lt;=$V983),N1001,SUM(M1007)),$I1007*(1+SUM(N1006))))</f>
        <v/>
      </c>
      <c r="O1007" s="485"/>
      <c r="P1007" s="485"/>
      <c r="Q1007" s="1641" t="str">
        <f>EUconst_CNTR_HALfinal&amp;I983</f>
        <v>HALfinal_Process emissions sub-installation, CL</v>
      </c>
      <c r="U1007" s="1674" t="b">
        <v>0</v>
      </c>
      <c r="V1007" s="1675" t="str">
        <f>IF(V990,IF(J1004=TRUE,V999,U1007),"")</f>
        <v/>
      </c>
      <c r="W1007" s="1675" t="str">
        <f>IF(W990,IF(K1004=TRUE,W999,V1007),"")</f>
        <v/>
      </c>
      <c r="X1007" s="1675" t="str">
        <f>IF(X990,IF(L1004=TRUE,X999,W1007),"")</f>
        <v/>
      </c>
      <c r="Y1007" s="1675" t="str">
        <f>IF(Y990,IF(M1004=TRUE,Y999,X1007),"")</f>
        <v/>
      </c>
      <c r="Z1007" s="1676" t="str">
        <f>IF(Z990,IF(N1004=TRUE,Z999,Y1007),"")</f>
        <v/>
      </c>
      <c r="AO1007" s="1121" t="b">
        <f t="shared" si="464"/>
        <v>0</v>
      </c>
    </row>
    <row r="1008" spans="1:41" ht="5.0999999999999996" customHeight="1" thickBot="1">
      <c r="B1008" s="479"/>
      <c r="C1008" s="479"/>
      <c r="D1008" s="924"/>
      <c r="E1008" s="925"/>
      <c r="F1008" s="925"/>
      <c r="G1008" s="925"/>
      <c r="H1008" s="925"/>
      <c r="I1008" s="925"/>
      <c r="J1008" s="926"/>
      <c r="K1008" s="1791"/>
      <c r="L1008" s="1791"/>
      <c r="M1008" s="1791"/>
      <c r="N1008" s="1791"/>
      <c r="O1008" s="485"/>
      <c r="P1008" s="485"/>
      <c r="Q1008" s="1435"/>
      <c r="U1008" s="1435"/>
      <c r="V1008" s="1435"/>
      <c r="AO1008" s="1121" t="b">
        <f t="shared" si="464"/>
        <v>0</v>
      </c>
    </row>
    <row r="1009" spans="1:42" ht="5.0999999999999996" customHeight="1">
      <c r="B1009" s="1124"/>
      <c r="C1009" s="467"/>
      <c r="D1009" s="467"/>
      <c r="E1009" s="467"/>
      <c r="F1009" s="467"/>
      <c r="G1009" s="467"/>
      <c r="H1009" s="467"/>
      <c r="I1009" s="467"/>
      <c r="J1009" s="467"/>
      <c r="K1009" s="467"/>
      <c r="L1009" s="467"/>
      <c r="M1009" s="467"/>
      <c r="N1009" s="467"/>
      <c r="O1009" s="481"/>
      <c r="P1009" s="481"/>
      <c r="S1009" s="1435"/>
      <c r="T1009" s="1435"/>
      <c r="Z1009" s="1435"/>
      <c r="AO1009" s="1121" t="b">
        <f t="shared" si="464"/>
        <v>0</v>
      </c>
    </row>
    <row r="1010" spans="1:42" ht="13.9" customHeight="1">
      <c r="B1010" s="1124"/>
      <c r="C1010" s="1025"/>
      <c r="D1010" s="2482" t="s">
        <v>103</v>
      </c>
      <c r="E1010" s="2400"/>
      <c r="F1010" s="2400"/>
      <c r="G1010" s="2400"/>
      <c r="H1010" s="2400"/>
      <c r="I1010" s="2400"/>
      <c r="J1010" s="2400"/>
      <c r="K1010" s="2400"/>
      <c r="L1010" s="2400"/>
      <c r="M1010" s="2400"/>
      <c r="N1010" s="2400"/>
      <c r="O1010" s="481"/>
      <c r="P1010" s="481"/>
      <c r="Z1010" s="1249"/>
      <c r="AO1010" s="1121" t="b">
        <f t="shared" si="464"/>
        <v>0</v>
      </c>
    </row>
    <row r="1011" spans="1:42" ht="5.0999999999999996" customHeight="1">
      <c r="B1011" s="467"/>
      <c r="C1011" s="467"/>
      <c r="D1011" s="467"/>
      <c r="E1011" s="467"/>
      <c r="F1011" s="467"/>
      <c r="G1011" s="467"/>
      <c r="H1011" s="467"/>
      <c r="I1011" s="467"/>
      <c r="J1011" s="467"/>
      <c r="K1011" s="467"/>
      <c r="L1011" s="467"/>
      <c r="M1011" s="467"/>
      <c r="N1011" s="467"/>
      <c r="O1011" s="481"/>
      <c r="P1011" s="481"/>
      <c r="Q1011" s="1249"/>
      <c r="R1011" s="1249"/>
      <c r="AO1011" s="1121" t="b">
        <f t="shared" si="464"/>
        <v>0</v>
      </c>
    </row>
    <row r="1012" spans="1:42" s="562" customFormat="1" ht="13.15" customHeight="1">
      <c r="A1012" s="618"/>
      <c r="B1012" s="467"/>
      <c r="C1012" s="482"/>
      <c r="D1012" s="482" t="s">
        <v>876</v>
      </c>
      <c r="E1012" s="2373" t="s">
        <v>298</v>
      </c>
      <c r="F1012" s="2400"/>
      <c r="G1012" s="2400"/>
      <c r="H1012" s="2400"/>
      <c r="I1012" s="2400"/>
      <c r="J1012" s="2400"/>
      <c r="K1012" s="2400"/>
      <c r="L1012" s="2400"/>
      <c r="M1012" s="2400"/>
      <c r="N1012" s="2400"/>
      <c r="O1012" s="481"/>
      <c r="P1012" s="481"/>
      <c r="Q1012" s="1249"/>
      <c r="R1012" s="1435"/>
      <c r="S1012" s="1435"/>
      <c r="T1012" s="1435"/>
      <c r="U1012" s="1435"/>
      <c r="V1012" s="1435"/>
      <c r="W1012" s="1435"/>
      <c r="X1012" s="1435"/>
      <c r="Y1012" s="1435"/>
      <c r="Z1012" s="1435"/>
      <c r="AN1012" s="618"/>
      <c r="AO1012" s="1121" t="b">
        <f t="shared" si="464"/>
        <v>0</v>
      </c>
      <c r="AP1012" s="1135"/>
    </row>
    <row r="1013" spans="1:42" s="562" customFormat="1" ht="13.15" customHeight="1">
      <c r="A1013" s="618"/>
      <c r="B1013" s="467"/>
      <c r="C1013" s="467"/>
      <c r="D1013" s="485"/>
      <c r="E1013" s="2385" t="s">
        <v>950</v>
      </c>
      <c r="F1013" s="2846"/>
      <c r="G1013" s="2846"/>
      <c r="H1013" s="2846"/>
      <c r="I1013" s="2846"/>
      <c r="J1013" s="2846"/>
      <c r="K1013" s="2846"/>
      <c r="L1013" s="2846"/>
      <c r="M1013" s="2846"/>
      <c r="N1013" s="2846"/>
      <c r="O1013" s="481"/>
      <c r="P1013" s="481"/>
      <c r="Q1013" s="1249"/>
      <c r="R1013" s="1249"/>
      <c r="S1013" s="1249"/>
      <c r="T1013" s="1249"/>
      <c r="U1013" s="1249"/>
      <c r="V1013" s="1249"/>
      <c r="W1013" s="1249"/>
      <c r="X1013" s="1249"/>
      <c r="Y1013" s="1249"/>
      <c r="Z1013" s="1435"/>
      <c r="AN1013" s="618"/>
      <c r="AO1013" s="1121" t="b">
        <f t="shared" si="464"/>
        <v>0</v>
      </c>
      <c r="AP1013" s="1135"/>
    </row>
    <row r="1014" spans="1:42" s="562" customFormat="1" ht="5.0999999999999996" customHeight="1">
      <c r="A1014" s="618"/>
      <c r="B1014" s="467"/>
      <c r="C1014" s="467"/>
      <c r="D1014" s="467"/>
      <c r="E1014" s="467"/>
      <c r="F1014" s="467"/>
      <c r="G1014" s="467"/>
      <c r="H1014" s="467"/>
      <c r="I1014" s="467"/>
      <c r="J1014" s="467"/>
      <c r="K1014" s="467"/>
      <c r="L1014" s="467"/>
      <c r="M1014" s="467"/>
      <c r="N1014" s="467"/>
      <c r="O1014" s="481"/>
      <c r="P1014" s="481"/>
      <c r="Q1014" s="1249"/>
      <c r="R1014" s="1249"/>
      <c r="S1014" s="1435"/>
      <c r="T1014" s="1435"/>
      <c r="U1014" s="1435"/>
      <c r="V1014" s="1435"/>
      <c r="W1014" s="1435"/>
      <c r="X1014" s="1435"/>
      <c r="Y1014" s="1435"/>
      <c r="Z1014" s="1435"/>
      <c r="AN1014" s="618"/>
      <c r="AO1014" s="1121" t="b">
        <f t="shared" si="464"/>
        <v>0</v>
      </c>
      <c r="AP1014" s="1135"/>
    </row>
    <row r="1015" spans="1:42" s="562" customFormat="1" ht="25.5" customHeight="1">
      <c r="A1015" s="618"/>
      <c r="B1015" s="485"/>
      <c r="C1015" s="485"/>
      <c r="D1015" s="956"/>
      <c r="E1015" s="1972" t="s">
        <v>951</v>
      </c>
      <c r="F1015" s="570"/>
      <c r="G1015" s="1973"/>
      <c r="H1015" s="2758" t="s">
        <v>28</v>
      </c>
      <c r="I1015" s="2508"/>
      <c r="J1015" s="2508"/>
      <c r="K1015" s="2508"/>
      <c r="L1015" s="2580"/>
      <c r="M1015" s="957" t="s">
        <v>2112</v>
      </c>
      <c r="N1015" s="485"/>
      <c r="O1015" s="481"/>
      <c r="P1015" s="481"/>
      <c r="Q1015" s="1435"/>
      <c r="R1015" s="1435"/>
      <c r="S1015" s="1249"/>
      <c r="T1015" s="1954">
        <f t="shared" ref="T1015:Z1015" si="470">H989</f>
        <v>2024</v>
      </c>
      <c r="U1015" s="1954">
        <f t="shared" si="470"/>
        <v>2025</v>
      </c>
      <c r="V1015" s="1954">
        <f t="shared" si="470"/>
        <v>2026</v>
      </c>
      <c r="W1015" s="1954">
        <f t="shared" si="470"/>
        <v>2027</v>
      </c>
      <c r="X1015" s="1954">
        <f t="shared" si="470"/>
        <v>2028</v>
      </c>
      <c r="Y1015" s="1954">
        <f t="shared" si="470"/>
        <v>2029</v>
      </c>
      <c r="Z1015" s="1954">
        <f t="shared" si="470"/>
        <v>2030</v>
      </c>
      <c r="AN1015" s="618"/>
      <c r="AO1015" s="1121" t="b">
        <f t="shared" si="464"/>
        <v>0</v>
      </c>
      <c r="AP1015" s="1135"/>
    </row>
    <row r="1016" spans="1:42" s="562" customFormat="1">
      <c r="A1016" s="618"/>
      <c r="B1016" s="485"/>
      <c r="C1016" s="485"/>
      <c r="D1016" s="579">
        <v>1</v>
      </c>
      <c r="E1016" s="3357" t="str">
        <f>c_ALR2025!E6587</f>
        <v/>
      </c>
      <c r="F1016" s="3357"/>
      <c r="G1016" s="3357"/>
      <c r="H1016" s="3353" t="str">
        <f>c_ALR2025!H6587</f>
        <v/>
      </c>
      <c r="I1016" s="3353"/>
      <c r="J1016" s="3353"/>
      <c r="K1016" s="3353"/>
      <c r="L1016" s="3353"/>
      <c r="M1016" s="1901" t="str">
        <f>c_ALR2025!M6587</f>
        <v/>
      </c>
      <c r="N1016" s="485"/>
      <c r="O1016" s="481"/>
      <c r="P1016" s="481"/>
      <c r="Q1016" s="1435"/>
      <c r="R1016" s="1435"/>
      <c r="S1016" s="1249"/>
      <c r="T1016" s="1954"/>
      <c r="U1016" s="1954"/>
      <c r="V1016" s="1954"/>
      <c r="W1016" s="1954"/>
      <c r="X1016" s="1954"/>
      <c r="Y1016" s="1954"/>
      <c r="Z1016" s="1954"/>
      <c r="AN1016" s="618"/>
      <c r="AO1016" s="1121" t="b">
        <f t="shared" si="464"/>
        <v>0</v>
      </c>
      <c r="AP1016" s="1135"/>
    </row>
    <row r="1017" spans="1:42" s="562" customFormat="1">
      <c r="A1017" s="618"/>
      <c r="B1017" s="485"/>
      <c r="C1017" s="485"/>
      <c r="D1017" s="582">
        <f>D1016+1</f>
        <v>2</v>
      </c>
      <c r="E1017" s="2853" t="str">
        <f>c_ALR2025!E6588</f>
        <v/>
      </c>
      <c r="F1017" s="3358"/>
      <c r="G1017" s="3359"/>
      <c r="H1017" s="3345" t="str">
        <f>c_ALR2025!H6588</f>
        <v/>
      </c>
      <c r="I1017" s="3346"/>
      <c r="J1017" s="3346"/>
      <c r="K1017" s="3346"/>
      <c r="L1017" s="3347"/>
      <c r="M1017" s="1902" t="str">
        <f>c_ALR2025!M6588</f>
        <v/>
      </c>
      <c r="N1017" s="485"/>
      <c r="O1017" s="481"/>
      <c r="P1017" s="481"/>
      <c r="Q1017" s="1435"/>
      <c r="R1017" s="1435"/>
      <c r="S1017" s="1249"/>
      <c r="T1017" s="1954"/>
      <c r="U1017" s="1954"/>
      <c r="V1017" s="1954"/>
      <c r="W1017" s="1954"/>
      <c r="X1017" s="1954"/>
      <c r="Y1017" s="1954"/>
      <c r="Z1017" s="1954"/>
      <c r="AN1017" s="618"/>
      <c r="AO1017" s="1121" t="b">
        <f t="shared" si="464"/>
        <v>0</v>
      </c>
      <c r="AP1017" s="1135"/>
    </row>
    <row r="1018" spans="1:42" s="562" customFormat="1">
      <c r="A1018" s="618"/>
      <c r="B1018" s="485"/>
      <c r="C1018" s="485"/>
      <c r="D1018" s="582">
        <f t="shared" ref="D1018:D1025" si="471">D1017+1</f>
        <v>3</v>
      </c>
      <c r="E1018" s="2853" t="str">
        <f>c_ALR2025!E6589</f>
        <v/>
      </c>
      <c r="F1018" s="3358"/>
      <c r="G1018" s="3359"/>
      <c r="H1018" s="3345" t="str">
        <f>c_ALR2025!H6589</f>
        <v/>
      </c>
      <c r="I1018" s="3346"/>
      <c r="J1018" s="3346"/>
      <c r="K1018" s="3346"/>
      <c r="L1018" s="3347"/>
      <c r="M1018" s="1902" t="str">
        <f>c_ALR2025!M6589</f>
        <v/>
      </c>
      <c r="N1018" s="485"/>
      <c r="O1018" s="481"/>
      <c r="P1018" s="481"/>
      <c r="Q1018" s="1435"/>
      <c r="R1018" s="1435"/>
      <c r="S1018" s="1249"/>
      <c r="T1018" s="1954"/>
      <c r="U1018" s="1954"/>
      <c r="V1018" s="1954"/>
      <c r="W1018" s="1954"/>
      <c r="X1018" s="1954"/>
      <c r="Y1018" s="1954"/>
      <c r="Z1018" s="1954"/>
      <c r="AN1018" s="618"/>
      <c r="AO1018" s="1121" t="b">
        <f t="shared" si="464"/>
        <v>0</v>
      </c>
      <c r="AP1018" s="1135"/>
    </row>
    <row r="1019" spans="1:42" s="562" customFormat="1">
      <c r="A1019" s="618"/>
      <c r="B1019" s="485"/>
      <c r="C1019" s="485"/>
      <c r="D1019" s="582">
        <f t="shared" si="471"/>
        <v>4</v>
      </c>
      <c r="E1019" s="2853" t="str">
        <f>c_ALR2025!E6590</f>
        <v/>
      </c>
      <c r="F1019" s="3358"/>
      <c r="G1019" s="3359"/>
      <c r="H1019" s="3345" t="str">
        <f>c_ALR2025!H6590</f>
        <v/>
      </c>
      <c r="I1019" s="3346"/>
      <c r="J1019" s="3346"/>
      <c r="K1019" s="3346"/>
      <c r="L1019" s="3347"/>
      <c r="M1019" s="1902" t="str">
        <f>c_ALR2025!M6590</f>
        <v/>
      </c>
      <c r="N1019" s="485"/>
      <c r="O1019" s="481"/>
      <c r="P1019" s="481"/>
      <c r="Q1019" s="1435"/>
      <c r="R1019" s="1435"/>
      <c r="S1019" s="1249"/>
      <c r="T1019" s="1954"/>
      <c r="U1019" s="1954"/>
      <c r="V1019" s="1954"/>
      <c r="W1019" s="1954"/>
      <c r="X1019" s="1954"/>
      <c r="Y1019" s="1954"/>
      <c r="Z1019" s="1954"/>
      <c r="AN1019" s="618"/>
      <c r="AO1019" s="1121" t="b">
        <f t="shared" si="464"/>
        <v>0</v>
      </c>
      <c r="AP1019" s="1135"/>
    </row>
    <row r="1020" spans="1:42" s="562" customFormat="1">
      <c r="A1020" s="618"/>
      <c r="B1020" s="485"/>
      <c r="C1020" s="485"/>
      <c r="D1020" s="582">
        <f t="shared" si="471"/>
        <v>5</v>
      </c>
      <c r="E1020" s="2853" t="str">
        <f>c_ALR2025!E6591</f>
        <v/>
      </c>
      <c r="F1020" s="3358"/>
      <c r="G1020" s="3359"/>
      <c r="H1020" s="3345" t="str">
        <f>c_ALR2025!H6591</f>
        <v/>
      </c>
      <c r="I1020" s="3346"/>
      <c r="J1020" s="3346"/>
      <c r="K1020" s="3346"/>
      <c r="L1020" s="3347"/>
      <c r="M1020" s="1902" t="str">
        <f>c_ALR2025!M6591</f>
        <v/>
      </c>
      <c r="N1020" s="485"/>
      <c r="O1020" s="481"/>
      <c r="P1020" s="481"/>
      <c r="Q1020" s="1435"/>
      <c r="R1020" s="1435"/>
      <c r="S1020" s="1249"/>
      <c r="T1020" s="1954"/>
      <c r="U1020" s="1954"/>
      <c r="V1020" s="1954"/>
      <c r="W1020" s="1954"/>
      <c r="X1020" s="1954"/>
      <c r="Y1020" s="1954"/>
      <c r="Z1020" s="1954"/>
      <c r="AN1020" s="618"/>
      <c r="AO1020" s="1121" t="b">
        <f t="shared" si="464"/>
        <v>0</v>
      </c>
      <c r="AP1020" s="1135"/>
    </row>
    <row r="1021" spans="1:42" s="562" customFormat="1">
      <c r="A1021" s="618"/>
      <c r="B1021" s="485"/>
      <c r="C1021" s="485"/>
      <c r="D1021" s="582">
        <f t="shared" si="471"/>
        <v>6</v>
      </c>
      <c r="E1021" s="2853" t="str">
        <f>c_ALR2025!E6592</f>
        <v/>
      </c>
      <c r="F1021" s="3358"/>
      <c r="G1021" s="3359"/>
      <c r="H1021" s="3345" t="str">
        <f>c_ALR2025!H6592</f>
        <v/>
      </c>
      <c r="I1021" s="3346"/>
      <c r="J1021" s="3346"/>
      <c r="K1021" s="3346"/>
      <c r="L1021" s="3347"/>
      <c r="M1021" s="1902" t="str">
        <f>c_ALR2025!M6592</f>
        <v/>
      </c>
      <c r="N1021" s="485"/>
      <c r="O1021" s="481"/>
      <c r="P1021" s="481"/>
      <c r="Q1021" s="1435"/>
      <c r="R1021" s="1435"/>
      <c r="S1021" s="1249"/>
      <c r="T1021" s="1954"/>
      <c r="U1021" s="1954"/>
      <c r="V1021" s="1954"/>
      <c r="W1021" s="1954"/>
      <c r="X1021" s="1954"/>
      <c r="Y1021" s="1954"/>
      <c r="Z1021" s="1954"/>
      <c r="AN1021" s="618"/>
      <c r="AO1021" s="1121" t="b">
        <f t="shared" si="464"/>
        <v>0</v>
      </c>
      <c r="AP1021" s="1135"/>
    </row>
    <row r="1022" spans="1:42" s="562" customFormat="1">
      <c r="A1022" s="618"/>
      <c r="B1022" s="485"/>
      <c r="C1022" s="485"/>
      <c r="D1022" s="582">
        <f t="shared" si="471"/>
        <v>7</v>
      </c>
      <c r="E1022" s="2853" t="str">
        <f>c_ALR2025!E6593</f>
        <v/>
      </c>
      <c r="F1022" s="3358"/>
      <c r="G1022" s="3359"/>
      <c r="H1022" s="3345" t="str">
        <f>c_ALR2025!H6593</f>
        <v/>
      </c>
      <c r="I1022" s="3346"/>
      <c r="J1022" s="3346"/>
      <c r="K1022" s="3346"/>
      <c r="L1022" s="3347"/>
      <c r="M1022" s="1902" t="str">
        <f>c_ALR2025!M6593</f>
        <v/>
      </c>
      <c r="N1022" s="485"/>
      <c r="O1022" s="481"/>
      <c r="P1022" s="481"/>
      <c r="Q1022" s="1435"/>
      <c r="R1022" s="1435"/>
      <c r="S1022" s="1249"/>
      <c r="T1022" s="1954"/>
      <c r="U1022" s="1954"/>
      <c r="V1022" s="1954"/>
      <c r="W1022" s="1954"/>
      <c r="X1022" s="1954"/>
      <c r="Y1022" s="1954"/>
      <c r="Z1022" s="1954"/>
      <c r="AN1022" s="618"/>
      <c r="AO1022" s="1121" t="b">
        <f t="shared" si="464"/>
        <v>0</v>
      </c>
      <c r="AP1022" s="1135"/>
    </row>
    <row r="1023" spans="1:42" s="562" customFormat="1">
      <c r="A1023" s="618"/>
      <c r="B1023" s="485"/>
      <c r="C1023" s="485"/>
      <c r="D1023" s="582">
        <f t="shared" si="471"/>
        <v>8</v>
      </c>
      <c r="E1023" s="2853" t="str">
        <f>c_ALR2025!E6594</f>
        <v/>
      </c>
      <c r="F1023" s="3358"/>
      <c r="G1023" s="3359"/>
      <c r="H1023" s="3345" t="str">
        <f>c_ALR2025!H6594</f>
        <v/>
      </c>
      <c r="I1023" s="3346"/>
      <c r="J1023" s="3346"/>
      <c r="K1023" s="3346"/>
      <c r="L1023" s="3347"/>
      <c r="M1023" s="1902" t="str">
        <f>c_ALR2025!M6594</f>
        <v/>
      </c>
      <c r="N1023" s="485"/>
      <c r="O1023" s="481"/>
      <c r="P1023" s="481"/>
      <c r="Q1023" s="1435"/>
      <c r="R1023" s="1435"/>
      <c r="S1023" s="1249"/>
      <c r="T1023" s="1954"/>
      <c r="U1023" s="1954"/>
      <c r="V1023" s="1954"/>
      <c r="W1023" s="1954"/>
      <c r="X1023" s="1954"/>
      <c r="Y1023" s="1954"/>
      <c r="Z1023" s="1954"/>
      <c r="AN1023" s="618"/>
      <c r="AO1023" s="1121" t="b">
        <f t="shared" si="464"/>
        <v>0</v>
      </c>
      <c r="AP1023" s="1135"/>
    </row>
    <row r="1024" spans="1:42" s="562" customFormat="1">
      <c r="A1024" s="618"/>
      <c r="B1024" s="485"/>
      <c r="C1024" s="485"/>
      <c r="D1024" s="582">
        <f t="shared" si="471"/>
        <v>9</v>
      </c>
      <c r="E1024" s="2853" t="str">
        <f>c_ALR2025!E6595</f>
        <v/>
      </c>
      <c r="F1024" s="3358"/>
      <c r="G1024" s="3359"/>
      <c r="H1024" s="3345" t="str">
        <f>c_ALR2025!H6595</f>
        <v/>
      </c>
      <c r="I1024" s="3346"/>
      <c r="J1024" s="3346"/>
      <c r="K1024" s="3346"/>
      <c r="L1024" s="3347"/>
      <c r="M1024" s="1902" t="str">
        <f>c_ALR2025!M6595</f>
        <v/>
      </c>
      <c r="N1024" s="485"/>
      <c r="O1024" s="481"/>
      <c r="P1024" s="481"/>
      <c r="Q1024" s="1435"/>
      <c r="R1024" s="1435"/>
      <c r="S1024" s="1249"/>
      <c r="T1024" s="1954"/>
      <c r="U1024" s="1954"/>
      <c r="V1024" s="1954"/>
      <c r="W1024" s="1954"/>
      <c r="X1024" s="1954"/>
      <c r="Y1024" s="1954"/>
      <c r="Z1024" s="1954"/>
      <c r="AN1024" s="618"/>
      <c r="AO1024" s="1121" t="b">
        <f t="shared" si="464"/>
        <v>0</v>
      </c>
      <c r="AP1024" s="1135"/>
    </row>
    <row r="1025" spans="1:42" s="562" customFormat="1">
      <c r="A1025" s="618"/>
      <c r="B1025" s="485"/>
      <c r="C1025" s="485"/>
      <c r="D1025" s="584">
        <f t="shared" si="471"/>
        <v>10</v>
      </c>
      <c r="E1025" s="2840" t="str">
        <f>c_ALR2025!E6596</f>
        <v/>
      </c>
      <c r="F1025" s="3360"/>
      <c r="G1025" s="3361"/>
      <c r="H1025" s="3343" t="str">
        <f>c_ALR2025!H6596</f>
        <v/>
      </c>
      <c r="I1025" s="3281"/>
      <c r="J1025" s="3281"/>
      <c r="K1025" s="3281"/>
      <c r="L1025" s="3344"/>
      <c r="M1025" s="1974" t="str">
        <f>c_ALR2025!M6596</f>
        <v/>
      </c>
      <c r="N1025" s="485"/>
      <c r="O1025" s="481"/>
      <c r="P1025" s="481"/>
      <c r="Q1025" s="1435"/>
      <c r="R1025" s="1435"/>
      <c r="S1025" s="1904" t="s">
        <v>2057</v>
      </c>
      <c r="T1025" s="1954"/>
      <c r="U1025" s="1954"/>
      <c r="V1025" s="1954"/>
      <c r="W1025" s="1954"/>
      <c r="X1025" s="1954"/>
      <c r="Y1025" s="1954"/>
      <c r="Z1025" s="1954"/>
      <c r="AA1025" s="1435"/>
      <c r="AB1025" s="1435"/>
      <c r="AC1025" s="1435"/>
      <c r="AD1025" s="1435"/>
      <c r="AE1025" s="1137"/>
      <c r="AF1025" s="1137"/>
      <c r="AG1025" s="1137"/>
      <c r="AH1025" s="1137"/>
      <c r="AI1025" s="1137"/>
      <c r="AJ1025" s="1137"/>
      <c r="AK1025" s="1137"/>
      <c r="AL1025" s="1137"/>
      <c r="AN1025" s="618"/>
      <c r="AO1025" s="1121" t="b">
        <f t="shared" si="464"/>
        <v>0</v>
      </c>
      <c r="AP1025" s="1135"/>
    </row>
    <row r="1026" spans="1:42" s="562" customFormat="1">
      <c r="A1026" s="618"/>
      <c r="B1026" s="485"/>
      <c r="C1026" s="485"/>
      <c r="D1026" s="579">
        <v>1</v>
      </c>
      <c r="E1026" s="3355"/>
      <c r="F1026" s="3355"/>
      <c r="G1026" s="3355"/>
      <c r="H1026" s="3334"/>
      <c r="I1026" s="3334"/>
      <c r="J1026" s="3334"/>
      <c r="K1026" s="3334"/>
      <c r="L1026" s="3334"/>
      <c r="M1026" s="1998"/>
      <c r="N1026" s="485"/>
      <c r="O1026" s="481"/>
      <c r="P1026" s="9"/>
      <c r="Q1026" s="1435"/>
      <c r="R1026" s="1435"/>
      <c r="S1026" s="1715" t="b">
        <f>IF(E1016 &lt;&gt; "", TRUE, FALSE)</f>
        <v>0</v>
      </c>
      <c r="T1026" s="1954"/>
      <c r="U1026" s="1954"/>
      <c r="V1026" s="1954"/>
      <c r="W1026" s="1954"/>
      <c r="X1026" s="1954"/>
      <c r="Y1026" s="1954"/>
      <c r="Z1026" s="1954"/>
      <c r="AA1026" s="1435"/>
      <c r="AB1026" s="1435"/>
      <c r="AC1026" s="1435"/>
      <c r="AD1026" s="1435"/>
      <c r="AE1026" s="1137"/>
      <c r="AF1026" s="1137"/>
      <c r="AG1026" s="1137"/>
      <c r="AH1026" s="1137"/>
      <c r="AI1026" s="1137"/>
      <c r="AJ1026" s="1137"/>
      <c r="AK1026" s="1137"/>
      <c r="AL1026" s="1137"/>
      <c r="AN1026" s="618"/>
      <c r="AO1026" s="1121" t="b">
        <f t="shared" si="464"/>
        <v>0</v>
      </c>
      <c r="AP1026" s="1135"/>
    </row>
    <row r="1027" spans="1:42" s="562" customFormat="1">
      <c r="A1027" s="618"/>
      <c r="B1027" s="485"/>
      <c r="C1027" s="485"/>
      <c r="D1027" s="582">
        <f>D1026+1</f>
        <v>2</v>
      </c>
      <c r="E1027" s="3335"/>
      <c r="F1027" s="3335"/>
      <c r="G1027" s="3335"/>
      <c r="H1027" s="3336"/>
      <c r="I1027" s="3336"/>
      <c r="J1027" s="3336"/>
      <c r="K1027" s="3336"/>
      <c r="L1027" s="3336"/>
      <c r="M1027" s="1999"/>
      <c r="N1027" s="485"/>
      <c r="O1027" s="481"/>
      <c r="P1027" s="9"/>
      <c r="Q1027" s="1435"/>
      <c r="R1027" s="1435"/>
      <c r="S1027" s="1715" t="b">
        <f t="shared" ref="S1027:S1035" si="472">IF(E1017 &lt;&gt; "", TRUE, FALSE)</f>
        <v>0</v>
      </c>
      <c r="T1027" s="1954"/>
      <c r="U1027" s="1954"/>
      <c r="V1027" s="1954"/>
      <c r="W1027" s="1954"/>
      <c r="X1027" s="1954"/>
      <c r="Y1027" s="1954"/>
      <c r="Z1027" s="1954"/>
      <c r="AA1027" s="1435"/>
      <c r="AB1027" s="1435"/>
      <c r="AC1027" s="1435"/>
      <c r="AD1027" s="1435"/>
      <c r="AE1027" s="1137"/>
      <c r="AF1027" s="1137"/>
      <c r="AG1027" s="1137"/>
      <c r="AH1027" s="1137"/>
      <c r="AI1027" s="1137"/>
      <c r="AJ1027" s="1137"/>
      <c r="AK1027" s="1137"/>
      <c r="AL1027" s="1137"/>
      <c r="AN1027" s="618"/>
      <c r="AO1027" s="1121" t="b">
        <f t="shared" si="464"/>
        <v>0</v>
      </c>
      <c r="AP1027" s="1135"/>
    </row>
    <row r="1028" spans="1:42" s="562" customFormat="1">
      <c r="A1028" s="618"/>
      <c r="B1028" s="485"/>
      <c r="C1028" s="485"/>
      <c r="D1028" s="582">
        <f t="shared" ref="D1028:D1035" si="473">D1027+1</f>
        <v>3</v>
      </c>
      <c r="E1028" s="3335"/>
      <c r="F1028" s="3335"/>
      <c r="G1028" s="3335"/>
      <c r="H1028" s="3336"/>
      <c r="I1028" s="3336"/>
      <c r="J1028" s="3336"/>
      <c r="K1028" s="3336"/>
      <c r="L1028" s="3336"/>
      <c r="M1028" s="1999"/>
      <c r="N1028" s="485"/>
      <c r="O1028" s="481"/>
      <c r="P1028" s="9"/>
      <c r="Q1028" s="1435"/>
      <c r="R1028" s="1435"/>
      <c r="S1028" s="1715" t="b">
        <f t="shared" si="472"/>
        <v>0</v>
      </c>
      <c r="T1028" s="1954"/>
      <c r="U1028" s="1954"/>
      <c r="V1028" s="1954"/>
      <c r="W1028" s="1954"/>
      <c r="X1028" s="1954"/>
      <c r="Y1028" s="1954"/>
      <c r="Z1028" s="1954"/>
      <c r="AA1028" s="1435"/>
      <c r="AB1028" s="1435"/>
      <c r="AC1028" s="1435"/>
      <c r="AD1028" s="1435"/>
      <c r="AE1028" s="1137"/>
      <c r="AF1028" s="1137"/>
      <c r="AG1028" s="1137"/>
      <c r="AH1028" s="1137"/>
      <c r="AI1028" s="1137"/>
      <c r="AJ1028" s="1137"/>
      <c r="AK1028" s="1137"/>
      <c r="AL1028" s="1137"/>
      <c r="AN1028" s="618"/>
      <c r="AO1028" s="1121" t="b">
        <f t="shared" si="464"/>
        <v>0</v>
      </c>
      <c r="AP1028" s="1135"/>
    </row>
    <row r="1029" spans="1:42" s="562" customFormat="1">
      <c r="A1029" s="618"/>
      <c r="B1029" s="485"/>
      <c r="C1029" s="485"/>
      <c r="D1029" s="582">
        <f t="shared" si="473"/>
        <v>4</v>
      </c>
      <c r="E1029" s="3335"/>
      <c r="F1029" s="3335"/>
      <c r="G1029" s="3335"/>
      <c r="H1029" s="3336"/>
      <c r="I1029" s="3336"/>
      <c r="J1029" s="3336"/>
      <c r="K1029" s="3336"/>
      <c r="L1029" s="3336"/>
      <c r="M1029" s="1999"/>
      <c r="N1029" s="485"/>
      <c r="O1029" s="481"/>
      <c r="P1029" s="9"/>
      <c r="Q1029" s="1435"/>
      <c r="R1029" s="1435"/>
      <c r="S1029" s="1715" t="b">
        <f t="shared" si="472"/>
        <v>0</v>
      </c>
      <c r="T1029" s="1954"/>
      <c r="U1029" s="1954"/>
      <c r="V1029" s="1954"/>
      <c r="W1029" s="1954"/>
      <c r="X1029" s="1954"/>
      <c r="Y1029" s="1954"/>
      <c r="Z1029" s="1954"/>
      <c r="AA1029" s="1435"/>
      <c r="AB1029" s="1435"/>
      <c r="AC1029" s="1435"/>
      <c r="AD1029" s="1435"/>
      <c r="AE1029" s="1137"/>
      <c r="AF1029" s="1137"/>
      <c r="AG1029" s="1137"/>
      <c r="AH1029" s="1137"/>
      <c r="AI1029" s="1137"/>
      <c r="AJ1029" s="1137"/>
      <c r="AK1029" s="1137"/>
      <c r="AL1029" s="1137"/>
      <c r="AN1029" s="618"/>
      <c r="AO1029" s="1121" t="b">
        <f t="shared" si="464"/>
        <v>0</v>
      </c>
      <c r="AP1029" s="1135"/>
    </row>
    <row r="1030" spans="1:42" s="562" customFormat="1">
      <c r="A1030" s="618"/>
      <c r="B1030" s="485"/>
      <c r="C1030" s="485"/>
      <c r="D1030" s="582">
        <f t="shared" si="473"/>
        <v>5</v>
      </c>
      <c r="E1030" s="3335"/>
      <c r="F1030" s="3335"/>
      <c r="G1030" s="3335"/>
      <c r="H1030" s="3336"/>
      <c r="I1030" s="3336"/>
      <c r="J1030" s="3336"/>
      <c r="K1030" s="3336"/>
      <c r="L1030" s="3336"/>
      <c r="M1030" s="1999"/>
      <c r="N1030" s="485"/>
      <c r="O1030" s="481"/>
      <c r="P1030" s="9"/>
      <c r="Q1030" s="1435"/>
      <c r="R1030" s="1435"/>
      <c r="S1030" s="1715" t="b">
        <f t="shared" si="472"/>
        <v>0</v>
      </c>
      <c r="T1030" s="1954"/>
      <c r="U1030" s="1954"/>
      <c r="V1030" s="1954"/>
      <c r="W1030" s="1954"/>
      <c r="X1030" s="1954"/>
      <c r="Y1030" s="1954"/>
      <c r="Z1030" s="1954"/>
      <c r="AA1030" s="1435"/>
      <c r="AB1030" s="1435"/>
      <c r="AC1030" s="1435"/>
      <c r="AD1030" s="1435"/>
      <c r="AE1030" s="1137"/>
      <c r="AF1030" s="1137"/>
      <c r="AG1030" s="1137"/>
      <c r="AH1030" s="1137"/>
      <c r="AI1030" s="1137"/>
      <c r="AJ1030" s="1137"/>
      <c r="AK1030" s="1137"/>
      <c r="AL1030" s="1137"/>
      <c r="AN1030" s="618"/>
      <c r="AO1030" s="1121" t="b">
        <f t="shared" si="464"/>
        <v>0</v>
      </c>
      <c r="AP1030" s="1135"/>
    </row>
    <row r="1031" spans="1:42" s="562" customFormat="1">
      <c r="A1031" s="618"/>
      <c r="B1031" s="485"/>
      <c r="C1031" s="485"/>
      <c r="D1031" s="582">
        <f t="shared" si="473"/>
        <v>6</v>
      </c>
      <c r="E1031" s="3335"/>
      <c r="F1031" s="3335"/>
      <c r="G1031" s="3335"/>
      <c r="H1031" s="3336"/>
      <c r="I1031" s="3336"/>
      <c r="J1031" s="3336"/>
      <c r="K1031" s="3336"/>
      <c r="L1031" s="3336"/>
      <c r="M1031" s="1999"/>
      <c r="N1031" s="485"/>
      <c r="O1031" s="481"/>
      <c r="P1031" s="9"/>
      <c r="Q1031" s="1435"/>
      <c r="R1031" s="1435"/>
      <c r="S1031" s="1715" t="b">
        <f t="shared" si="472"/>
        <v>0</v>
      </c>
      <c r="T1031" s="1954"/>
      <c r="U1031" s="1954"/>
      <c r="V1031" s="1954"/>
      <c r="W1031" s="1954"/>
      <c r="X1031" s="1954"/>
      <c r="Y1031" s="1954"/>
      <c r="Z1031" s="1954"/>
      <c r="AA1031" s="1435"/>
      <c r="AB1031" s="1435"/>
      <c r="AC1031" s="1435"/>
      <c r="AD1031" s="1435"/>
      <c r="AE1031" s="1137"/>
      <c r="AF1031" s="1137"/>
      <c r="AG1031" s="1137"/>
      <c r="AH1031" s="1137"/>
      <c r="AI1031" s="1137"/>
      <c r="AJ1031" s="1137"/>
      <c r="AK1031" s="1137"/>
      <c r="AL1031" s="1137"/>
      <c r="AN1031" s="618"/>
      <c r="AO1031" s="1121" t="b">
        <f t="shared" si="464"/>
        <v>0</v>
      </c>
      <c r="AP1031" s="1135"/>
    </row>
    <row r="1032" spans="1:42" s="562" customFormat="1">
      <c r="A1032" s="618"/>
      <c r="B1032" s="485"/>
      <c r="C1032" s="485"/>
      <c r="D1032" s="582">
        <f t="shared" si="473"/>
        <v>7</v>
      </c>
      <c r="E1032" s="3335"/>
      <c r="F1032" s="3335"/>
      <c r="G1032" s="3335"/>
      <c r="H1032" s="3336"/>
      <c r="I1032" s="3336"/>
      <c r="J1032" s="3336"/>
      <c r="K1032" s="3336"/>
      <c r="L1032" s="3336"/>
      <c r="M1032" s="1999"/>
      <c r="N1032" s="485"/>
      <c r="O1032" s="481"/>
      <c r="P1032" s="9"/>
      <c r="Q1032" s="1435"/>
      <c r="R1032" s="1435"/>
      <c r="S1032" s="1715" t="b">
        <f t="shared" si="472"/>
        <v>0</v>
      </c>
      <c r="T1032" s="1954"/>
      <c r="U1032" s="1954"/>
      <c r="V1032" s="1954"/>
      <c r="W1032" s="1954"/>
      <c r="X1032" s="1954"/>
      <c r="Y1032" s="1954"/>
      <c r="Z1032" s="1954"/>
      <c r="AA1032" s="1435"/>
      <c r="AB1032" s="1435"/>
      <c r="AC1032" s="1435"/>
      <c r="AD1032" s="1435"/>
      <c r="AE1032" s="1137"/>
      <c r="AF1032" s="1137"/>
      <c r="AG1032" s="1137"/>
      <c r="AH1032" s="1137"/>
      <c r="AI1032" s="1137"/>
      <c r="AJ1032" s="1137"/>
      <c r="AK1032" s="1137"/>
      <c r="AL1032" s="1137"/>
      <c r="AN1032" s="618"/>
      <c r="AO1032" s="1121" t="b">
        <f t="shared" si="464"/>
        <v>0</v>
      </c>
      <c r="AP1032" s="1135"/>
    </row>
    <row r="1033" spans="1:42" s="562" customFormat="1">
      <c r="A1033" s="618"/>
      <c r="B1033" s="485"/>
      <c r="C1033" s="485"/>
      <c r="D1033" s="582">
        <f t="shared" si="473"/>
        <v>8</v>
      </c>
      <c r="E1033" s="3335"/>
      <c r="F1033" s="3335"/>
      <c r="G1033" s="3335"/>
      <c r="H1033" s="3336"/>
      <c r="I1033" s="3336"/>
      <c r="J1033" s="3336"/>
      <c r="K1033" s="3336"/>
      <c r="L1033" s="3336"/>
      <c r="M1033" s="1999"/>
      <c r="N1033" s="485"/>
      <c r="O1033" s="481"/>
      <c r="P1033" s="9"/>
      <c r="Q1033" s="1435"/>
      <c r="R1033" s="1435"/>
      <c r="S1033" s="1715" t="b">
        <f t="shared" si="472"/>
        <v>0</v>
      </c>
      <c r="T1033" s="1954"/>
      <c r="U1033" s="1954"/>
      <c r="V1033" s="1954"/>
      <c r="W1033" s="1954"/>
      <c r="X1033" s="1954"/>
      <c r="Y1033" s="1954"/>
      <c r="Z1033" s="1954"/>
      <c r="AA1033" s="1435"/>
      <c r="AB1033" s="1435"/>
      <c r="AC1033" s="1435"/>
      <c r="AD1033" s="1435"/>
      <c r="AE1033" s="1137"/>
      <c r="AF1033" s="1137"/>
      <c r="AG1033" s="1137"/>
      <c r="AH1033" s="1137"/>
      <c r="AI1033" s="1137"/>
      <c r="AJ1033" s="1137"/>
      <c r="AK1033" s="1137"/>
      <c r="AL1033" s="1137"/>
      <c r="AN1033" s="618"/>
      <c r="AO1033" s="1121" t="b">
        <f t="shared" si="464"/>
        <v>0</v>
      </c>
      <c r="AP1033" s="1135"/>
    </row>
    <row r="1034" spans="1:42" s="562" customFormat="1">
      <c r="A1034" s="618"/>
      <c r="B1034" s="485"/>
      <c r="C1034" s="485"/>
      <c r="D1034" s="582">
        <f t="shared" si="473"/>
        <v>9</v>
      </c>
      <c r="E1034" s="3335"/>
      <c r="F1034" s="3335"/>
      <c r="G1034" s="3335"/>
      <c r="H1034" s="3336"/>
      <c r="I1034" s="3336"/>
      <c r="J1034" s="3336"/>
      <c r="K1034" s="3336"/>
      <c r="L1034" s="3336"/>
      <c r="M1034" s="1999"/>
      <c r="N1034" s="485"/>
      <c r="O1034" s="481"/>
      <c r="P1034" s="9"/>
      <c r="Q1034" s="1435"/>
      <c r="R1034" s="1435"/>
      <c r="S1034" s="1715" t="b">
        <f t="shared" si="472"/>
        <v>0</v>
      </c>
      <c r="T1034" s="1954"/>
      <c r="U1034" s="1954"/>
      <c r="V1034" s="1954"/>
      <c r="W1034" s="1954"/>
      <c r="X1034" s="1954"/>
      <c r="Y1034" s="1954"/>
      <c r="Z1034" s="1954"/>
      <c r="AA1034" s="1435"/>
      <c r="AB1034" s="1435"/>
      <c r="AC1034" s="1435"/>
      <c r="AD1034" s="1435"/>
      <c r="AE1034" s="1137"/>
      <c r="AF1034" s="1137"/>
      <c r="AG1034" s="1137"/>
      <c r="AH1034" s="1137"/>
      <c r="AI1034" s="1137"/>
      <c r="AJ1034" s="1137"/>
      <c r="AK1034" s="1137"/>
      <c r="AL1034" s="1137"/>
      <c r="AN1034" s="618"/>
      <c r="AO1034" s="1121" t="b">
        <f t="shared" si="464"/>
        <v>0</v>
      </c>
      <c r="AP1034" s="1135"/>
    </row>
    <row r="1035" spans="1:42" s="562" customFormat="1">
      <c r="A1035" s="618"/>
      <c r="B1035" s="485"/>
      <c r="C1035" s="485"/>
      <c r="D1035" s="584">
        <f t="shared" si="473"/>
        <v>10</v>
      </c>
      <c r="E1035" s="3356"/>
      <c r="F1035" s="3356"/>
      <c r="G1035" s="3356"/>
      <c r="H1035" s="3354"/>
      <c r="I1035" s="3354"/>
      <c r="J1035" s="3354"/>
      <c r="K1035" s="3354"/>
      <c r="L1035" s="3354"/>
      <c r="M1035" s="2000"/>
      <c r="N1035" s="485"/>
      <c r="O1035" s="481"/>
      <c r="P1035" s="9"/>
      <c r="Q1035" s="1435"/>
      <c r="R1035" s="1435"/>
      <c r="S1035" s="1715" t="b">
        <f t="shared" si="472"/>
        <v>0</v>
      </c>
      <c r="T1035" s="1954"/>
      <c r="U1035" s="1954"/>
      <c r="V1035" s="1954"/>
      <c r="W1035" s="1954"/>
      <c r="X1035" s="1954"/>
      <c r="Y1035" s="1954"/>
      <c r="Z1035" s="1954"/>
      <c r="AA1035" s="1435"/>
      <c r="AB1035" s="1435"/>
      <c r="AC1035" s="1435"/>
      <c r="AD1035" s="1435"/>
      <c r="AE1035" s="1137"/>
      <c r="AF1035" s="1137"/>
      <c r="AG1035" s="1137"/>
      <c r="AH1035" s="1137"/>
      <c r="AI1035" s="1137"/>
      <c r="AJ1035" s="1137"/>
      <c r="AK1035" s="1137"/>
      <c r="AL1035" s="1137"/>
      <c r="AN1035" s="618"/>
      <c r="AO1035" s="1121" t="b">
        <f t="shared" si="464"/>
        <v>0</v>
      </c>
      <c r="AP1035" s="1135"/>
    </row>
    <row r="1036" spans="1:42" s="562" customFormat="1">
      <c r="A1036" s="618"/>
      <c r="B1036" s="485"/>
      <c r="C1036" s="485"/>
      <c r="D1036" s="579">
        <v>1</v>
      </c>
      <c r="E1036" s="3352" t="str">
        <f>IF(E1026&lt;&gt; "",E1026,IF(E1016 &lt;&gt; "", E1016,""))</f>
        <v/>
      </c>
      <c r="F1036" s="3417" t="str">
        <f t="shared" ref="F1036:G1036" si="474">IF(F1026&lt;&gt; "",F1026,IF(F1016 &lt;&gt; "", F1016,""))</f>
        <v/>
      </c>
      <c r="G1036" s="3417" t="str">
        <f t="shared" si="474"/>
        <v/>
      </c>
      <c r="H1036" s="3415" t="str">
        <f>IF(H1026&lt;&gt; "",H1026,IF(H1016 &lt;&gt; "", H1016,""))</f>
        <v/>
      </c>
      <c r="I1036" s="3415"/>
      <c r="J1036" s="3415"/>
      <c r="K1036" s="3415"/>
      <c r="L1036" s="3415"/>
      <c r="M1036" s="961" t="str">
        <f>IF(M1026&lt;&gt; "",M1026,IF(M1016 &lt;&gt; "", M1016,""))</f>
        <v/>
      </c>
      <c r="N1036" s="485"/>
      <c r="O1036" s="481"/>
      <c r="P1036" s="481"/>
      <c r="Q1036" s="1435"/>
      <c r="R1036" s="1435"/>
      <c r="S1036" s="1968" t="str">
        <f>EUconst_CNTR_AttributedEmissions &amp;I983</f>
        <v>AttrEmissions_Process emissions sub-installation, CL</v>
      </c>
      <c r="T1036" s="1644" t="str">
        <f t="shared" ref="T1036:Z1036" si="475">IF(T990,SUM(H990),"")</f>
        <v/>
      </c>
      <c r="U1036" s="1644" t="str">
        <f t="shared" si="475"/>
        <v/>
      </c>
      <c r="V1036" s="1644" t="str">
        <f t="shared" si="475"/>
        <v/>
      </c>
      <c r="W1036" s="1644" t="str">
        <f t="shared" si="475"/>
        <v/>
      </c>
      <c r="X1036" s="1644" t="str">
        <f t="shared" si="475"/>
        <v/>
      </c>
      <c r="Y1036" s="1644" t="str">
        <f t="shared" si="475"/>
        <v/>
      </c>
      <c r="Z1036" s="1644" t="str">
        <f t="shared" si="475"/>
        <v/>
      </c>
      <c r="AA1036" s="1435"/>
      <c r="AB1036" s="1435"/>
      <c r="AC1036" s="1435"/>
      <c r="AD1036" s="1435"/>
      <c r="AE1036" s="1137"/>
      <c r="AF1036" s="1137"/>
      <c r="AG1036" s="1137"/>
      <c r="AH1036" s="1137"/>
      <c r="AI1036" s="1137"/>
      <c r="AJ1036" s="1137"/>
      <c r="AK1036" s="1633" t="s">
        <v>1954</v>
      </c>
      <c r="AL1036" s="1635" t="str">
        <f>IF(AND($M983=EUconst_Relevant,COUNTA(E1036:L1036)&lt;2),EUconst_Error&amp;"FB"&amp;Q983,"")</f>
        <v/>
      </c>
      <c r="AN1036" s="618"/>
      <c r="AO1036" s="1121" t="b">
        <f t="shared" si="464"/>
        <v>0</v>
      </c>
      <c r="AP1036" s="1135"/>
    </row>
    <row r="1037" spans="1:42" s="562" customFormat="1">
      <c r="A1037" s="618"/>
      <c r="B1037" s="485"/>
      <c r="C1037" s="485"/>
      <c r="D1037" s="582">
        <f>D1036+1</f>
        <v>2</v>
      </c>
      <c r="E1037" s="3348" t="str">
        <f t="shared" ref="E1037:H1037" si="476">IF(E1027&lt;&gt; "",E1027,IF(E1017 &lt;&gt; "", E1017,""))</f>
        <v/>
      </c>
      <c r="F1037" s="3362" t="str">
        <f t="shared" si="476"/>
        <v/>
      </c>
      <c r="G1037" s="3349" t="str">
        <f t="shared" si="476"/>
        <v/>
      </c>
      <c r="H1037" s="2825" t="str">
        <f t="shared" si="476"/>
        <v/>
      </c>
      <c r="I1037" s="2827"/>
      <c r="J1037" s="2827"/>
      <c r="K1037" s="2827"/>
      <c r="L1037" s="2826"/>
      <c r="M1037" s="895" t="str">
        <f t="shared" ref="M1037:M1045" si="477">IF(M1027&lt;&gt; "",M1027,IF(M1017 &lt;&gt; "", M1017,""))</f>
        <v/>
      </c>
      <c r="N1037" s="485"/>
      <c r="O1037" s="481"/>
      <c r="P1037" s="481"/>
      <c r="Q1037" s="1435"/>
      <c r="R1037" s="1435"/>
      <c r="S1037" s="1435"/>
      <c r="T1037" s="1435"/>
      <c r="U1037" s="1435"/>
      <c r="V1037" s="1435"/>
      <c r="W1037" s="1435"/>
      <c r="X1037" s="1435"/>
      <c r="Y1037" s="1435"/>
      <c r="Z1037" s="1435"/>
      <c r="AA1037" s="1435"/>
      <c r="AB1037" s="1435"/>
      <c r="AC1037" s="1435"/>
      <c r="AD1037" s="1435"/>
      <c r="AE1037" s="1137"/>
      <c r="AF1037" s="1137"/>
      <c r="AG1037" s="1137"/>
      <c r="AH1037" s="1137"/>
      <c r="AI1037" s="1137"/>
      <c r="AJ1037" s="1137"/>
      <c r="AK1037" s="1118"/>
      <c r="AL1037" s="1118"/>
      <c r="AN1037" s="618"/>
      <c r="AO1037" s="1121" t="b">
        <f t="shared" si="464"/>
        <v>0</v>
      </c>
      <c r="AP1037" s="1135"/>
    </row>
    <row r="1038" spans="1:42" s="562" customFormat="1">
      <c r="A1038" s="618"/>
      <c r="B1038" s="485"/>
      <c r="C1038" s="485"/>
      <c r="D1038" s="582">
        <f t="shared" ref="D1038:D1045" si="478">D1037+1</f>
        <v>3</v>
      </c>
      <c r="E1038" s="3348" t="str">
        <f t="shared" ref="E1038:H1038" si="479">IF(E1028&lt;&gt; "",E1028,IF(E1018 &lt;&gt; "", E1018,""))</f>
        <v/>
      </c>
      <c r="F1038" s="3362" t="str">
        <f t="shared" si="479"/>
        <v/>
      </c>
      <c r="G1038" s="3349" t="str">
        <f t="shared" si="479"/>
        <v/>
      </c>
      <c r="H1038" s="2825" t="str">
        <f t="shared" si="479"/>
        <v/>
      </c>
      <c r="I1038" s="2827"/>
      <c r="J1038" s="2827"/>
      <c r="K1038" s="2827"/>
      <c r="L1038" s="2826"/>
      <c r="M1038" s="895" t="str">
        <f t="shared" si="477"/>
        <v/>
      </c>
      <c r="N1038" s="485"/>
      <c r="O1038" s="481"/>
      <c r="P1038" s="481"/>
      <c r="Q1038" s="1435"/>
      <c r="R1038" s="1435"/>
      <c r="S1038" s="1435"/>
      <c r="T1038" s="1435"/>
      <c r="U1038" s="1435"/>
      <c r="V1038" s="1435"/>
      <c r="W1038" s="1435"/>
      <c r="X1038" s="1435"/>
      <c r="Y1038" s="1435"/>
      <c r="Z1038" s="1435"/>
      <c r="AA1038" s="1435"/>
      <c r="AB1038" s="1435"/>
      <c r="AC1038" s="1435"/>
      <c r="AD1038" s="1435"/>
      <c r="AE1038" s="1137"/>
      <c r="AF1038" s="1137"/>
      <c r="AG1038" s="1137"/>
      <c r="AH1038" s="1137"/>
      <c r="AI1038" s="1137"/>
      <c r="AJ1038" s="1137"/>
      <c r="AK1038" s="1118"/>
      <c r="AL1038" s="1118"/>
      <c r="AN1038" s="618"/>
      <c r="AO1038" s="1121" t="b">
        <f t="shared" si="464"/>
        <v>0</v>
      </c>
      <c r="AP1038" s="1135"/>
    </row>
    <row r="1039" spans="1:42" s="562" customFormat="1">
      <c r="A1039" s="618"/>
      <c r="B1039" s="485"/>
      <c r="C1039" s="485"/>
      <c r="D1039" s="582">
        <f t="shared" si="478"/>
        <v>4</v>
      </c>
      <c r="E1039" s="3348" t="str">
        <f t="shared" ref="E1039:H1039" si="480">IF(E1029&lt;&gt; "",E1029,IF(E1019 &lt;&gt; "", E1019,""))</f>
        <v/>
      </c>
      <c r="F1039" s="3362" t="str">
        <f t="shared" si="480"/>
        <v/>
      </c>
      <c r="G1039" s="3349" t="str">
        <f t="shared" si="480"/>
        <v/>
      </c>
      <c r="H1039" s="2825" t="str">
        <f t="shared" si="480"/>
        <v/>
      </c>
      <c r="I1039" s="2827"/>
      <c r="J1039" s="2827"/>
      <c r="K1039" s="2827"/>
      <c r="L1039" s="2826"/>
      <c r="M1039" s="895" t="str">
        <f t="shared" si="477"/>
        <v/>
      </c>
      <c r="N1039" s="485"/>
      <c r="O1039" s="481"/>
      <c r="P1039" s="481"/>
      <c r="Q1039" s="1435"/>
      <c r="R1039" s="1435"/>
      <c r="S1039" s="1435"/>
      <c r="T1039" s="1435"/>
      <c r="U1039" s="1435"/>
      <c r="V1039" s="1435"/>
      <c r="W1039" s="1435"/>
      <c r="X1039" s="1435"/>
      <c r="Y1039" s="1435"/>
      <c r="Z1039" s="1435"/>
      <c r="AA1039" s="1435"/>
      <c r="AB1039" s="1435"/>
      <c r="AC1039" s="1435"/>
      <c r="AD1039" s="1435"/>
      <c r="AE1039" s="1137"/>
      <c r="AF1039" s="1137"/>
      <c r="AG1039" s="1137"/>
      <c r="AH1039" s="1137"/>
      <c r="AI1039" s="1137"/>
      <c r="AJ1039" s="1137"/>
      <c r="AK1039" s="1118"/>
      <c r="AL1039" s="1118"/>
      <c r="AN1039" s="618"/>
      <c r="AO1039" s="1121" t="b">
        <f t="shared" si="464"/>
        <v>0</v>
      </c>
      <c r="AP1039" s="1135"/>
    </row>
    <row r="1040" spans="1:42" s="562" customFormat="1">
      <c r="A1040" s="618"/>
      <c r="B1040" s="485"/>
      <c r="C1040" s="485"/>
      <c r="D1040" s="582">
        <f t="shared" si="478"/>
        <v>5</v>
      </c>
      <c r="E1040" s="3348" t="str">
        <f t="shared" ref="E1040:H1040" si="481">IF(E1030&lt;&gt; "",E1030,IF(E1020 &lt;&gt; "", E1020,""))</f>
        <v/>
      </c>
      <c r="F1040" s="3362" t="str">
        <f t="shared" si="481"/>
        <v/>
      </c>
      <c r="G1040" s="3349" t="str">
        <f t="shared" si="481"/>
        <v/>
      </c>
      <c r="H1040" s="2825" t="str">
        <f t="shared" si="481"/>
        <v/>
      </c>
      <c r="I1040" s="2827"/>
      <c r="J1040" s="2827"/>
      <c r="K1040" s="2827"/>
      <c r="L1040" s="2826"/>
      <c r="M1040" s="895" t="str">
        <f t="shared" si="477"/>
        <v/>
      </c>
      <c r="N1040" s="485"/>
      <c r="O1040" s="481"/>
      <c r="P1040" s="481"/>
      <c r="Q1040" s="1435"/>
      <c r="R1040" s="1435"/>
      <c r="S1040" s="1435"/>
      <c r="T1040" s="1435"/>
      <c r="U1040" s="1435"/>
      <c r="V1040" s="1435"/>
      <c r="W1040" s="1435"/>
      <c r="X1040" s="1435"/>
      <c r="Y1040" s="1435"/>
      <c r="Z1040" s="1435"/>
      <c r="AA1040" s="1435"/>
      <c r="AB1040" s="1435"/>
      <c r="AC1040" s="1435"/>
      <c r="AD1040" s="1435"/>
      <c r="AE1040" s="1137"/>
      <c r="AF1040" s="1137"/>
      <c r="AG1040" s="1137"/>
      <c r="AH1040" s="1137"/>
      <c r="AI1040" s="1137"/>
      <c r="AJ1040" s="1137"/>
      <c r="AK1040" s="1118"/>
      <c r="AL1040" s="1118"/>
      <c r="AN1040" s="618"/>
      <c r="AO1040" s="1121" t="b">
        <f t="shared" si="464"/>
        <v>0</v>
      </c>
      <c r="AP1040" s="1135"/>
    </row>
    <row r="1041" spans="1:42" s="562" customFormat="1">
      <c r="A1041" s="618"/>
      <c r="B1041" s="485"/>
      <c r="C1041" s="485"/>
      <c r="D1041" s="582">
        <f t="shared" si="478"/>
        <v>6</v>
      </c>
      <c r="E1041" s="3348" t="str">
        <f t="shared" ref="E1041:H1041" si="482">IF(E1031&lt;&gt; "",E1031,IF(E1021 &lt;&gt; "", E1021,""))</f>
        <v/>
      </c>
      <c r="F1041" s="3362" t="str">
        <f t="shared" si="482"/>
        <v/>
      </c>
      <c r="G1041" s="3349" t="str">
        <f t="shared" si="482"/>
        <v/>
      </c>
      <c r="H1041" s="2825" t="str">
        <f t="shared" si="482"/>
        <v/>
      </c>
      <c r="I1041" s="2827"/>
      <c r="J1041" s="2827"/>
      <c r="K1041" s="2827"/>
      <c r="L1041" s="2826"/>
      <c r="M1041" s="895" t="str">
        <f t="shared" si="477"/>
        <v/>
      </c>
      <c r="N1041" s="485"/>
      <c r="O1041" s="481"/>
      <c r="P1041" s="481"/>
      <c r="Q1041" s="1435"/>
      <c r="R1041" s="1435"/>
      <c r="S1041" s="1435"/>
      <c r="AN1041" s="618"/>
      <c r="AO1041" s="1121" t="b">
        <f t="shared" si="464"/>
        <v>0</v>
      </c>
      <c r="AP1041" s="1135"/>
    </row>
    <row r="1042" spans="1:42" s="562" customFormat="1">
      <c r="A1042" s="618"/>
      <c r="B1042" s="485"/>
      <c r="C1042" s="485"/>
      <c r="D1042" s="582">
        <f t="shared" si="478"/>
        <v>7</v>
      </c>
      <c r="E1042" s="3348" t="str">
        <f t="shared" ref="E1042:H1042" si="483">IF(E1032&lt;&gt; "",E1032,IF(E1022 &lt;&gt; "", E1022,""))</f>
        <v/>
      </c>
      <c r="F1042" s="3362" t="str">
        <f t="shared" si="483"/>
        <v/>
      </c>
      <c r="G1042" s="3349" t="str">
        <f t="shared" si="483"/>
        <v/>
      </c>
      <c r="H1042" s="2825" t="str">
        <f t="shared" si="483"/>
        <v/>
      </c>
      <c r="I1042" s="2827"/>
      <c r="J1042" s="2827"/>
      <c r="K1042" s="2827"/>
      <c r="L1042" s="2826"/>
      <c r="M1042" s="895" t="str">
        <f t="shared" si="477"/>
        <v/>
      </c>
      <c r="N1042" s="485"/>
      <c r="O1042" s="481"/>
      <c r="P1042" s="481"/>
      <c r="Q1042" s="1435"/>
      <c r="R1042" s="1435"/>
      <c r="S1042" s="1435"/>
      <c r="AN1042" s="618"/>
      <c r="AO1042" s="1121" t="b">
        <f t="shared" si="464"/>
        <v>0</v>
      </c>
      <c r="AP1042" s="1135"/>
    </row>
    <row r="1043" spans="1:42" s="562" customFormat="1">
      <c r="A1043" s="618"/>
      <c r="B1043" s="485"/>
      <c r="C1043" s="485"/>
      <c r="D1043" s="582">
        <f t="shared" si="478"/>
        <v>8</v>
      </c>
      <c r="E1043" s="3348" t="str">
        <f t="shared" ref="E1043:H1043" si="484">IF(E1033&lt;&gt; "",E1033,IF(E1023 &lt;&gt; "", E1023,""))</f>
        <v/>
      </c>
      <c r="F1043" s="3362" t="str">
        <f t="shared" si="484"/>
        <v/>
      </c>
      <c r="G1043" s="3349" t="str">
        <f t="shared" si="484"/>
        <v/>
      </c>
      <c r="H1043" s="2825" t="str">
        <f t="shared" si="484"/>
        <v/>
      </c>
      <c r="I1043" s="2827"/>
      <c r="J1043" s="2827"/>
      <c r="K1043" s="2827"/>
      <c r="L1043" s="2826"/>
      <c r="M1043" s="895" t="str">
        <f t="shared" si="477"/>
        <v/>
      </c>
      <c r="N1043" s="485"/>
      <c r="O1043" s="481"/>
      <c r="P1043" s="481"/>
      <c r="Q1043" s="1435"/>
      <c r="R1043" s="1435"/>
      <c r="S1043" s="1435"/>
      <c r="AN1043" s="618"/>
      <c r="AO1043" s="1121" t="b">
        <f t="shared" si="464"/>
        <v>0</v>
      </c>
      <c r="AP1043" s="1135"/>
    </row>
    <row r="1044" spans="1:42" s="562" customFormat="1" ht="13.15" customHeight="1">
      <c r="A1044" s="618"/>
      <c r="B1044" s="485"/>
      <c r="C1044" s="485"/>
      <c r="D1044" s="582">
        <f t="shared" si="478"/>
        <v>9</v>
      </c>
      <c r="E1044" s="3348" t="str">
        <f t="shared" ref="E1044:H1044" si="485">IF(E1034&lt;&gt; "",E1034,IF(E1024 &lt;&gt; "", E1024,""))</f>
        <v/>
      </c>
      <c r="F1044" s="3362" t="str">
        <f t="shared" si="485"/>
        <v/>
      </c>
      <c r="G1044" s="3349" t="str">
        <f t="shared" si="485"/>
        <v/>
      </c>
      <c r="H1044" s="2825" t="str">
        <f t="shared" si="485"/>
        <v/>
      </c>
      <c r="I1044" s="2827"/>
      <c r="J1044" s="2827"/>
      <c r="K1044" s="2827"/>
      <c r="L1044" s="2826"/>
      <c r="M1044" s="895" t="str">
        <f t="shared" si="477"/>
        <v/>
      </c>
      <c r="N1044" s="485"/>
      <c r="O1044" s="481"/>
      <c r="P1044" s="481"/>
      <c r="Q1044" s="1435"/>
      <c r="R1044" s="1435"/>
      <c r="S1044" s="1435"/>
      <c r="AN1044" s="618"/>
      <c r="AO1044" s="1121" t="b">
        <f t="shared" si="464"/>
        <v>0</v>
      </c>
      <c r="AP1044" s="1135"/>
    </row>
    <row r="1045" spans="1:42" s="562" customFormat="1">
      <c r="A1045" s="618"/>
      <c r="B1045" s="485"/>
      <c r="C1045" s="485"/>
      <c r="D1045" s="584">
        <f t="shared" si="478"/>
        <v>10</v>
      </c>
      <c r="E1045" s="3350" t="str">
        <f t="shared" ref="E1045:H1045" si="486">IF(E1035&lt;&gt; "",E1035,IF(E1025 &lt;&gt; "", E1025,""))</f>
        <v/>
      </c>
      <c r="F1045" s="3332" t="str">
        <f t="shared" si="486"/>
        <v/>
      </c>
      <c r="G1045" s="3351" t="str">
        <f t="shared" si="486"/>
        <v/>
      </c>
      <c r="H1045" s="2820" t="str">
        <f t="shared" si="486"/>
        <v/>
      </c>
      <c r="I1045" s="2822"/>
      <c r="J1045" s="2822"/>
      <c r="K1045" s="2822"/>
      <c r="L1045" s="2821"/>
      <c r="M1045" s="968" t="str">
        <f t="shared" si="477"/>
        <v/>
      </c>
      <c r="N1045" s="485"/>
      <c r="O1045" s="481"/>
      <c r="P1045" s="481"/>
      <c r="Q1045" s="1435"/>
      <c r="R1045" s="1435"/>
      <c r="S1045" s="1435"/>
      <c r="AN1045" s="618"/>
      <c r="AO1045" s="1121" t="b">
        <f t="shared" si="464"/>
        <v>0</v>
      </c>
      <c r="AP1045" s="1135"/>
    </row>
    <row r="1046" spans="1:42" s="562" customFormat="1" ht="5.0999999999999996" customHeight="1">
      <c r="A1046" s="618"/>
      <c r="B1046" s="467"/>
      <c r="C1046" s="485"/>
      <c r="D1046" s="485"/>
      <c r="E1046" s="617"/>
      <c r="F1046" s="617"/>
      <c r="G1046" s="617"/>
      <c r="H1046" s="617"/>
      <c r="I1046" s="617"/>
      <c r="J1046" s="468"/>
      <c r="K1046" s="468"/>
      <c r="L1046" s="468"/>
      <c r="M1046" s="481"/>
      <c r="N1046" s="481"/>
      <c r="O1046" s="481"/>
      <c r="P1046" s="481"/>
      <c r="Q1046" s="1249"/>
      <c r="R1046" s="1435"/>
      <c r="S1046" s="1435"/>
      <c r="AN1046" s="618"/>
      <c r="AO1046" s="1121" t="b">
        <f t="shared" si="464"/>
        <v>0</v>
      </c>
      <c r="AP1046" s="1135"/>
    </row>
    <row r="1047" spans="1:42" s="562" customFormat="1" ht="12.75" customHeight="1">
      <c r="A1047" s="618"/>
      <c r="B1047" s="467"/>
      <c r="C1047" s="482"/>
      <c r="D1047" s="482" t="s">
        <v>48</v>
      </c>
      <c r="E1047" s="2373" t="s">
        <v>1477</v>
      </c>
      <c r="F1047" s="2400"/>
      <c r="G1047" s="2400"/>
      <c r="H1047" s="2400"/>
      <c r="I1047" s="2400"/>
      <c r="J1047" s="2400"/>
      <c r="K1047" s="2400"/>
      <c r="L1047" s="2400"/>
      <c r="M1047" s="2400"/>
      <c r="N1047" s="2400"/>
      <c r="O1047" s="481"/>
      <c r="P1047" s="481"/>
      <c r="Q1047" s="1249"/>
      <c r="R1047" s="1435"/>
      <c r="S1047" s="1435"/>
      <c r="AN1047" s="618"/>
      <c r="AO1047" s="1121" t="b">
        <f t="shared" si="464"/>
        <v>0</v>
      </c>
      <c r="AP1047" s="1135"/>
    </row>
    <row r="1048" spans="1:42" s="562" customFormat="1" ht="5.0999999999999996" customHeight="1">
      <c r="A1048" s="618"/>
      <c r="B1048" s="467"/>
      <c r="C1048" s="467"/>
      <c r="D1048" s="467"/>
      <c r="E1048" s="467"/>
      <c r="F1048" s="467"/>
      <c r="G1048" s="467"/>
      <c r="H1048" s="467"/>
      <c r="I1048" s="467"/>
      <c r="J1048" s="467"/>
      <c r="K1048" s="467"/>
      <c r="L1048" s="467"/>
      <c r="M1048" s="467"/>
      <c r="N1048" s="481"/>
      <c r="O1048" s="481"/>
      <c r="P1048" s="481"/>
      <c r="Q1048" s="1249"/>
      <c r="R1048" s="1249"/>
      <c r="S1048" s="1435"/>
      <c r="AN1048" s="618"/>
      <c r="AO1048" s="1121" t="b">
        <f t="shared" si="464"/>
        <v>0</v>
      </c>
      <c r="AP1048" s="1135"/>
    </row>
    <row r="1049" spans="1:42" s="562" customFormat="1">
      <c r="A1049" s="618"/>
      <c r="B1049" s="485"/>
      <c r="C1049" s="482"/>
      <c r="D1049" s="956"/>
      <c r="E1049" s="2758" t="s">
        <v>28</v>
      </c>
      <c r="F1049" s="2508"/>
      <c r="G1049" s="695" t="str">
        <f>EUconst_Unit</f>
        <v>Unit</v>
      </c>
      <c r="H1049" s="578">
        <f t="shared" ref="H1049:M1049" si="487">H$1190</f>
        <v>2024</v>
      </c>
      <c r="I1049" s="578">
        <f t="shared" si="487"/>
        <v>2025</v>
      </c>
      <c r="J1049" s="1975">
        <f t="shared" si="487"/>
        <v>2026</v>
      </c>
      <c r="K1049" s="1677">
        <f t="shared" si="487"/>
        <v>2027</v>
      </c>
      <c r="L1049" s="1677">
        <f t="shared" si="487"/>
        <v>2028</v>
      </c>
      <c r="M1049" s="1677">
        <f t="shared" si="487"/>
        <v>2029</v>
      </c>
      <c r="N1049" s="1677"/>
      <c r="O1049" s="481"/>
      <c r="P1049" s="481"/>
      <c r="Q1049" s="1435"/>
      <c r="R1049" s="1435"/>
      <c r="S1049" s="1904" t="s">
        <v>2057</v>
      </c>
      <c r="AN1049" s="618"/>
      <c r="AO1049" s="1121" t="b">
        <f t="shared" si="464"/>
        <v>0</v>
      </c>
      <c r="AP1049" s="1135"/>
    </row>
    <row r="1050" spans="1:42" s="562" customFormat="1">
      <c r="A1050" s="618"/>
      <c r="B1050" s="485"/>
      <c r="C1050" s="482"/>
      <c r="D1050" s="579">
        <v>1</v>
      </c>
      <c r="E1050" s="3353" t="str">
        <f>c_ALR2025!E6601</f>
        <v/>
      </c>
      <c r="F1050" s="3353"/>
      <c r="G1050" s="1976" t="str">
        <f>c_ALR2025!G6601</f>
        <v/>
      </c>
      <c r="H1050" s="1977" t="str">
        <f>c_ALR2025!M6601</f>
        <v/>
      </c>
      <c r="I1050" s="1858"/>
      <c r="J1050" s="1677"/>
      <c r="K1050" s="1677"/>
      <c r="L1050" s="1677"/>
      <c r="M1050" s="1677"/>
      <c r="N1050" s="1677"/>
      <c r="O1050" s="481"/>
      <c r="P1050" s="9"/>
      <c r="Q1050" s="1435"/>
      <c r="R1050" s="1435"/>
      <c r="S1050" s="1715" t="b">
        <f>IF(E1050 = "", TRUE, FALSE)</f>
        <v>1</v>
      </c>
      <c r="AN1050" s="618"/>
      <c r="AO1050" s="1121" t="b">
        <f t="shared" ref="AO1050:AO1080" si="488">$AD$983</f>
        <v>0</v>
      </c>
      <c r="AP1050" s="1135"/>
    </row>
    <row r="1051" spans="1:42" s="562" customFormat="1">
      <c r="A1051" s="618"/>
      <c r="B1051" s="485"/>
      <c r="C1051" s="482"/>
      <c r="D1051" s="582">
        <f>D1050+1</f>
        <v>2</v>
      </c>
      <c r="E1051" s="3345" t="str">
        <f>c_ALR2025!E6602</f>
        <v/>
      </c>
      <c r="F1051" s="3347"/>
      <c r="G1051" s="1718" t="str">
        <f>c_ALR2025!G6602</f>
        <v/>
      </c>
      <c r="H1051" s="1719" t="str">
        <f>c_ALR2025!M6602</f>
        <v/>
      </c>
      <c r="I1051" s="1859"/>
      <c r="J1051" s="1677"/>
      <c r="K1051" s="1677"/>
      <c r="L1051" s="1677"/>
      <c r="M1051" s="1677"/>
      <c r="N1051" s="1677"/>
      <c r="O1051" s="481"/>
      <c r="P1051" s="9"/>
      <c r="Q1051" s="1435"/>
      <c r="R1051" s="1435"/>
      <c r="S1051" s="1715" t="b">
        <f t="shared" ref="S1051:S1059" si="489">IF(E1051 = "", TRUE, FALSE)</f>
        <v>1</v>
      </c>
      <c r="AN1051" s="618"/>
      <c r="AO1051" s="1121" t="b">
        <f t="shared" si="488"/>
        <v>0</v>
      </c>
      <c r="AP1051" s="1135"/>
    </row>
    <row r="1052" spans="1:42" s="562" customFormat="1">
      <c r="A1052" s="618"/>
      <c r="B1052" s="485"/>
      <c r="C1052" s="482"/>
      <c r="D1052" s="582">
        <f t="shared" ref="D1052:D1059" si="490">D1051+1</f>
        <v>3</v>
      </c>
      <c r="E1052" s="3345" t="str">
        <f>c_ALR2025!E6603</f>
        <v/>
      </c>
      <c r="F1052" s="3347"/>
      <c r="G1052" s="1718" t="str">
        <f>c_ALR2025!G6603</f>
        <v/>
      </c>
      <c r="H1052" s="1719" t="str">
        <f>c_ALR2025!M6603</f>
        <v/>
      </c>
      <c r="I1052" s="1859"/>
      <c r="J1052" s="1677"/>
      <c r="K1052" s="1677"/>
      <c r="L1052" s="1677"/>
      <c r="M1052" s="1677"/>
      <c r="N1052" s="1677"/>
      <c r="O1052" s="481"/>
      <c r="P1052" s="9"/>
      <c r="Q1052" s="1435"/>
      <c r="R1052" s="1435"/>
      <c r="S1052" s="1715" t="b">
        <f t="shared" si="489"/>
        <v>1</v>
      </c>
      <c r="AN1052" s="618"/>
      <c r="AO1052" s="1121" t="b">
        <f t="shared" si="488"/>
        <v>0</v>
      </c>
      <c r="AP1052" s="1135"/>
    </row>
    <row r="1053" spans="1:42" s="562" customFormat="1">
      <c r="A1053" s="618"/>
      <c r="B1053" s="485"/>
      <c r="C1053" s="482"/>
      <c r="D1053" s="582">
        <f t="shared" si="490"/>
        <v>4</v>
      </c>
      <c r="E1053" s="3345" t="str">
        <f>c_ALR2025!E6604</f>
        <v/>
      </c>
      <c r="F1053" s="3347"/>
      <c r="G1053" s="1718" t="str">
        <f>c_ALR2025!G6604</f>
        <v/>
      </c>
      <c r="H1053" s="1719" t="str">
        <f>c_ALR2025!M6604</f>
        <v/>
      </c>
      <c r="I1053" s="1859"/>
      <c r="J1053" s="1677"/>
      <c r="K1053" s="1677"/>
      <c r="L1053" s="1677"/>
      <c r="M1053" s="1677"/>
      <c r="N1053" s="1677"/>
      <c r="O1053" s="481"/>
      <c r="P1053" s="9"/>
      <c r="Q1053" s="1435"/>
      <c r="R1053" s="1435"/>
      <c r="S1053" s="1715" t="b">
        <f t="shared" si="489"/>
        <v>1</v>
      </c>
      <c r="AN1053" s="618"/>
      <c r="AO1053" s="1121" t="b">
        <f t="shared" si="488"/>
        <v>0</v>
      </c>
      <c r="AP1053" s="1135"/>
    </row>
    <row r="1054" spans="1:42" s="562" customFormat="1">
      <c r="A1054" s="618"/>
      <c r="B1054" s="485"/>
      <c r="C1054" s="482"/>
      <c r="D1054" s="582">
        <f t="shared" si="490"/>
        <v>5</v>
      </c>
      <c r="E1054" s="3345" t="str">
        <f>c_ALR2025!E6605</f>
        <v/>
      </c>
      <c r="F1054" s="3347"/>
      <c r="G1054" s="1718" t="str">
        <f>c_ALR2025!G6605</f>
        <v/>
      </c>
      <c r="H1054" s="1719" t="str">
        <f>c_ALR2025!M6605</f>
        <v/>
      </c>
      <c r="I1054" s="1859"/>
      <c r="J1054" s="1677"/>
      <c r="K1054" s="1677"/>
      <c r="L1054" s="1677"/>
      <c r="M1054" s="1677"/>
      <c r="N1054" s="1677"/>
      <c r="O1054" s="481"/>
      <c r="P1054" s="9"/>
      <c r="Q1054" s="1435"/>
      <c r="R1054" s="1435"/>
      <c r="S1054" s="1715" t="b">
        <f t="shared" si="489"/>
        <v>1</v>
      </c>
      <c r="AN1054" s="618"/>
      <c r="AO1054" s="1121" t="b">
        <f t="shared" si="488"/>
        <v>0</v>
      </c>
      <c r="AP1054" s="1135"/>
    </row>
    <row r="1055" spans="1:42" s="562" customFormat="1">
      <c r="A1055" s="618"/>
      <c r="B1055" s="485"/>
      <c r="C1055" s="482"/>
      <c r="D1055" s="582">
        <f t="shared" si="490"/>
        <v>6</v>
      </c>
      <c r="E1055" s="3345" t="str">
        <f>c_ALR2025!E6606</f>
        <v/>
      </c>
      <c r="F1055" s="3347"/>
      <c r="G1055" s="1718" t="str">
        <f>c_ALR2025!G6606</f>
        <v/>
      </c>
      <c r="H1055" s="1719" t="str">
        <f>c_ALR2025!M6606</f>
        <v/>
      </c>
      <c r="I1055" s="1859"/>
      <c r="J1055" s="1677"/>
      <c r="K1055" s="1677"/>
      <c r="L1055" s="1677"/>
      <c r="M1055" s="1677"/>
      <c r="N1055" s="1677"/>
      <c r="O1055" s="481"/>
      <c r="P1055" s="9"/>
      <c r="Q1055" s="1435"/>
      <c r="R1055" s="1435"/>
      <c r="S1055" s="1715" t="b">
        <f t="shared" si="489"/>
        <v>1</v>
      </c>
      <c r="AN1055" s="618"/>
      <c r="AO1055" s="1121" t="b">
        <f t="shared" si="488"/>
        <v>0</v>
      </c>
      <c r="AP1055" s="1135"/>
    </row>
    <row r="1056" spans="1:42" s="562" customFormat="1">
      <c r="A1056" s="618"/>
      <c r="B1056" s="485"/>
      <c r="C1056" s="482"/>
      <c r="D1056" s="582">
        <f t="shared" si="490"/>
        <v>7</v>
      </c>
      <c r="E1056" s="3345" t="str">
        <f>c_ALR2025!E6607</f>
        <v/>
      </c>
      <c r="F1056" s="3347"/>
      <c r="G1056" s="1718" t="str">
        <f>c_ALR2025!G6607</f>
        <v/>
      </c>
      <c r="H1056" s="1719" t="str">
        <f>c_ALR2025!M6607</f>
        <v/>
      </c>
      <c r="I1056" s="1859"/>
      <c r="J1056" s="1677"/>
      <c r="K1056" s="1677"/>
      <c r="L1056" s="1677"/>
      <c r="M1056" s="1677"/>
      <c r="N1056" s="1677"/>
      <c r="O1056" s="481"/>
      <c r="P1056" s="9"/>
      <c r="Q1056" s="1435"/>
      <c r="R1056" s="1435"/>
      <c r="S1056" s="1715" t="b">
        <f t="shared" si="489"/>
        <v>1</v>
      </c>
      <c r="AN1056" s="618"/>
      <c r="AO1056" s="1121" t="b">
        <f t="shared" si="488"/>
        <v>0</v>
      </c>
      <c r="AP1056" s="1135"/>
    </row>
    <row r="1057" spans="1:42" s="562" customFormat="1">
      <c r="A1057" s="618"/>
      <c r="B1057" s="485"/>
      <c r="C1057" s="482"/>
      <c r="D1057" s="582">
        <f t="shared" si="490"/>
        <v>8</v>
      </c>
      <c r="E1057" s="3345" t="str">
        <f>c_ALR2025!E6608</f>
        <v/>
      </c>
      <c r="F1057" s="3347"/>
      <c r="G1057" s="1718" t="str">
        <f>c_ALR2025!G6608</f>
        <v/>
      </c>
      <c r="H1057" s="1719" t="str">
        <f>c_ALR2025!M6608</f>
        <v/>
      </c>
      <c r="I1057" s="1859"/>
      <c r="J1057" s="1677"/>
      <c r="K1057" s="1677"/>
      <c r="L1057" s="1677"/>
      <c r="M1057" s="1677"/>
      <c r="N1057" s="1677"/>
      <c r="O1057" s="481"/>
      <c r="P1057" s="9"/>
      <c r="Q1057" s="1435"/>
      <c r="R1057" s="1435"/>
      <c r="S1057" s="1715" t="b">
        <f t="shared" si="489"/>
        <v>1</v>
      </c>
      <c r="AN1057" s="618"/>
      <c r="AO1057" s="1121" t="b">
        <f t="shared" si="488"/>
        <v>0</v>
      </c>
      <c r="AP1057" s="1135"/>
    </row>
    <row r="1058" spans="1:42" s="562" customFormat="1">
      <c r="A1058" s="618"/>
      <c r="B1058" s="485"/>
      <c r="C1058" s="482"/>
      <c r="D1058" s="582">
        <f t="shared" si="490"/>
        <v>9</v>
      </c>
      <c r="E1058" s="3345" t="str">
        <f>c_ALR2025!E6609</f>
        <v/>
      </c>
      <c r="F1058" s="3347"/>
      <c r="G1058" s="1718" t="str">
        <f>c_ALR2025!G6609</f>
        <v/>
      </c>
      <c r="H1058" s="1719" t="str">
        <f>c_ALR2025!M6609</f>
        <v/>
      </c>
      <c r="I1058" s="1859"/>
      <c r="J1058" s="1677"/>
      <c r="K1058" s="1677"/>
      <c r="L1058" s="1677"/>
      <c r="M1058" s="1677"/>
      <c r="N1058" s="1677"/>
      <c r="O1058" s="481"/>
      <c r="P1058" s="9"/>
      <c r="Q1058" s="1435"/>
      <c r="R1058" s="1435"/>
      <c r="S1058" s="1715" t="b">
        <f t="shared" si="489"/>
        <v>1</v>
      </c>
      <c r="AN1058" s="618"/>
      <c r="AO1058" s="1121" t="b">
        <f t="shared" si="488"/>
        <v>0</v>
      </c>
      <c r="AP1058" s="1135"/>
    </row>
    <row r="1059" spans="1:42" s="562" customFormat="1">
      <c r="A1059" s="618"/>
      <c r="B1059" s="485"/>
      <c r="C1059" s="482"/>
      <c r="D1059" s="584">
        <f t="shared" si="490"/>
        <v>10</v>
      </c>
      <c r="E1059" s="3343" t="str">
        <f>c_ALR2025!E6610</f>
        <v/>
      </c>
      <c r="F1059" s="3344"/>
      <c r="G1059" s="1721" t="str">
        <f>c_ALR2025!G6610</f>
        <v/>
      </c>
      <c r="H1059" s="1722" t="str">
        <f>c_ALR2025!M6610</f>
        <v/>
      </c>
      <c r="I1059" s="1860"/>
      <c r="J1059" s="1677"/>
      <c r="K1059" s="1677"/>
      <c r="L1059" s="1677"/>
      <c r="M1059" s="1677"/>
      <c r="N1059" s="1677"/>
      <c r="O1059" s="481"/>
      <c r="P1059" s="9"/>
      <c r="Q1059" s="1435"/>
      <c r="R1059" s="1435"/>
      <c r="S1059" s="1715" t="b">
        <f t="shared" si="489"/>
        <v>1</v>
      </c>
      <c r="AN1059" s="618"/>
      <c r="AO1059" s="1121" t="b">
        <f t="shared" si="488"/>
        <v>0</v>
      </c>
      <c r="AP1059" s="1135"/>
    </row>
    <row r="1060" spans="1:42" s="562" customFormat="1">
      <c r="A1060" s="618"/>
      <c r="B1060" s="485"/>
      <c r="C1060" s="482"/>
      <c r="D1060" s="579">
        <v>1</v>
      </c>
      <c r="E1060" s="3352" t="str">
        <f>IF(ISBLANK(H1036),"",H1036)</f>
        <v/>
      </c>
      <c r="F1060" s="3352"/>
      <c r="G1060" s="2001"/>
      <c r="H1060" s="1978"/>
      <c r="I1060" s="1863"/>
      <c r="J1060" s="1975"/>
      <c r="K1060" s="1677"/>
      <c r="L1060" s="1677"/>
      <c r="M1060" s="1677"/>
      <c r="N1060" s="1677"/>
      <c r="O1060" s="481"/>
      <c r="P1060" s="9"/>
      <c r="Q1060" s="1435"/>
      <c r="R1060" s="1435"/>
      <c r="S1060" s="1715" t="b">
        <f>IF(AND(S1050 = TRUE, E1060 &lt;&gt; ""),FALSE, TRUE)</f>
        <v>1</v>
      </c>
      <c r="AN1060" s="618"/>
      <c r="AO1060" s="1121" t="b">
        <f t="shared" si="488"/>
        <v>0</v>
      </c>
      <c r="AP1060" s="1135"/>
    </row>
    <row r="1061" spans="1:42" s="562" customFormat="1">
      <c r="A1061" s="618"/>
      <c r="B1061" s="485"/>
      <c r="C1061" s="482"/>
      <c r="D1061" s="582">
        <f>D1060+1</f>
        <v>2</v>
      </c>
      <c r="E1061" s="3348" t="str">
        <f t="shared" ref="E1061:E1069" si="491">IF(ISBLANK(H1037),"",H1037)</f>
        <v/>
      </c>
      <c r="F1061" s="3349"/>
      <c r="G1061" s="1865"/>
      <c r="H1061" s="1724"/>
      <c r="I1061" s="1859"/>
      <c r="J1061" s="1975"/>
      <c r="K1061" s="1677"/>
      <c r="L1061" s="1677"/>
      <c r="M1061" s="1677"/>
      <c r="N1061" s="1677"/>
      <c r="O1061" s="481"/>
      <c r="P1061" s="9"/>
      <c r="Q1061" s="1435"/>
      <c r="R1061" s="1435"/>
      <c r="S1061" s="1715" t="b">
        <f t="shared" ref="S1061:S1069" si="492">IF(AND(S1051 = TRUE, E1061 &lt;&gt; ""),FALSE, TRUE)</f>
        <v>1</v>
      </c>
      <c r="AN1061" s="618"/>
      <c r="AO1061" s="1121" t="b">
        <f t="shared" si="488"/>
        <v>0</v>
      </c>
      <c r="AP1061" s="1135"/>
    </row>
    <row r="1062" spans="1:42" s="562" customFormat="1">
      <c r="A1062" s="618"/>
      <c r="B1062" s="485"/>
      <c r="C1062" s="482"/>
      <c r="D1062" s="582">
        <f t="shared" ref="D1062:D1069" si="493">D1061+1</f>
        <v>3</v>
      </c>
      <c r="E1062" s="3348" t="str">
        <f t="shared" si="491"/>
        <v/>
      </c>
      <c r="F1062" s="3349"/>
      <c r="G1062" s="1865"/>
      <c r="H1062" s="1724"/>
      <c r="I1062" s="1859"/>
      <c r="J1062" s="1975"/>
      <c r="K1062" s="1677"/>
      <c r="L1062" s="1677"/>
      <c r="M1062" s="1677"/>
      <c r="N1062" s="1677"/>
      <c r="O1062" s="481"/>
      <c r="P1062" s="9"/>
      <c r="Q1062" s="1435"/>
      <c r="R1062" s="1435"/>
      <c r="S1062" s="1715" t="b">
        <f t="shared" si="492"/>
        <v>1</v>
      </c>
      <c r="AN1062" s="618"/>
      <c r="AO1062" s="1121" t="b">
        <f t="shared" si="488"/>
        <v>0</v>
      </c>
      <c r="AP1062" s="1135"/>
    </row>
    <row r="1063" spans="1:42" s="562" customFormat="1">
      <c r="A1063" s="618"/>
      <c r="B1063" s="485"/>
      <c r="C1063" s="482"/>
      <c r="D1063" s="582">
        <f t="shared" si="493"/>
        <v>4</v>
      </c>
      <c r="E1063" s="3348" t="str">
        <f t="shared" si="491"/>
        <v/>
      </c>
      <c r="F1063" s="3349"/>
      <c r="G1063" s="1865"/>
      <c r="H1063" s="1724"/>
      <c r="I1063" s="1859"/>
      <c r="J1063" s="1975"/>
      <c r="K1063" s="1677"/>
      <c r="L1063" s="1677"/>
      <c r="M1063" s="1677"/>
      <c r="N1063" s="1677"/>
      <c r="O1063" s="481"/>
      <c r="P1063" s="9"/>
      <c r="Q1063" s="1435"/>
      <c r="R1063" s="1435"/>
      <c r="S1063" s="1715" t="b">
        <f t="shared" si="492"/>
        <v>1</v>
      </c>
      <c r="AN1063" s="618"/>
      <c r="AO1063" s="1121" t="b">
        <f t="shared" si="488"/>
        <v>0</v>
      </c>
      <c r="AP1063" s="1135"/>
    </row>
    <row r="1064" spans="1:42" s="562" customFormat="1">
      <c r="A1064" s="618"/>
      <c r="B1064" s="485"/>
      <c r="C1064" s="482"/>
      <c r="D1064" s="582">
        <f t="shared" si="493"/>
        <v>5</v>
      </c>
      <c r="E1064" s="3348" t="str">
        <f t="shared" si="491"/>
        <v/>
      </c>
      <c r="F1064" s="3349"/>
      <c r="G1064" s="1865"/>
      <c r="H1064" s="1724"/>
      <c r="I1064" s="1859"/>
      <c r="J1064" s="1975"/>
      <c r="K1064" s="1677"/>
      <c r="L1064" s="1677"/>
      <c r="M1064" s="1677"/>
      <c r="N1064" s="1677"/>
      <c r="O1064" s="481"/>
      <c r="P1064" s="9"/>
      <c r="Q1064" s="1435"/>
      <c r="R1064" s="1435"/>
      <c r="S1064" s="1715" t="b">
        <f t="shared" si="492"/>
        <v>1</v>
      </c>
      <c r="AN1064" s="618"/>
      <c r="AO1064" s="1121" t="b">
        <f t="shared" si="488"/>
        <v>0</v>
      </c>
      <c r="AP1064" s="1135"/>
    </row>
    <row r="1065" spans="1:42" s="562" customFormat="1">
      <c r="A1065" s="618"/>
      <c r="B1065" s="485"/>
      <c r="C1065" s="482"/>
      <c r="D1065" s="582">
        <f t="shared" si="493"/>
        <v>6</v>
      </c>
      <c r="E1065" s="3348" t="str">
        <f t="shared" si="491"/>
        <v/>
      </c>
      <c r="F1065" s="3349"/>
      <c r="G1065" s="1865"/>
      <c r="H1065" s="1724"/>
      <c r="I1065" s="1859"/>
      <c r="J1065" s="1975"/>
      <c r="K1065" s="1677"/>
      <c r="L1065" s="1677"/>
      <c r="M1065" s="1677"/>
      <c r="N1065" s="1677"/>
      <c r="O1065" s="481"/>
      <c r="P1065" s="9"/>
      <c r="Q1065" s="1435"/>
      <c r="R1065" s="1435"/>
      <c r="S1065" s="1715" t="b">
        <f t="shared" si="492"/>
        <v>1</v>
      </c>
      <c r="AN1065" s="618"/>
      <c r="AO1065" s="1121" t="b">
        <f t="shared" si="488"/>
        <v>0</v>
      </c>
      <c r="AP1065" s="1135"/>
    </row>
    <row r="1066" spans="1:42" s="562" customFormat="1">
      <c r="A1066" s="618"/>
      <c r="B1066" s="485"/>
      <c r="C1066" s="482"/>
      <c r="D1066" s="582">
        <f t="shared" si="493"/>
        <v>7</v>
      </c>
      <c r="E1066" s="3348" t="str">
        <f t="shared" si="491"/>
        <v/>
      </c>
      <c r="F1066" s="3349"/>
      <c r="G1066" s="1865"/>
      <c r="H1066" s="1724"/>
      <c r="I1066" s="1859"/>
      <c r="J1066" s="1975"/>
      <c r="K1066" s="1677"/>
      <c r="L1066" s="1677"/>
      <c r="M1066" s="1677"/>
      <c r="N1066" s="1677"/>
      <c r="O1066" s="481"/>
      <c r="P1066" s="9"/>
      <c r="Q1066" s="1435"/>
      <c r="R1066" s="1435"/>
      <c r="S1066" s="1715" t="b">
        <f t="shared" si="492"/>
        <v>1</v>
      </c>
      <c r="AN1066" s="618"/>
      <c r="AO1066" s="1121" t="b">
        <f t="shared" si="488"/>
        <v>0</v>
      </c>
      <c r="AP1066" s="1135"/>
    </row>
    <row r="1067" spans="1:42" s="562" customFormat="1">
      <c r="A1067" s="618"/>
      <c r="B1067" s="485"/>
      <c r="C1067" s="482"/>
      <c r="D1067" s="582">
        <f t="shared" si="493"/>
        <v>8</v>
      </c>
      <c r="E1067" s="3348" t="str">
        <f t="shared" si="491"/>
        <v/>
      </c>
      <c r="F1067" s="3349"/>
      <c r="G1067" s="1865"/>
      <c r="H1067" s="1724"/>
      <c r="I1067" s="1859"/>
      <c r="J1067" s="1975"/>
      <c r="K1067" s="1677"/>
      <c r="L1067" s="1677"/>
      <c r="M1067" s="1677"/>
      <c r="N1067" s="1677"/>
      <c r="O1067" s="481"/>
      <c r="P1067" s="9"/>
      <c r="Q1067" s="1435"/>
      <c r="R1067" s="1435"/>
      <c r="S1067" s="1715" t="b">
        <f t="shared" si="492"/>
        <v>1</v>
      </c>
      <c r="AN1067" s="618"/>
      <c r="AO1067" s="1121" t="b">
        <f t="shared" si="488"/>
        <v>0</v>
      </c>
      <c r="AP1067" s="1135"/>
    </row>
    <row r="1068" spans="1:42" s="562" customFormat="1">
      <c r="A1068" s="618"/>
      <c r="B1068" s="485"/>
      <c r="C1068" s="482"/>
      <c r="D1068" s="582">
        <f t="shared" si="493"/>
        <v>9</v>
      </c>
      <c r="E1068" s="3348" t="str">
        <f t="shared" si="491"/>
        <v/>
      </c>
      <c r="F1068" s="3349"/>
      <c r="G1068" s="1865"/>
      <c r="H1068" s="1724"/>
      <c r="I1068" s="1859"/>
      <c r="J1068" s="1975"/>
      <c r="K1068" s="1677"/>
      <c r="L1068" s="1677"/>
      <c r="M1068" s="1677"/>
      <c r="N1068" s="1677"/>
      <c r="O1068" s="481"/>
      <c r="P1068" s="9"/>
      <c r="Q1068" s="1435"/>
      <c r="R1068" s="1435"/>
      <c r="S1068" s="1715" t="b">
        <f t="shared" si="492"/>
        <v>1</v>
      </c>
      <c r="AN1068" s="618"/>
      <c r="AO1068" s="1121" t="b">
        <f t="shared" si="488"/>
        <v>0</v>
      </c>
      <c r="AP1068" s="1135"/>
    </row>
    <row r="1069" spans="1:42" s="562" customFormat="1">
      <c r="A1069" s="618"/>
      <c r="B1069" s="485"/>
      <c r="C1069" s="482"/>
      <c r="D1069" s="584">
        <f t="shared" si="493"/>
        <v>10</v>
      </c>
      <c r="E1069" s="3350" t="str">
        <f t="shared" si="491"/>
        <v/>
      </c>
      <c r="F1069" s="3351"/>
      <c r="G1069" s="1867"/>
      <c r="H1069" s="1725"/>
      <c r="I1069" s="1860"/>
      <c r="J1069" s="1975"/>
      <c r="K1069" s="1677"/>
      <c r="L1069" s="1677"/>
      <c r="M1069" s="1677"/>
      <c r="N1069" s="1677"/>
      <c r="O1069" s="481"/>
      <c r="P1069" s="9"/>
      <c r="Q1069" s="1435"/>
      <c r="R1069" s="1435"/>
      <c r="S1069" s="1726" t="b">
        <f t="shared" si="492"/>
        <v>1</v>
      </c>
      <c r="AN1069" s="618"/>
      <c r="AO1069" s="1121" t="b">
        <f t="shared" si="488"/>
        <v>0</v>
      </c>
      <c r="AP1069" s="1135"/>
    </row>
    <row r="1070" spans="1:42" ht="12.75" customHeight="1">
      <c r="B1070" s="1124"/>
      <c r="C1070" s="484"/>
      <c r="D1070" s="579">
        <v>1</v>
      </c>
      <c r="E1070" s="3416" t="str">
        <f>IF(E1060&lt;&gt; "",E1060,IF(E1050 &lt;&gt; "", E1050,""))</f>
        <v/>
      </c>
      <c r="F1070" s="3331" t="str">
        <f t="shared" ref="F1070:I1070" si="494">IF(F1060&lt;&gt; "",F1060,IF(F1050 &lt;&gt; "", F1050,""))</f>
        <v/>
      </c>
      <c r="G1070" s="961" t="str">
        <f t="shared" si="494"/>
        <v/>
      </c>
      <c r="H1070" s="1729" t="str">
        <f t="shared" si="494"/>
        <v/>
      </c>
      <c r="I1070" s="1729" t="str">
        <f t="shared" si="494"/>
        <v/>
      </c>
      <c r="J1070" s="1979">
        <v>224110</v>
      </c>
      <c r="K1070" s="1684"/>
      <c r="L1070" s="1684"/>
      <c r="M1070" s="1684"/>
      <c r="N1070" s="1684"/>
      <c r="O1070" s="481"/>
      <c r="P1070" s="481"/>
      <c r="T1070" s="1119"/>
      <c r="U1070" s="1119"/>
      <c r="V1070" s="1119"/>
      <c r="W1070" s="1119"/>
      <c r="X1070" s="1119"/>
      <c r="Y1070" s="1119"/>
      <c r="Z1070" s="1119"/>
      <c r="AA1070" s="1119"/>
      <c r="AB1070" s="1119"/>
      <c r="AC1070" s="1119"/>
      <c r="AD1070" s="1119"/>
      <c r="AE1070" s="1119"/>
      <c r="AF1070" s="1119"/>
      <c r="AG1070" s="1119"/>
      <c r="AH1070" s="1119"/>
      <c r="AI1070" s="1119"/>
      <c r="AJ1070" s="1119"/>
      <c r="AK1070" s="1119"/>
      <c r="AL1070" s="1119"/>
      <c r="AM1070" s="1119"/>
      <c r="AO1070" s="1121" t="b">
        <f t="shared" si="488"/>
        <v>0</v>
      </c>
    </row>
    <row r="1071" spans="1:42" ht="12.75" customHeight="1">
      <c r="B1071" s="1124"/>
      <c r="C1071" s="484"/>
      <c r="D1071" s="582">
        <f>D1070+1</f>
        <v>2</v>
      </c>
      <c r="E1071" s="3348" t="str">
        <f t="shared" ref="E1071:I1071" si="495">IF(E1061&lt;&gt; "",E1061,IF(E1051 &lt;&gt; "", E1051,""))</f>
        <v/>
      </c>
      <c r="F1071" s="3349" t="str">
        <f t="shared" si="495"/>
        <v/>
      </c>
      <c r="G1071" s="895" t="str">
        <f t="shared" si="495"/>
        <v/>
      </c>
      <c r="H1071" s="1735" t="str">
        <f t="shared" si="495"/>
        <v/>
      </c>
      <c r="I1071" s="1735" t="str">
        <f t="shared" si="495"/>
        <v/>
      </c>
      <c r="J1071" s="1979"/>
      <c r="K1071" s="1684"/>
      <c r="L1071" s="1684"/>
      <c r="M1071" s="1684"/>
      <c r="N1071" s="1684"/>
      <c r="O1071" s="481"/>
      <c r="P1071" s="481"/>
      <c r="T1071" s="1119"/>
      <c r="U1071" s="1119"/>
      <c r="V1071" s="1119"/>
      <c r="W1071" s="1119"/>
      <c r="X1071" s="1119"/>
      <c r="Y1071" s="1119"/>
      <c r="Z1071" s="1119"/>
      <c r="AA1071" s="1119"/>
      <c r="AB1071" s="1119"/>
      <c r="AC1071" s="1119"/>
      <c r="AD1071" s="1119"/>
      <c r="AE1071" s="1119"/>
      <c r="AF1071" s="1119"/>
      <c r="AG1071" s="1119"/>
      <c r="AH1071" s="1119"/>
      <c r="AI1071" s="1119"/>
      <c r="AJ1071" s="1119"/>
      <c r="AK1071" s="1119"/>
      <c r="AL1071" s="1119"/>
      <c r="AM1071" s="1119"/>
      <c r="AO1071" s="1121" t="b">
        <f t="shared" si="488"/>
        <v>0</v>
      </c>
    </row>
    <row r="1072" spans="1:42" ht="12.75" customHeight="1">
      <c r="B1072" s="1124"/>
      <c r="C1072" s="484"/>
      <c r="D1072" s="582">
        <f t="shared" ref="D1072:D1079" si="496">D1071+1</f>
        <v>3</v>
      </c>
      <c r="E1072" s="3348" t="str">
        <f t="shared" ref="E1072:I1072" si="497">IF(E1062&lt;&gt; "",E1062,IF(E1052 &lt;&gt; "", E1052,""))</f>
        <v/>
      </c>
      <c r="F1072" s="3349" t="str">
        <f t="shared" si="497"/>
        <v/>
      </c>
      <c r="G1072" s="895" t="str">
        <f t="shared" si="497"/>
        <v/>
      </c>
      <c r="H1072" s="1735" t="str">
        <f t="shared" si="497"/>
        <v/>
      </c>
      <c r="I1072" s="1735" t="str">
        <f t="shared" si="497"/>
        <v/>
      </c>
      <c r="J1072" s="1979"/>
      <c r="K1072" s="1684"/>
      <c r="L1072" s="1684"/>
      <c r="M1072" s="1684"/>
      <c r="N1072" s="1684"/>
      <c r="O1072" s="481"/>
      <c r="P1072" s="481"/>
      <c r="T1072" s="1119"/>
      <c r="U1072" s="1119"/>
      <c r="V1072" s="1119"/>
      <c r="W1072" s="1119"/>
      <c r="X1072" s="1119"/>
      <c r="Y1072" s="1119"/>
      <c r="Z1072" s="1119"/>
      <c r="AA1072" s="1119"/>
      <c r="AB1072" s="1119"/>
      <c r="AC1072" s="1119"/>
      <c r="AD1072" s="1119"/>
      <c r="AE1072" s="1119"/>
      <c r="AF1072" s="1119"/>
      <c r="AG1072" s="1119"/>
      <c r="AH1072" s="1119"/>
      <c r="AI1072" s="1119"/>
      <c r="AJ1072" s="1119"/>
      <c r="AK1072" s="1119"/>
      <c r="AL1072" s="1119"/>
      <c r="AM1072" s="1119"/>
      <c r="AO1072" s="1121" t="b">
        <f t="shared" si="488"/>
        <v>0</v>
      </c>
    </row>
    <row r="1073" spans="2:41" ht="12.75" customHeight="1">
      <c r="B1073" s="1124"/>
      <c r="C1073" s="484"/>
      <c r="D1073" s="582">
        <f t="shared" si="496"/>
        <v>4</v>
      </c>
      <c r="E1073" s="3348" t="str">
        <f t="shared" ref="E1073:I1073" si="498">IF(E1063&lt;&gt; "",E1063,IF(E1053 &lt;&gt; "", E1053,""))</f>
        <v/>
      </c>
      <c r="F1073" s="3349" t="str">
        <f t="shared" si="498"/>
        <v/>
      </c>
      <c r="G1073" s="895" t="str">
        <f t="shared" si="498"/>
        <v/>
      </c>
      <c r="H1073" s="1735" t="str">
        <f t="shared" si="498"/>
        <v/>
      </c>
      <c r="I1073" s="1735" t="str">
        <f t="shared" si="498"/>
        <v/>
      </c>
      <c r="J1073" s="1979"/>
      <c r="K1073" s="1684"/>
      <c r="L1073" s="1684"/>
      <c r="M1073" s="1684"/>
      <c r="N1073" s="1684"/>
      <c r="O1073" s="481"/>
      <c r="P1073" s="481"/>
      <c r="AE1073" s="1119"/>
      <c r="AF1073" s="1119"/>
      <c r="AG1073" s="1119"/>
      <c r="AH1073" s="1119"/>
      <c r="AI1073" s="1119"/>
      <c r="AJ1073" s="1119"/>
      <c r="AK1073" s="1119"/>
      <c r="AL1073" s="1119"/>
      <c r="AM1073" s="1119"/>
      <c r="AO1073" s="1121" t="b">
        <f t="shared" si="488"/>
        <v>0</v>
      </c>
    </row>
    <row r="1074" spans="2:41" ht="12.75" customHeight="1">
      <c r="B1074" s="1124"/>
      <c r="C1074" s="484"/>
      <c r="D1074" s="582">
        <f t="shared" si="496"/>
        <v>5</v>
      </c>
      <c r="E1074" s="3348" t="str">
        <f t="shared" ref="E1074:I1074" si="499">IF(E1064&lt;&gt; "",E1064,IF(E1054 &lt;&gt; "", E1054,""))</f>
        <v/>
      </c>
      <c r="F1074" s="3349" t="str">
        <f t="shared" si="499"/>
        <v/>
      </c>
      <c r="G1074" s="895" t="str">
        <f t="shared" si="499"/>
        <v/>
      </c>
      <c r="H1074" s="1735" t="str">
        <f t="shared" si="499"/>
        <v/>
      </c>
      <c r="I1074" s="1735" t="str">
        <f t="shared" si="499"/>
        <v/>
      </c>
      <c r="J1074" s="1979"/>
      <c r="K1074" s="1684"/>
      <c r="L1074" s="1684"/>
      <c r="M1074" s="1684"/>
      <c r="N1074" s="1684"/>
      <c r="O1074" s="481"/>
      <c r="P1074" s="481"/>
      <c r="AE1074" s="1119"/>
      <c r="AF1074" s="1119"/>
      <c r="AG1074" s="1119"/>
      <c r="AH1074" s="1119"/>
      <c r="AI1074" s="1119"/>
      <c r="AJ1074" s="1119"/>
      <c r="AK1074" s="1119"/>
      <c r="AL1074" s="1119"/>
      <c r="AM1074" s="1119"/>
      <c r="AO1074" s="1121" t="b">
        <f t="shared" si="488"/>
        <v>0</v>
      </c>
    </row>
    <row r="1075" spans="2:41" ht="12.75" customHeight="1">
      <c r="B1075" s="1124"/>
      <c r="C1075" s="484"/>
      <c r="D1075" s="582">
        <f t="shared" si="496"/>
        <v>6</v>
      </c>
      <c r="E1075" s="3348" t="str">
        <f t="shared" ref="E1075:I1075" si="500">IF(E1065&lt;&gt; "",E1065,IF(E1055 &lt;&gt; "", E1055,""))</f>
        <v/>
      </c>
      <c r="F1075" s="3349" t="str">
        <f t="shared" si="500"/>
        <v/>
      </c>
      <c r="G1075" s="895" t="str">
        <f t="shared" si="500"/>
        <v/>
      </c>
      <c r="H1075" s="1735" t="str">
        <f t="shared" si="500"/>
        <v/>
      </c>
      <c r="I1075" s="1735" t="str">
        <f t="shared" si="500"/>
        <v/>
      </c>
      <c r="J1075" s="1979"/>
      <c r="K1075" s="1684"/>
      <c r="L1075" s="1684"/>
      <c r="M1075" s="1684"/>
      <c r="N1075" s="1684"/>
      <c r="O1075" s="481"/>
      <c r="P1075" s="481"/>
      <c r="AE1075" s="1119"/>
      <c r="AF1075" s="1119"/>
      <c r="AG1075" s="1119"/>
      <c r="AH1075" s="1119"/>
      <c r="AI1075" s="1119"/>
      <c r="AJ1075" s="1119"/>
      <c r="AK1075" s="1119"/>
      <c r="AL1075" s="1119"/>
      <c r="AM1075" s="1119"/>
      <c r="AO1075" s="1121" t="b">
        <f t="shared" si="488"/>
        <v>0</v>
      </c>
    </row>
    <row r="1076" spans="2:41" ht="12.75" customHeight="1">
      <c r="B1076" s="1124"/>
      <c r="C1076" s="484"/>
      <c r="D1076" s="582">
        <f t="shared" si="496"/>
        <v>7</v>
      </c>
      <c r="E1076" s="3348" t="str">
        <f t="shared" ref="E1076:I1076" si="501">IF(E1066&lt;&gt; "",E1066,IF(E1056 &lt;&gt; "", E1056,""))</f>
        <v/>
      </c>
      <c r="F1076" s="3349" t="str">
        <f t="shared" si="501"/>
        <v/>
      </c>
      <c r="G1076" s="895" t="str">
        <f t="shared" si="501"/>
        <v/>
      </c>
      <c r="H1076" s="1735" t="str">
        <f t="shared" si="501"/>
        <v/>
      </c>
      <c r="I1076" s="1735" t="str">
        <f t="shared" si="501"/>
        <v/>
      </c>
      <c r="J1076" s="1979"/>
      <c r="K1076" s="1684"/>
      <c r="L1076" s="1684"/>
      <c r="M1076" s="1684"/>
      <c r="N1076" s="1684"/>
      <c r="O1076" s="481"/>
      <c r="P1076" s="481"/>
      <c r="AE1076" s="1119"/>
      <c r="AF1076" s="1119"/>
      <c r="AG1076" s="1119"/>
      <c r="AH1076" s="1119"/>
      <c r="AI1076" s="1119"/>
      <c r="AJ1076" s="1119"/>
      <c r="AK1076" s="1119"/>
      <c r="AL1076" s="1119"/>
      <c r="AM1076" s="1119"/>
      <c r="AO1076" s="1121" t="b">
        <f t="shared" si="488"/>
        <v>0</v>
      </c>
    </row>
    <row r="1077" spans="2:41" ht="12.75" customHeight="1">
      <c r="B1077" s="1124"/>
      <c r="C1077" s="484"/>
      <c r="D1077" s="582">
        <f t="shared" si="496"/>
        <v>8</v>
      </c>
      <c r="E1077" s="3348" t="str">
        <f t="shared" ref="E1077:I1077" si="502">IF(E1067&lt;&gt; "",E1067,IF(E1057 &lt;&gt; "", E1057,""))</f>
        <v/>
      </c>
      <c r="F1077" s="3349" t="str">
        <f t="shared" si="502"/>
        <v/>
      </c>
      <c r="G1077" s="895" t="str">
        <f t="shared" si="502"/>
        <v/>
      </c>
      <c r="H1077" s="1735" t="str">
        <f t="shared" si="502"/>
        <v/>
      </c>
      <c r="I1077" s="1735" t="str">
        <f t="shared" si="502"/>
        <v/>
      </c>
      <c r="J1077" s="1979"/>
      <c r="K1077" s="1684"/>
      <c r="L1077" s="1684"/>
      <c r="M1077" s="1684"/>
      <c r="N1077" s="1684"/>
      <c r="O1077" s="481"/>
      <c r="P1077" s="481"/>
      <c r="AE1077" s="1119"/>
      <c r="AF1077" s="1119"/>
      <c r="AG1077" s="1119"/>
      <c r="AH1077" s="1119"/>
      <c r="AI1077" s="1119"/>
      <c r="AJ1077" s="1119"/>
      <c r="AK1077" s="1119"/>
      <c r="AL1077" s="1119"/>
      <c r="AM1077" s="1119"/>
      <c r="AO1077" s="1121" t="b">
        <f t="shared" si="488"/>
        <v>0</v>
      </c>
    </row>
    <row r="1078" spans="2:41" ht="12.75" customHeight="1">
      <c r="B1078" s="1124"/>
      <c r="C1078" s="484"/>
      <c r="D1078" s="582">
        <f t="shared" si="496"/>
        <v>9</v>
      </c>
      <c r="E1078" s="3348" t="str">
        <f t="shared" ref="E1078:I1078" si="503">IF(E1068&lt;&gt; "",E1068,IF(E1058 &lt;&gt; "", E1058,""))</f>
        <v/>
      </c>
      <c r="F1078" s="3349" t="str">
        <f t="shared" si="503"/>
        <v/>
      </c>
      <c r="G1078" s="895" t="str">
        <f t="shared" si="503"/>
        <v/>
      </c>
      <c r="H1078" s="1735" t="str">
        <f t="shared" si="503"/>
        <v/>
      </c>
      <c r="I1078" s="1735" t="str">
        <f t="shared" si="503"/>
        <v/>
      </c>
      <c r="J1078" s="1979"/>
      <c r="K1078" s="1684"/>
      <c r="L1078" s="1684"/>
      <c r="M1078" s="1684"/>
      <c r="N1078" s="1684"/>
      <c r="O1078" s="481"/>
      <c r="P1078" s="481"/>
      <c r="AE1078" s="1119"/>
      <c r="AF1078" s="1119"/>
      <c r="AG1078" s="1119"/>
      <c r="AH1078" s="1119"/>
      <c r="AI1078" s="1119"/>
      <c r="AJ1078" s="1119"/>
      <c r="AK1078" s="1119"/>
      <c r="AL1078" s="1119"/>
      <c r="AM1078" s="1119"/>
      <c r="AO1078" s="1121" t="b">
        <f t="shared" si="488"/>
        <v>0</v>
      </c>
    </row>
    <row r="1079" spans="2:41" ht="12.75" customHeight="1">
      <c r="B1079" s="1124"/>
      <c r="C1079" s="484"/>
      <c r="D1079" s="584">
        <f t="shared" si="496"/>
        <v>10</v>
      </c>
      <c r="E1079" s="3350" t="str">
        <f t="shared" ref="E1079:I1079" si="504">IF(E1069&lt;&gt; "",E1069,IF(E1059 &lt;&gt; "", E1059,""))</f>
        <v/>
      </c>
      <c r="F1079" s="3351" t="str">
        <f t="shared" si="504"/>
        <v/>
      </c>
      <c r="G1079" s="968" t="str">
        <f t="shared" si="504"/>
        <v/>
      </c>
      <c r="H1079" s="1806" t="str">
        <f t="shared" si="504"/>
        <v/>
      </c>
      <c r="I1079" s="1806" t="str">
        <f t="shared" si="504"/>
        <v/>
      </c>
      <c r="J1079" s="1979"/>
      <c r="K1079" s="1684"/>
      <c r="L1079" s="1684"/>
      <c r="M1079" s="1684"/>
      <c r="N1079" s="1684"/>
      <c r="O1079" s="481"/>
      <c r="P1079" s="481"/>
      <c r="AE1079" s="1119"/>
      <c r="AF1079" s="1119"/>
      <c r="AG1079" s="1119"/>
      <c r="AH1079" s="1119"/>
      <c r="AI1079" s="1119"/>
      <c r="AJ1079" s="1119"/>
      <c r="AK1079" s="1119"/>
      <c r="AL1079" s="1119"/>
      <c r="AM1079" s="1119"/>
      <c r="AO1079" s="1121" t="b">
        <f t="shared" si="488"/>
        <v>0</v>
      </c>
    </row>
    <row r="1080" spans="2:41" ht="12.75" customHeight="1">
      <c r="B1080" s="1124"/>
      <c r="C1080" s="485"/>
      <c r="D1080" s="971"/>
      <c r="E1080" s="2778" t="s">
        <v>921</v>
      </c>
      <c r="F1080" s="2410"/>
      <c r="G1080" s="1881"/>
      <c r="H1080" s="1808" t="str">
        <f t="shared" ref="H1080:N1080" si="505">IF(COUNT(H1070:H1079)&gt;0,SUM(H1070:H1079),"")</f>
        <v/>
      </c>
      <c r="I1080" s="1808" t="str">
        <f t="shared" si="505"/>
        <v/>
      </c>
      <c r="J1080" s="1979">
        <f t="shared" si="505"/>
        <v>224110</v>
      </c>
      <c r="K1080" s="1684" t="str">
        <f t="shared" si="505"/>
        <v/>
      </c>
      <c r="L1080" s="1684" t="str">
        <f t="shared" si="505"/>
        <v/>
      </c>
      <c r="M1080" s="1684" t="str">
        <f t="shared" si="505"/>
        <v/>
      </c>
      <c r="N1080" s="1684" t="str">
        <f t="shared" si="505"/>
        <v/>
      </c>
      <c r="O1080" s="481"/>
      <c r="P1080" s="481"/>
      <c r="AE1080" s="1119"/>
      <c r="AF1080" s="1119"/>
      <c r="AG1080" s="1119"/>
      <c r="AH1080" s="1119"/>
      <c r="AI1080" s="1119"/>
      <c r="AJ1080" s="1119"/>
      <c r="AK1080" s="1119"/>
      <c r="AL1080" s="1119"/>
      <c r="AM1080" s="1119"/>
      <c r="AO1080" s="1121" t="b">
        <f t="shared" si="488"/>
        <v>0</v>
      </c>
    </row>
    <row r="1081" spans="2:41" ht="25.5" customHeight="1" thickBot="1">
      <c r="B1081" s="1124"/>
      <c r="C1081" s="485"/>
      <c r="D1081" s="485"/>
      <c r="E1081" s="485"/>
      <c r="F1081" s="485"/>
      <c r="G1081" s="485"/>
      <c r="H1081" s="485"/>
      <c r="I1081" s="485"/>
      <c r="J1081" s="485"/>
      <c r="K1081" s="485"/>
      <c r="L1081" s="485"/>
      <c r="M1081" s="485"/>
      <c r="N1081" s="485"/>
      <c r="O1081" s="481"/>
      <c r="P1081" s="481"/>
      <c r="AE1081" s="1119"/>
      <c r="AF1081" s="1119"/>
      <c r="AG1081" s="1119"/>
      <c r="AH1081" s="1119"/>
      <c r="AI1081" s="1119"/>
      <c r="AJ1081" s="1119"/>
      <c r="AK1081" s="1119"/>
      <c r="AL1081" s="1119"/>
      <c r="AM1081" s="1119"/>
    </row>
    <row r="1082" spans="2:41" ht="5.0999999999999996" customHeight="1" thickBot="1">
      <c r="B1082" s="467"/>
      <c r="C1082" s="686"/>
      <c r="D1082" s="686"/>
      <c r="E1082" s="686"/>
      <c r="F1082" s="686"/>
      <c r="G1082" s="686"/>
      <c r="H1082" s="686"/>
      <c r="I1082" s="686"/>
      <c r="J1082" s="686"/>
      <c r="K1082" s="686"/>
      <c r="L1082" s="686"/>
      <c r="M1082" s="686"/>
      <c r="N1082" s="686"/>
      <c r="O1082" s="481"/>
      <c r="P1082" s="481"/>
      <c r="Q1082" s="1969"/>
      <c r="R1082" s="1969"/>
      <c r="S1082" s="1969"/>
      <c r="T1082" s="1969"/>
      <c r="U1082" s="1969"/>
      <c r="V1082" s="1969"/>
      <c r="W1082" s="1969"/>
      <c r="X1082" s="1969"/>
      <c r="Y1082" s="1969"/>
      <c r="Z1082" s="1969"/>
      <c r="AA1082" s="1969"/>
      <c r="AB1082" s="1969"/>
      <c r="AC1082" s="1969"/>
      <c r="AD1082" s="1969"/>
      <c r="AE1082" s="1119"/>
      <c r="AF1082" s="1119"/>
      <c r="AG1082" s="1119"/>
      <c r="AH1082" s="1119"/>
      <c r="AI1082" s="1119"/>
      <c r="AJ1082" s="1119"/>
      <c r="AK1082" s="1119"/>
      <c r="AL1082" s="1119"/>
      <c r="AM1082" s="1119"/>
    </row>
    <row r="1083" spans="2:41" ht="14.45" customHeight="1" thickBot="1">
      <c r="B1083" s="467"/>
      <c r="C1083" s="559">
        <f>C983+1</f>
        <v>7</v>
      </c>
      <c r="D1083" s="2482" t="str">
        <f>EUconst_FBSubinst &amp; ":"</f>
        <v>Fall-Back sub-installation:</v>
      </c>
      <c r="E1083" s="2400"/>
      <c r="F1083" s="2400"/>
      <c r="G1083" s="2400"/>
      <c r="H1083" s="2585"/>
      <c r="I1083" s="3293" t="str">
        <f>INDEX(EUconst_FallBackListNames,$C1083)</f>
        <v>Process emissions sub-installation, non-CL</v>
      </c>
      <c r="J1083" s="3294"/>
      <c r="K1083" s="3294"/>
      <c r="L1083" s="3295"/>
      <c r="M1083" s="3370" t="str">
        <f>IF(INDEX(CNTR_FallBackSubInstRelevant,C1083)="","",IF(INDEX(CNTR_FallBackSubInstRelevant,C1083),EUconst_Relevant,EUconst_NotRelevant))</f>
        <v/>
      </c>
      <c r="N1083" s="3371"/>
      <c r="O1083" s="481"/>
      <c r="P1083" s="481"/>
      <c r="Q1083" s="1889">
        <f>C1083</f>
        <v>7</v>
      </c>
      <c r="S1083" s="1633" t="s">
        <v>558</v>
      </c>
      <c r="T1083" s="1634" t="str">
        <f>IF(M1083&lt;&gt;EUconst_Relevant,"",MAX(INDEX(CNTR_SubInstStartDate,MATCH($I1083,CNTR_SubInstListNames,0)),DATE(2005,1,1)))</f>
        <v/>
      </c>
      <c r="U1083" s="1435" t="s">
        <v>1673</v>
      </c>
      <c r="V1083" s="1635">
        <f>IF(ISNUMBER(T1083),YEAR($T1083-1)+1,2005)</f>
        <v>2005</v>
      </c>
      <c r="W1083" s="1633" t="s">
        <v>1676</v>
      </c>
      <c r="X1083" s="1634" t="str">
        <f>IF(M1083&lt;&gt;EUconst_Relevant,"",INDEX(CNTR_SubInstCessationDate,MATCH($I1083,CNTR_SubInstListNames,0)))</f>
        <v/>
      </c>
      <c r="Y1083" s="1633" t="s">
        <v>1677</v>
      </c>
      <c r="Z1083" s="1635">
        <f>IF(SUM(X1083)=0,2050,YEAR($X1083))</f>
        <v>2050</v>
      </c>
      <c r="AA1083" s="1633" t="s">
        <v>1925</v>
      </c>
      <c r="AB1083" s="1635" t="b">
        <f>CNTR_ReportingYear&gt;V1083</f>
        <v>1</v>
      </c>
      <c r="AC1083" s="1633" t="s">
        <v>1343</v>
      </c>
      <c r="AD1083" s="1848" t="b">
        <f>AND(CNTR_ExistSubInstEntries,M1083=EUconst_NotRelevant)</f>
        <v>0</v>
      </c>
      <c r="AE1083" s="1119"/>
      <c r="AF1083" s="1119"/>
      <c r="AG1083" s="1119"/>
      <c r="AH1083" s="1119"/>
      <c r="AI1083" s="1119"/>
      <c r="AJ1083" s="1119"/>
      <c r="AK1083" s="1119"/>
      <c r="AL1083" s="1119"/>
      <c r="AM1083" s="1119"/>
    </row>
    <row r="1084" spans="2:41" ht="12.75" customHeight="1">
      <c r="B1084" s="1124"/>
      <c r="C1084" s="485"/>
      <c r="D1084" s="485"/>
      <c r="E1084" s="485"/>
      <c r="F1084" s="485"/>
      <c r="G1084" s="485"/>
      <c r="H1084" s="484"/>
      <c r="I1084" s="2716" t="str">
        <f>IF(M1083&lt;&gt;EUconst_Relevant,"",IF(M1083=EUconst_Relevant,HYPERLINK("",EUconst_MsgEnterThisSection),HYPERLINK(R1084,EUconst_MsgGoToNextSubInst)))</f>
        <v/>
      </c>
      <c r="J1084" s="2717"/>
      <c r="K1084" s="2717"/>
      <c r="L1084" s="2717"/>
      <c r="M1084" s="2718"/>
      <c r="N1084" s="2719"/>
      <c r="O1084" s="481"/>
      <c r="P1084" s="481"/>
      <c r="Q1084" s="1198" t="s">
        <v>441</v>
      </c>
      <c r="R1084" s="1303" t="str">
        <f>"#JUMP_G"&amp;Q1083+1</f>
        <v>#JUMP_G8</v>
      </c>
      <c r="Z1084" s="1435"/>
      <c r="AE1084" s="1119"/>
      <c r="AF1084" s="1119"/>
      <c r="AG1084" s="1119"/>
      <c r="AH1084" s="1119"/>
      <c r="AI1084" s="1119"/>
      <c r="AJ1084" s="1119"/>
      <c r="AK1084" s="1119"/>
      <c r="AL1084" s="1119"/>
      <c r="AM1084" s="1119"/>
    </row>
    <row r="1085" spans="2:41" ht="12.75" customHeight="1">
      <c r="B1085" s="467"/>
      <c r="C1085" s="467"/>
      <c r="D1085" s="485"/>
      <c r="E1085" s="2385" t="s">
        <v>1197</v>
      </c>
      <c r="F1085" s="2846"/>
      <c r="G1085" s="2846"/>
      <c r="H1085" s="2846"/>
      <c r="I1085" s="2846"/>
      <c r="J1085" s="2846"/>
      <c r="K1085" s="2846"/>
      <c r="L1085" s="2846"/>
      <c r="M1085" s="2846"/>
      <c r="N1085" s="2846"/>
      <c r="O1085" s="481"/>
      <c r="P1085" s="481"/>
      <c r="Q1085" s="1249"/>
      <c r="R1085" s="1249"/>
      <c r="AE1085" s="1119"/>
      <c r="AF1085" s="1119"/>
      <c r="AG1085" s="1119"/>
      <c r="AH1085" s="1119"/>
      <c r="AI1085" s="1119"/>
      <c r="AJ1085" s="1119"/>
      <c r="AK1085" s="1119"/>
      <c r="AL1085" s="1119"/>
      <c r="AM1085" s="1119"/>
      <c r="AO1085" s="1121" t="b">
        <f>$AD$1083</f>
        <v>0</v>
      </c>
    </row>
    <row r="1086" spans="2:41" ht="5.0999999999999996" customHeight="1">
      <c r="B1086" s="467"/>
      <c r="C1086" s="467"/>
      <c r="D1086" s="467"/>
      <c r="E1086" s="467"/>
      <c r="F1086" s="467"/>
      <c r="G1086" s="467"/>
      <c r="H1086" s="467"/>
      <c r="I1086" s="467"/>
      <c r="J1086" s="467"/>
      <c r="K1086" s="467"/>
      <c r="L1086" s="467"/>
      <c r="M1086" s="481"/>
      <c r="N1086" s="481"/>
      <c r="O1086" s="481"/>
      <c r="P1086" s="481"/>
      <c r="Q1086" s="1249"/>
      <c r="R1086" s="1249"/>
      <c r="S1086" s="1249"/>
      <c r="T1086" s="1249"/>
      <c r="U1086" s="1249"/>
      <c r="V1086" s="1249"/>
      <c r="W1086" s="1249"/>
      <c r="X1086" s="1249"/>
      <c r="Y1086" s="1249"/>
      <c r="AE1086" s="1119"/>
      <c r="AF1086" s="1119"/>
      <c r="AG1086" s="1119"/>
      <c r="AH1086" s="1119"/>
      <c r="AI1086" s="1119"/>
      <c r="AJ1086" s="1119"/>
      <c r="AK1086" s="1119"/>
      <c r="AL1086" s="1119"/>
      <c r="AM1086" s="1119"/>
      <c r="AO1086" s="1121" t="b">
        <f t="shared" ref="AO1086:AO1149" si="506">$AD$1083</f>
        <v>0</v>
      </c>
    </row>
    <row r="1087" spans="2:41" ht="12.75" customHeight="1">
      <c r="B1087" s="467"/>
      <c r="C1087" s="482"/>
      <c r="D1087" s="482" t="s">
        <v>400</v>
      </c>
      <c r="E1087" s="2373" t="s">
        <v>1930</v>
      </c>
      <c r="F1087" s="2400"/>
      <c r="G1087" s="2400"/>
      <c r="H1087" s="2400"/>
      <c r="I1087" s="2400"/>
      <c r="J1087" s="2400"/>
      <c r="K1087" s="2400"/>
      <c r="L1087" s="2400"/>
      <c r="M1087" s="2400"/>
      <c r="N1087" s="2400"/>
      <c r="O1087" s="481"/>
      <c r="P1087" s="481"/>
      <c r="Q1087" s="1249"/>
      <c r="AB1087" s="1435"/>
      <c r="AE1087" s="1119"/>
      <c r="AF1087" s="1119"/>
      <c r="AG1087" s="1119"/>
      <c r="AH1087" s="1119"/>
      <c r="AI1087" s="1119"/>
      <c r="AJ1087" s="1119"/>
      <c r="AK1087" s="1119"/>
      <c r="AL1087" s="1119"/>
      <c r="AM1087" s="1119"/>
      <c r="AO1087" s="1121" t="b">
        <f t="shared" si="506"/>
        <v>0</v>
      </c>
    </row>
    <row r="1088" spans="2:41" ht="12.75" customHeight="1">
      <c r="B1088" s="467"/>
      <c r="C1088" s="485"/>
      <c r="D1088" s="485"/>
      <c r="E1088" s="3184" t="s">
        <v>1484</v>
      </c>
      <c r="F1088" s="3184"/>
      <c r="G1088" s="3184"/>
      <c r="H1088" s="3184"/>
      <c r="I1088" s="3184"/>
      <c r="J1088" s="3184"/>
      <c r="K1088" s="3184"/>
      <c r="L1088" s="3184"/>
      <c r="M1088" s="3184"/>
      <c r="N1088" s="3184"/>
      <c r="O1088" s="481"/>
      <c r="P1088" s="481"/>
      <c r="Q1088" s="1249"/>
      <c r="AE1088" s="1119"/>
      <c r="AF1088" s="1119"/>
      <c r="AG1088" s="1119"/>
      <c r="AH1088" s="1119"/>
      <c r="AI1088" s="1119"/>
      <c r="AJ1088" s="1119"/>
      <c r="AK1088" s="1119"/>
      <c r="AL1088" s="1119"/>
      <c r="AM1088" s="1119"/>
      <c r="AO1088" s="1121" t="b">
        <f t="shared" si="506"/>
        <v>0</v>
      </c>
    </row>
    <row r="1089" spans="1:41" ht="12.75" customHeight="1" thickBot="1">
      <c r="B1089" s="1124"/>
      <c r="C1089" s="482"/>
      <c r="D1089" s="482"/>
      <c r="E1089" s="1070" t="s">
        <v>920</v>
      </c>
      <c r="F1089" s="1071"/>
      <c r="G1089" s="1072" t="str">
        <f>EUconst_Unit</f>
        <v>Unit</v>
      </c>
      <c r="H1089" s="1073">
        <f t="shared" ref="H1089:N1089" si="507">H$1190</f>
        <v>2024</v>
      </c>
      <c r="I1089" s="1074">
        <f t="shared" si="507"/>
        <v>2025</v>
      </c>
      <c r="J1089" s="1489">
        <f t="shared" si="507"/>
        <v>2026</v>
      </c>
      <c r="K1089" s="1490">
        <f t="shared" si="507"/>
        <v>2027</v>
      </c>
      <c r="L1089" s="1490">
        <f t="shared" si="507"/>
        <v>2028</v>
      </c>
      <c r="M1089" s="1490">
        <f t="shared" si="507"/>
        <v>2029</v>
      </c>
      <c r="N1089" s="1490">
        <f t="shared" si="507"/>
        <v>2030</v>
      </c>
      <c r="O1089" s="481"/>
      <c r="P1089" s="481"/>
      <c r="Q1089" s="1504" t="s">
        <v>546</v>
      </c>
      <c r="T1089" s="1638">
        <f t="shared" ref="T1089:Z1089" si="508">H1089</f>
        <v>2024</v>
      </c>
      <c r="U1089" s="1638">
        <f t="shared" si="508"/>
        <v>2025</v>
      </c>
      <c r="V1089" s="1638">
        <f t="shared" si="508"/>
        <v>2026</v>
      </c>
      <c r="W1089" s="1638">
        <f t="shared" si="508"/>
        <v>2027</v>
      </c>
      <c r="X1089" s="1638">
        <f t="shared" si="508"/>
        <v>2028</v>
      </c>
      <c r="Y1089" s="1638">
        <f t="shared" si="508"/>
        <v>2029</v>
      </c>
      <c r="Z1089" s="1638">
        <f t="shared" si="508"/>
        <v>2030</v>
      </c>
      <c r="AA1089" s="1435"/>
      <c r="AC1089" s="1638">
        <f t="shared" ref="AC1089:AI1089" si="509">T1089</f>
        <v>2024</v>
      </c>
      <c r="AD1089" s="1638">
        <f t="shared" si="509"/>
        <v>2025</v>
      </c>
      <c r="AE1089" s="1638">
        <f t="shared" si="509"/>
        <v>2026</v>
      </c>
      <c r="AF1089" s="1638">
        <f t="shared" si="509"/>
        <v>2027</v>
      </c>
      <c r="AG1089" s="1638">
        <f t="shared" si="509"/>
        <v>2028</v>
      </c>
      <c r="AH1089" s="1638">
        <f t="shared" si="509"/>
        <v>2029</v>
      </c>
      <c r="AI1089" s="1638">
        <f t="shared" si="509"/>
        <v>2030</v>
      </c>
      <c r="AO1089" s="1121" t="b">
        <f t="shared" si="506"/>
        <v>0</v>
      </c>
    </row>
    <row r="1090" spans="1:41" ht="12.75" customHeight="1" thickBot="1">
      <c r="B1090" s="1124"/>
      <c r="C1090" s="485"/>
      <c r="D1090" s="561" t="s">
        <v>6</v>
      </c>
      <c r="E1090" s="3296" t="str">
        <f>I1083</f>
        <v>Process emissions sub-installation, non-CL</v>
      </c>
      <c r="F1090" s="3296"/>
      <c r="G1090" s="898" t="str">
        <f>INDEX(EUconst_FallBackListUnits,MATCH(E1090,EUconst_FallBackListNames,0))</f>
        <v>t CO2e</v>
      </c>
      <c r="H1090" s="1479" t="str">
        <f>c_ALR2025!M6621</f>
        <v/>
      </c>
      <c r="I1090" s="1528"/>
      <c r="J1090" s="1491"/>
      <c r="K1090" s="1492"/>
      <c r="L1090" s="1492"/>
      <c r="M1090" s="1492"/>
      <c r="N1090" s="1492"/>
      <c r="O1090" s="1136"/>
      <c r="P1090" s="481"/>
      <c r="Q1090" s="1892" t="str">
        <f>EUconst_CNTR_HAL&amp;E1090</f>
        <v>HAL_Process emissions sub-installation, non-CL</v>
      </c>
      <c r="S1090" s="1893" t="s">
        <v>1674</v>
      </c>
      <c r="T1090" s="1981" t="b">
        <f t="shared" ref="T1090:Z1090" si="510">AND($M1083=EUconst_Relevant,T1089&lt;CNTR_ReportingYear,T1089&gt;=$V1083-1)</f>
        <v>0</v>
      </c>
      <c r="U1090" s="1982" t="b">
        <f t="shared" si="510"/>
        <v>0</v>
      </c>
      <c r="V1090" s="1982" t="b">
        <f t="shared" si="510"/>
        <v>0</v>
      </c>
      <c r="W1090" s="1982" t="b">
        <f t="shared" si="510"/>
        <v>0</v>
      </c>
      <c r="X1090" s="1982" t="b">
        <f t="shared" si="510"/>
        <v>0</v>
      </c>
      <c r="Y1090" s="1982" t="b">
        <f t="shared" si="510"/>
        <v>0</v>
      </c>
      <c r="Z1090" s="1983" t="b">
        <f t="shared" si="510"/>
        <v>0</v>
      </c>
      <c r="AB1090" s="1641" t="s">
        <v>717</v>
      </c>
      <c r="AC1090" s="1853" t="b">
        <f t="shared" ref="AC1090:AI1090" si="511">IF(CNTR_ExistSubInstEntries,OR($M1083=EUconst_NotRelevant,AC1089&gt;=CNTR_ReportingYear,AC1089&lt;$V1083-1),FALSE)</f>
        <v>0</v>
      </c>
      <c r="AD1090" s="1642" t="b">
        <f t="shared" si="511"/>
        <v>0</v>
      </c>
      <c r="AE1090" s="1642" t="b">
        <f t="shared" si="511"/>
        <v>0</v>
      </c>
      <c r="AF1090" s="1642" t="b">
        <f t="shared" si="511"/>
        <v>0</v>
      </c>
      <c r="AG1090" s="1642" t="b">
        <f t="shared" si="511"/>
        <v>0</v>
      </c>
      <c r="AH1090" s="1642" t="b">
        <f t="shared" si="511"/>
        <v>0</v>
      </c>
      <c r="AI1090" s="1643" t="b">
        <f t="shared" si="511"/>
        <v>0</v>
      </c>
      <c r="AK1090" s="1633" t="s">
        <v>1951</v>
      </c>
      <c r="AL1090" s="1443" t="str">
        <f>IF(COUNTIFS(H1089:N1089,"&lt;"&amp;YEAR(SUM(T1083)),H1090:N1090,"&gt;"&amp;0)&gt;0,EUconst_Error&amp;"FB"&amp;Q1083,"")</f>
        <v/>
      </c>
      <c r="AO1090" s="1121" t="b">
        <f t="shared" si="506"/>
        <v>0</v>
      </c>
    </row>
    <row r="1091" spans="1:41" ht="5.0999999999999996" customHeight="1">
      <c r="B1091" s="479"/>
      <c r="C1091" s="479"/>
      <c r="D1091" s="485"/>
      <c r="E1091" s="485"/>
      <c r="F1091" s="485"/>
      <c r="G1091" s="485"/>
      <c r="H1091" s="485"/>
      <c r="I1091" s="485"/>
      <c r="J1091" s="485"/>
      <c r="K1091" s="485"/>
      <c r="L1091" s="485"/>
      <c r="M1091" s="485"/>
      <c r="N1091" s="485"/>
      <c r="O1091" s="485"/>
      <c r="P1091" s="481"/>
      <c r="Q1091" s="1435"/>
      <c r="S1091" s="1435"/>
      <c r="T1091" s="1435"/>
      <c r="Z1091" s="1435"/>
      <c r="AB1091" s="1435"/>
      <c r="AO1091" s="1121" t="b">
        <f t="shared" si="506"/>
        <v>0</v>
      </c>
    </row>
    <row r="1092" spans="1:41" ht="25.5" customHeight="1">
      <c r="B1092" s="479"/>
      <c r="C1092" s="479"/>
      <c r="D1092" s="485"/>
      <c r="E1092" s="2385" t="s">
        <v>1712</v>
      </c>
      <c r="F1092" s="2846"/>
      <c r="G1092" s="2846"/>
      <c r="H1092" s="2846"/>
      <c r="I1092" s="2846"/>
      <c r="J1092" s="2846"/>
      <c r="K1092" s="2846"/>
      <c r="L1092" s="2846"/>
      <c r="M1092" s="2846"/>
      <c r="N1092" s="2846"/>
      <c r="O1092" s="485"/>
      <c r="P1092" s="481"/>
      <c r="Q1092" s="1435"/>
      <c r="S1092" s="1435"/>
      <c r="T1092" s="1435"/>
      <c r="U1092" s="1435"/>
      <c r="AE1092" s="1198"/>
      <c r="AF1092" s="1198"/>
      <c r="AG1092" s="1198"/>
      <c r="AH1092" s="1198"/>
      <c r="AI1092" s="1198"/>
      <c r="AJ1092" s="1198"/>
      <c r="AK1092" s="1198"/>
      <c r="AL1092" s="1198"/>
      <c r="AO1092" s="1121" t="b">
        <f t="shared" si="506"/>
        <v>0</v>
      </c>
    </row>
    <row r="1093" spans="1:41" ht="12.75" customHeight="1">
      <c r="B1093" s="479"/>
      <c r="C1093" s="479"/>
      <c r="D1093" s="485"/>
      <c r="E1093" s="901" t="s">
        <v>1021</v>
      </c>
      <c r="F1093" s="3050" t="s">
        <v>2711</v>
      </c>
      <c r="G1093" s="2584"/>
      <c r="H1093" s="2584"/>
      <c r="I1093" s="2584"/>
      <c r="J1093" s="2584"/>
      <c r="K1093" s="2584"/>
      <c r="L1093" s="2584"/>
      <c r="M1093" s="2584"/>
      <c r="N1093" s="2584"/>
      <c r="O1093" s="485"/>
      <c r="P1093" s="481"/>
      <c r="Q1093" s="1435"/>
      <c r="S1093" s="1435"/>
      <c r="T1093" s="1435"/>
      <c r="U1093" s="1435"/>
      <c r="AE1093" s="1198"/>
      <c r="AF1093" s="1198"/>
      <c r="AG1093" s="1198"/>
      <c r="AH1093" s="1198"/>
      <c r="AI1093" s="1198"/>
      <c r="AJ1093" s="1198"/>
      <c r="AK1093" s="1198"/>
      <c r="AL1093" s="1198"/>
      <c r="AO1093" s="1121" t="b">
        <f t="shared" si="506"/>
        <v>0</v>
      </c>
    </row>
    <row r="1094" spans="1:41" ht="12.75" customHeight="1">
      <c r="B1094" s="479"/>
      <c r="C1094" s="479"/>
      <c r="D1094" s="485"/>
      <c r="E1094" s="901" t="s">
        <v>1021</v>
      </c>
      <c r="F1094" s="3050" t="s">
        <v>1985</v>
      </c>
      <c r="G1094" s="2584"/>
      <c r="H1094" s="2584"/>
      <c r="I1094" s="2584"/>
      <c r="J1094" s="2584"/>
      <c r="K1094" s="2584"/>
      <c r="L1094" s="2584"/>
      <c r="M1094" s="2584"/>
      <c r="N1094" s="2584"/>
      <c r="O1094" s="485"/>
      <c r="P1094" s="481"/>
      <c r="Q1094" s="1435"/>
      <c r="S1094" s="1435"/>
      <c r="T1094" s="1435"/>
      <c r="U1094" s="1435"/>
      <c r="AE1094" s="1198"/>
      <c r="AF1094" s="1198"/>
      <c r="AG1094" s="1198"/>
      <c r="AH1094" s="1198"/>
      <c r="AI1094" s="1198"/>
      <c r="AJ1094" s="1198"/>
      <c r="AK1094" s="1198"/>
      <c r="AL1094" s="1198"/>
      <c r="AO1094" s="1121" t="b">
        <f t="shared" si="506"/>
        <v>0</v>
      </c>
    </row>
    <row r="1095" spans="1:41" ht="12.75" customHeight="1" thickBot="1">
      <c r="B1095" s="479"/>
      <c r="C1095" s="479"/>
      <c r="D1095" s="485"/>
      <c r="E1095" s="901" t="s">
        <v>2749</v>
      </c>
      <c r="F1095" s="3050" t="s">
        <v>2750</v>
      </c>
      <c r="G1095" s="2584"/>
      <c r="H1095" s="2584"/>
      <c r="I1095" s="2584"/>
      <c r="J1095" s="2584"/>
      <c r="K1095" s="2584"/>
      <c r="L1095" s="2584"/>
      <c r="M1095" s="2584"/>
      <c r="N1095" s="2584"/>
      <c r="O1095" s="485"/>
      <c r="P1095" s="481"/>
      <c r="Q1095" s="1435"/>
      <c r="S1095" s="1435"/>
      <c r="T1095" s="1435"/>
      <c r="U1095" s="1435"/>
      <c r="AE1095" s="1198"/>
      <c r="AF1095" s="1198"/>
      <c r="AG1095" s="1198"/>
      <c r="AH1095" s="1198"/>
      <c r="AI1095" s="1198"/>
      <c r="AJ1095" s="1198"/>
      <c r="AK1095" s="1198"/>
      <c r="AL1095" s="1198"/>
      <c r="AO1095" s="1121" t="b">
        <f t="shared" si="506"/>
        <v>0</v>
      </c>
    </row>
    <row r="1096" spans="1:41" ht="5.0999999999999996" customHeight="1" thickBot="1">
      <c r="B1096" s="479"/>
      <c r="C1096" s="479"/>
      <c r="D1096" s="902"/>
      <c r="E1096" s="903"/>
      <c r="F1096" s="904"/>
      <c r="G1096" s="905"/>
      <c r="H1096" s="905"/>
      <c r="I1096" s="905"/>
      <c r="J1096" s="906"/>
      <c r="K1096" s="1798"/>
      <c r="L1096" s="1798"/>
      <c r="M1096" s="1798"/>
      <c r="N1096" s="1798"/>
      <c r="O1096" s="485"/>
      <c r="P1096" s="481"/>
      <c r="Q1096" s="1435"/>
      <c r="S1096" s="1435"/>
      <c r="T1096" s="1435"/>
      <c r="U1096" s="1435"/>
      <c r="AE1096" s="1198"/>
      <c r="AF1096" s="1198"/>
      <c r="AG1096" s="1198"/>
      <c r="AH1096" s="1198"/>
      <c r="AI1096" s="1198"/>
      <c r="AJ1096" s="1198"/>
      <c r="AK1096" s="1198"/>
      <c r="AL1096" s="1198"/>
      <c r="AO1096" s="1121" t="b">
        <f t="shared" si="506"/>
        <v>0</v>
      </c>
    </row>
    <row r="1097" spans="1:41" ht="12.75" customHeight="1">
      <c r="B1097" s="479"/>
      <c r="C1097" s="479"/>
      <c r="D1097" s="918"/>
      <c r="E1097" s="908" t="s">
        <v>1652</v>
      </c>
      <c r="F1097" s="909"/>
      <c r="G1097" s="909"/>
      <c r="H1097" s="910" t="str">
        <f>EUconst_Unit</f>
        <v>Unit</v>
      </c>
      <c r="I1097" s="911" t="s">
        <v>1646</v>
      </c>
      <c r="J1097" s="1647">
        <f>J$1190</f>
        <v>2026</v>
      </c>
      <c r="K1097" s="1490">
        <f>K$1190</f>
        <v>2027</v>
      </c>
      <c r="L1097" s="1490">
        <f>L$1190</f>
        <v>2028</v>
      </c>
      <c r="M1097" s="1490">
        <f>M$1190</f>
        <v>2029</v>
      </c>
      <c r="N1097" s="1490">
        <f>N$1190</f>
        <v>2030</v>
      </c>
      <c r="O1097" s="485"/>
      <c r="P1097" s="481"/>
      <c r="Q1097" s="1435"/>
      <c r="S1097" s="1435"/>
      <c r="T1097" s="1435"/>
      <c r="U1097" s="1648"/>
      <c r="V1097" s="1649">
        <f>J1097</f>
        <v>2026</v>
      </c>
      <c r="W1097" s="1649">
        <f>K1097</f>
        <v>2027</v>
      </c>
      <c r="X1097" s="1649">
        <f>L1097</f>
        <v>2028</v>
      </c>
      <c r="Y1097" s="1649">
        <f>M1097</f>
        <v>2029</v>
      </c>
      <c r="Z1097" s="1650">
        <f>N1097</f>
        <v>2030</v>
      </c>
      <c r="AB1097" s="1435"/>
      <c r="AO1097" s="1121" t="b">
        <f t="shared" si="506"/>
        <v>0</v>
      </c>
    </row>
    <row r="1098" spans="1:41" ht="12.75" customHeight="1">
      <c r="B1098" s="479"/>
      <c r="C1098" s="479"/>
      <c r="D1098" s="915" t="s">
        <v>7</v>
      </c>
      <c r="E1098" s="916" t="s">
        <v>1976</v>
      </c>
      <c r="F1098" s="916"/>
      <c r="G1098" s="916"/>
      <c r="H1098" s="944" t="str">
        <f>G1090</f>
        <v>t CO2e</v>
      </c>
      <c r="I1098" s="800" t="str">
        <f>IF(V1083&gt;($J$1190-3),EUconst_NA,INDEX('B+C_SubInstallations'!$I:$I,MATCH(Q1098,'B+C_SubInstallations'!$T:$T,0)))</f>
        <v/>
      </c>
      <c r="J1098" s="1894" t="str">
        <f>IF(AND(V1098&gt;=3,CNTR_ReportingYear&gt;J1097-1),AVERAGE(SUM(H1090),SUM(I1090)),"")</f>
        <v/>
      </c>
      <c r="K1098" s="1895" t="str">
        <f>IF(AND(W1098&gt;=3,CNTR_ReportingYear&gt;K1097-1),AVERAGE(SUM(I1090),SUM(J1090)),"")</f>
        <v/>
      </c>
      <c r="L1098" s="1895" t="str">
        <f>IF(AND(X1098&gt;=3,CNTR_ReportingYear&gt;L1097-1),AVERAGE(SUM(J1090),SUM(K1090)),"")</f>
        <v/>
      </c>
      <c r="M1098" s="1895" t="str">
        <f>IF(AND(Y1098&gt;=3,CNTR_ReportingYear&gt;M1097-1),AVERAGE(SUM(K1090),SUM(L1090)),"")</f>
        <v/>
      </c>
      <c r="N1098" s="1895" t="str">
        <f>IF(AND(Z1098&gt;=3,CNTR_ReportingYear&gt;N1097-1),AVERAGE(SUM(L1090),SUM(M1090)),"")</f>
        <v/>
      </c>
      <c r="O1098" s="485"/>
      <c r="P1098" s="481"/>
      <c r="Q1098" s="1704" t="str">
        <f>EUconst_CNTR_HALinitial&amp;I1083</f>
        <v>HALini_Process emissions sub-installation, non-CL</v>
      </c>
      <c r="S1098" s="1435"/>
      <c r="T1098" s="1435"/>
      <c r="U1098" s="1693" t="s">
        <v>1650</v>
      </c>
      <c r="V1098" s="1251">
        <f>IF($M1083&lt;&gt;EUconst_Relevant,0,V1097-$V1083+1)</f>
        <v>0</v>
      </c>
      <c r="W1098" s="1251">
        <f>IF($M1083&lt;&gt;EUconst_Relevant,0,W1097-$V1083+1)</f>
        <v>0</v>
      </c>
      <c r="X1098" s="1251">
        <f>IF($M1083&lt;&gt;EUconst_Relevant,0,X1097-$V1083+1)</f>
        <v>0</v>
      </c>
      <c r="Y1098" s="1251">
        <f>IF($M1083&lt;&gt;EUconst_Relevant,0,Y1097-$V1083+1)</f>
        <v>0</v>
      </c>
      <c r="Z1098" s="1896">
        <f>IF($M1083&lt;&gt;EUconst_Relevant,0,Z1097-$V1083+1)</f>
        <v>0</v>
      </c>
      <c r="AB1098" s="1435"/>
      <c r="AO1098" s="1121" t="b">
        <f t="shared" si="506"/>
        <v>0</v>
      </c>
    </row>
    <row r="1099" spans="1:41" ht="12.75" hidden="1" customHeight="1">
      <c r="A1099" s="618" t="s">
        <v>2289</v>
      </c>
      <c r="B1099" s="479"/>
      <c r="C1099" s="479"/>
      <c r="D1099" s="915"/>
      <c r="E1099" s="916" t="s">
        <v>1648</v>
      </c>
      <c r="F1099" s="916"/>
      <c r="G1099" s="916"/>
      <c r="H1099" s="921"/>
      <c r="I1099" s="1657"/>
      <c r="J1099" s="17" t="str">
        <f>IF(J1098="","",IF($I1101=0,IF(J1098=0,0%,100%),J1098/$I1101-1))</f>
        <v/>
      </c>
      <c r="K1099" s="22" t="str">
        <f>IF(K1098="","",IF($I1101=0,IF(K1098=0,0%,100%),K1098/$I1101-1))</f>
        <v/>
      </c>
      <c r="L1099" s="22" t="str">
        <f>IF(L1098="","",IF($I1101=0,IF(L1098=0,0%,100%),L1098/$I1101-1))</f>
        <v/>
      </c>
      <c r="M1099" s="22" t="str">
        <f>IF(M1098="","",IF($I1101=0,IF(M1098=0,0%,100%),M1098/$I1101-1))</f>
        <v/>
      </c>
      <c r="N1099" s="22" t="str">
        <f>IF(N1098="","",IF($I1101=0,IF(N1098=0,0%,100%),N1098/$I1101-1))</f>
        <v/>
      </c>
      <c r="O1099" s="485"/>
      <c r="P1099" s="481"/>
      <c r="Q1099" s="1644" t="str">
        <f>EUconst_CNTR_RelThreshold &amp;I1083</f>
        <v>RelThresh_Process emissions sub-installation, non-CL</v>
      </c>
      <c r="S1099" s="1435"/>
      <c r="T1099" s="1435"/>
      <c r="U1099" s="1693" t="s">
        <v>1655</v>
      </c>
      <c r="V1099" s="1158" t="str">
        <f>IF(J1098="","",ABS(J1099)&gt;15%)</f>
        <v/>
      </c>
      <c r="W1099" s="1158" t="str">
        <f>IF(K1098="","",ABS(K1099)&gt;15%)</f>
        <v/>
      </c>
      <c r="X1099" s="1158" t="str">
        <f>IF(L1098="","",ABS(L1099)&gt;15%)</f>
        <v/>
      </c>
      <c r="Y1099" s="1158" t="str">
        <f>IF(M1098="","",ABS(M1099)&gt;15%)</f>
        <v/>
      </c>
      <c r="Z1099" s="1656" t="str">
        <f>IF(N1098="","",ABS(N1099)&gt;15%)</f>
        <v/>
      </c>
      <c r="AB1099" s="1435"/>
      <c r="AO1099" s="1121" t="b">
        <f t="shared" si="506"/>
        <v>0</v>
      </c>
    </row>
    <row r="1100" spans="1:41" ht="12.75" customHeight="1">
      <c r="A1100" s="618"/>
      <c r="B1100" s="479"/>
      <c r="C1100" s="479"/>
      <c r="D1100" s="915" t="s">
        <v>8</v>
      </c>
      <c r="E1100" s="916" t="s">
        <v>1654</v>
      </c>
      <c r="F1100" s="916"/>
      <c r="G1100" s="916"/>
      <c r="H1100" s="921"/>
      <c r="I1100" s="1657"/>
      <c r="J1100" s="1658" t="str">
        <f>IF(J1098="","",IF(V1099=FALSE,0%,IF(V1100,J1099,I1106)))</f>
        <v/>
      </c>
      <c r="K1100" s="1795" t="str">
        <f>IF(K1098="","",IF(W1099=FALSE,0%,IF(W1100,K1099,J1106)))</f>
        <v/>
      </c>
      <c r="L1100" s="1795" t="str">
        <f>IF(L1098="","",IF(X1099=FALSE,0%,IF(X1100,L1099,K1106)))</f>
        <v/>
      </c>
      <c r="M1100" s="1795" t="str">
        <f>IF(M1098="","",IF(Y1099=FALSE,0%,IF(Y1100,M1099,L1106)))</f>
        <v/>
      </c>
      <c r="N1100" s="1795" t="str">
        <f>IF(N1098="","",IF(Z1099=FALSE,0%,IF(Z1100,N1099,M1106)))</f>
        <v/>
      </c>
      <c r="O1100" s="485"/>
      <c r="P1100" s="481"/>
      <c r="Q1100" s="1435"/>
      <c r="S1100" s="1435"/>
      <c r="T1100" s="1435"/>
      <c r="U1100" s="1693" t="s">
        <v>1656</v>
      </c>
      <c r="V1100" s="1158" t="str">
        <f>IF(J1098="","",AND(V1099,IF(SUM(I1106)&lt;0,OR(SUM(J1099)&lt;SUM(I1106)-MOD(SUM(I1106),5%),J1099&gt;=SUM(I1106)+5%-MOD(SUM(I1106),5%)),OR(SUM(J1099)&lt;=SUM(I1106)-MOD(SUM(I1106),5%),SUM(J1099)&gt;SUM(I1106)+5%-MOD(SUM(I1106),5%)))))</f>
        <v/>
      </c>
      <c r="W1100" s="1158" t="str">
        <f>IF(K1098="","",AND(W1099,IF(SUM(J1106)&lt;0,OR(SUM(K1099)&lt;SUM(J1106)-MOD(SUM(J1106),5%),K1099&gt;=SUM(J1106)+5%-MOD(SUM(J1106),5%)),OR(SUM(K1099)&lt;=SUM(J1106)-MOD(SUM(J1106),5%),SUM(K1099)&gt;SUM(J1106)+5%-MOD(SUM(J1106),5%)))))</f>
        <v/>
      </c>
      <c r="X1100" s="1158" t="str">
        <f>IF(L1098="","",AND(X1099,IF(SUM(K1106)&lt;0,OR(SUM(L1099)&lt;SUM(K1106)-MOD(SUM(K1106),5%),L1099&gt;=SUM(K1106)+5%-MOD(SUM(K1106),5%)),OR(SUM(L1099)&lt;=SUM(K1106)-MOD(SUM(K1106),5%),SUM(L1099)&gt;SUM(K1106)+5%-MOD(SUM(K1106),5%)))))</f>
        <v/>
      </c>
      <c r="Y1100" s="1158" t="str">
        <f>IF(M1098="","",AND(Y1099,IF(SUM(L1106)&lt;0,OR(SUM(M1099)&lt;SUM(L1106)-MOD(SUM(L1106),5%),M1099&gt;=SUM(L1106)+5%-MOD(SUM(L1106),5%)),OR(SUM(M1099)&lt;=SUM(L1106)-MOD(SUM(L1106),5%),SUM(M1099)&gt;SUM(L1106)+5%-MOD(SUM(L1106),5%)))))</f>
        <v/>
      </c>
      <c r="Z1100" s="1656" t="str">
        <f>IF(N1098="","",AND(Z1099,IF(SUM(M1106)&lt;0,OR(SUM(N1099)&lt;SUM(M1106)-MOD(SUM(M1106),5%),N1099&gt;=SUM(M1106)+5%-MOD(SUM(M1106),5%)),OR(SUM(N1099)&lt;=SUM(M1106)-MOD(SUM(M1106),5%),SUM(N1099)&gt;SUM(M1106)+5%-MOD(SUM(M1106),5%)))))</f>
        <v/>
      </c>
      <c r="AB1100" s="1435"/>
      <c r="AO1100" s="1121" t="b">
        <f t="shared" si="506"/>
        <v>0</v>
      </c>
    </row>
    <row r="1101" spans="1:41" ht="12.75" customHeight="1">
      <c r="A1101" s="618"/>
      <c r="B1101" s="479"/>
      <c r="C1101" s="479"/>
      <c r="D1101" s="915" t="s">
        <v>18</v>
      </c>
      <c r="E1101" s="916" t="s">
        <v>1647</v>
      </c>
      <c r="F1101" s="916"/>
      <c r="G1101" s="916"/>
      <c r="H1101" s="944" t="str">
        <f>H1098</f>
        <v>t CO2e</v>
      </c>
      <c r="I1101" s="800" t="str">
        <f>IF(M1083&lt;&gt;EUconst_Relevant,"",IF(AB1083=FALSE,EUconst_NA,IF(V1083&gt;($J$1190-3),INDEX(H1090:N1090,MATCH($V1083,H1089:N1089,0)),I1098)))</f>
        <v/>
      </c>
      <c r="J1101" s="1894" t="str">
        <f>IF($M1083&lt;&gt;EUconst_Relevant,"",IF(V1098&lt;2,SUM(J1090),IF(V1098&lt;3,SUM(I1090),IF(V1101="",I1101,V1101))))</f>
        <v/>
      </c>
      <c r="K1101" s="1895" t="str">
        <f>IF($M1083&lt;&gt;EUconst_Relevant,"",IF(W1098&lt;2,SUM(K1090),IF(W1098&lt;3,SUM(J1090),IF(W1101="",J1101,W1101))))</f>
        <v/>
      </c>
      <c r="L1101" s="1895" t="str">
        <f>IF($M1083&lt;&gt;EUconst_Relevant,"",IF(X1098&lt;2,SUM(L1090),IF(X1098&lt;3,SUM(K1090),IF(X1101="",K1101,X1101))))</f>
        <v/>
      </c>
      <c r="M1101" s="1895" t="str">
        <f>IF($M1083&lt;&gt;EUconst_Relevant,"",IF(Y1098&lt;2,SUM(M1090),IF(Y1098&lt;3,SUM(L1090),IF(Y1101="",L1101,Y1101))))</f>
        <v/>
      </c>
      <c r="N1101" s="1895" t="str">
        <f>IF($M1083&lt;&gt;EUconst_Relevant,"",IF(Z1098&lt;2,SUM(N1090),IF(Z1098&lt;3,SUM(M1090),IF(Z1101="",M1101,Z1101))))</f>
        <v/>
      </c>
      <c r="O1101" s="1136"/>
      <c r="P1101" s="481"/>
      <c r="Q1101" s="1644" t="str">
        <f>EUconst_CNTR_HALprelim&amp;I1083</f>
        <v>HALprelim_Process emissions sub-installation, non-CL</v>
      </c>
      <c r="S1101" s="1435"/>
      <c r="T1101" s="1435"/>
      <c r="U1101" s="1693" t="s">
        <v>1651</v>
      </c>
      <c r="V1101" s="1660" t="str">
        <f>IF(J1098="","",IF(CNTR_ReportingYear&lt;J1097,I1100,IF($I1101=0,J1098,$I1101*(1+J1100))))</f>
        <v/>
      </c>
      <c r="W1101" s="1660" t="str">
        <f>IF(K1098="","",IF(CNTR_ReportingYear&lt;K1097,J1100,IF($I1101=0,K1098,$I1101*(1+K1100))))</f>
        <v/>
      </c>
      <c r="X1101" s="1660" t="str">
        <f>IF(L1098="","",IF(CNTR_ReportingYear&lt;L1097,K1100,IF($I1101=0,L1098,$I1101*(1+L1100))))</f>
        <v/>
      </c>
      <c r="Y1101" s="1660" t="str">
        <f>IF(M1098="","",IF(CNTR_ReportingYear&lt;M1097,L1100,IF($I1101=0,M1098,$I1101*(1+M1100))))</f>
        <v/>
      </c>
      <c r="Z1101" s="1661" t="str">
        <f>IF(N1098="","",IF(CNTR_ReportingYear&lt;N1097,M1100,IF($I1101=0,N1098,$I1101*(1+N1100))))</f>
        <v/>
      </c>
      <c r="AB1101" s="1435"/>
      <c r="AO1101" s="1121" t="b">
        <f t="shared" si="506"/>
        <v>0</v>
      </c>
    </row>
    <row r="1102" spans="1:41" ht="5.0999999999999996" customHeight="1">
      <c r="A1102" s="618"/>
      <c r="B1102" s="479"/>
      <c r="C1102" s="479"/>
      <c r="D1102" s="918"/>
      <c r="E1102" s="909"/>
      <c r="F1102" s="909"/>
      <c r="G1102" s="909"/>
      <c r="H1102" s="909"/>
      <c r="I1102" s="909"/>
      <c r="J1102" s="922"/>
      <c r="K1102" s="1791"/>
      <c r="L1102" s="1791"/>
      <c r="M1102" s="1791"/>
      <c r="N1102" s="1791"/>
      <c r="O1102" s="485"/>
      <c r="P1102" s="485"/>
      <c r="Q1102" s="1435"/>
      <c r="U1102" s="1663"/>
      <c r="V1102" s="1435"/>
      <c r="Z1102" s="1664"/>
      <c r="AE1102" s="1198"/>
      <c r="AF1102" s="1198"/>
      <c r="AG1102" s="1198"/>
      <c r="AH1102" s="1198"/>
      <c r="AI1102" s="1198"/>
      <c r="AJ1102" s="1435"/>
      <c r="AK1102" s="1435"/>
      <c r="AL1102" s="1435"/>
      <c r="AO1102" s="1121" t="b">
        <f t="shared" si="506"/>
        <v>0</v>
      </c>
    </row>
    <row r="1103" spans="1:41" ht="12.75" customHeight="1">
      <c r="A1103" s="618"/>
      <c r="B1103" s="479"/>
      <c r="C1103" s="479"/>
      <c r="D1103" s="918"/>
      <c r="E1103" s="923" t="s">
        <v>1653</v>
      </c>
      <c r="F1103" s="923"/>
      <c r="G1103" s="923"/>
      <c r="H1103" s="923"/>
      <c r="I1103" s="923"/>
      <c r="J1103" s="1647">
        <f>J$1190</f>
        <v>2026</v>
      </c>
      <c r="K1103" s="1490">
        <f>K$1190</f>
        <v>2027</v>
      </c>
      <c r="L1103" s="1490">
        <f>L$1190</f>
        <v>2028</v>
      </c>
      <c r="M1103" s="1490">
        <f>M$1190</f>
        <v>2029</v>
      </c>
      <c r="N1103" s="1490">
        <f>N$1190</f>
        <v>2030</v>
      </c>
      <c r="O1103" s="485"/>
      <c r="P1103" s="485"/>
      <c r="Q1103" s="1435"/>
      <c r="U1103" s="1665"/>
      <c r="Z1103" s="1664"/>
      <c r="AE1103" s="1198"/>
      <c r="AF1103" s="1198"/>
      <c r="AG1103" s="1198"/>
      <c r="AH1103" s="1198"/>
      <c r="AI1103" s="1198"/>
      <c r="AJ1103" s="1435"/>
      <c r="AK1103" s="1435"/>
      <c r="AL1103" s="1435"/>
      <c r="AO1103" s="1121" t="b">
        <f t="shared" si="506"/>
        <v>0</v>
      </c>
    </row>
    <row r="1104" spans="1:41" ht="12.75" customHeight="1">
      <c r="A1104" s="618"/>
      <c r="B1104" s="479"/>
      <c r="C1104" s="479"/>
      <c r="D1104" s="915" t="s">
        <v>8</v>
      </c>
      <c r="E1104" s="916" t="s">
        <v>2108</v>
      </c>
      <c r="F1104" s="916"/>
      <c r="G1104" s="916"/>
      <c r="H1104" s="916"/>
      <c r="I1104" s="916"/>
      <c r="J1104" s="1666" t="str">
        <f>IF($M1083&lt;&gt;EUconst_Relevant,"",INDEX(K_Summary!J:J,MATCH($Q1104,K_Summary!$P:$P,0)))</f>
        <v/>
      </c>
      <c r="K1104" s="1791" t="str">
        <f>IF($M1083&lt;&gt;EUconst_Relevant,"",INDEX(K_Summary!K:K,MATCH($Q1104,K_Summary!$P:$P,0)))</f>
        <v/>
      </c>
      <c r="L1104" s="1791" t="str">
        <f>IF($M1083&lt;&gt;EUconst_Relevant,"",INDEX(K_Summary!L:L,MATCH($Q1104,K_Summary!$P:$P,0)))</f>
        <v/>
      </c>
      <c r="M1104" s="1791" t="str">
        <f>IF($M1083&lt;&gt;EUconst_Relevant,"",INDEX(K_Summary!M:M,MATCH($Q1104,K_Summary!$P:$P,0)))</f>
        <v/>
      </c>
      <c r="N1104" s="1791" t="str">
        <f>IF($M1083&lt;&gt;EUconst_Relevant,"",INDEX(K_Summary!N:N,MATCH($Q1104,K_Summary!$P:$P,0)))</f>
        <v/>
      </c>
      <c r="O1104" s="485"/>
      <c r="P1104" s="485"/>
      <c r="Q1104" s="1641" t="str">
        <f>EUconst_CNTR_100EUA_ActivityLevel&amp;I1083</f>
        <v>EUA100AL_Process emissions sub-installation, non-CL</v>
      </c>
      <c r="U1104" s="1665"/>
      <c r="V1104" s="8"/>
      <c r="W1104" s="8"/>
      <c r="X1104" s="8"/>
      <c r="Y1104" s="8"/>
      <c r="Z1104" s="1664"/>
      <c r="AE1104" s="1198"/>
      <c r="AF1104" s="1198"/>
      <c r="AG1104" s="1198"/>
      <c r="AH1104" s="1198"/>
      <c r="AI1104" s="1198"/>
      <c r="AJ1104" s="1435"/>
      <c r="AK1104" s="1435"/>
      <c r="AL1104" s="1435"/>
      <c r="AO1104" s="1121" t="b">
        <f t="shared" si="506"/>
        <v>0</v>
      </c>
    </row>
    <row r="1105" spans="1:42" ht="7.9" customHeight="1" thickBot="1">
      <c r="B1105" s="1119"/>
      <c r="C1105" s="562"/>
      <c r="D1105" s="918"/>
      <c r="E1105" s="1980" t="s">
        <v>2115</v>
      </c>
      <c r="F1105" s="909"/>
      <c r="G1105" s="909"/>
      <c r="H1105" s="909"/>
      <c r="I1105" s="909"/>
      <c r="J1105" s="922"/>
      <c r="K1105" s="618"/>
      <c r="L1105" s="618"/>
      <c r="M1105" s="618"/>
      <c r="N1105" s="618"/>
      <c r="AA1105" s="1119"/>
      <c r="AB1105" s="1119"/>
      <c r="AC1105" s="1119"/>
      <c r="AD1105" s="1119"/>
      <c r="AE1105" s="1119"/>
      <c r="AF1105" s="1119"/>
      <c r="AG1105" s="1119"/>
      <c r="AH1105" s="1119"/>
      <c r="AI1105" s="1119"/>
      <c r="AJ1105" s="1119"/>
      <c r="AK1105" s="1119"/>
      <c r="AL1105" s="1119"/>
      <c r="AM1105" s="1119"/>
      <c r="AO1105" s="1121" t="b">
        <f t="shared" si="506"/>
        <v>0</v>
      </c>
    </row>
    <row r="1106" spans="1:42" ht="12.75" customHeight="1" thickBot="1">
      <c r="B1106" s="1119"/>
      <c r="C1106" s="562"/>
      <c r="D1106" s="915" t="s">
        <v>18</v>
      </c>
      <c r="E1106" s="916" t="s">
        <v>1657</v>
      </c>
      <c r="F1106" s="916"/>
      <c r="G1106" s="916"/>
      <c r="H1106" s="921"/>
      <c r="I1106" s="1667"/>
      <c r="J1106" s="1668" t="str">
        <f>IF(J1104="","",IF(J1097&gt;$Z1083,-100%,IF(OR(J1104,V1098&lt;1),J1100,I1106)))</f>
        <v/>
      </c>
      <c r="K1106" s="1796" t="str">
        <f>IF(K1104="","",IF(K1097&gt;$Z1083,-100%,IF(OR(K1104,W1098&lt;1),K1100,J1106)))</f>
        <v/>
      </c>
      <c r="L1106" s="1796" t="str">
        <f>IF(L1104="","",IF(L1097&gt;$Z1083,-100%,IF(OR(L1104,X1098&lt;1),L1100,K1106)))</f>
        <v/>
      </c>
      <c r="M1106" s="1796" t="str">
        <f>IF(M1104="","",IF(M1097&gt;$Z1083,-100%,IF(OR(M1104,Y1098&lt;1),M1100,L1106)))</f>
        <v/>
      </c>
      <c r="N1106" s="1796" t="str">
        <f>IF(N1104="","",IF(N1097&gt;$Z1083,-100%,IF(OR(N1104,Z1098&lt;1),N1100,M1106)))</f>
        <v/>
      </c>
      <c r="O1106" s="485"/>
      <c r="P1106" s="1136"/>
      <c r="Q1106" s="1644" t="str">
        <f>EUconst_CNTR_HALAdjPct &amp; I1083</f>
        <v>HALAdjPct_Process emissions sub-installation, non-CL</v>
      </c>
      <c r="U1106" s="1663" t="s">
        <v>1658</v>
      </c>
      <c r="V1106" s="1670">
        <f>J1103</f>
        <v>2026</v>
      </c>
      <c r="W1106" s="1670">
        <f>K1103</f>
        <v>2027</v>
      </c>
      <c r="X1106" s="1670">
        <f>L1103</f>
        <v>2028</v>
      </c>
      <c r="Y1106" s="1670">
        <f>M1103</f>
        <v>2029</v>
      </c>
      <c r="Z1106" s="1671">
        <f>N1103</f>
        <v>2030</v>
      </c>
      <c r="AA1106" s="1119"/>
      <c r="AB1106" s="1119"/>
      <c r="AC1106" s="1119"/>
      <c r="AD1106" s="1119"/>
      <c r="AE1106" s="1119"/>
      <c r="AF1106" s="1119"/>
      <c r="AG1106" s="1119"/>
      <c r="AH1106" s="1119"/>
      <c r="AI1106" s="1119"/>
      <c r="AJ1106" s="1119"/>
      <c r="AK1106" s="1119"/>
      <c r="AL1106" s="1119"/>
      <c r="AM1106" s="1119"/>
      <c r="AO1106" s="1121" t="b">
        <f t="shared" si="506"/>
        <v>0</v>
      </c>
    </row>
    <row r="1107" spans="1:42" ht="12.75" customHeight="1" thickBot="1">
      <c r="B1107" s="1119"/>
      <c r="C1107" s="562"/>
      <c r="D1107" s="915" t="s">
        <v>787</v>
      </c>
      <c r="E1107" s="916" t="s">
        <v>1659</v>
      </c>
      <c r="F1107" s="916"/>
      <c r="G1107" s="916"/>
      <c r="H1107" s="639" t="str">
        <f>H1098</f>
        <v>t CO2e</v>
      </c>
      <c r="I1107" s="917" t="str">
        <f>I1101</f>
        <v/>
      </c>
      <c r="J1107" s="1672" t="str">
        <f>IF($M1083&lt;&gt;EUconst_Relevant,"",IF(OR($I1107=0,J1106="",$I1107=EUconst_NA),IF(OR(J1104=TRUE,J1103&lt;=$V1083),J1101,SUM(I1107)),$I1107*(1+SUM(J1106))))</f>
        <v/>
      </c>
      <c r="K1107" s="1800" t="str">
        <f>IF($M1083&lt;&gt;EUconst_Relevant,"",IF(OR($I1107=0,K1106="",$I1107=EUconst_NA),IF(OR(K1104=TRUE,K1103&lt;=$V1083),K1101,SUM(J1107)),$I1107*(1+SUM(K1106))))</f>
        <v/>
      </c>
      <c r="L1107" s="1800" t="str">
        <f>IF($M1083&lt;&gt;EUconst_Relevant,"",IF(OR($I1107=0,L1106="",$I1107=EUconst_NA),IF(OR(L1104=TRUE,L1103&lt;=$V1083),L1101,SUM(K1107)),$I1107*(1+SUM(L1106))))</f>
        <v/>
      </c>
      <c r="M1107" s="1800" t="str">
        <f>IF($M1083&lt;&gt;EUconst_Relevant,"",IF(OR($I1107=0,M1106="",$I1107=EUconst_NA),IF(OR(M1104=TRUE,M1103&lt;=$V1083),M1101,SUM(L1107)),$I1107*(1+SUM(M1106))))</f>
        <v/>
      </c>
      <c r="N1107" s="1800" t="str">
        <f>IF($M1083&lt;&gt;EUconst_Relevant,"",IF(OR($I1107=0,N1106="",$I1107=EUconst_NA),IF(OR(N1104=TRUE,N1103&lt;=$V1083),N1101,SUM(M1107)),$I1107*(1+SUM(N1106))))</f>
        <v/>
      </c>
      <c r="O1107" s="485"/>
      <c r="P1107" s="485"/>
      <c r="Q1107" s="1641" t="str">
        <f>EUconst_CNTR_HALfinal&amp;I1083</f>
        <v>HALfinal_Process emissions sub-installation, non-CL</v>
      </c>
      <c r="U1107" s="1674" t="b">
        <v>0</v>
      </c>
      <c r="V1107" s="1675" t="str">
        <f>IF(V1090,IF(J1104=TRUE,V1099,U1107),"")</f>
        <v/>
      </c>
      <c r="W1107" s="1675" t="str">
        <f>IF(W1090,IF(K1104=TRUE,W1099,V1107),"")</f>
        <v/>
      </c>
      <c r="X1107" s="1675" t="str">
        <f>IF(X1090,IF(L1104=TRUE,X1099,W1107),"")</f>
        <v/>
      </c>
      <c r="Y1107" s="1675" t="str">
        <f>IF(Y1090,IF(M1104=TRUE,Y1099,X1107),"")</f>
        <v/>
      </c>
      <c r="Z1107" s="1676" t="str">
        <f>IF(Z1090,IF(N1104=TRUE,Z1099,Y1107),"")</f>
        <v/>
      </c>
      <c r="AA1107" s="1119"/>
      <c r="AB1107" s="1119"/>
      <c r="AC1107" s="1119"/>
      <c r="AD1107" s="1119"/>
      <c r="AE1107" s="1119"/>
      <c r="AF1107" s="1119"/>
      <c r="AG1107" s="1119"/>
      <c r="AH1107" s="1119"/>
      <c r="AI1107" s="1119"/>
      <c r="AJ1107" s="1119"/>
      <c r="AK1107" s="1119"/>
      <c r="AL1107" s="1119"/>
      <c r="AM1107" s="1119"/>
      <c r="AO1107" s="1121" t="b">
        <f t="shared" si="506"/>
        <v>0</v>
      </c>
    </row>
    <row r="1108" spans="1:42" ht="5.0999999999999996" customHeight="1" thickBot="1">
      <c r="B1108" s="1119"/>
      <c r="C1108" s="562"/>
      <c r="D1108" s="924"/>
      <c r="E1108" s="925"/>
      <c r="F1108" s="925"/>
      <c r="G1108" s="925"/>
      <c r="H1108" s="925"/>
      <c r="I1108" s="925"/>
      <c r="J1108" s="926"/>
      <c r="K1108" s="1791"/>
      <c r="L1108" s="1791"/>
      <c r="M1108" s="1791"/>
      <c r="N1108" s="1791"/>
      <c r="O1108" s="485"/>
      <c r="P1108" s="485"/>
      <c r="Q1108" s="1435"/>
      <c r="U1108" s="1435"/>
      <c r="V1108" s="1435"/>
      <c r="AA1108" s="1119"/>
      <c r="AB1108" s="1119"/>
      <c r="AC1108" s="1119"/>
      <c r="AD1108" s="1119"/>
      <c r="AE1108" s="1119"/>
      <c r="AF1108" s="1119"/>
      <c r="AG1108" s="1119"/>
      <c r="AH1108" s="1119"/>
      <c r="AI1108" s="1119"/>
      <c r="AJ1108" s="1119"/>
      <c r="AK1108" s="1119"/>
      <c r="AL1108" s="1119"/>
      <c r="AM1108" s="1119"/>
      <c r="AO1108" s="1121" t="b">
        <f t="shared" si="506"/>
        <v>0</v>
      </c>
    </row>
    <row r="1109" spans="1:42" ht="5.0999999999999996" customHeight="1">
      <c r="B1109" s="1119"/>
      <c r="C1109" s="562"/>
      <c r="D1109" s="467"/>
      <c r="E1109" s="467"/>
      <c r="F1109" s="467"/>
      <c r="G1109" s="467"/>
      <c r="H1109" s="467"/>
      <c r="I1109" s="467"/>
      <c r="J1109" s="467"/>
      <c r="K1109" s="467"/>
      <c r="L1109" s="467"/>
      <c r="M1109" s="467"/>
      <c r="N1109" s="467"/>
      <c r="O1109" s="481"/>
      <c r="P1109" s="481"/>
      <c r="S1109" s="1435"/>
      <c r="T1109" s="1435"/>
      <c r="Z1109" s="1435"/>
      <c r="AA1109" s="1119"/>
      <c r="AB1109" s="1119"/>
      <c r="AC1109" s="1119"/>
      <c r="AD1109" s="1119"/>
      <c r="AE1109" s="1119"/>
      <c r="AF1109" s="1119"/>
      <c r="AG1109" s="1119"/>
      <c r="AH1109" s="1119"/>
      <c r="AI1109" s="1119"/>
      <c r="AJ1109" s="1119"/>
      <c r="AK1109" s="1119"/>
      <c r="AL1109" s="1119"/>
      <c r="AM1109" s="1119"/>
      <c r="AO1109" s="1121" t="b">
        <f t="shared" si="506"/>
        <v>0</v>
      </c>
    </row>
    <row r="1110" spans="1:42" ht="13.15" customHeight="1">
      <c r="B1110" s="1119"/>
      <c r="C1110" s="562"/>
      <c r="D1110" s="2482" t="s">
        <v>103</v>
      </c>
      <c r="E1110" s="2400"/>
      <c r="F1110" s="2400"/>
      <c r="G1110" s="2400"/>
      <c r="H1110" s="2400"/>
      <c r="I1110" s="2400"/>
      <c r="J1110" s="2400"/>
      <c r="K1110" s="2400"/>
      <c r="L1110" s="2400"/>
      <c r="M1110" s="2400"/>
      <c r="N1110" s="2400"/>
      <c r="O1110" s="481"/>
      <c r="P1110" s="481"/>
      <c r="Z1110" s="1249"/>
      <c r="AA1110" s="1119"/>
      <c r="AB1110" s="1119"/>
      <c r="AC1110" s="1119"/>
      <c r="AD1110" s="1119"/>
      <c r="AE1110" s="1119"/>
      <c r="AF1110" s="1119"/>
      <c r="AG1110" s="1119"/>
      <c r="AH1110" s="1119"/>
      <c r="AI1110" s="1119"/>
      <c r="AJ1110" s="1119"/>
      <c r="AK1110" s="1119"/>
      <c r="AL1110" s="1119"/>
      <c r="AM1110" s="1119"/>
      <c r="AO1110" s="1121" t="b">
        <f t="shared" si="506"/>
        <v>0</v>
      </c>
    </row>
    <row r="1111" spans="1:42" ht="5.0999999999999996" customHeight="1">
      <c r="B1111" s="1119"/>
      <c r="C1111" s="562"/>
      <c r="D1111" s="467"/>
      <c r="E1111" s="467"/>
      <c r="F1111" s="467"/>
      <c r="G1111" s="467"/>
      <c r="H1111" s="467"/>
      <c r="I1111" s="467"/>
      <c r="J1111" s="467"/>
      <c r="K1111" s="467"/>
      <c r="L1111" s="467"/>
      <c r="M1111" s="467"/>
      <c r="N1111" s="467"/>
      <c r="O1111" s="481"/>
      <c r="P1111" s="481"/>
      <c r="Q1111" s="1249"/>
      <c r="R1111" s="1249"/>
      <c r="AA1111" s="1119"/>
      <c r="AB1111" s="1119"/>
      <c r="AC1111" s="1119"/>
      <c r="AD1111" s="1119"/>
      <c r="AE1111" s="1119"/>
      <c r="AF1111" s="1119"/>
      <c r="AG1111" s="1119"/>
      <c r="AH1111" s="1119"/>
      <c r="AI1111" s="1119"/>
      <c r="AJ1111" s="1119"/>
      <c r="AK1111" s="1119"/>
      <c r="AL1111" s="1119"/>
      <c r="AM1111" s="1119"/>
      <c r="AO1111" s="1121" t="b">
        <f t="shared" si="506"/>
        <v>0</v>
      </c>
    </row>
    <row r="1112" spans="1:42" s="562" customFormat="1" ht="13.15" customHeight="1">
      <c r="A1112" s="618"/>
      <c r="D1112" s="482" t="s">
        <v>876</v>
      </c>
      <c r="E1112" s="2373" t="s">
        <v>298</v>
      </c>
      <c r="F1112" s="2400"/>
      <c r="G1112" s="2400"/>
      <c r="H1112" s="2400"/>
      <c r="I1112" s="2400"/>
      <c r="J1112" s="2400"/>
      <c r="K1112" s="2400"/>
      <c r="L1112" s="2400"/>
      <c r="M1112" s="2400"/>
      <c r="N1112" s="2400"/>
      <c r="O1112" s="481"/>
      <c r="P1112" s="481"/>
      <c r="Q1112" s="1249"/>
      <c r="R1112" s="1435"/>
      <c r="S1112" s="1435"/>
      <c r="T1112" s="1435"/>
      <c r="U1112" s="1435"/>
      <c r="V1112" s="1435"/>
      <c r="W1112" s="1435"/>
      <c r="X1112" s="1435"/>
      <c r="Y1112" s="1435"/>
      <c r="Z1112" s="1435"/>
      <c r="AN1112" s="618"/>
      <c r="AO1112" s="1121" t="b">
        <f t="shared" si="506"/>
        <v>0</v>
      </c>
      <c r="AP1112" s="1135"/>
    </row>
    <row r="1113" spans="1:42" s="562" customFormat="1" ht="13.15" customHeight="1">
      <c r="A1113" s="618"/>
      <c r="D1113" s="485"/>
      <c r="E1113" s="2385" t="s">
        <v>950</v>
      </c>
      <c r="F1113" s="2846"/>
      <c r="G1113" s="2846"/>
      <c r="H1113" s="2846"/>
      <c r="I1113" s="2846"/>
      <c r="J1113" s="2846"/>
      <c r="K1113" s="2846"/>
      <c r="L1113" s="2846"/>
      <c r="M1113" s="2846"/>
      <c r="N1113" s="2846"/>
      <c r="O1113" s="481"/>
      <c r="P1113" s="481"/>
      <c r="Q1113" s="1249"/>
      <c r="R1113" s="1249"/>
      <c r="S1113" s="1249"/>
      <c r="T1113" s="1249"/>
      <c r="U1113" s="1249"/>
      <c r="V1113" s="1249"/>
      <c r="W1113" s="1249"/>
      <c r="X1113" s="1249"/>
      <c r="Y1113" s="1249"/>
      <c r="Z1113" s="1435"/>
      <c r="AN1113" s="618"/>
      <c r="AO1113" s="1121" t="b">
        <f t="shared" si="506"/>
        <v>0</v>
      </c>
      <c r="AP1113" s="1135"/>
    </row>
    <row r="1114" spans="1:42" s="562" customFormat="1" ht="5.0999999999999996" customHeight="1">
      <c r="A1114" s="618"/>
      <c r="D1114" s="467"/>
      <c r="E1114" s="467"/>
      <c r="F1114" s="467"/>
      <c r="G1114" s="467"/>
      <c r="H1114" s="467"/>
      <c r="I1114" s="467"/>
      <c r="J1114" s="467"/>
      <c r="K1114" s="467"/>
      <c r="L1114" s="467"/>
      <c r="M1114" s="467"/>
      <c r="N1114" s="467"/>
      <c r="O1114" s="481"/>
      <c r="P1114" s="481"/>
      <c r="Q1114" s="1249"/>
      <c r="R1114" s="1249"/>
      <c r="S1114" s="1435"/>
      <c r="T1114" s="1435"/>
      <c r="U1114" s="1435"/>
      <c r="V1114" s="1435"/>
      <c r="W1114" s="1435"/>
      <c r="X1114" s="1435"/>
      <c r="Y1114" s="1435"/>
      <c r="Z1114" s="1435"/>
      <c r="AN1114" s="618"/>
      <c r="AO1114" s="1121" t="b">
        <f t="shared" si="506"/>
        <v>0</v>
      </c>
      <c r="AP1114" s="1135"/>
    </row>
    <row r="1115" spans="1:42" s="562" customFormat="1" ht="25.5" customHeight="1">
      <c r="A1115" s="618"/>
      <c r="D1115" s="956"/>
      <c r="E1115" s="1077" t="s">
        <v>951</v>
      </c>
      <c r="F1115" s="636"/>
      <c r="G1115" s="1078"/>
      <c r="H1115" s="2758" t="s">
        <v>28</v>
      </c>
      <c r="I1115" s="2508"/>
      <c r="J1115" s="2508"/>
      <c r="K1115" s="2508"/>
      <c r="L1115" s="2580"/>
      <c r="M1115" s="957" t="s">
        <v>2112</v>
      </c>
      <c r="N1115" s="485"/>
      <c r="O1115" s="481"/>
      <c r="P1115" s="481"/>
      <c r="Q1115" s="1435"/>
      <c r="R1115" s="1435"/>
      <c r="S1115" s="1249"/>
      <c r="T1115" s="1954">
        <f t="shared" ref="T1115:Y1115" si="512">H1089</f>
        <v>2024</v>
      </c>
      <c r="U1115" s="1954">
        <f t="shared" si="512"/>
        <v>2025</v>
      </c>
      <c r="V1115" s="1954">
        <f t="shared" si="512"/>
        <v>2026</v>
      </c>
      <c r="W1115" s="1954">
        <f t="shared" si="512"/>
        <v>2027</v>
      </c>
      <c r="X1115" s="1954">
        <f t="shared" si="512"/>
        <v>2028</v>
      </c>
      <c r="Y1115" s="1954">
        <f t="shared" si="512"/>
        <v>2029</v>
      </c>
      <c r="Z1115" s="1954">
        <f>N1089</f>
        <v>2030</v>
      </c>
      <c r="AN1115" s="618"/>
      <c r="AO1115" s="1121" t="b">
        <f t="shared" si="506"/>
        <v>0</v>
      </c>
      <c r="AP1115" s="1135"/>
    </row>
    <row r="1116" spans="1:42" s="562" customFormat="1">
      <c r="A1116" s="618"/>
      <c r="D1116" s="579">
        <v>1</v>
      </c>
      <c r="E1116" s="3357" t="str">
        <f>c_ALR2025!E6647</f>
        <v/>
      </c>
      <c r="F1116" s="3357"/>
      <c r="G1116" s="3357"/>
      <c r="H1116" s="3353" t="str">
        <f>c_ALR2025!H6647</f>
        <v/>
      </c>
      <c r="I1116" s="3353"/>
      <c r="J1116" s="3353"/>
      <c r="K1116" s="3353"/>
      <c r="L1116" s="3353"/>
      <c r="M1116" s="1901" t="str">
        <f>c_ALR2025!M6647</f>
        <v/>
      </c>
      <c r="N1116" s="485"/>
      <c r="O1116" s="481"/>
      <c r="P1116" s="481"/>
      <c r="Q1116" s="1435"/>
      <c r="R1116" s="1435"/>
      <c r="S1116" s="1249"/>
      <c r="T1116" s="1954"/>
      <c r="U1116" s="1954"/>
      <c r="V1116" s="1954"/>
      <c r="W1116" s="1954"/>
      <c r="X1116" s="1954"/>
      <c r="Y1116" s="1954"/>
      <c r="Z1116" s="1954"/>
      <c r="AN1116" s="618"/>
      <c r="AO1116" s="1121" t="b">
        <f t="shared" si="506"/>
        <v>0</v>
      </c>
      <c r="AP1116" s="1135"/>
    </row>
    <row r="1117" spans="1:42" s="562" customFormat="1">
      <c r="A1117" s="618"/>
      <c r="D1117" s="582">
        <f>D1116+1</f>
        <v>2</v>
      </c>
      <c r="E1117" s="2853" t="str">
        <f>c_ALR2025!E6648</f>
        <v/>
      </c>
      <c r="F1117" s="3358"/>
      <c r="G1117" s="3359"/>
      <c r="H1117" s="3345" t="str">
        <f>c_ALR2025!H6648</f>
        <v/>
      </c>
      <c r="I1117" s="3346"/>
      <c r="J1117" s="3346"/>
      <c r="K1117" s="3346"/>
      <c r="L1117" s="3347"/>
      <c r="M1117" s="1902" t="str">
        <f>c_ALR2025!M6648</f>
        <v/>
      </c>
      <c r="N1117" s="485"/>
      <c r="O1117" s="481"/>
      <c r="P1117" s="481"/>
      <c r="Q1117" s="1435"/>
      <c r="R1117" s="1435"/>
      <c r="S1117" s="1249"/>
      <c r="T1117" s="1954"/>
      <c r="U1117" s="1954"/>
      <c r="V1117" s="1954"/>
      <c r="W1117" s="1954"/>
      <c r="X1117" s="1954"/>
      <c r="Y1117" s="1954"/>
      <c r="Z1117" s="1954"/>
      <c r="AN1117" s="618"/>
      <c r="AO1117" s="1121" t="b">
        <f t="shared" si="506"/>
        <v>0</v>
      </c>
      <c r="AP1117" s="1135"/>
    </row>
    <row r="1118" spans="1:42" s="562" customFormat="1">
      <c r="A1118" s="618"/>
      <c r="D1118" s="582">
        <f t="shared" ref="D1118:D1125" si="513">D1117+1</f>
        <v>3</v>
      </c>
      <c r="E1118" s="2853" t="str">
        <f>c_ALR2025!E6649</f>
        <v/>
      </c>
      <c r="F1118" s="3358"/>
      <c r="G1118" s="3359"/>
      <c r="H1118" s="3345" t="str">
        <f>c_ALR2025!H6649</f>
        <v/>
      </c>
      <c r="I1118" s="3346"/>
      <c r="J1118" s="3346"/>
      <c r="K1118" s="3346"/>
      <c r="L1118" s="3347"/>
      <c r="M1118" s="1902" t="str">
        <f>c_ALR2025!M6649</f>
        <v/>
      </c>
      <c r="N1118" s="485"/>
      <c r="O1118" s="481"/>
      <c r="P1118" s="481"/>
      <c r="Q1118" s="1435"/>
      <c r="R1118" s="1435"/>
      <c r="S1118" s="1249"/>
      <c r="T1118" s="1954"/>
      <c r="U1118" s="1954"/>
      <c r="V1118" s="1954"/>
      <c r="W1118" s="1954"/>
      <c r="X1118" s="1954"/>
      <c r="Y1118" s="1954"/>
      <c r="Z1118" s="1954"/>
      <c r="AN1118" s="618"/>
      <c r="AO1118" s="1121" t="b">
        <f t="shared" si="506"/>
        <v>0</v>
      </c>
      <c r="AP1118" s="1135"/>
    </row>
    <row r="1119" spans="1:42" s="562" customFormat="1">
      <c r="A1119" s="618"/>
      <c r="D1119" s="582">
        <f t="shared" si="513"/>
        <v>4</v>
      </c>
      <c r="E1119" s="2853" t="str">
        <f>c_ALR2025!E6650</f>
        <v/>
      </c>
      <c r="F1119" s="3358"/>
      <c r="G1119" s="3359"/>
      <c r="H1119" s="3345" t="str">
        <f>c_ALR2025!H6650</f>
        <v/>
      </c>
      <c r="I1119" s="3346"/>
      <c r="J1119" s="3346"/>
      <c r="K1119" s="3346"/>
      <c r="L1119" s="3347"/>
      <c r="M1119" s="1902" t="str">
        <f>c_ALR2025!M6650</f>
        <v/>
      </c>
      <c r="N1119" s="485"/>
      <c r="O1119" s="481"/>
      <c r="P1119" s="481"/>
      <c r="Q1119" s="1435"/>
      <c r="R1119" s="1435"/>
      <c r="S1119" s="1249"/>
      <c r="T1119" s="1954"/>
      <c r="U1119" s="1954"/>
      <c r="V1119" s="1954"/>
      <c r="W1119" s="1954"/>
      <c r="X1119" s="1954"/>
      <c r="Y1119" s="1954"/>
      <c r="Z1119" s="1954"/>
      <c r="AN1119" s="618"/>
      <c r="AO1119" s="1121" t="b">
        <f t="shared" si="506"/>
        <v>0</v>
      </c>
      <c r="AP1119" s="1135"/>
    </row>
    <row r="1120" spans="1:42" s="562" customFormat="1">
      <c r="A1120" s="618"/>
      <c r="D1120" s="582">
        <f t="shared" si="513"/>
        <v>5</v>
      </c>
      <c r="E1120" s="2853" t="str">
        <f>c_ALR2025!E6651</f>
        <v/>
      </c>
      <c r="F1120" s="3358"/>
      <c r="G1120" s="3359"/>
      <c r="H1120" s="3345" t="str">
        <f>c_ALR2025!H6651</f>
        <v/>
      </c>
      <c r="I1120" s="3346"/>
      <c r="J1120" s="3346"/>
      <c r="K1120" s="3346"/>
      <c r="L1120" s="3347"/>
      <c r="M1120" s="1902" t="str">
        <f>c_ALR2025!M6651</f>
        <v/>
      </c>
      <c r="N1120" s="485"/>
      <c r="O1120" s="481"/>
      <c r="P1120" s="481"/>
      <c r="Q1120" s="1435"/>
      <c r="R1120" s="1435"/>
      <c r="S1120" s="1249"/>
      <c r="T1120" s="1954"/>
      <c r="U1120" s="1954"/>
      <c r="V1120" s="1954"/>
      <c r="W1120" s="1954"/>
      <c r="X1120" s="1954"/>
      <c r="Y1120" s="1954"/>
      <c r="Z1120" s="1954"/>
      <c r="AN1120" s="618"/>
      <c r="AO1120" s="1121" t="b">
        <f t="shared" si="506"/>
        <v>0</v>
      </c>
      <c r="AP1120" s="1135"/>
    </row>
    <row r="1121" spans="1:42" s="562" customFormat="1">
      <c r="A1121" s="618"/>
      <c r="D1121" s="582">
        <f t="shared" si="513"/>
        <v>6</v>
      </c>
      <c r="E1121" s="2853" t="str">
        <f>c_ALR2025!E6652</f>
        <v/>
      </c>
      <c r="F1121" s="3358"/>
      <c r="G1121" s="3359"/>
      <c r="H1121" s="3345" t="str">
        <f>c_ALR2025!H6652</f>
        <v/>
      </c>
      <c r="I1121" s="3346"/>
      <c r="J1121" s="3346"/>
      <c r="K1121" s="3346"/>
      <c r="L1121" s="3347"/>
      <c r="M1121" s="1902" t="str">
        <f>c_ALR2025!M6652</f>
        <v/>
      </c>
      <c r="N1121" s="485"/>
      <c r="O1121" s="481"/>
      <c r="P1121" s="481"/>
      <c r="Q1121" s="1435"/>
      <c r="R1121" s="1435"/>
      <c r="S1121" s="1249"/>
      <c r="T1121" s="1954"/>
      <c r="U1121" s="1954"/>
      <c r="V1121" s="1954"/>
      <c r="W1121" s="1954"/>
      <c r="X1121" s="1954"/>
      <c r="Y1121" s="1954"/>
      <c r="Z1121" s="1954"/>
      <c r="AA1121" s="1435"/>
      <c r="AB1121" s="1435"/>
      <c r="AC1121" s="1435"/>
      <c r="AD1121" s="1435"/>
      <c r="AE1121" s="1137"/>
      <c r="AF1121" s="1137"/>
      <c r="AG1121" s="1137"/>
      <c r="AH1121" s="1137"/>
      <c r="AI1121" s="1137"/>
      <c r="AJ1121" s="1137"/>
      <c r="AK1121" s="1137"/>
      <c r="AL1121" s="1137"/>
      <c r="AN1121" s="618"/>
      <c r="AO1121" s="1121" t="b">
        <f t="shared" si="506"/>
        <v>0</v>
      </c>
      <c r="AP1121" s="1135"/>
    </row>
    <row r="1122" spans="1:42" s="562" customFormat="1">
      <c r="A1122" s="618"/>
      <c r="D1122" s="582">
        <f t="shared" si="513"/>
        <v>7</v>
      </c>
      <c r="E1122" s="2853" t="str">
        <f>c_ALR2025!E6653</f>
        <v/>
      </c>
      <c r="F1122" s="3358"/>
      <c r="G1122" s="3359"/>
      <c r="H1122" s="3345" t="str">
        <f>c_ALR2025!H6653</f>
        <v/>
      </c>
      <c r="I1122" s="3346"/>
      <c r="J1122" s="3346"/>
      <c r="K1122" s="3346"/>
      <c r="L1122" s="3347"/>
      <c r="M1122" s="1902" t="str">
        <f>c_ALR2025!M6653</f>
        <v/>
      </c>
      <c r="N1122" s="485"/>
      <c r="O1122" s="481"/>
      <c r="P1122" s="481"/>
      <c r="Q1122" s="1435"/>
      <c r="R1122" s="1435"/>
      <c r="S1122" s="1249"/>
      <c r="T1122" s="1954"/>
      <c r="U1122" s="1954"/>
      <c r="V1122" s="1954"/>
      <c r="W1122" s="1954"/>
      <c r="X1122" s="1954"/>
      <c r="Y1122" s="1954"/>
      <c r="Z1122" s="1954"/>
      <c r="AA1122" s="1435"/>
      <c r="AB1122" s="1435"/>
      <c r="AC1122" s="1435"/>
      <c r="AD1122" s="1435"/>
      <c r="AE1122" s="1137"/>
      <c r="AF1122" s="1137"/>
      <c r="AG1122" s="1137"/>
      <c r="AH1122" s="1137"/>
      <c r="AI1122" s="1137"/>
      <c r="AJ1122" s="1137"/>
      <c r="AK1122" s="1137"/>
      <c r="AL1122" s="1137"/>
      <c r="AN1122" s="618"/>
      <c r="AO1122" s="1121" t="b">
        <f t="shared" si="506"/>
        <v>0</v>
      </c>
      <c r="AP1122" s="1135"/>
    </row>
    <row r="1123" spans="1:42" s="562" customFormat="1">
      <c r="A1123" s="618"/>
      <c r="D1123" s="582">
        <f t="shared" si="513"/>
        <v>8</v>
      </c>
      <c r="E1123" s="2853" t="str">
        <f>c_ALR2025!E6654</f>
        <v/>
      </c>
      <c r="F1123" s="3358"/>
      <c r="G1123" s="3359"/>
      <c r="H1123" s="3345" t="str">
        <f>c_ALR2025!H6654</f>
        <v/>
      </c>
      <c r="I1123" s="3346"/>
      <c r="J1123" s="3346"/>
      <c r="K1123" s="3346"/>
      <c r="L1123" s="3347"/>
      <c r="M1123" s="1902" t="str">
        <f>c_ALR2025!M6654</f>
        <v/>
      </c>
      <c r="N1123" s="485"/>
      <c r="O1123" s="481"/>
      <c r="P1123" s="481"/>
      <c r="Q1123" s="1435"/>
      <c r="R1123" s="1435"/>
      <c r="S1123" s="1249"/>
      <c r="T1123" s="1954"/>
      <c r="U1123" s="1954"/>
      <c r="V1123" s="1954"/>
      <c r="W1123" s="1954"/>
      <c r="X1123" s="1954"/>
      <c r="Y1123" s="1954"/>
      <c r="Z1123" s="1954"/>
      <c r="AA1123" s="1435"/>
      <c r="AB1123" s="1435"/>
      <c r="AC1123" s="1435"/>
      <c r="AD1123" s="1435"/>
      <c r="AE1123" s="1137"/>
      <c r="AF1123" s="1137"/>
      <c r="AG1123" s="1137"/>
      <c r="AH1123" s="1137"/>
      <c r="AI1123" s="1137"/>
      <c r="AJ1123" s="1137"/>
      <c r="AK1123" s="1137"/>
      <c r="AL1123" s="1137"/>
      <c r="AN1123" s="618"/>
      <c r="AO1123" s="1121" t="b">
        <f t="shared" si="506"/>
        <v>0</v>
      </c>
      <c r="AP1123" s="1135"/>
    </row>
    <row r="1124" spans="1:42" s="562" customFormat="1">
      <c r="A1124" s="618"/>
      <c r="D1124" s="582">
        <f t="shared" si="513"/>
        <v>9</v>
      </c>
      <c r="E1124" s="2853" t="str">
        <f>c_ALR2025!E6655</f>
        <v/>
      </c>
      <c r="F1124" s="3358"/>
      <c r="G1124" s="3359"/>
      <c r="H1124" s="3345" t="str">
        <f>c_ALR2025!H6655</f>
        <v/>
      </c>
      <c r="I1124" s="3346"/>
      <c r="J1124" s="3346"/>
      <c r="K1124" s="3346"/>
      <c r="L1124" s="3347"/>
      <c r="M1124" s="1902" t="str">
        <f>c_ALR2025!M6655</f>
        <v/>
      </c>
      <c r="N1124" s="485"/>
      <c r="O1124" s="481"/>
      <c r="P1124" s="481"/>
      <c r="Q1124" s="1435"/>
      <c r="R1124" s="1435"/>
      <c r="S1124" s="1249"/>
      <c r="T1124" s="1954"/>
      <c r="U1124" s="1954"/>
      <c r="V1124" s="1954"/>
      <c r="W1124" s="1954"/>
      <c r="X1124" s="1954"/>
      <c r="Y1124" s="1954"/>
      <c r="Z1124" s="1954"/>
      <c r="AA1124" s="1435"/>
      <c r="AB1124" s="1435"/>
      <c r="AC1124" s="1435"/>
      <c r="AD1124" s="1435"/>
      <c r="AE1124" s="1137"/>
      <c r="AF1124" s="1137"/>
      <c r="AG1124" s="1137"/>
      <c r="AH1124" s="1137"/>
      <c r="AI1124" s="1137"/>
      <c r="AJ1124" s="1137"/>
      <c r="AK1124" s="1137"/>
      <c r="AL1124" s="1137"/>
      <c r="AN1124" s="618"/>
      <c r="AO1124" s="1121" t="b">
        <f t="shared" si="506"/>
        <v>0</v>
      </c>
      <c r="AP1124" s="1135"/>
    </row>
    <row r="1125" spans="1:42" s="562" customFormat="1">
      <c r="A1125" s="618"/>
      <c r="D1125" s="584">
        <f t="shared" si="513"/>
        <v>10</v>
      </c>
      <c r="E1125" s="2840" t="str">
        <f>c_ALR2025!E6656</f>
        <v/>
      </c>
      <c r="F1125" s="3360"/>
      <c r="G1125" s="3361"/>
      <c r="H1125" s="3343" t="str">
        <f>c_ALR2025!H6656</f>
        <v/>
      </c>
      <c r="I1125" s="3281"/>
      <c r="J1125" s="3281"/>
      <c r="K1125" s="3281"/>
      <c r="L1125" s="3344"/>
      <c r="M1125" s="1974" t="str">
        <f>c_ALR2025!M6656</f>
        <v/>
      </c>
      <c r="N1125" s="485"/>
      <c r="O1125" s="481"/>
      <c r="P1125" s="481"/>
      <c r="Q1125" s="1435"/>
      <c r="R1125" s="1435"/>
      <c r="S1125" s="1904" t="s">
        <v>2057</v>
      </c>
      <c r="T1125" s="1954"/>
      <c r="U1125" s="1954"/>
      <c r="V1125" s="1954"/>
      <c r="W1125" s="1954"/>
      <c r="X1125" s="1954"/>
      <c r="Y1125" s="1954"/>
      <c r="Z1125" s="1954"/>
      <c r="AA1125" s="1435"/>
      <c r="AB1125" s="1435"/>
      <c r="AC1125" s="1435"/>
      <c r="AD1125" s="1435"/>
      <c r="AE1125" s="1137"/>
      <c r="AF1125" s="1137"/>
      <c r="AG1125" s="1137"/>
      <c r="AH1125" s="1137"/>
      <c r="AI1125" s="1137"/>
      <c r="AJ1125" s="1137"/>
      <c r="AK1125" s="1137"/>
      <c r="AL1125" s="1137"/>
      <c r="AN1125" s="618"/>
      <c r="AO1125" s="1121" t="b">
        <f t="shared" si="506"/>
        <v>0</v>
      </c>
      <c r="AP1125" s="1135"/>
    </row>
    <row r="1126" spans="1:42" s="562" customFormat="1">
      <c r="A1126" s="618"/>
      <c r="D1126" s="579">
        <v>1</v>
      </c>
      <c r="E1126" s="3355"/>
      <c r="F1126" s="3355"/>
      <c r="G1126" s="3355"/>
      <c r="H1126" s="3334"/>
      <c r="I1126" s="3334"/>
      <c r="J1126" s="3334"/>
      <c r="K1126" s="3334"/>
      <c r="L1126" s="3334"/>
      <c r="M1126" s="1998"/>
      <c r="N1126" s="485"/>
      <c r="O1126" s="481"/>
      <c r="P1126" s="9"/>
      <c r="Q1126" s="1435"/>
      <c r="R1126" s="1435"/>
      <c r="S1126" s="1715" t="b">
        <f>IF(E1116 &lt;&gt; "", TRUE, FALSE)</f>
        <v>0</v>
      </c>
      <c r="T1126" s="1954"/>
      <c r="U1126" s="1954"/>
      <c r="V1126" s="1954"/>
      <c r="W1126" s="1954"/>
      <c r="X1126" s="1954"/>
      <c r="Y1126" s="1954"/>
      <c r="Z1126" s="1954"/>
      <c r="AA1126" s="1435"/>
      <c r="AB1126" s="1435"/>
      <c r="AC1126" s="1435"/>
      <c r="AD1126" s="1435"/>
      <c r="AE1126" s="1137"/>
      <c r="AF1126" s="1137"/>
      <c r="AG1126" s="1137"/>
      <c r="AH1126" s="1137"/>
      <c r="AI1126" s="1137"/>
      <c r="AJ1126" s="1137"/>
      <c r="AK1126" s="1137"/>
      <c r="AL1126" s="1137"/>
      <c r="AN1126" s="618"/>
      <c r="AO1126" s="1121" t="b">
        <f t="shared" si="506"/>
        <v>0</v>
      </c>
      <c r="AP1126" s="1135"/>
    </row>
    <row r="1127" spans="1:42" s="562" customFormat="1">
      <c r="A1127" s="618"/>
      <c r="D1127" s="582">
        <f>D1126+1</f>
        <v>2</v>
      </c>
      <c r="E1127" s="3335"/>
      <c r="F1127" s="3335"/>
      <c r="G1127" s="3335"/>
      <c r="H1127" s="3336"/>
      <c r="I1127" s="3336"/>
      <c r="J1127" s="3336"/>
      <c r="K1127" s="3336"/>
      <c r="L1127" s="3336"/>
      <c r="M1127" s="1999"/>
      <c r="N1127" s="485"/>
      <c r="O1127" s="481"/>
      <c r="P1127" s="9"/>
      <c r="Q1127" s="1435"/>
      <c r="R1127" s="1435"/>
      <c r="S1127" s="1715" t="b">
        <f t="shared" ref="S1127:S1135" si="514">IF(E1117 &lt;&gt; "", TRUE, FALSE)</f>
        <v>0</v>
      </c>
      <c r="T1127" s="1954"/>
      <c r="U1127" s="1954"/>
      <c r="V1127" s="1954"/>
      <c r="W1127" s="1954"/>
      <c r="X1127" s="1954"/>
      <c r="Y1127" s="1954"/>
      <c r="Z1127" s="1954"/>
      <c r="AA1127" s="1435"/>
      <c r="AB1127" s="1435"/>
      <c r="AC1127" s="1435"/>
      <c r="AD1127" s="1435"/>
      <c r="AE1127" s="1137"/>
      <c r="AF1127" s="1137"/>
      <c r="AG1127" s="1137"/>
      <c r="AH1127" s="1137"/>
      <c r="AI1127" s="1137"/>
      <c r="AJ1127" s="1137"/>
      <c r="AK1127" s="1137"/>
      <c r="AL1127" s="1137"/>
      <c r="AN1127" s="618"/>
      <c r="AO1127" s="1121" t="b">
        <f t="shared" si="506"/>
        <v>0</v>
      </c>
      <c r="AP1127" s="1135"/>
    </row>
    <row r="1128" spans="1:42" s="562" customFormat="1">
      <c r="A1128" s="618"/>
      <c r="D1128" s="582">
        <f t="shared" ref="D1128:D1135" si="515">D1127+1</f>
        <v>3</v>
      </c>
      <c r="E1128" s="3335"/>
      <c r="F1128" s="3335"/>
      <c r="G1128" s="3335"/>
      <c r="H1128" s="3336"/>
      <c r="I1128" s="3336"/>
      <c r="J1128" s="3336"/>
      <c r="K1128" s="3336"/>
      <c r="L1128" s="3336"/>
      <c r="M1128" s="1999"/>
      <c r="N1128" s="485"/>
      <c r="O1128" s="481"/>
      <c r="P1128" s="9"/>
      <c r="Q1128" s="1435"/>
      <c r="R1128" s="1435"/>
      <c r="S1128" s="1715" t="b">
        <f t="shared" si="514"/>
        <v>0</v>
      </c>
      <c r="T1128" s="1954"/>
      <c r="U1128" s="1954"/>
      <c r="V1128" s="1954"/>
      <c r="W1128" s="1954"/>
      <c r="X1128" s="1954"/>
      <c r="Y1128" s="1954"/>
      <c r="Z1128" s="1954"/>
      <c r="AA1128" s="1435"/>
      <c r="AB1128" s="1435"/>
      <c r="AC1128" s="1435"/>
      <c r="AD1128" s="1435"/>
      <c r="AE1128" s="1137"/>
      <c r="AF1128" s="1137"/>
      <c r="AG1128" s="1137"/>
      <c r="AH1128" s="1137"/>
      <c r="AI1128" s="1137"/>
      <c r="AJ1128" s="1137"/>
      <c r="AK1128" s="1137"/>
      <c r="AL1128" s="1137"/>
      <c r="AN1128" s="618"/>
      <c r="AO1128" s="1121" t="b">
        <f t="shared" si="506"/>
        <v>0</v>
      </c>
      <c r="AP1128" s="1135"/>
    </row>
    <row r="1129" spans="1:42" s="562" customFormat="1">
      <c r="A1129" s="618"/>
      <c r="D1129" s="582">
        <f t="shared" si="515"/>
        <v>4</v>
      </c>
      <c r="E1129" s="3337"/>
      <c r="F1129" s="3338"/>
      <c r="G1129" s="3339"/>
      <c r="H1129" s="3340"/>
      <c r="I1129" s="3341"/>
      <c r="J1129" s="3341"/>
      <c r="K1129" s="3341"/>
      <c r="L1129" s="3342"/>
      <c r="M1129" s="1999"/>
      <c r="N1129" s="485"/>
      <c r="O1129" s="481"/>
      <c r="P1129" s="9"/>
      <c r="Q1129" s="1435"/>
      <c r="R1129" s="1435"/>
      <c r="S1129" s="1715" t="b">
        <f t="shared" si="514"/>
        <v>0</v>
      </c>
      <c r="T1129" s="1954"/>
      <c r="U1129" s="1954"/>
      <c r="V1129" s="1954"/>
      <c r="W1129" s="1954"/>
      <c r="X1129" s="1954"/>
      <c r="Y1129" s="1954"/>
      <c r="Z1129" s="1954"/>
      <c r="AA1129" s="1435"/>
      <c r="AB1129" s="1435"/>
      <c r="AC1129" s="1435"/>
      <c r="AD1129" s="1435"/>
      <c r="AE1129" s="1137"/>
      <c r="AF1129" s="1137"/>
      <c r="AG1129" s="1137"/>
      <c r="AH1129" s="1137"/>
      <c r="AI1129" s="1137"/>
      <c r="AJ1129" s="1137"/>
      <c r="AK1129" s="1137"/>
      <c r="AL1129" s="1137"/>
      <c r="AN1129" s="618"/>
      <c r="AO1129" s="1121" t="b">
        <f t="shared" si="506"/>
        <v>0</v>
      </c>
      <c r="AP1129" s="1135"/>
    </row>
    <row r="1130" spans="1:42" s="562" customFormat="1">
      <c r="A1130" s="618"/>
      <c r="D1130" s="582">
        <f t="shared" si="515"/>
        <v>5</v>
      </c>
      <c r="E1130" s="3335"/>
      <c r="F1130" s="3335"/>
      <c r="G1130" s="3335"/>
      <c r="H1130" s="3336"/>
      <c r="I1130" s="3336"/>
      <c r="J1130" s="3336"/>
      <c r="K1130" s="3336"/>
      <c r="L1130" s="3336"/>
      <c r="M1130" s="1999"/>
      <c r="N1130" s="485"/>
      <c r="O1130" s="481"/>
      <c r="P1130" s="9"/>
      <c r="Q1130" s="1435"/>
      <c r="R1130" s="1435"/>
      <c r="S1130" s="1715" t="b">
        <f t="shared" si="514"/>
        <v>0</v>
      </c>
      <c r="T1130" s="1954"/>
      <c r="U1130" s="1954"/>
      <c r="V1130" s="1954"/>
      <c r="W1130" s="1954"/>
      <c r="X1130" s="1954"/>
      <c r="Y1130" s="1954"/>
      <c r="Z1130" s="1954"/>
      <c r="AA1130" s="1435"/>
      <c r="AB1130" s="1435"/>
      <c r="AC1130" s="1435"/>
      <c r="AD1130" s="1435"/>
      <c r="AE1130" s="1137"/>
      <c r="AF1130" s="1137"/>
      <c r="AG1130" s="1137"/>
      <c r="AH1130" s="1137"/>
      <c r="AI1130" s="1137"/>
      <c r="AJ1130" s="1137"/>
      <c r="AK1130" s="1137"/>
      <c r="AL1130" s="1137"/>
      <c r="AN1130" s="618"/>
      <c r="AO1130" s="1121" t="b">
        <f t="shared" si="506"/>
        <v>0</v>
      </c>
      <c r="AP1130" s="1135"/>
    </row>
    <row r="1131" spans="1:42" s="562" customFormat="1">
      <c r="A1131" s="618"/>
      <c r="D1131" s="582">
        <f t="shared" si="515"/>
        <v>6</v>
      </c>
      <c r="E1131" s="3335"/>
      <c r="F1131" s="3335"/>
      <c r="G1131" s="3335"/>
      <c r="H1131" s="3336"/>
      <c r="I1131" s="3336"/>
      <c r="J1131" s="3336"/>
      <c r="K1131" s="3336"/>
      <c r="L1131" s="3336"/>
      <c r="M1131" s="1999"/>
      <c r="N1131" s="485"/>
      <c r="O1131" s="481"/>
      <c r="P1131" s="9"/>
      <c r="Q1131" s="1435"/>
      <c r="R1131" s="1435"/>
      <c r="S1131" s="1715" t="b">
        <f t="shared" si="514"/>
        <v>0</v>
      </c>
      <c r="T1131" s="1954"/>
      <c r="U1131" s="1954"/>
      <c r="V1131" s="1954"/>
      <c r="W1131" s="1954"/>
      <c r="X1131" s="1954"/>
      <c r="Y1131" s="1954"/>
      <c r="Z1131" s="1954"/>
      <c r="AA1131" s="1435"/>
      <c r="AB1131" s="1435"/>
      <c r="AC1131" s="1435"/>
      <c r="AD1131" s="1435"/>
      <c r="AE1131" s="1137"/>
      <c r="AF1131" s="1137"/>
      <c r="AG1131" s="1137"/>
      <c r="AH1131" s="1137"/>
      <c r="AI1131" s="1137"/>
      <c r="AJ1131" s="1137"/>
      <c r="AK1131" s="1137"/>
      <c r="AL1131" s="1137"/>
      <c r="AN1131" s="618"/>
      <c r="AO1131" s="1121" t="b">
        <f t="shared" si="506"/>
        <v>0</v>
      </c>
      <c r="AP1131" s="1135"/>
    </row>
    <row r="1132" spans="1:42" s="562" customFormat="1">
      <c r="A1132" s="618"/>
      <c r="D1132" s="582">
        <f t="shared" si="515"/>
        <v>7</v>
      </c>
      <c r="E1132" s="3335"/>
      <c r="F1132" s="3335"/>
      <c r="G1132" s="3335"/>
      <c r="H1132" s="3336"/>
      <c r="I1132" s="3336"/>
      <c r="J1132" s="3336"/>
      <c r="K1132" s="3336"/>
      <c r="L1132" s="3336"/>
      <c r="M1132" s="1999"/>
      <c r="N1132" s="485"/>
      <c r="O1132" s="481"/>
      <c r="P1132" s="9"/>
      <c r="Q1132" s="1435"/>
      <c r="R1132" s="1435"/>
      <c r="S1132" s="1715" t="b">
        <f t="shared" si="514"/>
        <v>0</v>
      </c>
      <c r="T1132" s="1954"/>
      <c r="U1132" s="1954"/>
      <c r="V1132" s="1954"/>
      <c r="W1132" s="1954"/>
      <c r="X1132" s="1954"/>
      <c r="Y1132" s="1954"/>
      <c r="Z1132" s="1954"/>
      <c r="AA1132" s="1435"/>
      <c r="AB1132" s="1435"/>
      <c r="AC1132" s="1435"/>
      <c r="AD1132" s="1435"/>
      <c r="AE1132" s="1137"/>
      <c r="AF1132" s="1137"/>
      <c r="AG1132" s="1137"/>
      <c r="AH1132" s="1137"/>
      <c r="AI1132" s="1137"/>
      <c r="AJ1132" s="1137"/>
      <c r="AK1132" s="1137"/>
      <c r="AL1132" s="1137"/>
      <c r="AN1132" s="618"/>
      <c r="AO1132" s="1121" t="b">
        <f t="shared" si="506"/>
        <v>0</v>
      </c>
      <c r="AP1132" s="1135"/>
    </row>
    <row r="1133" spans="1:42" s="562" customFormat="1">
      <c r="A1133" s="618"/>
      <c r="D1133" s="582">
        <f t="shared" si="515"/>
        <v>8</v>
      </c>
      <c r="E1133" s="3335"/>
      <c r="F1133" s="3335"/>
      <c r="G1133" s="3335"/>
      <c r="H1133" s="3336"/>
      <c r="I1133" s="3336"/>
      <c r="J1133" s="3336"/>
      <c r="K1133" s="3336"/>
      <c r="L1133" s="3336"/>
      <c r="M1133" s="1999"/>
      <c r="N1133" s="485"/>
      <c r="O1133" s="481"/>
      <c r="P1133" s="9"/>
      <c r="Q1133" s="1435"/>
      <c r="R1133" s="1435"/>
      <c r="S1133" s="1715" t="b">
        <f t="shared" si="514"/>
        <v>0</v>
      </c>
      <c r="T1133" s="1954"/>
      <c r="U1133" s="1954"/>
      <c r="V1133" s="1954"/>
      <c r="W1133" s="1954"/>
      <c r="X1133" s="1954"/>
      <c r="Y1133" s="1954"/>
      <c r="Z1133" s="1954"/>
      <c r="AA1133" s="1435"/>
      <c r="AB1133" s="1435"/>
      <c r="AC1133" s="1435"/>
      <c r="AD1133" s="1435"/>
      <c r="AE1133" s="1137"/>
      <c r="AF1133" s="1137"/>
      <c r="AG1133" s="1137"/>
      <c r="AH1133" s="1137"/>
      <c r="AI1133" s="1137"/>
      <c r="AJ1133" s="1137"/>
      <c r="AK1133" s="1137"/>
      <c r="AL1133" s="1137"/>
      <c r="AN1133" s="618"/>
      <c r="AO1133" s="1121" t="b">
        <f t="shared" si="506"/>
        <v>0</v>
      </c>
      <c r="AP1133" s="1135"/>
    </row>
    <row r="1134" spans="1:42" s="562" customFormat="1">
      <c r="A1134" s="618"/>
      <c r="D1134" s="582">
        <f t="shared" si="515"/>
        <v>9</v>
      </c>
      <c r="E1134" s="3335"/>
      <c r="F1134" s="3335"/>
      <c r="G1134" s="3335"/>
      <c r="H1134" s="3336"/>
      <c r="I1134" s="3336"/>
      <c r="J1134" s="3336"/>
      <c r="K1134" s="3336"/>
      <c r="L1134" s="3336"/>
      <c r="M1134" s="1999"/>
      <c r="N1134" s="485"/>
      <c r="O1134" s="481"/>
      <c r="P1134" s="9"/>
      <c r="Q1134" s="1435"/>
      <c r="R1134" s="1435"/>
      <c r="S1134" s="1715" t="b">
        <f t="shared" si="514"/>
        <v>0</v>
      </c>
      <c r="T1134" s="1954"/>
      <c r="U1134" s="1954"/>
      <c r="V1134" s="1954"/>
      <c r="W1134" s="1954"/>
      <c r="X1134" s="1954"/>
      <c r="Y1134" s="1954"/>
      <c r="Z1134" s="1954"/>
      <c r="AA1134" s="1435"/>
      <c r="AB1134" s="1435"/>
      <c r="AC1134" s="1435"/>
      <c r="AD1134" s="1435"/>
      <c r="AE1134" s="1137"/>
      <c r="AF1134" s="1137"/>
      <c r="AG1134" s="1137"/>
      <c r="AH1134" s="1137"/>
      <c r="AI1134" s="1137"/>
      <c r="AJ1134" s="1137"/>
      <c r="AK1134" s="1137"/>
      <c r="AL1134" s="1137"/>
      <c r="AN1134" s="618"/>
      <c r="AO1134" s="1121" t="b">
        <f t="shared" si="506"/>
        <v>0</v>
      </c>
      <c r="AP1134" s="1135"/>
    </row>
    <row r="1135" spans="1:42" s="562" customFormat="1" ht="13.15" customHeight="1">
      <c r="A1135" s="618"/>
      <c r="D1135" s="584">
        <f t="shared" si="515"/>
        <v>10</v>
      </c>
      <c r="E1135" s="3356"/>
      <c r="F1135" s="3356"/>
      <c r="G1135" s="3356"/>
      <c r="H1135" s="3354"/>
      <c r="I1135" s="3354"/>
      <c r="J1135" s="3354"/>
      <c r="K1135" s="3354"/>
      <c r="L1135" s="3354"/>
      <c r="M1135" s="2000"/>
      <c r="N1135" s="485"/>
      <c r="O1135" s="481"/>
      <c r="P1135" s="9"/>
      <c r="Q1135" s="1435"/>
      <c r="R1135" s="1435"/>
      <c r="S1135" s="1715" t="b">
        <f t="shared" si="514"/>
        <v>0</v>
      </c>
      <c r="T1135" s="1954"/>
      <c r="U1135" s="1954"/>
      <c r="V1135" s="1954"/>
      <c r="W1135" s="1954"/>
      <c r="X1135" s="1954"/>
      <c r="Y1135" s="1954"/>
      <c r="Z1135" s="1954"/>
      <c r="AA1135" s="1435"/>
      <c r="AB1135" s="1435"/>
      <c r="AC1135" s="1435"/>
      <c r="AD1135" s="1435"/>
      <c r="AE1135" s="1137"/>
      <c r="AF1135" s="1137"/>
      <c r="AG1135" s="1137"/>
      <c r="AH1135" s="1137"/>
      <c r="AI1135" s="1137"/>
      <c r="AJ1135" s="1137"/>
      <c r="AK1135" s="1137"/>
      <c r="AL1135" s="1137"/>
      <c r="AN1135" s="618"/>
      <c r="AO1135" s="1121" t="b">
        <f t="shared" si="506"/>
        <v>0</v>
      </c>
      <c r="AP1135" s="1135"/>
    </row>
    <row r="1136" spans="1:42" s="562" customFormat="1">
      <c r="A1136" s="618"/>
      <c r="D1136" s="579">
        <v>1</v>
      </c>
      <c r="E1136" s="3352" t="str">
        <f>IF(E1126&lt;&gt; "",E1126,IF(E1116 &lt;&gt; "", E1116,""))</f>
        <v/>
      </c>
      <c r="F1136" s="3417" t="str">
        <f t="shared" ref="F1136:G1136" si="516">IF(F1126&lt;&gt; "",F1126,IF(F1116 &lt;&gt; "", F1116,""))</f>
        <v/>
      </c>
      <c r="G1136" s="3417" t="str">
        <f t="shared" si="516"/>
        <v/>
      </c>
      <c r="H1136" s="3415" t="str">
        <f>IF(H1126&lt;&gt; "",H1126,IF(H1116 &lt;&gt; "", H1116,""))</f>
        <v/>
      </c>
      <c r="I1136" s="3415"/>
      <c r="J1136" s="3415"/>
      <c r="K1136" s="3415"/>
      <c r="L1136" s="3415"/>
      <c r="M1136" s="961" t="str">
        <f>IF(M1126&lt;&gt; "",M1126,IF(M1116 &lt;&gt; "", M1116,""))</f>
        <v/>
      </c>
      <c r="N1136" s="485"/>
      <c r="O1136" s="481"/>
      <c r="P1136" s="481"/>
      <c r="Q1136" s="1435"/>
      <c r="R1136" s="1435"/>
      <c r="S1136" s="1968" t="str">
        <f>EUconst_CNTR_AttributedEmissions &amp;I1083</f>
        <v>AttrEmissions_Process emissions sub-installation, non-CL</v>
      </c>
      <c r="T1136" s="1644" t="str">
        <f t="shared" ref="T1136:Y1136" si="517">IF(T1090,SUM(H1090),"")</f>
        <v/>
      </c>
      <c r="U1136" s="1644" t="str">
        <f t="shared" si="517"/>
        <v/>
      </c>
      <c r="V1136" s="1644" t="str">
        <f t="shared" si="517"/>
        <v/>
      </c>
      <c r="W1136" s="1644" t="str">
        <f t="shared" si="517"/>
        <v/>
      </c>
      <c r="X1136" s="1644" t="str">
        <f t="shared" si="517"/>
        <v/>
      </c>
      <c r="Y1136" s="1644" t="str">
        <f t="shared" si="517"/>
        <v/>
      </c>
      <c r="Z1136" s="1644" t="str">
        <f>IF(Z1090,SUM(N1090),"")</f>
        <v/>
      </c>
      <c r="AA1136" s="1435"/>
      <c r="AB1136" s="1435"/>
      <c r="AC1136" s="1435"/>
      <c r="AD1136" s="1435"/>
      <c r="AE1136" s="1137"/>
      <c r="AF1136" s="1137"/>
      <c r="AG1136" s="1137"/>
      <c r="AH1136" s="1137"/>
      <c r="AI1136" s="1137"/>
      <c r="AJ1136" s="1137"/>
      <c r="AK1136" s="1633" t="s">
        <v>1954</v>
      </c>
      <c r="AL1136" s="1635" t="str">
        <f>IF(AND($M1083=EUconst_Relevant,COUNTA(E1136:L1136)&lt;2),EUconst_Error&amp;"FB"&amp;Q1083,"")</f>
        <v/>
      </c>
      <c r="AN1136" s="618"/>
      <c r="AO1136" s="1121" t="b">
        <f t="shared" si="506"/>
        <v>0</v>
      </c>
      <c r="AP1136" s="1135"/>
    </row>
    <row r="1137" spans="1:42" s="562" customFormat="1">
      <c r="A1137" s="618"/>
      <c r="D1137" s="582">
        <f>D1136+1</f>
        <v>2</v>
      </c>
      <c r="E1137" s="3348" t="str">
        <f t="shared" ref="E1137:H1137" si="518">IF(E1127&lt;&gt; "",E1127,IF(E1117 &lt;&gt; "", E1117,""))</f>
        <v/>
      </c>
      <c r="F1137" s="3362" t="str">
        <f t="shared" si="518"/>
        <v/>
      </c>
      <c r="G1137" s="3349" t="str">
        <f t="shared" si="518"/>
        <v/>
      </c>
      <c r="H1137" s="2825" t="str">
        <f t="shared" si="518"/>
        <v/>
      </c>
      <c r="I1137" s="2827"/>
      <c r="J1137" s="2827"/>
      <c r="K1137" s="2827"/>
      <c r="L1137" s="2826"/>
      <c r="M1137" s="895" t="str">
        <f t="shared" ref="M1137:M1145" si="519">IF(M1127&lt;&gt; "",M1127,IF(M1117 &lt;&gt; "", M1117,""))</f>
        <v/>
      </c>
      <c r="N1137" s="485"/>
      <c r="O1137" s="481"/>
      <c r="P1137" s="481"/>
      <c r="Q1137" s="1435"/>
      <c r="R1137" s="1435"/>
      <c r="S1137" s="1435"/>
      <c r="AN1137" s="618"/>
      <c r="AO1137" s="1121" t="b">
        <f t="shared" si="506"/>
        <v>0</v>
      </c>
      <c r="AP1137" s="1135"/>
    </row>
    <row r="1138" spans="1:42" s="562" customFormat="1">
      <c r="A1138" s="618"/>
      <c r="D1138" s="582">
        <f t="shared" ref="D1138:D1145" si="520">D1137+1</f>
        <v>3</v>
      </c>
      <c r="E1138" s="3348" t="str">
        <f t="shared" ref="E1138:H1138" si="521">IF(E1128&lt;&gt; "",E1128,IF(E1118 &lt;&gt; "", E1118,""))</f>
        <v/>
      </c>
      <c r="F1138" s="3362" t="str">
        <f t="shared" si="521"/>
        <v/>
      </c>
      <c r="G1138" s="3349" t="str">
        <f t="shared" si="521"/>
        <v/>
      </c>
      <c r="H1138" s="2825" t="str">
        <f t="shared" si="521"/>
        <v/>
      </c>
      <c r="I1138" s="2827"/>
      <c r="J1138" s="2827"/>
      <c r="K1138" s="2827"/>
      <c r="L1138" s="2826"/>
      <c r="M1138" s="895" t="str">
        <f t="shared" si="519"/>
        <v/>
      </c>
      <c r="N1138" s="485"/>
      <c r="O1138" s="481"/>
      <c r="P1138" s="481"/>
      <c r="Q1138" s="1435"/>
      <c r="R1138" s="1435"/>
      <c r="S1138" s="1435"/>
      <c r="AN1138" s="618"/>
      <c r="AO1138" s="1121" t="b">
        <f t="shared" si="506"/>
        <v>0</v>
      </c>
      <c r="AP1138" s="1135"/>
    </row>
    <row r="1139" spans="1:42" s="562" customFormat="1">
      <c r="A1139" s="618"/>
      <c r="D1139" s="582">
        <f t="shared" si="520"/>
        <v>4</v>
      </c>
      <c r="E1139" s="3348" t="str">
        <f t="shared" ref="E1139:H1140" si="522">IF(E1129&lt;&gt; "",E1129,IF(E1119 &lt;&gt; "", E1119,""))</f>
        <v/>
      </c>
      <c r="F1139" s="3362" t="str">
        <f t="shared" si="522"/>
        <v/>
      </c>
      <c r="G1139" s="3349" t="str">
        <f t="shared" si="522"/>
        <v/>
      </c>
      <c r="H1139" s="2825" t="str">
        <f t="shared" si="522"/>
        <v/>
      </c>
      <c r="I1139" s="2827"/>
      <c r="J1139" s="2827"/>
      <c r="K1139" s="2827"/>
      <c r="L1139" s="2826"/>
      <c r="M1139" s="895" t="str">
        <f t="shared" si="519"/>
        <v/>
      </c>
      <c r="N1139" s="485"/>
      <c r="O1139" s="481"/>
      <c r="P1139" s="481"/>
      <c r="Q1139" s="1435"/>
      <c r="R1139" s="1435"/>
      <c r="S1139" s="1435"/>
      <c r="AN1139" s="618"/>
      <c r="AO1139" s="1121" t="b">
        <f t="shared" si="506"/>
        <v>0</v>
      </c>
      <c r="AP1139" s="1135"/>
    </row>
    <row r="1140" spans="1:42" s="562" customFormat="1">
      <c r="A1140" s="618"/>
      <c r="D1140" s="582">
        <f t="shared" si="520"/>
        <v>5</v>
      </c>
      <c r="E1140" s="3348" t="str">
        <f t="shared" si="522"/>
        <v/>
      </c>
      <c r="F1140" s="3362" t="str">
        <f t="shared" si="522"/>
        <v/>
      </c>
      <c r="G1140" s="3349" t="str">
        <f t="shared" si="522"/>
        <v/>
      </c>
      <c r="H1140" s="2825" t="str">
        <f t="shared" si="522"/>
        <v/>
      </c>
      <c r="I1140" s="2827"/>
      <c r="J1140" s="2827"/>
      <c r="K1140" s="2827"/>
      <c r="L1140" s="2826"/>
      <c r="M1140" s="895" t="str">
        <f t="shared" si="519"/>
        <v/>
      </c>
      <c r="N1140" s="485"/>
      <c r="O1140" s="481"/>
      <c r="P1140" s="481"/>
      <c r="Q1140" s="1435"/>
      <c r="R1140" s="1435"/>
      <c r="S1140" s="1435"/>
      <c r="AN1140" s="618"/>
      <c r="AO1140" s="1121" t="b">
        <f t="shared" si="506"/>
        <v>0</v>
      </c>
      <c r="AP1140" s="1135"/>
    </row>
    <row r="1141" spans="1:42" s="562" customFormat="1">
      <c r="A1141" s="618"/>
      <c r="D1141" s="582">
        <f t="shared" si="520"/>
        <v>6</v>
      </c>
      <c r="E1141" s="3348" t="str">
        <f t="shared" ref="E1141:H1141" si="523">IF(E1131&lt;&gt; "",E1131,IF(E1121 &lt;&gt; "", E1121,""))</f>
        <v/>
      </c>
      <c r="F1141" s="3362" t="str">
        <f t="shared" si="523"/>
        <v/>
      </c>
      <c r="G1141" s="3349" t="str">
        <f t="shared" si="523"/>
        <v/>
      </c>
      <c r="H1141" s="2825" t="str">
        <f t="shared" si="523"/>
        <v/>
      </c>
      <c r="I1141" s="2827"/>
      <c r="J1141" s="2827"/>
      <c r="K1141" s="2827"/>
      <c r="L1141" s="2826"/>
      <c r="M1141" s="895" t="str">
        <f t="shared" si="519"/>
        <v/>
      </c>
      <c r="N1141" s="485"/>
      <c r="O1141" s="481"/>
      <c r="P1141" s="481"/>
      <c r="Q1141" s="1435"/>
      <c r="R1141" s="1435"/>
      <c r="S1141" s="1435"/>
      <c r="AN1141" s="618"/>
      <c r="AO1141" s="1121" t="b">
        <f t="shared" si="506"/>
        <v>0</v>
      </c>
      <c r="AP1141" s="1135"/>
    </row>
    <row r="1142" spans="1:42" s="562" customFormat="1">
      <c r="A1142" s="618"/>
      <c r="D1142" s="582">
        <f t="shared" si="520"/>
        <v>7</v>
      </c>
      <c r="E1142" s="3348" t="str">
        <f t="shared" ref="E1142:H1142" si="524">IF(E1132&lt;&gt; "",E1132,IF(E1122 &lt;&gt; "", E1122,""))</f>
        <v/>
      </c>
      <c r="F1142" s="3362" t="str">
        <f t="shared" si="524"/>
        <v/>
      </c>
      <c r="G1142" s="3349" t="str">
        <f t="shared" si="524"/>
        <v/>
      </c>
      <c r="H1142" s="2825" t="str">
        <f t="shared" si="524"/>
        <v/>
      </c>
      <c r="I1142" s="2827"/>
      <c r="J1142" s="2827"/>
      <c r="K1142" s="2827"/>
      <c r="L1142" s="2826"/>
      <c r="M1142" s="895" t="str">
        <f t="shared" si="519"/>
        <v/>
      </c>
      <c r="N1142" s="485"/>
      <c r="O1142" s="481"/>
      <c r="P1142" s="481"/>
      <c r="Q1142" s="1435"/>
      <c r="R1142" s="1435"/>
      <c r="S1142" s="1435"/>
      <c r="AN1142" s="618"/>
      <c r="AO1142" s="1121" t="b">
        <f t="shared" si="506"/>
        <v>0</v>
      </c>
      <c r="AP1142" s="1135"/>
    </row>
    <row r="1143" spans="1:42" s="562" customFormat="1">
      <c r="A1143" s="618"/>
      <c r="D1143" s="582">
        <f t="shared" si="520"/>
        <v>8</v>
      </c>
      <c r="E1143" s="3348" t="str">
        <f t="shared" ref="E1143:H1143" si="525">IF(E1133&lt;&gt; "",E1133,IF(E1123 &lt;&gt; "", E1123,""))</f>
        <v/>
      </c>
      <c r="F1143" s="3362" t="str">
        <f t="shared" si="525"/>
        <v/>
      </c>
      <c r="G1143" s="3349" t="str">
        <f t="shared" si="525"/>
        <v/>
      </c>
      <c r="H1143" s="2825" t="str">
        <f t="shared" si="525"/>
        <v/>
      </c>
      <c r="I1143" s="2827"/>
      <c r="J1143" s="2827"/>
      <c r="K1143" s="2827"/>
      <c r="L1143" s="2826"/>
      <c r="M1143" s="895" t="str">
        <f t="shared" si="519"/>
        <v/>
      </c>
      <c r="N1143" s="485"/>
      <c r="O1143" s="481"/>
      <c r="P1143" s="481"/>
      <c r="Q1143" s="1435"/>
      <c r="R1143" s="1435"/>
      <c r="S1143" s="1435"/>
      <c r="AN1143" s="618"/>
      <c r="AO1143" s="1121" t="b">
        <f t="shared" si="506"/>
        <v>0</v>
      </c>
      <c r="AP1143" s="1135"/>
    </row>
    <row r="1144" spans="1:42" s="562" customFormat="1" ht="13.15" customHeight="1">
      <c r="A1144" s="618"/>
      <c r="D1144" s="582">
        <f t="shared" si="520"/>
        <v>9</v>
      </c>
      <c r="E1144" s="3348" t="str">
        <f t="shared" ref="E1144:H1144" si="526">IF(E1134&lt;&gt; "",E1134,IF(E1124 &lt;&gt; "", E1124,""))</f>
        <v/>
      </c>
      <c r="F1144" s="3362" t="str">
        <f t="shared" si="526"/>
        <v/>
      </c>
      <c r="G1144" s="3349" t="str">
        <f t="shared" si="526"/>
        <v/>
      </c>
      <c r="H1144" s="2825" t="str">
        <f t="shared" si="526"/>
        <v/>
      </c>
      <c r="I1144" s="2827"/>
      <c r="J1144" s="2827"/>
      <c r="K1144" s="2827"/>
      <c r="L1144" s="2826"/>
      <c r="M1144" s="895" t="str">
        <f t="shared" si="519"/>
        <v/>
      </c>
      <c r="N1144" s="485"/>
      <c r="O1144" s="481"/>
      <c r="P1144" s="481"/>
      <c r="Q1144" s="1435"/>
      <c r="R1144" s="1435"/>
      <c r="S1144" s="1435"/>
      <c r="AN1144" s="618"/>
      <c r="AO1144" s="1121" t="b">
        <f t="shared" si="506"/>
        <v>0</v>
      </c>
      <c r="AP1144" s="1135"/>
    </row>
    <row r="1145" spans="1:42" s="562" customFormat="1">
      <c r="A1145" s="618"/>
      <c r="D1145" s="584">
        <f t="shared" si="520"/>
        <v>10</v>
      </c>
      <c r="E1145" s="3350" t="str">
        <f t="shared" ref="E1145:H1145" si="527">IF(E1135&lt;&gt; "",E1135,IF(E1125 &lt;&gt; "", E1125,""))</f>
        <v/>
      </c>
      <c r="F1145" s="3332" t="str">
        <f t="shared" si="527"/>
        <v/>
      </c>
      <c r="G1145" s="3351" t="str">
        <f t="shared" si="527"/>
        <v/>
      </c>
      <c r="H1145" s="2820" t="str">
        <f t="shared" si="527"/>
        <v/>
      </c>
      <c r="I1145" s="2822"/>
      <c r="J1145" s="2822"/>
      <c r="K1145" s="2822"/>
      <c r="L1145" s="2821"/>
      <c r="M1145" s="968" t="str">
        <f t="shared" si="519"/>
        <v/>
      </c>
      <c r="N1145" s="485"/>
      <c r="O1145" s="481"/>
      <c r="P1145" s="481"/>
      <c r="Q1145" s="1435"/>
      <c r="R1145" s="1435"/>
      <c r="S1145" s="1435"/>
      <c r="AN1145" s="618"/>
      <c r="AO1145" s="1121" t="b">
        <f t="shared" si="506"/>
        <v>0</v>
      </c>
      <c r="AP1145" s="1135"/>
    </row>
    <row r="1146" spans="1:42" s="562" customFormat="1" ht="5.0999999999999996" customHeight="1">
      <c r="A1146" s="618"/>
      <c r="D1146" s="485"/>
      <c r="E1146" s="617"/>
      <c r="F1146" s="617"/>
      <c r="G1146" s="617"/>
      <c r="H1146" s="617"/>
      <c r="I1146" s="617"/>
      <c r="J1146" s="468"/>
      <c r="K1146" s="468"/>
      <c r="L1146" s="468"/>
      <c r="M1146" s="481"/>
      <c r="N1146" s="481"/>
      <c r="O1146" s="481"/>
      <c r="P1146" s="481"/>
      <c r="Q1146" s="1249"/>
      <c r="R1146" s="1435"/>
      <c r="S1146" s="1435"/>
      <c r="AN1146" s="618"/>
      <c r="AO1146" s="1121" t="b">
        <f t="shared" si="506"/>
        <v>0</v>
      </c>
      <c r="AP1146" s="1135"/>
    </row>
    <row r="1147" spans="1:42" s="562" customFormat="1" ht="12.75" customHeight="1">
      <c r="A1147" s="618"/>
      <c r="D1147" s="482" t="s">
        <v>48</v>
      </c>
      <c r="E1147" s="2373" t="s">
        <v>1477</v>
      </c>
      <c r="F1147" s="2400"/>
      <c r="G1147" s="2400"/>
      <c r="H1147" s="2400"/>
      <c r="I1147" s="2400"/>
      <c r="J1147" s="2400"/>
      <c r="K1147" s="2400"/>
      <c r="L1147" s="2400"/>
      <c r="M1147" s="2400"/>
      <c r="N1147" s="2400"/>
      <c r="O1147" s="481"/>
      <c r="P1147" s="481"/>
      <c r="Q1147" s="1249"/>
      <c r="R1147" s="1435"/>
      <c r="S1147" s="1435"/>
      <c r="AN1147" s="618"/>
      <c r="AO1147" s="1121" t="b">
        <f t="shared" si="506"/>
        <v>0</v>
      </c>
      <c r="AP1147" s="1135"/>
    </row>
    <row r="1148" spans="1:42" s="562" customFormat="1" ht="5.0999999999999996" customHeight="1">
      <c r="A1148" s="618"/>
      <c r="D1148" s="467"/>
      <c r="E1148" s="467"/>
      <c r="F1148" s="467"/>
      <c r="G1148" s="467"/>
      <c r="H1148" s="467"/>
      <c r="I1148" s="467"/>
      <c r="J1148" s="467"/>
      <c r="K1148" s="467"/>
      <c r="L1148" s="467"/>
      <c r="M1148" s="467"/>
      <c r="N1148" s="481"/>
      <c r="O1148" s="481"/>
      <c r="P1148" s="481"/>
      <c r="Q1148" s="1249"/>
      <c r="R1148" s="1249"/>
      <c r="S1148" s="1435"/>
      <c r="AN1148" s="618"/>
      <c r="AO1148" s="1121" t="b">
        <f t="shared" si="506"/>
        <v>0</v>
      </c>
      <c r="AP1148" s="1135"/>
    </row>
    <row r="1149" spans="1:42" s="562" customFormat="1">
      <c r="A1149" s="618"/>
      <c r="D1149" s="956"/>
      <c r="E1149" s="2758" t="s">
        <v>28</v>
      </c>
      <c r="F1149" s="2508"/>
      <c r="G1149" s="959" t="str">
        <f>EUconst_Unit</f>
        <v>Unit</v>
      </c>
      <c r="H1149" s="578">
        <f t="shared" ref="H1149:N1149" si="528">H$1190</f>
        <v>2024</v>
      </c>
      <c r="I1149" s="578">
        <f t="shared" si="528"/>
        <v>2025</v>
      </c>
      <c r="J1149" s="1975">
        <f t="shared" si="528"/>
        <v>2026</v>
      </c>
      <c r="K1149" s="1677">
        <f t="shared" si="528"/>
        <v>2027</v>
      </c>
      <c r="L1149" s="1677">
        <f t="shared" si="528"/>
        <v>2028</v>
      </c>
      <c r="M1149" s="1677">
        <f t="shared" si="528"/>
        <v>2029</v>
      </c>
      <c r="N1149" s="1677">
        <f t="shared" si="528"/>
        <v>2030</v>
      </c>
      <c r="O1149" s="481"/>
      <c r="P1149" s="481"/>
      <c r="Q1149" s="1435"/>
      <c r="R1149" s="1435"/>
      <c r="S1149" s="1904" t="s">
        <v>2057</v>
      </c>
      <c r="AN1149" s="618"/>
      <c r="AO1149" s="1121" t="b">
        <f t="shared" si="506"/>
        <v>0</v>
      </c>
      <c r="AP1149" s="1135"/>
    </row>
    <row r="1150" spans="1:42" s="562" customFormat="1">
      <c r="A1150" s="618"/>
      <c r="D1150" s="579">
        <v>1</v>
      </c>
      <c r="E1150" s="3353" t="str">
        <f>c_ALR2025!E6661</f>
        <v/>
      </c>
      <c r="F1150" s="3353"/>
      <c r="G1150" s="1976" t="str">
        <f>c_ALR2025!G6661</f>
        <v/>
      </c>
      <c r="H1150" s="1977" t="str">
        <f>c_ALR2025!M6661</f>
        <v/>
      </c>
      <c r="I1150" s="1858"/>
      <c r="J1150" s="1975"/>
      <c r="K1150" s="1677"/>
      <c r="L1150" s="1677"/>
      <c r="M1150" s="1677"/>
      <c r="N1150" s="1677"/>
      <c r="O1150" s="481"/>
      <c r="P1150" s="9"/>
      <c r="Q1150" s="1435"/>
      <c r="R1150" s="1435"/>
      <c r="S1150" s="1715" t="b">
        <f>IF(E1150 = "", TRUE, FALSE)</f>
        <v>1</v>
      </c>
      <c r="AN1150" s="618"/>
      <c r="AO1150" s="1121" t="b">
        <f t="shared" ref="AO1150:AO1180" si="529">$AD$1083</f>
        <v>0</v>
      </c>
      <c r="AP1150" s="1135"/>
    </row>
    <row r="1151" spans="1:42" s="562" customFormat="1">
      <c r="A1151" s="618"/>
      <c r="D1151" s="582">
        <f>D1150+1</f>
        <v>2</v>
      </c>
      <c r="E1151" s="3345">
        <f>c_ALR2025!E6662</f>
        <v>2</v>
      </c>
      <c r="F1151" s="3347"/>
      <c r="G1151" s="1718" t="str">
        <f>c_ALR2025!G6662</f>
        <v/>
      </c>
      <c r="H1151" s="1719" t="str">
        <f>c_ALR2025!M6662</f>
        <v/>
      </c>
      <c r="I1151" s="1859"/>
      <c r="J1151" s="1975"/>
      <c r="K1151" s="1677"/>
      <c r="L1151" s="1677"/>
      <c r="M1151" s="1677"/>
      <c r="N1151" s="1677"/>
      <c r="O1151" s="481"/>
      <c r="P1151" s="9"/>
      <c r="Q1151" s="1435"/>
      <c r="R1151" s="1435"/>
      <c r="S1151" s="1715" t="b">
        <f t="shared" ref="S1151:S1159" si="530">IF(E1151 = "", TRUE, FALSE)</f>
        <v>0</v>
      </c>
      <c r="AN1151" s="618"/>
      <c r="AO1151" s="1121" t="b">
        <f t="shared" si="529"/>
        <v>0</v>
      </c>
      <c r="AP1151" s="1135"/>
    </row>
    <row r="1152" spans="1:42" s="562" customFormat="1">
      <c r="A1152" s="618"/>
      <c r="D1152" s="582">
        <f t="shared" ref="D1152:D1159" si="531">D1151+1</f>
        <v>3</v>
      </c>
      <c r="E1152" s="3345" t="str">
        <f>c_ALR2025!E6663</f>
        <v/>
      </c>
      <c r="F1152" s="3347"/>
      <c r="G1152" s="1718" t="str">
        <f>c_ALR2025!G6663</f>
        <v/>
      </c>
      <c r="H1152" s="1719" t="str">
        <f>c_ALR2025!M6663</f>
        <v/>
      </c>
      <c r="I1152" s="1859"/>
      <c r="J1152" s="1975"/>
      <c r="K1152" s="1677"/>
      <c r="L1152" s="1677"/>
      <c r="M1152" s="1677"/>
      <c r="N1152" s="1677"/>
      <c r="O1152" s="481"/>
      <c r="P1152" s="9"/>
      <c r="Q1152" s="1435"/>
      <c r="R1152" s="1435"/>
      <c r="S1152" s="1715" t="b">
        <f t="shared" si="530"/>
        <v>1</v>
      </c>
      <c r="AN1152" s="618"/>
      <c r="AO1152" s="1121" t="b">
        <f t="shared" si="529"/>
        <v>0</v>
      </c>
      <c r="AP1152" s="1135"/>
    </row>
    <row r="1153" spans="1:42" s="562" customFormat="1">
      <c r="A1153" s="618"/>
      <c r="D1153" s="582">
        <f t="shared" si="531"/>
        <v>4</v>
      </c>
      <c r="E1153" s="3345" t="str">
        <f>c_ALR2025!E6664</f>
        <v/>
      </c>
      <c r="F1153" s="3347"/>
      <c r="G1153" s="1718" t="str">
        <f>c_ALR2025!G6664</f>
        <v/>
      </c>
      <c r="H1153" s="1719" t="str">
        <f>c_ALR2025!M6664</f>
        <v/>
      </c>
      <c r="I1153" s="1859"/>
      <c r="J1153" s="1975"/>
      <c r="K1153" s="1677"/>
      <c r="L1153" s="1677"/>
      <c r="M1153" s="1677"/>
      <c r="N1153" s="1677"/>
      <c r="O1153" s="481"/>
      <c r="P1153" s="9"/>
      <c r="Q1153" s="1435"/>
      <c r="R1153" s="1435"/>
      <c r="S1153" s="1715" t="b">
        <f t="shared" si="530"/>
        <v>1</v>
      </c>
      <c r="AN1153" s="618"/>
      <c r="AO1153" s="1121" t="b">
        <f t="shared" si="529"/>
        <v>0</v>
      </c>
      <c r="AP1153" s="1135"/>
    </row>
    <row r="1154" spans="1:42" s="562" customFormat="1">
      <c r="A1154" s="618"/>
      <c r="D1154" s="582">
        <f t="shared" si="531"/>
        <v>5</v>
      </c>
      <c r="E1154" s="3345" t="str">
        <f>c_ALR2025!E6665</f>
        <v/>
      </c>
      <c r="F1154" s="3347"/>
      <c r="G1154" s="1718" t="str">
        <f>c_ALR2025!G6665</f>
        <v/>
      </c>
      <c r="H1154" s="1719" t="str">
        <f>c_ALR2025!M6665</f>
        <v/>
      </c>
      <c r="I1154" s="1859"/>
      <c r="J1154" s="1975"/>
      <c r="K1154" s="1677"/>
      <c r="L1154" s="1677"/>
      <c r="M1154" s="1677"/>
      <c r="N1154" s="1677"/>
      <c r="O1154" s="481"/>
      <c r="P1154" s="9"/>
      <c r="Q1154" s="1435"/>
      <c r="R1154" s="1435"/>
      <c r="S1154" s="1715" t="b">
        <f t="shared" si="530"/>
        <v>1</v>
      </c>
      <c r="AN1154" s="618"/>
      <c r="AO1154" s="1121" t="b">
        <f t="shared" si="529"/>
        <v>0</v>
      </c>
      <c r="AP1154" s="1135"/>
    </row>
    <row r="1155" spans="1:42" s="562" customFormat="1">
      <c r="A1155" s="618"/>
      <c r="D1155" s="582">
        <f t="shared" si="531"/>
        <v>6</v>
      </c>
      <c r="E1155" s="3345" t="str">
        <f>c_ALR2025!E6666</f>
        <v/>
      </c>
      <c r="F1155" s="3347"/>
      <c r="G1155" s="1718" t="str">
        <f>c_ALR2025!G6666</f>
        <v/>
      </c>
      <c r="H1155" s="1719" t="str">
        <f>c_ALR2025!M6666</f>
        <v/>
      </c>
      <c r="I1155" s="1859"/>
      <c r="J1155" s="1975"/>
      <c r="K1155" s="1677"/>
      <c r="L1155" s="1677"/>
      <c r="M1155" s="1677"/>
      <c r="N1155" s="1677"/>
      <c r="O1155" s="481"/>
      <c r="P1155" s="9"/>
      <c r="Q1155" s="1435"/>
      <c r="R1155" s="1435"/>
      <c r="S1155" s="1715" t="b">
        <f t="shared" si="530"/>
        <v>1</v>
      </c>
      <c r="AN1155" s="618"/>
      <c r="AO1155" s="1121" t="b">
        <f t="shared" si="529"/>
        <v>0</v>
      </c>
      <c r="AP1155" s="1135"/>
    </row>
    <row r="1156" spans="1:42" s="562" customFormat="1">
      <c r="A1156" s="618"/>
      <c r="D1156" s="582">
        <f t="shared" si="531"/>
        <v>7</v>
      </c>
      <c r="E1156" s="3345" t="str">
        <f>c_ALR2025!E6667</f>
        <v/>
      </c>
      <c r="F1156" s="3347"/>
      <c r="G1156" s="1718" t="str">
        <f>c_ALR2025!G6667</f>
        <v/>
      </c>
      <c r="H1156" s="1719" t="str">
        <f>c_ALR2025!M6667</f>
        <v/>
      </c>
      <c r="I1156" s="1859"/>
      <c r="J1156" s="1975"/>
      <c r="K1156" s="1677"/>
      <c r="L1156" s="1677"/>
      <c r="M1156" s="1677"/>
      <c r="N1156" s="1677"/>
      <c r="O1156" s="481"/>
      <c r="P1156" s="9"/>
      <c r="Q1156" s="1435"/>
      <c r="R1156" s="1435"/>
      <c r="S1156" s="1715" t="b">
        <f t="shared" si="530"/>
        <v>1</v>
      </c>
      <c r="AN1156" s="618"/>
      <c r="AO1156" s="1121" t="b">
        <f t="shared" si="529"/>
        <v>0</v>
      </c>
      <c r="AP1156" s="1135"/>
    </row>
    <row r="1157" spans="1:42" s="562" customFormat="1">
      <c r="A1157" s="618"/>
      <c r="D1157" s="582">
        <f t="shared" si="531"/>
        <v>8</v>
      </c>
      <c r="E1157" s="3345" t="str">
        <f>c_ALR2025!E6668</f>
        <v/>
      </c>
      <c r="F1157" s="3347"/>
      <c r="G1157" s="1718" t="str">
        <f>c_ALR2025!G6668</f>
        <v/>
      </c>
      <c r="H1157" s="1719" t="str">
        <f>c_ALR2025!M6668</f>
        <v/>
      </c>
      <c r="I1157" s="1859"/>
      <c r="J1157" s="1975"/>
      <c r="K1157" s="1677"/>
      <c r="L1157" s="1677"/>
      <c r="M1157" s="1677"/>
      <c r="N1157" s="1677"/>
      <c r="O1157" s="481"/>
      <c r="P1157" s="9"/>
      <c r="Q1157" s="1435"/>
      <c r="R1157" s="1435"/>
      <c r="S1157" s="1715" t="b">
        <f t="shared" si="530"/>
        <v>1</v>
      </c>
      <c r="AN1157" s="618"/>
      <c r="AO1157" s="1121" t="b">
        <f t="shared" si="529"/>
        <v>0</v>
      </c>
      <c r="AP1157" s="1135"/>
    </row>
    <row r="1158" spans="1:42" s="562" customFormat="1">
      <c r="A1158" s="618"/>
      <c r="D1158" s="582">
        <f t="shared" si="531"/>
        <v>9</v>
      </c>
      <c r="E1158" s="3345" t="str">
        <f>c_ALR2025!E6669</f>
        <v/>
      </c>
      <c r="F1158" s="3347"/>
      <c r="G1158" s="1718" t="str">
        <f>c_ALR2025!G6669</f>
        <v/>
      </c>
      <c r="H1158" s="1719" t="str">
        <f>c_ALR2025!M6669</f>
        <v/>
      </c>
      <c r="I1158" s="1859"/>
      <c r="J1158" s="1975"/>
      <c r="K1158" s="1677"/>
      <c r="L1158" s="1677"/>
      <c r="M1158" s="1677"/>
      <c r="N1158" s="1677"/>
      <c r="O1158" s="481"/>
      <c r="P1158" s="9"/>
      <c r="Q1158" s="1435"/>
      <c r="R1158" s="1435"/>
      <c r="S1158" s="1715" t="b">
        <f t="shared" si="530"/>
        <v>1</v>
      </c>
      <c r="AN1158" s="618"/>
      <c r="AO1158" s="1121" t="b">
        <f t="shared" si="529"/>
        <v>0</v>
      </c>
      <c r="AP1158" s="1135"/>
    </row>
    <row r="1159" spans="1:42" s="562" customFormat="1">
      <c r="A1159" s="618"/>
      <c r="D1159" s="584">
        <f t="shared" si="531"/>
        <v>10</v>
      </c>
      <c r="E1159" s="3343" t="str">
        <f>c_ALR2025!E6670</f>
        <v/>
      </c>
      <c r="F1159" s="3344"/>
      <c r="G1159" s="1721" t="str">
        <f>c_ALR2025!G6670</f>
        <v/>
      </c>
      <c r="H1159" s="1722" t="str">
        <f>c_ALR2025!M6670</f>
        <v/>
      </c>
      <c r="I1159" s="1860"/>
      <c r="J1159" s="1975"/>
      <c r="K1159" s="1677"/>
      <c r="L1159" s="1677"/>
      <c r="M1159" s="1677"/>
      <c r="N1159" s="1677"/>
      <c r="O1159" s="481"/>
      <c r="P1159" s="9"/>
      <c r="Q1159" s="1435"/>
      <c r="R1159" s="1435"/>
      <c r="S1159" s="1715" t="b">
        <f t="shared" si="530"/>
        <v>1</v>
      </c>
      <c r="AN1159" s="618"/>
      <c r="AO1159" s="1121" t="b">
        <f t="shared" si="529"/>
        <v>0</v>
      </c>
      <c r="AP1159" s="1135"/>
    </row>
    <row r="1160" spans="1:42" s="562" customFormat="1">
      <c r="A1160" s="618"/>
      <c r="D1160" s="579">
        <v>1</v>
      </c>
      <c r="E1160" s="3352" t="str">
        <f>IF(ISBLANK(H1136),"",H1136)</f>
        <v/>
      </c>
      <c r="F1160" s="3352"/>
      <c r="G1160" s="2001"/>
      <c r="H1160" s="1978"/>
      <c r="I1160" s="1863"/>
      <c r="J1160" s="1975"/>
      <c r="K1160" s="1677"/>
      <c r="L1160" s="1677"/>
      <c r="M1160" s="1677"/>
      <c r="N1160" s="1677"/>
      <c r="O1160" s="481"/>
      <c r="P1160" s="9"/>
      <c r="Q1160" s="1435"/>
      <c r="R1160" s="1435"/>
      <c r="S1160" s="1715" t="b">
        <f>IF(AND(S1150 = TRUE, E1160 &lt;&gt; ""),FALSE, TRUE)</f>
        <v>1</v>
      </c>
      <c r="AN1160" s="618"/>
      <c r="AO1160" s="1121" t="b">
        <f t="shared" si="529"/>
        <v>0</v>
      </c>
      <c r="AP1160" s="1135"/>
    </row>
    <row r="1161" spans="1:42" s="562" customFormat="1">
      <c r="A1161" s="618"/>
      <c r="D1161" s="582">
        <f>D1160+1</f>
        <v>2</v>
      </c>
      <c r="E1161" s="3348" t="str">
        <f t="shared" ref="E1161:E1169" si="532">IF(ISBLANK(H1137),"",H1137)</f>
        <v/>
      </c>
      <c r="F1161" s="3349"/>
      <c r="G1161" s="1865"/>
      <c r="H1161" s="1724"/>
      <c r="I1161" s="1859"/>
      <c r="J1161" s="1975"/>
      <c r="K1161" s="1677"/>
      <c r="L1161" s="1677"/>
      <c r="M1161" s="1677"/>
      <c r="N1161" s="1677"/>
      <c r="O1161" s="481"/>
      <c r="P1161" s="9"/>
      <c r="Q1161" s="1435"/>
      <c r="R1161" s="1435"/>
      <c r="S1161" s="1715" t="b">
        <f t="shared" ref="S1161:S1169" si="533">IF(AND(S1151 = TRUE, E1161 &lt;&gt; ""),FALSE, TRUE)</f>
        <v>1</v>
      </c>
      <c r="AN1161" s="618"/>
      <c r="AO1161" s="1121" t="b">
        <f t="shared" si="529"/>
        <v>0</v>
      </c>
      <c r="AP1161" s="1135"/>
    </row>
    <row r="1162" spans="1:42" s="562" customFormat="1">
      <c r="A1162" s="618"/>
      <c r="D1162" s="582">
        <f t="shared" ref="D1162:D1169" si="534">D1161+1</f>
        <v>3</v>
      </c>
      <c r="E1162" s="3348" t="str">
        <f t="shared" si="532"/>
        <v/>
      </c>
      <c r="F1162" s="3349"/>
      <c r="G1162" s="1865"/>
      <c r="H1162" s="1724"/>
      <c r="I1162" s="1859"/>
      <c r="J1162" s="1975"/>
      <c r="K1162" s="1677"/>
      <c r="L1162" s="1677"/>
      <c r="M1162" s="1677"/>
      <c r="N1162" s="1677"/>
      <c r="O1162" s="481"/>
      <c r="P1162" s="9"/>
      <c r="Q1162" s="1435"/>
      <c r="R1162" s="1435"/>
      <c r="S1162" s="1715" t="b">
        <f t="shared" si="533"/>
        <v>1</v>
      </c>
      <c r="AN1162" s="618"/>
      <c r="AO1162" s="1121" t="b">
        <f t="shared" si="529"/>
        <v>0</v>
      </c>
      <c r="AP1162" s="1135"/>
    </row>
    <row r="1163" spans="1:42" s="562" customFormat="1">
      <c r="A1163" s="618"/>
      <c r="D1163" s="582">
        <f t="shared" si="534"/>
        <v>4</v>
      </c>
      <c r="E1163" s="3348" t="str">
        <f t="shared" si="532"/>
        <v/>
      </c>
      <c r="F1163" s="3349"/>
      <c r="G1163" s="1865"/>
      <c r="H1163" s="1724"/>
      <c r="I1163" s="1859"/>
      <c r="J1163" s="1975"/>
      <c r="K1163" s="1677"/>
      <c r="L1163" s="1677"/>
      <c r="M1163" s="1677"/>
      <c r="N1163" s="1677"/>
      <c r="O1163" s="481"/>
      <c r="P1163" s="9"/>
      <c r="Q1163" s="1435"/>
      <c r="R1163" s="1435"/>
      <c r="S1163" s="1715" t="b">
        <f t="shared" si="533"/>
        <v>1</v>
      </c>
      <c r="AN1163" s="618"/>
      <c r="AO1163" s="1121" t="b">
        <f t="shared" si="529"/>
        <v>0</v>
      </c>
      <c r="AP1163" s="1135"/>
    </row>
    <row r="1164" spans="1:42" s="562" customFormat="1">
      <c r="A1164" s="618"/>
      <c r="D1164" s="582">
        <f t="shared" si="534"/>
        <v>5</v>
      </c>
      <c r="E1164" s="3348" t="str">
        <f t="shared" si="532"/>
        <v/>
      </c>
      <c r="F1164" s="3349"/>
      <c r="G1164" s="1865"/>
      <c r="H1164" s="1724"/>
      <c r="I1164" s="1859"/>
      <c r="J1164" s="1975"/>
      <c r="K1164" s="1677"/>
      <c r="L1164" s="1677"/>
      <c r="M1164" s="1677"/>
      <c r="N1164" s="1677"/>
      <c r="O1164" s="481"/>
      <c r="P1164" s="9"/>
      <c r="Q1164" s="1435"/>
      <c r="R1164" s="1435"/>
      <c r="S1164" s="1715" t="b">
        <f t="shared" si="533"/>
        <v>1</v>
      </c>
      <c r="AN1164" s="618"/>
      <c r="AO1164" s="1121" t="b">
        <f t="shared" si="529"/>
        <v>0</v>
      </c>
      <c r="AP1164" s="1135"/>
    </row>
    <row r="1165" spans="1:42" s="562" customFormat="1">
      <c r="A1165" s="618"/>
      <c r="D1165" s="582">
        <f t="shared" si="534"/>
        <v>6</v>
      </c>
      <c r="E1165" s="3348" t="str">
        <f t="shared" si="532"/>
        <v/>
      </c>
      <c r="F1165" s="3349"/>
      <c r="G1165" s="1865"/>
      <c r="H1165" s="1724"/>
      <c r="I1165" s="1859"/>
      <c r="J1165" s="1975"/>
      <c r="K1165" s="1677"/>
      <c r="L1165" s="1677"/>
      <c r="M1165" s="1677"/>
      <c r="N1165" s="1677"/>
      <c r="O1165" s="481"/>
      <c r="P1165" s="9"/>
      <c r="Q1165" s="1435"/>
      <c r="R1165" s="1435"/>
      <c r="S1165" s="1715" t="b">
        <f t="shared" si="533"/>
        <v>1</v>
      </c>
      <c r="AN1165" s="618"/>
      <c r="AO1165" s="1121" t="b">
        <f t="shared" si="529"/>
        <v>0</v>
      </c>
      <c r="AP1165" s="1135"/>
    </row>
    <row r="1166" spans="1:42" s="562" customFormat="1">
      <c r="A1166" s="618"/>
      <c r="D1166" s="582">
        <f t="shared" si="534"/>
        <v>7</v>
      </c>
      <c r="E1166" s="3348" t="str">
        <f t="shared" si="532"/>
        <v/>
      </c>
      <c r="F1166" s="3349"/>
      <c r="G1166" s="1865"/>
      <c r="H1166" s="1724"/>
      <c r="I1166" s="1859"/>
      <c r="J1166" s="1975"/>
      <c r="K1166" s="1677"/>
      <c r="L1166" s="1677"/>
      <c r="M1166" s="1677"/>
      <c r="N1166" s="1677"/>
      <c r="O1166" s="481"/>
      <c r="P1166" s="9"/>
      <c r="Q1166" s="1435"/>
      <c r="R1166" s="1435"/>
      <c r="S1166" s="1715" t="b">
        <f t="shared" si="533"/>
        <v>1</v>
      </c>
      <c r="AN1166" s="618"/>
      <c r="AO1166" s="1121" t="b">
        <f t="shared" si="529"/>
        <v>0</v>
      </c>
      <c r="AP1166" s="1135"/>
    </row>
    <row r="1167" spans="1:42" s="562" customFormat="1">
      <c r="A1167" s="618"/>
      <c r="D1167" s="582">
        <f t="shared" si="534"/>
        <v>8</v>
      </c>
      <c r="E1167" s="3348" t="str">
        <f t="shared" si="532"/>
        <v/>
      </c>
      <c r="F1167" s="3349"/>
      <c r="G1167" s="1865"/>
      <c r="H1167" s="1724"/>
      <c r="I1167" s="1859"/>
      <c r="J1167" s="1975"/>
      <c r="K1167" s="1677"/>
      <c r="L1167" s="1677"/>
      <c r="M1167" s="1677"/>
      <c r="N1167" s="1677"/>
      <c r="O1167" s="481"/>
      <c r="P1167" s="9"/>
      <c r="Q1167" s="1435"/>
      <c r="R1167" s="1435"/>
      <c r="S1167" s="1715" t="b">
        <f t="shared" si="533"/>
        <v>1</v>
      </c>
      <c r="AN1167" s="618"/>
      <c r="AO1167" s="1121" t="b">
        <f t="shared" si="529"/>
        <v>0</v>
      </c>
      <c r="AP1167" s="1135"/>
    </row>
    <row r="1168" spans="1:42" s="562" customFormat="1">
      <c r="A1168" s="618"/>
      <c r="D1168" s="582">
        <f t="shared" si="534"/>
        <v>9</v>
      </c>
      <c r="E1168" s="3348" t="str">
        <f t="shared" si="532"/>
        <v/>
      </c>
      <c r="F1168" s="3349"/>
      <c r="G1168" s="1865"/>
      <c r="H1168" s="1724"/>
      <c r="I1168" s="1859"/>
      <c r="J1168" s="1975"/>
      <c r="K1168" s="1677"/>
      <c r="L1168" s="1677"/>
      <c r="M1168" s="1677"/>
      <c r="N1168" s="1677"/>
      <c r="O1168" s="481"/>
      <c r="P1168" s="9"/>
      <c r="Q1168" s="1435"/>
      <c r="R1168" s="1435"/>
      <c r="S1168" s="1715" t="b">
        <f t="shared" si="533"/>
        <v>1</v>
      </c>
      <c r="AN1168" s="618"/>
      <c r="AO1168" s="1121" t="b">
        <f t="shared" si="529"/>
        <v>0</v>
      </c>
      <c r="AP1168" s="1135"/>
    </row>
    <row r="1169" spans="1:42" s="562" customFormat="1">
      <c r="A1169" s="618"/>
      <c r="B1169" s="485"/>
      <c r="C1169" s="482"/>
      <c r="D1169" s="584">
        <f t="shared" si="534"/>
        <v>10</v>
      </c>
      <c r="E1169" s="3350" t="str">
        <f t="shared" si="532"/>
        <v/>
      </c>
      <c r="F1169" s="3351"/>
      <c r="G1169" s="1867"/>
      <c r="H1169" s="1725"/>
      <c r="I1169" s="1860"/>
      <c r="J1169" s="1975"/>
      <c r="K1169" s="1677"/>
      <c r="L1169" s="1677"/>
      <c r="M1169" s="1677"/>
      <c r="N1169" s="1677"/>
      <c r="O1169" s="481"/>
      <c r="P1169" s="9"/>
      <c r="Q1169" s="1435"/>
      <c r="R1169" s="1435"/>
      <c r="S1169" s="1726" t="b">
        <f t="shared" si="533"/>
        <v>1</v>
      </c>
      <c r="T1169" s="1435"/>
      <c r="U1169" s="1435"/>
      <c r="V1169" s="1435"/>
      <c r="W1169" s="1435"/>
      <c r="X1169" s="1435"/>
      <c r="Y1169" s="1435"/>
      <c r="Z1169" s="1435"/>
      <c r="AA1169" s="1435"/>
      <c r="AB1169" s="1435"/>
      <c r="AC1169" s="1435"/>
      <c r="AD1169" s="1435"/>
      <c r="AE1169" s="1137"/>
      <c r="AF1169" s="1137"/>
      <c r="AG1169" s="1137"/>
      <c r="AH1169" s="1137"/>
      <c r="AI1169" s="1137"/>
      <c r="AJ1169" s="1137"/>
      <c r="AK1169" s="1137"/>
      <c r="AL1169" s="1137"/>
      <c r="AM1169" s="1137"/>
      <c r="AN1169" s="618"/>
      <c r="AO1169" s="1121" t="b">
        <f t="shared" si="529"/>
        <v>0</v>
      </c>
      <c r="AP1169" s="1135"/>
    </row>
    <row r="1170" spans="1:42" ht="12.75" customHeight="1">
      <c r="A1170" s="618"/>
      <c r="B1170" s="1124"/>
      <c r="C1170" s="484"/>
      <c r="D1170" s="579">
        <v>1</v>
      </c>
      <c r="E1170" s="3416" t="str">
        <f>IF(E1160&lt;&gt; "",E1160,IF(E1150 &lt;&gt; "", E1150,""))</f>
        <v/>
      </c>
      <c r="F1170" s="3331" t="str">
        <f t="shared" ref="F1170:I1170" si="535">IF(F1160&lt;&gt; "",F1160,IF(F1150 &lt;&gt; "", F1150,""))</f>
        <v/>
      </c>
      <c r="G1170" s="961" t="str">
        <f t="shared" si="535"/>
        <v/>
      </c>
      <c r="H1170" s="1729" t="str">
        <f t="shared" si="535"/>
        <v/>
      </c>
      <c r="I1170" s="1729" t="str">
        <f t="shared" si="535"/>
        <v/>
      </c>
      <c r="J1170" s="1979"/>
      <c r="K1170" s="1684"/>
      <c r="L1170" s="1684"/>
      <c r="M1170" s="1684"/>
      <c r="N1170" s="1684"/>
      <c r="O1170" s="481"/>
      <c r="P1170" s="481"/>
      <c r="AO1170" s="1121" t="b">
        <f t="shared" si="529"/>
        <v>0</v>
      </c>
    </row>
    <row r="1171" spans="1:42" ht="12.75" customHeight="1">
      <c r="A1171" s="618"/>
      <c r="B1171" s="1124"/>
      <c r="C1171" s="484"/>
      <c r="D1171" s="582">
        <f>D1170+1</f>
        <v>2</v>
      </c>
      <c r="E1171" s="3348">
        <f t="shared" ref="E1171:I1171" si="536">IF(E1161&lt;&gt; "",E1161,IF(E1151 &lt;&gt; "", E1151,""))</f>
        <v>2</v>
      </c>
      <c r="F1171" s="3349" t="str">
        <f t="shared" si="536"/>
        <v/>
      </c>
      <c r="G1171" s="895" t="str">
        <f t="shared" si="536"/>
        <v/>
      </c>
      <c r="H1171" s="1735" t="str">
        <f t="shared" si="536"/>
        <v/>
      </c>
      <c r="I1171" s="1735" t="str">
        <f t="shared" si="536"/>
        <v/>
      </c>
      <c r="J1171" s="1979"/>
      <c r="K1171" s="1684"/>
      <c r="L1171" s="1684"/>
      <c r="M1171" s="1684"/>
      <c r="N1171" s="1684"/>
      <c r="O1171" s="481"/>
      <c r="P1171" s="481"/>
      <c r="AO1171" s="1121" t="b">
        <f t="shared" si="529"/>
        <v>0</v>
      </c>
    </row>
    <row r="1172" spans="1:42" ht="12.75" customHeight="1">
      <c r="A1172" s="618"/>
      <c r="B1172" s="1124"/>
      <c r="C1172" s="484"/>
      <c r="D1172" s="582">
        <f t="shared" ref="D1172:D1179" si="537">D1171+1</f>
        <v>3</v>
      </c>
      <c r="E1172" s="3348" t="str">
        <f t="shared" ref="E1172:I1172" si="538">IF(E1162&lt;&gt; "",E1162,IF(E1152 &lt;&gt; "", E1152,""))</f>
        <v/>
      </c>
      <c r="F1172" s="3349" t="str">
        <f t="shared" si="538"/>
        <v/>
      </c>
      <c r="G1172" s="895" t="str">
        <f t="shared" si="538"/>
        <v/>
      </c>
      <c r="H1172" s="1735" t="str">
        <f t="shared" si="538"/>
        <v/>
      </c>
      <c r="I1172" s="1735" t="str">
        <f t="shared" si="538"/>
        <v/>
      </c>
      <c r="J1172" s="1979"/>
      <c r="K1172" s="1684"/>
      <c r="L1172" s="1684"/>
      <c r="M1172" s="1684"/>
      <c r="N1172" s="1684"/>
      <c r="O1172" s="481"/>
      <c r="P1172" s="481"/>
      <c r="AO1172" s="1121" t="b">
        <f t="shared" si="529"/>
        <v>0</v>
      </c>
    </row>
    <row r="1173" spans="1:42" ht="12.75" customHeight="1">
      <c r="A1173" s="618"/>
      <c r="B1173" s="1124"/>
      <c r="C1173" s="484"/>
      <c r="D1173" s="582">
        <f t="shared" si="537"/>
        <v>4</v>
      </c>
      <c r="E1173" s="3348" t="str">
        <f t="shared" ref="E1173:I1173" si="539">IF(E1163&lt;&gt; "",E1163,IF(E1153 &lt;&gt; "", E1153,""))</f>
        <v/>
      </c>
      <c r="F1173" s="3349" t="str">
        <f t="shared" si="539"/>
        <v/>
      </c>
      <c r="G1173" s="895" t="str">
        <f t="shared" si="539"/>
        <v/>
      </c>
      <c r="H1173" s="1735" t="str">
        <f t="shared" si="539"/>
        <v/>
      </c>
      <c r="I1173" s="1735" t="str">
        <f t="shared" si="539"/>
        <v/>
      </c>
      <c r="J1173" s="1979"/>
      <c r="K1173" s="1684"/>
      <c r="L1173" s="1684"/>
      <c r="M1173" s="1684"/>
      <c r="N1173" s="1684"/>
      <c r="O1173" s="481"/>
      <c r="P1173" s="481"/>
      <c r="AO1173" s="1121" t="b">
        <f t="shared" si="529"/>
        <v>0</v>
      </c>
    </row>
    <row r="1174" spans="1:42" ht="12.75" customHeight="1">
      <c r="A1174" s="618"/>
      <c r="B1174" s="1124"/>
      <c r="C1174" s="484"/>
      <c r="D1174" s="582">
        <f t="shared" si="537"/>
        <v>5</v>
      </c>
      <c r="E1174" s="3348" t="str">
        <f t="shared" ref="E1174:I1174" si="540">IF(E1164&lt;&gt; "",E1164,IF(E1154 &lt;&gt; "", E1154,""))</f>
        <v/>
      </c>
      <c r="F1174" s="3349" t="str">
        <f t="shared" si="540"/>
        <v/>
      </c>
      <c r="G1174" s="895" t="str">
        <f t="shared" si="540"/>
        <v/>
      </c>
      <c r="H1174" s="1735" t="str">
        <f t="shared" si="540"/>
        <v/>
      </c>
      <c r="I1174" s="1735" t="str">
        <f t="shared" si="540"/>
        <v/>
      </c>
      <c r="J1174" s="1979"/>
      <c r="K1174" s="1684"/>
      <c r="L1174" s="1684"/>
      <c r="M1174" s="1684"/>
      <c r="N1174" s="1684"/>
      <c r="O1174" s="481"/>
      <c r="P1174" s="481"/>
      <c r="AO1174" s="1121" t="b">
        <f t="shared" si="529"/>
        <v>0</v>
      </c>
    </row>
    <row r="1175" spans="1:42" ht="12.75" customHeight="1">
      <c r="A1175" s="618"/>
      <c r="B1175" s="1124"/>
      <c r="C1175" s="484"/>
      <c r="D1175" s="582">
        <f t="shared" si="537"/>
        <v>6</v>
      </c>
      <c r="E1175" s="3348" t="str">
        <f t="shared" ref="E1175:I1175" si="541">IF(E1165&lt;&gt; "",E1165,IF(E1155 &lt;&gt; "", E1155,""))</f>
        <v/>
      </c>
      <c r="F1175" s="3349" t="str">
        <f t="shared" si="541"/>
        <v/>
      </c>
      <c r="G1175" s="895" t="str">
        <f t="shared" si="541"/>
        <v/>
      </c>
      <c r="H1175" s="1735" t="str">
        <f t="shared" si="541"/>
        <v/>
      </c>
      <c r="I1175" s="1735" t="str">
        <f t="shared" si="541"/>
        <v/>
      </c>
      <c r="J1175" s="1979"/>
      <c r="K1175" s="1684"/>
      <c r="L1175" s="1684"/>
      <c r="M1175" s="1684"/>
      <c r="N1175" s="1684"/>
      <c r="O1175" s="481"/>
      <c r="P1175" s="481"/>
      <c r="AO1175" s="1121" t="b">
        <f t="shared" si="529"/>
        <v>0</v>
      </c>
    </row>
    <row r="1176" spans="1:42" ht="12.75" customHeight="1">
      <c r="A1176" s="618"/>
      <c r="B1176" s="1124"/>
      <c r="C1176" s="484"/>
      <c r="D1176" s="582">
        <f t="shared" si="537"/>
        <v>7</v>
      </c>
      <c r="E1176" s="3348" t="str">
        <f t="shared" ref="E1176:I1176" si="542">IF(E1166&lt;&gt; "",E1166,IF(E1156 &lt;&gt; "", E1156,""))</f>
        <v/>
      </c>
      <c r="F1176" s="3349" t="str">
        <f t="shared" si="542"/>
        <v/>
      </c>
      <c r="G1176" s="895" t="str">
        <f t="shared" si="542"/>
        <v/>
      </c>
      <c r="H1176" s="1735" t="str">
        <f t="shared" si="542"/>
        <v/>
      </c>
      <c r="I1176" s="1735" t="str">
        <f t="shared" si="542"/>
        <v/>
      </c>
      <c r="J1176" s="1979"/>
      <c r="K1176" s="1684"/>
      <c r="L1176" s="1684"/>
      <c r="M1176" s="1684"/>
      <c r="N1176" s="1684"/>
      <c r="O1176" s="481"/>
      <c r="P1176" s="481"/>
      <c r="AO1176" s="1121" t="b">
        <f t="shared" si="529"/>
        <v>0</v>
      </c>
    </row>
    <row r="1177" spans="1:42" ht="12.75" customHeight="1">
      <c r="A1177" s="618"/>
      <c r="B1177" s="1124"/>
      <c r="C1177" s="484"/>
      <c r="D1177" s="582">
        <f t="shared" si="537"/>
        <v>8</v>
      </c>
      <c r="E1177" s="3348" t="str">
        <f t="shared" ref="E1177:I1177" si="543">IF(E1167&lt;&gt; "",E1167,IF(E1157 &lt;&gt; "", E1157,""))</f>
        <v/>
      </c>
      <c r="F1177" s="3349" t="str">
        <f t="shared" si="543"/>
        <v/>
      </c>
      <c r="G1177" s="895" t="str">
        <f t="shared" si="543"/>
        <v/>
      </c>
      <c r="H1177" s="1735" t="str">
        <f t="shared" si="543"/>
        <v/>
      </c>
      <c r="I1177" s="1735" t="str">
        <f t="shared" si="543"/>
        <v/>
      </c>
      <c r="J1177" s="1979"/>
      <c r="K1177" s="1684"/>
      <c r="L1177" s="1684"/>
      <c r="M1177" s="1684"/>
      <c r="N1177" s="1684"/>
      <c r="O1177" s="481"/>
      <c r="P1177" s="481"/>
      <c r="AO1177" s="1121" t="b">
        <f t="shared" si="529"/>
        <v>0</v>
      </c>
    </row>
    <row r="1178" spans="1:42" ht="12.75" customHeight="1">
      <c r="A1178" s="618"/>
      <c r="B1178" s="1124"/>
      <c r="C1178" s="484"/>
      <c r="D1178" s="582">
        <f t="shared" si="537"/>
        <v>9</v>
      </c>
      <c r="E1178" s="3348" t="str">
        <f t="shared" ref="E1178:I1178" si="544">IF(E1168&lt;&gt; "",E1168,IF(E1158 &lt;&gt; "", E1158,""))</f>
        <v/>
      </c>
      <c r="F1178" s="3349" t="str">
        <f t="shared" si="544"/>
        <v/>
      </c>
      <c r="G1178" s="895" t="str">
        <f t="shared" si="544"/>
        <v/>
      </c>
      <c r="H1178" s="1735" t="str">
        <f t="shared" si="544"/>
        <v/>
      </c>
      <c r="I1178" s="1735" t="str">
        <f t="shared" si="544"/>
        <v/>
      </c>
      <c r="J1178" s="1979"/>
      <c r="K1178" s="1684"/>
      <c r="L1178" s="1684"/>
      <c r="M1178" s="1684"/>
      <c r="N1178" s="1684"/>
      <c r="O1178" s="481"/>
      <c r="P1178" s="481"/>
      <c r="AO1178" s="1121" t="b">
        <f t="shared" si="529"/>
        <v>0</v>
      </c>
    </row>
    <row r="1179" spans="1:42" ht="12.75" customHeight="1">
      <c r="A1179" s="618"/>
      <c r="B1179" s="1124"/>
      <c r="C1179" s="484"/>
      <c r="D1179" s="584">
        <f t="shared" si="537"/>
        <v>10</v>
      </c>
      <c r="E1179" s="3350" t="str">
        <f t="shared" ref="E1179:I1179" si="545">IF(E1169&lt;&gt; "",E1169,IF(E1159 &lt;&gt; "", E1159,""))</f>
        <v/>
      </c>
      <c r="F1179" s="3351" t="str">
        <f t="shared" si="545"/>
        <v/>
      </c>
      <c r="G1179" s="968" t="str">
        <f t="shared" si="545"/>
        <v/>
      </c>
      <c r="H1179" s="1806" t="str">
        <f t="shared" si="545"/>
        <v/>
      </c>
      <c r="I1179" s="1806" t="str">
        <f t="shared" si="545"/>
        <v/>
      </c>
      <c r="J1179" s="1979"/>
      <c r="K1179" s="1684"/>
      <c r="L1179" s="1684"/>
      <c r="M1179" s="1684"/>
      <c r="N1179" s="1684"/>
      <c r="O1179" s="481"/>
      <c r="P1179" s="481"/>
      <c r="AO1179" s="1121" t="b">
        <f t="shared" si="529"/>
        <v>0</v>
      </c>
    </row>
    <row r="1180" spans="1:42" ht="12.75" customHeight="1">
      <c r="A1180" s="618"/>
      <c r="B1180" s="1124"/>
      <c r="C1180" s="485"/>
      <c r="D1180" s="971"/>
      <c r="E1180" s="2778" t="s">
        <v>921</v>
      </c>
      <c r="F1180" s="2410"/>
      <c r="G1180" s="1881"/>
      <c r="H1180" s="605" t="str">
        <f t="shared" ref="H1180:N1180" si="546">IF(COUNT(H1170:H1179)&gt;0,SUM(H1170:H1179),"")</f>
        <v/>
      </c>
      <c r="I1180" s="605" t="str">
        <f t="shared" si="546"/>
        <v/>
      </c>
      <c r="J1180" s="1979" t="str">
        <f t="shared" si="546"/>
        <v/>
      </c>
      <c r="K1180" s="1684" t="str">
        <f t="shared" si="546"/>
        <v/>
      </c>
      <c r="L1180" s="1684" t="str">
        <f t="shared" si="546"/>
        <v/>
      </c>
      <c r="M1180" s="1684" t="str">
        <f t="shared" si="546"/>
        <v/>
      </c>
      <c r="N1180" s="1684" t="str">
        <f t="shared" si="546"/>
        <v/>
      </c>
      <c r="O1180" s="481"/>
      <c r="P1180" s="481"/>
      <c r="AO1180" s="1121" t="b">
        <f t="shared" si="529"/>
        <v>0</v>
      </c>
    </row>
    <row r="1181" spans="1:42" ht="25.5" customHeight="1">
      <c r="A1181" s="618"/>
      <c r="B1181" s="1124"/>
      <c r="C1181" s="1124"/>
      <c r="D1181" s="1124"/>
      <c r="E1181" s="1124"/>
      <c r="F1181" s="1124"/>
      <c r="G1181" s="1124"/>
      <c r="H1181" s="1124"/>
      <c r="I1181" s="1124"/>
      <c r="J1181" s="1124"/>
      <c r="K1181" s="1124"/>
      <c r="L1181" s="1124"/>
      <c r="M1181" s="1124"/>
      <c r="N1181" s="1124"/>
      <c r="O1181" s="481"/>
      <c r="P1181" s="481"/>
    </row>
    <row r="1182" spans="1:42" ht="12.75" customHeight="1">
      <c r="B1182" s="1124"/>
      <c r="C1182" s="1124"/>
      <c r="D1182" s="3184" t="s">
        <v>1014</v>
      </c>
      <c r="E1182" s="3184"/>
      <c r="F1182" s="3184"/>
      <c r="G1182" s="3184"/>
      <c r="H1182" s="3184"/>
      <c r="I1182" s="3184"/>
      <c r="J1182" s="3184"/>
      <c r="K1182" s="3184"/>
      <c r="L1182" s="3184"/>
      <c r="M1182" s="3184"/>
      <c r="N1182" s="3184"/>
      <c r="O1182" s="481"/>
      <c r="P1182" s="481"/>
    </row>
    <row r="1183" spans="1:42" ht="12.75" customHeight="1">
      <c r="B1183" s="1124"/>
      <c r="C1183" s="1124"/>
      <c r="D1183" s="1124"/>
      <c r="E1183" s="1124"/>
      <c r="F1183" s="1124"/>
      <c r="G1183" s="1124"/>
      <c r="H1183" s="1124"/>
      <c r="I1183" s="1124"/>
      <c r="J1183" s="1124"/>
      <c r="K1183" s="1124"/>
      <c r="L1183" s="1124"/>
      <c r="M1183" s="1124"/>
      <c r="N1183" s="1124"/>
      <c r="O1183" s="481"/>
      <c r="P1183" s="481"/>
    </row>
    <row r="1184" spans="1:42" hidden="1">
      <c r="B1184" s="1198" t="s">
        <v>873</v>
      </c>
      <c r="C1184" s="1198" t="s">
        <v>873</v>
      </c>
      <c r="D1184" s="1198" t="s">
        <v>873</v>
      </c>
      <c r="E1184" s="1198" t="s">
        <v>873</v>
      </c>
      <c r="F1184" s="1198" t="s">
        <v>873</v>
      </c>
      <c r="G1184" s="1198" t="s">
        <v>873</v>
      </c>
      <c r="H1184" s="1198" t="s">
        <v>873</v>
      </c>
      <c r="I1184" s="1198" t="s">
        <v>873</v>
      </c>
      <c r="J1184" s="1198" t="s">
        <v>873</v>
      </c>
      <c r="K1184" s="1198" t="s">
        <v>873</v>
      </c>
      <c r="L1184" s="1198" t="s">
        <v>873</v>
      </c>
      <c r="M1184" s="1198" t="s">
        <v>873</v>
      </c>
      <c r="N1184" s="1198" t="s">
        <v>873</v>
      </c>
      <c r="O1184" s="1198" t="s">
        <v>873</v>
      </c>
      <c r="P1184" s="1198" t="s">
        <v>873</v>
      </c>
      <c r="Q1184" s="1198" t="s">
        <v>873</v>
      </c>
      <c r="R1184" s="1198" t="s">
        <v>873</v>
      </c>
      <c r="S1184" s="1198" t="s">
        <v>873</v>
      </c>
      <c r="T1184" s="1198" t="s">
        <v>873</v>
      </c>
      <c r="U1184" s="1198" t="s">
        <v>873</v>
      </c>
      <c r="V1184" s="1198" t="s">
        <v>873</v>
      </c>
      <c r="W1184" s="1198" t="s">
        <v>873</v>
      </c>
      <c r="X1184" s="1198" t="s">
        <v>873</v>
      </c>
      <c r="Y1184" s="1198" t="s">
        <v>873</v>
      </c>
      <c r="Z1184" s="1198" t="s">
        <v>873</v>
      </c>
      <c r="AA1184" s="1198" t="s">
        <v>873</v>
      </c>
      <c r="AB1184" s="1198" t="s">
        <v>873</v>
      </c>
      <c r="AC1184" s="1198" t="s">
        <v>873</v>
      </c>
      <c r="AD1184" s="1198" t="s">
        <v>873</v>
      </c>
      <c r="AE1184" s="1198" t="s">
        <v>873</v>
      </c>
      <c r="AF1184" s="1198" t="s">
        <v>873</v>
      </c>
      <c r="AG1184" s="1198" t="s">
        <v>873</v>
      </c>
      <c r="AH1184" s="1198" t="s">
        <v>873</v>
      </c>
      <c r="AI1184" s="1198" t="s">
        <v>873</v>
      </c>
      <c r="AJ1184" s="1198" t="s">
        <v>873</v>
      </c>
      <c r="AK1184" s="1198" t="s">
        <v>873</v>
      </c>
      <c r="AL1184" s="1198" t="s">
        <v>873</v>
      </c>
      <c r="AM1184" s="1198" t="s">
        <v>873</v>
      </c>
    </row>
    <row r="1186" spans="2:15" ht="13.5" hidden="1" thickBot="1">
      <c r="B1186" s="1198"/>
      <c r="C1186" s="1198"/>
      <c r="D1186" s="1503" t="s">
        <v>874</v>
      </c>
      <c r="E1186" s="1198"/>
      <c r="F1186" s="1198"/>
      <c r="G1186" s="1198"/>
      <c r="H1186" s="1198"/>
      <c r="I1186" s="1198"/>
      <c r="J1186" s="1198"/>
      <c r="K1186" s="1198"/>
      <c r="L1186" s="1198"/>
      <c r="M1186" s="1198"/>
      <c r="N1186" s="1198"/>
      <c r="O1186" s="1198"/>
    </row>
    <row r="1187" spans="2:15" hidden="1">
      <c r="D1187" s="483"/>
      <c r="E1187" s="1199" t="s">
        <v>545</v>
      </c>
      <c r="F1187" s="1200"/>
      <c r="G1187" s="1200"/>
      <c r="H1187" s="1200"/>
      <c r="I1187" s="1200"/>
      <c r="J1187" s="1200"/>
      <c r="K1187" s="1200"/>
      <c r="L1187" s="1200"/>
      <c r="M1187" s="1200"/>
      <c r="N1187" s="1201"/>
    </row>
    <row r="1188" spans="2:15" hidden="1">
      <c r="E1188" s="1202" t="s">
        <v>877</v>
      </c>
      <c r="F1188" s="1203"/>
      <c r="G1188" s="1203"/>
      <c r="H1188" s="1204"/>
      <c r="I1188" s="1204"/>
      <c r="J1188" s="1204">
        <v>1</v>
      </c>
      <c r="K1188" s="1204">
        <v>2</v>
      </c>
      <c r="L1188" s="1204">
        <v>3</v>
      </c>
      <c r="M1188" s="1204">
        <v>4</v>
      </c>
      <c r="N1188" s="1204">
        <v>5</v>
      </c>
    </row>
    <row r="1189" spans="2:15" hidden="1">
      <c r="E1189" s="1206" t="s">
        <v>1132</v>
      </c>
      <c r="F1189" s="1203"/>
      <c r="G1189" s="1203"/>
      <c r="H1189" s="1204">
        <f>A_InstallationData!H414</f>
        <v>2019</v>
      </c>
      <c r="I1189" s="1204">
        <f>A_InstallationData!I414</f>
        <v>2020</v>
      </c>
      <c r="J1189" s="1204">
        <f>A_InstallationData!J414</f>
        <v>2021</v>
      </c>
      <c r="K1189" s="1204">
        <f>A_InstallationData!K414</f>
        <v>2022</v>
      </c>
      <c r="L1189" s="1204">
        <f>A_InstallationData!L414</f>
        <v>2023</v>
      </c>
      <c r="M1189" s="1204">
        <f>A_InstallationData!M414</f>
        <v>2024</v>
      </c>
      <c r="N1189" s="1204">
        <f>A_InstallationData!N414</f>
        <v>2025</v>
      </c>
    </row>
    <row r="1190" spans="2:15" hidden="1">
      <c r="E1190" s="1206" t="s">
        <v>1131</v>
      </c>
      <c r="F1190" s="1207"/>
      <c r="G1190" s="1207"/>
      <c r="H1190" s="1208">
        <f>A_InstallationData!H415</f>
        <v>2024</v>
      </c>
      <c r="I1190" s="1208">
        <f>A_InstallationData!I415</f>
        <v>2025</v>
      </c>
      <c r="J1190" s="1208">
        <f>A_InstallationData!J415</f>
        <v>2026</v>
      </c>
      <c r="K1190" s="1208">
        <f>A_InstallationData!K415</f>
        <v>2027</v>
      </c>
      <c r="L1190" s="1208">
        <f>A_InstallationData!L415</f>
        <v>2028</v>
      </c>
      <c r="M1190" s="1208">
        <f>A_InstallationData!M415</f>
        <v>2029</v>
      </c>
      <c r="N1190" s="1208">
        <f>A_InstallationData!N415</f>
        <v>2030</v>
      </c>
      <c r="O1190" s="1124"/>
    </row>
    <row r="1191" spans="2:15" hidden="1">
      <c r="E1191" s="1206" t="s">
        <v>544</v>
      </c>
      <c r="F1191" s="1207"/>
      <c r="G1191" s="1207"/>
      <c r="H1191" s="1208"/>
      <c r="I1191" s="1208"/>
      <c r="J1191" s="1208"/>
      <c r="K1191" s="1208"/>
      <c r="L1191" s="1208"/>
      <c r="M1191" s="1208"/>
      <c r="N1191" s="1208"/>
    </row>
    <row r="1192" spans="2:15" hidden="1">
      <c r="E1192" s="1206" t="s">
        <v>2541</v>
      </c>
      <c r="F1192" s="1207"/>
      <c r="G1192" s="1207"/>
      <c r="H1192" s="1207"/>
      <c r="I1192" s="1207"/>
      <c r="J1192" s="1207"/>
      <c r="K1192" s="1207"/>
      <c r="L1192" s="1207"/>
      <c r="M1192" s="1207"/>
      <c r="N1192" s="1207"/>
    </row>
    <row r="1193" spans="2:15" ht="13.5" hidden="1" thickBot="1">
      <c r="E1193" s="1212" t="s">
        <v>543</v>
      </c>
      <c r="F1193" s="1213"/>
      <c r="G1193" s="1213"/>
      <c r="H1193" s="1213"/>
      <c r="I1193" s="1213"/>
      <c r="J1193" s="1213"/>
      <c r="K1193" s="1213"/>
      <c r="L1193" s="1213"/>
      <c r="M1193" s="1213"/>
      <c r="N1193" s="1213"/>
    </row>
    <row r="1196" spans="2:15" hidden="1">
      <c r="E1196" s="1116" t="s">
        <v>795</v>
      </c>
    </row>
    <row r="1197" spans="2:15" hidden="1">
      <c r="F1197" s="1116" t="s">
        <v>394</v>
      </c>
      <c r="G1197" s="1245" t="b">
        <f t="shared" ref="G1197:G1203" si="547">(COUNTIF($AL$11:$AL$1184,EUconst_Error&amp;F1197)&gt;0)</f>
        <v>0</v>
      </c>
    </row>
    <row r="1198" spans="2:15" hidden="1">
      <c r="F1198" s="1116" t="s">
        <v>395</v>
      </c>
      <c r="G1198" s="1245" t="b">
        <f t="shared" si="547"/>
        <v>0</v>
      </c>
    </row>
    <row r="1199" spans="2:15" hidden="1">
      <c r="F1199" s="1116" t="s">
        <v>396</v>
      </c>
      <c r="G1199" s="1245" t="b">
        <f t="shared" si="547"/>
        <v>0</v>
      </c>
    </row>
    <row r="1200" spans="2:15" hidden="1">
      <c r="F1200" s="1116" t="s">
        <v>397</v>
      </c>
      <c r="G1200" s="1245" t="b">
        <f t="shared" si="547"/>
        <v>0</v>
      </c>
    </row>
    <row r="1201" spans="3:7" hidden="1">
      <c r="F1201" s="1116" t="s">
        <v>398</v>
      </c>
      <c r="G1201" s="1245" t="b">
        <f t="shared" si="547"/>
        <v>0</v>
      </c>
    </row>
    <row r="1202" spans="3:7" hidden="1">
      <c r="F1202" s="1116" t="s">
        <v>399</v>
      </c>
      <c r="G1202" s="1245" t="b">
        <f t="shared" si="547"/>
        <v>0</v>
      </c>
    </row>
    <row r="1203" spans="3:7" ht="13.5" hidden="1" thickBot="1">
      <c r="F1203" s="618" t="s">
        <v>1240</v>
      </c>
      <c r="G1203" s="1245" t="b">
        <f t="shared" si="547"/>
        <v>0</v>
      </c>
    </row>
    <row r="1204" spans="3:7" ht="13.5" hidden="1" thickBot="1">
      <c r="F1204" s="483" t="s">
        <v>796</v>
      </c>
      <c r="G1204" s="576" t="b">
        <f>OR(G1197:G1203)</f>
        <v>0</v>
      </c>
    </row>
    <row r="1206" spans="3:7" hidden="1">
      <c r="C1206" s="1846">
        <v>8</v>
      </c>
      <c r="D1206" s="618" t="s">
        <v>1522</v>
      </c>
    </row>
  </sheetData>
  <sheetProtection algorithmName="SHA-512" hashValue="U0pTQzcZsYjCI425KXQxRaasf70khlNWWMQdhWp2HtrAstrnyNwLh8R92JQ14kPef7oFZ1EN/O6K7q35qfCVJg==" saltValue="imLPStZcB6kl59EThM/bog==" spinCount="100000" sheet="1" formatCells="0" formatColumns="0" formatRows="0" insertHyperlinks="0"/>
  <mergeCells count="1034">
    <mergeCell ref="I64:L64"/>
    <mergeCell ref="E61:F61"/>
    <mergeCell ref="G61:H61"/>
    <mergeCell ref="E125:N125"/>
    <mergeCell ref="E195:N195"/>
    <mergeCell ref="I292:L292"/>
    <mergeCell ref="E225:F225"/>
    <mergeCell ref="E226:F226"/>
    <mergeCell ref="E227:F227"/>
    <mergeCell ref="E229:F229"/>
    <mergeCell ref="E196:N196"/>
    <mergeCell ref="E211:F211"/>
    <mergeCell ref="F217:N217"/>
    <mergeCell ref="E68:F68"/>
    <mergeCell ref="E242:F242"/>
    <mergeCell ref="G290:H290"/>
    <mergeCell ref="I290:L290"/>
    <mergeCell ref="E289:F289"/>
    <mergeCell ref="G288:H288"/>
    <mergeCell ref="I288:L288"/>
    <mergeCell ref="E291:F291"/>
    <mergeCell ref="E273:N273"/>
    <mergeCell ref="E274:N274"/>
    <mergeCell ref="F276:N276"/>
    <mergeCell ref="F277:N277"/>
    <mergeCell ref="E278:N278"/>
    <mergeCell ref="I289:L289"/>
    <mergeCell ref="D249:H249"/>
    <mergeCell ref="E281:N281"/>
    <mergeCell ref="E282:N282"/>
    <mergeCell ref="E222:N222"/>
    <mergeCell ref="F260:N260"/>
    <mergeCell ref="AO2:AO4"/>
    <mergeCell ref="F189:N189"/>
    <mergeCell ref="E185:N185"/>
    <mergeCell ref="E198:N198"/>
    <mergeCell ref="F186:N186"/>
    <mergeCell ref="G62:H62"/>
    <mergeCell ref="I62:L62"/>
    <mergeCell ref="E63:F63"/>
    <mergeCell ref="G63:H63"/>
    <mergeCell ref="I63:L63"/>
    <mergeCell ref="E231:F231"/>
    <mergeCell ref="E202:F202"/>
    <mergeCell ref="E194:N194"/>
    <mergeCell ref="E241:F241"/>
    <mergeCell ref="E233:F233"/>
    <mergeCell ref="E234:F234"/>
    <mergeCell ref="E239:F239"/>
    <mergeCell ref="F188:N188"/>
    <mergeCell ref="E215:N215"/>
    <mergeCell ref="E212:F212"/>
    <mergeCell ref="I60:L60"/>
    <mergeCell ref="E56:F56"/>
    <mergeCell ref="G56:H56"/>
    <mergeCell ref="I56:L56"/>
    <mergeCell ref="E209:N209"/>
    <mergeCell ref="E197:N197"/>
    <mergeCell ref="E214:N214"/>
    <mergeCell ref="E230:F230"/>
    <mergeCell ref="F220:N220"/>
    <mergeCell ref="E183:N183"/>
    <mergeCell ref="G73:H73"/>
    <mergeCell ref="E81:N81"/>
    <mergeCell ref="E433:N433"/>
    <mergeCell ref="D768:N768"/>
    <mergeCell ref="E151:J151"/>
    <mergeCell ref="E155:J155"/>
    <mergeCell ref="E158:J158"/>
    <mergeCell ref="E159:J159"/>
    <mergeCell ref="E162:J162"/>
    <mergeCell ref="E163:J163"/>
    <mergeCell ref="E164:J164"/>
    <mergeCell ref="E166:J166"/>
    <mergeCell ref="E192:F192"/>
    <mergeCell ref="E177:M177"/>
    <mergeCell ref="F221:N221"/>
    <mergeCell ref="F219:N219"/>
    <mergeCell ref="F190:N190"/>
    <mergeCell ref="E200:N200"/>
    <mergeCell ref="E157:I157"/>
    <mergeCell ref="E179:M179"/>
    <mergeCell ref="E184:N184"/>
    <mergeCell ref="E199:N199"/>
    <mergeCell ref="D175:H175"/>
    <mergeCell ref="E243:F243"/>
    <mergeCell ref="E168:H168"/>
    <mergeCell ref="D173:N173"/>
    <mergeCell ref="E210:N210"/>
    <mergeCell ref="E284:F284"/>
    <mergeCell ref="I291:L291"/>
    <mergeCell ref="E216:N216"/>
    <mergeCell ref="F275:N275"/>
    <mergeCell ref="E255:N255"/>
    <mergeCell ref="E257:F257"/>
    <mergeCell ref="E259:N259"/>
    <mergeCell ref="E279:N279"/>
    <mergeCell ref="E280:N280"/>
    <mergeCell ref="E290:F290"/>
    <mergeCell ref="H1041:L1041"/>
    <mergeCell ref="H1138:L1138"/>
    <mergeCell ref="E1137:G1137"/>
    <mergeCell ref="E1088:N1088"/>
    <mergeCell ref="E292:F292"/>
    <mergeCell ref="G292:H292"/>
    <mergeCell ref="F261:N261"/>
    <mergeCell ref="G670:L670"/>
    <mergeCell ref="G671:L671"/>
    <mergeCell ref="G672:L672"/>
    <mergeCell ref="E746:J746"/>
    <mergeCell ref="E750:J750"/>
    <mergeCell ref="E713:N713"/>
    <mergeCell ref="E754:J754"/>
    <mergeCell ref="E757:J757"/>
    <mergeCell ref="G525:L525"/>
    <mergeCell ref="G526:L526"/>
    <mergeCell ref="G666:L666"/>
    <mergeCell ref="G667:L667"/>
    <mergeCell ref="G668:L668"/>
    <mergeCell ref="G669:L669"/>
    <mergeCell ref="G642:L642"/>
    <mergeCell ref="G663:L663"/>
    <mergeCell ref="E714:N714"/>
    <mergeCell ref="G664:L664"/>
    <mergeCell ref="G665:L665"/>
    <mergeCell ref="D770:H770"/>
    <mergeCell ref="I770:N770"/>
    <mergeCell ref="E721:N721"/>
    <mergeCell ref="H1143:L1143"/>
    <mergeCell ref="E1144:G1144"/>
    <mergeCell ref="H1144:L1144"/>
    <mergeCell ref="E1142:G1142"/>
    <mergeCell ref="G49:H49"/>
    <mergeCell ref="I49:L49"/>
    <mergeCell ref="E50:F50"/>
    <mergeCell ref="G50:H50"/>
    <mergeCell ref="I50:L50"/>
    <mergeCell ref="E51:F51"/>
    <mergeCell ref="G51:H51"/>
    <mergeCell ref="I51:L51"/>
    <mergeCell ref="E52:F52"/>
    <mergeCell ref="G52:H52"/>
    <mergeCell ref="I52:L52"/>
    <mergeCell ref="E53:F53"/>
    <mergeCell ref="G53:H53"/>
    <mergeCell ref="I53:L53"/>
    <mergeCell ref="E54:F54"/>
    <mergeCell ref="G54:H54"/>
    <mergeCell ref="E58:F58"/>
    <mergeCell ref="G58:H58"/>
    <mergeCell ref="I58:L58"/>
    <mergeCell ref="E60:F60"/>
    <mergeCell ref="G60:H60"/>
    <mergeCell ref="G833:L833"/>
    <mergeCell ref="E834:F834"/>
    <mergeCell ref="G834:L834"/>
    <mergeCell ref="E845:F845"/>
    <mergeCell ref="E57:F57"/>
    <mergeCell ref="G57:H57"/>
    <mergeCell ref="I57:L57"/>
    <mergeCell ref="E1179:F1179"/>
    <mergeCell ref="H1145:L1145"/>
    <mergeCell ref="E1147:N1147"/>
    <mergeCell ref="H1139:L1139"/>
    <mergeCell ref="G68:H68"/>
    <mergeCell ref="E169:G169"/>
    <mergeCell ref="E76:F76"/>
    <mergeCell ref="G74:H74"/>
    <mergeCell ref="G76:H76"/>
    <mergeCell ref="F122:N122"/>
    <mergeCell ref="F187:N187"/>
    <mergeCell ref="G59:H59"/>
    <mergeCell ref="I59:L59"/>
    <mergeCell ref="E1178:F1178"/>
    <mergeCell ref="E1136:G1136"/>
    <mergeCell ref="E1138:G1138"/>
    <mergeCell ref="E906:N906"/>
    <mergeCell ref="E1036:G1036"/>
    <mergeCell ref="E1041:G1041"/>
    <mergeCell ref="E1042:G1042"/>
    <mergeCell ref="E1077:F1077"/>
    <mergeCell ref="E1078:F1078"/>
    <mergeCell ref="E1079:F1079"/>
    <mergeCell ref="E1080:F1080"/>
    <mergeCell ref="E1047:N1047"/>
    <mergeCell ref="E1057:F1057"/>
    <mergeCell ref="E1058:F1058"/>
    <mergeCell ref="E1059:F1059"/>
    <mergeCell ref="E1050:F1050"/>
    <mergeCell ref="D1110:N1110"/>
    <mergeCell ref="H1142:L1142"/>
    <mergeCell ref="E1143:G1143"/>
    <mergeCell ref="E1140:G1140"/>
    <mergeCell ref="E1141:G1141"/>
    <mergeCell ref="E1145:G1145"/>
    <mergeCell ref="F1094:N1094"/>
    <mergeCell ref="F1095:N1095"/>
    <mergeCell ref="E1043:G1043"/>
    <mergeCell ref="H1045:L1045"/>
    <mergeCell ref="H1015:L1015"/>
    <mergeCell ref="E1038:G1038"/>
    <mergeCell ref="E764:G764"/>
    <mergeCell ref="M796:N796"/>
    <mergeCell ref="F807:N807"/>
    <mergeCell ref="D818:N818"/>
    <mergeCell ref="E820:N820"/>
    <mergeCell ref="F808:N808"/>
    <mergeCell ref="E821:N821"/>
    <mergeCell ref="G859:L859"/>
    <mergeCell ref="E832:F832"/>
    <mergeCell ref="G832:L832"/>
    <mergeCell ref="E833:F833"/>
    <mergeCell ref="E774:N774"/>
    <mergeCell ref="E775:N775"/>
    <mergeCell ref="E825:N825"/>
    <mergeCell ref="E826:N826"/>
    <mergeCell ref="E827:N827"/>
    <mergeCell ref="E786:F786"/>
    <mergeCell ref="E787:F787"/>
    <mergeCell ref="E777:F777"/>
    <mergeCell ref="E857:F857"/>
    <mergeCell ref="G857:L857"/>
    <mergeCell ref="E858:F858"/>
    <mergeCell ref="G858:L858"/>
    <mergeCell ref="E1180:F1180"/>
    <mergeCell ref="E1049:F1049"/>
    <mergeCell ref="E1070:F1070"/>
    <mergeCell ref="E1071:F1071"/>
    <mergeCell ref="E1072:F1072"/>
    <mergeCell ref="E1073:F1073"/>
    <mergeCell ref="E1074:F1074"/>
    <mergeCell ref="E1149:F1149"/>
    <mergeCell ref="E1170:F1170"/>
    <mergeCell ref="E1171:F1171"/>
    <mergeCell ref="E1172:F1172"/>
    <mergeCell ref="E1173:F1173"/>
    <mergeCell ref="E1174:F1174"/>
    <mergeCell ref="E1175:F1175"/>
    <mergeCell ref="E1176:F1176"/>
    <mergeCell ref="E1177:F1177"/>
    <mergeCell ref="E1112:N1112"/>
    <mergeCell ref="H1140:L1140"/>
    <mergeCell ref="H1141:L1141"/>
    <mergeCell ref="E1075:F1075"/>
    <mergeCell ref="E1076:F1076"/>
    <mergeCell ref="H1115:L1115"/>
    <mergeCell ref="H1136:L1136"/>
    <mergeCell ref="E1090:F1090"/>
    <mergeCell ref="E1092:N1092"/>
    <mergeCell ref="F1093:N1093"/>
    <mergeCell ref="E1055:F1055"/>
    <mergeCell ref="E1139:G1139"/>
    <mergeCell ref="M1083:N1083"/>
    <mergeCell ref="E1121:G1121"/>
    <mergeCell ref="H1121:L1121"/>
    <mergeCell ref="E1122:G1122"/>
    <mergeCell ref="E642:F642"/>
    <mergeCell ref="E715:N715"/>
    <mergeCell ref="F716:N716"/>
    <mergeCell ref="F718:N718"/>
    <mergeCell ref="E670:F670"/>
    <mergeCell ref="E743:G743"/>
    <mergeCell ref="E674:N674"/>
    <mergeCell ref="E675:N675"/>
    <mergeCell ref="E676:N676"/>
    <mergeCell ref="E712:N712"/>
    <mergeCell ref="E664:F664"/>
    <mergeCell ref="G648:L648"/>
    <mergeCell ref="G649:L649"/>
    <mergeCell ref="G650:L650"/>
    <mergeCell ref="G651:L651"/>
    <mergeCell ref="G652:L652"/>
    <mergeCell ref="G653:L653"/>
    <mergeCell ref="E646:F646"/>
    <mergeCell ref="E665:F665"/>
    <mergeCell ref="E666:F666"/>
    <mergeCell ref="E667:F667"/>
    <mergeCell ref="E668:F668"/>
    <mergeCell ref="E902:N902"/>
    <mergeCell ref="F748:I748"/>
    <mergeCell ref="E792:N792"/>
    <mergeCell ref="E835:F835"/>
    <mergeCell ref="G835:L835"/>
    <mergeCell ref="E781:N781"/>
    <mergeCell ref="E753:J753"/>
    <mergeCell ref="G845:L845"/>
    <mergeCell ref="E846:F846"/>
    <mergeCell ref="G846:L846"/>
    <mergeCell ref="E784:F784"/>
    <mergeCell ref="E789:F789"/>
    <mergeCell ref="E790:F790"/>
    <mergeCell ref="E854:F854"/>
    <mergeCell ref="G854:L854"/>
    <mergeCell ref="G850:L850"/>
    <mergeCell ref="E851:F851"/>
    <mergeCell ref="E836:F836"/>
    <mergeCell ref="E855:F855"/>
    <mergeCell ref="G855:L855"/>
    <mergeCell ref="E856:F856"/>
    <mergeCell ref="G856:L856"/>
    <mergeCell ref="G837:L837"/>
    <mergeCell ref="E838:F838"/>
    <mergeCell ref="G838:L838"/>
    <mergeCell ref="G830:L830"/>
    <mergeCell ref="E831:F831"/>
    <mergeCell ref="E824:N824"/>
    <mergeCell ref="E763:H763"/>
    <mergeCell ref="E806:N806"/>
    <mergeCell ref="I797:N797"/>
    <mergeCell ref="E798:N798"/>
    <mergeCell ref="E974:F974"/>
    <mergeCell ref="E976:F976"/>
    <mergeCell ref="E964:F964"/>
    <mergeCell ref="E966:N966"/>
    <mergeCell ref="E967:N967"/>
    <mergeCell ref="I1083:L1083"/>
    <mergeCell ref="E861:N861"/>
    <mergeCell ref="E864:N864"/>
    <mergeCell ref="E1045:G1045"/>
    <mergeCell ref="E970:F970"/>
    <mergeCell ref="E971:F971"/>
    <mergeCell ref="F903:N903"/>
    <mergeCell ref="F904:N904"/>
    <mergeCell ref="F905:N905"/>
    <mergeCell ref="H1036:L1036"/>
    <mergeCell ref="E1024:G1024"/>
    <mergeCell ref="E863:N863"/>
    <mergeCell ref="E959:N959"/>
    <mergeCell ref="H1024:L1024"/>
    <mergeCell ref="H1025:L1025"/>
    <mergeCell ref="E977:F977"/>
    <mergeCell ref="E992:N992"/>
    <mergeCell ref="E985:N985"/>
    <mergeCell ref="E987:N987"/>
    <mergeCell ref="E988:N988"/>
    <mergeCell ref="E968:N968"/>
    <mergeCell ref="E949:J949"/>
    <mergeCell ref="E933:J933"/>
    <mergeCell ref="E937:J937"/>
    <mergeCell ref="E940:J940"/>
    <mergeCell ref="E941:J941"/>
    <mergeCell ref="E944:J944"/>
    <mergeCell ref="E973:F973"/>
    <mergeCell ref="E862:N862"/>
    <mergeCell ref="E943:I943"/>
    <mergeCell ref="E950:H950"/>
    <mergeCell ref="E951:G951"/>
    <mergeCell ref="D955:N955"/>
    <mergeCell ref="E719:N719"/>
    <mergeCell ref="E720:N720"/>
    <mergeCell ref="E752:I752"/>
    <mergeCell ref="E756:I756"/>
    <mergeCell ref="E744:I744"/>
    <mergeCell ref="E853:F853"/>
    <mergeCell ref="G853:L853"/>
    <mergeCell ref="E850:F850"/>
    <mergeCell ref="E945:J945"/>
    <mergeCell ref="E946:J946"/>
    <mergeCell ref="E948:J948"/>
    <mergeCell ref="E901:N901"/>
    <mergeCell ref="E829:F829"/>
    <mergeCell ref="G831:L831"/>
    <mergeCell ref="E930:G930"/>
    <mergeCell ref="E931:I931"/>
    <mergeCell ref="E907:N907"/>
    <mergeCell ref="E908:N908"/>
    <mergeCell ref="E923:N923"/>
    <mergeCell ref="E924:N924"/>
    <mergeCell ref="F809:N809"/>
    <mergeCell ref="I796:L796"/>
    <mergeCell ref="G851:L851"/>
    <mergeCell ref="E852:F852"/>
    <mergeCell ref="G852:L852"/>
    <mergeCell ref="E848:F848"/>
    <mergeCell ref="G836:L836"/>
    <mergeCell ref="E837:F837"/>
    <mergeCell ref="E758:J758"/>
    <mergeCell ref="E759:J759"/>
    <mergeCell ref="E761:J761"/>
    <mergeCell ref="E762:J762"/>
    <mergeCell ref="E772:N772"/>
    <mergeCell ref="E773:N773"/>
    <mergeCell ref="E839:F839"/>
    <mergeCell ref="G839:L839"/>
    <mergeCell ref="E830:F830"/>
    <mergeCell ref="E847:F847"/>
    <mergeCell ref="G847:L847"/>
    <mergeCell ref="E791:N791"/>
    <mergeCell ref="E783:F783"/>
    <mergeCell ref="E780:N780"/>
    <mergeCell ref="E647:F647"/>
    <mergeCell ref="E648:F648"/>
    <mergeCell ref="E677:N677"/>
    <mergeCell ref="G829:L829"/>
    <mergeCell ref="F822:N822"/>
    <mergeCell ref="F823:N823"/>
    <mergeCell ref="E802:N802"/>
    <mergeCell ref="E804:F804"/>
    <mergeCell ref="D796:H796"/>
    <mergeCell ref="E800:N800"/>
    <mergeCell ref="E801:N801"/>
    <mergeCell ref="E736:N736"/>
    <mergeCell ref="E737:N737"/>
    <mergeCell ref="E614:N614"/>
    <mergeCell ref="E574:N574"/>
    <mergeCell ref="E575:N575"/>
    <mergeCell ref="E576:N576"/>
    <mergeCell ref="F577:N577"/>
    <mergeCell ref="F578:N578"/>
    <mergeCell ref="F579:N579"/>
    <mergeCell ref="F580:N580"/>
    <mergeCell ref="F581:N581"/>
    <mergeCell ref="E582:N582"/>
    <mergeCell ref="E583:N583"/>
    <mergeCell ref="E584:M584"/>
    <mergeCell ref="E585:F585"/>
    <mergeCell ref="E586:F586"/>
    <mergeCell ref="E587:F587"/>
    <mergeCell ref="E589:F589"/>
    <mergeCell ref="E590:F590"/>
    <mergeCell ref="E591:F591"/>
    <mergeCell ref="F620:N620"/>
    <mergeCell ref="F621:N621"/>
    <mergeCell ref="F622:N622"/>
    <mergeCell ref="D631:N631"/>
    <mergeCell ref="E633:N633"/>
    <mergeCell ref="G643:L643"/>
    <mergeCell ref="G644:L644"/>
    <mergeCell ref="G645:L645"/>
    <mergeCell ref="G646:L646"/>
    <mergeCell ref="G647:L647"/>
    <mergeCell ref="E613:N613"/>
    <mergeCell ref="E558:N558"/>
    <mergeCell ref="E593:F593"/>
    <mergeCell ref="E594:F594"/>
    <mergeCell ref="E595:F595"/>
    <mergeCell ref="E597:F597"/>
    <mergeCell ref="E598:F598"/>
    <mergeCell ref="E599:F599"/>
    <mergeCell ref="E601:F601"/>
    <mergeCell ref="E602:F602"/>
    <mergeCell ref="E603:F603"/>
    <mergeCell ref="E605:F605"/>
    <mergeCell ref="D609:H609"/>
    <mergeCell ref="I609:L609"/>
    <mergeCell ref="M609:N609"/>
    <mergeCell ref="I610:N610"/>
    <mergeCell ref="E611:N611"/>
    <mergeCell ref="E569:N569"/>
    <mergeCell ref="E570:N570"/>
    <mergeCell ref="E571:F571"/>
    <mergeCell ref="E562:F562"/>
    <mergeCell ref="E563:F563"/>
    <mergeCell ref="D957:H957"/>
    <mergeCell ref="I957:N957"/>
    <mergeCell ref="E527:F527"/>
    <mergeCell ref="E528:F528"/>
    <mergeCell ref="E529:F529"/>
    <mergeCell ref="G529:L529"/>
    <mergeCell ref="E537:M537"/>
    <mergeCell ref="E538:M538"/>
    <mergeCell ref="E539:M539"/>
    <mergeCell ref="E540:M540"/>
    <mergeCell ref="D533:N533"/>
    <mergeCell ref="D535:H535"/>
    <mergeCell ref="I535:N535"/>
    <mergeCell ref="E939:I939"/>
    <mergeCell ref="E544:N544"/>
    <mergeCell ref="E545:N545"/>
    <mergeCell ref="E663:F663"/>
    <mergeCell ref="E615:N615"/>
    <mergeCell ref="E617:F617"/>
    <mergeCell ref="E619:N619"/>
    <mergeCell ref="E662:F662"/>
    <mergeCell ref="G661:L661"/>
    <mergeCell ref="G662:L662"/>
    <mergeCell ref="E643:F643"/>
    <mergeCell ref="E644:F644"/>
    <mergeCell ref="E634:N634"/>
    <mergeCell ref="F635:N635"/>
    <mergeCell ref="F636:N636"/>
    <mergeCell ref="E637:N637"/>
    <mergeCell ref="E638:N638"/>
    <mergeCell ref="E639:N639"/>
    <mergeCell ref="E640:N640"/>
    <mergeCell ref="F549:N549"/>
    <mergeCell ref="E645:F645"/>
    <mergeCell ref="F550:N550"/>
    <mergeCell ref="G524:L524"/>
    <mergeCell ref="G519:L519"/>
    <mergeCell ref="E494:F494"/>
    <mergeCell ref="E496:N496"/>
    <mergeCell ref="F497:N497"/>
    <mergeCell ref="F498:N498"/>
    <mergeCell ref="F499:N499"/>
    <mergeCell ref="D514:N514"/>
    <mergeCell ref="G527:L527"/>
    <mergeCell ref="G528:L528"/>
    <mergeCell ref="E523:F523"/>
    <mergeCell ref="E524:F524"/>
    <mergeCell ref="E516:N516"/>
    <mergeCell ref="E517:N517"/>
    <mergeCell ref="E519:F519"/>
    <mergeCell ref="E520:F520"/>
    <mergeCell ref="G522:L522"/>
    <mergeCell ref="G523:L523"/>
    <mergeCell ref="E565:F565"/>
    <mergeCell ref="E566:F566"/>
    <mergeCell ref="E572:F572"/>
    <mergeCell ref="E541:M541"/>
    <mergeCell ref="E543:N543"/>
    <mergeCell ref="E525:F525"/>
    <mergeCell ref="E526:F526"/>
    <mergeCell ref="E554:N554"/>
    <mergeCell ref="E555:N555"/>
    <mergeCell ref="E556:N556"/>
    <mergeCell ref="E557:N557"/>
    <mergeCell ref="E470:F470"/>
    <mergeCell ref="E471:F471"/>
    <mergeCell ref="E472:F472"/>
    <mergeCell ref="E474:F474"/>
    <mergeCell ref="E475:F475"/>
    <mergeCell ref="E476:F476"/>
    <mergeCell ref="E478:F478"/>
    <mergeCell ref="E479:F479"/>
    <mergeCell ref="E480:F480"/>
    <mergeCell ref="E649:F649"/>
    <mergeCell ref="E650:F650"/>
    <mergeCell ref="E651:F651"/>
    <mergeCell ref="E552:F552"/>
    <mergeCell ref="E559:N559"/>
    <mergeCell ref="E560:N560"/>
    <mergeCell ref="E568:N568"/>
    <mergeCell ref="E482:F482"/>
    <mergeCell ref="D486:H486"/>
    <mergeCell ref="I486:L486"/>
    <mergeCell ref="E521:F521"/>
    <mergeCell ref="E522:F522"/>
    <mergeCell ref="M486:N486"/>
    <mergeCell ref="I487:N487"/>
    <mergeCell ref="E488:N488"/>
    <mergeCell ref="E490:N490"/>
    <mergeCell ref="E491:N491"/>
    <mergeCell ref="G520:L520"/>
    <mergeCell ref="G521:L521"/>
    <mergeCell ref="E492:N492"/>
    <mergeCell ref="F546:N546"/>
    <mergeCell ref="F547:N547"/>
    <mergeCell ref="F548:N548"/>
    <mergeCell ref="E453:N453"/>
    <mergeCell ref="F454:N454"/>
    <mergeCell ref="F455:N455"/>
    <mergeCell ref="F456:N456"/>
    <mergeCell ref="F457:N457"/>
    <mergeCell ref="F458:N458"/>
    <mergeCell ref="E459:N459"/>
    <mergeCell ref="E460:N460"/>
    <mergeCell ref="E461:M461"/>
    <mergeCell ref="E462:F462"/>
    <mergeCell ref="E463:F463"/>
    <mergeCell ref="E464:F464"/>
    <mergeCell ref="E466:F466"/>
    <mergeCell ref="E467:F467"/>
    <mergeCell ref="E468:F468"/>
    <mergeCell ref="I310:L310"/>
    <mergeCell ref="E313:F313"/>
    <mergeCell ref="G313:H313"/>
    <mergeCell ref="I313:L313"/>
    <mergeCell ref="E446:N446"/>
    <mergeCell ref="E447:N447"/>
    <mergeCell ref="E448:F448"/>
    <mergeCell ref="E439:F439"/>
    <mergeCell ref="E440:F440"/>
    <mergeCell ref="E442:F442"/>
    <mergeCell ref="E443:F443"/>
    <mergeCell ref="E449:F449"/>
    <mergeCell ref="E451:N451"/>
    <mergeCell ref="E452:N452"/>
    <mergeCell ref="E388:J388"/>
    <mergeCell ref="E392:J392"/>
    <mergeCell ref="E317:N317"/>
    <mergeCell ref="G284:H284"/>
    <mergeCell ref="I284:L284"/>
    <mergeCell ref="E285:F285"/>
    <mergeCell ref="G285:H285"/>
    <mergeCell ref="G286:H286"/>
    <mergeCell ref="F262:N262"/>
    <mergeCell ref="D271:N271"/>
    <mergeCell ref="E223:N223"/>
    <mergeCell ref="F218:N218"/>
    <mergeCell ref="E203:F203"/>
    <mergeCell ref="E205:F205"/>
    <mergeCell ref="E206:F206"/>
    <mergeCell ref="E208:N208"/>
    <mergeCell ref="E251:N251"/>
    <mergeCell ref="E245:F245"/>
    <mergeCell ref="E418:M418"/>
    <mergeCell ref="E420:N420"/>
    <mergeCell ref="E405:H405"/>
    <mergeCell ref="E406:G406"/>
    <mergeCell ref="D410:N410"/>
    <mergeCell ref="D412:H412"/>
    <mergeCell ref="I412:N412"/>
    <mergeCell ref="E414:M414"/>
    <mergeCell ref="E415:M415"/>
    <mergeCell ref="E404:J404"/>
    <mergeCell ref="E355:N355"/>
    <mergeCell ref="E357:N357"/>
    <mergeCell ref="E356:N356"/>
    <mergeCell ref="F358:N358"/>
    <mergeCell ref="F359:N359"/>
    <mergeCell ref="E362:N362"/>
    <mergeCell ref="E363:N363"/>
    <mergeCell ref="E318:N318"/>
    <mergeCell ref="E416:M416"/>
    <mergeCell ref="E417:M417"/>
    <mergeCell ref="E354:N354"/>
    <mergeCell ref="F360:N360"/>
    <mergeCell ref="E361:N361"/>
    <mergeCell ref="I300:L300"/>
    <mergeCell ref="E378:N378"/>
    <mergeCell ref="E379:N379"/>
    <mergeCell ref="E385:G385"/>
    <mergeCell ref="E395:J395"/>
    <mergeCell ref="E396:J396"/>
    <mergeCell ref="E399:J399"/>
    <mergeCell ref="E400:J400"/>
    <mergeCell ref="E401:J401"/>
    <mergeCell ref="E403:J403"/>
    <mergeCell ref="E398:I398"/>
    <mergeCell ref="E311:F311"/>
    <mergeCell ref="G311:H311"/>
    <mergeCell ref="I311:L311"/>
    <mergeCell ref="E312:F312"/>
    <mergeCell ref="G312:H312"/>
    <mergeCell ref="I312:L312"/>
    <mergeCell ref="E314:F314"/>
    <mergeCell ref="G314:H314"/>
    <mergeCell ref="I314:L314"/>
    <mergeCell ref="E316:N316"/>
    <mergeCell ref="E301:F301"/>
    <mergeCell ref="G301:H301"/>
    <mergeCell ref="I301:L301"/>
    <mergeCell ref="I307:L307"/>
    <mergeCell ref="F390:I390"/>
    <mergeCell ref="H1137:L1137"/>
    <mergeCell ref="E253:N253"/>
    <mergeCell ref="E254:N254"/>
    <mergeCell ref="G289:H289"/>
    <mergeCell ref="G291:H291"/>
    <mergeCell ref="E1012:N1012"/>
    <mergeCell ref="E437:N437"/>
    <mergeCell ref="E445:N445"/>
    <mergeCell ref="E302:F302"/>
    <mergeCell ref="G302:H302"/>
    <mergeCell ref="I302:L302"/>
    <mergeCell ref="E299:F299"/>
    <mergeCell ref="G299:H299"/>
    <mergeCell ref="I299:L299"/>
    <mergeCell ref="E300:F300"/>
    <mergeCell ref="G300:H300"/>
    <mergeCell ref="I285:L285"/>
    <mergeCell ref="E286:F286"/>
    <mergeCell ref="I286:L286"/>
    <mergeCell ref="E287:F287"/>
    <mergeCell ref="G287:H287"/>
    <mergeCell ref="I287:L287"/>
    <mergeCell ref="E288:F288"/>
    <mergeCell ref="I306:L306"/>
    <mergeCell ref="E307:F307"/>
    <mergeCell ref="G307:H307"/>
    <mergeCell ref="G297:H297"/>
    <mergeCell ref="I297:L297"/>
    <mergeCell ref="E386:I386"/>
    <mergeCell ref="E394:I394"/>
    <mergeCell ref="E436:N436"/>
    <mergeCell ref="E319:N319"/>
    <mergeCell ref="E73:F73"/>
    <mergeCell ref="E74:F74"/>
    <mergeCell ref="E80:N80"/>
    <mergeCell ref="E79:N79"/>
    <mergeCell ref="E126:N126"/>
    <mergeCell ref="E296:F296"/>
    <mergeCell ref="G296:H296"/>
    <mergeCell ref="E43:N43"/>
    <mergeCell ref="F23:N23"/>
    <mergeCell ref="F24:N24"/>
    <mergeCell ref="D1010:N1010"/>
    <mergeCell ref="E978:N978"/>
    <mergeCell ref="F993:N993"/>
    <mergeCell ref="E224:M224"/>
    <mergeCell ref="E979:N979"/>
    <mergeCell ref="D983:H983"/>
    <mergeCell ref="E990:F990"/>
    <mergeCell ref="I983:L983"/>
    <mergeCell ref="M983:N983"/>
    <mergeCell ref="E235:F235"/>
    <mergeCell ref="E237:F237"/>
    <mergeCell ref="E238:F238"/>
    <mergeCell ref="I250:N250"/>
    <mergeCell ref="I984:N984"/>
    <mergeCell ref="E306:F306"/>
    <mergeCell ref="G306:H306"/>
    <mergeCell ref="I308:L308"/>
    <mergeCell ref="E309:F309"/>
    <mergeCell ref="G309:H309"/>
    <mergeCell ref="I309:L309"/>
    <mergeCell ref="E310:F310"/>
    <mergeCell ref="G310:H310"/>
    <mergeCell ref="F123:N123"/>
    <mergeCell ref="E180:M180"/>
    <mergeCell ref="E77:F77"/>
    <mergeCell ref="E149:I149"/>
    <mergeCell ref="I175:N175"/>
    <mergeCell ref="E181:M181"/>
    <mergeCell ref="E148:G148"/>
    <mergeCell ref="E142:N142"/>
    <mergeCell ref="E161:I161"/>
    <mergeCell ref="E167:J167"/>
    <mergeCell ref="D1182:N1182"/>
    <mergeCell ref="I68:L68"/>
    <mergeCell ref="I47:L47"/>
    <mergeCell ref="W3:X3"/>
    <mergeCell ref="Q4:R4"/>
    <mergeCell ref="S4:T4"/>
    <mergeCell ref="U4:V4"/>
    <mergeCell ref="W4:X4"/>
    <mergeCell ref="G3:H3"/>
    <mergeCell ref="I3:J3"/>
    <mergeCell ref="K3:L3"/>
    <mergeCell ref="M3:N3"/>
    <mergeCell ref="S3:T3"/>
    <mergeCell ref="M4:N4"/>
    <mergeCell ref="K4:L4"/>
    <mergeCell ref="G4:H4"/>
    <mergeCell ref="I4:J4"/>
    <mergeCell ref="U3:V3"/>
    <mergeCell ref="Q3:R3"/>
    <mergeCell ref="I73:L73"/>
    <mergeCell ref="I74:L74"/>
    <mergeCell ref="E75:F75"/>
    <mergeCell ref="F39:N39"/>
    <mergeCell ref="E117:N117"/>
    <mergeCell ref="E178:M178"/>
    <mergeCell ref="E71:F71"/>
    <mergeCell ref="E20:F20"/>
    <mergeCell ref="E14:N14"/>
    <mergeCell ref="E44:N44"/>
    <mergeCell ref="F40:N40"/>
    <mergeCell ref="D34:N34"/>
    <mergeCell ref="E18:N18"/>
    <mergeCell ref="E36:N36"/>
    <mergeCell ref="E16:N16"/>
    <mergeCell ref="G72:H72"/>
    <mergeCell ref="I72:L72"/>
    <mergeCell ref="G71:H71"/>
    <mergeCell ref="I71:L71"/>
    <mergeCell ref="E41:N41"/>
    <mergeCell ref="E37:N37"/>
    <mergeCell ref="E22:N22"/>
    <mergeCell ref="F153:I153"/>
    <mergeCell ref="G47:H47"/>
    <mergeCell ref="E47:F47"/>
    <mergeCell ref="E55:F55"/>
    <mergeCell ref="E82:N82"/>
    <mergeCell ref="E119:N119"/>
    <mergeCell ref="I75:L75"/>
    <mergeCell ref="I76:L76"/>
    <mergeCell ref="E118:N118"/>
    <mergeCell ref="E120:N120"/>
    <mergeCell ref="G77:H77"/>
    <mergeCell ref="F121:N121"/>
    <mergeCell ref="E124:N124"/>
    <mergeCell ref="P2:P4"/>
    <mergeCell ref="E72:F72"/>
    <mergeCell ref="E70:F70"/>
    <mergeCell ref="I70:L70"/>
    <mergeCell ref="G70:H70"/>
    <mergeCell ref="G69:H69"/>
    <mergeCell ref="I2:J2"/>
    <mergeCell ref="E2:F2"/>
    <mergeCell ref="I12:L12"/>
    <mergeCell ref="M12:N12"/>
    <mergeCell ref="E8:M8"/>
    <mergeCell ref="E4:F4"/>
    <mergeCell ref="D6:N6"/>
    <mergeCell ref="D10:N10"/>
    <mergeCell ref="B2:D4"/>
    <mergeCell ref="G2:H2"/>
    <mergeCell ref="K2:L2"/>
    <mergeCell ref="M2:N2"/>
    <mergeCell ref="E3:F3"/>
    <mergeCell ref="E42:N42"/>
    <mergeCell ref="E45:N45"/>
    <mergeCell ref="E67:F67"/>
    <mergeCell ref="G67:H67"/>
    <mergeCell ref="I67:L67"/>
    <mergeCell ref="E48:F48"/>
    <mergeCell ref="G65:H65"/>
    <mergeCell ref="I65:L65"/>
    <mergeCell ref="E66:F66"/>
    <mergeCell ref="G66:H66"/>
    <mergeCell ref="I66:L66"/>
    <mergeCell ref="I61:L61"/>
    <mergeCell ref="E62:F62"/>
    <mergeCell ref="G48:H48"/>
    <mergeCell ref="I48:L48"/>
    <mergeCell ref="E49:F49"/>
    <mergeCell ref="I54:L54"/>
    <mergeCell ref="E17:N17"/>
    <mergeCell ref="E69:F69"/>
    <mergeCell ref="I69:L69"/>
    <mergeCell ref="D12:H12"/>
    <mergeCell ref="F38:N38"/>
    <mergeCell ref="E298:F298"/>
    <mergeCell ref="G298:H298"/>
    <mergeCell ref="I298:L298"/>
    <mergeCell ref="E293:F293"/>
    <mergeCell ref="G293:H293"/>
    <mergeCell ref="I293:L293"/>
    <mergeCell ref="E294:F294"/>
    <mergeCell ref="G294:H294"/>
    <mergeCell ref="I294:L294"/>
    <mergeCell ref="E295:F295"/>
    <mergeCell ref="G295:H295"/>
    <mergeCell ref="I295:L295"/>
    <mergeCell ref="I296:L296"/>
    <mergeCell ref="E297:F297"/>
    <mergeCell ref="G55:H55"/>
    <mergeCell ref="I55:L55"/>
    <mergeCell ref="I77:L77"/>
    <mergeCell ref="G75:H75"/>
    <mergeCell ref="E141:N141"/>
    <mergeCell ref="E59:F59"/>
    <mergeCell ref="E65:F65"/>
    <mergeCell ref="I13:N13"/>
    <mergeCell ref="F25:N25"/>
    <mergeCell ref="E64:F64"/>
    <mergeCell ref="G64:H64"/>
    <mergeCell ref="I249:L249"/>
    <mergeCell ref="M249:N249"/>
    <mergeCell ref="E661:F661"/>
    <mergeCell ref="G654:L654"/>
    <mergeCell ref="G655:L655"/>
    <mergeCell ref="G656:L656"/>
    <mergeCell ref="G657:L657"/>
    <mergeCell ref="G658:L658"/>
    <mergeCell ref="G659:L659"/>
    <mergeCell ref="E303:F303"/>
    <mergeCell ref="G303:H303"/>
    <mergeCell ref="I303:L303"/>
    <mergeCell ref="E304:F304"/>
    <mergeCell ref="G304:H304"/>
    <mergeCell ref="I304:L304"/>
    <mergeCell ref="E431:N431"/>
    <mergeCell ref="E432:N432"/>
    <mergeCell ref="E434:N434"/>
    <mergeCell ref="E435:N435"/>
    <mergeCell ref="E421:N421"/>
    <mergeCell ref="E422:N422"/>
    <mergeCell ref="F423:N423"/>
    <mergeCell ref="F424:N424"/>
    <mergeCell ref="F425:N425"/>
    <mergeCell ref="E429:F429"/>
    <mergeCell ref="F427:N427"/>
    <mergeCell ref="F426:N426"/>
    <mergeCell ref="E305:F305"/>
    <mergeCell ref="G305:H305"/>
    <mergeCell ref="I305:L305"/>
    <mergeCell ref="E308:F308"/>
    <mergeCell ref="G308:H308"/>
    <mergeCell ref="E1016:G1016"/>
    <mergeCell ref="E1017:G1017"/>
    <mergeCell ref="E1018:G1018"/>
    <mergeCell ref="E1019:G1019"/>
    <mergeCell ref="E1020:G1020"/>
    <mergeCell ref="E1021:G1021"/>
    <mergeCell ref="E1022:G1022"/>
    <mergeCell ref="E1023:G1023"/>
    <mergeCell ref="E658:F658"/>
    <mergeCell ref="E659:F659"/>
    <mergeCell ref="E660:F660"/>
    <mergeCell ref="E655:F655"/>
    <mergeCell ref="E656:F656"/>
    <mergeCell ref="E657:F657"/>
    <mergeCell ref="E652:F652"/>
    <mergeCell ref="E653:F653"/>
    <mergeCell ref="E654:F654"/>
    <mergeCell ref="E1013:N1013"/>
    <mergeCell ref="F994:N994"/>
    <mergeCell ref="F995:N995"/>
    <mergeCell ref="E961:N961"/>
    <mergeCell ref="E962:N962"/>
    <mergeCell ref="E960:N960"/>
    <mergeCell ref="F717:N717"/>
    <mergeCell ref="E669:F669"/>
    <mergeCell ref="E899:N899"/>
    <mergeCell ref="E900:N900"/>
    <mergeCell ref="E671:F671"/>
    <mergeCell ref="E672:F672"/>
    <mergeCell ref="E859:F859"/>
    <mergeCell ref="F935:I935"/>
    <mergeCell ref="G660:L660"/>
    <mergeCell ref="E1026:G1026"/>
    <mergeCell ref="H1026:L1026"/>
    <mergeCell ref="E1027:G1027"/>
    <mergeCell ref="H1027:L1027"/>
    <mergeCell ref="E1028:G1028"/>
    <mergeCell ref="H1028:L1028"/>
    <mergeCell ref="E1029:G1029"/>
    <mergeCell ref="H1029:L1029"/>
    <mergeCell ref="E1030:G1030"/>
    <mergeCell ref="H1030:L1030"/>
    <mergeCell ref="G848:L848"/>
    <mergeCell ref="E849:F849"/>
    <mergeCell ref="G849:L849"/>
    <mergeCell ref="E840:F840"/>
    <mergeCell ref="G840:L840"/>
    <mergeCell ref="E841:F841"/>
    <mergeCell ref="G841:L841"/>
    <mergeCell ref="E842:F842"/>
    <mergeCell ref="G842:L842"/>
    <mergeCell ref="E843:F843"/>
    <mergeCell ref="G843:L843"/>
    <mergeCell ref="E844:F844"/>
    <mergeCell ref="G844:L844"/>
    <mergeCell ref="E1025:G1025"/>
    <mergeCell ref="H1016:L1016"/>
    <mergeCell ref="H1017:L1017"/>
    <mergeCell ref="H1018:L1018"/>
    <mergeCell ref="H1019:L1019"/>
    <mergeCell ref="H1020:L1020"/>
    <mergeCell ref="H1021:L1021"/>
    <mergeCell ref="H1022:L1022"/>
    <mergeCell ref="H1023:L1023"/>
    <mergeCell ref="E1123:G1123"/>
    <mergeCell ref="H1123:L1123"/>
    <mergeCell ref="E1124:G1124"/>
    <mergeCell ref="H1124:L1124"/>
    <mergeCell ref="E1125:G1125"/>
    <mergeCell ref="E1051:F1051"/>
    <mergeCell ref="E1052:F1052"/>
    <mergeCell ref="E1053:F1053"/>
    <mergeCell ref="E1054:F1054"/>
    <mergeCell ref="E1031:G1031"/>
    <mergeCell ref="H1031:L1031"/>
    <mergeCell ref="E1032:G1032"/>
    <mergeCell ref="H1032:L1032"/>
    <mergeCell ref="E1033:G1033"/>
    <mergeCell ref="H1033:L1033"/>
    <mergeCell ref="E1034:G1034"/>
    <mergeCell ref="H1034:L1034"/>
    <mergeCell ref="E1035:G1035"/>
    <mergeCell ref="H1035:L1035"/>
    <mergeCell ref="E1044:G1044"/>
    <mergeCell ref="H1044:L1044"/>
    <mergeCell ref="H1042:L1042"/>
    <mergeCell ref="H1038:L1038"/>
    <mergeCell ref="H1039:L1039"/>
    <mergeCell ref="E1039:G1039"/>
    <mergeCell ref="H1043:L1043"/>
    <mergeCell ref="E1040:G1040"/>
    <mergeCell ref="H1040:L1040"/>
    <mergeCell ref="E1037:G1037"/>
    <mergeCell ref="H1037:L1037"/>
    <mergeCell ref="E1085:N1085"/>
    <mergeCell ref="E1056:F1056"/>
    <mergeCell ref="E1120:G1120"/>
    <mergeCell ref="H1120:L1120"/>
    <mergeCell ref="E1066:F1066"/>
    <mergeCell ref="E1067:F1067"/>
    <mergeCell ref="E1068:F1068"/>
    <mergeCell ref="E1069:F1069"/>
    <mergeCell ref="E1060:F1060"/>
    <mergeCell ref="E1061:F1061"/>
    <mergeCell ref="E1062:F1062"/>
    <mergeCell ref="E1063:F1063"/>
    <mergeCell ref="E1064:F1064"/>
    <mergeCell ref="E1065:F1065"/>
    <mergeCell ref="E1087:N1087"/>
    <mergeCell ref="E1113:N1113"/>
    <mergeCell ref="H1119:L1119"/>
    <mergeCell ref="I1084:N1084"/>
    <mergeCell ref="D1083:H1083"/>
    <mergeCell ref="H1122:L1122"/>
    <mergeCell ref="AP2:AP4"/>
    <mergeCell ref="E1168:F1168"/>
    <mergeCell ref="E1169:F1169"/>
    <mergeCell ref="E1159:F1159"/>
    <mergeCell ref="E1160:F1160"/>
    <mergeCell ref="E1161:F1161"/>
    <mergeCell ref="E1162:F1162"/>
    <mergeCell ref="E1163:F1163"/>
    <mergeCell ref="E1164:F1164"/>
    <mergeCell ref="E1165:F1165"/>
    <mergeCell ref="E1166:F1166"/>
    <mergeCell ref="E1167:F1167"/>
    <mergeCell ref="E1150:F1150"/>
    <mergeCell ref="E1151:F1151"/>
    <mergeCell ref="E1152:F1152"/>
    <mergeCell ref="E1153:F1153"/>
    <mergeCell ref="E1154:F1154"/>
    <mergeCell ref="E1155:F1155"/>
    <mergeCell ref="E1156:F1156"/>
    <mergeCell ref="E1157:F1157"/>
    <mergeCell ref="E1158:F1158"/>
    <mergeCell ref="H1135:L1135"/>
    <mergeCell ref="E1126:G1126"/>
    <mergeCell ref="E1135:G1135"/>
    <mergeCell ref="E1116:G1116"/>
    <mergeCell ref="H1116:L1116"/>
    <mergeCell ref="E1117:G1117"/>
    <mergeCell ref="H1117:L1117"/>
    <mergeCell ref="E1118:G1118"/>
    <mergeCell ref="H1118:L1118"/>
    <mergeCell ref="E1119:G1119"/>
    <mergeCell ref="H1126:L1126"/>
    <mergeCell ref="E1127:G1127"/>
    <mergeCell ref="H1127:L1127"/>
    <mergeCell ref="E1128:G1128"/>
    <mergeCell ref="H1128:L1128"/>
    <mergeCell ref="E1129:G1129"/>
    <mergeCell ref="H1129:L1129"/>
    <mergeCell ref="E1130:G1130"/>
    <mergeCell ref="H1130:L1130"/>
    <mergeCell ref="H1125:L1125"/>
    <mergeCell ref="E1131:G1131"/>
    <mergeCell ref="H1131:L1131"/>
    <mergeCell ref="E1132:G1132"/>
    <mergeCell ref="H1132:L1132"/>
    <mergeCell ref="E1133:G1133"/>
    <mergeCell ref="H1133:L1133"/>
    <mergeCell ref="E1134:G1134"/>
    <mergeCell ref="H1134:L1134"/>
  </mergeCells>
  <phoneticPr fontId="33" type="noConversion"/>
  <conditionalFormatting sqref="C14:N246 C251:N483 C488:N606 C611:N793 C798:N980 C985:N1080 C1085:N1180">
    <cfRule type="expression" dxfId="384" priority="1" stopIfTrue="1">
      <formula>$AO14</formula>
    </cfRule>
  </conditionalFormatting>
  <conditionalFormatting sqref="E58:M67">
    <cfRule type="expression" dxfId="383" priority="11">
      <formula>$S58</formula>
    </cfRule>
  </conditionalFormatting>
  <conditionalFormatting sqref="E295:M304">
    <cfRule type="expression" dxfId="382" priority="10">
      <formula>$S295</formula>
    </cfRule>
  </conditionalFormatting>
  <conditionalFormatting sqref="E653:M662">
    <cfRule type="expression" dxfId="381" priority="9">
      <formula>$S653</formula>
    </cfRule>
  </conditionalFormatting>
  <conditionalFormatting sqref="E840:M849">
    <cfRule type="expression" dxfId="380" priority="8">
      <formula>$S840</formula>
    </cfRule>
  </conditionalFormatting>
  <conditionalFormatting sqref="E1026:M1035">
    <cfRule type="expression" dxfId="379" priority="14">
      <formula>$S1026</formula>
    </cfRule>
  </conditionalFormatting>
  <conditionalFormatting sqref="E1126:M1135">
    <cfRule type="expression" dxfId="378" priority="12">
      <formula>$S1126</formula>
    </cfRule>
  </conditionalFormatting>
  <conditionalFormatting sqref="G1060:G1069">
    <cfRule type="expression" dxfId="377" priority="6">
      <formula>$S1060</formula>
    </cfRule>
  </conditionalFormatting>
  <conditionalFormatting sqref="G1160:G1169">
    <cfRule type="expression" dxfId="376" priority="7">
      <formula>$S1160</formula>
    </cfRule>
  </conditionalFormatting>
  <conditionalFormatting sqref="I85:I104 F95:G104">
    <cfRule type="expression" dxfId="375" priority="2">
      <formula>$S85</formula>
    </cfRule>
  </conditionalFormatting>
  <conditionalFormatting sqref="I322:I341 F332:G341">
    <cfRule type="expression" dxfId="374" priority="3">
      <formula>$S322</formula>
    </cfRule>
  </conditionalFormatting>
  <conditionalFormatting sqref="I680:I699 F690:G699">
    <cfRule type="expression" dxfId="373" priority="4">
      <formula>$S680</formula>
    </cfRule>
  </conditionalFormatting>
  <conditionalFormatting sqref="I867:I886 F877:G886">
    <cfRule type="expression" dxfId="372" priority="5">
      <formula>$S867</formula>
    </cfRule>
  </conditionalFormatting>
  <conditionalFormatting sqref="I1050:I1069">
    <cfRule type="expression" dxfId="371" priority="15">
      <formula>S1050</formula>
    </cfRule>
  </conditionalFormatting>
  <conditionalFormatting sqref="I1150:I1169">
    <cfRule type="expression" dxfId="370" priority="13">
      <formula>S1150</formula>
    </cfRule>
  </conditionalFormatting>
  <dataValidations count="6">
    <dataValidation type="list" allowBlank="1" showInputMessage="1" showErrorMessage="1" sqref="G58:G67 G295:G304" xr:uid="{00000000-0002-0000-0900-000000000000}">
      <formula1>CNTR_ConnectionListAndWithinInst</formula1>
    </dataValidation>
    <dataValidation type="list" allowBlank="1" showInputMessage="1" showErrorMessage="1" sqref="E58:F67 E295:F304 E653:F662 E840:F849" xr:uid="{00000000-0002-0000-0900-000001000000}">
      <formula1>EUconst_HeatUseTypes</formula1>
    </dataValidation>
    <dataValidation type="list" allowBlank="1" showInputMessage="1" showErrorMessage="1" sqref="G520:L529" xr:uid="{00000000-0002-0000-0900-000003000000}">
      <formula1>CNTR_ConnectionEntityList</formula1>
    </dataValidation>
    <dataValidation type="decimal" operator="greaterThanOrEqual" allowBlank="1" showInputMessage="1" showErrorMessage="1" errorTitle="Value &lt; 0" error="Values have to be &gt;= 0" sqref="H789:N789 H976:N976" xr:uid="{00000000-0002-0000-0900-000004000000}">
      <formula1>0</formula1>
    </dataValidation>
    <dataValidation type="list" allowBlank="1" showInputMessage="1" showErrorMessage="1" sqref="J161:N161 J398:N398 J756:N756 J943:N943" xr:uid="{00000000-0002-0000-0900-000005000000}">
      <formula1>Euconst_TrueFalse</formula1>
    </dataValidation>
    <dataValidation type="list" allowBlank="1" showInputMessage="1" showErrorMessage="1" sqref="E1126:G1135 E1026:G1035" xr:uid="{1D35E29F-26D6-400B-BFF9-322035C18554}">
      <formula1>EUconst_ProcessEmissionTypes</formula1>
    </dataValidation>
  </dataValidations>
  <hyperlinks>
    <hyperlink ref="E3:F3" location="'G_Fall-back'!B5" display="Top of sheet" xr:uid="{9D7C2B72-E0B9-4CD8-B43B-313BF1FAF50A}"/>
    <hyperlink ref="E4:F4" location="'G_Fall-back'!B1182" display="End of sheet" xr:uid="{2B82EAAC-0F12-42B6-B26A-D21591E0D859}"/>
    <hyperlink ref="G2:H2" location="a_Contents!B5" display="Table of contents" xr:uid="{7DCD641E-1DB6-4770-86BF-4D31074D1208}"/>
    <hyperlink ref="I2:J2" location="F_ProductBM!B5" display="Previous sheet" xr:uid="{12CDC875-30FA-47B6-A99B-11C8775F3931}"/>
    <hyperlink ref="K2:L2" location="H_SpecialBM!B5" display="Next sheet" xr:uid="{6D9724E0-AE26-4ABD-A2FC-E905833FFE28}"/>
    <hyperlink ref="M2:N2" location="K_Summary!B5" display="Summary" xr:uid="{BB48D53C-874B-4EBE-839C-3E90140BCCD1}"/>
    <hyperlink ref="D1182:N1182" location="H_SpecialBM!B5" display="&lt;&lt;&lt; Click here to proceed to next sheet &gt;&gt;&gt; " xr:uid="{3BE229AB-FE77-4778-819B-8F3975D76E2C}"/>
  </hyperlinks>
  <pageMargins left="0.78740157480314965" right="0.78740157480314965" top="0.78740157480314965" bottom="0.78740157480314965" header="0.51181102362204722" footer="0.51181102362204722"/>
  <pageSetup paperSize="9" scale="48" fitToHeight="25"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tabColor indexed="40"/>
  </sheetPr>
  <dimension ref="A1:AP425"/>
  <sheetViews>
    <sheetView topLeftCell="B1" zoomScaleNormal="100" zoomScaleSheetLayoutView="100" workbookViewId="0">
      <pane ySplit="5" topLeftCell="A61" activePane="bottomLeft" state="frozen"/>
      <selection activeCell="B2" sqref="B2"/>
      <selection pane="bottomLeft" activeCell="I95" sqref="I95"/>
    </sheetView>
  </sheetViews>
  <sheetFormatPr defaultColWidth="0" defaultRowHeight="12.75" zeroHeight="1"/>
  <cols>
    <col min="1" max="1" width="2.7109375" style="1116" hidden="1" customWidth="1"/>
    <col min="2" max="2" width="2.7109375" style="1116" customWidth="1"/>
    <col min="3" max="3" width="5.7109375" style="1116" customWidth="1"/>
    <col min="4" max="4" width="4.7109375" style="1116" customWidth="1"/>
    <col min="5" max="5" width="30.7109375" style="1116" customWidth="1"/>
    <col min="6" max="14" width="13.7109375" style="1116" customWidth="1"/>
    <col min="15" max="15" width="4.7109375" style="1116" customWidth="1"/>
    <col min="16" max="16" width="25.7109375" style="1116" customWidth="1"/>
    <col min="17" max="17" width="12.7109375" style="1116" hidden="1" customWidth="1"/>
    <col min="18" max="38" width="11.42578125" style="1116" hidden="1" customWidth="1"/>
    <col min="39" max="16384" width="0" style="1116" hidden="1"/>
  </cols>
  <sheetData>
    <row r="1" spans="1:42" ht="13.5" hidden="1" thickBot="1"/>
    <row r="2" spans="1:42" s="1119" customFormat="1" ht="13.5" thickBot="1">
      <c r="A2" s="1116"/>
      <c r="B2" s="2348" t="s">
        <v>584</v>
      </c>
      <c r="C2" s="3114"/>
      <c r="D2" s="3115"/>
      <c r="E2" s="2357" t="s">
        <v>572</v>
      </c>
      <c r="F2" s="2358"/>
      <c r="G2" s="2360" t="s">
        <v>573</v>
      </c>
      <c r="H2" s="2451"/>
      <c r="I2" s="2451" t="s">
        <v>578</v>
      </c>
      <c r="J2" s="2451"/>
      <c r="K2" s="2451" t="s">
        <v>574</v>
      </c>
      <c r="L2" s="2451"/>
      <c r="M2" s="2451" t="s">
        <v>575</v>
      </c>
      <c r="N2" s="2451"/>
      <c r="O2" s="481"/>
      <c r="P2" s="2940" t="s">
        <v>1987</v>
      </c>
      <c r="Q2" s="1249"/>
      <c r="R2" s="1249"/>
      <c r="S2" s="1249"/>
      <c r="T2" s="1249"/>
      <c r="U2" s="1249"/>
      <c r="V2" s="1249"/>
      <c r="W2" s="1249"/>
      <c r="X2" s="1249"/>
      <c r="Y2" s="1249"/>
      <c r="Z2" s="1249"/>
      <c r="AA2" s="1249"/>
      <c r="AB2" s="1249"/>
      <c r="AC2" s="1249"/>
      <c r="AD2" s="1249"/>
      <c r="AE2" s="1249"/>
      <c r="AF2" s="1249"/>
      <c r="AG2" s="1249"/>
      <c r="AH2" s="1249"/>
      <c r="AI2" s="1249"/>
      <c r="AJ2" s="1249"/>
      <c r="AK2" s="1249"/>
      <c r="AL2" s="1249"/>
      <c r="AP2" s="1121"/>
    </row>
    <row r="3" spans="1:42" s="1119" customFormat="1" ht="13.5" thickBot="1">
      <c r="A3" s="1116"/>
      <c r="B3" s="2445"/>
      <c r="C3" s="2446"/>
      <c r="D3" s="3116"/>
      <c r="E3" s="2451" t="s">
        <v>576</v>
      </c>
      <c r="F3" s="2454"/>
      <c r="G3" s="3422" t="str">
        <f>JUMP_H_I</f>
        <v>CWT (Refinery products)</v>
      </c>
      <c r="H3" s="3240"/>
      <c r="I3" s="3240" t="str">
        <f>JUMP_H_II</f>
        <v>Lime</v>
      </c>
      <c r="J3" s="3240"/>
      <c r="K3" s="3240" t="str">
        <f>JUMP_H_III</f>
        <v>Dolime</v>
      </c>
      <c r="L3" s="3240"/>
      <c r="M3" s="3240" t="str">
        <f>JUMP_H_IV</f>
        <v>Steam cracking</v>
      </c>
      <c r="N3" s="3240"/>
      <c r="O3" s="481"/>
      <c r="P3" s="2941"/>
      <c r="Q3" s="1249"/>
      <c r="R3" s="1249"/>
      <c r="S3" s="1249"/>
      <c r="T3" s="1249"/>
      <c r="U3" s="1249"/>
      <c r="V3" s="1249"/>
      <c r="W3" s="1249"/>
      <c r="X3" s="1249"/>
      <c r="Y3" s="1249"/>
      <c r="Z3" s="1249"/>
      <c r="AA3" s="1249"/>
      <c r="AB3" s="1249"/>
      <c r="AC3" s="1249"/>
      <c r="AD3" s="1249"/>
      <c r="AE3" s="1249"/>
      <c r="AF3" s="1249"/>
      <c r="AG3" s="1249"/>
      <c r="AH3" s="1249"/>
      <c r="AI3" s="1249"/>
      <c r="AJ3" s="1249"/>
      <c r="AK3" s="1249"/>
      <c r="AL3" s="1249"/>
      <c r="AP3" s="1121"/>
    </row>
    <row r="4" spans="1:42" s="1119" customFormat="1" ht="13.5" thickBot="1">
      <c r="A4" s="1116"/>
      <c r="B4" s="2448"/>
      <c r="C4" s="2449"/>
      <c r="D4" s="2450"/>
      <c r="E4" s="2451" t="s">
        <v>577</v>
      </c>
      <c r="F4" s="2451"/>
      <c r="G4" s="2362" t="str">
        <f>JUMP_H_V</f>
        <v>CWT (Aromatics)</v>
      </c>
      <c r="H4" s="2453"/>
      <c r="I4" s="2453" t="str">
        <f>JUMP_H_VI</f>
        <v>Hydrogen</v>
      </c>
      <c r="J4" s="2453"/>
      <c r="K4" s="2453" t="str">
        <f>JUMP_H_VII</f>
        <v>Synthesis gas</v>
      </c>
      <c r="L4" s="2453"/>
      <c r="M4" s="2453" t="str">
        <f>JUMP_H_VIII</f>
        <v>Ethylene oxide / glycols</v>
      </c>
      <c r="N4" s="2453"/>
      <c r="O4" s="481"/>
      <c r="P4" s="2942"/>
      <c r="Q4" s="1249"/>
      <c r="R4" s="1249"/>
      <c r="S4" s="1249"/>
      <c r="T4" s="1249"/>
      <c r="U4" s="1249"/>
      <c r="V4" s="1249"/>
      <c r="W4" s="1249"/>
      <c r="X4" s="1249"/>
      <c r="Y4" s="1249"/>
      <c r="Z4" s="1249"/>
      <c r="AA4" s="1249"/>
      <c r="AB4" s="1249"/>
      <c r="AC4" s="1249"/>
      <c r="AD4" s="1249"/>
      <c r="AE4" s="1249"/>
      <c r="AF4" s="1249"/>
      <c r="AG4" s="1249"/>
      <c r="AH4" s="1249"/>
      <c r="AI4" s="1249"/>
      <c r="AJ4" s="1249"/>
      <c r="AK4" s="1249"/>
      <c r="AL4" s="1249"/>
      <c r="AP4" s="1121"/>
    </row>
    <row r="5" spans="1:42" s="1119" customFormat="1">
      <c r="A5" s="1116"/>
      <c r="B5" s="524"/>
      <c r="C5" s="524"/>
      <c r="D5" s="524"/>
      <c r="E5" s="1625"/>
      <c r="F5" s="1625"/>
      <c r="G5" s="2453" t="str">
        <f>JUMP_H_IX</f>
        <v>Vinyl chloride monomer (VCM)</v>
      </c>
      <c r="H5" s="2453"/>
      <c r="I5" s="3249"/>
      <c r="J5" s="3249"/>
      <c r="K5" s="3249"/>
      <c r="L5" s="3249"/>
      <c r="M5" s="3249"/>
      <c r="N5" s="3249"/>
      <c r="O5" s="481"/>
      <c r="P5" s="485"/>
      <c r="Q5" s="1249"/>
      <c r="R5" s="1249"/>
      <c r="S5" s="1249"/>
      <c r="T5" s="1249"/>
      <c r="U5" s="1249"/>
      <c r="V5" s="1249"/>
      <c r="W5" s="1249"/>
      <c r="X5" s="1249"/>
      <c r="Y5" s="1249"/>
      <c r="Z5" s="1249"/>
      <c r="AA5" s="1249"/>
      <c r="AB5" s="1249"/>
      <c r="AC5" s="1249"/>
      <c r="AD5" s="1249"/>
      <c r="AE5" s="1249"/>
      <c r="AF5" s="1249"/>
      <c r="AG5" s="1249"/>
      <c r="AH5" s="1249"/>
      <c r="AI5" s="1249"/>
      <c r="AJ5" s="1249"/>
      <c r="AK5" s="1249"/>
      <c r="AL5" s="1249"/>
      <c r="AP5" s="1121"/>
    </row>
    <row r="6" spans="1:42" s="1119" customFormat="1">
      <c r="A6" s="1116"/>
      <c r="B6" s="467"/>
      <c r="C6" s="1120"/>
      <c r="D6" s="467"/>
      <c r="E6" s="467"/>
      <c r="F6" s="466"/>
      <c r="G6" s="466"/>
      <c r="H6" s="466"/>
      <c r="I6" s="467"/>
      <c r="J6" s="467"/>
      <c r="K6" s="467"/>
      <c r="L6" s="467"/>
      <c r="M6" s="481"/>
      <c r="N6" s="481"/>
      <c r="O6" s="481"/>
      <c r="P6" s="485"/>
      <c r="Q6" s="1249"/>
      <c r="R6" s="1249"/>
      <c r="S6" s="1249"/>
      <c r="T6" s="1249"/>
      <c r="U6" s="1249"/>
      <c r="V6" s="1249"/>
      <c r="W6" s="1249"/>
      <c r="X6" s="1249"/>
      <c r="Y6" s="1249"/>
      <c r="Z6" s="1249"/>
      <c r="AA6" s="1249"/>
      <c r="AB6" s="1249"/>
      <c r="AC6" s="1249"/>
      <c r="AD6" s="1249"/>
      <c r="AE6" s="1249"/>
      <c r="AF6" s="1249"/>
      <c r="AG6" s="1249"/>
      <c r="AH6" s="1249"/>
      <c r="AI6" s="1249"/>
      <c r="AJ6" s="1249"/>
      <c r="AK6" s="1249"/>
      <c r="AL6" s="1249"/>
      <c r="AP6" s="1121"/>
    </row>
    <row r="7" spans="1:42" s="1119" customFormat="1" ht="23.25" customHeight="1">
      <c r="A7" s="1116"/>
      <c r="B7" s="467"/>
      <c r="C7" s="478" t="s">
        <v>684</v>
      </c>
      <c r="D7" s="2424" t="s">
        <v>685</v>
      </c>
      <c r="E7" s="2400"/>
      <c r="F7" s="2400"/>
      <c r="G7" s="2400"/>
      <c r="H7" s="2400"/>
      <c r="I7" s="2400"/>
      <c r="J7" s="2400"/>
      <c r="K7" s="2400"/>
      <c r="L7" s="2400"/>
      <c r="M7" s="2400"/>
      <c r="N7" s="2400"/>
      <c r="O7" s="481"/>
      <c r="P7" s="485"/>
      <c r="Q7" s="1251" t="s">
        <v>228</v>
      </c>
      <c r="R7" s="1251" t="s">
        <v>228</v>
      </c>
      <c r="S7" s="1251" t="s">
        <v>228</v>
      </c>
      <c r="T7" s="1251" t="s">
        <v>228</v>
      </c>
      <c r="U7" s="1251" t="s">
        <v>228</v>
      </c>
      <c r="V7" s="1251" t="s">
        <v>228</v>
      </c>
      <c r="W7" s="1251" t="s">
        <v>228</v>
      </c>
      <c r="X7" s="1251" t="s">
        <v>228</v>
      </c>
      <c r="Y7" s="1251"/>
      <c r="Z7" s="1251"/>
      <c r="AA7" s="1251"/>
      <c r="AB7" s="1251"/>
      <c r="AC7" s="1251"/>
      <c r="AD7" s="1251"/>
      <c r="AE7" s="1251"/>
      <c r="AF7" s="1251"/>
      <c r="AG7" s="1251"/>
      <c r="AH7" s="1251"/>
      <c r="AI7" s="1251"/>
      <c r="AJ7" s="1251"/>
      <c r="AK7" s="1251"/>
      <c r="AL7" s="1251" t="s">
        <v>228</v>
      </c>
      <c r="AP7" s="1121"/>
    </row>
    <row r="8" spans="1:42" s="1119" customFormat="1">
      <c r="A8" s="1116"/>
      <c r="B8" s="467"/>
      <c r="C8" s="467"/>
      <c r="D8" s="467"/>
      <c r="E8" s="467"/>
      <c r="F8" s="467"/>
      <c r="G8" s="467"/>
      <c r="H8" s="467"/>
      <c r="I8" s="467"/>
      <c r="J8" s="467"/>
      <c r="K8" s="467"/>
      <c r="L8" s="467"/>
      <c r="M8" s="481"/>
      <c r="N8" s="481"/>
      <c r="O8" s="481"/>
      <c r="P8" s="485"/>
      <c r="Q8" s="1253" t="s">
        <v>720</v>
      </c>
      <c r="R8" s="1253" t="s">
        <v>720</v>
      </c>
      <c r="S8" s="1253" t="s">
        <v>720</v>
      </c>
      <c r="T8" s="1253" t="s">
        <v>720</v>
      </c>
      <c r="U8" s="1253" t="s">
        <v>720</v>
      </c>
      <c r="V8" s="1253" t="s">
        <v>720</v>
      </c>
      <c r="W8" s="1253" t="s">
        <v>720</v>
      </c>
      <c r="X8" s="1253" t="s">
        <v>720</v>
      </c>
      <c r="Y8" s="1253"/>
      <c r="Z8" s="1253"/>
      <c r="AA8" s="1253"/>
      <c r="AB8" s="1253"/>
      <c r="AC8" s="1253"/>
      <c r="AD8" s="1253"/>
      <c r="AE8" s="1253"/>
      <c r="AF8" s="1253"/>
      <c r="AG8" s="1253"/>
      <c r="AH8" s="1253"/>
      <c r="AI8" s="1253"/>
      <c r="AJ8" s="1253"/>
      <c r="AK8" s="1253"/>
      <c r="AL8" s="1253" t="s">
        <v>720</v>
      </c>
      <c r="AP8" s="1121"/>
    </row>
    <row r="9" spans="1:42" s="1119" customFormat="1" ht="15.6" customHeight="1">
      <c r="A9" s="1116"/>
      <c r="B9" s="467"/>
      <c r="C9" s="507" t="s">
        <v>1018</v>
      </c>
      <c r="D9" s="2408" t="s">
        <v>80</v>
      </c>
      <c r="E9" s="2408"/>
      <c r="F9" s="2408"/>
      <c r="G9" s="2408"/>
      <c r="H9" s="2408"/>
      <c r="I9" s="2408"/>
      <c r="J9" s="2408"/>
      <c r="K9" s="2408"/>
      <c r="L9" s="2408"/>
      <c r="M9" s="2408"/>
      <c r="N9" s="2408"/>
      <c r="O9" s="481"/>
      <c r="P9" s="485"/>
      <c r="Q9" s="1249"/>
      <c r="R9" s="1198"/>
      <c r="S9" s="1198"/>
      <c r="T9" s="1198"/>
      <c r="U9" s="1198"/>
      <c r="V9" s="1198"/>
      <c r="W9" s="1198"/>
      <c r="X9" s="1198"/>
      <c r="Y9" s="1249"/>
      <c r="Z9" s="1249"/>
      <c r="AA9" s="1249"/>
      <c r="AB9" s="1249"/>
      <c r="AC9" s="1249"/>
      <c r="AD9" s="1249"/>
      <c r="AE9" s="1249"/>
      <c r="AF9" s="1249"/>
      <c r="AG9" s="1249"/>
      <c r="AH9" s="1249"/>
      <c r="AI9" s="1249"/>
      <c r="AJ9" s="1249"/>
      <c r="AK9" s="1249"/>
      <c r="AL9" s="1249"/>
      <c r="AP9" s="1121"/>
    </row>
    <row r="10" spans="1:42" s="1119" customFormat="1" ht="5.0999999999999996" customHeight="1">
      <c r="A10" s="1116"/>
      <c r="B10" s="467"/>
      <c r="C10" s="467"/>
      <c r="D10" s="467"/>
      <c r="E10" s="467"/>
      <c r="F10" s="467"/>
      <c r="G10" s="467"/>
      <c r="H10" s="467"/>
      <c r="I10" s="467"/>
      <c r="J10" s="467"/>
      <c r="K10" s="467"/>
      <c r="L10" s="467"/>
      <c r="M10" s="481"/>
      <c r="N10" s="481"/>
      <c r="O10" s="481"/>
      <c r="P10" s="485"/>
      <c r="Q10" s="1249"/>
      <c r="R10" s="1198"/>
      <c r="S10" s="1198"/>
      <c r="T10" s="1198"/>
      <c r="U10" s="1198"/>
      <c r="V10" s="1198"/>
      <c r="W10" s="1198"/>
      <c r="X10" s="1198"/>
      <c r="Y10" s="1249"/>
      <c r="Z10" s="1249"/>
      <c r="AA10" s="1249"/>
      <c r="AB10" s="1249"/>
      <c r="AC10" s="1249"/>
      <c r="AD10" s="1249"/>
      <c r="AE10" s="1249"/>
      <c r="AF10" s="1249"/>
      <c r="AG10" s="1249"/>
      <c r="AH10" s="1249"/>
      <c r="AI10" s="1249"/>
      <c r="AJ10" s="1249"/>
      <c r="AK10" s="1249"/>
      <c r="AL10" s="1249"/>
      <c r="AP10" s="1121"/>
    </row>
    <row r="11" spans="1:42" s="1119" customFormat="1" ht="13.9" customHeight="1">
      <c r="A11" s="1116"/>
      <c r="B11" s="467"/>
      <c r="C11" s="559"/>
      <c r="D11" s="2482" t="s">
        <v>81</v>
      </c>
      <c r="E11" s="2400"/>
      <c r="F11" s="2400"/>
      <c r="G11" s="2400"/>
      <c r="H11" s="2400"/>
      <c r="I11" s="2400"/>
      <c r="J11" s="2400"/>
      <c r="K11" s="2400"/>
      <c r="L11" s="2400"/>
      <c r="M11" s="2400"/>
      <c r="N11" s="2400"/>
      <c r="O11" s="481"/>
      <c r="P11" s="485"/>
      <c r="Q11" s="1249"/>
      <c r="R11" s="1198"/>
      <c r="S11" s="1198"/>
      <c r="T11" s="1198"/>
      <c r="U11" s="1198"/>
      <c r="V11" s="1198"/>
      <c r="W11" s="1198"/>
      <c r="X11" s="1198"/>
      <c r="Y11" s="1249"/>
      <c r="Z11" s="1249"/>
      <c r="AA11" s="1249"/>
      <c r="AB11" s="1249"/>
      <c r="AC11" s="1249"/>
      <c r="AD11" s="1249"/>
      <c r="AE11" s="1249"/>
      <c r="AF11" s="1249"/>
      <c r="AG11" s="1249"/>
      <c r="AH11" s="1249"/>
      <c r="AI11" s="1249"/>
      <c r="AJ11" s="1249"/>
      <c r="AK11" s="1249"/>
      <c r="AL11" s="1249"/>
      <c r="AP11" s="1121"/>
    </row>
    <row r="12" spans="1:42" s="1119" customFormat="1" ht="5.0999999999999996" customHeight="1">
      <c r="A12" s="1116"/>
      <c r="B12" s="467"/>
      <c r="C12" s="467"/>
      <c r="D12" s="467"/>
      <c r="E12" s="467"/>
      <c r="F12" s="467"/>
      <c r="G12" s="467"/>
      <c r="H12" s="467"/>
      <c r="I12" s="467"/>
      <c r="J12" s="467"/>
      <c r="K12" s="467"/>
      <c r="L12" s="467"/>
      <c r="M12" s="481"/>
      <c r="N12" s="481"/>
      <c r="O12" s="481"/>
      <c r="P12" s="485"/>
      <c r="Q12" s="1249"/>
      <c r="R12" s="1198"/>
      <c r="S12" s="1198"/>
      <c r="T12" s="1198"/>
      <c r="U12" s="1198"/>
      <c r="V12" s="1198"/>
      <c r="W12" s="1198"/>
      <c r="X12" s="1198"/>
      <c r="Y12" s="1249"/>
      <c r="Z12" s="1249"/>
      <c r="AA12" s="1249"/>
      <c r="AB12" s="1249"/>
      <c r="AC12" s="1249"/>
      <c r="AD12" s="1249"/>
      <c r="AE12" s="1249"/>
      <c r="AF12" s="1249"/>
      <c r="AG12" s="1249"/>
      <c r="AH12" s="1249"/>
      <c r="AI12" s="1249"/>
      <c r="AJ12" s="1249"/>
      <c r="AK12" s="1249"/>
      <c r="AL12" s="1249"/>
      <c r="AP12" s="1121"/>
    </row>
    <row r="13" spans="1:42" s="1119" customFormat="1" ht="13.15" customHeight="1">
      <c r="A13" s="1116"/>
      <c r="B13" s="467"/>
      <c r="C13" s="467"/>
      <c r="D13" s="485"/>
      <c r="E13" s="2385" t="s">
        <v>2304</v>
      </c>
      <c r="F13" s="2846"/>
      <c r="G13" s="2846"/>
      <c r="H13" s="2846"/>
      <c r="I13" s="2846"/>
      <c r="J13" s="2846"/>
      <c r="K13" s="2846"/>
      <c r="L13" s="2846"/>
      <c r="M13" s="2846"/>
      <c r="N13" s="2846"/>
      <c r="O13" s="481"/>
      <c r="P13" s="485"/>
      <c r="Q13" s="1249"/>
      <c r="R13" s="1198"/>
      <c r="S13" s="1198"/>
      <c r="T13" s="1198"/>
      <c r="U13" s="1198"/>
      <c r="V13" s="1198"/>
      <c r="W13" s="1198"/>
      <c r="X13" s="1198"/>
      <c r="Y13" s="1249"/>
      <c r="Z13" s="1249"/>
      <c r="AA13" s="1249"/>
      <c r="AB13" s="1249"/>
      <c r="AC13" s="1249"/>
      <c r="AD13" s="1249"/>
      <c r="AE13" s="1249"/>
      <c r="AF13" s="1249"/>
      <c r="AG13" s="1249"/>
      <c r="AH13" s="1249"/>
      <c r="AI13" s="1249"/>
      <c r="AJ13" s="1249"/>
      <c r="AK13" s="1249"/>
      <c r="AL13" s="1249"/>
      <c r="AP13" s="1121"/>
    </row>
    <row r="14" spans="1:42" s="1119" customFormat="1" ht="13.15" customHeight="1">
      <c r="A14" s="1116"/>
      <c r="B14" s="467"/>
      <c r="C14" s="467"/>
      <c r="D14" s="485"/>
      <c r="E14" s="2385" t="s">
        <v>1074</v>
      </c>
      <c r="F14" s="2846"/>
      <c r="G14" s="2846"/>
      <c r="H14" s="2846"/>
      <c r="I14" s="2846"/>
      <c r="J14" s="2846"/>
      <c r="K14" s="2846"/>
      <c r="L14" s="2846"/>
      <c r="M14" s="2846"/>
      <c r="N14" s="2846"/>
      <c r="O14" s="481"/>
      <c r="P14" s="485"/>
      <c r="Q14" s="1249"/>
      <c r="R14" s="1198"/>
      <c r="S14" s="1198"/>
      <c r="T14" s="1198"/>
      <c r="U14" s="1198"/>
      <c r="V14" s="1198"/>
      <c r="W14" s="1198"/>
      <c r="X14" s="1198"/>
      <c r="Y14" s="1249"/>
      <c r="Z14" s="1249"/>
      <c r="AA14" s="1249"/>
      <c r="AB14" s="1249"/>
      <c r="AC14" s="1249"/>
      <c r="AD14" s="1249"/>
      <c r="AE14" s="1249"/>
      <c r="AF14" s="1249"/>
      <c r="AG14" s="1249"/>
      <c r="AH14" s="1249"/>
      <c r="AI14" s="1249"/>
      <c r="AJ14" s="1249"/>
      <c r="AK14" s="1249"/>
      <c r="AL14" s="1249"/>
      <c r="AP14" s="1121"/>
    </row>
    <row r="15" spans="1:42" s="1119" customFormat="1" ht="13.15" customHeight="1">
      <c r="A15" s="1116"/>
      <c r="B15" s="467"/>
      <c r="C15" s="467"/>
      <c r="D15" s="485"/>
      <c r="E15" s="2385" t="s">
        <v>126</v>
      </c>
      <c r="F15" s="2846"/>
      <c r="G15" s="2846"/>
      <c r="H15" s="2846"/>
      <c r="I15" s="2846"/>
      <c r="J15" s="2846"/>
      <c r="K15" s="2846"/>
      <c r="L15" s="2846"/>
      <c r="M15" s="2846"/>
      <c r="N15" s="2846"/>
      <c r="O15" s="481"/>
      <c r="P15" s="485"/>
      <c r="Q15" s="1249"/>
      <c r="R15" s="1198"/>
      <c r="S15" s="1198"/>
      <c r="T15" s="1198"/>
      <c r="U15" s="1198"/>
      <c r="V15" s="1198"/>
      <c r="W15" s="1198"/>
      <c r="X15" s="1198"/>
      <c r="Y15" s="1249"/>
      <c r="Z15" s="1249"/>
      <c r="AA15" s="1249"/>
      <c r="AB15" s="1249"/>
      <c r="AC15" s="1249"/>
      <c r="AD15" s="1249"/>
      <c r="AE15" s="1249"/>
      <c r="AF15" s="1249"/>
      <c r="AG15" s="1249"/>
      <c r="AH15" s="1249"/>
      <c r="AI15" s="1249"/>
      <c r="AJ15" s="1249"/>
      <c r="AK15" s="1249"/>
      <c r="AL15" s="1249"/>
      <c r="AP15" s="1121"/>
    </row>
    <row r="16" spans="1:42" s="1119" customFormat="1" ht="5.0999999999999996" customHeight="1">
      <c r="A16" s="1116"/>
      <c r="B16" s="467"/>
      <c r="C16" s="467"/>
      <c r="D16" s="467"/>
      <c r="E16" s="467"/>
      <c r="F16" s="467"/>
      <c r="G16" s="467"/>
      <c r="H16" s="467"/>
      <c r="I16" s="467"/>
      <c r="J16" s="467"/>
      <c r="K16" s="467"/>
      <c r="L16" s="467"/>
      <c r="M16" s="481"/>
      <c r="N16" s="481"/>
      <c r="O16" s="481"/>
      <c r="P16" s="485"/>
      <c r="Q16" s="1249"/>
      <c r="R16" s="1198"/>
      <c r="S16" s="1198"/>
      <c r="T16" s="1198"/>
      <c r="U16" s="1198"/>
      <c r="V16" s="1198"/>
      <c r="W16" s="1198"/>
      <c r="X16" s="1198"/>
      <c r="Y16" s="1249"/>
      <c r="Z16" s="1249"/>
      <c r="AA16" s="1249"/>
      <c r="AB16" s="1249"/>
      <c r="AC16" s="1249"/>
      <c r="AD16" s="1249"/>
      <c r="AE16" s="1249"/>
      <c r="AF16" s="1249"/>
      <c r="AG16" s="1249"/>
      <c r="AH16" s="1249"/>
      <c r="AI16" s="1249"/>
      <c r="AJ16" s="1249"/>
      <c r="AK16" s="1249"/>
      <c r="AL16" s="1249"/>
      <c r="AP16" s="1121"/>
    </row>
    <row r="17" spans="1:42" s="1119" customFormat="1" ht="15">
      <c r="A17" s="1116"/>
      <c r="B17" s="467"/>
      <c r="C17" s="467"/>
      <c r="D17" s="482" t="s">
        <v>400</v>
      </c>
      <c r="E17" s="2373" t="s">
        <v>96</v>
      </c>
      <c r="F17" s="2373"/>
      <c r="G17" s="2373"/>
      <c r="H17" s="2373"/>
      <c r="I17" s="2373"/>
      <c r="J17" s="2373"/>
      <c r="K17" s="2604"/>
      <c r="L17" s="3419" t="str">
        <f>IF(CNTR_ExistSubInstEntries,IF(COUNTIF(CNTR_SubInstListNames,INDEX(EUconst_BMlistNames,R17))&gt;0,EUconst_Relevant,EUconst_NotRelevant),"")</f>
        <v/>
      </c>
      <c r="M17" s="3420"/>
      <c r="N17" s="3421"/>
      <c r="O17" s="481"/>
      <c r="P17" s="485"/>
      <c r="Q17" s="1893" t="s">
        <v>117</v>
      </c>
      <c r="R17" s="2002">
        <v>1</v>
      </c>
      <c r="S17" s="1198"/>
      <c r="T17" s="1198"/>
      <c r="U17" s="1198"/>
      <c r="V17" s="1198"/>
      <c r="W17" s="1198"/>
      <c r="X17" s="1198"/>
      <c r="Y17" s="1249"/>
      <c r="Z17" s="1249"/>
      <c r="AA17" s="1249"/>
      <c r="AB17" s="1249"/>
      <c r="AC17" s="1249"/>
      <c r="AD17" s="1249"/>
      <c r="AE17" s="1249"/>
      <c r="AF17" s="1249"/>
      <c r="AG17" s="1249"/>
      <c r="AH17" s="1249"/>
      <c r="AI17" s="1249"/>
      <c r="AJ17" s="1198"/>
      <c r="AK17" s="1198"/>
      <c r="AL17" s="1198"/>
      <c r="AP17" s="1121"/>
    </row>
    <row r="18" spans="1:42" s="1119" customFormat="1" ht="13.15" customHeight="1">
      <c r="A18" s="1116"/>
      <c r="B18" s="467"/>
      <c r="C18" s="467"/>
      <c r="D18" s="485"/>
      <c r="E18" s="3203" t="s">
        <v>300</v>
      </c>
      <c r="F18" s="3204"/>
      <c r="G18" s="3204"/>
      <c r="H18" s="3204"/>
      <c r="I18" s="3204"/>
      <c r="J18" s="3204"/>
      <c r="K18" s="3204"/>
      <c r="L18" s="3204"/>
      <c r="M18" s="3204"/>
      <c r="N18" s="3204"/>
      <c r="O18" s="481"/>
      <c r="P18" s="485"/>
      <c r="Q18" s="1198"/>
      <c r="R18" s="1198"/>
      <c r="S18" s="1198"/>
      <c r="T18" s="1198"/>
      <c r="U18" s="1198"/>
      <c r="V18" s="1198"/>
      <c r="W18" s="1198"/>
      <c r="X18" s="1198"/>
      <c r="Y18" s="1249"/>
      <c r="Z18" s="1249"/>
      <c r="AA18" s="1249"/>
      <c r="AB18" s="1249"/>
      <c r="AC18" s="1249"/>
      <c r="AD18" s="1249"/>
      <c r="AE18" s="1249"/>
      <c r="AF18" s="1249"/>
      <c r="AG18" s="1249"/>
      <c r="AH18" s="1249"/>
      <c r="AI18" s="1249"/>
      <c r="AJ18" s="1198"/>
      <c r="AK18" s="1198"/>
      <c r="AL18" s="1198"/>
      <c r="AP18" s="1121"/>
    </row>
    <row r="19" spans="1:42" s="1119" customFormat="1">
      <c r="A19" s="1116"/>
      <c r="B19" s="467"/>
      <c r="C19" s="467"/>
      <c r="D19" s="467"/>
      <c r="E19" s="2782" t="str">
        <f>IF(L17=EUconst_Relevant,HYPERLINK(R19,EUconst_MsgBackToSheetF),"")</f>
        <v/>
      </c>
      <c r="F19" s="2783"/>
      <c r="G19" s="2783"/>
      <c r="H19" s="2783"/>
      <c r="I19" s="2783"/>
      <c r="J19" s="2783"/>
      <c r="K19" s="2783"/>
      <c r="L19" s="2783"/>
      <c r="M19" s="2783"/>
      <c r="N19" s="2784"/>
      <c r="O19" s="481"/>
      <c r="P19" s="485"/>
      <c r="Q19" s="1893" t="s">
        <v>116</v>
      </c>
      <c r="R19" s="1443" t="str">
        <f>IF(ISNUMBER(MATCH(R17,CNTR_SubInstListBMnumbers,0)),"#JUMP_F"&amp;MATCH(R17,CNTR_SubInstListBMnumbers,0),"")</f>
        <v/>
      </c>
      <c r="S19" s="1435"/>
      <c r="T19" s="1198"/>
      <c r="U19" s="1198"/>
      <c r="V19" s="1198"/>
      <c r="W19" s="1198"/>
      <c r="X19" s="1198"/>
      <c r="Y19" s="1249"/>
      <c r="Z19" s="1249"/>
      <c r="AA19" s="1249"/>
      <c r="AB19" s="1249"/>
      <c r="AC19" s="1249"/>
      <c r="AD19" s="1249"/>
      <c r="AE19" s="1249"/>
      <c r="AF19" s="1249"/>
      <c r="AG19" s="1249"/>
      <c r="AH19" s="1249"/>
      <c r="AI19" s="1249"/>
      <c r="AJ19" s="1198"/>
      <c r="AK19" s="1198"/>
      <c r="AL19" s="1198"/>
      <c r="AP19" s="1121"/>
    </row>
    <row r="20" spans="1:42" s="1119" customFormat="1" ht="5.0999999999999996" customHeight="1">
      <c r="A20" s="1116"/>
      <c r="B20" s="467"/>
      <c r="C20" s="467"/>
      <c r="D20" s="467"/>
      <c r="E20" s="467"/>
      <c r="F20" s="467"/>
      <c r="G20" s="467"/>
      <c r="H20" s="467"/>
      <c r="I20" s="467"/>
      <c r="J20" s="467"/>
      <c r="K20" s="467"/>
      <c r="L20" s="467"/>
      <c r="M20" s="481"/>
      <c r="N20" s="481"/>
      <c r="O20" s="481"/>
      <c r="P20" s="485"/>
      <c r="Q20" s="1249"/>
      <c r="R20" s="1198"/>
      <c r="S20" s="1198"/>
      <c r="T20" s="1198"/>
      <c r="U20" s="1198"/>
      <c r="V20" s="1198"/>
      <c r="W20" s="1198"/>
      <c r="X20" s="1198"/>
      <c r="Y20" s="1249"/>
      <c r="Z20" s="1249"/>
      <c r="AA20" s="1249"/>
      <c r="AB20" s="1249"/>
      <c r="AC20" s="1249"/>
      <c r="AD20" s="1249"/>
      <c r="AE20" s="1249"/>
      <c r="AF20" s="1249"/>
      <c r="AG20" s="1249"/>
      <c r="AH20" s="1249"/>
      <c r="AI20" s="1249"/>
      <c r="AJ20" s="1198"/>
      <c r="AK20" s="1198"/>
      <c r="AL20" s="1198"/>
      <c r="AP20" s="1121"/>
    </row>
    <row r="21" spans="1:42" s="1119" customFormat="1">
      <c r="A21" s="1116"/>
      <c r="B21" s="467"/>
      <c r="C21" s="467"/>
      <c r="D21" s="482" t="s">
        <v>876</v>
      </c>
      <c r="E21" s="2373" t="s">
        <v>1638</v>
      </c>
      <c r="F21" s="2400"/>
      <c r="G21" s="2400"/>
      <c r="H21" s="2400"/>
      <c r="I21" s="2400"/>
      <c r="J21" s="2400"/>
      <c r="K21" s="2400"/>
      <c r="L21" s="2400"/>
      <c r="M21" s="2400"/>
      <c r="N21" s="2400"/>
      <c r="O21" s="481"/>
      <c r="P21" s="485"/>
      <c r="Q21" s="1249"/>
      <c r="R21" s="1198"/>
      <c r="S21" s="1198"/>
      <c r="T21" s="1198"/>
      <c r="U21" s="1198"/>
      <c r="V21" s="1198"/>
      <c r="W21" s="1198"/>
      <c r="X21" s="1198"/>
      <c r="Y21" s="1249"/>
      <c r="Z21" s="1249"/>
      <c r="AA21" s="1249"/>
      <c r="AB21" s="1249"/>
      <c r="AC21" s="1249"/>
      <c r="AD21" s="1249"/>
      <c r="AE21" s="1249"/>
      <c r="AF21" s="1249"/>
      <c r="AG21" s="1249"/>
      <c r="AH21" s="1249"/>
      <c r="AI21" s="1249"/>
      <c r="AJ21" s="1198"/>
      <c r="AK21" s="1198"/>
      <c r="AL21" s="1198"/>
      <c r="AP21" s="1121"/>
    </row>
    <row r="22" spans="1:42" s="1119" customFormat="1" ht="13.15" customHeight="1">
      <c r="A22" s="1116"/>
      <c r="B22" s="467"/>
      <c r="C22" s="467"/>
      <c r="D22" s="485"/>
      <c r="E22" s="2385" t="s">
        <v>82</v>
      </c>
      <c r="F22" s="2846"/>
      <c r="G22" s="2846"/>
      <c r="H22" s="2846"/>
      <c r="I22" s="2846"/>
      <c r="J22" s="2846"/>
      <c r="K22" s="2846"/>
      <c r="L22" s="2846"/>
      <c r="M22" s="2846"/>
      <c r="N22" s="2846"/>
      <c r="O22" s="481"/>
      <c r="P22" s="485"/>
      <c r="Q22" s="1249"/>
      <c r="R22" s="1198"/>
      <c r="S22" s="1198"/>
      <c r="T22" s="1198"/>
      <c r="U22" s="1198"/>
      <c r="V22" s="1198"/>
      <c r="W22" s="1198"/>
      <c r="X22" s="1198"/>
      <c r="Y22" s="1249"/>
      <c r="Z22" s="1249"/>
      <c r="AA22" s="1249"/>
      <c r="AB22" s="1249"/>
      <c r="AC22" s="1249"/>
      <c r="AD22" s="1249"/>
      <c r="AE22" s="1249"/>
      <c r="AF22" s="1249"/>
      <c r="AG22" s="1249"/>
      <c r="AH22" s="1249"/>
      <c r="AI22" s="1249"/>
      <c r="AJ22" s="1198"/>
      <c r="AK22" s="1198"/>
      <c r="AL22" s="1198"/>
      <c r="AP22" s="1121"/>
    </row>
    <row r="23" spans="1:42" s="1119" customFormat="1" ht="13.15" customHeight="1">
      <c r="A23" s="1116"/>
      <c r="B23" s="467"/>
      <c r="C23" s="467"/>
      <c r="D23" s="485"/>
      <c r="E23" s="2385" t="s">
        <v>2305</v>
      </c>
      <c r="F23" s="2846"/>
      <c r="G23" s="2846"/>
      <c r="H23" s="2846"/>
      <c r="I23" s="2846"/>
      <c r="J23" s="2846"/>
      <c r="K23" s="2846"/>
      <c r="L23" s="2846"/>
      <c r="M23" s="2846"/>
      <c r="N23" s="2846"/>
      <c r="O23" s="481"/>
      <c r="P23" s="485"/>
      <c r="Q23" s="1249"/>
      <c r="R23" s="1198"/>
      <c r="S23" s="1198"/>
      <c r="T23" s="1198"/>
      <c r="U23" s="1198"/>
      <c r="V23" s="1198"/>
      <c r="W23" s="1198"/>
      <c r="X23" s="1198"/>
      <c r="Y23" s="1249"/>
      <c r="Z23" s="1249"/>
      <c r="AA23" s="1249"/>
      <c r="AB23" s="1249"/>
      <c r="AC23" s="1249"/>
      <c r="AD23" s="1249"/>
      <c r="AE23" s="1249"/>
      <c r="AF23" s="1249"/>
      <c r="AG23" s="1249"/>
      <c r="AH23" s="1249"/>
      <c r="AI23" s="1249"/>
      <c r="AJ23" s="1198"/>
      <c r="AK23" s="1198"/>
      <c r="AL23" s="1198"/>
      <c r="AP23" s="1121"/>
    </row>
    <row r="24" spans="1:42" s="1119" customFormat="1">
      <c r="A24" s="1116"/>
      <c r="B24" s="467"/>
      <c r="C24" s="467"/>
      <c r="D24" s="485"/>
      <c r="E24" s="2385" t="s">
        <v>83</v>
      </c>
      <c r="F24" s="2846"/>
      <c r="G24" s="2846"/>
      <c r="H24" s="2846"/>
      <c r="I24" s="2846"/>
      <c r="J24" s="2846"/>
      <c r="K24" s="2846"/>
      <c r="L24" s="2846"/>
      <c r="M24" s="2846"/>
      <c r="N24" s="2846"/>
      <c r="O24" s="481"/>
      <c r="P24" s="485"/>
      <c r="Q24" s="1249"/>
      <c r="R24" s="1198"/>
      <c r="S24" s="1198"/>
      <c r="T24" s="1198"/>
      <c r="U24" s="1198"/>
      <c r="V24" s="1198"/>
      <c r="W24" s="1198"/>
      <c r="X24" s="1198"/>
      <c r="Y24" s="1249"/>
      <c r="Z24" s="1249"/>
      <c r="AA24" s="1249"/>
      <c r="AB24" s="1249"/>
      <c r="AC24" s="1249"/>
      <c r="AD24" s="1249"/>
      <c r="AE24" s="1249"/>
      <c r="AF24" s="1249"/>
      <c r="AG24" s="1249"/>
      <c r="AH24" s="1249"/>
      <c r="AI24" s="1249"/>
      <c r="AJ24" s="1198"/>
      <c r="AK24" s="1198"/>
      <c r="AL24" s="1198"/>
      <c r="AP24" s="1121"/>
    </row>
    <row r="25" spans="1:42" s="1119" customFormat="1">
      <c r="A25" s="1116"/>
      <c r="B25" s="467"/>
      <c r="C25" s="467"/>
      <c r="D25" s="485"/>
      <c r="E25" s="1079" t="s">
        <v>292</v>
      </c>
      <c r="F25" s="2385" t="s">
        <v>84</v>
      </c>
      <c r="G25" s="2846"/>
      <c r="H25" s="2846"/>
      <c r="I25" s="2846"/>
      <c r="J25" s="2846"/>
      <c r="K25" s="2846"/>
      <c r="L25" s="2846"/>
      <c r="M25" s="2846"/>
      <c r="N25" s="2846"/>
      <c r="O25" s="481"/>
      <c r="P25" s="485"/>
      <c r="Q25" s="1249"/>
      <c r="R25" s="1198"/>
      <c r="S25" s="1198"/>
      <c r="T25" s="1198"/>
      <c r="U25" s="1198"/>
      <c r="V25" s="1198"/>
      <c r="W25" s="1198"/>
      <c r="X25" s="1198"/>
      <c r="Y25" s="1249"/>
      <c r="Z25" s="1249"/>
      <c r="AA25" s="1249"/>
      <c r="AB25" s="1249"/>
      <c r="AC25" s="1249"/>
      <c r="AD25" s="1249"/>
      <c r="AE25" s="1249"/>
      <c r="AF25" s="1249"/>
      <c r="AG25" s="1249"/>
      <c r="AH25" s="1249"/>
      <c r="AI25" s="1249"/>
      <c r="AJ25" s="1198"/>
      <c r="AK25" s="1198"/>
      <c r="AL25" s="1198"/>
      <c r="AP25" s="1121"/>
    </row>
    <row r="26" spans="1:42" s="1119" customFormat="1" ht="13.15" customHeight="1">
      <c r="A26" s="1116"/>
      <c r="B26" s="467"/>
      <c r="C26" s="467"/>
      <c r="D26" s="485"/>
      <c r="E26" s="1079" t="s">
        <v>1023</v>
      </c>
      <c r="F26" s="2385" t="s">
        <v>85</v>
      </c>
      <c r="G26" s="2846"/>
      <c r="H26" s="2846"/>
      <c r="I26" s="2846"/>
      <c r="J26" s="2846"/>
      <c r="K26" s="2846"/>
      <c r="L26" s="2846"/>
      <c r="M26" s="2846"/>
      <c r="N26" s="2846"/>
      <c r="O26" s="481"/>
      <c r="P26" s="485"/>
      <c r="Q26" s="1249"/>
      <c r="R26" s="1198"/>
      <c r="S26" s="1198"/>
      <c r="T26" s="1198"/>
      <c r="U26" s="1198"/>
      <c r="V26" s="1198"/>
      <c r="W26" s="1198"/>
      <c r="X26" s="1198"/>
      <c r="Y26" s="1249"/>
      <c r="Z26" s="1249"/>
      <c r="AA26" s="1249"/>
      <c r="AB26" s="1249"/>
      <c r="AC26" s="1249"/>
      <c r="AD26" s="1249"/>
      <c r="AE26" s="1249"/>
      <c r="AF26" s="1249"/>
      <c r="AG26" s="1249"/>
      <c r="AH26" s="1249"/>
      <c r="AI26" s="1249"/>
      <c r="AJ26" s="1198"/>
      <c r="AK26" s="1198"/>
      <c r="AL26" s="1198"/>
      <c r="AP26" s="1121"/>
    </row>
    <row r="27" spans="1:42" s="1119" customFormat="1">
      <c r="A27" s="1116"/>
      <c r="B27" s="467"/>
      <c r="C27" s="467"/>
      <c r="D27" s="485"/>
      <c r="E27" s="1079" t="s">
        <v>367</v>
      </c>
      <c r="F27" s="2385" t="s">
        <v>86</v>
      </c>
      <c r="G27" s="2846"/>
      <c r="H27" s="2846"/>
      <c r="I27" s="2846"/>
      <c r="J27" s="2846"/>
      <c r="K27" s="2846"/>
      <c r="L27" s="2846"/>
      <c r="M27" s="2846"/>
      <c r="N27" s="2846"/>
      <c r="O27" s="481"/>
      <c r="P27" s="485"/>
      <c r="Q27" s="1249"/>
      <c r="R27" s="1198"/>
      <c r="S27" s="1198"/>
      <c r="T27" s="1198"/>
      <c r="U27" s="1198"/>
      <c r="V27" s="1198"/>
      <c r="W27" s="1198"/>
      <c r="X27" s="1198"/>
      <c r="Y27" s="1249"/>
      <c r="Z27" s="1249"/>
      <c r="AA27" s="1249"/>
      <c r="AB27" s="1249"/>
      <c r="AC27" s="1249"/>
      <c r="AD27" s="1249"/>
      <c r="AE27" s="1249"/>
      <c r="AF27" s="1249"/>
      <c r="AG27" s="1249"/>
      <c r="AH27" s="1249"/>
      <c r="AI27" s="1249"/>
      <c r="AJ27" s="1198"/>
      <c r="AK27" s="1198"/>
      <c r="AL27" s="1198"/>
      <c r="AP27" s="1121"/>
    </row>
    <row r="28" spans="1:42" s="1119" customFormat="1" ht="13.15" customHeight="1">
      <c r="A28" s="1116"/>
      <c r="B28" s="467"/>
      <c r="C28" s="467"/>
      <c r="D28" s="485"/>
      <c r="E28" s="1079" t="s">
        <v>501</v>
      </c>
      <c r="F28" s="2385" t="s">
        <v>959</v>
      </c>
      <c r="G28" s="2846"/>
      <c r="H28" s="2846"/>
      <c r="I28" s="2846"/>
      <c r="J28" s="2846"/>
      <c r="K28" s="2846"/>
      <c r="L28" s="2846"/>
      <c r="M28" s="2846"/>
      <c r="N28" s="2846"/>
      <c r="O28" s="481"/>
      <c r="P28" s="485"/>
      <c r="Q28" s="1249"/>
      <c r="R28" s="1198"/>
      <c r="S28" s="1198"/>
      <c r="T28" s="1198"/>
      <c r="U28" s="1198"/>
      <c r="V28" s="1198"/>
      <c r="W28" s="1198"/>
      <c r="X28" s="1198"/>
      <c r="Y28" s="1249"/>
      <c r="Z28" s="1249"/>
      <c r="AA28" s="1249"/>
      <c r="AB28" s="1249"/>
      <c r="AC28" s="1249"/>
      <c r="AD28" s="1249"/>
      <c r="AE28" s="1249"/>
      <c r="AF28" s="1249"/>
      <c r="AG28" s="1249"/>
      <c r="AH28" s="1249"/>
      <c r="AI28" s="1249"/>
      <c r="AJ28" s="1198"/>
      <c r="AK28" s="1198"/>
      <c r="AL28" s="1198"/>
      <c r="AP28" s="1121"/>
    </row>
    <row r="29" spans="1:42" s="1119" customFormat="1" ht="13.15" customHeight="1">
      <c r="A29" s="1116"/>
      <c r="B29" s="467"/>
      <c r="C29" s="467"/>
      <c r="D29" s="617"/>
      <c r="E29" s="3258" t="s">
        <v>2335</v>
      </c>
      <c r="F29" s="2846"/>
      <c r="G29" s="2846"/>
      <c r="H29" s="2846"/>
      <c r="I29" s="2846"/>
      <c r="J29" s="2846"/>
      <c r="K29" s="2846"/>
      <c r="L29" s="2846"/>
      <c r="M29" s="2846"/>
      <c r="N29" s="2846"/>
      <c r="O29" s="481"/>
      <c r="P29" s="485"/>
      <c r="Q29" s="1249"/>
      <c r="R29" s="1198"/>
      <c r="S29" s="1198"/>
      <c r="T29" s="1198"/>
      <c r="U29" s="1198"/>
      <c r="V29" s="1198"/>
      <c r="W29" s="1198"/>
      <c r="X29" s="1198"/>
      <c r="Y29" s="1249"/>
      <c r="Z29" s="1249"/>
      <c r="AA29" s="1249"/>
      <c r="AB29" s="1249"/>
      <c r="AC29" s="1249"/>
      <c r="AD29" s="1249"/>
      <c r="AE29" s="1249"/>
      <c r="AF29" s="1249"/>
      <c r="AG29" s="1249"/>
      <c r="AH29" s="1249"/>
      <c r="AI29" s="1249"/>
      <c r="AJ29" s="1198"/>
      <c r="AK29" s="1198"/>
      <c r="AL29" s="1198"/>
      <c r="AP29" s="1121"/>
    </row>
    <row r="30" spans="1:42" s="1119" customFormat="1" ht="5.0999999999999996" customHeight="1">
      <c r="A30" s="1116"/>
      <c r="B30" s="467"/>
      <c r="C30" s="467"/>
      <c r="D30" s="467"/>
      <c r="E30" s="467"/>
      <c r="F30" s="467"/>
      <c r="G30" s="467"/>
      <c r="H30" s="467"/>
      <c r="I30" s="467"/>
      <c r="J30" s="467"/>
      <c r="K30" s="467"/>
      <c r="L30" s="467"/>
      <c r="M30" s="481"/>
      <c r="N30" s="481"/>
      <c r="O30" s="481"/>
      <c r="P30" s="485"/>
      <c r="Q30" s="1249"/>
      <c r="R30" s="1198"/>
      <c r="S30" s="1198"/>
      <c r="T30" s="1198"/>
      <c r="U30" s="1198"/>
      <c r="V30" s="1198"/>
      <c r="W30" s="1198"/>
      <c r="X30" s="1198"/>
      <c r="Y30" s="1249"/>
      <c r="Z30" s="1249"/>
      <c r="AA30" s="1249"/>
      <c r="AB30" s="1249"/>
      <c r="AC30" s="1249"/>
      <c r="AD30" s="1249"/>
      <c r="AE30" s="1249"/>
      <c r="AF30" s="1249"/>
      <c r="AG30" s="1249"/>
      <c r="AH30" s="1249"/>
      <c r="AI30" s="1249"/>
      <c r="AJ30" s="1198"/>
      <c r="AK30" s="1198"/>
      <c r="AL30" s="1198"/>
      <c r="AP30" s="1121"/>
    </row>
    <row r="31" spans="1:42" s="1119" customFormat="1" ht="13.5" thickBot="1">
      <c r="A31" s="1116"/>
      <c r="B31" s="1124"/>
      <c r="C31" s="485"/>
      <c r="D31" s="485"/>
      <c r="E31" s="707" t="s">
        <v>288</v>
      </c>
      <c r="F31" s="707" t="s">
        <v>289</v>
      </c>
      <c r="G31" s="1080" t="s">
        <v>290</v>
      </c>
      <c r="H31" s="671">
        <f t="shared" ref="H31:N31" si="0">H$421</f>
        <v>2024</v>
      </c>
      <c r="I31" s="1081">
        <f t="shared" si="0"/>
        <v>2025</v>
      </c>
      <c r="J31" s="1489">
        <f t="shared" si="0"/>
        <v>2026</v>
      </c>
      <c r="K31" s="1490">
        <f t="shared" si="0"/>
        <v>2027</v>
      </c>
      <c r="L31" s="1490">
        <f t="shared" si="0"/>
        <v>2028</v>
      </c>
      <c r="M31" s="1490">
        <f t="shared" si="0"/>
        <v>2029</v>
      </c>
      <c r="N31" s="1490">
        <f t="shared" si="0"/>
        <v>2030</v>
      </c>
      <c r="O31" s="481"/>
      <c r="P31" s="485"/>
      <c r="Q31" s="1198"/>
      <c r="R31" s="1198"/>
      <c r="S31" s="1198"/>
      <c r="T31" s="1198"/>
      <c r="U31" s="1198"/>
      <c r="V31" s="1198"/>
      <c r="W31" s="1198"/>
      <c r="X31" s="1198"/>
      <c r="Y31" s="1249"/>
      <c r="Z31" s="1249"/>
      <c r="AA31" s="1249"/>
      <c r="AB31" s="1198"/>
      <c r="AC31" s="2003">
        <f t="shared" ref="AC31:AI31" si="1">H31</f>
        <v>2024</v>
      </c>
      <c r="AD31" s="2003">
        <f t="shared" si="1"/>
        <v>2025</v>
      </c>
      <c r="AE31" s="2003">
        <f t="shared" si="1"/>
        <v>2026</v>
      </c>
      <c r="AF31" s="2003">
        <f t="shared" si="1"/>
        <v>2027</v>
      </c>
      <c r="AG31" s="2003">
        <f t="shared" si="1"/>
        <v>2028</v>
      </c>
      <c r="AH31" s="2003">
        <f t="shared" si="1"/>
        <v>2029</v>
      </c>
      <c r="AI31" s="2003">
        <f t="shared" si="1"/>
        <v>2030</v>
      </c>
      <c r="AJ31" s="1198"/>
      <c r="AK31" s="1198"/>
      <c r="AL31" s="1198"/>
      <c r="AP31" s="1121"/>
    </row>
    <row r="32" spans="1:42" s="1119" customFormat="1">
      <c r="A32" s="1116"/>
      <c r="B32" s="1124"/>
      <c r="C32" s="485"/>
      <c r="D32" s="485"/>
      <c r="E32" s="948" t="s">
        <v>291</v>
      </c>
      <c r="F32" s="730" t="s">
        <v>292</v>
      </c>
      <c r="G32" s="2004">
        <v>1</v>
      </c>
      <c r="H32" s="2005" t="str">
        <f>c_ALR2025!M6699</f>
        <v/>
      </c>
      <c r="I32" s="2040"/>
      <c r="J32" s="2006"/>
      <c r="K32" s="2007"/>
      <c r="L32" s="2007"/>
      <c r="M32" s="2007"/>
      <c r="N32" s="2007"/>
      <c r="O32" s="481"/>
      <c r="P32" s="9"/>
      <c r="Q32" s="1198"/>
      <c r="R32" s="1198"/>
      <c r="S32" s="1198"/>
      <c r="T32" s="1198"/>
      <c r="U32" s="1198"/>
      <c r="V32" s="1198"/>
      <c r="W32" s="1198"/>
      <c r="X32" s="1198"/>
      <c r="Y32" s="1249"/>
      <c r="Z32" s="1249"/>
      <c r="AA32" s="1249"/>
      <c r="AB32" s="1641" t="s">
        <v>717</v>
      </c>
      <c r="AC32" s="2041" t="b">
        <f t="shared" ref="AC32:AI32" si="2">IF(CNTR_ExistSubInstEntries,IF($L17=EUconst_Relevant,AC31&gt;=CNTR_ReportingYear,TRUE),FALSE)</f>
        <v>0</v>
      </c>
      <c r="AD32" s="1731" t="b">
        <f t="shared" si="2"/>
        <v>0</v>
      </c>
      <c r="AE32" s="1731" t="b">
        <f t="shared" si="2"/>
        <v>0</v>
      </c>
      <c r="AF32" s="1731" t="b">
        <f t="shared" si="2"/>
        <v>0</v>
      </c>
      <c r="AG32" s="1731" t="b">
        <f t="shared" si="2"/>
        <v>0</v>
      </c>
      <c r="AH32" s="1731" t="b">
        <f t="shared" si="2"/>
        <v>0</v>
      </c>
      <c r="AI32" s="2008" t="b">
        <f t="shared" si="2"/>
        <v>0</v>
      </c>
      <c r="AJ32" s="1198"/>
      <c r="AK32" s="1198"/>
      <c r="AL32" s="1198"/>
      <c r="AP32" s="1121"/>
    </row>
    <row r="33" spans="1:42" s="1119" customFormat="1" ht="12.75" customHeight="1">
      <c r="A33" s="1116"/>
      <c r="B33" s="1124"/>
      <c r="C33" s="485"/>
      <c r="D33" s="485"/>
      <c r="E33" s="863" t="s">
        <v>512</v>
      </c>
      <c r="F33" s="765" t="s">
        <v>292</v>
      </c>
      <c r="G33" s="2009">
        <v>0.85</v>
      </c>
      <c r="H33" s="2010" t="str">
        <f>c_ALR2025!M6700</f>
        <v/>
      </c>
      <c r="I33" s="2042"/>
      <c r="J33" s="2006"/>
      <c r="K33" s="2007"/>
      <c r="L33" s="2007"/>
      <c r="M33" s="2007"/>
      <c r="N33" s="2007"/>
      <c r="O33" s="481"/>
      <c r="P33" s="9"/>
      <c r="Q33" s="1198"/>
      <c r="R33" s="1198"/>
      <c r="S33" s="1198"/>
      <c r="T33" s="1198"/>
      <c r="U33" s="1198"/>
      <c r="V33" s="1198"/>
      <c r="W33" s="1198"/>
      <c r="X33" s="1198"/>
      <c r="Y33" s="1249"/>
      <c r="Z33" s="1249"/>
      <c r="AA33" s="1249"/>
      <c r="AB33" s="1249"/>
      <c r="AC33" s="2011" t="b">
        <f>AC32</f>
        <v>0</v>
      </c>
      <c r="AD33" s="1963" t="b">
        <f t="shared" ref="AD33:AD87" si="3">AD32</f>
        <v>0</v>
      </c>
      <c r="AE33" s="1963" t="b">
        <f t="shared" ref="AE33:AE87" si="4">AE32</f>
        <v>0</v>
      </c>
      <c r="AF33" s="1963" t="b">
        <f t="shared" ref="AF33:AF87" si="5">AF32</f>
        <v>0</v>
      </c>
      <c r="AG33" s="1963" t="b">
        <f t="shared" ref="AG33:AG87" si="6">AG32</f>
        <v>0</v>
      </c>
      <c r="AH33" s="1963" t="b">
        <f t="shared" ref="AH33:AH87" si="7">AH32</f>
        <v>0</v>
      </c>
      <c r="AI33" s="2012" t="b">
        <f t="shared" ref="AI33:AI87" si="8">AI32</f>
        <v>0</v>
      </c>
      <c r="AJ33" s="1198"/>
      <c r="AK33" s="1198"/>
      <c r="AL33" s="1198"/>
      <c r="AP33" s="1121"/>
    </row>
    <row r="34" spans="1:42" s="1119" customFormat="1" ht="12.75" customHeight="1">
      <c r="A34" s="1116"/>
      <c r="B34" s="1124"/>
      <c r="C34" s="485"/>
      <c r="D34" s="485"/>
      <c r="E34" s="865" t="s">
        <v>513</v>
      </c>
      <c r="F34" s="724" t="s">
        <v>292</v>
      </c>
      <c r="G34" s="2013">
        <v>2.4500000000000002</v>
      </c>
      <c r="H34" s="2014" t="str">
        <f>c_ALR2025!M6701</f>
        <v/>
      </c>
      <c r="I34" s="2043"/>
      <c r="J34" s="2006"/>
      <c r="K34" s="2007"/>
      <c r="L34" s="2007"/>
      <c r="M34" s="2007"/>
      <c r="N34" s="2007"/>
      <c r="O34" s="481"/>
      <c r="P34" s="9"/>
      <c r="Q34" s="1198"/>
      <c r="R34" s="1198"/>
      <c r="S34" s="1198"/>
      <c r="T34" s="1198"/>
      <c r="U34" s="1198"/>
      <c r="V34" s="1198"/>
      <c r="W34" s="1198"/>
      <c r="X34" s="1198"/>
      <c r="Y34" s="1249"/>
      <c r="Z34" s="1249"/>
      <c r="AA34" s="1249"/>
      <c r="AB34" s="1249"/>
      <c r="AC34" s="2011" t="b">
        <f t="shared" ref="AC34:AC87" si="9">AC33</f>
        <v>0</v>
      </c>
      <c r="AD34" s="1963" t="b">
        <f t="shared" si="3"/>
        <v>0</v>
      </c>
      <c r="AE34" s="1963" t="b">
        <f t="shared" si="4"/>
        <v>0</v>
      </c>
      <c r="AF34" s="1963" t="b">
        <f t="shared" si="5"/>
        <v>0</v>
      </c>
      <c r="AG34" s="1963" t="b">
        <f t="shared" si="6"/>
        <v>0</v>
      </c>
      <c r="AH34" s="1963" t="b">
        <f t="shared" si="7"/>
        <v>0</v>
      </c>
      <c r="AI34" s="2012" t="b">
        <f t="shared" si="8"/>
        <v>0</v>
      </c>
      <c r="AJ34" s="1198"/>
      <c r="AK34" s="1198"/>
      <c r="AL34" s="1198"/>
      <c r="AP34" s="1121"/>
    </row>
    <row r="35" spans="1:42" s="1119" customFormat="1">
      <c r="A35" s="1116"/>
      <c r="B35" s="1124"/>
      <c r="C35" s="485"/>
      <c r="D35" s="485"/>
      <c r="E35" s="865" t="s">
        <v>514</v>
      </c>
      <c r="F35" s="724" t="s">
        <v>292</v>
      </c>
      <c r="G35" s="2013">
        <v>1.4</v>
      </c>
      <c r="H35" s="2014" t="str">
        <f>c_ALR2025!M6702</f>
        <v/>
      </c>
      <c r="I35" s="2043"/>
      <c r="J35" s="2006"/>
      <c r="K35" s="2007"/>
      <c r="L35" s="2007"/>
      <c r="M35" s="2007"/>
      <c r="N35" s="2007"/>
      <c r="O35" s="481"/>
      <c r="P35" s="9"/>
      <c r="Q35" s="1198"/>
      <c r="R35" s="1198"/>
      <c r="S35" s="1198"/>
      <c r="T35" s="1198"/>
      <c r="U35" s="1198"/>
      <c r="V35" s="1198"/>
      <c r="W35" s="1198"/>
      <c r="X35" s="1198"/>
      <c r="Y35" s="1249"/>
      <c r="Z35" s="1249"/>
      <c r="AA35" s="1249"/>
      <c r="AB35" s="1249"/>
      <c r="AC35" s="2011" t="b">
        <f t="shared" si="9"/>
        <v>0</v>
      </c>
      <c r="AD35" s="1963" t="b">
        <f t="shared" si="3"/>
        <v>0</v>
      </c>
      <c r="AE35" s="1963" t="b">
        <f t="shared" si="4"/>
        <v>0</v>
      </c>
      <c r="AF35" s="1963" t="b">
        <f t="shared" si="5"/>
        <v>0</v>
      </c>
      <c r="AG35" s="1963" t="b">
        <f t="shared" si="6"/>
        <v>0</v>
      </c>
      <c r="AH35" s="1963" t="b">
        <f t="shared" si="7"/>
        <v>0</v>
      </c>
      <c r="AI35" s="2012" t="b">
        <f t="shared" si="8"/>
        <v>0</v>
      </c>
      <c r="AJ35" s="1198"/>
      <c r="AK35" s="1198"/>
      <c r="AL35" s="1198"/>
      <c r="AP35" s="1121"/>
    </row>
    <row r="36" spans="1:42" s="1119" customFormat="1" ht="12.75" customHeight="1">
      <c r="A36" s="1116"/>
      <c r="B36" s="1124"/>
      <c r="C36" s="485"/>
      <c r="D36" s="485"/>
      <c r="E36" s="865" t="s">
        <v>366</v>
      </c>
      <c r="F36" s="724" t="s">
        <v>292</v>
      </c>
      <c r="G36" s="2013">
        <v>2.7</v>
      </c>
      <c r="H36" s="2014" t="str">
        <f>c_ALR2025!M6703</f>
        <v/>
      </c>
      <c r="I36" s="2043"/>
      <c r="J36" s="2006"/>
      <c r="K36" s="2007"/>
      <c r="L36" s="2007"/>
      <c r="M36" s="2007"/>
      <c r="N36" s="2007"/>
      <c r="O36" s="481"/>
      <c r="P36" s="9"/>
      <c r="Q36" s="1198"/>
      <c r="R36" s="1198"/>
      <c r="S36" s="1198"/>
      <c r="T36" s="1198"/>
      <c r="U36" s="1198"/>
      <c r="V36" s="1198"/>
      <c r="W36" s="1198"/>
      <c r="X36" s="1198"/>
      <c r="Y36" s="1249"/>
      <c r="Z36" s="1249"/>
      <c r="AA36" s="1249"/>
      <c r="AB36" s="1249"/>
      <c r="AC36" s="2011" t="b">
        <f t="shared" si="9"/>
        <v>0</v>
      </c>
      <c r="AD36" s="1963" t="b">
        <f t="shared" si="3"/>
        <v>0</v>
      </c>
      <c r="AE36" s="1963" t="b">
        <f t="shared" si="4"/>
        <v>0</v>
      </c>
      <c r="AF36" s="1963" t="b">
        <f t="shared" si="5"/>
        <v>0</v>
      </c>
      <c r="AG36" s="1963" t="b">
        <f t="shared" si="6"/>
        <v>0</v>
      </c>
      <c r="AH36" s="1963" t="b">
        <f t="shared" si="7"/>
        <v>0</v>
      </c>
      <c r="AI36" s="2012" t="b">
        <f t="shared" si="8"/>
        <v>0</v>
      </c>
      <c r="AJ36" s="1198"/>
      <c r="AK36" s="1198"/>
      <c r="AL36" s="1198"/>
      <c r="AP36" s="1121"/>
    </row>
    <row r="37" spans="1:42" s="1119" customFormat="1" ht="12.75" customHeight="1">
      <c r="A37" s="1116"/>
      <c r="B37" s="1124"/>
      <c r="C37" s="485"/>
      <c r="D37" s="485"/>
      <c r="E37" s="865" t="s">
        <v>515</v>
      </c>
      <c r="F37" s="724" t="s">
        <v>292</v>
      </c>
      <c r="G37" s="2013">
        <v>2.2000000000000002</v>
      </c>
      <c r="H37" s="2014" t="str">
        <f>c_ALR2025!M6704</f>
        <v/>
      </c>
      <c r="I37" s="2043"/>
      <c r="J37" s="2006"/>
      <c r="K37" s="2007"/>
      <c r="L37" s="2007"/>
      <c r="M37" s="2007"/>
      <c r="N37" s="2007"/>
      <c r="O37" s="481"/>
      <c r="P37" s="9"/>
      <c r="Q37" s="1198"/>
      <c r="R37" s="1198"/>
      <c r="S37" s="1198"/>
      <c r="T37" s="1198"/>
      <c r="U37" s="1198"/>
      <c r="V37" s="1198"/>
      <c r="W37" s="1198"/>
      <c r="X37" s="1198"/>
      <c r="Y37" s="1249"/>
      <c r="Z37" s="1249"/>
      <c r="AA37" s="1249"/>
      <c r="AB37" s="1249"/>
      <c r="AC37" s="2011" t="b">
        <f t="shared" si="9"/>
        <v>0</v>
      </c>
      <c r="AD37" s="1963" t="b">
        <f t="shared" si="3"/>
        <v>0</v>
      </c>
      <c r="AE37" s="1963" t="b">
        <f t="shared" si="4"/>
        <v>0</v>
      </c>
      <c r="AF37" s="1963" t="b">
        <f t="shared" si="5"/>
        <v>0</v>
      </c>
      <c r="AG37" s="1963" t="b">
        <f t="shared" si="6"/>
        <v>0</v>
      </c>
      <c r="AH37" s="1963" t="b">
        <f t="shared" si="7"/>
        <v>0</v>
      </c>
      <c r="AI37" s="2012" t="b">
        <f t="shared" si="8"/>
        <v>0</v>
      </c>
      <c r="AJ37" s="1198"/>
      <c r="AK37" s="1198"/>
      <c r="AL37" s="1198"/>
      <c r="AP37" s="1121"/>
    </row>
    <row r="38" spans="1:42" s="1119" customFormat="1">
      <c r="A38" s="1116"/>
      <c r="B38" s="1124"/>
      <c r="C38" s="485"/>
      <c r="D38" s="485"/>
      <c r="E38" s="865" t="s">
        <v>516</v>
      </c>
      <c r="F38" s="724" t="s">
        <v>292</v>
      </c>
      <c r="G38" s="2013">
        <v>7.6</v>
      </c>
      <c r="H38" s="2014" t="str">
        <f>c_ALR2025!M6705</f>
        <v/>
      </c>
      <c r="I38" s="2043"/>
      <c r="J38" s="2006"/>
      <c r="K38" s="2007"/>
      <c r="L38" s="2007"/>
      <c r="M38" s="2007"/>
      <c r="N38" s="2007"/>
      <c r="O38" s="481"/>
      <c r="P38" s="9"/>
      <c r="Q38" s="1198"/>
      <c r="R38" s="1198"/>
      <c r="S38" s="1198"/>
      <c r="T38" s="1198"/>
      <c r="U38" s="1198"/>
      <c r="V38" s="1198"/>
      <c r="W38" s="1198"/>
      <c r="X38" s="1198"/>
      <c r="Y38" s="1249"/>
      <c r="Z38" s="1249"/>
      <c r="AA38" s="1249"/>
      <c r="AB38" s="1249"/>
      <c r="AC38" s="2011" t="b">
        <f t="shared" si="9"/>
        <v>0</v>
      </c>
      <c r="AD38" s="1963" t="b">
        <f t="shared" si="3"/>
        <v>0</v>
      </c>
      <c r="AE38" s="1963" t="b">
        <f t="shared" si="4"/>
        <v>0</v>
      </c>
      <c r="AF38" s="1963" t="b">
        <f t="shared" si="5"/>
        <v>0</v>
      </c>
      <c r="AG38" s="1963" t="b">
        <f t="shared" si="6"/>
        <v>0</v>
      </c>
      <c r="AH38" s="1963" t="b">
        <f t="shared" si="7"/>
        <v>0</v>
      </c>
      <c r="AI38" s="2012" t="b">
        <f t="shared" si="8"/>
        <v>0</v>
      </c>
      <c r="AJ38" s="1198"/>
      <c r="AK38" s="1198"/>
      <c r="AL38" s="1198"/>
      <c r="AP38" s="1121"/>
    </row>
    <row r="39" spans="1:42" s="1119" customFormat="1">
      <c r="A39" s="1116"/>
      <c r="B39" s="1124"/>
      <c r="C39" s="485"/>
      <c r="D39" s="485"/>
      <c r="E39" s="865" t="s">
        <v>517</v>
      </c>
      <c r="F39" s="724" t="s">
        <v>292</v>
      </c>
      <c r="G39" s="2013">
        <v>16.600000000000001</v>
      </c>
      <c r="H39" s="2014" t="str">
        <f>c_ALR2025!M6706</f>
        <v/>
      </c>
      <c r="I39" s="2043"/>
      <c r="J39" s="2006"/>
      <c r="K39" s="2007"/>
      <c r="L39" s="2007"/>
      <c r="M39" s="2007"/>
      <c r="N39" s="2007"/>
      <c r="O39" s="481"/>
      <c r="P39" s="9"/>
      <c r="Q39" s="1198"/>
      <c r="R39" s="1198"/>
      <c r="S39" s="1198"/>
      <c r="T39" s="1198"/>
      <c r="U39" s="1198"/>
      <c r="V39" s="1198"/>
      <c r="W39" s="1198"/>
      <c r="X39" s="1198"/>
      <c r="Y39" s="1249"/>
      <c r="Z39" s="1249"/>
      <c r="AA39" s="1249"/>
      <c r="AB39" s="1249"/>
      <c r="AC39" s="2011" t="b">
        <f t="shared" si="9"/>
        <v>0</v>
      </c>
      <c r="AD39" s="1963" t="b">
        <f t="shared" si="3"/>
        <v>0</v>
      </c>
      <c r="AE39" s="1963" t="b">
        <f t="shared" si="4"/>
        <v>0</v>
      </c>
      <c r="AF39" s="1963" t="b">
        <f t="shared" si="5"/>
        <v>0</v>
      </c>
      <c r="AG39" s="1963" t="b">
        <f t="shared" si="6"/>
        <v>0</v>
      </c>
      <c r="AH39" s="1963" t="b">
        <f t="shared" si="7"/>
        <v>0</v>
      </c>
      <c r="AI39" s="2012" t="b">
        <f t="shared" si="8"/>
        <v>0</v>
      </c>
      <c r="AJ39" s="1198"/>
      <c r="AK39" s="1198"/>
      <c r="AL39" s="1198"/>
      <c r="AP39" s="1121"/>
    </row>
    <row r="40" spans="1:42" s="1119" customFormat="1" ht="12.75" customHeight="1">
      <c r="A40" s="1116"/>
      <c r="B40" s="1124"/>
      <c r="C40" s="485"/>
      <c r="D40" s="485"/>
      <c r="E40" s="865" t="s">
        <v>518</v>
      </c>
      <c r="F40" s="724" t="s">
        <v>367</v>
      </c>
      <c r="G40" s="2013">
        <v>12.75</v>
      </c>
      <c r="H40" s="2014" t="str">
        <f>c_ALR2025!M6707</f>
        <v/>
      </c>
      <c r="I40" s="2043"/>
      <c r="J40" s="2006"/>
      <c r="K40" s="2007"/>
      <c r="L40" s="2007"/>
      <c r="M40" s="2007"/>
      <c r="N40" s="2007"/>
      <c r="O40" s="481"/>
      <c r="P40" s="9"/>
      <c r="Q40" s="1198"/>
      <c r="R40" s="1198"/>
      <c r="S40" s="1198"/>
      <c r="T40" s="1198"/>
      <c r="U40" s="1198"/>
      <c r="V40" s="1198"/>
      <c r="W40" s="1198"/>
      <c r="X40" s="1198"/>
      <c r="Y40" s="1249"/>
      <c r="Z40" s="1249"/>
      <c r="AA40" s="1249"/>
      <c r="AB40" s="1249"/>
      <c r="AC40" s="2011" t="b">
        <f t="shared" si="9"/>
        <v>0</v>
      </c>
      <c r="AD40" s="1963" t="b">
        <f t="shared" si="3"/>
        <v>0</v>
      </c>
      <c r="AE40" s="1963" t="b">
        <f t="shared" si="4"/>
        <v>0</v>
      </c>
      <c r="AF40" s="1963" t="b">
        <f t="shared" si="5"/>
        <v>0</v>
      </c>
      <c r="AG40" s="1963" t="b">
        <f t="shared" si="6"/>
        <v>0</v>
      </c>
      <c r="AH40" s="1963" t="b">
        <f t="shared" si="7"/>
        <v>0</v>
      </c>
      <c r="AI40" s="2012" t="b">
        <f t="shared" si="8"/>
        <v>0</v>
      </c>
      <c r="AJ40" s="1198"/>
      <c r="AK40" s="1198"/>
      <c r="AL40" s="1198"/>
      <c r="AP40" s="1121"/>
    </row>
    <row r="41" spans="1:42" s="1119" customFormat="1" ht="12.75" customHeight="1">
      <c r="A41" s="1116"/>
      <c r="B41" s="1124"/>
      <c r="C41" s="485"/>
      <c r="D41" s="485"/>
      <c r="E41" s="865" t="s">
        <v>368</v>
      </c>
      <c r="F41" s="724" t="s">
        <v>292</v>
      </c>
      <c r="G41" s="2013">
        <v>5.5</v>
      </c>
      <c r="H41" s="2014" t="str">
        <f>c_ALR2025!M6708</f>
        <v/>
      </c>
      <c r="I41" s="2043"/>
      <c r="J41" s="2006"/>
      <c r="K41" s="2007"/>
      <c r="L41" s="2007"/>
      <c r="M41" s="2007"/>
      <c r="N41" s="2007"/>
      <c r="O41" s="481"/>
      <c r="P41" s="9"/>
      <c r="Q41" s="1198"/>
      <c r="R41" s="1198"/>
      <c r="S41" s="1198"/>
      <c r="T41" s="1198"/>
      <c r="U41" s="1198"/>
      <c r="V41" s="1198"/>
      <c r="W41" s="1198"/>
      <c r="X41" s="1198"/>
      <c r="Y41" s="1249"/>
      <c r="Z41" s="1249"/>
      <c r="AA41" s="1249"/>
      <c r="AB41" s="1249"/>
      <c r="AC41" s="2011" t="b">
        <f t="shared" si="9"/>
        <v>0</v>
      </c>
      <c r="AD41" s="1963" t="b">
        <f t="shared" si="3"/>
        <v>0</v>
      </c>
      <c r="AE41" s="1963" t="b">
        <f t="shared" si="4"/>
        <v>0</v>
      </c>
      <c r="AF41" s="1963" t="b">
        <f t="shared" si="5"/>
        <v>0</v>
      </c>
      <c r="AG41" s="1963" t="b">
        <f t="shared" si="6"/>
        <v>0</v>
      </c>
      <c r="AH41" s="1963" t="b">
        <f t="shared" si="7"/>
        <v>0</v>
      </c>
      <c r="AI41" s="2012" t="b">
        <f t="shared" si="8"/>
        <v>0</v>
      </c>
      <c r="AJ41" s="1198"/>
      <c r="AK41" s="1198"/>
      <c r="AL41" s="1198"/>
      <c r="AP41" s="1121"/>
    </row>
    <row r="42" spans="1:42" s="1119" customFormat="1" ht="12.75" customHeight="1">
      <c r="A42" s="1116"/>
      <c r="B42" s="1124"/>
      <c r="C42" s="485"/>
      <c r="D42" s="485"/>
      <c r="E42" s="865" t="s">
        <v>519</v>
      </c>
      <c r="F42" s="724" t="s">
        <v>292</v>
      </c>
      <c r="G42" s="2013">
        <v>4.0999999999999996</v>
      </c>
      <c r="H42" s="2014" t="str">
        <f>c_ALR2025!M6709</f>
        <v/>
      </c>
      <c r="I42" s="2043"/>
      <c r="J42" s="2006"/>
      <c r="K42" s="2007"/>
      <c r="L42" s="2007"/>
      <c r="M42" s="2007"/>
      <c r="N42" s="2007"/>
      <c r="O42" s="481"/>
      <c r="P42" s="9"/>
      <c r="Q42" s="1198"/>
      <c r="R42" s="1198"/>
      <c r="S42" s="1198"/>
      <c r="T42" s="1198"/>
      <c r="U42" s="1198"/>
      <c r="V42" s="1198"/>
      <c r="W42" s="1198"/>
      <c r="X42" s="1198"/>
      <c r="Y42" s="1249"/>
      <c r="Z42" s="1249"/>
      <c r="AA42" s="1249"/>
      <c r="AB42" s="1249"/>
      <c r="AC42" s="2011" t="b">
        <f t="shared" si="9"/>
        <v>0</v>
      </c>
      <c r="AD42" s="1963" t="b">
        <f t="shared" si="3"/>
        <v>0</v>
      </c>
      <c r="AE42" s="1963" t="b">
        <f t="shared" si="4"/>
        <v>0</v>
      </c>
      <c r="AF42" s="1963" t="b">
        <f t="shared" si="5"/>
        <v>0</v>
      </c>
      <c r="AG42" s="1963" t="b">
        <f t="shared" si="6"/>
        <v>0</v>
      </c>
      <c r="AH42" s="1963" t="b">
        <f t="shared" si="7"/>
        <v>0</v>
      </c>
      <c r="AI42" s="2012" t="b">
        <f t="shared" si="8"/>
        <v>0</v>
      </c>
      <c r="AJ42" s="1198"/>
      <c r="AK42" s="1198"/>
      <c r="AL42" s="1198"/>
      <c r="AP42" s="1121"/>
    </row>
    <row r="43" spans="1:42" s="1119" customFormat="1">
      <c r="A43" s="1116"/>
      <c r="B43" s="1124"/>
      <c r="C43" s="485"/>
      <c r="D43" s="485"/>
      <c r="E43" s="865" t="s">
        <v>246</v>
      </c>
      <c r="F43" s="724" t="s">
        <v>292</v>
      </c>
      <c r="G43" s="2013">
        <v>2.85</v>
      </c>
      <c r="H43" s="2014" t="str">
        <f>c_ALR2025!M6710</f>
        <v/>
      </c>
      <c r="I43" s="2043"/>
      <c r="J43" s="2006"/>
      <c r="K43" s="2007"/>
      <c r="L43" s="2007"/>
      <c r="M43" s="2007"/>
      <c r="N43" s="2007"/>
      <c r="O43" s="481"/>
      <c r="P43" s="9"/>
      <c r="Q43" s="1198"/>
      <c r="R43" s="1198"/>
      <c r="S43" s="1198"/>
      <c r="T43" s="1198"/>
      <c r="U43" s="1198"/>
      <c r="V43" s="1198"/>
      <c r="W43" s="1198"/>
      <c r="X43" s="1198"/>
      <c r="Y43" s="1249"/>
      <c r="Z43" s="1249"/>
      <c r="AA43" s="1249"/>
      <c r="AB43" s="1249"/>
      <c r="AC43" s="2011" t="b">
        <f t="shared" si="9"/>
        <v>0</v>
      </c>
      <c r="AD43" s="1963" t="b">
        <f t="shared" si="3"/>
        <v>0</v>
      </c>
      <c r="AE43" s="1963" t="b">
        <f t="shared" si="4"/>
        <v>0</v>
      </c>
      <c r="AF43" s="1963" t="b">
        <f t="shared" si="5"/>
        <v>0</v>
      </c>
      <c r="AG43" s="1963" t="b">
        <f t="shared" si="6"/>
        <v>0</v>
      </c>
      <c r="AH43" s="1963" t="b">
        <f t="shared" si="7"/>
        <v>0</v>
      </c>
      <c r="AI43" s="2012" t="b">
        <f t="shared" si="8"/>
        <v>0</v>
      </c>
      <c r="AJ43" s="1198"/>
      <c r="AK43" s="1198"/>
      <c r="AL43" s="1198"/>
      <c r="AP43" s="1121"/>
    </row>
    <row r="44" spans="1:42" s="1119" customFormat="1" ht="12.75" customHeight="1">
      <c r="A44" s="1116"/>
      <c r="B44" s="1124"/>
      <c r="C44" s="485"/>
      <c r="D44" s="485"/>
      <c r="E44" s="865" t="s">
        <v>70</v>
      </c>
      <c r="F44" s="724" t="s">
        <v>292</v>
      </c>
      <c r="G44" s="2013">
        <v>3.75</v>
      </c>
      <c r="H44" s="2014" t="str">
        <f>c_ALR2025!M6711</f>
        <v/>
      </c>
      <c r="I44" s="2043"/>
      <c r="J44" s="2006"/>
      <c r="K44" s="2007"/>
      <c r="L44" s="2007"/>
      <c r="M44" s="2007"/>
      <c r="N44" s="2007"/>
      <c r="O44" s="481"/>
      <c r="P44" s="9"/>
      <c r="Q44" s="1198"/>
      <c r="R44" s="1198"/>
      <c r="S44" s="1198"/>
      <c r="T44" s="1198"/>
      <c r="U44" s="1198"/>
      <c r="V44" s="1198"/>
      <c r="W44" s="1198"/>
      <c r="X44" s="1198"/>
      <c r="Y44" s="1249"/>
      <c r="Z44" s="1249"/>
      <c r="AA44" s="1249"/>
      <c r="AB44" s="1249"/>
      <c r="AC44" s="2011" t="b">
        <f t="shared" si="9"/>
        <v>0</v>
      </c>
      <c r="AD44" s="1963" t="b">
        <f t="shared" si="3"/>
        <v>0</v>
      </c>
      <c r="AE44" s="1963" t="b">
        <f t="shared" si="4"/>
        <v>0</v>
      </c>
      <c r="AF44" s="1963" t="b">
        <f t="shared" si="5"/>
        <v>0</v>
      </c>
      <c r="AG44" s="1963" t="b">
        <f t="shared" si="6"/>
        <v>0</v>
      </c>
      <c r="AH44" s="1963" t="b">
        <f t="shared" si="7"/>
        <v>0</v>
      </c>
      <c r="AI44" s="2012" t="b">
        <f t="shared" si="8"/>
        <v>0</v>
      </c>
      <c r="AJ44" s="1198"/>
      <c r="AK44" s="1198"/>
      <c r="AL44" s="1198"/>
      <c r="AP44" s="1121"/>
    </row>
    <row r="45" spans="1:42" s="1119" customFormat="1">
      <c r="A45" s="1116"/>
      <c r="B45" s="1124"/>
      <c r="C45" s="485"/>
      <c r="D45" s="485"/>
      <c r="E45" s="865" t="s">
        <v>369</v>
      </c>
      <c r="F45" s="724" t="s">
        <v>292</v>
      </c>
      <c r="G45" s="2013">
        <v>1.1000000000000001</v>
      </c>
      <c r="H45" s="2014" t="str">
        <f>c_ALR2025!M6712</f>
        <v/>
      </c>
      <c r="I45" s="2043"/>
      <c r="J45" s="2006"/>
      <c r="K45" s="2007"/>
      <c r="L45" s="2007"/>
      <c r="M45" s="2007"/>
      <c r="N45" s="2007"/>
      <c r="O45" s="481"/>
      <c r="P45" s="9"/>
      <c r="Q45" s="1198"/>
      <c r="R45" s="1198"/>
      <c r="S45" s="1198"/>
      <c r="T45" s="1198"/>
      <c r="U45" s="1198"/>
      <c r="V45" s="1198"/>
      <c r="W45" s="1198"/>
      <c r="X45" s="1198"/>
      <c r="Y45" s="1249"/>
      <c r="Z45" s="1249"/>
      <c r="AA45" s="1249"/>
      <c r="AB45" s="1249"/>
      <c r="AC45" s="2011" t="b">
        <f t="shared" si="9"/>
        <v>0</v>
      </c>
      <c r="AD45" s="1963" t="b">
        <f t="shared" si="3"/>
        <v>0</v>
      </c>
      <c r="AE45" s="1963" t="b">
        <f t="shared" si="4"/>
        <v>0</v>
      </c>
      <c r="AF45" s="1963" t="b">
        <f t="shared" si="5"/>
        <v>0</v>
      </c>
      <c r="AG45" s="1963" t="b">
        <f t="shared" si="6"/>
        <v>0</v>
      </c>
      <c r="AH45" s="1963" t="b">
        <f t="shared" si="7"/>
        <v>0</v>
      </c>
      <c r="AI45" s="2012" t="b">
        <f t="shared" si="8"/>
        <v>0</v>
      </c>
      <c r="AJ45" s="1198"/>
      <c r="AK45" s="1198"/>
      <c r="AL45" s="1198"/>
      <c r="AP45" s="1121"/>
    </row>
    <row r="46" spans="1:42" s="1119" customFormat="1">
      <c r="A46" s="1116"/>
      <c r="B46" s="1124"/>
      <c r="C46" s="485"/>
      <c r="D46" s="485"/>
      <c r="E46" s="865" t="s">
        <v>71</v>
      </c>
      <c r="F46" s="724" t="s">
        <v>292</v>
      </c>
      <c r="G46" s="2013">
        <v>0.9</v>
      </c>
      <c r="H46" s="2014" t="str">
        <f>c_ALR2025!M6713</f>
        <v/>
      </c>
      <c r="I46" s="2043"/>
      <c r="J46" s="2006"/>
      <c r="K46" s="2007"/>
      <c r="L46" s="2007"/>
      <c r="M46" s="2007"/>
      <c r="N46" s="2007"/>
      <c r="O46" s="481"/>
      <c r="P46" s="9"/>
      <c r="Q46" s="1198"/>
      <c r="R46" s="1198"/>
      <c r="S46" s="1198"/>
      <c r="T46" s="1198"/>
      <c r="U46" s="1198"/>
      <c r="V46" s="1198"/>
      <c r="W46" s="1198"/>
      <c r="X46" s="1198"/>
      <c r="Y46" s="1249"/>
      <c r="Z46" s="1249"/>
      <c r="AA46" s="1249"/>
      <c r="AB46" s="1249"/>
      <c r="AC46" s="2011" t="b">
        <f t="shared" si="9"/>
        <v>0</v>
      </c>
      <c r="AD46" s="1963" t="b">
        <f t="shared" si="3"/>
        <v>0</v>
      </c>
      <c r="AE46" s="1963" t="b">
        <f t="shared" si="4"/>
        <v>0</v>
      </c>
      <c r="AF46" s="1963" t="b">
        <f t="shared" si="5"/>
        <v>0</v>
      </c>
      <c r="AG46" s="1963" t="b">
        <f t="shared" si="6"/>
        <v>0</v>
      </c>
      <c r="AH46" s="1963" t="b">
        <f t="shared" si="7"/>
        <v>0</v>
      </c>
      <c r="AI46" s="2012" t="b">
        <f t="shared" si="8"/>
        <v>0</v>
      </c>
      <c r="AJ46" s="1198"/>
      <c r="AK46" s="1198"/>
      <c r="AL46" s="1198"/>
      <c r="AP46" s="1121"/>
    </row>
    <row r="47" spans="1:42" s="1119" customFormat="1" ht="12.75" customHeight="1">
      <c r="A47" s="1116"/>
      <c r="B47" s="1124"/>
      <c r="C47" s="485"/>
      <c r="D47" s="485"/>
      <c r="E47" s="865" t="s">
        <v>72</v>
      </c>
      <c r="F47" s="724" t="s">
        <v>292</v>
      </c>
      <c r="G47" s="2013">
        <v>1.55</v>
      </c>
      <c r="H47" s="2014" t="str">
        <f>c_ALR2025!M6714</f>
        <v/>
      </c>
      <c r="I47" s="2043"/>
      <c r="J47" s="2006"/>
      <c r="K47" s="2007"/>
      <c r="L47" s="2007"/>
      <c r="M47" s="2007"/>
      <c r="N47" s="2007"/>
      <c r="O47" s="481"/>
      <c r="P47" s="9"/>
      <c r="Q47" s="1198"/>
      <c r="R47" s="1198"/>
      <c r="S47" s="1198"/>
      <c r="T47" s="1198"/>
      <c r="U47" s="1198"/>
      <c r="V47" s="1198"/>
      <c r="W47" s="1198"/>
      <c r="X47" s="1198"/>
      <c r="Y47" s="1249"/>
      <c r="Z47" s="1249"/>
      <c r="AA47" s="1249"/>
      <c r="AB47" s="1249"/>
      <c r="AC47" s="2011" t="b">
        <f t="shared" si="9"/>
        <v>0</v>
      </c>
      <c r="AD47" s="1963" t="b">
        <f t="shared" si="3"/>
        <v>0</v>
      </c>
      <c r="AE47" s="1963" t="b">
        <f t="shared" si="4"/>
        <v>0</v>
      </c>
      <c r="AF47" s="1963" t="b">
        <f t="shared" si="5"/>
        <v>0</v>
      </c>
      <c r="AG47" s="1963" t="b">
        <f t="shared" si="6"/>
        <v>0</v>
      </c>
      <c r="AH47" s="1963" t="b">
        <f t="shared" si="7"/>
        <v>0</v>
      </c>
      <c r="AI47" s="2012" t="b">
        <f t="shared" si="8"/>
        <v>0</v>
      </c>
      <c r="AJ47" s="1198"/>
      <c r="AK47" s="1198"/>
      <c r="AL47" s="1198"/>
      <c r="AP47" s="1121"/>
    </row>
    <row r="48" spans="1:42" s="1119" customFormat="1" ht="12.75" customHeight="1">
      <c r="A48" s="1116"/>
      <c r="B48" s="1124"/>
      <c r="C48" s="485"/>
      <c r="D48" s="485"/>
      <c r="E48" s="865" t="s">
        <v>370</v>
      </c>
      <c r="F48" s="724" t="s">
        <v>292</v>
      </c>
      <c r="G48" s="2013">
        <v>0.9</v>
      </c>
      <c r="H48" s="2014" t="str">
        <f>c_ALR2025!M6715</f>
        <v/>
      </c>
      <c r="I48" s="2043"/>
      <c r="J48" s="2006"/>
      <c r="K48" s="2007"/>
      <c r="L48" s="2007"/>
      <c r="M48" s="2007"/>
      <c r="N48" s="2007"/>
      <c r="O48" s="481"/>
      <c r="P48" s="9"/>
      <c r="Q48" s="1198"/>
      <c r="R48" s="1198"/>
      <c r="S48" s="1198"/>
      <c r="T48" s="1198"/>
      <c r="U48" s="1198"/>
      <c r="V48" s="1198"/>
      <c r="W48" s="1198"/>
      <c r="X48" s="1198"/>
      <c r="Y48" s="1249"/>
      <c r="Z48" s="1249"/>
      <c r="AA48" s="1249"/>
      <c r="AB48" s="1249"/>
      <c r="AC48" s="2011" t="b">
        <f t="shared" si="9"/>
        <v>0</v>
      </c>
      <c r="AD48" s="1963" t="b">
        <f t="shared" si="3"/>
        <v>0</v>
      </c>
      <c r="AE48" s="1963" t="b">
        <f t="shared" si="4"/>
        <v>0</v>
      </c>
      <c r="AF48" s="1963" t="b">
        <f t="shared" si="5"/>
        <v>0</v>
      </c>
      <c r="AG48" s="1963" t="b">
        <f t="shared" si="6"/>
        <v>0</v>
      </c>
      <c r="AH48" s="1963" t="b">
        <f t="shared" si="7"/>
        <v>0</v>
      </c>
      <c r="AI48" s="2012" t="b">
        <f t="shared" si="8"/>
        <v>0</v>
      </c>
      <c r="AJ48" s="1198"/>
      <c r="AK48" s="1198"/>
      <c r="AL48" s="1198"/>
      <c r="AP48" s="1121"/>
    </row>
    <row r="49" spans="1:42" s="1119" customFormat="1" ht="12.75" customHeight="1">
      <c r="A49" s="1116"/>
      <c r="B49" s="1124"/>
      <c r="C49" s="485"/>
      <c r="D49" s="485"/>
      <c r="E49" s="865" t="s">
        <v>73</v>
      </c>
      <c r="F49" s="724" t="s">
        <v>367</v>
      </c>
      <c r="G49" s="2013">
        <v>300</v>
      </c>
      <c r="H49" s="2014" t="str">
        <f>c_ALR2025!M6716</f>
        <v/>
      </c>
      <c r="I49" s="2043"/>
      <c r="J49" s="2006"/>
      <c r="K49" s="2007"/>
      <c r="L49" s="2007"/>
      <c r="M49" s="2007"/>
      <c r="N49" s="2007"/>
      <c r="O49" s="481"/>
      <c r="P49" s="9"/>
      <c r="Q49" s="1198"/>
      <c r="R49" s="1198"/>
      <c r="S49" s="1198"/>
      <c r="T49" s="1198"/>
      <c r="U49" s="1198"/>
      <c r="V49" s="1198"/>
      <c r="W49" s="1198"/>
      <c r="X49" s="1198"/>
      <c r="Y49" s="1249"/>
      <c r="Z49" s="1249"/>
      <c r="AA49" s="1249"/>
      <c r="AB49" s="1249"/>
      <c r="AC49" s="2011" t="b">
        <f t="shared" si="9"/>
        <v>0</v>
      </c>
      <c r="AD49" s="1963" t="b">
        <f t="shared" si="3"/>
        <v>0</v>
      </c>
      <c r="AE49" s="1963" t="b">
        <f t="shared" si="4"/>
        <v>0</v>
      </c>
      <c r="AF49" s="1963" t="b">
        <f t="shared" si="5"/>
        <v>0</v>
      </c>
      <c r="AG49" s="1963" t="b">
        <f t="shared" si="6"/>
        <v>0</v>
      </c>
      <c r="AH49" s="1963" t="b">
        <f t="shared" si="7"/>
        <v>0</v>
      </c>
      <c r="AI49" s="2012" t="b">
        <f t="shared" si="8"/>
        <v>0</v>
      </c>
      <c r="AJ49" s="1198"/>
      <c r="AK49" s="1198"/>
      <c r="AL49" s="1198"/>
      <c r="AP49" s="1121"/>
    </row>
    <row r="50" spans="1:42" s="1119" customFormat="1" ht="12.75" customHeight="1">
      <c r="A50" s="1116"/>
      <c r="B50" s="1124"/>
      <c r="C50" s="485"/>
      <c r="D50" s="485"/>
      <c r="E50" s="865" t="s">
        <v>371</v>
      </c>
      <c r="F50" s="724" t="s">
        <v>292</v>
      </c>
      <c r="G50" s="2013">
        <v>4.95</v>
      </c>
      <c r="H50" s="2014" t="str">
        <f>c_ALR2025!M6717</f>
        <v/>
      </c>
      <c r="I50" s="2043"/>
      <c r="J50" s="2006"/>
      <c r="K50" s="2007"/>
      <c r="L50" s="2007"/>
      <c r="M50" s="2007"/>
      <c r="N50" s="2007"/>
      <c r="O50" s="481"/>
      <c r="P50" s="9"/>
      <c r="Q50" s="1198"/>
      <c r="R50" s="1198"/>
      <c r="S50" s="1198"/>
      <c r="T50" s="1198"/>
      <c r="U50" s="1198"/>
      <c r="V50" s="1198"/>
      <c r="W50" s="1198"/>
      <c r="X50" s="1198"/>
      <c r="Y50" s="1249"/>
      <c r="Z50" s="1249"/>
      <c r="AA50" s="1249"/>
      <c r="AB50" s="1249"/>
      <c r="AC50" s="2011" t="b">
        <f t="shared" si="9"/>
        <v>0</v>
      </c>
      <c r="AD50" s="1963" t="b">
        <f t="shared" si="3"/>
        <v>0</v>
      </c>
      <c r="AE50" s="1963" t="b">
        <f t="shared" si="4"/>
        <v>0</v>
      </c>
      <c r="AF50" s="1963" t="b">
        <f t="shared" si="5"/>
        <v>0</v>
      </c>
      <c r="AG50" s="1963" t="b">
        <f t="shared" si="6"/>
        <v>0</v>
      </c>
      <c r="AH50" s="1963" t="b">
        <f t="shared" si="7"/>
        <v>0</v>
      </c>
      <c r="AI50" s="2012" t="b">
        <f t="shared" si="8"/>
        <v>0</v>
      </c>
      <c r="AJ50" s="1198"/>
      <c r="AK50" s="1198"/>
      <c r="AL50" s="1198"/>
      <c r="AP50" s="1121"/>
    </row>
    <row r="51" spans="1:42" s="1119" customFormat="1">
      <c r="A51" s="1116"/>
      <c r="B51" s="1124"/>
      <c r="C51" s="485"/>
      <c r="D51" s="485"/>
      <c r="E51" s="865" t="s">
        <v>74</v>
      </c>
      <c r="F51" s="724" t="s">
        <v>367</v>
      </c>
      <c r="G51" s="2013">
        <v>7.25</v>
      </c>
      <c r="H51" s="2014" t="str">
        <f>c_ALR2025!M6718</f>
        <v/>
      </c>
      <c r="I51" s="2043"/>
      <c r="J51" s="2006"/>
      <c r="K51" s="2007"/>
      <c r="L51" s="2007"/>
      <c r="M51" s="2007"/>
      <c r="N51" s="2007"/>
      <c r="O51" s="481"/>
      <c r="P51" s="9"/>
      <c r="Q51" s="1198"/>
      <c r="R51" s="1198"/>
      <c r="S51" s="1198"/>
      <c r="T51" s="1198"/>
      <c r="U51" s="1198"/>
      <c r="V51" s="1198"/>
      <c r="W51" s="1198"/>
      <c r="X51" s="1198"/>
      <c r="Y51" s="1249"/>
      <c r="Z51" s="1249"/>
      <c r="AA51" s="1249"/>
      <c r="AB51" s="1249"/>
      <c r="AC51" s="2011" t="b">
        <f t="shared" si="9"/>
        <v>0</v>
      </c>
      <c r="AD51" s="1963" t="b">
        <f t="shared" si="3"/>
        <v>0</v>
      </c>
      <c r="AE51" s="1963" t="b">
        <f t="shared" si="4"/>
        <v>0</v>
      </c>
      <c r="AF51" s="1963" t="b">
        <f t="shared" si="5"/>
        <v>0</v>
      </c>
      <c r="AG51" s="1963" t="b">
        <f t="shared" si="6"/>
        <v>0</v>
      </c>
      <c r="AH51" s="1963" t="b">
        <f t="shared" si="7"/>
        <v>0</v>
      </c>
      <c r="AI51" s="2012" t="b">
        <f t="shared" si="8"/>
        <v>0</v>
      </c>
      <c r="AJ51" s="1198"/>
      <c r="AK51" s="1198"/>
      <c r="AL51" s="1198"/>
      <c r="AP51" s="1121"/>
    </row>
    <row r="52" spans="1:42" s="1119" customFormat="1" ht="12.75" customHeight="1">
      <c r="A52" s="1116"/>
      <c r="B52" s="1124"/>
      <c r="C52" s="485"/>
      <c r="D52" s="485"/>
      <c r="E52" s="865" t="s">
        <v>372</v>
      </c>
      <c r="F52" s="724" t="s">
        <v>1023</v>
      </c>
      <c r="G52" s="2013">
        <v>3.25</v>
      </c>
      <c r="H52" s="2014" t="str">
        <f>c_ALR2025!M6719</f>
        <v/>
      </c>
      <c r="I52" s="2043"/>
      <c r="J52" s="2006"/>
      <c r="K52" s="2007"/>
      <c r="L52" s="2007"/>
      <c r="M52" s="2007"/>
      <c r="N52" s="2007"/>
      <c r="O52" s="481"/>
      <c r="P52" s="9"/>
      <c r="Q52" s="1198"/>
      <c r="R52" s="1198"/>
      <c r="S52" s="1198"/>
      <c r="T52" s="1198"/>
      <c r="U52" s="1198"/>
      <c r="V52" s="1198"/>
      <c r="W52" s="1198"/>
      <c r="X52" s="1198"/>
      <c r="Y52" s="1249"/>
      <c r="Z52" s="1249"/>
      <c r="AA52" s="1249"/>
      <c r="AB52" s="1249"/>
      <c r="AC52" s="2011" t="b">
        <f t="shared" si="9"/>
        <v>0</v>
      </c>
      <c r="AD52" s="1963" t="b">
        <f t="shared" si="3"/>
        <v>0</v>
      </c>
      <c r="AE52" s="1963" t="b">
        <f t="shared" si="4"/>
        <v>0</v>
      </c>
      <c r="AF52" s="1963" t="b">
        <f t="shared" si="5"/>
        <v>0</v>
      </c>
      <c r="AG52" s="1963" t="b">
        <f t="shared" si="6"/>
        <v>0</v>
      </c>
      <c r="AH52" s="1963" t="b">
        <f t="shared" si="7"/>
        <v>0</v>
      </c>
      <c r="AI52" s="2012" t="b">
        <f t="shared" si="8"/>
        <v>0</v>
      </c>
      <c r="AJ52" s="1198"/>
      <c r="AK52" s="1198"/>
      <c r="AL52" s="1198"/>
      <c r="AP52" s="1121"/>
    </row>
    <row r="53" spans="1:42" s="1119" customFormat="1" ht="12.75" customHeight="1">
      <c r="A53" s="1116"/>
      <c r="B53" s="1124"/>
      <c r="C53" s="485"/>
      <c r="D53" s="485"/>
      <c r="E53" s="865" t="s">
        <v>1024</v>
      </c>
      <c r="F53" s="724" t="s">
        <v>1023</v>
      </c>
      <c r="G53" s="2013">
        <v>2.85</v>
      </c>
      <c r="H53" s="2014" t="str">
        <f>c_ALR2025!M6720</f>
        <v/>
      </c>
      <c r="I53" s="2043"/>
      <c r="J53" s="2006"/>
      <c r="K53" s="2007"/>
      <c r="L53" s="2007"/>
      <c r="M53" s="2007"/>
      <c r="N53" s="2007"/>
      <c r="O53" s="481"/>
      <c r="P53" s="9"/>
      <c r="Q53" s="1198"/>
      <c r="R53" s="1198"/>
      <c r="S53" s="1198"/>
      <c r="T53" s="1198"/>
      <c r="U53" s="1198"/>
      <c r="V53" s="1198"/>
      <c r="W53" s="1198"/>
      <c r="X53" s="1198"/>
      <c r="Y53" s="1249"/>
      <c r="Z53" s="1249"/>
      <c r="AA53" s="1249"/>
      <c r="AB53" s="1249"/>
      <c r="AC53" s="2011" t="b">
        <f t="shared" si="9"/>
        <v>0</v>
      </c>
      <c r="AD53" s="1963" t="b">
        <f t="shared" si="3"/>
        <v>0</v>
      </c>
      <c r="AE53" s="1963" t="b">
        <f t="shared" si="4"/>
        <v>0</v>
      </c>
      <c r="AF53" s="1963" t="b">
        <f t="shared" si="5"/>
        <v>0</v>
      </c>
      <c r="AG53" s="1963" t="b">
        <f t="shared" si="6"/>
        <v>0</v>
      </c>
      <c r="AH53" s="1963" t="b">
        <f t="shared" si="7"/>
        <v>0</v>
      </c>
      <c r="AI53" s="2012" t="b">
        <f t="shared" si="8"/>
        <v>0</v>
      </c>
      <c r="AJ53" s="1198"/>
      <c r="AK53" s="1198"/>
      <c r="AL53" s="1198"/>
      <c r="AP53" s="1121"/>
    </row>
    <row r="54" spans="1:42" s="1119" customFormat="1" ht="12.75" customHeight="1">
      <c r="A54" s="1116"/>
      <c r="B54" s="1124"/>
      <c r="C54" s="485"/>
      <c r="D54" s="485"/>
      <c r="E54" s="865" t="s">
        <v>75</v>
      </c>
      <c r="F54" s="724" t="s">
        <v>367</v>
      </c>
      <c r="G54" s="2013">
        <v>5.6</v>
      </c>
      <c r="H54" s="2014" t="str">
        <f>c_ALR2025!M6721</f>
        <v/>
      </c>
      <c r="I54" s="2043"/>
      <c r="J54" s="2006"/>
      <c r="K54" s="2007"/>
      <c r="L54" s="2007"/>
      <c r="M54" s="2007"/>
      <c r="N54" s="2007"/>
      <c r="O54" s="481"/>
      <c r="P54" s="9"/>
      <c r="Q54" s="1198"/>
      <c r="R54" s="1198"/>
      <c r="S54" s="1198"/>
      <c r="T54" s="1198"/>
      <c r="U54" s="1198"/>
      <c r="V54" s="1198"/>
      <c r="W54" s="1198"/>
      <c r="X54" s="1198"/>
      <c r="Y54" s="1249"/>
      <c r="Z54" s="1249"/>
      <c r="AA54" s="1249"/>
      <c r="AB54" s="1249"/>
      <c r="AC54" s="2011" t="b">
        <f t="shared" si="9"/>
        <v>0</v>
      </c>
      <c r="AD54" s="1963" t="b">
        <f t="shared" si="3"/>
        <v>0</v>
      </c>
      <c r="AE54" s="1963" t="b">
        <f t="shared" si="4"/>
        <v>0</v>
      </c>
      <c r="AF54" s="1963" t="b">
        <f t="shared" si="5"/>
        <v>0</v>
      </c>
      <c r="AG54" s="1963" t="b">
        <f t="shared" si="6"/>
        <v>0</v>
      </c>
      <c r="AH54" s="1963" t="b">
        <f t="shared" si="7"/>
        <v>0</v>
      </c>
      <c r="AI54" s="2012" t="b">
        <f t="shared" si="8"/>
        <v>0</v>
      </c>
      <c r="AJ54" s="1198"/>
      <c r="AK54" s="1198"/>
      <c r="AL54" s="1198"/>
      <c r="AP54" s="1121"/>
    </row>
    <row r="55" spans="1:42" s="1119" customFormat="1" ht="12.75" customHeight="1">
      <c r="A55" s="1116"/>
      <c r="B55" s="1124"/>
      <c r="C55" s="485"/>
      <c r="D55" s="485"/>
      <c r="E55" s="865" t="s">
        <v>76</v>
      </c>
      <c r="F55" s="724" t="s">
        <v>292</v>
      </c>
      <c r="G55" s="2013">
        <v>3.45</v>
      </c>
      <c r="H55" s="2014" t="str">
        <f>c_ALR2025!M6722</f>
        <v/>
      </c>
      <c r="I55" s="2043"/>
      <c r="J55" s="2006"/>
      <c r="K55" s="2007"/>
      <c r="L55" s="2007"/>
      <c r="M55" s="2007"/>
      <c r="N55" s="2007"/>
      <c r="O55" s="481"/>
      <c r="P55" s="9"/>
      <c r="Q55" s="1198"/>
      <c r="R55" s="1198"/>
      <c r="S55" s="1198"/>
      <c r="T55" s="1198"/>
      <c r="U55" s="1198"/>
      <c r="V55" s="1198"/>
      <c r="W55" s="1198"/>
      <c r="X55" s="1198"/>
      <c r="Y55" s="1249"/>
      <c r="Z55" s="1249"/>
      <c r="AA55" s="1249"/>
      <c r="AB55" s="1249"/>
      <c r="AC55" s="2011" t="b">
        <f t="shared" si="9"/>
        <v>0</v>
      </c>
      <c r="AD55" s="1963" t="b">
        <f t="shared" si="3"/>
        <v>0</v>
      </c>
      <c r="AE55" s="1963" t="b">
        <f t="shared" si="4"/>
        <v>0</v>
      </c>
      <c r="AF55" s="1963" t="b">
        <f t="shared" si="5"/>
        <v>0</v>
      </c>
      <c r="AG55" s="1963" t="b">
        <f t="shared" si="6"/>
        <v>0</v>
      </c>
      <c r="AH55" s="1963" t="b">
        <f t="shared" si="7"/>
        <v>0</v>
      </c>
      <c r="AI55" s="2012" t="b">
        <f t="shared" si="8"/>
        <v>0</v>
      </c>
      <c r="AJ55" s="1198"/>
      <c r="AK55" s="1198"/>
      <c r="AL55" s="1198"/>
      <c r="AP55" s="1121"/>
    </row>
    <row r="56" spans="1:42" s="1119" customFormat="1" ht="12.75" customHeight="1">
      <c r="A56" s="1116"/>
      <c r="B56" s="1124"/>
      <c r="C56" s="485"/>
      <c r="D56" s="485"/>
      <c r="E56" s="865" t="s">
        <v>1025</v>
      </c>
      <c r="F56" s="724" t="s">
        <v>367</v>
      </c>
      <c r="G56" s="2013">
        <v>2.1</v>
      </c>
      <c r="H56" s="2014" t="str">
        <f>c_ALR2025!M6723</f>
        <v/>
      </c>
      <c r="I56" s="2043"/>
      <c r="J56" s="2006"/>
      <c r="K56" s="2007"/>
      <c r="L56" s="2007"/>
      <c r="M56" s="2007"/>
      <c r="N56" s="2007"/>
      <c r="O56" s="481"/>
      <c r="P56" s="9"/>
      <c r="Q56" s="1198"/>
      <c r="R56" s="1198"/>
      <c r="S56" s="1198"/>
      <c r="T56" s="1198"/>
      <c r="U56" s="1198"/>
      <c r="V56" s="1198"/>
      <c r="W56" s="1198"/>
      <c r="X56" s="1198"/>
      <c r="Y56" s="1249"/>
      <c r="Z56" s="1249"/>
      <c r="AA56" s="1249"/>
      <c r="AB56" s="1249"/>
      <c r="AC56" s="2011" t="b">
        <f t="shared" si="9"/>
        <v>0</v>
      </c>
      <c r="AD56" s="1963" t="b">
        <f t="shared" si="3"/>
        <v>0</v>
      </c>
      <c r="AE56" s="1963" t="b">
        <f t="shared" si="4"/>
        <v>0</v>
      </c>
      <c r="AF56" s="1963" t="b">
        <f t="shared" si="5"/>
        <v>0</v>
      </c>
      <c r="AG56" s="1963" t="b">
        <f t="shared" si="6"/>
        <v>0</v>
      </c>
      <c r="AH56" s="1963" t="b">
        <f t="shared" si="7"/>
        <v>0</v>
      </c>
      <c r="AI56" s="2012" t="b">
        <f t="shared" si="8"/>
        <v>0</v>
      </c>
      <c r="AJ56" s="1198"/>
      <c r="AK56" s="1198"/>
      <c r="AL56" s="1198"/>
      <c r="AP56" s="1121"/>
    </row>
    <row r="57" spans="1:42" s="1119" customFormat="1">
      <c r="A57" s="1116"/>
      <c r="B57" s="1124"/>
      <c r="C57" s="485"/>
      <c r="D57" s="485"/>
      <c r="E57" s="865" t="s">
        <v>1026</v>
      </c>
      <c r="F57" s="724" t="s">
        <v>367</v>
      </c>
      <c r="G57" s="2013">
        <v>0.55000000000000004</v>
      </c>
      <c r="H57" s="2014" t="str">
        <f>c_ALR2025!M6724</f>
        <v/>
      </c>
      <c r="I57" s="2043"/>
      <c r="J57" s="2006"/>
      <c r="K57" s="2007"/>
      <c r="L57" s="2007"/>
      <c r="M57" s="2007"/>
      <c r="N57" s="2007"/>
      <c r="O57" s="481"/>
      <c r="P57" s="9"/>
      <c r="Q57" s="1198"/>
      <c r="R57" s="1198"/>
      <c r="S57" s="1198"/>
      <c r="T57" s="1198"/>
      <c r="U57" s="1198"/>
      <c r="V57" s="1198"/>
      <c r="W57" s="1198"/>
      <c r="X57" s="1198"/>
      <c r="Y57" s="1249"/>
      <c r="Z57" s="1249"/>
      <c r="AA57" s="1249"/>
      <c r="AB57" s="1249"/>
      <c r="AC57" s="2011" t="b">
        <f t="shared" si="9"/>
        <v>0</v>
      </c>
      <c r="AD57" s="1963" t="b">
        <f t="shared" si="3"/>
        <v>0</v>
      </c>
      <c r="AE57" s="1963" t="b">
        <f t="shared" si="4"/>
        <v>0</v>
      </c>
      <c r="AF57" s="1963" t="b">
        <f t="shared" si="5"/>
        <v>0</v>
      </c>
      <c r="AG57" s="1963" t="b">
        <f t="shared" si="6"/>
        <v>0</v>
      </c>
      <c r="AH57" s="1963" t="b">
        <f t="shared" si="7"/>
        <v>0</v>
      </c>
      <c r="AI57" s="2012" t="b">
        <f t="shared" si="8"/>
        <v>0</v>
      </c>
      <c r="AJ57" s="1198"/>
      <c r="AK57" s="1198"/>
      <c r="AL57" s="1198"/>
      <c r="AP57" s="1121"/>
    </row>
    <row r="58" spans="1:42" s="1119" customFormat="1" ht="12.75" customHeight="1">
      <c r="A58" s="1116"/>
      <c r="B58" s="1124"/>
      <c r="C58" s="485"/>
      <c r="D58" s="485"/>
      <c r="E58" s="865" t="s">
        <v>1027</v>
      </c>
      <c r="F58" s="724" t="s">
        <v>367</v>
      </c>
      <c r="G58" s="2013">
        <v>18.600000000000001</v>
      </c>
      <c r="H58" s="2014" t="str">
        <f>c_ALR2025!M6725</f>
        <v/>
      </c>
      <c r="I58" s="2043"/>
      <c r="J58" s="2006"/>
      <c r="K58" s="2007"/>
      <c r="L58" s="2007"/>
      <c r="M58" s="2007"/>
      <c r="N58" s="2007"/>
      <c r="O58" s="481"/>
      <c r="P58" s="9"/>
      <c r="Q58" s="1198"/>
      <c r="R58" s="1198"/>
      <c r="S58" s="1198"/>
      <c r="T58" s="1198"/>
      <c r="U58" s="1198"/>
      <c r="V58" s="1198"/>
      <c r="W58" s="1198"/>
      <c r="X58" s="1198"/>
      <c r="Y58" s="1249"/>
      <c r="Z58" s="1249"/>
      <c r="AA58" s="1249"/>
      <c r="AB58" s="1249"/>
      <c r="AC58" s="2011" t="b">
        <f t="shared" si="9"/>
        <v>0</v>
      </c>
      <c r="AD58" s="1963" t="b">
        <f t="shared" si="3"/>
        <v>0</v>
      </c>
      <c r="AE58" s="1963" t="b">
        <f t="shared" si="4"/>
        <v>0</v>
      </c>
      <c r="AF58" s="1963" t="b">
        <f t="shared" si="5"/>
        <v>0</v>
      </c>
      <c r="AG58" s="1963" t="b">
        <f t="shared" si="6"/>
        <v>0</v>
      </c>
      <c r="AH58" s="1963" t="b">
        <f t="shared" si="7"/>
        <v>0</v>
      </c>
      <c r="AI58" s="2012" t="b">
        <f t="shared" si="8"/>
        <v>0</v>
      </c>
      <c r="AJ58" s="1198"/>
      <c r="AK58" s="1198"/>
      <c r="AL58" s="1198"/>
      <c r="AP58" s="1121"/>
    </row>
    <row r="59" spans="1:42" s="1119" customFormat="1" ht="12.75" customHeight="1">
      <c r="A59" s="1116"/>
      <c r="B59" s="1124"/>
      <c r="C59" s="485"/>
      <c r="D59" s="485"/>
      <c r="E59" s="865" t="s">
        <v>1028</v>
      </c>
      <c r="F59" s="724" t="s">
        <v>292</v>
      </c>
      <c r="G59" s="2013">
        <v>5.25</v>
      </c>
      <c r="H59" s="2014" t="str">
        <f>c_ALR2025!M6726</f>
        <v/>
      </c>
      <c r="I59" s="2043"/>
      <c r="J59" s="2006"/>
      <c r="K59" s="2007"/>
      <c r="L59" s="2007"/>
      <c r="M59" s="2007"/>
      <c r="N59" s="2007"/>
      <c r="O59" s="481"/>
      <c r="P59" s="9"/>
      <c r="Q59" s="1198"/>
      <c r="R59" s="1198"/>
      <c r="S59" s="1198"/>
      <c r="T59" s="1198"/>
      <c r="U59" s="1198"/>
      <c r="V59" s="1198"/>
      <c r="W59" s="1198"/>
      <c r="X59" s="1198"/>
      <c r="Y59" s="1249"/>
      <c r="Z59" s="1249"/>
      <c r="AA59" s="1249"/>
      <c r="AB59" s="1249"/>
      <c r="AC59" s="2011" t="b">
        <f t="shared" si="9"/>
        <v>0</v>
      </c>
      <c r="AD59" s="1963" t="b">
        <f t="shared" si="3"/>
        <v>0</v>
      </c>
      <c r="AE59" s="1963" t="b">
        <f t="shared" si="4"/>
        <v>0</v>
      </c>
      <c r="AF59" s="1963" t="b">
        <f t="shared" si="5"/>
        <v>0</v>
      </c>
      <c r="AG59" s="1963" t="b">
        <f t="shared" si="6"/>
        <v>0</v>
      </c>
      <c r="AH59" s="1963" t="b">
        <f t="shared" si="7"/>
        <v>0</v>
      </c>
      <c r="AI59" s="2012" t="b">
        <f t="shared" si="8"/>
        <v>0</v>
      </c>
      <c r="AJ59" s="1198"/>
      <c r="AK59" s="1198"/>
      <c r="AL59" s="1198"/>
      <c r="AP59" s="1121"/>
    </row>
    <row r="60" spans="1:42" s="1119" customFormat="1" ht="12.75" customHeight="1">
      <c r="A60" s="1116"/>
      <c r="B60" s="1124"/>
      <c r="C60" s="485"/>
      <c r="D60" s="485"/>
      <c r="E60" s="865" t="s">
        <v>1029</v>
      </c>
      <c r="F60" s="724" t="s">
        <v>292</v>
      </c>
      <c r="G60" s="2013">
        <v>2.4500000000000002</v>
      </c>
      <c r="H60" s="2014" t="str">
        <f>c_ALR2025!M6727</f>
        <v/>
      </c>
      <c r="I60" s="2043"/>
      <c r="J60" s="2006"/>
      <c r="K60" s="2007"/>
      <c r="L60" s="2007"/>
      <c r="M60" s="2007"/>
      <c r="N60" s="2007"/>
      <c r="O60" s="481"/>
      <c r="P60" s="9"/>
      <c r="Q60" s="1198"/>
      <c r="R60" s="1198"/>
      <c r="S60" s="1198"/>
      <c r="T60" s="1198"/>
      <c r="U60" s="1198"/>
      <c r="V60" s="1198"/>
      <c r="W60" s="1198"/>
      <c r="X60" s="1198"/>
      <c r="Y60" s="1249"/>
      <c r="Z60" s="1249"/>
      <c r="AA60" s="1249"/>
      <c r="AB60" s="1249"/>
      <c r="AC60" s="2011" t="b">
        <f t="shared" si="9"/>
        <v>0</v>
      </c>
      <c r="AD60" s="1963" t="b">
        <f t="shared" si="3"/>
        <v>0</v>
      </c>
      <c r="AE60" s="1963" t="b">
        <f t="shared" si="4"/>
        <v>0</v>
      </c>
      <c r="AF60" s="1963" t="b">
        <f t="shared" si="5"/>
        <v>0</v>
      </c>
      <c r="AG60" s="1963" t="b">
        <f t="shared" si="6"/>
        <v>0</v>
      </c>
      <c r="AH60" s="1963" t="b">
        <f t="shared" si="7"/>
        <v>0</v>
      </c>
      <c r="AI60" s="2012" t="b">
        <f t="shared" si="8"/>
        <v>0</v>
      </c>
      <c r="AJ60" s="1198"/>
      <c r="AK60" s="1198"/>
      <c r="AL60" s="1198"/>
      <c r="AP60" s="1121"/>
    </row>
    <row r="61" spans="1:42" s="1119" customFormat="1">
      <c r="A61" s="1116"/>
      <c r="B61" s="1124"/>
      <c r="C61" s="485"/>
      <c r="D61" s="485"/>
      <c r="E61" s="865" t="s">
        <v>1030</v>
      </c>
      <c r="F61" s="724" t="s">
        <v>292</v>
      </c>
      <c r="G61" s="2013">
        <v>1.85</v>
      </c>
      <c r="H61" s="2014" t="str">
        <f>c_ALR2025!M6728</f>
        <v/>
      </c>
      <c r="I61" s="2043"/>
      <c r="J61" s="2006"/>
      <c r="K61" s="2007"/>
      <c r="L61" s="2007"/>
      <c r="M61" s="2007"/>
      <c r="N61" s="2007"/>
      <c r="O61" s="481"/>
      <c r="P61" s="9"/>
      <c r="Q61" s="1198"/>
      <c r="R61" s="1198"/>
      <c r="S61" s="1198"/>
      <c r="T61" s="1198"/>
      <c r="U61" s="1198"/>
      <c r="V61" s="1198"/>
      <c r="W61" s="1198"/>
      <c r="X61" s="1198"/>
      <c r="Y61" s="1249"/>
      <c r="Z61" s="1249"/>
      <c r="AA61" s="1249"/>
      <c r="AB61" s="1249"/>
      <c r="AC61" s="2011" t="b">
        <f t="shared" si="9"/>
        <v>0</v>
      </c>
      <c r="AD61" s="1963" t="b">
        <f t="shared" si="3"/>
        <v>0</v>
      </c>
      <c r="AE61" s="1963" t="b">
        <f t="shared" si="4"/>
        <v>0</v>
      </c>
      <c r="AF61" s="1963" t="b">
        <f t="shared" si="5"/>
        <v>0</v>
      </c>
      <c r="AG61" s="1963" t="b">
        <f t="shared" si="6"/>
        <v>0</v>
      </c>
      <c r="AH61" s="1963" t="b">
        <f t="shared" si="7"/>
        <v>0</v>
      </c>
      <c r="AI61" s="2012" t="b">
        <f t="shared" si="8"/>
        <v>0</v>
      </c>
      <c r="AJ61" s="1198"/>
      <c r="AK61" s="1198"/>
      <c r="AL61" s="1198"/>
      <c r="AP61" s="1121"/>
    </row>
    <row r="62" spans="1:42" s="1119" customFormat="1" ht="12.75" customHeight="1">
      <c r="A62" s="1116"/>
      <c r="B62" s="1124"/>
      <c r="C62" s="485"/>
      <c r="D62" s="485"/>
      <c r="E62" s="865" t="s">
        <v>1031</v>
      </c>
      <c r="F62" s="724" t="s">
        <v>367</v>
      </c>
      <c r="G62" s="2013">
        <v>3</v>
      </c>
      <c r="H62" s="2014" t="str">
        <f>c_ALR2025!M6729</f>
        <v/>
      </c>
      <c r="I62" s="2043"/>
      <c r="J62" s="2006"/>
      <c r="K62" s="2007"/>
      <c r="L62" s="2007"/>
      <c r="M62" s="2007"/>
      <c r="N62" s="2007"/>
      <c r="O62" s="481"/>
      <c r="P62" s="9"/>
      <c r="Q62" s="1198"/>
      <c r="R62" s="1198"/>
      <c r="S62" s="1198"/>
      <c r="T62" s="1198"/>
      <c r="U62" s="1198"/>
      <c r="V62" s="1198"/>
      <c r="W62" s="1198"/>
      <c r="X62" s="1198"/>
      <c r="Y62" s="1249"/>
      <c r="Z62" s="1249"/>
      <c r="AA62" s="1249"/>
      <c r="AB62" s="1249"/>
      <c r="AC62" s="2011" t="b">
        <f t="shared" si="9"/>
        <v>0</v>
      </c>
      <c r="AD62" s="1963" t="b">
        <f t="shared" si="3"/>
        <v>0</v>
      </c>
      <c r="AE62" s="1963" t="b">
        <f t="shared" si="4"/>
        <v>0</v>
      </c>
      <c r="AF62" s="1963" t="b">
        <f t="shared" si="5"/>
        <v>0</v>
      </c>
      <c r="AG62" s="1963" t="b">
        <f t="shared" si="6"/>
        <v>0</v>
      </c>
      <c r="AH62" s="1963" t="b">
        <f t="shared" si="7"/>
        <v>0</v>
      </c>
      <c r="AI62" s="2012" t="b">
        <f t="shared" si="8"/>
        <v>0</v>
      </c>
      <c r="AJ62" s="1198"/>
      <c r="AK62" s="1198"/>
      <c r="AL62" s="1198"/>
      <c r="AP62" s="1121"/>
    </row>
    <row r="63" spans="1:42" s="1119" customFormat="1" ht="12.75" customHeight="1">
      <c r="A63" s="1116"/>
      <c r="B63" s="1124"/>
      <c r="C63" s="485"/>
      <c r="D63" s="485"/>
      <c r="E63" s="865" t="s">
        <v>1032</v>
      </c>
      <c r="F63" s="724" t="s">
        <v>292</v>
      </c>
      <c r="G63" s="2013">
        <v>1.85</v>
      </c>
      <c r="H63" s="2014" t="str">
        <f>c_ALR2025!M6730</f>
        <v/>
      </c>
      <c r="I63" s="2043"/>
      <c r="J63" s="2006"/>
      <c r="K63" s="2007"/>
      <c r="L63" s="2007"/>
      <c r="M63" s="2007"/>
      <c r="N63" s="2007"/>
      <c r="O63" s="481"/>
      <c r="P63" s="9"/>
      <c r="Q63" s="1198"/>
      <c r="R63" s="1198"/>
      <c r="S63" s="1198"/>
      <c r="T63" s="1198"/>
      <c r="U63" s="1198"/>
      <c r="V63" s="1198"/>
      <c r="W63" s="1198"/>
      <c r="X63" s="1198"/>
      <c r="Y63" s="1249"/>
      <c r="Z63" s="1249"/>
      <c r="AA63" s="1249"/>
      <c r="AB63" s="1249"/>
      <c r="AC63" s="2011" t="b">
        <f t="shared" si="9"/>
        <v>0</v>
      </c>
      <c r="AD63" s="1963" t="b">
        <f t="shared" si="3"/>
        <v>0</v>
      </c>
      <c r="AE63" s="1963" t="b">
        <f t="shared" si="4"/>
        <v>0</v>
      </c>
      <c r="AF63" s="1963" t="b">
        <f t="shared" si="5"/>
        <v>0</v>
      </c>
      <c r="AG63" s="1963" t="b">
        <f t="shared" si="6"/>
        <v>0</v>
      </c>
      <c r="AH63" s="1963" t="b">
        <f t="shared" si="7"/>
        <v>0</v>
      </c>
      <c r="AI63" s="2012" t="b">
        <f t="shared" si="8"/>
        <v>0</v>
      </c>
      <c r="AJ63" s="1198"/>
      <c r="AK63" s="1198"/>
      <c r="AL63" s="1198"/>
      <c r="AP63" s="1121"/>
    </row>
    <row r="64" spans="1:42" s="1119" customFormat="1" ht="12.75" customHeight="1">
      <c r="A64" s="1116"/>
      <c r="B64" s="1124"/>
      <c r="C64" s="485"/>
      <c r="D64" s="485"/>
      <c r="E64" s="865" t="s">
        <v>1033</v>
      </c>
      <c r="F64" s="724" t="s">
        <v>367</v>
      </c>
      <c r="G64" s="2013">
        <v>6.4</v>
      </c>
      <c r="H64" s="2014" t="str">
        <f>c_ALR2025!M6731</f>
        <v/>
      </c>
      <c r="I64" s="2043"/>
      <c r="J64" s="2006"/>
      <c r="K64" s="2007"/>
      <c r="L64" s="2007"/>
      <c r="M64" s="2007"/>
      <c r="N64" s="2007"/>
      <c r="O64" s="481"/>
      <c r="P64" s="9"/>
      <c r="Q64" s="1198"/>
      <c r="R64" s="1198"/>
      <c r="S64" s="1198"/>
      <c r="T64" s="1198"/>
      <c r="U64" s="1198"/>
      <c r="V64" s="1198"/>
      <c r="W64" s="1198"/>
      <c r="X64" s="1198"/>
      <c r="Y64" s="1249"/>
      <c r="Z64" s="1249"/>
      <c r="AA64" s="1249"/>
      <c r="AB64" s="1249"/>
      <c r="AC64" s="2011" t="b">
        <f t="shared" si="9"/>
        <v>0</v>
      </c>
      <c r="AD64" s="1963" t="b">
        <f t="shared" si="3"/>
        <v>0</v>
      </c>
      <c r="AE64" s="1963" t="b">
        <f t="shared" si="4"/>
        <v>0</v>
      </c>
      <c r="AF64" s="1963" t="b">
        <f t="shared" si="5"/>
        <v>0</v>
      </c>
      <c r="AG64" s="1963" t="b">
        <f t="shared" si="6"/>
        <v>0</v>
      </c>
      <c r="AH64" s="1963" t="b">
        <f t="shared" si="7"/>
        <v>0</v>
      </c>
      <c r="AI64" s="2012" t="b">
        <f t="shared" si="8"/>
        <v>0</v>
      </c>
      <c r="AJ64" s="1198"/>
      <c r="AK64" s="1198"/>
      <c r="AL64" s="1198"/>
      <c r="AP64" s="1121"/>
    </row>
    <row r="65" spans="1:42" s="1119" customFormat="1" ht="12.75" customHeight="1">
      <c r="A65" s="1116"/>
      <c r="B65" s="1124"/>
      <c r="C65" s="485"/>
      <c r="D65" s="485"/>
      <c r="E65" s="865" t="s">
        <v>1034</v>
      </c>
      <c r="F65" s="724" t="s">
        <v>367</v>
      </c>
      <c r="G65" s="2013">
        <v>11.1</v>
      </c>
      <c r="H65" s="2014" t="str">
        <f>c_ALR2025!M6732</f>
        <v/>
      </c>
      <c r="I65" s="2043"/>
      <c r="J65" s="2006"/>
      <c r="K65" s="2007"/>
      <c r="L65" s="2007"/>
      <c r="M65" s="2007"/>
      <c r="N65" s="2007"/>
      <c r="O65" s="481"/>
      <c r="P65" s="9"/>
      <c r="Q65" s="1198"/>
      <c r="R65" s="1198"/>
      <c r="S65" s="1198"/>
      <c r="T65" s="1198"/>
      <c r="U65" s="1198"/>
      <c r="V65" s="1198"/>
      <c r="W65" s="1198"/>
      <c r="X65" s="1198"/>
      <c r="Y65" s="1249"/>
      <c r="Z65" s="1249"/>
      <c r="AA65" s="1249"/>
      <c r="AB65" s="1249"/>
      <c r="AC65" s="2011" t="b">
        <f t="shared" si="9"/>
        <v>0</v>
      </c>
      <c r="AD65" s="1963" t="b">
        <f t="shared" si="3"/>
        <v>0</v>
      </c>
      <c r="AE65" s="1963" t="b">
        <f t="shared" si="4"/>
        <v>0</v>
      </c>
      <c r="AF65" s="1963" t="b">
        <f t="shared" si="5"/>
        <v>0</v>
      </c>
      <c r="AG65" s="1963" t="b">
        <f t="shared" si="6"/>
        <v>0</v>
      </c>
      <c r="AH65" s="1963" t="b">
        <f t="shared" si="7"/>
        <v>0</v>
      </c>
      <c r="AI65" s="2012" t="b">
        <f t="shared" si="8"/>
        <v>0</v>
      </c>
      <c r="AJ65" s="1198"/>
      <c r="AK65" s="1198"/>
      <c r="AL65" s="1198"/>
      <c r="AP65" s="1121"/>
    </row>
    <row r="66" spans="1:42" s="1119" customFormat="1" ht="12.75" customHeight="1">
      <c r="A66" s="1116"/>
      <c r="B66" s="1124"/>
      <c r="C66" s="485"/>
      <c r="D66" s="485"/>
      <c r="E66" s="865" t="s">
        <v>1639</v>
      </c>
      <c r="F66" s="724" t="s">
        <v>367</v>
      </c>
      <c r="G66" s="2013">
        <v>14.4</v>
      </c>
      <c r="H66" s="2014" t="str">
        <f>c_ALR2025!M6733</f>
        <v/>
      </c>
      <c r="I66" s="2043"/>
      <c r="J66" s="2006"/>
      <c r="K66" s="2007"/>
      <c r="L66" s="2007"/>
      <c r="M66" s="2007"/>
      <c r="N66" s="2007"/>
      <c r="O66" s="481"/>
      <c r="P66" s="9"/>
      <c r="Q66" s="1198"/>
      <c r="R66" s="1198"/>
      <c r="S66" s="1198"/>
      <c r="T66" s="1198"/>
      <c r="U66" s="1198"/>
      <c r="V66" s="1198"/>
      <c r="W66" s="1198"/>
      <c r="X66" s="1198"/>
      <c r="Y66" s="1249"/>
      <c r="Z66" s="1249"/>
      <c r="AA66" s="1249"/>
      <c r="AB66" s="1249"/>
      <c r="AC66" s="2011" t="b">
        <f t="shared" si="9"/>
        <v>0</v>
      </c>
      <c r="AD66" s="1963" t="b">
        <f t="shared" si="3"/>
        <v>0</v>
      </c>
      <c r="AE66" s="1963" t="b">
        <f t="shared" si="4"/>
        <v>0</v>
      </c>
      <c r="AF66" s="1963" t="b">
        <f t="shared" si="5"/>
        <v>0</v>
      </c>
      <c r="AG66" s="1963" t="b">
        <f t="shared" si="6"/>
        <v>0</v>
      </c>
      <c r="AH66" s="1963" t="b">
        <f t="shared" si="7"/>
        <v>0</v>
      </c>
      <c r="AI66" s="2012" t="b">
        <f t="shared" si="8"/>
        <v>0</v>
      </c>
      <c r="AJ66" s="1198"/>
      <c r="AK66" s="1198"/>
      <c r="AL66" s="1198"/>
      <c r="AP66" s="1121"/>
    </row>
    <row r="67" spans="1:42" s="1119" customFormat="1" ht="12.75" customHeight="1">
      <c r="A67" s="1116"/>
      <c r="B67" s="1124"/>
      <c r="C67" s="485"/>
      <c r="D67" s="485"/>
      <c r="E67" s="865" t="s">
        <v>1035</v>
      </c>
      <c r="F67" s="724" t="s">
        <v>367</v>
      </c>
      <c r="G67" s="2013">
        <v>20.8</v>
      </c>
      <c r="H67" s="2014" t="str">
        <f>c_ALR2025!M6734</f>
        <v/>
      </c>
      <c r="I67" s="2043"/>
      <c r="J67" s="2006"/>
      <c r="K67" s="2007"/>
      <c r="L67" s="2007"/>
      <c r="M67" s="2007"/>
      <c r="N67" s="2007"/>
      <c r="O67" s="481"/>
      <c r="P67" s="9"/>
      <c r="Q67" s="1198"/>
      <c r="R67" s="1198"/>
      <c r="S67" s="1198"/>
      <c r="T67" s="1198"/>
      <c r="U67" s="1198"/>
      <c r="V67" s="1198"/>
      <c r="W67" s="1198"/>
      <c r="X67" s="1198"/>
      <c r="Y67" s="1249"/>
      <c r="Z67" s="1249"/>
      <c r="AA67" s="1249"/>
      <c r="AB67" s="1249"/>
      <c r="AC67" s="2011" t="b">
        <f t="shared" si="9"/>
        <v>0</v>
      </c>
      <c r="AD67" s="1963" t="b">
        <f t="shared" si="3"/>
        <v>0</v>
      </c>
      <c r="AE67" s="1963" t="b">
        <f t="shared" si="4"/>
        <v>0</v>
      </c>
      <c r="AF67" s="1963" t="b">
        <f t="shared" si="5"/>
        <v>0</v>
      </c>
      <c r="AG67" s="1963" t="b">
        <f t="shared" si="6"/>
        <v>0</v>
      </c>
      <c r="AH67" s="1963" t="b">
        <f t="shared" si="7"/>
        <v>0</v>
      </c>
      <c r="AI67" s="2012" t="b">
        <f t="shared" si="8"/>
        <v>0</v>
      </c>
      <c r="AJ67" s="1198"/>
      <c r="AK67" s="1198"/>
      <c r="AL67" s="1198"/>
      <c r="AP67" s="1121"/>
    </row>
    <row r="68" spans="1:42" s="1119" customFormat="1" ht="12.75" customHeight="1">
      <c r="A68" s="1116"/>
      <c r="B68" s="1124"/>
      <c r="C68" s="485"/>
      <c r="D68" s="485"/>
      <c r="E68" s="865" t="s">
        <v>1036</v>
      </c>
      <c r="F68" s="724" t="s">
        <v>367</v>
      </c>
      <c r="G68" s="2013">
        <v>1.55</v>
      </c>
      <c r="H68" s="2014" t="str">
        <f>c_ALR2025!M6735</f>
        <v/>
      </c>
      <c r="I68" s="2043"/>
      <c r="J68" s="2006"/>
      <c r="K68" s="2007"/>
      <c r="L68" s="2007"/>
      <c r="M68" s="2007"/>
      <c r="N68" s="2007"/>
      <c r="O68" s="481"/>
      <c r="P68" s="9"/>
      <c r="Q68" s="1198"/>
      <c r="R68" s="1198"/>
      <c r="S68" s="1198"/>
      <c r="T68" s="1198"/>
      <c r="U68" s="1198"/>
      <c r="V68" s="1198"/>
      <c r="W68" s="1198"/>
      <c r="X68" s="1198"/>
      <c r="Y68" s="1249"/>
      <c r="Z68" s="1249"/>
      <c r="AA68" s="1249"/>
      <c r="AB68" s="1249"/>
      <c r="AC68" s="2011" t="b">
        <f t="shared" si="9"/>
        <v>0</v>
      </c>
      <c r="AD68" s="1963" t="b">
        <f t="shared" si="3"/>
        <v>0</v>
      </c>
      <c r="AE68" s="1963" t="b">
        <f t="shared" si="4"/>
        <v>0</v>
      </c>
      <c r="AF68" s="1963" t="b">
        <f t="shared" si="5"/>
        <v>0</v>
      </c>
      <c r="AG68" s="1963" t="b">
        <f t="shared" si="6"/>
        <v>0</v>
      </c>
      <c r="AH68" s="1963" t="b">
        <f t="shared" si="7"/>
        <v>0</v>
      </c>
      <c r="AI68" s="2012" t="b">
        <f t="shared" si="8"/>
        <v>0</v>
      </c>
      <c r="AJ68" s="1198"/>
      <c r="AK68" s="1198"/>
      <c r="AL68" s="1198"/>
      <c r="AP68" s="1121"/>
    </row>
    <row r="69" spans="1:42" s="1119" customFormat="1" ht="12.75" customHeight="1">
      <c r="A69" s="1116"/>
      <c r="B69" s="1124"/>
      <c r="C69" s="485"/>
      <c r="D69" s="485"/>
      <c r="E69" s="865" t="s">
        <v>1037</v>
      </c>
      <c r="F69" s="724" t="s">
        <v>367</v>
      </c>
      <c r="G69" s="2013">
        <v>5</v>
      </c>
      <c r="H69" s="2014" t="str">
        <f>c_ALR2025!M6736</f>
        <v/>
      </c>
      <c r="I69" s="2043"/>
      <c r="J69" s="2006"/>
      <c r="K69" s="2007"/>
      <c r="L69" s="2007"/>
      <c r="M69" s="2007"/>
      <c r="N69" s="2007"/>
      <c r="O69" s="481"/>
      <c r="P69" s="9"/>
      <c r="Q69" s="1198"/>
      <c r="R69" s="1198"/>
      <c r="S69" s="1198"/>
      <c r="T69" s="1198"/>
      <c r="U69" s="1198"/>
      <c r="V69" s="1198"/>
      <c r="W69" s="1198"/>
      <c r="X69" s="1198"/>
      <c r="Y69" s="1249"/>
      <c r="Z69" s="1249"/>
      <c r="AA69" s="1249"/>
      <c r="AB69" s="1249"/>
      <c r="AC69" s="2011" t="b">
        <f t="shared" si="9"/>
        <v>0</v>
      </c>
      <c r="AD69" s="1963" t="b">
        <f t="shared" si="3"/>
        <v>0</v>
      </c>
      <c r="AE69" s="1963" t="b">
        <f t="shared" si="4"/>
        <v>0</v>
      </c>
      <c r="AF69" s="1963" t="b">
        <f t="shared" si="5"/>
        <v>0</v>
      </c>
      <c r="AG69" s="1963" t="b">
        <f t="shared" si="6"/>
        <v>0</v>
      </c>
      <c r="AH69" s="1963" t="b">
        <f t="shared" si="7"/>
        <v>0</v>
      </c>
      <c r="AI69" s="2012" t="b">
        <f t="shared" si="8"/>
        <v>0</v>
      </c>
      <c r="AJ69" s="1198"/>
      <c r="AK69" s="1198"/>
      <c r="AL69" s="1198"/>
      <c r="AP69" s="1121"/>
    </row>
    <row r="70" spans="1:42" s="1119" customFormat="1" ht="12.75" customHeight="1">
      <c r="A70" s="1116"/>
      <c r="B70" s="1124"/>
      <c r="C70" s="485"/>
      <c r="D70" s="485"/>
      <c r="E70" s="865" t="s">
        <v>1038</v>
      </c>
      <c r="F70" s="724" t="s">
        <v>367</v>
      </c>
      <c r="G70" s="2013">
        <v>1.1499999999999999</v>
      </c>
      <c r="H70" s="2014" t="str">
        <f>c_ALR2025!M6737</f>
        <v/>
      </c>
      <c r="I70" s="2043"/>
      <c r="J70" s="2006"/>
      <c r="K70" s="2007"/>
      <c r="L70" s="2007"/>
      <c r="M70" s="2007"/>
      <c r="N70" s="2007"/>
      <c r="O70" s="481"/>
      <c r="P70" s="9"/>
      <c r="Q70" s="1198"/>
      <c r="R70" s="1198"/>
      <c r="S70" s="1198"/>
      <c r="T70" s="1198"/>
      <c r="U70" s="1198"/>
      <c r="V70" s="1198"/>
      <c r="W70" s="1198"/>
      <c r="X70" s="1198"/>
      <c r="Y70" s="1249"/>
      <c r="Z70" s="1249"/>
      <c r="AA70" s="1249"/>
      <c r="AB70" s="1249"/>
      <c r="AC70" s="2011" t="b">
        <f t="shared" si="9"/>
        <v>0</v>
      </c>
      <c r="AD70" s="1963" t="b">
        <f t="shared" si="3"/>
        <v>0</v>
      </c>
      <c r="AE70" s="1963" t="b">
        <f t="shared" si="4"/>
        <v>0</v>
      </c>
      <c r="AF70" s="1963" t="b">
        <f t="shared" si="5"/>
        <v>0</v>
      </c>
      <c r="AG70" s="1963" t="b">
        <f t="shared" si="6"/>
        <v>0</v>
      </c>
      <c r="AH70" s="1963" t="b">
        <f t="shared" si="7"/>
        <v>0</v>
      </c>
      <c r="AI70" s="2012" t="b">
        <f t="shared" si="8"/>
        <v>0</v>
      </c>
      <c r="AJ70" s="1198"/>
      <c r="AK70" s="1198"/>
      <c r="AL70" s="1198"/>
      <c r="AP70" s="1121"/>
    </row>
    <row r="71" spans="1:42" s="1119" customFormat="1" ht="12.75" customHeight="1">
      <c r="A71" s="1116"/>
      <c r="B71" s="1124"/>
      <c r="C71" s="485"/>
      <c r="D71" s="485"/>
      <c r="E71" s="865" t="s">
        <v>494</v>
      </c>
      <c r="F71" s="724" t="s">
        <v>292</v>
      </c>
      <c r="G71" s="2013">
        <v>2.1</v>
      </c>
      <c r="H71" s="2014" t="str">
        <f>c_ALR2025!M6738</f>
        <v/>
      </c>
      <c r="I71" s="2043"/>
      <c r="J71" s="2006"/>
      <c r="K71" s="2007"/>
      <c r="L71" s="2007"/>
      <c r="M71" s="2007"/>
      <c r="N71" s="2007"/>
      <c r="O71" s="481"/>
      <c r="P71" s="9"/>
      <c r="Q71" s="1198"/>
      <c r="R71" s="1198"/>
      <c r="S71" s="1198"/>
      <c r="T71" s="1198"/>
      <c r="U71" s="1198"/>
      <c r="V71" s="1198"/>
      <c r="W71" s="1198"/>
      <c r="X71" s="1198"/>
      <c r="Y71" s="1249"/>
      <c r="Z71" s="1249"/>
      <c r="AA71" s="1249"/>
      <c r="AB71" s="1249"/>
      <c r="AC71" s="2011" t="b">
        <f t="shared" si="9"/>
        <v>0</v>
      </c>
      <c r="AD71" s="1963" t="b">
        <f t="shared" si="3"/>
        <v>0</v>
      </c>
      <c r="AE71" s="1963" t="b">
        <f t="shared" si="4"/>
        <v>0</v>
      </c>
      <c r="AF71" s="1963" t="b">
        <f t="shared" si="5"/>
        <v>0</v>
      </c>
      <c r="AG71" s="1963" t="b">
        <f t="shared" si="6"/>
        <v>0</v>
      </c>
      <c r="AH71" s="1963" t="b">
        <f t="shared" si="7"/>
        <v>0</v>
      </c>
      <c r="AI71" s="2012" t="b">
        <f t="shared" si="8"/>
        <v>0</v>
      </c>
      <c r="AJ71" s="1198"/>
      <c r="AK71" s="1198"/>
      <c r="AL71" s="1198"/>
      <c r="AP71" s="1121"/>
    </row>
    <row r="72" spans="1:42" s="1119" customFormat="1" ht="12.75" customHeight="1">
      <c r="A72" s="1116"/>
      <c r="B72" s="1124"/>
      <c r="C72" s="485"/>
      <c r="D72" s="485"/>
      <c r="E72" s="865" t="s">
        <v>495</v>
      </c>
      <c r="F72" s="724" t="s">
        <v>292</v>
      </c>
      <c r="G72" s="2013">
        <v>4.55</v>
      </c>
      <c r="H72" s="2014" t="str">
        <f>c_ALR2025!M6739</f>
        <v/>
      </c>
      <c r="I72" s="2043"/>
      <c r="J72" s="2006"/>
      <c r="K72" s="2007"/>
      <c r="L72" s="2007"/>
      <c r="M72" s="2007"/>
      <c r="N72" s="2007"/>
      <c r="O72" s="481"/>
      <c r="P72" s="9"/>
      <c r="Q72" s="1198"/>
      <c r="R72" s="1198"/>
      <c r="S72" s="1198"/>
      <c r="T72" s="1198"/>
      <c r="U72" s="1198"/>
      <c r="V72" s="1198"/>
      <c r="W72" s="1198"/>
      <c r="X72" s="1198"/>
      <c r="Y72" s="1249"/>
      <c r="Z72" s="1249"/>
      <c r="AA72" s="1249"/>
      <c r="AB72" s="1249"/>
      <c r="AC72" s="2011" t="b">
        <f t="shared" si="9"/>
        <v>0</v>
      </c>
      <c r="AD72" s="1963" t="b">
        <f t="shared" si="3"/>
        <v>0</v>
      </c>
      <c r="AE72" s="1963" t="b">
        <f t="shared" si="4"/>
        <v>0</v>
      </c>
      <c r="AF72" s="1963" t="b">
        <f t="shared" si="5"/>
        <v>0</v>
      </c>
      <c r="AG72" s="1963" t="b">
        <f t="shared" si="6"/>
        <v>0</v>
      </c>
      <c r="AH72" s="1963" t="b">
        <f t="shared" si="7"/>
        <v>0</v>
      </c>
      <c r="AI72" s="2012" t="b">
        <f t="shared" si="8"/>
        <v>0</v>
      </c>
      <c r="AJ72" s="1198"/>
      <c r="AK72" s="1198"/>
      <c r="AL72" s="1198"/>
      <c r="AP72" s="1121"/>
    </row>
    <row r="73" spans="1:42" s="1119" customFormat="1" ht="12.75" customHeight="1">
      <c r="A73" s="1116"/>
      <c r="B73" s="1124"/>
      <c r="C73" s="485"/>
      <c r="D73" s="485"/>
      <c r="E73" s="865" t="s">
        <v>496</v>
      </c>
      <c r="F73" s="724" t="s">
        <v>292</v>
      </c>
      <c r="G73" s="2013">
        <v>1.6</v>
      </c>
      <c r="H73" s="2014" t="str">
        <f>c_ALR2025!M6740</f>
        <v/>
      </c>
      <c r="I73" s="2043"/>
      <c r="J73" s="2006"/>
      <c r="K73" s="2007"/>
      <c r="L73" s="2007"/>
      <c r="M73" s="2007"/>
      <c r="N73" s="2007"/>
      <c r="O73" s="481"/>
      <c r="P73" s="9"/>
      <c r="Q73" s="1198"/>
      <c r="R73" s="1198"/>
      <c r="S73" s="1198"/>
      <c r="T73" s="1198"/>
      <c r="U73" s="1198"/>
      <c r="V73" s="1198"/>
      <c r="W73" s="1198"/>
      <c r="X73" s="1198"/>
      <c r="Y73" s="1249"/>
      <c r="Z73" s="1249"/>
      <c r="AA73" s="1249"/>
      <c r="AB73" s="1249"/>
      <c r="AC73" s="2011" t="b">
        <f t="shared" si="9"/>
        <v>0</v>
      </c>
      <c r="AD73" s="1963" t="b">
        <f t="shared" si="3"/>
        <v>0</v>
      </c>
      <c r="AE73" s="1963" t="b">
        <f t="shared" si="4"/>
        <v>0</v>
      </c>
      <c r="AF73" s="1963" t="b">
        <f t="shared" si="5"/>
        <v>0</v>
      </c>
      <c r="AG73" s="1963" t="b">
        <f t="shared" si="6"/>
        <v>0</v>
      </c>
      <c r="AH73" s="1963" t="b">
        <f t="shared" si="7"/>
        <v>0</v>
      </c>
      <c r="AI73" s="2012" t="b">
        <f t="shared" si="8"/>
        <v>0</v>
      </c>
      <c r="AJ73" s="1198"/>
      <c r="AK73" s="1198"/>
      <c r="AL73" s="1198"/>
      <c r="AP73" s="1121"/>
    </row>
    <row r="74" spans="1:42" s="1119" customFormat="1" ht="12.75" customHeight="1">
      <c r="A74" s="1116"/>
      <c r="B74" s="1124"/>
      <c r="C74" s="485"/>
      <c r="D74" s="485"/>
      <c r="E74" s="865" t="s">
        <v>77</v>
      </c>
      <c r="F74" s="724" t="s">
        <v>292</v>
      </c>
      <c r="G74" s="2013">
        <v>2.5</v>
      </c>
      <c r="H74" s="2014" t="str">
        <f>c_ALR2025!M6741</f>
        <v/>
      </c>
      <c r="I74" s="2043"/>
      <c r="J74" s="2006"/>
      <c r="K74" s="2007"/>
      <c r="L74" s="2007"/>
      <c r="M74" s="2007"/>
      <c r="N74" s="2007"/>
      <c r="O74" s="481"/>
      <c r="P74" s="9"/>
      <c r="Q74" s="1198"/>
      <c r="R74" s="1198"/>
      <c r="S74" s="1198"/>
      <c r="T74" s="1198"/>
      <c r="U74" s="1198"/>
      <c r="V74" s="1198"/>
      <c r="W74" s="1198"/>
      <c r="X74" s="1198"/>
      <c r="Y74" s="1249"/>
      <c r="Z74" s="1249"/>
      <c r="AA74" s="1249"/>
      <c r="AB74" s="1249"/>
      <c r="AC74" s="2011" t="b">
        <f t="shared" si="9"/>
        <v>0</v>
      </c>
      <c r="AD74" s="1963" t="b">
        <f t="shared" si="3"/>
        <v>0</v>
      </c>
      <c r="AE74" s="1963" t="b">
        <f t="shared" si="4"/>
        <v>0</v>
      </c>
      <c r="AF74" s="1963" t="b">
        <f t="shared" si="5"/>
        <v>0</v>
      </c>
      <c r="AG74" s="1963" t="b">
        <f t="shared" si="6"/>
        <v>0</v>
      </c>
      <c r="AH74" s="1963" t="b">
        <f t="shared" si="7"/>
        <v>0</v>
      </c>
      <c r="AI74" s="2012" t="b">
        <f t="shared" si="8"/>
        <v>0</v>
      </c>
      <c r="AJ74" s="1198"/>
      <c r="AK74" s="1198"/>
      <c r="AL74" s="1198"/>
      <c r="AP74" s="1121"/>
    </row>
    <row r="75" spans="1:42" s="1119" customFormat="1">
      <c r="A75" s="1116"/>
      <c r="B75" s="1124"/>
      <c r="C75" s="485"/>
      <c r="D75" s="485"/>
      <c r="E75" s="865" t="s">
        <v>78</v>
      </c>
      <c r="F75" s="724" t="s">
        <v>367</v>
      </c>
      <c r="G75" s="2013">
        <v>12</v>
      </c>
      <c r="H75" s="2014" t="str">
        <f>c_ALR2025!M6742</f>
        <v/>
      </c>
      <c r="I75" s="2043"/>
      <c r="J75" s="2006"/>
      <c r="K75" s="2007"/>
      <c r="L75" s="2007"/>
      <c r="M75" s="2007"/>
      <c r="N75" s="2007"/>
      <c r="O75" s="481"/>
      <c r="P75" s="9"/>
      <c r="Q75" s="1198"/>
      <c r="R75" s="1198"/>
      <c r="S75" s="1198"/>
      <c r="T75" s="1198"/>
      <c r="U75" s="1198"/>
      <c r="V75" s="1198"/>
      <c r="W75" s="1198"/>
      <c r="X75" s="1198"/>
      <c r="Y75" s="1249"/>
      <c r="Z75" s="1249"/>
      <c r="AA75" s="1249"/>
      <c r="AB75" s="1249"/>
      <c r="AC75" s="2011" t="b">
        <f t="shared" si="9"/>
        <v>0</v>
      </c>
      <c r="AD75" s="1963" t="b">
        <f t="shared" si="3"/>
        <v>0</v>
      </c>
      <c r="AE75" s="1963" t="b">
        <f t="shared" si="4"/>
        <v>0</v>
      </c>
      <c r="AF75" s="1963" t="b">
        <f t="shared" si="5"/>
        <v>0</v>
      </c>
      <c r="AG75" s="1963" t="b">
        <f t="shared" si="6"/>
        <v>0</v>
      </c>
      <c r="AH75" s="1963" t="b">
        <f t="shared" si="7"/>
        <v>0</v>
      </c>
      <c r="AI75" s="2012" t="b">
        <f t="shared" si="8"/>
        <v>0</v>
      </c>
      <c r="AJ75" s="1198"/>
      <c r="AK75" s="1198"/>
      <c r="AL75" s="1198"/>
      <c r="AP75" s="1121"/>
    </row>
    <row r="76" spans="1:42" s="1119" customFormat="1" ht="12.75" customHeight="1">
      <c r="A76" s="1116"/>
      <c r="B76" s="1124"/>
      <c r="C76" s="485"/>
      <c r="D76" s="485"/>
      <c r="E76" s="865" t="s">
        <v>79</v>
      </c>
      <c r="F76" s="724" t="s">
        <v>292</v>
      </c>
      <c r="G76" s="2013">
        <v>1.1499999999999999</v>
      </c>
      <c r="H76" s="2014" t="str">
        <f>c_ALR2025!M6743</f>
        <v/>
      </c>
      <c r="I76" s="2043"/>
      <c r="J76" s="2006"/>
      <c r="K76" s="2007"/>
      <c r="L76" s="2007"/>
      <c r="M76" s="2007"/>
      <c r="N76" s="2007"/>
      <c r="O76" s="481"/>
      <c r="P76" s="9"/>
      <c r="Q76" s="1198"/>
      <c r="R76" s="1198"/>
      <c r="S76" s="1198"/>
      <c r="T76" s="1198"/>
      <c r="U76" s="1198"/>
      <c r="V76" s="1198"/>
      <c r="W76" s="1198"/>
      <c r="X76" s="1198"/>
      <c r="Y76" s="1249"/>
      <c r="Z76" s="1249"/>
      <c r="AA76" s="1249"/>
      <c r="AB76" s="1249"/>
      <c r="AC76" s="2011" t="b">
        <f t="shared" si="9"/>
        <v>0</v>
      </c>
      <c r="AD76" s="1963" t="b">
        <f t="shared" si="3"/>
        <v>0</v>
      </c>
      <c r="AE76" s="1963" t="b">
        <f t="shared" si="4"/>
        <v>0</v>
      </c>
      <c r="AF76" s="1963" t="b">
        <f t="shared" si="5"/>
        <v>0</v>
      </c>
      <c r="AG76" s="1963" t="b">
        <f t="shared" si="6"/>
        <v>0</v>
      </c>
      <c r="AH76" s="1963" t="b">
        <f t="shared" si="7"/>
        <v>0</v>
      </c>
      <c r="AI76" s="2012" t="b">
        <f t="shared" si="8"/>
        <v>0</v>
      </c>
      <c r="AJ76" s="1198"/>
      <c r="AK76" s="1198"/>
      <c r="AL76" s="1198"/>
      <c r="AP76" s="1121"/>
    </row>
    <row r="77" spans="1:42" s="1119" customFormat="1" ht="12.75" customHeight="1">
      <c r="A77" s="1116"/>
      <c r="B77" s="1124"/>
      <c r="C77" s="485"/>
      <c r="D77" s="485"/>
      <c r="E77" s="865" t="s">
        <v>497</v>
      </c>
      <c r="F77" s="724" t="s">
        <v>292</v>
      </c>
      <c r="G77" s="2013">
        <v>1.25</v>
      </c>
      <c r="H77" s="2014" t="str">
        <f>c_ALR2025!M6744</f>
        <v/>
      </c>
      <c r="I77" s="2043"/>
      <c r="J77" s="2006"/>
      <c r="K77" s="2007"/>
      <c r="L77" s="2007"/>
      <c r="M77" s="2007"/>
      <c r="N77" s="2007"/>
      <c r="O77" s="481"/>
      <c r="P77" s="9"/>
      <c r="Q77" s="1198"/>
      <c r="R77" s="1198"/>
      <c r="S77" s="1198"/>
      <c r="T77" s="1198"/>
      <c r="U77" s="1198"/>
      <c r="V77" s="1198"/>
      <c r="W77" s="1198"/>
      <c r="X77" s="1198"/>
      <c r="Y77" s="1249"/>
      <c r="Z77" s="1249"/>
      <c r="AA77" s="1249"/>
      <c r="AB77" s="1249"/>
      <c r="AC77" s="2011" t="b">
        <f t="shared" si="9"/>
        <v>0</v>
      </c>
      <c r="AD77" s="1963" t="b">
        <f t="shared" si="3"/>
        <v>0</v>
      </c>
      <c r="AE77" s="1963" t="b">
        <f t="shared" si="4"/>
        <v>0</v>
      </c>
      <c r="AF77" s="1963" t="b">
        <f t="shared" si="5"/>
        <v>0</v>
      </c>
      <c r="AG77" s="1963" t="b">
        <f t="shared" si="6"/>
        <v>0</v>
      </c>
      <c r="AH77" s="1963" t="b">
        <f t="shared" si="7"/>
        <v>0</v>
      </c>
      <c r="AI77" s="2012" t="b">
        <f t="shared" si="8"/>
        <v>0</v>
      </c>
      <c r="AJ77" s="1198"/>
      <c r="AK77" s="1198"/>
      <c r="AL77" s="1198"/>
      <c r="AP77" s="1121"/>
    </row>
    <row r="78" spans="1:42" s="1119" customFormat="1" ht="12.75" customHeight="1">
      <c r="A78" s="1116"/>
      <c r="B78" s="1124"/>
      <c r="C78" s="485"/>
      <c r="D78" s="485"/>
      <c r="E78" s="865" t="s">
        <v>498</v>
      </c>
      <c r="F78" s="724" t="s">
        <v>292</v>
      </c>
      <c r="G78" s="2013">
        <v>0.9</v>
      </c>
      <c r="H78" s="2014" t="str">
        <f>c_ALR2025!M6745</f>
        <v/>
      </c>
      <c r="I78" s="2043"/>
      <c r="J78" s="2006"/>
      <c r="K78" s="2007"/>
      <c r="L78" s="2007"/>
      <c r="M78" s="2007"/>
      <c r="N78" s="2007"/>
      <c r="O78" s="481"/>
      <c r="P78" s="9"/>
      <c r="Q78" s="1198"/>
      <c r="R78" s="1198"/>
      <c r="S78" s="1198"/>
      <c r="T78" s="1198"/>
      <c r="U78" s="1198"/>
      <c r="V78" s="1198"/>
      <c r="W78" s="1198"/>
      <c r="X78" s="1198"/>
      <c r="Y78" s="1249"/>
      <c r="Z78" s="1249"/>
      <c r="AA78" s="1249"/>
      <c r="AB78" s="1249"/>
      <c r="AC78" s="2011" t="b">
        <f t="shared" si="9"/>
        <v>0</v>
      </c>
      <c r="AD78" s="1963" t="b">
        <f t="shared" si="3"/>
        <v>0</v>
      </c>
      <c r="AE78" s="1963" t="b">
        <f t="shared" si="4"/>
        <v>0</v>
      </c>
      <c r="AF78" s="1963" t="b">
        <f t="shared" si="5"/>
        <v>0</v>
      </c>
      <c r="AG78" s="1963" t="b">
        <f t="shared" si="6"/>
        <v>0</v>
      </c>
      <c r="AH78" s="1963" t="b">
        <f t="shared" si="7"/>
        <v>0</v>
      </c>
      <c r="AI78" s="2012" t="b">
        <f t="shared" si="8"/>
        <v>0</v>
      </c>
      <c r="AJ78" s="1198"/>
      <c r="AK78" s="1198"/>
      <c r="AL78" s="1198"/>
      <c r="AP78" s="1121"/>
    </row>
    <row r="79" spans="1:42" s="1119" customFormat="1" ht="12.75" customHeight="1">
      <c r="A79" s="1116"/>
      <c r="B79" s="1124"/>
      <c r="C79" s="485"/>
      <c r="D79" s="485"/>
      <c r="E79" s="865" t="s">
        <v>499</v>
      </c>
      <c r="F79" s="724" t="s">
        <v>367</v>
      </c>
      <c r="G79" s="2013">
        <v>1.85</v>
      </c>
      <c r="H79" s="2014" t="str">
        <f>c_ALR2025!M6746</f>
        <v/>
      </c>
      <c r="I79" s="2043"/>
      <c r="J79" s="2006"/>
      <c r="K79" s="2007"/>
      <c r="L79" s="2007"/>
      <c r="M79" s="2007"/>
      <c r="N79" s="2007"/>
      <c r="O79" s="481"/>
      <c r="P79" s="9"/>
      <c r="Q79" s="1198"/>
      <c r="R79" s="1198"/>
      <c r="S79" s="1198"/>
      <c r="T79" s="1198"/>
      <c r="U79" s="1198"/>
      <c r="V79" s="1198"/>
      <c r="W79" s="1198"/>
      <c r="X79" s="1198"/>
      <c r="Y79" s="1249"/>
      <c r="Z79" s="1249"/>
      <c r="AA79" s="1249"/>
      <c r="AB79" s="1249"/>
      <c r="AC79" s="2011" t="b">
        <f t="shared" si="9"/>
        <v>0</v>
      </c>
      <c r="AD79" s="1963" t="b">
        <f t="shared" si="3"/>
        <v>0</v>
      </c>
      <c r="AE79" s="1963" t="b">
        <f t="shared" si="4"/>
        <v>0</v>
      </c>
      <c r="AF79" s="1963" t="b">
        <f t="shared" si="5"/>
        <v>0</v>
      </c>
      <c r="AG79" s="1963" t="b">
        <f t="shared" si="6"/>
        <v>0</v>
      </c>
      <c r="AH79" s="1963" t="b">
        <f t="shared" si="7"/>
        <v>0</v>
      </c>
      <c r="AI79" s="2012" t="b">
        <f t="shared" si="8"/>
        <v>0</v>
      </c>
      <c r="AJ79" s="1198"/>
      <c r="AK79" s="1198"/>
      <c r="AL79" s="1198"/>
      <c r="AP79" s="1121"/>
    </row>
    <row r="80" spans="1:42" s="1119" customFormat="1" ht="12.75" customHeight="1">
      <c r="A80" s="1116"/>
      <c r="B80" s="1124"/>
      <c r="C80" s="485"/>
      <c r="D80" s="485"/>
      <c r="E80" s="865" t="s">
        <v>500</v>
      </c>
      <c r="F80" s="724" t="s">
        <v>501</v>
      </c>
      <c r="G80" s="2013">
        <v>8.1999999999999993</v>
      </c>
      <c r="H80" s="2014" t="str">
        <f>c_ALR2025!M6747</f>
        <v/>
      </c>
      <c r="I80" s="2043"/>
      <c r="J80" s="2006"/>
      <c r="K80" s="2007"/>
      <c r="L80" s="2007"/>
      <c r="M80" s="2007"/>
      <c r="N80" s="2007"/>
      <c r="O80" s="481"/>
      <c r="P80" s="9"/>
      <c r="Q80" s="1198"/>
      <c r="R80" s="1198"/>
      <c r="S80" s="1198"/>
      <c r="T80" s="1198"/>
      <c r="U80" s="1198"/>
      <c r="V80" s="1198"/>
      <c r="W80" s="1198"/>
      <c r="X80" s="1198"/>
      <c r="Y80" s="1249"/>
      <c r="Z80" s="1249"/>
      <c r="AA80" s="1249"/>
      <c r="AB80" s="1249"/>
      <c r="AC80" s="2011" t="b">
        <f t="shared" si="9"/>
        <v>0</v>
      </c>
      <c r="AD80" s="1963" t="b">
        <f t="shared" si="3"/>
        <v>0</v>
      </c>
      <c r="AE80" s="1963" t="b">
        <f t="shared" si="4"/>
        <v>0</v>
      </c>
      <c r="AF80" s="1963" t="b">
        <f t="shared" si="5"/>
        <v>0</v>
      </c>
      <c r="AG80" s="1963" t="b">
        <f t="shared" si="6"/>
        <v>0</v>
      </c>
      <c r="AH80" s="1963" t="b">
        <f t="shared" si="7"/>
        <v>0</v>
      </c>
      <c r="AI80" s="2012" t="b">
        <f t="shared" si="8"/>
        <v>0</v>
      </c>
      <c r="AJ80" s="1198"/>
      <c r="AK80" s="1198"/>
      <c r="AL80" s="1198"/>
      <c r="AP80" s="1121"/>
    </row>
    <row r="81" spans="1:42" s="1119" customFormat="1" ht="24.75" customHeight="1">
      <c r="A81" s="1116"/>
      <c r="B81" s="1124"/>
      <c r="C81" s="485"/>
      <c r="D81" s="485"/>
      <c r="E81" s="865" t="s">
        <v>502</v>
      </c>
      <c r="F81" s="724" t="s">
        <v>501</v>
      </c>
      <c r="G81" s="2013">
        <v>44</v>
      </c>
      <c r="H81" s="2014" t="str">
        <f>c_ALR2025!M6748</f>
        <v/>
      </c>
      <c r="I81" s="2043"/>
      <c r="J81" s="2006"/>
      <c r="K81" s="2007"/>
      <c r="L81" s="2007"/>
      <c r="M81" s="2007"/>
      <c r="N81" s="2007"/>
      <c r="O81" s="481"/>
      <c r="P81" s="9"/>
      <c r="Q81" s="1198"/>
      <c r="R81" s="1198"/>
      <c r="S81" s="1198"/>
      <c r="T81" s="1198"/>
      <c r="U81" s="1198"/>
      <c r="V81" s="1198"/>
      <c r="W81" s="1198"/>
      <c r="X81" s="1198"/>
      <c r="Y81" s="1249"/>
      <c r="Z81" s="1249"/>
      <c r="AA81" s="1249"/>
      <c r="AB81" s="1249"/>
      <c r="AC81" s="2011" t="b">
        <f t="shared" si="9"/>
        <v>0</v>
      </c>
      <c r="AD81" s="1963" t="b">
        <f t="shared" si="3"/>
        <v>0</v>
      </c>
      <c r="AE81" s="1963" t="b">
        <f t="shared" si="4"/>
        <v>0</v>
      </c>
      <c r="AF81" s="1963" t="b">
        <f t="shared" si="5"/>
        <v>0</v>
      </c>
      <c r="AG81" s="1963" t="b">
        <f t="shared" si="6"/>
        <v>0</v>
      </c>
      <c r="AH81" s="1963" t="b">
        <f t="shared" si="7"/>
        <v>0</v>
      </c>
      <c r="AI81" s="2012" t="b">
        <f t="shared" si="8"/>
        <v>0</v>
      </c>
      <c r="AJ81" s="1198"/>
      <c r="AK81" s="1198"/>
      <c r="AL81" s="1198"/>
      <c r="AP81" s="1121"/>
    </row>
    <row r="82" spans="1:42" s="1119" customFormat="1" ht="12.75" customHeight="1">
      <c r="A82" s="1116"/>
      <c r="B82" s="1124"/>
      <c r="C82" s="485"/>
      <c r="D82" s="485"/>
      <c r="E82" s="865" t="s">
        <v>503</v>
      </c>
      <c r="F82" s="724" t="s">
        <v>367</v>
      </c>
      <c r="G82" s="2013">
        <v>-36.200000000000003</v>
      </c>
      <c r="H82" s="2014" t="str">
        <f>c_ALR2025!M6749</f>
        <v/>
      </c>
      <c r="I82" s="2043"/>
      <c r="J82" s="2006"/>
      <c r="K82" s="2007"/>
      <c r="L82" s="2007"/>
      <c r="M82" s="2007"/>
      <c r="N82" s="2007"/>
      <c r="O82" s="481"/>
      <c r="P82" s="9"/>
      <c r="Q82" s="1198"/>
      <c r="R82" s="1198"/>
      <c r="S82" s="1198"/>
      <c r="T82" s="1198"/>
      <c r="U82" s="1198"/>
      <c r="V82" s="1198"/>
      <c r="W82" s="1198"/>
      <c r="X82" s="1198"/>
      <c r="Y82" s="1249"/>
      <c r="Z82" s="1249"/>
      <c r="AA82" s="1249"/>
      <c r="AB82" s="1249"/>
      <c r="AC82" s="2011" t="b">
        <f t="shared" si="9"/>
        <v>0</v>
      </c>
      <c r="AD82" s="1963" t="b">
        <f t="shared" si="3"/>
        <v>0</v>
      </c>
      <c r="AE82" s="1963" t="b">
        <f t="shared" si="4"/>
        <v>0</v>
      </c>
      <c r="AF82" s="1963" t="b">
        <f t="shared" si="5"/>
        <v>0</v>
      </c>
      <c r="AG82" s="1963" t="b">
        <f t="shared" si="6"/>
        <v>0</v>
      </c>
      <c r="AH82" s="1963" t="b">
        <f t="shared" si="7"/>
        <v>0</v>
      </c>
      <c r="AI82" s="2012" t="b">
        <f t="shared" si="8"/>
        <v>0</v>
      </c>
      <c r="AJ82" s="1198"/>
      <c r="AK82" s="1198"/>
      <c r="AL82" s="1198"/>
      <c r="AP82" s="1121"/>
    </row>
    <row r="83" spans="1:42" s="1119" customFormat="1" ht="12.75" customHeight="1">
      <c r="A83" s="1116"/>
      <c r="B83" s="1124"/>
      <c r="C83" s="485"/>
      <c r="D83" s="485"/>
      <c r="E83" s="865" t="s">
        <v>504</v>
      </c>
      <c r="F83" s="724" t="s">
        <v>505</v>
      </c>
      <c r="G83" s="2013">
        <v>8.8000000000000007</v>
      </c>
      <c r="H83" s="2014" t="str">
        <f>c_ALR2025!M6750</f>
        <v/>
      </c>
      <c r="I83" s="2043"/>
      <c r="J83" s="2006"/>
      <c r="K83" s="2007"/>
      <c r="L83" s="2007"/>
      <c r="M83" s="2007"/>
      <c r="N83" s="2007"/>
      <c r="O83" s="481"/>
      <c r="P83" s="9"/>
      <c r="Q83" s="1198"/>
      <c r="R83" s="1198"/>
      <c r="S83" s="1198"/>
      <c r="T83" s="1198"/>
      <c r="U83" s="1198"/>
      <c r="V83" s="1198"/>
      <c r="W83" s="1198"/>
      <c r="X83" s="1198"/>
      <c r="Y83" s="1249"/>
      <c r="Z83" s="1249"/>
      <c r="AA83" s="1249"/>
      <c r="AB83" s="1249"/>
      <c r="AC83" s="2011" t="b">
        <f t="shared" si="9"/>
        <v>0</v>
      </c>
      <c r="AD83" s="1963" t="b">
        <f t="shared" si="3"/>
        <v>0</v>
      </c>
      <c r="AE83" s="1963" t="b">
        <f t="shared" si="4"/>
        <v>0</v>
      </c>
      <c r="AF83" s="1963" t="b">
        <f t="shared" si="5"/>
        <v>0</v>
      </c>
      <c r="AG83" s="1963" t="b">
        <f t="shared" si="6"/>
        <v>0</v>
      </c>
      <c r="AH83" s="1963" t="b">
        <f t="shared" si="7"/>
        <v>0</v>
      </c>
      <c r="AI83" s="2012" t="b">
        <f t="shared" si="8"/>
        <v>0</v>
      </c>
      <c r="AJ83" s="1198"/>
      <c r="AK83" s="1198"/>
      <c r="AL83" s="1198"/>
      <c r="AP83" s="1121"/>
    </row>
    <row r="84" spans="1:42" s="1119" customFormat="1">
      <c r="A84" s="1116"/>
      <c r="B84" s="1124"/>
      <c r="C84" s="485"/>
      <c r="D84" s="485"/>
      <c r="E84" s="865" t="s">
        <v>506</v>
      </c>
      <c r="F84" s="724" t="s">
        <v>292</v>
      </c>
      <c r="G84" s="2013">
        <v>1</v>
      </c>
      <c r="H84" s="2014" t="str">
        <f>c_ALR2025!M6751</f>
        <v/>
      </c>
      <c r="I84" s="2043"/>
      <c r="J84" s="2006"/>
      <c r="K84" s="2007"/>
      <c r="L84" s="2007"/>
      <c r="M84" s="2007"/>
      <c r="N84" s="2007"/>
      <c r="O84" s="481"/>
      <c r="P84" s="9"/>
      <c r="Q84" s="1198"/>
      <c r="R84" s="1198"/>
      <c r="S84" s="1198"/>
      <c r="T84" s="1198"/>
      <c r="U84" s="1198"/>
      <c r="V84" s="1198"/>
      <c r="W84" s="1198"/>
      <c r="X84" s="1198"/>
      <c r="Y84" s="1249"/>
      <c r="Z84" s="1249"/>
      <c r="AA84" s="1249"/>
      <c r="AB84" s="1249"/>
      <c r="AC84" s="2011" t="b">
        <f t="shared" si="9"/>
        <v>0</v>
      </c>
      <c r="AD84" s="1963" t="b">
        <f t="shared" si="3"/>
        <v>0</v>
      </c>
      <c r="AE84" s="1963" t="b">
        <f t="shared" si="4"/>
        <v>0</v>
      </c>
      <c r="AF84" s="1963" t="b">
        <f t="shared" si="5"/>
        <v>0</v>
      </c>
      <c r="AG84" s="1963" t="b">
        <f t="shared" si="6"/>
        <v>0</v>
      </c>
      <c r="AH84" s="1963" t="b">
        <f t="shared" si="7"/>
        <v>0</v>
      </c>
      <c r="AI84" s="2012" t="b">
        <f t="shared" si="8"/>
        <v>0</v>
      </c>
      <c r="AJ84" s="1198"/>
      <c r="AK84" s="1198"/>
      <c r="AL84" s="1198"/>
      <c r="AP84" s="1121"/>
    </row>
    <row r="85" spans="1:42" s="1119" customFormat="1" ht="12.75" customHeight="1">
      <c r="A85" s="1116"/>
      <c r="B85" s="1124"/>
      <c r="C85" s="485"/>
      <c r="D85" s="485"/>
      <c r="E85" s="865" t="s">
        <v>507</v>
      </c>
      <c r="F85" s="724" t="s">
        <v>508</v>
      </c>
      <c r="G85" s="2013">
        <v>0.1</v>
      </c>
      <c r="H85" s="2014" t="str">
        <f>c_ALR2025!M6752</f>
        <v/>
      </c>
      <c r="I85" s="2043"/>
      <c r="J85" s="2006"/>
      <c r="K85" s="2007"/>
      <c r="L85" s="2007"/>
      <c r="M85" s="2007"/>
      <c r="N85" s="2007"/>
      <c r="O85" s="481"/>
      <c r="P85" s="9"/>
      <c r="Q85" s="1198"/>
      <c r="R85" s="1198"/>
      <c r="S85" s="1198"/>
      <c r="T85" s="1198"/>
      <c r="U85" s="1198"/>
      <c r="V85" s="1198"/>
      <c r="W85" s="1198"/>
      <c r="X85" s="1198"/>
      <c r="Y85" s="1249"/>
      <c r="Z85" s="1249"/>
      <c r="AA85" s="1249"/>
      <c r="AB85" s="1249"/>
      <c r="AC85" s="2011" t="b">
        <f t="shared" si="9"/>
        <v>0</v>
      </c>
      <c r="AD85" s="1963" t="b">
        <f t="shared" si="3"/>
        <v>0</v>
      </c>
      <c r="AE85" s="1963" t="b">
        <f t="shared" si="4"/>
        <v>0</v>
      </c>
      <c r="AF85" s="1963" t="b">
        <f t="shared" si="5"/>
        <v>0</v>
      </c>
      <c r="AG85" s="1963" t="b">
        <f t="shared" si="6"/>
        <v>0</v>
      </c>
      <c r="AH85" s="1963" t="b">
        <f t="shared" si="7"/>
        <v>0</v>
      </c>
      <c r="AI85" s="2012" t="b">
        <f t="shared" si="8"/>
        <v>0</v>
      </c>
      <c r="AJ85" s="1198"/>
      <c r="AK85" s="1198"/>
      <c r="AL85" s="1198"/>
      <c r="AP85" s="1121"/>
    </row>
    <row r="86" spans="1:42" s="1119" customFormat="1" ht="12" customHeight="1">
      <c r="A86" s="1116"/>
      <c r="B86" s="1124"/>
      <c r="C86" s="485"/>
      <c r="D86" s="485"/>
      <c r="E86" s="865" t="s">
        <v>509</v>
      </c>
      <c r="F86" s="724" t="s">
        <v>510</v>
      </c>
      <c r="G86" s="2013">
        <v>0.15</v>
      </c>
      <c r="H86" s="2014" t="str">
        <f>c_ALR2025!M6753</f>
        <v/>
      </c>
      <c r="I86" s="2043"/>
      <c r="J86" s="2006"/>
      <c r="K86" s="2007"/>
      <c r="L86" s="2007"/>
      <c r="M86" s="2007"/>
      <c r="N86" s="2007"/>
      <c r="O86" s="481"/>
      <c r="P86" s="9"/>
      <c r="Q86" s="1198"/>
      <c r="R86" s="1198"/>
      <c r="S86" s="1198"/>
      <c r="T86" s="1198"/>
      <c r="U86" s="1198"/>
      <c r="V86" s="1198"/>
      <c r="W86" s="1198"/>
      <c r="X86" s="1198"/>
      <c r="Y86" s="1249"/>
      <c r="Z86" s="1249"/>
      <c r="AA86" s="1249"/>
      <c r="AB86" s="1249"/>
      <c r="AC86" s="2011" t="b">
        <f t="shared" si="9"/>
        <v>0</v>
      </c>
      <c r="AD86" s="1963" t="b">
        <f t="shared" si="3"/>
        <v>0</v>
      </c>
      <c r="AE86" s="1963" t="b">
        <f t="shared" si="4"/>
        <v>0</v>
      </c>
      <c r="AF86" s="1963" t="b">
        <f t="shared" si="5"/>
        <v>0</v>
      </c>
      <c r="AG86" s="1963" t="b">
        <f t="shared" si="6"/>
        <v>0</v>
      </c>
      <c r="AH86" s="1963" t="b">
        <f t="shared" si="7"/>
        <v>0</v>
      </c>
      <c r="AI86" s="2012" t="b">
        <f t="shared" si="8"/>
        <v>0</v>
      </c>
      <c r="AJ86" s="1198"/>
      <c r="AK86" s="1198"/>
      <c r="AL86" s="1198"/>
      <c r="AP86" s="1121"/>
    </row>
    <row r="87" spans="1:42" s="1119" customFormat="1" ht="13.5" customHeight="1" thickBot="1">
      <c r="A87" s="1116"/>
      <c r="B87" s="1124"/>
      <c r="C87" s="485"/>
      <c r="D87" s="485"/>
      <c r="E87" s="932" t="s">
        <v>511</v>
      </c>
      <c r="F87" s="728" t="s">
        <v>367</v>
      </c>
      <c r="G87" s="2015">
        <v>1.1499999999999999</v>
      </c>
      <c r="H87" s="2016" t="str">
        <f>c_ALR2025!M6754</f>
        <v/>
      </c>
      <c r="I87" s="2044"/>
      <c r="J87" s="2006"/>
      <c r="K87" s="2007"/>
      <c r="L87" s="2007"/>
      <c r="M87" s="2007"/>
      <c r="N87" s="2007"/>
      <c r="O87" s="481"/>
      <c r="P87" s="9"/>
      <c r="Q87" s="1198"/>
      <c r="R87" s="1198"/>
      <c r="S87" s="1198"/>
      <c r="T87" s="1198"/>
      <c r="U87" s="1198"/>
      <c r="V87" s="1198"/>
      <c r="W87" s="1198"/>
      <c r="X87" s="1198"/>
      <c r="Y87" s="1249"/>
      <c r="Z87" s="1249"/>
      <c r="AA87" s="1249"/>
      <c r="AB87" s="1249"/>
      <c r="AC87" s="2017" t="b">
        <f t="shared" si="9"/>
        <v>0</v>
      </c>
      <c r="AD87" s="2018" t="b">
        <f t="shared" si="3"/>
        <v>0</v>
      </c>
      <c r="AE87" s="2018" t="b">
        <f t="shared" si="4"/>
        <v>0</v>
      </c>
      <c r="AF87" s="2018" t="b">
        <f t="shared" si="5"/>
        <v>0</v>
      </c>
      <c r="AG87" s="2018" t="b">
        <f t="shared" si="6"/>
        <v>0</v>
      </c>
      <c r="AH87" s="2018" t="b">
        <f t="shared" si="7"/>
        <v>0</v>
      </c>
      <c r="AI87" s="2019" t="b">
        <f t="shared" si="8"/>
        <v>0</v>
      </c>
      <c r="AJ87" s="1198"/>
      <c r="AK87" s="1198"/>
      <c r="AL87" s="1198"/>
      <c r="AP87" s="1121"/>
    </row>
    <row r="88" spans="1:42" s="1119" customFormat="1" ht="5.0999999999999996" customHeight="1">
      <c r="A88" s="1116"/>
      <c r="B88" s="467"/>
      <c r="C88" s="467"/>
      <c r="D88" s="467"/>
      <c r="E88" s="467"/>
      <c r="F88" s="467"/>
      <c r="G88" s="467"/>
      <c r="H88" s="467"/>
      <c r="I88" s="467"/>
      <c r="J88" s="467"/>
      <c r="K88" s="467"/>
      <c r="L88" s="467"/>
      <c r="M88" s="481"/>
      <c r="N88" s="481"/>
      <c r="O88" s="481"/>
      <c r="P88" s="485"/>
      <c r="Q88" s="1249"/>
      <c r="R88" s="1198"/>
      <c r="S88" s="1198"/>
      <c r="T88" s="1198"/>
      <c r="U88" s="1198"/>
      <c r="V88" s="1198"/>
      <c r="W88" s="1198"/>
      <c r="X88" s="1198"/>
      <c r="Y88" s="1249"/>
      <c r="Z88" s="1249"/>
      <c r="AA88" s="1249"/>
      <c r="AB88" s="1249"/>
      <c r="AC88" s="1249"/>
      <c r="AD88" s="1249"/>
      <c r="AE88" s="1249"/>
      <c r="AF88" s="1249"/>
      <c r="AG88" s="1249"/>
      <c r="AH88" s="1249"/>
      <c r="AI88" s="1249"/>
      <c r="AJ88" s="1198"/>
      <c r="AK88" s="1198"/>
      <c r="AL88" s="1198"/>
      <c r="AP88" s="1121"/>
    </row>
    <row r="89" spans="1:42" s="1119" customFormat="1" ht="13.15" customHeight="1">
      <c r="A89" s="1116"/>
      <c r="B89" s="467"/>
      <c r="C89" s="467"/>
      <c r="D89" s="482" t="s">
        <v>48</v>
      </c>
      <c r="E89" s="2373" t="s">
        <v>960</v>
      </c>
      <c r="F89" s="2400"/>
      <c r="G89" s="2400"/>
      <c r="H89" s="2400"/>
      <c r="I89" s="2400"/>
      <c r="J89" s="2400"/>
      <c r="K89" s="2400"/>
      <c r="L89" s="2400"/>
      <c r="M89" s="2400"/>
      <c r="N89" s="2400"/>
      <c r="O89" s="481"/>
      <c r="P89" s="485"/>
      <c r="Q89" s="1249"/>
      <c r="R89" s="1198"/>
      <c r="S89" s="1198"/>
      <c r="T89" s="1198"/>
      <c r="U89" s="1198"/>
      <c r="V89" s="1198"/>
      <c r="W89" s="1198"/>
      <c r="X89" s="1198"/>
      <c r="Y89" s="1249"/>
      <c r="Z89" s="1249"/>
      <c r="AA89" s="1249"/>
      <c r="AB89" s="1249"/>
      <c r="AC89" s="1249"/>
      <c r="AD89" s="1249"/>
      <c r="AE89" s="1249"/>
      <c r="AF89" s="1249"/>
      <c r="AG89" s="1249"/>
      <c r="AH89" s="1249"/>
      <c r="AI89" s="1249"/>
      <c r="AJ89" s="1198"/>
      <c r="AK89" s="1198"/>
      <c r="AL89" s="1198"/>
      <c r="AP89" s="1121"/>
    </row>
    <row r="90" spans="1:42" s="1119" customFormat="1" ht="13.15" customHeight="1">
      <c r="A90" s="1116"/>
      <c r="B90" s="467"/>
      <c r="C90" s="467"/>
      <c r="D90" s="485"/>
      <c r="E90" s="2385" t="s">
        <v>1246</v>
      </c>
      <c r="F90" s="2846"/>
      <c r="G90" s="2846"/>
      <c r="H90" s="2846"/>
      <c r="I90" s="2846"/>
      <c r="J90" s="2846"/>
      <c r="K90" s="2846"/>
      <c r="L90" s="2846"/>
      <c r="M90" s="2846"/>
      <c r="N90" s="2846"/>
      <c r="O90" s="481"/>
      <c r="P90" s="485"/>
      <c r="Q90" s="1249"/>
      <c r="R90" s="1198"/>
      <c r="S90" s="1198"/>
      <c r="T90" s="1198"/>
      <c r="U90" s="1198"/>
      <c r="V90" s="1198"/>
      <c r="W90" s="1198"/>
      <c r="X90" s="1198"/>
      <c r="Y90" s="1249"/>
      <c r="Z90" s="1249"/>
      <c r="AA90" s="1249"/>
      <c r="AB90" s="1249"/>
      <c r="AC90" s="1249"/>
      <c r="AD90" s="1249"/>
      <c r="AE90" s="1249"/>
      <c r="AF90" s="1249"/>
      <c r="AG90" s="1249"/>
      <c r="AH90" s="1249"/>
      <c r="AI90" s="1249"/>
      <c r="AJ90" s="1198"/>
      <c r="AK90" s="1198"/>
      <c r="AL90" s="1198"/>
      <c r="AP90" s="1121"/>
    </row>
    <row r="91" spans="1:42" s="1119" customFormat="1" ht="13.15" customHeight="1">
      <c r="A91" s="1116"/>
      <c r="B91" s="467"/>
      <c r="C91" s="467"/>
      <c r="D91" s="485"/>
      <c r="E91" s="3258" t="s">
        <v>1545</v>
      </c>
      <c r="F91" s="2846"/>
      <c r="G91" s="2846"/>
      <c r="H91" s="2846"/>
      <c r="I91" s="2846"/>
      <c r="J91" s="2846"/>
      <c r="K91" s="2846"/>
      <c r="L91" s="2846"/>
      <c r="M91" s="2846"/>
      <c r="N91" s="2846"/>
      <c r="O91" s="481"/>
      <c r="P91" s="485"/>
      <c r="Q91" s="1249"/>
      <c r="R91" s="1198"/>
      <c r="S91" s="1198"/>
      <c r="T91" s="1198"/>
      <c r="U91" s="1198"/>
      <c r="V91" s="1198"/>
      <c r="W91" s="1198"/>
      <c r="X91" s="1198"/>
      <c r="Y91" s="1249"/>
      <c r="Z91" s="1249"/>
      <c r="AA91" s="1249"/>
      <c r="AB91" s="1249"/>
      <c r="AC91" s="1249"/>
      <c r="AD91" s="1249"/>
      <c r="AE91" s="1249"/>
      <c r="AF91" s="1249"/>
      <c r="AG91" s="1249"/>
      <c r="AH91" s="1249"/>
      <c r="AI91" s="1249"/>
      <c r="AJ91" s="1198"/>
      <c r="AK91" s="1198"/>
      <c r="AL91" s="1198"/>
      <c r="AP91" s="1121"/>
    </row>
    <row r="92" spans="1:42" s="1119" customFormat="1" ht="13.15" customHeight="1">
      <c r="A92" s="1116"/>
      <c r="B92" s="467"/>
      <c r="C92" s="467"/>
      <c r="D92" s="485"/>
      <c r="E92" s="3258" t="s">
        <v>2306</v>
      </c>
      <c r="F92" s="2846"/>
      <c r="G92" s="2846"/>
      <c r="H92" s="2846"/>
      <c r="I92" s="2846"/>
      <c r="J92" s="2846"/>
      <c r="K92" s="2846"/>
      <c r="L92" s="2846"/>
      <c r="M92" s="2846"/>
      <c r="N92" s="2846"/>
      <c r="O92" s="481"/>
      <c r="P92" s="485"/>
      <c r="Q92" s="1249"/>
      <c r="R92" s="1198"/>
      <c r="S92" s="1198"/>
      <c r="T92" s="1198"/>
      <c r="U92" s="1198"/>
      <c r="V92" s="1198"/>
      <c r="W92" s="1198"/>
      <c r="X92" s="1198"/>
      <c r="Y92" s="1249"/>
      <c r="Z92" s="1249"/>
      <c r="AA92" s="1249"/>
      <c r="AB92" s="1249"/>
      <c r="AC92" s="1249"/>
      <c r="AD92" s="1249"/>
      <c r="AE92" s="1249"/>
      <c r="AF92" s="1249"/>
      <c r="AG92" s="1249"/>
      <c r="AH92" s="1249"/>
      <c r="AI92" s="1249"/>
      <c r="AJ92" s="1198"/>
      <c r="AK92" s="1198"/>
      <c r="AL92" s="1198"/>
      <c r="AP92" s="1121"/>
    </row>
    <row r="93" spans="1:42" s="1119" customFormat="1" ht="13.15" customHeight="1">
      <c r="A93" s="1116"/>
      <c r="B93" s="467"/>
      <c r="C93" s="467"/>
      <c r="D93" s="485"/>
      <c r="E93" s="2385" t="s">
        <v>1247</v>
      </c>
      <c r="F93" s="2846"/>
      <c r="G93" s="2846"/>
      <c r="H93" s="2846"/>
      <c r="I93" s="2846"/>
      <c r="J93" s="2846"/>
      <c r="K93" s="2846"/>
      <c r="L93" s="2846"/>
      <c r="M93" s="2846"/>
      <c r="N93" s="2846"/>
      <c r="O93" s="481"/>
      <c r="P93" s="485"/>
      <c r="Q93" s="1249"/>
      <c r="R93" s="1198"/>
      <c r="S93" s="1198"/>
      <c r="T93" s="1198"/>
      <c r="U93" s="1198"/>
      <c r="V93" s="1198"/>
      <c r="W93" s="1198"/>
      <c r="X93" s="1198"/>
      <c r="Y93" s="1249"/>
      <c r="Z93" s="1249"/>
      <c r="AA93" s="1249"/>
      <c r="AB93" s="1249"/>
      <c r="AC93" s="1249"/>
      <c r="AD93" s="1249"/>
      <c r="AE93" s="1249"/>
      <c r="AF93" s="1249"/>
      <c r="AG93" s="1249"/>
      <c r="AH93" s="1249"/>
      <c r="AI93" s="1249"/>
      <c r="AJ93" s="1198"/>
      <c r="AK93" s="1198"/>
      <c r="AL93" s="1198"/>
      <c r="AP93" s="1121"/>
    </row>
    <row r="94" spans="1:42" s="1119" customFormat="1">
      <c r="A94" s="1116"/>
      <c r="B94" s="1124"/>
      <c r="C94" s="485"/>
      <c r="D94" s="482"/>
      <c r="E94" s="637"/>
      <c r="F94" s="637"/>
      <c r="G94" s="663" t="str">
        <f>EUconst_Unit</f>
        <v>Unit</v>
      </c>
      <c r="H94" s="671">
        <f t="shared" ref="H94:N94" si="10">H$421</f>
        <v>2024</v>
      </c>
      <c r="I94" s="1081">
        <f t="shared" si="10"/>
        <v>2025</v>
      </c>
      <c r="J94" s="1489">
        <f t="shared" si="10"/>
        <v>2026</v>
      </c>
      <c r="K94" s="1490">
        <f t="shared" si="10"/>
        <v>2027</v>
      </c>
      <c r="L94" s="1490">
        <f t="shared" si="10"/>
        <v>2028</v>
      </c>
      <c r="M94" s="1490">
        <f t="shared" si="10"/>
        <v>2029</v>
      </c>
      <c r="N94" s="1490">
        <f t="shared" si="10"/>
        <v>2030</v>
      </c>
      <c r="O94" s="481"/>
      <c r="P94" s="485"/>
      <c r="Q94" s="1198"/>
      <c r="R94" s="1198"/>
      <c r="S94" s="1198"/>
      <c r="T94" s="1198"/>
      <c r="U94" s="1198"/>
      <c r="V94" s="1198"/>
      <c r="W94" s="1198"/>
      <c r="X94" s="1198"/>
      <c r="Y94" s="1249"/>
      <c r="Z94" s="1249"/>
      <c r="AA94" s="1249"/>
      <c r="AB94" s="1249"/>
      <c r="AC94" s="1249"/>
      <c r="AD94" s="1249"/>
      <c r="AE94" s="1249"/>
      <c r="AF94" s="1249"/>
      <c r="AG94" s="1249"/>
      <c r="AH94" s="1249"/>
      <c r="AI94" s="1249"/>
      <c r="AJ94" s="1198"/>
      <c r="AK94" s="1198"/>
      <c r="AL94" s="1198"/>
      <c r="AP94" s="1121"/>
    </row>
    <row r="95" spans="1:42" s="1119" customFormat="1" ht="13.5" customHeight="1">
      <c r="A95" s="1116"/>
      <c r="B95" s="1124"/>
      <c r="C95" s="485"/>
      <c r="D95" s="485"/>
      <c r="E95" s="948" t="s">
        <v>452</v>
      </c>
      <c r="F95" s="948"/>
      <c r="G95" s="730" t="str">
        <f>EUconst_CWTpa</f>
        <v>CWT / year</v>
      </c>
      <c r="H95" s="853" t="str">
        <f>IF(COUNT(H32:H87)&gt;0,1000*(1.0183*SUMPRODUCT($G$32:$G$87,H32:H87)+298+0.315*SUMPRODUCT(H32,H32)),"")</f>
        <v/>
      </c>
      <c r="I95" s="1086" t="str">
        <f t="shared" ref="I95:N95" si="11">IF(COUNT(I32:I87)&gt;0,1000*(1.0183*SUMPRODUCT($G$32:$G$87,I32:I87)+298+0.315*I32),"")</f>
        <v/>
      </c>
      <c r="J95" s="2020" t="str">
        <f t="shared" si="11"/>
        <v/>
      </c>
      <c r="K95" s="2021" t="str">
        <f t="shared" si="11"/>
        <v/>
      </c>
      <c r="L95" s="2021" t="str">
        <f t="shared" si="11"/>
        <v/>
      </c>
      <c r="M95" s="2021" t="str">
        <f t="shared" si="11"/>
        <v/>
      </c>
      <c r="N95" s="2021" t="str">
        <f t="shared" si="11"/>
        <v/>
      </c>
      <c r="O95" s="481"/>
      <c r="P95" s="485"/>
      <c r="Q95" s="1443" t="str">
        <f>IF(L17=EUconst_Relevant,EUconst_CNTR_HALspecial &amp; INDEX(EUconst_BMlistNames,R17),"")</f>
        <v/>
      </c>
      <c r="R95" s="1198"/>
      <c r="S95" s="1198"/>
      <c r="T95" s="1198"/>
      <c r="U95" s="1198"/>
      <c r="V95" s="1198"/>
      <c r="W95" s="1198"/>
      <c r="X95" s="1198"/>
      <c r="Y95" s="1249"/>
      <c r="Z95" s="1249"/>
      <c r="AA95" s="1249"/>
      <c r="AB95" s="1249"/>
      <c r="AC95" s="1249"/>
      <c r="AD95" s="1249"/>
      <c r="AE95" s="1249"/>
      <c r="AF95" s="1249"/>
      <c r="AG95" s="1249"/>
      <c r="AH95" s="1249"/>
      <c r="AI95" s="1249"/>
      <c r="AJ95" s="1198"/>
      <c r="AK95" s="1198"/>
      <c r="AL95" s="1198"/>
      <c r="AP95" s="1121"/>
    </row>
    <row r="96" spans="1:42" s="1119" customFormat="1" ht="5.0999999999999996" customHeight="1">
      <c r="A96" s="1116"/>
      <c r="B96" s="467"/>
      <c r="C96" s="467"/>
      <c r="D96" s="467"/>
      <c r="E96" s="467"/>
      <c r="F96" s="467"/>
      <c r="G96" s="467"/>
      <c r="H96" s="467"/>
      <c r="I96" s="467"/>
      <c r="J96" s="467"/>
      <c r="K96" s="467"/>
      <c r="L96" s="467"/>
      <c r="M96" s="481"/>
      <c r="N96" s="481"/>
      <c r="O96" s="481"/>
      <c r="P96" s="485"/>
      <c r="Q96" s="1249"/>
      <c r="R96" s="1198"/>
      <c r="S96" s="1198"/>
      <c r="T96" s="1198"/>
      <c r="U96" s="1198"/>
      <c r="V96" s="1198"/>
      <c r="W96" s="1198"/>
      <c r="X96" s="1198"/>
      <c r="Y96" s="1249"/>
      <c r="Z96" s="1249"/>
      <c r="AA96" s="1249"/>
      <c r="AB96" s="1249"/>
      <c r="AC96" s="1249"/>
      <c r="AD96" s="1249"/>
      <c r="AE96" s="1249"/>
      <c r="AF96" s="1249"/>
      <c r="AG96" s="1249"/>
      <c r="AH96" s="1249"/>
      <c r="AI96" s="1249"/>
      <c r="AJ96" s="1198"/>
      <c r="AK96" s="1198"/>
      <c r="AL96" s="1198"/>
      <c r="AP96" s="1121"/>
    </row>
    <row r="97" spans="1:42" s="1119" customFormat="1">
      <c r="A97" s="1116"/>
      <c r="B97" s="467"/>
      <c r="C97" s="467"/>
      <c r="D97" s="467"/>
      <c r="E97" s="2782" t="str">
        <f>IF(L17=EUconst_Relevant,HYPERLINK(R97,EUconst_MsgBackToSheetF),"")</f>
        <v/>
      </c>
      <c r="F97" s="2783"/>
      <c r="G97" s="2783"/>
      <c r="H97" s="2783"/>
      <c r="I97" s="2783"/>
      <c r="J97" s="2783"/>
      <c r="K97" s="2783"/>
      <c r="L97" s="2783"/>
      <c r="M97" s="2783"/>
      <c r="N97" s="2784"/>
      <c r="O97" s="481"/>
      <c r="P97" s="485"/>
      <c r="Q97" s="1893" t="s">
        <v>116</v>
      </c>
      <c r="R97" s="1443" t="str">
        <f>R19</f>
        <v/>
      </c>
      <c r="S97" s="1198"/>
      <c r="T97" s="1198"/>
      <c r="U97" s="1198"/>
      <c r="V97" s="1198"/>
      <c r="W97" s="1198"/>
      <c r="X97" s="1198"/>
      <c r="Y97" s="1249"/>
      <c r="Z97" s="1249"/>
      <c r="AA97" s="1249"/>
      <c r="AB97" s="1249"/>
      <c r="AC97" s="1249"/>
      <c r="AD97" s="1249"/>
      <c r="AE97" s="1249"/>
      <c r="AF97" s="1249"/>
      <c r="AG97" s="1249"/>
      <c r="AH97" s="1249"/>
      <c r="AI97" s="1249"/>
      <c r="AJ97" s="1198"/>
      <c r="AK97" s="1198"/>
      <c r="AL97" s="1198"/>
      <c r="AP97" s="1121"/>
    </row>
    <row r="98" spans="1:42" s="1119" customFormat="1">
      <c r="A98" s="1116"/>
      <c r="B98" s="1124"/>
      <c r="C98" s="485"/>
      <c r="D98" s="485"/>
      <c r="E98" s="485"/>
      <c r="F98" s="485"/>
      <c r="G98" s="485"/>
      <c r="H98" s="485"/>
      <c r="I98" s="485"/>
      <c r="J98" s="485"/>
      <c r="K98" s="485"/>
      <c r="L98" s="485"/>
      <c r="M98" s="485"/>
      <c r="N98" s="485"/>
      <c r="O98" s="481"/>
      <c r="P98" s="485"/>
      <c r="Q98" s="1198"/>
      <c r="R98" s="1198"/>
      <c r="S98" s="1198"/>
      <c r="T98" s="1198"/>
      <c r="U98" s="1198"/>
      <c r="V98" s="1198"/>
      <c r="W98" s="1198"/>
      <c r="X98" s="1198"/>
      <c r="Y98" s="1249"/>
      <c r="Z98" s="1249"/>
      <c r="AA98" s="1249"/>
      <c r="AB98" s="1249"/>
      <c r="AC98" s="1249"/>
      <c r="AD98" s="1249"/>
      <c r="AE98" s="1249"/>
      <c r="AF98" s="1249"/>
      <c r="AG98" s="1249"/>
      <c r="AH98" s="1249"/>
      <c r="AI98" s="1249"/>
      <c r="AJ98" s="1198"/>
      <c r="AK98" s="1198"/>
      <c r="AL98" s="1198"/>
      <c r="AP98" s="1121"/>
    </row>
    <row r="99" spans="1:42" s="1119" customFormat="1" ht="15.6" customHeight="1">
      <c r="A99" s="1116"/>
      <c r="B99" s="467"/>
      <c r="C99" s="507" t="s">
        <v>875</v>
      </c>
      <c r="D99" s="2408" t="s">
        <v>638</v>
      </c>
      <c r="E99" s="2408"/>
      <c r="F99" s="2408"/>
      <c r="G99" s="2408"/>
      <c r="H99" s="2408"/>
      <c r="I99" s="2408"/>
      <c r="J99" s="2408"/>
      <c r="K99" s="2408"/>
      <c r="L99" s="2408"/>
      <c r="M99" s="2408"/>
      <c r="N99" s="2408"/>
      <c r="O99" s="481"/>
      <c r="P99" s="485"/>
      <c r="Q99" s="1249"/>
      <c r="R99" s="1198"/>
      <c r="S99" s="1198"/>
      <c r="T99" s="1198"/>
      <c r="U99" s="1198"/>
      <c r="V99" s="1198"/>
      <c r="W99" s="1198"/>
      <c r="X99" s="1198"/>
      <c r="Y99" s="1249"/>
      <c r="Z99" s="1249"/>
      <c r="AA99" s="1249"/>
      <c r="AB99" s="1249"/>
      <c r="AC99" s="1249"/>
      <c r="AD99" s="1249"/>
      <c r="AE99" s="1249"/>
      <c r="AF99" s="1249"/>
      <c r="AG99" s="1249"/>
      <c r="AH99" s="1249"/>
      <c r="AI99" s="1249"/>
      <c r="AJ99" s="1198"/>
      <c r="AK99" s="1198"/>
      <c r="AL99" s="1198"/>
      <c r="AP99" s="1121"/>
    </row>
    <row r="100" spans="1:42" s="1119" customFormat="1" ht="5.0999999999999996" customHeight="1">
      <c r="A100" s="1116"/>
      <c r="B100" s="467"/>
      <c r="C100" s="467"/>
      <c r="D100" s="467"/>
      <c r="E100" s="467"/>
      <c r="F100" s="467"/>
      <c r="G100" s="467"/>
      <c r="H100" s="467"/>
      <c r="I100" s="467"/>
      <c r="J100" s="467"/>
      <c r="K100" s="467"/>
      <c r="L100" s="467"/>
      <c r="M100" s="481"/>
      <c r="N100" s="481"/>
      <c r="O100" s="481"/>
      <c r="P100" s="485"/>
      <c r="Q100" s="1249"/>
      <c r="R100" s="1198"/>
      <c r="S100" s="1198"/>
      <c r="T100" s="1198"/>
      <c r="U100" s="1198"/>
      <c r="V100" s="1198"/>
      <c r="W100" s="1198"/>
      <c r="X100" s="1198"/>
      <c r="Y100" s="1249"/>
      <c r="Z100" s="1249"/>
      <c r="AA100" s="1249"/>
      <c r="AB100" s="1249"/>
      <c r="AC100" s="1249"/>
      <c r="AD100" s="1249"/>
      <c r="AE100" s="1249"/>
      <c r="AF100" s="1249"/>
      <c r="AG100" s="1249"/>
      <c r="AH100" s="1249"/>
      <c r="AI100" s="1249"/>
      <c r="AJ100" s="1198"/>
      <c r="AK100" s="1198"/>
      <c r="AL100" s="1198"/>
      <c r="AP100" s="1121"/>
    </row>
    <row r="101" spans="1:42" s="1119" customFormat="1" ht="13.9" customHeight="1">
      <c r="A101" s="1116"/>
      <c r="B101" s="467"/>
      <c r="C101" s="559"/>
      <c r="D101" s="2482" t="s">
        <v>215</v>
      </c>
      <c r="E101" s="2400"/>
      <c r="F101" s="2400"/>
      <c r="G101" s="2400"/>
      <c r="H101" s="2400"/>
      <c r="I101" s="2400"/>
      <c r="J101" s="2400"/>
      <c r="K101" s="2400"/>
      <c r="L101" s="2400"/>
      <c r="M101" s="2400"/>
      <c r="N101" s="2400"/>
      <c r="O101" s="481"/>
      <c r="P101" s="485"/>
      <c r="Q101" s="1249"/>
      <c r="R101" s="1198"/>
      <c r="S101" s="1198"/>
      <c r="T101" s="1198"/>
      <c r="U101" s="1198"/>
      <c r="V101" s="1198"/>
      <c r="W101" s="1198"/>
      <c r="X101" s="1198"/>
      <c r="Y101" s="1249"/>
      <c r="Z101" s="1249"/>
      <c r="AA101" s="1249"/>
      <c r="AB101" s="1249"/>
      <c r="AC101" s="1249"/>
      <c r="AD101" s="1249"/>
      <c r="AE101" s="1249"/>
      <c r="AF101" s="1249"/>
      <c r="AG101" s="1249"/>
      <c r="AH101" s="1249"/>
      <c r="AI101" s="1249"/>
      <c r="AJ101" s="1198"/>
      <c r="AK101" s="1198"/>
      <c r="AL101" s="1198"/>
      <c r="AP101" s="1121"/>
    </row>
    <row r="102" spans="1:42" s="1119" customFormat="1" ht="5.0999999999999996" customHeight="1">
      <c r="A102" s="1116"/>
      <c r="B102" s="467"/>
      <c r="C102" s="467"/>
      <c r="D102" s="467"/>
      <c r="E102" s="467"/>
      <c r="F102" s="467"/>
      <c r="G102" s="467"/>
      <c r="H102" s="467"/>
      <c r="I102" s="467"/>
      <c r="J102" s="467"/>
      <c r="K102" s="467"/>
      <c r="L102" s="467"/>
      <c r="M102" s="481"/>
      <c r="N102" s="481"/>
      <c r="O102" s="481"/>
      <c r="P102" s="485"/>
      <c r="Q102" s="1249"/>
      <c r="R102" s="1198"/>
      <c r="S102" s="1198"/>
      <c r="T102" s="1198"/>
      <c r="U102" s="1198"/>
      <c r="V102" s="1198"/>
      <c r="W102" s="1198"/>
      <c r="X102" s="1198"/>
      <c r="Y102" s="1249"/>
      <c r="Z102" s="1249"/>
      <c r="AA102" s="1249"/>
      <c r="AB102" s="1249"/>
      <c r="AC102" s="1249"/>
      <c r="AD102" s="1249"/>
      <c r="AE102" s="1249"/>
      <c r="AF102" s="1249"/>
      <c r="AG102" s="1249"/>
      <c r="AH102" s="1249"/>
      <c r="AI102" s="1249"/>
      <c r="AJ102" s="1198"/>
      <c r="AK102" s="1198"/>
      <c r="AL102" s="1198"/>
      <c r="AP102" s="1121"/>
    </row>
    <row r="103" spans="1:42" s="1119" customFormat="1" ht="13.15" customHeight="1">
      <c r="A103" s="1116"/>
      <c r="B103" s="467"/>
      <c r="C103" s="467"/>
      <c r="D103" s="485"/>
      <c r="E103" s="2385" t="s">
        <v>2156</v>
      </c>
      <c r="F103" s="2846"/>
      <c r="G103" s="2846"/>
      <c r="H103" s="2846"/>
      <c r="I103" s="2846"/>
      <c r="J103" s="2846"/>
      <c r="K103" s="2846"/>
      <c r="L103" s="2846"/>
      <c r="M103" s="2846"/>
      <c r="N103" s="2846"/>
      <c r="O103" s="481"/>
      <c r="P103" s="485"/>
      <c r="Q103" s="1249"/>
      <c r="R103" s="1198"/>
      <c r="S103" s="1198"/>
      <c r="T103" s="1198"/>
      <c r="U103" s="1198"/>
      <c r="V103" s="1198"/>
      <c r="W103" s="1198"/>
      <c r="X103" s="1198"/>
      <c r="Y103" s="1249"/>
      <c r="Z103" s="1249"/>
      <c r="AA103" s="1249"/>
      <c r="AB103" s="1249"/>
      <c r="AC103" s="1249"/>
      <c r="AD103" s="1249"/>
      <c r="AE103" s="1249"/>
      <c r="AF103" s="1249"/>
      <c r="AG103" s="1249"/>
      <c r="AH103" s="1249"/>
      <c r="AI103" s="1249"/>
      <c r="AJ103" s="1198"/>
      <c r="AK103" s="1198"/>
      <c r="AL103" s="1198"/>
      <c r="AP103" s="1121"/>
    </row>
    <row r="104" spans="1:42" s="1119" customFormat="1" ht="13.15" customHeight="1">
      <c r="A104" s="1116"/>
      <c r="B104" s="467"/>
      <c r="C104" s="467"/>
      <c r="D104" s="485"/>
      <c r="E104" s="2385" t="s">
        <v>126</v>
      </c>
      <c r="F104" s="2846"/>
      <c r="G104" s="2846"/>
      <c r="H104" s="2846"/>
      <c r="I104" s="2846"/>
      <c r="J104" s="2846"/>
      <c r="K104" s="2846"/>
      <c r="L104" s="2846"/>
      <c r="M104" s="2846"/>
      <c r="N104" s="2846"/>
      <c r="O104" s="481"/>
      <c r="P104" s="485"/>
      <c r="Q104" s="1249"/>
      <c r="R104" s="1198"/>
      <c r="S104" s="1198"/>
      <c r="T104" s="1198"/>
      <c r="U104" s="1198"/>
      <c r="V104" s="1198"/>
      <c r="W104" s="1198"/>
      <c r="X104" s="1198"/>
      <c r="Y104" s="1249"/>
      <c r="Z104" s="1249"/>
      <c r="AA104" s="1249"/>
      <c r="AB104" s="1249"/>
      <c r="AC104" s="1249"/>
      <c r="AD104" s="1249"/>
      <c r="AE104" s="1249"/>
      <c r="AF104" s="1249"/>
      <c r="AG104" s="1249"/>
      <c r="AH104" s="1249"/>
      <c r="AI104" s="1249"/>
      <c r="AJ104" s="1198"/>
      <c r="AK104" s="1198"/>
      <c r="AL104" s="1198"/>
      <c r="AP104" s="1121"/>
    </row>
    <row r="105" spans="1:42" s="1119" customFormat="1" ht="5.0999999999999996" customHeight="1">
      <c r="A105" s="1116"/>
      <c r="B105" s="467"/>
      <c r="C105" s="467"/>
      <c r="D105" s="467"/>
      <c r="E105" s="467"/>
      <c r="F105" s="467"/>
      <c r="G105" s="467"/>
      <c r="H105" s="467"/>
      <c r="I105" s="467"/>
      <c r="J105" s="467"/>
      <c r="K105" s="467"/>
      <c r="L105" s="467"/>
      <c r="M105" s="481"/>
      <c r="N105" s="481"/>
      <c r="O105" s="481"/>
      <c r="P105" s="485"/>
      <c r="Q105" s="1249"/>
      <c r="R105" s="1198"/>
      <c r="S105" s="1198"/>
      <c r="T105" s="1198"/>
      <c r="U105" s="1198"/>
      <c r="V105" s="1198"/>
      <c r="W105" s="1198"/>
      <c r="X105" s="1198"/>
      <c r="Y105" s="1249"/>
      <c r="Z105" s="1249"/>
      <c r="AA105" s="1249"/>
      <c r="AB105" s="1249"/>
      <c r="AC105" s="1249"/>
      <c r="AD105" s="1249"/>
      <c r="AE105" s="1249"/>
      <c r="AF105" s="1249"/>
      <c r="AG105" s="1249"/>
      <c r="AH105" s="1249"/>
      <c r="AI105" s="1249"/>
      <c r="AJ105" s="1198"/>
      <c r="AK105" s="1198"/>
      <c r="AL105" s="1198"/>
      <c r="AP105" s="1121"/>
    </row>
    <row r="106" spans="1:42" s="1119" customFormat="1" ht="15">
      <c r="A106" s="1116"/>
      <c r="B106" s="467"/>
      <c r="C106" s="467"/>
      <c r="D106" s="482" t="s">
        <v>400</v>
      </c>
      <c r="E106" s="2373" t="s">
        <v>96</v>
      </c>
      <c r="F106" s="2373"/>
      <c r="G106" s="2373"/>
      <c r="H106" s="2373"/>
      <c r="I106" s="2373"/>
      <c r="J106" s="2373"/>
      <c r="K106" s="2604"/>
      <c r="L106" s="3419" t="str">
        <f>IF(CNTR_ExistSubInstEntries,IF(COUNTIF(CNTR_SubInstListNames,INDEX(EUconst_BMlistNames,R106))&gt;0,EUconst_Relevant,EUconst_NotRelevant),"")</f>
        <v/>
      </c>
      <c r="M106" s="3420"/>
      <c r="N106" s="3421"/>
      <c r="O106" s="481"/>
      <c r="P106" s="485"/>
      <c r="Q106" s="1893" t="s">
        <v>117</v>
      </c>
      <c r="R106" s="2002">
        <v>12</v>
      </c>
      <c r="S106" s="1198"/>
      <c r="T106" s="1198"/>
      <c r="U106" s="1198"/>
      <c r="V106" s="1198"/>
      <c r="W106" s="1198"/>
      <c r="X106" s="1198"/>
      <c r="Y106" s="1249"/>
      <c r="Z106" s="1249"/>
      <c r="AA106" s="1249"/>
      <c r="AB106" s="1249"/>
      <c r="AC106" s="1249"/>
      <c r="AD106" s="1249"/>
      <c r="AE106" s="1249"/>
      <c r="AF106" s="1249"/>
      <c r="AG106" s="1249"/>
      <c r="AH106" s="1249"/>
      <c r="AI106" s="1249"/>
      <c r="AJ106" s="1198"/>
      <c r="AK106" s="1198"/>
      <c r="AL106" s="1198"/>
      <c r="AP106" s="1121"/>
    </row>
    <row r="107" spans="1:42" s="1119" customFormat="1" ht="13.15" customHeight="1">
      <c r="A107" s="1116"/>
      <c r="B107" s="467"/>
      <c r="C107" s="467"/>
      <c r="D107" s="485"/>
      <c r="E107" s="3203" t="s">
        <v>300</v>
      </c>
      <c r="F107" s="3204"/>
      <c r="G107" s="3204"/>
      <c r="H107" s="3204"/>
      <c r="I107" s="3204"/>
      <c r="J107" s="3204"/>
      <c r="K107" s="3204"/>
      <c r="L107" s="3204"/>
      <c r="M107" s="3204"/>
      <c r="N107" s="3204"/>
      <c r="O107" s="481"/>
      <c r="P107" s="485"/>
      <c r="Q107" s="1249"/>
      <c r="R107" s="1198"/>
      <c r="S107" s="1198"/>
      <c r="T107" s="1198"/>
      <c r="U107" s="1198"/>
      <c r="V107" s="1198"/>
      <c r="W107" s="1198"/>
      <c r="X107" s="1198"/>
      <c r="Y107" s="1249"/>
      <c r="Z107" s="1249"/>
      <c r="AA107" s="1249"/>
      <c r="AB107" s="1249"/>
      <c r="AC107" s="1249"/>
      <c r="AD107" s="1249"/>
      <c r="AE107" s="1249"/>
      <c r="AF107" s="1249"/>
      <c r="AG107" s="1249"/>
      <c r="AH107" s="1249"/>
      <c r="AI107" s="1249"/>
      <c r="AJ107" s="1198"/>
      <c r="AK107" s="1198"/>
      <c r="AL107" s="1198"/>
      <c r="AP107" s="1121"/>
    </row>
    <row r="108" spans="1:42" s="1119" customFormat="1">
      <c r="A108" s="1116"/>
      <c r="B108" s="467"/>
      <c r="C108" s="467"/>
      <c r="D108" s="467"/>
      <c r="E108" s="2782" t="str">
        <f>IF(L106=EUconst_Relevant,HYPERLINK(R108,EUconst_MsgBackToSheetF),"")</f>
        <v/>
      </c>
      <c r="F108" s="2783"/>
      <c r="G108" s="2783"/>
      <c r="H108" s="2783"/>
      <c r="I108" s="2783"/>
      <c r="J108" s="2783"/>
      <c r="K108" s="2783"/>
      <c r="L108" s="2783"/>
      <c r="M108" s="2783"/>
      <c r="N108" s="2784"/>
      <c r="O108" s="481"/>
      <c r="P108" s="485"/>
      <c r="Q108" s="1893" t="s">
        <v>116</v>
      </c>
      <c r="R108" s="1443" t="str">
        <f>IF(ISNUMBER(MATCH(R106,CNTR_SubInstListBMnumbers,0)),"#JUMP_F"&amp;MATCH(R106,CNTR_SubInstListBMnumbers,0),"")</f>
        <v/>
      </c>
      <c r="S108" s="1198"/>
      <c r="T108" s="1198"/>
      <c r="U108" s="1198"/>
      <c r="V108" s="1198"/>
      <c r="W108" s="1198"/>
      <c r="X108" s="1198"/>
      <c r="Y108" s="1249"/>
      <c r="Z108" s="1249"/>
      <c r="AA108" s="1249"/>
      <c r="AB108" s="1249"/>
      <c r="AC108" s="1249"/>
      <c r="AD108" s="1249"/>
      <c r="AE108" s="1249"/>
      <c r="AF108" s="1249"/>
      <c r="AG108" s="1249"/>
      <c r="AH108" s="1249"/>
      <c r="AI108" s="1249"/>
      <c r="AJ108" s="1198"/>
      <c r="AK108" s="1198"/>
      <c r="AL108" s="1198"/>
      <c r="AP108" s="1121"/>
    </row>
    <row r="109" spans="1:42" s="1119" customFormat="1" ht="5.0999999999999996" customHeight="1">
      <c r="A109" s="1116"/>
      <c r="B109" s="467"/>
      <c r="C109" s="467"/>
      <c r="D109" s="467"/>
      <c r="E109" s="467"/>
      <c r="F109" s="467"/>
      <c r="G109" s="467"/>
      <c r="H109" s="467"/>
      <c r="I109" s="467"/>
      <c r="J109" s="467"/>
      <c r="K109" s="467"/>
      <c r="L109" s="467"/>
      <c r="M109" s="481"/>
      <c r="N109" s="481"/>
      <c r="O109" s="481"/>
      <c r="P109" s="485"/>
      <c r="Q109" s="1249"/>
      <c r="R109" s="1198"/>
      <c r="S109" s="1198"/>
      <c r="T109" s="1198"/>
      <c r="U109" s="1198"/>
      <c r="V109" s="1198"/>
      <c r="W109" s="1198"/>
      <c r="X109" s="1198"/>
      <c r="Y109" s="1249"/>
      <c r="Z109" s="1249"/>
      <c r="AA109" s="1249"/>
      <c r="AB109" s="1249"/>
      <c r="AC109" s="1249"/>
      <c r="AD109" s="1249"/>
      <c r="AE109" s="1249"/>
      <c r="AF109" s="1249"/>
      <c r="AG109" s="1249"/>
      <c r="AH109" s="1249"/>
      <c r="AI109" s="1249"/>
      <c r="AJ109" s="1198"/>
      <c r="AK109" s="1198"/>
      <c r="AL109" s="1198"/>
      <c r="AP109" s="1121"/>
    </row>
    <row r="110" spans="1:42" s="1119" customFormat="1">
      <c r="A110" s="1116"/>
      <c r="B110" s="467"/>
      <c r="C110" s="467"/>
      <c r="D110" s="482" t="s">
        <v>876</v>
      </c>
      <c r="E110" s="2373" t="s">
        <v>97</v>
      </c>
      <c r="F110" s="2400"/>
      <c r="G110" s="2400"/>
      <c r="H110" s="2400"/>
      <c r="I110" s="2400"/>
      <c r="J110" s="2400"/>
      <c r="K110" s="2400"/>
      <c r="L110" s="2400"/>
      <c r="M110" s="2400"/>
      <c r="N110" s="2400"/>
      <c r="O110" s="481"/>
      <c r="P110" s="485"/>
      <c r="Q110" s="1249"/>
      <c r="R110" s="1198"/>
      <c r="S110" s="1198"/>
      <c r="T110" s="1198"/>
      <c r="U110" s="1198"/>
      <c r="V110" s="1198"/>
      <c r="W110" s="1198"/>
      <c r="X110" s="1198"/>
      <c r="Y110" s="1249"/>
      <c r="Z110" s="1249"/>
      <c r="AA110" s="1249"/>
      <c r="AB110" s="1249"/>
      <c r="AC110" s="1249"/>
      <c r="AD110" s="1249"/>
      <c r="AE110" s="1249"/>
      <c r="AF110" s="1249"/>
      <c r="AG110" s="1249"/>
      <c r="AH110" s="1249"/>
      <c r="AI110" s="1249"/>
      <c r="AJ110" s="1198"/>
      <c r="AK110" s="1198"/>
      <c r="AL110" s="1198"/>
      <c r="AP110" s="1121"/>
    </row>
    <row r="111" spans="1:42" s="1119" customFormat="1" ht="13.15" customHeight="1">
      <c r="A111" s="1116"/>
      <c r="B111" s="467"/>
      <c r="C111" s="467"/>
      <c r="D111" s="485"/>
      <c r="E111" s="2385" t="s">
        <v>962</v>
      </c>
      <c r="F111" s="2846"/>
      <c r="G111" s="2846"/>
      <c r="H111" s="2846"/>
      <c r="I111" s="2846"/>
      <c r="J111" s="2846"/>
      <c r="K111" s="2846"/>
      <c r="L111" s="2846"/>
      <c r="M111" s="2846"/>
      <c r="N111" s="2846"/>
      <c r="O111" s="481"/>
      <c r="P111" s="485"/>
      <c r="Q111" s="1249"/>
      <c r="R111" s="1198"/>
      <c r="S111" s="1198"/>
      <c r="T111" s="1198"/>
      <c r="U111" s="1198"/>
      <c r="V111" s="1198"/>
      <c r="W111" s="1198"/>
      <c r="X111" s="1198"/>
      <c r="Y111" s="1249"/>
      <c r="Z111" s="1249"/>
      <c r="AA111" s="1249"/>
      <c r="AB111" s="1249"/>
      <c r="AC111" s="1249"/>
      <c r="AD111" s="1249"/>
      <c r="AE111" s="1249"/>
      <c r="AF111" s="1249"/>
      <c r="AG111" s="1249"/>
      <c r="AH111" s="1249"/>
      <c r="AI111" s="1249"/>
      <c r="AJ111" s="1198"/>
      <c r="AK111" s="1198"/>
      <c r="AL111" s="1198"/>
      <c r="AP111" s="1121"/>
    </row>
    <row r="112" spans="1:42" s="1119" customFormat="1" ht="13.5" thickBot="1">
      <c r="A112" s="1116"/>
      <c r="B112" s="1124"/>
      <c r="C112" s="485"/>
      <c r="D112" s="482"/>
      <c r="E112" s="636"/>
      <c r="F112" s="637"/>
      <c r="G112" s="663" t="str">
        <f>EUconst_Unit</f>
        <v>Unit</v>
      </c>
      <c r="H112" s="671">
        <f t="shared" ref="H112:N112" si="12">H$421</f>
        <v>2024</v>
      </c>
      <c r="I112" s="1081">
        <f t="shared" si="12"/>
        <v>2025</v>
      </c>
      <c r="J112" s="1489">
        <f t="shared" si="12"/>
        <v>2026</v>
      </c>
      <c r="K112" s="1490">
        <f t="shared" si="12"/>
        <v>2027</v>
      </c>
      <c r="L112" s="1490">
        <f t="shared" si="12"/>
        <v>2028</v>
      </c>
      <c r="M112" s="1490">
        <f t="shared" si="12"/>
        <v>2029</v>
      </c>
      <c r="N112" s="1490">
        <f t="shared" si="12"/>
        <v>2030</v>
      </c>
      <c r="O112" s="481"/>
      <c r="P112" s="485"/>
      <c r="Q112" s="1198"/>
      <c r="R112" s="1198"/>
      <c r="S112" s="1198"/>
      <c r="T112" s="1198"/>
      <c r="U112" s="1198"/>
      <c r="V112" s="1198"/>
      <c r="W112" s="1198"/>
      <c r="X112" s="1198"/>
      <c r="Y112" s="1249"/>
      <c r="Z112" s="1249"/>
      <c r="AA112" s="1249"/>
      <c r="AB112" s="1198"/>
      <c r="AC112" s="2003">
        <f t="shared" ref="AC112:AI112" si="13">H112</f>
        <v>2024</v>
      </c>
      <c r="AD112" s="2003">
        <f t="shared" si="13"/>
        <v>2025</v>
      </c>
      <c r="AE112" s="2003">
        <f t="shared" si="13"/>
        <v>2026</v>
      </c>
      <c r="AF112" s="2003">
        <f t="shared" si="13"/>
        <v>2027</v>
      </c>
      <c r="AG112" s="2003">
        <f t="shared" si="13"/>
        <v>2028</v>
      </c>
      <c r="AH112" s="2003">
        <f t="shared" si="13"/>
        <v>2029</v>
      </c>
      <c r="AI112" s="2003">
        <f t="shared" si="13"/>
        <v>2030</v>
      </c>
      <c r="AJ112" s="1198"/>
      <c r="AK112" s="1198"/>
      <c r="AL112" s="1198"/>
      <c r="AP112" s="1121"/>
    </row>
    <row r="113" spans="1:42" s="1119" customFormat="1" ht="13.5" customHeight="1">
      <c r="A113" s="1116"/>
      <c r="B113" s="1124"/>
      <c r="C113" s="485"/>
      <c r="D113" s="485"/>
      <c r="E113" s="948" t="s">
        <v>98</v>
      </c>
      <c r="F113" s="948"/>
      <c r="G113" s="730" t="str">
        <f>EUconst_tpa</f>
        <v>t / year</v>
      </c>
      <c r="H113" s="2016" t="str">
        <f>c_ALR2025!M6780</f>
        <v/>
      </c>
      <c r="I113" s="2045"/>
      <c r="J113" s="1786"/>
      <c r="K113" s="1787"/>
      <c r="L113" s="1787"/>
      <c r="M113" s="1787"/>
      <c r="N113" s="1787"/>
      <c r="O113" s="481"/>
      <c r="P113" s="485"/>
      <c r="Q113" s="1198"/>
      <c r="R113" s="1198"/>
      <c r="S113" s="1198"/>
      <c r="T113" s="1198"/>
      <c r="U113" s="1198"/>
      <c r="V113" s="1198"/>
      <c r="W113" s="1198"/>
      <c r="X113" s="1198"/>
      <c r="Y113" s="1249"/>
      <c r="Z113" s="1249"/>
      <c r="AA113" s="1249"/>
      <c r="AB113" s="1641" t="s">
        <v>717</v>
      </c>
      <c r="AC113" s="2041" t="b">
        <f t="shared" ref="AC113:AI113" si="14">IF(CNTR_ExistSubInstEntries,IF($L106=EUconst_Relevant,AC112&gt;=CNTR_ReportingYear,TRUE),FALSE)</f>
        <v>0</v>
      </c>
      <c r="AD113" s="1731" t="b">
        <f t="shared" si="14"/>
        <v>0</v>
      </c>
      <c r="AE113" s="1731" t="b">
        <f t="shared" si="14"/>
        <v>0</v>
      </c>
      <c r="AF113" s="1731" t="b">
        <f t="shared" si="14"/>
        <v>0</v>
      </c>
      <c r="AG113" s="1731" t="b">
        <f t="shared" si="14"/>
        <v>0</v>
      </c>
      <c r="AH113" s="1731" t="b">
        <f t="shared" si="14"/>
        <v>0</v>
      </c>
      <c r="AI113" s="2008" t="b">
        <f t="shared" si="14"/>
        <v>0</v>
      </c>
      <c r="AJ113" s="1198"/>
      <c r="AK113" s="1198"/>
      <c r="AL113" s="1198"/>
      <c r="AP113" s="1121"/>
    </row>
    <row r="114" spans="1:42" s="1119" customFormat="1" ht="5.0999999999999996" customHeight="1">
      <c r="A114" s="1116"/>
      <c r="B114" s="467"/>
      <c r="C114" s="467"/>
      <c r="D114" s="467"/>
      <c r="E114" s="467"/>
      <c r="F114" s="467"/>
      <c r="G114" s="467"/>
      <c r="H114" s="467"/>
      <c r="I114" s="467"/>
      <c r="J114" s="467"/>
      <c r="K114" s="467"/>
      <c r="L114" s="467"/>
      <c r="M114" s="481"/>
      <c r="N114" s="481"/>
      <c r="O114" s="481"/>
      <c r="P114" s="485"/>
      <c r="Q114" s="1249"/>
      <c r="R114" s="1198"/>
      <c r="S114" s="1198"/>
      <c r="T114" s="1198"/>
      <c r="U114" s="1198"/>
      <c r="V114" s="1198"/>
      <c r="W114" s="1198"/>
      <c r="X114" s="1198"/>
      <c r="Y114" s="1249"/>
      <c r="Z114" s="1249"/>
      <c r="AA114" s="1249"/>
      <c r="AB114" s="1249"/>
      <c r="AC114" s="2022"/>
      <c r="AD114" s="1249"/>
      <c r="AE114" s="1249"/>
      <c r="AF114" s="1249"/>
      <c r="AG114" s="1249"/>
      <c r="AH114" s="1249"/>
      <c r="AI114" s="2023"/>
      <c r="AJ114" s="1198"/>
      <c r="AK114" s="1198"/>
      <c r="AL114" s="1198"/>
      <c r="AP114" s="1121"/>
    </row>
    <row r="115" spans="1:42" s="1119" customFormat="1">
      <c r="A115" s="1116"/>
      <c r="B115" s="467"/>
      <c r="C115" s="467"/>
      <c r="D115" s="482" t="s">
        <v>48</v>
      </c>
      <c r="E115" s="2373" t="s">
        <v>99</v>
      </c>
      <c r="F115" s="2400"/>
      <c r="G115" s="2400"/>
      <c r="H115" s="2400"/>
      <c r="I115" s="2400"/>
      <c r="J115" s="2400"/>
      <c r="K115" s="2400"/>
      <c r="L115" s="2400"/>
      <c r="M115" s="2400"/>
      <c r="N115" s="2400"/>
      <c r="O115" s="481"/>
      <c r="P115" s="485"/>
      <c r="Q115" s="1249"/>
      <c r="R115" s="1198"/>
      <c r="S115" s="1198"/>
      <c r="T115" s="1198"/>
      <c r="U115" s="1198"/>
      <c r="V115" s="1198"/>
      <c r="W115" s="1198"/>
      <c r="X115" s="1198"/>
      <c r="Y115" s="1249"/>
      <c r="Z115" s="1249"/>
      <c r="AA115" s="1249"/>
      <c r="AB115" s="1249"/>
      <c r="AC115" s="2022"/>
      <c r="AD115" s="1249"/>
      <c r="AE115" s="1249"/>
      <c r="AF115" s="1249"/>
      <c r="AG115" s="1249"/>
      <c r="AH115" s="1249"/>
      <c r="AI115" s="2023"/>
      <c r="AJ115" s="1198"/>
      <c r="AK115" s="1198"/>
      <c r="AL115" s="1198"/>
      <c r="AP115" s="1121"/>
    </row>
    <row r="116" spans="1:42" s="1119" customFormat="1" ht="13.15" customHeight="1">
      <c r="A116" s="1116"/>
      <c r="B116" s="467"/>
      <c r="C116" s="467"/>
      <c r="D116" s="485"/>
      <c r="E116" s="2385" t="s">
        <v>2308</v>
      </c>
      <c r="F116" s="2846"/>
      <c r="G116" s="2846"/>
      <c r="H116" s="2846"/>
      <c r="I116" s="2846"/>
      <c r="J116" s="2846"/>
      <c r="K116" s="2846"/>
      <c r="L116" s="2846"/>
      <c r="M116" s="2846"/>
      <c r="N116" s="2846"/>
      <c r="O116" s="481"/>
      <c r="P116" s="485"/>
      <c r="Q116" s="1249"/>
      <c r="R116" s="1198"/>
      <c r="S116" s="1198"/>
      <c r="T116" s="1198"/>
      <c r="U116" s="1198"/>
      <c r="V116" s="1198"/>
      <c r="W116" s="1198"/>
      <c r="X116" s="1198"/>
      <c r="Y116" s="1249"/>
      <c r="Z116" s="1249"/>
      <c r="AA116" s="1249"/>
      <c r="AB116" s="1249"/>
      <c r="AC116" s="2022"/>
      <c r="AD116" s="1249"/>
      <c r="AE116" s="1249"/>
      <c r="AF116" s="1249"/>
      <c r="AG116" s="1249"/>
      <c r="AH116" s="1249"/>
      <c r="AI116" s="2023"/>
      <c r="AJ116" s="1198"/>
      <c r="AK116" s="1198"/>
      <c r="AL116" s="1198"/>
      <c r="AP116" s="1121"/>
    </row>
    <row r="117" spans="1:42" s="1119" customFormat="1" ht="13.15" customHeight="1">
      <c r="A117" s="1116"/>
      <c r="B117" s="467"/>
      <c r="C117" s="467"/>
      <c r="D117" s="485"/>
      <c r="E117" s="1554" t="s">
        <v>100</v>
      </c>
      <c r="F117" s="2385" t="s">
        <v>1905</v>
      </c>
      <c r="G117" s="2846"/>
      <c r="H117" s="2846"/>
      <c r="I117" s="2846"/>
      <c r="J117" s="2846"/>
      <c r="K117" s="2846"/>
      <c r="L117" s="2846"/>
      <c r="M117" s="2846"/>
      <c r="N117" s="2846"/>
      <c r="O117" s="481"/>
      <c r="P117" s="485"/>
      <c r="Q117" s="1249"/>
      <c r="R117" s="1198"/>
      <c r="S117" s="1198"/>
      <c r="T117" s="1198"/>
      <c r="U117" s="1198"/>
      <c r="V117" s="1198"/>
      <c r="W117" s="1198"/>
      <c r="X117" s="1198"/>
      <c r="Y117" s="1249"/>
      <c r="Z117" s="1249"/>
      <c r="AA117" s="1249"/>
      <c r="AB117" s="1249"/>
      <c r="AC117" s="2022"/>
      <c r="AD117" s="1249"/>
      <c r="AE117" s="1249"/>
      <c r="AF117" s="1249"/>
      <c r="AG117" s="1249"/>
      <c r="AH117" s="1249"/>
      <c r="AI117" s="2023"/>
      <c r="AJ117" s="1198"/>
      <c r="AK117" s="1198"/>
      <c r="AL117" s="1198"/>
      <c r="AP117" s="1121"/>
    </row>
    <row r="118" spans="1:42" s="1119" customFormat="1" ht="13.15" customHeight="1">
      <c r="A118" s="1116"/>
      <c r="B118" s="467"/>
      <c r="C118" s="467"/>
      <c r="D118" s="485"/>
      <c r="E118" s="617"/>
      <c r="F118" s="2385" t="s">
        <v>101</v>
      </c>
      <c r="G118" s="2846"/>
      <c r="H118" s="2846"/>
      <c r="I118" s="2846"/>
      <c r="J118" s="2846"/>
      <c r="K118" s="2846"/>
      <c r="L118" s="2846"/>
      <c r="M118" s="2846"/>
      <c r="N118" s="2846"/>
      <c r="O118" s="481"/>
      <c r="P118" s="485"/>
      <c r="Q118" s="1249"/>
      <c r="R118" s="1198"/>
      <c r="S118" s="1198"/>
      <c r="T118" s="1198"/>
      <c r="U118" s="1198"/>
      <c r="V118" s="1198"/>
      <c r="W118" s="1198"/>
      <c r="X118" s="1198"/>
      <c r="Y118" s="1249"/>
      <c r="Z118" s="1249"/>
      <c r="AA118" s="1249"/>
      <c r="AB118" s="1249"/>
      <c r="AC118" s="2022"/>
      <c r="AD118" s="1249"/>
      <c r="AE118" s="1249"/>
      <c r="AF118" s="1249"/>
      <c r="AG118" s="1249"/>
      <c r="AH118" s="1249"/>
      <c r="AI118" s="2023"/>
      <c r="AJ118" s="1198"/>
      <c r="AK118" s="1198"/>
      <c r="AL118" s="1198"/>
      <c r="AP118" s="1121"/>
    </row>
    <row r="119" spans="1:42" s="1119" customFormat="1" ht="13.15" customHeight="1">
      <c r="A119" s="1116"/>
      <c r="B119" s="467"/>
      <c r="C119" s="467"/>
      <c r="D119" s="485"/>
      <c r="E119" s="617" t="s">
        <v>102</v>
      </c>
      <c r="F119" s="2385" t="s">
        <v>1904</v>
      </c>
      <c r="G119" s="2846"/>
      <c r="H119" s="2846"/>
      <c r="I119" s="2846"/>
      <c r="J119" s="2846"/>
      <c r="K119" s="2846"/>
      <c r="L119" s="2846"/>
      <c r="M119" s="2846"/>
      <c r="N119" s="2846"/>
      <c r="O119" s="481"/>
      <c r="P119" s="485"/>
      <c r="Q119" s="1249"/>
      <c r="R119" s="1198"/>
      <c r="S119" s="1198"/>
      <c r="T119" s="1198"/>
      <c r="U119" s="1198"/>
      <c r="V119" s="1198"/>
      <c r="W119" s="1198"/>
      <c r="X119" s="1198"/>
      <c r="Y119" s="1249"/>
      <c r="Z119" s="1249"/>
      <c r="AA119" s="1249"/>
      <c r="AB119" s="1249"/>
      <c r="AC119" s="2022"/>
      <c r="AD119" s="1249"/>
      <c r="AE119" s="1249"/>
      <c r="AF119" s="1249"/>
      <c r="AG119" s="1249"/>
      <c r="AH119" s="1249"/>
      <c r="AI119" s="2023"/>
      <c r="AJ119" s="1198"/>
      <c r="AK119" s="1198"/>
      <c r="AL119" s="1198"/>
      <c r="AP119" s="1121"/>
    </row>
    <row r="120" spans="1:42" s="1119" customFormat="1" ht="13.15" customHeight="1">
      <c r="A120" s="1116"/>
      <c r="B120" s="467"/>
      <c r="C120" s="467"/>
      <c r="D120" s="485"/>
      <c r="E120" s="617"/>
      <c r="F120" s="2385" t="s">
        <v>988</v>
      </c>
      <c r="G120" s="2846"/>
      <c r="H120" s="2846"/>
      <c r="I120" s="2846"/>
      <c r="J120" s="2846"/>
      <c r="K120" s="2846"/>
      <c r="L120" s="2846"/>
      <c r="M120" s="2846"/>
      <c r="N120" s="2846"/>
      <c r="O120" s="481"/>
      <c r="P120" s="485"/>
      <c r="Q120" s="1249"/>
      <c r="R120" s="1198"/>
      <c r="S120" s="1198"/>
      <c r="T120" s="1198"/>
      <c r="U120" s="1198"/>
      <c r="V120" s="1198"/>
      <c r="W120" s="1198"/>
      <c r="X120" s="1198"/>
      <c r="Y120" s="1249"/>
      <c r="Z120" s="1249"/>
      <c r="AA120" s="1249"/>
      <c r="AB120" s="1249"/>
      <c r="AC120" s="2022"/>
      <c r="AD120" s="1249"/>
      <c r="AE120" s="1249"/>
      <c r="AF120" s="1249"/>
      <c r="AG120" s="1249"/>
      <c r="AH120" s="1249"/>
      <c r="AI120" s="2023"/>
      <c r="AJ120" s="1198"/>
      <c r="AK120" s="1198"/>
      <c r="AL120" s="1198"/>
      <c r="AP120" s="1121"/>
    </row>
    <row r="121" spans="1:42" s="1119" customFormat="1">
      <c r="A121" s="1116"/>
      <c r="B121" s="1124"/>
      <c r="C121" s="485"/>
      <c r="D121" s="482"/>
      <c r="E121" s="636"/>
      <c r="F121" s="637"/>
      <c r="G121" s="663" t="str">
        <f>EUconst_Unit</f>
        <v>Unit</v>
      </c>
      <c r="H121" s="671">
        <f t="shared" ref="H121:N121" si="15">H$421</f>
        <v>2024</v>
      </c>
      <c r="I121" s="1081">
        <f t="shared" si="15"/>
        <v>2025</v>
      </c>
      <c r="J121" s="1489">
        <f t="shared" si="15"/>
        <v>2026</v>
      </c>
      <c r="K121" s="1490">
        <f t="shared" si="15"/>
        <v>2027</v>
      </c>
      <c r="L121" s="1490">
        <f t="shared" si="15"/>
        <v>2028</v>
      </c>
      <c r="M121" s="1490">
        <f t="shared" si="15"/>
        <v>2029</v>
      </c>
      <c r="N121" s="1490">
        <f t="shared" si="15"/>
        <v>2030</v>
      </c>
      <c r="O121" s="481"/>
      <c r="P121" s="485"/>
      <c r="Q121" s="1198"/>
      <c r="R121" s="1198"/>
      <c r="S121" s="1198"/>
      <c r="T121" s="1198"/>
      <c r="U121" s="1198"/>
      <c r="V121" s="1198"/>
      <c r="W121" s="1198"/>
      <c r="X121" s="1198"/>
      <c r="Y121" s="1249"/>
      <c r="Z121" s="1249"/>
      <c r="AA121" s="1249"/>
      <c r="AB121" s="1249"/>
      <c r="AC121" s="2022"/>
      <c r="AD121" s="1249"/>
      <c r="AE121" s="1249"/>
      <c r="AF121" s="1249"/>
      <c r="AG121" s="1249"/>
      <c r="AH121" s="1249"/>
      <c r="AI121" s="2023"/>
      <c r="AJ121" s="1198"/>
      <c r="AK121" s="1198"/>
      <c r="AL121" s="1198"/>
      <c r="AP121" s="1121"/>
    </row>
    <row r="122" spans="1:42" s="1119" customFormat="1" ht="12.75" customHeight="1">
      <c r="A122" s="1116"/>
      <c r="B122" s="1124"/>
      <c r="C122" s="485"/>
      <c r="D122" s="485"/>
      <c r="E122" s="863" t="s">
        <v>989</v>
      </c>
      <c r="F122" s="863"/>
      <c r="G122" s="721" t="s">
        <v>1022</v>
      </c>
      <c r="H122" s="2016" t="str">
        <f>c_ALR2025!M6789</f>
        <v/>
      </c>
      <c r="I122" s="1987"/>
      <c r="J122" s="1491"/>
      <c r="K122" s="1492"/>
      <c r="L122" s="1492"/>
      <c r="M122" s="1492"/>
      <c r="N122" s="1492"/>
      <c r="O122" s="481"/>
      <c r="P122" s="485"/>
      <c r="Q122" s="1198"/>
      <c r="R122" s="1198"/>
      <c r="S122" s="1198"/>
      <c r="T122" s="1198"/>
      <c r="U122" s="1198"/>
      <c r="V122" s="1198"/>
      <c r="W122" s="1198"/>
      <c r="X122" s="1198"/>
      <c r="Y122" s="1249"/>
      <c r="Z122" s="1249"/>
      <c r="AA122" s="1249"/>
      <c r="AB122" s="1249"/>
      <c r="AC122" s="2011" t="b">
        <f>AC113</f>
        <v>0</v>
      </c>
      <c r="AD122" s="1963" t="b">
        <f t="shared" ref="AD122:AI122" si="16">AD113</f>
        <v>0</v>
      </c>
      <c r="AE122" s="1963" t="b">
        <f t="shared" si="16"/>
        <v>0</v>
      </c>
      <c r="AF122" s="1963" t="b">
        <f t="shared" si="16"/>
        <v>0</v>
      </c>
      <c r="AG122" s="1963" t="b">
        <f t="shared" si="16"/>
        <v>0</v>
      </c>
      <c r="AH122" s="1963" t="b">
        <f t="shared" si="16"/>
        <v>0</v>
      </c>
      <c r="AI122" s="2012" t="b">
        <f t="shared" si="16"/>
        <v>0</v>
      </c>
      <c r="AJ122" s="1198"/>
      <c r="AK122" s="1198"/>
      <c r="AL122" s="1198"/>
      <c r="AP122" s="1121"/>
    </row>
    <row r="123" spans="1:42" s="1119" customFormat="1" ht="13.5" customHeight="1" thickBot="1">
      <c r="A123" s="1116"/>
      <c r="B123" s="1124"/>
      <c r="C123" s="485"/>
      <c r="D123" s="485"/>
      <c r="E123" s="932" t="s">
        <v>990</v>
      </c>
      <c r="F123" s="932"/>
      <c r="G123" s="728" t="s">
        <v>1022</v>
      </c>
      <c r="H123" s="2016" t="str">
        <f>c_ALR2025!M6790</f>
        <v/>
      </c>
      <c r="I123" s="1987"/>
      <c r="J123" s="1491"/>
      <c r="K123" s="1492"/>
      <c r="L123" s="1492"/>
      <c r="M123" s="1492"/>
      <c r="N123" s="1492"/>
      <c r="O123" s="481"/>
      <c r="P123" s="485"/>
      <c r="Q123" s="1198"/>
      <c r="R123" s="1198"/>
      <c r="S123" s="1198"/>
      <c r="T123" s="1198"/>
      <c r="U123" s="1198"/>
      <c r="V123" s="1198"/>
      <c r="W123" s="1198"/>
      <c r="X123" s="1198"/>
      <c r="Y123" s="1249"/>
      <c r="Z123" s="1249"/>
      <c r="AA123" s="1249"/>
      <c r="AB123" s="1249"/>
      <c r="AC123" s="2017" t="b">
        <f>AC122</f>
        <v>0</v>
      </c>
      <c r="AD123" s="2018" t="b">
        <f t="shared" ref="AD123:AI123" si="17">AD122</f>
        <v>0</v>
      </c>
      <c r="AE123" s="2018" t="b">
        <f t="shared" si="17"/>
        <v>0</v>
      </c>
      <c r="AF123" s="2018" t="b">
        <f t="shared" si="17"/>
        <v>0</v>
      </c>
      <c r="AG123" s="2018" t="b">
        <f t="shared" si="17"/>
        <v>0</v>
      </c>
      <c r="AH123" s="2018" t="b">
        <f t="shared" si="17"/>
        <v>0</v>
      </c>
      <c r="AI123" s="2019" t="b">
        <f t="shared" si="17"/>
        <v>0</v>
      </c>
      <c r="AJ123" s="1198"/>
      <c r="AK123" s="1198"/>
      <c r="AL123" s="1198"/>
      <c r="AP123" s="1121"/>
    </row>
    <row r="124" spans="1:42" s="1119" customFormat="1" ht="5.0999999999999996" customHeight="1">
      <c r="A124" s="1116"/>
      <c r="B124" s="467"/>
      <c r="C124" s="467"/>
      <c r="D124" s="467"/>
      <c r="E124" s="467"/>
      <c r="F124" s="467"/>
      <c r="G124" s="467"/>
      <c r="H124" s="467"/>
      <c r="I124" s="467"/>
      <c r="J124" s="467"/>
      <c r="K124" s="467"/>
      <c r="L124" s="467"/>
      <c r="M124" s="481"/>
      <c r="N124" s="481"/>
      <c r="O124" s="481"/>
      <c r="P124" s="485"/>
      <c r="Q124" s="1249"/>
      <c r="R124" s="1198"/>
      <c r="S124" s="1198"/>
      <c r="T124" s="1198"/>
      <c r="U124" s="1198"/>
      <c r="V124" s="1198"/>
      <c r="W124" s="1198"/>
      <c r="X124" s="1198"/>
      <c r="Y124" s="1249"/>
      <c r="Z124" s="1249"/>
      <c r="AA124" s="1249"/>
      <c r="AB124" s="1249"/>
      <c r="AC124" s="1249"/>
      <c r="AD124" s="1249"/>
      <c r="AE124" s="1249"/>
      <c r="AF124" s="1249"/>
      <c r="AG124" s="1249"/>
      <c r="AH124" s="1249"/>
      <c r="AI124" s="1249"/>
      <c r="AJ124" s="1198"/>
      <c r="AK124" s="1198"/>
      <c r="AL124" s="1198"/>
      <c r="AP124" s="1121"/>
    </row>
    <row r="125" spans="1:42" s="1119" customFormat="1" ht="13.15" customHeight="1">
      <c r="A125" s="1116"/>
      <c r="B125" s="467"/>
      <c r="C125" s="467"/>
      <c r="D125" s="482" t="s">
        <v>881</v>
      </c>
      <c r="E125" s="2373" t="s">
        <v>991</v>
      </c>
      <c r="F125" s="2400"/>
      <c r="G125" s="2400"/>
      <c r="H125" s="2400"/>
      <c r="I125" s="2400"/>
      <c r="J125" s="2400"/>
      <c r="K125" s="2400"/>
      <c r="L125" s="2400"/>
      <c r="M125" s="2400"/>
      <c r="N125" s="2400"/>
      <c r="O125" s="481"/>
      <c r="P125" s="485"/>
      <c r="Q125" s="1249"/>
      <c r="R125" s="1198"/>
      <c r="S125" s="1198"/>
      <c r="T125" s="1198"/>
      <c r="U125" s="1198"/>
      <c r="V125" s="1198"/>
      <c r="W125" s="1198"/>
      <c r="X125" s="1198"/>
      <c r="Y125" s="1249"/>
      <c r="Z125" s="1249"/>
      <c r="AA125" s="1249"/>
      <c r="AB125" s="1249"/>
      <c r="AC125" s="1249"/>
      <c r="AD125" s="1249"/>
      <c r="AE125" s="1249"/>
      <c r="AF125" s="1249"/>
      <c r="AG125" s="1249"/>
      <c r="AH125" s="1249"/>
      <c r="AI125" s="1249"/>
      <c r="AJ125" s="1198"/>
      <c r="AK125" s="1198"/>
      <c r="AL125" s="1198"/>
      <c r="AP125" s="1121"/>
    </row>
    <row r="126" spans="1:42" s="1119" customFormat="1" ht="13.15" customHeight="1">
      <c r="A126" s="1116"/>
      <c r="B126" s="467"/>
      <c r="C126" s="467"/>
      <c r="D126" s="485"/>
      <c r="E126" s="2385" t="s">
        <v>1248</v>
      </c>
      <c r="F126" s="2846"/>
      <c r="G126" s="2846"/>
      <c r="H126" s="2846"/>
      <c r="I126" s="2846"/>
      <c r="J126" s="2846"/>
      <c r="K126" s="2846"/>
      <c r="L126" s="2846"/>
      <c r="M126" s="2846"/>
      <c r="N126" s="2846"/>
      <c r="O126" s="481"/>
      <c r="P126" s="485"/>
      <c r="Q126" s="1249"/>
      <c r="R126" s="1198"/>
      <c r="S126" s="1198"/>
      <c r="T126" s="1198"/>
      <c r="U126" s="1198"/>
      <c r="V126" s="1198"/>
      <c r="W126" s="1198"/>
      <c r="X126" s="1198"/>
      <c r="Y126" s="1249"/>
      <c r="Z126" s="1249"/>
      <c r="AA126" s="1249"/>
      <c r="AB126" s="1249"/>
      <c r="AC126" s="1249"/>
      <c r="AD126" s="1249"/>
      <c r="AE126" s="1249"/>
      <c r="AF126" s="1249"/>
      <c r="AG126" s="1249"/>
      <c r="AH126" s="1249"/>
      <c r="AI126" s="1249"/>
      <c r="AJ126" s="1198"/>
      <c r="AK126" s="1198"/>
      <c r="AL126" s="1198"/>
      <c r="AP126" s="1121"/>
    </row>
    <row r="127" spans="1:42" s="1119" customFormat="1" ht="13.15" customHeight="1">
      <c r="A127" s="1116"/>
      <c r="B127" s="467"/>
      <c r="C127" s="467"/>
      <c r="D127" s="485"/>
      <c r="E127" s="2385" t="s">
        <v>1247</v>
      </c>
      <c r="F127" s="2846"/>
      <c r="G127" s="2846"/>
      <c r="H127" s="2846"/>
      <c r="I127" s="2846"/>
      <c r="J127" s="2846"/>
      <c r="K127" s="2846"/>
      <c r="L127" s="2846"/>
      <c r="M127" s="2846"/>
      <c r="N127" s="2846"/>
      <c r="O127" s="481"/>
      <c r="P127" s="485"/>
      <c r="Q127" s="1249"/>
      <c r="R127" s="1198"/>
      <c r="S127" s="1198"/>
      <c r="T127" s="1198"/>
      <c r="U127" s="1198"/>
      <c r="V127" s="1198"/>
      <c r="W127" s="1198"/>
      <c r="X127" s="1198"/>
      <c r="Y127" s="1249"/>
      <c r="Z127" s="1249"/>
      <c r="AA127" s="1249"/>
      <c r="AB127" s="1249"/>
      <c r="AC127" s="1249"/>
      <c r="AD127" s="1249"/>
      <c r="AE127" s="1249"/>
      <c r="AF127" s="1249"/>
      <c r="AG127" s="1249"/>
      <c r="AH127" s="1249"/>
      <c r="AI127" s="1249"/>
      <c r="AJ127" s="1198"/>
      <c r="AK127" s="1198"/>
      <c r="AL127" s="1198"/>
      <c r="AP127" s="1121"/>
    </row>
    <row r="128" spans="1:42" s="1119" customFormat="1">
      <c r="A128" s="1116"/>
      <c r="B128" s="1124"/>
      <c r="C128" s="485"/>
      <c r="D128" s="482"/>
      <c r="E128" s="637"/>
      <c r="F128" s="637"/>
      <c r="G128" s="663" t="str">
        <f>EUconst_Unit</f>
        <v>Unit</v>
      </c>
      <c r="H128" s="671">
        <f t="shared" ref="H128:N128" si="18">H$421</f>
        <v>2024</v>
      </c>
      <c r="I128" s="1081">
        <f t="shared" si="18"/>
        <v>2025</v>
      </c>
      <c r="J128" s="1489">
        <f t="shared" si="18"/>
        <v>2026</v>
      </c>
      <c r="K128" s="1490">
        <f t="shared" si="18"/>
        <v>2027</v>
      </c>
      <c r="L128" s="1490">
        <f t="shared" si="18"/>
        <v>2028</v>
      </c>
      <c r="M128" s="1490">
        <f t="shared" si="18"/>
        <v>2029</v>
      </c>
      <c r="N128" s="1490">
        <f t="shared" si="18"/>
        <v>2030</v>
      </c>
      <c r="O128" s="481"/>
      <c r="P128" s="485"/>
      <c r="Q128" s="1198"/>
      <c r="R128" s="1198"/>
      <c r="S128" s="1198"/>
      <c r="T128" s="1198"/>
      <c r="U128" s="1198"/>
      <c r="V128" s="1198"/>
      <c r="W128" s="1198"/>
      <c r="X128" s="1198"/>
      <c r="Y128" s="1249"/>
      <c r="Z128" s="1249"/>
      <c r="AA128" s="1249"/>
      <c r="AB128" s="1249"/>
      <c r="AC128" s="1249"/>
      <c r="AD128" s="1249"/>
      <c r="AE128" s="1249"/>
      <c r="AF128" s="1249"/>
      <c r="AG128" s="1249"/>
      <c r="AH128" s="1249"/>
      <c r="AI128" s="1249"/>
      <c r="AJ128" s="1198"/>
      <c r="AK128" s="1198"/>
      <c r="AL128" s="1198"/>
      <c r="AP128" s="1121"/>
    </row>
    <row r="129" spans="1:42" s="1119" customFormat="1" ht="13.5" customHeight="1">
      <c r="A129" s="1116"/>
      <c r="B129" s="1124"/>
      <c r="C129" s="485"/>
      <c r="D129" s="485"/>
      <c r="E129" s="948" t="s">
        <v>365</v>
      </c>
      <c r="F129" s="948"/>
      <c r="G129" s="730" t="str">
        <f>EUconst_tpa</f>
        <v>t / year</v>
      </c>
      <c r="H129" s="853" t="str">
        <f t="shared" ref="H129:N129" si="19">IF(ISNUMBER(H113),H113*(785*H122/100+1092*H123/100)/751.7,"")</f>
        <v/>
      </c>
      <c r="I129" s="1086" t="str">
        <f t="shared" si="19"/>
        <v/>
      </c>
      <c r="J129" s="2020" t="str">
        <f t="shared" si="19"/>
        <v/>
      </c>
      <c r="K129" s="2021" t="str">
        <f t="shared" si="19"/>
        <v/>
      </c>
      <c r="L129" s="2021" t="str">
        <f t="shared" si="19"/>
        <v/>
      </c>
      <c r="M129" s="2021" t="str">
        <f t="shared" si="19"/>
        <v/>
      </c>
      <c r="N129" s="2021" t="str">
        <f t="shared" si="19"/>
        <v/>
      </c>
      <c r="O129" s="481"/>
      <c r="P129" s="485"/>
      <c r="Q129" s="1443" t="str">
        <f>IF(L106=EUconst_Relevant,EUconst_CNTR_HALspecial &amp; INDEX(EUconst_BMlistNames,R106),"")</f>
        <v/>
      </c>
      <c r="R129" s="1198"/>
      <c r="S129" s="1198"/>
      <c r="T129" s="1198"/>
      <c r="U129" s="1198"/>
      <c r="V129" s="1198"/>
      <c r="W129" s="1198"/>
      <c r="X129" s="1198"/>
      <c r="Y129" s="1198"/>
      <c r="Z129" s="1198"/>
      <c r="AA129" s="1198"/>
      <c r="AB129" s="1198"/>
      <c r="AC129" s="1198"/>
      <c r="AD129" s="1198"/>
      <c r="AE129" s="1198"/>
      <c r="AF129" s="1198"/>
      <c r="AG129" s="1198"/>
      <c r="AH129" s="1198"/>
      <c r="AI129" s="1198"/>
      <c r="AJ129" s="1198"/>
      <c r="AK129" s="1198"/>
      <c r="AL129" s="1198"/>
      <c r="AP129" s="1121"/>
    </row>
    <row r="130" spans="1:42" s="1119" customFormat="1" ht="5.0999999999999996" customHeight="1">
      <c r="A130" s="1116"/>
      <c r="B130" s="467"/>
      <c r="C130" s="467"/>
      <c r="D130" s="467"/>
      <c r="E130" s="467"/>
      <c r="F130" s="467"/>
      <c r="G130" s="467"/>
      <c r="H130" s="467"/>
      <c r="I130" s="467"/>
      <c r="J130" s="467"/>
      <c r="K130" s="467"/>
      <c r="L130" s="467"/>
      <c r="M130" s="481"/>
      <c r="N130" s="481"/>
      <c r="O130" s="481"/>
      <c r="P130" s="485"/>
      <c r="Q130" s="1249"/>
      <c r="R130" s="1198"/>
      <c r="S130" s="1198"/>
      <c r="T130" s="1198"/>
      <c r="U130" s="1198"/>
      <c r="V130" s="1198"/>
      <c r="W130" s="1198"/>
      <c r="X130" s="1198"/>
      <c r="Y130" s="1198"/>
      <c r="Z130" s="1198"/>
      <c r="AA130" s="1198"/>
      <c r="AB130" s="1198"/>
      <c r="AC130" s="1198"/>
      <c r="AD130" s="1198"/>
      <c r="AE130" s="1198"/>
      <c r="AF130" s="1198"/>
      <c r="AG130" s="1198"/>
      <c r="AH130" s="1198"/>
      <c r="AI130" s="1198"/>
      <c r="AJ130" s="1198"/>
      <c r="AK130" s="1198"/>
      <c r="AL130" s="1198"/>
      <c r="AP130" s="1121"/>
    </row>
    <row r="131" spans="1:42" s="1119" customFormat="1">
      <c r="A131" s="1116"/>
      <c r="B131" s="467"/>
      <c r="C131" s="467"/>
      <c r="D131" s="467"/>
      <c r="E131" s="2782" t="str">
        <f>IF(L106=EUconst_Relevant,HYPERLINK(R131,EUconst_MsgBackToSheetF),"")</f>
        <v/>
      </c>
      <c r="F131" s="2783"/>
      <c r="G131" s="2783"/>
      <c r="H131" s="2783"/>
      <c r="I131" s="2783"/>
      <c r="J131" s="2783"/>
      <c r="K131" s="2783"/>
      <c r="L131" s="2783"/>
      <c r="M131" s="2783"/>
      <c r="N131" s="2784"/>
      <c r="O131" s="481"/>
      <c r="P131" s="485"/>
      <c r="Q131" s="1893" t="s">
        <v>116</v>
      </c>
      <c r="R131" s="1443" t="str">
        <f>R108</f>
        <v/>
      </c>
      <c r="S131" s="1198"/>
      <c r="T131" s="1198"/>
      <c r="U131" s="1198"/>
      <c r="V131" s="1198"/>
      <c r="W131" s="1198"/>
      <c r="X131" s="1198"/>
      <c r="Y131" s="1198"/>
      <c r="Z131" s="1198"/>
      <c r="AA131" s="1198"/>
      <c r="AB131" s="1198"/>
      <c r="AC131" s="1198"/>
      <c r="AD131" s="1198"/>
      <c r="AE131" s="1198"/>
      <c r="AF131" s="1198"/>
      <c r="AG131" s="1198"/>
      <c r="AH131" s="1198"/>
      <c r="AI131" s="1198"/>
      <c r="AJ131" s="1198"/>
      <c r="AK131" s="1198"/>
      <c r="AL131" s="1198"/>
      <c r="AP131" s="1121"/>
    </row>
    <row r="132" spans="1:42" s="1119" customFormat="1">
      <c r="A132" s="1116"/>
      <c r="B132" s="1124"/>
      <c r="C132" s="485"/>
      <c r="D132" s="485"/>
      <c r="E132" s="485"/>
      <c r="F132" s="485"/>
      <c r="G132" s="485"/>
      <c r="H132" s="485"/>
      <c r="I132" s="485"/>
      <c r="J132" s="485"/>
      <c r="K132" s="485"/>
      <c r="L132" s="485"/>
      <c r="M132" s="485"/>
      <c r="N132" s="485"/>
      <c r="O132" s="481"/>
      <c r="P132" s="485"/>
      <c r="Q132" s="1198"/>
      <c r="R132" s="1198"/>
      <c r="S132" s="1198"/>
      <c r="T132" s="1198"/>
      <c r="U132" s="1198"/>
      <c r="V132" s="1198"/>
      <c r="W132" s="1198"/>
      <c r="X132" s="1198"/>
      <c r="Y132" s="1198"/>
      <c r="Z132" s="1198"/>
      <c r="AA132" s="1198"/>
      <c r="AB132" s="1198"/>
      <c r="AC132" s="1198"/>
      <c r="AD132" s="1198"/>
      <c r="AE132" s="1198"/>
      <c r="AF132" s="1198"/>
      <c r="AG132" s="1198"/>
      <c r="AH132" s="1198"/>
      <c r="AI132" s="1198"/>
      <c r="AJ132" s="1198"/>
      <c r="AK132" s="1198"/>
      <c r="AL132" s="1198"/>
      <c r="AP132" s="1121"/>
    </row>
    <row r="133" spans="1:42" s="1119" customFormat="1" ht="15.6" customHeight="1">
      <c r="A133" s="1116"/>
      <c r="B133" s="467"/>
      <c r="C133" s="507" t="s">
        <v>883</v>
      </c>
      <c r="D133" s="2408" t="s">
        <v>639</v>
      </c>
      <c r="E133" s="2408"/>
      <c r="F133" s="2408"/>
      <c r="G133" s="2408"/>
      <c r="H133" s="2408"/>
      <c r="I133" s="2408"/>
      <c r="J133" s="2408"/>
      <c r="K133" s="2408"/>
      <c r="L133" s="2408"/>
      <c r="M133" s="2408"/>
      <c r="N133" s="2408"/>
      <c r="O133" s="481"/>
      <c r="P133" s="485"/>
      <c r="Q133" s="1249"/>
      <c r="R133" s="1198"/>
      <c r="S133" s="1198"/>
      <c r="T133" s="1198"/>
      <c r="U133" s="1198"/>
      <c r="V133" s="1198"/>
      <c r="W133" s="1198"/>
      <c r="X133" s="1198"/>
      <c r="Y133" s="1198"/>
      <c r="Z133" s="1198"/>
      <c r="AA133" s="1198"/>
      <c r="AB133" s="1198"/>
      <c r="AC133" s="1198"/>
      <c r="AD133" s="1198"/>
      <c r="AE133" s="1198"/>
      <c r="AF133" s="1198"/>
      <c r="AG133" s="1198"/>
      <c r="AH133" s="1198"/>
      <c r="AI133" s="1198"/>
      <c r="AJ133" s="1198"/>
      <c r="AK133" s="1198"/>
      <c r="AL133" s="1198"/>
      <c r="AP133" s="1121"/>
    </row>
    <row r="134" spans="1:42" s="1119" customFormat="1" ht="5.0999999999999996" customHeight="1">
      <c r="A134" s="1116"/>
      <c r="B134" s="467"/>
      <c r="C134" s="467"/>
      <c r="D134" s="467"/>
      <c r="E134" s="467"/>
      <c r="F134" s="467"/>
      <c r="G134" s="467"/>
      <c r="H134" s="467"/>
      <c r="I134" s="467"/>
      <c r="J134" s="467"/>
      <c r="K134" s="467"/>
      <c r="L134" s="467"/>
      <c r="M134" s="481"/>
      <c r="N134" s="481"/>
      <c r="O134" s="481"/>
      <c r="P134" s="485"/>
      <c r="Q134" s="1249"/>
      <c r="R134" s="1198"/>
      <c r="S134" s="1198"/>
      <c r="T134" s="1198"/>
      <c r="U134" s="1198"/>
      <c r="V134" s="1198"/>
      <c r="W134" s="1198"/>
      <c r="X134" s="1198"/>
      <c r="Y134" s="1198"/>
      <c r="Z134" s="1198"/>
      <c r="AA134" s="1198"/>
      <c r="AB134" s="1198"/>
      <c r="AC134" s="1198"/>
      <c r="AD134" s="1198"/>
      <c r="AE134" s="1198"/>
      <c r="AF134" s="1198"/>
      <c r="AG134" s="1198"/>
      <c r="AH134" s="1198"/>
      <c r="AI134" s="1198"/>
      <c r="AJ134" s="1198"/>
      <c r="AK134" s="1198"/>
      <c r="AL134" s="1198"/>
      <c r="AP134" s="1121"/>
    </row>
    <row r="135" spans="1:42" s="1119" customFormat="1" ht="13.9" customHeight="1">
      <c r="A135" s="1116"/>
      <c r="B135" s="467"/>
      <c r="C135" s="559"/>
      <c r="D135" s="2482" t="s">
        <v>963</v>
      </c>
      <c r="E135" s="2400"/>
      <c r="F135" s="2400"/>
      <c r="G135" s="2400"/>
      <c r="H135" s="2400"/>
      <c r="I135" s="2400"/>
      <c r="J135" s="2400"/>
      <c r="K135" s="2400"/>
      <c r="L135" s="2400"/>
      <c r="M135" s="2400"/>
      <c r="N135" s="2400"/>
      <c r="O135" s="481"/>
      <c r="P135" s="485"/>
      <c r="Q135" s="1249"/>
      <c r="R135" s="1198"/>
      <c r="S135" s="1198"/>
      <c r="T135" s="1198"/>
      <c r="U135" s="1198"/>
      <c r="V135" s="1198"/>
      <c r="W135" s="1198"/>
      <c r="X135" s="1198"/>
      <c r="Y135" s="1198"/>
      <c r="Z135" s="1198"/>
      <c r="AA135" s="1198"/>
      <c r="AB135" s="1198"/>
      <c r="AC135" s="1198"/>
      <c r="AD135" s="1198"/>
      <c r="AE135" s="1198"/>
      <c r="AF135" s="1198"/>
      <c r="AG135" s="1198"/>
      <c r="AH135" s="1198"/>
      <c r="AI135" s="1198"/>
      <c r="AJ135" s="1198"/>
      <c r="AK135" s="1198"/>
      <c r="AL135" s="1198"/>
      <c r="AP135" s="1121"/>
    </row>
    <row r="136" spans="1:42" s="1119" customFormat="1" ht="5.0999999999999996" customHeight="1">
      <c r="A136" s="1116"/>
      <c r="B136" s="467"/>
      <c r="C136" s="467"/>
      <c r="D136" s="467"/>
      <c r="E136" s="467"/>
      <c r="F136" s="467"/>
      <c r="G136" s="467"/>
      <c r="H136" s="467"/>
      <c r="I136" s="467"/>
      <c r="J136" s="467"/>
      <c r="K136" s="467"/>
      <c r="L136" s="467"/>
      <c r="M136" s="481"/>
      <c r="N136" s="481"/>
      <c r="O136" s="481"/>
      <c r="P136" s="485"/>
      <c r="Q136" s="1249"/>
      <c r="R136" s="1198"/>
      <c r="S136" s="1198"/>
      <c r="T136" s="1198"/>
      <c r="U136" s="1198"/>
      <c r="V136" s="1198"/>
      <c r="W136" s="1198"/>
      <c r="X136" s="1198"/>
      <c r="Y136" s="1198"/>
      <c r="Z136" s="1198"/>
      <c r="AA136" s="1198"/>
      <c r="AB136" s="1198"/>
      <c r="AC136" s="1198"/>
      <c r="AD136" s="1198"/>
      <c r="AE136" s="1198"/>
      <c r="AF136" s="1198"/>
      <c r="AG136" s="1198"/>
      <c r="AH136" s="1198"/>
      <c r="AI136" s="1198"/>
      <c r="AJ136" s="1198"/>
      <c r="AK136" s="1198"/>
      <c r="AL136" s="1198"/>
      <c r="AP136" s="1121"/>
    </row>
    <row r="137" spans="1:42" s="1119" customFormat="1" ht="13.15" customHeight="1">
      <c r="A137" s="1116"/>
      <c r="B137" s="467"/>
      <c r="C137" s="467"/>
      <c r="D137" s="485"/>
      <c r="E137" s="2385" t="s">
        <v>2309</v>
      </c>
      <c r="F137" s="2846"/>
      <c r="G137" s="2846"/>
      <c r="H137" s="2846"/>
      <c r="I137" s="2846"/>
      <c r="J137" s="2846"/>
      <c r="K137" s="2846"/>
      <c r="L137" s="2846"/>
      <c r="M137" s="2846"/>
      <c r="N137" s="2846"/>
      <c r="O137" s="481"/>
      <c r="P137" s="485"/>
      <c r="Q137" s="1249"/>
      <c r="R137" s="1198"/>
      <c r="S137" s="1198"/>
      <c r="T137" s="1198"/>
      <c r="U137" s="1198"/>
      <c r="V137" s="1198"/>
      <c r="W137" s="1198"/>
      <c r="X137" s="1198"/>
      <c r="Y137" s="1198"/>
      <c r="Z137" s="1198"/>
      <c r="AA137" s="1198"/>
      <c r="AB137" s="1198"/>
      <c r="AC137" s="1198"/>
      <c r="AD137" s="1198"/>
      <c r="AE137" s="1198"/>
      <c r="AF137" s="1198"/>
      <c r="AG137" s="1198"/>
      <c r="AH137" s="1198"/>
      <c r="AI137" s="1198"/>
      <c r="AJ137" s="1198"/>
      <c r="AK137" s="1198"/>
      <c r="AL137" s="1198"/>
      <c r="AP137" s="1121"/>
    </row>
    <row r="138" spans="1:42" s="1119" customFormat="1" ht="13.15" customHeight="1">
      <c r="A138" s="1116"/>
      <c r="B138" s="467"/>
      <c r="C138" s="467"/>
      <c r="D138" s="485"/>
      <c r="E138" s="2385" t="s">
        <v>126</v>
      </c>
      <c r="F138" s="2846"/>
      <c r="G138" s="2846"/>
      <c r="H138" s="2846"/>
      <c r="I138" s="2846"/>
      <c r="J138" s="2846"/>
      <c r="K138" s="2846"/>
      <c r="L138" s="2846"/>
      <c r="M138" s="2846"/>
      <c r="N138" s="2846"/>
      <c r="O138" s="481"/>
      <c r="P138" s="485"/>
      <c r="Q138" s="1249"/>
      <c r="R138" s="1198"/>
      <c r="S138" s="1198"/>
      <c r="T138" s="1198"/>
      <c r="U138" s="1198"/>
      <c r="V138" s="1198"/>
      <c r="W138" s="1198"/>
      <c r="X138" s="1198"/>
      <c r="Y138" s="1198"/>
      <c r="Z138" s="1198"/>
      <c r="AA138" s="1198"/>
      <c r="AB138" s="1198"/>
      <c r="AC138" s="1198"/>
      <c r="AD138" s="1198"/>
      <c r="AE138" s="1198"/>
      <c r="AF138" s="1198"/>
      <c r="AG138" s="1198"/>
      <c r="AH138" s="1198"/>
      <c r="AI138" s="1198"/>
      <c r="AJ138" s="1198"/>
      <c r="AK138" s="1198"/>
      <c r="AL138" s="1198"/>
      <c r="AP138" s="1121"/>
    </row>
    <row r="139" spans="1:42" s="1119" customFormat="1" ht="5.0999999999999996" customHeight="1">
      <c r="A139" s="1116"/>
      <c r="B139" s="467"/>
      <c r="C139" s="467"/>
      <c r="D139" s="467"/>
      <c r="E139" s="467"/>
      <c r="F139" s="467"/>
      <c r="G139" s="467"/>
      <c r="H139" s="467"/>
      <c r="I139" s="467"/>
      <c r="J139" s="467"/>
      <c r="K139" s="467"/>
      <c r="L139" s="467"/>
      <c r="M139" s="481"/>
      <c r="N139" s="481"/>
      <c r="O139" s="481"/>
      <c r="P139" s="485"/>
      <c r="Q139" s="1249"/>
      <c r="R139" s="1198"/>
      <c r="S139" s="1198"/>
      <c r="T139" s="1198"/>
      <c r="U139" s="1198"/>
      <c r="V139" s="1198"/>
      <c r="W139" s="1198"/>
      <c r="X139" s="1198"/>
      <c r="Y139" s="1198"/>
      <c r="Z139" s="1198"/>
      <c r="AA139" s="1198"/>
      <c r="AB139" s="1198"/>
      <c r="AC139" s="1198"/>
      <c r="AD139" s="1198"/>
      <c r="AE139" s="1198"/>
      <c r="AF139" s="1198"/>
      <c r="AG139" s="1198"/>
      <c r="AH139" s="1198"/>
      <c r="AI139" s="1198"/>
      <c r="AJ139" s="1198"/>
      <c r="AK139" s="1198"/>
      <c r="AL139" s="1198"/>
      <c r="AP139" s="1121"/>
    </row>
    <row r="140" spans="1:42" s="1119" customFormat="1" ht="15">
      <c r="A140" s="1116"/>
      <c r="B140" s="467"/>
      <c r="C140" s="467"/>
      <c r="D140" s="482" t="s">
        <v>400</v>
      </c>
      <c r="E140" s="2373" t="s">
        <v>96</v>
      </c>
      <c r="F140" s="2373"/>
      <c r="G140" s="2373"/>
      <c r="H140" s="2373"/>
      <c r="I140" s="2373"/>
      <c r="J140" s="2373"/>
      <c r="K140" s="2604"/>
      <c r="L140" s="3419" t="str">
        <f>IF(CNTR_ExistSubInstEntries,IF(COUNTIF(CNTR_SubInstListNames,INDEX(EUconst_BMlistNames,R140))&gt;0,EUconst_Relevant,EUconst_NotRelevant),"")</f>
        <v/>
      </c>
      <c r="M140" s="3420"/>
      <c r="N140" s="3421"/>
      <c r="O140" s="481"/>
      <c r="P140" s="485"/>
      <c r="Q140" s="1893" t="s">
        <v>117</v>
      </c>
      <c r="R140" s="2002">
        <v>13</v>
      </c>
      <c r="S140" s="1198"/>
      <c r="T140" s="1198"/>
      <c r="U140" s="1198"/>
      <c r="V140" s="1198"/>
      <c r="W140" s="1198"/>
      <c r="X140" s="1198"/>
      <c r="Y140" s="1198"/>
      <c r="Z140" s="1198"/>
      <c r="AA140" s="1198"/>
      <c r="AB140" s="1198"/>
      <c r="AC140" s="1198"/>
      <c r="AD140" s="1198"/>
      <c r="AE140" s="1198"/>
      <c r="AF140" s="1198"/>
      <c r="AG140" s="1198"/>
      <c r="AH140" s="1198"/>
      <c r="AI140" s="1198"/>
      <c r="AJ140" s="1198"/>
      <c r="AK140" s="1198"/>
      <c r="AL140" s="1198"/>
      <c r="AP140" s="1121"/>
    </row>
    <row r="141" spans="1:42" s="1119" customFormat="1" ht="13.15" customHeight="1">
      <c r="A141" s="1116"/>
      <c r="B141" s="467"/>
      <c r="C141" s="467"/>
      <c r="D141" s="485"/>
      <c r="E141" s="3203" t="s">
        <v>300</v>
      </c>
      <c r="F141" s="3204"/>
      <c r="G141" s="3204"/>
      <c r="H141" s="3204"/>
      <c r="I141" s="3204"/>
      <c r="J141" s="3204"/>
      <c r="K141" s="3204"/>
      <c r="L141" s="3204"/>
      <c r="M141" s="3204"/>
      <c r="N141" s="3204"/>
      <c r="O141" s="481"/>
      <c r="P141" s="485"/>
      <c r="Q141" s="1249"/>
      <c r="R141" s="1198"/>
      <c r="S141" s="1198"/>
      <c r="T141" s="1198"/>
      <c r="U141" s="1198"/>
      <c r="V141" s="1198"/>
      <c r="W141" s="1198"/>
      <c r="X141" s="1198"/>
      <c r="Y141" s="1198"/>
      <c r="Z141" s="1198"/>
      <c r="AA141" s="1198"/>
      <c r="AB141" s="1198"/>
      <c r="AC141" s="1198"/>
      <c r="AD141" s="1198"/>
      <c r="AE141" s="1198"/>
      <c r="AF141" s="1198"/>
      <c r="AG141" s="1198"/>
      <c r="AH141" s="1198"/>
      <c r="AI141" s="1198"/>
      <c r="AJ141" s="1198"/>
      <c r="AK141" s="1198"/>
      <c r="AL141" s="1198"/>
      <c r="AP141" s="1121"/>
    </row>
    <row r="142" spans="1:42" s="1119" customFormat="1">
      <c r="A142" s="1116"/>
      <c r="B142" s="467"/>
      <c r="C142" s="467"/>
      <c r="D142" s="467"/>
      <c r="E142" s="2782" t="str">
        <f>IF(L140=EUconst_Relevant,HYPERLINK(R142,EUconst_MsgBackToSheetF),"")</f>
        <v/>
      </c>
      <c r="F142" s="2783"/>
      <c r="G142" s="2783"/>
      <c r="H142" s="2783"/>
      <c r="I142" s="2783"/>
      <c r="J142" s="2783"/>
      <c r="K142" s="2783"/>
      <c r="L142" s="2783"/>
      <c r="M142" s="2783"/>
      <c r="N142" s="2784"/>
      <c r="O142" s="481"/>
      <c r="P142" s="485"/>
      <c r="Q142" s="1893" t="s">
        <v>116</v>
      </c>
      <c r="R142" s="1443" t="str">
        <f>IF(ISNUMBER(MATCH(R140,CNTR_SubInstListBMnumbers,0)),"#JUMP_F"&amp;MATCH(R140,CNTR_SubInstListBMnumbers,0),"")</f>
        <v/>
      </c>
      <c r="S142" s="1198"/>
      <c r="T142" s="1198"/>
      <c r="U142" s="1198"/>
      <c r="V142" s="1198"/>
      <c r="W142" s="1198"/>
      <c r="X142" s="1198"/>
      <c r="Y142" s="1198"/>
      <c r="Z142" s="1198"/>
      <c r="AA142" s="1198"/>
      <c r="AB142" s="1198"/>
      <c r="AC142" s="1198"/>
      <c r="AD142" s="1198"/>
      <c r="AE142" s="1198"/>
      <c r="AF142" s="1198"/>
      <c r="AG142" s="1198"/>
      <c r="AH142" s="1198"/>
      <c r="AI142" s="1198"/>
      <c r="AJ142" s="1198"/>
      <c r="AK142" s="1198"/>
      <c r="AL142" s="1198"/>
      <c r="AP142" s="1121"/>
    </row>
    <row r="143" spans="1:42" s="1119" customFormat="1" ht="5.0999999999999996" customHeight="1">
      <c r="A143" s="1116"/>
      <c r="B143" s="467"/>
      <c r="C143" s="467"/>
      <c r="D143" s="467"/>
      <c r="E143" s="467"/>
      <c r="F143" s="467"/>
      <c r="G143" s="467"/>
      <c r="H143" s="467"/>
      <c r="I143" s="467"/>
      <c r="J143" s="467"/>
      <c r="K143" s="467"/>
      <c r="L143" s="467"/>
      <c r="M143" s="481"/>
      <c r="N143" s="481"/>
      <c r="O143" s="481"/>
      <c r="P143" s="485"/>
      <c r="Q143" s="1249"/>
      <c r="R143" s="1198"/>
      <c r="S143" s="1198"/>
      <c r="T143" s="1198"/>
      <c r="U143" s="1198"/>
      <c r="V143" s="1198"/>
      <c r="W143" s="1198"/>
      <c r="X143" s="1198"/>
      <c r="Y143" s="1198"/>
      <c r="Z143" s="1198"/>
      <c r="AA143" s="1198"/>
      <c r="AB143" s="1198"/>
      <c r="AC143" s="1198"/>
      <c r="AD143" s="1198"/>
      <c r="AE143" s="1198"/>
      <c r="AF143" s="1198"/>
      <c r="AG143" s="1198"/>
      <c r="AH143" s="1198"/>
      <c r="AI143" s="1198"/>
      <c r="AJ143" s="1198"/>
      <c r="AK143" s="1198"/>
      <c r="AL143" s="1198"/>
      <c r="AP143" s="1121"/>
    </row>
    <row r="144" spans="1:42" s="1119" customFormat="1">
      <c r="A144" s="1116"/>
      <c r="B144" s="467"/>
      <c r="C144" s="467"/>
      <c r="D144" s="482" t="s">
        <v>876</v>
      </c>
      <c r="E144" s="2373" t="s">
        <v>961</v>
      </c>
      <c r="F144" s="2400"/>
      <c r="G144" s="2400"/>
      <c r="H144" s="2400"/>
      <c r="I144" s="2400"/>
      <c r="J144" s="2400"/>
      <c r="K144" s="2400"/>
      <c r="L144" s="2400"/>
      <c r="M144" s="2400"/>
      <c r="N144" s="2400"/>
      <c r="O144" s="481"/>
      <c r="P144" s="485"/>
      <c r="Q144" s="1249"/>
      <c r="R144" s="1198"/>
      <c r="S144" s="1198"/>
      <c r="T144" s="1198"/>
      <c r="U144" s="1198"/>
      <c r="V144" s="1198"/>
      <c r="W144" s="1198"/>
      <c r="X144" s="1198"/>
      <c r="Y144" s="1198"/>
      <c r="Z144" s="1198"/>
      <c r="AA144" s="1198"/>
      <c r="AB144" s="1198"/>
      <c r="AC144" s="1198"/>
      <c r="AD144" s="1198"/>
      <c r="AE144" s="1198"/>
      <c r="AF144" s="1198"/>
      <c r="AG144" s="1198"/>
      <c r="AH144" s="1198"/>
      <c r="AI144" s="1198"/>
      <c r="AJ144" s="1198"/>
      <c r="AK144" s="1198"/>
      <c r="AL144" s="1198"/>
      <c r="AP144" s="1121"/>
    </row>
    <row r="145" spans="1:42" s="1119" customFormat="1" ht="13.15" customHeight="1">
      <c r="A145" s="1116"/>
      <c r="B145" s="467"/>
      <c r="C145" s="467"/>
      <c r="D145" s="485"/>
      <c r="E145" s="2385" t="s">
        <v>239</v>
      </c>
      <c r="F145" s="2846"/>
      <c r="G145" s="2846"/>
      <c r="H145" s="2846"/>
      <c r="I145" s="2846"/>
      <c r="J145" s="2846"/>
      <c r="K145" s="2846"/>
      <c r="L145" s="2846"/>
      <c r="M145" s="2846"/>
      <c r="N145" s="2846"/>
      <c r="O145" s="481"/>
      <c r="P145" s="3418"/>
      <c r="Q145" s="1249"/>
      <c r="R145" s="1198"/>
      <c r="S145" s="1198"/>
      <c r="T145" s="1198"/>
      <c r="U145" s="1198"/>
      <c r="V145" s="1198"/>
      <c r="W145" s="1198"/>
      <c r="X145" s="1198"/>
      <c r="Y145" s="1249"/>
      <c r="Z145" s="1249"/>
      <c r="AA145" s="1249"/>
      <c r="AB145" s="1249"/>
      <c r="AC145" s="1249"/>
      <c r="AD145" s="1249"/>
      <c r="AE145" s="1249"/>
      <c r="AF145" s="1249"/>
      <c r="AG145" s="1249"/>
      <c r="AH145" s="1249"/>
      <c r="AI145" s="1249"/>
      <c r="AJ145" s="1198"/>
      <c r="AK145" s="1198"/>
      <c r="AL145" s="1198"/>
      <c r="AP145" s="1121"/>
    </row>
    <row r="146" spans="1:42" s="1119" customFormat="1" ht="13.5" thickBot="1">
      <c r="A146" s="1116"/>
      <c r="B146" s="1124"/>
      <c r="C146" s="485"/>
      <c r="D146" s="482"/>
      <c r="E146" s="636"/>
      <c r="F146" s="637"/>
      <c r="G146" s="663" t="str">
        <f>EUconst_Unit</f>
        <v>Unit</v>
      </c>
      <c r="H146" s="671">
        <f t="shared" ref="H146:N146" si="20">H$421</f>
        <v>2024</v>
      </c>
      <c r="I146" s="1081">
        <f t="shared" si="20"/>
        <v>2025</v>
      </c>
      <c r="J146" s="1489">
        <f t="shared" si="20"/>
        <v>2026</v>
      </c>
      <c r="K146" s="1490">
        <f t="shared" si="20"/>
        <v>2027</v>
      </c>
      <c r="L146" s="1490">
        <f t="shared" si="20"/>
        <v>2028</v>
      </c>
      <c r="M146" s="1490">
        <f t="shared" si="20"/>
        <v>2029</v>
      </c>
      <c r="N146" s="1490">
        <f t="shared" si="20"/>
        <v>2030</v>
      </c>
      <c r="O146" s="481"/>
      <c r="P146" s="3418"/>
      <c r="Q146" s="1198"/>
      <c r="R146" s="1198"/>
      <c r="S146" s="1198"/>
      <c r="T146" s="1198"/>
      <c r="U146" s="1198"/>
      <c r="V146" s="1198"/>
      <c r="W146" s="1198"/>
      <c r="X146" s="1198"/>
      <c r="Y146" s="1249"/>
      <c r="Z146" s="1249"/>
      <c r="AA146" s="1249"/>
      <c r="AB146" s="1198"/>
      <c r="AC146" s="2003">
        <f t="shared" ref="AC146:AI146" si="21">H146</f>
        <v>2024</v>
      </c>
      <c r="AD146" s="2003">
        <f t="shared" si="21"/>
        <v>2025</v>
      </c>
      <c r="AE146" s="2003">
        <f t="shared" si="21"/>
        <v>2026</v>
      </c>
      <c r="AF146" s="2003">
        <f t="shared" si="21"/>
        <v>2027</v>
      </c>
      <c r="AG146" s="2003">
        <f t="shared" si="21"/>
        <v>2028</v>
      </c>
      <c r="AH146" s="2003">
        <f t="shared" si="21"/>
        <v>2029</v>
      </c>
      <c r="AI146" s="2003">
        <f t="shared" si="21"/>
        <v>2030</v>
      </c>
      <c r="AJ146" s="1198"/>
      <c r="AK146" s="1198"/>
      <c r="AL146" s="1198"/>
      <c r="AP146" s="1121"/>
    </row>
    <row r="147" spans="1:42" s="1119" customFormat="1" ht="13.15" customHeight="1">
      <c r="A147" s="1116"/>
      <c r="B147" s="1124"/>
      <c r="C147" s="485"/>
      <c r="D147" s="485"/>
      <c r="E147" s="948" t="s">
        <v>240</v>
      </c>
      <c r="F147" s="948"/>
      <c r="G147" s="730" t="str">
        <f>EUconst_tpa</f>
        <v>t / year</v>
      </c>
      <c r="H147" s="2016" t="str">
        <f>c_ALR2025!M6814</f>
        <v/>
      </c>
      <c r="I147" s="2046"/>
      <c r="J147" s="2020"/>
      <c r="K147" s="2021"/>
      <c r="L147" s="2021"/>
      <c r="M147" s="2021"/>
      <c r="N147" s="2021"/>
      <c r="O147" s="481"/>
      <c r="P147" s="3418"/>
      <c r="Q147" s="1198"/>
      <c r="R147" s="1198"/>
      <c r="S147" s="1198"/>
      <c r="T147" s="1198"/>
      <c r="U147" s="1198"/>
      <c r="V147" s="1198"/>
      <c r="W147" s="1198"/>
      <c r="X147" s="1198"/>
      <c r="Y147" s="1249"/>
      <c r="Z147" s="1249"/>
      <c r="AA147" s="1249"/>
      <c r="AB147" s="1641" t="s">
        <v>717</v>
      </c>
      <c r="AC147" s="2041" t="b">
        <f t="shared" ref="AC147:AI147" si="22">IF(CNTR_ExistSubInstEntries,IF($L140=EUconst_Relevant,AC146&gt;=CNTR_ReportingYear,TRUE),FALSE)</f>
        <v>0</v>
      </c>
      <c r="AD147" s="1731" t="b">
        <f t="shared" si="22"/>
        <v>0</v>
      </c>
      <c r="AE147" s="1731" t="b">
        <f t="shared" si="22"/>
        <v>0</v>
      </c>
      <c r="AF147" s="1731" t="b">
        <f t="shared" si="22"/>
        <v>0</v>
      </c>
      <c r="AG147" s="1731" t="b">
        <f t="shared" si="22"/>
        <v>0</v>
      </c>
      <c r="AH147" s="1731" t="b">
        <f t="shared" si="22"/>
        <v>0</v>
      </c>
      <c r="AI147" s="2008" t="b">
        <f t="shared" si="22"/>
        <v>0</v>
      </c>
      <c r="AJ147" s="1198"/>
      <c r="AK147" s="1198"/>
      <c r="AL147" s="1198"/>
      <c r="AP147" s="1121"/>
    </row>
    <row r="148" spans="1:42" s="1119" customFormat="1" ht="5.0999999999999996" customHeight="1">
      <c r="A148" s="1116"/>
      <c r="B148" s="467"/>
      <c r="C148" s="467"/>
      <c r="D148" s="467"/>
      <c r="E148" s="467"/>
      <c r="F148" s="467"/>
      <c r="G148" s="467"/>
      <c r="H148" s="467"/>
      <c r="I148" s="467"/>
      <c r="J148" s="467"/>
      <c r="K148" s="467"/>
      <c r="L148" s="467"/>
      <c r="M148" s="481"/>
      <c r="N148" s="481"/>
      <c r="O148" s="481"/>
      <c r="P148" s="485"/>
      <c r="Q148" s="1249"/>
      <c r="R148" s="1198"/>
      <c r="S148" s="1198"/>
      <c r="T148" s="1198"/>
      <c r="U148" s="1198"/>
      <c r="V148" s="1198"/>
      <c r="W148" s="1198"/>
      <c r="X148" s="1198"/>
      <c r="Y148" s="1249"/>
      <c r="Z148" s="1249"/>
      <c r="AA148" s="1249"/>
      <c r="AB148" s="1249"/>
      <c r="AC148" s="2022"/>
      <c r="AD148" s="1249"/>
      <c r="AE148" s="1249"/>
      <c r="AF148" s="1249"/>
      <c r="AG148" s="1249"/>
      <c r="AH148" s="1249"/>
      <c r="AI148" s="2023"/>
      <c r="AJ148" s="1198"/>
      <c r="AK148" s="1198"/>
      <c r="AL148" s="1198"/>
      <c r="AP148" s="1121"/>
    </row>
    <row r="149" spans="1:42" s="1119" customFormat="1">
      <c r="A149" s="1116"/>
      <c r="B149" s="467"/>
      <c r="C149" s="467"/>
      <c r="D149" s="482" t="s">
        <v>48</v>
      </c>
      <c r="E149" s="2373" t="s">
        <v>99</v>
      </c>
      <c r="F149" s="2400"/>
      <c r="G149" s="2400"/>
      <c r="H149" s="2400"/>
      <c r="I149" s="2400"/>
      <c r="J149" s="2400"/>
      <c r="K149" s="2400"/>
      <c r="L149" s="2400"/>
      <c r="M149" s="2400"/>
      <c r="N149" s="2400"/>
      <c r="O149" s="481"/>
      <c r="P149" s="485"/>
      <c r="Q149" s="1249"/>
      <c r="R149" s="1198"/>
      <c r="S149" s="1198"/>
      <c r="T149" s="1198"/>
      <c r="U149" s="1198"/>
      <c r="V149" s="1198"/>
      <c r="W149" s="1198"/>
      <c r="X149" s="1198"/>
      <c r="Y149" s="1249"/>
      <c r="Z149" s="1249"/>
      <c r="AA149" s="1249"/>
      <c r="AB149" s="1249"/>
      <c r="AC149" s="2022"/>
      <c r="AD149" s="1249"/>
      <c r="AE149" s="1249"/>
      <c r="AF149" s="1249"/>
      <c r="AG149" s="1249"/>
      <c r="AH149" s="1249"/>
      <c r="AI149" s="2023"/>
      <c r="AJ149" s="1198"/>
      <c r="AK149" s="1198"/>
      <c r="AL149" s="1198"/>
      <c r="AP149" s="1121"/>
    </row>
    <row r="150" spans="1:42" s="1119" customFormat="1" ht="13.15" customHeight="1">
      <c r="A150" s="1116"/>
      <c r="B150" s="467"/>
      <c r="C150" s="467"/>
      <c r="D150" s="485"/>
      <c r="E150" s="2385" t="s">
        <v>2310</v>
      </c>
      <c r="F150" s="2846"/>
      <c r="G150" s="2846"/>
      <c r="H150" s="2846"/>
      <c r="I150" s="2846"/>
      <c r="J150" s="2846"/>
      <c r="K150" s="2846"/>
      <c r="L150" s="2846"/>
      <c r="M150" s="2846"/>
      <c r="N150" s="2846"/>
      <c r="O150" s="481"/>
      <c r="P150" s="485"/>
      <c r="Q150" s="1249"/>
      <c r="R150" s="1198"/>
      <c r="S150" s="1198"/>
      <c r="T150" s="1198"/>
      <c r="U150" s="1198"/>
      <c r="V150" s="1198"/>
      <c r="W150" s="1198"/>
      <c r="X150" s="1198"/>
      <c r="Y150" s="1249"/>
      <c r="Z150" s="1249"/>
      <c r="AA150" s="1249"/>
      <c r="AB150" s="1249"/>
      <c r="AC150" s="2022"/>
      <c r="AD150" s="1249"/>
      <c r="AE150" s="1249"/>
      <c r="AF150" s="1249"/>
      <c r="AG150" s="1249"/>
      <c r="AH150" s="1249"/>
      <c r="AI150" s="2023"/>
      <c r="AJ150" s="1198"/>
      <c r="AK150" s="1198"/>
      <c r="AL150" s="1198"/>
      <c r="AP150" s="1121"/>
    </row>
    <row r="151" spans="1:42" s="1119" customFormat="1" ht="13.15" customHeight="1">
      <c r="A151" s="1116"/>
      <c r="B151" s="467"/>
      <c r="C151" s="467"/>
      <c r="D151" s="485"/>
      <c r="E151" s="1554" t="s">
        <v>100</v>
      </c>
      <c r="F151" s="2385" t="s">
        <v>1907</v>
      </c>
      <c r="G151" s="2846"/>
      <c r="H151" s="2846"/>
      <c r="I151" s="2846"/>
      <c r="J151" s="2846"/>
      <c r="K151" s="2846"/>
      <c r="L151" s="2846"/>
      <c r="M151" s="2846"/>
      <c r="N151" s="2846"/>
      <c r="O151" s="481"/>
      <c r="P151" s="485"/>
      <c r="Q151" s="1249"/>
      <c r="R151" s="1198"/>
      <c r="S151" s="1198"/>
      <c r="T151" s="1198"/>
      <c r="U151" s="1198"/>
      <c r="V151" s="1198"/>
      <c r="W151" s="1198"/>
      <c r="X151" s="1198"/>
      <c r="Y151" s="1249"/>
      <c r="Z151" s="1249"/>
      <c r="AA151" s="1249"/>
      <c r="AB151" s="1249"/>
      <c r="AC151" s="2022"/>
      <c r="AD151" s="1249"/>
      <c r="AE151" s="1249"/>
      <c r="AF151" s="1249"/>
      <c r="AG151" s="1249"/>
      <c r="AH151" s="1249"/>
      <c r="AI151" s="2023"/>
      <c r="AJ151" s="1198"/>
      <c r="AK151" s="1198"/>
      <c r="AL151" s="1198"/>
      <c r="AP151" s="1121"/>
    </row>
    <row r="152" spans="1:42" s="1119" customFormat="1" ht="13.15" customHeight="1">
      <c r="A152" s="1116"/>
      <c r="B152" s="467"/>
      <c r="C152" s="467"/>
      <c r="D152" s="485"/>
      <c r="E152" s="617"/>
      <c r="F152" s="2385" t="s">
        <v>4</v>
      </c>
      <c r="G152" s="2846"/>
      <c r="H152" s="2846"/>
      <c r="I152" s="2846"/>
      <c r="J152" s="2846"/>
      <c r="K152" s="2846"/>
      <c r="L152" s="2846"/>
      <c r="M152" s="2846"/>
      <c r="N152" s="2846"/>
      <c r="O152" s="481"/>
      <c r="P152" s="485"/>
      <c r="Q152" s="1249"/>
      <c r="R152" s="1198"/>
      <c r="S152" s="1198"/>
      <c r="T152" s="1198"/>
      <c r="U152" s="1198"/>
      <c r="V152" s="1198"/>
      <c r="W152" s="1198"/>
      <c r="X152" s="1198"/>
      <c r="Y152" s="1249"/>
      <c r="Z152" s="1249"/>
      <c r="AA152" s="1249"/>
      <c r="AB152" s="1249"/>
      <c r="AC152" s="2022"/>
      <c r="AD152" s="1249"/>
      <c r="AE152" s="1249"/>
      <c r="AF152" s="1249"/>
      <c r="AG152" s="1249"/>
      <c r="AH152" s="1249"/>
      <c r="AI152" s="2023"/>
      <c r="AJ152" s="1198"/>
      <c r="AK152" s="1198"/>
      <c r="AL152" s="1198"/>
      <c r="AP152" s="1121"/>
    </row>
    <row r="153" spans="1:42" s="1119" customFormat="1" ht="13.15" customHeight="1">
      <c r="A153" s="1116"/>
      <c r="B153" s="467"/>
      <c r="C153" s="467"/>
      <c r="D153" s="485"/>
      <c r="E153" s="1554" t="s">
        <v>102</v>
      </c>
      <c r="F153" s="2385" t="s">
        <v>1908</v>
      </c>
      <c r="G153" s="2846"/>
      <c r="H153" s="2846"/>
      <c r="I153" s="2846"/>
      <c r="J153" s="2846"/>
      <c r="K153" s="2846"/>
      <c r="L153" s="2846"/>
      <c r="M153" s="2846"/>
      <c r="N153" s="2846"/>
      <c r="O153" s="481"/>
      <c r="P153" s="485"/>
      <c r="Q153" s="1249"/>
      <c r="R153" s="1198"/>
      <c r="S153" s="1198"/>
      <c r="T153" s="1198"/>
      <c r="U153" s="1198"/>
      <c r="V153" s="1198"/>
      <c r="W153" s="1198"/>
      <c r="X153" s="1198"/>
      <c r="Y153" s="1249"/>
      <c r="Z153" s="1249"/>
      <c r="AA153" s="1249"/>
      <c r="AB153" s="1249"/>
      <c r="AC153" s="2022"/>
      <c r="AD153" s="1249"/>
      <c r="AE153" s="1249"/>
      <c r="AF153" s="1249"/>
      <c r="AG153" s="1249"/>
      <c r="AH153" s="1249"/>
      <c r="AI153" s="2023"/>
      <c r="AJ153" s="1198"/>
      <c r="AK153" s="1198"/>
      <c r="AL153" s="1198"/>
      <c r="AP153" s="1121"/>
    </row>
    <row r="154" spans="1:42" s="1119" customFormat="1" ht="13.15" customHeight="1">
      <c r="A154" s="1116"/>
      <c r="B154" s="467"/>
      <c r="C154" s="467"/>
      <c r="D154" s="485"/>
      <c r="E154" s="617"/>
      <c r="F154" s="2385" t="s">
        <v>5</v>
      </c>
      <c r="G154" s="2846"/>
      <c r="H154" s="2846"/>
      <c r="I154" s="2846"/>
      <c r="J154" s="2846"/>
      <c r="K154" s="2846"/>
      <c r="L154" s="2846"/>
      <c r="M154" s="2846"/>
      <c r="N154" s="2846"/>
      <c r="O154" s="481"/>
      <c r="P154" s="485"/>
      <c r="Q154" s="1249"/>
      <c r="R154" s="1198"/>
      <c r="S154" s="1198"/>
      <c r="T154" s="1198"/>
      <c r="U154" s="1198"/>
      <c r="V154" s="1198"/>
      <c r="W154" s="1198"/>
      <c r="X154" s="1198"/>
      <c r="Y154" s="1249"/>
      <c r="Z154" s="1249"/>
      <c r="AA154" s="1249"/>
      <c r="AB154" s="1249"/>
      <c r="AC154" s="2022"/>
      <c r="AD154" s="1249"/>
      <c r="AE154" s="1249"/>
      <c r="AF154" s="1249"/>
      <c r="AG154" s="1249"/>
      <c r="AH154" s="1249"/>
      <c r="AI154" s="2023"/>
      <c r="AJ154" s="1198"/>
      <c r="AK154" s="1198"/>
      <c r="AL154" s="1198"/>
      <c r="AP154" s="1121"/>
    </row>
    <row r="155" spans="1:42" s="1119" customFormat="1">
      <c r="A155" s="1116"/>
      <c r="B155" s="1124"/>
      <c r="C155" s="485"/>
      <c r="D155" s="482"/>
      <c r="E155" s="636"/>
      <c r="F155" s="637"/>
      <c r="G155" s="663" t="str">
        <f>EUconst_Unit</f>
        <v>Unit</v>
      </c>
      <c r="H155" s="671">
        <f t="shared" ref="H155:N155" si="23">H$421</f>
        <v>2024</v>
      </c>
      <c r="I155" s="1081">
        <f t="shared" si="23"/>
        <v>2025</v>
      </c>
      <c r="J155" s="1489">
        <f t="shared" si="23"/>
        <v>2026</v>
      </c>
      <c r="K155" s="1490">
        <f t="shared" si="23"/>
        <v>2027</v>
      </c>
      <c r="L155" s="1490">
        <f t="shared" si="23"/>
        <v>2028</v>
      </c>
      <c r="M155" s="1490">
        <f t="shared" si="23"/>
        <v>2029</v>
      </c>
      <c r="N155" s="1490">
        <f t="shared" si="23"/>
        <v>2030</v>
      </c>
      <c r="O155" s="481"/>
      <c r="P155" s="485"/>
      <c r="Q155" s="1198"/>
      <c r="R155" s="1198"/>
      <c r="S155" s="1198"/>
      <c r="T155" s="1198"/>
      <c r="U155" s="1198"/>
      <c r="V155" s="1198"/>
      <c r="W155" s="1198"/>
      <c r="X155" s="1198"/>
      <c r="Y155" s="1249"/>
      <c r="Z155" s="1249"/>
      <c r="AA155" s="1249"/>
      <c r="AB155" s="1249"/>
      <c r="AC155" s="2022"/>
      <c r="AD155" s="1249"/>
      <c r="AE155" s="1249"/>
      <c r="AF155" s="1249"/>
      <c r="AG155" s="1249"/>
      <c r="AH155" s="1249"/>
      <c r="AI155" s="2023"/>
      <c r="AJ155" s="1198"/>
      <c r="AK155" s="1198"/>
      <c r="AL155" s="1198"/>
      <c r="AP155" s="1121"/>
    </row>
    <row r="156" spans="1:42" s="1119" customFormat="1">
      <c r="A156" s="1116"/>
      <c r="B156" s="1124"/>
      <c r="C156" s="485"/>
      <c r="D156" s="485"/>
      <c r="E156" s="863" t="s">
        <v>989</v>
      </c>
      <c r="F156" s="863"/>
      <c r="G156" s="721" t="s">
        <v>1022</v>
      </c>
      <c r="H156" s="2024" t="str">
        <f>c_ALR2025!M6823</f>
        <v/>
      </c>
      <c r="I156" s="1614"/>
      <c r="J156" s="1491"/>
      <c r="K156" s="1492"/>
      <c r="L156" s="1492"/>
      <c r="M156" s="1492"/>
      <c r="N156" s="1492"/>
      <c r="O156" s="481"/>
      <c r="P156" s="485"/>
      <c r="Q156" s="1198"/>
      <c r="R156" s="1198"/>
      <c r="S156" s="1198"/>
      <c r="T156" s="1198"/>
      <c r="U156" s="1198"/>
      <c r="V156" s="1198"/>
      <c r="W156" s="1198"/>
      <c r="X156" s="1198"/>
      <c r="Y156" s="1249"/>
      <c r="Z156" s="1249"/>
      <c r="AA156" s="1249"/>
      <c r="AB156" s="1249"/>
      <c r="AC156" s="2011" t="b">
        <f>AC147</f>
        <v>0</v>
      </c>
      <c r="AD156" s="1963" t="b">
        <f t="shared" ref="AD156:AI156" si="24">AD147</f>
        <v>0</v>
      </c>
      <c r="AE156" s="1963" t="b">
        <f t="shared" si="24"/>
        <v>0</v>
      </c>
      <c r="AF156" s="1963" t="b">
        <f t="shared" si="24"/>
        <v>0</v>
      </c>
      <c r="AG156" s="1963" t="b">
        <f t="shared" si="24"/>
        <v>0</v>
      </c>
      <c r="AH156" s="1963" t="b">
        <f t="shared" si="24"/>
        <v>0</v>
      </c>
      <c r="AI156" s="2012" t="b">
        <f t="shared" si="24"/>
        <v>0</v>
      </c>
      <c r="AJ156" s="1198"/>
      <c r="AK156" s="1198"/>
      <c r="AL156" s="1198"/>
      <c r="AP156" s="1121"/>
    </row>
    <row r="157" spans="1:42" s="1119" customFormat="1" ht="13.5" thickBot="1">
      <c r="A157" s="1116"/>
      <c r="B157" s="1124"/>
      <c r="C157" s="485"/>
      <c r="D157" s="485"/>
      <c r="E157" s="932" t="s">
        <v>990</v>
      </c>
      <c r="F157" s="932"/>
      <c r="G157" s="728" t="s">
        <v>1022</v>
      </c>
      <c r="H157" s="2016" t="str">
        <f>c_ALR2025!M6824</f>
        <v/>
      </c>
      <c r="I157" s="1616"/>
      <c r="J157" s="1491"/>
      <c r="K157" s="1492"/>
      <c r="L157" s="1492"/>
      <c r="M157" s="1492"/>
      <c r="N157" s="1492"/>
      <c r="O157" s="481"/>
      <c r="P157" s="485"/>
      <c r="Q157" s="1198"/>
      <c r="R157" s="1198"/>
      <c r="S157" s="1198"/>
      <c r="T157" s="1198"/>
      <c r="U157" s="1198"/>
      <c r="V157" s="1198"/>
      <c r="W157" s="1198"/>
      <c r="X157" s="1198"/>
      <c r="Y157" s="1249"/>
      <c r="Z157" s="1249"/>
      <c r="AA157" s="1249"/>
      <c r="AB157" s="1249"/>
      <c r="AC157" s="2017" t="b">
        <f>AC156</f>
        <v>0</v>
      </c>
      <c r="AD157" s="2018" t="b">
        <f t="shared" ref="AD157:AI157" si="25">AD156</f>
        <v>0</v>
      </c>
      <c r="AE157" s="2018" t="b">
        <f t="shared" si="25"/>
        <v>0</v>
      </c>
      <c r="AF157" s="2018" t="b">
        <f t="shared" si="25"/>
        <v>0</v>
      </c>
      <c r="AG157" s="2018" t="b">
        <f t="shared" si="25"/>
        <v>0</v>
      </c>
      <c r="AH157" s="2018" t="b">
        <f t="shared" si="25"/>
        <v>0</v>
      </c>
      <c r="AI157" s="2019" t="b">
        <f t="shared" si="25"/>
        <v>0</v>
      </c>
      <c r="AJ157" s="1198"/>
      <c r="AK157" s="1198"/>
      <c r="AL157" s="1198"/>
      <c r="AP157" s="1121"/>
    </row>
    <row r="158" spans="1:42" s="1119" customFormat="1" ht="5.0999999999999996" customHeight="1">
      <c r="A158" s="1116"/>
      <c r="B158" s="467"/>
      <c r="C158" s="467"/>
      <c r="D158" s="467"/>
      <c r="E158" s="467"/>
      <c r="F158" s="467"/>
      <c r="G158" s="467"/>
      <c r="H158" s="467"/>
      <c r="I158" s="467"/>
      <c r="J158" s="467"/>
      <c r="K158" s="467"/>
      <c r="L158" s="467"/>
      <c r="M158" s="481"/>
      <c r="N158" s="481"/>
      <c r="O158" s="481"/>
      <c r="P158" s="485"/>
      <c r="Q158" s="1249"/>
      <c r="R158" s="1198"/>
      <c r="S158" s="1198"/>
      <c r="T158" s="1198"/>
      <c r="U158" s="1198"/>
      <c r="V158" s="1198"/>
      <c r="W158" s="1198"/>
      <c r="X158" s="1198"/>
      <c r="Y158" s="1249"/>
      <c r="Z158" s="1249"/>
      <c r="AA158" s="1249"/>
      <c r="AB158" s="1249"/>
      <c r="AC158" s="1249"/>
      <c r="AD158" s="1249"/>
      <c r="AE158" s="1249"/>
      <c r="AF158" s="1249"/>
      <c r="AG158" s="1249"/>
      <c r="AH158" s="1249"/>
      <c r="AI158" s="1249"/>
      <c r="AJ158" s="1198"/>
      <c r="AK158" s="1198"/>
      <c r="AL158" s="1198"/>
      <c r="AP158" s="1121"/>
    </row>
    <row r="159" spans="1:42" s="1119" customFormat="1" ht="13.15" customHeight="1">
      <c r="A159" s="1116"/>
      <c r="B159" s="467"/>
      <c r="C159" s="467"/>
      <c r="D159" s="482" t="s">
        <v>881</v>
      </c>
      <c r="E159" s="2508" t="s">
        <v>991</v>
      </c>
      <c r="F159" s="2508"/>
      <c r="G159" s="2508"/>
      <c r="H159" s="2508"/>
      <c r="I159" s="2508"/>
      <c r="J159" s="2508"/>
      <c r="K159" s="2508"/>
      <c r="L159" s="2508"/>
      <c r="M159" s="2508"/>
      <c r="N159" s="2508"/>
      <c r="O159" s="481"/>
      <c r="P159" s="485"/>
      <c r="Q159" s="1249"/>
      <c r="R159" s="1198"/>
      <c r="S159" s="1198"/>
      <c r="T159" s="1198"/>
      <c r="U159" s="1198"/>
      <c r="V159" s="1198"/>
      <c r="W159" s="1198"/>
      <c r="X159" s="1198"/>
      <c r="Y159" s="1249"/>
      <c r="Z159" s="1249"/>
      <c r="AA159" s="1249"/>
      <c r="AB159" s="1249"/>
      <c r="AC159" s="1249"/>
      <c r="AD159" s="1249"/>
      <c r="AE159" s="1249"/>
      <c r="AF159" s="1249"/>
      <c r="AG159" s="1249"/>
      <c r="AH159" s="1249"/>
      <c r="AI159" s="1249"/>
      <c r="AJ159" s="1198"/>
      <c r="AK159" s="1198"/>
      <c r="AL159" s="1198"/>
      <c r="AP159" s="1121"/>
    </row>
    <row r="160" spans="1:42" s="1119" customFormat="1" ht="13.15" customHeight="1">
      <c r="A160" s="1116"/>
      <c r="B160" s="467"/>
      <c r="C160" s="467"/>
      <c r="D160" s="485"/>
      <c r="E160" s="2385" t="s">
        <v>1249</v>
      </c>
      <c r="F160" s="2846"/>
      <c r="G160" s="2846"/>
      <c r="H160" s="2846"/>
      <c r="I160" s="2846"/>
      <c r="J160" s="2846"/>
      <c r="K160" s="2846"/>
      <c r="L160" s="2846"/>
      <c r="M160" s="2846"/>
      <c r="N160" s="2846"/>
      <c r="O160" s="481"/>
      <c r="P160" s="485"/>
      <c r="Q160" s="1249"/>
      <c r="R160" s="1198"/>
      <c r="S160" s="1198"/>
      <c r="T160" s="1198"/>
      <c r="U160" s="1198"/>
      <c r="V160" s="1198"/>
      <c r="W160" s="1198"/>
      <c r="X160" s="1198"/>
      <c r="Y160" s="1249"/>
      <c r="Z160" s="1249"/>
      <c r="AA160" s="1249"/>
      <c r="AB160" s="1249"/>
      <c r="AC160" s="1249"/>
      <c r="AD160" s="1249"/>
      <c r="AE160" s="1249"/>
      <c r="AF160" s="1249"/>
      <c r="AG160" s="1249"/>
      <c r="AH160" s="1249"/>
      <c r="AI160" s="1249"/>
      <c r="AJ160" s="1198"/>
      <c r="AK160" s="1198"/>
      <c r="AL160" s="1198"/>
      <c r="AP160" s="1121"/>
    </row>
    <row r="161" spans="1:42" s="1119" customFormat="1" ht="13.15" customHeight="1">
      <c r="A161" s="1116"/>
      <c r="B161" s="467"/>
      <c r="C161" s="467"/>
      <c r="D161" s="485"/>
      <c r="E161" s="2385" t="s">
        <v>1247</v>
      </c>
      <c r="F161" s="2846"/>
      <c r="G161" s="2846"/>
      <c r="H161" s="2846"/>
      <c r="I161" s="2846"/>
      <c r="J161" s="2846"/>
      <c r="K161" s="2846"/>
      <c r="L161" s="2846"/>
      <c r="M161" s="2846"/>
      <c r="N161" s="2846"/>
      <c r="O161" s="481"/>
      <c r="P161" s="485"/>
      <c r="Q161" s="1249"/>
      <c r="R161" s="1198"/>
      <c r="S161" s="1198"/>
      <c r="T161" s="1198"/>
      <c r="U161" s="1198"/>
      <c r="V161" s="1198"/>
      <c r="W161" s="1198"/>
      <c r="X161" s="1198"/>
      <c r="Y161" s="1249"/>
      <c r="Z161" s="1249"/>
      <c r="AA161" s="1249"/>
      <c r="AB161" s="1249"/>
      <c r="AC161" s="1198"/>
      <c r="AD161" s="1198"/>
      <c r="AE161" s="1198"/>
      <c r="AF161" s="1198"/>
      <c r="AG161" s="1198"/>
      <c r="AH161" s="1198"/>
      <c r="AI161" s="1198"/>
      <c r="AJ161" s="1198"/>
      <c r="AK161" s="1198"/>
      <c r="AL161" s="1198"/>
      <c r="AP161" s="1121"/>
    </row>
    <row r="162" spans="1:42" s="1119" customFormat="1">
      <c r="A162" s="1116"/>
      <c r="B162" s="1124"/>
      <c r="C162" s="485"/>
      <c r="D162" s="482"/>
      <c r="E162" s="637"/>
      <c r="F162" s="637"/>
      <c r="G162" s="663" t="str">
        <f>EUconst_Unit</f>
        <v>Unit</v>
      </c>
      <c r="H162" s="671">
        <f t="shared" ref="H162:N162" si="26">H$421</f>
        <v>2024</v>
      </c>
      <c r="I162" s="1081">
        <f t="shared" si="26"/>
        <v>2025</v>
      </c>
      <c r="J162" s="1489">
        <f t="shared" si="26"/>
        <v>2026</v>
      </c>
      <c r="K162" s="1490">
        <f t="shared" si="26"/>
        <v>2027</v>
      </c>
      <c r="L162" s="1490">
        <f t="shared" si="26"/>
        <v>2028</v>
      </c>
      <c r="M162" s="1490">
        <f t="shared" si="26"/>
        <v>2029</v>
      </c>
      <c r="N162" s="1490">
        <f t="shared" si="26"/>
        <v>2030</v>
      </c>
      <c r="O162" s="481"/>
      <c r="P162" s="485"/>
      <c r="Q162" s="1198"/>
      <c r="R162" s="1198"/>
      <c r="S162" s="1198"/>
      <c r="T162" s="1198"/>
      <c r="U162" s="1198"/>
      <c r="V162" s="1198"/>
      <c r="W162" s="1198"/>
      <c r="X162" s="1198"/>
      <c r="Y162" s="1249"/>
      <c r="Z162" s="1249"/>
      <c r="AA162" s="1249"/>
      <c r="AB162" s="1249"/>
      <c r="AC162" s="1198"/>
      <c r="AD162" s="1198"/>
      <c r="AE162" s="1198"/>
      <c r="AF162" s="1198"/>
      <c r="AG162" s="1198"/>
      <c r="AH162" s="1198"/>
      <c r="AI162" s="1198"/>
      <c r="AJ162" s="1198"/>
      <c r="AK162" s="1198"/>
      <c r="AL162" s="1198"/>
      <c r="AP162" s="1121"/>
    </row>
    <row r="163" spans="1:42" s="1119" customFormat="1" ht="13.15" customHeight="1">
      <c r="A163" s="1116"/>
      <c r="B163" s="1124"/>
      <c r="C163" s="485"/>
      <c r="D163" s="485"/>
      <c r="E163" s="948" t="s">
        <v>692</v>
      </c>
      <c r="F163" s="948"/>
      <c r="G163" s="730" t="str">
        <f>EUconst_tpa</f>
        <v>t / year</v>
      </c>
      <c r="H163" s="853" t="str">
        <f t="shared" ref="H163:N163" si="27">IF(ISNUMBER(H147),H147*(785*H156/100+1092*H157/100)/865.6,"")</f>
        <v/>
      </c>
      <c r="I163" s="1086" t="str">
        <f t="shared" si="27"/>
        <v/>
      </c>
      <c r="J163" s="2020" t="str">
        <f t="shared" si="27"/>
        <v/>
      </c>
      <c r="K163" s="2021" t="str">
        <f t="shared" si="27"/>
        <v/>
      </c>
      <c r="L163" s="2021" t="str">
        <f t="shared" si="27"/>
        <v/>
      </c>
      <c r="M163" s="2021" t="str">
        <f t="shared" si="27"/>
        <v/>
      </c>
      <c r="N163" s="2021" t="str">
        <f t="shared" si="27"/>
        <v/>
      </c>
      <c r="O163" s="481"/>
      <c r="P163" s="485"/>
      <c r="Q163" s="1443" t="str">
        <f>IF(L140=EUconst_Relevant,EUconst_CNTR_HALspecial &amp; INDEX(EUconst_BMlistNames,R140),"")</f>
        <v/>
      </c>
      <c r="R163" s="1198"/>
      <c r="S163" s="1198"/>
      <c r="T163" s="1198"/>
      <c r="U163" s="1198"/>
      <c r="V163" s="1198"/>
      <c r="W163" s="1198"/>
      <c r="X163" s="1198"/>
      <c r="Y163" s="1249"/>
      <c r="Z163" s="1249"/>
      <c r="AA163" s="1249"/>
      <c r="AB163" s="1249"/>
      <c r="AC163" s="1198"/>
      <c r="AD163" s="1198"/>
      <c r="AE163" s="1198"/>
      <c r="AF163" s="1198"/>
      <c r="AG163" s="1198"/>
      <c r="AH163" s="1198"/>
      <c r="AI163" s="1198"/>
      <c r="AJ163" s="1198"/>
      <c r="AK163" s="1198"/>
      <c r="AL163" s="1198"/>
      <c r="AP163" s="1121"/>
    </row>
    <row r="164" spans="1:42" s="1119" customFormat="1" ht="5.0999999999999996" customHeight="1">
      <c r="A164" s="1116"/>
      <c r="B164" s="467"/>
      <c r="C164" s="467"/>
      <c r="D164" s="467"/>
      <c r="E164" s="467"/>
      <c r="F164" s="467"/>
      <c r="G164" s="467"/>
      <c r="H164" s="467"/>
      <c r="I164" s="467"/>
      <c r="J164" s="467"/>
      <c r="K164" s="467"/>
      <c r="L164" s="467"/>
      <c r="M164" s="481"/>
      <c r="N164" s="481"/>
      <c r="O164" s="481"/>
      <c r="P164" s="485"/>
      <c r="Q164" s="1249"/>
      <c r="R164" s="1198"/>
      <c r="S164" s="1198"/>
      <c r="T164" s="1198"/>
      <c r="U164" s="1198"/>
      <c r="V164" s="1198"/>
      <c r="W164" s="1198"/>
      <c r="X164" s="1198"/>
      <c r="Y164" s="1249"/>
      <c r="Z164" s="1249"/>
      <c r="AA164" s="1249"/>
      <c r="AB164" s="1249"/>
      <c r="AC164" s="1198"/>
      <c r="AD164" s="1198"/>
      <c r="AE164" s="1198"/>
      <c r="AF164" s="1198"/>
      <c r="AG164" s="1198"/>
      <c r="AH164" s="1198"/>
      <c r="AI164" s="1198"/>
      <c r="AJ164" s="1198"/>
      <c r="AK164" s="1198"/>
      <c r="AL164" s="1198"/>
      <c r="AP164" s="1121"/>
    </row>
    <row r="165" spans="1:42" s="1119" customFormat="1">
      <c r="A165" s="1116"/>
      <c r="B165" s="467"/>
      <c r="C165" s="467"/>
      <c r="D165" s="467"/>
      <c r="E165" s="2782" t="str">
        <f>IF(L140=EUconst_Relevant,HYPERLINK(R165,EUconst_MsgBackToSheetF),"")</f>
        <v/>
      </c>
      <c r="F165" s="2783"/>
      <c r="G165" s="2783"/>
      <c r="H165" s="2783"/>
      <c r="I165" s="2783"/>
      <c r="J165" s="2783"/>
      <c r="K165" s="2783"/>
      <c r="L165" s="2783"/>
      <c r="M165" s="2783"/>
      <c r="N165" s="2784"/>
      <c r="O165" s="481"/>
      <c r="P165" s="485"/>
      <c r="Q165" s="1893" t="s">
        <v>116</v>
      </c>
      <c r="R165" s="1443" t="str">
        <f>R142</f>
        <v/>
      </c>
      <c r="S165" s="1198"/>
      <c r="T165" s="1198"/>
      <c r="U165" s="1198"/>
      <c r="V165" s="1198"/>
      <c r="W165" s="1198"/>
      <c r="X165" s="1198"/>
      <c r="Y165" s="1249"/>
      <c r="Z165" s="1249"/>
      <c r="AA165" s="1249"/>
      <c r="AB165" s="1249"/>
      <c r="AC165" s="1198"/>
      <c r="AD165" s="1198"/>
      <c r="AE165" s="1198"/>
      <c r="AF165" s="1198"/>
      <c r="AG165" s="1198"/>
      <c r="AH165" s="1198"/>
      <c r="AI165" s="1198"/>
      <c r="AJ165" s="1198"/>
      <c r="AK165" s="1198"/>
      <c r="AL165" s="1198"/>
      <c r="AP165" s="1121"/>
    </row>
    <row r="166" spans="1:42" s="1119" customFormat="1">
      <c r="A166" s="1116"/>
      <c r="B166" s="1124"/>
      <c r="C166" s="485"/>
      <c r="D166" s="485"/>
      <c r="E166" s="485"/>
      <c r="F166" s="485"/>
      <c r="G166" s="485"/>
      <c r="H166" s="485"/>
      <c r="I166" s="485"/>
      <c r="J166" s="485"/>
      <c r="K166" s="485"/>
      <c r="L166" s="485"/>
      <c r="M166" s="485"/>
      <c r="N166" s="485"/>
      <c r="O166" s="481"/>
      <c r="P166" s="485"/>
      <c r="Q166" s="1198"/>
      <c r="R166" s="1198"/>
      <c r="S166" s="1198"/>
      <c r="T166" s="1198"/>
      <c r="U166" s="1198"/>
      <c r="V166" s="1198"/>
      <c r="W166" s="1198"/>
      <c r="X166" s="1198"/>
      <c r="Y166" s="1249"/>
      <c r="Z166" s="1249"/>
      <c r="AA166" s="1249"/>
      <c r="AB166" s="1249"/>
      <c r="AC166" s="1198"/>
      <c r="AD166" s="1198"/>
      <c r="AE166" s="1198"/>
      <c r="AF166" s="1198"/>
      <c r="AG166" s="1198"/>
      <c r="AH166" s="1198"/>
      <c r="AI166" s="1198"/>
      <c r="AJ166" s="1198"/>
      <c r="AK166" s="1198"/>
      <c r="AL166" s="1198"/>
      <c r="AP166" s="1121"/>
    </row>
    <row r="167" spans="1:42" s="1119" customFormat="1" ht="15.6" customHeight="1">
      <c r="A167" s="1116"/>
      <c r="B167" s="467"/>
      <c r="C167" s="507" t="s">
        <v>10</v>
      </c>
      <c r="D167" s="2408" t="s">
        <v>811</v>
      </c>
      <c r="E167" s="2408"/>
      <c r="F167" s="2408"/>
      <c r="G167" s="2408"/>
      <c r="H167" s="2408"/>
      <c r="I167" s="2408"/>
      <c r="J167" s="2408"/>
      <c r="K167" s="2408"/>
      <c r="L167" s="2408"/>
      <c r="M167" s="2408"/>
      <c r="N167" s="2408"/>
      <c r="O167" s="481"/>
      <c r="P167" s="485"/>
      <c r="Q167" s="1249"/>
      <c r="R167" s="1198"/>
      <c r="S167" s="1198"/>
      <c r="T167" s="1198"/>
      <c r="U167" s="1198"/>
      <c r="V167" s="1198"/>
      <c r="W167" s="1198"/>
      <c r="X167" s="1198"/>
      <c r="Y167" s="1249"/>
      <c r="Z167" s="1249"/>
      <c r="AA167" s="1249"/>
      <c r="AB167" s="1249"/>
      <c r="AC167" s="1198"/>
      <c r="AD167" s="1198"/>
      <c r="AE167" s="1198"/>
      <c r="AF167" s="1198"/>
      <c r="AG167" s="1198"/>
      <c r="AH167" s="1198"/>
      <c r="AI167" s="1198"/>
      <c r="AJ167" s="1198"/>
      <c r="AK167" s="1198"/>
      <c r="AL167" s="1198"/>
      <c r="AP167" s="1121"/>
    </row>
    <row r="168" spans="1:42" s="1119" customFormat="1" ht="5.0999999999999996" customHeight="1">
      <c r="A168" s="1116"/>
      <c r="B168" s="467"/>
      <c r="C168" s="467"/>
      <c r="D168" s="467"/>
      <c r="E168" s="467"/>
      <c r="F168" s="467"/>
      <c r="G168" s="467"/>
      <c r="H168" s="467"/>
      <c r="I168" s="467"/>
      <c r="J168" s="467"/>
      <c r="K168" s="467"/>
      <c r="L168" s="467"/>
      <c r="M168" s="481"/>
      <c r="N168" s="481"/>
      <c r="O168" s="481"/>
      <c r="P168" s="485"/>
      <c r="Q168" s="1249"/>
      <c r="R168" s="1198"/>
      <c r="S168" s="1198"/>
      <c r="T168" s="1198"/>
      <c r="U168" s="1198"/>
      <c r="V168" s="1198"/>
      <c r="W168" s="1198"/>
      <c r="X168" s="1198"/>
      <c r="Y168" s="1249"/>
      <c r="Z168" s="1249"/>
      <c r="AA168" s="1249"/>
      <c r="AB168" s="1249"/>
      <c r="AC168" s="1198"/>
      <c r="AD168" s="1198"/>
      <c r="AE168" s="1198"/>
      <c r="AF168" s="1198"/>
      <c r="AG168" s="1198"/>
      <c r="AH168" s="1198"/>
      <c r="AI168" s="1198"/>
      <c r="AJ168" s="1198"/>
      <c r="AK168" s="1198"/>
      <c r="AL168" s="1198"/>
      <c r="AP168" s="1121"/>
    </row>
    <row r="169" spans="1:42" s="1119" customFormat="1" ht="13.9" customHeight="1">
      <c r="A169" s="1116"/>
      <c r="B169" s="467"/>
      <c r="C169" s="559">
        <v>1</v>
      </c>
      <c r="D169" s="2482" t="s">
        <v>94</v>
      </c>
      <c r="E169" s="2400"/>
      <c r="F169" s="2400"/>
      <c r="G169" s="2400"/>
      <c r="H169" s="2400"/>
      <c r="I169" s="2400"/>
      <c r="J169" s="2400"/>
      <c r="K169" s="2400"/>
      <c r="L169" s="2400"/>
      <c r="M169" s="2400"/>
      <c r="N169" s="2400"/>
      <c r="O169" s="481"/>
      <c r="P169" s="485"/>
      <c r="Q169" s="1249"/>
      <c r="R169" s="1198"/>
      <c r="S169" s="1198"/>
      <c r="T169" s="1198"/>
      <c r="U169" s="1198"/>
      <c r="V169" s="1198"/>
      <c r="W169" s="1198"/>
      <c r="X169" s="1198"/>
      <c r="Y169" s="1249"/>
      <c r="Z169" s="1249"/>
      <c r="AA169" s="1249"/>
      <c r="AB169" s="1249"/>
      <c r="AC169" s="1198"/>
      <c r="AD169" s="1198"/>
      <c r="AE169" s="1198"/>
      <c r="AF169" s="1198"/>
      <c r="AG169" s="1198"/>
      <c r="AH169" s="1198"/>
      <c r="AI169" s="1198"/>
      <c r="AJ169" s="1198"/>
      <c r="AK169" s="1198"/>
      <c r="AL169" s="1198"/>
      <c r="AP169" s="1121"/>
    </row>
    <row r="170" spans="1:42" s="1119" customFormat="1" ht="5.0999999999999996" customHeight="1">
      <c r="A170" s="1116"/>
      <c r="B170" s="467"/>
      <c r="C170" s="467"/>
      <c r="D170" s="467"/>
      <c r="E170" s="467"/>
      <c r="F170" s="467"/>
      <c r="G170" s="467"/>
      <c r="H170" s="467"/>
      <c r="I170" s="467"/>
      <c r="J170" s="467"/>
      <c r="K170" s="467"/>
      <c r="L170" s="467"/>
      <c r="M170" s="481"/>
      <c r="N170" s="481"/>
      <c r="O170" s="481"/>
      <c r="P170" s="485"/>
      <c r="Q170" s="1249"/>
      <c r="R170" s="1198"/>
      <c r="S170" s="1198"/>
      <c r="T170" s="1198"/>
      <c r="U170" s="1198"/>
      <c r="V170" s="1198"/>
      <c r="W170" s="1198"/>
      <c r="X170" s="1198"/>
      <c r="Y170" s="1249"/>
      <c r="Z170" s="1249"/>
      <c r="AA170" s="1249"/>
      <c r="AB170" s="1249"/>
      <c r="AC170" s="1198"/>
      <c r="AD170" s="1198"/>
      <c r="AE170" s="1198"/>
      <c r="AF170" s="1198"/>
      <c r="AG170" s="1198"/>
      <c r="AH170" s="1198"/>
      <c r="AI170" s="1198"/>
      <c r="AJ170" s="1198"/>
      <c r="AK170" s="1198"/>
      <c r="AL170" s="1198"/>
      <c r="AP170" s="1121"/>
    </row>
    <row r="171" spans="1:42" s="1119" customFormat="1" ht="13.15" customHeight="1">
      <c r="A171" s="1116"/>
      <c r="B171" s="467"/>
      <c r="C171" s="467"/>
      <c r="D171" s="485"/>
      <c r="E171" s="2385" t="s">
        <v>2157</v>
      </c>
      <c r="F171" s="2846"/>
      <c r="G171" s="2846"/>
      <c r="H171" s="2846"/>
      <c r="I171" s="2846"/>
      <c r="J171" s="2846"/>
      <c r="K171" s="2846"/>
      <c r="L171" s="2846"/>
      <c r="M171" s="2846"/>
      <c r="N171" s="2846"/>
      <c r="O171" s="481"/>
      <c r="P171" s="485"/>
      <c r="Q171" s="1249"/>
      <c r="R171" s="1198"/>
      <c r="S171" s="1198"/>
      <c r="T171" s="1198"/>
      <c r="U171" s="1198"/>
      <c r="V171" s="1198"/>
      <c r="W171" s="1198"/>
      <c r="X171" s="1198"/>
      <c r="Y171" s="1249"/>
      <c r="Z171" s="1249"/>
      <c r="AA171" s="1249"/>
      <c r="AB171" s="1249"/>
      <c r="AC171" s="1198"/>
      <c r="AD171" s="1198"/>
      <c r="AE171" s="1198"/>
      <c r="AF171" s="1198"/>
      <c r="AG171" s="1198"/>
      <c r="AH171" s="1198"/>
      <c r="AI171" s="1198"/>
      <c r="AJ171" s="1198"/>
      <c r="AK171" s="1198"/>
      <c r="AL171" s="1198"/>
      <c r="AP171" s="1121"/>
    </row>
    <row r="172" spans="1:42" s="1119" customFormat="1" ht="13.15" customHeight="1">
      <c r="A172" s="1116"/>
      <c r="B172" s="467"/>
      <c r="C172" s="467"/>
      <c r="D172" s="485"/>
      <c r="E172" s="2385" t="s">
        <v>126</v>
      </c>
      <c r="F172" s="2846"/>
      <c r="G172" s="2846"/>
      <c r="H172" s="2846"/>
      <c r="I172" s="2846"/>
      <c r="J172" s="2846"/>
      <c r="K172" s="2846"/>
      <c r="L172" s="2846"/>
      <c r="M172" s="2846"/>
      <c r="N172" s="2846"/>
      <c r="O172" s="481"/>
      <c r="P172" s="485"/>
      <c r="Q172" s="1249"/>
      <c r="R172" s="1198"/>
      <c r="S172" s="1198"/>
      <c r="T172" s="1198"/>
      <c r="U172" s="1198"/>
      <c r="V172" s="1198"/>
      <c r="W172" s="1198"/>
      <c r="X172" s="1198"/>
      <c r="Y172" s="1249"/>
      <c r="Z172" s="1249"/>
      <c r="AA172" s="1249"/>
      <c r="AB172" s="1249"/>
      <c r="AC172" s="1198"/>
      <c r="AD172" s="1198"/>
      <c r="AE172" s="1198"/>
      <c r="AF172" s="1198"/>
      <c r="AG172" s="1198"/>
      <c r="AH172" s="1198"/>
      <c r="AI172" s="1198"/>
      <c r="AJ172" s="1198"/>
      <c r="AK172" s="1198"/>
      <c r="AL172" s="1198"/>
      <c r="AP172" s="1121"/>
    </row>
    <row r="173" spans="1:42" s="1119" customFormat="1" ht="5.0999999999999996" customHeight="1">
      <c r="A173" s="1116"/>
      <c r="B173" s="467"/>
      <c r="C173" s="467"/>
      <c r="D173" s="467"/>
      <c r="E173" s="467"/>
      <c r="F173" s="467"/>
      <c r="G173" s="467"/>
      <c r="H173" s="467"/>
      <c r="I173" s="467"/>
      <c r="J173" s="467"/>
      <c r="K173" s="467"/>
      <c r="L173" s="467"/>
      <c r="M173" s="481"/>
      <c r="N173" s="481"/>
      <c r="O173" s="481"/>
      <c r="P173" s="485"/>
      <c r="Q173" s="1249"/>
      <c r="R173" s="1198"/>
      <c r="S173" s="1198"/>
      <c r="T173" s="1198"/>
      <c r="U173" s="1198"/>
      <c r="V173" s="1198"/>
      <c r="W173" s="1198"/>
      <c r="X173" s="1198"/>
      <c r="Y173" s="1249"/>
      <c r="Z173" s="1249"/>
      <c r="AA173" s="1249"/>
      <c r="AB173" s="1249"/>
      <c r="AC173" s="1198"/>
      <c r="AD173" s="1198"/>
      <c r="AE173" s="1198"/>
      <c r="AF173" s="1198"/>
      <c r="AG173" s="1198"/>
      <c r="AH173" s="1198"/>
      <c r="AI173" s="1198"/>
      <c r="AJ173" s="1198"/>
      <c r="AK173" s="1198"/>
      <c r="AL173" s="1198"/>
      <c r="AP173" s="1121"/>
    </row>
    <row r="174" spans="1:42" s="1119" customFormat="1" ht="15">
      <c r="A174" s="1116"/>
      <c r="B174" s="467"/>
      <c r="C174" s="467"/>
      <c r="D174" s="482" t="s">
        <v>400</v>
      </c>
      <c r="E174" s="2373" t="s">
        <v>96</v>
      </c>
      <c r="F174" s="2373"/>
      <c r="G174" s="2373"/>
      <c r="H174" s="2373"/>
      <c r="I174" s="2373"/>
      <c r="J174" s="2373"/>
      <c r="K174" s="2604"/>
      <c r="L174" s="3419" t="str">
        <f>IF(CNTR_ExistSubInstEntries,IF(COUNTIF(CNTR_SubInstListNames,INDEX(EUconst_BMlistNames,R174))&gt;0,EUconst_Relevant,EUconst_NotRelevant),"")</f>
        <v/>
      </c>
      <c r="M174" s="3420"/>
      <c r="N174" s="3421"/>
      <c r="O174" s="481"/>
      <c r="P174" s="485"/>
      <c r="Q174" s="1893" t="s">
        <v>117</v>
      </c>
      <c r="R174" s="2002">
        <v>42</v>
      </c>
      <c r="S174" s="1633" t="s">
        <v>558</v>
      </c>
      <c r="T174" s="1634">
        <f>SUMIF(CNTR_SubInstListBMnumbers,$R174,CNTR_SubInstStartDate)</f>
        <v>0</v>
      </c>
      <c r="U174" s="1435" t="s">
        <v>1673</v>
      </c>
      <c r="V174" s="1635">
        <f>IF(SUM(T174)=0,2005,YEAR($X174))</f>
        <v>2005</v>
      </c>
      <c r="W174" s="1633" t="s">
        <v>1676</v>
      </c>
      <c r="X174" s="1634">
        <f>SUMIF(CNTR_SubInstListBMnumbers,$R174,CNTR_SubInstCessationDate)</f>
        <v>0</v>
      </c>
      <c r="Y174" s="1633" t="s">
        <v>1677</v>
      </c>
      <c r="Z174" s="1635">
        <f>IF(SUM(X174)=0,2050,YEAR($X174))</f>
        <v>2050</v>
      </c>
      <c r="AA174" s="1633" t="s">
        <v>1925</v>
      </c>
      <c r="AB174" s="1635" t="b">
        <f>CNTR_ReportingYear&gt;V174</f>
        <v>1</v>
      </c>
      <c r="AC174" s="1198"/>
      <c r="AD174" s="1198"/>
      <c r="AE174" s="1198"/>
      <c r="AF174" s="1198"/>
      <c r="AG174" s="1198"/>
      <c r="AH174" s="1198"/>
      <c r="AI174" s="1198"/>
      <c r="AJ174" s="1198"/>
      <c r="AK174" s="1198"/>
      <c r="AL174" s="1198"/>
      <c r="AP174" s="1121"/>
    </row>
    <row r="175" spans="1:42" s="1119" customFormat="1" ht="13.15" customHeight="1">
      <c r="A175" s="1116"/>
      <c r="B175" s="467"/>
      <c r="C175" s="467"/>
      <c r="D175" s="485"/>
      <c r="E175" s="3203" t="s">
        <v>300</v>
      </c>
      <c r="F175" s="3204"/>
      <c r="G175" s="3204"/>
      <c r="H175" s="3204"/>
      <c r="I175" s="3204"/>
      <c r="J175" s="3204"/>
      <c r="K175" s="3204"/>
      <c r="L175" s="3204"/>
      <c r="M175" s="3204"/>
      <c r="N175" s="3204"/>
      <c r="O175" s="481"/>
      <c r="P175" s="485"/>
      <c r="Q175" s="1249"/>
      <c r="R175" s="1198"/>
      <c r="S175" s="1198"/>
      <c r="T175" s="1198"/>
      <c r="U175" s="1198"/>
      <c r="V175" s="1198"/>
      <c r="W175" s="1198"/>
      <c r="X175" s="1198"/>
      <c r="Y175" s="1249"/>
      <c r="Z175" s="1249"/>
      <c r="AA175" s="1249"/>
      <c r="AB175" s="1249"/>
      <c r="AC175" s="1198"/>
      <c r="AD175" s="1198"/>
      <c r="AE175" s="1198"/>
      <c r="AF175" s="1198"/>
      <c r="AG175" s="1198"/>
      <c r="AH175" s="1198"/>
      <c r="AI175" s="1198"/>
      <c r="AJ175" s="1198"/>
      <c r="AK175" s="1198"/>
      <c r="AL175" s="1198"/>
      <c r="AP175" s="1121"/>
    </row>
    <row r="176" spans="1:42" s="1119" customFormat="1">
      <c r="A176" s="1116"/>
      <c r="B176" s="467"/>
      <c r="C176" s="467"/>
      <c r="D176" s="467"/>
      <c r="E176" s="2782" t="str">
        <f>IF(L174=EUconst_Relevant,HYPERLINK(R176,EUconst_MsgBackToSheetF),"")</f>
        <v/>
      </c>
      <c r="F176" s="2783"/>
      <c r="G176" s="2783"/>
      <c r="H176" s="2783"/>
      <c r="I176" s="2783"/>
      <c r="J176" s="2783"/>
      <c r="K176" s="2783"/>
      <c r="L176" s="2783"/>
      <c r="M176" s="2783"/>
      <c r="N176" s="2784"/>
      <c r="O176" s="481"/>
      <c r="P176" s="485"/>
      <c r="Q176" s="1893" t="s">
        <v>116</v>
      </c>
      <c r="R176" s="1443" t="str">
        <f>IF(ISNUMBER(MATCH(R174,CNTR_SubInstListBMnumbers,0)),"#JUMP_F"&amp;MATCH(R174,CNTR_SubInstListBMnumbers,0),"")</f>
        <v/>
      </c>
      <c r="S176" s="1198"/>
      <c r="T176" s="1198"/>
      <c r="U176" s="1198"/>
      <c r="V176" s="1198"/>
      <c r="W176" s="1198"/>
      <c r="X176" s="1198"/>
      <c r="Y176" s="1249"/>
      <c r="Z176" s="1249"/>
      <c r="AA176" s="1249"/>
      <c r="AB176" s="1249"/>
      <c r="AC176" s="1198"/>
      <c r="AD176" s="1198"/>
      <c r="AE176" s="1198"/>
      <c r="AF176" s="1198"/>
      <c r="AG176" s="1198"/>
      <c r="AH176" s="1198"/>
      <c r="AI176" s="1198"/>
      <c r="AJ176" s="1198"/>
      <c r="AK176" s="1198"/>
      <c r="AL176" s="1198"/>
      <c r="AP176" s="1121"/>
    </row>
    <row r="177" spans="1:42" s="1119" customFormat="1" ht="5.0999999999999996" customHeight="1">
      <c r="A177" s="1116"/>
      <c r="B177" s="467"/>
      <c r="C177" s="467"/>
      <c r="D177" s="467"/>
      <c r="E177" s="467"/>
      <c r="F177" s="467"/>
      <c r="G177" s="467"/>
      <c r="H177" s="467"/>
      <c r="I177" s="467"/>
      <c r="J177" s="467"/>
      <c r="K177" s="467"/>
      <c r="L177" s="467"/>
      <c r="M177" s="481"/>
      <c r="N177" s="481"/>
      <c r="O177" s="481"/>
      <c r="P177" s="485"/>
      <c r="Q177" s="1249"/>
      <c r="R177" s="1198"/>
      <c r="S177" s="1198"/>
      <c r="T177" s="1198"/>
      <c r="U177" s="1198"/>
      <c r="V177" s="1198"/>
      <c r="W177" s="1198"/>
      <c r="X177" s="1198"/>
      <c r="Y177" s="1249"/>
      <c r="Z177" s="1249"/>
      <c r="AA177" s="1249"/>
      <c r="AB177" s="1249"/>
      <c r="AC177" s="1249"/>
      <c r="AD177" s="1249"/>
      <c r="AE177" s="1249"/>
      <c r="AF177" s="1249"/>
      <c r="AG177" s="1249"/>
      <c r="AH177" s="1249"/>
      <c r="AI177" s="1249"/>
      <c r="AJ177" s="1198"/>
      <c r="AK177" s="1198"/>
      <c r="AL177" s="1198"/>
      <c r="AP177" s="1121"/>
    </row>
    <row r="178" spans="1:42" s="1119" customFormat="1" ht="13.15" customHeight="1">
      <c r="A178" s="1116"/>
      <c r="B178" s="467"/>
      <c r="C178" s="467"/>
      <c r="D178" s="482" t="s">
        <v>876</v>
      </c>
      <c r="E178" s="2373" t="s">
        <v>693</v>
      </c>
      <c r="F178" s="2400"/>
      <c r="G178" s="2400"/>
      <c r="H178" s="2400"/>
      <c r="I178" s="2400"/>
      <c r="J178" s="2400"/>
      <c r="K178" s="2400"/>
      <c r="L178" s="2400"/>
      <c r="M178" s="2400"/>
      <c r="N178" s="2400"/>
      <c r="O178" s="481"/>
      <c r="P178" s="485"/>
      <c r="Q178" s="1249"/>
      <c r="R178" s="1198"/>
      <c r="S178" s="1198"/>
      <c r="T178" s="1198"/>
      <c r="U178" s="1198"/>
      <c r="V178" s="1198"/>
      <c r="W178" s="1198"/>
      <c r="X178" s="1198"/>
      <c r="Y178" s="1249"/>
      <c r="Z178" s="1249"/>
      <c r="AA178" s="1249"/>
      <c r="AB178" s="1249"/>
      <c r="AC178" s="1249"/>
      <c r="AD178" s="1249"/>
      <c r="AE178" s="1249"/>
      <c r="AF178" s="1249"/>
      <c r="AG178" s="1249"/>
      <c r="AH178" s="1249"/>
      <c r="AI178" s="1249"/>
      <c r="AJ178" s="1198"/>
      <c r="AK178" s="1198"/>
      <c r="AL178" s="1198"/>
      <c r="AP178" s="1121"/>
    </row>
    <row r="179" spans="1:42" s="1119" customFormat="1" ht="13.15" customHeight="1">
      <c r="A179" s="1116"/>
      <c r="B179" s="467"/>
      <c r="C179" s="467"/>
      <c r="D179" s="485"/>
      <c r="E179" s="2385" t="s">
        <v>694</v>
      </c>
      <c r="F179" s="2846"/>
      <c r="G179" s="2846"/>
      <c r="H179" s="2846"/>
      <c r="I179" s="2846"/>
      <c r="J179" s="2846"/>
      <c r="K179" s="2846"/>
      <c r="L179" s="2846"/>
      <c r="M179" s="2846"/>
      <c r="N179" s="2846"/>
      <c r="O179" s="481"/>
      <c r="P179" s="485"/>
      <c r="Q179" s="1249"/>
      <c r="R179" s="1198"/>
      <c r="S179" s="1198"/>
      <c r="T179" s="1198"/>
      <c r="U179" s="1198"/>
      <c r="V179" s="1198"/>
      <c r="W179" s="1198"/>
      <c r="X179" s="1198"/>
      <c r="Y179" s="1249"/>
      <c r="Z179" s="1249"/>
      <c r="AA179" s="1249"/>
      <c r="AB179" s="1249"/>
      <c r="AC179" s="1249"/>
      <c r="AD179" s="1249"/>
      <c r="AE179" s="1249"/>
      <c r="AF179" s="1249"/>
      <c r="AG179" s="1249"/>
      <c r="AH179" s="1249"/>
      <c r="AI179" s="1249"/>
      <c r="AJ179" s="1198"/>
      <c r="AK179" s="1198"/>
      <c r="AL179" s="1198"/>
      <c r="AP179" s="1121"/>
    </row>
    <row r="180" spans="1:42" s="1119" customFormat="1" ht="13.5" thickBot="1">
      <c r="A180" s="1116"/>
      <c r="B180" s="1124"/>
      <c r="C180" s="485"/>
      <c r="D180" s="482"/>
      <c r="E180" s="636"/>
      <c r="F180" s="637"/>
      <c r="G180" s="663" t="str">
        <f>EUconst_Unit</f>
        <v>Unit</v>
      </c>
      <c r="H180" s="671">
        <f t="shared" ref="H180:N180" si="28">H$421</f>
        <v>2024</v>
      </c>
      <c r="I180" s="1081">
        <f t="shared" si="28"/>
        <v>2025</v>
      </c>
      <c r="J180" s="1489">
        <f t="shared" si="28"/>
        <v>2026</v>
      </c>
      <c r="K180" s="1490">
        <f t="shared" si="28"/>
        <v>2027</v>
      </c>
      <c r="L180" s="1490">
        <f t="shared" si="28"/>
        <v>2028</v>
      </c>
      <c r="M180" s="1490">
        <f t="shared" si="28"/>
        <v>2029</v>
      </c>
      <c r="N180" s="1490">
        <f t="shared" si="28"/>
        <v>2030</v>
      </c>
      <c r="O180" s="481"/>
      <c r="P180" s="485"/>
      <c r="Q180" s="1198"/>
      <c r="R180" s="1198"/>
      <c r="S180" s="1198"/>
      <c r="T180" s="1198"/>
      <c r="U180" s="1198"/>
      <c r="V180" s="1198"/>
      <c r="W180" s="1198"/>
      <c r="X180" s="1198"/>
      <c r="Y180" s="1249"/>
      <c r="Z180" s="1249"/>
      <c r="AA180" s="1249"/>
      <c r="AB180" s="1198"/>
      <c r="AC180" s="2003">
        <f t="shared" ref="AC180:AI180" si="29">H180</f>
        <v>2024</v>
      </c>
      <c r="AD180" s="2003">
        <f t="shared" si="29"/>
        <v>2025</v>
      </c>
      <c r="AE180" s="2003">
        <f t="shared" si="29"/>
        <v>2026</v>
      </c>
      <c r="AF180" s="2003">
        <f t="shared" si="29"/>
        <v>2027</v>
      </c>
      <c r="AG180" s="2003">
        <f t="shared" si="29"/>
        <v>2028</v>
      </c>
      <c r="AH180" s="2003">
        <f t="shared" si="29"/>
        <v>2029</v>
      </c>
      <c r="AI180" s="2003">
        <f t="shared" si="29"/>
        <v>2030</v>
      </c>
      <c r="AJ180" s="1198"/>
      <c r="AK180" s="1198"/>
      <c r="AL180" s="1198"/>
      <c r="AP180" s="1121"/>
    </row>
    <row r="181" spans="1:42" s="1119" customFormat="1">
      <c r="A181" s="1116"/>
      <c r="B181" s="1124"/>
      <c r="C181" s="485"/>
      <c r="D181" s="485"/>
      <c r="E181" s="948" t="s">
        <v>695</v>
      </c>
      <c r="F181" s="948"/>
      <c r="G181" s="730" t="str">
        <f>EUconst_tpa</f>
        <v>t / year</v>
      </c>
      <c r="H181" s="2016" t="str">
        <f>c_ALR2025!M6848</f>
        <v/>
      </c>
      <c r="I181" s="2046"/>
      <c r="J181" s="2020"/>
      <c r="K181" s="2021"/>
      <c r="L181" s="2021"/>
      <c r="M181" s="2021"/>
      <c r="N181" s="2021"/>
      <c r="O181" s="481"/>
      <c r="P181" s="485"/>
      <c r="Q181" s="1198"/>
      <c r="R181" s="1198"/>
      <c r="S181" s="1198"/>
      <c r="T181" s="1198"/>
      <c r="U181" s="1198"/>
      <c r="V181" s="1198"/>
      <c r="W181" s="1198"/>
      <c r="X181" s="1198"/>
      <c r="Y181" s="1249"/>
      <c r="Z181" s="1249"/>
      <c r="AA181" s="1249"/>
      <c r="AB181" s="1641" t="s">
        <v>717</v>
      </c>
      <c r="AC181" s="2041" t="b">
        <f t="shared" ref="AC181:AI181" si="30">IF(CNTR_ExistSubInstEntries,IF($L174=EUconst_Relevant,AC180&gt;=CNTR_ReportingYear,TRUE),FALSE)</f>
        <v>0</v>
      </c>
      <c r="AD181" s="1731" t="b">
        <f t="shared" si="30"/>
        <v>0</v>
      </c>
      <c r="AE181" s="1731" t="b">
        <f t="shared" si="30"/>
        <v>0</v>
      </c>
      <c r="AF181" s="1731" t="b">
        <f t="shared" si="30"/>
        <v>0</v>
      </c>
      <c r="AG181" s="1731" t="b">
        <f t="shared" si="30"/>
        <v>0</v>
      </c>
      <c r="AH181" s="1731" t="b">
        <f t="shared" si="30"/>
        <v>0</v>
      </c>
      <c r="AI181" s="2008" t="b">
        <f t="shared" si="30"/>
        <v>0</v>
      </c>
      <c r="AJ181" s="1198"/>
      <c r="AK181" s="1198"/>
      <c r="AL181" s="1198"/>
      <c r="AP181" s="1121"/>
    </row>
    <row r="182" spans="1:42" s="1119" customFormat="1" ht="5.0999999999999996" customHeight="1">
      <c r="A182" s="1116"/>
      <c r="B182" s="467"/>
      <c r="C182" s="467"/>
      <c r="D182" s="467"/>
      <c r="E182" s="467"/>
      <c r="F182" s="467"/>
      <c r="G182" s="467"/>
      <c r="H182" s="467"/>
      <c r="I182" s="467"/>
      <c r="J182" s="467"/>
      <c r="K182" s="467"/>
      <c r="L182" s="467"/>
      <c r="M182" s="481"/>
      <c r="N182" s="481"/>
      <c r="O182" s="481"/>
      <c r="P182" s="485"/>
      <c r="Q182" s="1249"/>
      <c r="R182" s="1198"/>
      <c r="S182" s="1198"/>
      <c r="T182" s="1198"/>
      <c r="U182" s="1198"/>
      <c r="V182" s="1198"/>
      <c r="W182" s="1198"/>
      <c r="X182" s="1198"/>
      <c r="Y182" s="1249"/>
      <c r="Z182" s="1249"/>
      <c r="AA182" s="1249"/>
      <c r="AB182" s="1249"/>
      <c r="AC182" s="2022"/>
      <c r="AD182" s="1249"/>
      <c r="AE182" s="1249"/>
      <c r="AF182" s="1249"/>
      <c r="AG182" s="1249"/>
      <c r="AH182" s="1249"/>
      <c r="AI182" s="2023"/>
      <c r="AJ182" s="1198"/>
      <c r="AK182" s="1198"/>
      <c r="AL182" s="1198"/>
      <c r="AP182" s="1121"/>
    </row>
    <row r="183" spans="1:42" s="1119" customFormat="1">
      <c r="A183" s="1116"/>
      <c r="B183" s="467"/>
      <c r="C183" s="467"/>
      <c r="D183" s="482" t="s">
        <v>48</v>
      </c>
      <c r="E183" s="2373" t="s">
        <v>696</v>
      </c>
      <c r="F183" s="2400"/>
      <c r="G183" s="2400"/>
      <c r="H183" s="2400"/>
      <c r="I183" s="2400"/>
      <c r="J183" s="2400"/>
      <c r="K183" s="2400"/>
      <c r="L183" s="2400"/>
      <c r="M183" s="2400"/>
      <c r="N183" s="2400"/>
      <c r="O183" s="481"/>
      <c r="P183" s="485"/>
      <c r="Q183" s="1249"/>
      <c r="R183" s="1198"/>
      <c r="S183" s="1198"/>
      <c r="T183" s="1198"/>
      <c r="U183" s="1198"/>
      <c r="V183" s="1198"/>
      <c r="W183" s="1198"/>
      <c r="X183" s="1198"/>
      <c r="Y183" s="1249"/>
      <c r="Z183" s="1249"/>
      <c r="AA183" s="1249"/>
      <c r="AB183" s="1249"/>
      <c r="AC183" s="2022"/>
      <c r="AD183" s="1249"/>
      <c r="AE183" s="1249"/>
      <c r="AF183" s="1249"/>
      <c r="AG183" s="1249"/>
      <c r="AH183" s="1249"/>
      <c r="AI183" s="2023"/>
      <c r="AJ183" s="1198"/>
      <c r="AK183" s="1198"/>
      <c r="AL183" s="1198"/>
      <c r="AP183" s="1121"/>
    </row>
    <row r="184" spans="1:42" s="1119" customFormat="1" ht="13.15" customHeight="1">
      <c r="A184" s="1116"/>
      <c r="B184" s="467"/>
      <c r="C184" s="467"/>
      <c r="D184" s="485"/>
      <c r="E184" s="2385" t="s">
        <v>2158</v>
      </c>
      <c r="F184" s="2846"/>
      <c r="G184" s="2846"/>
      <c r="H184" s="2846"/>
      <c r="I184" s="2846"/>
      <c r="J184" s="2846"/>
      <c r="K184" s="2846"/>
      <c r="L184" s="2846"/>
      <c r="M184" s="2846"/>
      <c r="N184" s="2846"/>
      <c r="O184" s="481"/>
      <c r="P184" s="485"/>
      <c r="Q184" s="1249"/>
      <c r="R184" s="1198"/>
      <c r="S184" s="1198"/>
      <c r="T184" s="1198"/>
      <c r="U184" s="1198"/>
      <c r="V184" s="1198"/>
      <c r="W184" s="1198"/>
      <c r="X184" s="1198"/>
      <c r="Y184" s="1249"/>
      <c r="Z184" s="1249"/>
      <c r="AA184" s="1249"/>
      <c r="AB184" s="1249"/>
      <c r="AC184" s="2022"/>
      <c r="AD184" s="1249"/>
      <c r="AE184" s="1249"/>
      <c r="AF184" s="1249"/>
      <c r="AG184" s="1249"/>
      <c r="AH184" s="1249"/>
      <c r="AI184" s="2023"/>
      <c r="AJ184" s="1198"/>
      <c r="AK184" s="1198"/>
      <c r="AL184" s="1198"/>
      <c r="AP184" s="1121"/>
    </row>
    <row r="185" spans="1:42" s="1119" customFormat="1" ht="13.15" customHeight="1">
      <c r="A185" s="1116"/>
      <c r="B185" s="467"/>
      <c r="C185" s="467"/>
      <c r="D185" s="485"/>
      <c r="E185" s="1088" t="s">
        <v>1021</v>
      </c>
      <c r="F185" s="2385" t="s">
        <v>1906</v>
      </c>
      <c r="G185" s="2846"/>
      <c r="H185" s="2846"/>
      <c r="I185" s="2846"/>
      <c r="J185" s="2846"/>
      <c r="K185" s="2846"/>
      <c r="L185" s="2846"/>
      <c r="M185" s="2846"/>
      <c r="N185" s="2846"/>
      <c r="O185" s="481"/>
      <c r="P185" s="485"/>
      <c r="Q185" s="1249"/>
      <c r="R185" s="1198"/>
      <c r="S185" s="1198"/>
      <c r="T185" s="1198"/>
      <c r="U185" s="1198"/>
      <c r="V185" s="1198"/>
      <c r="W185" s="1198"/>
      <c r="X185" s="1198"/>
      <c r="Y185" s="1249"/>
      <c r="Z185" s="1249"/>
      <c r="AA185" s="1249"/>
      <c r="AB185" s="1249"/>
      <c r="AC185" s="2022"/>
      <c r="AD185" s="1249"/>
      <c r="AE185" s="1249"/>
      <c r="AF185" s="1249"/>
      <c r="AG185" s="1249"/>
      <c r="AH185" s="1249"/>
      <c r="AI185" s="2023"/>
      <c r="AJ185" s="1198"/>
      <c r="AK185" s="1198"/>
      <c r="AL185" s="1198"/>
      <c r="AP185" s="1121"/>
    </row>
    <row r="186" spans="1:42" s="1119" customFormat="1" ht="13.15" customHeight="1">
      <c r="A186" s="1116"/>
      <c r="B186" s="467"/>
      <c r="C186" s="467"/>
      <c r="D186" s="485"/>
      <c r="E186" s="1088" t="s">
        <v>1021</v>
      </c>
      <c r="F186" s="2385" t="s">
        <v>1909</v>
      </c>
      <c r="G186" s="2846"/>
      <c r="H186" s="2846"/>
      <c r="I186" s="2846"/>
      <c r="J186" s="2846"/>
      <c r="K186" s="2846"/>
      <c r="L186" s="2846"/>
      <c r="M186" s="2846"/>
      <c r="N186" s="2846"/>
      <c r="O186" s="481"/>
      <c r="P186" s="485"/>
      <c r="Q186" s="1249"/>
      <c r="R186" s="1198"/>
      <c r="S186" s="1198"/>
      <c r="T186" s="1198"/>
      <c r="U186" s="1198"/>
      <c r="V186" s="1198"/>
      <c r="W186" s="1198"/>
      <c r="X186" s="1198"/>
      <c r="Y186" s="1249"/>
      <c r="Z186" s="1249"/>
      <c r="AA186" s="1249"/>
      <c r="AB186" s="1249"/>
      <c r="AC186" s="2022"/>
      <c r="AD186" s="1249"/>
      <c r="AE186" s="1249"/>
      <c r="AF186" s="1249"/>
      <c r="AG186" s="1249"/>
      <c r="AH186" s="1249"/>
      <c r="AI186" s="2023"/>
      <c r="AJ186" s="1198"/>
      <c r="AK186" s="1198"/>
      <c r="AL186" s="1198"/>
      <c r="AP186" s="1121"/>
    </row>
    <row r="187" spans="1:42" s="1119" customFormat="1" ht="13.15" customHeight="1">
      <c r="A187" s="1116"/>
      <c r="B187" s="467"/>
      <c r="C187" s="467"/>
      <c r="D187" s="485"/>
      <c r="E187" s="1088" t="s">
        <v>1021</v>
      </c>
      <c r="F187" s="2385" t="s">
        <v>1910</v>
      </c>
      <c r="G187" s="2846"/>
      <c r="H187" s="2846"/>
      <c r="I187" s="2846"/>
      <c r="J187" s="2846"/>
      <c r="K187" s="2846"/>
      <c r="L187" s="2846"/>
      <c r="M187" s="2846"/>
      <c r="N187" s="2846"/>
      <c r="O187" s="481"/>
      <c r="P187" s="485"/>
      <c r="Q187" s="1249"/>
      <c r="R187" s="1198"/>
      <c r="S187" s="1198"/>
      <c r="T187" s="1198"/>
      <c r="U187" s="1198"/>
      <c r="V187" s="1198"/>
      <c r="W187" s="1198"/>
      <c r="X187" s="1198"/>
      <c r="Y187" s="1249"/>
      <c r="Z187" s="1249"/>
      <c r="AA187" s="1249"/>
      <c r="AB187" s="1249"/>
      <c r="AC187" s="2022"/>
      <c r="AD187" s="1249"/>
      <c r="AE187" s="1249"/>
      <c r="AF187" s="1249"/>
      <c r="AG187" s="1249"/>
      <c r="AH187" s="1249"/>
      <c r="AI187" s="2023"/>
      <c r="AJ187" s="1198"/>
      <c r="AK187" s="1198"/>
      <c r="AL187" s="1198"/>
      <c r="AP187" s="1121"/>
    </row>
    <row r="188" spans="1:42" s="1119" customFormat="1" ht="12.75" customHeight="1">
      <c r="A188" s="1116"/>
      <c r="B188" s="1124"/>
      <c r="C188" s="485"/>
      <c r="D188" s="482"/>
      <c r="E188" s="927" t="s">
        <v>697</v>
      </c>
      <c r="F188" s="518"/>
      <c r="G188" s="663" t="str">
        <f>EUconst_Unit</f>
        <v>Unit</v>
      </c>
      <c r="H188" s="671">
        <f t="shared" ref="H188:N188" si="31">H$421</f>
        <v>2024</v>
      </c>
      <c r="I188" s="1081">
        <f t="shared" si="31"/>
        <v>2025</v>
      </c>
      <c r="J188" s="1489">
        <f t="shared" si="31"/>
        <v>2026</v>
      </c>
      <c r="K188" s="1490">
        <f t="shared" si="31"/>
        <v>2027</v>
      </c>
      <c r="L188" s="1490">
        <f t="shared" si="31"/>
        <v>2028</v>
      </c>
      <c r="M188" s="1490">
        <f t="shared" si="31"/>
        <v>2029</v>
      </c>
      <c r="N188" s="1490">
        <f t="shared" si="31"/>
        <v>2030</v>
      </c>
      <c r="O188" s="481"/>
      <c r="P188" s="485"/>
      <c r="Q188" s="1198"/>
      <c r="R188" s="1198"/>
      <c r="S188" s="1198"/>
      <c r="T188" s="1198"/>
      <c r="U188" s="1198"/>
      <c r="V188" s="1198"/>
      <c r="W188" s="1198"/>
      <c r="X188" s="1198"/>
      <c r="Y188" s="1249"/>
      <c r="Z188" s="1249"/>
      <c r="AA188" s="1249"/>
      <c r="AB188" s="1249"/>
      <c r="AC188" s="2022"/>
      <c r="AD188" s="1249"/>
      <c r="AE188" s="1249"/>
      <c r="AF188" s="1249"/>
      <c r="AG188" s="1249"/>
      <c r="AH188" s="1249"/>
      <c r="AI188" s="2023"/>
      <c r="AJ188" s="1198"/>
      <c r="AK188" s="1198"/>
      <c r="AL188" s="1198"/>
      <c r="AP188" s="1121"/>
    </row>
    <row r="189" spans="1:42" s="1119" customFormat="1">
      <c r="A189" s="1116"/>
      <c r="B189" s="1124"/>
      <c r="C189" s="485"/>
      <c r="D189" s="485"/>
      <c r="E189" s="863" t="s">
        <v>820</v>
      </c>
      <c r="F189" s="863"/>
      <c r="G189" s="721" t="str">
        <f>EUconst_tpa</f>
        <v>t / year</v>
      </c>
      <c r="H189" s="2024" t="str">
        <f>c_ALR2025!M6856</f>
        <v/>
      </c>
      <c r="I189" s="2047"/>
      <c r="J189" s="2020"/>
      <c r="K189" s="2021"/>
      <c r="L189" s="2021"/>
      <c r="M189" s="2021"/>
      <c r="N189" s="2021"/>
      <c r="O189" s="481"/>
      <c r="P189" s="485"/>
      <c r="Q189" s="1198"/>
      <c r="R189" s="1198"/>
      <c r="S189" s="1198"/>
      <c r="T189" s="1198"/>
      <c r="U189" s="1198"/>
      <c r="V189" s="1198"/>
      <c r="W189" s="1198"/>
      <c r="X189" s="1198"/>
      <c r="Y189" s="1249"/>
      <c r="Z189" s="1249"/>
      <c r="AA189" s="1249"/>
      <c r="AB189" s="1249"/>
      <c r="AC189" s="2011" t="b">
        <f>AC181</f>
        <v>0</v>
      </c>
      <c r="AD189" s="1963" t="b">
        <f t="shared" ref="AD189:AI189" si="32">AD181</f>
        <v>0</v>
      </c>
      <c r="AE189" s="1963" t="b">
        <f t="shared" si="32"/>
        <v>0</v>
      </c>
      <c r="AF189" s="1963" t="b">
        <f t="shared" si="32"/>
        <v>0</v>
      </c>
      <c r="AG189" s="1963" t="b">
        <f t="shared" si="32"/>
        <v>0</v>
      </c>
      <c r="AH189" s="1963" t="b">
        <f t="shared" si="32"/>
        <v>0</v>
      </c>
      <c r="AI189" s="2012" t="b">
        <f t="shared" si="32"/>
        <v>0</v>
      </c>
      <c r="AJ189" s="1198"/>
      <c r="AK189" s="1198"/>
      <c r="AL189" s="1198"/>
      <c r="AP189" s="1121"/>
    </row>
    <row r="190" spans="1:42" s="1119" customFormat="1">
      <c r="A190" s="1116"/>
      <c r="B190" s="1124"/>
      <c r="C190" s="485"/>
      <c r="D190" s="485"/>
      <c r="E190" s="865" t="s">
        <v>698</v>
      </c>
      <c r="F190" s="865"/>
      <c r="G190" s="484" t="str">
        <f>EUconst_tpa</f>
        <v>t / year</v>
      </c>
      <c r="H190" s="2014" t="str">
        <f>c_ALR2025!M6857</f>
        <v/>
      </c>
      <c r="I190" s="2048"/>
      <c r="J190" s="2020"/>
      <c r="K190" s="2021"/>
      <c r="L190" s="2021"/>
      <c r="M190" s="2021"/>
      <c r="N190" s="2021"/>
      <c r="O190" s="481"/>
      <c r="P190" s="485"/>
      <c r="Q190" s="1198"/>
      <c r="R190" s="1198"/>
      <c r="S190" s="1198"/>
      <c r="T190" s="1198"/>
      <c r="U190" s="1198"/>
      <c r="V190" s="1198"/>
      <c r="W190" s="1198"/>
      <c r="X190" s="1198"/>
      <c r="Y190" s="1249"/>
      <c r="Z190" s="1249"/>
      <c r="AA190" s="1249"/>
      <c r="AB190" s="1249"/>
      <c r="AC190" s="2011" t="b">
        <f>AC189</f>
        <v>0</v>
      </c>
      <c r="AD190" s="1963" t="b">
        <f t="shared" ref="AD190:AI191" si="33">AD189</f>
        <v>0</v>
      </c>
      <c r="AE190" s="1963" t="b">
        <f t="shared" si="33"/>
        <v>0</v>
      </c>
      <c r="AF190" s="1963" t="b">
        <f t="shared" si="33"/>
        <v>0</v>
      </c>
      <c r="AG190" s="1963" t="b">
        <f t="shared" si="33"/>
        <v>0</v>
      </c>
      <c r="AH190" s="1963" t="b">
        <f t="shared" si="33"/>
        <v>0</v>
      </c>
      <c r="AI190" s="2012" t="b">
        <f t="shared" si="33"/>
        <v>0</v>
      </c>
      <c r="AJ190" s="1198"/>
      <c r="AK190" s="1198"/>
      <c r="AL190" s="1198"/>
      <c r="AP190" s="1121"/>
    </row>
    <row r="191" spans="1:42" s="1119" customFormat="1" ht="13.5" thickBot="1">
      <c r="A191" s="1116"/>
      <c r="B191" s="1124"/>
      <c r="C191" s="485"/>
      <c r="D191" s="485"/>
      <c r="E191" s="932" t="s">
        <v>858</v>
      </c>
      <c r="F191" s="932"/>
      <c r="G191" s="728" t="str">
        <f>EUconst_tpa</f>
        <v>t / year</v>
      </c>
      <c r="H191" s="2016" t="str">
        <f>c_ALR2025!M6858</f>
        <v/>
      </c>
      <c r="I191" s="2049"/>
      <c r="J191" s="2020"/>
      <c r="K191" s="2021"/>
      <c r="L191" s="2021"/>
      <c r="M191" s="2021"/>
      <c r="N191" s="2021"/>
      <c r="O191" s="481"/>
      <c r="P191" s="485"/>
      <c r="Q191" s="1198"/>
      <c r="R191" s="1198"/>
      <c r="S191" s="1198"/>
      <c r="T191" s="1198"/>
      <c r="U191" s="1198"/>
      <c r="V191" s="1198"/>
      <c r="W191" s="1198"/>
      <c r="X191" s="1198"/>
      <c r="Y191" s="1249"/>
      <c r="Z191" s="1249"/>
      <c r="AA191" s="1249"/>
      <c r="AB191" s="1249"/>
      <c r="AC191" s="2017" t="b">
        <f>AC190</f>
        <v>0</v>
      </c>
      <c r="AD191" s="2018" t="b">
        <f t="shared" si="33"/>
        <v>0</v>
      </c>
      <c r="AE191" s="2018" t="b">
        <f t="shared" si="33"/>
        <v>0</v>
      </c>
      <c r="AF191" s="2018" t="b">
        <f t="shared" si="33"/>
        <v>0</v>
      </c>
      <c r="AG191" s="2018" t="b">
        <f t="shared" si="33"/>
        <v>0</v>
      </c>
      <c r="AH191" s="2018" t="b">
        <f t="shared" si="33"/>
        <v>0</v>
      </c>
      <c r="AI191" s="2019" t="b">
        <f t="shared" si="33"/>
        <v>0</v>
      </c>
      <c r="AJ191" s="1198"/>
      <c r="AK191" s="1198"/>
      <c r="AL191" s="1198"/>
      <c r="AP191" s="1121"/>
    </row>
    <row r="192" spans="1:42" s="1119" customFormat="1" ht="5.0999999999999996" customHeight="1">
      <c r="A192" s="1116"/>
      <c r="B192" s="467"/>
      <c r="C192" s="467"/>
      <c r="D192" s="467"/>
      <c r="E192" s="467"/>
      <c r="F192" s="467"/>
      <c r="G192" s="467"/>
      <c r="H192" s="467"/>
      <c r="I192" s="467"/>
      <c r="J192" s="467"/>
      <c r="K192" s="467"/>
      <c r="L192" s="467"/>
      <c r="M192" s="481"/>
      <c r="N192" s="481"/>
      <c r="O192" s="481"/>
      <c r="P192" s="485"/>
      <c r="Q192" s="1249"/>
      <c r="R192" s="1198"/>
      <c r="S192" s="1198"/>
      <c r="T192" s="1198"/>
      <c r="U192" s="1198"/>
      <c r="V192" s="1198"/>
      <c r="W192" s="1198"/>
      <c r="X192" s="1198"/>
      <c r="Y192" s="1249"/>
      <c r="Z192" s="1249"/>
      <c r="AA192" s="1249"/>
      <c r="AB192" s="1249"/>
      <c r="AC192" s="1249"/>
      <c r="AD192" s="1249"/>
      <c r="AE192" s="1249"/>
      <c r="AF192" s="1249"/>
      <c r="AG192" s="1249"/>
      <c r="AH192" s="1249"/>
      <c r="AI192" s="1249"/>
      <c r="AJ192" s="1198"/>
      <c r="AK192" s="1198"/>
      <c r="AL192" s="1198"/>
      <c r="AP192" s="1121"/>
    </row>
    <row r="193" spans="1:42" s="1119" customFormat="1">
      <c r="A193" s="1116"/>
      <c r="B193" s="467"/>
      <c r="C193" s="467"/>
      <c r="D193" s="482" t="s">
        <v>881</v>
      </c>
      <c r="E193" s="2373" t="s">
        <v>859</v>
      </c>
      <c r="F193" s="2400"/>
      <c r="G193" s="2400"/>
      <c r="H193" s="2400"/>
      <c r="I193" s="2400"/>
      <c r="J193" s="2400"/>
      <c r="K193" s="2400"/>
      <c r="L193" s="2400"/>
      <c r="M193" s="2400"/>
      <c r="N193" s="2400"/>
      <c r="O193" s="481"/>
      <c r="P193" s="485"/>
      <c r="Q193" s="1249"/>
      <c r="R193" s="1198"/>
      <c r="S193" s="1198"/>
      <c r="T193" s="1198"/>
      <c r="U193" s="1198"/>
      <c r="V193" s="1198"/>
      <c r="W193" s="1198"/>
      <c r="X193" s="1198"/>
      <c r="Y193" s="1198"/>
      <c r="Z193" s="1198"/>
      <c r="AA193" s="1198"/>
      <c r="AB193" s="1198"/>
      <c r="AC193" s="1198"/>
      <c r="AD193" s="1198"/>
      <c r="AE193" s="1198"/>
      <c r="AF193" s="1198"/>
      <c r="AG193" s="1198"/>
      <c r="AH193" s="1198"/>
      <c r="AI193" s="1198"/>
      <c r="AJ193" s="1198"/>
      <c r="AK193" s="1198"/>
      <c r="AL193" s="1198"/>
      <c r="AP193" s="1121"/>
    </row>
    <row r="194" spans="1:42" s="1119" customFormat="1" ht="13.15" customHeight="1">
      <c r="A194" s="1116"/>
      <c r="B194" s="467"/>
      <c r="C194" s="467"/>
      <c r="D194" s="485"/>
      <c r="E194" s="2385" t="s">
        <v>1253</v>
      </c>
      <c r="F194" s="2846"/>
      <c r="G194" s="2846"/>
      <c r="H194" s="2846"/>
      <c r="I194" s="2846"/>
      <c r="J194" s="2846"/>
      <c r="K194" s="2846"/>
      <c r="L194" s="2846"/>
      <c r="M194" s="2846"/>
      <c r="N194" s="2846"/>
      <c r="O194" s="481"/>
      <c r="P194" s="485"/>
      <c r="Q194" s="1249"/>
      <c r="R194" s="1198"/>
      <c r="S194" s="1198"/>
      <c r="T194" s="1198"/>
      <c r="U194" s="1198"/>
      <c r="V194" s="1198"/>
      <c r="W194" s="1198"/>
      <c r="X194" s="1198"/>
      <c r="Y194" s="1198"/>
      <c r="Z194" s="1198"/>
      <c r="AA194" s="1198"/>
      <c r="AB194" s="1198"/>
      <c r="AC194" s="1198"/>
      <c r="AD194" s="1198"/>
      <c r="AE194" s="1198"/>
      <c r="AF194" s="1198"/>
      <c r="AG194" s="1198"/>
      <c r="AH194" s="1198"/>
      <c r="AI194" s="1198"/>
      <c r="AJ194" s="1198"/>
      <c r="AK194" s="1198"/>
      <c r="AL194" s="1198"/>
      <c r="AP194" s="1121"/>
    </row>
    <row r="195" spans="1:42" s="1119" customFormat="1" ht="13.15" customHeight="1">
      <c r="A195" s="1116"/>
      <c r="B195" s="467"/>
      <c r="C195" s="467"/>
      <c r="D195" s="485"/>
      <c r="E195" s="2385" t="s">
        <v>1247</v>
      </c>
      <c r="F195" s="2846"/>
      <c r="G195" s="2846"/>
      <c r="H195" s="2846"/>
      <c r="I195" s="2846"/>
      <c r="J195" s="2846"/>
      <c r="K195" s="2846"/>
      <c r="L195" s="2846"/>
      <c r="M195" s="2846"/>
      <c r="N195" s="2846"/>
      <c r="O195" s="481"/>
      <c r="P195" s="485"/>
      <c r="Q195" s="1249"/>
      <c r="R195" s="1198"/>
      <c r="S195" s="1198"/>
      <c r="T195" s="1198"/>
      <c r="U195" s="1198"/>
      <c r="V195" s="1198"/>
      <c r="W195" s="1198"/>
      <c r="X195" s="1198"/>
      <c r="Y195" s="1198"/>
      <c r="Z195" s="1198"/>
      <c r="AA195" s="1198"/>
      <c r="AB195" s="1198"/>
      <c r="AC195" s="1198"/>
      <c r="AD195" s="1198"/>
      <c r="AE195" s="1198"/>
      <c r="AF195" s="1198"/>
      <c r="AG195" s="1198"/>
      <c r="AH195" s="1198"/>
      <c r="AI195" s="1198"/>
      <c r="AJ195" s="1198"/>
      <c r="AK195" s="1198"/>
      <c r="AL195" s="1198"/>
      <c r="AP195" s="1121"/>
    </row>
    <row r="196" spans="1:42" s="1119" customFormat="1">
      <c r="A196" s="1116"/>
      <c r="B196" s="1124"/>
      <c r="C196" s="485"/>
      <c r="D196" s="482"/>
      <c r="E196" s="637"/>
      <c r="F196" s="637"/>
      <c r="G196" s="663" t="str">
        <f>EUconst_Unit</f>
        <v>Unit</v>
      </c>
      <c r="H196" s="671">
        <f t="shared" ref="H196:N196" si="34">H$421</f>
        <v>2024</v>
      </c>
      <c r="I196" s="1081">
        <f t="shared" si="34"/>
        <v>2025</v>
      </c>
      <c r="J196" s="1489">
        <f t="shared" si="34"/>
        <v>2026</v>
      </c>
      <c r="K196" s="1490">
        <f t="shared" si="34"/>
        <v>2027</v>
      </c>
      <c r="L196" s="1490">
        <f t="shared" si="34"/>
        <v>2028</v>
      </c>
      <c r="M196" s="1490">
        <f t="shared" si="34"/>
        <v>2029</v>
      </c>
      <c r="N196" s="1490">
        <f t="shared" si="34"/>
        <v>2030</v>
      </c>
      <c r="O196" s="481"/>
      <c r="P196" s="485"/>
      <c r="Q196" s="1198"/>
      <c r="R196" s="1198"/>
      <c r="S196" s="1198"/>
      <c r="T196" s="1198"/>
      <c r="U196" s="1198"/>
      <c r="V196" s="1198"/>
      <c r="W196" s="1198"/>
      <c r="X196" s="1198"/>
      <c r="Y196" s="1198"/>
      <c r="Z196" s="1198"/>
      <c r="AA196" s="1198"/>
      <c r="AB196" s="1198"/>
      <c r="AC196" s="1198"/>
      <c r="AD196" s="1198"/>
      <c r="AE196" s="1198"/>
      <c r="AF196" s="1198"/>
      <c r="AG196" s="1198"/>
      <c r="AH196" s="1198"/>
      <c r="AI196" s="1198"/>
      <c r="AJ196" s="1198"/>
      <c r="AK196" s="1198"/>
      <c r="AL196" s="1198"/>
      <c r="AP196" s="1121"/>
    </row>
    <row r="197" spans="1:42" s="1119" customFormat="1" ht="12.75" customHeight="1">
      <c r="A197" s="1116"/>
      <c r="B197" s="1124"/>
      <c r="C197" s="485"/>
      <c r="D197" s="485"/>
      <c r="E197" s="948" t="s">
        <v>860</v>
      </c>
      <c r="F197" s="948"/>
      <c r="G197" s="730" t="str">
        <f>EUconst_tpa</f>
        <v>t / year</v>
      </c>
      <c r="H197" s="853" t="str">
        <f t="shared" ref="H197:N197" si="35">IF(ISNUMBER(H181),H181-SUM(H189:H191),"")</f>
        <v/>
      </c>
      <c r="I197" s="1086" t="str">
        <f t="shared" si="35"/>
        <v/>
      </c>
      <c r="J197" s="2020" t="str">
        <f t="shared" si="35"/>
        <v/>
      </c>
      <c r="K197" s="2021" t="str">
        <f t="shared" si="35"/>
        <v/>
      </c>
      <c r="L197" s="2021" t="str">
        <f t="shared" si="35"/>
        <v/>
      </c>
      <c r="M197" s="2021" t="str">
        <f t="shared" si="35"/>
        <v/>
      </c>
      <c r="N197" s="2021" t="str">
        <f t="shared" si="35"/>
        <v/>
      </c>
      <c r="O197" s="481"/>
      <c r="P197" s="485"/>
      <c r="Q197" s="1443" t="str">
        <f>IF(L174=EUconst_Relevant,EUconst_CNTR_HALspecial &amp; INDEX(EUconst_BMlistNames,R174),"")</f>
        <v/>
      </c>
      <c r="R197" s="1198"/>
      <c r="S197" s="1198"/>
      <c r="T197" s="1198"/>
      <c r="U197" s="1198"/>
      <c r="V197" s="1198"/>
      <c r="W197" s="1198"/>
      <c r="X197" s="1198"/>
      <c r="Y197" s="1198"/>
      <c r="Z197" s="1198"/>
      <c r="AA197" s="1198"/>
      <c r="AB197" s="1198"/>
      <c r="AC197" s="1198"/>
      <c r="AD197" s="1198"/>
      <c r="AE197" s="1198"/>
      <c r="AF197" s="1198"/>
      <c r="AG197" s="1198"/>
      <c r="AH197" s="1198"/>
      <c r="AI197" s="1198"/>
      <c r="AJ197" s="1198"/>
      <c r="AK197" s="1198"/>
      <c r="AL197" s="1198"/>
      <c r="AP197" s="1121"/>
    </row>
    <row r="198" spans="1:42" s="1119" customFormat="1">
      <c r="A198" s="1116"/>
      <c r="B198" s="1124"/>
      <c r="C198" s="485"/>
      <c r="D198" s="485"/>
      <c r="E198" s="485"/>
      <c r="F198" s="485"/>
      <c r="G198" s="485"/>
      <c r="H198" s="485"/>
      <c r="I198" s="485"/>
      <c r="J198" s="485"/>
      <c r="K198" s="485"/>
      <c r="L198" s="485"/>
      <c r="M198" s="485"/>
      <c r="N198" s="485"/>
      <c r="O198" s="481"/>
      <c r="P198" s="485"/>
      <c r="Q198" s="1198"/>
      <c r="R198" s="1198"/>
      <c r="S198" s="1198"/>
      <c r="T198" s="1198"/>
      <c r="U198" s="1198"/>
      <c r="V198" s="1198"/>
      <c r="W198" s="1198"/>
      <c r="X198" s="1198"/>
      <c r="Y198" s="1198"/>
      <c r="Z198" s="1198"/>
      <c r="AA198" s="1198"/>
      <c r="AB198" s="1198"/>
      <c r="AC198" s="1198"/>
      <c r="AD198" s="1198"/>
      <c r="AE198" s="1198"/>
      <c r="AF198" s="1198"/>
      <c r="AG198" s="1198"/>
      <c r="AH198" s="1198"/>
      <c r="AI198" s="1198"/>
      <c r="AJ198" s="1198"/>
      <c r="AK198" s="1198"/>
      <c r="AL198" s="1198"/>
      <c r="AP198" s="1121"/>
    </row>
    <row r="199" spans="1:42" s="1119" customFormat="1" ht="13.9" customHeight="1">
      <c r="A199" s="1116"/>
      <c r="B199" s="467"/>
      <c r="C199" s="559">
        <v>2</v>
      </c>
      <c r="D199" s="2482" t="s">
        <v>1369</v>
      </c>
      <c r="E199" s="2400"/>
      <c r="F199" s="2400"/>
      <c r="G199" s="2400"/>
      <c r="H199" s="2400"/>
      <c r="I199" s="2400"/>
      <c r="J199" s="2400"/>
      <c r="K199" s="2400"/>
      <c r="L199" s="2400"/>
      <c r="M199" s="2400"/>
      <c r="N199" s="2400"/>
      <c r="O199" s="481"/>
      <c r="P199" s="485"/>
      <c r="Q199" s="1249"/>
      <c r="R199" s="1198"/>
      <c r="S199" s="1198"/>
      <c r="T199" s="1198"/>
      <c r="U199" s="1198"/>
      <c r="V199" s="1198"/>
      <c r="W199" s="1198"/>
      <c r="X199" s="1198"/>
      <c r="Y199" s="1198"/>
      <c r="Z199" s="1198"/>
      <c r="AA199" s="1198"/>
      <c r="AB199" s="1198"/>
      <c r="AC199" s="1198"/>
      <c r="AD199" s="1198"/>
      <c r="AE199" s="1198"/>
      <c r="AF199" s="1198"/>
      <c r="AG199" s="1198"/>
      <c r="AH199" s="1198"/>
      <c r="AI199" s="1198"/>
      <c r="AJ199" s="1198"/>
      <c r="AK199" s="1198"/>
      <c r="AL199" s="1198"/>
      <c r="AP199" s="1121"/>
    </row>
    <row r="200" spans="1:42" s="1119" customFormat="1" ht="5.0999999999999996" customHeight="1">
      <c r="A200" s="1116"/>
      <c r="B200" s="467"/>
      <c r="C200" s="467"/>
      <c r="D200" s="467"/>
      <c r="E200" s="467"/>
      <c r="F200" s="467"/>
      <c r="G200" s="467"/>
      <c r="H200" s="467"/>
      <c r="I200" s="467"/>
      <c r="J200" s="467"/>
      <c r="K200" s="467"/>
      <c r="L200" s="467"/>
      <c r="M200" s="481"/>
      <c r="N200" s="481"/>
      <c r="O200" s="481"/>
      <c r="P200" s="485"/>
      <c r="Q200" s="1249"/>
      <c r="R200" s="1198"/>
      <c r="S200" s="1198"/>
      <c r="T200" s="1198"/>
      <c r="U200" s="1198"/>
      <c r="V200" s="1198"/>
      <c r="W200" s="1198"/>
      <c r="X200" s="1198"/>
      <c r="Y200" s="1198"/>
      <c r="Z200" s="1198"/>
      <c r="AA200" s="1198"/>
      <c r="AB200" s="1198"/>
      <c r="AC200" s="1198"/>
      <c r="AD200" s="1198"/>
      <c r="AE200" s="1198"/>
      <c r="AF200" s="1198"/>
      <c r="AG200" s="1198"/>
      <c r="AH200" s="1198"/>
      <c r="AI200" s="1198"/>
      <c r="AJ200" s="1198"/>
      <c r="AK200" s="1198"/>
      <c r="AL200" s="1198"/>
      <c r="AP200" s="1121"/>
    </row>
    <row r="201" spans="1:42" s="1119" customFormat="1" ht="13.15" customHeight="1">
      <c r="A201" s="1116"/>
      <c r="B201" s="467"/>
      <c r="C201" s="467"/>
      <c r="D201" s="485"/>
      <c r="E201" s="2385" t="s">
        <v>1370</v>
      </c>
      <c r="F201" s="2846"/>
      <c r="G201" s="2846"/>
      <c r="H201" s="2846"/>
      <c r="I201" s="2846"/>
      <c r="J201" s="2846"/>
      <c r="K201" s="2846"/>
      <c r="L201" s="2846"/>
      <c r="M201" s="2846"/>
      <c r="N201" s="2846"/>
      <c r="O201" s="481"/>
      <c r="P201" s="485"/>
      <c r="Q201" s="1249"/>
      <c r="R201" s="1198"/>
      <c r="S201" s="1198"/>
      <c r="T201" s="1198"/>
      <c r="U201" s="1198"/>
      <c r="V201" s="1198"/>
      <c r="W201" s="1198"/>
      <c r="X201" s="1198"/>
      <c r="Y201" s="1198"/>
      <c r="Z201" s="1198"/>
      <c r="AA201" s="1198"/>
      <c r="AB201" s="1198"/>
      <c r="AC201" s="1198"/>
      <c r="AD201" s="1198"/>
      <c r="AE201" s="1198"/>
      <c r="AF201" s="1198"/>
      <c r="AG201" s="1198"/>
      <c r="AH201" s="1198"/>
      <c r="AI201" s="1198"/>
      <c r="AJ201" s="1198"/>
      <c r="AK201" s="1198"/>
      <c r="AL201" s="1198"/>
      <c r="AP201" s="1121"/>
    </row>
    <row r="202" spans="1:42" s="1119" customFormat="1" ht="13.15" customHeight="1">
      <c r="A202" s="1116"/>
      <c r="B202" s="467"/>
      <c r="C202" s="467"/>
      <c r="D202" s="485"/>
      <c r="E202" s="2385" t="s">
        <v>209</v>
      </c>
      <c r="F202" s="2846"/>
      <c r="G202" s="2846"/>
      <c r="H202" s="2846"/>
      <c r="I202" s="2846"/>
      <c r="J202" s="2846"/>
      <c r="K202" s="2846"/>
      <c r="L202" s="2846"/>
      <c r="M202" s="2846"/>
      <c r="N202" s="2846"/>
      <c r="O202" s="481"/>
      <c r="P202" s="485"/>
      <c r="Q202" s="1249"/>
      <c r="R202" s="1198"/>
      <c r="S202" s="1198"/>
      <c r="T202" s="1198"/>
      <c r="U202" s="1198"/>
      <c r="V202" s="1198"/>
      <c r="W202" s="1198"/>
      <c r="X202" s="1198"/>
      <c r="Y202" s="1198"/>
      <c r="Z202" s="1198"/>
      <c r="AA202" s="1198"/>
      <c r="AB202" s="1198"/>
      <c r="AC202" s="1198"/>
      <c r="AD202" s="1198"/>
      <c r="AE202" s="1198"/>
      <c r="AF202" s="1198"/>
      <c r="AG202" s="1198"/>
      <c r="AH202" s="1198"/>
      <c r="AI202" s="1198"/>
      <c r="AJ202" s="1198"/>
      <c r="AK202" s="1198"/>
      <c r="AL202" s="1198"/>
      <c r="AP202" s="1121"/>
    </row>
    <row r="203" spans="1:42" s="1119" customFormat="1" ht="13.15" customHeight="1">
      <c r="A203" s="1116"/>
      <c r="B203" s="467"/>
      <c r="C203" s="467"/>
      <c r="D203" s="485"/>
      <c r="E203" s="2385" t="s">
        <v>1019</v>
      </c>
      <c r="F203" s="2846"/>
      <c r="G203" s="2846"/>
      <c r="H203" s="2846"/>
      <c r="I203" s="2846"/>
      <c r="J203" s="2846"/>
      <c r="K203" s="2846"/>
      <c r="L203" s="2846"/>
      <c r="M203" s="2846"/>
      <c r="N203" s="2846"/>
      <c r="O203" s="481"/>
      <c r="P203" s="485"/>
      <c r="Q203" s="1249"/>
      <c r="R203" s="1198"/>
      <c r="S203" s="1198"/>
      <c r="T203" s="1198"/>
      <c r="U203" s="1198"/>
      <c r="V203" s="1198"/>
      <c r="W203" s="1198"/>
      <c r="X203" s="1198"/>
      <c r="Y203" s="1198"/>
      <c r="Z203" s="1198"/>
      <c r="AA203" s="1198"/>
      <c r="AB203" s="1198"/>
      <c r="AC203" s="1198"/>
      <c r="AD203" s="1198"/>
      <c r="AE203" s="1198"/>
      <c r="AF203" s="1198"/>
      <c r="AG203" s="1198"/>
      <c r="AH203" s="1198"/>
      <c r="AI203" s="1198"/>
      <c r="AJ203" s="1198"/>
      <c r="AK203" s="1198"/>
      <c r="AL203" s="1198"/>
      <c r="AP203" s="1121"/>
    </row>
    <row r="204" spans="1:42" s="1119" customFormat="1" ht="5.0999999999999996" customHeight="1">
      <c r="A204" s="1116"/>
      <c r="B204" s="467"/>
      <c r="C204" s="467"/>
      <c r="D204" s="467"/>
      <c r="E204" s="467"/>
      <c r="F204" s="467"/>
      <c r="G204" s="467"/>
      <c r="H204" s="467"/>
      <c r="I204" s="467"/>
      <c r="J204" s="467"/>
      <c r="K204" s="467"/>
      <c r="L204" s="467"/>
      <c r="M204" s="481"/>
      <c r="N204" s="481"/>
      <c r="O204" s="481"/>
      <c r="P204" s="485"/>
      <c r="Q204" s="1249"/>
      <c r="R204" s="1198"/>
      <c r="S204" s="1198"/>
      <c r="T204" s="1198"/>
      <c r="U204" s="1198"/>
      <c r="V204" s="1198"/>
      <c r="W204" s="1198"/>
      <c r="X204" s="1198"/>
      <c r="Y204" s="1198"/>
      <c r="Z204" s="1198"/>
      <c r="AA204" s="1198"/>
      <c r="AB204" s="1198"/>
      <c r="AC204" s="1198"/>
      <c r="AD204" s="1198"/>
      <c r="AE204" s="1198"/>
      <c r="AF204" s="1198"/>
      <c r="AG204" s="1198"/>
      <c r="AH204" s="1198"/>
      <c r="AI204" s="1198"/>
      <c r="AJ204" s="1198"/>
      <c r="AK204" s="1198"/>
      <c r="AL204" s="1198"/>
      <c r="AP204" s="1121"/>
    </row>
    <row r="205" spans="1:42" s="1119" customFormat="1">
      <c r="A205" s="1116"/>
      <c r="B205" s="467"/>
      <c r="C205" s="467"/>
      <c r="D205" s="482" t="s">
        <v>400</v>
      </c>
      <c r="E205" s="2373" t="s">
        <v>230</v>
      </c>
      <c r="F205" s="2400"/>
      <c r="G205" s="2400"/>
      <c r="H205" s="2400"/>
      <c r="I205" s="2400"/>
      <c r="J205" s="2400"/>
      <c r="K205" s="2400"/>
      <c r="L205" s="2400"/>
      <c r="M205" s="2400"/>
      <c r="N205" s="2400"/>
      <c r="O205" s="481"/>
      <c r="P205" s="485"/>
      <c r="Q205" s="1249"/>
      <c r="R205" s="1198"/>
      <c r="S205" s="1198"/>
      <c r="T205" s="1198"/>
      <c r="U205" s="1198"/>
      <c r="V205" s="1198"/>
      <c r="W205" s="1198"/>
      <c r="X205" s="1198"/>
      <c r="Y205" s="1198"/>
      <c r="Z205" s="1198"/>
      <c r="AA205" s="1198"/>
      <c r="AB205" s="1198"/>
      <c r="AC205" s="1198"/>
      <c r="AD205" s="1198"/>
      <c r="AE205" s="1198"/>
      <c r="AF205" s="1198"/>
      <c r="AG205" s="1198"/>
      <c r="AH205" s="1198"/>
      <c r="AI205" s="1198"/>
      <c r="AJ205" s="1198"/>
      <c r="AK205" s="1198"/>
      <c r="AL205" s="1198"/>
      <c r="AP205" s="1121"/>
    </row>
    <row r="206" spans="1:42" s="1119" customFormat="1" ht="13.15" customHeight="1">
      <c r="A206" s="1116"/>
      <c r="B206" s="467"/>
      <c r="C206" s="467"/>
      <c r="D206" s="485"/>
      <c r="E206" s="2385" t="s">
        <v>1371</v>
      </c>
      <c r="F206" s="2846"/>
      <c r="G206" s="2846"/>
      <c r="H206" s="2846"/>
      <c r="I206" s="2846"/>
      <c r="J206" s="2846"/>
      <c r="K206" s="2846"/>
      <c r="L206" s="2846"/>
      <c r="M206" s="2846"/>
      <c r="N206" s="2846"/>
      <c r="O206" s="481"/>
      <c r="P206" s="485"/>
      <c r="Q206" s="1249"/>
      <c r="R206" s="1198"/>
      <c r="S206" s="1198"/>
      <c r="T206" s="1198"/>
      <c r="U206" s="1198"/>
      <c r="V206" s="1198"/>
      <c r="W206" s="1198"/>
      <c r="X206" s="1198"/>
      <c r="Y206" s="1198"/>
      <c r="Z206" s="1198"/>
      <c r="AA206" s="1198"/>
      <c r="AB206" s="1198"/>
      <c r="AC206" s="1198"/>
      <c r="AD206" s="1198"/>
      <c r="AE206" s="1198"/>
      <c r="AF206" s="1198"/>
      <c r="AG206" s="1198"/>
      <c r="AH206" s="1198"/>
      <c r="AI206" s="1198"/>
      <c r="AJ206" s="1198"/>
      <c r="AK206" s="1198"/>
      <c r="AL206" s="1198"/>
      <c r="AP206" s="1121"/>
    </row>
    <row r="207" spans="1:42" s="1119" customFormat="1" ht="25.5" customHeight="1">
      <c r="A207" s="1116"/>
      <c r="B207" s="1124"/>
      <c r="C207" s="485"/>
      <c r="D207" s="482"/>
      <c r="E207" s="871" t="s">
        <v>231</v>
      </c>
      <c r="F207" s="1089" t="s">
        <v>232</v>
      </c>
      <c r="G207" s="1030" t="str">
        <f>EUconst_Unit</f>
        <v>Unit</v>
      </c>
      <c r="H207" s="1090">
        <f t="shared" ref="H207:N207" si="36">H$421</f>
        <v>2024</v>
      </c>
      <c r="I207" s="1091">
        <f t="shared" si="36"/>
        <v>2025</v>
      </c>
      <c r="J207" s="1952">
        <f t="shared" si="36"/>
        <v>2026</v>
      </c>
      <c r="K207" s="1953">
        <f t="shared" si="36"/>
        <v>2027</v>
      </c>
      <c r="L207" s="1953">
        <f t="shared" si="36"/>
        <v>2028</v>
      </c>
      <c r="M207" s="1953">
        <f t="shared" si="36"/>
        <v>2029</v>
      </c>
      <c r="N207" s="1953">
        <f t="shared" si="36"/>
        <v>2030</v>
      </c>
      <c r="O207" s="481"/>
      <c r="P207" s="485"/>
      <c r="Q207" s="1249"/>
      <c r="R207" s="1198"/>
      <c r="S207" s="1198"/>
      <c r="T207" s="1198"/>
      <c r="U207" s="1198"/>
      <c r="V207" s="1198"/>
      <c r="W207" s="1198"/>
      <c r="X207" s="1198"/>
      <c r="Y207" s="1198"/>
      <c r="Z207" s="1198"/>
      <c r="AA207" s="1198"/>
      <c r="AB207" s="1198"/>
      <c r="AC207" s="1198"/>
      <c r="AD207" s="1198"/>
      <c r="AE207" s="1198"/>
      <c r="AF207" s="1198"/>
      <c r="AG207" s="1198"/>
      <c r="AH207" s="1198"/>
      <c r="AI207" s="1198"/>
      <c r="AJ207" s="1198"/>
      <c r="AK207" s="1198"/>
      <c r="AL207" s="1198"/>
      <c r="AP207" s="1121"/>
    </row>
    <row r="208" spans="1:42" s="1119" customFormat="1" ht="12.75" customHeight="1">
      <c r="A208" s="1116"/>
      <c r="B208" s="1124"/>
      <c r="C208" s="485"/>
      <c r="D208" s="485"/>
      <c r="E208" s="863" t="s">
        <v>820</v>
      </c>
      <c r="F208" s="721">
        <v>1.78</v>
      </c>
      <c r="G208" s="721" t="str">
        <f>EUconst_tpa</f>
        <v>t / year</v>
      </c>
      <c r="H208" s="1093" t="str">
        <f t="shared" ref="H208:N210" si="37">IF(ISNUMBER(H189),H189,"")</f>
        <v/>
      </c>
      <c r="I208" s="1094" t="str">
        <f t="shared" si="37"/>
        <v/>
      </c>
      <c r="J208" s="2020" t="str">
        <f t="shared" si="37"/>
        <v/>
      </c>
      <c r="K208" s="2021" t="str">
        <f t="shared" si="37"/>
        <v/>
      </c>
      <c r="L208" s="2021" t="str">
        <f t="shared" si="37"/>
        <v/>
      </c>
      <c r="M208" s="2021" t="str">
        <f t="shared" si="37"/>
        <v/>
      </c>
      <c r="N208" s="2021" t="str">
        <f t="shared" si="37"/>
        <v/>
      </c>
      <c r="O208" s="481"/>
      <c r="P208" s="485"/>
      <c r="Q208" s="1249"/>
      <c r="R208" s="1198"/>
      <c r="S208" s="1198"/>
      <c r="T208" s="1198"/>
      <c r="U208" s="1198"/>
      <c r="V208" s="1198"/>
      <c r="W208" s="1198"/>
      <c r="X208" s="1198"/>
      <c r="Y208" s="1198"/>
      <c r="Z208" s="1198"/>
      <c r="AA208" s="1198"/>
      <c r="AB208" s="1198"/>
      <c r="AC208" s="1198"/>
      <c r="AD208" s="1198"/>
      <c r="AE208" s="1198"/>
      <c r="AF208" s="1198"/>
      <c r="AG208" s="1198"/>
      <c r="AH208" s="1198"/>
      <c r="AI208" s="1198"/>
      <c r="AJ208" s="1198"/>
      <c r="AK208" s="1198"/>
      <c r="AL208" s="1198"/>
      <c r="AP208" s="1121"/>
    </row>
    <row r="209" spans="1:42" s="1119" customFormat="1" ht="12.75" customHeight="1">
      <c r="A209" s="1116"/>
      <c r="B209" s="1124"/>
      <c r="C209" s="485"/>
      <c r="D209" s="485"/>
      <c r="E209" s="865" t="s">
        <v>698</v>
      </c>
      <c r="F209" s="484">
        <v>0.24</v>
      </c>
      <c r="G209" s="484" t="str">
        <f>EUconst_tpa</f>
        <v>t / year</v>
      </c>
      <c r="H209" s="1095" t="str">
        <f t="shared" si="37"/>
        <v/>
      </c>
      <c r="I209" s="1096" t="str">
        <f t="shared" si="37"/>
        <v/>
      </c>
      <c r="J209" s="2020" t="str">
        <f t="shared" si="37"/>
        <v/>
      </c>
      <c r="K209" s="2021" t="str">
        <f t="shared" si="37"/>
        <v/>
      </c>
      <c r="L209" s="2021" t="str">
        <f t="shared" si="37"/>
        <v/>
      </c>
      <c r="M209" s="2021" t="str">
        <f t="shared" si="37"/>
        <v/>
      </c>
      <c r="N209" s="2021" t="str">
        <f t="shared" si="37"/>
        <v/>
      </c>
      <c r="O209" s="481"/>
      <c r="P209" s="485"/>
      <c r="Q209" s="1249"/>
      <c r="R209" s="1198"/>
      <c r="S209" s="1198"/>
      <c r="T209" s="1198"/>
      <c r="U209" s="1198"/>
      <c r="V209" s="1198"/>
      <c r="W209" s="1198"/>
      <c r="X209" s="1198"/>
      <c r="Y209" s="1249"/>
      <c r="Z209" s="1249"/>
      <c r="AA209" s="1198"/>
      <c r="AB209" s="1198"/>
      <c r="AC209" s="1198"/>
      <c r="AD209" s="1198"/>
      <c r="AE209" s="1198"/>
      <c r="AF209" s="1198"/>
      <c r="AG209" s="1198"/>
      <c r="AH209" s="1198"/>
      <c r="AI209" s="1198"/>
      <c r="AJ209" s="1198"/>
      <c r="AK209" s="1198"/>
      <c r="AL209" s="1198"/>
      <c r="AP209" s="1121"/>
    </row>
    <row r="210" spans="1:42" s="1119" customFormat="1" ht="12.75" customHeight="1">
      <c r="A210" s="1116"/>
      <c r="B210" s="1124"/>
      <c r="C210" s="485"/>
      <c r="D210" s="485"/>
      <c r="E210" s="932" t="s">
        <v>858</v>
      </c>
      <c r="F210" s="728">
        <v>0.16</v>
      </c>
      <c r="G210" s="728" t="str">
        <f>EUconst_tpa</f>
        <v>t / year</v>
      </c>
      <c r="H210" s="1097" t="str">
        <f t="shared" si="37"/>
        <v/>
      </c>
      <c r="I210" s="1098" t="str">
        <f t="shared" si="37"/>
        <v/>
      </c>
      <c r="J210" s="2020" t="str">
        <f t="shared" si="37"/>
        <v/>
      </c>
      <c r="K210" s="2021" t="str">
        <f t="shared" si="37"/>
        <v/>
      </c>
      <c r="L210" s="2021" t="str">
        <f t="shared" si="37"/>
        <v/>
      </c>
      <c r="M210" s="2021" t="str">
        <f t="shared" si="37"/>
        <v/>
      </c>
      <c r="N210" s="2021" t="str">
        <f t="shared" si="37"/>
        <v/>
      </c>
      <c r="O210" s="481"/>
      <c r="P210" s="485"/>
      <c r="Q210" s="1249"/>
      <c r="R210" s="1198"/>
      <c r="S210" s="1198"/>
      <c r="T210" s="1198"/>
      <c r="U210" s="1198"/>
      <c r="V210" s="1198"/>
      <c r="W210" s="1198"/>
      <c r="X210" s="1198"/>
      <c r="Y210" s="1249"/>
      <c r="Z210" s="1249"/>
      <c r="AA210" s="1198"/>
      <c r="AB210" s="1198"/>
      <c r="AC210" s="1198"/>
      <c r="AD210" s="1198"/>
      <c r="AE210" s="1198"/>
      <c r="AF210" s="1198"/>
      <c r="AG210" s="1198"/>
      <c r="AH210" s="1198"/>
      <c r="AI210" s="1198"/>
      <c r="AJ210" s="1198"/>
      <c r="AK210" s="1198"/>
      <c r="AL210" s="1198"/>
      <c r="AP210" s="1121"/>
    </row>
    <row r="211" spans="1:42" s="1119" customFormat="1" ht="5.0999999999999996" customHeight="1">
      <c r="A211" s="1116"/>
      <c r="B211" s="467"/>
      <c r="C211" s="467"/>
      <c r="D211" s="467"/>
      <c r="E211" s="467"/>
      <c r="F211" s="467"/>
      <c r="G211" s="467"/>
      <c r="H211" s="467"/>
      <c r="I211" s="467"/>
      <c r="J211" s="467"/>
      <c r="K211" s="467"/>
      <c r="L211" s="467"/>
      <c r="M211" s="481"/>
      <c r="N211" s="481"/>
      <c r="O211" s="481"/>
      <c r="P211" s="485"/>
      <c r="Q211" s="1249"/>
      <c r="R211" s="1198"/>
      <c r="S211" s="1198"/>
      <c r="T211" s="1198"/>
      <c r="U211" s="1198"/>
      <c r="V211" s="1198"/>
      <c r="W211" s="1198"/>
      <c r="X211" s="1198"/>
      <c r="Y211" s="1249"/>
      <c r="Z211" s="1249"/>
      <c r="AA211" s="1198"/>
      <c r="AB211" s="1198"/>
      <c r="AC211" s="1198"/>
      <c r="AD211" s="1198"/>
      <c r="AE211" s="1198"/>
      <c r="AF211" s="1198"/>
      <c r="AG211" s="1198"/>
      <c r="AH211" s="1198"/>
      <c r="AI211" s="1198"/>
      <c r="AJ211" s="1198"/>
      <c r="AK211" s="1198"/>
      <c r="AL211" s="1198"/>
      <c r="AP211" s="1121"/>
    </row>
    <row r="212" spans="1:42" s="1119" customFormat="1" ht="13.15" customHeight="1">
      <c r="A212" s="1116"/>
      <c r="B212" s="467"/>
      <c r="C212" s="467"/>
      <c r="D212" s="482" t="s">
        <v>876</v>
      </c>
      <c r="E212" s="2373" t="s">
        <v>210</v>
      </c>
      <c r="F212" s="2400"/>
      <c r="G212" s="2400"/>
      <c r="H212" s="2400"/>
      <c r="I212" s="2400"/>
      <c r="J212" s="2400"/>
      <c r="K212" s="2400"/>
      <c r="L212" s="2400"/>
      <c r="M212" s="2400"/>
      <c r="N212" s="2400"/>
      <c r="O212" s="481"/>
      <c r="P212" s="485"/>
      <c r="Q212" s="1249"/>
      <c r="R212" s="1198"/>
      <c r="S212" s="1198"/>
      <c r="T212" s="1198"/>
      <c r="U212" s="1198"/>
      <c r="V212" s="1198"/>
      <c r="W212" s="1198"/>
      <c r="X212" s="1198"/>
      <c r="Y212" s="1249"/>
      <c r="Z212" s="1249"/>
      <c r="AA212" s="1198"/>
      <c r="AB212" s="1198"/>
      <c r="AC212" s="1198"/>
      <c r="AD212" s="1198"/>
      <c r="AE212" s="1198"/>
      <c r="AF212" s="1198"/>
      <c r="AG212" s="1198"/>
      <c r="AH212" s="1198"/>
      <c r="AI212" s="1198"/>
      <c r="AJ212" s="1198"/>
      <c r="AK212" s="1198"/>
      <c r="AL212" s="1198"/>
      <c r="AP212" s="1121"/>
    </row>
    <row r="213" spans="1:42" s="1119" customFormat="1">
      <c r="A213" s="1116"/>
      <c r="B213" s="467"/>
      <c r="C213" s="467"/>
      <c r="D213" s="485"/>
      <c r="E213" s="2385" t="s">
        <v>1372</v>
      </c>
      <c r="F213" s="2846"/>
      <c r="G213" s="2846"/>
      <c r="H213" s="2846"/>
      <c r="I213" s="2846"/>
      <c r="J213" s="2846"/>
      <c r="K213" s="2846"/>
      <c r="L213" s="2846"/>
      <c r="M213" s="2846"/>
      <c r="N213" s="2846"/>
      <c r="O213" s="481"/>
      <c r="P213" s="485"/>
      <c r="Q213" s="1249"/>
      <c r="R213" s="1198"/>
      <c r="S213" s="1198"/>
      <c r="T213" s="1198"/>
      <c r="U213" s="1198"/>
      <c r="V213" s="1198"/>
      <c r="W213" s="1198"/>
      <c r="X213" s="1198"/>
      <c r="Y213" s="1249"/>
      <c r="Z213" s="1249"/>
      <c r="AA213" s="1198"/>
      <c r="AB213" s="1198"/>
      <c r="AC213" s="1198"/>
      <c r="AD213" s="1198"/>
      <c r="AE213" s="1198"/>
      <c r="AF213" s="1198"/>
      <c r="AG213" s="1198"/>
      <c r="AH213" s="1198"/>
      <c r="AI213" s="1198"/>
      <c r="AJ213" s="1198"/>
      <c r="AK213" s="1198"/>
      <c r="AL213" s="1198"/>
      <c r="AP213" s="1121"/>
    </row>
    <row r="214" spans="1:42" s="1119" customFormat="1" ht="5.0999999999999996" customHeight="1" thickBot="1">
      <c r="A214" s="1116"/>
      <c r="B214" s="467"/>
      <c r="C214" s="467"/>
      <c r="D214" s="467"/>
      <c r="E214" s="467"/>
      <c r="F214" s="467"/>
      <c r="G214" s="467"/>
      <c r="H214" s="467"/>
      <c r="I214" s="467"/>
      <c r="J214" s="467"/>
      <c r="K214" s="467"/>
      <c r="L214" s="467"/>
      <c r="M214" s="481"/>
      <c r="N214" s="481"/>
      <c r="O214" s="481"/>
      <c r="P214" s="485"/>
      <c r="Q214" s="1249"/>
      <c r="R214" s="1198"/>
      <c r="S214" s="1198"/>
      <c r="T214" s="1198"/>
      <c r="U214" s="1198"/>
      <c r="V214" s="1198"/>
      <c r="W214" s="1198"/>
      <c r="X214" s="1198"/>
      <c r="Y214" s="1249"/>
      <c r="Z214" s="1249"/>
      <c r="AA214" s="1198"/>
      <c r="AB214" s="1198"/>
      <c r="AC214" s="1198"/>
      <c r="AD214" s="1198"/>
      <c r="AE214" s="1198"/>
      <c r="AF214" s="1198"/>
      <c r="AG214" s="1198"/>
      <c r="AH214" s="1198"/>
      <c r="AI214" s="1198"/>
      <c r="AJ214" s="1198"/>
      <c r="AK214" s="1198"/>
      <c r="AL214" s="1198"/>
      <c r="AP214" s="1121"/>
    </row>
    <row r="215" spans="1:42" s="1119" customFormat="1" ht="5.0999999999999996" customHeight="1">
      <c r="A215" s="1116"/>
      <c r="B215" s="479"/>
      <c r="C215" s="479"/>
      <c r="D215" s="902"/>
      <c r="E215" s="904"/>
      <c r="F215" s="953"/>
      <c r="G215" s="953"/>
      <c r="H215" s="953"/>
      <c r="I215" s="953"/>
      <c r="J215" s="954"/>
      <c r="K215" s="1798"/>
      <c r="L215" s="1798"/>
      <c r="M215" s="1798"/>
      <c r="N215" s="1798"/>
      <c r="O215" s="485"/>
      <c r="P215" s="485"/>
      <c r="Q215" s="1435"/>
      <c r="R215" s="1198"/>
      <c r="S215" s="1435"/>
      <c r="T215" s="1435"/>
      <c r="U215" s="1435"/>
      <c r="V215" s="1198"/>
      <c r="W215" s="1198"/>
      <c r="X215" s="1198"/>
      <c r="Y215" s="1198"/>
      <c r="Z215" s="1198"/>
      <c r="AA215" s="1198"/>
      <c r="AB215" s="1198"/>
      <c r="AC215" s="1198"/>
      <c r="AD215" s="1198"/>
      <c r="AE215" s="1198"/>
      <c r="AF215" s="1198"/>
      <c r="AG215" s="1198"/>
      <c r="AH215" s="1198"/>
      <c r="AI215" s="1198"/>
      <c r="AJ215" s="1198"/>
      <c r="AK215" s="1198"/>
      <c r="AL215" s="1198"/>
      <c r="AP215" s="1121"/>
    </row>
    <row r="216" spans="1:42" s="1119" customFormat="1" ht="12.75" customHeight="1">
      <c r="A216" s="1116"/>
      <c r="B216" s="467"/>
      <c r="C216" s="467"/>
      <c r="D216" s="1050"/>
      <c r="E216" s="1099"/>
      <c r="F216" s="1099"/>
      <c r="G216" s="910" t="str">
        <f>EUconst_Unit</f>
        <v>Unit</v>
      </c>
      <c r="H216" s="1100">
        <f t="shared" ref="H216:N216" si="38">H$421</f>
        <v>2024</v>
      </c>
      <c r="I216" s="1101">
        <f t="shared" si="38"/>
        <v>2025</v>
      </c>
      <c r="J216" s="2025">
        <f t="shared" si="38"/>
        <v>2026</v>
      </c>
      <c r="K216" s="1490">
        <f t="shared" si="38"/>
        <v>2027</v>
      </c>
      <c r="L216" s="1490">
        <f t="shared" si="38"/>
        <v>2028</v>
      </c>
      <c r="M216" s="1490">
        <f t="shared" si="38"/>
        <v>2029</v>
      </c>
      <c r="N216" s="1490">
        <f t="shared" si="38"/>
        <v>2030</v>
      </c>
      <c r="O216" s="481"/>
      <c r="P216" s="485"/>
      <c r="Q216" s="1249"/>
      <c r="R216" s="1198"/>
      <c r="S216" s="1198"/>
      <c r="T216" s="1198"/>
      <c r="U216" s="1198"/>
      <c r="V216" s="1198"/>
      <c r="W216" s="1198"/>
      <c r="X216" s="1198"/>
      <c r="Y216" s="1249"/>
      <c r="Z216" s="1249"/>
      <c r="AA216" s="1198"/>
      <c r="AB216" s="1198"/>
      <c r="AC216" s="1198"/>
      <c r="AD216" s="1198"/>
      <c r="AE216" s="1198"/>
      <c r="AF216" s="1198"/>
      <c r="AG216" s="1198"/>
      <c r="AH216" s="1198"/>
      <c r="AI216" s="1198"/>
      <c r="AJ216" s="1198"/>
      <c r="AK216" s="1198"/>
      <c r="AL216" s="1198"/>
      <c r="AP216" s="1121"/>
    </row>
    <row r="217" spans="1:42" s="1119" customFormat="1" ht="12.75" customHeight="1">
      <c r="A217" s="1116"/>
      <c r="B217" s="467"/>
      <c r="C217" s="467"/>
      <c r="D217" s="1103"/>
      <c r="E217" s="2735" t="s">
        <v>204</v>
      </c>
      <c r="F217" s="2736"/>
      <c r="G217" s="944" t="str">
        <f>EUconst_EUA</f>
        <v>UKA</v>
      </c>
      <c r="H217" s="853" t="str">
        <f t="shared" ref="H217:N217" si="39">IF(COUNT(H208:H210)&gt;0,SUMPRODUCT(H208:H210,$F$208:$F$210),"")</f>
        <v/>
      </c>
      <c r="I217" s="1086" t="str">
        <f t="shared" si="39"/>
        <v/>
      </c>
      <c r="J217" s="2026" t="str">
        <f t="shared" si="39"/>
        <v/>
      </c>
      <c r="K217" s="2021" t="str">
        <f t="shared" si="39"/>
        <v/>
      </c>
      <c r="L217" s="2021" t="str">
        <f t="shared" si="39"/>
        <v/>
      </c>
      <c r="M217" s="2021" t="str">
        <f t="shared" si="39"/>
        <v/>
      </c>
      <c r="N217" s="2021" t="str">
        <f t="shared" si="39"/>
        <v/>
      </c>
      <c r="O217" s="481"/>
      <c r="P217" s="485"/>
      <c r="Q217" s="1963" t="str">
        <f>EUconst_CNTR_HVC</f>
        <v>HVC_</v>
      </c>
      <c r="R217" s="1198"/>
      <c r="S217" s="1198"/>
      <c r="T217" s="1198"/>
      <c r="U217" s="1198"/>
      <c r="V217" s="1198"/>
      <c r="W217" s="1198"/>
      <c r="X217" s="1198"/>
      <c r="Y217" s="1249"/>
      <c r="Z217" s="1249"/>
      <c r="AA217" s="1198"/>
      <c r="AB217" s="1198"/>
      <c r="AC217" s="1198"/>
      <c r="AD217" s="1198"/>
      <c r="AE217" s="1198"/>
      <c r="AF217" s="1198"/>
      <c r="AG217" s="1198"/>
      <c r="AH217" s="1198"/>
      <c r="AI217" s="1198"/>
      <c r="AJ217" s="1198"/>
      <c r="AK217" s="1198"/>
      <c r="AL217" s="1198"/>
      <c r="AP217" s="1121"/>
    </row>
    <row r="218" spans="1:42" s="1119" customFormat="1" ht="5.0999999999999996" customHeight="1" thickBot="1">
      <c r="A218" s="1116"/>
      <c r="B218" s="467"/>
      <c r="C218" s="467"/>
      <c r="D218" s="918"/>
      <c r="E218" s="1099"/>
      <c r="F218" s="1099"/>
      <c r="G218" s="1099"/>
      <c r="H218" s="1099"/>
      <c r="I218" s="1099"/>
      <c r="J218" s="2027"/>
      <c r="K218" s="1900"/>
      <c r="L218" s="1900"/>
      <c r="M218" s="1900"/>
      <c r="N218" s="1900"/>
      <c r="O218" s="481"/>
      <c r="P218" s="485"/>
      <c r="Q218" s="1249"/>
      <c r="R218" s="1198"/>
      <c r="S218" s="1198"/>
      <c r="T218" s="1198"/>
      <c r="U218" s="1198"/>
      <c r="V218" s="1198"/>
      <c r="W218" s="1198"/>
      <c r="X218" s="1198"/>
      <c r="Y218" s="1249"/>
      <c r="Z218" s="1249"/>
      <c r="AA218" s="1198"/>
      <c r="AB218" s="1198"/>
      <c r="AC218" s="1198"/>
      <c r="AD218" s="1198"/>
      <c r="AE218" s="1198"/>
      <c r="AF218" s="1198"/>
      <c r="AG218" s="1198"/>
      <c r="AH218" s="1198"/>
      <c r="AI218" s="1198"/>
      <c r="AJ218" s="1198"/>
      <c r="AK218" s="1198"/>
      <c r="AL218" s="1198"/>
      <c r="AP218" s="1121"/>
    </row>
    <row r="219" spans="1:42" s="1119" customFormat="1" ht="12.75" customHeight="1">
      <c r="A219" s="1116"/>
      <c r="B219" s="479"/>
      <c r="C219" s="479"/>
      <c r="D219" s="918"/>
      <c r="E219" s="2785" t="s">
        <v>1652</v>
      </c>
      <c r="F219" s="2786"/>
      <c r="G219" s="2786"/>
      <c r="H219" s="910" t="str">
        <f>EUconst_Unit</f>
        <v>Unit</v>
      </c>
      <c r="I219" s="911" t="s">
        <v>2213</v>
      </c>
      <c r="J219" s="2025">
        <f>J$421</f>
        <v>2026</v>
      </c>
      <c r="K219" s="1490">
        <f>K$421</f>
        <v>2027</v>
      </c>
      <c r="L219" s="1490">
        <f>L$421</f>
        <v>2028</v>
      </c>
      <c r="M219" s="1490">
        <f>M$421</f>
        <v>2029</v>
      </c>
      <c r="N219" s="1490">
        <f>N$421</f>
        <v>2030</v>
      </c>
      <c r="O219" s="485"/>
      <c r="P219" s="485"/>
      <c r="Q219" s="1435"/>
      <c r="R219" s="1198"/>
      <c r="S219" s="1198"/>
      <c r="T219" s="1198"/>
      <c r="U219" s="1648"/>
      <c r="V219" s="1649">
        <f>J219</f>
        <v>2026</v>
      </c>
      <c r="W219" s="1649">
        <f>K219</f>
        <v>2027</v>
      </c>
      <c r="X219" s="1649">
        <f>L219</f>
        <v>2028</v>
      </c>
      <c r="Y219" s="1649">
        <f>M219</f>
        <v>2029</v>
      </c>
      <c r="Z219" s="1650">
        <f>N219</f>
        <v>2030</v>
      </c>
      <c r="AA219" s="1198"/>
      <c r="AB219" s="1198"/>
      <c r="AC219" s="1198"/>
      <c r="AD219" s="1198"/>
      <c r="AE219" s="1198"/>
      <c r="AF219" s="1198"/>
      <c r="AG219" s="1198"/>
      <c r="AH219" s="1198"/>
      <c r="AI219" s="1198"/>
      <c r="AJ219" s="1198"/>
      <c r="AK219" s="1198"/>
      <c r="AL219" s="1198"/>
      <c r="AP219" s="1121"/>
    </row>
    <row r="220" spans="1:42" s="1119" customFormat="1" ht="12.75" customHeight="1">
      <c r="A220" s="1116"/>
      <c r="B220" s="479"/>
      <c r="C220" s="479"/>
      <c r="D220" s="918"/>
      <c r="E220" s="2735" t="s">
        <v>1691</v>
      </c>
      <c r="F220" s="2736"/>
      <c r="G220" s="2736"/>
      <c r="H220" s="944" t="str">
        <f>EUconst_EUA</f>
        <v>UKA</v>
      </c>
      <c r="I220" s="800" t="str">
        <f>IF(ISNUMBER(INDEX('B+C_SubInstallations'!$M:$M,MATCH(Q220,'B+C_SubInstallations'!$X:$X,0))),INDEX('B+C_SubInstallations'!$M:$M,MATCH(Q220,'B+C_SubInstallations'!$X:$X,0)),"")</f>
        <v/>
      </c>
      <c r="J220" s="2028" t="str">
        <f>IF($L174&lt;&gt;EUconst_Relevant,"",IF(AND(V220&gt;=3,CNTR_ReportingYear&gt;J219-1),AVERAGE(SUM(H217),SUM(I217)),""))</f>
        <v/>
      </c>
      <c r="K220" s="1895" t="str">
        <f>IF($L174&lt;&gt;EUconst_Relevant,"",IF(AND(W220&gt;=3,CNTR_ReportingYear&gt;K219-1),AVERAGE(SUM(I217),SUM(J217)),""))</f>
        <v/>
      </c>
      <c r="L220" s="1895" t="str">
        <f>IF($L174&lt;&gt;EUconst_Relevant,"",IF(AND(X220&gt;=3,CNTR_ReportingYear&gt;L219-1),AVERAGE(SUM(J217),SUM(K217)),""))</f>
        <v/>
      </c>
      <c r="M220" s="1895" t="str">
        <f>IF($L174&lt;&gt;EUconst_Relevant,"",IF(AND(Y220&gt;=3,CNTR_ReportingYear&gt;M219-1),AVERAGE(SUM(K217),SUM(L217)),""))</f>
        <v/>
      </c>
      <c r="N220" s="1895" t="str">
        <f>IF($L174&lt;&gt;EUconst_Relevant,"",IF(AND(Z220&gt;=3,CNTR_ReportingYear&gt;N219-1),AVERAGE(SUM(L217),SUM(M217)),""))</f>
        <v/>
      </c>
      <c r="O220" s="485"/>
      <c r="P220" s="485"/>
      <c r="Q220" s="1963" t="str">
        <f>EUconst_CNTR_HVCInitial &amp; INDEX(EUconst_BMlistNames,R174)</f>
        <v>HVCIni_Steam cracking</v>
      </c>
      <c r="R220" s="1198"/>
      <c r="S220" s="1198"/>
      <c r="T220" s="1198"/>
      <c r="U220" s="1693" t="s">
        <v>1650</v>
      </c>
      <c r="V220" s="1635">
        <f>V219-$V174+1</f>
        <v>22</v>
      </c>
      <c r="W220" s="1635">
        <f>W219-$V174+1</f>
        <v>23</v>
      </c>
      <c r="X220" s="1635">
        <f>X219-$V174+1</f>
        <v>24</v>
      </c>
      <c r="Y220" s="1635">
        <f>Y219-$V174+1</f>
        <v>25</v>
      </c>
      <c r="Z220" s="1654">
        <f>Z219-$V174+1</f>
        <v>26</v>
      </c>
      <c r="AA220" s="1198"/>
      <c r="AB220" s="1198"/>
      <c r="AC220" s="1198"/>
      <c r="AD220" s="1198"/>
      <c r="AE220" s="1198"/>
      <c r="AF220" s="1198"/>
      <c r="AG220" s="1198"/>
      <c r="AH220" s="1198"/>
      <c r="AI220" s="1198"/>
      <c r="AJ220" s="1198"/>
      <c r="AK220" s="1198"/>
      <c r="AL220" s="1198"/>
      <c r="AP220" s="1121"/>
    </row>
    <row r="221" spans="1:42" s="1119" customFormat="1" ht="12.75" hidden="1" customHeight="1">
      <c r="A221" s="618" t="s">
        <v>2289</v>
      </c>
      <c r="B221" s="479"/>
      <c r="C221" s="479"/>
      <c r="D221" s="918"/>
      <c r="E221" s="2735" t="s">
        <v>1776</v>
      </c>
      <c r="F221" s="2736"/>
      <c r="G221" s="2736"/>
      <c r="H221" s="2736"/>
      <c r="I221" s="2737"/>
      <c r="J221" s="17" t="str">
        <f>IF(J220="","",IF($I223=0,100%,J220/$I223-1))</f>
        <v/>
      </c>
      <c r="K221" s="22" t="str">
        <f>IF(K220="","",IF($I223=0,100%,K220/$I223-1))</f>
        <v/>
      </c>
      <c r="L221" s="22" t="str">
        <f>IF(L220="","",IF($I223=0,100%,L220/$I223-1))</f>
        <v/>
      </c>
      <c r="M221" s="22" t="str">
        <f>IF(M220="","",IF($I223=0,100%,M220/$I223-1))</f>
        <v/>
      </c>
      <c r="N221" s="22" t="str">
        <f>IF(N220="","",IF($I223=0,100%,N220/$I223-1))</f>
        <v/>
      </c>
      <c r="O221" s="485"/>
      <c r="P221" s="485"/>
      <c r="Q221" s="1644" t="str">
        <f>EUconst_CNTR_RelThreshold &amp; Q223</f>
        <v>RelThresh_HVCprelim_</v>
      </c>
      <c r="R221" s="1198"/>
      <c r="S221" s="1198"/>
      <c r="T221" s="1198"/>
      <c r="U221" s="1693" t="s">
        <v>1655</v>
      </c>
      <c r="V221" s="1158" t="str">
        <f>IF(J220="","",ABS(J221)&gt;15%)</f>
        <v/>
      </c>
      <c r="W221" s="1158" t="str">
        <f>IF(K220="","",ABS(K221)&gt;15%)</f>
        <v/>
      </c>
      <c r="X221" s="1158" t="str">
        <f>IF(L220="","",ABS(L221)&gt;15%)</f>
        <v/>
      </c>
      <c r="Y221" s="1158" t="str">
        <f>IF(M220="","",ABS(M221)&gt;15%)</f>
        <v/>
      </c>
      <c r="Z221" s="1656" t="str">
        <f>IF(N220="","",ABS(N221)&gt;15%)</f>
        <v/>
      </c>
      <c r="AA221" s="1198"/>
      <c r="AB221" s="1198"/>
      <c r="AC221" s="1198"/>
      <c r="AD221" s="1198"/>
      <c r="AE221" s="1198"/>
      <c r="AF221" s="1198"/>
      <c r="AG221" s="1198"/>
      <c r="AH221" s="1198"/>
      <c r="AI221" s="1198"/>
      <c r="AJ221" s="1198"/>
      <c r="AK221" s="1198"/>
      <c r="AL221" s="1198"/>
      <c r="AP221" s="1121"/>
    </row>
    <row r="222" spans="1:42" s="1119" customFormat="1" ht="12.75" customHeight="1">
      <c r="A222" s="618"/>
      <c r="B222" s="479"/>
      <c r="C222" s="479"/>
      <c r="D222" s="918"/>
      <c r="E222" s="2735" t="s">
        <v>1654</v>
      </c>
      <c r="F222" s="2736"/>
      <c r="G222" s="2736"/>
      <c r="H222" s="2736"/>
      <c r="I222" s="2737"/>
      <c r="J222" s="1658" t="str">
        <f>IF(J220="","",IF(V221=FALSE,0%,J221))</f>
        <v/>
      </c>
      <c r="K222" s="1795" t="str">
        <f>IF(K220="","",IF(W221=FALSE,0%,K221))</f>
        <v/>
      </c>
      <c r="L222" s="1795" t="str">
        <f>IF(L220="","",IF(X221=FALSE,0%,L221))</f>
        <v/>
      </c>
      <c r="M222" s="1795" t="str">
        <f>IF(M220="","",IF(Y221=FALSE,0%,M221))</f>
        <v/>
      </c>
      <c r="N222" s="1795" t="str">
        <f>IF(N220="","",IF(Z221=FALSE,0%,N221))</f>
        <v/>
      </c>
      <c r="O222" s="485"/>
      <c r="P222" s="485"/>
      <c r="Q222" s="1435"/>
      <c r="R222" s="1198"/>
      <c r="S222" s="1198"/>
      <c r="T222" s="1198"/>
      <c r="U222" s="1694"/>
      <c r="V222" s="1198"/>
      <c r="W222" s="1198"/>
      <c r="X222" s="1198"/>
      <c r="Y222" s="1198"/>
      <c r="Z222" s="1664"/>
      <c r="AA222" s="1198"/>
      <c r="AB222" s="1198"/>
      <c r="AC222" s="1198"/>
      <c r="AD222" s="1198"/>
      <c r="AE222" s="1198"/>
      <c r="AF222" s="1198"/>
      <c r="AG222" s="1198"/>
      <c r="AH222" s="1198"/>
      <c r="AI222" s="1198"/>
      <c r="AJ222" s="1198"/>
      <c r="AK222" s="1198"/>
      <c r="AL222" s="1198"/>
      <c r="AP222" s="1121"/>
    </row>
    <row r="223" spans="1:42" s="1119" customFormat="1" ht="12.75" hidden="1" customHeight="1" thickBot="1">
      <c r="A223" s="618" t="s">
        <v>2289</v>
      </c>
      <c r="B223" s="479"/>
      <c r="C223" s="479"/>
      <c r="D223" s="918"/>
      <c r="E223" s="2735" t="s">
        <v>1689</v>
      </c>
      <c r="F223" s="2736"/>
      <c r="G223" s="2736"/>
      <c r="H223" s="944" t="str">
        <f>EUconst_EUA</f>
        <v>UKA</v>
      </c>
      <c r="I223" s="800" t="str">
        <f>IF(L174&lt;&gt;EUconst_Relevant,"",IF(AB174=FALSE,EUconst_NA,IF(V174&gt;2018,INDEX(H217:N217,MATCH(V174,H216:N216,0)),SUM(I220))))</f>
        <v/>
      </c>
      <c r="J223" s="1894" t="str">
        <f>IF(V220&lt;2,SUM(J217),IF(V220&lt;3,SUM(I217),IF(V223="",I223,V223)))</f>
        <v/>
      </c>
      <c r="K223" s="1895" t="str">
        <f>IF(W220&lt;2,SUM(K217),IF(W220&lt;3,SUM(J217),IF(W223="",J223,W223)))</f>
        <v/>
      </c>
      <c r="L223" s="1895" t="str">
        <f>IF(X220&lt;2,SUM(L217),IF(X220&lt;3,SUM(K217),IF(X223="",K223,X223)))</f>
        <v/>
      </c>
      <c r="M223" s="1895" t="str">
        <f>IF(Y220&lt;2,SUM(M217),IF(Y220&lt;3,SUM(L217),IF(Y223="",L223,Y223)))</f>
        <v/>
      </c>
      <c r="N223" s="1895" t="str">
        <f>IF(Z220&lt;2,SUM(N217),IF(Z220&lt;3,SUM(M217),IF(Z223="",M223,Z223)))</f>
        <v/>
      </c>
      <c r="O223" s="485"/>
      <c r="P223" s="485"/>
      <c r="Q223" s="1644" t="str">
        <f>EUconst_CNTR_HVCprelim</f>
        <v>HVCprelim_</v>
      </c>
      <c r="R223" s="1198"/>
      <c r="S223" s="1198"/>
      <c r="T223" s="1198"/>
      <c r="U223" s="1897" t="s">
        <v>1651</v>
      </c>
      <c r="V223" s="2029" t="str">
        <f>IF(J220="","",IF(CNTR_ReportingYear&lt;J219,I222,IF($I223=0,J220,$I223*(1+J222))))</f>
        <v/>
      </c>
      <c r="W223" s="2029" t="str">
        <f>IF(K220="","",IF(CNTR_ReportingYear&lt;K219,J222,IF($I223=0,K220,$I223*(1+K222))))</f>
        <v/>
      </c>
      <c r="X223" s="2029" t="str">
        <f>IF(L220="","",IF(CNTR_ReportingYear&lt;L219,K222,IF($I223=0,L220,$I223*(1+L222))))</f>
        <v/>
      </c>
      <c r="Y223" s="2029" t="str">
        <f>IF(M220="","",IF(CNTR_ReportingYear&lt;M219,L222,IF($I223=0,M220,$I223*(1+M222))))</f>
        <v/>
      </c>
      <c r="Z223" s="2030" t="str">
        <f>IF(N220="","",IF(CNTR_ReportingYear&lt;N219,M222,IF($I223=0,N220,$I223*(1+N222))))</f>
        <v/>
      </c>
      <c r="AA223" s="1198"/>
      <c r="AB223" s="1198"/>
      <c r="AC223" s="1198"/>
      <c r="AD223" s="1198"/>
      <c r="AE223" s="1198"/>
      <c r="AF223" s="1198"/>
      <c r="AG223" s="1198"/>
      <c r="AH223" s="1198"/>
      <c r="AI223" s="1198"/>
      <c r="AJ223" s="1198"/>
      <c r="AK223" s="1198"/>
      <c r="AL223" s="1198"/>
      <c r="AP223" s="1121"/>
    </row>
    <row r="224" spans="1:42" s="1119" customFormat="1" ht="5.0999999999999996" customHeight="1">
      <c r="A224" s="618"/>
      <c r="B224" s="479"/>
      <c r="C224" s="479"/>
      <c r="D224" s="918"/>
      <c r="E224" s="909"/>
      <c r="F224" s="909"/>
      <c r="G224" s="909"/>
      <c r="H224" s="909"/>
      <c r="I224" s="909"/>
      <c r="J224" s="922"/>
      <c r="K224" s="1791"/>
      <c r="L224" s="1791"/>
      <c r="M224" s="1791"/>
      <c r="N224" s="1791"/>
      <c r="O224" s="485"/>
      <c r="P224" s="485"/>
      <c r="Q224" s="1435"/>
      <c r="R224" s="1198"/>
      <c r="S224" s="1198"/>
      <c r="T224" s="1198"/>
      <c r="U224" s="1435"/>
      <c r="V224" s="1435"/>
      <c r="W224" s="1198"/>
      <c r="X224" s="1198"/>
      <c r="Y224" s="1198"/>
      <c r="Z224" s="1198"/>
      <c r="AA224" s="1198"/>
      <c r="AB224" s="1198"/>
      <c r="AC224" s="1198"/>
      <c r="AD224" s="1198"/>
      <c r="AE224" s="1198"/>
      <c r="AF224" s="1198"/>
      <c r="AG224" s="1198"/>
      <c r="AH224" s="1198"/>
      <c r="AI224" s="1198"/>
      <c r="AJ224" s="1198"/>
      <c r="AK224" s="1198"/>
      <c r="AL224" s="1198"/>
      <c r="AP224" s="1121"/>
    </row>
    <row r="225" spans="1:42" s="1119" customFormat="1" ht="12.75" customHeight="1">
      <c r="A225" s="618"/>
      <c r="B225" s="479"/>
      <c r="C225" s="479"/>
      <c r="D225" s="918"/>
      <c r="E225" s="2785" t="s">
        <v>1653</v>
      </c>
      <c r="F225" s="2786"/>
      <c r="G225" s="2786"/>
      <c r="H225" s="2786"/>
      <c r="I225" s="2787"/>
      <c r="J225" s="2025">
        <f>J$421</f>
        <v>2026</v>
      </c>
      <c r="K225" s="1490">
        <f>K$421</f>
        <v>2027</v>
      </c>
      <c r="L225" s="1490">
        <f>L$421</f>
        <v>2028</v>
      </c>
      <c r="M225" s="1490">
        <f>M$421</f>
        <v>2029</v>
      </c>
      <c r="N225" s="1490">
        <f>N$421</f>
        <v>2030</v>
      </c>
      <c r="O225" s="485"/>
      <c r="P225" s="485"/>
      <c r="Q225" s="1435"/>
      <c r="R225" s="1198"/>
      <c r="S225" s="1198"/>
      <c r="T225" s="1198"/>
      <c r="U225" s="1198"/>
      <c r="V225" s="1198"/>
      <c r="W225" s="1198"/>
      <c r="X225" s="1198"/>
      <c r="Y225" s="1198"/>
      <c r="Z225" s="1198"/>
      <c r="AA225" s="1198"/>
      <c r="AB225" s="1198"/>
      <c r="AC225" s="1198"/>
      <c r="AD225" s="1198"/>
      <c r="AE225" s="1198"/>
      <c r="AF225" s="1198"/>
      <c r="AG225" s="1198"/>
      <c r="AH225" s="1198"/>
      <c r="AI225" s="1198"/>
      <c r="AJ225" s="1198"/>
      <c r="AK225" s="1198"/>
      <c r="AL225" s="1198"/>
      <c r="AP225" s="1121"/>
    </row>
    <row r="226" spans="1:42" s="1119" customFormat="1" ht="12.75" customHeight="1">
      <c r="A226" s="618"/>
      <c r="B226" s="479"/>
      <c r="C226" s="479"/>
      <c r="D226" s="918"/>
      <c r="E226" s="1047" t="s">
        <v>2108</v>
      </c>
      <c r="F226" s="2735"/>
      <c r="G226" s="2735"/>
      <c r="H226" s="2735"/>
      <c r="I226" s="2735"/>
      <c r="J226" s="1666" t="str">
        <f>IF($L174&lt;&gt;EUconst_Relevant,"",INDEX(K_Summary!J:J,MATCH($Q226,K_Summary!$P:$P,0)))</f>
        <v/>
      </c>
      <c r="K226" s="1791" t="str">
        <f>IF($L174&lt;&gt;EUconst_Relevant,"",INDEX(K_Summary!K:K,MATCH($Q226,K_Summary!$P:$P,0)))</f>
        <v/>
      </c>
      <c r="L226" s="1791" t="str">
        <f>IF($L174&lt;&gt;EUconst_Relevant,"",INDEX(K_Summary!L:L,MATCH($Q226,K_Summary!$P:$P,0)))</f>
        <v/>
      </c>
      <c r="M226" s="1791" t="str">
        <f>IF($L174&lt;&gt;EUconst_Relevant,"",INDEX(K_Summary!M:M,MATCH($Q226,K_Summary!$P:$P,0)))</f>
        <v/>
      </c>
      <c r="N226" s="1791" t="str">
        <f>IF($L174&lt;&gt;EUconst_Relevant,"",INDEX(K_Summary!N:N,MATCH($Q226,K_Summary!$P:$P,0)))</f>
        <v/>
      </c>
      <c r="O226" s="485"/>
      <c r="P226" s="485"/>
      <c r="Q226" s="1644" t="str">
        <f>EUconst_CNTR_100EUA_HVC &amp; INDEX(EUconst_BMlistNames,R174)</f>
        <v>EUA100HVC_Steam cracking</v>
      </c>
      <c r="R226" s="1198"/>
      <c r="S226" s="1198"/>
      <c r="T226" s="1198"/>
      <c r="U226" s="1198"/>
      <c r="V226" s="1198"/>
      <c r="W226" s="1198"/>
      <c r="X226" s="1198"/>
      <c r="Y226" s="1198"/>
      <c r="Z226" s="1198"/>
      <c r="AA226" s="1198"/>
      <c r="AB226" s="1198"/>
      <c r="AC226" s="1198"/>
      <c r="AD226" s="1198"/>
      <c r="AE226" s="1198"/>
      <c r="AF226" s="1198"/>
      <c r="AG226" s="1198"/>
      <c r="AH226" s="1198"/>
      <c r="AI226" s="1198"/>
      <c r="AJ226" s="1198"/>
      <c r="AK226" s="1198"/>
      <c r="AL226" s="1198"/>
      <c r="AP226" s="1121"/>
    </row>
    <row r="227" spans="1:42" s="1119" customFormat="1" ht="5.0999999999999996" customHeight="1" thickBot="1">
      <c r="A227" s="618"/>
      <c r="B227" s="479"/>
      <c r="C227" s="479"/>
      <c r="D227" s="918"/>
      <c r="E227" s="909"/>
      <c r="F227" s="909"/>
      <c r="G227" s="909"/>
      <c r="H227" s="909"/>
      <c r="I227" s="909"/>
      <c r="J227" s="922"/>
      <c r="K227" s="1791"/>
      <c r="L227" s="1791"/>
      <c r="M227" s="1791"/>
      <c r="N227" s="1791"/>
      <c r="O227" s="485"/>
      <c r="P227" s="485"/>
      <c r="Q227" s="1435"/>
      <c r="R227" s="1198"/>
      <c r="S227" s="1198"/>
      <c r="T227" s="1198"/>
      <c r="U227" s="1435"/>
      <c r="V227" s="1435"/>
      <c r="W227" s="1198"/>
      <c r="X227" s="1198"/>
      <c r="Y227" s="1198"/>
      <c r="Z227" s="1198"/>
      <c r="AA227" s="1198"/>
      <c r="AB227" s="1198"/>
      <c r="AC227" s="1198"/>
      <c r="AD227" s="1198"/>
      <c r="AE227" s="1198"/>
      <c r="AF227" s="1198"/>
      <c r="AG227" s="1198"/>
      <c r="AH227" s="1198"/>
      <c r="AI227" s="1198"/>
      <c r="AJ227" s="1198"/>
      <c r="AK227" s="1198"/>
      <c r="AL227" s="1198"/>
      <c r="AP227" s="1121"/>
    </row>
    <row r="228" spans="1:42" s="1119" customFormat="1" ht="12.75" customHeight="1" thickBot="1">
      <c r="A228" s="1116"/>
      <c r="B228" s="479"/>
      <c r="C228" s="479"/>
      <c r="D228" s="918"/>
      <c r="E228" s="2735" t="s">
        <v>1657</v>
      </c>
      <c r="F228" s="2736"/>
      <c r="G228" s="2736"/>
      <c r="H228" s="2736"/>
      <c r="I228" s="2737"/>
      <c r="J228" s="1668" t="str">
        <f>IF(J226="","",IF(J226,J222,I228))</f>
        <v/>
      </c>
      <c r="K228" s="1796" t="str">
        <f>IF(K226="","",IF(K226,K222,J228))</f>
        <v/>
      </c>
      <c r="L228" s="1796" t="str">
        <f>IF(L226="","",IF(L226,L222,K228))</f>
        <v/>
      </c>
      <c r="M228" s="1796" t="str">
        <f>IF(M226="","",IF(M226,M222,L228))</f>
        <v/>
      </c>
      <c r="N228" s="1796" t="str">
        <f>IF(N226="","",IF(N226,N222,M228))</f>
        <v/>
      </c>
      <c r="O228" s="485"/>
      <c r="P228" s="485"/>
      <c r="Q228" s="1435"/>
      <c r="R228" s="1198"/>
      <c r="S228" s="1198"/>
      <c r="T228" s="1198"/>
      <c r="U228" s="1648" t="s">
        <v>1658</v>
      </c>
      <c r="V228" s="1649">
        <f>V219</f>
        <v>2026</v>
      </c>
      <c r="W228" s="1649">
        <f>W219</f>
        <v>2027</v>
      </c>
      <c r="X228" s="1649">
        <f>X219</f>
        <v>2028</v>
      </c>
      <c r="Y228" s="1649">
        <f>Y219</f>
        <v>2029</v>
      </c>
      <c r="Z228" s="1650">
        <f>Z219</f>
        <v>2030</v>
      </c>
      <c r="AA228" s="1198"/>
      <c r="AB228" s="1198"/>
      <c r="AC228" s="1198"/>
      <c r="AD228" s="1198"/>
      <c r="AE228" s="1198"/>
      <c r="AF228" s="1198"/>
      <c r="AG228" s="1198"/>
      <c r="AH228" s="1198"/>
      <c r="AI228" s="1198"/>
      <c r="AJ228" s="1198"/>
      <c r="AK228" s="1198"/>
      <c r="AL228" s="1198"/>
      <c r="AP228" s="1121"/>
    </row>
    <row r="229" spans="1:42" s="1119" customFormat="1" ht="12.75" hidden="1" customHeight="1" thickBot="1">
      <c r="A229" s="618" t="s">
        <v>2289</v>
      </c>
      <c r="B229" s="479"/>
      <c r="C229" s="479"/>
      <c r="D229" s="918"/>
      <c r="E229" s="2735" t="s">
        <v>1659</v>
      </c>
      <c r="F229" s="2736"/>
      <c r="G229" s="2736"/>
      <c r="H229" s="944" t="str">
        <f>EUconst_EUA</f>
        <v>UKA</v>
      </c>
      <c r="I229" s="800" t="str">
        <f>I223</f>
        <v/>
      </c>
      <c r="J229" s="1959" t="str">
        <f>IF($L174&lt;&gt;EUconst_Relevant,"",IF(J207&gt;$Z174,1,IF(OR($I229=EUconst_NA,J226=TRUE,J228="",J225&lt;=$V174),J223,I229)))</f>
        <v/>
      </c>
      <c r="K229" s="1960" t="str">
        <f>IF($L174&lt;&gt;EUconst_Relevant,"",IF(K207&gt;$Z174,1,IF(OR($I229=EUconst_NA,K226=TRUE,K228="",K225&lt;=$V174),K223,J229)))</f>
        <v/>
      </c>
      <c r="L229" s="1960" t="str">
        <f>IF($L174&lt;&gt;EUconst_Relevant,"",IF(L207&gt;$Z174,1,IF(OR($I229=EUconst_NA,L226=TRUE,L228="",L225&lt;=$V174),L223,K229)))</f>
        <v/>
      </c>
      <c r="M229" s="1960" t="str">
        <f>IF($L174&lt;&gt;EUconst_Relevant,"",IF(M207&gt;$Z174,1,IF(OR($I229=EUconst_NA,M226=TRUE,M228="",M225&lt;=$V174),M223,L229)))</f>
        <v/>
      </c>
      <c r="N229" s="1960" t="str">
        <f>IF($L174&lt;&gt;EUconst_Relevant,"",IF(N207&gt;$Z174,1,IF(OR($I229=EUconst_NA,N226=TRUE,N228="",N225&lt;=$V174),N223,M229)))</f>
        <v/>
      </c>
      <c r="O229" s="485"/>
      <c r="P229" s="485"/>
      <c r="Q229" s="1644" t="str">
        <f>EUconst_CNTR_HVCfinal</f>
        <v>HVCfinal_</v>
      </c>
      <c r="R229" s="1198"/>
      <c r="S229" s="1198"/>
      <c r="T229" s="1198"/>
      <c r="U229" s="1961" t="b">
        <v>0</v>
      </c>
      <c r="V229" s="1675" t="b">
        <f>IF(J226=TRUE,V221,U229)</f>
        <v>0</v>
      </c>
      <c r="W229" s="1675" t="b">
        <f>IF(K226=TRUE,W221,V229)</f>
        <v>0</v>
      </c>
      <c r="X229" s="1675" t="b">
        <f>IF(L226=TRUE,X221,W229)</f>
        <v>0</v>
      </c>
      <c r="Y229" s="1675" t="b">
        <f>IF(M226=TRUE,Y221,X229)</f>
        <v>0</v>
      </c>
      <c r="Z229" s="1676" t="b">
        <f>IF(N226=TRUE,Z221,Y229)</f>
        <v>0</v>
      </c>
      <c r="AA229" s="1198"/>
      <c r="AB229" s="1198"/>
      <c r="AC229" s="1198"/>
      <c r="AD229" s="1198"/>
      <c r="AE229" s="1198"/>
      <c r="AF229" s="1198"/>
      <c r="AG229" s="1198"/>
      <c r="AH229" s="1198"/>
      <c r="AI229" s="1198"/>
      <c r="AJ229" s="1198"/>
      <c r="AK229" s="1198"/>
      <c r="AL229" s="1198"/>
      <c r="AP229" s="1121"/>
    </row>
    <row r="230" spans="1:42" s="1119" customFormat="1" ht="5.0999999999999996" customHeight="1" thickBot="1">
      <c r="A230" s="1116"/>
      <c r="B230" s="467"/>
      <c r="C230" s="467"/>
      <c r="D230" s="1022"/>
      <c r="E230" s="1023"/>
      <c r="F230" s="1023"/>
      <c r="G230" s="1023"/>
      <c r="H230" s="1023"/>
      <c r="I230" s="1023"/>
      <c r="J230" s="1024"/>
      <c r="K230" s="1900"/>
      <c r="L230" s="1900"/>
      <c r="M230" s="1900"/>
      <c r="N230" s="1900"/>
      <c r="O230" s="481"/>
      <c r="P230" s="485"/>
      <c r="Q230" s="1249"/>
      <c r="R230" s="1198"/>
      <c r="S230" s="1198"/>
      <c r="T230" s="1198"/>
      <c r="U230" s="1198"/>
      <c r="V230" s="1198"/>
      <c r="W230" s="1198"/>
      <c r="X230" s="1198"/>
      <c r="Y230" s="1249"/>
      <c r="Z230" s="1249"/>
      <c r="AA230" s="1198"/>
      <c r="AB230" s="1198"/>
      <c r="AC230" s="1198"/>
      <c r="AD230" s="1198"/>
      <c r="AE230" s="1198"/>
      <c r="AF230" s="1198"/>
      <c r="AG230" s="1198"/>
      <c r="AH230" s="1198"/>
      <c r="AI230" s="1198"/>
      <c r="AJ230" s="1198"/>
      <c r="AK230" s="1198"/>
      <c r="AL230" s="1198"/>
      <c r="AP230" s="1121"/>
    </row>
    <row r="231" spans="1:42" s="1119" customFormat="1" ht="5.0999999999999996" customHeight="1">
      <c r="A231" s="1116"/>
      <c r="B231" s="467"/>
      <c r="C231" s="467"/>
      <c r="D231" s="467"/>
      <c r="E231" s="467"/>
      <c r="F231" s="467"/>
      <c r="G231" s="467"/>
      <c r="H231" s="467"/>
      <c r="I231" s="467"/>
      <c r="J231" s="467"/>
      <c r="K231" s="467"/>
      <c r="L231" s="467"/>
      <c r="M231" s="481"/>
      <c r="N231" s="481"/>
      <c r="O231" s="481"/>
      <c r="P231" s="485"/>
      <c r="Q231" s="1249"/>
      <c r="R231" s="1198"/>
      <c r="S231" s="1198"/>
      <c r="T231" s="1198"/>
      <c r="U231" s="1198"/>
      <c r="V231" s="1198"/>
      <c r="W231" s="1198"/>
      <c r="X231" s="1198"/>
      <c r="Y231" s="1249"/>
      <c r="Z231" s="1249"/>
      <c r="AA231" s="1198"/>
      <c r="AB231" s="1198"/>
      <c r="AC231" s="1198"/>
      <c r="AD231" s="1198"/>
      <c r="AE231" s="1198"/>
      <c r="AF231" s="1198"/>
      <c r="AG231" s="1198"/>
      <c r="AH231" s="1198"/>
      <c r="AI231" s="1198"/>
      <c r="AJ231" s="1198"/>
      <c r="AK231" s="1198"/>
      <c r="AL231" s="1198"/>
      <c r="AP231" s="1121"/>
    </row>
    <row r="232" spans="1:42" s="1119" customFormat="1">
      <c r="A232" s="1116"/>
      <c r="B232" s="467"/>
      <c r="C232" s="467"/>
      <c r="D232" s="467"/>
      <c r="E232" s="2782" t="str">
        <f>IF(L174=EUconst_Relevant,HYPERLINK(R232,EUconst_MsgBackToSheetF),"")</f>
        <v/>
      </c>
      <c r="F232" s="2783"/>
      <c r="G232" s="2783"/>
      <c r="H232" s="2783"/>
      <c r="I232" s="2783"/>
      <c r="J232" s="2783"/>
      <c r="K232" s="2783"/>
      <c r="L232" s="2783"/>
      <c r="M232" s="2783"/>
      <c r="N232" s="2784"/>
      <c r="O232" s="481"/>
      <c r="P232" s="485"/>
      <c r="Q232" s="1893" t="s">
        <v>116</v>
      </c>
      <c r="R232" s="1443" t="str">
        <f>R176</f>
        <v/>
      </c>
      <c r="S232" s="1198"/>
      <c r="T232" s="1198"/>
      <c r="U232" s="1198"/>
      <c r="V232" s="1198"/>
      <c r="W232" s="1198"/>
      <c r="X232" s="1198"/>
      <c r="Y232" s="1249"/>
      <c r="Z232" s="1249"/>
      <c r="AA232" s="1198"/>
      <c r="AB232" s="1198"/>
      <c r="AC232" s="1198"/>
      <c r="AD232" s="1198"/>
      <c r="AE232" s="1198"/>
      <c r="AF232" s="1198"/>
      <c r="AG232" s="1198"/>
      <c r="AH232" s="1198"/>
      <c r="AI232" s="1198"/>
      <c r="AJ232" s="1198"/>
      <c r="AK232" s="1198"/>
      <c r="AL232" s="1198"/>
      <c r="AP232" s="1121"/>
    </row>
    <row r="233" spans="1:42" s="1119" customFormat="1">
      <c r="A233" s="1116"/>
      <c r="B233" s="1124"/>
      <c r="C233" s="485"/>
      <c r="D233" s="485"/>
      <c r="E233" s="485"/>
      <c r="F233" s="485"/>
      <c r="G233" s="485"/>
      <c r="H233" s="485"/>
      <c r="I233" s="485"/>
      <c r="J233" s="485"/>
      <c r="K233" s="485"/>
      <c r="L233" s="485"/>
      <c r="M233" s="485"/>
      <c r="N233" s="485"/>
      <c r="O233" s="481"/>
      <c r="P233" s="485"/>
      <c r="Q233" s="1198"/>
      <c r="R233" s="1198"/>
      <c r="S233" s="1198"/>
      <c r="T233" s="1198"/>
      <c r="U233" s="1198"/>
      <c r="V233" s="1198"/>
      <c r="W233" s="1198"/>
      <c r="X233" s="1198"/>
      <c r="Y233" s="1249"/>
      <c r="Z233" s="1249"/>
      <c r="AA233" s="1198"/>
      <c r="AB233" s="1198"/>
      <c r="AC233" s="1198"/>
      <c r="AD233" s="1198"/>
      <c r="AE233" s="1198"/>
      <c r="AF233" s="1198"/>
      <c r="AG233" s="1198"/>
      <c r="AH233" s="1198"/>
      <c r="AI233" s="1198"/>
      <c r="AJ233" s="1198"/>
      <c r="AK233" s="1198"/>
      <c r="AL233" s="1198"/>
      <c r="AP233" s="1121"/>
    </row>
    <row r="234" spans="1:42" s="1119" customFormat="1" ht="15.6" customHeight="1">
      <c r="A234" s="1116"/>
      <c r="B234" s="467"/>
      <c r="C234" s="507" t="s">
        <v>636</v>
      </c>
      <c r="D234" s="2408" t="s">
        <v>453</v>
      </c>
      <c r="E234" s="2408"/>
      <c r="F234" s="2408"/>
      <c r="G234" s="2408"/>
      <c r="H234" s="2408"/>
      <c r="I234" s="2408"/>
      <c r="J234" s="2408"/>
      <c r="K234" s="2408"/>
      <c r="L234" s="2408"/>
      <c r="M234" s="2408"/>
      <c r="N234" s="2408"/>
      <c r="O234" s="481"/>
      <c r="P234" s="485"/>
      <c r="Q234" s="1249"/>
      <c r="R234" s="1198"/>
      <c r="S234" s="1198"/>
      <c r="T234" s="1198"/>
      <c r="U234" s="1198"/>
      <c r="V234" s="1198"/>
      <c r="W234" s="1198"/>
      <c r="X234" s="1198"/>
      <c r="Y234" s="1249"/>
      <c r="Z234" s="1249"/>
      <c r="AA234" s="1198"/>
      <c r="AB234" s="1198"/>
      <c r="AC234" s="1198"/>
      <c r="AD234" s="1198"/>
      <c r="AE234" s="1198"/>
      <c r="AF234" s="1198"/>
      <c r="AG234" s="1198"/>
      <c r="AH234" s="1198"/>
      <c r="AI234" s="1198"/>
      <c r="AJ234" s="1198"/>
      <c r="AK234" s="1198"/>
      <c r="AL234" s="1198"/>
      <c r="AP234" s="1121"/>
    </row>
    <row r="235" spans="1:42" s="1119" customFormat="1" ht="5.0999999999999996" customHeight="1">
      <c r="A235" s="1116"/>
      <c r="B235" s="467"/>
      <c r="C235" s="467"/>
      <c r="D235" s="467"/>
      <c r="E235" s="467"/>
      <c r="F235" s="467"/>
      <c r="G235" s="467"/>
      <c r="H235" s="467"/>
      <c r="I235" s="467"/>
      <c r="J235" s="467"/>
      <c r="K235" s="467"/>
      <c r="L235" s="467"/>
      <c r="M235" s="481"/>
      <c r="N235" s="481"/>
      <c r="O235" s="481"/>
      <c r="P235" s="485"/>
      <c r="Q235" s="1249"/>
      <c r="R235" s="1198"/>
      <c r="S235" s="1198"/>
      <c r="T235" s="1198"/>
      <c r="U235" s="1198"/>
      <c r="V235" s="1198"/>
      <c r="W235" s="1198"/>
      <c r="X235" s="1198"/>
      <c r="Y235" s="1249"/>
      <c r="Z235" s="1249"/>
      <c r="AA235" s="1198"/>
      <c r="AB235" s="1198"/>
      <c r="AC235" s="1198"/>
      <c r="AD235" s="1198"/>
      <c r="AE235" s="1198"/>
      <c r="AF235" s="1198"/>
      <c r="AG235" s="1198"/>
      <c r="AH235" s="1198"/>
      <c r="AI235" s="1198"/>
      <c r="AJ235" s="1198"/>
      <c r="AK235" s="1198"/>
      <c r="AL235" s="1198"/>
      <c r="AP235" s="1121"/>
    </row>
    <row r="236" spans="1:42" s="1119" customFormat="1" ht="13.9" customHeight="1">
      <c r="A236" s="1116"/>
      <c r="B236" s="467"/>
      <c r="C236" s="559"/>
      <c r="D236" s="2482" t="s">
        <v>618</v>
      </c>
      <c r="E236" s="2400"/>
      <c r="F236" s="2400"/>
      <c r="G236" s="2400"/>
      <c r="H236" s="2400"/>
      <c r="I236" s="2400"/>
      <c r="J236" s="2400"/>
      <c r="K236" s="2400"/>
      <c r="L236" s="2400"/>
      <c r="M236" s="2400"/>
      <c r="N236" s="2400"/>
      <c r="O236" s="481"/>
      <c r="P236" s="485"/>
      <c r="Q236" s="1249"/>
      <c r="R236" s="1198"/>
      <c r="S236" s="1198"/>
      <c r="T236" s="1198"/>
      <c r="U236" s="1198"/>
      <c r="V236" s="1198"/>
      <c r="W236" s="1198"/>
      <c r="X236" s="1198"/>
      <c r="Y236" s="1249"/>
      <c r="Z236" s="1249"/>
      <c r="AA236" s="1198"/>
      <c r="AB236" s="1198"/>
      <c r="AC236" s="1198"/>
      <c r="AD236" s="1198"/>
      <c r="AE236" s="1198"/>
      <c r="AF236" s="1198"/>
      <c r="AG236" s="1198"/>
      <c r="AH236" s="1198"/>
      <c r="AI236" s="1198"/>
      <c r="AJ236" s="1198"/>
      <c r="AK236" s="1198"/>
      <c r="AL236" s="1198"/>
      <c r="AP236" s="1121"/>
    </row>
    <row r="237" spans="1:42" s="1119" customFormat="1" ht="5.0999999999999996" customHeight="1">
      <c r="A237" s="1116"/>
      <c r="B237" s="467"/>
      <c r="C237" s="467"/>
      <c r="D237" s="467"/>
      <c r="E237" s="467"/>
      <c r="F237" s="467"/>
      <c r="G237" s="467"/>
      <c r="H237" s="467"/>
      <c r="I237" s="467"/>
      <c r="J237" s="467"/>
      <c r="K237" s="467"/>
      <c r="L237" s="467"/>
      <c r="M237" s="481"/>
      <c r="N237" s="481"/>
      <c r="O237" s="481"/>
      <c r="P237" s="485"/>
      <c r="Q237" s="1249"/>
      <c r="R237" s="1198"/>
      <c r="S237" s="1198"/>
      <c r="T237" s="1198"/>
      <c r="U237" s="1198"/>
      <c r="V237" s="1198"/>
      <c r="W237" s="1198"/>
      <c r="X237" s="1198"/>
      <c r="Y237" s="1249"/>
      <c r="Z237" s="1249"/>
      <c r="AA237" s="1198"/>
      <c r="AB237" s="1198"/>
      <c r="AC237" s="1198"/>
      <c r="AD237" s="1198"/>
      <c r="AE237" s="1198"/>
      <c r="AF237" s="1198"/>
      <c r="AG237" s="1198"/>
      <c r="AH237" s="1198"/>
      <c r="AI237" s="1198"/>
      <c r="AJ237" s="1198"/>
      <c r="AK237" s="1198"/>
      <c r="AL237" s="1198"/>
      <c r="AP237" s="1121"/>
    </row>
    <row r="238" spans="1:42" s="1119" customFormat="1" ht="13.15" customHeight="1">
      <c r="A238" s="1116"/>
      <c r="B238" s="467"/>
      <c r="C238" s="467"/>
      <c r="D238" s="485"/>
      <c r="E238" s="2385" t="s">
        <v>2313</v>
      </c>
      <c r="F238" s="2846"/>
      <c r="G238" s="2846"/>
      <c r="H238" s="2846"/>
      <c r="I238" s="2846"/>
      <c r="J238" s="2846"/>
      <c r="K238" s="2846"/>
      <c r="L238" s="2846"/>
      <c r="M238" s="2846"/>
      <c r="N238" s="2846"/>
      <c r="O238" s="481"/>
      <c r="P238" s="485"/>
      <c r="Q238" s="1249"/>
      <c r="R238" s="1198"/>
      <c r="S238" s="1198"/>
      <c r="T238" s="1198"/>
      <c r="U238" s="1198"/>
      <c r="V238" s="1198"/>
      <c r="W238" s="1198"/>
      <c r="X238" s="1198"/>
      <c r="Y238" s="1249"/>
      <c r="Z238" s="1249"/>
      <c r="AA238" s="1198"/>
      <c r="AB238" s="1198"/>
      <c r="AC238" s="1198"/>
      <c r="AD238" s="1198"/>
      <c r="AE238" s="1198"/>
      <c r="AF238" s="1198"/>
      <c r="AG238" s="1198"/>
      <c r="AH238" s="1198"/>
      <c r="AI238" s="1198"/>
      <c r="AJ238" s="1198"/>
      <c r="AK238" s="1198"/>
      <c r="AL238" s="1198"/>
      <c r="AP238" s="1121"/>
    </row>
    <row r="239" spans="1:42" s="1119" customFormat="1" ht="13.15" customHeight="1">
      <c r="A239" s="1116"/>
      <c r="B239" s="467"/>
      <c r="C239" s="467"/>
      <c r="D239" s="485"/>
      <c r="E239" s="2385" t="s">
        <v>1609</v>
      </c>
      <c r="F239" s="2846"/>
      <c r="G239" s="2846"/>
      <c r="H239" s="2846"/>
      <c r="I239" s="2846"/>
      <c r="J239" s="2846"/>
      <c r="K239" s="2846"/>
      <c r="L239" s="2846"/>
      <c r="M239" s="2846"/>
      <c r="N239" s="2846"/>
      <c r="O239" s="481"/>
      <c r="P239" s="485"/>
      <c r="Q239" s="1249"/>
      <c r="R239" s="1198"/>
      <c r="S239" s="1198"/>
      <c r="T239" s="1198"/>
      <c r="U239" s="1198"/>
      <c r="V239" s="1198"/>
      <c r="W239" s="1198"/>
      <c r="X239" s="1198"/>
      <c r="Y239" s="1249"/>
      <c r="Z239" s="1249"/>
      <c r="AA239" s="1198"/>
      <c r="AB239" s="1198"/>
      <c r="AC239" s="1198"/>
      <c r="AD239" s="1198"/>
      <c r="AE239" s="1198"/>
      <c r="AF239" s="1198"/>
      <c r="AG239" s="1198"/>
      <c r="AH239" s="1198"/>
      <c r="AI239" s="1198"/>
      <c r="AJ239" s="1198"/>
      <c r="AK239" s="1198"/>
      <c r="AL239" s="1198"/>
      <c r="AP239" s="1121"/>
    </row>
    <row r="240" spans="1:42" s="1119" customFormat="1" ht="13.15" customHeight="1">
      <c r="A240" s="1116"/>
      <c r="B240" s="467"/>
      <c r="C240" s="467"/>
      <c r="D240" s="485"/>
      <c r="E240" s="2385" t="s">
        <v>126</v>
      </c>
      <c r="F240" s="2846"/>
      <c r="G240" s="2846"/>
      <c r="H240" s="2846"/>
      <c r="I240" s="2846"/>
      <c r="J240" s="2846"/>
      <c r="K240" s="2846"/>
      <c r="L240" s="2846"/>
      <c r="M240" s="2846"/>
      <c r="N240" s="2846"/>
      <c r="O240" s="481"/>
      <c r="P240" s="485"/>
      <c r="Q240" s="1249"/>
      <c r="R240" s="1198"/>
      <c r="S240" s="1198"/>
      <c r="T240" s="1198"/>
      <c r="U240" s="1198"/>
      <c r="V240" s="1198"/>
      <c r="W240" s="1198"/>
      <c r="X240" s="1198"/>
      <c r="Y240" s="1249"/>
      <c r="Z240" s="1249"/>
      <c r="AA240" s="1198"/>
      <c r="AB240" s="1198"/>
      <c r="AC240" s="1198"/>
      <c r="AD240" s="1198"/>
      <c r="AE240" s="1198"/>
      <c r="AF240" s="1198"/>
      <c r="AG240" s="1198"/>
      <c r="AH240" s="1198"/>
      <c r="AI240" s="1198"/>
      <c r="AJ240" s="1198"/>
      <c r="AK240" s="1198"/>
      <c r="AL240" s="1198"/>
      <c r="AP240" s="1121"/>
    </row>
    <row r="241" spans="1:42" s="1119" customFormat="1" ht="5.0999999999999996" customHeight="1">
      <c r="A241" s="1116"/>
      <c r="B241" s="467"/>
      <c r="C241" s="467"/>
      <c r="D241" s="467"/>
      <c r="E241" s="467"/>
      <c r="F241" s="467"/>
      <c r="G241" s="467"/>
      <c r="H241" s="467"/>
      <c r="I241" s="467"/>
      <c r="J241" s="467"/>
      <c r="K241" s="467"/>
      <c r="L241" s="467"/>
      <c r="M241" s="481"/>
      <c r="N241" s="481"/>
      <c r="O241" s="481"/>
      <c r="P241" s="485"/>
      <c r="Q241" s="1249"/>
      <c r="R241" s="1198"/>
      <c r="S241" s="1198"/>
      <c r="T241" s="1198"/>
      <c r="U241" s="1198"/>
      <c r="V241" s="1198"/>
      <c r="W241" s="1198"/>
      <c r="X241" s="1198"/>
      <c r="Y241" s="1249"/>
      <c r="Z241" s="1249"/>
      <c r="AA241" s="1249"/>
      <c r="AB241" s="1249"/>
      <c r="AC241" s="1249"/>
      <c r="AD241" s="1249"/>
      <c r="AE241" s="1249"/>
      <c r="AF241" s="1249"/>
      <c r="AG241" s="1249"/>
      <c r="AH241" s="1249"/>
      <c r="AI241" s="1249"/>
      <c r="AJ241" s="1198"/>
      <c r="AK241" s="1198"/>
      <c r="AL241" s="1198"/>
      <c r="AP241" s="1121"/>
    </row>
    <row r="242" spans="1:42" s="1119" customFormat="1" ht="15">
      <c r="A242" s="1116"/>
      <c r="B242" s="467"/>
      <c r="C242" s="467"/>
      <c r="D242" s="482" t="s">
        <v>400</v>
      </c>
      <c r="E242" s="2373" t="s">
        <v>96</v>
      </c>
      <c r="F242" s="2373"/>
      <c r="G242" s="2373"/>
      <c r="H242" s="2373"/>
      <c r="I242" s="2373"/>
      <c r="J242" s="2373"/>
      <c r="K242" s="2604"/>
      <c r="L242" s="3419" t="str">
        <f>IF(CNTR_ExistSubInstEntries,IF(COUNTIF(CNTR_SubInstListNames,INDEX(EUconst_BMlistNames,R242))&gt;0,EUconst_Relevant,EUconst_NotRelevant),"")</f>
        <v/>
      </c>
      <c r="M242" s="3420"/>
      <c r="N242" s="3421"/>
      <c r="O242" s="481"/>
      <c r="P242" s="485"/>
      <c r="Q242" s="1893" t="s">
        <v>117</v>
      </c>
      <c r="R242" s="2002">
        <v>43</v>
      </c>
      <c r="S242" s="1198"/>
      <c r="T242" s="1198"/>
      <c r="U242" s="1198"/>
      <c r="V242" s="1198"/>
      <c r="W242" s="1198"/>
      <c r="X242" s="1198"/>
      <c r="Y242" s="1249"/>
      <c r="Z242" s="1249"/>
      <c r="AA242" s="1249"/>
      <c r="AB242" s="1249"/>
      <c r="AC242" s="1249"/>
      <c r="AD242" s="1249"/>
      <c r="AE242" s="1249"/>
      <c r="AF242" s="1249"/>
      <c r="AG242" s="1249"/>
      <c r="AH242" s="1249"/>
      <c r="AI242" s="1249"/>
      <c r="AJ242" s="1198"/>
      <c r="AK242" s="1198"/>
      <c r="AL242" s="1198"/>
      <c r="AP242" s="1121"/>
    </row>
    <row r="243" spans="1:42" s="1119" customFormat="1" ht="13.15" customHeight="1">
      <c r="A243" s="1116"/>
      <c r="B243" s="467"/>
      <c r="C243" s="467"/>
      <c r="D243" s="485"/>
      <c r="E243" s="3203" t="s">
        <v>300</v>
      </c>
      <c r="F243" s="3204"/>
      <c r="G243" s="3204"/>
      <c r="H243" s="3204"/>
      <c r="I243" s="3204"/>
      <c r="J243" s="3204"/>
      <c r="K243" s="3204"/>
      <c r="L243" s="3204"/>
      <c r="M243" s="3204"/>
      <c r="N243" s="3204"/>
      <c r="O243" s="481"/>
      <c r="P243" s="485"/>
      <c r="Q243" s="1249"/>
      <c r="R243" s="1198"/>
      <c r="S243" s="1198"/>
      <c r="T243" s="1198"/>
      <c r="U243" s="1198"/>
      <c r="V243" s="1198"/>
      <c r="W243" s="1198"/>
      <c r="X243" s="1198"/>
      <c r="Y243" s="1249"/>
      <c r="Z243" s="1249"/>
      <c r="AA243" s="1249"/>
      <c r="AB243" s="1249"/>
      <c r="AC243" s="1249"/>
      <c r="AD243" s="1249"/>
      <c r="AE243" s="1249"/>
      <c r="AF243" s="1249"/>
      <c r="AG243" s="1249"/>
      <c r="AH243" s="1249"/>
      <c r="AI243" s="1249"/>
      <c r="AJ243" s="1198"/>
      <c r="AK243" s="1198"/>
      <c r="AL243" s="1198"/>
      <c r="AP243" s="1121"/>
    </row>
    <row r="244" spans="1:42" s="1119" customFormat="1">
      <c r="A244" s="1116"/>
      <c r="B244" s="467"/>
      <c r="C244" s="467"/>
      <c r="D244" s="467"/>
      <c r="E244" s="2782" t="str">
        <f>IF(L242=EUconst_Relevant,HYPERLINK(R244,EUconst_MsgBackToSheetF),"")</f>
        <v/>
      </c>
      <c r="F244" s="2783"/>
      <c r="G244" s="2783"/>
      <c r="H244" s="2783"/>
      <c r="I244" s="2783"/>
      <c r="J244" s="2783"/>
      <c r="K244" s="2783"/>
      <c r="L244" s="2783"/>
      <c r="M244" s="2783"/>
      <c r="N244" s="2784"/>
      <c r="O244" s="481"/>
      <c r="P244" s="485"/>
      <c r="Q244" s="1893" t="s">
        <v>116</v>
      </c>
      <c r="R244" s="1443" t="str">
        <f>IF(ISNUMBER(MATCH(R242,CNTR_SubInstListBMnumbers,0)),"#JUMP_F"&amp;MATCH(R242,CNTR_SubInstListBMnumbers,0),"")</f>
        <v/>
      </c>
      <c r="S244" s="1198"/>
      <c r="T244" s="1198"/>
      <c r="U244" s="1198"/>
      <c r="V244" s="1198"/>
      <c r="W244" s="1198"/>
      <c r="X244" s="1198"/>
      <c r="Y244" s="1249"/>
      <c r="Z244" s="1249"/>
      <c r="AA244" s="1249"/>
      <c r="AB244" s="1249"/>
      <c r="AC244" s="1249"/>
      <c r="AD244" s="1249"/>
      <c r="AE244" s="1249"/>
      <c r="AF244" s="1249"/>
      <c r="AG244" s="1249"/>
      <c r="AH244" s="1249"/>
      <c r="AI244" s="1249"/>
      <c r="AJ244" s="1198"/>
      <c r="AK244" s="1198"/>
      <c r="AL244" s="1198"/>
      <c r="AP244" s="1121"/>
    </row>
    <row r="245" spans="1:42" s="1119" customFormat="1" ht="5.0999999999999996" customHeight="1">
      <c r="A245" s="1116"/>
      <c r="B245" s="467"/>
      <c r="C245" s="467"/>
      <c r="D245" s="467"/>
      <c r="E245" s="467"/>
      <c r="F245" s="467"/>
      <c r="G245" s="467"/>
      <c r="H245" s="467"/>
      <c r="I245" s="467"/>
      <c r="J245" s="467"/>
      <c r="K245" s="467"/>
      <c r="L245" s="467"/>
      <c r="M245" s="481"/>
      <c r="N245" s="481"/>
      <c r="O245" s="481"/>
      <c r="P245" s="485"/>
      <c r="Q245" s="1249"/>
      <c r="R245" s="1198"/>
      <c r="S245" s="1198"/>
      <c r="T245" s="1198"/>
      <c r="U245" s="1198"/>
      <c r="V245" s="1198"/>
      <c r="W245" s="1198"/>
      <c r="X245" s="1198"/>
      <c r="Y245" s="1249"/>
      <c r="Z245" s="1249"/>
      <c r="AA245" s="1249"/>
      <c r="AB245" s="1249"/>
      <c r="AC245" s="1249"/>
      <c r="AD245" s="1249"/>
      <c r="AE245" s="1249"/>
      <c r="AF245" s="1249"/>
      <c r="AG245" s="1249"/>
      <c r="AH245" s="1249"/>
      <c r="AI245" s="1249"/>
      <c r="AJ245" s="1198"/>
      <c r="AK245" s="1198"/>
      <c r="AL245" s="1198"/>
      <c r="AP245" s="1121"/>
    </row>
    <row r="246" spans="1:42" s="1119" customFormat="1">
      <c r="A246" s="1116"/>
      <c r="B246" s="467"/>
      <c r="C246" s="467"/>
      <c r="D246" s="482" t="s">
        <v>876</v>
      </c>
      <c r="E246" s="2373" t="s">
        <v>1638</v>
      </c>
      <c r="F246" s="2400"/>
      <c r="G246" s="2400"/>
      <c r="H246" s="2400"/>
      <c r="I246" s="2400"/>
      <c r="J246" s="2400"/>
      <c r="K246" s="2400"/>
      <c r="L246" s="2400"/>
      <c r="M246" s="2400"/>
      <c r="N246" s="2400"/>
      <c r="O246" s="481"/>
      <c r="P246" s="485"/>
      <c r="Q246" s="1249"/>
      <c r="R246" s="1198"/>
      <c r="S246" s="1198"/>
      <c r="T246" s="1198"/>
      <c r="U246" s="1198"/>
      <c r="V246" s="1198"/>
      <c r="W246" s="1198"/>
      <c r="X246" s="1198"/>
      <c r="Y246" s="1249"/>
      <c r="Z246" s="1249"/>
      <c r="AA246" s="1249"/>
      <c r="AB246" s="1249"/>
      <c r="AC246" s="1249"/>
      <c r="AD246" s="1249"/>
      <c r="AE246" s="1249"/>
      <c r="AF246" s="1249"/>
      <c r="AG246" s="1249"/>
      <c r="AH246" s="1249"/>
      <c r="AI246" s="1249"/>
      <c r="AJ246" s="1198"/>
      <c r="AK246" s="1198"/>
      <c r="AL246" s="1198"/>
      <c r="AP246" s="1121"/>
    </row>
    <row r="247" spans="1:42" s="1119" customFormat="1" ht="13.15" customHeight="1">
      <c r="A247" s="1116"/>
      <c r="B247" s="467"/>
      <c r="C247" s="467"/>
      <c r="D247" s="485"/>
      <c r="E247" s="2385" t="s">
        <v>82</v>
      </c>
      <c r="F247" s="2846"/>
      <c r="G247" s="2846"/>
      <c r="H247" s="2846"/>
      <c r="I247" s="2846"/>
      <c r="J247" s="2846"/>
      <c r="K247" s="2846"/>
      <c r="L247" s="2846"/>
      <c r="M247" s="2846"/>
      <c r="N247" s="2846"/>
      <c r="O247" s="481"/>
      <c r="P247" s="485"/>
      <c r="Q247" s="1249"/>
      <c r="R247" s="1198"/>
      <c r="S247" s="1198"/>
      <c r="T247" s="1198"/>
      <c r="U247" s="1198"/>
      <c r="V247" s="1198"/>
      <c r="W247" s="1198"/>
      <c r="X247" s="1198"/>
      <c r="Y247" s="1249"/>
      <c r="Z247" s="1249"/>
      <c r="AA247" s="1249"/>
      <c r="AB247" s="1249"/>
      <c r="AC247" s="1249"/>
      <c r="AD247" s="1249"/>
      <c r="AE247" s="1249"/>
      <c r="AF247" s="1249"/>
      <c r="AG247" s="1249"/>
      <c r="AH247" s="1249"/>
      <c r="AI247" s="1249"/>
      <c r="AJ247" s="1198"/>
      <c r="AK247" s="1198"/>
      <c r="AL247" s="1198"/>
      <c r="AP247" s="1121"/>
    </row>
    <row r="248" spans="1:42" s="1119" customFormat="1" ht="13.15" customHeight="1">
      <c r="A248" s="1116"/>
      <c r="B248" s="467"/>
      <c r="C248" s="467"/>
      <c r="D248" s="485"/>
      <c r="E248" s="2385" t="s">
        <v>2314</v>
      </c>
      <c r="F248" s="2846"/>
      <c r="G248" s="2846"/>
      <c r="H248" s="2846"/>
      <c r="I248" s="2846"/>
      <c r="J248" s="2846"/>
      <c r="K248" s="2846"/>
      <c r="L248" s="2846"/>
      <c r="M248" s="2846"/>
      <c r="N248" s="2846"/>
      <c r="O248" s="481"/>
      <c r="P248" s="485"/>
      <c r="Q248" s="1249"/>
      <c r="R248" s="1198"/>
      <c r="S248" s="1198"/>
      <c r="T248" s="1198"/>
      <c r="U248" s="1198"/>
      <c r="V248" s="1198"/>
      <c r="W248" s="1198"/>
      <c r="X248" s="1198"/>
      <c r="Y248" s="1249"/>
      <c r="Z248" s="1249"/>
      <c r="AA248" s="1249"/>
      <c r="AB248" s="1249"/>
      <c r="AC248" s="1249"/>
      <c r="AD248" s="1249"/>
      <c r="AE248" s="1249"/>
      <c r="AF248" s="1249"/>
      <c r="AG248" s="1249"/>
      <c r="AH248" s="1249"/>
      <c r="AI248" s="1249"/>
      <c r="AJ248" s="1198"/>
      <c r="AK248" s="1198"/>
      <c r="AL248" s="1198"/>
      <c r="AP248" s="1121"/>
    </row>
    <row r="249" spans="1:42" s="1119" customFormat="1">
      <c r="A249" s="1116"/>
      <c r="B249" s="467"/>
      <c r="C249" s="467"/>
      <c r="D249" s="485"/>
      <c r="E249" s="2385" t="s">
        <v>83</v>
      </c>
      <c r="F249" s="2846"/>
      <c r="G249" s="2846"/>
      <c r="H249" s="2846"/>
      <c r="I249" s="2846"/>
      <c r="J249" s="2846"/>
      <c r="K249" s="2846"/>
      <c r="L249" s="2846"/>
      <c r="M249" s="2846"/>
      <c r="N249" s="2846"/>
      <c r="O249" s="481"/>
      <c r="P249" s="485"/>
      <c r="Q249" s="1249"/>
      <c r="R249" s="1198"/>
      <c r="S249" s="1198"/>
      <c r="T249" s="1198"/>
      <c r="U249" s="1198"/>
      <c r="V249" s="1198"/>
      <c r="W249" s="1198"/>
      <c r="X249" s="1198"/>
      <c r="Y249" s="1249"/>
      <c r="Z249" s="1249"/>
      <c r="AA249" s="1249"/>
      <c r="AB249" s="1249"/>
      <c r="AC249" s="1249"/>
      <c r="AD249" s="1249"/>
      <c r="AE249" s="1249"/>
      <c r="AF249" s="1249"/>
      <c r="AG249" s="1249"/>
      <c r="AH249" s="1249"/>
      <c r="AI249" s="1249"/>
      <c r="AJ249" s="1198"/>
      <c r="AK249" s="1198"/>
      <c r="AL249" s="1198"/>
      <c r="AP249" s="1121"/>
    </row>
    <row r="250" spans="1:42" s="1119" customFormat="1">
      <c r="A250" s="1116"/>
      <c r="B250" s="467"/>
      <c r="C250" s="467"/>
      <c r="D250" s="485"/>
      <c r="E250" s="1079" t="s">
        <v>292</v>
      </c>
      <c r="F250" s="2385" t="s">
        <v>84</v>
      </c>
      <c r="G250" s="2846"/>
      <c r="H250" s="2846"/>
      <c r="I250" s="2846"/>
      <c r="J250" s="2846"/>
      <c r="K250" s="2846"/>
      <c r="L250" s="2846"/>
      <c r="M250" s="2846"/>
      <c r="N250" s="2846"/>
      <c r="O250" s="481"/>
      <c r="P250" s="485"/>
      <c r="Q250" s="1249"/>
      <c r="R250" s="1198"/>
      <c r="S250" s="1198"/>
      <c r="T250" s="1198"/>
      <c r="U250" s="1198"/>
      <c r="V250" s="1198"/>
      <c r="W250" s="1198"/>
      <c r="X250" s="1198"/>
      <c r="Y250" s="1249"/>
      <c r="Z250" s="1249"/>
      <c r="AA250" s="1249"/>
      <c r="AB250" s="1249"/>
      <c r="AC250" s="1249"/>
      <c r="AD250" s="1249"/>
      <c r="AE250" s="1249"/>
      <c r="AF250" s="1249"/>
      <c r="AG250" s="1249"/>
      <c r="AH250" s="1249"/>
      <c r="AI250" s="1249"/>
      <c r="AJ250" s="1198"/>
      <c r="AK250" s="1198"/>
      <c r="AL250" s="1198"/>
      <c r="AP250" s="1121"/>
    </row>
    <row r="251" spans="1:42" s="1119" customFormat="1">
      <c r="A251" s="1116"/>
      <c r="B251" s="467"/>
      <c r="C251" s="467"/>
      <c r="D251" s="485"/>
      <c r="E251" s="1079" t="s">
        <v>367</v>
      </c>
      <c r="F251" s="2385" t="s">
        <v>86</v>
      </c>
      <c r="G251" s="2846"/>
      <c r="H251" s="2846"/>
      <c r="I251" s="2846"/>
      <c r="J251" s="2846"/>
      <c r="K251" s="2846"/>
      <c r="L251" s="2846"/>
      <c r="M251" s="2846"/>
      <c r="N251" s="2846"/>
      <c r="O251" s="481"/>
      <c r="P251" s="485"/>
      <c r="Q251" s="1249"/>
      <c r="R251" s="1198"/>
      <c r="S251" s="1198"/>
      <c r="T251" s="1198"/>
      <c r="U251" s="1198"/>
      <c r="V251" s="1198"/>
      <c r="W251" s="1249"/>
      <c r="X251" s="1198"/>
      <c r="Y251" s="1249"/>
      <c r="Z251" s="1249"/>
      <c r="AA251" s="1249"/>
      <c r="AB251" s="1249"/>
      <c r="AC251" s="1249"/>
      <c r="AD251" s="1249"/>
      <c r="AE251" s="1249"/>
      <c r="AF251" s="1249"/>
      <c r="AG251" s="1249"/>
      <c r="AH251" s="1249"/>
      <c r="AI251" s="1249"/>
      <c r="AJ251" s="1198"/>
      <c r="AK251" s="1198"/>
      <c r="AL251" s="1198"/>
      <c r="AP251" s="1121"/>
    </row>
    <row r="252" spans="1:42" s="1119" customFormat="1" ht="13.15" customHeight="1">
      <c r="A252" s="1116"/>
      <c r="B252" s="467"/>
      <c r="C252" s="467"/>
      <c r="D252" s="617"/>
      <c r="E252" s="3258" t="s">
        <v>2335</v>
      </c>
      <c r="F252" s="2846"/>
      <c r="G252" s="2846"/>
      <c r="H252" s="2846"/>
      <c r="I252" s="2846"/>
      <c r="J252" s="2846"/>
      <c r="K252" s="2846"/>
      <c r="L252" s="2846"/>
      <c r="M252" s="2846"/>
      <c r="N252" s="2846"/>
      <c r="O252" s="481"/>
      <c r="P252" s="485"/>
      <c r="Q252" s="1249"/>
      <c r="R252" s="1198"/>
      <c r="S252" s="1198"/>
      <c r="T252" s="1249"/>
      <c r="U252" s="1249"/>
      <c r="V252" s="1198"/>
      <c r="W252" s="1249"/>
      <c r="X252" s="1198"/>
      <c r="Y252" s="1249"/>
      <c r="Z252" s="1249"/>
      <c r="AA252" s="1249"/>
      <c r="AB252" s="1249"/>
      <c r="AC252" s="1249"/>
      <c r="AD252" s="1249"/>
      <c r="AE252" s="1249"/>
      <c r="AF252" s="1249"/>
      <c r="AG252" s="1249"/>
      <c r="AH252" s="1249"/>
      <c r="AI252" s="1249"/>
      <c r="AJ252" s="1198"/>
      <c r="AK252" s="1198"/>
      <c r="AL252" s="1198"/>
      <c r="AP252" s="1121"/>
    </row>
    <row r="253" spans="1:42" s="1119" customFormat="1" ht="5.0999999999999996" customHeight="1">
      <c r="A253" s="1116"/>
      <c r="B253" s="467"/>
      <c r="C253" s="467"/>
      <c r="D253" s="467"/>
      <c r="E253" s="467"/>
      <c r="F253" s="467"/>
      <c r="G253" s="467"/>
      <c r="H253" s="467"/>
      <c r="I253" s="467"/>
      <c r="J253" s="467"/>
      <c r="K253" s="467"/>
      <c r="L253" s="467"/>
      <c r="M253" s="481"/>
      <c r="N253" s="481"/>
      <c r="O253" s="481"/>
      <c r="P253" s="485"/>
      <c r="Q253" s="1249"/>
      <c r="R253" s="1198"/>
      <c r="S253" s="1198"/>
      <c r="T253" s="1249"/>
      <c r="U253" s="1249"/>
      <c r="V253" s="1198"/>
      <c r="W253" s="1249"/>
      <c r="X253" s="1198"/>
      <c r="Y253" s="1249"/>
      <c r="Z253" s="1249"/>
      <c r="AA253" s="1249"/>
      <c r="AB253" s="1249"/>
      <c r="AC253" s="1249"/>
      <c r="AD253" s="1249"/>
      <c r="AE253" s="1249"/>
      <c r="AF253" s="1249"/>
      <c r="AG253" s="1249"/>
      <c r="AH253" s="1249"/>
      <c r="AI253" s="1249"/>
      <c r="AJ253" s="1198"/>
      <c r="AK253" s="1198"/>
      <c r="AL253" s="1198"/>
      <c r="AP253" s="1121"/>
    </row>
    <row r="254" spans="1:42" s="1119" customFormat="1" ht="13.5" thickBot="1">
      <c r="A254" s="1116"/>
      <c r="B254" s="1124"/>
      <c r="C254" s="485"/>
      <c r="D254" s="485"/>
      <c r="E254" s="927" t="s">
        <v>288</v>
      </c>
      <c r="F254" s="707" t="s">
        <v>289</v>
      </c>
      <c r="G254" s="1080" t="s">
        <v>290</v>
      </c>
      <c r="H254" s="671">
        <f t="shared" ref="H254:N254" si="40">H$421</f>
        <v>2024</v>
      </c>
      <c r="I254" s="1081">
        <f t="shared" si="40"/>
        <v>2025</v>
      </c>
      <c r="J254" s="1489">
        <f t="shared" si="40"/>
        <v>2026</v>
      </c>
      <c r="K254" s="1490">
        <f t="shared" si="40"/>
        <v>2027</v>
      </c>
      <c r="L254" s="1490">
        <f t="shared" si="40"/>
        <v>2028</v>
      </c>
      <c r="M254" s="1490">
        <f t="shared" si="40"/>
        <v>2029</v>
      </c>
      <c r="N254" s="1490">
        <f t="shared" si="40"/>
        <v>2030</v>
      </c>
      <c r="O254" s="481"/>
      <c r="P254" s="485"/>
      <c r="Q254" s="1198"/>
      <c r="R254" s="1198"/>
      <c r="S254" s="1198"/>
      <c r="T254" s="1249"/>
      <c r="U254" s="1249"/>
      <c r="V254" s="1198"/>
      <c r="W254" s="1249"/>
      <c r="X254" s="1198"/>
      <c r="Y254" s="1249"/>
      <c r="Z254" s="1249"/>
      <c r="AA254" s="1249"/>
      <c r="AB254" s="1198"/>
      <c r="AC254" s="2003">
        <f t="shared" ref="AC254:AI254" si="41">H254</f>
        <v>2024</v>
      </c>
      <c r="AD254" s="2003">
        <f t="shared" si="41"/>
        <v>2025</v>
      </c>
      <c r="AE254" s="2003">
        <f t="shared" si="41"/>
        <v>2026</v>
      </c>
      <c r="AF254" s="2003">
        <f t="shared" si="41"/>
        <v>2027</v>
      </c>
      <c r="AG254" s="2003">
        <f t="shared" si="41"/>
        <v>2028</v>
      </c>
      <c r="AH254" s="2003">
        <f t="shared" si="41"/>
        <v>2029</v>
      </c>
      <c r="AI254" s="2003">
        <f t="shared" si="41"/>
        <v>2030</v>
      </c>
      <c r="AJ254" s="1198"/>
      <c r="AK254" s="1198"/>
      <c r="AL254" s="1198"/>
      <c r="AP254" s="1121"/>
    </row>
    <row r="255" spans="1:42" s="1119" customFormat="1" ht="25.5" customHeight="1">
      <c r="A255" s="1116"/>
      <c r="B255" s="1124"/>
      <c r="C255" s="485"/>
      <c r="D255" s="485"/>
      <c r="E255" s="863" t="s">
        <v>843</v>
      </c>
      <c r="F255" s="724" t="s">
        <v>292</v>
      </c>
      <c r="G255" s="2013">
        <v>1.1000000000000001</v>
      </c>
      <c r="H255" s="2024" t="str">
        <f>c_ALR2025!M6922</f>
        <v/>
      </c>
      <c r="I255" s="2050"/>
      <c r="J255" s="2031"/>
      <c r="K255" s="2032"/>
      <c r="L255" s="2032"/>
      <c r="M255" s="2032"/>
      <c r="N255" s="2032"/>
      <c r="O255" s="481"/>
      <c r="P255" s="485"/>
      <c r="Q255" s="1198"/>
      <c r="R255" s="1198"/>
      <c r="S255" s="1198"/>
      <c r="T255" s="1249"/>
      <c r="U255" s="1249"/>
      <c r="V255" s="1198"/>
      <c r="W255" s="1249"/>
      <c r="X255" s="1198"/>
      <c r="Y255" s="1249"/>
      <c r="Z255" s="1249"/>
      <c r="AA255" s="1249"/>
      <c r="AB255" s="1641" t="s">
        <v>717</v>
      </c>
      <c r="AC255" s="2041" t="b">
        <f t="shared" ref="AC255:AI255" si="42">IF(CNTR_ExistSubInstEntries,IF($L242=EUconst_Relevant,AC254&gt;=CNTR_ReportingYear,TRUE),FALSE)</f>
        <v>0</v>
      </c>
      <c r="AD255" s="1731" t="b">
        <f t="shared" si="42"/>
        <v>0</v>
      </c>
      <c r="AE255" s="1731" t="b">
        <f t="shared" si="42"/>
        <v>0</v>
      </c>
      <c r="AF255" s="1731" t="b">
        <f t="shared" si="42"/>
        <v>0</v>
      </c>
      <c r="AG255" s="1731" t="b">
        <f t="shared" si="42"/>
        <v>0</v>
      </c>
      <c r="AH255" s="1731" t="b">
        <f t="shared" si="42"/>
        <v>0</v>
      </c>
      <c r="AI255" s="2008" t="b">
        <f t="shared" si="42"/>
        <v>0</v>
      </c>
      <c r="AJ255" s="1198"/>
      <c r="AK255" s="1198"/>
      <c r="AL255" s="1198"/>
      <c r="AP255" s="1121"/>
    </row>
    <row r="256" spans="1:42" s="1119" customFormat="1" ht="12.6" customHeight="1">
      <c r="A256" s="1116"/>
      <c r="B256" s="1124"/>
      <c r="C256" s="485"/>
      <c r="D256" s="485"/>
      <c r="E256" s="865" t="s">
        <v>1028</v>
      </c>
      <c r="F256" s="724" t="s">
        <v>292</v>
      </c>
      <c r="G256" s="2013">
        <v>5.25</v>
      </c>
      <c r="H256" s="2033" t="str">
        <f>c_ALR2025!M6923</f>
        <v/>
      </c>
      <c r="I256" s="2050"/>
      <c r="J256" s="2031"/>
      <c r="K256" s="2032"/>
      <c r="L256" s="2032"/>
      <c r="M256" s="2032"/>
      <c r="N256" s="2032"/>
      <c r="O256" s="481"/>
      <c r="P256" s="485"/>
      <c r="Q256" s="1198"/>
      <c r="R256" s="1198"/>
      <c r="S256" s="1198"/>
      <c r="T256" s="1198"/>
      <c r="U256" s="1198"/>
      <c r="V256" s="1198"/>
      <c r="W256" s="1249"/>
      <c r="X256" s="1198"/>
      <c r="Y256" s="1249"/>
      <c r="Z256" s="1249"/>
      <c r="AA256" s="1249"/>
      <c r="AB256" s="1249"/>
      <c r="AC256" s="2011" t="b">
        <f>AC255</f>
        <v>0</v>
      </c>
      <c r="AD256" s="1963" t="b">
        <f t="shared" ref="AD256:AD262" si="43">AD255</f>
        <v>0</v>
      </c>
      <c r="AE256" s="1963" t="b">
        <f t="shared" ref="AE256:AE262" si="44">AE255</f>
        <v>0</v>
      </c>
      <c r="AF256" s="1963" t="b">
        <f t="shared" ref="AF256:AF262" si="45">AF255</f>
        <v>0</v>
      </c>
      <c r="AG256" s="1963" t="b">
        <f t="shared" ref="AG256:AG262" si="46">AG255</f>
        <v>0</v>
      </c>
      <c r="AH256" s="1963" t="b">
        <f t="shared" ref="AH256:AH262" si="47">AH255</f>
        <v>0</v>
      </c>
      <c r="AI256" s="2012" t="b">
        <f t="shared" ref="AI256:AI262" si="48">AI255</f>
        <v>0</v>
      </c>
      <c r="AJ256" s="1198"/>
      <c r="AK256" s="1198"/>
      <c r="AL256" s="1198"/>
      <c r="AP256" s="1121"/>
    </row>
    <row r="257" spans="1:42" s="1119" customFormat="1">
      <c r="A257" s="1116"/>
      <c r="B257" s="1124"/>
      <c r="C257" s="485"/>
      <c r="D257" s="485"/>
      <c r="E257" s="865" t="s">
        <v>1030</v>
      </c>
      <c r="F257" s="724" t="s">
        <v>292</v>
      </c>
      <c r="G257" s="2013">
        <v>1.85</v>
      </c>
      <c r="H257" s="2034" t="str">
        <f>c_ALR2025!M6924</f>
        <v/>
      </c>
      <c r="I257" s="2050"/>
      <c r="J257" s="2031"/>
      <c r="K257" s="2032"/>
      <c r="L257" s="2032"/>
      <c r="M257" s="2032"/>
      <c r="N257" s="2032"/>
      <c r="O257" s="481"/>
      <c r="P257" s="485"/>
      <c r="Q257" s="1198"/>
      <c r="R257" s="1198"/>
      <c r="S257" s="1198"/>
      <c r="T257" s="1198"/>
      <c r="U257" s="1198"/>
      <c r="V257" s="1198"/>
      <c r="W257" s="1249"/>
      <c r="X257" s="1198"/>
      <c r="Y257" s="1249"/>
      <c r="Z257" s="1249"/>
      <c r="AA257" s="1249"/>
      <c r="AB257" s="1249"/>
      <c r="AC257" s="2011" t="b">
        <f t="shared" ref="AC257:AC262" si="49">AC256</f>
        <v>0</v>
      </c>
      <c r="AD257" s="1963" t="b">
        <f t="shared" si="43"/>
        <v>0</v>
      </c>
      <c r="AE257" s="1963" t="b">
        <f t="shared" si="44"/>
        <v>0</v>
      </c>
      <c r="AF257" s="1963" t="b">
        <f t="shared" si="45"/>
        <v>0</v>
      </c>
      <c r="AG257" s="1963" t="b">
        <f t="shared" si="46"/>
        <v>0</v>
      </c>
      <c r="AH257" s="1963" t="b">
        <f t="shared" si="47"/>
        <v>0</v>
      </c>
      <c r="AI257" s="2012" t="b">
        <f t="shared" si="48"/>
        <v>0</v>
      </c>
      <c r="AJ257" s="1198"/>
      <c r="AK257" s="1198"/>
      <c r="AL257" s="1198"/>
      <c r="AP257" s="1121"/>
    </row>
    <row r="258" spans="1:42" s="1119" customFormat="1">
      <c r="A258" s="1116"/>
      <c r="B258" s="1124"/>
      <c r="C258" s="485"/>
      <c r="D258" s="485"/>
      <c r="E258" s="865" t="s">
        <v>1029</v>
      </c>
      <c r="F258" s="724" t="s">
        <v>292</v>
      </c>
      <c r="G258" s="2013">
        <v>2.4500000000000002</v>
      </c>
      <c r="H258" s="2034" t="str">
        <f>c_ALR2025!M6925</f>
        <v/>
      </c>
      <c r="I258" s="2050"/>
      <c r="J258" s="2031"/>
      <c r="K258" s="2032"/>
      <c r="L258" s="2032"/>
      <c r="M258" s="2032"/>
      <c r="N258" s="2032"/>
      <c r="O258" s="481"/>
      <c r="P258" s="485"/>
      <c r="Q258" s="1198"/>
      <c r="R258" s="1198"/>
      <c r="S258" s="1198"/>
      <c r="T258" s="1198"/>
      <c r="U258" s="1198"/>
      <c r="V258" s="1198"/>
      <c r="W258" s="1249"/>
      <c r="X258" s="1198"/>
      <c r="Y258" s="1249"/>
      <c r="Z258" s="1249"/>
      <c r="AA258" s="1249"/>
      <c r="AB258" s="1249"/>
      <c r="AC258" s="2011" t="b">
        <f t="shared" si="49"/>
        <v>0</v>
      </c>
      <c r="AD258" s="1963" t="b">
        <f t="shared" si="43"/>
        <v>0</v>
      </c>
      <c r="AE258" s="1963" t="b">
        <f t="shared" si="44"/>
        <v>0</v>
      </c>
      <c r="AF258" s="1963" t="b">
        <f t="shared" si="45"/>
        <v>0</v>
      </c>
      <c r="AG258" s="1963" t="b">
        <f t="shared" si="46"/>
        <v>0</v>
      </c>
      <c r="AH258" s="1963" t="b">
        <f t="shared" si="47"/>
        <v>0</v>
      </c>
      <c r="AI258" s="2012" t="b">
        <f t="shared" si="48"/>
        <v>0</v>
      </c>
      <c r="AJ258" s="1198"/>
      <c r="AK258" s="1198"/>
      <c r="AL258" s="1198"/>
      <c r="AP258" s="1121"/>
    </row>
    <row r="259" spans="1:42" s="1119" customFormat="1">
      <c r="A259" s="1116"/>
      <c r="B259" s="1124"/>
      <c r="C259" s="485"/>
      <c r="D259" s="485"/>
      <c r="E259" s="865" t="s">
        <v>1032</v>
      </c>
      <c r="F259" s="724" t="s">
        <v>292</v>
      </c>
      <c r="G259" s="2013">
        <v>1.85</v>
      </c>
      <c r="H259" s="2034" t="str">
        <f>c_ALR2025!M6926</f>
        <v/>
      </c>
      <c r="I259" s="2050"/>
      <c r="J259" s="2031"/>
      <c r="K259" s="2032"/>
      <c r="L259" s="2032"/>
      <c r="M259" s="2032"/>
      <c r="N259" s="2032"/>
      <c r="O259" s="481"/>
      <c r="P259" s="485"/>
      <c r="Q259" s="1198"/>
      <c r="R259" s="1198"/>
      <c r="S259" s="1198"/>
      <c r="T259" s="1198"/>
      <c r="U259" s="1198"/>
      <c r="V259" s="1198"/>
      <c r="W259" s="1249"/>
      <c r="X259" s="1198"/>
      <c r="Y259" s="1249"/>
      <c r="Z259" s="1249"/>
      <c r="AA259" s="1249"/>
      <c r="AB259" s="1249"/>
      <c r="AC259" s="2011" t="b">
        <f t="shared" si="49"/>
        <v>0</v>
      </c>
      <c r="AD259" s="1963" t="b">
        <f t="shared" si="43"/>
        <v>0</v>
      </c>
      <c r="AE259" s="1963" t="b">
        <f t="shared" si="44"/>
        <v>0</v>
      </c>
      <c r="AF259" s="1963" t="b">
        <f t="shared" si="45"/>
        <v>0</v>
      </c>
      <c r="AG259" s="1963" t="b">
        <f t="shared" si="46"/>
        <v>0</v>
      </c>
      <c r="AH259" s="1963" t="b">
        <f t="shared" si="47"/>
        <v>0</v>
      </c>
      <c r="AI259" s="2012" t="b">
        <f t="shared" si="48"/>
        <v>0</v>
      </c>
      <c r="AJ259" s="1198"/>
      <c r="AK259" s="1198"/>
      <c r="AL259" s="1198"/>
      <c r="AP259" s="1121"/>
    </row>
    <row r="260" spans="1:42" s="1119" customFormat="1">
      <c r="A260" s="1116"/>
      <c r="B260" s="1124"/>
      <c r="C260" s="485"/>
      <c r="D260" s="485"/>
      <c r="E260" s="865" t="s">
        <v>1033</v>
      </c>
      <c r="F260" s="724" t="s">
        <v>367</v>
      </c>
      <c r="G260" s="2013">
        <v>6.4</v>
      </c>
      <c r="H260" s="2034" t="str">
        <f>c_ALR2025!M6927</f>
        <v/>
      </c>
      <c r="I260" s="2050"/>
      <c r="J260" s="2031"/>
      <c r="K260" s="2032"/>
      <c r="L260" s="2032"/>
      <c r="M260" s="2032"/>
      <c r="N260" s="2032"/>
      <c r="O260" s="481"/>
      <c r="P260" s="485"/>
      <c r="Q260" s="1198"/>
      <c r="R260" s="1198"/>
      <c r="S260" s="1198"/>
      <c r="T260" s="1198"/>
      <c r="U260" s="1198"/>
      <c r="V260" s="1198"/>
      <c r="W260" s="1249"/>
      <c r="X260" s="1198"/>
      <c r="Y260" s="1249"/>
      <c r="Z260" s="1249"/>
      <c r="AA260" s="1249"/>
      <c r="AB260" s="1249"/>
      <c r="AC260" s="2011" t="b">
        <f t="shared" si="49"/>
        <v>0</v>
      </c>
      <c r="AD260" s="1963" t="b">
        <f t="shared" si="43"/>
        <v>0</v>
      </c>
      <c r="AE260" s="1963" t="b">
        <f t="shared" si="44"/>
        <v>0</v>
      </c>
      <c r="AF260" s="1963" t="b">
        <f t="shared" si="45"/>
        <v>0</v>
      </c>
      <c r="AG260" s="1963" t="b">
        <f t="shared" si="46"/>
        <v>0</v>
      </c>
      <c r="AH260" s="1963" t="b">
        <f t="shared" si="47"/>
        <v>0</v>
      </c>
      <c r="AI260" s="2012" t="b">
        <f t="shared" si="48"/>
        <v>0</v>
      </c>
      <c r="AJ260" s="1198"/>
      <c r="AK260" s="1198"/>
      <c r="AL260" s="1198"/>
      <c r="AP260" s="1121"/>
    </row>
    <row r="261" spans="1:42" s="1119" customFormat="1">
      <c r="A261" s="1116"/>
      <c r="B261" s="1124"/>
      <c r="C261" s="485"/>
      <c r="D261" s="485"/>
      <c r="E261" s="865" t="s">
        <v>1031</v>
      </c>
      <c r="F261" s="724" t="s">
        <v>367</v>
      </c>
      <c r="G261" s="2013">
        <v>3</v>
      </c>
      <c r="H261" s="2034" t="str">
        <f>c_ALR2025!M6928</f>
        <v/>
      </c>
      <c r="I261" s="2050"/>
      <c r="J261" s="2031"/>
      <c r="K261" s="2032"/>
      <c r="L261" s="2032"/>
      <c r="M261" s="2032"/>
      <c r="N261" s="2032"/>
      <c r="O261" s="481"/>
      <c r="P261" s="485"/>
      <c r="Q261" s="1198"/>
      <c r="R261" s="1198"/>
      <c r="S261" s="1198"/>
      <c r="T261" s="1198"/>
      <c r="U261" s="1198"/>
      <c r="V261" s="1198"/>
      <c r="W261" s="1249"/>
      <c r="X261" s="1198"/>
      <c r="Y261" s="1249"/>
      <c r="Z261" s="1249"/>
      <c r="AA261" s="1249"/>
      <c r="AB261" s="1249"/>
      <c r="AC261" s="2011" t="b">
        <f t="shared" si="49"/>
        <v>0</v>
      </c>
      <c r="AD261" s="1963" t="b">
        <f t="shared" si="43"/>
        <v>0</v>
      </c>
      <c r="AE261" s="1963" t="b">
        <f t="shared" si="44"/>
        <v>0</v>
      </c>
      <c r="AF261" s="1963" t="b">
        <f t="shared" si="45"/>
        <v>0</v>
      </c>
      <c r="AG261" s="1963" t="b">
        <f t="shared" si="46"/>
        <v>0</v>
      </c>
      <c r="AH261" s="1963" t="b">
        <f t="shared" si="47"/>
        <v>0</v>
      </c>
      <c r="AI261" s="2012" t="b">
        <f t="shared" si="48"/>
        <v>0</v>
      </c>
      <c r="AJ261" s="1198"/>
      <c r="AK261" s="1198"/>
      <c r="AL261" s="1198"/>
      <c r="AP261" s="1121"/>
    </row>
    <row r="262" spans="1:42" s="1119" customFormat="1" ht="13.5" thickBot="1">
      <c r="A262" s="1116"/>
      <c r="B262" s="1124"/>
      <c r="C262" s="485"/>
      <c r="D262" s="485"/>
      <c r="E262" s="932" t="s">
        <v>1037</v>
      </c>
      <c r="F262" s="728" t="s">
        <v>367</v>
      </c>
      <c r="G262" s="2015">
        <v>5</v>
      </c>
      <c r="H262" s="2035" t="str">
        <f>c_ALR2025!M6929</f>
        <v/>
      </c>
      <c r="I262" s="2051"/>
      <c r="J262" s="2031"/>
      <c r="K262" s="2032"/>
      <c r="L262" s="2032"/>
      <c r="M262" s="2032"/>
      <c r="N262" s="2032"/>
      <c r="O262" s="481"/>
      <c r="P262" s="485"/>
      <c r="Q262" s="1198"/>
      <c r="R262" s="1198"/>
      <c r="S262" s="1198"/>
      <c r="T262" s="1198"/>
      <c r="U262" s="1198"/>
      <c r="V262" s="1198"/>
      <c r="W262" s="1249"/>
      <c r="X262" s="1198"/>
      <c r="Y262" s="1249"/>
      <c r="Z262" s="1249"/>
      <c r="AA262" s="1249"/>
      <c r="AB262" s="1249"/>
      <c r="AC262" s="2017" t="b">
        <f t="shared" si="49"/>
        <v>0</v>
      </c>
      <c r="AD262" s="2018" t="b">
        <f t="shared" si="43"/>
        <v>0</v>
      </c>
      <c r="AE262" s="2018" t="b">
        <f t="shared" si="44"/>
        <v>0</v>
      </c>
      <c r="AF262" s="2018" t="b">
        <f t="shared" si="45"/>
        <v>0</v>
      </c>
      <c r="AG262" s="2018" t="b">
        <f t="shared" si="46"/>
        <v>0</v>
      </c>
      <c r="AH262" s="2018" t="b">
        <f t="shared" si="47"/>
        <v>0</v>
      </c>
      <c r="AI262" s="2019" t="b">
        <f t="shared" si="48"/>
        <v>0</v>
      </c>
      <c r="AJ262" s="1198"/>
      <c r="AK262" s="1198"/>
      <c r="AL262" s="1198"/>
      <c r="AP262" s="1121"/>
    </row>
    <row r="263" spans="1:42" s="1119" customFormat="1" ht="5.0999999999999996" customHeight="1">
      <c r="A263" s="1116"/>
      <c r="B263" s="467"/>
      <c r="C263" s="467"/>
      <c r="D263" s="467"/>
      <c r="E263" s="467"/>
      <c r="F263" s="467"/>
      <c r="G263" s="467"/>
      <c r="H263" s="467"/>
      <c r="I263" s="467"/>
      <c r="J263" s="467"/>
      <c r="K263" s="467"/>
      <c r="L263" s="467"/>
      <c r="M263" s="481"/>
      <c r="N263" s="485"/>
      <c r="O263" s="481"/>
      <c r="P263" s="485"/>
      <c r="Q263" s="1249"/>
      <c r="R263" s="1198"/>
      <c r="S263" s="1198"/>
      <c r="T263" s="1198"/>
      <c r="U263" s="1198"/>
      <c r="V263" s="1198"/>
      <c r="W263" s="1249"/>
      <c r="X263" s="1198"/>
      <c r="Y263" s="1249"/>
      <c r="Z263" s="1249"/>
      <c r="AA263" s="1249"/>
      <c r="AB263" s="1249"/>
      <c r="AC263" s="1249"/>
      <c r="AD263" s="1249"/>
      <c r="AE263" s="1249"/>
      <c r="AF263" s="1249"/>
      <c r="AG263" s="1249"/>
      <c r="AH263" s="1249"/>
      <c r="AI263" s="1249"/>
      <c r="AJ263" s="1198"/>
      <c r="AK263" s="1198"/>
      <c r="AL263" s="1198"/>
      <c r="AP263" s="1121"/>
    </row>
    <row r="264" spans="1:42" s="1119" customFormat="1" ht="13.15" customHeight="1">
      <c r="A264" s="1116"/>
      <c r="B264" s="467"/>
      <c r="C264" s="467"/>
      <c r="D264" s="482" t="s">
        <v>48</v>
      </c>
      <c r="E264" s="2373" t="s">
        <v>844</v>
      </c>
      <c r="F264" s="2400"/>
      <c r="G264" s="2400"/>
      <c r="H264" s="2400"/>
      <c r="I264" s="2400"/>
      <c r="J264" s="2400"/>
      <c r="K264" s="2400"/>
      <c r="L264" s="2400"/>
      <c r="M264" s="2400"/>
      <c r="N264" s="2400"/>
      <c r="O264" s="481"/>
      <c r="P264" s="485"/>
      <c r="Q264" s="1249"/>
      <c r="R264" s="1198"/>
      <c r="S264" s="1198"/>
      <c r="T264" s="1198"/>
      <c r="U264" s="1198"/>
      <c r="V264" s="1198"/>
      <c r="W264" s="1198"/>
      <c r="X264" s="1198"/>
      <c r="Y264" s="1249"/>
      <c r="Z264" s="1249"/>
      <c r="AA264" s="1249"/>
      <c r="AB264" s="1249"/>
      <c r="AC264" s="1249"/>
      <c r="AD264" s="1249"/>
      <c r="AE264" s="1249"/>
      <c r="AF264" s="1249"/>
      <c r="AG264" s="1249"/>
      <c r="AH264" s="1249"/>
      <c r="AI264" s="1249"/>
      <c r="AJ264" s="1198"/>
      <c r="AK264" s="1198"/>
      <c r="AL264" s="1198"/>
      <c r="AP264" s="1121"/>
    </row>
    <row r="265" spans="1:42" s="1119" customFormat="1" ht="13.15" customHeight="1">
      <c r="A265" s="1116"/>
      <c r="B265" s="467"/>
      <c r="C265" s="467"/>
      <c r="D265" s="485"/>
      <c r="E265" s="2385" t="s">
        <v>1250</v>
      </c>
      <c r="F265" s="2846"/>
      <c r="G265" s="2846"/>
      <c r="H265" s="2846"/>
      <c r="I265" s="2846"/>
      <c r="J265" s="2846"/>
      <c r="K265" s="2846"/>
      <c r="L265" s="2846"/>
      <c r="M265" s="2846"/>
      <c r="N265" s="2846"/>
      <c r="O265" s="481"/>
      <c r="P265" s="485"/>
      <c r="Q265" s="1249"/>
      <c r="R265" s="1198"/>
      <c r="S265" s="1198"/>
      <c r="T265" s="1198"/>
      <c r="U265" s="1198"/>
      <c r="V265" s="1198"/>
      <c r="W265" s="1198"/>
      <c r="X265" s="1198"/>
      <c r="Y265" s="1249"/>
      <c r="Z265" s="1249"/>
      <c r="AA265" s="1249"/>
      <c r="AB265" s="1249"/>
      <c r="AC265" s="1249"/>
      <c r="AD265" s="1249"/>
      <c r="AE265" s="1249"/>
      <c r="AF265" s="1249"/>
      <c r="AG265" s="1249"/>
      <c r="AH265" s="1249"/>
      <c r="AI265" s="1249"/>
      <c r="AJ265" s="1198"/>
      <c r="AK265" s="1198"/>
      <c r="AL265" s="1198"/>
      <c r="AP265" s="1121"/>
    </row>
    <row r="266" spans="1:42" s="1119" customFormat="1" ht="13.15" customHeight="1">
      <c r="A266" s="1116"/>
      <c r="B266" s="467"/>
      <c r="C266" s="467"/>
      <c r="D266" s="485"/>
      <c r="E266" s="3258" t="s">
        <v>1053</v>
      </c>
      <c r="F266" s="2846"/>
      <c r="G266" s="2846"/>
      <c r="H266" s="2846"/>
      <c r="I266" s="2846"/>
      <c r="J266" s="2846"/>
      <c r="K266" s="2846"/>
      <c r="L266" s="2846"/>
      <c r="M266" s="2846"/>
      <c r="N266" s="2846"/>
      <c r="O266" s="481"/>
      <c r="P266" s="485"/>
      <c r="Q266" s="1249"/>
      <c r="R266" s="1198"/>
      <c r="S266" s="1198"/>
      <c r="T266" s="1198"/>
      <c r="U266" s="1198"/>
      <c r="V266" s="1198"/>
      <c r="W266" s="1198"/>
      <c r="X266" s="1198"/>
      <c r="Y266" s="1249"/>
      <c r="Z266" s="1249"/>
      <c r="AA266" s="1249"/>
      <c r="AB266" s="1249"/>
      <c r="AC266" s="1249"/>
      <c r="AD266" s="1249"/>
      <c r="AE266" s="1249"/>
      <c r="AF266" s="1249"/>
      <c r="AG266" s="1249"/>
      <c r="AH266" s="1249"/>
      <c r="AI266" s="1249"/>
      <c r="AJ266" s="1198"/>
      <c r="AK266" s="1198"/>
      <c r="AL266" s="1198"/>
      <c r="AP266" s="1121"/>
    </row>
    <row r="267" spans="1:42" s="1119" customFormat="1" ht="13.15" customHeight="1">
      <c r="A267" s="1116"/>
      <c r="B267" s="467"/>
      <c r="C267" s="467"/>
      <c r="D267" s="485"/>
      <c r="E267" s="3258" t="s">
        <v>2316</v>
      </c>
      <c r="F267" s="2846"/>
      <c r="G267" s="2846"/>
      <c r="H267" s="2846"/>
      <c r="I267" s="2846"/>
      <c r="J267" s="2846"/>
      <c r="K267" s="2846"/>
      <c r="L267" s="2846"/>
      <c r="M267" s="2846"/>
      <c r="N267" s="2846"/>
      <c r="O267" s="481"/>
      <c r="P267" s="485"/>
      <c r="Q267" s="1249"/>
      <c r="R267" s="1198"/>
      <c r="S267" s="1198"/>
      <c r="T267" s="1198"/>
      <c r="U267" s="1198"/>
      <c r="V267" s="1198"/>
      <c r="W267" s="1198"/>
      <c r="X267" s="1198"/>
      <c r="Y267" s="1249"/>
      <c r="Z267" s="1249"/>
      <c r="AA267" s="1249"/>
      <c r="AB267" s="1249"/>
      <c r="AC267" s="1249"/>
      <c r="AD267" s="1249"/>
      <c r="AE267" s="1249"/>
      <c r="AF267" s="1249"/>
      <c r="AG267" s="1249"/>
      <c r="AH267" s="1249"/>
      <c r="AI267" s="1249"/>
      <c r="AJ267" s="1198"/>
      <c r="AK267" s="1198"/>
      <c r="AL267" s="1198"/>
      <c r="AP267" s="1121"/>
    </row>
    <row r="268" spans="1:42" s="1119" customFormat="1" ht="13.15" customHeight="1">
      <c r="A268" s="1116"/>
      <c r="B268" s="467"/>
      <c r="C268" s="467"/>
      <c r="D268" s="485"/>
      <c r="E268" s="2385" t="s">
        <v>1247</v>
      </c>
      <c r="F268" s="2846"/>
      <c r="G268" s="2846"/>
      <c r="H268" s="2846"/>
      <c r="I268" s="2846"/>
      <c r="J268" s="2846"/>
      <c r="K268" s="2846"/>
      <c r="L268" s="2846"/>
      <c r="M268" s="2846"/>
      <c r="N268" s="2846"/>
      <c r="O268" s="481"/>
      <c r="P268" s="485"/>
      <c r="Q268" s="1249"/>
      <c r="R268" s="1198"/>
      <c r="S268" s="1198"/>
      <c r="T268" s="1198"/>
      <c r="U268" s="1198"/>
      <c r="V268" s="1198"/>
      <c r="W268" s="1198"/>
      <c r="X268" s="1198"/>
      <c r="Y268" s="1249"/>
      <c r="Z268" s="1249"/>
      <c r="AA268" s="1249"/>
      <c r="AB268" s="1249"/>
      <c r="AC268" s="1249"/>
      <c r="AD268" s="1249"/>
      <c r="AE268" s="1249"/>
      <c r="AF268" s="1249"/>
      <c r="AG268" s="1249"/>
      <c r="AH268" s="1249"/>
      <c r="AI268" s="1249"/>
      <c r="AJ268" s="1198"/>
      <c r="AK268" s="1198"/>
      <c r="AL268" s="1198"/>
      <c r="AP268" s="1121"/>
    </row>
    <row r="269" spans="1:42" s="1119" customFormat="1">
      <c r="A269" s="1116"/>
      <c r="B269" s="1124"/>
      <c r="C269" s="485"/>
      <c r="D269" s="482"/>
      <c r="E269" s="637"/>
      <c r="F269" s="637"/>
      <c r="G269" s="663" t="str">
        <f>EUconst_Unit</f>
        <v>Unit</v>
      </c>
      <c r="H269" s="671">
        <f t="shared" ref="H269:N269" si="50">H$421</f>
        <v>2024</v>
      </c>
      <c r="I269" s="1081">
        <f t="shared" si="50"/>
        <v>2025</v>
      </c>
      <c r="J269" s="1489">
        <f t="shared" si="50"/>
        <v>2026</v>
      </c>
      <c r="K269" s="1490">
        <f t="shared" si="50"/>
        <v>2027</v>
      </c>
      <c r="L269" s="1490">
        <f t="shared" si="50"/>
        <v>2028</v>
      </c>
      <c r="M269" s="1490">
        <f t="shared" si="50"/>
        <v>2029</v>
      </c>
      <c r="N269" s="1490">
        <f t="shared" si="50"/>
        <v>2030</v>
      </c>
      <c r="O269" s="481"/>
      <c r="P269" s="485"/>
      <c r="Q269" s="1198"/>
      <c r="R269" s="1198"/>
      <c r="S269" s="1198"/>
      <c r="T269" s="1198"/>
      <c r="U269" s="1198"/>
      <c r="V269" s="1198"/>
      <c r="W269" s="1198"/>
      <c r="X269" s="1198"/>
      <c r="Y269" s="1249"/>
      <c r="Z269" s="1249"/>
      <c r="AA269" s="1249"/>
      <c r="AB269" s="1249"/>
      <c r="AC269" s="1249"/>
      <c r="AD269" s="1249"/>
      <c r="AE269" s="1249"/>
      <c r="AF269" s="1249"/>
      <c r="AG269" s="1249"/>
      <c r="AH269" s="1249"/>
      <c r="AI269" s="1249"/>
      <c r="AJ269" s="1198"/>
      <c r="AK269" s="1198"/>
      <c r="AL269" s="1198"/>
      <c r="AP269" s="1121"/>
    </row>
    <row r="270" spans="1:42" s="1119" customFormat="1">
      <c r="A270" s="1116"/>
      <c r="B270" s="1124"/>
      <c r="C270" s="485"/>
      <c r="D270" s="485"/>
      <c r="E270" s="1108" t="s">
        <v>845</v>
      </c>
      <c r="F270" s="1108"/>
      <c r="G270" s="730" t="str">
        <f>EUconst_CWTpa</f>
        <v>CWT / year</v>
      </c>
      <c r="H270" s="853" t="str">
        <f t="shared" ref="H270:N270" si="51">IF(COUNT(H255:H262)&gt;0,1000*SUMPRODUCT($G255:$G262,H255:H262),"")</f>
        <v/>
      </c>
      <c r="I270" s="1086" t="str">
        <f t="shared" si="51"/>
        <v/>
      </c>
      <c r="J270" s="2020" t="str">
        <f t="shared" si="51"/>
        <v/>
      </c>
      <c r="K270" s="2021" t="str">
        <f t="shared" si="51"/>
        <v/>
      </c>
      <c r="L270" s="2021" t="str">
        <f t="shared" si="51"/>
        <v/>
      </c>
      <c r="M270" s="2021" t="str">
        <f t="shared" si="51"/>
        <v/>
      </c>
      <c r="N270" s="2021" t="str">
        <f t="shared" si="51"/>
        <v/>
      </c>
      <c r="O270" s="481"/>
      <c r="P270" s="485"/>
      <c r="Q270" s="1443" t="str">
        <f>IF(L242=EUconst_Relevant,EUconst_CNTR_HALspecial &amp; INDEX(EUconst_BMlistNames,R242),"")</f>
        <v/>
      </c>
      <c r="R270" s="1198"/>
      <c r="S270" s="1198"/>
      <c r="T270" s="1198"/>
      <c r="U270" s="1198"/>
      <c r="V270" s="1198"/>
      <c r="W270" s="1198"/>
      <c r="X270" s="1198"/>
      <c r="Y270" s="1249"/>
      <c r="Z270" s="1249"/>
      <c r="AA270" s="1249"/>
      <c r="AB270" s="1249"/>
      <c r="AC270" s="1249"/>
      <c r="AD270" s="1249"/>
      <c r="AE270" s="1249"/>
      <c r="AF270" s="1249"/>
      <c r="AG270" s="1249"/>
      <c r="AH270" s="1249"/>
      <c r="AI270" s="1249"/>
      <c r="AJ270" s="1198"/>
      <c r="AK270" s="1198"/>
      <c r="AL270" s="1198"/>
      <c r="AP270" s="1121"/>
    </row>
    <row r="271" spans="1:42" s="1119" customFormat="1" ht="5.0999999999999996" customHeight="1">
      <c r="A271" s="1116"/>
      <c r="B271" s="467"/>
      <c r="C271" s="467"/>
      <c r="D271" s="467"/>
      <c r="E271" s="467"/>
      <c r="F271" s="467"/>
      <c r="G271" s="467"/>
      <c r="H271" s="467"/>
      <c r="I271" s="467"/>
      <c r="J271" s="467"/>
      <c r="K271" s="467"/>
      <c r="L271" s="467"/>
      <c r="M271" s="481"/>
      <c r="N271" s="481"/>
      <c r="O271" s="481"/>
      <c r="P271" s="485"/>
      <c r="Q271" s="1249"/>
      <c r="R271" s="1198"/>
      <c r="S271" s="1198"/>
      <c r="T271" s="1198"/>
      <c r="U271" s="1198"/>
      <c r="V271" s="1198"/>
      <c r="W271" s="1198"/>
      <c r="X271" s="1198"/>
      <c r="Y271" s="1249"/>
      <c r="Z271" s="1249"/>
      <c r="AA271" s="1249"/>
      <c r="AB271" s="1249"/>
      <c r="AC271" s="1249"/>
      <c r="AD271" s="1249"/>
      <c r="AE271" s="1249"/>
      <c r="AF271" s="1249"/>
      <c r="AG271" s="1249"/>
      <c r="AH271" s="1249"/>
      <c r="AI271" s="1249"/>
      <c r="AJ271" s="1198"/>
      <c r="AK271" s="1198"/>
      <c r="AL271" s="1198"/>
      <c r="AP271" s="1121"/>
    </row>
    <row r="272" spans="1:42" s="1119" customFormat="1">
      <c r="A272" s="1116"/>
      <c r="B272" s="467"/>
      <c r="C272" s="467"/>
      <c r="D272" s="467"/>
      <c r="E272" s="2782" t="str">
        <f>IF(L242=EUconst_Relevant,HYPERLINK(R272,EUconst_MsgBackToSheetF),"")</f>
        <v/>
      </c>
      <c r="F272" s="2783"/>
      <c r="G272" s="2783"/>
      <c r="H272" s="2783"/>
      <c r="I272" s="2783"/>
      <c r="J272" s="2783"/>
      <c r="K272" s="2783"/>
      <c r="L272" s="2783"/>
      <c r="M272" s="2783"/>
      <c r="N272" s="2784"/>
      <c r="O272" s="481"/>
      <c r="P272" s="485"/>
      <c r="Q272" s="1893" t="s">
        <v>116</v>
      </c>
      <c r="R272" s="1443" t="str">
        <f>R244</f>
        <v/>
      </c>
      <c r="S272" s="1198"/>
      <c r="T272" s="1198"/>
      <c r="U272" s="1198"/>
      <c r="V272" s="1198"/>
      <c r="W272" s="1198"/>
      <c r="X272" s="1198"/>
      <c r="Y272" s="1249"/>
      <c r="Z272" s="1249"/>
      <c r="AA272" s="1249"/>
      <c r="AB272" s="1249"/>
      <c r="AC272" s="1249"/>
      <c r="AD272" s="1249"/>
      <c r="AE272" s="1249"/>
      <c r="AF272" s="1249"/>
      <c r="AG272" s="1249"/>
      <c r="AH272" s="1249"/>
      <c r="AI272" s="1249"/>
      <c r="AJ272" s="1198"/>
      <c r="AK272" s="1198"/>
      <c r="AL272" s="1198"/>
      <c r="AP272" s="1121"/>
    </row>
    <row r="273" spans="1:42" s="1119" customFormat="1">
      <c r="A273" s="1116"/>
      <c r="B273" s="1124"/>
      <c r="C273" s="485"/>
      <c r="D273" s="485"/>
      <c r="E273" s="485"/>
      <c r="F273" s="485"/>
      <c r="G273" s="485"/>
      <c r="H273" s="485"/>
      <c r="I273" s="485"/>
      <c r="J273" s="485"/>
      <c r="K273" s="485"/>
      <c r="L273" s="485"/>
      <c r="M273" s="485"/>
      <c r="N273" s="485"/>
      <c r="O273" s="481"/>
      <c r="P273" s="485"/>
      <c r="Q273" s="1198"/>
      <c r="R273" s="1198"/>
      <c r="S273" s="1198"/>
      <c r="T273" s="1198"/>
      <c r="U273" s="1198"/>
      <c r="V273" s="1198"/>
      <c r="W273" s="1198"/>
      <c r="X273" s="1198"/>
      <c r="Y273" s="1198"/>
      <c r="Z273" s="1198"/>
      <c r="AA273" s="1198"/>
      <c r="AB273" s="1198"/>
      <c r="AC273" s="1198"/>
      <c r="AD273" s="1198"/>
      <c r="AE273" s="1198"/>
      <c r="AF273" s="1198"/>
      <c r="AG273" s="1198"/>
      <c r="AH273" s="1198"/>
      <c r="AI273" s="1198"/>
      <c r="AJ273" s="1198"/>
      <c r="AK273" s="1198"/>
      <c r="AL273" s="1198"/>
      <c r="AP273" s="1121"/>
    </row>
    <row r="274" spans="1:42" s="1119" customFormat="1" ht="15.6" customHeight="1">
      <c r="A274" s="1116"/>
      <c r="B274" s="467"/>
      <c r="C274" s="507" t="s">
        <v>61</v>
      </c>
      <c r="D274" s="2408" t="s">
        <v>820</v>
      </c>
      <c r="E274" s="2408"/>
      <c r="F274" s="2408"/>
      <c r="G274" s="2408"/>
      <c r="H274" s="2408"/>
      <c r="I274" s="2408"/>
      <c r="J274" s="2408"/>
      <c r="K274" s="2408"/>
      <c r="L274" s="2408"/>
      <c r="M274" s="2408"/>
      <c r="N274" s="2408"/>
      <c r="O274" s="481"/>
      <c r="P274" s="485"/>
      <c r="Q274" s="1249"/>
      <c r="R274" s="1198"/>
      <c r="S274" s="1198"/>
      <c r="T274" s="1198"/>
      <c r="U274" s="1198"/>
      <c r="V274" s="1198"/>
      <c r="W274" s="1198"/>
      <c r="X274" s="1198"/>
      <c r="Y274" s="1198"/>
      <c r="Z274" s="1198"/>
      <c r="AA274" s="1198"/>
      <c r="AB274" s="1198"/>
      <c r="AC274" s="1198"/>
      <c r="AD274" s="1198"/>
      <c r="AE274" s="1198"/>
      <c r="AF274" s="1198"/>
      <c r="AG274" s="1198"/>
      <c r="AH274" s="1198"/>
      <c r="AI274" s="1198"/>
      <c r="AJ274" s="1198"/>
      <c r="AK274" s="1198"/>
      <c r="AL274" s="1198"/>
      <c r="AP274" s="1121"/>
    </row>
    <row r="275" spans="1:42" s="1119" customFormat="1" ht="5.0999999999999996" customHeight="1">
      <c r="A275" s="1116"/>
      <c r="B275" s="467"/>
      <c r="C275" s="467"/>
      <c r="D275" s="467"/>
      <c r="E275" s="467"/>
      <c r="F275" s="467"/>
      <c r="G275" s="467"/>
      <c r="H275" s="467"/>
      <c r="I275" s="467"/>
      <c r="J275" s="467"/>
      <c r="K275" s="467"/>
      <c r="L275" s="467"/>
      <c r="M275" s="481"/>
      <c r="N275" s="481"/>
      <c r="O275" s="481"/>
      <c r="P275" s="485"/>
      <c r="Q275" s="1249"/>
      <c r="R275" s="1198"/>
      <c r="S275" s="1198"/>
      <c r="T275" s="1198"/>
      <c r="U275" s="1198"/>
      <c r="V275" s="1198"/>
      <c r="W275" s="1198"/>
      <c r="X275" s="1198"/>
      <c r="Y275" s="1198"/>
      <c r="Z275" s="1198"/>
      <c r="AA275" s="1198"/>
      <c r="AB275" s="1198"/>
      <c r="AC275" s="1198"/>
      <c r="AD275" s="1198"/>
      <c r="AE275" s="1198"/>
      <c r="AF275" s="1198"/>
      <c r="AG275" s="1198"/>
      <c r="AH275" s="1198"/>
      <c r="AI275" s="1198"/>
      <c r="AJ275" s="1198"/>
      <c r="AK275" s="1198"/>
      <c r="AL275" s="1198"/>
      <c r="AP275" s="1121"/>
    </row>
    <row r="276" spans="1:42" s="1119" customFormat="1" ht="13.9" customHeight="1">
      <c r="A276" s="1116"/>
      <c r="B276" s="467"/>
      <c r="C276" s="559"/>
      <c r="D276" s="2482" t="s">
        <v>861</v>
      </c>
      <c r="E276" s="2400"/>
      <c r="F276" s="2400"/>
      <c r="G276" s="2400"/>
      <c r="H276" s="2400"/>
      <c r="I276" s="2400"/>
      <c r="J276" s="2400"/>
      <c r="K276" s="2400"/>
      <c r="L276" s="2400"/>
      <c r="M276" s="2400"/>
      <c r="N276" s="2400"/>
      <c r="O276" s="481"/>
      <c r="P276" s="485"/>
      <c r="Q276" s="1249"/>
      <c r="R276" s="1198"/>
      <c r="S276" s="1198"/>
      <c r="T276" s="1198"/>
      <c r="U276" s="1198"/>
      <c r="V276" s="1198"/>
      <c r="W276" s="1198"/>
      <c r="X276" s="1198"/>
      <c r="Y276" s="1198"/>
      <c r="Z276" s="1198"/>
      <c r="AA276" s="1198"/>
      <c r="AB276" s="1198"/>
      <c r="AC276" s="1198"/>
      <c r="AD276" s="1198"/>
      <c r="AE276" s="1198"/>
      <c r="AF276" s="1198"/>
      <c r="AG276" s="1198"/>
      <c r="AH276" s="1198"/>
      <c r="AI276" s="1198"/>
      <c r="AJ276" s="1198"/>
      <c r="AK276" s="1198"/>
      <c r="AL276" s="1198"/>
      <c r="AP276" s="1121"/>
    </row>
    <row r="277" spans="1:42" s="1119" customFormat="1" ht="5.0999999999999996" customHeight="1">
      <c r="A277" s="1116"/>
      <c r="B277" s="467"/>
      <c r="C277" s="467"/>
      <c r="D277" s="467"/>
      <c r="E277" s="467"/>
      <c r="F277" s="467"/>
      <c r="G277" s="467"/>
      <c r="H277" s="467"/>
      <c r="I277" s="467"/>
      <c r="J277" s="467"/>
      <c r="K277" s="467"/>
      <c r="L277" s="467"/>
      <c r="M277" s="481"/>
      <c r="N277" s="481"/>
      <c r="O277" s="481"/>
      <c r="P277" s="485"/>
      <c r="Q277" s="1249"/>
      <c r="R277" s="1198"/>
      <c r="S277" s="1198"/>
      <c r="T277" s="1198"/>
      <c r="U277" s="1198"/>
      <c r="V277" s="1198"/>
      <c r="W277" s="1198"/>
      <c r="X277" s="1198"/>
      <c r="Y277" s="1198"/>
      <c r="Z277" s="1198"/>
      <c r="AA277" s="1198"/>
      <c r="AB277" s="1198"/>
      <c r="AC277" s="1198"/>
      <c r="AD277" s="1198"/>
      <c r="AE277" s="1198"/>
      <c r="AF277" s="1198"/>
      <c r="AG277" s="1198"/>
      <c r="AH277" s="1198"/>
      <c r="AI277" s="1198"/>
      <c r="AJ277" s="1198"/>
      <c r="AK277" s="1198"/>
      <c r="AL277" s="1198"/>
      <c r="AP277" s="1121"/>
    </row>
    <row r="278" spans="1:42" s="1119" customFormat="1" ht="13.15" customHeight="1">
      <c r="A278" s="1116"/>
      <c r="B278" s="467"/>
      <c r="C278" s="467"/>
      <c r="D278" s="485"/>
      <c r="E278" s="2385" t="s">
        <v>2317</v>
      </c>
      <c r="F278" s="2846"/>
      <c r="G278" s="2846"/>
      <c r="H278" s="2846"/>
      <c r="I278" s="2846"/>
      <c r="J278" s="2846"/>
      <c r="K278" s="2846"/>
      <c r="L278" s="2846"/>
      <c r="M278" s="2846"/>
      <c r="N278" s="2846"/>
      <c r="O278" s="481"/>
      <c r="P278" s="485"/>
      <c r="Q278" s="1249"/>
      <c r="R278" s="1198"/>
      <c r="S278" s="1198"/>
      <c r="T278" s="1198"/>
      <c r="U278" s="1198"/>
      <c r="V278" s="1198"/>
      <c r="W278" s="1198"/>
      <c r="X278" s="1198"/>
      <c r="Y278" s="1198"/>
      <c r="Z278" s="1198"/>
      <c r="AA278" s="1198"/>
      <c r="AB278" s="1198"/>
      <c r="AC278" s="1198"/>
      <c r="AD278" s="1198"/>
      <c r="AE278" s="1198"/>
      <c r="AF278" s="1198"/>
      <c r="AG278" s="1198"/>
      <c r="AH278" s="1198"/>
      <c r="AI278" s="1198"/>
      <c r="AJ278" s="1198"/>
      <c r="AK278" s="1198"/>
      <c r="AL278" s="1198"/>
      <c r="AP278" s="1121"/>
    </row>
    <row r="279" spans="1:42" s="1119" customFormat="1" ht="13.15" customHeight="1">
      <c r="A279" s="1116"/>
      <c r="B279" s="467"/>
      <c r="C279" s="467"/>
      <c r="D279" s="485"/>
      <c r="E279" s="2385" t="s">
        <v>126</v>
      </c>
      <c r="F279" s="2846"/>
      <c r="G279" s="2846"/>
      <c r="H279" s="2846"/>
      <c r="I279" s="2846"/>
      <c r="J279" s="2846"/>
      <c r="K279" s="2846"/>
      <c r="L279" s="2846"/>
      <c r="M279" s="2846"/>
      <c r="N279" s="2846"/>
      <c r="O279" s="481"/>
      <c r="P279" s="485"/>
      <c r="Q279" s="1249"/>
      <c r="R279" s="1198"/>
      <c r="S279" s="1198"/>
      <c r="T279" s="1198"/>
      <c r="U279" s="1198"/>
      <c r="V279" s="1198"/>
      <c r="W279" s="1198"/>
      <c r="X279" s="1198"/>
      <c r="Y279" s="1198"/>
      <c r="Z279" s="1198"/>
      <c r="AA279" s="1198"/>
      <c r="AB279" s="1198"/>
      <c r="AC279" s="1198"/>
      <c r="AD279" s="1198"/>
      <c r="AE279" s="1198"/>
      <c r="AF279" s="1198"/>
      <c r="AG279" s="1198"/>
      <c r="AH279" s="1198"/>
      <c r="AI279" s="1198"/>
      <c r="AJ279" s="1198"/>
      <c r="AK279" s="1198"/>
      <c r="AL279" s="1198"/>
      <c r="AP279" s="1121"/>
    </row>
    <row r="280" spans="1:42" s="1119" customFormat="1" ht="13.15" customHeight="1">
      <c r="A280" s="1116"/>
      <c r="B280" s="467"/>
      <c r="C280" s="467"/>
      <c r="D280" s="485"/>
      <c r="E280" s="3258" t="s">
        <v>1640</v>
      </c>
      <c r="F280" s="2846"/>
      <c r="G280" s="2846"/>
      <c r="H280" s="2846"/>
      <c r="I280" s="2846"/>
      <c r="J280" s="2846"/>
      <c r="K280" s="2846"/>
      <c r="L280" s="2846"/>
      <c r="M280" s="2846"/>
      <c r="N280" s="2846"/>
      <c r="O280" s="481"/>
      <c r="P280" s="485"/>
      <c r="Q280" s="1249"/>
      <c r="R280" s="1198"/>
      <c r="S280" s="1198"/>
      <c r="T280" s="1198"/>
      <c r="U280" s="1198"/>
      <c r="V280" s="1198"/>
      <c r="W280" s="1198"/>
      <c r="X280" s="1198"/>
      <c r="Y280" s="1198"/>
      <c r="Z280" s="1198"/>
      <c r="AA280" s="1198"/>
      <c r="AB280" s="1198"/>
      <c r="AC280" s="1198"/>
      <c r="AD280" s="1198"/>
      <c r="AE280" s="1198"/>
      <c r="AF280" s="1198"/>
      <c r="AG280" s="1198"/>
      <c r="AH280" s="1198"/>
      <c r="AI280" s="1198"/>
      <c r="AJ280" s="1198"/>
      <c r="AK280" s="1198"/>
      <c r="AL280" s="1198"/>
      <c r="AP280" s="1121"/>
    </row>
    <row r="281" spans="1:42" s="1119" customFormat="1" ht="5.0999999999999996" customHeight="1">
      <c r="A281" s="1116"/>
      <c r="B281" s="467"/>
      <c r="C281" s="467"/>
      <c r="D281" s="467"/>
      <c r="E281" s="467"/>
      <c r="F281" s="467"/>
      <c r="G281" s="467"/>
      <c r="H281" s="467"/>
      <c r="I281" s="467"/>
      <c r="J281" s="467"/>
      <c r="K281" s="467"/>
      <c r="L281" s="467"/>
      <c r="M281" s="481"/>
      <c r="N281" s="481"/>
      <c r="O281" s="481"/>
      <c r="P281" s="485"/>
      <c r="Q281" s="1249"/>
      <c r="R281" s="1198"/>
      <c r="S281" s="1198"/>
      <c r="T281" s="1198"/>
      <c r="U281" s="1198"/>
      <c r="V281" s="1198"/>
      <c r="W281" s="1198"/>
      <c r="X281" s="1198"/>
      <c r="Y281" s="1198"/>
      <c r="Z281" s="1198"/>
      <c r="AA281" s="1198"/>
      <c r="AB281" s="1198"/>
      <c r="AC281" s="1198"/>
      <c r="AD281" s="1198"/>
      <c r="AE281" s="1198"/>
      <c r="AF281" s="1198"/>
      <c r="AG281" s="1198"/>
      <c r="AH281" s="1198"/>
      <c r="AI281" s="1198"/>
      <c r="AJ281" s="1198"/>
      <c r="AK281" s="1198"/>
      <c r="AL281" s="1198"/>
      <c r="AP281" s="1121"/>
    </row>
    <row r="282" spans="1:42" s="1119" customFormat="1" ht="15">
      <c r="A282" s="1116"/>
      <c r="B282" s="467"/>
      <c r="C282" s="467"/>
      <c r="D282" s="482" t="s">
        <v>400</v>
      </c>
      <c r="E282" s="2373" t="s">
        <v>96</v>
      </c>
      <c r="F282" s="2373"/>
      <c r="G282" s="2373"/>
      <c r="H282" s="2373"/>
      <c r="I282" s="2373"/>
      <c r="J282" s="2373"/>
      <c r="K282" s="2604"/>
      <c r="L282" s="3419" t="str">
        <f>IF(CNTR_ExistSubInstEntries,IF(COUNTIF(CNTR_SubInstListNames,INDEX(EUconst_BMlistNames,R282))&gt;0,EUconst_Relevant,EUconst_NotRelevant),"")</f>
        <v/>
      </c>
      <c r="M282" s="3420"/>
      <c r="N282" s="3421"/>
      <c r="O282" s="481"/>
      <c r="P282" s="485"/>
      <c r="Q282" s="1893" t="s">
        <v>117</v>
      </c>
      <c r="R282" s="2002">
        <v>50</v>
      </c>
      <c r="S282" s="1198"/>
      <c r="T282" s="1198"/>
      <c r="U282" s="1198"/>
      <c r="V282" s="1198"/>
      <c r="W282" s="1198"/>
      <c r="X282" s="1198"/>
      <c r="Y282" s="1198"/>
      <c r="Z282" s="1198"/>
      <c r="AA282" s="1198"/>
      <c r="AB282" s="1198"/>
      <c r="AC282" s="1198"/>
      <c r="AD282" s="1198"/>
      <c r="AE282" s="1198"/>
      <c r="AF282" s="1198"/>
      <c r="AG282" s="1198"/>
      <c r="AH282" s="1198"/>
      <c r="AI282" s="1198"/>
      <c r="AJ282" s="1198"/>
      <c r="AK282" s="1198"/>
      <c r="AL282" s="1198"/>
      <c r="AP282" s="1121"/>
    </row>
    <row r="283" spans="1:42" s="1119" customFormat="1" ht="13.15" customHeight="1">
      <c r="A283" s="1116"/>
      <c r="B283" s="467"/>
      <c r="C283" s="467"/>
      <c r="D283" s="485"/>
      <c r="E283" s="3203" t="s">
        <v>300</v>
      </c>
      <c r="F283" s="3204"/>
      <c r="G283" s="3204"/>
      <c r="H283" s="3204"/>
      <c r="I283" s="3204"/>
      <c r="J283" s="3204"/>
      <c r="K283" s="3204"/>
      <c r="L283" s="3204"/>
      <c r="M283" s="3204"/>
      <c r="N283" s="3204"/>
      <c r="O283" s="481"/>
      <c r="P283" s="485"/>
      <c r="Q283" s="1249"/>
      <c r="R283" s="1198"/>
      <c r="S283" s="1198"/>
      <c r="T283" s="1198"/>
      <c r="U283" s="1198"/>
      <c r="V283" s="1198"/>
      <c r="W283" s="1198"/>
      <c r="X283" s="1198"/>
      <c r="Y283" s="1198"/>
      <c r="Z283" s="1198"/>
      <c r="AA283" s="1198"/>
      <c r="AB283" s="1198"/>
      <c r="AC283" s="1198"/>
      <c r="AD283" s="1198"/>
      <c r="AE283" s="1198"/>
      <c r="AF283" s="1198"/>
      <c r="AG283" s="1198"/>
      <c r="AH283" s="1198"/>
      <c r="AI283" s="1198"/>
      <c r="AJ283" s="1198"/>
      <c r="AK283" s="1198"/>
      <c r="AL283" s="1198"/>
      <c r="AP283" s="1121"/>
    </row>
    <row r="284" spans="1:42" s="1119" customFormat="1">
      <c r="A284" s="1116"/>
      <c r="B284" s="467"/>
      <c r="C284" s="467"/>
      <c r="D284" s="467"/>
      <c r="E284" s="2782" t="str">
        <f>IF(L282=EUconst_Relevant,HYPERLINK(R284,EUconst_MsgBackToSheetF),"")</f>
        <v/>
      </c>
      <c r="F284" s="2783"/>
      <c r="G284" s="2783"/>
      <c r="H284" s="2783"/>
      <c r="I284" s="2783"/>
      <c r="J284" s="2783"/>
      <c r="K284" s="2783"/>
      <c r="L284" s="2783"/>
      <c r="M284" s="2783"/>
      <c r="N284" s="2784"/>
      <c r="O284" s="481"/>
      <c r="P284" s="485"/>
      <c r="Q284" s="1893" t="s">
        <v>116</v>
      </c>
      <c r="R284" s="1443" t="str">
        <f>IF(ISNUMBER(MATCH(R282,CNTR_SubInstListBMnumbers,0)),"#JUMP_F"&amp;MATCH(R282,CNTR_SubInstListBMnumbers,0),"")</f>
        <v/>
      </c>
      <c r="S284" s="1198"/>
      <c r="T284" s="1198"/>
      <c r="U284" s="1198"/>
      <c r="V284" s="1198"/>
      <c r="W284" s="1198"/>
      <c r="X284" s="1198"/>
      <c r="Y284" s="1198"/>
      <c r="Z284" s="1198"/>
      <c r="AA284" s="1198"/>
      <c r="AB284" s="1198"/>
      <c r="AC284" s="1198"/>
      <c r="AD284" s="1198"/>
      <c r="AE284" s="1198"/>
      <c r="AF284" s="1198"/>
      <c r="AG284" s="1198"/>
      <c r="AH284" s="1198"/>
      <c r="AI284" s="1198"/>
      <c r="AJ284" s="1198"/>
      <c r="AK284" s="1198"/>
      <c r="AL284" s="1198"/>
      <c r="AP284" s="1121"/>
    </row>
    <row r="285" spans="1:42" s="1119" customFormat="1" ht="5.0999999999999996" customHeight="1">
      <c r="A285" s="1116"/>
      <c r="B285" s="467"/>
      <c r="C285" s="467"/>
      <c r="D285" s="467"/>
      <c r="E285" s="467"/>
      <c r="F285" s="467"/>
      <c r="G285" s="467"/>
      <c r="H285" s="467"/>
      <c r="I285" s="467"/>
      <c r="J285" s="467"/>
      <c r="K285" s="467"/>
      <c r="L285" s="467"/>
      <c r="M285" s="481"/>
      <c r="N285" s="481"/>
      <c r="O285" s="481"/>
      <c r="P285" s="485"/>
      <c r="Q285" s="1249"/>
      <c r="R285" s="1198"/>
      <c r="S285" s="1198"/>
      <c r="T285" s="1198"/>
      <c r="U285" s="1198"/>
      <c r="V285" s="1198"/>
      <c r="W285" s="1198"/>
      <c r="X285" s="1198"/>
      <c r="Y285" s="1198"/>
      <c r="Z285" s="1198"/>
      <c r="AA285" s="1198"/>
      <c r="AB285" s="1198"/>
      <c r="AC285" s="1198"/>
      <c r="AD285" s="1198"/>
      <c r="AE285" s="1198"/>
      <c r="AF285" s="1198"/>
      <c r="AG285" s="1198"/>
      <c r="AH285" s="1198"/>
      <c r="AI285" s="1198"/>
      <c r="AJ285" s="1198"/>
      <c r="AK285" s="1198"/>
      <c r="AL285" s="1198"/>
      <c r="AP285" s="1121"/>
    </row>
    <row r="286" spans="1:42" s="1119" customFormat="1" ht="13.15" customHeight="1">
      <c r="A286" s="1116"/>
      <c r="B286" s="467"/>
      <c r="C286" s="467"/>
      <c r="D286" s="482" t="s">
        <v>876</v>
      </c>
      <c r="E286" s="2373" t="s">
        <v>607</v>
      </c>
      <c r="F286" s="2400"/>
      <c r="G286" s="2400"/>
      <c r="H286" s="2400"/>
      <c r="I286" s="2400"/>
      <c r="J286" s="2400"/>
      <c r="K286" s="2400"/>
      <c r="L286" s="2400"/>
      <c r="M286" s="2400"/>
      <c r="N286" s="2400"/>
      <c r="O286" s="481"/>
      <c r="P286" s="485"/>
      <c r="Q286" s="1249"/>
      <c r="R286" s="1198"/>
      <c r="S286" s="1198"/>
      <c r="T286" s="1198"/>
      <c r="U286" s="1198"/>
      <c r="V286" s="1198"/>
      <c r="W286" s="1198"/>
      <c r="X286" s="1198"/>
      <c r="Y286" s="1198"/>
      <c r="Z286" s="1198"/>
      <c r="AA286" s="1198"/>
      <c r="AB286" s="1198"/>
      <c r="AC286" s="1198"/>
      <c r="AD286" s="1198"/>
      <c r="AE286" s="1198"/>
      <c r="AF286" s="1198"/>
      <c r="AG286" s="1198"/>
      <c r="AH286" s="1198"/>
      <c r="AI286" s="1198"/>
      <c r="AJ286" s="1198"/>
      <c r="AK286" s="1198"/>
      <c r="AL286" s="1198"/>
      <c r="AP286" s="1121"/>
    </row>
    <row r="287" spans="1:42" s="1119" customFormat="1" ht="13.15" customHeight="1">
      <c r="A287" s="1116"/>
      <c r="B287" s="467"/>
      <c r="C287" s="467"/>
      <c r="D287" s="485"/>
      <c r="E287" s="2385" t="s">
        <v>1911</v>
      </c>
      <c r="F287" s="2846"/>
      <c r="G287" s="2846"/>
      <c r="H287" s="2846"/>
      <c r="I287" s="2846"/>
      <c r="J287" s="2846"/>
      <c r="K287" s="2846"/>
      <c r="L287" s="2846"/>
      <c r="M287" s="2846"/>
      <c r="N287" s="2846"/>
      <c r="O287" s="481"/>
      <c r="P287" s="485"/>
      <c r="Q287" s="1249"/>
      <c r="R287" s="1198"/>
      <c r="S287" s="1198"/>
      <c r="T287" s="1198"/>
      <c r="U287" s="1198"/>
      <c r="V287" s="1198"/>
      <c r="W287" s="1198"/>
      <c r="X287" s="1198"/>
      <c r="Y287" s="1198"/>
      <c r="Z287" s="1198"/>
      <c r="AA287" s="1198"/>
      <c r="AB287" s="1198"/>
      <c r="AC287" s="1198"/>
      <c r="AD287" s="1198"/>
      <c r="AE287" s="1198"/>
      <c r="AF287" s="1198"/>
      <c r="AG287" s="1198"/>
      <c r="AH287" s="1198"/>
      <c r="AI287" s="1198"/>
      <c r="AJ287" s="1198"/>
      <c r="AK287" s="1198"/>
      <c r="AL287" s="1198"/>
      <c r="AP287" s="1121"/>
    </row>
    <row r="288" spans="1:42" s="1119" customFormat="1" ht="13.15" customHeight="1">
      <c r="A288" s="1116"/>
      <c r="B288" s="467"/>
      <c r="C288" s="467"/>
      <c r="D288" s="485"/>
      <c r="E288" s="3258" t="s">
        <v>609</v>
      </c>
      <c r="F288" s="2846"/>
      <c r="G288" s="2846"/>
      <c r="H288" s="2846"/>
      <c r="I288" s="2846"/>
      <c r="J288" s="2846"/>
      <c r="K288" s="2846"/>
      <c r="L288" s="2846"/>
      <c r="M288" s="2846"/>
      <c r="N288" s="2846"/>
      <c r="O288" s="481"/>
      <c r="P288" s="485"/>
      <c r="Q288" s="1249"/>
      <c r="R288" s="1198"/>
      <c r="S288" s="1198"/>
      <c r="T288" s="1198"/>
      <c r="U288" s="1198"/>
      <c r="V288" s="1198"/>
      <c r="W288" s="1198"/>
      <c r="X288" s="1198"/>
      <c r="Y288" s="1198"/>
      <c r="Z288" s="1198"/>
      <c r="AA288" s="1198"/>
      <c r="AB288" s="1198"/>
      <c r="AC288" s="1198"/>
      <c r="AD288" s="1198"/>
      <c r="AE288" s="1198"/>
      <c r="AF288" s="1198"/>
      <c r="AG288" s="1198"/>
      <c r="AH288" s="1198"/>
      <c r="AI288" s="1198"/>
      <c r="AJ288" s="1198"/>
      <c r="AK288" s="1198"/>
      <c r="AL288" s="1198"/>
      <c r="AP288" s="1121"/>
    </row>
    <row r="289" spans="1:42" s="1119" customFormat="1" ht="13.5" thickBot="1">
      <c r="A289" s="1116"/>
      <c r="B289" s="1124"/>
      <c r="C289" s="485"/>
      <c r="D289" s="482"/>
      <c r="E289" s="636"/>
      <c r="F289" s="637"/>
      <c r="G289" s="663" t="str">
        <f>EUconst_Unit</f>
        <v>Unit</v>
      </c>
      <c r="H289" s="671">
        <f t="shared" ref="H289:N289" si="52">H$421</f>
        <v>2024</v>
      </c>
      <c r="I289" s="1081">
        <f t="shared" si="52"/>
        <v>2025</v>
      </c>
      <c r="J289" s="1489">
        <f t="shared" si="52"/>
        <v>2026</v>
      </c>
      <c r="K289" s="1490">
        <f t="shared" si="52"/>
        <v>2027</v>
      </c>
      <c r="L289" s="1490">
        <f t="shared" si="52"/>
        <v>2028</v>
      </c>
      <c r="M289" s="1490">
        <f t="shared" si="52"/>
        <v>2029</v>
      </c>
      <c r="N289" s="1490">
        <f t="shared" si="52"/>
        <v>2030</v>
      </c>
      <c r="O289" s="481"/>
      <c r="P289" s="485"/>
      <c r="Q289" s="1198"/>
      <c r="R289" s="1198"/>
      <c r="S289" s="1198"/>
      <c r="T289" s="1249"/>
      <c r="U289" s="1249"/>
      <c r="V289" s="1198"/>
      <c r="W289" s="1198"/>
      <c r="X289" s="1198"/>
      <c r="Y289" s="1249"/>
      <c r="Z289" s="1249"/>
      <c r="AA289" s="1249"/>
      <c r="AB289" s="1198"/>
      <c r="AC289" s="2003">
        <f t="shared" ref="AC289:AI289" si="53">H289</f>
        <v>2024</v>
      </c>
      <c r="AD289" s="2003">
        <f t="shared" si="53"/>
        <v>2025</v>
      </c>
      <c r="AE289" s="2003">
        <f t="shared" si="53"/>
        <v>2026</v>
      </c>
      <c r="AF289" s="2003">
        <f t="shared" si="53"/>
        <v>2027</v>
      </c>
      <c r="AG289" s="2003">
        <f t="shared" si="53"/>
        <v>2028</v>
      </c>
      <c r="AH289" s="2003">
        <f t="shared" si="53"/>
        <v>2029</v>
      </c>
      <c r="AI289" s="2003">
        <f t="shared" si="53"/>
        <v>2030</v>
      </c>
      <c r="AJ289" s="1198"/>
      <c r="AK289" s="1198"/>
      <c r="AL289" s="1198"/>
      <c r="AP289" s="1121"/>
    </row>
    <row r="290" spans="1:42" s="1119" customFormat="1" ht="13.15" customHeight="1">
      <c r="A290" s="1116"/>
      <c r="B290" s="1124"/>
      <c r="C290" s="485"/>
      <c r="D290" s="485"/>
      <c r="E290" s="2788" t="s">
        <v>862</v>
      </c>
      <c r="F290" s="2788"/>
      <c r="G290" s="730" t="str">
        <f>EUconst_kNm3pa</f>
        <v>1000Nm3/year</v>
      </c>
      <c r="H290" s="2016" t="str">
        <f>c_ALR2025!M6957</f>
        <v/>
      </c>
      <c r="I290" s="1530"/>
      <c r="J290" s="1491"/>
      <c r="K290" s="1492"/>
      <c r="L290" s="1492"/>
      <c r="M290" s="1492"/>
      <c r="N290" s="1492"/>
      <c r="O290" s="481"/>
      <c r="P290" s="485"/>
      <c r="Q290" s="1198"/>
      <c r="R290" s="1198"/>
      <c r="S290" s="1198"/>
      <c r="T290" s="1249"/>
      <c r="U290" s="1249"/>
      <c r="V290" s="1198"/>
      <c r="W290" s="1198"/>
      <c r="X290" s="1198"/>
      <c r="Y290" s="1249"/>
      <c r="Z290" s="1249"/>
      <c r="AA290" s="1249"/>
      <c r="AB290" s="1641" t="s">
        <v>717</v>
      </c>
      <c r="AC290" s="2041" t="b">
        <f t="shared" ref="AC290:AI290" si="54">IF(CNTR_ExistSubInstEntries,IF($L282=EUconst_Relevant,AC289&gt;=CNTR_ReportingYear,TRUE),FALSE)</f>
        <v>0</v>
      </c>
      <c r="AD290" s="1731" t="b">
        <f t="shared" si="54"/>
        <v>0</v>
      </c>
      <c r="AE290" s="1731" t="b">
        <f t="shared" si="54"/>
        <v>0</v>
      </c>
      <c r="AF290" s="1731" t="b">
        <f t="shared" si="54"/>
        <v>0</v>
      </c>
      <c r="AG290" s="1731" t="b">
        <f t="shared" si="54"/>
        <v>0</v>
      </c>
      <c r="AH290" s="1731" t="b">
        <f t="shared" si="54"/>
        <v>0</v>
      </c>
      <c r="AI290" s="2008" t="b">
        <f t="shared" si="54"/>
        <v>0</v>
      </c>
      <c r="AJ290" s="1198"/>
      <c r="AK290" s="1198"/>
      <c r="AL290" s="1198"/>
      <c r="AP290" s="1121"/>
    </row>
    <row r="291" spans="1:42" s="1119" customFormat="1" ht="5.0999999999999996" customHeight="1">
      <c r="A291" s="1116"/>
      <c r="B291" s="467"/>
      <c r="C291" s="467"/>
      <c r="D291" s="467"/>
      <c r="E291" s="467"/>
      <c r="F291" s="467"/>
      <c r="G291" s="467"/>
      <c r="H291" s="467"/>
      <c r="I291" s="467"/>
      <c r="J291" s="467"/>
      <c r="K291" s="467"/>
      <c r="L291" s="467"/>
      <c r="M291" s="467"/>
      <c r="N291" s="481"/>
      <c r="O291" s="481"/>
      <c r="P291" s="485"/>
      <c r="Q291" s="1249"/>
      <c r="R291" s="1198"/>
      <c r="S291" s="1198"/>
      <c r="T291" s="1249"/>
      <c r="U291" s="1249"/>
      <c r="V291" s="1198"/>
      <c r="W291" s="1198"/>
      <c r="X291" s="1198"/>
      <c r="Y291" s="1249"/>
      <c r="Z291" s="1249"/>
      <c r="AA291" s="1249"/>
      <c r="AB291" s="1249"/>
      <c r="AC291" s="2022"/>
      <c r="AD291" s="1249"/>
      <c r="AE291" s="1249"/>
      <c r="AF291" s="1249"/>
      <c r="AG291" s="1249"/>
      <c r="AH291" s="1249"/>
      <c r="AI291" s="2023"/>
      <c r="AJ291" s="1198"/>
      <c r="AK291" s="1198"/>
      <c r="AL291" s="1198"/>
      <c r="AP291" s="1121"/>
    </row>
    <row r="292" spans="1:42" s="1119" customFormat="1" ht="13.15" customHeight="1">
      <c r="A292" s="1116"/>
      <c r="B292" s="467"/>
      <c r="C292" s="467"/>
      <c r="D292" s="482" t="s">
        <v>48</v>
      </c>
      <c r="E292" s="2508" t="s">
        <v>605</v>
      </c>
      <c r="F292" s="2391"/>
      <c r="G292" s="2391"/>
      <c r="H292" s="2391"/>
      <c r="I292" s="2391"/>
      <c r="J292" s="2391"/>
      <c r="K292" s="2391"/>
      <c r="L292" s="2391"/>
      <c r="M292" s="2391"/>
      <c r="N292" s="2391"/>
      <c r="O292" s="481"/>
      <c r="P292" s="485"/>
      <c r="Q292" s="1249"/>
      <c r="R292" s="1198"/>
      <c r="S292" s="1198"/>
      <c r="T292" s="1249"/>
      <c r="U292" s="1249"/>
      <c r="V292" s="1198"/>
      <c r="W292" s="1198"/>
      <c r="X292" s="1198"/>
      <c r="Y292" s="1249"/>
      <c r="Z292" s="1249"/>
      <c r="AA292" s="1249"/>
      <c r="AB292" s="1249"/>
      <c r="AC292" s="2022"/>
      <c r="AD292" s="1249"/>
      <c r="AE292" s="1249"/>
      <c r="AF292" s="1249"/>
      <c r="AG292" s="1249"/>
      <c r="AH292" s="1249"/>
      <c r="AI292" s="2023"/>
      <c r="AJ292" s="1198"/>
      <c r="AK292" s="1198"/>
      <c r="AL292" s="1198"/>
      <c r="AP292" s="1121"/>
    </row>
    <row r="293" spans="1:42" s="1119" customFormat="1" ht="12.6" customHeight="1">
      <c r="A293" s="1116"/>
      <c r="B293" s="467"/>
      <c r="C293" s="467"/>
      <c r="D293" s="485"/>
      <c r="E293" s="2850" t="s">
        <v>1912</v>
      </c>
      <c r="F293" s="2380"/>
      <c r="G293" s="2380"/>
      <c r="H293" s="2380"/>
      <c r="I293" s="2380"/>
      <c r="J293" s="2380"/>
      <c r="K293" s="2380"/>
      <c r="L293" s="2380"/>
      <c r="M293" s="2380"/>
      <c r="N293" s="2380"/>
      <c r="O293" s="481"/>
      <c r="P293" s="485"/>
      <c r="Q293" s="1249"/>
      <c r="R293" s="1198"/>
      <c r="S293" s="1198"/>
      <c r="T293" s="1249"/>
      <c r="U293" s="1249"/>
      <c r="V293" s="1198"/>
      <c r="W293" s="1198"/>
      <c r="X293" s="1198"/>
      <c r="Y293" s="1249"/>
      <c r="Z293" s="1249"/>
      <c r="AA293" s="1249"/>
      <c r="AB293" s="1249"/>
      <c r="AC293" s="2022"/>
      <c r="AD293" s="1249"/>
      <c r="AE293" s="1249"/>
      <c r="AF293" s="1249"/>
      <c r="AG293" s="1249"/>
      <c r="AH293" s="1249"/>
      <c r="AI293" s="2023"/>
      <c r="AJ293" s="1198"/>
      <c r="AK293" s="1198"/>
      <c r="AL293" s="1198"/>
      <c r="AP293" s="1121"/>
    </row>
    <row r="294" spans="1:42" s="1119" customFormat="1" ht="13.15" customHeight="1">
      <c r="A294" s="1116"/>
      <c r="B294" s="467"/>
      <c r="C294" s="467"/>
      <c r="D294" s="485"/>
      <c r="E294" s="2850" t="s">
        <v>603</v>
      </c>
      <c r="F294" s="2380"/>
      <c r="G294" s="2380"/>
      <c r="H294" s="2380"/>
      <c r="I294" s="2380"/>
      <c r="J294" s="2380"/>
      <c r="K294" s="2380"/>
      <c r="L294" s="2380"/>
      <c r="M294" s="2380"/>
      <c r="N294" s="2380"/>
      <c r="O294" s="481"/>
      <c r="P294" s="485"/>
      <c r="Q294" s="1249"/>
      <c r="R294" s="1198"/>
      <c r="S294" s="1198"/>
      <c r="T294" s="1249"/>
      <c r="U294" s="1249"/>
      <c r="V294" s="1198"/>
      <c r="W294" s="1198"/>
      <c r="X294" s="1198"/>
      <c r="Y294" s="1249"/>
      <c r="Z294" s="1249"/>
      <c r="AA294" s="1249"/>
      <c r="AB294" s="1249"/>
      <c r="AC294" s="2022"/>
      <c r="AD294" s="1249"/>
      <c r="AE294" s="1249"/>
      <c r="AF294" s="1249"/>
      <c r="AG294" s="1249"/>
      <c r="AH294" s="1249"/>
      <c r="AI294" s="2023"/>
      <c r="AJ294" s="1198"/>
      <c r="AK294" s="1198"/>
      <c r="AL294" s="1198"/>
      <c r="AP294" s="1121"/>
    </row>
    <row r="295" spans="1:42" s="1119" customFormat="1">
      <c r="A295" s="1116"/>
      <c r="B295" s="1124"/>
      <c r="C295" s="485"/>
      <c r="D295" s="482"/>
      <c r="E295" s="636"/>
      <c r="F295" s="637"/>
      <c r="G295" s="663" t="str">
        <f>EUconst_Unit</f>
        <v>Unit</v>
      </c>
      <c r="H295" s="671">
        <f t="shared" ref="H295:N295" si="55">H$421</f>
        <v>2024</v>
      </c>
      <c r="I295" s="1081">
        <f t="shared" si="55"/>
        <v>2025</v>
      </c>
      <c r="J295" s="1489">
        <f t="shared" si="55"/>
        <v>2026</v>
      </c>
      <c r="K295" s="1490">
        <f t="shared" si="55"/>
        <v>2027</v>
      </c>
      <c r="L295" s="1490">
        <f t="shared" si="55"/>
        <v>2028</v>
      </c>
      <c r="M295" s="1490">
        <f t="shared" si="55"/>
        <v>2029</v>
      </c>
      <c r="N295" s="1490">
        <f t="shared" si="55"/>
        <v>2030</v>
      </c>
      <c r="O295" s="481"/>
      <c r="P295" s="485"/>
      <c r="Q295" s="1198"/>
      <c r="R295" s="1198"/>
      <c r="S295" s="1198"/>
      <c r="T295" s="1249"/>
      <c r="U295" s="1249"/>
      <c r="V295" s="1198"/>
      <c r="W295" s="1198"/>
      <c r="X295" s="1198"/>
      <c r="Y295" s="1249"/>
      <c r="Z295" s="1249"/>
      <c r="AA295" s="1249"/>
      <c r="AB295" s="1249"/>
      <c r="AC295" s="2022"/>
      <c r="AD295" s="1249"/>
      <c r="AE295" s="1249"/>
      <c r="AF295" s="1249"/>
      <c r="AG295" s="1249"/>
      <c r="AH295" s="1249"/>
      <c r="AI295" s="2023"/>
      <c r="AJ295" s="1198"/>
      <c r="AK295" s="1198"/>
      <c r="AL295" s="1198"/>
      <c r="AP295" s="1121"/>
    </row>
    <row r="296" spans="1:42" s="1119" customFormat="1" ht="13.15" customHeight="1" thickBot="1">
      <c r="A296" s="1116"/>
      <c r="B296" s="1124"/>
      <c r="C296" s="485"/>
      <c r="D296" s="485"/>
      <c r="E296" s="2788" t="s">
        <v>604</v>
      </c>
      <c r="F296" s="2410"/>
      <c r="G296" s="1109" t="s">
        <v>1021</v>
      </c>
      <c r="H296" s="2016" t="str">
        <f>c_ALR2025!M6963</f>
        <v/>
      </c>
      <c r="I296" s="2052"/>
      <c r="J296" s="1494"/>
      <c r="K296" s="1495"/>
      <c r="L296" s="1495"/>
      <c r="M296" s="1495"/>
      <c r="N296" s="1495"/>
      <c r="O296" s="481"/>
      <c r="P296" s="485"/>
      <c r="Q296" s="1198"/>
      <c r="R296" s="1198"/>
      <c r="S296" s="1198"/>
      <c r="T296" s="1249"/>
      <c r="U296" s="1249"/>
      <c r="V296" s="1198"/>
      <c r="W296" s="1198"/>
      <c r="X296" s="1198"/>
      <c r="Y296" s="1249"/>
      <c r="Z296" s="1249"/>
      <c r="AA296" s="1249"/>
      <c r="AB296" s="1249"/>
      <c r="AC296" s="2017" t="b">
        <f>AC290</f>
        <v>0</v>
      </c>
      <c r="AD296" s="2018" t="b">
        <f t="shared" ref="AD296:AI296" si="56">AD290</f>
        <v>0</v>
      </c>
      <c r="AE296" s="2018" t="b">
        <f t="shared" si="56"/>
        <v>0</v>
      </c>
      <c r="AF296" s="2018" t="b">
        <f t="shared" si="56"/>
        <v>0</v>
      </c>
      <c r="AG296" s="2018" t="b">
        <f t="shared" si="56"/>
        <v>0</v>
      </c>
      <c r="AH296" s="2018" t="b">
        <f t="shared" si="56"/>
        <v>0</v>
      </c>
      <c r="AI296" s="2019" t="b">
        <f t="shared" si="56"/>
        <v>0</v>
      </c>
      <c r="AJ296" s="1198"/>
      <c r="AK296" s="1198"/>
      <c r="AL296" s="1198"/>
      <c r="AP296" s="1121"/>
    </row>
    <row r="297" spans="1:42" s="1119" customFormat="1" ht="5.0999999999999996" customHeight="1">
      <c r="A297" s="1116"/>
      <c r="B297" s="467"/>
      <c r="C297" s="467"/>
      <c r="D297" s="467"/>
      <c r="E297" s="467"/>
      <c r="F297" s="467"/>
      <c r="G297" s="467"/>
      <c r="H297" s="467"/>
      <c r="I297" s="467"/>
      <c r="J297" s="467"/>
      <c r="K297" s="467"/>
      <c r="L297" s="467"/>
      <c r="M297" s="467"/>
      <c r="N297" s="481"/>
      <c r="O297" s="481"/>
      <c r="P297" s="485"/>
      <c r="Q297" s="1249"/>
      <c r="R297" s="1198"/>
      <c r="S297" s="1198"/>
      <c r="T297" s="1198"/>
      <c r="U297" s="1198"/>
      <c r="V297" s="1198"/>
      <c r="W297" s="1198"/>
      <c r="X297" s="1198"/>
      <c r="Y297" s="1249"/>
      <c r="Z297" s="1249"/>
      <c r="AA297" s="1249"/>
      <c r="AB297" s="1249"/>
      <c r="AC297" s="1249"/>
      <c r="AD297" s="1249"/>
      <c r="AE297" s="1249"/>
      <c r="AF297" s="1249"/>
      <c r="AG297" s="1249"/>
      <c r="AH297" s="1249"/>
      <c r="AI297" s="1249"/>
      <c r="AJ297" s="1198"/>
      <c r="AK297" s="1198"/>
      <c r="AL297" s="1198"/>
      <c r="AP297" s="1121"/>
    </row>
    <row r="298" spans="1:42" s="1119" customFormat="1" ht="13.15" customHeight="1">
      <c r="A298" s="1116"/>
      <c r="B298" s="467"/>
      <c r="C298" s="467"/>
      <c r="D298" s="482" t="s">
        <v>881</v>
      </c>
      <c r="E298" s="2508" t="s">
        <v>608</v>
      </c>
      <c r="F298" s="2391"/>
      <c r="G298" s="2391"/>
      <c r="H298" s="2391"/>
      <c r="I298" s="2391"/>
      <c r="J298" s="2391"/>
      <c r="K298" s="2391"/>
      <c r="L298" s="2391"/>
      <c r="M298" s="2391"/>
      <c r="N298" s="2391"/>
      <c r="O298" s="481"/>
      <c r="P298" s="485"/>
      <c r="Q298" s="1249"/>
      <c r="R298" s="1198"/>
      <c r="S298" s="1198"/>
      <c r="T298" s="1198"/>
      <c r="U298" s="1198"/>
      <c r="V298" s="1198"/>
      <c r="W298" s="1198"/>
      <c r="X298" s="1198"/>
      <c r="Y298" s="1249"/>
      <c r="Z298" s="1249"/>
      <c r="AA298" s="1249"/>
      <c r="AB298" s="1249"/>
      <c r="AC298" s="1249"/>
      <c r="AD298" s="1249"/>
      <c r="AE298" s="1249"/>
      <c r="AF298" s="1249"/>
      <c r="AG298" s="1249"/>
      <c r="AH298" s="1249"/>
      <c r="AI298" s="1249"/>
      <c r="AJ298" s="1198"/>
      <c r="AK298" s="1198"/>
      <c r="AL298" s="1198"/>
      <c r="AP298" s="1121"/>
    </row>
    <row r="299" spans="1:42" s="1119" customFormat="1" ht="12.6" customHeight="1">
      <c r="A299" s="1116"/>
      <c r="B299" s="467"/>
      <c r="C299" s="467"/>
      <c r="D299" s="485"/>
      <c r="E299" s="2850" t="s">
        <v>1251</v>
      </c>
      <c r="F299" s="2380"/>
      <c r="G299" s="2380"/>
      <c r="H299" s="2380"/>
      <c r="I299" s="2380"/>
      <c r="J299" s="2380"/>
      <c r="K299" s="2380"/>
      <c r="L299" s="2380"/>
      <c r="M299" s="2380"/>
      <c r="N299" s="2380"/>
      <c r="O299" s="481"/>
      <c r="P299" s="485"/>
      <c r="Q299" s="1249"/>
      <c r="R299" s="1198"/>
      <c r="S299" s="1198"/>
      <c r="T299" s="1198"/>
      <c r="U299" s="1198"/>
      <c r="V299" s="1198"/>
      <c r="W299" s="1198"/>
      <c r="X299" s="1198"/>
      <c r="Y299" s="1249"/>
      <c r="Z299" s="1249"/>
      <c r="AA299" s="1249"/>
      <c r="AB299" s="1249"/>
      <c r="AC299" s="1249"/>
      <c r="AD299" s="1249"/>
      <c r="AE299" s="1249"/>
      <c r="AF299" s="1249"/>
      <c r="AG299" s="1249"/>
      <c r="AH299" s="1249"/>
      <c r="AI299" s="1249"/>
      <c r="AJ299" s="1198"/>
      <c r="AK299" s="1198"/>
      <c r="AL299" s="1198"/>
      <c r="AP299" s="1121"/>
    </row>
    <row r="300" spans="1:42" s="1119" customFormat="1" ht="12.6" customHeight="1">
      <c r="A300" s="1116"/>
      <c r="B300" s="467"/>
      <c r="C300" s="467"/>
      <c r="D300" s="485"/>
      <c r="E300" s="2850" t="s">
        <v>213</v>
      </c>
      <c r="F300" s="2380"/>
      <c r="G300" s="2380"/>
      <c r="H300" s="2380"/>
      <c r="I300" s="2380"/>
      <c r="J300" s="2380"/>
      <c r="K300" s="2380"/>
      <c r="L300" s="2380"/>
      <c r="M300" s="2380"/>
      <c r="N300" s="2380"/>
      <c r="O300" s="481"/>
      <c r="P300" s="485"/>
      <c r="Q300" s="1249"/>
      <c r="R300" s="1198"/>
      <c r="S300" s="1198"/>
      <c r="T300" s="1198"/>
      <c r="U300" s="1198"/>
      <c r="V300" s="1198"/>
      <c r="W300" s="1198"/>
      <c r="X300" s="1198"/>
      <c r="Y300" s="1249"/>
      <c r="Z300" s="1249"/>
      <c r="AA300" s="1249"/>
      <c r="AB300" s="1249"/>
      <c r="AC300" s="1249"/>
      <c r="AD300" s="1249"/>
      <c r="AE300" s="1249"/>
      <c r="AF300" s="1249"/>
      <c r="AG300" s="1249"/>
      <c r="AH300" s="1249"/>
      <c r="AI300" s="1249"/>
      <c r="AJ300" s="1198"/>
      <c r="AK300" s="1198"/>
      <c r="AL300" s="1198"/>
      <c r="AP300" s="1121"/>
    </row>
    <row r="301" spans="1:42" s="1119" customFormat="1" ht="13.15" customHeight="1">
      <c r="A301" s="1116"/>
      <c r="B301" s="467"/>
      <c r="C301" s="467"/>
      <c r="D301" s="485"/>
      <c r="E301" s="2850" t="s">
        <v>1247</v>
      </c>
      <c r="F301" s="2380"/>
      <c r="G301" s="2380"/>
      <c r="H301" s="2380"/>
      <c r="I301" s="2380"/>
      <c r="J301" s="2380"/>
      <c r="K301" s="2380"/>
      <c r="L301" s="2380"/>
      <c r="M301" s="2380"/>
      <c r="N301" s="2380"/>
      <c r="O301" s="481"/>
      <c r="P301" s="485"/>
      <c r="Q301" s="1249"/>
      <c r="R301" s="1198"/>
      <c r="S301" s="1198"/>
      <c r="T301" s="1198"/>
      <c r="U301" s="1198"/>
      <c r="V301" s="1198"/>
      <c r="W301" s="1198"/>
      <c r="X301" s="1198"/>
      <c r="Y301" s="1249"/>
      <c r="Z301" s="1249"/>
      <c r="AA301" s="1249"/>
      <c r="AB301" s="1249"/>
      <c r="AC301" s="1249"/>
      <c r="AD301" s="1249"/>
      <c r="AE301" s="1249"/>
      <c r="AF301" s="1249"/>
      <c r="AG301" s="1249"/>
      <c r="AH301" s="1249"/>
      <c r="AI301" s="1249"/>
      <c r="AJ301" s="1198"/>
      <c r="AK301" s="1198"/>
      <c r="AL301" s="1198"/>
      <c r="AP301" s="1121"/>
    </row>
    <row r="302" spans="1:42" s="1119" customFormat="1">
      <c r="A302" s="1116"/>
      <c r="B302" s="1124"/>
      <c r="C302" s="485"/>
      <c r="D302" s="482"/>
      <c r="E302" s="637"/>
      <c r="F302" s="637"/>
      <c r="G302" s="663" t="str">
        <f>EUconst_Unit</f>
        <v>Unit</v>
      </c>
      <c r="H302" s="671">
        <f t="shared" ref="H302:N302" si="57">H$421</f>
        <v>2024</v>
      </c>
      <c r="I302" s="1081">
        <f t="shared" si="57"/>
        <v>2025</v>
      </c>
      <c r="J302" s="1489">
        <f t="shared" si="57"/>
        <v>2026</v>
      </c>
      <c r="K302" s="1490">
        <f t="shared" si="57"/>
        <v>2027</v>
      </c>
      <c r="L302" s="1490">
        <f t="shared" si="57"/>
        <v>2028</v>
      </c>
      <c r="M302" s="1490">
        <f t="shared" si="57"/>
        <v>2029</v>
      </c>
      <c r="N302" s="1490">
        <f t="shared" si="57"/>
        <v>2030</v>
      </c>
      <c r="O302" s="481"/>
      <c r="P302" s="485"/>
      <c r="Q302" s="1198"/>
      <c r="R302" s="1198"/>
      <c r="S302" s="1198"/>
      <c r="T302" s="1198"/>
      <c r="U302" s="1198"/>
      <c r="V302" s="1198"/>
      <c r="W302" s="1198"/>
      <c r="X302" s="1198"/>
      <c r="Y302" s="1249"/>
      <c r="Z302" s="1249"/>
      <c r="AA302" s="1249"/>
      <c r="AB302" s="1249"/>
      <c r="AC302" s="1249"/>
      <c r="AD302" s="1249"/>
      <c r="AE302" s="1249"/>
      <c r="AF302" s="1249"/>
      <c r="AG302" s="1249"/>
      <c r="AH302" s="1249"/>
      <c r="AI302" s="1249"/>
      <c r="AJ302" s="1198"/>
      <c r="AK302" s="1198"/>
      <c r="AL302" s="1198"/>
      <c r="AP302" s="1121"/>
    </row>
    <row r="303" spans="1:42" s="1119" customFormat="1" ht="13.15" customHeight="1">
      <c r="A303" s="1116"/>
      <c r="B303" s="1124"/>
      <c r="C303" s="485"/>
      <c r="D303" s="485"/>
      <c r="E303" s="2788" t="s">
        <v>606</v>
      </c>
      <c r="F303" s="2410"/>
      <c r="G303" s="730" t="str">
        <f>EUconst_tpa</f>
        <v>t / year</v>
      </c>
      <c r="H303" s="668" t="str">
        <f t="shared" ref="H303:N303" si="58">IF(AND(ISNUMBER(H290),ISNUMBER(H296)),IF((H290*0.08987*(1-(1-H296)/0.4027)&gt;0),H290*0.08987*(1-(1-H296)/0.4027),0),"")</f>
        <v/>
      </c>
      <c r="I303" s="1021" t="str">
        <f t="shared" si="58"/>
        <v/>
      </c>
      <c r="J303" s="1491" t="str">
        <f t="shared" si="58"/>
        <v/>
      </c>
      <c r="K303" s="1492" t="str">
        <f t="shared" si="58"/>
        <v/>
      </c>
      <c r="L303" s="1492" t="str">
        <f t="shared" si="58"/>
        <v/>
      </c>
      <c r="M303" s="1492" t="str">
        <f t="shared" si="58"/>
        <v/>
      </c>
      <c r="N303" s="1492" t="str">
        <f t="shared" si="58"/>
        <v/>
      </c>
      <c r="O303" s="481"/>
      <c r="P303" s="485"/>
      <c r="Q303" s="1443" t="str">
        <f>IF(L282=EUconst_Relevant,EUconst_CNTR_HALspecial &amp; INDEX(EUconst_BMlistNames,R282),"")</f>
        <v/>
      </c>
      <c r="R303" s="1198"/>
      <c r="S303" s="1198"/>
      <c r="T303" s="1198"/>
      <c r="U303" s="1198"/>
      <c r="V303" s="1198"/>
      <c r="W303" s="1198"/>
      <c r="X303" s="1198"/>
      <c r="Y303" s="1249"/>
      <c r="Z303" s="1249"/>
      <c r="AA303" s="1249"/>
      <c r="AB303" s="1249"/>
      <c r="AC303" s="1249"/>
      <c r="AD303" s="1249"/>
      <c r="AE303" s="1249"/>
      <c r="AF303" s="1249"/>
      <c r="AG303" s="1249"/>
      <c r="AH303" s="1249"/>
      <c r="AI303" s="1249"/>
      <c r="AJ303" s="1198"/>
      <c r="AK303" s="1198"/>
      <c r="AL303" s="1198"/>
      <c r="AP303" s="1121"/>
    </row>
    <row r="304" spans="1:42" s="1119" customFormat="1" ht="5.0999999999999996" customHeight="1">
      <c r="A304" s="1116"/>
      <c r="B304" s="467"/>
      <c r="C304" s="467"/>
      <c r="D304" s="467"/>
      <c r="E304" s="467"/>
      <c r="F304" s="467"/>
      <c r="G304" s="467"/>
      <c r="H304" s="467"/>
      <c r="I304" s="467"/>
      <c r="J304" s="467"/>
      <c r="K304" s="467"/>
      <c r="L304" s="467"/>
      <c r="M304" s="481"/>
      <c r="N304" s="481"/>
      <c r="O304" s="481"/>
      <c r="P304" s="485"/>
      <c r="Q304" s="1249"/>
      <c r="R304" s="1198"/>
      <c r="S304" s="1198"/>
      <c r="T304" s="1198"/>
      <c r="U304" s="1198"/>
      <c r="V304" s="1198"/>
      <c r="W304" s="1198"/>
      <c r="X304" s="1198"/>
      <c r="Y304" s="1249"/>
      <c r="Z304" s="1249"/>
      <c r="AA304" s="1249"/>
      <c r="AB304" s="1249"/>
      <c r="AC304" s="1249"/>
      <c r="AD304" s="1249"/>
      <c r="AE304" s="1249"/>
      <c r="AF304" s="1249"/>
      <c r="AG304" s="1249"/>
      <c r="AH304" s="1249"/>
      <c r="AI304" s="1249"/>
      <c r="AJ304" s="1198"/>
      <c r="AK304" s="1198"/>
      <c r="AL304" s="1198"/>
      <c r="AP304" s="1121"/>
    </row>
    <row r="305" spans="1:42" s="1119" customFormat="1">
      <c r="A305" s="1116"/>
      <c r="B305" s="467"/>
      <c r="C305" s="467"/>
      <c r="D305" s="467"/>
      <c r="E305" s="2782" t="str">
        <f>IF(L282=EUconst_Relevant,HYPERLINK(R305,EUconst_MsgBackToSheetF),"")</f>
        <v/>
      </c>
      <c r="F305" s="2783"/>
      <c r="G305" s="2783"/>
      <c r="H305" s="2783"/>
      <c r="I305" s="2783"/>
      <c r="J305" s="2783"/>
      <c r="K305" s="2783"/>
      <c r="L305" s="2783"/>
      <c r="M305" s="2783"/>
      <c r="N305" s="2784"/>
      <c r="O305" s="481"/>
      <c r="P305" s="485"/>
      <c r="Q305" s="1893" t="s">
        <v>116</v>
      </c>
      <c r="R305" s="1443" t="str">
        <f>R284</f>
        <v/>
      </c>
      <c r="S305" s="1198"/>
      <c r="T305" s="1198"/>
      <c r="U305" s="1198"/>
      <c r="V305" s="1198"/>
      <c r="W305" s="1198"/>
      <c r="X305" s="1198"/>
      <c r="Y305" s="1198"/>
      <c r="Z305" s="1198"/>
      <c r="AA305" s="1198"/>
      <c r="AB305" s="1198"/>
      <c r="AC305" s="1198"/>
      <c r="AD305" s="1198"/>
      <c r="AE305" s="1198"/>
      <c r="AF305" s="1198"/>
      <c r="AG305" s="1198"/>
      <c r="AH305" s="1198"/>
      <c r="AI305" s="1198"/>
      <c r="AJ305" s="1198"/>
      <c r="AK305" s="1198"/>
      <c r="AL305" s="1198"/>
      <c r="AP305" s="1121"/>
    </row>
    <row r="306" spans="1:42" s="1119" customFormat="1">
      <c r="A306" s="1116"/>
      <c r="B306" s="1124"/>
      <c r="C306" s="485"/>
      <c r="D306" s="485"/>
      <c r="E306" s="485"/>
      <c r="F306" s="485"/>
      <c r="G306" s="485"/>
      <c r="H306" s="485"/>
      <c r="I306" s="485"/>
      <c r="J306" s="485"/>
      <c r="K306" s="485"/>
      <c r="L306" s="485"/>
      <c r="M306" s="485"/>
      <c r="N306" s="485"/>
      <c r="O306" s="481"/>
      <c r="P306" s="485"/>
      <c r="Q306" s="1198"/>
      <c r="R306" s="1198"/>
      <c r="S306" s="1198"/>
      <c r="T306" s="1198"/>
      <c r="U306" s="1198"/>
      <c r="V306" s="1198"/>
      <c r="W306" s="1198"/>
      <c r="X306" s="1198"/>
      <c r="Y306" s="1198"/>
      <c r="Z306" s="1198"/>
      <c r="AA306" s="1198"/>
      <c r="AB306" s="1198"/>
      <c r="AC306" s="1198"/>
      <c r="AD306" s="1198"/>
      <c r="AE306" s="1198"/>
      <c r="AF306" s="1198"/>
      <c r="AG306" s="1198"/>
      <c r="AH306" s="1198"/>
      <c r="AI306" s="1198"/>
      <c r="AJ306" s="1198"/>
      <c r="AK306" s="1198"/>
      <c r="AL306" s="1198"/>
      <c r="AP306" s="1121"/>
    </row>
    <row r="307" spans="1:42" s="1119" customFormat="1" ht="15.6" customHeight="1">
      <c r="A307" s="1116"/>
      <c r="B307" s="467"/>
      <c r="C307" s="507" t="s">
        <v>930</v>
      </c>
      <c r="D307" s="2408" t="s">
        <v>821</v>
      </c>
      <c r="E307" s="2408"/>
      <c r="F307" s="2408"/>
      <c r="G307" s="2408"/>
      <c r="H307" s="2408"/>
      <c r="I307" s="2408"/>
      <c r="J307" s="2408"/>
      <c r="K307" s="2408"/>
      <c r="L307" s="2408"/>
      <c r="M307" s="2408"/>
      <c r="N307" s="2408"/>
      <c r="O307" s="481"/>
      <c r="P307" s="485"/>
      <c r="Q307" s="1249"/>
      <c r="R307" s="1198"/>
      <c r="S307" s="1198"/>
      <c r="T307" s="1198"/>
      <c r="U307" s="1198"/>
      <c r="V307" s="1198"/>
      <c r="W307" s="1198"/>
      <c r="X307" s="1198"/>
      <c r="Y307" s="1198"/>
      <c r="Z307" s="1198"/>
      <c r="AA307" s="1198"/>
      <c r="AB307" s="1198"/>
      <c r="AC307" s="1198"/>
      <c r="AD307" s="1198"/>
      <c r="AE307" s="1198"/>
      <c r="AF307" s="1198"/>
      <c r="AG307" s="1198"/>
      <c r="AH307" s="1198"/>
      <c r="AI307" s="1198"/>
      <c r="AJ307" s="1198"/>
      <c r="AK307" s="1198"/>
      <c r="AL307" s="1198"/>
      <c r="AP307" s="1121"/>
    </row>
    <row r="308" spans="1:42" s="1119" customFormat="1" ht="5.0999999999999996" customHeight="1">
      <c r="A308" s="1116"/>
      <c r="B308" s="467"/>
      <c r="C308" s="467"/>
      <c r="D308" s="467"/>
      <c r="E308" s="467"/>
      <c r="F308" s="467"/>
      <c r="G308" s="467"/>
      <c r="H308" s="467"/>
      <c r="I308" s="467"/>
      <c r="J308" s="467"/>
      <c r="K308" s="467"/>
      <c r="L308" s="467"/>
      <c r="M308" s="481"/>
      <c r="N308" s="481"/>
      <c r="O308" s="481"/>
      <c r="P308" s="485"/>
      <c r="Q308" s="1249"/>
      <c r="R308" s="1198"/>
      <c r="S308" s="1198"/>
      <c r="T308" s="1198"/>
      <c r="U308" s="1198"/>
      <c r="V308" s="1198"/>
      <c r="W308" s="1198"/>
      <c r="X308" s="1198"/>
      <c r="Y308" s="1198"/>
      <c r="Z308" s="1198"/>
      <c r="AA308" s="1198"/>
      <c r="AB308" s="1198"/>
      <c r="AC308" s="1198"/>
      <c r="AD308" s="1198"/>
      <c r="AE308" s="1198"/>
      <c r="AF308" s="1198"/>
      <c r="AG308" s="1198"/>
      <c r="AH308" s="1198"/>
      <c r="AI308" s="1198"/>
      <c r="AJ308" s="1198"/>
      <c r="AK308" s="1198"/>
      <c r="AL308" s="1198"/>
      <c r="AP308" s="1121"/>
    </row>
    <row r="309" spans="1:42" s="1119" customFormat="1" ht="13.9" customHeight="1">
      <c r="A309" s="1116"/>
      <c r="B309" s="467"/>
      <c r="C309" s="559"/>
      <c r="D309" s="2482" t="s">
        <v>610</v>
      </c>
      <c r="E309" s="2400"/>
      <c r="F309" s="2400"/>
      <c r="G309" s="2400"/>
      <c r="H309" s="2400"/>
      <c r="I309" s="2400"/>
      <c r="J309" s="2400"/>
      <c r="K309" s="2400"/>
      <c r="L309" s="2400"/>
      <c r="M309" s="2400"/>
      <c r="N309" s="2400"/>
      <c r="O309" s="481"/>
      <c r="P309" s="485"/>
      <c r="Q309" s="1249"/>
      <c r="R309" s="1198"/>
      <c r="S309" s="1198"/>
      <c r="T309" s="1198"/>
      <c r="U309" s="1198"/>
      <c r="V309" s="1198"/>
      <c r="W309" s="1198"/>
      <c r="X309" s="1198"/>
      <c r="Y309" s="1198"/>
      <c r="Z309" s="1198"/>
      <c r="AA309" s="1198"/>
      <c r="AB309" s="1198"/>
      <c r="AC309" s="1198"/>
      <c r="AD309" s="1198"/>
      <c r="AE309" s="1198"/>
      <c r="AF309" s="1198"/>
      <c r="AG309" s="1198"/>
      <c r="AH309" s="1198"/>
      <c r="AI309" s="1198"/>
      <c r="AJ309" s="1198"/>
      <c r="AK309" s="1198"/>
      <c r="AL309" s="1198"/>
      <c r="AP309" s="1121"/>
    </row>
    <row r="310" spans="1:42" s="1119" customFormat="1" ht="5.0999999999999996" customHeight="1">
      <c r="A310" s="1116"/>
      <c r="B310" s="467"/>
      <c r="C310" s="467"/>
      <c r="D310" s="467"/>
      <c r="E310" s="467"/>
      <c r="F310" s="467"/>
      <c r="G310" s="467"/>
      <c r="H310" s="467"/>
      <c r="I310" s="467"/>
      <c r="J310" s="467"/>
      <c r="K310" s="467"/>
      <c r="L310" s="467"/>
      <c r="M310" s="481"/>
      <c r="N310" s="481"/>
      <c r="O310" s="481"/>
      <c r="P310" s="485"/>
      <c r="Q310" s="1249"/>
      <c r="R310" s="1198"/>
      <c r="S310" s="1198"/>
      <c r="T310" s="1198"/>
      <c r="U310" s="1198"/>
      <c r="V310" s="1198"/>
      <c r="W310" s="1198"/>
      <c r="X310" s="1198"/>
      <c r="Y310" s="1198"/>
      <c r="Z310" s="1198"/>
      <c r="AA310" s="1198"/>
      <c r="AB310" s="1198"/>
      <c r="AC310" s="1198"/>
      <c r="AD310" s="1198"/>
      <c r="AE310" s="1198"/>
      <c r="AF310" s="1198"/>
      <c r="AG310" s="1198"/>
      <c r="AH310" s="1198"/>
      <c r="AI310" s="1198"/>
      <c r="AJ310" s="1198"/>
      <c r="AK310" s="1198"/>
      <c r="AL310" s="1198"/>
      <c r="AP310" s="1121"/>
    </row>
    <row r="311" spans="1:42" s="1119" customFormat="1" ht="13.15" customHeight="1">
      <c r="A311" s="1116"/>
      <c r="B311" s="467"/>
      <c r="C311" s="467"/>
      <c r="D311" s="485"/>
      <c r="E311" s="2385" t="s">
        <v>2318</v>
      </c>
      <c r="F311" s="2846"/>
      <c r="G311" s="2846"/>
      <c r="H311" s="2846"/>
      <c r="I311" s="2846"/>
      <c r="J311" s="2846"/>
      <c r="K311" s="2846"/>
      <c r="L311" s="2846"/>
      <c r="M311" s="2846"/>
      <c r="N311" s="2846"/>
      <c r="O311" s="481"/>
      <c r="P311" s="485"/>
      <c r="Q311" s="1249"/>
      <c r="R311" s="1198"/>
      <c r="S311" s="1198"/>
      <c r="T311" s="1198"/>
      <c r="U311" s="1198"/>
      <c r="V311" s="1198"/>
      <c r="W311" s="1198"/>
      <c r="X311" s="1198"/>
      <c r="Y311" s="1198"/>
      <c r="Z311" s="1198"/>
      <c r="AA311" s="1198"/>
      <c r="AB311" s="1198"/>
      <c r="AC311" s="1198"/>
      <c r="AD311" s="1198"/>
      <c r="AE311" s="1198"/>
      <c r="AF311" s="1198"/>
      <c r="AG311" s="1198"/>
      <c r="AH311" s="1198"/>
      <c r="AI311" s="1198"/>
      <c r="AJ311" s="1198"/>
      <c r="AK311" s="1198"/>
      <c r="AL311" s="1198"/>
      <c r="AP311" s="1121"/>
    </row>
    <row r="312" spans="1:42" s="1119" customFormat="1" ht="13.15" customHeight="1">
      <c r="A312" s="1116"/>
      <c r="B312" s="467"/>
      <c r="C312" s="467"/>
      <c r="D312" s="485"/>
      <c r="E312" s="2385" t="s">
        <v>126</v>
      </c>
      <c r="F312" s="2846"/>
      <c r="G312" s="2846"/>
      <c r="H312" s="2846"/>
      <c r="I312" s="2846"/>
      <c r="J312" s="2846"/>
      <c r="K312" s="2846"/>
      <c r="L312" s="2846"/>
      <c r="M312" s="2846"/>
      <c r="N312" s="2846"/>
      <c r="O312" s="481"/>
      <c r="P312" s="485"/>
      <c r="Q312" s="1249"/>
      <c r="R312" s="1198"/>
      <c r="S312" s="1198"/>
      <c r="T312" s="1198"/>
      <c r="U312" s="1198"/>
      <c r="V312" s="1198"/>
      <c r="W312" s="1198"/>
      <c r="X312" s="1198"/>
      <c r="Y312" s="1198"/>
      <c r="Z312" s="1198"/>
      <c r="AA312" s="1198"/>
      <c r="AB312" s="1198"/>
      <c r="AC312" s="1198"/>
      <c r="AD312" s="1198"/>
      <c r="AE312" s="1198"/>
      <c r="AF312" s="1198"/>
      <c r="AG312" s="1198"/>
      <c r="AH312" s="1198"/>
      <c r="AI312" s="1198"/>
      <c r="AJ312" s="1198"/>
      <c r="AK312" s="1198"/>
      <c r="AL312" s="1198"/>
      <c r="AP312" s="1121"/>
    </row>
    <row r="313" spans="1:42" s="1119" customFormat="1" ht="13.15" customHeight="1">
      <c r="A313" s="1116"/>
      <c r="B313" s="467"/>
      <c r="C313" s="467"/>
      <c r="D313" s="485"/>
      <c r="E313" s="3258" t="s">
        <v>1641</v>
      </c>
      <c r="F313" s="2846"/>
      <c r="G313" s="2846"/>
      <c r="H313" s="2846"/>
      <c r="I313" s="2846"/>
      <c r="J313" s="2846"/>
      <c r="K313" s="2846"/>
      <c r="L313" s="2846"/>
      <c r="M313" s="2846"/>
      <c r="N313" s="2846"/>
      <c r="O313" s="481"/>
      <c r="P313" s="485"/>
      <c r="Q313" s="1249"/>
      <c r="R313" s="1198"/>
      <c r="S313" s="1198"/>
      <c r="T313" s="1198"/>
      <c r="U313" s="1198"/>
      <c r="V313" s="1198"/>
      <c r="W313" s="1198"/>
      <c r="X313" s="1198"/>
      <c r="Y313" s="1198"/>
      <c r="Z313" s="1198"/>
      <c r="AA313" s="1198"/>
      <c r="AB313" s="1198"/>
      <c r="AC313" s="1198"/>
      <c r="AD313" s="1198"/>
      <c r="AE313" s="1198"/>
      <c r="AF313" s="1198"/>
      <c r="AG313" s="1198"/>
      <c r="AH313" s="1198"/>
      <c r="AI313" s="1198"/>
      <c r="AJ313" s="1198"/>
      <c r="AK313" s="1198"/>
      <c r="AL313" s="1198"/>
      <c r="AP313" s="1121"/>
    </row>
    <row r="314" spans="1:42" s="1119" customFormat="1" ht="5.0999999999999996" customHeight="1">
      <c r="A314" s="1116"/>
      <c r="B314" s="467"/>
      <c r="C314" s="467"/>
      <c r="D314" s="467"/>
      <c r="E314" s="467"/>
      <c r="F314" s="467"/>
      <c r="G314" s="467"/>
      <c r="H314" s="467"/>
      <c r="I314" s="467"/>
      <c r="J314" s="467"/>
      <c r="K314" s="467"/>
      <c r="L314" s="467"/>
      <c r="M314" s="481"/>
      <c r="N314" s="481"/>
      <c r="O314" s="481"/>
      <c r="P314" s="485"/>
      <c r="Q314" s="1249"/>
      <c r="R314" s="1198"/>
      <c r="S314" s="1198"/>
      <c r="T314" s="1198"/>
      <c r="U314" s="1198"/>
      <c r="V314" s="1198"/>
      <c r="W314" s="1198"/>
      <c r="X314" s="1198"/>
      <c r="Y314" s="1198"/>
      <c r="Z314" s="1198"/>
      <c r="AA314" s="1198"/>
      <c r="AB314" s="1198"/>
      <c r="AC314" s="1198"/>
      <c r="AD314" s="1198"/>
      <c r="AE314" s="1198"/>
      <c r="AF314" s="1198"/>
      <c r="AG314" s="1198"/>
      <c r="AH314" s="1198"/>
      <c r="AI314" s="1198"/>
      <c r="AJ314" s="1198"/>
      <c r="AK314" s="1198"/>
      <c r="AL314" s="1198"/>
      <c r="AP314" s="1121"/>
    </row>
    <row r="315" spans="1:42" s="1119" customFormat="1" ht="15">
      <c r="A315" s="1116"/>
      <c r="B315" s="467"/>
      <c r="C315" s="467"/>
      <c r="D315" s="482" t="s">
        <v>400</v>
      </c>
      <c r="E315" s="2373" t="s">
        <v>96</v>
      </c>
      <c r="F315" s="2373"/>
      <c r="G315" s="2373"/>
      <c r="H315" s="2373"/>
      <c r="I315" s="2373"/>
      <c r="J315" s="2373"/>
      <c r="K315" s="2604"/>
      <c r="L315" s="3419" t="str">
        <f>IF(CNTR_ExistSubInstEntries,IF(COUNTIF(CNTR_SubInstListNames,INDEX(EUconst_BMlistNames,R315))&gt;0,EUconst_Relevant,EUconst_NotRelevant),"")</f>
        <v/>
      </c>
      <c r="M315" s="3420"/>
      <c r="N315" s="3421"/>
      <c r="O315" s="481"/>
      <c r="P315" s="485"/>
      <c r="Q315" s="1893" t="s">
        <v>117</v>
      </c>
      <c r="R315" s="2002">
        <v>51</v>
      </c>
      <c r="S315" s="1198"/>
      <c r="T315" s="1198"/>
      <c r="U315" s="1198"/>
      <c r="V315" s="1198"/>
      <c r="W315" s="1198"/>
      <c r="X315" s="1198"/>
      <c r="Y315" s="1198"/>
      <c r="Z315" s="1198"/>
      <c r="AA315" s="1198"/>
      <c r="AB315" s="1198"/>
      <c r="AC315" s="1198"/>
      <c r="AD315" s="1198"/>
      <c r="AE315" s="1198"/>
      <c r="AF315" s="1198"/>
      <c r="AG315" s="1198"/>
      <c r="AH315" s="1198"/>
      <c r="AI315" s="1198"/>
      <c r="AJ315" s="1198"/>
      <c r="AK315" s="1198"/>
      <c r="AL315" s="1198"/>
      <c r="AP315" s="1121"/>
    </row>
    <row r="316" spans="1:42" s="1119" customFormat="1" ht="13.15" customHeight="1">
      <c r="A316" s="1116"/>
      <c r="B316" s="467"/>
      <c r="C316" s="467"/>
      <c r="D316" s="485"/>
      <c r="E316" s="3203" t="s">
        <v>300</v>
      </c>
      <c r="F316" s="3204"/>
      <c r="G316" s="3204"/>
      <c r="H316" s="3204"/>
      <c r="I316" s="3204"/>
      <c r="J316" s="3204"/>
      <c r="K316" s="3204"/>
      <c r="L316" s="3204"/>
      <c r="M316" s="3204"/>
      <c r="N316" s="3204"/>
      <c r="O316" s="481"/>
      <c r="P316" s="485"/>
      <c r="Q316" s="1249"/>
      <c r="R316" s="1198"/>
      <c r="S316" s="1198"/>
      <c r="T316" s="1198"/>
      <c r="U316" s="1198"/>
      <c r="V316" s="1198"/>
      <c r="W316" s="1198"/>
      <c r="X316" s="1198"/>
      <c r="Y316" s="1198"/>
      <c r="Z316" s="1198"/>
      <c r="AA316" s="1198"/>
      <c r="AB316" s="1198"/>
      <c r="AC316" s="1198"/>
      <c r="AD316" s="1198"/>
      <c r="AE316" s="1198"/>
      <c r="AF316" s="1198"/>
      <c r="AG316" s="1198"/>
      <c r="AH316" s="1198"/>
      <c r="AI316" s="1198"/>
      <c r="AJ316" s="1198"/>
      <c r="AK316" s="1198"/>
      <c r="AL316" s="1198"/>
      <c r="AP316" s="1121"/>
    </row>
    <row r="317" spans="1:42" s="1119" customFormat="1">
      <c r="A317" s="1116"/>
      <c r="B317" s="467"/>
      <c r="C317" s="467"/>
      <c r="D317" s="467"/>
      <c r="E317" s="2782" t="str">
        <f>IF(L315=EUconst_Relevant,HYPERLINK(R317,EUconst_MsgBackToSheetF),"")</f>
        <v/>
      </c>
      <c r="F317" s="2783"/>
      <c r="G317" s="2783"/>
      <c r="H317" s="2783"/>
      <c r="I317" s="2783"/>
      <c r="J317" s="2783"/>
      <c r="K317" s="2783"/>
      <c r="L317" s="2783"/>
      <c r="M317" s="2783"/>
      <c r="N317" s="2784"/>
      <c r="O317" s="481"/>
      <c r="P317" s="485"/>
      <c r="Q317" s="1893" t="s">
        <v>116</v>
      </c>
      <c r="R317" s="1443" t="str">
        <f>IF(ISNUMBER(MATCH(R315,CNTR_SubInstListBMnumbers,0)),"#JUMP_F"&amp;MATCH(R315,CNTR_SubInstListBMnumbers,0),"")</f>
        <v/>
      </c>
      <c r="S317" s="1198"/>
      <c r="T317" s="1198"/>
      <c r="U317" s="1198"/>
      <c r="V317" s="1198"/>
      <c r="W317" s="1198"/>
      <c r="X317" s="1198"/>
      <c r="Y317" s="1198"/>
      <c r="Z317" s="1198"/>
      <c r="AA317" s="1198"/>
      <c r="AB317" s="1198"/>
      <c r="AC317" s="1198"/>
      <c r="AD317" s="1198"/>
      <c r="AE317" s="1198"/>
      <c r="AF317" s="1198"/>
      <c r="AG317" s="1198"/>
      <c r="AH317" s="1198"/>
      <c r="AI317" s="1198"/>
      <c r="AJ317" s="1198"/>
      <c r="AK317" s="1198"/>
      <c r="AL317" s="1198"/>
      <c r="AP317" s="1121"/>
    </row>
    <row r="318" spans="1:42" s="1119" customFormat="1" ht="5.0999999999999996" customHeight="1">
      <c r="A318" s="1116"/>
      <c r="B318" s="467"/>
      <c r="C318" s="467"/>
      <c r="D318" s="467"/>
      <c r="E318" s="467"/>
      <c r="F318" s="467"/>
      <c r="G318" s="467"/>
      <c r="H318" s="467"/>
      <c r="I318" s="467"/>
      <c r="J318" s="467"/>
      <c r="K318" s="467"/>
      <c r="L318" s="467"/>
      <c r="M318" s="481"/>
      <c r="N318" s="481"/>
      <c r="O318" s="481"/>
      <c r="P318" s="485"/>
      <c r="Q318" s="1249"/>
      <c r="R318" s="1198"/>
      <c r="S318" s="1198"/>
      <c r="T318" s="1198"/>
      <c r="U318" s="1198"/>
      <c r="V318" s="1198"/>
      <c r="W318" s="1198"/>
      <c r="X318" s="1198"/>
      <c r="Y318" s="1198"/>
      <c r="Z318" s="1198"/>
      <c r="AA318" s="1198"/>
      <c r="AB318" s="1198"/>
      <c r="AC318" s="1198"/>
      <c r="AD318" s="1198"/>
      <c r="AE318" s="1198"/>
      <c r="AF318" s="1198"/>
      <c r="AG318" s="1198"/>
      <c r="AH318" s="1198"/>
      <c r="AI318" s="1198"/>
      <c r="AJ318" s="1198"/>
      <c r="AK318" s="1198"/>
      <c r="AL318" s="1198"/>
      <c r="AP318" s="1121"/>
    </row>
    <row r="319" spans="1:42" s="1119" customFormat="1" ht="13.15" customHeight="1">
      <c r="A319" s="1116"/>
      <c r="B319" s="467"/>
      <c r="C319" s="467"/>
      <c r="D319" s="482" t="s">
        <v>876</v>
      </c>
      <c r="E319" s="2373" t="s">
        <v>611</v>
      </c>
      <c r="F319" s="2400"/>
      <c r="G319" s="2400"/>
      <c r="H319" s="2400"/>
      <c r="I319" s="2400"/>
      <c r="J319" s="2400"/>
      <c r="K319" s="2400"/>
      <c r="L319" s="2400"/>
      <c r="M319" s="2400"/>
      <c r="N319" s="2400"/>
      <c r="O319" s="481"/>
      <c r="P319" s="485"/>
      <c r="Q319" s="1249"/>
      <c r="R319" s="1198"/>
      <c r="S319" s="1198"/>
      <c r="T319" s="1198"/>
      <c r="U319" s="1198"/>
      <c r="V319" s="1198"/>
      <c r="W319" s="1198"/>
      <c r="X319" s="1198"/>
      <c r="Y319" s="1198"/>
      <c r="Z319" s="1198"/>
      <c r="AA319" s="1198"/>
      <c r="AB319" s="1198"/>
      <c r="AC319" s="1198"/>
      <c r="AD319" s="1198"/>
      <c r="AE319" s="1198"/>
      <c r="AF319" s="1198"/>
      <c r="AG319" s="1198"/>
      <c r="AH319" s="1198"/>
      <c r="AI319" s="1198"/>
      <c r="AJ319" s="1198"/>
      <c r="AK319" s="1198"/>
      <c r="AL319" s="1198"/>
      <c r="AP319" s="1121"/>
    </row>
    <row r="320" spans="1:42" s="1119" customFormat="1" ht="13.15" customHeight="1">
      <c r="A320" s="1116"/>
      <c r="B320" s="467"/>
      <c r="C320" s="467"/>
      <c r="D320" s="485"/>
      <c r="E320" s="2385" t="s">
        <v>1913</v>
      </c>
      <c r="F320" s="2846"/>
      <c r="G320" s="2846"/>
      <c r="H320" s="2846"/>
      <c r="I320" s="2846"/>
      <c r="J320" s="2846"/>
      <c r="K320" s="2846"/>
      <c r="L320" s="2846"/>
      <c r="M320" s="2846"/>
      <c r="N320" s="2846"/>
      <c r="O320" s="481"/>
      <c r="P320" s="485"/>
      <c r="Q320" s="1249"/>
      <c r="R320" s="1198"/>
      <c r="S320" s="1198"/>
      <c r="T320" s="1198"/>
      <c r="U320" s="1198"/>
      <c r="V320" s="1198"/>
      <c r="W320" s="1198"/>
      <c r="X320" s="1198"/>
      <c r="Y320" s="1198"/>
      <c r="Z320" s="1198"/>
      <c r="AA320" s="1198"/>
      <c r="AB320" s="1198"/>
      <c r="AC320" s="1198"/>
      <c r="AD320" s="1198"/>
      <c r="AE320" s="1198"/>
      <c r="AF320" s="1198"/>
      <c r="AG320" s="1198"/>
      <c r="AH320" s="1198"/>
      <c r="AI320" s="1198"/>
      <c r="AJ320" s="1198"/>
      <c r="AK320" s="1198"/>
      <c r="AL320" s="1198"/>
      <c r="AP320" s="1121"/>
    </row>
    <row r="321" spans="1:42" s="1119" customFormat="1" ht="13.15" customHeight="1">
      <c r="A321" s="1116"/>
      <c r="B321" s="467"/>
      <c r="C321" s="467"/>
      <c r="D321" s="485"/>
      <c r="E321" s="3258" t="s">
        <v>609</v>
      </c>
      <c r="F321" s="2846"/>
      <c r="G321" s="2846"/>
      <c r="H321" s="2846"/>
      <c r="I321" s="2846"/>
      <c r="J321" s="2846"/>
      <c r="K321" s="2846"/>
      <c r="L321" s="2846"/>
      <c r="M321" s="2846"/>
      <c r="N321" s="2846"/>
      <c r="O321" s="481"/>
      <c r="P321" s="485"/>
      <c r="Q321" s="1249"/>
      <c r="R321" s="1198"/>
      <c r="S321" s="1198"/>
      <c r="T321" s="1249"/>
      <c r="U321" s="1249"/>
      <c r="V321" s="1198"/>
      <c r="W321" s="1198"/>
      <c r="X321" s="1198"/>
      <c r="Y321" s="1249"/>
      <c r="Z321" s="1249"/>
      <c r="AA321" s="1249"/>
      <c r="AB321" s="1249"/>
      <c r="AC321" s="1249"/>
      <c r="AD321" s="1249"/>
      <c r="AE321" s="1249"/>
      <c r="AF321" s="1249"/>
      <c r="AG321" s="1249"/>
      <c r="AH321" s="1249"/>
      <c r="AI321" s="1249"/>
      <c r="AJ321" s="1198"/>
      <c r="AK321" s="1198"/>
      <c r="AL321" s="1198"/>
      <c r="AP321" s="1121"/>
    </row>
    <row r="322" spans="1:42" s="1119" customFormat="1" ht="13.5" thickBot="1">
      <c r="A322" s="1116"/>
      <c r="B322" s="1124"/>
      <c r="C322" s="485"/>
      <c r="D322" s="482"/>
      <c r="E322" s="636"/>
      <c r="F322" s="637"/>
      <c r="G322" s="663" t="str">
        <f>EUconst_Unit</f>
        <v>Unit</v>
      </c>
      <c r="H322" s="671">
        <f t="shared" ref="H322:N322" si="59">H$421</f>
        <v>2024</v>
      </c>
      <c r="I322" s="1081">
        <f t="shared" si="59"/>
        <v>2025</v>
      </c>
      <c r="J322" s="1489">
        <f t="shared" si="59"/>
        <v>2026</v>
      </c>
      <c r="K322" s="1490">
        <f t="shared" si="59"/>
        <v>2027</v>
      </c>
      <c r="L322" s="1490">
        <f t="shared" si="59"/>
        <v>2028</v>
      </c>
      <c r="M322" s="1490">
        <f t="shared" si="59"/>
        <v>2029</v>
      </c>
      <c r="N322" s="1490">
        <f t="shared" si="59"/>
        <v>2030</v>
      </c>
      <c r="O322" s="481"/>
      <c r="P322" s="485"/>
      <c r="Q322" s="1198"/>
      <c r="R322" s="1198"/>
      <c r="S322" s="1198"/>
      <c r="T322" s="1249"/>
      <c r="U322" s="1249"/>
      <c r="V322" s="1198"/>
      <c r="W322" s="1198"/>
      <c r="X322" s="1198"/>
      <c r="Y322" s="1249"/>
      <c r="Z322" s="1249"/>
      <c r="AA322" s="1249"/>
      <c r="AB322" s="1198"/>
      <c r="AC322" s="2003">
        <f t="shared" ref="AC322:AI322" si="60">H322</f>
        <v>2024</v>
      </c>
      <c r="AD322" s="2003">
        <f t="shared" si="60"/>
        <v>2025</v>
      </c>
      <c r="AE322" s="2003">
        <f t="shared" si="60"/>
        <v>2026</v>
      </c>
      <c r="AF322" s="2003">
        <f t="shared" si="60"/>
        <v>2027</v>
      </c>
      <c r="AG322" s="2003">
        <f t="shared" si="60"/>
        <v>2028</v>
      </c>
      <c r="AH322" s="2003">
        <f t="shared" si="60"/>
        <v>2029</v>
      </c>
      <c r="AI322" s="2003">
        <f t="shared" si="60"/>
        <v>2030</v>
      </c>
      <c r="AJ322" s="1198"/>
      <c r="AK322" s="1198"/>
      <c r="AL322" s="1198"/>
      <c r="AP322" s="1121"/>
    </row>
    <row r="323" spans="1:42" s="1119" customFormat="1" ht="13.15" customHeight="1">
      <c r="A323" s="1116"/>
      <c r="B323" s="1124"/>
      <c r="C323" s="485"/>
      <c r="D323" s="485"/>
      <c r="E323" s="2788" t="s">
        <v>612</v>
      </c>
      <c r="F323" s="2410"/>
      <c r="G323" s="730" t="str">
        <f>EUconst_kNm3pa</f>
        <v>1000Nm3/year</v>
      </c>
      <c r="H323" s="2016" t="str">
        <f>c_ALR2025!M6990</f>
        <v/>
      </c>
      <c r="I323" s="1530"/>
      <c r="J323" s="1491"/>
      <c r="K323" s="1492"/>
      <c r="L323" s="1492"/>
      <c r="M323" s="1492"/>
      <c r="N323" s="1492"/>
      <c r="O323" s="481"/>
      <c r="P323" s="485"/>
      <c r="Q323" s="1198"/>
      <c r="R323" s="1198"/>
      <c r="S323" s="1198"/>
      <c r="T323" s="1249"/>
      <c r="U323" s="1249"/>
      <c r="V323" s="1198"/>
      <c r="W323" s="1198"/>
      <c r="X323" s="1198"/>
      <c r="Y323" s="1249"/>
      <c r="Z323" s="1249"/>
      <c r="AA323" s="1249"/>
      <c r="AB323" s="1641" t="s">
        <v>717</v>
      </c>
      <c r="AC323" s="2041" t="b">
        <f t="shared" ref="AC323:AI323" si="61">IF(CNTR_ExistSubInstEntries,IF($L315=EUconst_Relevant,AC322&gt;=CNTR_ReportingYear,TRUE),FALSE)</f>
        <v>0</v>
      </c>
      <c r="AD323" s="1731" t="b">
        <f t="shared" si="61"/>
        <v>0</v>
      </c>
      <c r="AE323" s="1731" t="b">
        <f t="shared" si="61"/>
        <v>0</v>
      </c>
      <c r="AF323" s="1731" t="b">
        <f t="shared" si="61"/>
        <v>0</v>
      </c>
      <c r="AG323" s="1731" t="b">
        <f t="shared" si="61"/>
        <v>0</v>
      </c>
      <c r="AH323" s="1731" t="b">
        <f t="shared" si="61"/>
        <v>0</v>
      </c>
      <c r="AI323" s="2008" t="b">
        <f t="shared" si="61"/>
        <v>0</v>
      </c>
      <c r="AJ323" s="1198"/>
      <c r="AK323" s="1198"/>
      <c r="AL323" s="1198"/>
      <c r="AP323" s="1121"/>
    </row>
    <row r="324" spans="1:42" s="1119" customFormat="1" ht="5.0999999999999996" customHeight="1">
      <c r="A324" s="1116"/>
      <c r="B324" s="467"/>
      <c r="C324" s="467"/>
      <c r="D324" s="467"/>
      <c r="E324" s="467"/>
      <c r="F324" s="467"/>
      <c r="G324" s="467"/>
      <c r="H324" s="467"/>
      <c r="I324" s="467"/>
      <c r="J324" s="467"/>
      <c r="K324" s="467"/>
      <c r="L324" s="467"/>
      <c r="M324" s="467"/>
      <c r="N324" s="481"/>
      <c r="O324" s="481"/>
      <c r="P324" s="485"/>
      <c r="Q324" s="1249"/>
      <c r="R324" s="1198"/>
      <c r="S324" s="1198"/>
      <c r="T324" s="1249"/>
      <c r="U324" s="1249"/>
      <c r="V324" s="1198"/>
      <c r="W324" s="1198"/>
      <c r="X324" s="1198"/>
      <c r="Y324" s="1249"/>
      <c r="Z324" s="1249"/>
      <c r="AA324" s="1249"/>
      <c r="AB324" s="1249"/>
      <c r="AC324" s="2022"/>
      <c r="AD324" s="1249"/>
      <c r="AE324" s="1249"/>
      <c r="AF324" s="1249"/>
      <c r="AG324" s="1249"/>
      <c r="AH324" s="1249"/>
      <c r="AI324" s="2023"/>
      <c r="AJ324" s="1198"/>
      <c r="AK324" s="1198"/>
      <c r="AL324" s="1198"/>
      <c r="AP324" s="1121"/>
    </row>
    <row r="325" spans="1:42" s="1119" customFormat="1" ht="13.15" customHeight="1">
      <c r="A325" s="1116"/>
      <c r="B325" s="467"/>
      <c r="C325" s="467"/>
      <c r="D325" s="482" t="s">
        <v>48</v>
      </c>
      <c r="E325" s="2508" t="s">
        <v>605</v>
      </c>
      <c r="F325" s="2391"/>
      <c r="G325" s="2391"/>
      <c r="H325" s="2391"/>
      <c r="I325" s="2391"/>
      <c r="J325" s="2391"/>
      <c r="K325" s="2391"/>
      <c r="L325" s="2391"/>
      <c r="M325" s="2391"/>
      <c r="N325" s="2391"/>
      <c r="O325" s="481"/>
      <c r="P325" s="485"/>
      <c r="Q325" s="1249"/>
      <c r="R325" s="1198"/>
      <c r="S325" s="1198"/>
      <c r="T325" s="1249"/>
      <c r="U325" s="1249"/>
      <c r="V325" s="1198"/>
      <c r="W325" s="1198"/>
      <c r="X325" s="1198"/>
      <c r="Y325" s="1249"/>
      <c r="Z325" s="1249"/>
      <c r="AA325" s="1249"/>
      <c r="AB325" s="1249"/>
      <c r="AC325" s="2022"/>
      <c r="AD325" s="1249"/>
      <c r="AE325" s="1249"/>
      <c r="AF325" s="1249"/>
      <c r="AG325" s="1249"/>
      <c r="AH325" s="1249"/>
      <c r="AI325" s="2023"/>
      <c r="AJ325" s="1198"/>
      <c r="AK325" s="1198"/>
      <c r="AL325" s="1198"/>
      <c r="AP325" s="1121"/>
    </row>
    <row r="326" spans="1:42" s="1119" customFormat="1" ht="12.6" customHeight="1">
      <c r="A326" s="1116"/>
      <c r="B326" s="467"/>
      <c r="C326" s="467"/>
      <c r="D326" s="485"/>
      <c r="E326" s="2850" t="s">
        <v>1912</v>
      </c>
      <c r="F326" s="2380"/>
      <c r="G326" s="2380"/>
      <c r="H326" s="2380"/>
      <c r="I326" s="2380"/>
      <c r="J326" s="2380"/>
      <c r="K326" s="2380"/>
      <c r="L326" s="2380"/>
      <c r="M326" s="2380"/>
      <c r="N326" s="2380"/>
      <c r="O326" s="481"/>
      <c r="P326" s="485"/>
      <c r="Q326" s="1249"/>
      <c r="R326" s="1198"/>
      <c r="S326" s="1198"/>
      <c r="T326" s="1249"/>
      <c r="U326" s="1249"/>
      <c r="V326" s="1198"/>
      <c r="W326" s="1198"/>
      <c r="X326" s="1198"/>
      <c r="Y326" s="1249"/>
      <c r="Z326" s="1249"/>
      <c r="AA326" s="1249"/>
      <c r="AB326" s="1249"/>
      <c r="AC326" s="2022"/>
      <c r="AD326" s="1249"/>
      <c r="AE326" s="1249"/>
      <c r="AF326" s="1249"/>
      <c r="AG326" s="1249"/>
      <c r="AH326" s="1249"/>
      <c r="AI326" s="2023"/>
      <c r="AJ326" s="1198"/>
      <c r="AK326" s="1198"/>
      <c r="AL326" s="1198"/>
      <c r="AP326" s="1121"/>
    </row>
    <row r="327" spans="1:42" s="1119" customFormat="1" ht="13.15" customHeight="1">
      <c r="A327" s="1116"/>
      <c r="B327" s="467"/>
      <c r="C327" s="467"/>
      <c r="D327" s="485"/>
      <c r="E327" s="2850" t="s">
        <v>613</v>
      </c>
      <c r="F327" s="2380"/>
      <c r="G327" s="2380"/>
      <c r="H327" s="2380"/>
      <c r="I327" s="2380"/>
      <c r="J327" s="2380"/>
      <c r="K327" s="2380"/>
      <c r="L327" s="2380"/>
      <c r="M327" s="2380"/>
      <c r="N327" s="2380"/>
      <c r="O327" s="481"/>
      <c r="P327" s="485"/>
      <c r="Q327" s="1249"/>
      <c r="R327" s="1198"/>
      <c r="S327" s="1198"/>
      <c r="T327" s="1249"/>
      <c r="U327" s="1249"/>
      <c r="V327" s="1198"/>
      <c r="W327" s="1198"/>
      <c r="X327" s="1198"/>
      <c r="Y327" s="1249"/>
      <c r="Z327" s="1249"/>
      <c r="AA327" s="1249"/>
      <c r="AB327" s="1249"/>
      <c r="AC327" s="2022"/>
      <c r="AD327" s="1249"/>
      <c r="AE327" s="1249"/>
      <c r="AF327" s="1249"/>
      <c r="AG327" s="1249"/>
      <c r="AH327" s="1249"/>
      <c r="AI327" s="2023"/>
      <c r="AJ327" s="1198"/>
      <c r="AK327" s="1198"/>
      <c r="AL327" s="1198"/>
      <c r="AP327" s="1121"/>
    </row>
    <row r="328" spans="1:42" s="1119" customFormat="1">
      <c r="A328" s="1116"/>
      <c r="B328" s="1124"/>
      <c r="C328" s="485"/>
      <c r="D328" s="482"/>
      <c r="E328" s="636"/>
      <c r="F328" s="637"/>
      <c r="G328" s="663" t="str">
        <f>EUconst_Unit</f>
        <v>Unit</v>
      </c>
      <c r="H328" s="671">
        <f t="shared" ref="H328:N328" si="62">H$421</f>
        <v>2024</v>
      </c>
      <c r="I328" s="1081">
        <f t="shared" si="62"/>
        <v>2025</v>
      </c>
      <c r="J328" s="1489">
        <f t="shared" si="62"/>
        <v>2026</v>
      </c>
      <c r="K328" s="1490">
        <f t="shared" si="62"/>
        <v>2027</v>
      </c>
      <c r="L328" s="1490">
        <f t="shared" si="62"/>
        <v>2028</v>
      </c>
      <c r="M328" s="1490">
        <f t="shared" si="62"/>
        <v>2029</v>
      </c>
      <c r="N328" s="1490">
        <f t="shared" si="62"/>
        <v>2030</v>
      </c>
      <c r="O328" s="481"/>
      <c r="P328" s="485"/>
      <c r="Q328" s="1198"/>
      <c r="R328" s="1198"/>
      <c r="S328" s="1198"/>
      <c r="T328" s="1249"/>
      <c r="U328" s="1249"/>
      <c r="V328" s="1198"/>
      <c r="W328" s="1198"/>
      <c r="X328" s="1198"/>
      <c r="Y328" s="1249"/>
      <c r="Z328" s="1249"/>
      <c r="AA328" s="1249"/>
      <c r="AB328" s="1249"/>
      <c r="AC328" s="2022"/>
      <c r="AD328" s="1249"/>
      <c r="AE328" s="1249"/>
      <c r="AF328" s="1249"/>
      <c r="AG328" s="1249"/>
      <c r="AH328" s="1249"/>
      <c r="AI328" s="2023"/>
      <c r="AJ328" s="1198"/>
      <c r="AK328" s="1198"/>
      <c r="AL328" s="1198"/>
      <c r="AP328" s="1121"/>
    </row>
    <row r="329" spans="1:42" s="1119" customFormat="1" ht="13.15" customHeight="1" thickBot="1">
      <c r="A329" s="1116"/>
      <c r="B329" s="1124"/>
      <c r="C329" s="485"/>
      <c r="D329" s="485"/>
      <c r="E329" s="2788" t="s">
        <v>604</v>
      </c>
      <c r="F329" s="2410"/>
      <c r="G329" s="1109" t="s">
        <v>1021</v>
      </c>
      <c r="H329" s="2016" t="str">
        <f>c_ALR2025!M6996</f>
        <v/>
      </c>
      <c r="I329" s="2052"/>
      <c r="J329" s="1494"/>
      <c r="K329" s="1495"/>
      <c r="L329" s="1495"/>
      <c r="M329" s="1495"/>
      <c r="N329" s="1495"/>
      <c r="O329" s="481"/>
      <c r="P329" s="485"/>
      <c r="Q329" s="1198"/>
      <c r="R329" s="1198"/>
      <c r="S329" s="1198"/>
      <c r="T329" s="1198"/>
      <c r="U329" s="1198"/>
      <c r="V329" s="1198"/>
      <c r="W329" s="1198"/>
      <c r="X329" s="1198"/>
      <c r="Y329" s="1249"/>
      <c r="Z329" s="1249"/>
      <c r="AA329" s="1249"/>
      <c r="AB329" s="1249"/>
      <c r="AC329" s="2017" t="b">
        <f>AC323</f>
        <v>0</v>
      </c>
      <c r="AD329" s="2018" t="b">
        <f t="shared" ref="AD329:AI329" si="63">AD323</f>
        <v>0</v>
      </c>
      <c r="AE329" s="2018" t="b">
        <f t="shared" si="63"/>
        <v>0</v>
      </c>
      <c r="AF329" s="2018" t="b">
        <f t="shared" si="63"/>
        <v>0</v>
      </c>
      <c r="AG329" s="2018" t="b">
        <f t="shared" si="63"/>
        <v>0</v>
      </c>
      <c r="AH329" s="2018" t="b">
        <f t="shared" si="63"/>
        <v>0</v>
      </c>
      <c r="AI329" s="2019" t="b">
        <f t="shared" si="63"/>
        <v>0</v>
      </c>
      <c r="AJ329" s="1198"/>
      <c r="AK329" s="1198"/>
      <c r="AL329" s="1198"/>
      <c r="AP329" s="1121"/>
    </row>
    <row r="330" spans="1:42" s="1119" customFormat="1" ht="5.0999999999999996" customHeight="1">
      <c r="A330" s="1116"/>
      <c r="B330" s="467"/>
      <c r="C330" s="467"/>
      <c r="D330" s="467"/>
      <c r="E330" s="467"/>
      <c r="F330" s="467"/>
      <c r="G330" s="467"/>
      <c r="H330" s="467"/>
      <c r="I330" s="467"/>
      <c r="J330" s="467"/>
      <c r="K330" s="467"/>
      <c r="L330" s="467"/>
      <c r="M330" s="467"/>
      <c r="N330" s="481"/>
      <c r="O330" s="481"/>
      <c r="P330" s="485"/>
      <c r="Q330" s="1249"/>
      <c r="R330" s="1198"/>
      <c r="S330" s="1198"/>
      <c r="T330" s="1198"/>
      <c r="U330" s="1198"/>
      <c r="V330" s="1198"/>
      <c r="W330" s="1198"/>
      <c r="X330" s="1198"/>
      <c r="Y330" s="1249"/>
      <c r="Z330" s="1249"/>
      <c r="AA330" s="1249"/>
      <c r="AB330" s="1249"/>
      <c r="AC330" s="1249"/>
      <c r="AD330" s="1249"/>
      <c r="AE330" s="1249"/>
      <c r="AF330" s="1249"/>
      <c r="AG330" s="1249"/>
      <c r="AH330" s="1249"/>
      <c r="AI330" s="1249"/>
      <c r="AJ330" s="1198"/>
      <c r="AK330" s="1198"/>
      <c r="AL330" s="1198"/>
      <c r="AP330" s="1121"/>
    </row>
    <row r="331" spans="1:42" s="1119" customFormat="1" ht="13.15" customHeight="1">
      <c r="A331" s="1116"/>
      <c r="B331" s="467"/>
      <c r="C331" s="467"/>
      <c r="D331" s="482" t="s">
        <v>881</v>
      </c>
      <c r="E331" s="2508" t="s">
        <v>614</v>
      </c>
      <c r="F331" s="2391"/>
      <c r="G331" s="2391"/>
      <c r="H331" s="2391"/>
      <c r="I331" s="2391"/>
      <c r="J331" s="2391"/>
      <c r="K331" s="2391"/>
      <c r="L331" s="2391"/>
      <c r="M331" s="2391"/>
      <c r="N331" s="2391"/>
      <c r="O331" s="481"/>
      <c r="P331" s="485"/>
      <c r="Q331" s="1249"/>
      <c r="R331" s="1198"/>
      <c r="S331" s="1198"/>
      <c r="T331" s="1198"/>
      <c r="U331" s="1198"/>
      <c r="V331" s="1198"/>
      <c r="W331" s="1198"/>
      <c r="X331" s="1198"/>
      <c r="Y331" s="1249"/>
      <c r="Z331" s="1249"/>
      <c r="AA331" s="1249"/>
      <c r="AB331" s="1249"/>
      <c r="AC331" s="1249"/>
      <c r="AD331" s="1249"/>
      <c r="AE331" s="1249"/>
      <c r="AF331" s="1249"/>
      <c r="AG331" s="1249"/>
      <c r="AH331" s="1249"/>
      <c r="AI331" s="1249"/>
      <c r="AJ331" s="1198"/>
      <c r="AK331" s="1198"/>
      <c r="AL331" s="1198"/>
      <c r="AP331" s="1121"/>
    </row>
    <row r="332" spans="1:42" s="1119" customFormat="1" ht="12.6" customHeight="1">
      <c r="A332" s="1116"/>
      <c r="B332" s="467"/>
      <c r="C332" s="467"/>
      <c r="D332" s="485"/>
      <c r="E332" s="2850" t="s">
        <v>1252</v>
      </c>
      <c r="F332" s="2380"/>
      <c r="G332" s="2380"/>
      <c r="H332" s="2380"/>
      <c r="I332" s="2380"/>
      <c r="J332" s="2380"/>
      <c r="K332" s="2380"/>
      <c r="L332" s="2380"/>
      <c r="M332" s="2380"/>
      <c r="N332" s="2380"/>
      <c r="O332" s="481"/>
      <c r="P332" s="485"/>
      <c r="Q332" s="1249"/>
      <c r="R332" s="1198"/>
      <c r="S332" s="1198"/>
      <c r="T332" s="1198"/>
      <c r="U332" s="1198"/>
      <c r="V332" s="1198"/>
      <c r="W332" s="1198"/>
      <c r="X332" s="1198"/>
      <c r="Y332" s="1249"/>
      <c r="Z332" s="1249"/>
      <c r="AA332" s="1249"/>
      <c r="AB332" s="1249"/>
      <c r="AC332" s="1249"/>
      <c r="AD332" s="1249"/>
      <c r="AE332" s="1249"/>
      <c r="AF332" s="1249"/>
      <c r="AG332" s="1249"/>
      <c r="AH332" s="1249"/>
      <c r="AI332" s="1249"/>
      <c r="AJ332" s="1198"/>
      <c r="AK332" s="1198"/>
      <c r="AL332" s="1198"/>
      <c r="AP332" s="1121"/>
    </row>
    <row r="333" spans="1:42" s="1119" customFormat="1" ht="12.6" customHeight="1">
      <c r="A333" s="1116"/>
      <c r="B333" s="467"/>
      <c r="C333" s="467"/>
      <c r="D333" s="485"/>
      <c r="E333" s="2850" t="s">
        <v>213</v>
      </c>
      <c r="F333" s="2380"/>
      <c r="G333" s="2380"/>
      <c r="H333" s="2380"/>
      <c r="I333" s="2380"/>
      <c r="J333" s="2380"/>
      <c r="K333" s="2380"/>
      <c r="L333" s="2380"/>
      <c r="M333" s="2380"/>
      <c r="N333" s="2380"/>
      <c r="O333" s="481"/>
      <c r="P333" s="485"/>
      <c r="Q333" s="1249"/>
      <c r="R333" s="1198"/>
      <c r="S333" s="1198"/>
      <c r="T333" s="1198"/>
      <c r="U333" s="1198"/>
      <c r="V333" s="1198"/>
      <c r="W333" s="1198"/>
      <c r="X333" s="1198"/>
      <c r="Y333" s="1249"/>
      <c r="Z333" s="1249"/>
      <c r="AA333" s="1249"/>
      <c r="AB333" s="1249"/>
      <c r="AC333" s="1249"/>
      <c r="AD333" s="1249"/>
      <c r="AE333" s="1249"/>
      <c r="AF333" s="1249"/>
      <c r="AG333" s="1249"/>
      <c r="AH333" s="1249"/>
      <c r="AI333" s="1249"/>
      <c r="AJ333" s="1198"/>
      <c r="AK333" s="1198"/>
      <c r="AL333" s="1198"/>
      <c r="AP333" s="1121"/>
    </row>
    <row r="334" spans="1:42" s="1119" customFormat="1" ht="13.15" customHeight="1">
      <c r="A334" s="1116"/>
      <c r="B334" s="467"/>
      <c r="C334" s="467"/>
      <c r="D334" s="485"/>
      <c r="E334" s="2850" t="s">
        <v>1247</v>
      </c>
      <c r="F334" s="2380"/>
      <c r="G334" s="2380"/>
      <c r="H334" s="2380"/>
      <c r="I334" s="2380"/>
      <c r="J334" s="2380"/>
      <c r="K334" s="2380"/>
      <c r="L334" s="2380"/>
      <c r="M334" s="2380"/>
      <c r="N334" s="2380"/>
      <c r="O334" s="481"/>
      <c r="P334" s="485"/>
      <c r="Q334" s="1249"/>
      <c r="R334" s="1198"/>
      <c r="S334" s="1198"/>
      <c r="T334" s="1198"/>
      <c r="U334" s="1198"/>
      <c r="V334" s="1198"/>
      <c r="W334" s="1198"/>
      <c r="X334" s="1198"/>
      <c r="Y334" s="1249"/>
      <c r="Z334" s="1249"/>
      <c r="AA334" s="1249"/>
      <c r="AB334" s="1249"/>
      <c r="AC334" s="1249"/>
      <c r="AD334" s="1249"/>
      <c r="AE334" s="1249"/>
      <c r="AF334" s="1249"/>
      <c r="AG334" s="1249"/>
      <c r="AH334" s="1249"/>
      <c r="AI334" s="1249"/>
      <c r="AJ334" s="1198"/>
      <c r="AK334" s="1198"/>
      <c r="AL334" s="1198"/>
      <c r="AP334" s="1121"/>
    </row>
    <row r="335" spans="1:42" s="1119" customFormat="1">
      <c r="A335" s="1116"/>
      <c r="B335" s="1124"/>
      <c r="C335" s="485"/>
      <c r="D335" s="482"/>
      <c r="E335" s="637"/>
      <c r="F335" s="637"/>
      <c r="G335" s="663" t="str">
        <f>EUconst_Unit</f>
        <v>Unit</v>
      </c>
      <c r="H335" s="671">
        <f t="shared" ref="H335:N335" si="64">H$421</f>
        <v>2024</v>
      </c>
      <c r="I335" s="1081">
        <f t="shared" si="64"/>
        <v>2025</v>
      </c>
      <c r="J335" s="1489">
        <f t="shared" si="64"/>
        <v>2026</v>
      </c>
      <c r="K335" s="1490">
        <f t="shared" si="64"/>
        <v>2027</v>
      </c>
      <c r="L335" s="1490">
        <f t="shared" si="64"/>
        <v>2028</v>
      </c>
      <c r="M335" s="1490">
        <f t="shared" si="64"/>
        <v>2029</v>
      </c>
      <c r="N335" s="1490">
        <f t="shared" si="64"/>
        <v>2030</v>
      </c>
      <c r="O335" s="481"/>
      <c r="P335" s="485"/>
      <c r="Q335" s="1198"/>
      <c r="R335" s="1198"/>
      <c r="S335" s="1198"/>
      <c r="T335" s="1198"/>
      <c r="U335" s="1198"/>
      <c r="V335" s="1198"/>
      <c r="W335" s="1198"/>
      <c r="X335" s="1198"/>
      <c r="Y335" s="1249"/>
      <c r="Z335" s="1249"/>
      <c r="AA335" s="1249"/>
      <c r="AB335" s="1249"/>
      <c r="AC335" s="1249"/>
      <c r="AD335" s="1249"/>
      <c r="AE335" s="1249"/>
      <c r="AF335" s="1249"/>
      <c r="AG335" s="1249"/>
      <c r="AH335" s="1249"/>
      <c r="AI335" s="1249"/>
      <c r="AJ335" s="1198"/>
      <c r="AK335" s="1198"/>
      <c r="AL335" s="1198"/>
      <c r="AP335" s="1121"/>
    </row>
    <row r="336" spans="1:42" s="1119" customFormat="1" ht="13.15" customHeight="1">
      <c r="A336" s="1116"/>
      <c r="B336" s="1124"/>
      <c r="C336" s="485"/>
      <c r="D336" s="485"/>
      <c r="E336" s="2788" t="s">
        <v>615</v>
      </c>
      <c r="F336" s="2410"/>
      <c r="G336" s="730" t="str">
        <f>EUconst_tpa</f>
        <v>t / year</v>
      </c>
      <c r="H336" s="668" t="str">
        <f t="shared" ref="H336:N336" si="65">IF(AND(ISNUMBER(H323),ISNUMBER(H329)),IF((H323*0.7047*(1-(0.47-H329)/0.0863))&gt;0,H323*0.7047*(1-(0.47-H329)/0.0863),0),"")</f>
        <v/>
      </c>
      <c r="I336" s="1021" t="str">
        <f t="shared" si="65"/>
        <v/>
      </c>
      <c r="J336" s="1491" t="str">
        <f t="shared" si="65"/>
        <v/>
      </c>
      <c r="K336" s="1492" t="str">
        <f t="shared" si="65"/>
        <v/>
      </c>
      <c r="L336" s="1492" t="str">
        <f t="shared" si="65"/>
        <v/>
      </c>
      <c r="M336" s="1492" t="str">
        <f t="shared" si="65"/>
        <v/>
      </c>
      <c r="N336" s="1492" t="str">
        <f t="shared" si="65"/>
        <v/>
      </c>
      <c r="O336" s="481"/>
      <c r="P336" s="485"/>
      <c r="Q336" s="1443" t="str">
        <f>IF(L315=EUconst_Relevant,EUconst_CNTR_HALspecial &amp; INDEX(EUconst_BMlistNames,R315),"")</f>
        <v/>
      </c>
      <c r="R336" s="1198"/>
      <c r="S336" s="1198"/>
      <c r="T336" s="1198"/>
      <c r="U336" s="1198"/>
      <c r="V336" s="1198"/>
      <c r="W336" s="1198"/>
      <c r="X336" s="1198"/>
      <c r="Y336" s="1249"/>
      <c r="Z336" s="1249"/>
      <c r="AA336" s="1249"/>
      <c r="AB336" s="1249"/>
      <c r="AC336" s="1249"/>
      <c r="AD336" s="1249"/>
      <c r="AE336" s="1249"/>
      <c r="AF336" s="1249"/>
      <c r="AG336" s="1249"/>
      <c r="AH336" s="1249"/>
      <c r="AI336" s="1249"/>
      <c r="AJ336" s="1198"/>
      <c r="AK336" s="1198"/>
      <c r="AL336" s="1198"/>
      <c r="AP336" s="1121"/>
    </row>
    <row r="337" spans="1:42" s="1119" customFormat="1" ht="5.0999999999999996" customHeight="1">
      <c r="A337" s="1116"/>
      <c r="B337" s="467"/>
      <c r="C337" s="467"/>
      <c r="D337" s="467"/>
      <c r="E337" s="467"/>
      <c r="F337" s="467"/>
      <c r="G337" s="467"/>
      <c r="H337" s="467"/>
      <c r="I337" s="467"/>
      <c r="J337" s="467"/>
      <c r="K337" s="467"/>
      <c r="L337" s="467"/>
      <c r="M337" s="481"/>
      <c r="N337" s="481"/>
      <c r="O337" s="481"/>
      <c r="P337" s="485"/>
      <c r="Q337" s="1249"/>
      <c r="R337" s="1198"/>
      <c r="S337" s="1198"/>
      <c r="T337" s="1198"/>
      <c r="U337" s="1198"/>
      <c r="V337" s="1198"/>
      <c r="W337" s="1198"/>
      <c r="X337" s="1198"/>
      <c r="Y337" s="1198"/>
      <c r="Z337" s="1198"/>
      <c r="AA337" s="1198"/>
      <c r="AB337" s="1198"/>
      <c r="AC337" s="1198"/>
      <c r="AD337" s="1198"/>
      <c r="AE337" s="1198"/>
      <c r="AF337" s="1198"/>
      <c r="AG337" s="1198"/>
      <c r="AH337" s="1198"/>
      <c r="AI337" s="1198"/>
      <c r="AJ337" s="1198"/>
      <c r="AK337" s="1198"/>
      <c r="AL337" s="1198"/>
      <c r="AP337" s="1121"/>
    </row>
    <row r="338" spans="1:42" s="1119" customFormat="1">
      <c r="A338" s="1116"/>
      <c r="B338" s="467"/>
      <c r="C338" s="467"/>
      <c r="D338" s="467"/>
      <c r="E338" s="2782" t="str">
        <f>IF(L315=EUconst_Relevant,HYPERLINK(R338,EUconst_MsgBackToSheetF),"")</f>
        <v/>
      </c>
      <c r="F338" s="2783"/>
      <c r="G338" s="2783"/>
      <c r="H338" s="2783"/>
      <c r="I338" s="2783"/>
      <c r="J338" s="2783"/>
      <c r="K338" s="2783"/>
      <c r="L338" s="2783"/>
      <c r="M338" s="2783"/>
      <c r="N338" s="2784"/>
      <c r="O338" s="481"/>
      <c r="P338" s="485"/>
      <c r="Q338" s="1893" t="s">
        <v>116</v>
      </c>
      <c r="R338" s="1443" t="str">
        <f>R317</f>
        <v/>
      </c>
      <c r="S338" s="1198"/>
      <c r="T338" s="1198"/>
      <c r="U338" s="1198"/>
      <c r="V338" s="1198"/>
      <c r="W338" s="1198"/>
      <c r="X338" s="1198"/>
      <c r="Y338" s="1198"/>
      <c r="Z338" s="1198"/>
      <c r="AA338" s="1198"/>
      <c r="AB338" s="1198"/>
      <c r="AC338" s="1198"/>
      <c r="AD338" s="1198"/>
      <c r="AE338" s="1198"/>
      <c r="AF338" s="1198"/>
      <c r="AG338" s="1198"/>
      <c r="AH338" s="1198"/>
      <c r="AI338" s="1198"/>
      <c r="AJ338" s="1198"/>
      <c r="AK338" s="1198"/>
      <c r="AL338" s="1198"/>
      <c r="AP338" s="1121"/>
    </row>
    <row r="339" spans="1:42" s="1119" customFormat="1">
      <c r="A339" s="1116"/>
      <c r="B339" s="1124"/>
      <c r="C339" s="485"/>
      <c r="D339" s="485"/>
      <c r="E339" s="485"/>
      <c r="F339" s="485"/>
      <c r="G339" s="485"/>
      <c r="H339" s="485"/>
      <c r="I339" s="485"/>
      <c r="J339" s="485"/>
      <c r="K339" s="485"/>
      <c r="L339" s="485"/>
      <c r="M339" s="485"/>
      <c r="N339" s="485"/>
      <c r="O339" s="481"/>
      <c r="P339" s="485"/>
      <c r="Q339" s="1198"/>
      <c r="R339" s="1198"/>
      <c r="S339" s="1198"/>
      <c r="T339" s="1198"/>
      <c r="U339" s="1198"/>
      <c r="V339" s="1198"/>
      <c r="W339" s="1198"/>
      <c r="X339" s="1198"/>
      <c r="Y339" s="1198"/>
      <c r="Z339" s="1198"/>
      <c r="AA339" s="1198"/>
      <c r="AB339" s="1198"/>
      <c r="AC339" s="1198"/>
      <c r="AD339" s="1198"/>
      <c r="AE339" s="1198"/>
      <c r="AF339" s="1198"/>
      <c r="AG339" s="1198"/>
      <c r="AH339" s="1198"/>
      <c r="AI339" s="1198"/>
      <c r="AJ339" s="1198"/>
      <c r="AK339" s="1198"/>
      <c r="AL339" s="1198"/>
      <c r="AP339" s="1121"/>
    </row>
    <row r="340" spans="1:42" s="1119" customFormat="1" ht="15.6" customHeight="1">
      <c r="A340" s="1116"/>
      <c r="B340" s="467"/>
      <c r="C340" s="507" t="s">
        <v>931</v>
      </c>
      <c r="D340" s="2408" t="s">
        <v>616</v>
      </c>
      <c r="E340" s="2408"/>
      <c r="F340" s="2408"/>
      <c r="G340" s="2408"/>
      <c r="H340" s="2408"/>
      <c r="I340" s="2408"/>
      <c r="J340" s="2408"/>
      <c r="K340" s="2408"/>
      <c r="L340" s="2408"/>
      <c r="M340" s="2408"/>
      <c r="N340" s="2408"/>
      <c r="O340" s="481"/>
      <c r="P340" s="485"/>
      <c r="Q340" s="1249"/>
      <c r="R340" s="1198"/>
      <c r="S340" s="1198"/>
      <c r="T340" s="1198"/>
      <c r="U340" s="1198"/>
      <c r="V340" s="1198"/>
      <c r="W340" s="1198"/>
      <c r="X340" s="1198"/>
      <c r="Y340" s="1198"/>
      <c r="Z340" s="1198"/>
      <c r="AA340" s="1198"/>
      <c r="AB340" s="1198"/>
      <c r="AC340" s="1198"/>
      <c r="AD340" s="1198"/>
      <c r="AE340" s="1198"/>
      <c r="AF340" s="1198"/>
      <c r="AG340" s="1198"/>
      <c r="AH340" s="1198"/>
      <c r="AI340" s="1198"/>
      <c r="AJ340" s="1198"/>
      <c r="AK340" s="1198"/>
      <c r="AL340" s="1198"/>
      <c r="AP340" s="1121"/>
    </row>
    <row r="341" spans="1:42" s="1119" customFormat="1" ht="5.0999999999999996" customHeight="1">
      <c r="A341" s="1116"/>
      <c r="B341" s="467"/>
      <c r="C341" s="467"/>
      <c r="D341" s="467"/>
      <c r="E341" s="467"/>
      <c r="F341" s="467"/>
      <c r="G341" s="467"/>
      <c r="H341" s="467"/>
      <c r="I341" s="467"/>
      <c r="J341" s="467"/>
      <c r="K341" s="467"/>
      <c r="L341" s="467"/>
      <c r="M341" s="481"/>
      <c r="N341" s="481"/>
      <c r="O341" s="481"/>
      <c r="P341" s="485"/>
      <c r="Q341" s="1249"/>
      <c r="R341" s="1198"/>
      <c r="S341" s="1198"/>
      <c r="T341" s="1198"/>
      <c r="U341" s="1198"/>
      <c r="V341" s="1198"/>
      <c r="W341" s="1198"/>
      <c r="X341" s="1198"/>
      <c r="Y341" s="1198"/>
      <c r="Z341" s="1198"/>
      <c r="AA341" s="1198"/>
      <c r="AB341" s="1198"/>
      <c r="AC341" s="1198"/>
      <c r="AD341" s="1198"/>
      <c r="AE341" s="1198"/>
      <c r="AF341" s="1198"/>
      <c r="AG341" s="1198"/>
      <c r="AH341" s="1198"/>
      <c r="AI341" s="1198"/>
      <c r="AJ341" s="1198"/>
      <c r="AK341" s="1198"/>
      <c r="AL341" s="1198"/>
      <c r="AP341" s="1121"/>
    </row>
    <row r="342" spans="1:42" s="1119" customFormat="1" ht="13.9" customHeight="1">
      <c r="A342" s="1116"/>
      <c r="B342" s="467"/>
      <c r="C342" s="559"/>
      <c r="D342" s="2482" t="s">
        <v>617</v>
      </c>
      <c r="E342" s="2400"/>
      <c r="F342" s="2400"/>
      <c r="G342" s="2400"/>
      <c r="H342" s="2400"/>
      <c r="I342" s="2400"/>
      <c r="J342" s="2400"/>
      <c r="K342" s="2400"/>
      <c r="L342" s="2400"/>
      <c r="M342" s="2400"/>
      <c r="N342" s="2400"/>
      <c r="O342" s="481"/>
      <c r="P342" s="485"/>
      <c r="Q342" s="1249"/>
      <c r="R342" s="1198"/>
      <c r="S342" s="1198"/>
      <c r="T342" s="1198"/>
      <c r="U342" s="1198"/>
      <c r="V342" s="1198"/>
      <c r="W342" s="1198"/>
      <c r="X342" s="1198"/>
      <c r="Y342" s="1198"/>
      <c r="Z342" s="1198"/>
      <c r="AA342" s="1198"/>
      <c r="AB342" s="1198"/>
      <c r="AC342" s="1198"/>
      <c r="AD342" s="1198"/>
      <c r="AE342" s="1198"/>
      <c r="AF342" s="1198"/>
      <c r="AG342" s="1198"/>
      <c r="AH342" s="1198"/>
      <c r="AI342" s="1198"/>
      <c r="AJ342" s="1198"/>
      <c r="AK342" s="1198"/>
      <c r="AL342" s="1198"/>
      <c r="AP342" s="1121"/>
    </row>
    <row r="343" spans="1:42" s="1119" customFormat="1" ht="5.0999999999999996" customHeight="1">
      <c r="A343" s="1116"/>
      <c r="B343" s="467"/>
      <c r="C343" s="467"/>
      <c r="D343" s="467"/>
      <c r="E343" s="467"/>
      <c r="F343" s="467"/>
      <c r="G343" s="467"/>
      <c r="H343" s="467"/>
      <c r="I343" s="467"/>
      <c r="J343" s="467"/>
      <c r="K343" s="467"/>
      <c r="L343" s="467"/>
      <c r="M343" s="481"/>
      <c r="N343" s="481"/>
      <c r="O343" s="481"/>
      <c r="P343" s="485"/>
      <c r="Q343" s="1249"/>
      <c r="R343" s="1198"/>
      <c r="S343" s="1198"/>
      <c r="T343" s="1198"/>
      <c r="U343" s="1198"/>
      <c r="V343" s="1198"/>
      <c r="W343" s="1198"/>
      <c r="X343" s="1198"/>
      <c r="Y343" s="1198"/>
      <c r="Z343" s="1198"/>
      <c r="AA343" s="1198"/>
      <c r="AB343" s="1198"/>
      <c r="AC343" s="1198"/>
      <c r="AD343" s="1198"/>
      <c r="AE343" s="1198"/>
      <c r="AF343" s="1198"/>
      <c r="AG343" s="1198"/>
      <c r="AH343" s="1198"/>
      <c r="AI343" s="1198"/>
      <c r="AJ343" s="1198"/>
      <c r="AK343" s="1198"/>
      <c r="AL343" s="1198"/>
      <c r="AP343" s="1121"/>
    </row>
    <row r="344" spans="1:42" s="1119" customFormat="1" ht="13.15" customHeight="1">
      <c r="A344" s="1116"/>
      <c r="B344" s="467"/>
      <c r="C344" s="467"/>
      <c r="D344" s="485"/>
      <c r="E344" s="2385" t="s">
        <v>2319</v>
      </c>
      <c r="F344" s="2846"/>
      <c r="G344" s="2846"/>
      <c r="H344" s="2846"/>
      <c r="I344" s="2846"/>
      <c r="J344" s="2846"/>
      <c r="K344" s="2846"/>
      <c r="L344" s="2846"/>
      <c r="M344" s="2846"/>
      <c r="N344" s="2846"/>
      <c r="O344" s="481"/>
      <c r="P344" s="485"/>
      <c r="Q344" s="1249"/>
      <c r="R344" s="1198"/>
      <c r="S344" s="1198"/>
      <c r="T344" s="1198"/>
      <c r="U344" s="1198"/>
      <c r="V344" s="1198"/>
      <c r="W344" s="1198"/>
      <c r="X344" s="1198"/>
      <c r="Y344" s="1198"/>
      <c r="Z344" s="1198"/>
      <c r="AA344" s="1198"/>
      <c r="AB344" s="1198"/>
      <c r="AC344" s="1198"/>
      <c r="AD344" s="1198"/>
      <c r="AE344" s="1198"/>
      <c r="AF344" s="1198"/>
      <c r="AG344" s="1198"/>
      <c r="AH344" s="1198"/>
      <c r="AI344" s="1198"/>
      <c r="AJ344" s="1198"/>
      <c r="AK344" s="1198"/>
      <c r="AL344" s="1198"/>
      <c r="AP344" s="1121"/>
    </row>
    <row r="345" spans="1:42" s="1119" customFormat="1" ht="13.15" customHeight="1">
      <c r="A345" s="1116"/>
      <c r="B345" s="467"/>
      <c r="C345" s="467"/>
      <c r="D345" s="485"/>
      <c r="E345" s="2385" t="s">
        <v>126</v>
      </c>
      <c r="F345" s="2846"/>
      <c r="G345" s="2846"/>
      <c r="H345" s="2846"/>
      <c r="I345" s="2846"/>
      <c r="J345" s="2846"/>
      <c r="K345" s="2846"/>
      <c r="L345" s="2846"/>
      <c r="M345" s="2846"/>
      <c r="N345" s="2846"/>
      <c r="O345" s="481"/>
      <c r="P345" s="485"/>
      <c r="Q345" s="1249"/>
      <c r="R345" s="1198"/>
      <c r="S345" s="1198"/>
      <c r="T345" s="1198"/>
      <c r="U345" s="1198"/>
      <c r="V345" s="1198"/>
      <c r="W345" s="1198"/>
      <c r="X345" s="1198"/>
      <c r="Y345" s="1198"/>
      <c r="Z345" s="1198"/>
      <c r="AA345" s="1198"/>
      <c r="AB345" s="1198"/>
      <c r="AC345" s="1198"/>
      <c r="AD345" s="1198"/>
      <c r="AE345" s="1198"/>
      <c r="AF345" s="1198"/>
      <c r="AG345" s="1198"/>
      <c r="AH345" s="1198"/>
      <c r="AI345" s="1198"/>
      <c r="AJ345" s="1198"/>
      <c r="AK345" s="1198"/>
      <c r="AL345" s="1198"/>
      <c r="AP345" s="1121"/>
    </row>
    <row r="346" spans="1:42" s="1119" customFormat="1" ht="5.0999999999999996" customHeight="1">
      <c r="A346" s="1116"/>
      <c r="B346" s="467"/>
      <c r="C346" s="467"/>
      <c r="D346" s="467"/>
      <c r="E346" s="467"/>
      <c r="F346" s="467"/>
      <c r="G346" s="467"/>
      <c r="H346" s="467"/>
      <c r="I346" s="467"/>
      <c r="J346" s="467"/>
      <c r="K346" s="467"/>
      <c r="L346" s="467"/>
      <c r="M346" s="481"/>
      <c r="N346" s="481"/>
      <c r="O346" s="481"/>
      <c r="P346" s="485"/>
      <c r="Q346" s="1249"/>
      <c r="R346" s="1198"/>
      <c r="S346" s="1198"/>
      <c r="T346" s="1198"/>
      <c r="U346" s="1198"/>
      <c r="V346" s="1198"/>
      <c r="W346" s="1198"/>
      <c r="X346" s="1198"/>
      <c r="Y346" s="1198"/>
      <c r="Z346" s="1198"/>
      <c r="AA346" s="1198"/>
      <c r="AB346" s="1198"/>
      <c r="AC346" s="1198"/>
      <c r="AD346" s="1198"/>
      <c r="AE346" s="1198"/>
      <c r="AF346" s="1198"/>
      <c r="AG346" s="1198"/>
      <c r="AH346" s="1198"/>
      <c r="AI346" s="1198"/>
      <c r="AJ346" s="1198"/>
      <c r="AK346" s="1198"/>
      <c r="AL346" s="1198"/>
      <c r="AP346" s="1121"/>
    </row>
    <row r="347" spans="1:42" s="1119" customFormat="1" ht="15">
      <c r="A347" s="1116"/>
      <c r="B347" s="467"/>
      <c r="C347" s="467"/>
      <c r="D347" s="482" t="s">
        <v>400</v>
      </c>
      <c r="E347" s="2373" t="s">
        <v>96</v>
      </c>
      <c r="F347" s="2373"/>
      <c r="G347" s="2373"/>
      <c r="H347" s="2373"/>
      <c r="I347" s="2373"/>
      <c r="J347" s="2373"/>
      <c r="K347" s="2604"/>
      <c r="L347" s="3419" t="str">
        <f>IF(CNTR_ExistSubInstEntries,IF(COUNTIF(CNTR_SubInstListNames,INDEX(EUconst_BMlistNames,R347))&gt;0,EUconst_Relevant,EUconst_NotRelevant),"")</f>
        <v/>
      </c>
      <c r="M347" s="3420"/>
      <c r="N347" s="3421"/>
      <c r="O347" s="481"/>
      <c r="P347" s="485"/>
      <c r="Q347" s="1893" t="s">
        <v>117</v>
      </c>
      <c r="R347" s="2002">
        <v>46</v>
      </c>
      <c r="S347" s="1198"/>
      <c r="T347" s="1198"/>
      <c r="U347" s="1198"/>
      <c r="V347" s="1198"/>
      <c r="W347" s="1198"/>
      <c r="X347" s="1198"/>
      <c r="Y347" s="1198"/>
      <c r="Z347" s="1198"/>
      <c r="AA347" s="1198"/>
      <c r="AB347" s="1198"/>
      <c r="AC347" s="1198"/>
      <c r="AD347" s="1198"/>
      <c r="AE347" s="1198"/>
      <c r="AF347" s="1198"/>
      <c r="AG347" s="1198"/>
      <c r="AH347" s="1198"/>
      <c r="AI347" s="1198"/>
      <c r="AJ347" s="1198"/>
      <c r="AK347" s="1198"/>
      <c r="AL347" s="1198"/>
      <c r="AP347" s="1121"/>
    </row>
    <row r="348" spans="1:42" s="1119" customFormat="1" ht="13.15" customHeight="1">
      <c r="A348" s="1116"/>
      <c r="B348" s="467"/>
      <c r="C348" s="467"/>
      <c r="D348" s="485"/>
      <c r="E348" s="3203" t="s">
        <v>300</v>
      </c>
      <c r="F348" s="3204"/>
      <c r="G348" s="3204"/>
      <c r="H348" s="3204"/>
      <c r="I348" s="3204"/>
      <c r="J348" s="3204"/>
      <c r="K348" s="3204"/>
      <c r="L348" s="3204"/>
      <c r="M348" s="3204"/>
      <c r="N348" s="3204"/>
      <c r="O348" s="481"/>
      <c r="P348" s="485"/>
      <c r="Q348" s="1249"/>
      <c r="R348" s="1198"/>
      <c r="S348" s="1198"/>
      <c r="T348" s="1198"/>
      <c r="U348" s="1198"/>
      <c r="V348" s="1198"/>
      <c r="W348" s="1198"/>
      <c r="X348" s="1198"/>
      <c r="Y348" s="1198"/>
      <c r="Z348" s="1198"/>
      <c r="AA348" s="1198"/>
      <c r="AB348" s="1198"/>
      <c r="AC348" s="1198"/>
      <c r="AD348" s="1198"/>
      <c r="AE348" s="1198"/>
      <c r="AF348" s="1198"/>
      <c r="AG348" s="1198"/>
      <c r="AH348" s="1198"/>
      <c r="AI348" s="1198"/>
      <c r="AJ348" s="1198"/>
      <c r="AK348" s="1198"/>
      <c r="AL348" s="1198"/>
      <c r="AP348" s="1121"/>
    </row>
    <row r="349" spans="1:42" s="1119" customFormat="1">
      <c r="A349" s="1116"/>
      <c r="B349" s="467"/>
      <c r="C349" s="467"/>
      <c r="D349" s="467"/>
      <c r="E349" s="2782" t="str">
        <f>IF(L347=EUconst_Relevant,HYPERLINK(R349,EUconst_MsgBackToSheetF),"")</f>
        <v/>
      </c>
      <c r="F349" s="2783"/>
      <c r="G349" s="2783"/>
      <c r="H349" s="2783"/>
      <c r="I349" s="2783"/>
      <c r="J349" s="2783"/>
      <c r="K349" s="2783"/>
      <c r="L349" s="2783"/>
      <c r="M349" s="2783"/>
      <c r="N349" s="2784"/>
      <c r="O349" s="481"/>
      <c r="P349" s="485"/>
      <c r="Q349" s="1893" t="s">
        <v>116</v>
      </c>
      <c r="R349" s="1443" t="str">
        <f>IF(ISNUMBER(MATCH(R347,CNTR_SubInstListBMnumbers,0)),"#JUMP_F"&amp;MATCH(R347,CNTR_SubInstListBMnumbers,0),"")</f>
        <v/>
      </c>
      <c r="S349" s="1198"/>
      <c r="T349" s="1198"/>
      <c r="U349" s="1198"/>
      <c r="V349" s="1198"/>
      <c r="W349" s="1198"/>
      <c r="X349" s="1198"/>
      <c r="Y349" s="1198"/>
      <c r="Z349" s="1198"/>
      <c r="AA349" s="1198"/>
      <c r="AB349" s="1198"/>
      <c r="AC349" s="1198"/>
      <c r="AD349" s="1198"/>
      <c r="AE349" s="1198"/>
      <c r="AF349" s="1198"/>
      <c r="AG349" s="1198"/>
      <c r="AH349" s="1198"/>
      <c r="AI349" s="1198"/>
      <c r="AJ349" s="1198"/>
      <c r="AK349" s="1198"/>
      <c r="AL349" s="1198"/>
      <c r="AP349" s="1121"/>
    </row>
    <row r="350" spans="1:42" s="1119" customFormat="1" ht="5.0999999999999996" customHeight="1">
      <c r="A350" s="1116"/>
      <c r="B350" s="467"/>
      <c r="C350" s="467"/>
      <c r="D350" s="467"/>
      <c r="E350" s="467"/>
      <c r="F350" s="467"/>
      <c r="G350" s="467"/>
      <c r="H350" s="467"/>
      <c r="I350" s="467"/>
      <c r="J350" s="467"/>
      <c r="K350" s="467"/>
      <c r="L350" s="467"/>
      <c r="M350" s="481"/>
      <c r="N350" s="481"/>
      <c r="O350" s="481"/>
      <c r="P350" s="485"/>
      <c r="Q350" s="1249"/>
      <c r="R350" s="1198"/>
      <c r="S350" s="1198"/>
      <c r="T350" s="1198"/>
      <c r="U350" s="1198"/>
      <c r="V350" s="1198"/>
      <c r="W350" s="1198"/>
      <c r="X350" s="1198"/>
      <c r="Y350" s="1198"/>
      <c r="Z350" s="1198"/>
      <c r="AA350" s="1198"/>
      <c r="AB350" s="1198"/>
      <c r="AC350" s="1198"/>
      <c r="AD350" s="1198"/>
      <c r="AE350" s="1198"/>
      <c r="AF350" s="1198"/>
      <c r="AG350" s="1198"/>
      <c r="AH350" s="1198"/>
      <c r="AI350" s="1198"/>
      <c r="AJ350" s="1198"/>
      <c r="AK350" s="1198"/>
      <c r="AL350" s="1198"/>
      <c r="AP350" s="1121"/>
    </row>
    <row r="351" spans="1:42" s="1119" customFormat="1">
      <c r="A351" s="1116"/>
      <c r="B351" s="467"/>
      <c r="C351" s="467"/>
      <c r="D351" s="482" t="s">
        <v>876</v>
      </c>
      <c r="E351" s="2373" t="s">
        <v>223</v>
      </c>
      <c r="F351" s="2400"/>
      <c r="G351" s="2400"/>
      <c r="H351" s="2400"/>
      <c r="I351" s="2400"/>
      <c r="J351" s="2400"/>
      <c r="K351" s="2400"/>
      <c r="L351" s="2400"/>
      <c r="M351" s="2400"/>
      <c r="N351" s="2400"/>
      <c r="O351" s="481"/>
      <c r="P351" s="485"/>
      <c r="Q351" s="1249"/>
      <c r="R351" s="1198"/>
      <c r="S351" s="1198"/>
      <c r="T351" s="1198"/>
      <c r="U351" s="1198"/>
      <c r="V351" s="1198"/>
      <c r="W351" s="1198"/>
      <c r="X351" s="1198"/>
      <c r="Y351" s="1198"/>
      <c r="Z351" s="1198"/>
      <c r="AA351" s="1198"/>
      <c r="AB351" s="1198"/>
      <c r="AC351" s="1198"/>
      <c r="AD351" s="1198"/>
      <c r="AE351" s="1198"/>
      <c r="AF351" s="1198"/>
      <c r="AG351" s="1198"/>
      <c r="AH351" s="1198"/>
      <c r="AI351" s="1198"/>
      <c r="AJ351" s="1198"/>
      <c r="AK351" s="1198"/>
      <c r="AL351" s="1198"/>
      <c r="AP351" s="1121"/>
    </row>
    <row r="352" spans="1:42" s="1119" customFormat="1" ht="13.15" customHeight="1">
      <c r="A352" s="1116"/>
      <c r="B352" s="467"/>
      <c r="C352" s="467"/>
      <c r="D352" s="485"/>
      <c r="E352" s="2385" t="s">
        <v>1914</v>
      </c>
      <c r="F352" s="2846"/>
      <c r="G352" s="2846"/>
      <c r="H352" s="2846"/>
      <c r="I352" s="2846"/>
      <c r="J352" s="2846"/>
      <c r="K352" s="2846"/>
      <c r="L352" s="2846"/>
      <c r="M352" s="2846"/>
      <c r="N352" s="2846"/>
      <c r="O352" s="481"/>
      <c r="P352" s="485"/>
      <c r="Q352" s="1249"/>
      <c r="R352" s="1198"/>
      <c r="S352" s="1198"/>
      <c r="T352" s="1198"/>
      <c r="U352" s="1198"/>
      <c r="V352" s="1198"/>
      <c r="W352" s="1198"/>
      <c r="X352" s="1198"/>
      <c r="Y352" s="1198"/>
      <c r="Z352" s="1198"/>
      <c r="AA352" s="1198"/>
      <c r="AB352" s="1198"/>
      <c r="AC352" s="1198"/>
      <c r="AD352" s="1198"/>
      <c r="AE352" s="1198"/>
      <c r="AF352" s="1198"/>
      <c r="AG352" s="1198"/>
      <c r="AH352" s="1198"/>
      <c r="AI352" s="1198"/>
      <c r="AJ352" s="1198"/>
      <c r="AK352" s="1198"/>
      <c r="AL352" s="1198"/>
      <c r="AP352" s="1121"/>
    </row>
    <row r="353" spans="1:42" s="1119" customFormat="1" ht="13.15" customHeight="1">
      <c r="A353" s="1116"/>
      <c r="B353" s="467"/>
      <c r="C353" s="467"/>
      <c r="D353" s="485"/>
      <c r="E353" s="2385" t="s">
        <v>299</v>
      </c>
      <c r="F353" s="2846"/>
      <c r="G353" s="2846"/>
      <c r="H353" s="2846"/>
      <c r="I353" s="2846"/>
      <c r="J353" s="2846"/>
      <c r="K353" s="2846"/>
      <c r="L353" s="2846"/>
      <c r="M353" s="2846"/>
      <c r="N353" s="2846"/>
      <c r="O353" s="481"/>
      <c r="P353" s="485"/>
      <c r="Q353" s="1249"/>
      <c r="R353" s="1198"/>
      <c r="S353" s="1198"/>
      <c r="T353" s="1249"/>
      <c r="U353" s="1249"/>
      <c r="V353" s="1198"/>
      <c r="W353" s="1198"/>
      <c r="X353" s="1198"/>
      <c r="Y353" s="1249"/>
      <c r="Z353" s="1249"/>
      <c r="AA353" s="1249"/>
      <c r="AB353" s="1249"/>
      <c r="AC353" s="1249"/>
      <c r="AD353" s="1249"/>
      <c r="AE353" s="1249"/>
      <c r="AF353" s="1249"/>
      <c r="AG353" s="1249"/>
      <c r="AH353" s="1249"/>
      <c r="AI353" s="1249"/>
      <c r="AJ353" s="1198"/>
      <c r="AK353" s="1198"/>
      <c r="AL353" s="1198"/>
      <c r="AP353" s="1121"/>
    </row>
    <row r="354" spans="1:42" s="1119" customFormat="1" ht="13.5" thickBot="1">
      <c r="A354" s="1116"/>
      <c r="B354" s="1124"/>
      <c r="C354" s="485"/>
      <c r="D354" s="482"/>
      <c r="E354" s="636"/>
      <c r="F354" s="1110" t="s">
        <v>836</v>
      </c>
      <c r="G354" s="663" t="str">
        <f>EUconst_Unit</f>
        <v>Unit</v>
      </c>
      <c r="H354" s="671">
        <f t="shared" ref="H354:N354" si="66">H$421</f>
        <v>2024</v>
      </c>
      <c r="I354" s="1081">
        <f t="shared" si="66"/>
        <v>2025</v>
      </c>
      <c r="J354" s="1489">
        <f t="shared" si="66"/>
        <v>2026</v>
      </c>
      <c r="K354" s="1490">
        <f t="shared" si="66"/>
        <v>2027</v>
      </c>
      <c r="L354" s="1490">
        <f t="shared" si="66"/>
        <v>2028</v>
      </c>
      <c r="M354" s="1490">
        <f t="shared" si="66"/>
        <v>2029</v>
      </c>
      <c r="N354" s="1490">
        <f t="shared" si="66"/>
        <v>2030</v>
      </c>
      <c r="O354" s="481"/>
      <c r="P354" s="485"/>
      <c r="Q354" s="1198"/>
      <c r="R354" s="1198"/>
      <c r="S354" s="1198"/>
      <c r="T354" s="1249"/>
      <c r="U354" s="1249"/>
      <c r="V354" s="1198"/>
      <c r="W354" s="1198"/>
      <c r="X354" s="1198"/>
      <c r="Y354" s="1249"/>
      <c r="Z354" s="1249"/>
      <c r="AA354" s="1249"/>
      <c r="AB354" s="1198"/>
      <c r="AC354" s="2003">
        <f t="shared" ref="AC354:AI354" si="67">H354</f>
        <v>2024</v>
      </c>
      <c r="AD354" s="2003">
        <f t="shared" si="67"/>
        <v>2025</v>
      </c>
      <c r="AE354" s="2003">
        <f t="shared" si="67"/>
        <v>2026</v>
      </c>
      <c r="AF354" s="2003">
        <f t="shared" si="67"/>
        <v>2027</v>
      </c>
      <c r="AG354" s="2003">
        <f t="shared" si="67"/>
        <v>2028</v>
      </c>
      <c r="AH354" s="2003">
        <f t="shared" si="67"/>
        <v>2029</v>
      </c>
      <c r="AI354" s="2003">
        <f t="shared" si="67"/>
        <v>2030</v>
      </c>
      <c r="AJ354" s="1198"/>
      <c r="AK354" s="1198"/>
      <c r="AL354" s="1198"/>
      <c r="AP354" s="1121"/>
    </row>
    <row r="355" spans="1:42" s="1119" customFormat="1">
      <c r="A355" s="1116"/>
      <c r="B355" s="1124"/>
      <c r="C355" s="485"/>
      <c r="D355" s="485"/>
      <c r="E355" s="863" t="s">
        <v>837</v>
      </c>
      <c r="F355" s="2036">
        <v>1</v>
      </c>
      <c r="G355" s="721" t="str">
        <f>EUconst_tpa</f>
        <v>t / year</v>
      </c>
      <c r="H355" s="2024" t="str">
        <f>c_ALR2025!M7022</f>
        <v/>
      </c>
      <c r="I355" s="2053"/>
      <c r="J355" s="1786"/>
      <c r="K355" s="1787"/>
      <c r="L355" s="1787"/>
      <c r="M355" s="1787"/>
      <c r="N355" s="1787"/>
      <c r="O355" s="481"/>
      <c r="P355" s="485"/>
      <c r="Q355" s="1198"/>
      <c r="R355" s="1198"/>
      <c r="S355" s="1198"/>
      <c r="T355" s="1249"/>
      <c r="U355" s="1249"/>
      <c r="V355" s="1198"/>
      <c r="W355" s="1198"/>
      <c r="X355" s="1198"/>
      <c r="Y355" s="1249"/>
      <c r="Z355" s="1249"/>
      <c r="AA355" s="1249"/>
      <c r="AB355" s="1641" t="s">
        <v>717</v>
      </c>
      <c r="AC355" s="2041" t="b">
        <f t="shared" ref="AC355:AI355" si="68">IF(CNTR_ExistSubInstEntries,IF($L347=EUconst_Relevant,AC354&gt;=CNTR_ReportingYear,TRUE),FALSE)</f>
        <v>0</v>
      </c>
      <c r="AD355" s="1731" t="b">
        <f t="shared" si="68"/>
        <v>0</v>
      </c>
      <c r="AE355" s="1731" t="b">
        <f t="shared" si="68"/>
        <v>0</v>
      </c>
      <c r="AF355" s="1731" t="b">
        <f t="shared" si="68"/>
        <v>0</v>
      </c>
      <c r="AG355" s="1731" t="b">
        <f t="shared" si="68"/>
        <v>0</v>
      </c>
      <c r="AH355" s="1731" t="b">
        <f t="shared" si="68"/>
        <v>0</v>
      </c>
      <c r="AI355" s="2008" t="b">
        <f t="shared" si="68"/>
        <v>0</v>
      </c>
      <c r="AJ355" s="1198"/>
      <c r="AK355" s="1198"/>
      <c r="AL355" s="1198"/>
      <c r="AP355" s="1121"/>
    </row>
    <row r="356" spans="1:42" s="1119" customFormat="1">
      <c r="A356" s="1116"/>
      <c r="B356" s="1124"/>
      <c r="C356" s="485"/>
      <c r="D356" s="485"/>
      <c r="E356" s="865" t="s">
        <v>838</v>
      </c>
      <c r="F356" s="2037">
        <v>0.71</v>
      </c>
      <c r="G356" s="724" t="str">
        <f>EUconst_tpa</f>
        <v>t / year</v>
      </c>
      <c r="H356" s="2014" t="str">
        <f>c_ALR2025!M7023</f>
        <v/>
      </c>
      <c r="I356" s="2054"/>
      <c r="J356" s="1786"/>
      <c r="K356" s="1787"/>
      <c r="L356" s="1787"/>
      <c r="M356" s="1787"/>
      <c r="N356" s="1787"/>
      <c r="O356" s="481"/>
      <c r="P356" s="485"/>
      <c r="Q356" s="1198"/>
      <c r="R356" s="1198"/>
      <c r="S356" s="1198"/>
      <c r="T356" s="1249"/>
      <c r="U356" s="1249"/>
      <c r="V356" s="1198"/>
      <c r="W356" s="1198"/>
      <c r="X356" s="1198"/>
      <c r="Y356" s="1249"/>
      <c r="Z356" s="1249"/>
      <c r="AA356" s="1249"/>
      <c r="AB356" s="1249"/>
      <c r="AC356" s="2011" t="b">
        <f t="shared" ref="AC356:AI358" si="69">AC355</f>
        <v>0</v>
      </c>
      <c r="AD356" s="1963" t="b">
        <f t="shared" si="69"/>
        <v>0</v>
      </c>
      <c r="AE356" s="1963" t="b">
        <f t="shared" si="69"/>
        <v>0</v>
      </c>
      <c r="AF356" s="1963" t="b">
        <f t="shared" si="69"/>
        <v>0</v>
      </c>
      <c r="AG356" s="1963" t="b">
        <f t="shared" si="69"/>
        <v>0</v>
      </c>
      <c r="AH356" s="1963" t="b">
        <f t="shared" si="69"/>
        <v>0</v>
      </c>
      <c r="AI356" s="2012" t="b">
        <f t="shared" si="69"/>
        <v>0</v>
      </c>
      <c r="AJ356" s="1198"/>
      <c r="AK356" s="1198"/>
      <c r="AL356" s="1198"/>
      <c r="AP356" s="1121"/>
    </row>
    <row r="357" spans="1:42" s="1119" customFormat="1">
      <c r="A357" s="1116"/>
      <c r="B357" s="1124"/>
      <c r="C357" s="485"/>
      <c r="D357" s="485"/>
      <c r="E357" s="865" t="s">
        <v>839</v>
      </c>
      <c r="F357" s="2037">
        <v>0.83</v>
      </c>
      <c r="G357" s="724" t="str">
        <f>EUconst_tpa</f>
        <v>t / year</v>
      </c>
      <c r="H357" s="2014" t="str">
        <f>c_ALR2025!M7024</f>
        <v/>
      </c>
      <c r="I357" s="2054"/>
      <c r="J357" s="1786"/>
      <c r="K357" s="1787"/>
      <c r="L357" s="1787"/>
      <c r="M357" s="1787"/>
      <c r="N357" s="1787"/>
      <c r="O357" s="481"/>
      <c r="P357" s="485"/>
      <c r="Q357" s="1198"/>
      <c r="R357" s="1198"/>
      <c r="S357" s="1198"/>
      <c r="T357" s="1249"/>
      <c r="U357" s="1249"/>
      <c r="V357" s="1198"/>
      <c r="W357" s="1198"/>
      <c r="X357" s="1198"/>
      <c r="Y357" s="1249"/>
      <c r="Z357" s="1249"/>
      <c r="AA357" s="1249"/>
      <c r="AB357" s="1249"/>
      <c r="AC357" s="2011" t="b">
        <f t="shared" si="69"/>
        <v>0</v>
      </c>
      <c r="AD357" s="1963" t="b">
        <f t="shared" si="69"/>
        <v>0</v>
      </c>
      <c r="AE357" s="1963" t="b">
        <f t="shared" si="69"/>
        <v>0</v>
      </c>
      <c r="AF357" s="1963" t="b">
        <f t="shared" si="69"/>
        <v>0</v>
      </c>
      <c r="AG357" s="1963" t="b">
        <f t="shared" si="69"/>
        <v>0</v>
      </c>
      <c r="AH357" s="1963" t="b">
        <f t="shared" si="69"/>
        <v>0</v>
      </c>
      <c r="AI357" s="2012" t="b">
        <f t="shared" si="69"/>
        <v>0</v>
      </c>
      <c r="AJ357" s="1198"/>
      <c r="AK357" s="1198"/>
      <c r="AL357" s="1198"/>
      <c r="AP357" s="1121"/>
    </row>
    <row r="358" spans="1:42" s="1119" customFormat="1" ht="13.5" thickBot="1">
      <c r="A358" s="1116"/>
      <c r="B358" s="1124"/>
      <c r="C358" s="485"/>
      <c r="D358" s="485"/>
      <c r="E358" s="932" t="s">
        <v>840</v>
      </c>
      <c r="F358" s="2038">
        <v>0.88</v>
      </c>
      <c r="G358" s="728" t="str">
        <f>EUconst_tpa</f>
        <v>t / year</v>
      </c>
      <c r="H358" s="2016" t="str">
        <f>c_ALR2025!M7025</f>
        <v/>
      </c>
      <c r="I358" s="2055"/>
      <c r="J358" s="1786"/>
      <c r="K358" s="1787"/>
      <c r="L358" s="1787"/>
      <c r="M358" s="1787"/>
      <c r="N358" s="1787"/>
      <c r="O358" s="481"/>
      <c r="P358" s="485"/>
      <c r="Q358" s="1198"/>
      <c r="R358" s="1198"/>
      <c r="S358" s="1198"/>
      <c r="T358" s="1249"/>
      <c r="U358" s="1249"/>
      <c r="V358" s="1198"/>
      <c r="W358" s="1198"/>
      <c r="X358" s="1198"/>
      <c r="Y358" s="1249"/>
      <c r="Z358" s="1249"/>
      <c r="AA358" s="1249"/>
      <c r="AB358" s="1249"/>
      <c r="AC358" s="2017" t="b">
        <f t="shared" si="69"/>
        <v>0</v>
      </c>
      <c r="AD358" s="2018" t="b">
        <f t="shared" si="69"/>
        <v>0</v>
      </c>
      <c r="AE358" s="2018" t="b">
        <f t="shared" si="69"/>
        <v>0</v>
      </c>
      <c r="AF358" s="2018" t="b">
        <f t="shared" si="69"/>
        <v>0</v>
      </c>
      <c r="AG358" s="2018" t="b">
        <f t="shared" si="69"/>
        <v>0</v>
      </c>
      <c r="AH358" s="2018" t="b">
        <f t="shared" si="69"/>
        <v>0</v>
      </c>
      <c r="AI358" s="2019" t="b">
        <f t="shared" si="69"/>
        <v>0</v>
      </c>
      <c r="AJ358" s="1198"/>
      <c r="AK358" s="1198"/>
      <c r="AL358" s="1198"/>
      <c r="AP358" s="1121"/>
    </row>
    <row r="359" spans="1:42" s="1119" customFormat="1">
      <c r="A359" s="1116"/>
      <c r="B359" s="1124"/>
      <c r="C359" s="485"/>
      <c r="D359" s="485"/>
      <c r="E359" s="2788" t="s">
        <v>835</v>
      </c>
      <c r="F359" s="2410"/>
      <c r="G359" s="728" t="str">
        <f>EUconst_tpa</f>
        <v>t / year</v>
      </c>
      <c r="H359" s="935" t="str">
        <f t="shared" ref="H359:N359" si="70">IF(COUNT(H355:H358)&gt;0,SUM(H355:H358),"")</f>
        <v/>
      </c>
      <c r="I359" s="936" t="str">
        <f t="shared" si="70"/>
        <v/>
      </c>
      <c r="J359" s="1786" t="str">
        <f t="shared" si="70"/>
        <v/>
      </c>
      <c r="K359" s="1787" t="str">
        <f t="shared" si="70"/>
        <v/>
      </c>
      <c r="L359" s="1787" t="str">
        <f t="shared" si="70"/>
        <v/>
      </c>
      <c r="M359" s="1787" t="str">
        <f t="shared" si="70"/>
        <v/>
      </c>
      <c r="N359" s="1787" t="str">
        <f t="shared" si="70"/>
        <v/>
      </c>
      <c r="O359" s="481"/>
      <c r="P359" s="485"/>
      <c r="Q359" s="1198"/>
      <c r="R359" s="1198"/>
      <c r="S359" s="1198"/>
      <c r="T359" s="1249"/>
      <c r="U359" s="1249"/>
      <c r="V359" s="1198"/>
      <c r="W359" s="1198"/>
      <c r="X359" s="1198"/>
      <c r="Y359" s="1249"/>
      <c r="Z359" s="1249"/>
      <c r="AA359" s="1249"/>
      <c r="AB359" s="1249"/>
      <c r="AC359" s="1249"/>
      <c r="AD359" s="1249"/>
      <c r="AE359" s="1249"/>
      <c r="AF359" s="1249"/>
      <c r="AG359" s="1249"/>
      <c r="AH359" s="1249"/>
      <c r="AI359" s="1249"/>
      <c r="AJ359" s="1198"/>
      <c r="AK359" s="1198"/>
      <c r="AL359" s="1198"/>
      <c r="AP359" s="1121"/>
    </row>
    <row r="360" spans="1:42" s="1119" customFormat="1" ht="5.0999999999999996" customHeight="1">
      <c r="A360" s="1116"/>
      <c r="B360" s="467"/>
      <c r="C360" s="467"/>
      <c r="D360" s="467"/>
      <c r="E360" s="467"/>
      <c r="F360" s="467"/>
      <c r="G360" s="467"/>
      <c r="H360" s="467"/>
      <c r="I360" s="467"/>
      <c r="J360" s="467"/>
      <c r="K360" s="467"/>
      <c r="L360" s="467"/>
      <c r="M360" s="467"/>
      <c r="N360" s="481"/>
      <c r="O360" s="481"/>
      <c r="P360" s="485"/>
      <c r="Q360" s="1249"/>
      <c r="R360" s="1198"/>
      <c r="S360" s="1198"/>
      <c r="T360" s="1249"/>
      <c r="U360" s="1249"/>
      <c r="V360" s="1198"/>
      <c r="W360" s="1198"/>
      <c r="X360" s="1198"/>
      <c r="Y360" s="1249"/>
      <c r="Z360" s="1249"/>
      <c r="AA360" s="1249"/>
      <c r="AB360" s="1249"/>
      <c r="AC360" s="1249"/>
      <c r="AD360" s="1249"/>
      <c r="AE360" s="1249"/>
      <c r="AF360" s="1249"/>
      <c r="AG360" s="1249"/>
      <c r="AH360" s="1249"/>
      <c r="AI360" s="1249"/>
      <c r="AJ360" s="1198"/>
      <c r="AK360" s="1198"/>
      <c r="AL360" s="1198"/>
      <c r="AP360" s="1121"/>
    </row>
    <row r="361" spans="1:42" s="1119" customFormat="1" ht="13.15" customHeight="1">
      <c r="A361" s="1116"/>
      <c r="B361" s="467"/>
      <c r="C361" s="467"/>
      <c r="D361" s="482" t="s">
        <v>48</v>
      </c>
      <c r="E361" s="2508" t="s">
        <v>841</v>
      </c>
      <c r="F361" s="2391"/>
      <c r="G361" s="2391"/>
      <c r="H361" s="2391"/>
      <c r="I361" s="2391"/>
      <c r="J361" s="2391"/>
      <c r="K361" s="2391"/>
      <c r="L361" s="2391"/>
      <c r="M361" s="2391"/>
      <c r="N361" s="2391"/>
      <c r="O361" s="481"/>
      <c r="P361" s="485"/>
      <c r="Q361" s="1249"/>
      <c r="R361" s="1198"/>
      <c r="S361" s="1198"/>
      <c r="T361" s="1249"/>
      <c r="U361" s="1249"/>
      <c r="V361" s="1198"/>
      <c r="W361" s="1198"/>
      <c r="X361" s="1198"/>
      <c r="Y361" s="1249"/>
      <c r="Z361" s="1249"/>
      <c r="AA361" s="1249"/>
      <c r="AB361" s="1249"/>
      <c r="AC361" s="1249"/>
      <c r="AD361" s="1249"/>
      <c r="AE361" s="1249"/>
      <c r="AF361" s="1249"/>
      <c r="AG361" s="1249"/>
      <c r="AH361" s="1249"/>
      <c r="AI361" s="1249"/>
      <c r="AJ361" s="1198"/>
      <c r="AK361" s="1198"/>
      <c r="AL361" s="1198"/>
      <c r="AP361" s="1121"/>
    </row>
    <row r="362" spans="1:42" s="1119" customFormat="1" ht="12.6" customHeight="1">
      <c r="A362" s="1116"/>
      <c r="B362" s="467"/>
      <c r="C362" s="467"/>
      <c r="D362" s="485"/>
      <c r="E362" s="2850" t="s">
        <v>1245</v>
      </c>
      <c r="F362" s="2380"/>
      <c r="G362" s="2380"/>
      <c r="H362" s="2380"/>
      <c r="I362" s="2380"/>
      <c r="J362" s="2380"/>
      <c r="K362" s="2380"/>
      <c r="L362" s="2380"/>
      <c r="M362" s="2380"/>
      <c r="N362" s="2380"/>
      <c r="O362" s="481"/>
      <c r="P362" s="485"/>
      <c r="Q362" s="1249"/>
      <c r="R362" s="1198"/>
      <c r="S362" s="1198"/>
      <c r="T362" s="1249"/>
      <c r="U362" s="1249"/>
      <c r="V362" s="1198"/>
      <c r="W362" s="1198"/>
      <c r="X362" s="1198"/>
      <c r="Y362" s="1249"/>
      <c r="Z362" s="1249"/>
      <c r="AA362" s="1249"/>
      <c r="AB362" s="1249"/>
      <c r="AC362" s="1249"/>
      <c r="AD362" s="1249"/>
      <c r="AE362" s="1249"/>
      <c r="AF362" s="1249"/>
      <c r="AG362" s="1249"/>
      <c r="AH362" s="1249"/>
      <c r="AI362" s="1249"/>
      <c r="AJ362" s="1198"/>
      <c r="AK362" s="1198"/>
      <c r="AL362" s="1198"/>
      <c r="AP362" s="1121"/>
    </row>
    <row r="363" spans="1:42" s="1119" customFormat="1" ht="13.15" customHeight="1">
      <c r="A363" s="1116"/>
      <c r="B363" s="467"/>
      <c r="C363" s="467"/>
      <c r="D363" s="485"/>
      <c r="E363" s="2850" t="s">
        <v>1247</v>
      </c>
      <c r="F363" s="2380"/>
      <c r="G363" s="2380"/>
      <c r="H363" s="2380"/>
      <c r="I363" s="2380"/>
      <c r="J363" s="2380"/>
      <c r="K363" s="2380"/>
      <c r="L363" s="2380"/>
      <c r="M363" s="2380"/>
      <c r="N363" s="2380"/>
      <c r="O363" s="481"/>
      <c r="P363" s="485"/>
      <c r="Q363" s="1249"/>
      <c r="R363" s="1198"/>
      <c r="S363" s="1198"/>
      <c r="T363" s="1249"/>
      <c r="U363" s="1249"/>
      <c r="V363" s="1198"/>
      <c r="W363" s="1198"/>
      <c r="X363" s="1198"/>
      <c r="Y363" s="1249"/>
      <c r="Z363" s="1249"/>
      <c r="AA363" s="1249"/>
      <c r="AB363" s="1249"/>
      <c r="AC363" s="1249"/>
      <c r="AD363" s="1249"/>
      <c r="AE363" s="1249"/>
      <c r="AF363" s="1249"/>
      <c r="AG363" s="1249"/>
      <c r="AH363" s="1249"/>
      <c r="AI363" s="1249"/>
      <c r="AJ363" s="1198"/>
      <c r="AK363" s="1198"/>
      <c r="AL363" s="1198"/>
      <c r="AP363" s="1121"/>
    </row>
    <row r="364" spans="1:42" s="1119" customFormat="1">
      <c r="A364" s="1116"/>
      <c r="B364" s="1124"/>
      <c r="C364" s="485"/>
      <c r="D364" s="482"/>
      <c r="E364" s="637"/>
      <c r="F364" s="637"/>
      <c r="G364" s="663" t="str">
        <f>EUconst_Unit</f>
        <v>Unit</v>
      </c>
      <c r="H364" s="671">
        <f t="shared" ref="H364:N364" si="71">H$421</f>
        <v>2024</v>
      </c>
      <c r="I364" s="1081">
        <f t="shared" si="71"/>
        <v>2025</v>
      </c>
      <c r="J364" s="1489">
        <f t="shared" si="71"/>
        <v>2026</v>
      </c>
      <c r="K364" s="1490">
        <f t="shared" si="71"/>
        <v>2027</v>
      </c>
      <c r="L364" s="1490">
        <f t="shared" si="71"/>
        <v>2028</v>
      </c>
      <c r="M364" s="1490">
        <f t="shared" si="71"/>
        <v>2029</v>
      </c>
      <c r="N364" s="1490">
        <f t="shared" si="71"/>
        <v>2030</v>
      </c>
      <c r="O364" s="481"/>
      <c r="P364" s="485"/>
      <c r="Q364" s="1198"/>
      <c r="R364" s="1198"/>
      <c r="S364" s="1198"/>
      <c r="T364" s="1249"/>
      <c r="U364" s="1249"/>
      <c r="V364" s="1198"/>
      <c r="W364" s="1198"/>
      <c r="X364" s="1198"/>
      <c r="Y364" s="1249"/>
      <c r="Z364" s="1249"/>
      <c r="AA364" s="1249"/>
      <c r="AB364" s="1249"/>
      <c r="AC364" s="1249"/>
      <c r="AD364" s="1249"/>
      <c r="AE364" s="1249"/>
      <c r="AF364" s="1249"/>
      <c r="AG364" s="1249"/>
      <c r="AH364" s="1249"/>
      <c r="AI364" s="1249"/>
      <c r="AJ364" s="1198"/>
      <c r="AK364" s="1198"/>
      <c r="AL364" s="1198"/>
      <c r="AP364" s="1121"/>
    </row>
    <row r="365" spans="1:42" s="1119" customFormat="1" ht="13.15" customHeight="1">
      <c r="A365" s="1116"/>
      <c r="B365" s="1124"/>
      <c r="C365" s="485"/>
      <c r="D365" s="485"/>
      <c r="E365" s="2788" t="s">
        <v>1008</v>
      </c>
      <c r="F365" s="2410"/>
      <c r="G365" s="730" t="str">
        <f>EUconst_tpa</f>
        <v>t / year</v>
      </c>
      <c r="H365" s="853" t="str">
        <f t="shared" ref="H365:N365" si="72">IF(ISNUMBER(H359),SUMPRODUCT($F$355:$F$358,H355:H358),"")</f>
        <v/>
      </c>
      <c r="I365" s="1086" t="str">
        <f t="shared" si="72"/>
        <v/>
      </c>
      <c r="J365" s="2020" t="str">
        <f t="shared" si="72"/>
        <v/>
      </c>
      <c r="K365" s="2021" t="str">
        <f t="shared" si="72"/>
        <v/>
      </c>
      <c r="L365" s="2021" t="str">
        <f t="shared" si="72"/>
        <v/>
      </c>
      <c r="M365" s="2021" t="str">
        <f t="shared" si="72"/>
        <v/>
      </c>
      <c r="N365" s="2021" t="str">
        <f t="shared" si="72"/>
        <v/>
      </c>
      <c r="O365" s="481"/>
      <c r="P365" s="485"/>
      <c r="Q365" s="1443" t="str">
        <f>IF(L347=EUconst_Relevant,EUconst_CNTR_HALspecial &amp; INDEX(EUconst_BMlistNames,R347),"")</f>
        <v/>
      </c>
      <c r="R365" s="1198"/>
      <c r="S365" s="1198"/>
      <c r="T365" s="1198"/>
      <c r="U365" s="1198"/>
      <c r="V365" s="1198"/>
      <c r="W365" s="1198"/>
      <c r="X365" s="1198"/>
      <c r="Y365" s="1249"/>
      <c r="Z365" s="1249"/>
      <c r="AA365" s="1249"/>
      <c r="AB365" s="1249"/>
      <c r="AC365" s="1249"/>
      <c r="AD365" s="1249"/>
      <c r="AE365" s="1249"/>
      <c r="AF365" s="1249"/>
      <c r="AG365" s="1249"/>
      <c r="AH365" s="1249"/>
      <c r="AI365" s="1249"/>
      <c r="AJ365" s="1198"/>
      <c r="AK365" s="1198"/>
      <c r="AL365" s="1198"/>
      <c r="AP365" s="1121"/>
    </row>
    <row r="366" spans="1:42" s="1119" customFormat="1" ht="5.0999999999999996" customHeight="1">
      <c r="A366" s="1116"/>
      <c r="B366" s="467"/>
      <c r="C366" s="467"/>
      <c r="D366" s="467"/>
      <c r="E366" s="467"/>
      <c r="F366" s="618"/>
      <c r="G366" s="618"/>
      <c r="H366" s="467"/>
      <c r="I366" s="467"/>
      <c r="J366" s="467"/>
      <c r="K366" s="467"/>
      <c r="L366" s="467"/>
      <c r="M366" s="481"/>
      <c r="N366" s="481"/>
      <c r="O366" s="481"/>
      <c r="P366" s="485"/>
      <c r="Q366" s="1249"/>
      <c r="R366" s="1198"/>
      <c r="S366" s="1198"/>
      <c r="T366" s="1198"/>
      <c r="U366" s="1198"/>
      <c r="V366" s="1198"/>
      <c r="W366" s="1198"/>
      <c r="X366" s="1198"/>
      <c r="Y366" s="1249"/>
      <c r="Z366" s="1249"/>
      <c r="AA366" s="1249"/>
      <c r="AB366" s="1249"/>
      <c r="AC366" s="1249"/>
      <c r="AD366" s="1249"/>
      <c r="AE366" s="1249"/>
      <c r="AF366" s="1249"/>
      <c r="AG366" s="1249"/>
      <c r="AH366" s="1249"/>
      <c r="AI366" s="1249"/>
      <c r="AJ366" s="1198"/>
      <c r="AK366" s="1198"/>
      <c r="AL366" s="1198"/>
      <c r="AP366" s="1121"/>
    </row>
    <row r="367" spans="1:42" s="1119" customFormat="1">
      <c r="A367" s="1116"/>
      <c r="B367" s="467"/>
      <c r="C367" s="467"/>
      <c r="D367" s="467"/>
      <c r="E367" s="2782" t="str">
        <f>IF(L347=EUconst_Relevant,HYPERLINK(R367,EUconst_MsgBackToSheetF),"")</f>
        <v/>
      </c>
      <c r="F367" s="2783"/>
      <c r="G367" s="2783"/>
      <c r="H367" s="2783"/>
      <c r="I367" s="2783"/>
      <c r="J367" s="2783"/>
      <c r="K367" s="2783"/>
      <c r="L367" s="2783"/>
      <c r="M367" s="2783"/>
      <c r="N367" s="2784"/>
      <c r="O367" s="481"/>
      <c r="P367" s="485"/>
      <c r="Q367" s="1893" t="s">
        <v>116</v>
      </c>
      <c r="R367" s="1443" t="str">
        <f>R349</f>
        <v/>
      </c>
      <c r="S367" s="1198"/>
      <c r="T367" s="1198"/>
      <c r="U367" s="1198"/>
      <c r="V367" s="1198"/>
      <c r="W367" s="1198"/>
      <c r="X367" s="1198"/>
      <c r="Y367" s="1249"/>
      <c r="Z367" s="1249"/>
      <c r="AA367" s="1249"/>
      <c r="AB367" s="1249"/>
      <c r="AC367" s="1249"/>
      <c r="AD367" s="1249"/>
      <c r="AE367" s="1249"/>
      <c r="AF367" s="1249"/>
      <c r="AG367" s="1249"/>
      <c r="AH367" s="1249"/>
      <c r="AI367" s="1249"/>
      <c r="AJ367" s="1198"/>
      <c r="AK367" s="1198"/>
      <c r="AL367" s="1198"/>
      <c r="AP367" s="1121"/>
    </row>
    <row r="368" spans="1:42" s="1119" customFormat="1">
      <c r="A368" s="1116"/>
      <c r="B368" s="1124"/>
      <c r="C368" s="485"/>
      <c r="D368" s="485"/>
      <c r="E368" s="485"/>
      <c r="F368" s="485"/>
      <c r="G368" s="485"/>
      <c r="H368" s="485"/>
      <c r="I368" s="485"/>
      <c r="J368" s="485"/>
      <c r="K368" s="485"/>
      <c r="L368" s="485"/>
      <c r="M368" s="485"/>
      <c r="N368" s="485"/>
      <c r="O368" s="481"/>
      <c r="P368" s="485"/>
      <c r="Q368" s="1198"/>
      <c r="R368" s="1198"/>
      <c r="S368" s="1198"/>
      <c r="T368" s="1198"/>
      <c r="U368" s="1198"/>
      <c r="V368" s="1198"/>
      <c r="W368" s="1198"/>
      <c r="X368" s="1198"/>
      <c r="Y368" s="1249"/>
      <c r="Z368" s="1249"/>
      <c r="AA368" s="1249"/>
      <c r="AB368" s="1249"/>
      <c r="AC368" s="1249"/>
      <c r="AD368" s="1249"/>
      <c r="AE368" s="1249"/>
      <c r="AF368" s="1249"/>
      <c r="AG368" s="1249"/>
      <c r="AH368" s="1249"/>
      <c r="AI368" s="1249"/>
      <c r="AJ368" s="1198"/>
      <c r="AK368" s="1198"/>
      <c r="AL368" s="1198"/>
      <c r="AP368" s="1121"/>
    </row>
    <row r="369" spans="1:42" s="1119" customFormat="1" ht="15.6" customHeight="1">
      <c r="A369" s="1116"/>
      <c r="B369" s="467"/>
      <c r="C369" s="507" t="s">
        <v>237</v>
      </c>
      <c r="D369" s="2408" t="s">
        <v>552</v>
      </c>
      <c r="E369" s="2408"/>
      <c r="F369" s="2408"/>
      <c r="G369" s="2408"/>
      <c r="H369" s="2408"/>
      <c r="I369" s="2408"/>
      <c r="J369" s="2408"/>
      <c r="K369" s="2408"/>
      <c r="L369" s="2408"/>
      <c r="M369" s="2408"/>
      <c r="N369" s="2408"/>
      <c r="O369" s="481"/>
      <c r="P369" s="485"/>
      <c r="Q369" s="1249"/>
      <c r="R369" s="1198"/>
      <c r="S369" s="1198"/>
      <c r="T369" s="1198"/>
      <c r="U369" s="1198"/>
      <c r="V369" s="1198"/>
      <c r="W369" s="1198"/>
      <c r="X369" s="1198"/>
      <c r="Y369" s="1249"/>
      <c r="Z369" s="1249"/>
      <c r="AA369" s="1249"/>
      <c r="AB369" s="1249"/>
      <c r="AC369" s="1198"/>
      <c r="AD369" s="1198"/>
      <c r="AE369" s="1198"/>
      <c r="AF369" s="1198"/>
      <c r="AG369" s="1198"/>
      <c r="AH369" s="1198"/>
      <c r="AI369" s="1198"/>
      <c r="AJ369" s="1198"/>
      <c r="AK369" s="1198"/>
      <c r="AL369" s="1198"/>
      <c r="AP369" s="1121"/>
    </row>
    <row r="370" spans="1:42" s="1119" customFormat="1" ht="5.0999999999999996" customHeight="1">
      <c r="A370" s="1116"/>
      <c r="B370" s="467"/>
      <c r="C370" s="467"/>
      <c r="D370" s="467"/>
      <c r="E370" s="467"/>
      <c r="F370" s="467"/>
      <c r="G370" s="467"/>
      <c r="H370" s="467"/>
      <c r="I370" s="467"/>
      <c r="J370" s="467"/>
      <c r="K370" s="467"/>
      <c r="L370" s="467"/>
      <c r="M370" s="481"/>
      <c r="N370" s="481"/>
      <c r="O370" s="481"/>
      <c r="P370" s="485"/>
      <c r="Q370" s="1249"/>
      <c r="R370" s="1198"/>
      <c r="S370" s="1198"/>
      <c r="T370" s="1198"/>
      <c r="U370" s="1198"/>
      <c r="V370" s="1198"/>
      <c r="W370" s="1198"/>
      <c r="X370" s="1198"/>
      <c r="Y370" s="1249"/>
      <c r="Z370" s="1249"/>
      <c r="AA370" s="1249"/>
      <c r="AB370" s="1249"/>
      <c r="AC370" s="1198"/>
      <c r="AD370" s="1198"/>
      <c r="AE370" s="1198"/>
      <c r="AF370" s="1198"/>
      <c r="AG370" s="1198"/>
      <c r="AH370" s="1198"/>
      <c r="AI370" s="1198"/>
      <c r="AJ370" s="1198"/>
      <c r="AK370" s="1198"/>
      <c r="AL370" s="1198"/>
      <c r="AP370" s="1121"/>
    </row>
    <row r="371" spans="1:42" s="1119" customFormat="1" ht="13.9" customHeight="1">
      <c r="A371" s="1116"/>
      <c r="B371" s="467"/>
      <c r="C371" s="559"/>
      <c r="D371" s="2482" t="s">
        <v>1373</v>
      </c>
      <c r="E371" s="2400"/>
      <c r="F371" s="2400"/>
      <c r="G371" s="2400"/>
      <c r="H371" s="2400"/>
      <c r="I371" s="2400"/>
      <c r="J371" s="2400"/>
      <c r="K371" s="2400"/>
      <c r="L371" s="2400"/>
      <c r="M371" s="2400"/>
      <c r="N371" s="2400"/>
      <c r="O371" s="481"/>
      <c r="P371" s="485"/>
      <c r="Q371" s="1249"/>
      <c r="R371" s="1198"/>
      <c r="S371" s="1198"/>
      <c r="T371" s="1198"/>
      <c r="U371" s="1198"/>
      <c r="V371" s="1198"/>
      <c r="W371" s="1198"/>
      <c r="X371" s="1198"/>
      <c r="Y371" s="1249"/>
      <c r="Z371" s="1249"/>
      <c r="AA371" s="1249"/>
      <c r="AB371" s="1249"/>
      <c r="AC371" s="1198"/>
      <c r="AD371" s="1198"/>
      <c r="AE371" s="1198"/>
      <c r="AF371" s="1198"/>
      <c r="AG371" s="1198"/>
      <c r="AH371" s="1198"/>
      <c r="AI371" s="1198"/>
      <c r="AJ371" s="1198"/>
      <c r="AK371" s="1198"/>
      <c r="AL371" s="1198"/>
      <c r="AP371" s="1121"/>
    </row>
    <row r="372" spans="1:42" s="1119" customFormat="1" ht="5.0999999999999996" customHeight="1">
      <c r="A372" s="1116"/>
      <c r="B372" s="467"/>
      <c r="C372" s="467"/>
      <c r="D372" s="467"/>
      <c r="E372" s="467"/>
      <c r="F372" s="467"/>
      <c r="G372" s="467"/>
      <c r="H372" s="467"/>
      <c r="I372" s="467"/>
      <c r="J372" s="467"/>
      <c r="K372" s="467"/>
      <c r="L372" s="467"/>
      <c r="M372" s="481"/>
      <c r="N372" s="481"/>
      <c r="O372" s="481"/>
      <c r="P372" s="485"/>
      <c r="Q372" s="1249"/>
      <c r="R372" s="1198"/>
      <c r="S372" s="1198"/>
      <c r="T372" s="1198"/>
      <c r="U372" s="1198"/>
      <c r="V372" s="1198"/>
      <c r="W372" s="1198"/>
      <c r="X372" s="1198"/>
      <c r="Y372" s="1249"/>
      <c r="Z372" s="1249"/>
      <c r="AA372" s="1249"/>
      <c r="AB372" s="1249"/>
      <c r="AC372" s="1198"/>
      <c r="AD372" s="1198"/>
      <c r="AE372" s="1198"/>
      <c r="AF372" s="1198"/>
      <c r="AG372" s="1198"/>
      <c r="AH372" s="1198"/>
      <c r="AI372" s="1198"/>
      <c r="AJ372" s="1198"/>
      <c r="AK372" s="1198"/>
      <c r="AL372" s="1198"/>
      <c r="AP372" s="1121"/>
    </row>
    <row r="373" spans="1:42" s="1119" customFormat="1" ht="13.15" customHeight="1">
      <c r="A373" s="1116"/>
      <c r="B373" s="467"/>
      <c r="C373" s="467"/>
      <c r="D373" s="485"/>
      <c r="E373" s="2385" t="s">
        <v>1374</v>
      </c>
      <c r="F373" s="2846"/>
      <c r="G373" s="2846"/>
      <c r="H373" s="2846"/>
      <c r="I373" s="2846"/>
      <c r="J373" s="2846"/>
      <c r="K373" s="2846"/>
      <c r="L373" s="2846"/>
      <c r="M373" s="2846"/>
      <c r="N373" s="2846"/>
      <c r="O373" s="481"/>
      <c r="P373" s="485"/>
      <c r="Q373" s="1249"/>
      <c r="R373" s="1198"/>
      <c r="S373" s="1198"/>
      <c r="T373" s="1198"/>
      <c r="U373" s="1198"/>
      <c r="V373" s="1198"/>
      <c r="W373" s="1198"/>
      <c r="X373" s="1198"/>
      <c r="Y373" s="1249"/>
      <c r="Z373" s="1249"/>
      <c r="AA373" s="1249"/>
      <c r="AB373" s="1249"/>
      <c r="AC373" s="1198"/>
      <c r="AD373" s="1198"/>
      <c r="AE373" s="1198"/>
      <c r="AF373" s="1198"/>
      <c r="AG373" s="1198"/>
      <c r="AH373" s="1198"/>
      <c r="AI373" s="1198"/>
      <c r="AJ373" s="1198"/>
      <c r="AK373" s="1198"/>
      <c r="AL373" s="1198"/>
      <c r="AP373" s="1121"/>
    </row>
    <row r="374" spans="1:42" s="1119" customFormat="1">
      <c r="A374" s="1116"/>
      <c r="B374" s="467"/>
      <c r="C374" s="467"/>
      <c r="D374" s="485"/>
      <c r="E374" s="2385" t="s">
        <v>229</v>
      </c>
      <c r="F374" s="2846"/>
      <c r="G374" s="2846"/>
      <c r="H374" s="2846"/>
      <c r="I374" s="2846"/>
      <c r="J374" s="2846"/>
      <c r="K374" s="2846"/>
      <c r="L374" s="2846"/>
      <c r="M374" s="2846"/>
      <c r="N374" s="2846"/>
      <c r="O374" s="481"/>
      <c r="P374" s="485"/>
      <c r="Q374" s="1249"/>
      <c r="R374" s="1198"/>
      <c r="S374" s="1198"/>
      <c r="T374" s="1198"/>
      <c r="U374" s="1198"/>
      <c r="V374" s="1198"/>
      <c r="W374" s="1198"/>
      <c r="X374" s="1198"/>
      <c r="Y374" s="1249"/>
      <c r="Z374" s="1249"/>
      <c r="AA374" s="1249"/>
      <c r="AB374" s="1249"/>
      <c r="AC374" s="1198"/>
      <c r="AD374" s="1198"/>
      <c r="AE374" s="1198"/>
      <c r="AF374" s="1198"/>
      <c r="AG374" s="1198"/>
      <c r="AH374" s="1198"/>
      <c r="AI374" s="1198"/>
      <c r="AJ374" s="1198"/>
      <c r="AK374" s="1198"/>
      <c r="AL374" s="1198"/>
      <c r="AP374" s="1121"/>
    </row>
    <row r="375" spans="1:42" s="1119" customFormat="1" ht="13.15" customHeight="1">
      <c r="A375" s="1116"/>
      <c r="B375" s="467"/>
      <c r="C375" s="467"/>
      <c r="D375" s="485"/>
      <c r="E375" s="1088" t="s">
        <v>1021</v>
      </c>
      <c r="F375" s="2385" t="s">
        <v>619</v>
      </c>
      <c r="G375" s="2846"/>
      <c r="H375" s="2846"/>
      <c r="I375" s="2846"/>
      <c r="J375" s="2846"/>
      <c r="K375" s="2846"/>
      <c r="L375" s="2846"/>
      <c r="M375" s="2846"/>
      <c r="N375" s="2846"/>
      <c r="O375" s="481"/>
      <c r="P375" s="485"/>
      <c r="Q375" s="1249"/>
      <c r="R375" s="1198"/>
      <c r="S375" s="1198"/>
      <c r="T375" s="1198"/>
      <c r="U375" s="1198"/>
      <c r="V375" s="1198"/>
      <c r="W375" s="1198"/>
      <c r="X375" s="1198"/>
      <c r="Y375" s="1249"/>
      <c r="Z375" s="1249"/>
      <c r="AA375" s="1249"/>
      <c r="AB375" s="1249"/>
      <c r="AC375" s="1198"/>
      <c r="AD375" s="1198"/>
      <c r="AE375" s="1198"/>
      <c r="AF375" s="1198"/>
      <c r="AG375" s="1198"/>
      <c r="AH375" s="1198"/>
      <c r="AI375" s="1198"/>
      <c r="AJ375" s="1198"/>
      <c r="AK375" s="1198"/>
      <c r="AL375" s="1198"/>
      <c r="AP375" s="1121"/>
    </row>
    <row r="376" spans="1:42" s="1119" customFormat="1" ht="13.15" customHeight="1">
      <c r="A376" s="1116"/>
      <c r="B376" s="467"/>
      <c r="C376" s="467"/>
      <c r="D376" s="485"/>
      <c r="E376" s="1088" t="s">
        <v>1021</v>
      </c>
      <c r="F376" s="2385" t="s">
        <v>551</v>
      </c>
      <c r="G376" s="2846"/>
      <c r="H376" s="2846"/>
      <c r="I376" s="2846"/>
      <c r="J376" s="2846"/>
      <c r="K376" s="2846"/>
      <c r="L376" s="2846"/>
      <c r="M376" s="2846"/>
      <c r="N376" s="2846"/>
      <c r="O376" s="481"/>
      <c r="P376" s="485"/>
      <c r="Q376" s="1249"/>
      <c r="R376" s="1198"/>
      <c r="S376" s="1198"/>
      <c r="T376" s="1198"/>
      <c r="U376" s="1198"/>
      <c r="V376" s="1198"/>
      <c r="W376" s="1198"/>
      <c r="X376" s="1198"/>
      <c r="Y376" s="1249"/>
      <c r="Z376" s="1249"/>
      <c r="AA376" s="1249"/>
      <c r="AB376" s="1249"/>
      <c r="AC376" s="1198"/>
      <c r="AD376" s="1198"/>
      <c r="AE376" s="1198"/>
      <c r="AF376" s="1198"/>
      <c r="AG376" s="1198"/>
      <c r="AH376" s="1198"/>
      <c r="AI376" s="1198"/>
      <c r="AJ376" s="1198"/>
      <c r="AK376" s="1198"/>
      <c r="AL376" s="1198"/>
      <c r="AP376" s="1121"/>
    </row>
    <row r="377" spans="1:42" s="1119" customFormat="1" ht="13.15" customHeight="1">
      <c r="A377" s="1116"/>
      <c r="B377" s="467"/>
      <c r="C377" s="467"/>
      <c r="D377" s="485"/>
      <c r="E377" s="1088" t="s">
        <v>1021</v>
      </c>
      <c r="F377" s="2385" t="s">
        <v>238</v>
      </c>
      <c r="G377" s="2846"/>
      <c r="H377" s="2846"/>
      <c r="I377" s="2846"/>
      <c r="J377" s="2846"/>
      <c r="K377" s="2846"/>
      <c r="L377" s="2846"/>
      <c r="M377" s="2846"/>
      <c r="N377" s="2846"/>
      <c r="O377" s="481"/>
      <c r="P377" s="485"/>
      <c r="Q377" s="1249"/>
      <c r="R377" s="1198"/>
      <c r="S377" s="1198"/>
      <c r="T377" s="1198"/>
      <c r="U377" s="1198"/>
      <c r="V377" s="1198"/>
      <c r="W377" s="1198"/>
      <c r="X377" s="1198"/>
      <c r="Y377" s="1249"/>
      <c r="Z377" s="1249"/>
      <c r="AA377" s="1249"/>
      <c r="AB377" s="1249"/>
      <c r="AC377" s="1198"/>
      <c r="AD377" s="1198"/>
      <c r="AE377" s="1198"/>
      <c r="AF377" s="1198"/>
      <c r="AG377" s="1198"/>
      <c r="AH377" s="1198"/>
      <c r="AI377" s="1198"/>
      <c r="AJ377" s="1198"/>
      <c r="AK377" s="1198"/>
      <c r="AL377" s="1198"/>
      <c r="AP377" s="1121"/>
    </row>
    <row r="378" spans="1:42" s="1119" customFormat="1" ht="12.75" customHeight="1">
      <c r="A378" s="1116"/>
      <c r="B378" s="467"/>
      <c r="C378" s="467"/>
      <c r="D378" s="485"/>
      <c r="E378" s="1088" t="s">
        <v>1021</v>
      </c>
      <c r="F378" s="2385" t="s">
        <v>1375</v>
      </c>
      <c r="G378" s="2385"/>
      <c r="H378" s="2385"/>
      <c r="I378" s="2385"/>
      <c r="J378" s="2385"/>
      <c r="K378" s="2385"/>
      <c r="L378" s="2385"/>
      <c r="M378" s="2385"/>
      <c r="N378" s="2385"/>
      <c r="O378" s="481"/>
      <c r="P378" s="485"/>
      <c r="Q378" s="1249"/>
      <c r="R378" s="1198"/>
      <c r="S378" s="1198"/>
      <c r="T378" s="1198"/>
      <c r="U378" s="1198"/>
      <c r="V378" s="1198"/>
      <c r="W378" s="1198"/>
      <c r="X378" s="1198"/>
      <c r="Y378" s="1249"/>
      <c r="Z378" s="1249"/>
      <c r="AA378" s="1249"/>
      <c r="AB378" s="1249"/>
      <c r="AC378" s="1198"/>
      <c r="AD378" s="1198"/>
      <c r="AE378" s="1198"/>
      <c r="AF378" s="1198"/>
      <c r="AG378" s="1198"/>
      <c r="AH378" s="1198"/>
      <c r="AI378" s="1198"/>
      <c r="AJ378" s="1198"/>
      <c r="AK378" s="1198"/>
      <c r="AL378" s="1198"/>
      <c r="AP378" s="1121"/>
    </row>
    <row r="379" spans="1:42" s="1119" customFormat="1" ht="5.0999999999999996" customHeight="1">
      <c r="A379" s="1116"/>
      <c r="B379" s="467"/>
      <c r="C379" s="467"/>
      <c r="D379" s="467"/>
      <c r="E379" s="467"/>
      <c r="F379" s="467"/>
      <c r="G379" s="467"/>
      <c r="H379" s="467"/>
      <c r="I379" s="467"/>
      <c r="J379" s="467"/>
      <c r="K379" s="467"/>
      <c r="L379" s="467"/>
      <c r="M379" s="481"/>
      <c r="N379" s="481"/>
      <c r="O379" s="481"/>
      <c r="P379" s="485"/>
      <c r="Q379" s="1249"/>
      <c r="R379" s="1198"/>
      <c r="S379" s="1198"/>
      <c r="T379" s="1198"/>
      <c r="U379" s="1198"/>
      <c r="V379" s="1198"/>
      <c r="W379" s="1198"/>
      <c r="X379" s="1198"/>
      <c r="Y379" s="1249"/>
      <c r="Z379" s="1249"/>
      <c r="AA379" s="1249"/>
      <c r="AB379" s="1249"/>
      <c r="AC379" s="1198"/>
      <c r="AD379" s="1198"/>
      <c r="AE379" s="1198"/>
      <c r="AF379" s="1198"/>
      <c r="AG379" s="1198"/>
      <c r="AH379" s="1198"/>
      <c r="AI379" s="1198"/>
      <c r="AJ379" s="1198"/>
      <c r="AK379" s="1198"/>
      <c r="AL379" s="1198"/>
      <c r="AP379" s="1121"/>
    </row>
    <row r="380" spans="1:42" s="1119" customFormat="1" ht="15">
      <c r="A380" s="1116"/>
      <c r="B380" s="467"/>
      <c r="C380" s="467"/>
      <c r="D380" s="482" t="s">
        <v>400</v>
      </c>
      <c r="E380" s="2373" t="s">
        <v>96</v>
      </c>
      <c r="F380" s="2373"/>
      <c r="G380" s="2373"/>
      <c r="H380" s="2373"/>
      <c r="I380" s="2373"/>
      <c r="J380" s="2373"/>
      <c r="K380" s="2604"/>
      <c r="L380" s="3419" t="str">
        <f>IF(CNTR_ExistSubInstEntries,IF(COUNTIF(CNTR_SubInstListNames,INDEX(EUconst_BMlistNames,R380))&gt;0,EUconst_Relevant,EUconst_NotRelevant),"")</f>
        <v/>
      </c>
      <c r="M380" s="3420"/>
      <c r="N380" s="3421"/>
      <c r="O380" s="481"/>
      <c r="P380" s="485"/>
      <c r="Q380" s="1893" t="s">
        <v>117</v>
      </c>
      <c r="R380" s="2002">
        <v>47</v>
      </c>
      <c r="S380" s="1633" t="s">
        <v>558</v>
      </c>
      <c r="T380" s="1634">
        <f>SUMIF(CNTR_SubInstListBMnumbers,$R380,CNTR_SubInstStartDate)</f>
        <v>0</v>
      </c>
      <c r="U380" s="1435" t="s">
        <v>1673</v>
      </c>
      <c r="V380" s="1635">
        <f>IF(SUM(T380)=0,2005,YEAR($X380))</f>
        <v>2005</v>
      </c>
      <c r="W380" s="1633" t="s">
        <v>1676</v>
      </c>
      <c r="X380" s="1634">
        <f>SUMIF(CNTR_SubInstListBMnumbers,$R380,CNTR_SubInstCessationDate)</f>
        <v>0</v>
      </c>
      <c r="Y380" s="1633" t="s">
        <v>1677</v>
      </c>
      <c r="Z380" s="1635">
        <f>IF(SUM(X380)=0,2050,YEAR($X380))</f>
        <v>2050</v>
      </c>
      <c r="AA380" s="1633" t="s">
        <v>1925</v>
      </c>
      <c r="AB380" s="1635" t="b">
        <f>CNTR_ReportingYear&gt;V380</f>
        <v>1</v>
      </c>
      <c r="AC380" s="1198"/>
      <c r="AD380" s="1198"/>
      <c r="AE380" s="1198"/>
      <c r="AF380" s="1198"/>
      <c r="AG380" s="1198"/>
      <c r="AH380" s="1198"/>
      <c r="AI380" s="1198"/>
      <c r="AJ380" s="1198"/>
      <c r="AK380" s="1198"/>
      <c r="AL380" s="1198"/>
      <c r="AP380" s="1121"/>
    </row>
    <row r="381" spans="1:42" s="1119" customFormat="1" ht="13.15" customHeight="1">
      <c r="A381" s="1116"/>
      <c r="B381" s="467"/>
      <c r="C381" s="467"/>
      <c r="D381" s="485"/>
      <c r="E381" s="3203" t="s">
        <v>300</v>
      </c>
      <c r="F381" s="3204"/>
      <c r="G381" s="3204"/>
      <c r="H381" s="3204"/>
      <c r="I381" s="3204"/>
      <c r="J381" s="3204"/>
      <c r="K381" s="3204"/>
      <c r="L381" s="3204"/>
      <c r="M381" s="3204"/>
      <c r="N381" s="3204"/>
      <c r="O381" s="481"/>
      <c r="P381" s="485"/>
      <c r="Q381" s="1249"/>
      <c r="R381" s="1198"/>
      <c r="S381" s="1198"/>
      <c r="T381" s="1198"/>
      <c r="U381" s="1198"/>
      <c r="V381" s="1198"/>
      <c r="W381" s="1198"/>
      <c r="X381" s="1198"/>
      <c r="Y381" s="1249"/>
      <c r="Z381" s="1249"/>
      <c r="AA381" s="1249"/>
      <c r="AB381" s="1249"/>
      <c r="AC381" s="1198"/>
      <c r="AD381" s="1198"/>
      <c r="AE381" s="1198"/>
      <c r="AF381" s="1198"/>
      <c r="AG381" s="1198"/>
      <c r="AH381" s="1198"/>
      <c r="AI381" s="1198"/>
      <c r="AJ381" s="1198"/>
      <c r="AK381" s="1198"/>
      <c r="AL381" s="1198"/>
      <c r="AP381" s="1121"/>
    </row>
    <row r="382" spans="1:42" s="1119" customFormat="1">
      <c r="A382" s="1116"/>
      <c r="B382" s="467"/>
      <c r="C382" s="467"/>
      <c r="D382" s="467"/>
      <c r="E382" s="2782" t="str">
        <f>IF(L380=EUconst_Relevant,HYPERLINK(R382,EUconst_MsgBackToSheetF),"")</f>
        <v/>
      </c>
      <c r="F382" s="2783"/>
      <c r="G382" s="2783"/>
      <c r="H382" s="2783"/>
      <c r="I382" s="2783"/>
      <c r="J382" s="2783"/>
      <c r="K382" s="2783"/>
      <c r="L382" s="2783"/>
      <c r="M382" s="2783"/>
      <c r="N382" s="2784"/>
      <c r="O382" s="481"/>
      <c r="P382" s="485"/>
      <c r="Q382" s="1893" t="s">
        <v>116</v>
      </c>
      <c r="R382" s="1443" t="str">
        <f>IF(ISNUMBER(MATCH(R380,CNTR_SubInstListBMnumbers,0)),"#JUMP_F"&amp;MATCH(R380,CNTR_SubInstListBMnumbers,0),"")</f>
        <v/>
      </c>
      <c r="S382" s="1198"/>
      <c r="T382" s="1198"/>
      <c r="U382" s="1198"/>
      <c r="V382" s="1198"/>
      <c r="W382" s="1198"/>
      <c r="X382" s="1198"/>
      <c r="Y382" s="1249"/>
      <c r="Z382" s="1249"/>
      <c r="AA382" s="1249"/>
      <c r="AB382" s="1249"/>
      <c r="AC382" s="1198"/>
      <c r="AD382" s="1198"/>
      <c r="AE382" s="1198"/>
      <c r="AF382" s="1198"/>
      <c r="AG382" s="1198"/>
      <c r="AH382" s="1198"/>
      <c r="AI382" s="1198"/>
      <c r="AJ382" s="1198"/>
      <c r="AK382" s="1198"/>
      <c r="AL382" s="1198"/>
      <c r="AP382" s="1121"/>
    </row>
    <row r="383" spans="1:42" s="1119" customFormat="1" ht="5.0999999999999996" customHeight="1">
      <c r="A383" s="1116"/>
      <c r="B383" s="467"/>
      <c r="C383" s="467"/>
      <c r="D383" s="467"/>
      <c r="E383" s="467"/>
      <c r="F383" s="467"/>
      <c r="G383" s="467"/>
      <c r="H383" s="467"/>
      <c r="I383" s="467"/>
      <c r="J383" s="467"/>
      <c r="K383" s="467"/>
      <c r="L383" s="467"/>
      <c r="M383" s="481"/>
      <c r="N383" s="481"/>
      <c r="O383" s="481"/>
      <c r="P383" s="485"/>
      <c r="Q383" s="1249"/>
      <c r="R383" s="1198"/>
      <c r="S383" s="1198"/>
      <c r="T383" s="1198"/>
      <c r="U383" s="1198"/>
      <c r="V383" s="1198"/>
      <c r="W383" s="1198"/>
      <c r="X383" s="1198"/>
      <c r="Y383" s="1249"/>
      <c r="Z383" s="1249"/>
      <c r="AA383" s="1249"/>
      <c r="AB383" s="1249"/>
      <c r="AC383" s="1198"/>
      <c r="AD383" s="1198"/>
      <c r="AE383" s="1198"/>
      <c r="AF383" s="1198"/>
      <c r="AG383" s="1198"/>
      <c r="AH383" s="1198"/>
      <c r="AI383" s="1198"/>
      <c r="AJ383" s="1198"/>
      <c r="AK383" s="1198"/>
      <c r="AL383" s="1198"/>
      <c r="AP383" s="1121"/>
    </row>
    <row r="384" spans="1:42" s="1119" customFormat="1">
      <c r="A384" s="1116"/>
      <c r="B384" s="1124"/>
      <c r="C384" s="485"/>
      <c r="D384" s="482" t="s">
        <v>876</v>
      </c>
      <c r="E384" s="2373" t="s">
        <v>944</v>
      </c>
      <c r="F384" s="2400"/>
      <c r="G384" s="2400"/>
      <c r="H384" s="2400"/>
      <c r="I384" s="2400"/>
      <c r="J384" s="2400"/>
      <c r="K384" s="2400"/>
      <c r="L384" s="2400"/>
      <c r="M384" s="2400"/>
      <c r="N384" s="2400"/>
      <c r="O384" s="481"/>
      <c r="P384" s="485"/>
      <c r="Q384" s="1198"/>
      <c r="R384" s="1198"/>
      <c r="S384" s="1198"/>
      <c r="T384" s="1198"/>
      <c r="U384" s="1198"/>
      <c r="V384" s="1198"/>
      <c r="W384" s="1198"/>
      <c r="X384" s="1198"/>
      <c r="Y384" s="1198"/>
      <c r="Z384" s="1198"/>
      <c r="AA384" s="1249"/>
      <c r="AB384" s="1249"/>
      <c r="AC384" s="1198"/>
      <c r="AD384" s="1198"/>
      <c r="AE384" s="1198"/>
      <c r="AF384" s="1198"/>
      <c r="AG384" s="1198"/>
      <c r="AH384" s="1198"/>
      <c r="AI384" s="1198"/>
      <c r="AJ384" s="1198"/>
      <c r="AK384" s="1198"/>
      <c r="AL384" s="1198"/>
      <c r="AP384" s="1121"/>
    </row>
    <row r="385" spans="1:42" s="1119" customFormat="1">
      <c r="A385" s="1116"/>
      <c r="B385" s="467"/>
      <c r="C385" s="467"/>
      <c r="D385" s="485"/>
      <c r="E385" s="2385" t="s">
        <v>553</v>
      </c>
      <c r="F385" s="2846"/>
      <c r="G385" s="2846"/>
      <c r="H385" s="2846"/>
      <c r="I385" s="2846"/>
      <c r="J385" s="2846"/>
      <c r="K385" s="2846"/>
      <c r="L385" s="2846"/>
      <c r="M385" s="2846"/>
      <c r="N385" s="2846"/>
      <c r="O385" s="481"/>
      <c r="P385" s="485"/>
      <c r="Q385" s="1249"/>
      <c r="R385" s="1198"/>
      <c r="S385" s="1198"/>
      <c r="T385" s="1198"/>
      <c r="U385" s="1198"/>
      <c r="V385" s="1198"/>
      <c r="W385" s="1198"/>
      <c r="X385" s="1198"/>
      <c r="Y385" s="1198"/>
      <c r="Z385" s="1198"/>
      <c r="AA385" s="1249"/>
      <c r="AB385" s="1249"/>
      <c r="AC385" s="1249"/>
      <c r="AD385" s="1249"/>
      <c r="AE385" s="1249"/>
      <c r="AF385" s="1249"/>
      <c r="AG385" s="1249"/>
      <c r="AH385" s="1249"/>
      <c r="AI385" s="1249"/>
      <c r="AJ385" s="1198"/>
      <c r="AK385" s="1198"/>
      <c r="AL385" s="1198"/>
      <c r="AP385" s="1121"/>
    </row>
    <row r="386" spans="1:42" s="1119" customFormat="1" ht="13.5" thickBot="1">
      <c r="A386" s="1116"/>
      <c r="B386" s="1124"/>
      <c r="C386" s="485"/>
      <c r="D386" s="482"/>
      <c r="E386" s="927" t="s">
        <v>62</v>
      </c>
      <c r="F386" s="518"/>
      <c r="G386" s="663" t="str">
        <f>EUconst_Unit</f>
        <v>Unit</v>
      </c>
      <c r="H386" s="578">
        <f t="shared" ref="H386:N386" si="73">H$421</f>
        <v>2024</v>
      </c>
      <c r="I386" s="697">
        <f t="shared" si="73"/>
        <v>2025</v>
      </c>
      <c r="J386" s="1489">
        <f t="shared" si="73"/>
        <v>2026</v>
      </c>
      <c r="K386" s="1490">
        <f t="shared" si="73"/>
        <v>2027</v>
      </c>
      <c r="L386" s="1490">
        <f t="shared" si="73"/>
        <v>2028</v>
      </c>
      <c r="M386" s="1490">
        <f t="shared" si="73"/>
        <v>2029</v>
      </c>
      <c r="N386" s="1490">
        <f t="shared" si="73"/>
        <v>2030</v>
      </c>
      <c r="O386" s="481"/>
      <c r="P386" s="485"/>
      <c r="Q386" s="1198"/>
      <c r="R386" s="1198"/>
      <c r="S386" s="1198"/>
      <c r="T386" s="1198"/>
      <c r="U386" s="1198"/>
      <c r="V386" s="1198"/>
      <c r="W386" s="1198"/>
      <c r="X386" s="1198"/>
      <c r="Y386" s="1198"/>
      <c r="Z386" s="1198"/>
      <c r="AA386" s="1249"/>
      <c r="AB386" s="1198"/>
      <c r="AC386" s="2003">
        <f t="shared" ref="AC386:AI386" si="74">H386</f>
        <v>2024</v>
      </c>
      <c r="AD386" s="2003">
        <f t="shared" si="74"/>
        <v>2025</v>
      </c>
      <c r="AE386" s="2003">
        <f t="shared" si="74"/>
        <v>2026</v>
      </c>
      <c r="AF386" s="2003">
        <f t="shared" si="74"/>
        <v>2027</v>
      </c>
      <c r="AG386" s="2003">
        <f t="shared" si="74"/>
        <v>2028</v>
      </c>
      <c r="AH386" s="2003">
        <f t="shared" si="74"/>
        <v>2029</v>
      </c>
      <c r="AI386" s="2003">
        <f t="shared" si="74"/>
        <v>2030</v>
      </c>
      <c r="AJ386" s="1198"/>
      <c r="AK386" s="1198"/>
      <c r="AL386" s="1198"/>
      <c r="AP386" s="1121"/>
    </row>
    <row r="387" spans="1:42" s="1119" customFormat="1" ht="12.75" customHeight="1">
      <c r="A387" s="1116"/>
      <c r="B387" s="1124"/>
      <c r="C387" s="485"/>
      <c r="D387" s="485"/>
      <c r="E387" s="863" t="s">
        <v>63</v>
      </c>
      <c r="F387" s="863"/>
      <c r="G387" s="579" t="str">
        <f>EUconst_tCO2pa</f>
        <v>t CO2 / year</v>
      </c>
      <c r="H387" s="2016" t="str">
        <f>c_ALR2025!M7054</f>
        <v/>
      </c>
      <c r="I387" s="1987"/>
      <c r="J387" s="1491"/>
      <c r="K387" s="1492"/>
      <c r="L387" s="1492"/>
      <c r="M387" s="1492"/>
      <c r="N387" s="1492"/>
      <c r="O387" s="481"/>
      <c r="P387" s="485"/>
      <c r="Q387" s="1963" t="str">
        <f>EUconst_CNTR_Emissions &amp; INDEX(EUconst_BMlistNames,R380)</f>
        <v>DirEmissions_Vinyl chloride monomer</v>
      </c>
      <c r="R387" s="1198"/>
      <c r="S387" s="1198"/>
      <c r="T387" s="1198"/>
      <c r="U387" s="1198"/>
      <c r="V387" s="1198"/>
      <c r="W387" s="1198"/>
      <c r="X387" s="1198"/>
      <c r="Y387" s="1198"/>
      <c r="Z387" s="1198"/>
      <c r="AA387" s="1249"/>
      <c r="AB387" s="1641" t="s">
        <v>717</v>
      </c>
      <c r="AC387" s="2041" t="b">
        <f t="shared" ref="AC387:AI387" si="75">IF(CNTR_ExistSubInstEntries,IF($L380=EUconst_Relevant,AC386&gt;=CNTR_ReportingYear,TRUE),FALSE)</f>
        <v>0</v>
      </c>
      <c r="AD387" s="1731" t="b">
        <f t="shared" si="75"/>
        <v>0</v>
      </c>
      <c r="AE387" s="1731" t="b">
        <f t="shared" si="75"/>
        <v>0</v>
      </c>
      <c r="AF387" s="1731" t="b">
        <f t="shared" si="75"/>
        <v>0</v>
      </c>
      <c r="AG387" s="1731" t="b">
        <f t="shared" si="75"/>
        <v>0</v>
      </c>
      <c r="AH387" s="1731" t="b">
        <f t="shared" si="75"/>
        <v>0</v>
      </c>
      <c r="AI387" s="2008" t="b">
        <f t="shared" si="75"/>
        <v>0</v>
      </c>
      <c r="AJ387" s="1198"/>
      <c r="AK387" s="1198"/>
      <c r="AL387" s="1198"/>
      <c r="AP387" s="1121"/>
    </row>
    <row r="388" spans="1:42" s="1119" customFormat="1" ht="12.75" customHeight="1">
      <c r="A388" s="1116"/>
      <c r="B388" s="1124"/>
      <c r="C388" s="485"/>
      <c r="D388" s="485"/>
      <c r="E388" s="865" t="s">
        <v>555</v>
      </c>
      <c r="F388" s="865"/>
      <c r="G388" s="582" t="str">
        <f>EUconst_TJpa</f>
        <v>TJ / year</v>
      </c>
      <c r="H388" s="674" t="str">
        <f>IF($L380=EUconst_Relevant,INDEX(F_ProductBM!H:H,MATCH($Q388,F_ProductBM!$Q:$Q,0)),"")</f>
        <v/>
      </c>
      <c r="I388" s="1115" t="str">
        <f>IF($L380=EUconst_Relevant,INDEX(F_ProductBM!I:I,MATCH($Q388,F_ProductBM!$Q:$Q,0)),"")</f>
        <v/>
      </c>
      <c r="J388" s="1491" t="str">
        <f>IF($L380=EUconst_Relevant,INDEX(F_ProductBM!J:J,MATCH($Q388,F_ProductBM!$Q:$Q,0)),"")</f>
        <v/>
      </c>
      <c r="K388" s="1492" t="str">
        <f>IF($L380=EUconst_Relevant,INDEX(F_ProductBM!K:K,MATCH($Q388,F_ProductBM!$Q:$Q,0)),"")</f>
        <v/>
      </c>
      <c r="L388" s="1492" t="str">
        <f>IF($L380=EUconst_Relevant,INDEX(F_ProductBM!L:L,MATCH($Q388,F_ProductBM!$Q:$Q,0)),"")</f>
        <v/>
      </c>
      <c r="M388" s="1492" t="str">
        <f>IF($L380=EUconst_Relevant,INDEX(F_ProductBM!M:M,MATCH($Q388,F_ProductBM!$Q:$Q,0)),"")</f>
        <v/>
      </c>
      <c r="N388" s="1492" t="str">
        <f>IF($L380=EUconst_Relevant,INDEX(F_ProductBM!N:N,MATCH($Q388,F_ProductBM!$Q:$Q,0)),"")</f>
        <v/>
      </c>
      <c r="O388" s="481"/>
      <c r="P388" s="485"/>
      <c r="Q388" s="1963" t="str">
        <f>EUconst_CNTR_HeatImport&amp;INDEX(EUconst_BMlistNames,R380)</f>
        <v>HeatIm_Vinyl chloride monomer</v>
      </c>
      <c r="R388" s="1198"/>
      <c r="S388" s="1198" t="s">
        <v>202</v>
      </c>
      <c r="T388" s="1198"/>
      <c r="U388" s="1198"/>
      <c r="V388" s="1198"/>
      <c r="W388" s="1198"/>
      <c r="X388" s="1198"/>
      <c r="Y388" s="1249"/>
      <c r="Z388" s="1249"/>
      <c r="AA388" s="1249"/>
      <c r="AB388" s="1249"/>
      <c r="AC388" s="2011" t="b">
        <f t="shared" ref="AC388:AI389" si="76">AC387</f>
        <v>0</v>
      </c>
      <c r="AD388" s="1963" t="b">
        <f t="shared" si="76"/>
        <v>0</v>
      </c>
      <c r="AE388" s="1963" t="b">
        <f t="shared" si="76"/>
        <v>0</v>
      </c>
      <c r="AF388" s="1963" t="b">
        <f t="shared" si="76"/>
        <v>0</v>
      </c>
      <c r="AG388" s="1963" t="b">
        <f t="shared" si="76"/>
        <v>0</v>
      </c>
      <c r="AH388" s="1963" t="b">
        <f t="shared" si="76"/>
        <v>0</v>
      </c>
      <c r="AI388" s="2012" t="b">
        <f t="shared" si="76"/>
        <v>0</v>
      </c>
      <c r="AJ388" s="1198"/>
      <c r="AK388" s="1198"/>
      <c r="AL388" s="1198"/>
      <c r="AP388" s="1121"/>
    </row>
    <row r="389" spans="1:42" s="1119" customFormat="1" ht="12.75" customHeight="1" thickBot="1">
      <c r="A389" s="1116"/>
      <c r="B389" s="1124"/>
      <c r="C389" s="485"/>
      <c r="D389" s="485"/>
      <c r="E389" s="932" t="s">
        <v>554</v>
      </c>
      <c r="F389" s="932"/>
      <c r="G389" s="584" t="str">
        <f>EUconst_TJpa</f>
        <v>TJ / year</v>
      </c>
      <c r="H389" s="2016" t="str">
        <f>c_ALR2025!M7056</f>
        <v/>
      </c>
      <c r="I389" s="1989"/>
      <c r="J389" s="1491"/>
      <c r="K389" s="1492"/>
      <c r="L389" s="1492"/>
      <c r="M389" s="1492"/>
      <c r="N389" s="1492"/>
      <c r="O389" s="481"/>
      <c r="P389" s="485"/>
      <c r="Q389" s="1198"/>
      <c r="R389" s="1198"/>
      <c r="S389" s="1198"/>
      <c r="T389" s="1198"/>
      <c r="U389" s="1198"/>
      <c r="V389" s="1198"/>
      <c r="W389" s="1198"/>
      <c r="X389" s="1198"/>
      <c r="Y389" s="1249"/>
      <c r="Z389" s="1249"/>
      <c r="AA389" s="1249"/>
      <c r="AB389" s="1249"/>
      <c r="AC389" s="2017" t="b">
        <f t="shared" si="76"/>
        <v>0</v>
      </c>
      <c r="AD389" s="2018" t="b">
        <f t="shared" si="76"/>
        <v>0</v>
      </c>
      <c r="AE389" s="2018" t="b">
        <f t="shared" si="76"/>
        <v>0</v>
      </c>
      <c r="AF389" s="2018" t="b">
        <f t="shared" si="76"/>
        <v>0</v>
      </c>
      <c r="AG389" s="2018" t="b">
        <f t="shared" si="76"/>
        <v>0</v>
      </c>
      <c r="AH389" s="2018" t="b">
        <f t="shared" si="76"/>
        <v>0</v>
      </c>
      <c r="AI389" s="2019" t="b">
        <f t="shared" si="76"/>
        <v>0</v>
      </c>
      <c r="AJ389" s="1198"/>
      <c r="AK389" s="1198"/>
      <c r="AL389" s="1198"/>
      <c r="AP389" s="1121"/>
    </row>
    <row r="390" spans="1:42" s="1119" customFormat="1" ht="13.5" customHeight="1">
      <c r="A390" s="1116"/>
      <c r="B390" s="1124"/>
      <c r="C390" s="485"/>
      <c r="D390" s="485"/>
      <c r="E390" s="863" t="s">
        <v>915</v>
      </c>
      <c r="F390" s="863"/>
      <c r="G390" s="579" t="str">
        <f>EUconst_tCO2pa</f>
        <v>t CO2 / year</v>
      </c>
      <c r="H390" s="1093" t="str">
        <f t="shared" ref="H390:N390" si="77">IF(OR(ISNUMBER(H387),ISNUMBER(H388)),H387+H388*EUconst_HeatBMvalue,"")</f>
        <v/>
      </c>
      <c r="I390" s="1094" t="str">
        <f t="shared" si="77"/>
        <v/>
      </c>
      <c r="J390" s="2020" t="str">
        <f t="shared" si="77"/>
        <v/>
      </c>
      <c r="K390" s="2021" t="str">
        <f t="shared" si="77"/>
        <v/>
      </c>
      <c r="L390" s="2021" t="str">
        <f t="shared" si="77"/>
        <v/>
      </c>
      <c r="M390" s="2021" t="str">
        <f t="shared" si="77"/>
        <v/>
      </c>
      <c r="N390" s="2021" t="str">
        <f t="shared" si="77"/>
        <v/>
      </c>
      <c r="O390" s="481"/>
      <c r="P390" s="485"/>
      <c r="Q390" s="1198"/>
      <c r="R390" s="1198"/>
      <c r="S390" s="1198"/>
      <c r="T390" s="1198"/>
      <c r="U390" s="1198"/>
      <c r="V390" s="1198"/>
      <c r="W390" s="1198"/>
      <c r="X390" s="1198"/>
      <c r="Y390" s="1249"/>
      <c r="Z390" s="1249"/>
      <c r="AA390" s="1249"/>
      <c r="AB390" s="1249"/>
      <c r="AC390" s="1249"/>
      <c r="AD390" s="1249"/>
      <c r="AE390" s="1249"/>
      <c r="AF390" s="1249"/>
      <c r="AG390" s="1249"/>
      <c r="AH390" s="1249"/>
      <c r="AI390" s="1249"/>
      <c r="AJ390" s="1198"/>
      <c r="AK390" s="1198"/>
      <c r="AL390" s="1198"/>
      <c r="AP390" s="1121"/>
    </row>
    <row r="391" spans="1:42" s="1119" customFormat="1" ht="13.5" customHeight="1">
      <c r="A391" s="1116"/>
      <c r="B391" s="1124"/>
      <c r="C391" s="485"/>
      <c r="D391" s="485"/>
      <c r="E391" s="932" t="s">
        <v>942</v>
      </c>
      <c r="F391" s="932"/>
      <c r="G391" s="584" t="str">
        <f>EUconst_tCO2pa</f>
        <v>t CO2 / year</v>
      </c>
      <c r="H391" s="1097" t="str">
        <f t="shared" ref="H391:N391" si="78">IF(ISNUMBER(H389),H389*EUconst_HeatBMvalue,"")</f>
        <v/>
      </c>
      <c r="I391" s="1098" t="str">
        <f t="shared" si="78"/>
        <v/>
      </c>
      <c r="J391" s="2020" t="str">
        <f t="shared" si="78"/>
        <v/>
      </c>
      <c r="K391" s="2021" t="str">
        <f t="shared" si="78"/>
        <v/>
      </c>
      <c r="L391" s="2021" t="str">
        <f t="shared" si="78"/>
        <v/>
      </c>
      <c r="M391" s="2021" t="str">
        <f t="shared" si="78"/>
        <v/>
      </c>
      <c r="N391" s="2021" t="str">
        <f t="shared" si="78"/>
        <v/>
      </c>
      <c r="O391" s="481"/>
      <c r="P391" s="485"/>
      <c r="Q391" s="1198"/>
      <c r="R391" s="1198"/>
      <c r="S391" s="1198"/>
      <c r="T391" s="1198"/>
      <c r="U391" s="1198"/>
      <c r="V391" s="1198"/>
      <c r="W391" s="1198"/>
      <c r="X391" s="1198"/>
      <c r="Y391" s="1249"/>
      <c r="Z391" s="1249"/>
      <c r="AA391" s="1249"/>
      <c r="AB391" s="1249"/>
      <c r="AC391" s="1249"/>
      <c r="AD391" s="1249"/>
      <c r="AE391" s="1249"/>
      <c r="AF391" s="1249"/>
      <c r="AG391" s="1249"/>
      <c r="AH391" s="1249"/>
      <c r="AI391" s="1249"/>
      <c r="AJ391" s="1198"/>
      <c r="AK391" s="1198"/>
      <c r="AL391" s="1198"/>
      <c r="AP391" s="1121"/>
    </row>
    <row r="392" spans="1:42" s="1119" customFormat="1" ht="5.0999999999999996" customHeight="1">
      <c r="A392" s="1116"/>
      <c r="B392" s="467"/>
      <c r="C392" s="467"/>
      <c r="D392" s="467"/>
      <c r="E392" s="467"/>
      <c r="F392" s="467"/>
      <c r="G392" s="467"/>
      <c r="H392" s="467"/>
      <c r="I392" s="467"/>
      <c r="J392" s="2039"/>
      <c r="K392" s="1900"/>
      <c r="L392" s="1900"/>
      <c r="M392" s="1900"/>
      <c r="N392" s="1900"/>
      <c r="O392" s="481"/>
      <c r="P392" s="485"/>
      <c r="Q392" s="1249"/>
      <c r="R392" s="1198"/>
      <c r="S392" s="1198"/>
      <c r="T392" s="1198"/>
      <c r="U392" s="1198"/>
      <c r="V392" s="1198"/>
      <c r="W392" s="1198"/>
      <c r="X392" s="1198"/>
      <c r="Y392" s="1249"/>
      <c r="Z392" s="1249"/>
      <c r="AA392" s="1249"/>
      <c r="AB392" s="1249"/>
      <c r="AC392" s="1249"/>
      <c r="AD392" s="1249"/>
      <c r="AE392" s="1249"/>
      <c r="AF392" s="1249"/>
      <c r="AG392" s="1249"/>
      <c r="AH392" s="1249"/>
      <c r="AI392" s="1249"/>
      <c r="AJ392" s="1198"/>
      <c r="AK392" s="1198"/>
      <c r="AL392" s="1198"/>
      <c r="AP392" s="1121"/>
    </row>
    <row r="393" spans="1:42" s="1119" customFormat="1" ht="12.75" customHeight="1">
      <c r="A393" s="1116"/>
      <c r="B393" s="479"/>
      <c r="C393" s="479"/>
      <c r="D393" s="561"/>
      <c r="E393" s="698" t="s">
        <v>1391</v>
      </c>
      <c r="F393" s="938"/>
      <c r="G393" s="939" t="s">
        <v>1021</v>
      </c>
      <c r="H393" s="940">
        <f t="shared" ref="H393:N393" si="79">IF(COUNT(H390:H391)=2,SUM(H390)/SUM(H390:H391),IF($R380=47,IF(H386&gt;CNTR_ReportingYear,"",1),""))</f>
        <v>1</v>
      </c>
      <c r="I393" s="941">
        <f t="shared" si="79"/>
        <v>1</v>
      </c>
      <c r="J393" s="1792">
        <f t="shared" si="79"/>
        <v>1</v>
      </c>
      <c r="K393" s="1793" t="str">
        <f t="shared" si="79"/>
        <v/>
      </c>
      <c r="L393" s="1793" t="str">
        <f t="shared" si="79"/>
        <v/>
      </c>
      <c r="M393" s="1793" t="str">
        <f t="shared" si="79"/>
        <v/>
      </c>
      <c r="N393" s="1793" t="str">
        <f t="shared" si="79"/>
        <v/>
      </c>
      <c r="O393" s="485"/>
      <c r="P393" s="485"/>
      <c r="Q393" s="1644" t="str">
        <f>EUconst_CNTR_VCM</f>
        <v>VCM_</v>
      </c>
      <c r="R393" s="1198"/>
      <c r="S393" s="1198"/>
      <c r="T393" s="1198"/>
      <c r="U393" s="1198"/>
      <c r="V393" s="1198"/>
      <c r="W393" s="1198"/>
      <c r="X393" s="1198"/>
      <c r="Y393" s="1198"/>
      <c r="Z393" s="1198"/>
      <c r="AA393" s="1198"/>
      <c r="AB393" s="1198"/>
      <c r="AC393" s="1198"/>
      <c r="AD393" s="1198"/>
      <c r="AE393" s="1198"/>
      <c r="AF393" s="1198"/>
      <c r="AG393" s="1198"/>
      <c r="AH393" s="1198"/>
      <c r="AI393" s="1198"/>
      <c r="AJ393" s="1198"/>
      <c r="AK393" s="1198"/>
      <c r="AL393" s="1198"/>
      <c r="AP393" s="1121"/>
    </row>
    <row r="394" spans="1:42" s="1119" customFormat="1" ht="5.0999999999999996" customHeight="1">
      <c r="A394" s="1116"/>
      <c r="B394" s="479"/>
      <c r="C394" s="479"/>
      <c r="D394" s="479"/>
      <c r="E394" s="479"/>
      <c r="F394" s="479"/>
      <c r="G394" s="479"/>
      <c r="H394" s="479"/>
      <c r="I394" s="479"/>
      <c r="J394" s="479"/>
      <c r="K394" s="479"/>
      <c r="L394" s="479"/>
      <c r="M394" s="485"/>
      <c r="N394" s="485"/>
      <c r="O394" s="485"/>
      <c r="P394" s="485"/>
      <c r="Q394" s="1435"/>
      <c r="R394" s="1198"/>
      <c r="S394" s="1198"/>
      <c r="T394" s="1198"/>
      <c r="U394" s="1198"/>
      <c r="V394" s="1198"/>
      <c r="W394" s="1198"/>
      <c r="X394" s="1198"/>
      <c r="Y394" s="1198"/>
      <c r="Z394" s="1198"/>
      <c r="AA394" s="1198"/>
      <c r="AB394" s="1198"/>
      <c r="AC394" s="1198"/>
      <c r="AD394" s="1198"/>
      <c r="AE394" s="1198"/>
      <c r="AF394" s="1198"/>
      <c r="AG394" s="1198"/>
      <c r="AH394" s="1198"/>
      <c r="AI394" s="1198"/>
      <c r="AJ394" s="1198"/>
      <c r="AK394" s="1198"/>
      <c r="AL394" s="1198"/>
      <c r="AP394" s="1121"/>
    </row>
    <row r="395" spans="1:42" s="1119" customFormat="1" ht="25.5" customHeight="1" thickBot="1">
      <c r="A395" s="1116"/>
      <c r="B395" s="479"/>
      <c r="C395" s="479"/>
      <c r="D395" s="485"/>
      <c r="E395" s="2385" t="s">
        <v>2751</v>
      </c>
      <c r="F395" s="2846"/>
      <c r="G395" s="2846"/>
      <c r="H395" s="2846"/>
      <c r="I395" s="2846"/>
      <c r="J395" s="2846"/>
      <c r="K395" s="2846"/>
      <c r="L395" s="2846"/>
      <c r="M395" s="2846"/>
      <c r="N395" s="2846"/>
      <c r="O395" s="485"/>
      <c r="P395" s="485"/>
      <c r="Q395" s="1435"/>
      <c r="R395" s="1198"/>
      <c r="S395" s="1435"/>
      <c r="T395" s="1435"/>
      <c r="U395" s="1435"/>
      <c r="V395" s="1198"/>
      <c r="W395" s="1198"/>
      <c r="X395" s="1198"/>
      <c r="Y395" s="1198"/>
      <c r="Z395" s="1198"/>
      <c r="AA395" s="1198"/>
      <c r="AB395" s="1198"/>
      <c r="AC395" s="1198"/>
      <c r="AD395" s="1198"/>
      <c r="AE395" s="1198"/>
      <c r="AF395" s="1198"/>
      <c r="AG395" s="1198"/>
      <c r="AH395" s="1198"/>
      <c r="AI395" s="1198"/>
      <c r="AJ395" s="1198"/>
      <c r="AK395" s="1198"/>
      <c r="AL395" s="1198"/>
      <c r="AP395" s="1121"/>
    </row>
    <row r="396" spans="1:42" s="1119" customFormat="1" ht="5.0999999999999996" customHeight="1" thickBot="1">
      <c r="A396" s="1116"/>
      <c r="B396" s="479"/>
      <c r="C396" s="479"/>
      <c r="D396" s="902"/>
      <c r="E396" s="904"/>
      <c r="F396" s="953"/>
      <c r="G396" s="953"/>
      <c r="H396" s="953"/>
      <c r="I396" s="953"/>
      <c r="J396" s="954"/>
      <c r="K396" s="1798"/>
      <c r="L396" s="1798"/>
      <c r="M396" s="1798"/>
      <c r="N396" s="1798"/>
      <c r="O396" s="485"/>
      <c r="P396" s="485"/>
      <c r="Q396" s="1435"/>
      <c r="R396" s="1198"/>
      <c r="S396" s="1435"/>
      <c r="T396" s="1435"/>
      <c r="U396" s="1435"/>
      <c r="V396" s="1198"/>
      <c r="W396" s="1198"/>
      <c r="X396" s="1198"/>
      <c r="Y396" s="1198"/>
      <c r="Z396" s="1198"/>
      <c r="AA396" s="1198"/>
      <c r="AB396" s="1198"/>
      <c r="AC396" s="1198"/>
      <c r="AD396" s="1198"/>
      <c r="AE396" s="1198"/>
      <c r="AF396" s="1198"/>
      <c r="AG396" s="1198"/>
      <c r="AH396" s="1198"/>
      <c r="AI396" s="1198"/>
      <c r="AJ396" s="1198"/>
      <c r="AK396" s="1198"/>
      <c r="AL396" s="1198"/>
      <c r="AP396" s="1121"/>
    </row>
    <row r="397" spans="1:42" s="1119" customFormat="1" ht="12.75" customHeight="1">
      <c r="A397" s="1116"/>
      <c r="B397" s="479"/>
      <c r="C397" s="479"/>
      <c r="D397" s="918"/>
      <c r="E397" s="2785" t="s">
        <v>1690</v>
      </c>
      <c r="F397" s="2785"/>
      <c r="G397" s="2785"/>
      <c r="H397" s="910" t="str">
        <f>EUconst_Unit</f>
        <v>Unit</v>
      </c>
      <c r="I397" s="911" t="s">
        <v>2227</v>
      </c>
      <c r="J397" s="2025">
        <f>J$421</f>
        <v>2026</v>
      </c>
      <c r="K397" s="1490">
        <f>K$421</f>
        <v>2027</v>
      </c>
      <c r="L397" s="1490">
        <f>L$421</f>
        <v>2028</v>
      </c>
      <c r="M397" s="1490">
        <f>M$421</f>
        <v>2029</v>
      </c>
      <c r="N397" s="1490">
        <f>N$421</f>
        <v>2030</v>
      </c>
      <c r="O397" s="485"/>
      <c r="P397" s="485"/>
      <c r="Q397" s="1435"/>
      <c r="R397" s="1198"/>
      <c r="S397" s="1198"/>
      <c r="T397" s="1198"/>
      <c r="U397" s="1648"/>
      <c r="V397" s="1649">
        <f>J397</f>
        <v>2026</v>
      </c>
      <c r="W397" s="1649">
        <f>K397</f>
        <v>2027</v>
      </c>
      <c r="X397" s="1649">
        <f>L397</f>
        <v>2028</v>
      </c>
      <c r="Y397" s="1649">
        <f>M397</f>
        <v>2029</v>
      </c>
      <c r="Z397" s="1650">
        <f>N397</f>
        <v>2030</v>
      </c>
      <c r="AA397" s="1198"/>
      <c r="AB397" s="1198"/>
      <c r="AC397" s="1198"/>
      <c r="AD397" s="1198"/>
      <c r="AE397" s="1198"/>
      <c r="AF397" s="1198"/>
      <c r="AG397" s="1198"/>
      <c r="AH397" s="1198"/>
      <c r="AI397" s="1198"/>
      <c r="AJ397" s="1198"/>
      <c r="AK397" s="1198"/>
      <c r="AL397" s="1198"/>
      <c r="AP397" s="1121"/>
    </row>
    <row r="398" spans="1:42" s="1119" customFormat="1" ht="12.75" customHeight="1">
      <c r="A398" s="1116"/>
      <c r="B398" s="479"/>
      <c r="C398" s="479"/>
      <c r="D398" s="915"/>
      <c r="E398" s="2714" t="s">
        <v>1691</v>
      </c>
      <c r="F398" s="2410"/>
      <c r="G398" s="2410"/>
      <c r="H398" s="944" t="str">
        <f>G393</f>
        <v>-</v>
      </c>
      <c r="I398" s="945" t="str">
        <f>IF(ISNUMBER(INDEX('B+C_SubInstallations'!$N:$N,MATCH(Q398,'B+C_SubInstallations'!$Y:$Y,0))),INDEX('B+C_SubInstallations'!$N:$N,MATCH(Q398,'B+C_SubInstallations'!$Y:$Y,0)),"")</f>
        <v/>
      </c>
      <c r="J398" s="1691" t="str">
        <f>IF($L380&lt;&gt;EUconst_Relevant,"",IF(AND(V398&gt;=3,CNTR_ReportingYear&gt;J397-1),AVERAGE(SUM(H393),SUM(I393)),""))</f>
        <v/>
      </c>
      <c r="K398" s="1794" t="str">
        <f>IF($L380&lt;&gt;EUconst_Relevant,"",IF(AND(W398&gt;=3,CNTR_ReportingYear&gt;K397-1),AVERAGE(SUM(I393),SUM(J393)),""))</f>
        <v/>
      </c>
      <c r="L398" s="1794" t="str">
        <f>IF($L380&lt;&gt;EUconst_Relevant,"",IF(AND(X398&gt;=3,CNTR_ReportingYear&gt;L397-1),AVERAGE(SUM(J393),SUM(K393)),""))</f>
        <v/>
      </c>
      <c r="M398" s="1794" t="str">
        <f>IF($L380&lt;&gt;EUconst_Relevant,"",IF(AND(Y398&gt;=3,CNTR_ReportingYear&gt;M397-1),AVERAGE(SUM(K393),SUM(L393)),""))</f>
        <v/>
      </c>
      <c r="N398" s="1794" t="str">
        <f>IF($L380&lt;&gt;EUconst_Relevant,"",IF(AND(Z398&gt;=3,CNTR_ReportingYear&gt;N397-1),AVERAGE(SUM(L393),SUM(M393)),""))</f>
        <v/>
      </c>
      <c r="O398" s="485"/>
      <c r="P398" s="485"/>
      <c r="Q398" s="1443" t="str">
        <f>EUconst_CNTR_VCMInitial &amp; INDEX(EUconst_BMlistNames,R380)</f>
        <v>VCMIni_Vinyl chloride monomer</v>
      </c>
      <c r="R398" s="1198"/>
      <c r="S398" s="1198"/>
      <c r="T398" s="1198"/>
      <c r="U398" s="1693" t="s">
        <v>1650</v>
      </c>
      <c r="V398" s="1635">
        <f>IF($L380&lt;&gt;EUconst_Relevant,0,V397-$V380+1)</f>
        <v>0</v>
      </c>
      <c r="W398" s="1635">
        <f>IF($L380&lt;&gt;EUconst_Relevant,0,W397-$V380+1)</f>
        <v>0</v>
      </c>
      <c r="X398" s="1635">
        <f>IF($L380&lt;&gt;EUconst_Relevant,0,X397-$V380+1)</f>
        <v>0</v>
      </c>
      <c r="Y398" s="1635">
        <f>IF($L380&lt;&gt;EUconst_Relevant,0,Y397-$V380+1)</f>
        <v>0</v>
      </c>
      <c r="Z398" s="1654">
        <f>IF($L380&lt;&gt;EUconst_Relevant,0,Z397-$V380+1)</f>
        <v>0</v>
      </c>
      <c r="AA398" s="1198"/>
      <c r="AB398" s="1641" t="s">
        <v>717</v>
      </c>
      <c r="AC398" s="1738"/>
      <c r="AD398" s="2056" t="b">
        <f>OR(AD392,T349&gt;DATE(2018,1,1))</f>
        <v>0</v>
      </c>
      <c r="AE398" s="1198"/>
      <c r="AF398" s="1198"/>
      <c r="AG398" s="1198"/>
      <c r="AH398" s="1198"/>
      <c r="AI398" s="1198"/>
      <c r="AJ398" s="1198"/>
      <c r="AK398" s="1198"/>
      <c r="AL398" s="1198"/>
      <c r="AP398" s="1121"/>
    </row>
    <row r="399" spans="1:42" s="1119" customFormat="1" ht="12.75" hidden="1" customHeight="1">
      <c r="A399" s="618" t="s">
        <v>2289</v>
      </c>
      <c r="B399" s="479"/>
      <c r="C399" s="479"/>
      <c r="D399" s="918"/>
      <c r="E399" s="2714" t="s">
        <v>1776</v>
      </c>
      <c r="F399" s="2410"/>
      <c r="G399" s="2410"/>
      <c r="H399" s="921"/>
      <c r="I399" s="1657"/>
      <c r="J399" s="17" t="str">
        <f>IF(J398="","",IF($I401=0,100%,J398/$I401-1))</f>
        <v/>
      </c>
      <c r="K399" s="22" t="str">
        <f>IF(K398="","",IF($I401=0,100%,K398/$I401-1))</f>
        <v/>
      </c>
      <c r="L399" s="22" t="str">
        <f>IF(L398="","",IF($I401=0,100%,L398/$I401-1))</f>
        <v/>
      </c>
      <c r="M399" s="22" t="str">
        <f>IF(M398="","",IF($I401=0,100%,M398/$I401-1))</f>
        <v/>
      </c>
      <c r="N399" s="22" t="str">
        <f>IF(N398="","",IF($I401=0,100%,N398/$I401-1))</f>
        <v/>
      </c>
      <c r="O399" s="485"/>
      <c r="P399" s="485"/>
      <c r="Q399" s="1644" t="str">
        <f>EUconst_CNTR_RelThreshold &amp; Q401</f>
        <v>RelThresh_VCMprelim_</v>
      </c>
      <c r="R399" s="1198"/>
      <c r="S399" s="1198"/>
      <c r="T399" s="1198"/>
      <c r="U399" s="1693" t="s">
        <v>1655</v>
      </c>
      <c r="V399" s="1158" t="str">
        <f>IF(J398="","",ABS(J399)&gt;15%)</f>
        <v/>
      </c>
      <c r="W399" s="1158" t="str">
        <f>IF(K398="","",ABS(K399)&gt;15%)</f>
        <v/>
      </c>
      <c r="X399" s="1158" t="str">
        <f>IF(L398="","",ABS(L399)&gt;15%)</f>
        <v/>
      </c>
      <c r="Y399" s="1158" t="str">
        <f>IF(M398="","",ABS(M399)&gt;15%)</f>
        <v/>
      </c>
      <c r="Z399" s="1656" t="str">
        <f>IF(N398="","",ABS(N399)&gt;15%)</f>
        <v/>
      </c>
      <c r="AA399" s="1198"/>
      <c r="AB399" s="1198"/>
      <c r="AC399" s="1198"/>
      <c r="AD399" s="1198"/>
      <c r="AE399" s="1198"/>
      <c r="AF399" s="1198"/>
      <c r="AG399" s="1198"/>
      <c r="AH399" s="1198"/>
      <c r="AI399" s="1198"/>
      <c r="AJ399" s="1198"/>
      <c r="AK399" s="1198"/>
      <c r="AL399" s="1198"/>
      <c r="AP399" s="1121"/>
    </row>
    <row r="400" spans="1:42" s="1119" customFormat="1" ht="12.75" customHeight="1">
      <c r="A400" s="618"/>
      <c r="B400" s="479"/>
      <c r="C400" s="479"/>
      <c r="D400" s="918"/>
      <c r="E400" s="2714" t="s">
        <v>1654</v>
      </c>
      <c r="F400" s="2410"/>
      <c r="G400" s="2410"/>
      <c r="H400" s="2410"/>
      <c r="I400" s="2715"/>
      <c r="J400" s="1658" t="str">
        <f>IF(J398="","",IF(V399=FALSE,0%,J399))</f>
        <v/>
      </c>
      <c r="K400" s="1795" t="str">
        <f>IF(K398="","",IF(W399=FALSE,0%,K399))</f>
        <v/>
      </c>
      <c r="L400" s="1795" t="str">
        <f>IF(L398="","",IF(X399=FALSE,0%,L399))</f>
        <v/>
      </c>
      <c r="M400" s="1795" t="str">
        <f>IF(M398="","",IF(Y399=FALSE,0%,M399))</f>
        <v/>
      </c>
      <c r="N400" s="1795" t="str">
        <f>IF(N398="","",IF(Z399=FALSE,0%,N399))</f>
        <v/>
      </c>
      <c r="O400" s="485"/>
      <c r="P400" s="485"/>
      <c r="Q400" s="1435"/>
      <c r="R400" s="1198"/>
      <c r="S400" s="1198"/>
      <c r="T400" s="1198"/>
      <c r="U400" s="1694"/>
      <c r="V400" s="1198"/>
      <c r="W400" s="1198"/>
      <c r="X400" s="1198"/>
      <c r="Y400" s="1198"/>
      <c r="Z400" s="1664"/>
      <c r="AA400" s="1198"/>
      <c r="AB400" s="1198"/>
      <c r="AC400" s="1198"/>
      <c r="AD400" s="1198"/>
      <c r="AE400" s="1198"/>
      <c r="AF400" s="1198"/>
      <c r="AG400" s="1198"/>
      <c r="AH400" s="1198"/>
      <c r="AI400" s="1198"/>
      <c r="AJ400" s="1198"/>
      <c r="AK400" s="1198"/>
      <c r="AL400" s="1198"/>
      <c r="AP400" s="1121"/>
    </row>
    <row r="401" spans="1:42" s="1119" customFormat="1" ht="12.75" hidden="1" customHeight="1">
      <c r="A401" s="618" t="s">
        <v>2289</v>
      </c>
      <c r="B401" s="479"/>
      <c r="C401" s="479"/>
      <c r="D401" s="918"/>
      <c r="E401" s="2714" t="s">
        <v>1689</v>
      </c>
      <c r="F401" s="2410"/>
      <c r="G401" s="2410"/>
      <c r="H401" s="944" t="str">
        <f>H398</f>
        <v>-</v>
      </c>
      <c r="I401" s="945" t="str">
        <f>IF($L380&lt;&gt;EUconst_Relevant,"",IF(AB380=FALSE,EUconst_NA,IF(V349&gt;2018,INDEX(H393:N393,MATCH(V349,H386:N386,0)),SUM(I398))))</f>
        <v/>
      </c>
      <c r="J401" s="1695" t="str">
        <f>IF($L380&lt;&gt;EUconst_Relevant,"",IF(V398&lt;2,SUM(J393),IF(V398&lt;3,SUM(I393),IF(V401="",I401,V401))))</f>
        <v/>
      </c>
      <c r="K401" s="1794" t="str">
        <f>IF($L380&lt;&gt;EUconst_Relevant,"",IF(W398&lt;2,SUM(K393),IF(W398&lt;3,SUM(J393),IF(W401="",J401,W401))))</f>
        <v/>
      </c>
      <c r="L401" s="1794" t="str">
        <f>IF($L380&lt;&gt;EUconst_Relevant,"",IF(X398&lt;2,SUM(L393),IF(X398&lt;3,SUM(K393),IF(X401="",K401,X401))))</f>
        <v/>
      </c>
      <c r="M401" s="1794" t="str">
        <f>IF($L380&lt;&gt;EUconst_Relevant,"",IF(Y398&lt;2,SUM(M393),IF(Y398&lt;3,SUM(L393),IF(Y401="",L401,Y401))))</f>
        <v/>
      </c>
      <c r="N401" s="1794" t="str">
        <f>IF($L380&lt;&gt;EUconst_Relevant,"",IF(Z398&lt;2,SUM(N393),IF(Z398&lt;3,SUM(M393),IF(Z401="",M401,Z401))))</f>
        <v/>
      </c>
      <c r="O401" s="485"/>
      <c r="P401" s="485"/>
      <c r="Q401" s="1644" t="str">
        <f>EUconst_CNTR_VCMprelim &amp; I349</f>
        <v>VCMprelim_</v>
      </c>
      <c r="R401" s="1198"/>
      <c r="S401" s="1198"/>
      <c r="T401" s="1198"/>
      <c r="U401" s="1693" t="s">
        <v>1697</v>
      </c>
      <c r="V401" s="1696" t="str">
        <f>IF(J398="","",IF(CNTR_ReportingYear&lt;J397,I400,IF($I401=0,J398,$I401*(1+J400))))</f>
        <v/>
      </c>
      <c r="W401" s="1696" t="str">
        <f>IF(K398="","",IF(CNTR_ReportingYear&lt;K397,J400,IF($I401=0,K398,$I401*(1+K400))))</f>
        <v/>
      </c>
      <c r="X401" s="1696" t="str">
        <f>IF(L398="","",IF(CNTR_ReportingYear&lt;L397,K400,IF($I401=0,L398,$I401*(1+L400))))</f>
        <v/>
      </c>
      <c r="Y401" s="1696" t="str">
        <f>IF(M398="","",IF(CNTR_ReportingYear&lt;M397,L400,IF($I401=0,M398,$I401*(1+M400))))</f>
        <v/>
      </c>
      <c r="Z401" s="1697" t="str">
        <f>IF(N398="","",IF(CNTR_ReportingYear&lt;N397,M400,IF($I401=0,N398,$I401*(1+N400))))</f>
        <v/>
      </c>
      <c r="AA401" s="1198"/>
      <c r="AB401" s="1198"/>
      <c r="AC401" s="1198"/>
      <c r="AD401" s="1198"/>
      <c r="AE401" s="1198"/>
      <c r="AF401" s="1198"/>
      <c r="AG401" s="1198"/>
      <c r="AH401" s="1198"/>
      <c r="AI401" s="1198"/>
      <c r="AJ401" s="1435"/>
      <c r="AK401" s="1249"/>
      <c r="AL401" s="1249"/>
      <c r="AP401" s="1121"/>
    </row>
    <row r="402" spans="1:42" s="1119" customFormat="1" ht="5.0999999999999996" customHeight="1">
      <c r="A402" s="618"/>
      <c r="B402" s="479"/>
      <c r="C402" s="479"/>
      <c r="D402" s="918"/>
      <c r="E402" s="909"/>
      <c r="F402" s="909"/>
      <c r="G402" s="909"/>
      <c r="H402" s="909"/>
      <c r="I402" s="909"/>
      <c r="J402" s="922"/>
      <c r="K402" s="1791"/>
      <c r="L402" s="1791"/>
      <c r="M402" s="1791"/>
      <c r="N402" s="1791"/>
      <c r="O402" s="485"/>
      <c r="P402" s="485"/>
      <c r="Q402" s="1435"/>
      <c r="R402" s="1198"/>
      <c r="S402" s="1198"/>
      <c r="T402" s="1198"/>
      <c r="U402" s="1663"/>
      <c r="V402" s="1435"/>
      <c r="W402" s="1198"/>
      <c r="X402" s="1198"/>
      <c r="Y402" s="1198"/>
      <c r="Z402" s="1664"/>
      <c r="AA402" s="1198"/>
      <c r="AB402" s="1198"/>
      <c r="AC402" s="1198"/>
      <c r="AD402" s="1198"/>
      <c r="AE402" s="1198"/>
      <c r="AF402" s="1198"/>
      <c r="AG402" s="1198"/>
      <c r="AH402" s="1198"/>
      <c r="AI402" s="1198"/>
      <c r="AJ402" s="1435"/>
      <c r="AK402" s="1249"/>
      <c r="AL402" s="1249"/>
      <c r="AP402" s="1121"/>
    </row>
    <row r="403" spans="1:42" s="1119" customFormat="1" ht="12.75" customHeight="1">
      <c r="A403" s="618"/>
      <c r="B403" s="479"/>
      <c r="C403" s="479"/>
      <c r="D403" s="918"/>
      <c r="E403" s="923" t="s">
        <v>1653</v>
      </c>
      <c r="F403" s="923"/>
      <c r="G403" s="923"/>
      <c r="H403" s="923"/>
      <c r="I403" s="923"/>
      <c r="J403" s="2025">
        <f>J$421</f>
        <v>2026</v>
      </c>
      <c r="K403" s="1490">
        <f>K$421</f>
        <v>2027</v>
      </c>
      <c r="L403" s="1490">
        <f>L$421</f>
        <v>2028</v>
      </c>
      <c r="M403" s="1490">
        <f>M$421</f>
        <v>2029</v>
      </c>
      <c r="N403" s="1490">
        <f>N$421</f>
        <v>2030</v>
      </c>
      <c r="O403" s="485"/>
      <c r="P403" s="485"/>
      <c r="Q403" s="1435"/>
      <c r="R403" s="1198"/>
      <c r="S403" s="1198"/>
      <c r="T403" s="1198"/>
      <c r="U403" s="1665"/>
      <c r="V403" s="1198"/>
      <c r="W403" s="1198"/>
      <c r="X403" s="1198"/>
      <c r="Y403" s="1198"/>
      <c r="Z403" s="1664"/>
      <c r="AA403" s="1198"/>
      <c r="AB403" s="1198"/>
      <c r="AC403" s="1198"/>
      <c r="AD403" s="1198"/>
      <c r="AE403" s="1198"/>
      <c r="AF403" s="1198"/>
      <c r="AG403" s="1198"/>
      <c r="AH403" s="1198"/>
      <c r="AI403" s="1198"/>
      <c r="AJ403" s="1435"/>
      <c r="AK403" s="1249"/>
      <c r="AL403" s="1249"/>
      <c r="AP403" s="1121"/>
    </row>
    <row r="404" spans="1:42" s="1119" customFormat="1" ht="12.75" customHeight="1">
      <c r="A404" s="618"/>
      <c r="B404" s="479"/>
      <c r="C404" s="479"/>
      <c r="D404" s="918"/>
      <c r="E404" s="1013" t="s">
        <v>2108</v>
      </c>
      <c r="F404" s="2714"/>
      <c r="G404" s="2714"/>
      <c r="H404" s="2714"/>
      <c r="I404" s="2714"/>
      <c r="J404" s="1666" t="str">
        <f>IF($L380&lt;&gt;EUconst_Relevant,"",INDEX(K_Summary!J:J,MATCH($Q404,K_Summary!$P:$P,0)))</f>
        <v/>
      </c>
      <c r="K404" s="1791" t="str">
        <f>IF($L380&lt;&gt;EUconst_Relevant,"",INDEX(K_Summary!K:K,MATCH($Q404,K_Summary!$P:$P,0)))</f>
        <v/>
      </c>
      <c r="L404" s="1791" t="str">
        <f>IF($L380&lt;&gt;EUconst_Relevant,"",INDEX(K_Summary!L:L,MATCH($Q404,K_Summary!$P:$P,0)))</f>
        <v/>
      </c>
      <c r="M404" s="1791" t="str">
        <f>IF($L380&lt;&gt;EUconst_Relevant,"",INDEX(K_Summary!M:M,MATCH($Q404,K_Summary!$P:$P,0)))</f>
        <v/>
      </c>
      <c r="N404" s="1791" t="str">
        <f>IF($L380&lt;&gt;EUconst_Relevant,"",INDEX(K_Summary!N:N,MATCH($Q404,K_Summary!$P:$P,0)))</f>
        <v/>
      </c>
      <c r="O404" s="485"/>
      <c r="P404" s="485"/>
      <c r="Q404" s="1644" t="str">
        <f>EUconst_CNTR_100EUA_VCM</f>
        <v>EUA100VCM_</v>
      </c>
      <c r="R404" s="1198"/>
      <c r="S404" s="1198"/>
      <c r="T404" s="1198"/>
      <c r="U404" s="1665"/>
      <c r="V404" s="1198"/>
      <c r="W404" s="1198"/>
      <c r="X404" s="1198"/>
      <c r="Y404" s="1198"/>
      <c r="Z404" s="1664"/>
      <c r="AA404" s="1198"/>
      <c r="AB404" s="1198"/>
      <c r="AC404" s="1198"/>
      <c r="AD404" s="1198"/>
      <c r="AE404" s="1198"/>
      <c r="AF404" s="1198"/>
      <c r="AG404" s="1198"/>
      <c r="AH404" s="1198"/>
      <c r="AI404" s="1198"/>
      <c r="AJ404" s="1435"/>
      <c r="AK404" s="1249"/>
      <c r="AL404" s="1249"/>
      <c r="AP404" s="1121"/>
    </row>
    <row r="405" spans="1:42" s="1119" customFormat="1" ht="5.0999999999999996" customHeight="1" thickBot="1">
      <c r="A405" s="618"/>
      <c r="B405" s="479"/>
      <c r="C405" s="479"/>
      <c r="D405" s="918"/>
      <c r="E405" s="909"/>
      <c r="F405" s="909"/>
      <c r="G405" s="909"/>
      <c r="H405" s="909"/>
      <c r="I405" s="909"/>
      <c r="J405" s="922"/>
      <c r="K405" s="1791"/>
      <c r="L405" s="1791"/>
      <c r="M405" s="1791"/>
      <c r="N405" s="1791"/>
      <c r="O405" s="485"/>
      <c r="P405" s="485"/>
      <c r="Q405" s="1435"/>
      <c r="R405" s="1198"/>
      <c r="S405" s="1198"/>
      <c r="T405" s="1198"/>
      <c r="U405" s="1663"/>
      <c r="V405" s="1435"/>
      <c r="W405" s="1198"/>
      <c r="X405" s="1198"/>
      <c r="Y405" s="1198"/>
      <c r="Z405" s="1664"/>
      <c r="AA405" s="1198"/>
      <c r="AB405" s="1198"/>
      <c r="AC405" s="1198"/>
      <c r="AD405" s="1198"/>
      <c r="AE405" s="1198"/>
      <c r="AF405" s="1198"/>
      <c r="AG405" s="1198"/>
      <c r="AH405" s="1198"/>
      <c r="AI405" s="1198"/>
      <c r="AJ405" s="1435"/>
      <c r="AK405" s="1249"/>
      <c r="AL405" s="1249"/>
      <c r="AP405" s="1121"/>
    </row>
    <row r="406" spans="1:42" s="1119" customFormat="1" ht="12.75" customHeight="1" thickBot="1">
      <c r="A406" s="1116"/>
      <c r="B406" s="479"/>
      <c r="C406" s="479"/>
      <c r="D406" s="915"/>
      <c r="E406" s="2714" t="s">
        <v>1657</v>
      </c>
      <c r="F406" s="2410"/>
      <c r="G406" s="2410"/>
      <c r="H406" s="2410"/>
      <c r="I406" s="2715"/>
      <c r="J406" s="1668" t="str">
        <f>IF(J404="","",IF(J404,J400,I406))</f>
        <v/>
      </c>
      <c r="K406" s="1796" t="str">
        <f>IF(K404="","",IF(K404,K400,J406))</f>
        <v/>
      </c>
      <c r="L406" s="1796" t="str">
        <f>IF(L404="","",IF(L404,L400,K406))</f>
        <v/>
      </c>
      <c r="M406" s="1796" t="str">
        <f>IF(M404="","",IF(M404,M400,L406))</f>
        <v/>
      </c>
      <c r="N406" s="1796" t="str">
        <f>IF(N404="","",IF(N404,N400,M406))</f>
        <v/>
      </c>
      <c r="O406" s="485"/>
      <c r="P406" s="485"/>
      <c r="Q406" s="1435"/>
      <c r="R406" s="1198"/>
      <c r="S406" s="1198"/>
      <c r="T406" s="1198"/>
      <c r="U406" s="1663" t="s">
        <v>1658</v>
      </c>
      <c r="V406" s="1670">
        <f>J403</f>
        <v>2026</v>
      </c>
      <c r="W406" s="1670">
        <f>K403</f>
        <v>2027</v>
      </c>
      <c r="X406" s="1670">
        <f>L403</f>
        <v>2028</v>
      </c>
      <c r="Y406" s="1670">
        <f>M403</f>
        <v>2029</v>
      </c>
      <c r="Z406" s="1671">
        <f>N403</f>
        <v>2030</v>
      </c>
      <c r="AA406" s="1198"/>
      <c r="AB406" s="1198"/>
      <c r="AC406" s="1198"/>
      <c r="AD406" s="1198"/>
      <c r="AE406" s="1198"/>
      <c r="AF406" s="1198"/>
      <c r="AG406" s="1198"/>
      <c r="AH406" s="1198"/>
      <c r="AI406" s="1198"/>
      <c r="AJ406" s="1435"/>
      <c r="AK406" s="1249"/>
      <c r="AL406" s="1249"/>
      <c r="AP406" s="1121"/>
    </row>
    <row r="407" spans="1:42" s="1119" customFormat="1" ht="12.75" hidden="1" customHeight="1" thickBot="1">
      <c r="A407" s="618" t="s">
        <v>2289</v>
      </c>
      <c r="B407" s="479"/>
      <c r="C407" s="479"/>
      <c r="D407" s="918"/>
      <c r="E407" s="2714" t="s">
        <v>1659</v>
      </c>
      <c r="F407" s="2410"/>
      <c r="G407" s="2410"/>
      <c r="H407" s="944" t="str">
        <f>H398</f>
        <v>-</v>
      </c>
      <c r="I407" s="945" t="str">
        <f>I401</f>
        <v/>
      </c>
      <c r="J407" s="1698" t="str">
        <f>IF($L380&lt;&gt;EUconst_Relevant,"",IF(J386&gt;$Z380,1,IF(OR($I407=EUconst_NA,J404=TRUE,J406="",J403&lt;=$V380),J401,I407)))</f>
        <v/>
      </c>
      <c r="K407" s="1797" t="str">
        <f>IF($L380&lt;&gt;EUconst_Relevant,"",IF(K386&gt;$Z380,1,IF(OR($I407=EUconst_NA,K404=TRUE,K406="",K403&lt;=$V380),K401,J407)))</f>
        <v/>
      </c>
      <c r="L407" s="1797" t="str">
        <f>IF($L380&lt;&gt;EUconst_Relevant,"",IF(L386&gt;$Z380,1,IF(OR($I407=EUconst_NA,L404=TRUE,L406="",L403&lt;=$V380),L401,K407)))</f>
        <v/>
      </c>
      <c r="M407" s="1797" t="str">
        <f>IF($L380&lt;&gt;EUconst_Relevant,"",IF(M386&gt;$Z380,1,IF(OR($I407=EUconst_NA,M404=TRUE,M406="",M403&lt;=$V380),M401,L407)))</f>
        <v/>
      </c>
      <c r="N407" s="1797" t="str">
        <f>IF($L380&lt;&gt;EUconst_Relevant,"",IF(N386&gt;$Z380,1,IF(OR($I407=EUconst_NA,N404=TRUE,N406="",N403&lt;=$V380),N401,M407)))</f>
        <v/>
      </c>
      <c r="O407" s="485"/>
      <c r="P407" s="485"/>
      <c r="Q407" s="1644" t="str">
        <f>EUconst_CNTR_VCMfinal &amp; I349</f>
        <v>VCMfinal_</v>
      </c>
      <c r="R407" s="1198"/>
      <c r="S407" s="1198"/>
      <c r="T407" s="1198"/>
      <c r="U407" s="1674" t="b">
        <v>0</v>
      </c>
      <c r="V407" s="1675" t="b">
        <f>IF(J404=TRUE,V399,U407)</f>
        <v>0</v>
      </c>
      <c r="W407" s="1675" t="b">
        <f>IF(K404=TRUE,W399,V407)</f>
        <v>0</v>
      </c>
      <c r="X407" s="1675" t="b">
        <f>IF(L404=TRUE,X399,W407)</f>
        <v>0</v>
      </c>
      <c r="Y407" s="1675" t="b">
        <f>IF(M404=TRUE,Y399,X407)</f>
        <v>0</v>
      </c>
      <c r="Z407" s="1676" t="b">
        <f>IF(N404=TRUE,Z399,Y407)</f>
        <v>0</v>
      </c>
      <c r="AA407" s="1198"/>
      <c r="AB407" s="1198"/>
      <c r="AC407" s="1198"/>
      <c r="AD407" s="1198"/>
      <c r="AE407" s="1198"/>
      <c r="AF407" s="1198"/>
      <c r="AG407" s="1198"/>
      <c r="AH407" s="1198"/>
      <c r="AI407" s="1198"/>
      <c r="AJ407" s="1435"/>
      <c r="AK407" s="1249"/>
      <c r="AL407" s="1249"/>
      <c r="AP407" s="1121"/>
    </row>
    <row r="408" spans="1:42" s="1119" customFormat="1" ht="5.0999999999999996" customHeight="1" thickBot="1">
      <c r="A408" s="1116"/>
      <c r="B408" s="467"/>
      <c r="C408" s="467"/>
      <c r="D408" s="1022"/>
      <c r="E408" s="1023"/>
      <c r="F408" s="1023"/>
      <c r="G408" s="1023"/>
      <c r="H408" s="1023"/>
      <c r="I408" s="1023"/>
      <c r="J408" s="1024"/>
      <c r="K408" s="1900"/>
      <c r="L408" s="1900"/>
      <c r="M408" s="1900"/>
      <c r="N408" s="1900"/>
      <c r="O408" s="481"/>
      <c r="P408" s="485"/>
      <c r="Q408" s="1249"/>
      <c r="R408" s="1198"/>
      <c r="S408" s="1198"/>
      <c r="T408" s="1198"/>
      <c r="U408" s="1198"/>
      <c r="V408" s="1198"/>
      <c r="W408" s="1198"/>
      <c r="X408" s="1198"/>
      <c r="Y408" s="1249"/>
      <c r="Z408" s="1249"/>
      <c r="AA408" s="1249"/>
      <c r="AB408" s="1249"/>
      <c r="AC408" s="1249"/>
      <c r="AD408" s="1249"/>
      <c r="AE408" s="1249"/>
      <c r="AF408" s="1249"/>
      <c r="AG408" s="1249"/>
      <c r="AH408" s="1249"/>
      <c r="AI408" s="1249"/>
      <c r="AJ408" s="1249"/>
      <c r="AK408" s="1249"/>
      <c r="AL408" s="1249"/>
      <c r="AP408" s="1121"/>
    </row>
    <row r="409" spans="1:42" s="1119" customFormat="1" ht="5.0999999999999996" customHeight="1">
      <c r="A409" s="1116"/>
      <c r="B409" s="467"/>
      <c r="C409" s="467"/>
      <c r="D409" s="467"/>
      <c r="E409" s="467"/>
      <c r="F409" s="467"/>
      <c r="G409" s="467"/>
      <c r="H409" s="467"/>
      <c r="I409" s="467"/>
      <c r="J409" s="467"/>
      <c r="K409" s="467"/>
      <c r="L409" s="467"/>
      <c r="M409" s="481"/>
      <c r="N409" s="481"/>
      <c r="O409" s="481"/>
      <c r="P409" s="485"/>
      <c r="Q409" s="1249"/>
      <c r="R409" s="1198"/>
      <c r="S409" s="1198"/>
      <c r="T409" s="1198"/>
      <c r="U409" s="1198"/>
      <c r="V409" s="1198"/>
      <c r="W409" s="1198"/>
      <c r="X409" s="1198"/>
      <c r="Y409" s="1249"/>
      <c r="Z409" s="1249"/>
      <c r="AA409" s="1249"/>
      <c r="AB409" s="1249"/>
      <c r="AC409" s="1249"/>
      <c r="AD409" s="1249"/>
      <c r="AE409" s="1249"/>
      <c r="AF409" s="1249"/>
      <c r="AG409" s="1249"/>
      <c r="AH409" s="1249"/>
      <c r="AI409" s="1249"/>
      <c r="AJ409" s="1249"/>
      <c r="AK409" s="1249"/>
      <c r="AL409" s="1249"/>
      <c r="AP409" s="1121"/>
    </row>
    <row r="410" spans="1:42" s="1119" customFormat="1">
      <c r="A410" s="1116"/>
      <c r="B410" s="467"/>
      <c r="C410" s="467"/>
      <c r="D410" s="467"/>
      <c r="E410" s="2782" t="str">
        <f>IF(L380=EUconst_Relevant,HYPERLINK(R410,EUconst_MsgBackToSheetF),"")</f>
        <v/>
      </c>
      <c r="F410" s="2783"/>
      <c r="G410" s="2783"/>
      <c r="H410" s="2783"/>
      <c r="I410" s="2783"/>
      <c r="J410" s="2783"/>
      <c r="K410" s="2783"/>
      <c r="L410" s="2783"/>
      <c r="M410" s="2783"/>
      <c r="N410" s="2784"/>
      <c r="O410" s="481"/>
      <c r="P410" s="485"/>
      <c r="Q410" s="1893" t="s">
        <v>116</v>
      </c>
      <c r="R410" s="1443" t="str">
        <f>R382</f>
        <v/>
      </c>
      <c r="S410" s="1198"/>
      <c r="T410" s="1198"/>
      <c r="U410" s="1198"/>
      <c r="V410" s="1198"/>
      <c r="W410" s="1198"/>
      <c r="X410" s="1198"/>
      <c r="Y410" s="1249"/>
      <c r="Z410" s="1249"/>
      <c r="AA410" s="1249"/>
      <c r="AB410" s="1249"/>
      <c r="AC410" s="1249"/>
      <c r="AD410" s="1249"/>
      <c r="AE410" s="1249"/>
      <c r="AF410" s="1249"/>
      <c r="AG410" s="1249"/>
      <c r="AH410" s="1249"/>
      <c r="AI410" s="1249"/>
      <c r="AJ410" s="1249"/>
      <c r="AK410" s="1249"/>
      <c r="AL410" s="1249"/>
      <c r="AP410" s="1121"/>
    </row>
    <row r="411" spans="1:42" s="1119" customFormat="1">
      <c r="A411" s="1116"/>
      <c r="B411" s="1124"/>
      <c r="C411" s="485"/>
      <c r="D411" s="485"/>
      <c r="E411" s="485"/>
      <c r="F411" s="485"/>
      <c r="G411" s="485"/>
      <c r="H411" s="485"/>
      <c r="I411" s="485"/>
      <c r="J411" s="485"/>
      <c r="K411" s="485"/>
      <c r="L411" s="485"/>
      <c r="M411" s="485"/>
      <c r="N411" s="485"/>
      <c r="O411" s="481"/>
      <c r="P411" s="485"/>
      <c r="Q411" s="1198"/>
      <c r="R411" s="1198"/>
      <c r="S411" s="1198"/>
      <c r="T411" s="1198"/>
      <c r="U411" s="1198"/>
      <c r="V411" s="1198"/>
      <c r="W411" s="1198"/>
      <c r="X411" s="1198"/>
      <c r="Y411" s="1249"/>
      <c r="Z411" s="1249"/>
      <c r="AA411" s="1249"/>
      <c r="AB411" s="1249"/>
      <c r="AC411" s="1249"/>
      <c r="AD411" s="1249"/>
      <c r="AE411" s="1249"/>
      <c r="AF411" s="1249"/>
      <c r="AG411" s="1249"/>
      <c r="AH411" s="1249"/>
      <c r="AI411" s="1249"/>
      <c r="AJ411" s="1249"/>
      <c r="AK411" s="1249"/>
      <c r="AL411" s="1249"/>
      <c r="AP411" s="1121"/>
    </row>
    <row r="412" spans="1:42" s="1119" customFormat="1" ht="13.15" customHeight="1">
      <c r="A412" s="1116"/>
      <c r="B412" s="1124"/>
      <c r="C412" s="485"/>
      <c r="D412" s="3423" t="s">
        <v>1014</v>
      </c>
      <c r="E412" s="3184"/>
      <c r="F412" s="3184"/>
      <c r="G412" s="3184"/>
      <c r="H412" s="3184"/>
      <c r="I412" s="3184"/>
      <c r="J412" s="3184"/>
      <c r="K412" s="3184"/>
      <c r="L412" s="3184"/>
      <c r="M412" s="3184"/>
      <c r="N412" s="3184"/>
      <c r="O412" s="481"/>
      <c r="P412" s="485"/>
      <c r="Q412" s="1198"/>
      <c r="R412" s="1198"/>
      <c r="S412" s="1198"/>
      <c r="T412" s="1198"/>
      <c r="U412" s="1198"/>
      <c r="V412" s="1198"/>
      <c r="W412" s="1198"/>
      <c r="X412" s="1198"/>
      <c r="Y412" s="1249"/>
      <c r="Z412" s="1249"/>
      <c r="AA412" s="1249"/>
      <c r="AB412" s="1249"/>
      <c r="AC412" s="1249"/>
      <c r="AD412" s="1249"/>
      <c r="AE412" s="1249"/>
      <c r="AF412" s="1249"/>
      <c r="AG412" s="1249"/>
      <c r="AH412" s="1249"/>
      <c r="AI412" s="1249"/>
      <c r="AJ412" s="1249"/>
      <c r="AK412" s="1249"/>
      <c r="AL412" s="1249"/>
      <c r="AP412" s="1121"/>
    </row>
    <row r="413" spans="1:42" s="1119" customFormat="1">
      <c r="A413" s="1116"/>
      <c r="B413" s="1124"/>
      <c r="C413" s="1124"/>
      <c r="D413" s="1124"/>
      <c r="E413" s="1124"/>
      <c r="F413" s="1124"/>
      <c r="G413" s="1124"/>
      <c r="H413" s="1124"/>
      <c r="I413" s="1124"/>
      <c r="J413" s="1124"/>
      <c r="K413" s="1124"/>
      <c r="L413" s="1124"/>
      <c r="M413" s="1124"/>
      <c r="N413" s="1124"/>
      <c r="O413" s="481"/>
      <c r="P413" s="485"/>
      <c r="Q413" s="1198"/>
      <c r="R413" s="1198"/>
      <c r="S413" s="1198"/>
      <c r="T413" s="1198"/>
      <c r="U413" s="1198"/>
      <c r="V413" s="1198"/>
      <c r="W413" s="1198"/>
      <c r="X413" s="1198"/>
      <c r="Y413" s="1249"/>
      <c r="Z413" s="1249"/>
      <c r="AA413" s="1249"/>
      <c r="AB413" s="1249"/>
      <c r="AC413" s="1249"/>
      <c r="AD413" s="1249"/>
      <c r="AE413" s="1249"/>
      <c r="AF413" s="1249"/>
      <c r="AG413" s="1249"/>
      <c r="AH413" s="1249"/>
      <c r="AI413" s="1249"/>
      <c r="AJ413" s="1249"/>
      <c r="AK413" s="1249"/>
      <c r="AL413" s="1249"/>
      <c r="AP413" s="1121"/>
    </row>
    <row r="414" spans="1:42" s="1119" customFormat="1" hidden="1">
      <c r="A414" s="1116"/>
      <c r="B414" s="1198" t="s">
        <v>873</v>
      </c>
      <c r="C414" s="1198" t="s">
        <v>873</v>
      </c>
      <c r="D414" s="1198" t="s">
        <v>873</v>
      </c>
      <c r="E414" s="1198" t="s">
        <v>873</v>
      </c>
      <c r="F414" s="1198" t="s">
        <v>873</v>
      </c>
      <c r="G414" s="1198"/>
      <c r="H414" s="1198" t="s">
        <v>873</v>
      </c>
      <c r="I414" s="1198" t="s">
        <v>873</v>
      </c>
      <c r="J414" s="1198" t="s">
        <v>873</v>
      </c>
      <c r="K414" s="1198" t="s">
        <v>873</v>
      </c>
      <c r="L414" s="1198" t="s">
        <v>873</v>
      </c>
      <c r="M414" s="1198" t="s">
        <v>873</v>
      </c>
      <c r="N414" s="1198" t="s">
        <v>873</v>
      </c>
      <c r="O414" s="1198" t="s">
        <v>873</v>
      </c>
      <c r="P414" s="1198" t="s">
        <v>873</v>
      </c>
      <c r="Q414" s="1198" t="s">
        <v>873</v>
      </c>
      <c r="R414" s="1198" t="s">
        <v>873</v>
      </c>
      <c r="S414" s="1198" t="s">
        <v>873</v>
      </c>
      <c r="T414" s="1198" t="s">
        <v>873</v>
      </c>
      <c r="U414" s="1198" t="s">
        <v>873</v>
      </c>
      <c r="V414" s="1198" t="s">
        <v>873</v>
      </c>
      <c r="W414" s="1198" t="s">
        <v>873</v>
      </c>
      <c r="X414" s="1198" t="s">
        <v>873</v>
      </c>
      <c r="Y414" s="1198" t="s">
        <v>873</v>
      </c>
      <c r="Z414" s="1198" t="s">
        <v>873</v>
      </c>
      <c r="AA414" s="1198" t="s">
        <v>873</v>
      </c>
      <c r="AB414" s="1198" t="s">
        <v>873</v>
      </c>
      <c r="AC414" s="1198" t="s">
        <v>873</v>
      </c>
      <c r="AD414" s="1198" t="s">
        <v>873</v>
      </c>
      <c r="AE414" s="1198" t="s">
        <v>873</v>
      </c>
      <c r="AF414" s="1198" t="s">
        <v>873</v>
      </c>
      <c r="AG414" s="1198" t="s">
        <v>873</v>
      </c>
      <c r="AH414" s="1198" t="s">
        <v>873</v>
      </c>
      <c r="AI414" s="1198" t="s">
        <v>873</v>
      </c>
      <c r="AJ414" s="1198" t="s">
        <v>873</v>
      </c>
      <c r="AK414" s="1198" t="s">
        <v>873</v>
      </c>
      <c r="AL414" s="1198" t="s">
        <v>873</v>
      </c>
      <c r="AP414" s="1121"/>
    </row>
    <row r="415" spans="1:42" s="1119" customFormat="1" hidden="1">
      <c r="A415" s="1116"/>
      <c r="B415" s="1116"/>
      <c r="C415" s="1116"/>
      <c r="D415" s="1116"/>
      <c r="E415" s="1116"/>
      <c r="F415" s="1116"/>
      <c r="G415" s="1116"/>
      <c r="H415" s="1116"/>
      <c r="I415" s="1116"/>
      <c r="J415" s="1116"/>
      <c r="K415" s="1116"/>
      <c r="L415" s="1116"/>
      <c r="M415" s="1116"/>
      <c r="N415" s="1116"/>
      <c r="O415" s="1116"/>
      <c r="P415" s="1116"/>
      <c r="Q415" s="1198"/>
      <c r="R415" s="1198"/>
      <c r="S415" s="1198"/>
      <c r="T415" s="1198"/>
      <c r="U415" s="1198"/>
      <c r="V415" s="1198"/>
      <c r="W415" s="1198"/>
      <c r="X415" s="1198"/>
      <c r="Y415" s="1198"/>
      <c r="Z415" s="1198"/>
      <c r="AA415" s="1198"/>
      <c r="AB415" s="1198"/>
      <c r="AC415" s="1198"/>
      <c r="AD415" s="1198"/>
      <c r="AE415" s="1198"/>
      <c r="AF415" s="1198"/>
      <c r="AG415" s="1198"/>
      <c r="AH415" s="1198"/>
      <c r="AI415" s="1198"/>
      <c r="AJ415" s="1198"/>
      <c r="AK415" s="1198"/>
      <c r="AL415" s="1198"/>
      <c r="AP415" s="1121"/>
    </row>
    <row r="416" spans="1:42" s="1119" customFormat="1" hidden="1">
      <c r="A416" s="1116"/>
      <c r="B416" s="1198"/>
      <c r="C416" s="1198"/>
      <c r="D416" s="1503" t="s">
        <v>874</v>
      </c>
      <c r="E416" s="1198"/>
      <c r="F416" s="1198"/>
      <c r="G416" s="1198"/>
      <c r="H416" s="1198"/>
      <c r="I416" s="1198"/>
      <c r="J416" s="1198"/>
      <c r="K416" s="1198"/>
      <c r="L416" s="1198"/>
      <c r="M416" s="1198"/>
      <c r="N416" s="1198"/>
      <c r="O416" s="1198"/>
      <c r="P416" s="1116"/>
      <c r="Q416" s="1198"/>
      <c r="R416" s="1198"/>
      <c r="S416" s="1198"/>
      <c r="T416" s="1198"/>
      <c r="U416" s="1198"/>
      <c r="V416" s="1198"/>
      <c r="W416" s="1198"/>
      <c r="X416" s="1198"/>
      <c r="Y416" s="1198"/>
      <c r="Z416" s="1198"/>
      <c r="AA416" s="1198"/>
      <c r="AB416" s="1198"/>
      <c r="AC416" s="1198"/>
      <c r="AD416" s="1198"/>
      <c r="AE416" s="1198"/>
      <c r="AF416" s="1198"/>
      <c r="AG416" s="1198"/>
      <c r="AH416" s="1198"/>
      <c r="AI416" s="1198"/>
      <c r="AJ416" s="1198"/>
      <c r="AK416" s="1198"/>
      <c r="AL416" s="1198"/>
      <c r="AP416" s="1121"/>
    </row>
    <row r="417" spans="1:42" s="1119" customFormat="1" ht="13.5" hidden="1" thickBot="1">
      <c r="A417" s="1116"/>
      <c r="B417" s="1116"/>
      <c r="C417" s="1116"/>
      <c r="D417" s="483"/>
      <c r="E417" s="1116"/>
      <c r="F417" s="1116"/>
      <c r="G417" s="1116"/>
      <c r="H417" s="1116"/>
      <c r="I417" s="1116"/>
      <c r="J417" s="1116"/>
      <c r="K417" s="1116"/>
      <c r="L417" s="1116"/>
      <c r="M417" s="1116"/>
      <c r="N417" s="1116"/>
      <c r="O417" s="1116"/>
      <c r="P417" s="1116"/>
      <c r="Q417" s="1198"/>
      <c r="R417" s="1198"/>
      <c r="S417" s="1198"/>
      <c r="T417" s="1198"/>
      <c r="U417" s="1198"/>
      <c r="V417" s="1198"/>
      <c r="W417" s="1198"/>
      <c r="X417" s="1198"/>
      <c r="Y417" s="1198"/>
      <c r="Z417" s="1198"/>
      <c r="AA417" s="1198"/>
      <c r="AB417" s="1198"/>
      <c r="AC417" s="1198"/>
      <c r="AD417" s="1198"/>
      <c r="AE417" s="1198"/>
      <c r="AF417" s="1198"/>
      <c r="AG417" s="1198"/>
      <c r="AH417" s="1198"/>
      <c r="AI417" s="1198"/>
      <c r="AJ417" s="1198"/>
      <c r="AK417" s="1198"/>
      <c r="AL417" s="1198"/>
      <c r="AP417" s="1121"/>
    </row>
    <row r="418" spans="1:42" s="1119" customFormat="1" hidden="1">
      <c r="A418" s="1116"/>
      <c r="B418" s="1116"/>
      <c r="C418" s="1116"/>
      <c r="D418" s="1116"/>
      <c r="E418" s="1199" t="s">
        <v>545</v>
      </c>
      <c r="F418" s="1200"/>
      <c r="G418" s="1200"/>
      <c r="H418" s="1200"/>
      <c r="I418" s="1200"/>
      <c r="J418" s="1200"/>
      <c r="K418" s="1200"/>
      <c r="L418" s="1200"/>
      <c r="M418" s="1200"/>
      <c r="N418" s="1201"/>
      <c r="O418" s="1116"/>
      <c r="P418" s="1116"/>
      <c r="Q418" s="1198"/>
      <c r="R418" s="1198"/>
      <c r="S418" s="1198"/>
      <c r="T418" s="1198"/>
      <c r="U418" s="1198"/>
      <c r="V418" s="1198"/>
      <c r="W418" s="1198"/>
      <c r="X418" s="1198"/>
      <c r="Y418" s="1198"/>
      <c r="Z418" s="1198"/>
      <c r="AA418" s="1198"/>
      <c r="AB418" s="1198"/>
      <c r="AC418" s="1198"/>
      <c r="AD418" s="1198"/>
      <c r="AE418" s="1198"/>
      <c r="AF418" s="1198"/>
      <c r="AG418" s="1198"/>
      <c r="AH418" s="1198"/>
      <c r="AI418" s="1198"/>
      <c r="AJ418" s="1198"/>
      <c r="AK418" s="1198"/>
      <c r="AL418" s="1198"/>
      <c r="AP418" s="1121"/>
    </row>
    <row r="419" spans="1:42" s="1119" customFormat="1" hidden="1">
      <c r="A419" s="1116"/>
      <c r="B419" s="1116"/>
      <c r="C419" s="1116"/>
      <c r="D419" s="1116"/>
      <c r="E419" s="1202" t="s">
        <v>877</v>
      </c>
      <c r="F419" s="1203"/>
      <c r="G419" s="1203"/>
      <c r="H419" s="1204">
        <f>A_InstallationData!H413</f>
        <v>0</v>
      </c>
      <c r="I419" s="1204">
        <f>A_InstallationData!I413</f>
        <v>0</v>
      </c>
      <c r="J419" s="1204">
        <f>A_InstallationData!J413</f>
        <v>1</v>
      </c>
      <c r="K419" s="1204">
        <f>A_InstallationData!K413</f>
        <v>2</v>
      </c>
      <c r="L419" s="1204">
        <f>A_InstallationData!L413</f>
        <v>3</v>
      </c>
      <c r="M419" s="1204">
        <f>A_InstallationData!M413</f>
        <v>4</v>
      </c>
      <c r="N419" s="1205">
        <f>A_InstallationData!N413</f>
        <v>5</v>
      </c>
      <c r="O419" s="1116"/>
      <c r="P419" s="1116"/>
      <c r="Q419" s="1198"/>
      <c r="R419" s="1198"/>
      <c r="S419" s="1198"/>
      <c r="T419" s="1198"/>
      <c r="U419" s="1198"/>
      <c r="V419" s="1198"/>
      <c r="W419" s="1198"/>
      <c r="X419" s="1198"/>
      <c r="Y419" s="1198"/>
      <c r="Z419" s="1198"/>
      <c r="AA419" s="1198"/>
      <c r="AB419" s="1198"/>
      <c r="AC419" s="1198"/>
      <c r="AD419" s="1198"/>
      <c r="AE419" s="1198"/>
      <c r="AF419" s="1198"/>
      <c r="AG419" s="1198"/>
      <c r="AH419" s="1198"/>
      <c r="AI419" s="1198"/>
      <c r="AJ419" s="1198"/>
      <c r="AK419" s="1198"/>
      <c r="AL419" s="1198"/>
      <c r="AP419" s="1121"/>
    </row>
    <row r="420" spans="1:42" s="1119" customFormat="1" hidden="1">
      <c r="A420" s="1116"/>
      <c r="B420" s="1116"/>
      <c r="C420" s="1116"/>
      <c r="D420" s="1116"/>
      <c r="E420" s="1206" t="s">
        <v>1132</v>
      </c>
      <c r="F420" s="1203"/>
      <c r="G420" s="1203"/>
      <c r="H420" s="1204">
        <f>A_InstallationData!H414</f>
        <v>2019</v>
      </c>
      <c r="I420" s="1204">
        <f>A_InstallationData!I414</f>
        <v>2020</v>
      </c>
      <c r="J420" s="1204">
        <f>A_InstallationData!J414</f>
        <v>2021</v>
      </c>
      <c r="K420" s="1204">
        <f>A_InstallationData!K414</f>
        <v>2022</v>
      </c>
      <c r="L420" s="1204">
        <f>A_InstallationData!L414</f>
        <v>2023</v>
      </c>
      <c r="M420" s="1204">
        <f>A_InstallationData!M414</f>
        <v>2024</v>
      </c>
      <c r="N420" s="1205">
        <f>A_InstallationData!N414</f>
        <v>2025</v>
      </c>
      <c r="O420" s="1116"/>
      <c r="P420" s="1116"/>
      <c r="Q420" s="1198"/>
      <c r="R420" s="1198"/>
      <c r="S420" s="1198"/>
      <c r="T420" s="1198"/>
      <c r="U420" s="1198"/>
      <c r="V420" s="1198"/>
      <c r="W420" s="1198"/>
      <c r="X420" s="1198"/>
      <c r="Y420" s="1198"/>
      <c r="Z420" s="1198"/>
      <c r="AA420" s="1198"/>
      <c r="AB420" s="1198"/>
      <c r="AC420" s="1198"/>
      <c r="AD420" s="1198"/>
      <c r="AE420" s="1198"/>
      <c r="AF420" s="1198"/>
      <c r="AG420" s="1198"/>
      <c r="AH420" s="1198"/>
      <c r="AI420" s="1198"/>
      <c r="AJ420" s="1198"/>
      <c r="AK420" s="1198"/>
      <c r="AL420" s="1198"/>
      <c r="AP420" s="1121"/>
    </row>
    <row r="421" spans="1:42" s="1119" customFormat="1" hidden="1">
      <c r="A421" s="1116"/>
      <c r="B421" s="1116"/>
      <c r="C421" s="1116"/>
      <c r="D421" s="1116"/>
      <c r="E421" s="1206" t="s">
        <v>1131</v>
      </c>
      <c r="F421" s="1207"/>
      <c r="G421" s="1207"/>
      <c r="H421" s="1208">
        <f>A_InstallationData!H415</f>
        <v>2024</v>
      </c>
      <c r="I421" s="1208">
        <f>A_InstallationData!I415</f>
        <v>2025</v>
      </c>
      <c r="J421" s="1208">
        <f>A_InstallationData!J415</f>
        <v>2026</v>
      </c>
      <c r="K421" s="1208">
        <f>A_InstallationData!K415</f>
        <v>2027</v>
      </c>
      <c r="L421" s="1208">
        <f>A_InstallationData!L415</f>
        <v>2028</v>
      </c>
      <c r="M421" s="1208">
        <f>A_InstallationData!M415</f>
        <v>2029</v>
      </c>
      <c r="N421" s="1209">
        <f>A_InstallationData!N415</f>
        <v>2030</v>
      </c>
      <c r="O421" s="1116"/>
      <c r="P421" s="1116"/>
      <c r="Q421" s="1198"/>
      <c r="R421" s="1198"/>
      <c r="S421" s="1198"/>
      <c r="T421" s="1198"/>
      <c r="U421" s="1198"/>
      <c r="V421" s="1198"/>
      <c r="W421" s="1198"/>
      <c r="X421" s="1198"/>
      <c r="Y421" s="1198"/>
      <c r="Z421" s="1198"/>
      <c r="AA421" s="1198"/>
      <c r="AB421" s="1198"/>
      <c r="AC421" s="1198"/>
      <c r="AD421" s="1198"/>
      <c r="AE421" s="1198"/>
      <c r="AF421" s="1198"/>
      <c r="AG421" s="1198"/>
      <c r="AH421" s="1198"/>
      <c r="AI421" s="1198"/>
      <c r="AJ421" s="1198"/>
      <c r="AK421" s="1198"/>
      <c r="AL421" s="1198"/>
      <c r="AP421" s="1121"/>
    </row>
    <row r="422" spans="1:42" s="1119" customFormat="1" hidden="1">
      <c r="A422" s="1116"/>
      <c r="B422" s="1116"/>
      <c r="C422" s="1116"/>
      <c r="D422" s="1116"/>
      <c r="E422" s="1206" t="s">
        <v>544</v>
      </c>
      <c r="F422" s="1207"/>
      <c r="G422" s="1207"/>
      <c r="H422" s="1208">
        <f>A_InstallationData!H416</f>
        <v>0</v>
      </c>
      <c r="I422" s="1208">
        <f>A_InstallationData!I416</f>
        <v>0</v>
      </c>
      <c r="J422" s="1208">
        <f>A_InstallationData!J416</f>
        <v>1</v>
      </c>
      <c r="K422" s="1208">
        <f>A_InstallationData!K416</f>
        <v>1</v>
      </c>
      <c r="L422" s="1208">
        <f>A_InstallationData!L416</f>
        <v>1</v>
      </c>
      <c r="M422" s="1208">
        <f>A_InstallationData!M416</f>
        <v>1</v>
      </c>
      <c r="N422" s="1209">
        <f>A_InstallationData!N416</f>
        <v>1</v>
      </c>
      <c r="O422" s="1116"/>
      <c r="P422" s="1116"/>
      <c r="Q422" s="1198"/>
      <c r="R422" s="1198"/>
      <c r="S422" s="1198"/>
      <c r="T422" s="1198"/>
      <c r="U422" s="1198"/>
      <c r="V422" s="1198"/>
      <c r="W422" s="1198"/>
      <c r="X422" s="1198"/>
      <c r="Y422" s="1198"/>
      <c r="Z422" s="1198"/>
      <c r="AA422" s="1198"/>
      <c r="AB422" s="1198"/>
      <c r="AC422" s="1198"/>
      <c r="AD422" s="1198"/>
      <c r="AE422" s="1198"/>
      <c r="AF422" s="1198"/>
      <c r="AG422" s="1198"/>
      <c r="AH422" s="1198"/>
      <c r="AI422" s="1198"/>
      <c r="AJ422" s="1198"/>
      <c r="AK422" s="1198"/>
      <c r="AL422" s="1198"/>
      <c r="AP422" s="1121"/>
    </row>
    <row r="423" spans="1:42" s="1119" customFormat="1" hidden="1">
      <c r="A423" s="1116"/>
      <c r="B423" s="1116"/>
      <c r="C423" s="1116"/>
      <c r="D423" s="1116"/>
      <c r="E423" s="1206" t="s">
        <v>2541</v>
      </c>
      <c r="F423" s="1207"/>
      <c r="G423" s="1207"/>
      <c r="H423" s="1207" t="b">
        <f>A_InstallationData!H417</f>
        <v>1</v>
      </c>
      <c r="I423" s="1207" t="b">
        <f>A_InstallationData!I417</f>
        <v>1</v>
      </c>
      <c r="J423" s="1207" t="b">
        <f>A_InstallationData!J417</f>
        <v>1</v>
      </c>
      <c r="K423" s="1207" t="b">
        <f>A_InstallationData!K417</f>
        <v>1</v>
      </c>
      <c r="L423" s="1207" t="b">
        <f>A_InstallationData!L417</f>
        <v>1</v>
      </c>
      <c r="M423" s="1207" t="b">
        <f>A_InstallationData!M417</f>
        <v>1</v>
      </c>
      <c r="N423" s="1508" t="b">
        <f>A_InstallationData!N417</f>
        <v>1</v>
      </c>
      <c r="O423" s="1116"/>
      <c r="P423" s="1116"/>
      <c r="Q423" s="1198"/>
      <c r="R423" s="1198"/>
      <c r="S423" s="1198"/>
      <c r="T423" s="1198"/>
      <c r="U423" s="1198"/>
      <c r="V423" s="1198"/>
      <c r="W423" s="1198"/>
      <c r="X423" s="1198"/>
      <c r="Y423" s="1198"/>
      <c r="Z423" s="1198"/>
      <c r="AA423" s="1198"/>
      <c r="AB423" s="1198"/>
      <c r="AC423" s="1198"/>
      <c r="AD423" s="1198"/>
      <c r="AE423" s="1198"/>
      <c r="AF423" s="1198"/>
      <c r="AG423" s="1198"/>
      <c r="AH423" s="1198"/>
      <c r="AI423" s="1198"/>
      <c r="AJ423" s="1198"/>
      <c r="AK423" s="1198"/>
      <c r="AL423" s="1198"/>
      <c r="AP423" s="1121"/>
    </row>
    <row r="424" spans="1:42" s="1119" customFormat="1" ht="13.5" hidden="1" thickBot="1">
      <c r="A424" s="1116"/>
      <c r="B424" s="1116"/>
      <c r="C424" s="1116"/>
      <c r="D424" s="1116"/>
      <c r="E424" s="1212" t="s">
        <v>543</v>
      </c>
      <c r="F424" s="1213"/>
      <c r="G424" s="1213"/>
      <c r="H424" s="1213" t="b">
        <f>A_InstallationData!H418</f>
        <v>1</v>
      </c>
      <c r="I424" s="1213" t="b">
        <f>A_InstallationData!I418</f>
        <v>1</v>
      </c>
      <c r="J424" s="1213" t="b">
        <f>A_InstallationData!J418</f>
        <v>1</v>
      </c>
      <c r="K424" s="1213" t="b">
        <f>A_InstallationData!K418</f>
        <v>1</v>
      </c>
      <c r="L424" s="1213" t="b">
        <f>A_InstallationData!L418</f>
        <v>1</v>
      </c>
      <c r="M424" s="1213" t="b">
        <f>A_InstallationData!M418</f>
        <v>1</v>
      </c>
      <c r="N424" s="1509" t="b">
        <f>A_InstallationData!N418</f>
        <v>1</v>
      </c>
      <c r="O424" s="1116"/>
      <c r="P424" s="1116"/>
      <c r="Q424" s="1198"/>
      <c r="R424" s="1198"/>
      <c r="S424" s="1198"/>
      <c r="T424" s="1198"/>
      <c r="U424" s="1198"/>
      <c r="V424" s="1198"/>
      <c r="W424" s="1198"/>
      <c r="X424" s="1198"/>
      <c r="Y424" s="1198"/>
      <c r="Z424" s="1198"/>
      <c r="AA424" s="1198"/>
      <c r="AB424" s="1198"/>
      <c r="AC424" s="1198"/>
      <c r="AD424" s="1198"/>
      <c r="AE424" s="1198"/>
      <c r="AF424" s="1198"/>
      <c r="AG424" s="1198"/>
      <c r="AH424" s="1198"/>
      <c r="AI424" s="1198"/>
      <c r="AJ424" s="1198"/>
      <c r="AK424" s="1198"/>
      <c r="AL424" s="1198"/>
      <c r="AP424" s="1121"/>
    </row>
    <row r="425" spans="1:42" s="1119" customFormat="1" hidden="1">
      <c r="A425" s="1116"/>
      <c r="B425" s="1116"/>
      <c r="C425" s="1116"/>
      <c r="D425" s="1116"/>
      <c r="E425" s="1116"/>
      <c r="F425" s="1116"/>
      <c r="G425" s="1116"/>
      <c r="H425" s="1116"/>
      <c r="I425" s="1116"/>
      <c r="J425" s="1116"/>
      <c r="K425" s="1116"/>
      <c r="L425" s="1116"/>
      <c r="M425" s="1116"/>
      <c r="N425" s="1116"/>
      <c r="O425" s="1116"/>
      <c r="P425" s="1116"/>
      <c r="Q425" s="1198"/>
      <c r="R425" s="1198"/>
      <c r="S425" s="1198"/>
      <c r="T425" s="1198"/>
      <c r="U425" s="1198"/>
      <c r="V425" s="1198"/>
      <c r="W425" s="1198"/>
      <c r="X425" s="1198"/>
      <c r="Y425" s="1198"/>
      <c r="Z425" s="1198"/>
      <c r="AA425" s="1198"/>
      <c r="AB425" s="1198"/>
      <c r="AC425" s="1198"/>
      <c r="AD425" s="1198"/>
      <c r="AE425" s="1198"/>
      <c r="AF425" s="1198"/>
      <c r="AG425" s="1198"/>
      <c r="AH425" s="1198"/>
      <c r="AI425" s="1198"/>
      <c r="AJ425" s="1198"/>
      <c r="AK425" s="1198"/>
      <c r="AL425" s="1198"/>
      <c r="AP425" s="1121"/>
    </row>
  </sheetData>
  <sheetProtection algorithmName="SHA-512" hashValue="GSacKp9Ph58eFAf2R3t78QOgZOxeDH9SVIvQvOHE35zkb1EjpQtfeCdWYaXJi4ww7/3TE24kdRvzXboBB5f+BQ==" saltValue="/3a6PDY5lttvIy7sdTWR8w==" spinCount="100000" sheet="1" formatCells="0" formatColumns="0" formatRows="0" insertHyperlinks="0"/>
  <mergeCells count="234">
    <mergeCell ref="E406:I406"/>
    <mergeCell ref="E407:G407"/>
    <mergeCell ref="E222:I222"/>
    <mergeCell ref="E223:G223"/>
    <mergeCell ref="E225:I225"/>
    <mergeCell ref="E228:I228"/>
    <mergeCell ref="E229:G229"/>
    <mergeCell ref="D274:N274"/>
    <mergeCell ref="E243:N243"/>
    <mergeCell ref="E246:N246"/>
    <mergeCell ref="E240:N240"/>
    <mergeCell ref="E244:N244"/>
    <mergeCell ref="F251:N251"/>
    <mergeCell ref="E252:N252"/>
    <mergeCell ref="E268:N268"/>
    <mergeCell ref="E272:N272"/>
    <mergeCell ref="E265:N265"/>
    <mergeCell ref="E266:N266"/>
    <mergeCell ref="E267:N267"/>
    <mergeCell ref="E264:N264"/>
    <mergeCell ref="E247:N247"/>
    <mergeCell ref="E248:N248"/>
    <mergeCell ref="E286:N286"/>
    <mergeCell ref="E284:N284"/>
    <mergeCell ref="M3:N3"/>
    <mergeCell ref="I2:J2"/>
    <mergeCell ref="K2:L2"/>
    <mergeCell ref="E2:F2"/>
    <mergeCell ref="F27:N27"/>
    <mergeCell ref="F28:N28"/>
    <mergeCell ref="E29:N29"/>
    <mergeCell ref="E165:N165"/>
    <mergeCell ref="E108:N108"/>
    <mergeCell ref="E142:N142"/>
    <mergeCell ref="F120:N120"/>
    <mergeCell ref="D133:N133"/>
    <mergeCell ref="L106:N106"/>
    <mergeCell ref="E90:N90"/>
    <mergeCell ref="F26:N26"/>
    <mergeCell ref="K4:L4"/>
    <mergeCell ref="L17:N17"/>
    <mergeCell ref="E19:N19"/>
    <mergeCell ref="E18:N18"/>
    <mergeCell ref="E21:N21"/>
    <mergeCell ref="E24:N24"/>
    <mergeCell ref="F25:N25"/>
    <mergeCell ref="E22:N22"/>
    <mergeCell ref="E15:N15"/>
    <mergeCell ref="D412:N412"/>
    <mergeCell ref="M4:N4"/>
    <mergeCell ref="G5:H5"/>
    <mergeCell ref="I5:J5"/>
    <mergeCell ref="K5:L5"/>
    <mergeCell ref="M5:N5"/>
    <mergeCell ref="E125:N125"/>
    <mergeCell ref="E4:F4"/>
    <mergeCell ref="E17:K17"/>
    <mergeCell ref="E131:N131"/>
    <mergeCell ref="E319:N319"/>
    <mergeCell ref="E320:N320"/>
    <mergeCell ref="D307:N307"/>
    <mergeCell ref="E312:N312"/>
    <mergeCell ref="E313:N313"/>
    <mergeCell ref="E315:K315"/>
    <mergeCell ref="E336:F336"/>
    <mergeCell ref="E359:F359"/>
    <mergeCell ref="E361:N361"/>
    <mergeCell ref="E362:N362"/>
    <mergeCell ref="E363:N363"/>
    <mergeCell ref="E338:N338"/>
    <mergeCell ref="E352:N352"/>
    <mergeCell ref="E344:N344"/>
    <mergeCell ref="B2:D4"/>
    <mergeCell ref="G2:H2"/>
    <mergeCell ref="G4:H4"/>
    <mergeCell ref="I4:J4"/>
    <mergeCell ref="M2:N2"/>
    <mergeCell ref="D135:N135"/>
    <mergeCell ref="E92:N92"/>
    <mergeCell ref="E97:N97"/>
    <mergeCell ref="E111:N111"/>
    <mergeCell ref="E115:N115"/>
    <mergeCell ref="E89:N89"/>
    <mergeCell ref="E116:N116"/>
    <mergeCell ref="F117:N117"/>
    <mergeCell ref="E91:N91"/>
    <mergeCell ref="E23:N23"/>
    <mergeCell ref="D7:N7"/>
    <mergeCell ref="D9:N9"/>
    <mergeCell ref="D11:N11"/>
    <mergeCell ref="E13:N13"/>
    <mergeCell ref="E14:N14"/>
    <mergeCell ref="E3:F3"/>
    <mergeCell ref="G3:H3"/>
    <mergeCell ref="I3:J3"/>
    <mergeCell ref="K3:L3"/>
    <mergeCell ref="E410:N410"/>
    <mergeCell ref="L242:N242"/>
    <mergeCell ref="E395:N395"/>
    <mergeCell ref="F154:N154"/>
    <mergeCell ref="E178:N178"/>
    <mergeCell ref="D169:N169"/>
    <mergeCell ref="F185:N185"/>
    <mergeCell ref="E175:N175"/>
    <mergeCell ref="E279:N279"/>
    <mergeCell ref="E345:N345"/>
    <mergeCell ref="E351:N351"/>
    <mergeCell ref="E349:N349"/>
    <mergeCell ref="E398:G398"/>
    <mergeCell ref="E397:G397"/>
    <mergeCell ref="F376:N376"/>
    <mergeCell ref="F377:N377"/>
    <mergeCell ref="D369:N369"/>
    <mergeCell ref="L380:N380"/>
    <mergeCell ref="E374:N374"/>
    <mergeCell ref="F375:N375"/>
    <mergeCell ref="D371:N371"/>
    <mergeCell ref="E399:G399"/>
    <mergeCell ref="E400:I400"/>
    <mergeCell ref="E401:G401"/>
    <mergeCell ref="E93:N93"/>
    <mergeCell ref="E104:N104"/>
    <mergeCell ref="E126:N126"/>
    <mergeCell ref="F118:N118"/>
    <mergeCell ref="D167:N167"/>
    <mergeCell ref="E137:N137"/>
    <mergeCell ref="D99:N99"/>
    <mergeCell ref="D101:N101"/>
    <mergeCell ref="E103:N103"/>
    <mergeCell ref="E138:N138"/>
    <mergeCell ref="E106:K106"/>
    <mergeCell ref="E107:N107"/>
    <mergeCell ref="E110:N110"/>
    <mergeCell ref="E159:N159"/>
    <mergeCell ref="E127:N127"/>
    <mergeCell ref="E161:N161"/>
    <mergeCell ref="E141:N141"/>
    <mergeCell ref="E144:N144"/>
    <mergeCell ref="E145:N145"/>
    <mergeCell ref="F152:N152"/>
    <mergeCell ref="F153:N153"/>
    <mergeCell ref="D234:N234"/>
    <mergeCell ref="D236:N236"/>
    <mergeCell ref="E201:N201"/>
    <mergeCell ref="E202:N202"/>
    <mergeCell ref="E194:N194"/>
    <mergeCell ref="E205:N205"/>
    <mergeCell ref="E149:N149"/>
    <mergeCell ref="E150:N150"/>
    <mergeCell ref="F151:N151"/>
    <mergeCell ref="E184:N184"/>
    <mergeCell ref="E172:N172"/>
    <mergeCell ref="E203:N203"/>
    <mergeCell ref="F186:N186"/>
    <mergeCell ref="F187:N187"/>
    <mergeCell ref="L174:N174"/>
    <mergeCell ref="E179:N179"/>
    <mergeCell ref="D199:N199"/>
    <mergeCell ref="E174:K174"/>
    <mergeCell ref="E176:N176"/>
    <mergeCell ref="E183:N183"/>
    <mergeCell ref="E193:N193"/>
    <mergeCell ref="E288:N288"/>
    <mergeCell ref="E294:N294"/>
    <mergeCell ref="E195:N195"/>
    <mergeCell ref="E171:N171"/>
    <mergeCell ref="E160:N160"/>
    <mergeCell ref="E140:K140"/>
    <mergeCell ref="F119:N119"/>
    <mergeCell ref="L140:N140"/>
    <mergeCell ref="F250:N250"/>
    <mergeCell ref="E282:K282"/>
    <mergeCell ref="E283:N283"/>
    <mergeCell ref="L282:N282"/>
    <mergeCell ref="D276:N276"/>
    <mergeCell ref="E278:N278"/>
    <mergeCell ref="E206:N206"/>
    <mergeCell ref="E212:N212"/>
    <mergeCell ref="E213:N213"/>
    <mergeCell ref="E232:N232"/>
    <mergeCell ref="E239:N239"/>
    <mergeCell ref="E242:K242"/>
    <mergeCell ref="E217:F217"/>
    <mergeCell ref="E219:G219"/>
    <mergeCell ref="E220:G220"/>
    <mergeCell ref="E221:I221"/>
    <mergeCell ref="D342:N342"/>
    <mergeCell ref="D309:N309"/>
    <mergeCell ref="E238:N238"/>
    <mergeCell ref="F226:I226"/>
    <mergeCell ref="E280:N280"/>
    <mergeCell ref="P2:P4"/>
    <mergeCell ref="L315:N315"/>
    <mergeCell ref="E317:N317"/>
    <mergeCell ref="E321:N321"/>
    <mergeCell ref="E334:N334"/>
    <mergeCell ref="E301:N301"/>
    <mergeCell ref="E303:F303"/>
    <mergeCell ref="E326:N326"/>
    <mergeCell ref="E329:F329"/>
    <mergeCell ref="E298:N298"/>
    <mergeCell ref="E299:N299"/>
    <mergeCell ref="E300:N300"/>
    <mergeCell ref="E323:F323"/>
    <mergeCell ref="E325:N325"/>
    <mergeCell ref="E305:N305"/>
    <mergeCell ref="E316:N316"/>
    <mergeCell ref="E292:N292"/>
    <mergeCell ref="E293:N293"/>
    <mergeCell ref="E287:N287"/>
    <mergeCell ref="E311:N311"/>
    <mergeCell ref="E290:F290"/>
    <mergeCell ref="E296:F296"/>
    <mergeCell ref="E249:N249"/>
    <mergeCell ref="F404:I404"/>
    <mergeCell ref="P145:P147"/>
    <mergeCell ref="E327:N327"/>
    <mergeCell ref="E331:N331"/>
    <mergeCell ref="E332:N332"/>
    <mergeCell ref="E333:N333"/>
    <mergeCell ref="E385:N385"/>
    <mergeCell ref="F378:N378"/>
    <mergeCell ref="E380:K380"/>
    <mergeCell ref="E381:N381"/>
    <mergeCell ref="E384:N384"/>
    <mergeCell ref="E347:K347"/>
    <mergeCell ref="E348:N348"/>
    <mergeCell ref="E382:N382"/>
    <mergeCell ref="E353:N353"/>
    <mergeCell ref="E373:N373"/>
    <mergeCell ref="L347:N347"/>
    <mergeCell ref="E365:F365"/>
    <mergeCell ref="E367:N367"/>
    <mergeCell ref="D340:N340"/>
  </mergeCells>
  <phoneticPr fontId="33" type="noConversion"/>
  <conditionalFormatting sqref="I32:I87">
    <cfRule type="expression" dxfId="369" priority="7" stopIfTrue="1">
      <formula>AD32</formula>
    </cfRule>
  </conditionalFormatting>
  <conditionalFormatting sqref="I113 I122:I123">
    <cfRule type="expression" dxfId="368" priority="9" stopIfTrue="1">
      <formula>AD113</formula>
    </cfRule>
  </conditionalFormatting>
  <conditionalFormatting sqref="I147 I156:I157">
    <cfRule type="expression" dxfId="367" priority="6" stopIfTrue="1">
      <formula>AD147</formula>
    </cfRule>
  </conditionalFormatting>
  <conditionalFormatting sqref="I181 I189:I191">
    <cfRule type="expression" dxfId="366" priority="8" stopIfTrue="1">
      <formula>AD181</formula>
    </cfRule>
  </conditionalFormatting>
  <conditionalFormatting sqref="I255:I262">
    <cfRule type="expression" dxfId="365" priority="5" stopIfTrue="1">
      <formula>AD255</formula>
    </cfRule>
  </conditionalFormatting>
  <conditionalFormatting sqref="I290 I296">
    <cfRule type="expression" dxfId="364" priority="4" stopIfTrue="1">
      <formula>AD290</formula>
    </cfRule>
  </conditionalFormatting>
  <conditionalFormatting sqref="I323 I329">
    <cfRule type="expression" dxfId="363" priority="3" stopIfTrue="1">
      <formula>AD323</formula>
    </cfRule>
  </conditionalFormatting>
  <conditionalFormatting sqref="I355:I358">
    <cfRule type="expression" dxfId="362" priority="2" stopIfTrue="1">
      <formula>AD355</formula>
    </cfRule>
  </conditionalFormatting>
  <conditionalFormatting sqref="I387 H388:I388 I389">
    <cfRule type="expression" dxfId="361" priority="1" stopIfTrue="1">
      <formula>AC387</formula>
    </cfRule>
  </conditionalFormatting>
  <conditionalFormatting sqref="Z223">
    <cfRule type="expression" dxfId="360" priority="20" stopIfTrue="1">
      <formula>INDEX($AJ:$AJ,MATCH(MAX(INDIRECT(ADDRESS(1,3)&amp;":"&amp;ADDRESS(ROW(#REF!),3))),$C:$C,0))</formula>
    </cfRule>
  </conditionalFormatting>
  <dataValidations disablePrompts="1" count="2">
    <dataValidation type="decimal" allowBlank="1" showInputMessage="1" showErrorMessage="1" errorTitle="0 &lt; value &lt; 1" error="Values should be between 0 and 1." sqref="I296:N296 I329:N329" xr:uid="{00000000-0002-0000-0A00-000000000000}">
      <formula1>0</formula1>
      <formula2>1</formula2>
    </dataValidation>
    <dataValidation type="decimal" allowBlank="1" showInputMessage="1" showErrorMessage="1" errorTitle="0 &lt; value &lt; 100" error="Values should be between 0 and 100." sqref="I122:N123 I156:N157" xr:uid="{00000000-0002-0000-0A00-000001000000}">
      <formula1>0</formula1>
      <formula2>100</formula2>
    </dataValidation>
  </dataValidations>
  <hyperlinks>
    <hyperlink ref="G3:H3" location="JUMP_H_I" display="JUMP_H_I" xr:uid="{00000000-0004-0000-0A00-000004000000}"/>
    <hyperlink ref="I3:J3" location="JUMP_H_II" display="JUMP_H_II" xr:uid="{00000000-0004-0000-0A00-000005000000}"/>
    <hyperlink ref="K3:L3" location="JUMP_H_III" display="JUMP_H_III" xr:uid="{00000000-0004-0000-0A00-000006000000}"/>
    <hyperlink ref="M3:N3" location="JUMP_H_IV" display="JUMP_H_IV" xr:uid="{00000000-0004-0000-0A00-000007000000}"/>
    <hyperlink ref="G4:H4" location="JUMP_H_V" display="JUMP_H_V" xr:uid="{00000000-0004-0000-0A00-000008000000}"/>
    <hyperlink ref="I4:J4" location="JUMP_H_VI" display="JUMP_H_VI" xr:uid="{00000000-0004-0000-0A00-000009000000}"/>
    <hyperlink ref="K4:L4" location="JUMP_H_VII" display="JUMP_H_VII" xr:uid="{00000000-0004-0000-0A00-00000A000000}"/>
    <hyperlink ref="M4:N4" location="JUMP_H_VIII" display="JUMP_H_VIII" xr:uid="{00000000-0004-0000-0A00-00000B000000}"/>
    <hyperlink ref="G5:H5" location="JUMP_H_IX" display="JUMP_H_IX" xr:uid="{00000000-0004-0000-0A00-00000C000000}"/>
    <hyperlink ref="E3:F3" location="H_SpecialBM!B6" display="Top of sheet" xr:uid="{A00D7F30-B021-41AE-8BB7-D117C3A1CCA7}"/>
    <hyperlink ref="E4:F4" location="H_SpecialBM!B412" display="End of sheet" xr:uid="{7C8C0018-96C1-4714-A58A-50436A725059}"/>
    <hyperlink ref="G2:H2" location="a_Contents!B5" display="Table of contents" xr:uid="{2E80D6F5-0066-4632-B5C2-86D0BEB55A35}"/>
    <hyperlink ref="I2:J2" location="'G_Fall-back'!B5" display="Previous sheet" xr:uid="{B9D7CD30-ACD7-49D4-8B0F-70AA2E3894E9}"/>
    <hyperlink ref="K2:L2" location="J_Comments!B5" display="Next sheet" xr:uid="{C2EDE38C-1ABF-4755-82A3-11DE688280CE}"/>
    <hyperlink ref="M2:N2" location="K_Summary!B5" display="Summary" xr:uid="{0411E44E-6DF1-4742-9AC5-CB663081796F}"/>
    <hyperlink ref="D412:N412" location="J_Comments!B5" display="&lt;&lt;&lt; Click here to proceed to next sheet &gt;&gt;&gt; " xr:uid="{1AAB1D9E-FCB4-43A0-9EB2-B47FC72D1A22}"/>
  </hyperlinks>
  <pageMargins left="0.78740157480314965" right="0.78740157480314965" top="0.78740157480314965" bottom="0.78740157480314965" header="0.51181102362204722" footer="0.51181102362204722"/>
  <pageSetup paperSize="9" scale="47" fitToHeight="12" orientation="portrait" r:id="rId1"/>
  <headerFooter alignWithMargins="0">
    <oddHeader>&amp;L&amp;F; &amp;A&amp;R&amp;D; &amp;T</oddHeader>
    <oddFooter>&amp;C&amp;P / &amp;N</oddFooter>
  </headerFooter>
  <rowBreaks count="3" manualBreakCount="3">
    <brk id="97" min="1" max="15" man="1"/>
    <brk id="232" min="1" max="15" man="1"/>
    <brk id="339" min="1"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8">
    <tabColor indexed="9"/>
    <pageSetUpPr fitToPage="1"/>
  </sheetPr>
  <dimension ref="A1:M31"/>
  <sheetViews>
    <sheetView zoomScale="80" zoomScaleNormal="100" workbookViewId="0">
      <pane ySplit="3" topLeftCell="A4" activePane="bottomLeft" state="frozen"/>
      <selection pane="bottomLeft" activeCell="B5" sqref="B5"/>
    </sheetView>
  </sheetViews>
  <sheetFormatPr defaultColWidth="0" defaultRowHeight="12.75" zeroHeight="1"/>
  <cols>
    <col min="1" max="1" width="2.7109375" style="1124" hidden="1" customWidth="1"/>
    <col min="2" max="3" width="4.7109375" style="1124" customWidth="1"/>
    <col min="4" max="13" width="12.7109375" style="1124" customWidth="1"/>
    <col min="14" max="14" width="4.7109375" style="1124" customWidth="1"/>
    <col min="15" max="16384" width="0" style="1124" hidden="1"/>
  </cols>
  <sheetData>
    <row r="1" spans="1:13" ht="13.5" hidden="1" thickBot="1">
      <c r="A1" s="2348" t="s">
        <v>585</v>
      </c>
      <c r="B1" s="3114"/>
      <c r="C1" s="3115"/>
      <c r="D1" s="2057" t="s">
        <v>572</v>
      </c>
      <c r="E1" s="2058"/>
      <c r="F1" s="3428" t="s">
        <v>573</v>
      </c>
      <c r="G1" s="3426"/>
      <c r="H1" s="3426" t="s">
        <v>578</v>
      </c>
      <c r="I1" s="3426"/>
      <c r="J1" s="3426" t="s">
        <v>574</v>
      </c>
      <c r="K1" s="3426"/>
      <c r="L1" s="3426" t="s">
        <v>575</v>
      </c>
      <c r="M1" s="3426"/>
    </row>
    <row r="2" spans="1:13" ht="13.5" thickBot="1">
      <c r="A2" s="2445"/>
      <c r="B2" s="2446"/>
      <c r="C2" s="3116"/>
      <c r="D2" s="3426" t="s">
        <v>576</v>
      </c>
      <c r="E2" s="3427"/>
      <c r="F2" s="3315"/>
      <c r="G2" s="3315"/>
      <c r="H2" s="3315"/>
      <c r="I2" s="3315"/>
      <c r="J2" s="3315"/>
      <c r="K2" s="3315"/>
      <c r="L2" s="3315"/>
      <c r="M2" s="3315"/>
    </row>
    <row r="3" spans="1:13" ht="13.5" thickBot="1">
      <c r="A3" s="2448"/>
      <c r="B3" s="2449"/>
      <c r="C3" s="2450"/>
      <c r="D3" s="3426" t="s">
        <v>577</v>
      </c>
      <c r="E3" s="3426"/>
      <c r="F3" s="3315"/>
      <c r="G3" s="3315"/>
      <c r="H3" s="3315"/>
      <c r="I3" s="3315"/>
      <c r="J3" s="3315"/>
      <c r="K3" s="3315"/>
      <c r="L3" s="3315"/>
      <c r="M3" s="3315"/>
    </row>
    <row r="4" spans="1:13">
      <c r="A4" s="467"/>
      <c r="B4" s="1120"/>
      <c r="C4" s="467"/>
      <c r="D4" s="467"/>
      <c r="E4" s="466"/>
      <c r="F4" s="466"/>
      <c r="G4" s="466"/>
      <c r="H4" s="467"/>
      <c r="I4" s="467"/>
      <c r="J4" s="467"/>
      <c r="K4" s="467"/>
      <c r="L4" s="481"/>
      <c r="M4" s="481"/>
    </row>
    <row r="5" spans="1:13" ht="23.25" customHeight="1">
      <c r="A5" s="467"/>
      <c r="B5" s="478" t="s">
        <v>686</v>
      </c>
      <c r="C5" s="478" t="s">
        <v>294</v>
      </c>
      <c r="D5" s="478"/>
      <c r="E5" s="478"/>
      <c r="F5" s="478"/>
      <c r="G5" s="478"/>
      <c r="H5" s="478"/>
      <c r="I5" s="478"/>
      <c r="J5" s="478"/>
      <c r="K5" s="478"/>
      <c r="L5" s="481"/>
      <c r="M5" s="481"/>
    </row>
    <row r="6" spans="1:13">
      <c r="A6" s="467"/>
      <c r="B6" s="467"/>
      <c r="C6" s="467"/>
      <c r="D6" s="467"/>
      <c r="E6" s="467"/>
      <c r="F6" s="467"/>
      <c r="G6" s="467"/>
      <c r="H6" s="467"/>
      <c r="I6" s="467"/>
      <c r="J6" s="467"/>
      <c r="K6" s="467"/>
      <c r="L6" s="481"/>
      <c r="M6" s="481"/>
    </row>
    <row r="7" spans="1:13" ht="15.75">
      <c r="A7" s="467"/>
      <c r="B7" s="507" t="s">
        <v>1018</v>
      </c>
      <c r="C7" s="558" t="s">
        <v>295</v>
      </c>
      <c r="D7" s="558"/>
      <c r="E7" s="558"/>
      <c r="F7" s="558"/>
      <c r="G7" s="558"/>
      <c r="H7" s="558"/>
      <c r="I7" s="558"/>
      <c r="J7" s="558"/>
      <c r="K7" s="558"/>
      <c r="L7" s="558"/>
      <c r="M7" s="558"/>
    </row>
    <row r="8" spans="1:13" ht="5.0999999999999996" customHeight="1">
      <c r="A8" s="467"/>
      <c r="B8" s="467"/>
      <c r="C8" s="467"/>
      <c r="D8" s="467"/>
      <c r="E8" s="467"/>
      <c r="F8" s="467"/>
      <c r="G8" s="467"/>
      <c r="H8" s="467"/>
      <c r="I8" s="467"/>
      <c r="J8" s="467"/>
      <c r="K8" s="467"/>
      <c r="L8" s="481"/>
      <c r="M8" s="481"/>
    </row>
    <row r="9" spans="1:13"/>
    <row r="10" spans="1:13"/>
    <row r="11" spans="1:13"/>
    <row r="12" spans="1:13"/>
    <row r="13" spans="1:13"/>
    <row r="14" spans="1:13"/>
    <row r="15" spans="1:13"/>
    <row r="16" spans="1:13"/>
    <row r="17" spans="3:13"/>
    <row r="18" spans="3:13"/>
    <row r="19" spans="3:13"/>
    <row r="20" spans="3:13"/>
    <row r="21" spans="3:13"/>
    <row r="22" spans="3:13"/>
    <row r="23" spans="3:13"/>
    <row r="24" spans="3:13"/>
    <row r="25" spans="3:13"/>
    <row r="26" spans="3:13"/>
    <row r="27" spans="3:13"/>
    <row r="28" spans="3:13"/>
    <row r="29" spans="3:13"/>
    <row r="30" spans="3:13">
      <c r="C30" s="3424" t="s">
        <v>1014</v>
      </c>
      <c r="D30" s="3425"/>
      <c r="E30" s="3425"/>
      <c r="F30" s="3425"/>
      <c r="G30" s="3425"/>
      <c r="H30" s="3424"/>
      <c r="I30" s="3424"/>
      <c r="J30" s="3424"/>
      <c r="K30" s="3424"/>
      <c r="L30" s="3424"/>
      <c r="M30" s="3424"/>
    </row>
    <row r="31" spans="3:13"/>
  </sheetData>
  <sheetProtection algorithmName="SHA-512" hashValue="NoFdA+XNWbX7+Xiatj/QnapXgCSWJp6l0ebJj3lij1lajTAaPhQha2q1dI5qMFHzlFDY8BR2Soa+auoTAorV+g==" saltValue="9raedlawzv0N0KGP6RVt3Q==" spinCount="100000" sheet="1" formatCells="0" formatColumns="0" formatRows="0" insertHyperlinks="0"/>
  <mergeCells count="16">
    <mergeCell ref="J3:K3"/>
    <mergeCell ref="L3:M3"/>
    <mergeCell ref="C30:M30"/>
    <mergeCell ref="J1:K1"/>
    <mergeCell ref="L1:M1"/>
    <mergeCell ref="D2:E2"/>
    <mergeCell ref="F2:G2"/>
    <mergeCell ref="H2:I2"/>
    <mergeCell ref="J2:K2"/>
    <mergeCell ref="L2:M2"/>
    <mergeCell ref="A1:C3"/>
    <mergeCell ref="F1:G1"/>
    <mergeCell ref="H1:I1"/>
    <mergeCell ref="D3:E3"/>
    <mergeCell ref="F3:G3"/>
    <mergeCell ref="H3:I3"/>
  </mergeCells>
  <phoneticPr fontId="33" type="noConversion"/>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tabColor indexed="9"/>
    <pageSetUpPr fitToPage="1"/>
  </sheetPr>
  <dimension ref="A1:R200"/>
  <sheetViews>
    <sheetView topLeftCell="B1" zoomScaleNormal="100" workbookViewId="0">
      <pane ySplit="4" topLeftCell="A5" activePane="bottomLeft" state="frozen"/>
      <selection pane="bottomLeft" activeCell="B5" sqref="B5"/>
    </sheetView>
  </sheetViews>
  <sheetFormatPr defaultColWidth="0" defaultRowHeight="12.75"/>
  <cols>
    <col min="1" max="1" width="9.140625" style="1116" hidden="1" customWidth="1"/>
    <col min="2" max="2" width="2.7109375" style="2063" customWidth="1"/>
    <col min="3" max="3" width="5.7109375" style="2063" customWidth="1"/>
    <col min="4" max="4" width="4.7109375" style="2063" customWidth="1"/>
    <col min="5" max="5" width="30.7109375" style="2063" customWidth="1"/>
    <col min="6" max="14" width="13.7109375" style="2063" customWidth="1"/>
    <col min="15" max="15" width="4.7109375" style="2063" customWidth="1"/>
    <col min="16" max="17" width="25.7109375" style="1116" hidden="1" customWidth="1"/>
    <col min="18" max="16384" width="0" style="1116" hidden="1"/>
  </cols>
  <sheetData>
    <row r="1" spans="2:18" ht="13.5" hidden="1" thickBot="1">
      <c r="B1" s="1116"/>
      <c r="C1" s="1116"/>
      <c r="D1" s="1116"/>
      <c r="E1" s="1116"/>
      <c r="F1" s="1116"/>
      <c r="G1" s="1116"/>
      <c r="H1" s="1116"/>
      <c r="I1" s="1116"/>
      <c r="J1" s="1116"/>
      <c r="K1" s="1116"/>
      <c r="L1" s="1116"/>
      <c r="M1" s="1116"/>
      <c r="N1" s="1116"/>
      <c r="O1" s="1116"/>
    </row>
    <row r="2" spans="2:18" ht="13.5" thickBot="1">
      <c r="B2" s="2348" t="s">
        <v>586</v>
      </c>
      <c r="C2" s="3114"/>
      <c r="D2" s="3115"/>
      <c r="E2" s="2057" t="s">
        <v>572</v>
      </c>
      <c r="F2" s="2058"/>
      <c r="G2" s="2360" t="s">
        <v>573</v>
      </c>
      <c r="H2" s="2451"/>
      <c r="I2" s="2451" t="s">
        <v>578</v>
      </c>
      <c r="J2" s="2451"/>
      <c r="K2" s="2451" t="s">
        <v>574</v>
      </c>
      <c r="L2" s="2451"/>
      <c r="M2" s="2451" t="s">
        <v>575</v>
      </c>
      <c r="N2" s="2451"/>
      <c r="O2" s="1124"/>
    </row>
    <row r="3" spans="2:18" ht="13.5" thickBot="1">
      <c r="B3" s="2445"/>
      <c r="C3" s="2446"/>
      <c r="D3" s="3116"/>
      <c r="E3" s="2451" t="s">
        <v>576</v>
      </c>
      <c r="F3" s="2454"/>
      <c r="G3" s="3315"/>
      <c r="H3" s="3315"/>
      <c r="I3" s="3315"/>
      <c r="J3" s="3315"/>
      <c r="K3" s="3315"/>
      <c r="L3" s="3315"/>
      <c r="M3" s="3315"/>
      <c r="N3" s="3315"/>
      <c r="O3" s="1124"/>
    </row>
    <row r="4" spans="2:18" ht="13.5" thickBot="1">
      <c r="B4" s="2448"/>
      <c r="C4" s="2449"/>
      <c r="D4" s="2450"/>
      <c r="E4" s="2451" t="s">
        <v>577</v>
      </c>
      <c r="F4" s="2451"/>
      <c r="G4" s="3315"/>
      <c r="H4" s="3315"/>
      <c r="I4" s="3315"/>
      <c r="J4" s="3315"/>
      <c r="K4" s="3315"/>
      <c r="L4" s="3315"/>
      <c r="M4" s="3315"/>
      <c r="N4" s="3315"/>
      <c r="O4" s="1124"/>
      <c r="R4" s="618"/>
    </row>
    <row r="5" spans="2:18">
      <c r="B5" s="467"/>
      <c r="C5" s="1120"/>
      <c r="D5" s="467"/>
      <c r="E5" s="467"/>
      <c r="F5" s="466"/>
      <c r="G5" s="466"/>
      <c r="H5" s="466"/>
      <c r="I5" s="467"/>
      <c r="J5" s="467"/>
      <c r="K5" s="467"/>
      <c r="L5" s="467"/>
      <c r="M5" s="481"/>
      <c r="N5" s="481"/>
      <c r="O5" s="1124"/>
      <c r="R5" s="618"/>
    </row>
    <row r="6" spans="2:18" ht="23.25" customHeight="1">
      <c r="B6" s="467"/>
      <c r="C6" s="478" t="s">
        <v>688</v>
      </c>
      <c r="D6" s="2424" t="s">
        <v>687</v>
      </c>
      <c r="E6" s="2400"/>
      <c r="F6" s="2400"/>
      <c r="G6" s="2400"/>
      <c r="H6" s="2400"/>
      <c r="I6" s="2400"/>
      <c r="J6" s="2400"/>
      <c r="K6" s="2400"/>
      <c r="L6" s="2400"/>
      <c r="M6" s="2400"/>
      <c r="N6" s="2400"/>
      <c r="O6" s="1124"/>
    </row>
    <row r="7" spans="2:18">
      <c r="B7" s="467"/>
      <c r="C7" s="467"/>
      <c r="D7" s="467"/>
      <c r="E7" s="467"/>
      <c r="F7" s="467"/>
      <c r="G7" s="467"/>
      <c r="H7" s="467"/>
      <c r="I7" s="467"/>
      <c r="J7" s="467"/>
      <c r="K7" s="467"/>
      <c r="L7" s="467"/>
      <c r="M7" s="481"/>
      <c r="N7" s="481"/>
      <c r="O7" s="1124"/>
    </row>
    <row r="8" spans="2:18" ht="15.6" customHeight="1">
      <c r="B8" s="467"/>
      <c r="C8" s="507" t="s">
        <v>1018</v>
      </c>
      <c r="D8" s="2408" t="s">
        <v>20</v>
      </c>
      <c r="E8" s="2408"/>
      <c r="F8" s="2408"/>
      <c r="G8" s="2408"/>
      <c r="H8" s="2408"/>
      <c r="I8" s="2408"/>
      <c r="J8" s="2408"/>
      <c r="K8" s="2408"/>
      <c r="L8" s="2408"/>
      <c r="M8" s="2408"/>
      <c r="N8" s="2408"/>
      <c r="O8" s="1124"/>
    </row>
    <row r="9" spans="2:18" ht="5.0999999999999996" customHeight="1">
      <c r="B9" s="467"/>
      <c r="C9" s="467"/>
      <c r="D9" s="467"/>
      <c r="E9" s="467"/>
      <c r="F9" s="467"/>
      <c r="G9" s="467"/>
      <c r="H9" s="467"/>
      <c r="I9" s="467"/>
      <c r="J9" s="467"/>
      <c r="K9" s="467"/>
      <c r="L9" s="467"/>
      <c r="M9" s="481"/>
      <c r="N9" s="481"/>
      <c r="O9" s="1124"/>
    </row>
    <row r="10" spans="2:18" ht="13.9" customHeight="1">
      <c r="B10" s="467"/>
      <c r="C10" s="559"/>
      <c r="D10" s="2482" t="s">
        <v>19</v>
      </c>
      <c r="E10" s="2400"/>
      <c r="F10" s="2400"/>
      <c r="G10" s="2400"/>
      <c r="H10" s="2400"/>
      <c r="I10" s="2400"/>
      <c r="J10" s="2400"/>
      <c r="K10" s="2400"/>
      <c r="L10" s="2400"/>
      <c r="M10" s="2400"/>
      <c r="N10" s="2400"/>
      <c r="O10" s="1124"/>
    </row>
    <row r="11" spans="2:18" ht="13.15" customHeight="1">
      <c r="B11" s="467"/>
      <c r="C11" s="485"/>
      <c r="D11" s="2385" t="s">
        <v>24</v>
      </c>
      <c r="E11" s="2846"/>
      <c r="F11" s="2846"/>
      <c r="G11" s="2846"/>
      <c r="H11" s="2846"/>
      <c r="I11" s="2846"/>
      <c r="J11" s="2846"/>
      <c r="K11" s="2846"/>
      <c r="L11" s="2846"/>
      <c r="M11" s="2846"/>
      <c r="N11" s="2846"/>
      <c r="O11" s="1124"/>
    </row>
    <row r="12" spans="2:18" ht="13.15" customHeight="1">
      <c r="B12" s="467"/>
      <c r="C12" s="485"/>
      <c r="D12" s="2385" t="s">
        <v>25</v>
      </c>
      <c r="E12" s="2846"/>
      <c r="F12" s="2846"/>
      <c r="G12" s="2846"/>
      <c r="H12" s="2846"/>
      <c r="I12" s="2846"/>
      <c r="J12" s="2846"/>
      <c r="K12" s="2846"/>
      <c r="L12" s="2846"/>
      <c r="M12" s="2846"/>
      <c r="N12" s="2846"/>
      <c r="O12" s="1124"/>
    </row>
    <row r="13" spans="2:18" ht="13.15" customHeight="1">
      <c r="B13" s="467"/>
      <c r="C13" s="485"/>
      <c r="D13" s="2385" t="s">
        <v>2159</v>
      </c>
      <c r="E13" s="2846"/>
      <c r="F13" s="2846"/>
      <c r="G13" s="2846"/>
      <c r="H13" s="2846"/>
      <c r="I13" s="2846"/>
      <c r="J13" s="2846"/>
      <c r="K13" s="2846"/>
      <c r="L13" s="2846"/>
      <c r="M13" s="2846"/>
      <c r="N13" s="2846"/>
      <c r="O13" s="1124"/>
    </row>
    <row r="14" spans="2:18" ht="13.15" customHeight="1">
      <c r="B14" s="467"/>
      <c r="C14" s="485"/>
      <c r="D14" s="2385" t="s">
        <v>689</v>
      </c>
      <c r="E14" s="2846"/>
      <c r="F14" s="2846"/>
      <c r="G14" s="2846"/>
      <c r="H14" s="2846"/>
      <c r="I14" s="2846"/>
      <c r="J14" s="2846"/>
      <c r="K14" s="2846"/>
      <c r="L14" s="2846"/>
      <c r="M14" s="2846"/>
      <c r="N14" s="2846"/>
      <c r="O14" s="1124"/>
    </row>
    <row r="15" spans="2:18" ht="13.15" customHeight="1">
      <c r="B15" s="467"/>
      <c r="C15" s="485"/>
      <c r="D15" s="2385" t="s">
        <v>620</v>
      </c>
      <c r="E15" s="2846"/>
      <c r="F15" s="2846"/>
      <c r="G15" s="2846"/>
      <c r="H15" s="2846"/>
      <c r="I15" s="2846"/>
      <c r="J15" s="2846"/>
      <c r="K15" s="2846"/>
      <c r="L15" s="2846"/>
      <c r="M15" s="2846"/>
      <c r="N15" s="2846"/>
      <c r="O15" s="1124"/>
    </row>
    <row r="16" spans="2:18" ht="5.0999999999999996" customHeight="1">
      <c r="B16" s="467"/>
      <c r="C16" s="467"/>
      <c r="D16" s="467"/>
      <c r="E16" s="467"/>
      <c r="F16" s="467"/>
      <c r="G16" s="467"/>
      <c r="H16" s="467"/>
      <c r="I16" s="467"/>
      <c r="J16" s="467"/>
      <c r="K16" s="467"/>
      <c r="L16" s="467"/>
      <c r="M16" s="481"/>
      <c r="N16" s="481"/>
      <c r="O16" s="1124"/>
    </row>
    <row r="17" spans="2:15" ht="13.15" customHeight="1">
      <c r="B17" s="467"/>
      <c r="C17" s="482" t="s">
        <v>400</v>
      </c>
      <c r="D17" s="2373" t="s">
        <v>2752</v>
      </c>
      <c r="E17" s="2400"/>
      <c r="F17" s="2400"/>
      <c r="G17" s="2400"/>
      <c r="H17" s="2400"/>
      <c r="I17" s="2400"/>
      <c r="J17" s="2400"/>
      <c r="K17" s="2400"/>
      <c r="L17" s="2400"/>
      <c r="M17" s="2400"/>
      <c r="N17" s="2400"/>
      <c r="O17" s="1124"/>
    </row>
    <row r="18" spans="2:15" ht="13.15" customHeight="1">
      <c r="B18" s="1124"/>
      <c r="C18" s="485"/>
      <c r="D18" s="3050" t="s">
        <v>21</v>
      </c>
      <c r="E18" s="2846"/>
      <c r="F18" s="2846"/>
      <c r="G18" s="2846"/>
      <c r="H18" s="2846"/>
      <c r="I18" s="2846"/>
      <c r="J18" s="2846"/>
      <c r="K18" s="2846"/>
      <c r="L18" s="2846"/>
      <c r="M18" s="2846"/>
      <c r="N18" s="2846"/>
      <c r="O18" s="1124"/>
    </row>
    <row r="19" spans="2:15" ht="5.0999999999999996" customHeight="1">
      <c r="B19" s="467"/>
      <c r="C19" s="467"/>
      <c r="D19" s="467"/>
      <c r="E19" s="467"/>
      <c r="F19" s="467"/>
      <c r="G19" s="467"/>
      <c r="H19" s="467"/>
      <c r="I19" s="467"/>
      <c r="J19" s="467"/>
      <c r="K19" s="467"/>
      <c r="L19" s="467"/>
      <c r="M19" s="481"/>
      <c r="N19" s="481"/>
      <c r="O19" s="1124"/>
    </row>
    <row r="20" spans="2:15" ht="13.15" customHeight="1">
      <c r="B20" s="1124"/>
      <c r="C20" s="485"/>
      <c r="D20" s="485"/>
      <c r="E20" s="3045" t="s">
        <v>22</v>
      </c>
      <c r="F20" s="2724"/>
      <c r="G20" s="2723" t="s">
        <v>23</v>
      </c>
      <c r="H20" s="2421"/>
      <c r="I20" s="2421"/>
      <c r="J20" s="2421"/>
      <c r="K20" s="2421"/>
      <c r="L20" s="2421"/>
      <c r="M20" s="2421"/>
      <c r="N20" s="2421"/>
      <c r="O20" s="1124"/>
    </row>
    <row r="21" spans="2:15">
      <c r="B21" s="1124"/>
      <c r="C21" s="485"/>
      <c r="D21" s="485"/>
      <c r="E21" s="3438"/>
      <c r="F21" s="3439"/>
      <c r="G21" s="3440"/>
      <c r="H21" s="3441"/>
      <c r="I21" s="3441"/>
      <c r="J21" s="3441"/>
      <c r="K21" s="3441"/>
      <c r="L21" s="3441"/>
      <c r="M21" s="3441"/>
      <c r="N21" s="3441"/>
      <c r="O21" s="1124"/>
    </row>
    <row r="22" spans="2:15">
      <c r="B22" s="1124"/>
      <c r="C22" s="485"/>
      <c r="D22" s="485"/>
      <c r="E22" s="3032"/>
      <c r="F22" s="3432"/>
      <c r="G22" s="3031"/>
      <c r="H22" s="3434"/>
      <c r="I22" s="3434"/>
      <c r="J22" s="3434"/>
      <c r="K22" s="3434"/>
      <c r="L22" s="3434"/>
      <c r="M22" s="3434"/>
      <c r="N22" s="3434"/>
      <c r="O22" s="1124"/>
    </row>
    <row r="23" spans="2:15">
      <c r="B23" s="1124"/>
      <c r="C23" s="485"/>
      <c r="D23" s="485"/>
      <c r="E23" s="2971"/>
      <c r="F23" s="3433"/>
      <c r="G23" s="2970"/>
      <c r="H23" s="3435"/>
      <c r="I23" s="3435"/>
      <c r="J23" s="3435"/>
      <c r="K23" s="3435"/>
      <c r="L23" s="3435"/>
      <c r="M23" s="3435"/>
      <c r="N23" s="3435"/>
      <c r="O23" s="1124"/>
    </row>
    <row r="24" spans="2:15" ht="5.0999999999999996" customHeight="1">
      <c r="B24" s="467"/>
      <c r="C24" s="467"/>
      <c r="D24" s="467"/>
      <c r="E24" s="467"/>
      <c r="F24" s="467"/>
      <c r="G24" s="467"/>
      <c r="H24" s="467"/>
      <c r="I24" s="467"/>
      <c r="J24" s="467"/>
      <c r="K24" s="467"/>
      <c r="L24" s="467"/>
      <c r="M24" s="481"/>
      <c r="N24" s="481"/>
      <c r="O24" s="1124"/>
    </row>
    <row r="25" spans="2:15" ht="13.15" customHeight="1">
      <c r="B25" s="467"/>
      <c r="C25" s="482" t="s">
        <v>876</v>
      </c>
      <c r="D25" s="2373" t="s">
        <v>1624</v>
      </c>
      <c r="E25" s="2400"/>
      <c r="F25" s="2400"/>
      <c r="G25" s="2400"/>
      <c r="H25" s="2400"/>
      <c r="I25" s="2400"/>
      <c r="J25" s="2400"/>
      <c r="K25" s="2400"/>
      <c r="L25" s="2400"/>
      <c r="M25" s="2400"/>
      <c r="N25" s="2400"/>
      <c r="O25" s="1124"/>
    </row>
    <row r="26" spans="2:15" ht="13.15" customHeight="1">
      <c r="B26" s="1124"/>
      <c r="C26" s="485"/>
      <c r="D26" s="3050" t="s">
        <v>1623</v>
      </c>
      <c r="E26" s="2846"/>
      <c r="F26" s="2846"/>
      <c r="G26" s="2846"/>
      <c r="H26" s="2846"/>
      <c r="I26" s="2846"/>
      <c r="J26" s="2846"/>
      <c r="K26" s="2846"/>
      <c r="L26" s="2846"/>
      <c r="M26" s="2846"/>
      <c r="N26" s="2846"/>
      <c r="O26" s="1124"/>
    </row>
    <row r="27" spans="2:15" ht="12.75" customHeight="1">
      <c r="B27" s="467"/>
      <c r="C27" s="467"/>
      <c r="D27" s="467"/>
      <c r="E27" s="467"/>
      <c r="F27" s="467"/>
      <c r="G27" s="467"/>
      <c r="H27" s="467"/>
      <c r="I27" s="467"/>
      <c r="J27" s="467"/>
      <c r="K27" s="467"/>
      <c r="L27" s="467"/>
      <c r="M27" s="481"/>
      <c r="N27" s="481"/>
      <c r="O27" s="1124"/>
    </row>
    <row r="28" spans="2:15" s="2060" customFormat="1" ht="25.5" customHeight="1">
      <c r="B28" s="687"/>
      <c r="C28" s="687"/>
      <c r="D28" s="872" t="s">
        <v>522</v>
      </c>
      <c r="E28" s="3121" t="s">
        <v>1625</v>
      </c>
      <c r="F28" s="3121"/>
      <c r="G28" s="3121" t="s">
        <v>831</v>
      </c>
      <c r="H28" s="3121"/>
      <c r="I28" s="870" t="s">
        <v>1629</v>
      </c>
      <c r="J28" s="2634" t="s">
        <v>1621</v>
      </c>
      <c r="K28" s="2636"/>
      <c r="L28" s="3121" t="s">
        <v>1622</v>
      </c>
      <c r="M28" s="3121"/>
      <c r="N28" s="3121"/>
      <c r="O28" s="2059"/>
    </row>
    <row r="29" spans="2:15" ht="12.75" customHeight="1">
      <c r="B29" s="467"/>
      <c r="C29" s="467"/>
      <c r="D29" s="2061" t="str">
        <f>IF(COUNTA(E29:N29)&gt;0,MAX($D$28:D28)+1,"")</f>
        <v/>
      </c>
      <c r="E29" s="3429"/>
      <c r="F29" s="3429"/>
      <c r="G29" s="3429"/>
      <c r="H29" s="3429"/>
      <c r="I29" s="2064"/>
      <c r="J29" s="3430"/>
      <c r="K29" s="3431"/>
      <c r="L29" s="3429"/>
      <c r="M29" s="3429"/>
      <c r="N29" s="3429"/>
      <c r="O29" s="1124"/>
    </row>
    <row r="30" spans="2:15" ht="12.75" customHeight="1">
      <c r="B30" s="467"/>
      <c r="C30" s="467"/>
      <c r="D30" s="2061" t="str">
        <f>IF(COUNTA(E30:N30)&gt;0,MAX($D$28:D29)+1,"")</f>
        <v/>
      </c>
      <c r="E30" s="3429"/>
      <c r="F30" s="3429"/>
      <c r="G30" s="3429"/>
      <c r="H30" s="3429"/>
      <c r="I30" s="2064"/>
      <c r="J30" s="3430"/>
      <c r="K30" s="3431"/>
      <c r="L30" s="3429"/>
      <c r="M30" s="3429"/>
      <c r="N30" s="3429"/>
      <c r="O30" s="1124"/>
    </row>
    <row r="31" spans="2:15" ht="12.75" customHeight="1">
      <c r="B31" s="467"/>
      <c r="C31" s="467"/>
      <c r="D31" s="2061" t="str">
        <f>IF(COUNTA(E31:N31)&gt;0,MAX($D$28:D30)+1,"")</f>
        <v/>
      </c>
      <c r="E31" s="3429"/>
      <c r="F31" s="3429"/>
      <c r="G31" s="3429"/>
      <c r="H31" s="3429"/>
      <c r="I31" s="2064"/>
      <c r="J31" s="3430"/>
      <c r="K31" s="3431"/>
      <c r="L31" s="3429"/>
      <c r="M31" s="3429"/>
      <c r="N31" s="3429"/>
      <c r="O31" s="1124"/>
    </row>
    <row r="32" spans="2:15" ht="12.75" customHeight="1">
      <c r="B32" s="467"/>
      <c r="C32" s="467"/>
      <c r="D32" s="2061" t="str">
        <f>IF(COUNTA(E32:N32)&gt;0,MAX($D$28:D31)+1,"")</f>
        <v/>
      </c>
      <c r="E32" s="3429"/>
      <c r="F32" s="3429"/>
      <c r="G32" s="3429"/>
      <c r="H32" s="3429"/>
      <c r="I32" s="2064"/>
      <c r="J32" s="3430"/>
      <c r="K32" s="3431"/>
      <c r="L32" s="3429"/>
      <c r="M32" s="3429"/>
      <c r="N32" s="3429"/>
      <c r="O32" s="1124"/>
    </row>
    <row r="33" spans="2:15" ht="12.75" customHeight="1">
      <c r="B33" s="467"/>
      <c r="C33" s="467"/>
      <c r="D33" s="2061" t="str">
        <f>IF(COUNTA(E33:N33)&gt;0,MAX($D$28:D32)+1,"")</f>
        <v/>
      </c>
      <c r="E33" s="3429"/>
      <c r="F33" s="3429"/>
      <c r="G33" s="3429"/>
      <c r="H33" s="3429"/>
      <c r="I33" s="2064"/>
      <c r="J33" s="3430"/>
      <c r="K33" s="3431"/>
      <c r="L33" s="3429"/>
      <c r="M33" s="3429"/>
      <c r="N33" s="3429"/>
      <c r="O33" s="1124"/>
    </row>
    <row r="34" spans="2:15" ht="12.75" customHeight="1">
      <c r="B34" s="467"/>
      <c r="C34" s="467"/>
      <c r="D34" s="2061" t="str">
        <f>IF(COUNTA(E34:N34)&gt;0,MAX($D$28:D33)+1,"")</f>
        <v/>
      </c>
      <c r="E34" s="3429"/>
      <c r="F34" s="3429"/>
      <c r="G34" s="3429"/>
      <c r="H34" s="3429"/>
      <c r="I34" s="2064"/>
      <c r="J34" s="3430"/>
      <c r="K34" s="3431"/>
      <c r="L34" s="3429"/>
      <c r="M34" s="3429"/>
      <c r="N34" s="3429"/>
      <c r="O34" s="1124"/>
    </row>
    <row r="35" spans="2:15" ht="5.0999999999999996" customHeight="1">
      <c r="B35" s="467"/>
      <c r="C35" s="467"/>
      <c r="D35" s="467"/>
      <c r="E35" s="467"/>
      <c r="F35" s="467"/>
      <c r="G35" s="467"/>
      <c r="H35" s="467"/>
      <c r="I35" s="467"/>
      <c r="J35" s="467"/>
      <c r="K35" s="467"/>
      <c r="L35" s="467"/>
      <c r="M35" s="481"/>
      <c r="N35" s="481"/>
      <c r="O35" s="1124"/>
    </row>
    <row r="36" spans="2:15" ht="13.15" customHeight="1">
      <c r="B36" s="467"/>
      <c r="C36" s="482" t="s">
        <v>48</v>
      </c>
      <c r="D36" s="2373" t="s">
        <v>379</v>
      </c>
      <c r="E36" s="2400"/>
      <c r="F36" s="2400"/>
      <c r="G36" s="2400"/>
      <c r="H36" s="2400"/>
      <c r="I36" s="2400"/>
      <c r="J36" s="2400"/>
      <c r="K36" s="2400"/>
      <c r="L36" s="2400"/>
      <c r="M36" s="2400"/>
      <c r="N36" s="2400"/>
      <c r="O36" s="1124"/>
    </row>
    <row r="37" spans="2:15" ht="13.15" customHeight="1">
      <c r="B37" s="1124"/>
      <c r="C37" s="485"/>
      <c r="D37" s="3050" t="s">
        <v>21</v>
      </c>
      <c r="E37" s="2846"/>
      <c r="F37" s="2846"/>
      <c r="G37" s="2846"/>
      <c r="H37" s="2846"/>
      <c r="I37" s="2846"/>
      <c r="J37" s="2846"/>
      <c r="K37" s="2846"/>
      <c r="L37" s="2846"/>
      <c r="M37" s="2846"/>
      <c r="N37" s="2846"/>
      <c r="O37" s="1124"/>
    </row>
    <row r="38" spans="2:15" ht="5.0999999999999996" customHeight="1">
      <c r="B38" s="467"/>
      <c r="C38" s="467"/>
      <c r="D38" s="467"/>
      <c r="E38" s="467"/>
      <c r="F38" s="467"/>
      <c r="G38" s="467"/>
      <c r="H38" s="467"/>
      <c r="I38" s="467"/>
      <c r="J38" s="467"/>
      <c r="K38" s="467"/>
      <c r="L38" s="467"/>
      <c r="M38" s="481"/>
      <c r="N38" s="481"/>
      <c r="O38" s="1124"/>
    </row>
    <row r="39" spans="2:15">
      <c r="B39" s="1124"/>
      <c r="C39" s="485"/>
      <c r="D39" s="485"/>
      <c r="E39" s="636" t="s">
        <v>22</v>
      </c>
      <c r="F39" s="1078"/>
      <c r="G39" s="636" t="s">
        <v>23</v>
      </c>
      <c r="H39" s="636"/>
      <c r="I39" s="636"/>
      <c r="J39" s="636"/>
      <c r="K39" s="636"/>
      <c r="L39" s="636"/>
      <c r="M39" s="637"/>
      <c r="N39" s="637"/>
      <c r="O39" s="1124"/>
    </row>
    <row r="40" spans="2:15">
      <c r="B40" s="1124"/>
      <c r="C40" s="485"/>
      <c r="D40" s="485"/>
      <c r="E40" s="3038"/>
      <c r="F40" s="3436"/>
      <c r="G40" s="3037"/>
      <c r="H40" s="3437"/>
      <c r="I40" s="3437"/>
      <c r="J40" s="3437"/>
      <c r="K40" s="3437"/>
      <c r="L40" s="3437"/>
      <c r="M40" s="3437"/>
      <c r="N40" s="3437"/>
      <c r="O40" s="1124"/>
    </row>
    <row r="41" spans="2:15">
      <c r="B41" s="1124"/>
      <c r="C41" s="485"/>
      <c r="D41" s="485"/>
      <c r="E41" s="3032"/>
      <c r="F41" s="3432"/>
      <c r="G41" s="3031"/>
      <c r="H41" s="3434"/>
      <c r="I41" s="3434"/>
      <c r="J41" s="3434"/>
      <c r="K41" s="3434"/>
      <c r="L41" s="3434"/>
      <c r="M41" s="3434"/>
      <c r="N41" s="3434"/>
      <c r="O41" s="1124"/>
    </row>
    <row r="42" spans="2:15">
      <c r="B42" s="1124"/>
      <c r="C42" s="485"/>
      <c r="D42" s="485"/>
      <c r="E42" s="3032"/>
      <c r="F42" s="3432"/>
      <c r="G42" s="3031"/>
      <c r="H42" s="3434"/>
      <c r="I42" s="3434"/>
      <c r="J42" s="3434"/>
      <c r="K42" s="3434"/>
      <c r="L42" s="3434"/>
      <c r="M42" s="3434"/>
      <c r="N42" s="3434"/>
      <c r="O42" s="1124"/>
    </row>
    <row r="43" spans="2:15">
      <c r="B43" s="1124"/>
      <c r="C43" s="485"/>
      <c r="D43" s="485"/>
      <c r="E43" s="3032"/>
      <c r="F43" s="3432"/>
      <c r="G43" s="3031"/>
      <c r="H43" s="3434"/>
      <c r="I43" s="3434"/>
      <c r="J43" s="3434"/>
      <c r="K43" s="3434"/>
      <c r="L43" s="3434"/>
      <c r="M43" s="3434"/>
      <c r="N43" s="3434"/>
      <c r="O43" s="1124"/>
    </row>
    <row r="44" spans="2:15">
      <c r="B44" s="1124"/>
      <c r="C44" s="485"/>
      <c r="D44" s="485"/>
      <c r="E44" s="3032"/>
      <c r="F44" s="3432"/>
      <c r="G44" s="3031"/>
      <c r="H44" s="3434"/>
      <c r="I44" s="3434"/>
      <c r="J44" s="3434"/>
      <c r="K44" s="3434"/>
      <c r="L44" s="3434"/>
      <c r="M44" s="3434"/>
      <c r="N44" s="3434"/>
      <c r="O44" s="1124"/>
    </row>
    <row r="45" spans="2:15">
      <c r="B45" s="1124"/>
      <c r="C45" s="485"/>
      <c r="D45" s="485"/>
      <c r="E45" s="3032"/>
      <c r="F45" s="3432"/>
      <c r="G45" s="3031"/>
      <c r="H45" s="3434"/>
      <c r="I45" s="3434"/>
      <c r="J45" s="3434"/>
      <c r="K45" s="3434"/>
      <c r="L45" s="3434"/>
      <c r="M45" s="3434"/>
      <c r="N45" s="3434"/>
      <c r="O45" s="1124"/>
    </row>
    <row r="46" spans="2:15">
      <c r="B46" s="1124"/>
      <c r="C46" s="485"/>
      <c r="D46" s="485"/>
      <c r="E46" s="3032"/>
      <c r="F46" s="3432"/>
      <c r="G46" s="3031"/>
      <c r="H46" s="3434"/>
      <c r="I46" s="3434"/>
      <c r="J46" s="3434"/>
      <c r="K46" s="3434"/>
      <c r="L46" s="3434"/>
      <c r="M46" s="3434"/>
      <c r="N46" s="3434"/>
      <c r="O46" s="1124"/>
    </row>
    <row r="47" spans="2:15">
      <c r="B47" s="1124"/>
      <c r="C47" s="485"/>
      <c r="D47" s="485"/>
      <c r="E47" s="3032"/>
      <c r="F47" s="3432"/>
      <c r="G47" s="3031"/>
      <c r="H47" s="3434"/>
      <c r="I47" s="3434"/>
      <c r="J47" s="3434"/>
      <c r="K47" s="3434"/>
      <c r="L47" s="3434"/>
      <c r="M47" s="3434"/>
      <c r="N47" s="3434"/>
      <c r="O47" s="1124"/>
    </row>
    <row r="48" spans="2:15">
      <c r="B48" s="1124"/>
      <c r="C48" s="485"/>
      <c r="D48" s="485"/>
      <c r="E48" s="2971"/>
      <c r="F48" s="3433"/>
      <c r="G48" s="2970"/>
      <c r="H48" s="3435"/>
      <c r="I48" s="3435"/>
      <c r="J48" s="3435"/>
      <c r="K48" s="3435"/>
      <c r="L48" s="3435"/>
      <c r="M48" s="3435"/>
      <c r="N48" s="3435"/>
      <c r="O48" s="1124"/>
    </row>
    <row r="49" spans="2:15">
      <c r="B49" s="1124"/>
      <c r="C49" s="485"/>
      <c r="D49" s="485"/>
      <c r="E49" s="485"/>
      <c r="F49" s="485"/>
      <c r="G49" s="485"/>
      <c r="H49" s="485"/>
      <c r="I49" s="485"/>
      <c r="J49" s="485"/>
      <c r="K49" s="485"/>
      <c r="L49" s="485"/>
      <c r="M49" s="485"/>
      <c r="N49" s="485"/>
      <c r="O49" s="1124"/>
    </row>
    <row r="50" spans="2:15" ht="15.6" customHeight="1">
      <c r="B50" s="467"/>
      <c r="C50" s="507" t="s">
        <v>875</v>
      </c>
      <c r="D50" s="2408" t="s">
        <v>380</v>
      </c>
      <c r="E50" s="2408"/>
      <c r="F50" s="2408"/>
      <c r="G50" s="2408"/>
      <c r="H50" s="2408"/>
      <c r="I50" s="2408"/>
      <c r="J50" s="2408"/>
      <c r="K50" s="2408"/>
      <c r="L50" s="2408"/>
      <c r="M50" s="2408"/>
      <c r="N50" s="2408"/>
      <c r="O50" s="1124"/>
    </row>
    <row r="51" spans="2:15" ht="5.0999999999999996" customHeight="1">
      <c r="B51" s="467"/>
      <c r="C51" s="467"/>
      <c r="D51" s="467"/>
      <c r="E51" s="467"/>
      <c r="F51" s="467"/>
      <c r="G51" s="467"/>
      <c r="H51" s="467"/>
      <c r="I51" s="467"/>
      <c r="J51" s="467"/>
      <c r="K51" s="467"/>
      <c r="L51" s="467"/>
      <c r="M51" s="481"/>
      <c r="N51" s="481"/>
      <c r="O51" s="1124"/>
    </row>
    <row r="52" spans="2:15" ht="30" customHeight="1">
      <c r="B52" s="467"/>
      <c r="C52" s="2062"/>
      <c r="D52" s="3443" t="s">
        <v>2160</v>
      </c>
      <c r="E52" s="3443"/>
      <c r="F52" s="3443"/>
      <c r="G52" s="3443"/>
      <c r="H52" s="3443"/>
      <c r="I52" s="3443"/>
      <c r="J52" s="3443"/>
      <c r="K52" s="3443"/>
      <c r="L52" s="3443"/>
      <c r="M52" s="3443"/>
      <c r="N52" s="3443"/>
      <c r="O52" s="1124"/>
    </row>
    <row r="53" spans="2:15">
      <c r="B53" s="3442"/>
      <c r="C53" s="3442"/>
      <c r="D53" s="3442"/>
      <c r="E53" s="3442"/>
      <c r="F53" s="3442"/>
      <c r="G53" s="3442"/>
      <c r="H53" s="3442"/>
      <c r="I53" s="3442"/>
      <c r="J53" s="3442"/>
      <c r="K53" s="3442"/>
      <c r="L53" s="3442"/>
      <c r="M53" s="3442"/>
      <c r="N53" s="3442"/>
      <c r="O53" s="3442"/>
    </row>
    <row r="54" spans="2:15">
      <c r="B54" s="3442"/>
      <c r="C54" s="3442"/>
      <c r="D54" s="3442"/>
      <c r="E54" s="3442"/>
      <c r="F54" s="3442"/>
      <c r="G54" s="3442"/>
      <c r="H54" s="3442"/>
      <c r="I54" s="3442"/>
      <c r="J54" s="3442"/>
      <c r="K54" s="3442"/>
      <c r="L54" s="3442"/>
      <c r="M54" s="3442"/>
      <c r="N54" s="3442"/>
      <c r="O54" s="3442"/>
    </row>
    <row r="55" spans="2:15">
      <c r="B55" s="3442"/>
      <c r="C55" s="3442"/>
      <c r="D55" s="3442"/>
      <c r="E55" s="3442"/>
      <c r="F55" s="3442"/>
      <c r="G55" s="3442"/>
      <c r="H55" s="3442"/>
      <c r="I55" s="3442"/>
      <c r="J55" s="3442"/>
      <c r="K55" s="3442"/>
      <c r="L55" s="3442"/>
      <c r="M55" s="3442"/>
      <c r="N55" s="3442"/>
      <c r="O55" s="3442"/>
    </row>
    <row r="56" spans="2:15">
      <c r="B56" s="3442"/>
      <c r="C56" s="3442"/>
      <c r="D56" s="3442"/>
      <c r="E56" s="3442"/>
      <c r="F56" s="3442"/>
      <c r="G56" s="3442"/>
      <c r="H56" s="3442"/>
      <c r="I56" s="3442"/>
      <c r="J56" s="3442"/>
      <c r="K56" s="3442"/>
      <c r="L56" s="3442"/>
      <c r="M56" s="3442"/>
      <c r="N56" s="3442"/>
      <c r="O56" s="3442"/>
    </row>
    <row r="57" spans="2:15">
      <c r="B57" s="3442"/>
      <c r="C57" s="3442"/>
      <c r="D57" s="3442"/>
      <c r="E57" s="3442"/>
      <c r="F57" s="3442"/>
      <c r="G57" s="3442"/>
      <c r="H57" s="3442"/>
      <c r="I57" s="3442"/>
      <c r="J57" s="3442"/>
      <c r="K57" s="3442"/>
      <c r="L57" s="3442"/>
      <c r="M57" s="3442"/>
      <c r="N57" s="3442"/>
      <c r="O57" s="3442"/>
    </row>
    <row r="58" spans="2:15">
      <c r="B58" s="3442"/>
      <c r="C58" s="3442"/>
      <c r="D58" s="3442"/>
      <c r="E58" s="3442"/>
      <c r="F58" s="3442"/>
      <c r="G58" s="3442"/>
      <c r="H58" s="3442"/>
      <c r="I58" s="3442"/>
      <c r="J58" s="3442"/>
      <c r="K58" s="3442"/>
      <c r="L58" s="3442"/>
      <c r="M58" s="3442"/>
      <c r="N58" s="3442"/>
      <c r="O58" s="3442"/>
    </row>
    <row r="59" spans="2:15">
      <c r="B59" s="3442"/>
      <c r="C59" s="3442"/>
      <c r="D59" s="3442"/>
      <c r="E59" s="3442"/>
      <c r="F59" s="3442"/>
      <c r="G59" s="3442"/>
      <c r="H59" s="3442"/>
      <c r="I59" s="3442"/>
      <c r="J59" s="3442"/>
      <c r="K59" s="3442"/>
      <c r="L59" s="3442"/>
      <c r="M59" s="3442"/>
      <c r="N59" s="3442"/>
      <c r="O59" s="3442"/>
    </row>
    <row r="60" spans="2:15">
      <c r="B60" s="3442"/>
      <c r="C60" s="3442"/>
      <c r="D60" s="3442"/>
      <c r="E60" s="3442"/>
      <c r="F60" s="3442"/>
      <c r="G60" s="3442"/>
      <c r="H60" s="3442"/>
      <c r="I60" s="3442"/>
      <c r="J60" s="3442"/>
      <c r="K60" s="3442"/>
      <c r="L60" s="3442"/>
      <c r="M60" s="3442"/>
      <c r="N60" s="3442"/>
      <c r="O60" s="3442"/>
    </row>
    <row r="61" spans="2:15">
      <c r="B61" s="3442"/>
      <c r="C61" s="3442"/>
      <c r="D61" s="3442"/>
      <c r="E61" s="3442"/>
      <c r="F61" s="3442"/>
      <c r="G61" s="3442"/>
      <c r="H61" s="3442"/>
      <c r="I61" s="3442"/>
      <c r="J61" s="3442"/>
      <c r="K61" s="3442"/>
      <c r="L61" s="3442"/>
      <c r="M61" s="3442"/>
      <c r="N61" s="3442"/>
      <c r="O61" s="3442"/>
    </row>
    <row r="62" spans="2:15">
      <c r="B62" s="3442"/>
      <c r="C62" s="3442"/>
      <c r="D62" s="3442"/>
      <c r="E62" s="3442"/>
      <c r="F62" s="3442"/>
      <c r="G62" s="3442"/>
      <c r="H62" s="3442"/>
      <c r="I62" s="3442"/>
      <c r="J62" s="3442"/>
      <c r="K62" s="3442"/>
      <c r="L62" s="3442"/>
      <c r="M62" s="3442"/>
      <c r="N62" s="3442"/>
      <c r="O62" s="3442"/>
    </row>
    <row r="63" spans="2:15">
      <c r="B63" s="3442"/>
      <c r="C63" s="3442"/>
      <c r="D63" s="3442"/>
      <c r="E63" s="3442"/>
      <c r="F63" s="3442"/>
      <c r="G63" s="3442"/>
      <c r="H63" s="3442"/>
      <c r="I63" s="3442"/>
      <c r="J63" s="3442"/>
      <c r="K63" s="3442"/>
      <c r="L63" s="3442"/>
      <c r="M63" s="3442"/>
      <c r="N63" s="3442"/>
      <c r="O63" s="3442"/>
    </row>
    <row r="64" spans="2:15">
      <c r="B64" s="3442"/>
      <c r="C64" s="3442"/>
      <c r="D64" s="3442"/>
      <c r="E64" s="3442"/>
      <c r="F64" s="3442"/>
      <c r="G64" s="3442"/>
      <c r="H64" s="3442"/>
      <c r="I64" s="3442"/>
      <c r="J64" s="3442"/>
      <c r="K64" s="3442"/>
      <c r="L64" s="3442"/>
      <c r="M64" s="3442"/>
      <c r="N64" s="3442"/>
      <c r="O64" s="3442"/>
    </row>
    <row r="65" spans="2:15">
      <c r="B65" s="3442"/>
      <c r="C65" s="3442"/>
      <c r="D65" s="3442"/>
      <c r="E65" s="3442"/>
      <c r="F65" s="3442"/>
      <c r="G65" s="3442"/>
      <c r="H65" s="3442"/>
      <c r="I65" s="3442"/>
      <c r="J65" s="3442"/>
      <c r="K65" s="3442"/>
      <c r="L65" s="3442"/>
      <c r="M65" s="3442"/>
      <c r="N65" s="3442"/>
      <c r="O65" s="3442"/>
    </row>
    <row r="66" spans="2:15">
      <c r="B66" s="3442"/>
      <c r="C66" s="3442"/>
      <c r="D66" s="3442"/>
      <c r="E66" s="3442"/>
      <c r="F66" s="3442"/>
      <c r="G66" s="3442"/>
      <c r="H66" s="3442"/>
      <c r="I66" s="3442"/>
      <c r="J66" s="3442"/>
      <c r="K66" s="3442"/>
      <c r="L66" s="3442"/>
      <c r="M66" s="3442"/>
      <c r="N66" s="3442"/>
      <c r="O66" s="3442"/>
    </row>
    <row r="67" spans="2:15">
      <c r="B67" s="3442"/>
      <c r="C67" s="3442"/>
      <c r="D67" s="3442"/>
      <c r="E67" s="3442"/>
      <c r="F67" s="3442"/>
      <c r="G67" s="3442"/>
      <c r="H67" s="3442"/>
      <c r="I67" s="3442"/>
      <c r="J67" s="3442"/>
      <c r="K67" s="3442"/>
      <c r="L67" s="3442"/>
      <c r="M67" s="3442"/>
      <c r="N67" s="3442"/>
      <c r="O67" s="3442"/>
    </row>
    <row r="68" spans="2:15">
      <c r="B68" s="3442"/>
      <c r="C68" s="3442"/>
      <c r="D68" s="3442"/>
      <c r="E68" s="3442"/>
      <c r="F68" s="3442"/>
      <c r="G68" s="3442"/>
      <c r="H68" s="3442"/>
      <c r="I68" s="3442"/>
      <c r="J68" s="3442"/>
      <c r="K68" s="3442"/>
      <c r="L68" s="3442"/>
      <c r="M68" s="3442"/>
      <c r="N68" s="3442"/>
      <c r="O68" s="3442"/>
    </row>
    <row r="69" spans="2:15">
      <c r="B69" s="3442"/>
      <c r="C69" s="3442"/>
      <c r="D69" s="3442"/>
      <c r="E69" s="3442"/>
      <c r="F69" s="3442"/>
      <c r="G69" s="3442"/>
      <c r="H69" s="3442"/>
      <c r="I69" s="3442"/>
      <c r="J69" s="3442"/>
      <c r="K69" s="3442"/>
      <c r="L69" s="3442"/>
      <c r="M69" s="3442"/>
      <c r="N69" s="3442"/>
      <c r="O69" s="3442"/>
    </row>
    <row r="70" spans="2:15">
      <c r="B70" s="3442"/>
      <c r="C70" s="3442"/>
      <c r="D70" s="3442"/>
      <c r="E70" s="3442"/>
      <c r="F70" s="3442"/>
      <c r="G70" s="3442"/>
      <c r="H70" s="3442"/>
      <c r="I70" s="3442"/>
      <c r="J70" s="3442"/>
      <c r="K70" s="3442"/>
      <c r="L70" s="3442"/>
      <c r="M70" s="3442"/>
      <c r="N70" s="3442"/>
      <c r="O70" s="3442"/>
    </row>
    <row r="71" spans="2:15">
      <c r="B71" s="3442"/>
      <c r="C71" s="3442"/>
      <c r="D71" s="3442"/>
      <c r="E71" s="3442"/>
      <c r="F71" s="3442"/>
      <c r="G71" s="3442"/>
      <c r="H71" s="3442"/>
      <c r="I71" s="3442"/>
      <c r="J71" s="3442"/>
      <c r="K71" s="3442"/>
      <c r="L71" s="3442"/>
      <c r="M71" s="3442"/>
      <c r="N71" s="3442"/>
      <c r="O71" s="3442"/>
    </row>
    <row r="72" spans="2:15">
      <c r="B72" s="3442"/>
      <c r="C72" s="3442"/>
      <c r="D72" s="3442"/>
      <c r="E72" s="3442"/>
      <c r="F72" s="3442"/>
      <c r="G72" s="3442"/>
      <c r="H72" s="3442"/>
      <c r="I72" s="3442"/>
      <c r="J72" s="3442"/>
      <c r="K72" s="3442"/>
      <c r="L72" s="3442"/>
      <c r="M72" s="3442"/>
      <c r="N72" s="3442"/>
      <c r="O72" s="3442"/>
    </row>
    <row r="73" spans="2:15">
      <c r="B73" s="3442"/>
      <c r="C73" s="3442"/>
      <c r="D73" s="3442"/>
      <c r="E73" s="3442"/>
      <c r="F73" s="3442"/>
      <c r="G73" s="3442"/>
      <c r="H73" s="3442"/>
      <c r="I73" s="3442"/>
      <c r="J73" s="3442"/>
      <c r="K73" s="3442"/>
      <c r="L73" s="3442"/>
      <c r="M73" s="3442"/>
      <c r="N73" s="3442"/>
      <c r="O73" s="3442"/>
    </row>
    <row r="74" spans="2:15">
      <c r="B74" s="3442"/>
      <c r="C74" s="3442"/>
      <c r="D74" s="3442"/>
      <c r="E74" s="3442"/>
      <c r="F74" s="3442"/>
      <c r="G74" s="3442"/>
      <c r="H74" s="3442"/>
      <c r="I74" s="3442"/>
      <c r="J74" s="3442"/>
      <c r="K74" s="3442"/>
      <c r="L74" s="3442"/>
      <c r="M74" s="3442"/>
      <c r="N74" s="3442"/>
      <c r="O74" s="3442"/>
    </row>
    <row r="75" spans="2:15">
      <c r="B75" s="3442"/>
      <c r="C75" s="3442"/>
      <c r="D75" s="3442"/>
      <c r="E75" s="3442"/>
      <c r="F75" s="3442"/>
      <c r="G75" s="3442"/>
      <c r="H75" s="3442"/>
      <c r="I75" s="3442"/>
      <c r="J75" s="3442"/>
      <c r="K75" s="3442"/>
      <c r="L75" s="3442"/>
      <c r="M75" s="3442"/>
      <c r="N75" s="3442"/>
      <c r="O75" s="3442"/>
    </row>
    <row r="76" spans="2:15">
      <c r="B76" s="3442"/>
      <c r="C76" s="3442"/>
      <c r="D76" s="3442"/>
      <c r="E76" s="3442"/>
      <c r="F76" s="3442"/>
      <c r="G76" s="3442"/>
      <c r="H76" s="3442"/>
      <c r="I76" s="3442"/>
      <c r="J76" s="3442"/>
      <c r="K76" s="3442"/>
      <c r="L76" s="3442"/>
      <c r="M76" s="3442"/>
      <c r="N76" s="3442"/>
      <c r="O76" s="3442"/>
    </row>
    <row r="77" spans="2:15">
      <c r="B77" s="3442"/>
      <c r="C77" s="3442"/>
      <c r="D77" s="3442"/>
      <c r="E77" s="3442"/>
      <c r="F77" s="3442"/>
      <c r="G77" s="3442"/>
      <c r="H77" s="3442"/>
      <c r="I77" s="3442"/>
      <c r="J77" s="3442"/>
      <c r="K77" s="3442"/>
      <c r="L77" s="3442"/>
      <c r="M77" s="3442"/>
      <c r="N77" s="3442"/>
      <c r="O77" s="3442"/>
    </row>
    <row r="78" spans="2:15">
      <c r="B78" s="3442"/>
      <c r="C78" s="3442"/>
      <c r="D78" s="3442"/>
      <c r="E78" s="3442"/>
      <c r="F78" s="3442"/>
      <c r="G78" s="3442"/>
      <c r="H78" s="3442"/>
      <c r="I78" s="3442"/>
      <c r="J78" s="3442"/>
      <c r="K78" s="3442"/>
      <c r="L78" s="3442"/>
      <c r="M78" s="3442"/>
      <c r="N78" s="3442"/>
      <c r="O78" s="3442"/>
    </row>
    <row r="79" spans="2:15">
      <c r="B79" s="3442"/>
      <c r="C79" s="3442"/>
      <c r="D79" s="3442"/>
      <c r="E79" s="3442"/>
      <c r="F79" s="3442"/>
      <c r="G79" s="3442"/>
      <c r="H79" s="3442"/>
      <c r="I79" s="3442"/>
      <c r="J79" s="3442"/>
      <c r="K79" s="3442"/>
      <c r="L79" s="3442"/>
      <c r="M79" s="3442"/>
      <c r="N79" s="3442"/>
      <c r="O79" s="3442"/>
    </row>
    <row r="80" spans="2:15">
      <c r="B80" s="3442"/>
      <c r="C80" s="3442"/>
      <c r="D80" s="3442"/>
      <c r="E80" s="3442"/>
      <c r="F80" s="3442"/>
      <c r="G80" s="3442"/>
      <c r="H80" s="3442"/>
      <c r="I80" s="3442"/>
      <c r="J80" s="3442"/>
      <c r="K80" s="3442"/>
      <c r="L80" s="3442"/>
      <c r="M80" s="3442"/>
      <c r="N80" s="3442"/>
      <c r="O80" s="3442"/>
    </row>
    <row r="81" spans="2:15">
      <c r="B81" s="3442"/>
      <c r="C81" s="3442"/>
      <c r="D81" s="3442"/>
      <c r="E81" s="3442"/>
      <c r="F81" s="3442"/>
      <c r="G81" s="3442"/>
      <c r="H81" s="3442"/>
      <c r="I81" s="3442"/>
      <c r="J81" s="3442"/>
      <c r="K81" s="3442"/>
      <c r="L81" s="3442"/>
      <c r="M81" s="3442"/>
      <c r="N81" s="3442"/>
      <c r="O81" s="3442"/>
    </row>
    <row r="82" spans="2:15">
      <c r="B82" s="3442"/>
      <c r="C82" s="3442"/>
      <c r="D82" s="3442"/>
      <c r="E82" s="3442"/>
      <c r="F82" s="3442"/>
      <c r="G82" s="3442"/>
      <c r="H82" s="3442"/>
      <c r="I82" s="3442"/>
      <c r="J82" s="3442"/>
      <c r="K82" s="3442"/>
      <c r="L82" s="3442"/>
      <c r="M82" s="3442"/>
      <c r="N82" s="3442"/>
      <c r="O82" s="3442"/>
    </row>
    <row r="83" spans="2:15">
      <c r="B83" s="3442"/>
      <c r="C83" s="3442"/>
      <c r="D83" s="3442"/>
      <c r="E83" s="3442"/>
      <c r="F83" s="3442"/>
      <c r="G83" s="3442"/>
      <c r="H83" s="3442"/>
      <c r="I83" s="3442"/>
      <c r="J83" s="3442"/>
      <c r="K83" s="3442"/>
      <c r="L83" s="3442"/>
      <c r="M83" s="3442"/>
      <c r="N83" s="3442"/>
      <c r="O83" s="3442"/>
    </row>
    <row r="84" spans="2:15">
      <c r="B84" s="3442"/>
      <c r="C84" s="3442"/>
      <c r="D84" s="3442"/>
      <c r="E84" s="3442"/>
      <c r="F84" s="3442"/>
      <c r="G84" s="3442"/>
      <c r="H84" s="3442"/>
      <c r="I84" s="3442"/>
      <c r="J84" s="3442"/>
      <c r="K84" s="3442"/>
      <c r="L84" s="3442"/>
      <c r="M84" s="3442"/>
      <c r="N84" s="3442"/>
      <c r="O84" s="3442"/>
    </row>
    <row r="85" spans="2:15">
      <c r="B85" s="3442"/>
      <c r="C85" s="3442"/>
      <c r="D85" s="3442"/>
      <c r="E85" s="3442"/>
      <c r="F85" s="3442"/>
      <c r="G85" s="3442"/>
      <c r="H85" s="3442"/>
      <c r="I85" s="3442"/>
      <c r="J85" s="3442"/>
      <c r="K85" s="3442"/>
      <c r="L85" s="3442"/>
      <c r="M85" s="3442"/>
      <c r="N85" s="3442"/>
      <c r="O85" s="3442"/>
    </row>
    <row r="86" spans="2:15">
      <c r="B86" s="3442"/>
      <c r="C86" s="3442"/>
      <c r="D86" s="3442"/>
      <c r="E86" s="3442"/>
      <c r="F86" s="3442"/>
      <c r="G86" s="3442"/>
      <c r="H86" s="3442"/>
      <c r="I86" s="3442"/>
      <c r="J86" s="3442"/>
      <c r="K86" s="3442"/>
      <c r="L86" s="3442"/>
      <c r="M86" s="3442"/>
      <c r="N86" s="3442"/>
      <c r="O86" s="3442"/>
    </row>
    <row r="87" spans="2:15">
      <c r="B87" s="3442"/>
      <c r="C87" s="3442"/>
      <c r="D87" s="3442"/>
      <c r="E87" s="3442"/>
      <c r="F87" s="3442"/>
      <c r="G87" s="3442"/>
      <c r="H87" s="3442"/>
      <c r="I87" s="3442"/>
      <c r="J87" s="3442"/>
      <c r="K87" s="3442"/>
      <c r="L87" s="3442"/>
      <c r="M87" s="3442"/>
      <c r="N87" s="3442"/>
      <c r="O87" s="3442"/>
    </row>
    <row r="88" spans="2:15">
      <c r="B88" s="3442"/>
      <c r="C88" s="3442"/>
      <c r="D88" s="3442"/>
      <c r="E88" s="3442"/>
      <c r="F88" s="3442"/>
      <c r="G88" s="3442"/>
      <c r="H88" s="3442"/>
      <c r="I88" s="3442"/>
      <c r="J88" s="3442"/>
      <c r="K88" s="3442"/>
      <c r="L88" s="3442"/>
      <c r="M88" s="3442"/>
      <c r="N88" s="3442"/>
      <c r="O88" s="3442"/>
    </row>
    <row r="89" spans="2:15">
      <c r="B89" s="3442"/>
      <c r="C89" s="3442"/>
      <c r="D89" s="3442"/>
      <c r="E89" s="3442"/>
      <c r="F89" s="3442"/>
      <c r="G89" s="3442"/>
      <c r="H89" s="3442"/>
      <c r="I89" s="3442"/>
      <c r="J89" s="3442"/>
      <c r="K89" s="3442"/>
      <c r="L89" s="3442"/>
      <c r="M89" s="3442"/>
      <c r="N89" s="3442"/>
      <c r="O89" s="3442"/>
    </row>
    <row r="90" spans="2:15">
      <c r="B90" s="3442"/>
      <c r="C90" s="3442"/>
      <c r="D90" s="3442"/>
      <c r="E90" s="3442"/>
      <c r="F90" s="3442"/>
      <c r="G90" s="3442"/>
      <c r="H90" s="3442"/>
      <c r="I90" s="3442"/>
      <c r="J90" s="3442"/>
      <c r="K90" s="3442"/>
      <c r="L90" s="3442"/>
      <c r="M90" s="3442"/>
      <c r="N90" s="3442"/>
      <c r="O90" s="3442"/>
    </row>
    <row r="91" spans="2:15">
      <c r="B91" s="3442"/>
      <c r="C91" s="3442"/>
      <c r="D91" s="3442"/>
      <c r="E91" s="3442"/>
      <c r="F91" s="3442"/>
      <c r="G91" s="3442"/>
      <c r="H91" s="3442"/>
      <c r="I91" s="3442"/>
      <c r="J91" s="3442"/>
      <c r="K91" s="3442"/>
      <c r="L91" s="3442"/>
      <c r="M91" s="3442"/>
      <c r="N91" s="3442"/>
      <c r="O91" s="3442"/>
    </row>
    <row r="92" spans="2:15">
      <c r="B92" s="3442"/>
      <c r="C92" s="3442"/>
      <c r="D92" s="3442"/>
      <c r="E92" s="3442"/>
      <c r="F92" s="3442"/>
      <c r="G92" s="3442"/>
      <c r="H92" s="3442"/>
      <c r="I92" s="3442"/>
      <c r="J92" s="3442"/>
      <c r="K92" s="3442"/>
      <c r="L92" s="3442"/>
      <c r="M92" s="3442"/>
      <c r="N92" s="3442"/>
      <c r="O92" s="3442"/>
    </row>
    <row r="93" spans="2:15">
      <c r="B93" s="3442"/>
      <c r="C93" s="3442"/>
      <c r="D93" s="3442"/>
      <c r="E93" s="3442"/>
      <c r="F93" s="3442"/>
      <c r="G93" s="3442"/>
      <c r="H93" s="3442"/>
      <c r="I93" s="3442"/>
      <c r="J93" s="3442"/>
      <c r="K93" s="3442"/>
      <c r="L93" s="3442"/>
      <c r="M93" s="3442"/>
      <c r="N93" s="3442"/>
      <c r="O93" s="3442"/>
    </row>
    <row r="94" spans="2:15">
      <c r="B94" s="3442"/>
      <c r="C94" s="3442"/>
      <c r="D94" s="3442"/>
      <c r="E94" s="3442"/>
      <c r="F94" s="3442"/>
      <c r="G94" s="3442"/>
      <c r="H94" s="3442"/>
      <c r="I94" s="3442"/>
      <c r="J94" s="3442"/>
      <c r="K94" s="3442"/>
      <c r="L94" s="3442"/>
      <c r="M94" s="3442"/>
      <c r="N94" s="3442"/>
      <c r="O94" s="3442"/>
    </row>
    <row r="95" spans="2:15">
      <c r="B95" s="3442"/>
      <c r="C95" s="3442"/>
      <c r="D95" s="3442"/>
      <c r="E95" s="3442"/>
      <c r="F95" s="3442"/>
      <c r="G95" s="3442"/>
      <c r="H95" s="3442"/>
      <c r="I95" s="3442"/>
      <c r="J95" s="3442"/>
      <c r="K95" s="3442"/>
      <c r="L95" s="3442"/>
      <c r="M95" s="3442"/>
      <c r="N95" s="3442"/>
      <c r="O95" s="3442"/>
    </row>
    <row r="96" spans="2:15">
      <c r="B96" s="3442"/>
      <c r="C96" s="3442"/>
      <c r="D96" s="3442"/>
      <c r="E96" s="3442"/>
      <c r="F96" s="3442"/>
      <c r="G96" s="3442"/>
      <c r="H96" s="3442"/>
      <c r="I96" s="3442"/>
      <c r="J96" s="3442"/>
      <c r="K96" s="3442"/>
      <c r="L96" s="3442"/>
      <c r="M96" s="3442"/>
      <c r="N96" s="3442"/>
      <c r="O96" s="3442"/>
    </row>
    <row r="97" spans="2:15">
      <c r="B97" s="3442"/>
      <c r="C97" s="3442"/>
      <c r="D97" s="3442"/>
      <c r="E97" s="3442"/>
      <c r="F97" s="3442"/>
      <c r="G97" s="3442"/>
      <c r="H97" s="3442"/>
      <c r="I97" s="3442"/>
      <c r="J97" s="3442"/>
      <c r="K97" s="3442"/>
      <c r="L97" s="3442"/>
      <c r="M97" s="3442"/>
      <c r="N97" s="3442"/>
      <c r="O97" s="3442"/>
    </row>
    <row r="98" spans="2:15">
      <c r="B98" s="3442"/>
      <c r="C98" s="3442"/>
      <c r="D98" s="3442"/>
      <c r="E98" s="3442"/>
      <c r="F98" s="3442"/>
      <c r="G98" s="3442"/>
      <c r="H98" s="3442"/>
      <c r="I98" s="3442"/>
      <c r="J98" s="3442"/>
      <c r="K98" s="3442"/>
      <c r="L98" s="3442"/>
      <c r="M98" s="3442"/>
      <c r="N98" s="3442"/>
      <c r="O98" s="3442"/>
    </row>
    <row r="99" spans="2:15">
      <c r="B99" s="3442"/>
      <c r="C99" s="3442"/>
      <c r="D99" s="3442"/>
      <c r="E99" s="3442"/>
      <c r="F99" s="3442"/>
      <c r="G99" s="3442"/>
      <c r="H99" s="3442"/>
      <c r="I99" s="3442"/>
      <c r="J99" s="3442"/>
      <c r="K99" s="3442"/>
      <c r="L99" s="3442"/>
      <c r="M99" s="3442"/>
      <c r="N99" s="3442"/>
      <c r="O99" s="3442"/>
    </row>
    <row r="100" spans="2:15">
      <c r="B100" s="3442"/>
      <c r="C100" s="3442"/>
      <c r="D100" s="3442"/>
      <c r="E100" s="3442"/>
      <c r="F100" s="3442"/>
      <c r="G100" s="3442"/>
      <c r="H100" s="3442"/>
      <c r="I100" s="3442"/>
      <c r="J100" s="3442"/>
      <c r="K100" s="3442"/>
      <c r="L100" s="3442"/>
      <c r="M100" s="3442"/>
      <c r="N100" s="3442"/>
      <c r="O100" s="3442"/>
    </row>
    <row r="101" spans="2:15">
      <c r="B101" s="3442"/>
      <c r="C101" s="3442"/>
      <c r="D101" s="3442"/>
      <c r="E101" s="3442"/>
      <c r="F101" s="3442"/>
      <c r="G101" s="3442"/>
      <c r="H101" s="3442"/>
      <c r="I101" s="3442"/>
      <c r="J101" s="3442"/>
      <c r="K101" s="3442"/>
      <c r="L101" s="3442"/>
      <c r="M101" s="3442"/>
      <c r="N101" s="3442"/>
      <c r="O101" s="3442"/>
    </row>
    <row r="102" spans="2:15">
      <c r="B102" s="3442"/>
      <c r="C102" s="3442"/>
      <c r="D102" s="3442"/>
      <c r="E102" s="3442"/>
      <c r="F102" s="3442"/>
      <c r="G102" s="3442"/>
      <c r="H102" s="3442"/>
      <c r="I102" s="3442"/>
      <c r="J102" s="3442"/>
      <c r="K102" s="3442"/>
      <c r="L102" s="3442"/>
      <c r="M102" s="3442"/>
      <c r="N102" s="3442"/>
      <c r="O102" s="3442"/>
    </row>
    <row r="103" spans="2:15">
      <c r="B103" s="3442"/>
      <c r="C103" s="3442"/>
      <c r="D103" s="3442"/>
      <c r="E103" s="3442"/>
      <c r="F103" s="3442"/>
      <c r="G103" s="3442"/>
      <c r="H103" s="3442"/>
      <c r="I103" s="3442"/>
      <c r="J103" s="3442"/>
      <c r="K103" s="3442"/>
      <c r="L103" s="3442"/>
      <c r="M103" s="3442"/>
      <c r="N103" s="3442"/>
      <c r="O103" s="3442"/>
    </row>
    <row r="104" spans="2:15">
      <c r="B104" s="3442"/>
      <c r="C104" s="3442"/>
      <c r="D104" s="3442"/>
      <c r="E104" s="3442"/>
      <c r="F104" s="3442"/>
      <c r="G104" s="3442"/>
      <c r="H104" s="3442"/>
      <c r="I104" s="3442"/>
      <c r="J104" s="3442"/>
      <c r="K104" s="3442"/>
      <c r="L104" s="3442"/>
      <c r="M104" s="3442"/>
      <c r="N104" s="3442"/>
      <c r="O104" s="3442"/>
    </row>
    <row r="105" spans="2:15">
      <c r="B105" s="3442"/>
      <c r="C105" s="3442"/>
      <c r="D105" s="3442"/>
      <c r="E105" s="3442"/>
      <c r="F105" s="3442"/>
      <c r="G105" s="3442"/>
      <c r="H105" s="3442"/>
      <c r="I105" s="3442"/>
      <c r="J105" s="3442"/>
      <c r="K105" s="3442"/>
      <c r="L105" s="3442"/>
      <c r="M105" s="3442"/>
      <c r="N105" s="3442"/>
      <c r="O105" s="3442"/>
    </row>
    <row r="106" spans="2:15">
      <c r="B106" s="3442"/>
      <c r="C106" s="3442"/>
      <c r="D106" s="3442"/>
      <c r="E106" s="3442"/>
      <c r="F106" s="3442"/>
      <c r="G106" s="3442"/>
      <c r="H106" s="3442"/>
      <c r="I106" s="3442"/>
      <c r="J106" s="3442"/>
      <c r="K106" s="3442"/>
      <c r="L106" s="3442"/>
      <c r="M106" s="3442"/>
      <c r="N106" s="3442"/>
      <c r="O106" s="3442"/>
    </row>
    <row r="107" spans="2:15">
      <c r="B107" s="3442"/>
      <c r="C107" s="3442"/>
      <c r="D107" s="3442"/>
      <c r="E107" s="3442"/>
      <c r="F107" s="3442"/>
      <c r="G107" s="3442"/>
      <c r="H107" s="3442"/>
      <c r="I107" s="3442"/>
      <c r="J107" s="3442"/>
      <c r="K107" s="3442"/>
      <c r="L107" s="3442"/>
      <c r="M107" s="3442"/>
      <c r="N107" s="3442"/>
      <c r="O107" s="3442"/>
    </row>
    <row r="108" spans="2:15">
      <c r="B108" s="3442"/>
      <c r="C108" s="3442"/>
      <c r="D108" s="3442"/>
      <c r="E108" s="3442"/>
      <c r="F108" s="3442"/>
      <c r="G108" s="3442"/>
      <c r="H108" s="3442"/>
      <c r="I108" s="3442"/>
      <c r="J108" s="3442"/>
      <c r="K108" s="3442"/>
      <c r="L108" s="3442"/>
      <c r="M108" s="3442"/>
      <c r="N108" s="3442"/>
      <c r="O108" s="3442"/>
    </row>
    <row r="109" spans="2:15">
      <c r="B109" s="3442"/>
      <c r="C109" s="3442"/>
      <c r="D109" s="3442"/>
      <c r="E109" s="3442"/>
      <c r="F109" s="3442"/>
      <c r="G109" s="3442"/>
      <c r="H109" s="3442"/>
      <c r="I109" s="3442"/>
      <c r="J109" s="3442"/>
      <c r="K109" s="3442"/>
      <c r="L109" s="3442"/>
      <c r="M109" s="3442"/>
      <c r="N109" s="3442"/>
      <c r="O109" s="3442"/>
    </row>
    <row r="110" spans="2:15">
      <c r="B110" s="3442"/>
      <c r="C110" s="3442"/>
      <c r="D110" s="3442"/>
      <c r="E110" s="3442"/>
      <c r="F110" s="3442"/>
      <c r="G110" s="3442"/>
      <c r="H110" s="3442"/>
      <c r="I110" s="3442"/>
      <c r="J110" s="3442"/>
      <c r="K110" s="3442"/>
      <c r="L110" s="3442"/>
      <c r="M110" s="3442"/>
      <c r="N110" s="3442"/>
      <c r="O110" s="3442"/>
    </row>
    <row r="111" spans="2:15">
      <c r="B111" s="3442"/>
      <c r="C111" s="3442"/>
      <c r="D111" s="3442"/>
      <c r="E111" s="3442"/>
      <c r="F111" s="3442"/>
      <c r="G111" s="3442"/>
      <c r="H111" s="3442"/>
      <c r="I111" s="3442"/>
      <c r="J111" s="3442"/>
      <c r="K111" s="3442"/>
      <c r="L111" s="3442"/>
      <c r="M111" s="3442"/>
      <c r="N111" s="3442"/>
      <c r="O111" s="3442"/>
    </row>
    <row r="112" spans="2:15">
      <c r="B112" s="3442"/>
      <c r="C112" s="3442"/>
      <c r="D112" s="3442"/>
      <c r="E112" s="3442"/>
      <c r="F112" s="3442"/>
      <c r="G112" s="3442"/>
      <c r="H112" s="3442"/>
      <c r="I112" s="3442"/>
      <c r="J112" s="3442"/>
      <c r="K112" s="3442"/>
      <c r="L112" s="3442"/>
      <c r="M112" s="3442"/>
      <c r="N112" s="3442"/>
      <c r="O112" s="3442"/>
    </row>
    <row r="113" spans="2:15">
      <c r="B113" s="3442"/>
      <c r="C113" s="3442"/>
      <c r="D113" s="3442"/>
      <c r="E113" s="3442"/>
      <c r="F113" s="3442"/>
      <c r="G113" s="3442"/>
      <c r="H113" s="3442"/>
      <c r="I113" s="3442"/>
      <c r="J113" s="3442"/>
      <c r="K113" s="3442"/>
      <c r="L113" s="3442"/>
      <c r="M113" s="3442"/>
      <c r="N113" s="3442"/>
      <c r="O113" s="3442"/>
    </row>
    <row r="114" spans="2:15">
      <c r="B114" s="3442"/>
      <c r="C114" s="3442"/>
      <c r="D114" s="3442"/>
      <c r="E114" s="3442"/>
      <c r="F114" s="3442"/>
      <c r="G114" s="3442"/>
      <c r="H114" s="3442"/>
      <c r="I114" s="3442"/>
      <c r="J114" s="3442"/>
      <c r="K114" s="3442"/>
      <c r="L114" s="3442"/>
      <c r="M114" s="3442"/>
      <c r="N114" s="3442"/>
      <c r="O114" s="3442"/>
    </row>
    <row r="115" spans="2:15">
      <c r="B115" s="3442"/>
      <c r="C115" s="3442"/>
      <c r="D115" s="3442"/>
      <c r="E115" s="3442"/>
      <c r="F115" s="3442"/>
      <c r="G115" s="3442"/>
      <c r="H115" s="3442"/>
      <c r="I115" s="3442"/>
      <c r="J115" s="3442"/>
      <c r="K115" s="3442"/>
      <c r="L115" s="3442"/>
      <c r="M115" s="3442"/>
      <c r="N115" s="3442"/>
      <c r="O115" s="3442"/>
    </row>
    <row r="116" spans="2:15">
      <c r="B116" s="3442"/>
      <c r="C116" s="3442"/>
      <c r="D116" s="3442"/>
      <c r="E116" s="3442"/>
      <c r="F116" s="3442"/>
      <c r="G116" s="3442"/>
      <c r="H116" s="3442"/>
      <c r="I116" s="3442"/>
      <c r="J116" s="3442"/>
      <c r="K116" s="3442"/>
      <c r="L116" s="3442"/>
      <c r="M116" s="3442"/>
      <c r="N116" s="3442"/>
      <c r="O116" s="3442"/>
    </row>
    <row r="117" spans="2:15">
      <c r="B117" s="3442"/>
      <c r="C117" s="3442"/>
      <c r="D117" s="3442"/>
      <c r="E117" s="3442"/>
      <c r="F117" s="3442"/>
      <c r="G117" s="3442"/>
      <c r="H117" s="3442"/>
      <c r="I117" s="3442"/>
      <c r="J117" s="3442"/>
      <c r="K117" s="3442"/>
      <c r="L117" s="3442"/>
      <c r="M117" s="3442"/>
      <c r="N117" s="3442"/>
      <c r="O117" s="3442"/>
    </row>
    <row r="118" spans="2:15">
      <c r="B118" s="3442"/>
      <c r="C118" s="3442"/>
      <c r="D118" s="3442"/>
      <c r="E118" s="3442"/>
      <c r="F118" s="3442"/>
      <c r="G118" s="3442"/>
      <c r="H118" s="3442"/>
      <c r="I118" s="3442"/>
      <c r="J118" s="3442"/>
      <c r="K118" s="3442"/>
      <c r="L118" s="3442"/>
      <c r="M118" s="3442"/>
      <c r="N118" s="3442"/>
      <c r="O118" s="3442"/>
    </row>
    <row r="119" spans="2:15">
      <c r="B119" s="3442"/>
      <c r="C119" s="3442"/>
      <c r="D119" s="3442"/>
      <c r="E119" s="3442"/>
      <c r="F119" s="3442"/>
      <c r="G119" s="3442"/>
      <c r="H119" s="3442"/>
      <c r="I119" s="3442"/>
      <c r="J119" s="3442"/>
      <c r="K119" s="3442"/>
      <c r="L119" s="3442"/>
      <c r="M119" s="3442"/>
      <c r="N119" s="3442"/>
      <c r="O119" s="3442"/>
    </row>
    <row r="120" spans="2:15">
      <c r="B120" s="3442"/>
      <c r="C120" s="3442"/>
      <c r="D120" s="3442"/>
      <c r="E120" s="3442"/>
      <c r="F120" s="3442"/>
      <c r="G120" s="3442"/>
      <c r="H120" s="3442"/>
      <c r="I120" s="3442"/>
      <c r="J120" s="3442"/>
      <c r="K120" s="3442"/>
      <c r="L120" s="3442"/>
      <c r="M120" s="3442"/>
      <c r="N120" s="3442"/>
      <c r="O120" s="3442"/>
    </row>
    <row r="121" spans="2:15">
      <c r="B121" s="3442"/>
      <c r="C121" s="3442"/>
      <c r="D121" s="3442"/>
      <c r="E121" s="3442"/>
      <c r="F121" s="3442"/>
      <c r="G121" s="3442"/>
      <c r="H121" s="3442"/>
      <c r="I121" s="3442"/>
      <c r="J121" s="3442"/>
      <c r="K121" s="3442"/>
      <c r="L121" s="3442"/>
      <c r="M121" s="3442"/>
      <c r="N121" s="3442"/>
      <c r="O121" s="3442"/>
    </row>
    <row r="122" spans="2:15">
      <c r="B122" s="3442"/>
      <c r="C122" s="3442"/>
      <c r="D122" s="3442"/>
      <c r="E122" s="3442"/>
      <c r="F122" s="3442"/>
      <c r="G122" s="3442"/>
      <c r="H122" s="3442"/>
      <c r="I122" s="3442"/>
      <c r="J122" s="3442"/>
      <c r="K122" s="3442"/>
      <c r="L122" s="3442"/>
      <c r="M122" s="3442"/>
      <c r="N122" s="3442"/>
      <c r="O122" s="3442"/>
    </row>
    <row r="123" spans="2:15">
      <c r="B123" s="3442"/>
      <c r="C123" s="3442"/>
      <c r="D123" s="3442"/>
      <c r="E123" s="3442"/>
      <c r="F123" s="3442"/>
      <c r="G123" s="3442"/>
      <c r="H123" s="3442"/>
      <c r="I123" s="3442"/>
      <c r="J123" s="3442"/>
      <c r="K123" s="3442"/>
      <c r="L123" s="3442"/>
      <c r="M123" s="3442"/>
      <c r="N123" s="3442"/>
      <c r="O123" s="3442"/>
    </row>
    <row r="124" spans="2:15">
      <c r="B124" s="3442"/>
      <c r="C124" s="3442"/>
      <c r="D124" s="3442"/>
      <c r="E124" s="3442"/>
      <c r="F124" s="3442"/>
      <c r="G124" s="3442"/>
      <c r="H124" s="3442"/>
      <c r="I124" s="3442"/>
      <c r="J124" s="3442"/>
      <c r="K124" s="3442"/>
      <c r="L124" s="3442"/>
      <c r="M124" s="3442"/>
      <c r="N124" s="3442"/>
      <c r="O124" s="3442"/>
    </row>
    <row r="125" spans="2:15">
      <c r="B125" s="3442"/>
      <c r="C125" s="3442"/>
      <c r="D125" s="3442"/>
      <c r="E125" s="3442"/>
      <c r="F125" s="3442"/>
      <c r="G125" s="3442"/>
      <c r="H125" s="3442"/>
      <c r="I125" s="3442"/>
      <c r="J125" s="3442"/>
      <c r="K125" s="3442"/>
      <c r="L125" s="3442"/>
      <c r="M125" s="3442"/>
      <c r="N125" s="3442"/>
      <c r="O125" s="3442"/>
    </row>
    <row r="126" spans="2:15">
      <c r="B126" s="3442"/>
      <c r="C126" s="3442"/>
      <c r="D126" s="3442"/>
      <c r="E126" s="3442"/>
      <c r="F126" s="3442"/>
      <c r="G126" s="3442"/>
      <c r="H126" s="3442"/>
      <c r="I126" s="3442"/>
      <c r="J126" s="3442"/>
      <c r="K126" s="3442"/>
      <c r="L126" s="3442"/>
      <c r="M126" s="3442"/>
      <c r="N126" s="3442"/>
      <c r="O126" s="3442"/>
    </row>
    <row r="127" spans="2:15">
      <c r="B127" s="3442"/>
      <c r="C127" s="3442"/>
      <c r="D127" s="3442"/>
      <c r="E127" s="3442"/>
      <c r="F127" s="3442"/>
      <c r="G127" s="3442"/>
      <c r="H127" s="3442"/>
      <c r="I127" s="3442"/>
      <c r="J127" s="3442"/>
      <c r="K127" s="3442"/>
      <c r="L127" s="3442"/>
      <c r="M127" s="3442"/>
      <c r="N127" s="3442"/>
      <c r="O127" s="3442"/>
    </row>
    <row r="128" spans="2:15">
      <c r="B128" s="3442"/>
      <c r="C128" s="3442"/>
      <c r="D128" s="3442"/>
      <c r="E128" s="3442"/>
      <c r="F128" s="3442"/>
      <c r="G128" s="3442"/>
      <c r="H128" s="3442"/>
      <c r="I128" s="3442"/>
      <c r="J128" s="3442"/>
      <c r="K128" s="3442"/>
      <c r="L128" s="3442"/>
      <c r="M128" s="3442"/>
      <c r="N128" s="3442"/>
      <c r="O128" s="3442"/>
    </row>
    <row r="129" spans="2:15">
      <c r="B129" s="3442"/>
      <c r="C129" s="3442"/>
      <c r="D129" s="3442"/>
      <c r="E129" s="3442"/>
      <c r="F129" s="3442"/>
      <c r="G129" s="3442"/>
      <c r="H129" s="3442"/>
      <c r="I129" s="3442"/>
      <c r="J129" s="3442"/>
      <c r="K129" s="3442"/>
      <c r="L129" s="3442"/>
      <c r="M129" s="3442"/>
      <c r="N129" s="3442"/>
      <c r="O129" s="3442"/>
    </row>
    <row r="130" spans="2:15">
      <c r="B130" s="3442"/>
      <c r="C130" s="3442"/>
      <c r="D130" s="3442"/>
      <c r="E130" s="3442"/>
      <c r="F130" s="3442"/>
      <c r="G130" s="3442"/>
      <c r="H130" s="3442"/>
      <c r="I130" s="3442"/>
      <c r="J130" s="3442"/>
      <c r="K130" s="3442"/>
      <c r="L130" s="3442"/>
      <c r="M130" s="3442"/>
      <c r="N130" s="3442"/>
      <c r="O130" s="3442"/>
    </row>
    <row r="131" spans="2:15">
      <c r="B131" s="3442"/>
      <c r="C131" s="3442"/>
      <c r="D131" s="3442"/>
      <c r="E131" s="3442"/>
      <c r="F131" s="3442"/>
      <c r="G131" s="3442"/>
      <c r="H131" s="3442"/>
      <c r="I131" s="3442"/>
      <c r="J131" s="3442"/>
      <c r="K131" s="3442"/>
      <c r="L131" s="3442"/>
      <c r="M131" s="3442"/>
      <c r="N131" s="3442"/>
      <c r="O131" s="3442"/>
    </row>
    <row r="132" spans="2:15">
      <c r="B132" s="3442"/>
      <c r="C132" s="3442"/>
      <c r="D132" s="3442"/>
      <c r="E132" s="3442"/>
      <c r="F132" s="3442"/>
      <c r="G132" s="3442"/>
      <c r="H132" s="3442"/>
      <c r="I132" s="3442"/>
      <c r="J132" s="3442"/>
      <c r="K132" s="3442"/>
      <c r="L132" s="3442"/>
      <c r="M132" s="3442"/>
      <c r="N132" s="3442"/>
      <c r="O132" s="3442"/>
    </row>
    <row r="133" spans="2:15">
      <c r="B133" s="3442"/>
      <c r="C133" s="3442"/>
      <c r="D133" s="3442"/>
      <c r="E133" s="3442"/>
      <c r="F133" s="3442"/>
      <c r="G133" s="3442"/>
      <c r="H133" s="3442"/>
      <c r="I133" s="3442"/>
      <c r="J133" s="3442"/>
      <c r="K133" s="3442"/>
      <c r="L133" s="3442"/>
      <c r="M133" s="3442"/>
      <c r="N133" s="3442"/>
      <c r="O133" s="3442"/>
    </row>
    <row r="134" spans="2:15">
      <c r="B134" s="3442"/>
      <c r="C134" s="3442"/>
      <c r="D134" s="3442"/>
      <c r="E134" s="3442"/>
      <c r="F134" s="3442"/>
      <c r="G134" s="3442"/>
      <c r="H134" s="3442"/>
      <c r="I134" s="3442"/>
      <c r="J134" s="3442"/>
      <c r="K134" s="3442"/>
      <c r="L134" s="3442"/>
      <c r="M134" s="3442"/>
      <c r="N134" s="3442"/>
      <c r="O134" s="3442"/>
    </row>
    <row r="135" spans="2:15">
      <c r="B135" s="3442"/>
      <c r="C135" s="3442"/>
      <c r="D135" s="3442"/>
      <c r="E135" s="3442"/>
      <c r="F135" s="3442"/>
      <c r="G135" s="3442"/>
      <c r="H135" s="3442"/>
      <c r="I135" s="3442"/>
      <c r="J135" s="3442"/>
      <c r="K135" s="3442"/>
      <c r="L135" s="3442"/>
      <c r="M135" s="3442"/>
      <c r="N135" s="3442"/>
      <c r="O135" s="3442"/>
    </row>
    <row r="136" spans="2:15">
      <c r="B136" s="3442"/>
      <c r="C136" s="3442"/>
      <c r="D136" s="3442"/>
      <c r="E136" s="3442"/>
      <c r="F136" s="3442"/>
      <c r="G136" s="3442"/>
      <c r="H136" s="3442"/>
      <c r="I136" s="3442"/>
      <c r="J136" s="3442"/>
      <c r="K136" s="3442"/>
      <c r="L136" s="3442"/>
      <c r="M136" s="3442"/>
      <c r="N136" s="3442"/>
      <c r="O136" s="3442"/>
    </row>
    <row r="137" spans="2:15">
      <c r="B137" s="3442"/>
      <c r="C137" s="3442"/>
      <c r="D137" s="3442"/>
      <c r="E137" s="3442"/>
      <c r="F137" s="3442"/>
      <c r="G137" s="3442"/>
      <c r="H137" s="3442"/>
      <c r="I137" s="3442"/>
      <c r="J137" s="3442"/>
      <c r="K137" s="3442"/>
      <c r="L137" s="3442"/>
      <c r="M137" s="3442"/>
      <c r="N137" s="3442"/>
      <c r="O137" s="3442"/>
    </row>
    <row r="138" spans="2:15">
      <c r="B138" s="3442"/>
      <c r="C138" s="3442"/>
      <c r="D138" s="3442"/>
      <c r="E138" s="3442"/>
      <c r="F138" s="3442"/>
      <c r="G138" s="3442"/>
      <c r="H138" s="3442"/>
      <c r="I138" s="3442"/>
      <c r="J138" s="3442"/>
      <c r="K138" s="3442"/>
      <c r="L138" s="3442"/>
      <c r="M138" s="3442"/>
      <c r="N138" s="3442"/>
      <c r="O138" s="3442"/>
    </row>
    <row r="139" spans="2:15">
      <c r="B139" s="3442"/>
      <c r="C139" s="3442"/>
      <c r="D139" s="3442"/>
      <c r="E139" s="3442"/>
      <c r="F139" s="3442"/>
      <c r="G139" s="3442"/>
      <c r="H139" s="3442"/>
      <c r="I139" s="3442"/>
      <c r="J139" s="3442"/>
      <c r="K139" s="3442"/>
      <c r="L139" s="3442"/>
      <c r="M139" s="3442"/>
      <c r="N139" s="3442"/>
      <c r="O139" s="3442"/>
    </row>
    <row r="140" spans="2:15">
      <c r="B140" s="3442"/>
      <c r="C140" s="3442"/>
      <c r="D140" s="3442"/>
      <c r="E140" s="3442"/>
      <c r="F140" s="3442"/>
      <c r="G140" s="3442"/>
      <c r="H140" s="3442"/>
      <c r="I140" s="3442"/>
      <c r="J140" s="3442"/>
      <c r="K140" s="3442"/>
      <c r="L140" s="3442"/>
      <c r="M140" s="3442"/>
      <c r="N140" s="3442"/>
      <c r="O140" s="3442"/>
    </row>
    <row r="141" spans="2:15">
      <c r="B141" s="3442"/>
      <c r="C141" s="3442"/>
      <c r="D141" s="3442"/>
      <c r="E141" s="3442"/>
      <c r="F141" s="3442"/>
      <c r="G141" s="3442"/>
      <c r="H141" s="3442"/>
      <c r="I141" s="3442"/>
      <c r="J141" s="3442"/>
      <c r="K141" s="3442"/>
      <c r="L141" s="3442"/>
      <c r="M141" s="3442"/>
      <c r="N141" s="3442"/>
      <c r="O141" s="3442"/>
    </row>
    <row r="142" spans="2:15">
      <c r="B142" s="3442"/>
      <c r="C142" s="3442"/>
      <c r="D142" s="3442"/>
      <c r="E142" s="3442"/>
      <c r="F142" s="3442"/>
      <c r="G142" s="3442"/>
      <c r="H142" s="3442"/>
      <c r="I142" s="3442"/>
      <c r="J142" s="3442"/>
      <c r="K142" s="3442"/>
      <c r="L142" s="3442"/>
      <c r="M142" s="3442"/>
      <c r="N142" s="3442"/>
      <c r="O142" s="3442"/>
    </row>
    <row r="143" spans="2:15">
      <c r="B143" s="3442"/>
      <c r="C143" s="3442"/>
      <c r="D143" s="3442"/>
      <c r="E143" s="3442"/>
      <c r="F143" s="3442"/>
      <c r="G143" s="3442"/>
      <c r="H143" s="3442"/>
      <c r="I143" s="3442"/>
      <c r="J143" s="3442"/>
      <c r="K143" s="3442"/>
      <c r="L143" s="3442"/>
      <c r="M143" s="3442"/>
      <c r="N143" s="3442"/>
      <c r="O143" s="3442"/>
    </row>
    <row r="144" spans="2:15">
      <c r="B144" s="3442"/>
      <c r="C144" s="3442"/>
      <c r="D144" s="3442"/>
      <c r="E144" s="3442"/>
      <c r="F144" s="3442"/>
      <c r="G144" s="3442"/>
      <c r="H144" s="3442"/>
      <c r="I144" s="3442"/>
      <c r="J144" s="3442"/>
      <c r="K144" s="3442"/>
      <c r="L144" s="3442"/>
      <c r="M144" s="3442"/>
      <c r="N144" s="3442"/>
      <c r="O144" s="3442"/>
    </row>
    <row r="145" spans="2:15">
      <c r="B145" s="3442"/>
      <c r="C145" s="3442"/>
      <c r="D145" s="3442"/>
      <c r="E145" s="3442"/>
      <c r="F145" s="3442"/>
      <c r="G145" s="3442"/>
      <c r="H145" s="3442"/>
      <c r="I145" s="3442"/>
      <c r="J145" s="3442"/>
      <c r="K145" s="3442"/>
      <c r="L145" s="3442"/>
      <c r="M145" s="3442"/>
      <c r="N145" s="3442"/>
      <c r="O145" s="3442"/>
    </row>
    <row r="146" spans="2:15">
      <c r="B146" s="3442"/>
      <c r="C146" s="3442"/>
      <c r="D146" s="3442"/>
      <c r="E146" s="3442"/>
      <c r="F146" s="3442"/>
      <c r="G146" s="3442"/>
      <c r="H146" s="3442"/>
      <c r="I146" s="3442"/>
      <c r="J146" s="3442"/>
      <c r="K146" s="3442"/>
      <c r="L146" s="3442"/>
      <c r="M146" s="3442"/>
      <c r="N146" s="3442"/>
      <c r="O146" s="3442"/>
    </row>
    <row r="147" spans="2:15">
      <c r="B147" s="3442"/>
      <c r="C147" s="3442"/>
      <c r="D147" s="3442"/>
      <c r="E147" s="3442"/>
      <c r="F147" s="3442"/>
      <c r="G147" s="3442"/>
      <c r="H147" s="3442"/>
      <c r="I147" s="3442"/>
      <c r="J147" s="3442"/>
      <c r="K147" s="3442"/>
      <c r="L147" s="3442"/>
      <c r="M147" s="3442"/>
      <c r="N147" s="3442"/>
      <c r="O147" s="3442"/>
    </row>
    <row r="148" spans="2:15">
      <c r="B148" s="3442"/>
      <c r="C148" s="3442"/>
      <c r="D148" s="3442"/>
      <c r="E148" s="3442"/>
      <c r="F148" s="3442"/>
      <c r="G148" s="3442"/>
      <c r="H148" s="3442"/>
      <c r="I148" s="3442"/>
      <c r="J148" s="3442"/>
      <c r="K148" s="3442"/>
      <c r="L148" s="3442"/>
      <c r="M148" s="3442"/>
      <c r="N148" s="3442"/>
      <c r="O148" s="3442"/>
    </row>
    <row r="149" spans="2:15">
      <c r="B149" s="3442"/>
      <c r="C149" s="3442"/>
      <c r="D149" s="3442"/>
      <c r="E149" s="3442"/>
      <c r="F149" s="3442"/>
      <c r="G149" s="3442"/>
      <c r="H149" s="3442"/>
      <c r="I149" s="3442"/>
      <c r="J149" s="3442"/>
      <c r="K149" s="3442"/>
      <c r="L149" s="3442"/>
      <c r="M149" s="3442"/>
      <c r="N149" s="3442"/>
      <c r="O149" s="3442"/>
    </row>
    <row r="150" spans="2:15">
      <c r="B150" s="3442"/>
      <c r="C150" s="3442"/>
      <c r="D150" s="3442"/>
      <c r="E150" s="3442"/>
      <c r="F150" s="3442"/>
      <c r="G150" s="3442"/>
      <c r="H150" s="3442"/>
      <c r="I150" s="3442"/>
      <c r="J150" s="3442"/>
      <c r="K150" s="3442"/>
      <c r="L150" s="3442"/>
      <c r="M150" s="3442"/>
      <c r="N150" s="3442"/>
      <c r="O150" s="3442"/>
    </row>
    <row r="151" spans="2:15">
      <c r="B151" s="3442"/>
      <c r="C151" s="3442"/>
      <c r="D151" s="3442"/>
      <c r="E151" s="3442"/>
      <c r="F151" s="3442"/>
      <c r="G151" s="3442"/>
      <c r="H151" s="3442"/>
      <c r="I151" s="3442"/>
      <c r="J151" s="3442"/>
      <c r="K151" s="3442"/>
      <c r="L151" s="3442"/>
      <c r="M151" s="3442"/>
      <c r="N151" s="3442"/>
      <c r="O151" s="3442"/>
    </row>
    <row r="152" spans="2:15">
      <c r="B152" s="3442"/>
      <c r="C152" s="3442"/>
      <c r="D152" s="3442"/>
      <c r="E152" s="3442"/>
      <c r="F152" s="3442"/>
      <c r="G152" s="3442"/>
      <c r="H152" s="3442"/>
      <c r="I152" s="3442"/>
      <c r="J152" s="3442"/>
      <c r="K152" s="3442"/>
      <c r="L152" s="3442"/>
      <c r="M152" s="3442"/>
      <c r="N152" s="3442"/>
      <c r="O152" s="3442"/>
    </row>
    <row r="153" spans="2:15">
      <c r="B153" s="3442"/>
      <c r="C153" s="3442"/>
      <c r="D153" s="3442"/>
      <c r="E153" s="3442"/>
      <c r="F153" s="3442"/>
      <c r="G153" s="3442"/>
      <c r="H153" s="3442"/>
      <c r="I153" s="3442"/>
      <c r="J153" s="3442"/>
      <c r="K153" s="3442"/>
      <c r="L153" s="3442"/>
      <c r="M153" s="3442"/>
      <c r="N153" s="3442"/>
      <c r="O153" s="3442"/>
    </row>
    <row r="154" spans="2:15">
      <c r="B154" s="3442"/>
      <c r="C154" s="3442"/>
      <c r="D154" s="3442"/>
      <c r="E154" s="3442"/>
      <c r="F154" s="3442"/>
      <c r="G154" s="3442"/>
      <c r="H154" s="3442"/>
      <c r="I154" s="3442"/>
      <c r="J154" s="3442"/>
      <c r="K154" s="3442"/>
      <c r="L154" s="3442"/>
      <c r="M154" s="3442"/>
      <c r="N154" s="3442"/>
      <c r="O154" s="3442"/>
    </row>
    <row r="155" spans="2:15">
      <c r="B155" s="3442"/>
      <c r="C155" s="3442"/>
      <c r="D155" s="3442"/>
      <c r="E155" s="3442"/>
      <c r="F155" s="3442"/>
      <c r="G155" s="3442"/>
      <c r="H155" s="3442"/>
      <c r="I155" s="3442"/>
      <c r="J155" s="3442"/>
      <c r="K155" s="3442"/>
      <c r="L155" s="3442"/>
      <c r="M155" s="3442"/>
      <c r="N155" s="3442"/>
      <c r="O155" s="3442"/>
    </row>
    <row r="156" spans="2:15">
      <c r="B156" s="3442"/>
      <c r="C156" s="3442"/>
      <c r="D156" s="3442"/>
      <c r="E156" s="3442"/>
      <c r="F156" s="3442"/>
      <c r="G156" s="3442"/>
      <c r="H156" s="3442"/>
      <c r="I156" s="3442"/>
      <c r="J156" s="3442"/>
      <c r="K156" s="3442"/>
      <c r="L156" s="3442"/>
      <c r="M156" s="3442"/>
      <c r="N156" s="3442"/>
      <c r="O156" s="3442"/>
    </row>
    <row r="157" spans="2:15">
      <c r="B157" s="3442"/>
      <c r="C157" s="3442"/>
      <c r="D157" s="3442"/>
      <c r="E157" s="3442"/>
      <c r="F157" s="3442"/>
      <c r="G157" s="3442"/>
      <c r="H157" s="3442"/>
      <c r="I157" s="3442"/>
      <c r="J157" s="3442"/>
      <c r="K157" s="3442"/>
      <c r="L157" s="3442"/>
      <c r="M157" s="3442"/>
      <c r="N157" s="3442"/>
      <c r="O157" s="3442"/>
    </row>
    <row r="158" spans="2:15">
      <c r="B158" s="3442"/>
      <c r="C158" s="3442"/>
      <c r="D158" s="3442"/>
      <c r="E158" s="3442"/>
      <c r="F158" s="3442"/>
      <c r="G158" s="3442"/>
      <c r="H158" s="3442"/>
      <c r="I158" s="3442"/>
      <c r="J158" s="3442"/>
      <c r="K158" s="3442"/>
      <c r="L158" s="3442"/>
      <c r="M158" s="3442"/>
      <c r="N158" s="3442"/>
      <c r="O158" s="3442"/>
    </row>
    <row r="159" spans="2:15">
      <c r="B159" s="3442"/>
      <c r="C159" s="3442"/>
      <c r="D159" s="3442"/>
      <c r="E159" s="3442"/>
      <c r="F159" s="3442"/>
      <c r="G159" s="3442"/>
      <c r="H159" s="3442"/>
      <c r="I159" s="3442"/>
      <c r="J159" s="3442"/>
      <c r="K159" s="3442"/>
      <c r="L159" s="3442"/>
      <c r="M159" s="3442"/>
      <c r="N159" s="3442"/>
      <c r="O159" s="3442"/>
    </row>
    <row r="160" spans="2:15">
      <c r="B160" s="3442"/>
      <c r="C160" s="3442"/>
      <c r="D160" s="3442"/>
      <c r="E160" s="3442"/>
      <c r="F160" s="3442"/>
      <c r="G160" s="3442"/>
      <c r="H160" s="3442"/>
      <c r="I160" s="3442"/>
      <c r="J160" s="3442"/>
      <c r="K160" s="3442"/>
      <c r="L160" s="3442"/>
      <c r="M160" s="3442"/>
      <c r="N160" s="3442"/>
      <c r="O160" s="3442"/>
    </row>
    <row r="161" spans="2:15">
      <c r="B161" s="3442"/>
      <c r="C161" s="3442"/>
      <c r="D161" s="3442"/>
      <c r="E161" s="3442"/>
      <c r="F161" s="3442"/>
      <c r="G161" s="3442"/>
      <c r="H161" s="3442"/>
      <c r="I161" s="3442"/>
      <c r="J161" s="3442"/>
      <c r="K161" s="3442"/>
      <c r="L161" s="3442"/>
      <c r="M161" s="3442"/>
      <c r="N161" s="3442"/>
      <c r="O161" s="3442"/>
    </row>
    <row r="162" spans="2:15">
      <c r="B162" s="3442"/>
      <c r="C162" s="3442"/>
      <c r="D162" s="3442"/>
      <c r="E162" s="3442"/>
      <c r="F162" s="3442"/>
      <c r="G162" s="3442"/>
      <c r="H162" s="3442"/>
      <c r="I162" s="3442"/>
      <c r="J162" s="3442"/>
      <c r="K162" s="3442"/>
      <c r="L162" s="3442"/>
      <c r="M162" s="3442"/>
      <c r="N162" s="3442"/>
      <c r="O162" s="3442"/>
    </row>
    <row r="163" spans="2:15">
      <c r="B163" s="3442"/>
      <c r="C163" s="3442"/>
      <c r="D163" s="3442"/>
      <c r="E163" s="3442"/>
      <c r="F163" s="3442"/>
      <c r="G163" s="3442"/>
      <c r="H163" s="3442"/>
      <c r="I163" s="3442"/>
      <c r="J163" s="3442"/>
      <c r="K163" s="3442"/>
      <c r="L163" s="3442"/>
      <c r="M163" s="3442"/>
      <c r="N163" s="3442"/>
      <c r="O163" s="3442"/>
    </row>
    <row r="164" spans="2:15">
      <c r="B164" s="3442"/>
      <c r="C164" s="3442"/>
      <c r="D164" s="3442"/>
      <c r="E164" s="3442"/>
      <c r="F164" s="3442"/>
      <c r="G164" s="3442"/>
      <c r="H164" s="3442"/>
      <c r="I164" s="3442"/>
      <c r="J164" s="3442"/>
      <c r="K164" s="3442"/>
      <c r="L164" s="3442"/>
      <c r="M164" s="3442"/>
      <c r="N164" s="3442"/>
      <c r="O164" s="3442"/>
    </row>
    <row r="165" spans="2:15">
      <c r="B165" s="3442"/>
      <c r="C165" s="3442"/>
      <c r="D165" s="3442"/>
      <c r="E165" s="3442"/>
      <c r="F165" s="3442"/>
      <c r="G165" s="3442"/>
      <c r="H165" s="3442"/>
      <c r="I165" s="3442"/>
      <c r="J165" s="3442"/>
      <c r="K165" s="3442"/>
      <c r="L165" s="3442"/>
      <c r="M165" s="3442"/>
      <c r="N165" s="3442"/>
      <c r="O165" s="3442"/>
    </row>
    <row r="166" spans="2:15">
      <c r="B166" s="3442"/>
      <c r="C166" s="3442"/>
      <c r="D166" s="3442"/>
      <c r="E166" s="3442"/>
      <c r="F166" s="3442"/>
      <c r="G166" s="3442"/>
      <c r="H166" s="3442"/>
      <c r="I166" s="3442"/>
      <c r="J166" s="3442"/>
      <c r="K166" s="3442"/>
      <c r="L166" s="3442"/>
      <c r="M166" s="3442"/>
      <c r="N166" s="3442"/>
      <c r="O166" s="3442"/>
    </row>
    <row r="167" spans="2:15">
      <c r="B167" s="3442"/>
      <c r="C167" s="3442"/>
      <c r="D167" s="3442"/>
      <c r="E167" s="3442"/>
      <c r="F167" s="3442"/>
      <c r="G167" s="3442"/>
      <c r="H167" s="3442"/>
      <c r="I167" s="3442"/>
      <c r="J167" s="3442"/>
      <c r="K167" s="3442"/>
      <c r="L167" s="3442"/>
      <c r="M167" s="3442"/>
      <c r="N167" s="3442"/>
      <c r="O167" s="3442"/>
    </row>
    <row r="168" spans="2:15">
      <c r="B168" s="3442"/>
      <c r="C168" s="3442"/>
      <c r="D168" s="3442"/>
      <c r="E168" s="3442"/>
      <c r="F168" s="3442"/>
      <c r="G168" s="3442"/>
      <c r="H168" s="3442"/>
      <c r="I168" s="3442"/>
      <c r="J168" s="3442"/>
      <c r="K168" s="3442"/>
      <c r="L168" s="3442"/>
      <c r="M168" s="3442"/>
      <c r="N168" s="3442"/>
      <c r="O168" s="3442"/>
    </row>
    <row r="169" spans="2:15">
      <c r="B169" s="3442"/>
      <c r="C169" s="3442"/>
      <c r="D169" s="3442"/>
      <c r="E169" s="3442"/>
      <c r="F169" s="3442"/>
      <c r="G169" s="3442"/>
      <c r="H169" s="3442"/>
      <c r="I169" s="3442"/>
      <c r="J169" s="3442"/>
      <c r="K169" s="3442"/>
      <c r="L169" s="3442"/>
      <c r="M169" s="3442"/>
      <c r="N169" s="3442"/>
      <c r="O169" s="3442"/>
    </row>
    <row r="170" spans="2:15">
      <c r="B170" s="3442"/>
      <c r="C170" s="3442"/>
      <c r="D170" s="3442"/>
      <c r="E170" s="3442"/>
      <c r="F170" s="3442"/>
      <c r="G170" s="3442"/>
      <c r="H170" s="3442"/>
      <c r="I170" s="3442"/>
      <c r="J170" s="3442"/>
      <c r="K170" s="3442"/>
      <c r="L170" s="3442"/>
      <c r="M170" s="3442"/>
      <c r="N170" s="3442"/>
      <c r="O170" s="3442"/>
    </row>
    <row r="171" spans="2:15">
      <c r="B171" s="3442"/>
      <c r="C171" s="3442"/>
      <c r="D171" s="3442"/>
      <c r="E171" s="3442"/>
      <c r="F171" s="3442"/>
      <c r="G171" s="3442"/>
      <c r="H171" s="3442"/>
      <c r="I171" s="3442"/>
      <c r="J171" s="3442"/>
      <c r="K171" s="3442"/>
      <c r="L171" s="3442"/>
      <c r="M171" s="3442"/>
      <c r="N171" s="3442"/>
      <c r="O171" s="3442"/>
    </row>
    <row r="172" spans="2:15">
      <c r="B172" s="3442"/>
      <c r="C172" s="3442"/>
      <c r="D172" s="3442"/>
      <c r="E172" s="3442"/>
      <c r="F172" s="3442"/>
      <c r="G172" s="3442"/>
      <c r="H172" s="3442"/>
      <c r="I172" s="3442"/>
      <c r="J172" s="3442"/>
      <c r="K172" s="3442"/>
      <c r="L172" s="3442"/>
      <c r="M172" s="3442"/>
      <c r="N172" s="3442"/>
      <c r="O172" s="3442"/>
    </row>
    <row r="173" spans="2:15">
      <c r="B173" s="3442"/>
      <c r="C173" s="3442"/>
      <c r="D173" s="3442"/>
      <c r="E173" s="3442"/>
      <c r="F173" s="3442"/>
      <c r="G173" s="3442"/>
      <c r="H173" s="3442"/>
      <c r="I173" s="3442"/>
      <c r="J173" s="3442"/>
      <c r="K173" s="3442"/>
      <c r="L173" s="3442"/>
      <c r="M173" s="3442"/>
      <c r="N173" s="3442"/>
      <c r="O173" s="3442"/>
    </row>
    <row r="174" spans="2:15">
      <c r="B174" s="3442"/>
      <c r="C174" s="3442"/>
      <c r="D174" s="3442"/>
      <c r="E174" s="3442"/>
      <c r="F174" s="3442"/>
      <c r="G174" s="3442"/>
      <c r="H174" s="3442"/>
      <c r="I174" s="3442"/>
      <c r="J174" s="3442"/>
      <c r="K174" s="3442"/>
      <c r="L174" s="3442"/>
      <c r="M174" s="3442"/>
      <c r="N174" s="3442"/>
      <c r="O174" s="3442"/>
    </row>
    <row r="175" spans="2:15">
      <c r="B175" s="3442"/>
      <c r="C175" s="3442"/>
      <c r="D175" s="3442"/>
      <c r="E175" s="3442"/>
      <c r="F175" s="3442"/>
      <c r="G175" s="3442"/>
      <c r="H175" s="3442"/>
      <c r="I175" s="3442"/>
      <c r="J175" s="3442"/>
      <c r="K175" s="3442"/>
      <c r="L175" s="3442"/>
      <c r="M175" s="3442"/>
      <c r="N175" s="3442"/>
      <c r="O175" s="3442"/>
    </row>
    <row r="176" spans="2:15">
      <c r="B176" s="3442"/>
      <c r="C176" s="3442"/>
      <c r="D176" s="3442"/>
      <c r="E176" s="3442"/>
      <c r="F176" s="3442"/>
      <c r="G176" s="3442"/>
      <c r="H176" s="3442"/>
      <c r="I176" s="3442"/>
      <c r="J176" s="3442"/>
      <c r="K176" s="3442"/>
      <c r="L176" s="3442"/>
      <c r="M176" s="3442"/>
      <c r="N176" s="3442"/>
      <c r="O176" s="3442"/>
    </row>
    <row r="177" spans="2:15">
      <c r="B177" s="3442"/>
      <c r="C177" s="3442"/>
      <c r="D177" s="3442"/>
      <c r="E177" s="3442"/>
      <c r="F177" s="3442"/>
      <c r="G177" s="3442"/>
      <c r="H177" s="3442"/>
      <c r="I177" s="3442"/>
      <c r="J177" s="3442"/>
      <c r="K177" s="3442"/>
      <c r="L177" s="3442"/>
      <c r="M177" s="3442"/>
      <c r="N177" s="3442"/>
      <c r="O177" s="3442"/>
    </row>
    <row r="178" spans="2:15">
      <c r="B178" s="3442"/>
      <c r="C178" s="3442"/>
      <c r="D178" s="3442"/>
      <c r="E178" s="3442"/>
      <c r="F178" s="3442"/>
      <c r="G178" s="3442"/>
      <c r="H178" s="3442"/>
      <c r="I178" s="3442"/>
      <c r="J178" s="3442"/>
      <c r="K178" s="3442"/>
      <c r="L178" s="3442"/>
      <c r="M178" s="3442"/>
      <c r="N178" s="3442"/>
      <c r="O178" s="3442"/>
    </row>
    <row r="179" spans="2:15">
      <c r="B179" s="3442"/>
      <c r="C179" s="3442"/>
      <c r="D179" s="3442"/>
      <c r="E179" s="3442"/>
      <c r="F179" s="3442"/>
      <c r="G179" s="3442"/>
      <c r="H179" s="3442"/>
      <c r="I179" s="3442"/>
      <c r="J179" s="3442"/>
      <c r="K179" s="3442"/>
      <c r="L179" s="3442"/>
      <c r="M179" s="3442"/>
      <c r="N179" s="3442"/>
      <c r="O179" s="3442"/>
    </row>
    <row r="180" spans="2:15">
      <c r="B180" s="3442"/>
      <c r="C180" s="3442"/>
      <c r="D180" s="3442"/>
      <c r="E180" s="3442"/>
      <c r="F180" s="3442"/>
      <c r="G180" s="3442"/>
      <c r="H180" s="3442"/>
      <c r="I180" s="3442"/>
      <c r="J180" s="3442"/>
      <c r="K180" s="3442"/>
      <c r="L180" s="3442"/>
      <c r="M180" s="3442"/>
      <c r="N180" s="3442"/>
      <c r="O180" s="3442"/>
    </row>
    <row r="181" spans="2:15">
      <c r="B181" s="3442"/>
      <c r="C181" s="3442"/>
      <c r="D181" s="3442"/>
      <c r="E181" s="3442"/>
      <c r="F181" s="3442"/>
      <c r="G181" s="3442"/>
      <c r="H181" s="3442"/>
      <c r="I181" s="3442"/>
      <c r="J181" s="3442"/>
      <c r="K181" s="3442"/>
      <c r="L181" s="3442"/>
      <c r="M181" s="3442"/>
      <c r="N181" s="3442"/>
      <c r="O181" s="3442"/>
    </row>
    <row r="182" spans="2:15">
      <c r="B182" s="3442"/>
      <c r="C182" s="3442"/>
      <c r="D182" s="3442"/>
      <c r="E182" s="3442"/>
      <c r="F182" s="3442"/>
      <c r="G182" s="3442"/>
      <c r="H182" s="3442"/>
      <c r="I182" s="3442"/>
      <c r="J182" s="3442"/>
      <c r="K182" s="3442"/>
      <c r="L182" s="3442"/>
      <c r="M182" s="3442"/>
      <c r="N182" s="3442"/>
      <c r="O182" s="3442"/>
    </row>
    <row r="183" spans="2:15">
      <c r="B183" s="3442"/>
      <c r="C183" s="3442"/>
      <c r="D183" s="3442"/>
      <c r="E183" s="3442"/>
      <c r="F183" s="3442"/>
      <c r="G183" s="3442"/>
      <c r="H183" s="3442"/>
      <c r="I183" s="3442"/>
      <c r="J183" s="3442"/>
      <c r="K183" s="3442"/>
      <c r="L183" s="3442"/>
      <c r="M183" s="3442"/>
      <c r="N183" s="3442"/>
      <c r="O183" s="3442"/>
    </row>
    <row r="184" spans="2:15">
      <c r="B184" s="3442"/>
      <c r="C184" s="3442"/>
      <c r="D184" s="3442"/>
      <c r="E184" s="3442"/>
      <c r="F184" s="3442"/>
      <c r="G184" s="3442"/>
      <c r="H184" s="3442"/>
      <c r="I184" s="3442"/>
      <c r="J184" s="3442"/>
      <c r="K184" s="3442"/>
      <c r="L184" s="3442"/>
      <c r="M184" s="3442"/>
      <c r="N184" s="3442"/>
      <c r="O184" s="3442"/>
    </row>
    <row r="185" spans="2:15">
      <c r="B185" s="3442"/>
      <c r="C185" s="3442"/>
      <c r="D185" s="3442"/>
      <c r="E185" s="3442"/>
      <c r="F185" s="3442"/>
      <c r="G185" s="3442"/>
      <c r="H185" s="3442"/>
      <c r="I185" s="3442"/>
      <c r="J185" s="3442"/>
      <c r="K185" s="3442"/>
      <c r="L185" s="3442"/>
      <c r="M185" s="3442"/>
      <c r="N185" s="3442"/>
      <c r="O185" s="3442"/>
    </row>
    <row r="186" spans="2:15">
      <c r="B186" s="3442"/>
      <c r="C186" s="3442"/>
      <c r="D186" s="3442"/>
      <c r="E186" s="3442"/>
      <c r="F186" s="3442"/>
      <c r="G186" s="3442"/>
      <c r="H186" s="3442"/>
      <c r="I186" s="3442"/>
      <c r="J186" s="3442"/>
      <c r="K186" s="3442"/>
      <c r="L186" s="3442"/>
      <c r="M186" s="3442"/>
      <c r="N186" s="3442"/>
      <c r="O186" s="3442"/>
    </row>
    <row r="187" spans="2:15">
      <c r="B187" s="3442"/>
      <c r="C187" s="3442"/>
      <c r="D187" s="3442"/>
      <c r="E187" s="3442"/>
      <c r="F187" s="3442"/>
      <c r="G187" s="3442"/>
      <c r="H187" s="3442"/>
      <c r="I187" s="3442"/>
      <c r="J187" s="3442"/>
      <c r="K187" s="3442"/>
      <c r="L187" s="3442"/>
      <c r="M187" s="3442"/>
      <c r="N187" s="3442"/>
      <c r="O187" s="3442"/>
    </row>
    <row r="188" spans="2:15">
      <c r="B188" s="3442"/>
      <c r="C188" s="3442"/>
      <c r="D188" s="3442"/>
      <c r="E188" s="3442"/>
      <c r="F188" s="3442"/>
      <c r="G188" s="3442"/>
      <c r="H188" s="3442"/>
      <c r="I188" s="3442"/>
      <c r="J188" s="3442"/>
      <c r="K188" s="3442"/>
      <c r="L188" s="3442"/>
      <c r="M188" s="3442"/>
      <c r="N188" s="3442"/>
      <c r="O188" s="3442"/>
    </row>
    <row r="189" spans="2:15">
      <c r="B189" s="3442"/>
      <c r="C189" s="3442"/>
      <c r="D189" s="3442"/>
      <c r="E189" s="3442"/>
      <c r="F189" s="3442"/>
      <c r="G189" s="3442"/>
      <c r="H189" s="3442"/>
      <c r="I189" s="3442"/>
      <c r="J189" s="3442"/>
      <c r="K189" s="3442"/>
      <c r="L189" s="3442"/>
      <c r="M189" s="3442"/>
      <c r="N189" s="3442"/>
      <c r="O189" s="3442"/>
    </row>
    <row r="190" spans="2:15">
      <c r="B190" s="3442"/>
      <c r="C190" s="3442"/>
      <c r="D190" s="3442"/>
      <c r="E190" s="3442"/>
      <c r="F190" s="3442"/>
      <c r="G190" s="3442"/>
      <c r="H190" s="3442"/>
      <c r="I190" s="3442"/>
      <c r="J190" s="3442"/>
      <c r="K190" s="3442"/>
      <c r="L190" s="3442"/>
      <c r="M190" s="3442"/>
      <c r="N190" s="3442"/>
      <c r="O190" s="3442"/>
    </row>
    <row r="191" spans="2:15">
      <c r="B191" s="3442"/>
      <c r="C191" s="3442"/>
      <c r="D191" s="3442"/>
      <c r="E191" s="3442"/>
      <c r="F191" s="3442"/>
      <c r="G191" s="3442"/>
      <c r="H191" s="3442"/>
      <c r="I191" s="3442"/>
      <c r="J191" s="3442"/>
      <c r="K191" s="3442"/>
      <c r="L191" s="3442"/>
      <c r="M191" s="3442"/>
      <c r="N191" s="3442"/>
      <c r="O191" s="3442"/>
    </row>
    <row r="192" spans="2:15">
      <c r="B192" s="3442"/>
      <c r="C192" s="3442"/>
      <c r="D192" s="3442"/>
      <c r="E192" s="3442"/>
      <c r="F192" s="3442"/>
      <c r="G192" s="3442"/>
      <c r="H192" s="3442"/>
      <c r="I192" s="3442"/>
      <c r="J192" s="3442"/>
      <c r="K192" s="3442"/>
      <c r="L192" s="3442"/>
      <c r="M192" s="3442"/>
      <c r="N192" s="3442"/>
      <c r="O192" s="3442"/>
    </row>
    <row r="193" spans="2:15">
      <c r="B193" s="3442"/>
      <c r="C193" s="3442"/>
      <c r="D193" s="3442"/>
      <c r="E193" s="3442"/>
      <c r="F193" s="3442"/>
      <c r="G193" s="3442"/>
      <c r="H193" s="3442"/>
      <c r="I193" s="3442"/>
      <c r="J193" s="3442"/>
      <c r="K193" s="3442"/>
      <c r="L193" s="3442"/>
      <c r="M193" s="3442"/>
      <c r="N193" s="3442"/>
      <c r="O193" s="3442"/>
    </row>
    <row r="194" spans="2:15">
      <c r="B194" s="3442"/>
      <c r="C194" s="3442"/>
      <c r="D194" s="3442"/>
      <c r="E194" s="3442"/>
      <c r="F194" s="3442"/>
      <c r="G194" s="3442"/>
      <c r="H194" s="3442"/>
      <c r="I194" s="3442"/>
      <c r="J194" s="3442"/>
      <c r="K194" s="3442"/>
      <c r="L194" s="3442"/>
      <c r="M194" s="3442"/>
      <c r="N194" s="3442"/>
      <c r="O194" s="3442"/>
    </row>
    <row r="195" spans="2:15">
      <c r="B195" s="3442"/>
      <c r="C195" s="3442"/>
      <c r="D195" s="3442"/>
      <c r="E195" s="3442"/>
      <c r="F195" s="3442"/>
      <c r="G195" s="3442"/>
      <c r="H195" s="3442"/>
      <c r="I195" s="3442"/>
      <c r="J195" s="3442"/>
      <c r="K195" s="3442"/>
      <c r="L195" s="3442"/>
      <c r="M195" s="3442"/>
      <c r="N195" s="3442"/>
      <c r="O195" s="3442"/>
    </row>
    <row r="196" spans="2:15">
      <c r="B196" s="3442"/>
      <c r="C196" s="3442"/>
      <c r="D196" s="3442"/>
      <c r="E196" s="3442"/>
      <c r="F196" s="3442"/>
      <c r="G196" s="3442"/>
      <c r="H196" s="3442"/>
      <c r="I196" s="3442"/>
      <c r="J196" s="3442"/>
      <c r="K196" s="3442"/>
      <c r="L196" s="3442"/>
      <c r="M196" s="3442"/>
      <c r="N196" s="3442"/>
      <c r="O196" s="3442"/>
    </row>
    <row r="197" spans="2:15">
      <c r="B197" s="3442"/>
      <c r="C197" s="3442"/>
      <c r="D197" s="3442"/>
      <c r="E197" s="3442"/>
      <c r="F197" s="3442"/>
      <c r="G197" s="3442"/>
      <c r="H197" s="3442"/>
      <c r="I197" s="3442"/>
      <c r="J197" s="3442"/>
      <c r="K197" s="3442"/>
      <c r="L197" s="3442"/>
      <c r="M197" s="3442"/>
      <c r="N197" s="3442"/>
      <c r="O197" s="3442"/>
    </row>
    <row r="198" spans="2:15">
      <c r="B198" s="3442"/>
      <c r="C198" s="3442"/>
      <c r="D198" s="3442"/>
      <c r="E198" s="3442"/>
      <c r="F198" s="3442"/>
      <c r="G198" s="3442"/>
      <c r="H198" s="3442"/>
      <c r="I198" s="3442"/>
      <c r="J198" s="3442"/>
      <c r="K198" s="3442"/>
      <c r="L198" s="3442"/>
      <c r="M198" s="3442"/>
      <c r="N198" s="3442"/>
      <c r="O198" s="3442"/>
    </row>
    <row r="199" spans="2:15">
      <c r="B199" s="3442"/>
      <c r="C199" s="3442"/>
      <c r="D199" s="3442"/>
      <c r="E199" s="3442"/>
      <c r="F199" s="3442"/>
      <c r="G199" s="3442"/>
      <c r="H199" s="3442"/>
      <c r="I199" s="3442"/>
      <c r="J199" s="3442"/>
      <c r="K199" s="3442"/>
      <c r="L199" s="3442"/>
      <c r="M199" s="3442"/>
      <c r="N199" s="3442"/>
      <c r="O199" s="3442"/>
    </row>
    <row r="200" spans="2:15">
      <c r="B200" s="3442"/>
      <c r="C200" s="3442"/>
      <c r="D200" s="3442"/>
      <c r="E200" s="3442"/>
      <c r="F200" s="3442"/>
      <c r="G200" s="3442"/>
      <c r="H200" s="3442"/>
      <c r="I200" s="3442"/>
      <c r="J200" s="3442"/>
      <c r="K200" s="3442"/>
      <c r="L200" s="3442"/>
      <c r="M200" s="3442"/>
      <c r="N200" s="3442"/>
      <c r="O200" s="3442"/>
    </row>
  </sheetData>
  <sheetProtection algorithmName="SHA-512" hashValue="iPmbuNzFwWqbN7fQzQMCV6hPquEoFTFqAx/5IA0ai6mKyjM1DfPBV4kVe+SxZzlyg4jOQtEGlSii0UZcib6jLQ==" saltValue="WKcLwUN3FZsKqpNM6rTinw==" spinCount="100000" sheet="1" formatCells="0" formatColumns="0" formatRows="0" insertHyperlinks="0"/>
  <mergeCells count="233">
    <mergeCell ref="B198:O198"/>
    <mergeCell ref="B199:O199"/>
    <mergeCell ref="B200:O200"/>
    <mergeCell ref="B193:O193"/>
    <mergeCell ref="B194:O194"/>
    <mergeCell ref="B195:O195"/>
    <mergeCell ref="B196:O196"/>
    <mergeCell ref="B197:O197"/>
    <mergeCell ref="B188:O188"/>
    <mergeCell ref="B189:O189"/>
    <mergeCell ref="B190:O190"/>
    <mergeCell ref="B191:O191"/>
    <mergeCell ref="B192:O192"/>
    <mergeCell ref="B183:O183"/>
    <mergeCell ref="B184:O184"/>
    <mergeCell ref="B185:O185"/>
    <mergeCell ref="B186:O186"/>
    <mergeCell ref="B187:O187"/>
    <mergeCell ref="B178:O178"/>
    <mergeCell ref="B179:O179"/>
    <mergeCell ref="B180:O180"/>
    <mergeCell ref="B181:O181"/>
    <mergeCell ref="B182:O182"/>
    <mergeCell ref="B173:O173"/>
    <mergeCell ref="B174:O174"/>
    <mergeCell ref="B175:O175"/>
    <mergeCell ref="B176:O176"/>
    <mergeCell ref="B177:O177"/>
    <mergeCell ref="B168:O168"/>
    <mergeCell ref="B169:O169"/>
    <mergeCell ref="B170:O170"/>
    <mergeCell ref="B171:O171"/>
    <mergeCell ref="B172:O172"/>
    <mergeCell ref="B163:O163"/>
    <mergeCell ref="B164:O164"/>
    <mergeCell ref="B165:O165"/>
    <mergeCell ref="B166:O166"/>
    <mergeCell ref="B167:O167"/>
    <mergeCell ref="B158:O158"/>
    <mergeCell ref="B159:O159"/>
    <mergeCell ref="B160:O160"/>
    <mergeCell ref="B161:O161"/>
    <mergeCell ref="B162:O162"/>
    <mergeCell ref="B153:O153"/>
    <mergeCell ref="B154:O154"/>
    <mergeCell ref="B155:O155"/>
    <mergeCell ref="B156:O156"/>
    <mergeCell ref="B157:O157"/>
    <mergeCell ref="B148:O148"/>
    <mergeCell ref="B149:O149"/>
    <mergeCell ref="B150:O150"/>
    <mergeCell ref="B151:O151"/>
    <mergeCell ref="B152:O152"/>
    <mergeCell ref="B143:O143"/>
    <mergeCell ref="B144:O144"/>
    <mergeCell ref="B145:O145"/>
    <mergeCell ref="B146:O146"/>
    <mergeCell ref="B147:O147"/>
    <mergeCell ref="B138:O138"/>
    <mergeCell ref="B139:O139"/>
    <mergeCell ref="B140:O140"/>
    <mergeCell ref="B141:O141"/>
    <mergeCell ref="B142:O142"/>
    <mergeCell ref="B133:O133"/>
    <mergeCell ref="B134:O134"/>
    <mergeCell ref="B135:O135"/>
    <mergeCell ref="B136:O136"/>
    <mergeCell ref="B137:O137"/>
    <mergeCell ref="B128:O128"/>
    <mergeCell ref="B129:O129"/>
    <mergeCell ref="B130:O130"/>
    <mergeCell ref="B131:O131"/>
    <mergeCell ref="B132:O132"/>
    <mergeCell ref="B123:O123"/>
    <mergeCell ref="B124:O124"/>
    <mergeCell ref="B125:O125"/>
    <mergeCell ref="B126:O126"/>
    <mergeCell ref="B127:O127"/>
    <mergeCell ref="B118:O118"/>
    <mergeCell ref="B119:O119"/>
    <mergeCell ref="B120:O120"/>
    <mergeCell ref="B121:O121"/>
    <mergeCell ref="B122:O122"/>
    <mergeCell ref="B113:O113"/>
    <mergeCell ref="B114:O114"/>
    <mergeCell ref="B115:O115"/>
    <mergeCell ref="B116:O116"/>
    <mergeCell ref="B117:O117"/>
    <mergeCell ref="B108:O108"/>
    <mergeCell ref="B109:O109"/>
    <mergeCell ref="B110:O110"/>
    <mergeCell ref="B111:O111"/>
    <mergeCell ref="B112:O112"/>
    <mergeCell ref="B103:O103"/>
    <mergeCell ref="B104:O104"/>
    <mergeCell ref="B105:O105"/>
    <mergeCell ref="B106:O106"/>
    <mergeCell ref="B107:O107"/>
    <mergeCell ref="B98:O98"/>
    <mergeCell ref="B99:O99"/>
    <mergeCell ref="B100:O100"/>
    <mergeCell ref="B101:O101"/>
    <mergeCell ref="B102:O102"/>
    <mergeCell ref="B93:O93"/>
    <mergeCell ref="B94:O94"/>
    <mergeCell ref="B95:O95"/>
    <mergeCell ref="B96:O96"/>
    <mergeCell ref="B97:O97"/>
    <mergeCell ref="B88:O88"/>
    <mergeCell ref="B89:O89"/>
    <mergeCell ref="B90:O90"/>
    <mergeCell ref="B91:O91"/>
    <mergeCell ref="B92:O92"/>
    <mergeCell ref="B83:O83"/>
    <mergeCell ref="B84:O84"/>
    <mergeCell ref="B85:O85"/>
    <mergeCell ref="B86:O86"/>
    <mergeCell ref="B87:O87"/>
    <mergeCell ref="B78:O78"/>
    <mergeCell ref="B79:O79"/>
    <mergeCell ref="B80:O80"/>
    <mergeCell ref="B81:O81"/>
    <mergeCell ref="B82:O82"/>
    <mergeCell ref="B73:O73"/>
    <mergeCell ref="B74:O74"/>
    <mergeCell ref="B75:O75"/>
    <mergeCell ref="B76:O76"/>
    <mergeCell ref="B77:O77"/>
    <mergeCell ref="B68:O68"/>
    <mergeCell ref="B69:O69"/>
    <mergeCell ref="B70:O70"/>
    <mergeCell ref="B71:O71"/>
    <mergeCell ref="B72:O72"/>
    <mergeCell ref="B63:O63"/>
    <mergeCell ref="B64:O64"/>
    <mergeCell ref="B65:O65"/>
    <mergeCell ref="B66:O66"/>
    <mergeCell ref="B67:O67"/>
    <mergeCell ref="B58:O58"/>
    <mergeCell ref="B59:O59"/>
    <mergeCell ref="B60:O60"/>
    <mergeCell ref="B61:O61"/>
    <mergeCell ref="B62:O62"/>
    <mergeCell ref="B53:O53"/>
    <mergeCell ref="B54:O54"/>
    <mergeCell ref="B55:O55"/>
    <mergeCell ref="B56:O56"/>
    <mergeCell ref="B57:O57"/>
    <mergeCell ref="D52:N52"/>
    <mergeCell ref="E47:F47"/>
    <mergeCell ref="G47:N47"/>
    <mergeCell ref="E43:F43"/>
    <mergeCell ref="G43:N43"/>
    <mergeCell ref="E44:F44"/>
    <mergeCell ref="G45:N45"/>
    <mergeCell ref="E46:F46"/>
    <mergeCell ref="D50:N50"/>
    <mergeCell ref="G46:N46"/>
    <mergeCell ref="D36:N36"/>
    <mergeCell ref="D17:N17"/>
    <mergeCell ref="D18:N18"/>
    <mergeCell ref="B2:D4"/>
    <mergeCell ref="E3:F3"/>
    <mergeCell ref="E4:F4"/>
    <mergeCell ref="I4:J4"/>
    <mergeCell ref="K4:L4"/>
    <mergeCell ref="D25:N25"/>
    <mergeCell ref="D26:N26"/>
    <mergeCell ref="K3:L3"/>
    <mergeCell ref="M3:N3"/>
    <mergeCell ref="G2:H2"/>
    <mergeCell ref="E20:F20"/>
    <mergeCell ref="G20:N20"/>
    <mergeCell ref="D6:N6"/>
    <mergeCell ref="E21:F21"/>
    <mergeCell ref="G21:N21"/>
    <mergeCell ref="E22:F22"/>
    <mergeCell ref="G22:N22"/>
    <mergeCell ref="E23:F23"/>
    <mergeCell ref="G23:N23"/>
    <mergeCell ref="E28:F28"/>
    <mergeCell ref="G28:H28"/>
    <mergeCell ref="E41:F41"/>
    <mergeCell ref="E48:F48"/>
    <mergeCell ref="G41:N41"/>
    <mergeCell ref="G48:N48"/>
    <mergeCell ref="E42:F42"/>
    <mergeCell ref="G42:N42"/>
    <mergeCell ref="G44:N44"/>
    <mergeCell ref="E45:F45"/>
    <mergeCell ref="D37:N37"/>
    <mergeCell ref="E40:F40"/>
    <mergeCell ref="G40:N40"/>
    <mergeCell ref="L28:N28"/>
    <mergeCell ref="J28:K28"/>
    <mergeCell ref="E30:F30"/>
    <mergeCell ref="G30:H30"/>
    <mergeCell ref="L30:N30"/>
    <mergeCell ref="I2:J2"/>
    <mergeCell ref="K2:L2"/>
    <mergeCell ref="G4:H4"/>
    <mergeCell ref="M2:N2"/>
    <mergeCell ref="G3:H3"/>
    <mergeCell ref="I3:J3"/>
    <mergeCell ref="D14:N14"/>
    <mergeCell ref="D15:N15"/>
    <mergeCell ref="D12:N12"/>
    <mergeCell ref="D13:N13"/>
    <mergeCell ref="M4:N4"/>
    <mergeCell ref="D8:N8"/>
    <mergeCell ref="D10:N10"/>
    <mergeCell ref="D11:N11"/>
    <mergeCell ref="J30:K30"/>
    <mergeCell ref="E29:F29"/>
    <mergeCell ref="G29:H29"/>
    <mergeCell ref="L29:N29"/>
    <mergeCell ref="J29:K29"/>
    <mergeCell ref="E34:F34"/>
    <mergeCell ref="G34:H34"/>
    <mergeCell ref="L34:N34"/>
    <mergeCell ref="J33:K33"/>
    <mergeCell ref="J34:K34"/>
    <mergeCell ref="E31:F31"/>
    <mergeCell ref="G31:H31"/>
    <mergeCell ref="L31:N31"/>
    <mergeCell ref="J31:K31"/>
    <mergeCell ref="E32:F32"/>
    <mergeCell ref="G32:H32"/>
    <mergeCell ref="L32:N32"/>
    <mergeCell ref="J32:K32"/>
    <mergeCell ref="E33:F33"/>
    <mergeCell ref="G33:H33"/>
    <mergeCell ref="L33:N33"/>
  </mergeCells>
  <phoneticPr fontId="33" type="noConversion"/>
  <hyperlinks>
    <hyperlink ref="E3:F3" location="J_Comments!B5" display="Top of sheet" xr:uid="{18167BC4-7B58-4545-B32B-3FAF27332D53}"/>
    <hyperlink ref="E4:F4" location="J_Comments!B51" display="End of sheet" xr:uid="{9CC8030C-EAAC-44D4-A294-E73C1AB28FB6}"/>
    <hyperlink ref="G2:H2" location="a_Contents!B5" display="Table of contents" xr:uid="{D7566D24-C517-4C1D-87AA-CD41F3DEDF81}"/>
    <hyperlink ref="I2:J2" location="H_SpecialBM!B5" display="Previous sheet" xr:uid="{6F09D0A7-7767-4516-872B-06844542ED18}"/>
    <hyperlink ref="K2:L2" location="K_Summary!B5" display="Next sheet" xr:uid="{2B6A82AC-F0A8-4613-8AEA-E1D48905FEB8}"/>
    <hyperlink ref="M2:N2" location="K_Summary!B5" display="Summary" xr:uid="{9FFC1A51-2609-4577-B9F9-49EAE5A5442E}"/>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1">
    <tabColor indexed="10"/>
  </sheetPr>
  <dimension ref="A1:X2749"/>
  <sheetViews>
    <sheetView showGridLines="0" topLeftCell="B1" zoomScaleNormal="100" workbookViewId="0">
      <pane ySplit="4" topLeftCell="A5" activePane="bottomLeft" state="frozen"/>
      <selection activeCell="G426" sqref="G426"/>
      <selection pane="bottomLeft" activeCell="B5" sqref="B5"/>
    </sheetView>
  </sheetViews>
  <sheetFormatPr defaultColWidth="0" defaultRowHeight="12.75" zeroHeight="1"/>
  <cols>
    <col min="1" max="1" width="2.7109375" style="817" hidden="1" customWidth="1"/>
    <col min="2" max="2" width="2.7109375" style="618" customWidth="1"/>
    <col min="3" max="3" width="5.7109375" style="618" customWidth="1"/>
    <col min="4" max="4" width="4.7109375" style="618" customWidth="1"/>
    <col min="5" max="5" width="30.7109375" style="618" customWidth="1"/>
    <col min="6" max="14" width="13.7109375" style="618" customWidth="1"/>
    <col min="15" max="15" width="4.7109375" style="618" customWidth="1"/>
    <col min="16" max="16" width="25.7109375" style="618" hidden="1" customWidth="1"/>
    <col min="17" max="20" width="12.7109375" style="618" hidden="1" customWidth="1"/>
    <col min="21" max="22" width="11.42578125" style="618" hidden="1" customWidth="1"/>
    <col min="23" max="24" width="0" style="618" hidden="1" customWidth="1"/>
    <col min="25" max="16384" width="9.140625" style="618" hidden="1"/>
  </cols>
  <sheetData>
    <row r="1" spans="1:22" ht="13.5" hidden="1" thickBot="1"/>
    <row r="2" spans="1:22" s="562" customFormat="1" ht="13.5" thickBot="1">
      <c r="A2" s="817"/>
      <c r="B2" s="2348" t="s">
        <v>587</v>
      </c>
      <c r="C2" s="2443"/>
      <c r="D2" s="2444"/>
      <c r="E2" s="2357" t="s">
        <v>572</v>
      </c>
      <c r="F2" s="2358"/>
      <c r="G2" s="2360" t="s">
        <v>573</v>
      </c>
      <c r="H2" s="2451"/>
      <c r="I2" s="2451" t="s">
        <v>578</v>
      </c>
      <c r="J2" s="2451"/>
      <c r="K2" s="3515"/>
      <c r="L2" s="3515"/>
      <c r="M2" s="3426"/>
      <c r="N2" s="3426"/>
      <c r="O2" s="481"/>
      <c r="P2" s="1117"/>
      <c r="Q2" s="1117"/>
      <c r="R2" s="1117"/>
      <c r="S2" s="1117"/>
      <c r="T2" s="1117"/>
      <c r="U2" s="1137"/>
      <c r="V2" s="1137"/>
    </row>
    <row r="3" spans="1:22" s="562" customFormat="1" ht="13.5" thickBot="1">
      <c r="A3" s="817"/>
      <c r="B3" s="3516"/>
      <c r="C3" s="2389"/>
      <c r="D3" s="3517"/>
      <c r="E3" s="2451" t="s">
        <v>576</v>
      </c>
      <c r="F3" s="2454"/>
      <c r="G3" s="2455" t="s">
        <v>301</v>
      </c>
      <c r="H3" s="2456"/>
      <c r="I3" s="2456" t="s">
        <v>219</v>
      </c>
      <c r="J3" s="2456"/>
      <c r="K3" s="2456" t="s">
        <v>220</v>
      </c>
      <c r="L3" s="2456"/>
      <c r="M3" s="2456" t="s">
        <v>221</v>
      </c>
      <c r="N3" s="2456"/>
      <c r="O3" s="485"/>
      <c r="P3" s="1117"/>
      <c r="Q3" s="1117"/>
      <c r="R3" s="1117"/>
      <c r="S3" s="1117"/>
      <c r="T3" s="1117"/>
      <c r="U3" s="1137"/>
      <c r="V3" s="1137"/>
    </row>
    <row r="4" spans="1:22" s="562" customFormat="1" ht="13.5" thickBot="1">
      <c r="A4" s="817"/>
      <c r="B4" s="3518"/>
      <c r="C4" s="3519"/>
      <c r="D4" s="3520"/>
      <c r="E4" s="2451" t="s">
        <v>577</v>
      </c>
      <c r="F4" s="2451"/>
      <c r="G4" s="2452" t="s">
        <v>222</v>
      </c>
      <c r="H4" s="2453"/>
      <c r="I4" s="2453"/>
      <c r="J4" s="2453"/>
      <c r="K4" s="3506"/>
      <c r="L4" s="3505"/>
      <c r="M4" s="3505"/>
      <c r="N4" s="3505"/>
      <c r="O4" s="485"/>
      <c r="P4" s="1117"/>
      <c r="Q4" s="1117"/>
      <c r="R4" s="1117"/>
      <c r="S4" s="1117"/>
      <c r="T4" s="1117"/>
      <c r="U4" s="1137"/>
      <c r="V4" s="1137"/>
    </row>
    <row r="5" spans="1:22" s="562" customFormat="1">
      <c r="A5" s="817"/>
      <c r="B5" s="481"/>
      <c r="C5" s="1120"/>
      <c r="D5" s="481"/>
      <c r="E5" s="481"/>
      <c r="F5" s="2065"/>
      <c r="G5" s="2065"/>
      <c r="H5" s="2065"/>
      <c r="I5" s="481"/>
      <c r="J5" s="481"/>
      <c r="K5" s="481"/>
      <c r="L5" s="481"/>
      <c r="M5" s="481"/>
      <c r="N5" s="481"/>
      <c r="O5" s="485"/>
      <c r="P5" s="1117"/>
      <c r="Q5" s="1117"/>
      <c r="R5" s="1117"/>
      <c r="S5" s="1117"/>
      <c r="T5" s="1117"/>
      <c r="U5" s="1137"/>
      <c r="V5" s="1137"/>
    </row>
    <row r="6" spans="1:22" s="562" customFormat="1" ht="23.25" customHeight="1">
      <c r="A6" s="817"/>
      <c r="B6" s="481"/>
      <c r="C6" s="478" t="s">
        <v>293</v>
      </c>
      <c r="D6" s="478" t="s">
        <v>244</v>
      </c>
      <c r="E6" s="478"/>
      <c r="F6" s="478"/>
      <c r="G6" s="478"/>
      <c r="H6" s="478"/>
      <c r="I6" s="478"/>
      <c r="J6" s="478"/>
      <c r="K6" s="478"/>
      <c r="L6" s="478"/>
      <c r="M6" s="481"/>
      <c r="N6" s="481"/>
      <c r="O6" s="485"/>
      <c r="P6" s="1122" t="s">
        <v>228</v>
      </c>
      <c r="Q6" s="1122" t="s">
        <v>228</v>
      </c>
      <c r="R6" s="1122" t="s">
        <v>228</v>
      </c>
      <c r="S6" s="1122" t="s">
        <v>228</v>
      </c>
      <c r="T6" s="1122" t="s">
        <v>228</v>
      </c>
      <c r="U6" s="1122" t="s">
        <v>228</v>
      </c>
      <c r="V6" s="1122" t="s">
        <v>228</v>
      </c>
    </row>
    <row r="7" spans="1:22" s="562" customFormat="1">
      <c r="A7" s="817"/>
      <c r="B7" s="481"/>
      <c r="C7" s="481"/>
      <c r="D7" s="481"/>
      <c r="E7" s="481"/>
      <c r="F7" s="481"/>
      <c r="G7" s="481"/>
      <c r="H7" s="481"/>
      <c r="I7" s="481"/>
      <c r="J7" s="481"/>
      <c r="K7" s="481"/>
      <c r="L7" s="481"/>
      <c r="M7" s="481"/>
      <c r="N7" s="481"/>
      <c r="O7" s="485"/>
      <c r="P7" s="1123" t="s">
        <v>720</v>
      </c>
      <c r="Q7" s="1123" t="s">
        <v>720</v>
      </c>
      <c r="R7" s="1123" t="s">
        <v>720</v>
      </c>
      <c r="S7" s="1123" t="s">
        <v>720</v>
      </c>
      <c r="T7" s="1123" t="s">
        <v>720</v>
      </c>
      <c r="U7" s="1123" t="s">
        <v>720</v>
      </c>
      <c r="V7" s="1123" t="s">
        <v>720</v>
      </c>
    </row>
    <row r="8" spans="1:22" s="562" customFormat="1" ht="15.75">
      <c r="A8" s="817"/>
      <c r="B8" s="481"/>
      <c r="C8" s="507" t="s">
        <v>1018</v>
      </c>
      <c r="D8" s="3444" t="s">
        <v>301</v>
      </c>
      <c r="E8" s="3444"/>
      <c r="F8" s="3444"/>
      <c r="G8" s="3444"/>
      <c r="H8" s="3444"/>
      <c r="I8" s="3444"/>
      <c r="J8" s="3444"/>
      <c r="K8" s="3444"/>
      <c r="L8" s="3444"/>
      <c r="M8" s="3444"/>
      <c r="N8" s="3444"/>
      <c r="O8" s="485"/>
      <c r="P8" s="1117"/>
      <c r="Q8" s="1117"/>
      <c r="R8" s="1117"/>
      <c r="S8" s="1117"/>
      <c r="T8" s="1117"/>
      <c r="U8" s="1137"/>
      <c r="V8" s="1137"/>
    </row>
    <row r="9" spans="1:22" s="562" customFormat="1" ht="5.0999999999999996" customHeight="1">
      <c r="A9" s="817"/>
      <c r="B9" s="481"/>
      <c r="C9" s="481"/>
      <c r="D9" s="481"/>
      <c r="E9" s="481"/>
      <c r="F9" s="481"/>
      <c r="G9" s="481"/>
      <c r="H9" s="481"/>
      <c r="I9" s="481"/>
      <c r="J9" s="481"/>
      <c r="K9" s="481"/>
      <c r="L9" s="481"/>
      <c r="M9" s="481"/>
      <c r="N9" s="481"/>
      <c r="O9" s="485"/>
      <c r="P9" s="1117"/>
      <c r="Q9" s="1117"/>
      <c r="R9" s="1117"/>
      <c r="S9" s="1117"/>
      <c r="T9" s="1117"/>
      <c r="U9" s="1137"/>
      <c r="V9" s="1137"/>
    </row>
    <row r="10" spans="1:22" s="562" customFormat="1" ht="15" customHeight="1">
      <c r="A10" s="817"/>
      <c r="B10" s="485"/>
      <c r="C10" s="559">
        <v>1</v>
      </c>
      <c r="D10" s="2482" t="s">
        <v>263</v>
      </c>
      <c r="E10" s="2846"/>
      <c r="F10" s="2846"/>
      <c r="G10" s="2846"/>
      <c r="H10" s="2846"/>
      <c r="I10" s="2846"/>
      <c r="J10" s="2846"/>
      <c r="K10" s="2846"/>
      <c r="L10" s="2846"/>
      <c r="M10" s="2846"/>
      <c r="N10" s="2846"/>
      <c r="O10" s="485"/>
      <c r="P10" s="1137"/>
      <c r="Q10" s="1137"/>
      <c r="R10" s="1137"/>
      <c r="S10" s="1137"/>
      <c r="T10" s="1137"/>
      <c r="U10" s="1137"/>
      <c r="V10" s="1137"/>
    </row>
    <row r="11" spans="1:22" s="562" customFormat="1" ht="5.0999999999999996" customHeight="1">
      <c r="A11" s="817"/>
      <c r="B11" s="485"/>
      <c r="C11" s="485"/>
      <c r="D11" s="485"/>
      <c r="E11" s="561"/>
      <c r="F11" s="561"/>
      <c r="G11" s="561"/>
      <c r="H11" s="561"/>
      <c r="I11" s="561"/>
      <c r="J11" s="561"/>
      <c r="K11" s="561"/>
      <c r="L11" s="561"/>
      <c r="M11" s="561"/>
      <c r="N11" s="485"/>
      <c r="O11" s="485"/>
      <c r="P11" s="1137"/>
      <c r="Q11" s="1137"/>
      <c r="R11" s="1137"/>
      <c r="S11" s="1137"/>
      <c r="T11" s="1117"/>
      <c r="U11" s="1137"/>
      <c r="V11" s="1137"/>
    </row>
    <row r="12" spans="1:22" s="562" customFormat="1" ht="12.75" customHeight="1">
      <c r="A12" s="817"/>
      <c r="B12" s="485"/>
      <c r="C12" s="485"/>
      <c r="D12" s="485"/>
      <c r="E12" s="496" t="s">
        <v>1672</v>
      </c>
      <c r="F12" s="561"/>
      <c r="G12" s="561"/>
      <c r="H12" s="3468" t="str">
        <f>IF(CNTR_HasEntries_A_I,CNTR_ReportingYear,"")</f>
        <v/>
      </c>
      <c r="I12" s="3468"/>
      <c r="J12" s="561"/>
      <c r="K12" s="561"/>
      <c r="L12" s="561"/>
      <c r="M12" s="561"/>
      <c r="N12" s="485"/>
      <c r="O12" s="485"/>
      <c r="P12" s="1137"/>
      <c r="Q12" s="1137"/>
      <c r="R12" s="1137"/>
      <c r="S12" s="1137"/>
      <c r="T12" s="1117"/>
      <c r="U12" s="1137"/>
      <c r="V12" s="1137"/>
    </row>
    <row r="13" spans="1:22" s="562" customFormat="1">
      <c r="A13" s="817"/>
      <c r="B13" s="485"/>
      <c r="C13" s="485"/>
      <c r="D13" s="485"/>
      <c r="E13" s="496" t="s">
        <v>2125</v>
      </c>
      <c r="F13" s="561"/>
      <c r="G13" s="561"/>
      <c r="H13" s="3509">
        <f>CNTR_UniqueID</f>
        <v>0</v>
      </c>
      <c r="I13" s="3509"/>
      <c r="J13" s="561"/>
      <c r="L13" s="2066"/>
      <c r="M13" s="3510" t="str">
        <f>A_InstallationData!J53</f>
        <v>United Kingdom</v>
      </c>
      <c r="N13" s="3511"/>
      <c r="O13" s="485"/>
      <c r="P13" s="1137"/>
      <c r="Q13" s="1137"/>
      <c r="R13" s="1137"/>
      <c r="S13" s="1137"/>
      <c r="T13" s="1117"/>
      <c r="U13" s="1137"/>
      <c r="V13" s="1137"/>
    </row>
    <row r="14" spans="1:22" s="562" customFormat="1">
      <c r="A14" s="817"/>
      <c r="B14" s="485"/>
      <c r="C14" s="485"/>
      <c r="D14" s="485"/>
      <c r="E14" s="496" t="s">
        <v>846</v>
      </c>
      <c r="F14" s="561"/>
      <c r="G14" s="561"/>
      <c r="H14" s="3507" t="str">
        <f>A_InstallationData!J72</f>
        <v/>
      </c>
      <c r="I14" s="3508"/>
      <c r="J14" s="3508"/>
      <c r="K14" s="3508"/>
      <c r="L14" s="3508"/>
      <c r="M14" s="561"/>
      <c r="N14" s="485"/>
      <c r="O14" s="485"/>
      <c r="P14" s="1137"/>
      <c r="Q14" s="1137"/>
      <c r="R14" s="1137"/>
      <c r="S14" s="1137"/>
      <c r="T14" s="1117"/>
      <c r="U14" s="1137"/>
      <c r="V14" s="1137"/>
    </row>
    <row r="15" spans="1:22" s="562" customFormat="1">
      <c r="A15" s="817"/>
      <c r="B15" s="485"/>
      <c r="C15" s="485"/>
      <c r="D15" s="485"/>
      <c r="E15" s="496" t="s">
        <v>786</v>
      </c>
      <c r="F15" s="561"/>
      <c r="G15" s="561"/>
      <c r="H15" s="3507">
        <f>A_InstallationData!J120</f>
        <v>0</v>
      </c>
      <c r="I15" s="3508"/>
      <c r="J15" s="3508"/>
      <c r="K15" s="3508"/>
      <c r="L15" s="3508"/>
      <c r="M15" s="561"/>
      <c r="N15" s="485"/>
      <c r="O15" s="485"/>
      <c r="P15" s="1137"/>
      <c r="Q15" s="1137"/>
      <c r="R15" s="1137"/>
      <c r="S15" s="1137"/>
      <c r="T15" s="1117"/>
      <c r="U15" s="1137"/>
      <c r="V15" s="1137"/>
    </row>
    <row r="16" spans="1:22" s="562" customFormat="1">
      <c r="A16" s="817"/>
      <c r="B16" s="485"/>
      <c r="C16" s="485"/>
      <c r="D16" s="485"/>
      <c r="E16" s="496" t="s">
        <v>559</v>
      </c>
      <c r="F16" s="561"/>
      <c r="G16" s="561"/>
      <c r="H16" s="3507" t="str">
        <f>IF(ISBLANK(A_InstallationData!J191),"",A_InstallationData!J191)</f>
        <v/>
      </c>
      <c r="I16" s="3508"/>
      <c r="J16" s="3508"/>
      <c r="K16" s="3508"/>
      <c r="L16" s="3508"/>
      <c r="M16" s="561"/>
      <c r="N16" s="485"/>
      <c r="O16" s="485"/>
      <c r="P16" s="1137"/>
      <c r="Q16" s="1137"/>
      <c r="R16" s="1137"/>
      <c r="S16" s="1137"/>
      <c r="T16" s="1117"/>
      <c r="U16" s="1137"/>
      <c r="V16" s="1137"/>
    </row>
    <row r="17" spans="1:22" s="562" customFormat="1" ht="5.0999999999999996" customHeight="1">
      <c r="A17" s="817"/>
      <c r="C17" s="485"/>
      <c r="D17" s="485"/>
      <c r="E17" s="496"/>
      <c r="F17" s="561"/>
      <c r="G17" s="561"/>
      <c r="H17" s="568"/>
      <c r="I17" s="561"/>
      <c r="J17" s="561"/>
      <c r="K17" s="561"/>
      <c r="L17" s="561"/>
      <c r="M17" s="561"/>
      <c r="N17" s="485"/>
      <c r="O17" s="485"/>
      <c r="P17" s="1137"/>
      <c r="Q17" s="1137"/>
      <c r="R17" s="1137"/>
      <c r="S17" s="1137"/>
      <c r="T17" s="1137"/>
      <c r="U17" s="1137"/>
      <c r="V17" s="1137"/>
    </row>
    <row r="18" spans="1:22" s="562" customFormat="1">
      <c r="A18" s="817"/>
      <c r="C18" s="485"/>
      <c r="D18" s="485"/>
      <c r="E18" s="496" t="s">
        <v>557</v>
      </c>
      <c r="F18" s="561"/>
      <c r="G18" s="561"/>
      <c r="H18" s="565" t="str">
        <f>IF(A_InstallationData!J14="","",CNTR_Incumbent)</f>
        <v/>
      </c>
      <c r="I18" s="561"/>
      <c r="K18" s="561"/>
      <c r="L18" s="563" t="s">
        <v>561</v>
      </c>
      <c r="M18" s="564" t="str">
        <f>CNTR_NACEInstallation</f>
        <v/>
      </c>
      <c r="N18" s="485"/>
      <c r="O18" s="485"/>
      <c r="P18" s="1137"/>
      <c r="Q18" s="1137"/>
      <c r="R18" s="1137"/>
      <c r="S18" s="1137"/>
      <c r="T18" s="1137"/>
      <c r="U18" s="1137"/>
      <c r="V18" s="1137"/>
    </row>
    <row r="19" spans="1:22" s="562" customFormat="1">
      <c r="A19" s="817"/>
      <c r="C19" s="485"/>
      <c r="D19" s="485"/>
      <c r="E19" s="496" t="s">
        <v>558</v>
      </c>
      <c r="F19" s="561"/>
      <c r="G19" s="561"/>
      <c r="H19" s="566" t="str">
        <f>A_InstallationData!J77</f>
        <v/>
      </c>
      <c r="I19" s="561"/>
      <c r="J19" s="561"/>
      <c r="L19" s="563" t="s">
        <v>560</v>
      </c>
      <c r="M19" s="567" t="str">
        <f>IF(ISBLANK(A_InstallationData!L246),"",A_InstallationData!L246)</f>
        <v/>
      </c>
      <c r="N19" s="485"/>
      <c r="O19" s="485"/>
      <c r="P19" s="1137"/>
      <c r="Q19" s="1137"/>
      <c r="R19" s="1137"/>
      <c r="S19" s="1137"/>
      <c r="T19" s="1137"/>
      <c r="U19" s="1137"/>
      <c r="V19" s="1137"/>
    </row>
    <row r="20" spans="1:22" s="562" customFormat="1" ht="5.0999999999999996" customHeight="1">
      <c r="A20" s="817"/>
      <c r="C20" s="485"/>
      <c r="D20" s="485"/>
      <c r="I20" s="561"/>
      <c r="J20" s="561"/>
      <c r="K20" s="561"/>
      <c r="L20" s="561"/>
      <c r="M20" s="561"/>
      <c r="N20" s="485"/>
      <c r="O20" s="485"/>
      <c r="P20" s="1137"/>
      <c r="Q20" s="1137"/>
      <c r="R20" s="1137"/>
      <c r="S20" s="1137"/>
      <c r="T20" s="1137"/>
      <c r="U20" s="1137"/>
      <c r="V20" s="1137"/>
    </row>
    <row r="21" spans="1:22" s="562" customFormat="1" ht="13.5" thickBot="1">
      <c r="A21" s="817"/>
      <c r="C21" s="485"/>
      <c r="D21" s="482"/>
      <c r="E21" s="496" t="s">
        <v>2336</v>
      </c>
      <c r="F21" s="485"/>
      <c r="G21" s="485"/>
      <c r="H21" s="485"/>
      <c r="I21" s="485"/>
      <c r="J21" s="485"/>
      <c r="K21" s="485"/>
      <c r="L21" s="485"/>
      <c r="M21" s="2067"/>
      <c r="N21" s="2067"/>
      <c r="O21" s="485"/>
      <c r="P21" s="1137"/>
      <c r="Q21" s="1137"/>
      <c r="R21" s="1185" t="s">
        <v>1977</v>
      </c>
      <c r="S21" s="1137"/>
      <c r="T21" s="1137"/>
      <c r="U21" s="1137"/>
      <c r="V21" s="1137"/>
    </row>
    <row r="22" spans="1:22" s="562" customFormat="1" ht="12.75" customHeight="1">
      <c r="A22" s="817"/>
      <c r="C22" s="485"/>
      <c r="D22" s="496"/>
      <c r="E22" s="569" t="s">
        <v>1378</v>
      </c>
      <c r="F22" s="3500" t="str">
        <f>A_InstallationData!F227</f>
        <v/>
      </c>
      <c r="G22" s="3285"/>
      <c r="H22" s="3285"/>
      <c r="I22" s="3285"/>
      <c r="J22" s="3285"/>
      <c r="K22" s="3285"/>
      <c r="L22" s="3285"/>
      <c r="M22" s="3285"/>
      <c r="N22" s="3309"/>
      <c r="O22" s="485"/>
      <c r="P22" s="1137"/>
      <c r="Q22" s="1137"/>
      <c r="R22" s="1547" t="str">
        <f>IF(A_InstallationData!Q227="","",A_InstallationData!Q227+1429)</f>
        <v/>
      </c>
      <c r="S22" s="1137"/>
      <c r="T22" s="1137"/>
      <c r="U22" s="1137"/>
      <c r="V22" s="1137"/>
    </row>
    <row r="23" spans="1:22" s="562" customFormat="1" ht="12.75" customHeight="1">
      <c r="A23" s="817"/>
      <c r="C23" s="485"/>
      <c r="D23" s="482"/>
      <c r="E23" s="569" t="s">
        <v>1379</v>
      </c>
      <c r="F23" s="3500" t="str">
        <f>A_InstallationData!F228</f>
        <v/>
      </c>
      <c r="G23" s="3285"/>
      <c r="H23" s="3285"/>
      <c r="I23" s="3285"/>
      <c r="J23" s="3285"/>
      <c r="K23" s="3285"/>
      <c r="L23" s="3285"/>
      <c r="M23" s="3285"/>
      <c r="N23" s="3309"/>
      <c r="O23" s="485"/>
      <c r="P23" s="1137"/>
      <c r="Q23" s="1137"/>
      <c r="R23" s="2068" t="str">
        <f>IF(A_InstallationData!Q228="","",A_InstallationData!Q228+1429)</f>
        <v/>
      </c>
      <c r="S23" s="1137"/>
      <c r="T23" s="1137"/>
      <c r="U23" s="1137"/>
      <c r="V23" s="1137"/>
    </row>
    <row r="24" spans="1:22" s="562" customFormat="1" ht="13.15" customHeight="1">
      <c r="A24" s="817"/>
      <c r="C24" s="485"/>
      <c r="D24" s="2069"/>
      <c r="E24" s="569" t="s">
        <v>1380</v>
      </c>
      <c r="F24" s="3500" t="str">
        <f>A_InstallationData!F229</f>
        <v/>
      </c>
      <c r="G24" s="3285"/>
      <c r="H24" s="3285"/>
      <c r="I24" s="3285"/>
      <c r="J24" s="3285"/>
      <c r="K24" s="3285"/>
      <c r="L24" s="3285"/>
      <c r="M24" s="3285"/>
      <c r="N24" s="3309"/>
      <c r="O24" s="485"/>
      <c r="P24" s="1137"/>
      <c r="Q24" s="1137"/>
      <c r="R24" s="2068" t="str">
        <f>IF(A_InstallationData!Q229="","",A_InstallationData!Q229+1429)</f>
        <v/>
      </c>
      <c r="S24" s="1137"/>
      <c r="T24" s="1137"/>
      <c r="U24" s="1137"/>
      <c r="V24" s="1137"/>
    </row>
    <row r="25" spans="1:22" s="562" customFormat="1" ht="13.15" customHeight="1">
      <c r="A25" s="817"/>
      <c r="C25" s="485"/>
      <c r="D25" s="2069"/>
      <c r="E25" s="569" t="s">
        <v>1381</v>
      </c>
      <c r="F25" s="3500" t="str">
        <f>A_InstallationData!F230</f>
        <v/>
      </c>
      <c r="G25" s="3285"/>
      <c r="H25" s="3285"/>
      <c r="I25" s="3285"/>
      <c r="J25" s="3285"/>
      <c r="K25" s="3285"/>
      <c r="L25" s="3285"/>
      <c r="M25" s="3285"/>
      <c r="N25" s="3309"/>
      <c r="O25" s="485"/>
      <c r="P25" s="1137"/>
      <c r="Q25" s="1137"/>
      <c r="R25" s="2068" t="str">
        <f>IF(A_InstallationData!Q230="","",A_InstallationData!Q230+1429)</f>
        <v/>
      </c>
      <c r="S25" s="1137"/>
      <c r="T25" s="1137"/>
      <c r="U25" s="1137"/>
      <c r="V25" s="1137"/>
    </row>
    <row r="26" spans="1:22" s="562" customFormat="1" ht="13.15" customHeight="1">
      <c r="A26" s="817"/>
      <c r="C26" s="485"/>
      <c r="D26" s="2069"/>
      <c r="E26" s="569" t="s">
        <v>1382</v>
      </c>
      <c r="F26" s="3500" t="str">
        <f>A_InstallationData!F231</f>
        <v/>
      </c>
      <c r="G26" s="3285"/>
      <c r="H26" s="3285"/>
      <c r="I26" s="3285"/>
      <c r="J26" s="3285"/>
      <c r="K26" s="3285"/>
      <c r="L26" s="3285"/>
      <c r="M26" s="3285"/>
      <c r="N26" s="3309"/>
      <c r="O26" s="485"/>
      <c r="P26" s="1137"/>
      <c r="Q26" s="1137"/>
      <c r="R26" s="2068" t="str">
        <f>IF(A_InstallationData!Q231="","",A_InstallationData!Q231+1429)</f>
        <v/>
      </c>
      <c r="S26" s="1137"/>
      <c r="T26" s="1137"/>
      <c r="U26" s="1137"/>
      <c r="V26" s="1137"/>
    </row>
    <row r="27" spans="1:22" s="562" customFormat="1" ht="13.9" customHeight="1" thickBot="1">
      <c r="A27" s="817"/>
      <c r="C27" s="485"/>
      <c r="D27" s="485"/>
      <c r="E27" s="569" t="s">
        <v>1383</v>
      </c>
      <c r="F27" s="3500" t="str">
        <f>A_InstallationData!F232</f>
        <v/>
      </c>
      <c r="G27" s="3285"/>
      <c r="H27" s="3285"/>
      <c r="I27" s="3285"/>
      <c r="J27" s="3285"/>
      <c r="K27" s="3285"/>
      <c r="L27" s="3285"/>
      <c r="M27" s="3285"/>
      <c r="N27" s="3309"/>
      <c r="O27" s="485"/>
      <c r="P27" s="1137"/>
      <c r="Q27" s="1137"/>
      <c r="R27" s="1549" t="str">
        <f>IF(A_InstallationData!Q232="","",A_InstallationData!Q232+1429)</f>
        <v/>
      </c>
      <c r="S27" s="1137"/>
      <c r="T27" s="1137"/>
      <c r="U27" s="1137"/>
      <c r="V27" s="1137"/>
    </row>
    <row r="28" spans="1:22" s="562" customFormat="1" ht="5.0999999999999996" customHeight="1">
      <c r="A28" s="817"/>
      <c r="C28" s="485"/>
      <c r="D28" s="485"/>
      <c r="E28" s="561"/>
      <c r="F28" s="561"/>
      <c r="G28" s="561"/>
      <c r="H28" s="561"/>
      <c r="I28" s="561"/>
      <c r="J28" s="561"/>
      <c r="K28" s="561"/>
      <c r="L28" s="561"/>
      <c r="M28" s="561"/>
      <c r="N28" s="485"/>
      <c r="O28" s="485"/>
      <c r="P28" s="1137"/>
      <c r="Q28" s="1137"/>
      <c r="R28" s="1137"/>
      <c r="S28" s="1137"/>
      <c r="T28" s="1137"/>
      <c r="U28" s="1137"/>
      <c r="V28" s="1137"/>
    </row>
    <row r="29" spans="1:22" s="562" customFormat="1" ht="12.75" customHeight="1">
      <c r="A29" s="817"/>
      <c r="C29" s="485"/>
      <c r="D29" s="496"/>
      <c r="E29" s="570" t="s">
        <v>1817</v>
      </c>
      <c r="I29" s="561" t="s">
        <v>1810</v>
      </c>
      <c r="J29" s="565" t="b">
        <f>COUNTA(A_InstallationData!P5:P292)&gt;0</f>
        <v>0</v>
      </c>
      <c r="L29" s="561" t="s">
        <v>1814</v>
      </c>
      <c r="M29" s="565" t="b">
        <f>COUNTA(F_ProductBM!P6:P3235)&gt;0</f>
        <v>1</v>
      </c>
      <c r="O29" s="485"/>
      <c r="P29" s="1137"/>
      <c r="Q29" s="1137"/>
      <c r="R29" s="1137"/>
      <c r="S29" s="1137"/>
      <c r="T29" s="1137"/>
      <c r="U29" s="1137"/>
      <c r="V29" s="1137"/>
    </row>
    <row r="30" spans="1:22" s="562" customFormat="1" ht="12.75" customHeight="1">
      <c r="A30" s="817"/>
      <c r="C30" s="485"/>
      <c r="D30" s="485"/>
      <c r="E30" s="561"/>
      <c r="I30" s="561" t="s">
        <v>1811</v>
      </c>
      <c r="J30" s="565" t="b">
        <f>COUNTA('B+C_SubInstallations'!P5:P177)&gt;0</f>
        <v>0</v>
      </c>
      <c r="L30" s="561" t="s">
        <v>1815</v>
      </c>
      <c r="M30" s="565" t="b">
        <f>COUNTA('G_Fall-back'!P5:P1183)&gt;0</f>
        <v>0</v>
      </c>
      <c r="O30" s="485"/>
      <c r="P30" s="1137"/>
      <c r="Q30" s="1137"/>
      <c r="R30" s="1137"/>
      <c r="S30" s="1137"/>
      <c r="T30" s="1137"/>
      <c r="U30" s="1137"/>
      <c r="V30" s="1137"/>
    </row>
    <row r="31" spans="1:22" s="562" customFormat="1" ht="12.75" customHeight="1">
      <c r="A31" s="817"/>
      <c r="C31" s="485"/>
      <c r="D31" s="485"/>
      <c r="E31" s="561"/>
      <c r="I31" s="561" t="s">
        <v>1812</v>
      </c>
      <c r="J31" s="565" t="b">
        <f>COUNTA(D_Emissions!P5:P270)&gt;0</f>
        <v>0</v>
      </c>
      <c r="L31" s="561" t="s">
        <v>1816</v>
      </c>
      <c r="M31" s="565" t="b">
        <f>COUNTA(H_SpecialBM!P6:P413)&gt;0</f>
        <v>0</v>
      </c>
      <c r="N31" s="485"/>
      <c r="O31" s="485"/>
      <c r="P31" s="1137"/>
      <c r="Q31" s="1137"/>
      <c r="R31" s="1137"/>
      <c r="S31" s="1137"/>
      <c r="T31" s="1137"/>
      <c r="U31" s="1137"/>
      <c r="V31" s="1137"/>
    </row>
    <row r="32" spans="1:22" s="562" customFormat="1" ht="12.75" customHeight="1">
      <c r="A32" s="817"/>
      <c r="C32" s="485"/>
      <c r="D32" s="485"/>
      <c r="E32" s="561"/>
      <c r="F32" s="561"/>
      <c r="I32" s="561" t="s">
        <v>1813</v>
      </c>
      <c r="J32" s="565" t="b">
        <f>COUNTA(E_EnergyFlows!P5:P385)&gt;0</f>
        <v>0</v>
      </c>
      <c r="M32" s="561"/>
      <c r="N32" s="485"/>
      <c r="O32" s="485"/>
      <c r="P32" s="1137"/>
      <c r="Q32" s="1137"/>
      <c r="R32" s="1137"/>
      <c r="S32" s="1137"/>
      <c r="T32" s="1137"/>
      <c r="U32" s="1137"/>
      <c r="V32" s="1137"/>
    </row>
    <row r="33" spans="1:22" s="562" customFormat="1" ht="5.0999999999999996" customHeight="1">
      <c r="A33" s="817"/>
      <c r="C33" s="485"/>
      <c r="D33" s="485"/>
      <c r="E33" s="561"/>
      <c r="F33" s="561"/>
      <c r="G33" s="561"/>
      <c r="H33" s="561"/>
      <c r="I33" s="561"/>
      <c r="J33" s="561"/>
      <c r="K33" s="561"/>
      <c r="L33" s="561"/>
      <c r="M33" s="561"/>
      <c r="N33" s="485"/>
      <c r="O33" s="485"/>
      <c r="P33" s="1137"/>
      <c r="Q33" s="1137"/>
      <c r="R33" s="1137"/>
      <c r="S33" s="1137"/>
      <c r="T33" s="1117"/>
      <c r="U33" s="1137"/>
      <c r="V33" s="1137"/>
    </row>
    <row r="34" spans="1:22" s="562" customFormat="1" ht="13.9" customHeight="1">
      <c r="A34" s="817"/>
      <c r="C34" s="559">
        <v>2</v>
      </c>
      <c r="D34" s="2482" t="s">
        <v>1952</v>
      </c>
      <c r="E34" s="2846"/>
      <c r="F34" s="2846"/>
      <c r="G34" s="2846"/>
      <c r="H34" s="2846"/>
      <c r="I34" s="2846"/>
      <c r="J34" s="2846"/>
      <c r="K34" s="2846"/>
      <c r="L34" s="2846"/>
      <c r="M34" s="2846"/>
      <c r="N34" s="2846"/>
      <c r="O34" s="485"/>
      <c r="P34" s="1137"/>
      <c r="Q34" s="1137"/>
      <c r="R34" s="1137"/>
      <c r="S34" s="1137"/>
      <c r="T34" s="1117"/>
      <c r="U34" s="1137"/>
      <c r="V34" s="1137"/>
    </row>
    <row r="35" spans="1:22" s="562" customFormat="1" ht="13.9" customHeight="1" thickBot="1">
      <c r="A35" s="817"/>
      <c r="C35" s="485"/>
      <c r="D35" s="485"/>
      <c r="E35" s="2531" t="s">
        <v>772</v>
      </c>
      <c r="F35" s="2532"/>
      <c r="G35" s="2532"/>
      <c r="H35" s="2605"/>
      <c r="I35" s="2531" t="s">
        <v>2085</v>
      </c>
      <c r="J35" s="2532"/>
      <c r="K35" s="2605"/>
      <c r="L35" s="2531" t="s">
        <v>773</v>
      </c>
      <c r="M35" s="2532"/>
      <c r="N35" s="2532"/>
      <c r="O35" s="485"/>
      <c r="P35" s="1137"/>
      <c r="Q35" s="1137"/>
      <c r="R35" s="1185" t="s">
        <v>1978</v>
      </c>
      <c r="S35" s="1185" t="s">
        <v>1979</v>
      </c>
      <c r="T35" s="1185" t="s">
        <v>1980</v>
      </c>
      <c r="U35" s="1137"/>
      <c r="V35" s="1137"/>
    </row>
    <row r="36" spans="1:22" s="562" customFormat="1" ht="13.15" customHeight="1">
      <c r="A36" s="817"/>
      <c r="C36" s="485"/>
      <c r="D36" s="485">
        <v>1</v>
      </c>
      <c r="E36" s="3497" t="str">
        <f t="shared" ref="E36:E45" si="0">IF(INDEX(CNTR_ConnectionEntityList,$D36)=EUconst_NA,"",INDEX(CNTR_ConnectionEntityList,$D36))</f>
        <v/>
      </c>
      <c r="F36" s="3498"/>
      <c r="G36" s="3498"/>
      <c r="H36" s="3499"/>
      <c r="I36" s="3500" t="str">
        <f t="shared" ref="I36:I45" si="1">INDEX(CNTR_ConnectionEntityListCITL_IDs,$D36)</f>
        <v/>
      </c>
      <c r="J36" s="3285"/>
      <c r="K36" s="3309"/>
      <c r="L36" s="3497" t="str">
        <f t="shared" ref="L36:L45" si="2">INDEX(CNTR_ConnectionEntityListTypes,$D36)</f>
        <v/>
      </c>
      <c r="M36" s="3501"/>
      <c r="N36" s="3502"/>
      <c r="O36" s="485"/>
      <c r="P36" s="1137"/>
      <c r="Q36" s="1137"/>
      <c r="R36" s="1547" t="str">
        <f>IF(A_InstallationData!I383="","",MATCH(A_InstallationData!I383,EUconst_ConnectedEntityTypes,0)+238)</f>
        <v/>
      </c>
      <c r="S36" s="1547" t="str">
        <f>IF(A_InstallationData!K383="","",MATCH(A_InstallationData!K383,EUconst_ConnectionTypes,0)+247)</f>
        <v/>
      </c>
      <c r="T36" s="1547" t="str">
        <f>IF(A_InstallationData!M383="","",MATCH(A_InstallationData!M383,EUconst_ConnectionTransferTypes,0)+1302)</f>
        <v/>
      </c>
      <c r="U36" s="1137"/>
      <c r="V36" s="1137"/>
    </row>
    <row r="37" spans="1:22" s="562" customFormat="1" ht="13.15" customHeight="1">
      <c r="A37" s="817"/>
      <c r="C37" s="485"/>
      <c r="D37" s="485">
        <v>2</v>
      </c>
      <c r="E37" s="3497" t="str">
        <f t="shared" si="0"/>
        <v/>
      </c>
      <c r="F37" s="3498"/>
      <c r="G37" s="3498"/>
      <c r="H37" s="3499"/>
      <c r="I37" s="3500" t="str">
        <f t="shared" si="1"/>
        <v/>
      </c>
      <c r="J37" s="3285"/>
      <c r="K37" s="3309"/>
      <c r="L37" s="3497" t="str">
        <f t="shared" si="2"/>
        <v/>
      </c>
      <c r="M37" s="3501"/>
      <c r="N37" s="3502"/>
      <c r="O37" s="485"/>
      <c r="P37" s="1137"/>
      <c r="Q37" s="1137"/>
      <c r="R37" s="2068" t="str">
        <f>IF(A_InstallationData!I384="","",MATCH(A_InstallationData!I384,EUconst_ConnectedEntityTypes,0)+238)</f>
        <v/>
      </c>
      <c r="S37" s="2068" t="str">
        <f>IF(A_InstallationData!K384="","",MATCH(A_InstallationData!K384,EUconst_ConnectionTypes,0)+247)</f>
        <v/>
      </c>
      <c r="T37" s="2068" t="str">
        <f>IF(A_InstallationData!M384="","",MATCH(A_InstallationData!M384,EUconst_ConnectionTransferTypes,0)+1302)</f>
        <v/>
      </c>
      <c r="U37" s="1137"/>
      <c r="V37" s="1137"/>
    </row>
    <row r="38" spans="1:22" s="562" customFormat="1" ht="13.15" customHeight="1">
      <c r="A38" s="817"/>
      <c r="C38" s="485"/>
      <c r="D38" s="485">
        <v>3</v>
      </c>
      <c r="E38" s="3497" t="str">
        <f t="shared" si="0"/>
        <v/>
      </c>
      <c r="F38" s="3498"/>
      <c r="G38" s="3498"/>
      <c r="H38" s="3499"/>
      <c r="I38" s="3500" t="str">
        <f t="shared" si="1"/>
        <v/>
      </c>
      <c r="J38" s="3285"/>
      <c r="K38" s="3309"/>
      <c r="L38" s="3497" t="str">
        <f t="shared" si="2"/>
        <v/>
      </c>
      <c r="M38" s="3501"/>
      <c r="N38" s="3502"/>
      <c r="O38" s="485"/>
      <c r="P38" s="1137"/>
      <c r="Q38" s="1137"/>
      <c r="R38" s="2068" t="str">
        <f>IF(A_InstallationData!I385="","",MATCH(A_InstallationData!I385,EUconst_ConnectedEntityTypes,0)+238)</f>
        <v/>
      </c>
      <c r="S38" s="2068" t="str">
        <f>IF(A_InstallationData!K385="","",MATCH(A_InstallationData!K385,EUconst_ConnectionTypes,0)+247)</f>
        <v/>
      </c>
      <c r="T38" s="2068" t="str">
        <f>IF(A_InstallationData!M385="","",MATCH(A_InstallationData!M385,EUconst_ConnectionTransferTypes,0)+1302)</f>
        <v/>
      </c>
      <c r="U38" s="1137"/>
      <c r="V38" s="1137"/>
    </row>
    <row r="39" spans="1:22" s="562" customFormat="1" ht="13.15" customHeight="1">
      <c r="A39" s="817"/>
      <c r="C39" s="485"/>
      <c r="D39" s="485">
        <v>4</v>
      </c>
      <c r="E39" s="3497" t="str">
        <f t="shared" si="0"/>
        <v/>
      </c>
      <c r="F39" s="3498"/>
      <c r="G39" s="3498"/>
      <c r="H39" s="3499"/>
      <c r="I39" s="3500" t="str">
        <f t="shared" si="1"/>
        <v/>
      </c>
      <c r="J39" s="3285"/>
      <c r="K39" s="3309"/>
      <c r="L39" s="3497" t="str">
        <f t="shared" si="2"/>
        <v/>
      </c>
      <c r="M39" s="3501"/>
      <c r="N39" s="3502"/>
      <c r="O39" s="485"/>
      <c r="P39" s="1137"/>
      <c r="Q39" s="1137"/>
      <c r="R39" s="2068" t="str">
        <f>IF(A_InstallationData!I386="","",MATCH(A_InstallationData!I386,EUconst_ConnectedEntityTypes,0)+238)</f>
        <v/>
      </c>
      <c r="S39" s="2068" t="str">
        <f>IF(A_InstallationData!K386="","",MATCH(A_InstallationData!K386,EUconst_ConnectionTypes,0)+247)</f>
        <v/>
      </c>
      <c r="T39" s="2068" t="str">
        <f>IF(A_InstallationData!M386="","",MATCH(A_InstallationData!M386,EUconst_ConnectionTransferTypes,0)+1302)</f>
        <v/>
      </c>
      <c r="U39" s="1137"/>
      <c r="V39" s="1137"/>
    </row>
    <row r="40" spans="1:22" s="562" customFormat="1" ht="13.15" customHeight="1">
      <c r="A40" s="817"/>
      <c r="C40" s="485"/>
      <c r="D40" s="485">
        <v>5</v>
      </c>
      <c r="E40" s="3497" t="str">
        <f t="shared" si="0"/>
        <v/>
      </c>
      <c r="F40" s="3498"/>
      <c r="G40" s="3498"/>
      <c r="H40" s="3499"/>
      <c r="I40" s="3500" t="str">
        <f t="shared" si="1"/>
        <v/>
      </c>
      <c r="J40" s="3285"/>
      <c r="K40" s="3309"/>
      <c r="L40" s="3497" t="str">
        <f t="shared" si="2"/>
        <v/>
      </c>
      <c r="M40" s="3501"/>
      <c r="N40" s="3502"/>
      <c r="O40" s="485"/>
      <c r="P40" s="1137"/>
      <c r="Q40" s="1137"/>
      <c r="R40" s="2068" t="str">
        <f>IF(A_InstallationData!I387="","",MATCH(A_InstallationData!I387,EUconst_ConnectedEntityTypes,0)+238)</f>
        <v/>
      </c>
      <c r="S40" s="2068" t="str">
        <f>IF(A_InstallationData!K387="","",MATCH(A_InstallationData!K387,EUconst_ConnectionTypes,0)+247)</f>
        <v/>
      </c>
      <c r="T40" s="2068" t="str">
        <f>IF(A_InstallationData!M387="","",MATCH(A_InstallationData!M387,EUconst_ConnectionTransferTypes,0)+1302)</f>
        <v/>
      </c>
      <c r="U40" s="1137"/>
      <c r="V40" s="1137"/>
    </row>
    <row r="41" spans="1:22" s="562" customFormat="1" ht="13.15" customHeight="1">
      <c r="A41" s="817"/>
      <c r="C41" s="485"/>
      <c r="D41" s="485">
        <v>6</v>
      </c>
      <c r="E41" s="3497" t="str">
        <f t="shared" si="0"/>
        <v/>
      </c>
      <c r="F41" s="3498"/>
      <c r="G41" s="3498"/>
      <c r="H41" s="3499"/>
      <c r="I41" s="3500" t="str">
        <f t="shared" si="1"/>
        <v/>
      </c>
      <c r="J41" s="3285"/>
      <c r="K41" s="3309"/>
      <c r="L41" s="3497" t="str">
        <f t="shared" si="2"/>
        <v/>
      </c>
      <c r="M41" s="3501"/>
      <c r="N41" s="3502"/>
      <c r="O41" s="485"/>
      <c r="P41" s="1137"/>
      <c r="Q41" s="1137"/>
      <c r="R41" s="2068" t="str">
        <f>IF(A_InstallationData!I388="","",MATCH(A_InstallationData!I388,EUconst_ConnectedEntityTypes,0)+238)</f>
        <v/>
      </c>
      <c r="S41" s="2068" t="str">
        <f>IF(A_InstallationData!K388="","",MATCH(A_InstallationData!K388,EUconst_ConnectionTypes,0)+247)</f>
        <v/>
      </c>
      <c r="T41" s="2068" t="str">
        <f>IF(A_InstallationData!M388="","",MATCH(A_InstallationData!M388,EUconst_ConnectionTransferTypes,0)+1302)</f>
        <v/>
      </c>
      <c r="U41" s="1137"/>
      <c r="V41" s="1137"/>
    </row>
    <row r="42" spans="1:22" s="562" customFormat="1" ht="13.15" customHeight="1">
      <c r="A42" s="817"/>
      <c r="C42" s="485"/>
      <c r="D42" s="485">
        <v>7</v>
      </c>
      <c r="E42" s="3497" t="str">
        <f t="shared" si="0"/>
        <v/>
      </c>
      <c r="F42" s="3498"/>
      <c r="G42" s="3498"/>
      <c r="H42" s="3499"/>
      <c r="I42" s="3500" t="str">
        <f t="shared" si="1"/>
        <v/>
      </c>
      <c r="J42" s="3285"/>
      <c r="K42" s="3309"/>
      <c r="L42" s="3497" t="str">
        <f t="shared" si="2"/>
        <v/>
      </c>
      <c r="M42" s="3501"/>
      <c r="N42" s="3502"/>
      <c r="O42" s="485"/>
      <c r="P42" s="1137"/>
      <c r="Q42" s="1137"/>
      <c r="R42" s="2068" t="str">
        <f>IF(A_InstallationData!I389="","",MATCH(A_InstallationData!I389,EUconst_ConnectedEntityTypes,0)+238)</f>
        <v/>
      </c>
      <c r="S42" s="2068" t="str">
        <f>IF(A_InstallationData!K389="","",MATCH(A_InstallationData!K389,EUconst_ConnectionTypes,0)+247)</f>
        <v/>
      </c>
      <c r="T42" s="2068" t="str">
        <f>IF(A_InstallationData!M389="","",MATCH(A_InstallationData!M389,EUconst_ConnectionTransferTypes,0)+1302)</f>
        <v/>
      </c>
      <c r="U42" s="1137"/>
      <c r="V42" s="1137"/>
    </row>
    <row r="43" spans="1:22" s="562" customFormat="1" ht="13.15" customHeight="1">
      <c r="A43" s="817"/>
      <c r="C43" s="485"/>
      <c r="D43" s="485">
        <v>8</v>
      </c>
      <c r="E43" s="3497" t="str">
        <f t="shared" si="0"/>
        <v/>
      </c>
      <c r="F43" s="3498"/>
      <c r="G43" s="3498"/>
      <c r="H43" s="3499"/>
      <c r="I43" s="3500" t="str">
        <f t="shared" si="1"/>
        <v/>
      </c>
      <c r="J43" s="3285"/>
      <c r="K43" s="3309"/>
      <c r="L43" s="3497" t="str">
        <f t="shared" si="2"/>
        <v/>
      </c>
      <c r="M43" s="3501"/>
      <c r="N43" s="3502"/>
      <c r="O43" s="485"/>
      <c r="P43" s="1137"/>
      <c r="Q43" s="1137"/>
      <c r="R43" s="2068" t="str">
        <f>IF(A_InstallationData!I390="","",MATCH(A_InstallationData!I390,EUconst_ConnectedEntityTypes,0)+238)</f>
        <v/>
      </c>
      <c r="S43" s="2068" t="str">
        <f>IF(A_InstallationData!K390="","",MATCH(A_InstallationData!K390,EUconst_ConnectionTypes,0)+247)</f>
        <v/>
      </c>
      <c r="T43" s="2068" t="str">
        <f>IF(A_InstallationData!M390="","",MATCH(A_InstallationData!M390,EUconst_ConnectionTransferTypes,0)+1302)</f>
        <v/>
      </c>
      <c r="U43" s="1137"/>
      <c r="V43" s="1137"/>
    </row>
    <row r="44" spans="1:22" s="562" customFormat="1" ht="13.15" customHeight="1">
      <c r="A44" s="817"/>
      <c r="C44" s="485"/>
      <c r="D44" s="485">
        <v>9</v>
      </c>
      <c r="E44" s="3497" t="str">
        <f t="shared" si="0"/>
        <v/>
      </c>
      <c r="F44" s="3498"/>
      <c r="G44" s="3498"/>
      <c r="H44" s="3499"/>
      <c r="I44" s="3500" t="str">
        <f t="shared" si="1"/>
        <v/>
      </c>
      <c r="J44" s="3285"/>
      <c r="K44" s="3309"/>
      <c r="L44" s="3497" t="str">
        <f t="shared" si="2"/>
        <v/>
      </c>
      <c r="M44" s="3501"/>
      <c r="N44" s="3502"/>
      <c r="O44" s="485"/>
      <c r="P44" s="1137"/>
      <c r="Q44" s="1137"/>
      <c r="R44" s="2068" t="str">
        <f>IF(A_InstallationData!I391="","",MATCH(A_InstallationData!I391,EUconst_ConnectedEntityTypes,0)+238)</f>
        <v/>
      </c>
      <c r="S44" s="2068" t="str">
        <f>IF(A_InstallationData!K391="","",MATCH(A_InstallationData!K391,EUconst_ConnectionTypes,0)+247)</f>
        <v/>
      </c>
      <c r="T44" s="2068" t="str">
        <f>IF(A_InstallationData!M391="","",MATCH(A_InstallationData!M391,EUconst_ConnectionTransferTypes,0)+1302)</f>
        <v/>
      </c>
      <c r="U44" s="1137"/>
      <c r="V44" s="1137"/>
    </row>
    <row r="45" spans="1:22" s="562" customFormat="1" ht="13.9" customHeight="1" thickBot="1">
      <c r="A45" s="817"/>
      <c r="C45" s="485"/>
      <c r="D45" s="485">
        <v>10</v>
      </c>
      <c r="E45" s="3497" t="str">
        <f t="shared" si="0"/>
        <v/>
      </c>
      <c r="F45" s="3498"/>
      <c r="G45" s="3498"/>
      <c r="H45" s="3499"/>
      <c r="I45" s="3500" t="str">
        <f t="shared" si="1"/>
        <v/>
      </c>
      <c r="J45" s="3285"/>
      <c r="K45" s="3309"/>
      <c r="L45" s="3497" t="str">
        <f t="shared" si="2"/>
        <v/>
      </c>
      <c r="M45" s="3501"/>
      <c r="N45" s="3502"/>
      <c r="O45" s="485"/>
      <c r="P45" s="1137"/>
      <c r="Q45" s="1137"/>
      <c r="R45" s="1549" t="str">
        <f>IF(A_InstallationData!I392="","",MATCH(A_InstallationData!I392,EUconst_ConnectedEntityTypes,0)+238)</f>
        <v/>
      </c>
      <c r="S45" s="1549" t="str">
        <f>IF(A_InstallationData!K392="","",MATCH(A_InstallationData!K392,EUconst_ConnectionTypes,0)+247)</f>
        <v/>
      </c>
      <c r="T45" s="1549" t="str">
        <f>IF(A_InstallationData!M392="","",MATCH(A_InstallationData!M392,EUconst_ConnectionTransferTypes,0)+1302)</f>
        <v/>
      </c>
      <c r="U45" s="1137"/>
      <c r="V45" s="1137"/>
    </row>
    <row r="46" spans="1:22" s="562" customFormat="1">
      <c r="A46" s="817"/>
      <c r="B46" s="618"/>
      <c r="C46" s="485"/>
      <c r="D46" s="485"/>
      <c r="E46" s="485"/>
      <c r="F46" s="485"/>
      <c r="G46" s="485"/>
      <c r="H46" s="485"/>
      <c r="I46" s="485"/>
      <c r="J46" s="485"/>
      <c r="K46" s="485"/>
      <c r="L46" s="485"/>
      <c r="M46" s="485"/>
      <c r="N46" s="485"/>
      <c r="O46" s="485"/>
      <c r="P46" s="1117"/>
      <c r="Q46" s="1117"/>
      <c r="R46" s="1117"/>
      <c r="S46" s="1117"/>
      <c r="T46" s="1117"/>
      <c r="U46" s="1137"/>
      <c r="V46" s="1137"/>
    </row>
    <row r="47" spans="1:22" s="562" customFormat="1" ht="15.75">
      <c r="A47" s="817"/>
      <c r="B47" s="618"/>
      <c r="C47" s="507" t="s">
        <v>875</v>
      </c>
      <c r="D47" s="3444" t="s">
        <v>591</v>
      </c>
      <c r="E47" s="3444"/>
      <c r="F47" s="3444"/>
      <c r="G47" s="3444"/>
      <c r="H47" s="3444"/>
      <c r="I47" s="3444"/>
      <c r="J47" s="3444"/>
      <c r="K47" s="3444"/>
      <c r="L47" s="3444"/>
      <c r="M47" s="3444"/>
      <c r="N47" s="3444"/>
      <c r="O47" s="485"/>
      <c r="P47" s="1117"/>
      <c r="Q47" s="1117"/>
      <c r="R47" s="1117"/>
      <c r="S47" s="1117"/>
      <c r="T47" s="1117"/>
      <c r="U47" s="1137"/>
      <c r="V47" s="1137"/>
    </row>
    <row r="48" spans="1:22" s="562" customFormat="1" ht="5.0999999999999996" customHeight="1">
      <c r="A48" s="817"/>
      <c r="B48" s="618"/>
      <c r="C48" s="485"/>
      <c r="D48" s="485"/>
      <c r="E48" s="485"/>
      <c r="F48" s="485"/>
      <c r="G48" s="485"/>
      <c r="H48" s="485"/>
      <c r="I48" s="485"/>
      <c r="J48" s="485"/>
      <c r="K48" s="485"/>
      <c r="L48" s="485"/>
      <c r="M48" s="485"/>
      <c r="N48" s="485"/>
      <c r="O48" s="485"/>
      <c r="P48" s="1117"/>
      <c r="Q48" s="1117"/>
      <c r="R48" s="1117"/>
      <c r="S48" s="1117"/>
      <c r="T48" s="1117"/>
      <c r="U48" s="1137"/>
      <c r="V48" s="1137"/>
    </row>
    <row r="49" spans="1:22" s="562" customFormat="1" ht="15" customHeight="1">
      <c r="A49" s="817"/>
      <c r="C49" s="559">
        <v>1</v>
      </c>
      <c r="D49" s="2464" t="s">
        <v>2123</v>
      </c>
      <c r="E49" s="2464"/>
      <c r="F49" s="2464"/>
      <c r="G49" s="2464"/>
      <c r="H49" s="2464"/>
      <c r="I49" s="2464"/>
      <c r="J49" s="2464"/>
      <c r="K49" s="2464"/>
      <c r="L49" s="2464"/>
      <c r="M49" s="2464"/>
      <c r="N49" s="2464"/>
      <c r="O49" s="485"/>
      <c r="P49" s="1137"/>
      <c r="Q49" s="1137"/>
      <c r="R49" s="1137"/>
      <c r="S49" s="1137"/>
      <c r="T49" s="1137"/>
      <c r="U49" s="1137"/>
      <c r="V49" s="1137"/>
    </row>
    <row r="50" spans="1:22" s="562" customFormat="1" ht="5.0999999999999996" customHeight="1">
      <c r="A50" s="817"/>
      <c r="C50" s="481"/>
      <c r="D50" s="481"/>
      <c r="E50" s="481"/>
      <c r="F50" s="481"/>
      <c r="G50" s="481"/>
      <c r="H50" s="481"/>
      <c r="I50" s="481"/>
      <c r="J50" s="481"/>
      <c r="K50" s="481"/>
      <c r="L50" s="481"/>
      <c r="M50" s="481"/>
      <c r="N50" s="481"/>
      <c r="O50" s="485"/>
      <c r="P50" s="1117"/>
      <c r="Q50" s="1117"/>
      <c r="R50" s="1137"/>
      <c r="S50" s="1137"/>
      <c r="T50" s="1137"/>
      <c r="U50" s="1137"/>
      <c r="V50" s="1137"/>
    </row>
    <row r="51" spans="1:22" s="562" customFormat="1" ht="12.75" customHeight="1">
      <c r="A51" s="817"/>
      <c r="C51" s="485"/>
      <c r="D51" s="485"/>
      <c r="E51" s="2401" t="s">
        <v>30</v>
      </c>
      <c r="F51" s="2401"/>
      <c r="G51" s="2401"/>
      <c r="H51" s="2583"/>
      <c r="I51" s="572" t="str">
        <f>A_InstallationData!$M$256</f>
        <v/>
      </c>
      <c r="J51" s="485"/>
      <c r="K51" s="2584" t="s">
        <v>31</v>
      </c>
      <c r="L51" s="3503"/>
      <c r="M51" s="572" t="str">
        <f>A_InstallationData!$M$261</f>
        <v/>
      </c>
      <c r="N51" s="485"/>
      <c r="O51" s="485"/>
      <c r="P51" s="1137"/>
      <c r="Q51" s="1137"/>
      <c r="R51" s="1137"/>
      <c r="S51" s="1137"/>
      <c r="T51" s="1137"/>
      <c r="U51" s="1137"/>
      <c r="V51" s="1137"/>
    </row>
    <row r="52" spans="1:22" s="562" customFormat="1" ht="13.15" customHeight="1">
      <c r="A52" s="817"/>
      <c r="C52" s="485"/>
      <c r="D52" s="485"/>
      <c r="E52" s="2584" t="s">
        <v>2228</v>
      </c>
      <c r="F52" s="2846"/>
      <c r="G52" s="2846"/>
      <c r="H52" s="3503"/>
      <c r="I52" s="2070" t="str">
        <f>A_InstallationData!$M$263</f>
        <v/>
      </c>
      <c r="J52" s="485"/>
      <c r="K52" s="2584" t="s">
        <v>32</v>
      </c>
      <c r="L52" s="3503"/>
      <c r="M52" s="572" t="str">
        <f>A_InstallationData!$M$269</f>
        <v/>
      </c>
      <c r="N52" s="485"/>
      <c r="O52" s="485"/>
      <c r="P52" s="1137" t="s">
        <v>771</v>
      </c>
      <c r="Q52" s="1137"/>
      <c r="R52" s="1185" t="s">
        <v>1981</v>
      </c>
      <c r="S52" s="1137"/>
      <c r="T52" s="1137"/>
      <c r="U52" s="1137"/>
      <c r="V52" s="1137"/>
    </row>
    <row r="53" spans="1:22" s="562" customFormat="1" ht="5.0999999999999996" customHeight="1" thickBot="1">
      <c r="A53" s="817"/>
      <c r="C53" s="481"/>
      <c r="D53" s="481"/>
      <c r="E53" s="481"/>
      <c r="F53" s="481"/>
      <c r="G53" s="481"/>
      <c r="H53" s="481"/>
      <c r="I53" s="481"/>
      <c r="J53" s="481"/>
      <c r="K53" s="481"/>
      <c r="L53" s="481"/>
      <c r="M53" s="481"/>
      <c r="N53" s="481"/>
      <c r="O53" s="485"/>
      <c r="P53" s="1117"/>
      <c r="Q53" s="1117"/>
      <c r="R53" s="1137"/>
      <c r="S53" s="1137"/>
      <c r="T53" s="1137"/>
      <c r="U53" s="1137"/>
      <c r="V53" s="1137"/>
    </row>
    <row r="54" spans="1:22" s="562" customFormat="1" ht="13.9" customHeight="1" thickBot="1">
      <c r="A54" s="817"/>
      <c r="C54" s="485"/>
      <c r="D54" s="485"/>
      <c r="E54" s="3497" t="str">
        <f>IF(CNTR_HasEntries_A_I=FALSE,"",IF(ISBLANK(A_InstallationData!E278),IF(ISBLANK(A_InstallationData!E288),EUconst_ERR_Mandatory_ef,A_InstallationData!E288),IF(ISBLANK(A_InstallationData!E288),A_InstallationData!E278,EUconst_ERR_Mandatory_ef)))</f>
        <v/>
      </c>
      <c r="F54" s="3498"/>
      <c r="G54" s="3498"/>
      <c r="H54" s="3498"/>
      <c r="I54" s="3498"/>
      <c r="J54" s="3498"/>
      <c r="K54" s="3498"/>
      <c r="L54" s="3498"/>
      <c r="M54" s="3499"/>
      <c r="N54" s="485"/>
      <c r="O54" s="485"/>
      <c r="P54" s="1584" t="b">
        <f>IF(AND(ISBLANK(E54),ISBLANK(E55)),"",AND(E54=EUconst_ConfirmApplicationForAlloc,E55=EUconst_ConfirmAllowUseOfData))</f>
        <v>0</v>
      </c>
      <c r="Q54" s="1137"/>
      <c r="R54" s="1547" t="str">
        <f>IF(E54="","",IF(E54=EUconst_ConfirmationNotEligible,1325,1326))</f>
        <v/>
      </c>
      <c r="S54" s="1137"/>
      <c r="T54" s="1137"/>
      <c r="U54" s="1137"/>
      <c r="V54" s="1137"/>
    </row>
    <row r="55" spans="1:22" s="562" customFormat="1" ht="13.9" customHeight="1" thickBot="1">
      <c r="A55" s="817"/>
      <c r="C55" s="485"/>
      <c r="D55" s="485"/>
      <c r="E55" s="3497" t="str">
        <f>IF(ISBLANK(A_InstallationData!E297),EUconst_ERR_Mandatory_g,A_InstallationData!E297)</f>
        <v/>
      </c>
      <c r="F55" s="3498"/>
      <c r="G55" s="3498"/>
      <c r="H55" s="3498"/>
      <c r="I55" s="3498"/>
      <c r="J55" s="3498"/>
      <c r="K55" s="3498"/>
      <c r="L55" s="3498"/>
      <c r="M55" s="3499"/>
      <c r="N55" s="485"/>
      <c r="O55" s="485"/>
      <c r="P55" s="1137" t="s">
        <v>33</v>
      </c>
      <c r="Q55" s="1137"/>
      <c r="R55" s="1549" t="str">
        <f>IF(E55="","",1327)</f>
        <v/>
      </c>
      <c r="S55" s="1137"/>
      <c r="T55" s="1137"/>
      <c r="U55" s="1137"/>
      <c r="V55" s="1137"/>
    </row>
    <row r="56" spans="1:22" s="562" customFormat="1" ht="5.0999999999999996" customHeight="1" thickBot="1">
      <c r="A56" s="817"/>
      <c r="C56" s="481"/>
      <c r="D56" s="481"/>
      <c r="E56" s="481"/>
      <c r="F56" s="481"/>
      <c r="G56" s="481"/>
      <c r="H56" s="481"/>
      <c r="I56" s="481"/>
      <c r="J56" s="481"/>
      <c r="K56" s="481"/>
      <c r="L56" s="481"/>
      <c r="M56" s="481"/>
      <c r="N56" s="481"/>
      <c r="O56" s="485"/>
      <c r="P56" s="1117"/>
      <c r="Q56" s="1117"/>
      <c r="R56" s="1137"/>
      <c r="S56" s="1137"/>
      <c r="T56" s="1137"/>
      <c r="U56" s="1137"/>
      <c r="V56" s="1137"/>
    </row>
    <row r="57" spans="1:22" s="562" customFormat="1" ht="13.9" customHeight="1" thickBot="1">
      <c r="A57" s="817"/>
      <c r="C57" s="485"/>
      <c r="D57" s="485"/>
      <c r="E57" s="2373" t="s">
        <v>2161</v>
      </c>
      <c r="F57" s="2846"/>
      <c r="G57" s="2846"/>
      <c r="H57" s="2846"/>
      <c r="I57" s="2846"/>
      <c r="J57" s="2846"/>
      <c r="K57" s="2846"/>
      <c r="L57" s="3051"/>
      <c r="M57" s="576" t="b">
        <f>IF(COUNTA(E54:E55)=0,"",IF(CNTR_ConfirmationOK,IF(OR(CNTR_ApplyLinF=FALSE,M52=TRUE),TRUE,FALSE),FALSE))</f>
        <v>0</v>
      </c>
      <c r="N57" s="485"/>
      <c r="O57" s="485"/>
      <c r="P57" s="1137" t="s">
        <v>770</v>
      </c>
      <c r="Q57" s="1137"/>
      <c r="R57" s="1137"/>
      <c r="S57" s="1137"/>
      <c r="T57" s="1137"/>
      <c r="U57" s="1137"/>
      <c r="V57" s="1137"/>
    </row>
    <row r="58" spans="1:22" s="562" customFormat="1" ht="5.0999999999999996" customHeight="1">
      <c r="A58" s="817"/>
      <c r="C58" s="485"/>
      <c r="D58" s="485"/>
      <c r="E58" s="485"/>
      <c r="F58" s="485"/>
      <c r="G58" s="485"/>
      <c r="H58" s="485"/>
      <c r="I58" s="485"/>
      <c r="J58" s="485"/>
      <c r="K58" s="485"/>
      <c r="L58" s="485"/>
      <c r="M58" s="485"/>
      <c r="N58" s="485"/>
      <c r="O58" s="485"/>
      <c r="P58" s="1137"/>
      <c r="Q58" s="1137"/>
      <c r="R58" s="1137"/>
      <c r="S58" s="1137"/>
      <c r="T58" s="1137"/>
      <c r="U58" s="1137"/>
      <c r="V58" s="1137"/>
    </row>
    <row r="59" spans="1:22" s="562" customFormat="1" ht="15.75">
      <c r="A59" s="817"/>
      <c r="C59" s="507" t="s">
        <v>883</v>
      </c>
      <c r="D59" s="3444" t="s">
        <v>304</v>
      </c>
      <c r="E59" s="3444"/>
      <c r="F59" s="3444"/>
      <c r="G59" s="3444"/>
      <c r="H59" s="3444"/>
      <c r="I59" s="3444"/>
      <c r="J59" s="3444"/>
      <c r="K59" s="3444"/>
      <c r="L59" s="3444"/>
      <c r="M59" s="3444"/>
      <c r="N59" s="3444"/>
      <c r="O59" s="485"/>
      <c r="P59" s="1117"/>
      <c r="Q59" s="1117"/>
      <c r="R59" s="1117"/>
      <c r="S59" s="1137"/>
      <c r="T59" s="1137"/>
      <c r="U59" s="1137"/>
      <c r="V59" s="1137"/>
    </row>
    <row r="60" spans="1:22" s="562" customFormat="1">
      <c r="A60" s="817"/>
      <c r="C60" s="485"/>
      <c r="D60" s="485"/>
      <c r="E60" s="485"/>
      <c r="F60" s="485"/>
      <c r="G60" s="485"/>
      <c r="H60" s="485"/>
      <c r="I60" s="485"/>
      <c r="J60" s="485"/>
      <c r="K60" s="485"/>
      <c r="L60" s="485"/>
      <c r="M60" s="485"/>
      <c r="N60" s="485"/>
      <c r="O60" s="485"/>
      <c r="P60" s="1137"/>
      <c r="Q60" s="1137"/>
      <c r="R60" s="1137"/>
      <c r="S60" s="1137"/>
      <c r="T60" s="1137"/>
      <c r="U60" s="1137"/>
      <c r="V60" s="1137"/>
    </row>
    <row r="61" spans="1:22" s="562" customFormat="1" ht="13.9" customHeight="1">
      <c r="A61" s="817"/>
      <c r="C61" s="559">
        <v>1</v>
      </c>
      <c r="D61" s="2482" t="s">
        <v>1399</v>
      </c>
      <c r="E61" s="2846"/>
      <c r="F61" s="2846"/>
      <c r="G61" s="2846"/>
      <c r="H61" s="2846"/>
      <c r="I61" s="2846"/>
      <c r="J61" s="2846"/>
      <c r="K61" s="2846"/>
      <c r="L61" s="2846"/>
      <c r="M61" s="2846"/>
      <c r="N61" s="2846"/>
      <c r="O61" s="485"/>
      <c r="P61" s="1137"/>
      <c r="Q61" s="1137"/>
      <c r="R61" s="1137"/>
      <c r="S61" s="1137"/>
      <c r="T61" s="1137"/>
      <c r="U61" s="1137"/>
      <c r="V61" s="1137"/>
    </row>
    <row r="62" spans="1:22" s="562" customFormat="1" ht="5.0999999999999996" customHeight="1">
      <c r="A62" s="817"/>
      <c r="C62" s="485"/>
      <c r="D62" s="485"/>
      <c r="E62" s="485"/>
      <c r="F62" s="485"/>
      <c r="G62" s="485"/>
      <c r="H62" s="485"/>
      <c r="I62" s="485"/>
      <c r="J62" s="485"/>
      <c r="K62" s="485"/>
      <c r="L62" s="485"/>
      <c r="M62" s="485"/>
      <c r="N62" s="485"/>
      <c r="O62" s="485"/>
      <c r="P62" s="1137"/>
      <c r="Q62" s="1137"/>
      <c r="R62" s="1137"/>
      <c r="S62" s="1137"/>
      <c r="T62" s="1137"/>
      <c r="U62" s="1137"/>
      <c r="V62" s="1137"/>
    </row>
    <row r="63" spans="1:22" s="562" customFormat="1" ht="13.15" customHeight="1">
      <c r="A63" s="817"/>
      <c r="C63" s="485"/>
      <c r="D63" s="485"/>
      <c r="E63" s="2509" t="str">
        <f>D_Emissions!E20</f>
        <v>Installation level data:</v>
      </c>
      <c r="F63" s="2509"/>
      <c r="G63" s="577" t="str">
        <f>D_Emissions!G20</f>
        <v>Unit</v>
      </c>
      <c r="H63" s="578">
        <f t="shared" ref="H63:N63" si="3">H$2737</f>
        <v>2024</v>
      </c>
      <c r="I63" s="697">
        <f t="shared" si="3"/>
        <v>2025</v>
      </c>
      <c r="J63" s="1489">
        <f t="shared" si="3"/>
        <v>2026</v>
      </c>
      <c r="K63" s="1490">
        <f t="shared" si="3"/>
        <v>2027</v>
      </c>
      <c r="L63" s="1490">
        <f t="shared" si="3"/>
        <v>2028</v>
      </c>
      <c r="M63" s="1490">
        <f t="shared" si="3"/>
        <v>2029</v>
      </c>
      <c r="N63" s="1490">
        <f t="shared" si="3"/>
        <v>2030</v>
      </c>
      <c r="O63" s="485"/>
      <c r="P63" s="1137"/>
      <c r="Q63" s="1137"/>
      <c r="R63" s="1137"/>
      <c r="S63" s="1137"/>
      <c r="T63" s="1137"/>
      <c r="U63" s="1137"/>
      <c r="V63" s="1137"/>
    </row>
    <row r="64" spans="1:22" s="562" customFormat="1" ht="12.6" customHeight="1">
      <c r="A64" s="817"/>
      <c r="C64" s="485"/>
      <c r="D64" s="485"/>
      <c r="E64" s="2606" t="str">
        <f>D_Emissions!E21</f>
        <v>Total CO2 emissions</v>
      </c>
      <c r="F64" s="3467"/>
      <c r="G64" s="579" t="str">
        <f>D_Emissions!G21</f>
        <v>t CO2 / year</v>
      </c>
      <c r="H64" s="580" t="str">
        <f>D_Emissions!S21</f>
        <v/>
      </c>
      <c r="I64" s="2071" t="str">
        <f>D_Emissions!T21</f>
        <v/>
      </c>
      <c r="J64" s="2072" t="str">
        <f>D_Emissions!U21</f>
        <v/>
      </c>
      <c r="K64" s="2073" t="str">
        <f>D_Emissions!V21</f>
        <v/>
      </c>
      <c r="L64" s="2073" t="str">
        <f>D_Emissions!W21</f>
        <v/>
      </c>
      <c r="M64" s="2073" t="str">
        <f>D_Emissions!X21</f>
        <v/>
      </c>
      <c r="N64" s="2073" t="str">
        <f>D_Emissions!Y21</f>
        <v/>
      </c>
      <c r="O64" s="485"/>
      <c r="P64" s="1137"/>
      <c r="Q64" s="1137"/>
      <c r="R64" s="1137"/>
      <c r="S64" s="1137"/>
      <c r="T64" s="1137"/>
      <c r="U64" s="1137"/>
      <c r="V64" s="1137"/>
    </row>
    <row r="65" spans="1:22" s="562" customFormat="1" ht="13.15" customHeight="1">
      <c r="A65" s="817"/>
      <c r="C65" s="485"/>
      <c r="D65" s="485"/>
      <c r="E65" s="2609" t="str">
        <f>D_Emissions!E22</f>
        <v>Biomass emissions</v>
      </c>
      <c r="F65" s="3189"/>
      <c r="G65" s="582" t="str">
        <f>D_Emissions!G22</f>
        <v>t CO2 / year</v>
      </c>
      <c r="H65" s="583" t="str">
        <f>D_Emissions!S22</f>
        <v/>
      </c>
      <c r="I65" s="2074" t="str">
        <f>D_Emissions!T22</f>
        <v/>
      </c>
      <c r="J65" s="2072" t="str">
        <f>D_Emissions!U22</f>
        <v/>
      </c>
      <c r="K65" s="2073" t="str">
        <f>D_Emissions!V22</f>
        <v/>
      </c>
      <c r="L65" s="2073" t="str">
        <f>D_Emissions!W22</f>
        <v/>
      </c>
      <c r="M65" s="2073" t="str">
        <f>D_Emissions!X22</f>
        <v/>
      </c>
      <c r="N65" s="2073" t="str">
        <f>D_Emissions!Y22</f>
        <v/>
      </c>
      <c r="P65" s="1137"/>
      <c r="Q65" s="1137"/>
      <c r="R65" s="1137"/>
      <c r="S65" s="1137"/>
      <c r="T65" s="1137"/>
      <c r="U65" s="1137"/>
      <c r="V65" s="1137"/>
    </row>
    <row r="66" spans="1:22" s="562" customFormat="1" ht="12.6" customHeight="1">
      <c r="A66" s="817"/>
      <c r="C66" s="485"/>
      <c r="D66" s="485"/>
      <c r="E66" s="2609" t="str">
        <f>D_Emissions!E23</f>
        <v>Total N2O emissions</v>
      </c>
      <c r="F66" s="3189"/>
      <c r="G66" s="582" t="str">
        <f>D_Emissions!G23</f>
        <v>t CO2e/year</v>
      </c>
      <c r="H66" s="583" t="str">
        <f>D_Emissions!S23</f>
        <v/>
      </c>
      <c r="I66" s="2074" t="str">
        <f>D_Emissions!T23</f>
        <v/>
      </c>
      <c r="J66" s="2072" t="str">
        <f>D_Emissions!U23</f>
        <v/>
      </c>
      <c r="K66" s="2073" t="str">
        <f>D_Emissions!V23</f>
        <v/>
      </c>
      <c r="L66" s="2073" t="str">
        <f>D_Emissions!W23</f>
        <v/>
      </c>
      <c r="M66" s="2073" t="str">
        <f>D_Emissions!X23</f>
        <v/>
      </c>
      <c r="N66" s="2073" t="str">
        <f>D_Emissions!Y23</f>
        <v/>
      </c>
      <c r="P66" s="1137"/>
      <c r="Q66" s="1137"/>
      <c r="R66" s="1137"/>
      <c r="S66" s="1137"/>
      <c r="T66" s="1137"/>
      <c r="U66" s="1137"/>
      <c r="V66" s="1137"/>
    </row>
    <row r="67" spans="1:22" s="562" customFormat="1" ht="12.6" customHeight="1">
      <c r="A67" s="817"/>
      <c r="C67" s="485"/>
      <c r="D67" s="485"/>
      <c r="E67" s="2586" t="str">
        <f>D_Emissions!E24</f>
        <v>Total PFC emissions</v>
      </c>
      <c r="F67" s="3466"/>
      <c r="G67" s="584" t="str">
        <f>D_Emissions!G24</f>
        <v>t CO2e/year</v>
      </c>
      <c r="H67" s="585" t="str">
        <f>D_Emissions!S24</f>
        <v/>
      </c>
      <c r="I67" s="2075" t="str">
        <f>D_Emissions!T24</f>
        <v/>
      </c>
      <c r="J67" s="2072" t="str">
        <f>D_Emissions!U24</f>
        <v/>
      </c>
      <c r="K67" s="2073" t="str">
        <f>D_Emissions!V24</f>
        <v/>
      </c>
      <c r="L67" s="2073" t="str">
        <f>D_Emissions!W24</f>
        <v/>
      </c>
      <c r="M67" s="2073" t="str">
        <f>D_Emissions!X24</f>
        <v/>
      </c>
      <c r="N67" s="2073" t="str">
        <f>D_Emissions!Y24</f>
        <v/>
      </c>
      <c r="P67" s="1137"/>
      <c r="Q67" s="1137"/>
      <c r="R67" s="1137"/>
      <c r="S67" s="1137"/>
      <c r="T67" s="1137"/>
      <c r="U67" s="1137"/>
      <c r="V67" s="1137"/>
    </row>
    <row r="68" spans="1:22" s="562" customFormat="1" ht="12.6" customHeight="1">
      <c r="A68" s="817"/>
      <c r="C68" s="485"/>
      <c r="D68" s="485"/>
      <c r="E68" s="2587" t="str">
        <f>D_Emissions!E25</f>
        <v>Sum of direct emissions</v>
      </c>
      <c r="F68" s="3461"/>
      <c r="G68" s="586" t="str">
        <f>D_Emissions!G25</f>
        <v>t CO2e/year</v>
      </c>
      <c r="H68" s="587" t="str">
        <f>D_Emissions!S25</f>
        <v/>
      </c>
      <c r="I68" s="2076" t="str">
        <f>D_Emissions!T25</f>
        <v/>
      </c>
      <c r="J68" s="2072" t="str">
        <f>D_Emissions!U25</f>
        <v/>
      </c>
      <c r="K68" s="2073" t="str">
        <f>D_Emissions!V25</f>
        <v/>
      </c>
      <c r="L68" s="2073" t="str">
        <f>D_Emissions!W25</f>
        <v/>
      </c>
      <c r="M68" s="2073" t="str">
        <f>D_Emissions!X25</f>
        <v/>
      </c>
      <c r="N68" s="2073" t="str">
        <f>D_Emissions!Y25</f>
        <v/>
      </c>
      <c r="P68" s="1137"/>
      <c r="Q68" s="1137"/>
      <c r="R68" s="1137"/>
      <c r="S68" s="1137"/>
      <c r="T68" s="1137"/>
      <c r="U68" s="1137"/>
      <c r="V68" s="1137"/>
    </row>
    <row r="69" spans="1:22" s="562" customFormat="1" ht="13.15" customHeight="1" thickBot="1">
      <c r="A69" s="817"/>
      <c r="C69" s="485"/>
      <c r="D69" s="485"/>
      <c r="E69" s="2588" t="str">
        <f>D_Emissions!E26</f>
        <v>Transferred CO2 exported</v>
      </c>
      <c r="F69" s="3504"/>
      <c r="G69" s="588" t="str">
        <f>D_Emissions!G26</f>
        <v>t CO2 / year</v>
      </c>
      <c r="H69" s="589" t="str">
        <f>D_Emissions!S26</f>
        <v/>
      </c>
      <c r="I69" s="2077" t="str">
        <f>D_Emissions!T26</f>
        <v/>
      </c>
      <c r="J69" s="2072" t="str">
        <f>D_Emissions!U26</f>
        <v/>
      </c>
      <c r="K69" s="2073" t="str">
        <f>D_Emissions!V26</f>
        <v/>
      </c>
      <c r="L69" s="2073" t="str">
        <f>D_Emissions!W26</f>
        <v/>
      </c>
      <c r="M69" s="2073" t="str">
        <f>D_Emissions!X26</f>
        <v/>
      </c>
      <c r="N69" s="2073" t="str">
        <f>D_Emissions!Y26</f>
        <v/>
      </c>
      <c r="P69" s="1137"/>
      <c r="Q69" s="1137"/>
      <c r="R69" s="1137"/>
      <c r="S69" s="1137"/>
      <c r="T69" s="1137"/>
      <c r="U69" s="1137"/>
      <c r="V69" s="1137"/>
    </row>
    <row r="70" spans="1:22" s="562" customFormat="1" ht="13.5" customHeight="1" thickBot="1">
      <c r="A70" s="817"/>
      <c r="C70" s="485"/>
      <c r="D70" s="485"/>
      <c r="E70" s="2590" t="str">
        <f>D_Emissions!E27</f>
        <v>Total direct emissions</v>
      </c>
      <c r="F70" s="3528"/>
      <c r="G70" s="590" t="str">
        <f>D_Emissions!G27</f>
        <v>t CO2e/year</v>
      </c>
      <c r="H70" s="591" t="str">
        <f>D_Emissions!S27</f>
        <v/>
      </c>
      <c r="I70" s="2078" t="str">
        <f>D_Emissions!T27</f>
        <v/>
      </c>
      <c r="J70" s="2079" t="str">
        <f>D_Emissions!U27</f>
        <v/>
      </c>
      <c r="K70" s="2080" t="str">
        <f>D_Emissions!V27</f>
        <v/>
      </c>
      <c r="L70" s="2080" t="str">
        <f>D_Emissions!W27</f>
        <v/>
      </c>
      <c r="M70" s="2080" t="str">
        <f>D_Emissions!X27</f>
        <v/>
      </c>
      <c r="N70" s="2080" t="str">
        <f>D_Emissions!Y27</f>
        <v/>
      </c>
      <c r="P70" s="1137"/>
      <c r="Q70" s="1137"/>
      <c r="R70" s="1137"/>
      <c r="S70" s="1137"/>
      <c r="T70" s="1137"/>
      <c r="U70" s="1137"/>
      <c r="V70" s="1137"/>
    </row>
    <row r="71" spans="1:22" s="562" customFormat="1" ht="13.5" customHeight="1" thickBot="1">
      <c r="A71" s="817"/>
      <c r="C71" s="485"/>
      <c r="D71" s="485"/>
      <c r="E71" s="2590" t="str">
        <f>D_Emissions!E28</f>
        <v>Total energy input from fuels</v>
      </c>
      <c r="F71" s="3528"/>
      <c r="G71" s="590" t="str">
        <f>D_Emissions!G28</f>
        <v>TJ / year</v>
      </c>
      <c r="H71" s="592" t="str">
        <f>D_Emissions!S28</f>
        <v/>
      </c>
      <c r="I71" s="2081" t="str">
        <f>D_Emissions!T28</f>
        <v/>
      </c>
      <c r="J71" s="2082" t="str">
        <f>D_Emissions!U28</f>
        <v/>
      </c>
      <c r="K71" s="2083" t="str">
        <f>D_Emissions!V28</f>
        <v/>
      </c>
      <c r="L71" s="2083" t="str">
        <f>D_Emissions!W28</f>
        <v/>
      </c>
      <c r="M71" s="2083" t="str">
        <f>D_Emissions!X28</f>
        <v/>
      </c>
      <c r="N71" s="2083" t="str">
        <f>D_Emissions!Y28</f>
        <v/>
      </c>
      <c r="P71" s="1137"/>
      <c r="Q71" s="1137"/>
      <c r="R71" s="1137"/>
      <c r="S71" s="1137"/>
      <c r="T71" s="1137"/>
      <c r="U71" s="1137"/>
      <c r="V71" s="1137"/>
    </row>
    <row r="72" spans="1:22" s="562" customFormat="1" ht="15" customHeight="1">
      <c r="A72" s="817"/>
      <c r="C72" s="485"/>
      <c r="D72" s="485"/>
      <c r="E72" s="485"/>
      <c r="F72" s="485"/>
      <c r="G72" s="485"/>
      <c r="H72" s="485"/>
      <c r="I72" s="485"/>
      <c r="J72" s="485"/>
      <c r="K72" s="485"/>
      <c r="L72" s="485"/>
      <c r="M72" s="485"/>
      <c r="N72" s="485"/>
      <c r="P72" s="1137"/>
      <c r="Q72" s="1137"/>
      <c r="R72" s="1137"/>
      <c r="S72" s="1137"/>
      <c r="T72" s="1137"/>
      <c r="U72" s="1137"/>
      <c r="V72" s="1137"/>
    </row>
    <row r="73" spans="1:22" s="562" customFormat="1" ht="13.9" customHeight="1">
      <c r="A73" s="817"/>
      <c r="C73" s="559">
        <v>2</v>
      </c>
      <c r="D73" s="2482" t="s">
        <v>774</v>
      </c>
      <c r="E73" s="2846"/>
      <c r="F73" s="2846"/>
      <c r="G73" s="2846"/>
      <c r="H73" s="2846"/>
      <c r="I73" s="2846"/>
      <c r="J73" s="2846"/>
      <c r="K73" s="2846"/>
      <c r="L73" s="2846"/>
      <c r="M73" s="2846"/>
      <c r="N73" s="2846"/>
      <c r="P73" s="1137"/>
      <c r="Q73" s="1137"/>
      <c r="R73" s="1137"/>
      <c r="S73" s="1137"/>
      <c r="T73" s="1137"/>
      <c r="U73" s="1137"/>
      <c r="V73" s="1137"/>
    </row>
    <row r="74" spans="1:22" s="562" customFormat="1" ht="5.0999999999999996" customHeight="1">
      <c r="A74" s="817"/>
      <c r="C74" s="481"/>
      <c r="D74" s="481"/>
      <c r="E74" s="481"/>
      <c r="F74" s="481"/>
      <c r="G74" s="481"/>
      <c r="H74" s="481"/>
      <c r="I74" s="481"/>
      <c r="J74" s="481"/>
      <c r="K74" s="481"/>
      <c r="L74" s="481"/>
      <c r="M74" s="481"/>
      <c r="N74" s="481"/>
      <c r="P74" s="1137"/>
      <c r="Q74" s="1137"/>
      <c r="R74" s="1137"/>
      <c r="S74" s="1137"/>
      <c r="T74" s="1137"/>
      <c r="U74" s="1137"/>
      <c r="V74" s="1137"/>
    </row>
    <row r="75" spans="1:22" s="562" customFormat="1" ht="13.15" customHeight="1">
      <c r="A75" s="817"/>
      <c r="B75" s="618"/>
      <c r="C75" s="481"/>
      <c r="D75" s="485"/>
      <c r="E75" s="3482" t="s">
        <v>1578</v>
      </c>
      <c r="F75" s="2846"/>
      <c r="G75" s="2846"/>
      <c r="H75" s="2846"/>
      <c r="I75" s="2846"/>
      <c r="J75" s="2846"/>
      <c r="K75" s="2846"/>
      <c r="L75" s="2846"/>
      <c r="M75" s="2846"/>
      <c r="N75" s="2846"/>
      <c r="O75" s="618"/>
      <c r="P75" s="1137"/>
      <c r="Q75" s="1137"/>
      <c r="R75" s="1137"/>
      <c r="S75" s="1137"/>
      <c r="T75" s="1137"/>
      <c r="U75" s="1137"/>
      <c r="V75" s="1137"/>
    </row>
    <row r="76" spans="1:22" s="562" customFormat="1" ht="13.15" customHeight="1">
      <c r="A76" s="817"/>
      <c r="B76" s="618"/>
      <c r="C76" s="481"/>
      <c r="D76" s="485"/>
      <c r="E76" s="3482" t="s">
        <v>1451</v>
      </c>
      <c r="F76" s="2846"/>
      <c r="G76" s="2846"/>
      <c r="H76" s="2846"/>
      <c r="I76" s="2846"/>
      <c r="J76" s="2846"/>
      <c r="K76" s="2846"/>
      <c r="L76" s="2846"/>
      <c r="M76" s="2846"/>
      <c r="N76" s="2846"/>
      <c r="O76" s="618"/>
      <c r="P76" s="1137"/>
      <c r="Q76" s="1137"/>
      <c r="R76" s="1137"/>
      <c r="S76" s="1137"/>
      <c r="T76" s="1137"/>
      <c r="U76" s="1137"/>
      <c r="V76" s="1137"/>
    </row>
    <row r="77" spans="1:22" s="562" customFormat="1" ht="25.5" customHeight="1">
      <c r="A77" s="817"/>
      <c r="B77" s="618"/>
      <c r="C77" s="481"/>
      <c r="D77" s="485"/>
      <c r="E77" s="594" t="s">
        <v>1449</v>
      </c>
      <c r="F77" s="3062" t="s">
        <v>1262</v>
      </c>
      <c r="G77" s="3062"/>
      <c r="H77" s="3062"/>
      <c r="I77" s="3062"/>
      <c r="J77" s="3062"/>
      <c r="K77" s="3062"/>
      <c r="L77" s="3062"/>
      <c r="M77" s="3062"/>
      <c r="N77" s="3062"/>
      <c r="O77" s="618"/>
      <c r="P77" s="1137"/>
      <c r="Q77" s="1137"/>
      <c r="R77" s="1137"/>
      <c r="S77" s="1137"/>
      <c r="T77" s="1137"/>
      <c r="U77" s="1137"/>
      <c r="V77" s="1137"/>
    </row>
    <row r="78" spans="1:22" s="562" customFormat="1" ht="12.75" customHeight="1">
      <c r="A78" s="817"/>
      <c r="B78" s="618"/>
      <c r="C78" s="481"/>
      <c r="D78" s="485"/>
      <c r="E78" s="2085" t="s">
        <v>1452</v>
      </c>
      <c r="F78" s="3062" t="s">
        <v>1579</v>
      </c>
      <c r="G78" s="3062"/>
      <c r="H78" s="3062"/>
      <c r="I78" s="3062"/>
      <c r="J78" s="3062"/>
      <c r="K78" s="3062"/>
      <c r="L78" s="3062"/>
      <c r="M78" s="3062"/>
      <c r="N78" s="3062"/>
      <c r="O78" s="618"/>
      <c r="P78" s="1137"/>
      <c r="Q78" s="1137"/>
      <c r="R78" s="1137"/>
      <c r="S78" s="1137"/>
      <c r="T78" s="1137"/>
      <c r="U78" s="1137"/>
      <c r="V78" s="1137"/>
    </row>
    <row r="79" spans="1:22" s="562" customFormat="1" ht="12.75" customHeight="1">
      <c r="A79" s="817"/>
      <c r="B79" s="618"/>
      <c r="C79" s="481"/>
      <c r="D79" s="485"/>
      <c r="E79" s="2085" t="s">
        <v>1452</v>
      </c>
      <c r="F79" s="3062" t="s">
        <v>1580</v>
      </c>
      <c r="G79" s="3062"/>
      <c r="H79" s="3062"/>
      <c r="I79" s="3062"/>
      <c r="J79" s="3062"/>
      <c r="K79" s="3062"/>
      <c r="L79" s="3062"/>
      <c r="M79" s="3062"/>
      <c r="N79" s="3062"/>
      <c r="O79" s="618"/>
      <c r="P79" s="1137"/>
      <c r="Q79" s="1137"/>
      <c r="R79" s="1137"/>
      <c r="S79" s="1137"/>
      <c r="T79" s="1137"/>
      <c r="U79" s="1137"/>
      <c r="V79" s="1137"/>
    </row>
    <row r="80" spans="1:22" s="562" customFormat="1" ht="12.75" customHeight="1">
      <c r="A80" s="817"/>
      <c r="B80" s="618"/>
      <c r="C80" s="481"/>
      <c r="D80" s="485"/>
      <c r="E80" s="2085" t="s">
        <v>1450</v>
      </c>
      <c r="F80" s="3062" t="s">
        <v>2291</v>
      </c>
      <c r="G80" s="3062"/>
      <c r="H80" s="3062"/>
      <c r="I80" s="3062"/>
      <c r="J80" s="3062"/>
      <c r="K80" s="3062"/>
      <c r="L80" s="3062"/>
      <c r="M80" s="3062"/>
      <c r="N80" s="3062"/>
      <c r="O80" s="618"/>
      <c r="P80" s="1137"/>
      <c r="Q80" s="1137"/>
      <c r="R80" s="1137"/>
      <c r="S80" s="1137"/>
      <c r="T80" s="1137"/>
      <c r="U80" s="1137"/>
      <c r="V80" s="1137"/>
    </row>
    <row r="81" spans="1:22" s="562" customFormat="1" ht="12.75" customHeight="1">
      <c r="A81" s="817"/>
      <c r="B81" s="618"/>
      <c r="C81" s="481"/>
      <c r="D81" s="485"/>
      <c r="E81" s="2085" t="s">
        <v>1021</v>
      </c>
      <c r="F81" s="3062" t="s">
        <v>2292</v>
      </c>
      <c r="G81" s="3062"/>
      <c r="H81" s="3062"/>
      <c r="I81" s="3062"/>
      <c r="J81" s="3062"/>
      <c r="K81" s="3062"/>
      <c r="L81" s="3062"/>
      <c r="M81" s="3062"/>
      <c r="N81" s="3062"/>
      <c r="O81" s="485"/>
      <c r="P81" s="1117"/>
      <c r="Q81" s="1137"/>
      <c r="R81" s="1137"/>
      <c r="S81" s="1137"/>
      <c r="T81" s="1137"/>
      <c r="U81" s="1137"/>
      <c r="V81" s="1137"/>
    </row>
    <row r="82" spans="1:22" s="562" customFormat="1" ht="13.15" customHeight="1">
      <c r="A82" s="817"/>
      <c r="B82" s="618"/>
      <c r="C82" s="481"/>
      <c r="D82" s="485"/>
      <c r="E82" s="2085" t="s">
        <v>1450</v>
      </c>
      <c r="F82" s="3062" t="s">
        <v>2293</v>
      </c>
      <c r="G82" s="3062"/>
      <c r="H82" s="3062"/>
      <c r="I82" s="3062"/>
      <c r="J82" s="3062"/>
      <c r="K82" s="3062"/>
      <c r="L82" s="3062"/>
      <c r="M82" s="3062"/>
      <c r="N82" s="3062"/>
      <c r="O82" s="485"/>
      <c r="P82" s="1117"/>
      <c r="Q82" s="1137"/>
      <c r="R82" s="1137"/>
      <c r="S82" s="1137"/>
      <c r="T82" s="1137"/>
      <c r="U82" s="1137"/>
      <c r="V82" s="1137"/>
    </row>
    <row r="83" spans="1:22" s="562" customFormat="1" ht="25.5" customHeight="1">
      <c r="A83" s="817"/>
      <c r="B83" s="618"/>
      <c r="C83" s="481"/>
      <c r="D83" s="485"/>
      <c r="E83" s="2085" t="s">
        <v>1021</v>
      </c>
      <c r="F83" s="3062" t="s">
        <v>2294</v>
      </c>
      <c r="G83" s="3062"/>
      <c r="H83" s="3062"/>
      <c r="I83" s="3062"/>
      <c r="J83" s="3062"/>
      <c r="K83" s="3062"/>
      <c r="L83" s="3062"/>
      <c r="M83" s="3062"/>
      <c r="N83" s="3062"/>
      <c r="O83" s="485"/>
      <c r="P83" s="1117"/>
      <c r="Q83" s="1137"/>
      <c r="R83" s="1137"/>
      <c r="S83" s="1137"/>
      <c r="T83" s="1137"/>
      <c r="U83" s="1137"/>
      <c r="V83" s="1137"/>
    </row>
    <row r="84" spans="1:22" s="562" customFormat="1" ht="13.15" customHeight="1">
      <c r="A84" s="817"/>
      <c r="B84" s="618"/>
      <c r="C84" s="481"/>
      <c r="D84" s="485"/>
      <c r="E84" s="2085" t="s">
        <v>1450</v>
      </c>
      <c r="F84" s="3062" t="s">
        <v>1581</v>
      </c>
      <c r="G84" s="3062"/>
      <c r="H84" s="3062"/>
      <c r="I84" s="3062"/>
      <c r="J84" s="3062"/>
      <c r="K84" s="3062"/>
      <c r="L84" s="3062"/>
      <c r="M84" s="3062"/>
      <c r="N84" s="3062"/>
      <c r="O84" s="485"/>
      <c r="P84" s="1117"/>
      <c r="Q84" s="1137"/>
      <c r="R84" s="1137"/>
      <c r="S84" s="1137"/>
      <c r="T84" s="1137"/>
      <c r="U84" s="1137"/>
      <c r="V84" s="1137"/>
    </row>
    <row r="85" spans="1:22" s="562" customFormat="1" ht="13.15" customHeight="1">
      <c r="A85" s="817"/>
      <c r="B85" s="618"/>
      <c r="C85" s="481"/>
      <c r="D85" s="485"/>
      <c r="E85" s="2085" t="s">
        <v>1021</v>
      </c>
      <c r="F85" s="3062" t="s">
        <v>1582</v>
      </c>
      <c r="G85" s="3062"/>
      <c r="H85" s="3062"/>
      <c r="I85" s="3062"/>
      <c r="J85" s="3062"/>
      <c r="K85" s="3062"/>
      <c r="L85" s="3062"/>
      <c r="M85" s="3062"/>
      <c r="N85" s="3062"/>
      <c r="O85" s="485"/>
      <c r="P85" s="1117"/>
      <c r="Q85" s="1137"/>
      <c r="R85" s="1137"/>
      <c r="S85" s="1137"/>
      <c r="T85" s="1137"/>
      <c r="U85" s="1137"/>
      <c r="V85" s="1137"/>
    </row>
    <row r="86" spans="1:22" s="562" customFormat="1" ht="25.5" customHeight="1">
      <c r="A86" s="817"/>
      <c r="B86" s="618"/>
      <c r="C86" s="481"/>
      <c r="D86" s="485"/>
      <c r="E86" s="3496" t="s">
        <v>1953</v>
      </c>
      <c r="F86" s="2467"/>
      <c r="G86" s="2467"/>
      <c r="H86" s="2467"/>
      <c r="I86" s="2467"/>
      <c r="J86" s="2467"/>
      <c r="K86" s="2467"/>
      <c r="L86" s="2467"/>
      <c r="M86" s="2467"/>
      <c r="N86" s="2467"/>
      <c r="O86" s="485"/>
      <c r="P86" s="1117"/>
      <c r="Q86" s="1137"/>
      <c r="R86" s="1137"/>
      <c r="S86" s="1137"/>
      <c r="T86" s="1137"/>
      <c r="U86" s="1137"/>
      <c r="V86" s="1137"/>
    </row>
    <row r="87" spans="1:22" s="562" customFormat="1" ht="25.5" customHeight="1">
      <c r="A87" s="817"/>
      <c r="B87" s="618"/>
      <c r="C87" s="481"/>
      <c r="D87" s="485"/>
      <c r="E87" s="2085" t="s">
        <v>1021</v>
      </c>
      <c r="F87" s="3062" t="s">
        <v>1583</v>
      </c>
      <c r="G87" s="3062"/>
      <c r="H87" s="3062"/>
      <c r="I87" s="3062"/>
      <c r="J87" s="3062"/>
      <c r="K87" s="3062"/>
      <c r="L87" s="3062"/>
      <c r="M87" s="3062"/>
      <c r="N87" s="3062"/>
      <c r="O87" s="485"/>
      <c r="P87" s="1117"/>
      <c r="Q87" s="1137"/>
      <c r="R87" s="1137"/>
      <c r="S87" s="1137"/>
      <c r="T87" s="1137"/>
      <c r="U87" s="1137"/>
      <c r="V87" s="1137"/>
    </row>
    <row r="88" spans="1:22" s="562" customFormat="1" ht="13.15" customHeight="1">
      <c r="A88" s="817"/>
      <c r="B88" s="618"/>
      <c r="C88" s="481"/>
      <c r="D88" s="485"/>
      <c r="E88" s="2085" t="s">
        <v>1021</v>
      </c>
      <c r="F88" s="3062" t="s">
        <v>1584</v>
      </c>
      <c r="G88" s="3062"/>
      <c r="H88" s="3062"/>
      <c r="I88" s="3062"/>
      <c r="J88" s="3062"/>
      <c r="K88" s="3062"/>
      <c r="L88" s="3062"/>
      <c r="M88" s="3062"/>
      <c r="N88" s="3062"/>
      <c r="O88" s="485"/>
      <c r="P88" s="1117"/>
      <c r="Q88" s="1137"/>
      <c r="R88" s="1137"/>
      <c r="S88" s="1137"/>
      <c r="T88" s="1137"/>
      <c r="U88" s="1137"/>
      <c r="V88" s="1137"/>
    </row>
    <row r="89" spans="1:22" s="562" customFormat="1" ht="25.5" customHeight="1">
      <c r="A89" s="817"/>
      <c r="B89" s="618"/>
      <c r="C89" s="481"/>
      <c r="D89" s="485"/>
      <c r="E89" s="3482" t="s">
        <v>1585</v>
      </c>
      <c r="F89" s="2846"/>
      <c r="G89" s="2846"/>
      <c r="H89" s="2846"/>
      <c r="I89" s="2846"/>
      <c r="J89" s="2846"/>
      <c r="K89" s="2846"/>
      <c r="L89" s="2846"/>
      <c r="M89" s="2846"/>
      <c r="N89" s="2846"/>
      <c r="O89" s="485"/>
      <c r="P89" s="1117"/>
      <c r="Q89" s="1137"/>
      <c r="R89" s="1137"/>
      <c r="S89" s="1137"/>
      <c r="T89" s="1137"/>
      <c r="U89" s="1137"/>
      <c r="V89" s="1137"/>
    </row>
    <row r="90" spans="1:22" s="562" customFormat="1" ht="12.75" customHeight="1">
      <c r="A90" s="817"/>
      <c r="B90" s="618"/>
      <c r="C90" s="481"/>
      <c r="D90" s="485"/>
      <c r="E90" s="3482" t="s">
        <v>1586</v>
      </c>
      <c r="F90" s="2846"/>
      <c r="G90" s="2846"/>
      <c r="H90" s="2846"/>
      <c r="I90" s="2846"/>
      <c r="J90" s="2846"/>
      <c r="K90" s="2846"/>
      <c r="L90" s="2846"/>
      <c r="M90" s="2846"/>
      <c r="N90" s="2846"/>
      <c r="O90" s="485"/>
      <c r="P90" s="1117"/>
      <c r="Q90" s="1137"/>
      <c r="R90" s="1137"/>
      <c r="S90" s="1137"/>
      <c r="T90" s="1137"/>
      <c r="U90" s="1137"/>
      <c r="V90" s="1137"/>
    </row>
    <row r="91" spans="1:22" s="562" customFormat="1" ht="13.5" customHeight="1" thickBot="1">
      <c r="A91" s="817"/>
      <c r="B91" s="618"/>
      <c r="C91" s="481"/>
      <c r="D91" s="482"/>
      <c r="E91" s="2509" t="s">
        <v>1277</v>
      </c>
      <c r="F91" s="2509"/>
      <c r="G91" s="577" t="str">
        <f>EUconst_Unit</f>
        <v>Unit</v>
      </c>
      <c r="H91" s="578">
        <f t="shared" ref="H91:N91" si="4">H$2737</f>
        <v>2024</v>
      </c>
      <c r="I91" s="697">
        <f t="shared" si="4"/>
        <v>2025</v>
      </c>
      <c r="J91" s="1489">
        <f t="shared" si="4"/>
        <v>2026</v>
      </c>
      <c r="K91" s="1490">
        <f t="shared" si="4"/>
        <v>2027</v>
      </c>
      <c r="L91" s="1490">
        <f t="shared" si="4"/>
        <v>2028</v>
      </c>
      <c r="M91" s="1490">
        <f t="shared" si="4"/>
        <v>2029</v>
      </c>
      <c r="N91" s="1490">
        <f t="shared" si="4"/>
        <v>2030</v>
      </c>
      <c r="O91" s="485"/>
      <c r="P91" s="1137"/>
      <c r="Q91" s="1137"/>
      <c r="R91" s="1137"/>
      <c r="S91" s="1137" t="s">
        <v>1393</v>
      </c>
      <c r="T91" s="1137"/>
      <c r="U91" s="1137"/>
      <c r="V91" s="1137"/>
    </row>
    <row r="92" spans="1:22" s="562" customFormat="1" ht="12.6" customHeight="1">
      <c r="A92" s="817"/>
      <c r="B92" s="618"/>
      <c r="C92" s="485"/>
      <c r="D92" s="561"/>
      <c r="E92" s="3330" t="str">
        <f t="shared" ref="E92:E101" si="5">IF(INDEX(CNTR_SubInstListIsProdBM,Q92),INDEX(CNTR_SubInstListNames,Q92),"")</f>
        <v/>
      </c>
      <c r="F92" s="3330"/>
      <c r="G92" s="1560" t="str">
        <f t="shared" ref="G92:G109" si="6">EUconst_tCO2epa</f>
        <v>t CO2e/year</v>
      </c>
      <c r="H92" s="600" t="str">
        <f>IF(ISNUMBER(D_Emissions!H$35),IF($E92="","",IF(SUMIF(F_ProductBM!$S:$S,$S92,F_ProductBM!T:T)&gt;0,EUconst_NA,SUMIF(F_ProductBM!$S:$S,$P92,F_ProductBM!T:T))),"")</f>
        <v/>
      </c>
      <c r="I92" s="1566" t="str">
        <f>IF(ISNUMBER(D_Emissions!I$35),IF($E92="","",IF(SUMIF(F_ProductBM!$S:$S,$S92,F_ProductBM!U:U)&gt;0,EUconst_NA,SUMIF(F_ProductBM!$S:$S,$P92,F_ProductBM!U:U))),"")</f>
        <v/>
      </c>
      <c r="J92" s="1491" t="str">
        <f>IF(ISNUMBER(D_Emissions!J$35),IF($E92="","",IF(SUMIF(F_ProductBM!$S:$S,$S92,F_ProductBM!V:V)&gt;0,EUconst_NA,SUMIF(F_ProductBM!$S:$S,$P92,F_ProductBM!V:V))),"")</f>
        <v/>
      </c>
      <c r="K92" s="1492" t="str">
        <f>IF(ISNUMBER(D_Emissions!K$35),IF($E92="","",IF(SUMIF(F_ProductBM!$S:$S,$S92,F_ProductBM!W:W)&gt;0,EUconst_NA,SUMIF(F_ProductBM!$S:$S,$P92,F_ProductBM!W:W))),"")</f>
        <v/>
      </c>
      <c r="L92" s="1492" t="str">
        <f>IF(ISNUMBER(D_Emissions!L$35),IF($E92="","",IF(SUMIF(F_ProductBM!$S:$S,$S92,F_ProductBM!X:X)&gt;0,EUconst_NA,SUMIF(F_ProductBM!$S:$S,$P92,F_ProductBM!X:X))),"")</f>
        <v/>
      </c>
      <c r="M92" s="1492" t="str">
        <f>IF(ISNUMBER(D_Emissions!M$35),IF($E92="","",IF(SUMIF(F_ProductBM!$S:$S,$S92,F_ProductBM!Y:Y)&gt;0,EUconst_NA,SUMIF(F_ProductBM!$S:$S,$P92,F_ProductBM!Y:Y))),"")</f>
        <v/>
      </c>
      <c r="N92" s="1492" t="str">
        <f>IF(ISNUMBER(D_Emissions!N$35),IF($E92="","",IF(SUMIF(F_ProductBM!$S:$S,$S92,F_ProductBM!Z:Z)&gt;0,EUconst_NA,SUMIF(F_ProductBM!$S:$S,$P92,F_ProductBM!Z:Z))),"")</f>
        <v/>
      </c>
      <c r="O92" s="485"/>
      <c r="P92" s="1547" t="str">
        <f t="shared" ref="P92:P106" si="7">EUconst_CNTR_AttributedEmissions &amp; E92</f>
        <v>AttrEmissions_</v>
      </c>
      <c r="Q92" s="1539">
        <v>1</v>
      </c>
      <c r="R92" s="1137"/>
      <c r="S92" s="1158" t="str">
        <f t="shared" ref="S92:S108" si="8">EUconst_ERR_AttrEmBMapplied &amp; E92</f>
        <v>ERR_AttrEmBM_</v>
      </c>
      <c r="T92" s="1137"/>
      <c r="U92" s="1137"/>
      <c r="V92" s="1137"/>
    </row>
    <row r="93" spans="1:22" s="562" customFormat="1">
      <c r="A93" s="817"/>
      <c r="B93" s="618"/>
      <c r="C93" s="485"/>
      <c r="D93" s="561"/>
      <c r="E93" s="3362" t="str">
        <f t="shared" si="5"/>
        <v/>
      </c>
      <c r="F93" s="3189"/>
      <c r="G93" s="2086" t="str">
        <f t="shared" si="6"/>
        <v>t CO2e/year</v>
      </c>
      <c r="H93" s="603" t="str">
        <f>IF(ISNUMBER(D_Emissions!H$35),IF($E93="","",IF(SUMIF(F_ProductBM!$S:$S,$S93,F_ProductBM!T:T)&gt;0,EUconst_NA,SUMIF(F_ProductBM!$S:$S,$P93,F_ProductBM!T:T))),"")</f>
        <v/>
      </c>
      <c r="I93" s="2087" t="str">
        <f>IF(ISNUMBER(D_Emissions!I$35),IF($E93="","",IF(SUMIF(F_ProductBM!$S:$S,$S93,F_ProductBM!U:U)&gt;0,EUconst_NA,SUMIF(F_ProductBM!$S:$S,$P93,F_ProductBM!U:U))),"")</f>
        <v/>
      </c>
      <c r="J93" s="1491" t="str">
        <f>IF(ISNUMBER(D_Emissions!J$35),IF($E93="","",IF(SUMIF(F_ProductBM!$S:$S,$S93,F_ProductBM!V:V)&gt;0,EUconst_NA,SUMIF(F_ProductBM!$S:$S,$P93,F_ProductBM!V:V))),"")</f>
        <v/>
      </c>
      <c r="K93" s="1492" t="str">
        <f>IF(ISNUMBER(D_Emissions!K$35),IF($E93="","",IF(SUMIF(F_ProductBM!$S:$S,$S93,F_ProductBM!W:W)&gt;0,EUconst_NA,SUMIF(F_ProductBM!$S:$S,$P93,F_ProductBM!W:W))),"")</f>
        <v/>
      </c>
      <c r="L93" s="1492" t="str">
        <f>IF(ISNUMBER(D_Emissions!L$35),IF($E93="","",IF(SUMIF(F_ProductBM!$S:$S,$S93,F_ProductBM!X:X)&gt;0,EUconst_NA,SUMIF(F_ProductBM!$S:$S,$P93,F_ProductBM!X:X))),"")</f>
        <v/>
      </c>
      <c r="M93" s="1492" t="str">
        <f>IF(ISNUMBER(D_Emissions!M$35),IF($E93="","",IF(SUMIF(F_ProductBM!$S:$S,$S93,F_ProductBM!Y:Y)&gt;0,EUconst_NA,SUMIF(F_ProductBM!$S:$S,$P93,F_ProductBM!Y:Y))),"")</f>
        <v/>
      </c>
      <c r="N93" s="1492" t="str">
        <f>IF(ISNUMBER(D_Emissions!N$35),IF($E93="","",IF(SUMIF(F_ProductBM!$S:$S,$S93,F_ProductBM!Z:Z)&gt;0,EUconst_NA,SUMIF(F_ProductBM!$S:$S,$P93,F_ProductBM!Z:Z))),"")</f>
        <v/>
      </c>
      <c r="O93" s="485"/>
      <c r="P93" s="2068" t="str">
        <f t="shared" si="7"/>
        <v>AttrEmissions_</v>
      </c>
      <c r="Q93" s="2088">
        <v>2</v>
      </c>
      <c r="R93" s="1137"/>
      <c r="S93" s="1158" t="str">
        <f t="shared" si="8"/>
        <v>ERR_AttrEmBM_</v>
      </c>
      <c r="T93" s="1137"/>
      <c r="U93" s="1137"/>
      <c r="V93" s="1137"/>
    </row>
    <row r="94" spans="1:22" s="562" customFormat="1" ht="12.75" customHeight="1">
      <c r="A94" s="817"/>
      <c r="B94" s="618"/>
      <c r="C94" s="485"/>
      <c r="D94" s="561"/>
      <c r="E94" s="3362" t="str">
        <f t="shared" si="5"/>
        <v/>
      </c>
      <c r="F94" s="3189"/>
      <c r="G94" s="2086" t="str">
        <f t="shared" si="6"/>
        <v>t CO2e/year</v>
      </c>
      <c r="H94" s="603" t="str">
        <f>IF(ISNUMBER(D_Emissions!H$35),IF($E94="","",IF(SUMIF(F_ProductBM!$S:$S,$S94,F_ProductBM!T:T)&gt;0,EUconst_NA,SUMIF(F_ProductBM!$S:$S,$P94,F_ProductBM!T:T))),"")</f>
        <v/>
      </c>
      <c r="I94" s="2087" t="str">
        <f>IF(ISNUMBER(D_Emissions!I$35),IF($E94="","",IF(SUMIF(F_ProductBM!$S:$S,$S94,F_ProductBM!U:U)&gt;0,EUconst_NA,SUMIF(F_ProductBM!$S:$S,$P94,F_ProductBM!U:U))),"")</f>
        <v/>
      </c>
      <c r="J94" s="1491" t="str">
        <f>IF(ISNUMBER(D_Emissions!J$35),IF($E94="","",IF(SUMIF(F_ProductBM!$S:$S,$S94,F_ProductBM!V:V)&gt;0,EUconst_NA,SUMIF(F_ProductBM!$S:$S,$P94,F_ProductBM!V:V))),"")</f>
        <v/>
      </c>
      <c r="K94" s="1492" t="str">
        <f>IF(ISNUMBER(D_Emissions!K$35),IF($E94="","",IF(SUMIF(F_ProductBM!$S:$S,$S94,F_ProductBM!W:W)&gt;0,EUconst_NA,SUMIF(F_ProductBM!$S:$S,$P94,F_ProductBM!W:W))),"")</f>
        <v/>
      </c>
      <c r="L94" s="1492" t="str">
        <f>IF(ISNUMBER(D_Emissions!L$35),IF($E94="","",IF(SUMIF(F_ProductBM!$S:$S,$S94,F_ProductBM!X:X)&gt;0,EUconst_NA,SUMIF(F_ProductBM!$S:$S,$P94,F_ProductBM!X:X))),"")</f>
        <v/>
      </c>
      <c r="M94" s="1492" t="str">
        <f>IF(ISNUMBER(D_Emissions!M$35),IF($E94="","",IF(SUMIF(F_ProductBM!$S:$S,$S94,F_ProductBM!Y:Y)&gt;0,EUconst_NA,SUMIF(F_ProductBM!$S:$S,$P94,F_ProductBM!Y:Y))),"")</f>
        <v/>
      </c>
      <c r="N94" s="1492" t="str">
        <f>IF(ISNUMBER(D_Emissions!N$35),IF($E94="","",IF(SUMIF(F_ProductBM!$S:$S,$S94,F_ProductBM!Z:Z)&gt;0,EUconst_NA,SUMIF(F_ProductBM!$S:$S,$P94,F_ProductBM!Z:Z))),"")</f>
        <v/>
      </c>
      <c r="O94" s="485"/>
      <c r="P94" s="2068" t="str">
        <f t="shared" si="7"/>
        <v>AttrEmissions_</v>
      </c>
      <c r="Q94" s="2088">
        <v>3</v>
      </c>
      <c r="R94" s="1137"/>
      <c r="S94" s="1158" t="str">
        <f t="shared" si="8"/>
        <v>ERR_AttrEmBM_</v>
      </c>
      <c r="T94" s="1137"/>
      <c r="U94" s="1137"/>
      <c r="V94" s="1137"/>
    </row>
    <row r="95" spans="1:22" s="562" customFormat="1">
      <c r="A95" s="817"/>
      <c r="B95" s="618"/>
      <c r="C95" s="485"/>
      <c r="D95" s="561"/>
      <c r="E95" s="3362" t="str">
        <f t="shared" si="5"/>
        <v/>
      </c>
      <c r="F95" s="3189"/>
      <c r="G95" s="2086" t="str">
        <f t="shared" si="6"/>
        <v>t CO2e/year</v>
      </c>
      <c r="H95" s="603" t="str">
        <f>IF(ISNUMBER(D_Emissions!H$35),IF($E95="","",IF(SUMIF(F_ProductBM!$S:$S,$S95,F_ProductBM!T:T)&gt;0,EUconst_NA,SUMIF(F_ProductBM!$S:$S,$P95,F_ProductBM!T:T))),"")</f>
        <v/>
      </c>
      <c r="I95" s="2087" t="str">
        <f>IF(ISNUMBER(D_Emissions!I$35),IF($E95="","",IF(SUMIF(F_ProductBM!$S:$S,$S95,F_ProductBM!U:U)&gt;0,EUconst_NA,SUMIF(F_ProductBM!$S:$S,$P95,F_ProductBM!U:U))),"")</f>
        <v/>
      </c>
      <c r="J95" s="1491" t="str">
        <f>IF(ISNUMBER(D_Emissions!J$35),IF($E95="","",IF(SUMIF(F_ProductBM!$S:$S,$S95,F_ProductBM!V:V)&gt;0,EUconst_NA,SUMIF(F_ProductBM!$S:$S,$P95,F_ProductBM!V:V))),"")</f>
        <v/>
      </c>
      <c r="K95" s="1492" t="str">
        <f>IF(ISNUMBER(D_Emissions!K$35),IF($E95="","",IF(SUMIF(F_ProductBM!$S:$S,$S95,F_ProductBM!W:W)&gt;0,EUconst_NA,SUMIF(F_ProductBM!$S:$S,$P95,F_ProductBM!W:W))),"")</f>
        <v/>
      </c>
      <c r="L95" s="1492" t="str">
        <f>IF(ISNUMBER(D_Emissions!L$35),IF($E95="","",IF(SUMIF(F_ProductBM!$S:$S,$S95,F_ProductBM!X:X)&gt;0,EUconst_NA,SUMIF(F_ProductBM!$S:$S,$P95,F_ProductBM!X:X))),"")</f>
        <v/>
      </c>
      <c r="M95" s="1492" t="str">
        <f>IF(ISNUMBER(D_Emissions!M$35),IF($E95="","",IF(SUMIF(F_ProductBM!$S:$S,$S95,F_ProductBM!Y:Y)&gt;0,EUconst_NA,SUMIF(F_ProductBM!$S:$S,$P95,F_ProductBM!Y:Y))),"")</f>
        <v/>
      </c>
      <c r="N95" s="1492" t="str">
        <f>IF(ISNUMBER(D_Emissions!N$35),IF($E95="","",IF(SUMIF(F_ProductBM!$S:$S,$S95,F_ProductBM!Z:Z)&gt;0,EUconst_NA,SUMIF(F_ProductBM!$S:$S,$P95,F_ProductBM!Z:Z))),"")</f>
        <v/>
      </c>
      <c r="O95" s="485"/>
      <c r="P95" s="2068" t="str">
        <f t="shared" si="7"/>
        <v>AttrEmissions_</v>
      </c>
      <c r="Q95" s="2088">
        <v>4</v>
      </c>
      <c r="R95" s="1137"/>
      <c r="S95" s="1158" t="str">
        <f t="shared" si="8"/>
        <v>ERR_AttrEmBM_</v>
      </c>
      <c r="T95" s="1137"/>
      <c r="U95" s="1137"/>
      <c r="V95" s="1137"/>
    </row>
    <row r="96" spans="1:22" s="562" customFormat="1">
      <c r="A96" s="817"/>
      <c r="B96" s="618"/>
      <c r="C96" s="485"/>
      <c r="D96" s="561"/>
      <c r="E96" s="3362" t="str">
        <f t="shared" si="5"/>
        <v/>
      </c>
      <c r="F96" s="3189"/>
      <c r="G96" s="2086" t="str">
        <f t="shared" si="6"/>
        <v>t CO2e/year</v>
      </c>
      <c r="H96" s="603" t="str">
        <f>IF(ISNUMBER(D_Emissions!H$35),IF($E96="","",IF(SUMIF(F_ProductBM!$S:$S,$S96,F_ProductBM!T:T)&gt;0,EUconst_NA,SUMIF(F_ProductBM!$S:$S,$P96,F_ProductBM!T:T))),"")</f>
        <v/>
      </c>
      <c r="I96" s="2087" t="str">
        <f>IF(ISNUMBER(D_Emissions!I$35),IF($E96="","",IF(SUMIF(F_ProductBM!$S:$S,$S96,F_ProductBM!U:U)&gt;0,EUconst_NA,SUMIF(F_ProductBM!$S:$S,$P96,F_ProductBM!U:U))),"")</f>
        <v/>
      </c>
      <c r="J96" s="1491" t="str">
        <f>IF(ISNUMBER(D_Emissions!J$35),IF($E96="","",IF(SUMIF(F_ProductBM!$S:$S,$S96,F_ProductBM!V:V)&gt;0,EUconst_NA,SUMIF(F_ProductBM!$S:$S,$P96,F_ProductBM!V:V))),"")</f>
        <v/>
      </c>
      <c r="K96" s="1492" t="str">
        <f>IF(ISNUMBER(D_Emissions!K$35),IF($E96="","",IF(SUMIF(F_ProductBM!$S:$S,$S96,F_ProductBM!W:W)&gt;0,EUconst_NA,SUMIF(F_ProductBM!$S:$S,$P96,F_ProductBM!W:W))),"")</f>
        <v/>
      </c>
      <c r="L96" s="1492" t="str">
        <f>IF(ISNUMBER(D_Emissions!L$35),IF($E96="","",IF(SUMIF(F_ProductBM!$S:$S,$S96,F_ProductBM!X:X)&gt;0,EUconst_NA,SUMIF(F_ProductBM!$S:$S,$P96,F_ProductBM!X:X))),"")</f>
        <v/>
      </c>
      <c r="M96" s="1492" t="str">
        <f>IF(ISNUMBER(D_Emissions!M$35),IF($E96="","",IF(SUMIF(F_ProductBM!$S:$S,$S96,F_ProductBM!Y:Y)&gt;0,EUconst_NA,SUMIF(F_ProductBM!$S:$S,$P96,F_ProductBM!Y:Y))),"")</f>
        <v/>
      </c>
      <c r="N96" s="1492" t="str">
        <f>IF(ISNUMBER(D_Emissions!N$35),IF($E96="","",IF(SUMIF(F_ProductBM!$S:$S,$S96,F_ProductBM!Z:Z)&gt;0,EUconst_NA,SUMIF(F_ProductBM!$S:$S,$P96,F_ProductBM!Z:Z))),"")</f>
        <v/>
      </c>
      <c r="O96" s="485"/>
      <c r="P96" s="2068" t="str">
        <f t="shared" si="7"/>
        <v>AttrEmissions_</v>
      </c>
      <c r="Q96" s="2088">
        <v>5</v>
      </c>
      <c r="R96" s="1137"/>
      <c r="S96" s="1158" t="str">
        <f t="shared" si="8"/>
        <v>ERR_AttrEmBM_</v>
      </c>
      <c r="T96" s="1137"/>
      <c r="U96" s="1137"/>
      <c r="V96" s="1137"/>
    </row>
    <row r="97" spans="1:22" s="562" customFormat="1" ht="12.75" customHeight="1">
      <c r="A97" s="817"/>
      <c r="B97" s="618"/>
      <c r="C97" s="485"/>
      <c r="D97" s="561"/>
      <c r="E97" s="3362" t="str">
        <f t="shared" si="5"/>
        <v/>
      </c>
      <c r="F97" s="3189"/>
      <c r="G97" s="2086" t="str">
        <f t="shared" si="6"/>
        <v>t CO2e/year</v>
      </c>
      <c r="H97" s="603" t="str">
        <f>IF(ISNUMBER(D_Emissions!H$35),IF($E97="","",IF(SUMIF(F_ProductBM!$S:$S,$S97,F_ProductBM!T:T)&gt;0,EUconst_NA,SUMIF(F_ProductBM!$S:$S,$P97,F_ProductBM!T:T))),"")</f>
        <v/>
      </c>
      <c r="I97" s="2087" t="str">
        <f>IF(ISNUMBER(D_Emissions!I$35),IF($E97="","",IF(SUMIF(F_ProductBM!$S:$S,$S97,F_ProductBM!U:U)&gt;0,EUconst_NA,SUMIF(F_ProductBM!$S:$S,$P97,F_ProductBM!U:U))),"")</f>
        <v/>
      </c>
      <c r="J97" s="1491" t="str">
        <f>IF(ISNUMBER(D_Emissions!J$35),IF($E97="","",IF(SUMIF(F_ProductBM!$S:$S,$S97,F_ProductBM!V:V)&gt;0,EUconst_NA,SUMIF(F_ProductBM!$S:$S,$P97,F_ProductBM!V:V))),"")</f>
        <v/>
      </c>
      <c r="K97" s="1492" t="str">
        <f>IF(ISNUMBER(D_Emissions!K$35),IF($E97="","",IF(SUMIF(F_ProductBM!$S:$S,$S97,F_ProductBM!W:W)&gt;0,EUconst_NA,SUMIF(F_ProductBM!$S:$S,$P97,F_ProductBM!W:W))),"")</f>
        <v/>
      </c>
      <c r="L97" s="1492" t="str">
        <f>IF(ISNUMBER(D_Emissions!L$35),IF($E97="","",IF(SUMIF(F_ProductBM!$S:$S,$S97,F_ProductBM!X:X)&gt;0,EUconst_NA,SUMIF(F_ProductBM!$S:$S,$P97,F_ProductBM!X:X))),"")</f>
        <v/>
      </c>
      <c r="M97" s="1492" t="str">
        <f>IF(ISNUMBER(D_Emissions!M$35),IF($E97="","",IF(SUMIF(F_ProductBM!$S:$S,$S97,F_ProductBM!Y:Y)&gt;0,EUconst_NA,SUMIF(F_ProductBM!$S:$S,$P97,F_ProductBM!Y:Y))),"")</f>
        <v/>
      </c>
      <c r="N97" s="1492" t="str">
        <f>IF(ISNUMBER(D_Emissions!N$35),IF($E97="","",IF(SUMIF(F_ProductBM!$S:$S,$S97,F_ProductBM!Z:Z)&gt;0,EUconst_NA,SUMIF(F_ProductBM!$S:$S,$P97,F_ProductBM!Z:Z))),"")</f>
        <v/>
      </c>
      <c r="O97" s="485"/>
      <c r="P97" s="2068" t="str">
        <f t="shared" si="7"/>
        <v>AttrEmissions_</v>
      </c>
      <c r="Q97" s="2088">
        <v>6</v>
      </c>
      <c r="R97" s="1137"/>
      <c r="S97" s="1158" t="str">
        <f t="shared" si="8"/>
        <v>ERR_AttrEmBM_</v>
      </c>
      <c r="T97" s="1137"/>
      <c r="U97" s="1137"/>
      <c r="V97" s="1137"/>
    </row>
    <row r="98" spans="1:22" s="562" customFormat="1" ht="12.75" customHeight="1">
      <c r="A98" s="817"/>
      <c r="B98" s="618"/>
      <c r="C98" s="485"/>
      <c r="D98" s="561"/>
      <c r="E98" s="3362" t="str">
        <f t="shared" si="5"/>
        <v/>
      </c>
      <c r="F98" s="3189"/>
      <c r="G98" s="2086" t="str">
        <f t="shared" si="6"/>
        <v>t CO2e/year</v>
      </c>
      <c r="H98" s="603" t="str">
        <f>IF(ISNUMBER(D_Emissions!H$35),IF($E98="","",IF(SUMIF(F_ProductBM!$S:$S,$S98,F_ProductBM!T:T)&gt;0,EUconst_NA,SUMIF(F_ProductBM!$S:$S,$P98,F_ProductBM!T:T))),"")</f>
        <v/>
      </c>
      <c r="I98" s="2087" t="str">
        <f>IF(ISNUMBER(D_Emissions!I$35),IF($E98="","",IF(SUMIF(F_ProductBM!$S:$S,$S98,F_ProductBM!U:U)&gt;0,EUconst_NA,SUMIF(F_ProductBM!$S:$S,$P98,F_ProductBM!U:U))),"")</f>
        <v/>
      </c>
      <c r="J98" s="1491" t="str">
        <f>IF(ISNUMBER(D_Emissions!J$35),IF($E98="","",IF(SUMIF(F_ProductBM!$S:$S,$S98,F_ProductBM!V:V)&gt;0,EUconst_NA,SUMIF(F_ProductBM!$S:$S,$P98,F_ProductBM!V:V))),"")</f>
        <v/>
      </c>
      <c r="K98" s="1492" t="str">
        <f>IF(ISNUMBER(D_Emissions!K$35),IF($E98="","",IF(SUMIF(F_ProductBM!$S:$S,$S98,F_ProductBM!W:W)&gt;0,EUconst_NA,SUMIF(F_ProductBM!$S:$S,$P98,F_ProductBM!W:W))),"")</f>
        <v/>
      </c>
      <c r="L98" s="1492" t="str">
        <f>IF(ISNUMBER(D_Emissions!L$35),IF($E98="","",IF(SUMIF(F_ProductBM!$S:$S,$S98,F_ProductBM!X:X)&gt;0,EUconst_NA,SUMIF(F_ProductBM!$S:$S,$P98,F_ProductBM!X:X))),"")</f>
        <v/>
      </c>
      <c r="M98" s="1492" t="str">
        <f>IF(ISNUMBER(D_Emissions!M$35),IF($E98="","",IF(SUMIF(F_ProductBM!$S:$S,$S98,F_ProductBM!Y:Y)&gt;0,EUconst_NA,SUMIF(F_ProductBM!$S:$S,$P98,F_ProductBM!Y:Y))),"")</f>
        <v/>
      </c>
      <c r="N98" s="1492" t="str">
        <f>IF(ISNUMBER(D_Emissions!N$35),IF($E98="","",IF(SUMIF(F_ProductBM!$S:$S,$S98,F_ProductBM!Z:Z)&gt;0,EUconst_NA,SUMIF(F_ProductBM!$S:$S,$P98,F_ProductBM!Z:Z))),"")</f>
        <v/>
      </c>
      <c r="O98" s="485"/>
      <c r="P98" s="2068" t="str">
        <f t="shared" si="7"/>
        <v>AttrEmissions_</v>
      </c>
      <c r="Q98" s="2088">
        <v>7</v>
      </c>
      <c r="R98" s="1137"/>
      <c r="S98" s="1158" t="str">
        <f t="shared" si="8"/>
        <v>ERR_AttrEmBM_</v>
      </c>
      <c r="T98" s="1137"/>
      <c r="U98" s="1137"/>
      <c r="V98" s="1137"/>
    </row>
    <row r="99" spans="1:22" s="562" customFormat="1">
      <c r="A99" s="817"/>
      <c r="B99" s="618"/>
      <c r="C99" s="485"/>
      <c r="D99" s="561"/>
      <c r="E99" s="3362" t="str">
        <f t="shared" si="5"/>
        <v/>
      </c>
      <c r="F99" s="3189"/>
      <c r="G99" s="2086" t="str">
        <f t="shared" si="6"/>
        <v>t CO2e/year</v>
      </c>
      <c r="H99" s="603" t="str">
        <f>IF(ISNUMBER(D_Emissions!H$35),IF($E99="","",IF(SUMIF(F_ProductBM!$S:$S,$S99,F_ProductBM!T:T)&gt;0,EUconst_NA,SUMIF(F_ProductBM!$S:$S,$P99,F_ProductBM!T:T))),"")</f>
        <v/>
      </c>
      <c r="I99" s="2087" t="str">
        <f>IF(ISNUMBER(D_Emissions!I$35),IF($E99="","",IF(SUMIF(F_ProductBM!$S:$S,$S99,F_ProductBM!U:U)&gt;0,EUconst_NA,SUMIF(F_ProductBM!$S:$S,$P99,F_ProductBM!U:U))),"")</f>
        <v/>
      </c>
      <c r="J99" s="1491" t="str">
        <f>IF(ISNUMBER(D_Emissions!J$35),IF($E99="","",IF(SUMIF(F_ProductBM!$S:$S,$S99,F_ProductBM!V:V)&gt;0,EUconst_NA,SUMIF(F_ProductBM!$S:$S,$P99,F_ProductBM!V:V))),"")</f>
        <v/>
      </c>
      <c r="K99" s="1492" t="str">
        <f>IF(ISNUMBER(D_Emissions!K$35),IF($E99="","",IF(SUMIF(F_ProductBM!$S:$S,$S99,F_ProductBM!W:W)&gt;0,EUconst_NA,SUMIF(F_ProductBM!$S:$S,$P99,F_ProductBM!W:W))),"")</f>
        <v/>
      </c>
      <c r="L99" s="1492" t="str">
        <f>IF(ISNUMBER(D_Emissions!L$35),IF($E99="","",IF(SUMIF(F_ProductBM!$S:$S,$S99,F_ProductBM!X:X)&gt;0,EUconst_NA,SUMIF(F_ProductBM!$S:$S,$P99,F_ProductBM!X:X))),"")</f>
        <v/>
      </c>
      <c r="M99" s="1492" t="str">
        <f>IF(ISNUMBER(D_Emissions!M$35),IF($E99="","",IF(SUMIF(F_ProductBM!$S:$S,$S99,F_ProductBM!Y:Y)&gt;0,EUconst_NA,SUMIF(F_ProductBM!$S:$S,$P99,F_ProductBM!Y:Y))),"")</f>
        <v/>
      </c>
      <c r="N99" s="1492" t="str">
        <f>IF(ISNUMBER(D_Emissions!N$35),IF($E99="","",IF(SUMIF(F_ProductBM!$S:$S,$S99,F_ProductBM!Z:Z)&gt;0,EUconst_NA,SUMIF(F_ProductBM!$S:$S,$P99,F_ProductBM!Z:Z))),"")</f>
        <v/>
      </c>
      <c r="O99" s="485"/>
      <c r="P99" s="2068" t="str">
        <f t="shared" si="7"/>
        <v>AttrEmissions_</v>
      </c>
      <c r="Q99" s="2088">
        <v>8</v>
      </c>
      <c r="R99" s="1137"/>
      <c r="S99" s="1158" t="str">
        <f t="shared" si="8"/>
        <v>ERR_AttrEmBM_</v>
      </c>
      <c r="T99" s="1137"/>
      <c r="U99" s="1137"/>
      <c r="V99" s="1137"/>
    </row>
    <row r="100" spans="1:22" s="562" customFormat="1" ht="12.75" customHeight="1">
      <c r="A100" s="817"/>
      <c r="B100" s="618"/>
      <c r="C100" s="485"/>
      <c r="D100" s="561"/>
      <c r="E100" s="3362" t="str">
        <f t="shared" si="5"/>
        <v/>
      </c>
      <c r="F100" s="3189"/>
      <c r="G100" s="2086" t="str">
        <f t="shared" si="6"/>
        <v>t CO2e/year</v>
      </c>
      <c r="H100" s="603" t="str">
        <f>IF(ISNUMBER(D_Emissions!H$35),IF($E100="","",IF(SUMIF(F_ProductBM!$S:$S,$S100,F_ProductBM!T:T)&gt;0,EUconst_NA,SUMIF(F_ProductBM!$S:$S,$P100,F_ProductBM!T:T))),"")</f>
        <v/>
      </c>
      <c r="I100" s="2087" t="str">
        <f>IF(ISNUMBER(D_Emissions!I$35),IF($E100="","",IF(SUMIF(F_ProductBM!$S:$S,$S100,F_ProductBM!U:U)&gt;0,EUconst_NA,SUMIF(F_ProductBM!$S:$S,$P100,F_ProductBM!U:U))),"")</f>
        <v/>
      </c>
      <c r="J100" s="1491" t="str">
        <f>IF(ISNUMBER(D_Emissions!J$35),IF($E100="","",IF(SUMIF(F_ProductBM!$S:$S,$S100,F_ProductBM!V:V)&gt;0,EUconst_NA,SUMIF(F_ProductBM!$S:$S,$P100,F_ProductBM!V:V))),"")</f>
        <v/>
      </c>
      <c r="K100" s="1492" t="str">
        <f>IF(ISNUMBER(D_Emissions!K$35),IF($E100="","",IF(SUMIF(F_ProductBM!$S:$S,$S100,F_ProductBM!W:W)&gt;0,EUconst_NA,SUMIF(F_ProductBM!$S:$S,$P100,F_ProductBM!W:W))),"")</f>
        <v/>
      </c>
      <c r="L100" s="1492" t="str">
        <f>IF(ISNUMBER(D_Emissions!L$35),IF($E100="","",IF(SUMIF(F_ProductBM!$S:$S,$S100,F_ProductBM!X:X)&gt;0,EUconst_NA,SUMIF(F_ProductBM!$S:$S,$P100,F_ProductBM!X:X))),"")</f>
        <v/>
      </c>
      <c r="M100" s="1492" t="str">
        <f>IF(ISNUMBER(D_Emissions!M$35),IF($E100="","",IF(SUMIF(F_ProductBM!$S:$S,$S100,F_ProductBM!Y:Y)&gt;0,EUconst_NA,SUMIF(F_ProductBM!$S:$S,$P100,F_ProductBM!Y:Y))),"")</f>
        <v/>
      </c>
      <c r="N100" s="1492" t="str">
        <f>IF(ISNUMBER(D_Emissions!N$35),IF($E100="","",IF(SUMIF(F_ProductBM!$S:$S,$S100,F_ProductBM!Z:Z)&gt;0,EUconst_NA,SUMIF(F_ProductBM!$S:$S,$P100,F_ProductBM!Z:Z))),"")</f>
        <v/>
      </c>
      <c r="O100" s="485"/>
      <c r="P100" s="2068" t="str">
        <f t="shared" si="7"/>
        <v>AttrEmissions_</v>
      </c>
      <c r="Q100" s="2088">
        <v>9</v>
      </c>
      <c r="R100" s="1137"/>
      <c r="S100" s="1158" t="str">
        <f t="shared" si="8"/>
        <v>ERR_AttrEmBM_</v>
      </c>
      <c r="T100" s="1137"/>
      <c r="U100" s="1137"/>
      <c r="V100" s="1137"/>
    </row>
    <row r="101" spans="1:22" s="562" customFormat="1" ht="13.5" customHeight="1" thickBot="1">
      <c r="A101" s="817"/>
      <c r="B101" s="618"/>
      <c r="C101" s="485"/>
      <c r="D101" s="561"/>
      <c r="E101" s="3332" t="str">
        <f t="shared" si="5"/>
        <v/>
      </c>
      <c r="F101" s="3466"/>
      <c r="G101" s="933" t="str">
        <f t="shared" si="6"/>
        <v>t CO2e/year</v>
      </c>
      <c r="H101" s="605" t="str">
        <f>IF(ISNUMBER(D_Emissions!H$35),IF($E101="","",IF(SUMIF(F_ProductBM!$S:$S,$S101,F_ProductBM!T:T)&gt;0,EUconst_NA,SUMIF(F_ProductBM!$S:$S,$P101,F_ProductBM!T:T))),"")</f>
        <v/>
      </c>
      <c r="I101" s="973" t="str">
        <f>IF(ISNUMBER(D_Emissions!I$35),IF($E101="","",IF(SUMIF(F_ProductBM!$S:$S,$S101,F_ProductBM!U:U)&gt;0,EUconst_NA,SUMIF(F_ProductBM!$S:$S,$P101,F_ProductBM!U:U))),"")</f>
        <v/>
      </c>
      <c r="J101" s="1491" t="str">
        <f>IF(ISNUMBER(D_Emissions!J$35),IF($E101="","",IF(SUMIF(F_ProductBM!$S:$S,$S101,F_ProductBM!V:V)&gt;0,EUconst_NA,SUMIF(F_ProductBM!$S:$S,$P101,F_ProductBM!V:V))),"")</f>
        <v/>
      </c>
      <c r="K101" s="1492" t="str">
        <f>IF(ISNUMBER(D_Emissions!K$35),IF($E101="","",IF(SUMIF(F_ProductBM!$S:$S,$S101,F_ProductBM!W:W)&gt;0,EUconst_NA,SUMIF(F_ProductBM!$S:$S,$P101,F_ProductBM!W:W))),"")</f>
        <v/>
      </c>
      <c r="L101" s="1492" t="str">
        <f>IF(ISNUMBER(D_Emissions!L$35),IF($E101="","",IF(SUMIF(F_ProductBM!$S:$S,$S101,F_ProductBM!X:X)&gt;0,EUconst_NA,SUMIF(F_ProductBM!$S:$S,$P101,F_ProductBM!X:X))),"")</f>
        <v/>
      </c>
      <c r="M101" s="1492" t="str">
        <f>IF(ISNUMBER(D_Emissions!M$35),IF($E101="","",IF(SUMIF(F_ProductBM!$S:$S,$S101,F_ProductBM!Y:Y)&gt;0,EUconst_NA,SUMIF(F_ProductBM!$S:$S,$P101,F_ProductBM!Y:Y))),"")</f>
        <v/>
      </c>
      <c r="N101" s="1492" t="str">
        <f>IF(ISNUMBER(D_Emissions!N$35),IF($E101="","",IF(SUMIF(F_ProductBM!$S:$S,$S101,F_ProductBM!Z:Z)&gt;0,EUconst_NA,SUMIF(F_ProductBM!$S:$S,$P101,F_ProductBM!Z:Z))),"")</f>
        <v/>
      </c>
      <c r="O101" s="485"/>
      <c r="P101" s="1549" t="str">
        <f t="shared" si="7"/>
        <v>AttrEmissions_</v>
      </c>
      <c r="Q101" s="1541">
        <v>10</v>
      </c>
      <c r="R101" s="1137"/>
      <c r="S101" s="1158" t="str">
        <f t="shared" si="8"/>
        <v>ERR_AttrEmBM_</v>
      </c>
      <c r="T101" s="1137"/>
      <c r="U101" s="1137"/>
      <c r="V101" s="1137"/>
    </row>
    <row r="102" spans="1:22" s="562" customFormat="1" ht="12.75" customHeight="1">
      <c r="A102" s="817"/>
      <c r="B102" s="618"/>
      <c r="C102" s="485"/>
      <c r="D102" s="561"/>
      <c r="E102" s="2606" t="str">
        <f t="shared" ref="E102:E108" si="9">INDEX(EUconst_FallBackListNames,Q102)</f>
        <v>Heat benchmark sub-installation, CL</v>
      </c>
      <c r="F102" s="3467"/>
      <c r="G102" s="2086" t="str">
        <f t="shared" si="6"/>
        <v>t CO2e/year</v>
      </c>
      <c r="H102" s="603" t="str">
        <f>IF(ISNUMBER(D_Emissions!H$35),IF(INDEX(CNTR_FallBackSubInstRelevant,$Q102),IF(SUMIF('G_Fall-back'!$S:$S,$S102,'G_Fall-back'!T:T)&gt;0,EUconst_NA,SUMIF('G_Fall-back'!$S:$S,$P102,'G_Fall-back'!T:T)),""),"")</f>
        <v/>
      </c>
      <c r="I102" s="2087" t="str">
        <f>IF(ISNUMBER(D_Emissions!I$35),IF(INDEX(CNTR_FallBackSubInstRelevant,$Q102),IF(SUMIF('G_Fall-back'!$S:$S,$S102,'G_Fall-back'!U:U)&gt;0,EUconst_NA,SUMIF('G_Fall-back'!$S:$S,$P102,'G_Fall-back'!U:U)),""),"")</f>
        <v/>
      </c>
      <c r="J102" s="1491" t="str">
        <f>IF(ISNUMBER(D_Emissions!J$35),IF(INDEX(CNTR_FallBackSubInstRelevant,$Q102),IF(SUMIF('G_Fall-back'!$S:$S,$S102,'G_Fall-back'!V:V)&gt;0,EUconst_NA,SUMIF('G_Fall-back'!$S:$S,$P102,'G_Fall-back'!V:V)),""),"")</f>
        <v/>
      </c>
      <c r="K102" s="1492" t="str">
        <f>IF(ISNUMBER(D_Emissions!K$35),IF(INDEX(CNTR_FallBackSubInstRelevant,$Q102),IF(SUMIF('G_Fall-back'!$S:$S,$S102,'G_Fall-back'!W:W)&gt;0,EUconst_NA,SUMIF('G_Fall-back'!$S:$S,$P102,'G_Fall-back'!W:W)),""),"")</f>
        <v/>
      </c>
      <c r="L102" s="1492" t="str">
        <f>IF(ISNUMBER(D_Emissions!L$35),IF(INDEX(CNTR_FallBackSubInstRelevant,$Q102),IF(SUMIF('G_Fall-back'!$S:$S,$S102,'G_Fall-back'!X:X)&gt;0,EUconst_NA,SUMIF('G_Fall-back'!$S:$S,$P102,'G_Fall-back'!X:X)),""),"")</f>
        <v/>
      </c>
      <c r="M102" s="1492" t="str">
        <f>IF(ISNUMBER(D_Emissions!M$35),IF(INDEX(CNTR_FallBackSubInstRelevant,$Q102),IF(SUMIF('G_Fall-back'!$S:$S,$S102,'G_Fall-back'!Y:Y)&gt;0,EUconst_NA,SUMIF('G_Fall-back'!$S:$S,$P102,'G_Fall-back'!Y:Y)),""),"")</f>
        <v/>
      </c>
      <c r="N102" s="1492" t="str">
        <f>IF(ISNUMBER(D_Emissions!N$35),IF(INDEX(CNTR_FallBackSubInstRelevant,$Q102),IF(SUMIF('G_Fall-back'!$S:$S,$S102,'G_Fall-back'!Z:Z)&gt;0,EUconst_NA,SUMIF('G_Fall-back'!$S:$S,$P102,'G_Fall-back'!Z:Z)),""),"")</f>
        <v/>
      </c>
      <c r="O102" s="485"/>
      <c r="P102" s="1547" t="str">
        <f t="shared" si="7"/>
        <v>AttrEmissions_Heat benchmark sub-installation, CL</v>
      </c>
      <c r="Q102" s="1539">
        <v>1</v>
      </c>
      <c r="R102" s="1137"/>
      <c r="S102" s="1158" t="str">
        <f t="shared" si="8"/>
        <v>ERR_AttrEmBM_Heat benchmark sub-installation, CL</v>
      </c>
      <c r="T102" s="1137"/>
      <c r="U102" s="1137"/>
      <c r="V102" s="1137"/>
    </row>
    <row r="103" spans="1:22" s="562" customFormat="1" ht="12.75" customHeight="1">
      <c r="A103" s="817"/>
      <c r="B103" s="618"/>
      <c r="C103" s="485"/>
      <c r="D103" s="561"/>
      <c r="E103" s="2609" t="str">
        <f t="shared" si="9"/>
        <v>Heat benchmark sub-installation, non-CL</v>
      </c>
      <c r="F103" s="3189"/>
      <c r="G103" s="2089" t="str">
        <f t="shared" si="6"/>
        <v>t CO2e/year</v>
      </c>
      <c r="H103" s="607" t="str">
        <f>IF(ISNUMBER(D_Emissions!H$35),IF(INDEX(CNTR_FallBackSubInstRelevant,$Q103),IF(SUMIF('G_Fall-back'!$S:$S,$S103,'G_Fall-back'!T:T)&gt;0,EUconst_NA,SUMIF('G_Fall-back'!$S:$S,$P103,'G_Fall-back'!T:T)),""),"")</f>
        <v/>
      </c>
      <c r="I103" s="2090" t="str">
        <f>IF(ISNUMBER(D_Emissions!I$35),IF(INDEX(CNTR_FallBackSubInstRelevant,$Q103),IF(SUMIF('G_Fall-back'!$S:$S,$S103,'G_Fall-back'!U:U)&gt;0,EUconst_NA,SUMIF('G_Fall-back'!$S:$S,$P103,'G_Fall-back'!U:U)),""),"")</f>
        <v/>
      </c>
      <c r="J103" s="1491" t="str">
        <f>IF(ISNUMBER(D_Emissions!J$35),IF(INDEX(CNTR_FallBackSubInstRelevant,$Q103),IF(SUMIF('G_Fall-back'!$S:$S,$S103,'G_Fall-back'!V:V)&gt;0,EUconst_NA,SUMIF('G_Fall-back'!$S:$S,$P103,'G_Fall-back'!V:V)),""),"")</f>
        <v/>
      </c>
      <c r="K103" s="1492" t="str">
        <f>IF(ISNUMBER(D_Emissions!K$35),IF(INDEX(CNTR_FallBackSubInstRelevant,$Q103),IF(SUMIF('G_Fall-back'!$S:$S,$S103,'G_Fall-back'!W:W)&gt;0,EUconst_NA,SUMIF('G_Fall-back'!$S:$S,$P103,'G_Fall-back'!W:W)),""),"")</f>
        <v/>
      </c>
      <c r="L103" s="1492" t="str">
        <f>IF(ISNUMBER(D_Emissions!L$35),IF(INDEX(CNTR_FallBackSubInstRelevant,$Q103),IF(SUMIF('G_Fall-back'!$S:$S,$S103,'G_Fall-back'!X:X)&gt;0,EUconst_NA,SUMIF('G_Fall-back'!$S:$S,$P103,'G_Fall-back'!X:X)),""),"")</f>
        <v/>
      </c>
      <c r="M103" s="1492" t="str">
        <f>IF(ISNUMBER(D_Emissions!M$35),IF(INDEX(CNTR_FallBackSubInstRelevant,$Q103),IF(SUMIF('G_Fall-back'!$S:$S,$S103,'G_Fall-back'!Y:Y)&gt;0,EUconst_NA,SUMIF('G_Fall-back'!$S:$S,$P103,'G_Fall-back'!Y:Y)),""),"")</f>
        <v/>
      </c>
      <c r="N103" s="1492" t="str">
        <f>IF(ISNUMBER(D_Emissions!N$35),IF(INDEX(CNTR_FallBackSubInstRelevant,$Q103),IF(SUMIF('G_Fall-back'!$S:$S,$S103,'G_Fall-back'!Z:Z)&gt;0,EUconst_NA,SUMIF('G_Fall-back'!$S:$S,$P103,'G_Fall-back'!Z:Z)),""),"")</f>
        <v/>
      </c>
      <c r="O103" s="485"/>
      <c r="P103" s="2068" t="str">
        <f t="shared" si="7"/>
        <v>AttrEmissions_Heat benchmark sub-installation, non-CL</v>
      </c>
      <c r="Q103" s="2088">
        <v>2</v>
      </c>
      <c r="R103" s="1137"/>
      <c r="S103" s="1158" t="str">
        <f t="shared" si="8"/>
        <v>ERR_AttrEmBM_Heat benchmark sub-installation, non-CL</v>
      </c>
      <c r="T103" s="1137"/>
      <c r="U103" s="1137"/>
      <c r="V103" s="1137"/>
    </row>
    <row r="104" spans="1:22" s="562" customFormat="1" ht="12.75" customHeight="1">
      <c r="A104" s="817"/>
      <c r="B104" s="618"/>
      <c r="C104" s="485"/>
      <c r="D104" s="561"/>
      <c r="E104" s="2609" t="str">
        <f t="shared" si="9"/>
        <v>District heating sub-installation</v>
      </c>
      <c r="F104" s="3189"/>
      <c r="G104" s="1562" t="str">
        <f t="shared" si="6"/>
        <v>t CO2e/year</v>
      </c>
      <c r="H104" s="607" t="str">
        <f>IF(ISNUMBER(D_Emissions!H$35),IF(INDEX(CNTR_FallBackSubInstRelevant,$Q104),IF(SUMIF('G_Fall-back'!$S:$S,$S104,'G_Fall-back'!T:T)&gt;0,EUconst_NA,SUMIF('G_Fall-back'!$S:$S,$P104,'G_Fall-back'!T:T)),""),"")</f>
        <v/>
      </c>
      <c r="I104" s="2090" t="str">
        <f>IF(ISNUMBER(D_Emissions!I$35),IF(INDEX(CNTR_FallBackSubInstRelevant,$Q104),IF(SUMIF('G_Fall-back'!$S:$S,$S104,'G_Fall-back'!U:U)&gt;0,EUconst_NA,SUMIF('G_Fall-back'!$S:$S,$P104,'G_Fall-back'!U:U)),""),"")</f>
        <v/>
      </c>
      <c r="J104" s="1491" t="str">
        <f>IF(ISNUMBER(D_Emissions!J$35),IF(INDEX(CNTR_FallBackSubInstRelevant,$Q104),IF(SUMIF('G_Fall-back'!$S:$S,$S104,'G_Fall-back'!V:V)&gt;0,EUconst_NA,SUMIF('G_Fall-back'!$S:$S,$P104,'G_Fall-back'!V:V)),""),"")</f>
        <v/>
      </c>
      <c r="K104" s="1492" t="str">
        <f>IF(ISNUMBER(D_Emissions!K$35),IF(INDEX(CNTR_FallBackSubInstRelevant,$Q104),IF(SUMIF('G_Fall-back'!$S:$S,$S104,'G_Fall-back'!W:W)&gt;0,EUconst_NA,SUMIF('G_Fall-back'!$S:$S,$P104,'G_Fall-back'!W:W)),""),"")</f>
        <v/>
      </c>
      <c r="L104" s="1492" t="str">
        <f>IF(ISNUMBER(D_Emissions!L$35),IF(INDEX(CNTR_FallBackSubInstRelevant,$Q104),IF(SUMIF('G_Fall-back'!$S:$S,$S104,'G_Fall-back'!X:X)&gt;0,EUconst_NA,SUMIF('G_Fall-back'!$S:$S,$P104,'G_Fall-back'!X:X)),""),"")</f>
        <v/>
      </c>
      <c r="M104" s="1492" t="str">
        <f>IF(ISNUMBER(D_Emissions!M$35),IF(INDEX(CNTR_FallBackSubInstRelevant,$Q104),IF(SUMIF('G_Fall-back'!$S:$S,$S104,'G_Fall-back'!Y:Y)&gt;0,EUconst_NA,SUMIF('G_Fall-back'!$S:$S,$P104,'G_Fall-back'!Y:Y)),""),"")</f>
        <v/>
      </c>
      <c r="N104" s="1492" t="str">
        <f>IF(ISNUMBER(D_Emissions!N$35),IF(INDEX(CNTR_FallBackSubInstRelevant,$Q104),IF(SUMIF('G_Fall-back'!$S:$S,$S104,'G_Fall-back'!Z:Z)&gt;0,EUconst_NA,SUMIF('G_Fall-back'!$S:$S,$P104,'G_Fall-back'!Z:Z)),""),"")</f>
        <v/>
      </c>
      <c r="O104" s="485"/>
      <c r="P104" s="2068" t="str">
        <f t="shared" si="7"/>
        <v>AttrEmissions_District heating sub-installation</v>
      </c>
      <c r="Q104" s="1539">
        <v>3</v>
      </c>
      <c r="R104" s="1137"/>
      <c r="S104" s="1158" t="str">
        <f t="shared" si="8"/>
        <v>ERR_AttrEmBM_District heating sub-installation</v>
      </c>
      <c r="T104" s="1137"/>
      <c r="U104" s="1137"/>
      <c r="V104" s="1137"/>
    </row>
    <row r="105" spans="1:22" s="562" customFormat="1" ht="12.75" customHeight="1">
      <c r="A105" s="817"/>
      <c r="B105" s="618"/>
      <c r="C105" s="485"/>
      <c r="D105" s="561"/>
      <c r="E105" s="2609" t="str">
        <f t="shared" si="9"/>
        <v>Fuel benchmark sub-installation, CL</v>
      </c>
      <c r="F105" s="3189"/>
      <c r="G105" s="2089" t="str">
        <f t="shared" si="6"/>
        <v>t CO2e/year</v>
      </c>
      <c r="H105" s="609" t="str">
        <f>IF(ISNUMBER(D_Emissions!H$35),IF(INDEX(CNTR_FallBackSubInstRelevant,$Q105),IF(SUMIF('G_Fall-back'!$S:$S,$S105,'G_Fall-back'!T:T)&gt;0,EUconst_NA,SUMIF('G_Fall-back'!$S:$S,$P105,'G_Fall-back'!T:T)),""),"")</f>
        <v/>
      </c>
      <c r="I105" s="2091" t="str">
        <f>IF(ISNUMBER(D_Emissions!I$35),IF(INDEX(CNTR_FallBackSubInstRelevant,$Q105),IF(SUMIF('G_Fall-back'!$S:$S,$S105,'G_Fall-back'!U:U)&gt;0,EUconst_NA,SUMIF('G_Fall-back'!$S:$S,$P105,'G_Fall-back'!U:U)),""),"")</f>
        <v/>
      </c>
      <c r="J105" s="1491" t="str">
        <f>IF(ISNUMBER(D_Emissions!J$35),IF(INDEX(CNTR_FallBackSubInstRelevant,$Q105),IF(SUMIF('G_Fall-back'!$S:$S,$S105,'G_Fall-back'!V:V)&gt;0,EUconst_NA,SUMIF('G_Fall-back'!$S:$S,$P105,'G_Fall-back'!V:V)),""),"")</f>
        <v/>
      </c>
      <c r="K105" s="1492" t="str">
        <f>IF(ISNUMBER(D_Emissions!K$35),IF(INDEX(CNTR_FallBackSubInstRelevant,$Q105),IF(SUMIF('G_Fall-back'!$S:$S,$S105,'G_Fall-back'!W:W)&gt;0,EUconst_NA,SUMIF('G_Fall-back'!$S:$S,$P105,'G_Fall-back'!W:W)),""),"")</f>
        <v/>
      </c>
      <c r="L105" s="1492" t="str">
        <f>IF(ISNUMBER(D_Emissions!L$35),IF(INDEX(CNTR_FallBackSubInstRelevant,$Q105),IF(SUMIF('G_Fall-back'!$S:$S,$S105,'G_Fall-back'!X:X)&gt;0,EUconst_NA,SUMIF('G_Fall-back'!$S:$S,$P105,'G_Fall-back'!X:X)),""),"")</f>
        <v/>
      </c>
      <c r="M105" s="1492" t="str">
        <f>IF(ISNUMBER(D_Emissions!M$35),IF(INDEX(CNTR_FallBackSubInstRelevant,$Q105),IF(SUMIF('G_Fall-back'!$S:$S,$S105,'G_Fall-back'!Y:Y)&gt;0,EUconst_NA,SUMIF('G_Fall-back'!$S:$S,$P105,'G_Fall-back'!Y:Y)),""),"")</f>
        <v/>
      </c>
      <c r="N105" s="1492" t="str">
        <f>IF(ISNUMBER(D_Emissions!N$35),IF(INDEX(CNTR_FallBackSubInstRelevant,$Q105),IF(SUMIF('G_Fall-back'!$S:$S,$S105,'G_Fall-back'!Z:Z)&gt;0,EUconst_NA,SUMIF('G_Fall-back'!$S:$S,$P105,'G_Fall-back'!Z:Z)),""),"")</f>
        <v/>
      </c>
      <c r="O105" s="485"/>
      <c r="P105" s="2068" t="str">
        <f t="shared" si="7"/>
        <v>AttrEmissions_Fuel benchmark sub-installation, CL</v>
      </c>
      <c r="Q105" s="2088">
        <v>4</v>
      </c>
      <c r="R105" s="1137"/>
      <c r="S105" s="1158" t="str">
        <f t="shared" si="8"/>
        <v>ERR_AttrEmBM_Fuel benchmark sub-installation, CL</v>
      </c>
      <c r="T105" s="1137"/>
      <c r="U105" s="1137"/>
      <c r="V105" s="1137"/>
    </row>
    <row r="106" spans="1:22" s="562" customFormat="1" ht="12.75" customHeight="1" thickBot="1">
      <c r="A106" s="817"/>
      <c r="B106" s="618"/>
      <c r="C106" s="485"/>
      <c r="D106" s="561"/>
      <c r="E106" s="3487" t="str">
        <f t="shared" si="9"/>
        <v>Fuel benchmark sub-installation, non-CL</v>
      </c>
      <c r="F106" s="3488"/>
      <c r="G106" s="2092" t="str">
        <f t="shared" si="6"/>
        <v>t CO2e/year</v>
      </c>
      <c r="H106" s="611" t="str">
        <f>IF(ISNUMBER(D_Emissions!H$35),IF(INDEX(CNTR_FallBackSubInstRelevant,$Q106),IF(SUMIF('G_Fall-back'!$S:$S,$S106,'G_Fall-back'!T:T)&gt;0,EUconst_NA,SUMIF('G_Fall-back'!$S:$S,$P106,'G_Fall-back'!T:T)),""),"")</f>
        <v/>
      </c>
      <c r="I106" s="2093" t="str">
        <f>IF(ISNUMBER(D_Emissions!I$35),IF(INDEX(CNTR_FallBackSubInstRelevant,$Q106),IF(SUMIF('G_Fall-back'!$S:$S,$S106,'G_Fall-back'!U:U)&gt;0,EUconst_NA,SUMIF('G_Fall-back'!$S:$S,$P106,'G_Fall-back'!U:U)),""),"")</f>
        <v/>
      </c>
      <c r="J106" s="1491" t="str">
        <f>IF(ISNUMBER(D_Emissions!J$35),IF(INDEX(CNTR_FallBackSubInstRelevant,$Q106),IF(SUMIF('G_Fall-back'!$S:$S,$S106,'G_Fall-back'!V:V)&gt;0,EUconst_NA,SUMIF('G_Fall-back'!$S:$S,$P106,'G_Fall-back'!V:V)),""),"")</f>
        <v/>
      </c>
      <c r="K106" s="1492" t="str">
        <f>IF(ISNUMBER(D_Emissions!K$35),IF(INDEX(CNTR_FallBackSubInstRelevant,$Q106),IF(SUMIF('G_Fall-back'!$S:$S,$S106,'G_Fall-back'!W:W)&gt;0,EUconst_NA,SUMIF('G_Fall-back'!$S:$S,$P106,'G_Fall-back'!W:W)),""),"")</f>
        <v/>
      </c>
      <c r="L106" s="1492" t="str">
        <f>IF(ISNUMBER(D_Emissions!L$35),IF(INDEX(CNTR_FallBackSubInstRelevant,$Q106),IF(SUMIF('G_Fall-back'!$S:$S,$S106,'G_Fall-back'!X:X)&gt;0,EUconst_NA,SUMIF('G_Fall-back'!$S:$S,$P106,'G_Fall-back'!X:X)),""),"")</f>
        <v/>
      </c>
      <c r="M106" s="1492" t="str">
        <f>IF(ISNUMBER(D_Emissions!M$35),IF(INDEX(CNTR_FallBackSubInstRelevant,$Q106),IF(SUMIF('G_Fall-back'!$S:$S,$S106,'G_Fall-back'!Y:Y)&gt;0,EUconst_NA,SUMIF('G_Fall-back'!$S:$S,$P106,'G_Fall-back'!Y:Y)),""),"")</f>
        <v/>
      </c>
      <c r="N106" s="1492" t="str">
        <f>IF(ISNUMBER(D_Emissions!N$35),IF(INDEX(CNTR_FallBackSubInstRelevant,$Q106),IF(SUMIF('G_Fall-back'!$S:$S,$S106,'G_Fall-back'!Z:Z)&gt;0,EUconst_NA,SUMIF('G_Fall-back'!$S:$S,$P106,'G_Fall-back'!Z:Z)),""),"")</f>
        <v/>
      </c>
      <c r="O106" s="485"/>
      <c r="P106" s="1549" t="str">
        <f t="shared" si="7"/>
        <v>AttrEmissions_Fuel benchmark sub-installation, non-CL</v>
      </c>
      <c r="Q106" s="2094">
        <v>5</v>
      </c>
      <c r="R106" s="1137"/>
      <c r="S106" s="1158" t="str">
        <f t="shared" si="8"/>
        <v>ERR_AttrEmBM_Fuel benchmark sub-installation, non-CL</v>
      </c>
      <c r="T106" s="1137"/>
      <c r="U106" s="1137"/>
      <c r="V106" s="1137"/>
    </row>
    <row r="107" spans="1:22" s="562" customFormat="1" ht="12.75" customHeight="1">
      <c r="A107" s="817"/>
      <c r="B107" s="618"/>
      <c r="C107" s="485"/>
      <c r="D107" s="561"/>
      <c r="E107" s="3489" t="str">
        <f t="shared" si="9"/>
        <v>Process emissions sub-installation, CL</v>
      </c>
      <c r="F107" s="3490"/>
      <c r="G107" s="2095" t="str">
        <f t="shared" si="6"/>
        <v>t CO2e/year</v>
      </c>
      <c r="H107" s="613" t="str">
        <f>IF(ISNUMBER(D_Emissions!H$35),IF(INDEX(CNTR_FallBackSubInstRelevant,$Q107),SUMIF('G_Fall-back'!$Q:$Q,$P107,'G_Fall-back'!H:H),""),"")</f>
        <v/>
      </c>
      <c r="I107" s="2096" t="str">
        <f>IF(ISNUMBER(D_Emissions!I$35),IF(INDEX(CNTR_FallBackSubInstRelevant,$Q107),SUMIF('G_Fall-back'!$Q:$Q,$P107,'G_Fall-back'!I:I),""),"")</f>
        <v/>
      </c>
      <c r="J107" s="1537" t="str">
        <f>IF(ISNUMBER(D_Emissions!J$35),IF(INDEX(CNTR_FallBackSubInstRelevant,$Q107),SUMIF('G_Fall-back'!$Q:$Q,$P107,'G_Fall-back'!J:J),""),"")</f>
        <v/>
      </c>
      <c r="K107" s="1538" t="str">
        <f>IF(ISNUMBER(D_Emissions!K$35),IF(INDEX(CNTR_FallBackSubInstRelevant,$Q107),SUMIF('G_Fall-back'!$Q:$Q,$P107,'G_Fall-back'!K:K),""),"")</f>
        <v/>
      </c>
      <c r="L107" s="1538" t="str">
        <f>IF(ISNUMBER(D_Emissions!L$35),IF(INDEX(CNTR_FallBackSubInstRelevant,$Q107),SUMIF('G_Fall-back'!$Q:$Q,$P107,'G_Fall-back'!L:L),""),"")</f>
        <v/>
      </c>
      <c r="M107" s="1538" t="str">
        <f>IF(ISNUMBER(D_Emissions!M$35),IF(INDEX(CNTR_FallBackSubInstRelevant,$Q107),SUMIF('G_Fall-back'!$Q:$Q,$P107,'G_Fall-back'!M:M),""),"")</f>
        <v/>
      </c>
      <c r="N107" s="1538" t="str">
        <f>IF(ISNUMBER(D_Emissions!N$35),IF(INDEX(CNTR_FallBackSubInstRelevant,$Q107),SUMIF('G_Fall-back'!$Q:$Q,$P107,'G_Fall-back'!N:N),""),"")</f>
        <v/>
      </c>
      <c r="O107" s="485"/>
      <c r="P107" s="1547" t="str">
        <f>EUconst_CNTR_HAL &amp; E107</f>
        <v>HAL_Process emissions sub-installation, CL</v>
      </c>
      <c r="Q107" s="2088">
        <v>6</v>
      </c>
      <c r="R107" s="1137"/>
      <c r="S107" s="1158" t="str">
        <f t="shared" si="8"/>
        <v>ERR_AttrEmBM_Process emissions sub-installation, CL</v>
      </c>
      <c r="T107" s="1137"/>
      <c r="U107" s="1137"/>
      <c r="V107" s="1137"/>
    </row>
    <row r="108" spans="1:22" s="562" customFormat="1" ht="13.5" customHeight="1" thickBot="1">
      <c r="A108" s="817"/>
      <c r="B108" s="618"/>
      <c r="C108" s="485"/>
      <c r="D108" s="561"/>
      <c r="E108" s="3491" t="str">
        <f t="shared" si="9"/>
        <v>Process emissions sub-installation, non-CL</v>
      </c>
      <c r="F108" s="3488"/>
      <c r="G108" s="2097" t="str">
        <f t="shared" si="6"/>
        <v>t CO2e/year</v>
      </c>
      <c r="H108" s="615" t="str">
        <f>IF(ISNUMBER(D_Emissions!H$35),IF(INDEX(CNTR_FallBackSubInstRelevant,$Q108),SUMIF('G_Fall-back'!$Q:$Q,$P108,'G_Fall-back'!H:H),""),"")</f>
        <v/>
      </c>
      <c r="I108" s="1548" t="str">
        <f>IF(ISNUMBER(D_Emissions!I$35),IF(INDEX(CNTR_FallBackSubInstRelevant,$Q108),SUMIF('G_Fall-back'!$Q:$Q,$P108,'G_Fall-back'!I:I),""),"")</f>
        <v/>
      </c>
      <c r="J108" s="1537" t="str">
        <f>IF(ISNUMBER(D_Emissions!J$35),IF(INDEX(CNTR_FallBackSubInstRelevant,$Q108),SUMIF('G_Fall-back'!$Q:$Q,$P108,'G_Fall-back'!J:J),""),"")</f>
        <v/>
      </c>
      <c r="K108" s="1538" t="str">
        <f>IF(ISNUMBER(D_Emissions!K$35),IF(INDEX(CNTR_FallBackSubInstRelevant,$Q108),SUMIF('G_Fall-back'!$Q:$Q,$P108,'G_Fall-back'!K:K),""),"")</f>
        <v/>
      </c>
      <c r="L108" s="1538" t="str">
        <f>IF(ISNUMBER(D_Emissions!L$35),IF(INDEX(CNTR_FallBackSubInstRelevant,$Q108),SUMIF('G_Fall-back'!$Q:$Q,$P108,'G_Fall-back'!L:L),""),"")</f>
        <v/>
      </c>
      <c r="M108" s="1538" t="str">
        <f>IF(ISNUMBER(D_Emissions!M$35),IF(INDEX(CNTR_FallBackSubInstRelevant,$Q108),SUMIF('G_Fall-back'!$Q:$Q,$P108,'G_Fall-back'!M:M),""),"")</f>
        <v/>
      </c>
      <c r="N108" s="1538" t="str">
        <f>IF(ISNUMBER(D_Emissions!N$35),IF(INDEX(CNTR_FallBackSubInstRelevant,$Q108),SUMIF('G_Fall-back'!$Q:$Q,$P108,'G_Fall-back'!N:N),""),"")</f>
        <v/>
      </c>
      <c r="O108" s="485"/>
      <c r="P108" s="1549" t="str">
        <f>EUconst_CNTR_HAL &amp; E108</f>
        <v>HAL_Process emissions sub-installation, non-CL</v>
      </c>
      <c r="Q108" s="1541">
        <v>7</v>
      </c>
      <c r="R108" s="1137"/>
      <c r="S108" s="1158" t="str">
        <f t="shared" si="8"/>
        <v>ERR_AttrEmBM_Process emissions sub-installation, non-CL</v>
      </c>
      <c r="T108" s="1137"/>
      <c r="U108" s="1137"/>
      <c r="V108" s="1137"/>
    </row>
    <row r="109" spans="1:22" s="562" customFormat="1" ht="12.6" customHeight="1">
      <c r="A109" s="817"/>
      <c r="B109" s="618"/>
      <c r="C109" s="485"/>
      <c r="D109" s="561"/>
      <c r="E109" s="3492" t="s">
        <v>1263</v>
      </c>
      <c r="F109" s="3493"/>
      <c r="G109" s="933" t="str">
        <f t="shared" si="6"/>
        <v>t CO2e/year</v>
      </c>
      <c r="H109" s="616" t="str">
        <f>IF(ISNUMBER(D_Emissions!H$35),IF(COUNTIF(H92:H108,EUconst_NA)&gt;0,EUconst_NA,D_Emissions!H$35-SUM(H92:H108)),"")</f>
        <v/>
      </c>
      <c r="I109" s="1544" t="str">
        <f>IF(ISNUMBER(D_Emissions!I$35),IF(COUNTIF(I92:I108,EUconst_NA)&gt;0,EUconst_NA,D_Emissions!I$35-SUM(I92:I108)),"")</f>
        <v/>
      </c>
      <c r="J109" s="1491" t="str">
        <f>IF(ISNUMBER(D_Emissions!J$35),IF(COUNTIF(J92:J108,EUconst_NA)&gt;0,EUconst_NA,D_Emissions!J$35-SUM(J92:J108)),"")</f>
        <v/>
      </c>
      <c r="K109" s="1492" t="str">
        <f>IF(ISNUMBER(D_Emissions!K$35),IF(COUNTIF(K92:K108,EUconst_NA)&gt;0,EUconst_NA,D_Emissions!K$35-SUM(K92:K108)),"")</f>
        <v/>
      </c>
      <c r="L109" s="1492" t="str">
        <f>IF(ISNUMBER(D_Emissions!L$35),IF(COUNTIF(L92:L108,EUconst_NA)&gt;0,EUconst_NA,D_Emissions!L$35-SUM(L92:L108)),"")</f>
        <v/>
      </c>
      <c r="M109" s="1492" t="str">
        <f>IF(ISNUMBER(D_Emissions!M$35),IF(COUNTIF(M92:M108,EUconst_NA)&gt;0,EUconst_NA,D_Emissions!M$35-SUM(M92:M108)),"")</f>
        <v/>
      </c>
      <c r="N109" s="1492" t="str">
        <f>IF(ISNUMBER(D_Emissions!N$35),IF(COUNTIF(N92:N108,EUconst_NA)&gt;0,EUconst_NA,D_Emissions!N$35-SUM(N92:N108)),"")</f>
        <v/>
      </c>
      <c r="O109" s="485"/>
      <c r="P109" s="1535"/>
      <c r="Q109" s="1137"/>
      <c r="R109" s="1137"/>
      <c r="S109" s="1137"/>
      <c r="T109" s="1137"/>
      <c r="U109" s="1137"/>
      <c r="V109" s="1137"/>
    </row>
    <row r="110" spans="1:22" s="562" customFormat="1">
      <c r="A110" s="817"/>
      <c r="B110" s="618"/>
      <c r="C110" s="481"/>
      <c r="D110" s="485"/>
      <c r="E110" s="2098"/>
      <c r="F110" s="2098"/>
      <c r="G110" s="2098"/>
      <c r="H110" s="618"/>
      <c r="I110" s="2098"/>
      <c r="J110" s="2099"/>
      <c r="K110" s="1154"/>
      <c r="L110" s="1154"/>
      <c r="M110" s="1900"/>
      <c r="N110" s="1900"/>
      <c r="O110" s="485"/>
      <c r="P110" s="1545"/>
      <c r="Q110" s="1137"/>
      <c r="R110" s="1137"/>
      <c r="S110" s="1137"/>
      <c r="T110" s="1137"/>
      <c r="U110" s="1137"/>
      <c r="V110" s="1137"/>
    </row>
    <row r="111" spans="1:22" s="562" customFormat="1">
      <c r="A111" s="817"/>
      <c r="B111" s="618"/>
      <c r="C111" s="485"/>
      <c r="D111" s="485"/>
      <c r="E111" s="2509" t="str">
        <f t="shared" ref="E111:E128" si="10">E91</f>
        <v>Sub-installation level data:</v>
      </c>
      <c r="F111" s="3284"/>
      <c r="G111" s="577" t="str">
        <f>EUconst_Unit</f>
        <v>Unit</v>
      </c>
      <c r="H111" s="578">
        <f t="shared" ref="H111:N111" si="11">H$2737</f>
        <v>2024</v>
      </c>
      <c r="I111" s="697">
        <f t="shared" si="11"/>
        <v>2025</v>
      </c>
      <c r="J111" s="1489">
        <f t="shared" si="11"/>
        <v>2026</v>
      </c>
      <c r="K111" s="1490">
        <f t="shared" si="11"/>
        <v>2027</v>
      </c>
      <c r="L111" s="1490">
        <f t="shared" si="11"/>
        <v>2028</v>
      </c>
      <c r="M111" s="1490">
        <f t="shared" si="11"/>
        <v>2029</v>
      </c>
      <c r="N111" s="1490">
        <f t="shared" si="11"/>
        <v>2030</v>
      </c>
      <c r="O111" s="485"/>
      <c r="P111" s="1545"/>
      <c r="Q111" s="1137"/>
      <c r="R111" s="1137"/>
      <c r="S111" s="1137"/>
      <c r="T111" s="1137"/>
      <c r="U111" s="1137"/>
      <c r="V111" s="1137"/>
    </row>
    <row r="112" spans="1:22" s="562" customFormat="1" ht="12.6" customHeight="1">
      <c r="A112" s="817"/>
      <c r="B112" s="618"/>
      <c r="C112" s="485"/>
      <c r="D112" s="561"/>
      <c r="E112" s="3330" t="str">
        <f t="shared" si="10"/>
        <v/>
      </c>
      <c r="F112" s="3467"/>
      <c r="G112" s="1560" t="s">
        <v>1022</v>
      </c>
      <c r="H112" s="600" t="str">
        <f>IF(H92=EUconst_NA,EUconst_NA,IF(AND(ISNUMBER(D_Emissions!H$35),H92&lt;&gt;""),H92/D_Emissions!H$35*100,""))</f>
        <v/>
      </c>
      <c r="I112" s="1566" t="str">
        <f>IF(I92=EUconst_NA,EUconst_NA,IF(AND(ISNUMBER(D_Emissions!I$35),I92&lt;&gt;""),I92/D_Emissions!I$35*100,""))</f>
        <v/>
      </c>
      <c r="J112" s="1491" t="str">
        <f>IF(J92=EUconst_NA,EUconst_NA,IF(AND(ISNUMBER(D_Emissions!J$35),J92&lt;&gt;""),J92/D_Emissions!J$35*100,""))</f>
        <v/>
      </c>
      <c r="K112" s="1492" t="str">
        <f>IF(K92=EUconst_NA,EUconst_NA,IF(AND(ISNUMBER(D_Emissions!K$35),K92&lt;&gt;""),K92/D_Emissions!K$35*100,""))</f>
        <v/>
      </c>
      <c r="L112" s="1492" t="str">
        <f>IF(L92=EUconst_NA,EUconst_NA,IF(AND(ISNUMBER(D_Emissions!L$35),L92&lt;&gt;""),L92/D_Emissions!L$35*100,""))</f>
        <v/>
      </c>
      <c r="M112" s="1492" t="str">
        <f>IF(M92=EUconst_NA,EUconst_NA,IF(AND(ISNUMBER(D_Emissions!M$35),M92&lt;&gt;""),M92/D_Emissions!M$35*100,""))</f>
        <v/>
      </c>
      <c r="N112" s="1492" t="str">
        <f>IF(N92=EUconst_NA,EUconst_NA,IF(AND(ISNUMBER(D_Emissions!N$35),N92&lt;&gt;""),N92/D_Emissions!N$35*100,""))</f>
        <v/>
      </c>
      <c r="O112" s="485"/>
      <c r="P112" s="1545"/>
      <c r="Q112" s="1137"/>
      <c r="R112" s="1137"/>
      <c r="S112" s="1137"/>
      <c r="T112" s="1137"/>
      <c r="U112" s="1137"/>
      <c r="V112" s="1137"/>
    </row>
    <row r="113" spans="1:22" s="562" customFormat="1">
      <c r="A113" s="817"/>
      <c r="B113" s="618"/>
      <c r="C113" s="485"/>
      <c r="D113" s="561"/>
      <c r="E113" s="3362" t="str">
        <f t="shared" si="10"/>
        <v/>
      </c>
      <c r="F113" s="3189"/>
      <c r="G113" s="2086" t="s">
        <v>1022</v>
      </c>
      <c r="H113" s="603" t="str">
        <f>IF(H93=EUconst_NA,EUconst_NA,IF(AND(ISNUMBER(D_Emissions!H$35),H93&lt;&gt;""),H93/D_Emissions!H$35*100,""))</f>
        <v/>
      </c>
      <c r="I113" s="2087" t="str">
        <f>IF(I93=EUconst_NA,EUconst_NA,IF(AND(ISNUMBER(D_Emissions!I$35),I93&lt;&gt;""),I93/D_Emissions!I$35*100,""))</f>
        <v/>
      </c>
      <c r="J113" s="1491" t="str">
        <f>IF(J93=EUconst_NA,EUconst_NA,IF(AND(ISNUMBER(D_Emissions!J$35),J93&lt;&gt;""),J93/D_Emissions!J$35*100,""))</f>
        <v/>
      </c>
      <c r="K113" s="1492" t="str">
        <f>IF(K93=EUconst_NA,EUconst_NA,IF(AND(ISNUMBER(D_Emissions!K$35),K93&lt;&gt;""),K93/D_Emissions!K$35*100,""))</f>
        <v/>
      </c>
      <c r="L113" s="1492" t="str">
        <f>IF(L93=EUconst_NA,EUconst_NA,IF(AND(ISNUMBER(D_Emissions!L$35),L93&lt;&gt;""),L93/D_Emissions!L$35*100,""))</f>
        <v/>
      </c>
      <c r="M113" s="1492" t="str">
        <f>IF(M93=EUconst_NA,EUconst_NA,IF(AND(ISNUMBER(D_Emissions!M$35),M93&lt;&gt;""),M93/D_Emissions!M$35*100,""))</f>
        <v/>
      </c>
      <c r="N113" s="1492" t="str">
        <f>IF(N93=EUconst_NA,EUconst_NA,IF(AND(ISNUMBER(D_Emissions!N$35),N93&lt;&gt;""),N93/D_Emissions!N$35*100,""))</f>
        <v/>
      </c>
      <c r="O113" s="618"/>
      <c r="P113" s="1137"/>
      <c r="Q113" s="1137"/>
      <c r="R113" s="1137"/>
      <c r="S113" s="1137"/>
      <c r="T113" s="1137"/>
      <c r="U113" s="1137"/>
      <c r="V113" s="1137"/>
    </row>
    <row r="114" spans="1:22" s="562" customFormat="1">
      <c r="A114" s="817"/>
      <c r="B114" s="618"/>
      <c r="C114" s="485"/>
      <c r="D114" s="561"/>
      <c r="E114" s="3362" t="str">
        <f t="shared" si="10"/>
        <v/>
      </c>
      <c r="F114" s="3189"/>
      <c r="G114" s="2086" t="s">
        <v>1022</v>
      </c>
      <c r="H114" s="603" t="str">
        <f>IF(H94=EUconst_NA,EUconst_NA,IF(AND(ISNUMBER(D_Emissions!H$35),H94&lt;&gt;""),H94/D_Emissions!H$35*100,""))</f>
        <v/>
      </c>
      <c r="I114" s="2087" t="str">
        <f>IF(I94=EUconst_NA,EUconst_NA,IF(AND(ISNUMBER(D_Emissions!I$35),I94&lt;&gt;""),I94/D_Emissions!I$35*100,""))</f>
        <v/>
      </c>
      <c r="J114" s="1491" t="str">
        <f>IF(J94=EUconst_NA,EUconst_NA,IF(AND(ISNUMBER(D_Emissions!J$35),J94&lt;&gt;""),J94/D_Emissions!J$35*100,""))</f>
        <v/>
      </c>
      <c r="K114" s="1492" t="str">
        <f>IF(K94=EUconst_NA,EUconst_NA,IF(AND(ISNUMBER(D_Emissions!K$35),K94&lt;&gt;""),K94/D_Emissions!K$35*100,""))</f>
        <v/>
      </c>
      <c r="L114" s="1492" t="str">
        <f>IF(L94=EUconst_NA,EUconst_NA,IF(AND(ISNUMBER(D_Emissions!L$35),L94&lt;&gt;""),L94/D_Emissions!L$35*100,""))</f>
        <v/>
      </c>
      <c r="M114" s="1492" t="str">
        <f>IF(M94=EUconst_NA,EUconst_NA,IF(AND(ISNUMBER(D_Emissions!M$35),M94&lt;&gt;""),M94/D_Emissions!M$35*100,""))</f>
        <v/>
      </c>
      <c r="N114" s="1492" t="str">
        <f>IF(N94=EUconst_NA,EUconst_NA,IF(AND(ISNUMBER(D_Emissions!N$35),N94&lt;&gt;""),N94/D_Emissions!N$35*100,""))</f>
        <v/>
      </c>
      <c r="O114" s="618"/>
      <c r="P114" s="1137"/>
      <c r="Q114" s="1137"/>
      <c r="R114" s="1137"/>
      <c r="S114" s="1137"/>
      <c r="T114" s="1137"/>
      <c r="U114" s="1137"/>
      <c r="V114" s="1137"/>
    </row>
    <row r="115" spans="1:22" s="562" customFormat="1">
      <c r="A115" s="817"/>
      <c r="B115" s="618"/>
      <c r="C115" s="485"/>
      <c r="D115" s="561"/>
      <c r="E115" s="3362" t="str">
        <f t="shared" si="10"/>
        <v/>
      </c>
      <c r="F115" s="3189"/>
      <c r="G115" s="2086" t="s">
        <v>1022</v>
      </c>
      <c r="H115" s="603" t="str">
        <f>IF(H95=EUconst_NA,EUconst_NA,IF(AND(ISNUMBER(D_Emissions!H$35),H95&lt;&gt;""),H95/D_Emissions!H$35*100,""))</f>
        <v/>
      </c>
      <c r="I115" s="2087" t="str">
        <f>IF(I95=EUconst_NA,EUconst_NA,IF(AND(ISNUMBER(D_Emissions!I$35),I95&lt;&gt;""),I95/D_Emissions!I$35*100,""))</f>
        <v/>
      </c>
      <c r="J115" s="1491" t="str">
        <f>IF(J95=EUconst_NA,EUconst_NA,IF(AND(ISNUMBER(D_Emissions!J$35),J95&lt;&gt;""),J95/D_Emissions!J$35*100,""))</f>
        <v/>
      </c>
      <c r="K115" s="1492" t="str">
        <f>IF(K95=EUconst_NA,EUconst_NA,IF(AND(ISNUMBER(D_Emissions!K$35),K95&lt;&gt;""),K95/D_Emissions!K$35*100,""))</f>
        <v/>
      </c>
      <c r="L115" s="1492" t="str">
        <f>IF(L95=EUconst_NA,EUconst_NA,IF(AND(ISNUMBER(D_Emissions!L$35),L95&lt;&gt;""),L95/D_Emissions!L$35*100,""))</f>
        <v/>
      </c>
      <c r="M115" s="1492" t="str">
        <f>IF(M95=EUconst_NA,EUconst_NA,IF(AND(ISNUMBER(D_Emissions!M$35),M95&lt;&gt;""),M95/D_Emissions!M$35*100,""))</f>
        <v/>
      </c>
      <c r="N115" s="1492" t="str">
        <f>IF(N95=EUconst_NA,EUconst_NA,IF(AND(ISNUMBER(D_Emissions!N$35),N95&lt;&gt;""),N95/D_Emissions!N$35*100,""))</f>
        <v/>
      </c>
      <c r="O115" s="618"/>
      <c r="P115" s="1137"/>
      <c r="Q115" s="1137"/>
      <c r="R115" s="1137"/>
      <c r="S115" s="1137"/>
      <c r="T115" s="1137"/>
      <c r="U115" s="1137"/>
      <c r="V115" s="1137"/>
    </row>
    <row r="116" spans="1:22" s="562" customFormat="1">
      <c r="A116" s="817"/>
      <c r="B116" s="618"/>
      <c r="C116" s="485"/>
      <c r="D116" s="561"/>
      <c r="E116" s="3362" t="str">
        <f t="shared" si="10"/>
        <v/>
      </c>
      <c r="F116" s="3189"/>
      <c r="G116" s="2086" t="s">
        <v>1022</v>
      </c>
      <c r="H116" s="603" t="str">
        <f>IF(H96=EUconst_NA,EUconst_NA,IF(AND(ISNUMBER(D_Emissions!H$35),H96&lt;&gt;""),H96/D_Emissions!H$35*100,""))</f>
        <v/>
      </c>
      <c r="I116" s="2087" t="str">
        <f>IF(I96=EUconst_NA,EUconst_NA,IF(AND(ISNUMBER(D_Emissions!I$35),I96&lt;&gt;""),I96/D_Emissions!I$35*100,""))</f>
        <v/>
      </c>
      <c r="J116" s="1491" t="str">
        <f>IF(J96=EUconst_NA,EUconst_NA,IF(AND(ISNUMBER(D_Emissions!J$35),J96&lt;&gt;""),J96/D_Emissions!J$35*100,""))</f>
        <v/>
      </c>
      <c r="K116" s="1492" t="str">
        <f>IF(K96=EUconst_NA,EUconst_NA,IF(AND(ISNUMBER(D_Emissions!K$35),K96&lt;&gt;""),K96/D_Emissions!K$35*100,""))</f>
        <v/>
      </c>
      <c r="L116" s="1492" t="str">
        <f>IF(L96=EUconst_NA,EUconst_NA,IF(AND(ISNUMBER(D_Emissions!L$35),L96&lt;&gt;""),L96/D_Emissions!L$35*100,""))</f>
        <v/>
      </c>
      <c r="M116" s="1492" t="str">
        <f>IF(M96=EUconst_NA,EUconst_NA,IF(AND(ISNUMBER(D_Emissions!M$35),M96&lt;&gt;""),M96/D_Emissions!M$35*100,""))</f>
        <v/>
      </c>
      <c r="N116" s="1492" t="str">
        <f>IF(N96=EUconst_NA,EUconst_NA,IF(AND(ISNUMBER(D_Emissions!N$35),N96&lt;&gt;""),N96/D_Emissions!N$35*100,""))</f>
        <v/>
      </c>
      <c r="O116" s="618"/>
      <c r="P116" s="1137"/>
      <c r="Q116" s="1137"/>
      <c r="R116" s="1137"/>
      <c r="S116" s="1137"/>
      <c r="T116" s="1137"/>
      <c r="U116" s="1137"/>
      <c r="V116" s="1137"/>
    </row>
    <row r="117" spans="1:22" s="562" customFormat="1">
      <c r="A117" s="817"/>
      <c r="B117" s="618"/>
      <c r="C117" s="485"/>
      <c r="D117" s="561"/>
      <c r="E117" s="3362" t="str">
        <f t="shared" si="10"/>
        <v/>
      </c>
      <c r="F117" s="3189"/>
      <c r="G117" s="2086" t="s">
        <v>1022</v>
      </c>
      <c r="H117" s="603" t="str">
        <f>IF(H97=EUconst_NA,EUconst_NA,IF(AND(ISNUMBER(D_Emissions!H$35),H97&lt;&gt;""),H97/D_Emissions!H$35*100,""))</f>
        <v/>
      </c>
      <c r="I117" s="2087" t="str">
        <f>IF(I97=EUconst_NA,EUconst_NA,IF(AND(ISNUMBER(D_Emissions!I$35),I97&lt;&gt;""),I97/D_Emissions!I$35*100,""))</f>
        <v/>
      </c>
      <c r="J117" s="1491" t="str">
        <f>IF(J97=EUconst_NA,EUconst_NA,IF(AND(ISNUMBER(D_Emissions!J$35),J97&lt;&gt;""),J97/D_Emissions!J$35*100,""))</f>
        <v/>
      </c>
      <c r="K117" s="1492" t="str">
        <f>IF(K97=EUconst_NA,EUconst_NA,IF(AND(ISNUMBER(D_Emissions!K$35),K97&lt;&gt;""),K97/D_Emissions!K$35*100,""))</f>
        <v/>
      </c>
      <c r="L117" s="1492" t="str">
        <f>IF(L97=EUconst_NA,EUconst_NA,IF(AND(ISNUMBER(D_Emissions!L$35),L97&lt;&gt;""),L97/D_Emissions!L$35*100,""))</f>
        <v/>
      </c>
      <c r="M117" s="1492" t="str">
        <f>IF(M97=EUconst_NA,EUconst_NA,IF(AND(ISNUMBER(D_Emissions!M$35),M97&lt;&gt;""),M97/D_Emissions!M$35*100,""))</f>
        <v/>
      </c>
      <c r="N117" s="1492" t="str">
        <f>IF(N97=EUconst_NA,EUconst_NA,IF(AND(ISNUMBER(D_Emissions!N$35),N97&lt;&gt;""),N97/D_Emissions!N$35*100,""))</f>
        <v/>
      </c>
      <c r="O117" s="618"/>
      <c r="P117" s="1137"/>
      <c r="Q117" s="1137"/>
      <c r="R117" s="1137"/>
      <c r="S117" s="1137"/>
      <c r="T117" s="1137"/>
      <c r="U117" s="1137"/>
      <c r="V117" s="1137"/>
    </row>
    <row r="118" spans="1:22" s="562" customFormat="1">
      <c r="A118" s="817"/>
      <c r="B118" s="618"/>
      <c r="C118" s="485"/>
      <c r="D118" s="561"/>
      <c r="E118" s="3362" t="str">
        <f t="shared" si="10"/>
        <v/>
      </c>
      <c r="F118" s="3189"/>
      <c r="G118" s="2086" t="s">
        <v>1022</v>
      </c>
      <c r="H118" s="603" t="str">
        <f>IF(H98=EUconst_NA,EUconst_NA,IF(AND(ISNUMBER(D_Emissions!H$35),H98&lt;&gt;""),H98/D_Emissions!H$35*100,""))</f>
        <v/>
      </c>
      <c r="I118" s="2087" t="str">
        <f>IF(I98=EUconst_NA,EUconst_NA,IF(AND(ISNUMBER(D_Emissions!I$35),I98&lt;&gt;""),I98/D_Emissions!I$35*100,""))</f>
        <v/>
      </c>
      <c r="J118" s="1491" t="str">
        <f>IF(J98=EUconst_NA,EUconst_NA,IF(AND(ISNUMBER(D_Emissions!J$35),J98&lt;&gt;""),J98/D_Emissions!J$35*100,""))</f>
        <v/>
      </c>
      <c r="K118" s="1492" t="str">
        <f>IF(K98=EUconst_NA,EUconst_NA,IF(AND(ISNUMBER(D_Emissions!K$35),K98&lt;&gt;""),K98/D_Emissions!K$35*100,""))</f>
        <v/>
      </c>
      <c r="L118" s="1492" t="str">
        <f>IF(L98=EUconst_NA,EUconst_NA,IF(AND(ISNUMBER(D_Emissions!L$35),L98&lt;&gt;""),L98/D_Emissions!L$35*100,""))</f>
        <v/>
      </c>
      <c r="M118" s="1492" t="str">
        <f>IF(M98=EUconst_NA,EUconst_NA,IF(AND(ISNUMBER(D_Emissions!M$35),M98&lt;&gt;""),M98/D_Emissions!M$35*100,""))</f>
        <v/>
      </c>
      <c r="N118" s="1492" t="str">
        <f>IF(N98=EUconst_NA,EUconst_NA,IF(AND(ISNUMBER(D_Emissions!N$35),N98&lt;&gt;""),N98/D_Emissions!N$35*100,""))</f>
        <v/>
      </c>
      <c r="O118" s="618"/>
      <c r="P118" s="1137"/>
      <c r="Q118" s="1137"/>
      <c r="R118" s="1137"/>
      <c r="S118" s="1137"/>
      <c r="T118" s="1137"/>
      <c r="U118" s="1137"/>
      <c r="V118" s="1137"/>
    </row>
    <row r="119" spans="1:22" s="562" customFormat="1">
      <c r="A119" s="817"/>
      <c r="B119" s="618"/>
      <c r="C119" s="485"/>
      <c r="D119" s="561"/>
      <c r="E119" s="3362" t="str">
        <f t="shared" si="10"/>
        <v/>
      </c>
      <c r="F119" s="3189"/>
      <c r="G119" s="2086" t="s">
        <v>1022</v>
      </c>
      <c r="H119" s="603" t="str">
        <f>IF(H99=EUconst_NA,EUconst_NA,IF(AND(ISNUMBER(D_Emissions!H$35),H99&lt;&gt;""),H99/D_Emissions!H$35*100,""))</f>
        <v/>
      </c>
      <c r="I119" s="2087" t="str">
        <f>IF(I99=EUconst_NA,EUconst_NA,IF(AND(ISNUMBER(D_Emissions!I$35),I99&lt;&gt;""),I99/D_Emissions!I$35*100,""))</f>
        <v/>
      </c>
      <c r="J119" s="1491" t="str">
        <f>IF(J99=EUconst_NA,EUconst_NA,IF(AND(ISNUMBER(D_Emissions!J$35),J99&lt;&gt;""),J99/D_Emissions!J$35*100,""))</f>
        <v/>
      </c>
      <c r="K119" s="1492" t="str">
        <f>IF(K99=EUconst_NA,EUconst_NA,IF(AND(ISNUMBER(D_Emissions!K$35),K99&lt;&gt;""),K99/D_Emissions!K$35*100,""))</f>
        <v/>
      </c>
      <c r="L119" s="1492" t="str">
        <f>IF(L99=EUconst_NA,EUconst_NA,IF(AND(ISNUMBER(D_Emissions!L$35),L99&lt;&gt;""),L99/D_Emissions!L$35*100,""))</f>
        <v/>
      </c>
      <c r="M119" s="1492" t="str">
        <f>IF(M99=EUconst_NA,EUconst_NA,IF(AND(ISNUMBER(D_Emissions!M$35),M99&lt;&gt;""),M99/D_Emissions!M$35*100,""))</f>
        <v/>
      </c>
      <c r="N119" s="1492" t="str">
        <f>IF(N99=EUconst_NA,EUconst_NA,IF(AND(ISNUMBER(D_Emissions!N$35),N99&lt;&gt;""),N99/D_Emissions!N$35*100,""))</f>
        <v/>
      </c>
      <c r="O119" s="618"/>
      <c r="P119" s="1137"/>
      <c r="Q119" s="1137"/>
      <c r="R119" s="1137"/>
      <c r="S119" s="1137"/>
      <c r="T119" s="1137"/>
      <c r="U119" s="1137"/>
      <c r="V119" s="1137"/>
    </row>
    <row r="120" spans="1:22" s="562" customFormat="1">
      <c r="A120" s="817"/>
      <c r="B120" s="618"/>
      <c r="C120" s="485"/>
      <c r="D120" s="561"/>
      <c r="E120" s="3362" t="str">
        <f t="shared" si="10"/>
        <v/>
      </c>
      <c r="F120" s="3189"/>
      <c r="G120" s="2086" t="s">
        <v>1022</v>
      </c>
      <c r="H120" s="603" t="str">
        <f>IF(H100=EUconst_NA,EUconst_NA,IF(AND(ISNUMBER(D_Emissions!H$35),H100&lt;&gt;""),H100/D_Emissions!H$35*100,""))</f>
        <v/>
      </c>
      <c r="I120" s="2087" t="str">
        <f>IF(I100=EUconst_NA,EUconst_NA,IF(AND(ISNUMBER(D_Emissions!I$35),I100&lt;&gt;""),I100/D_Emissions!I$35*100,""))</f>
        <v/>
      </c>
      <c r="J120" s="1491" t="str">
        <f>IF(J100=EUconst_NA,EUconst_NA,IF(AND(ISNUMBER(D_Emissions!J$35),J100&lt;&gt;""),J100/D_Emissions!J$35*100,""))</f>
        <v/>
      </c>
      <c r="K120" s="1492" t="str">
        <f>IF(K100=EUconst_NA,EUconst_NA,IF(AND(ISNUMBER(D_Emissions!K$35),K100&lt;&gt;""),K100/D_Emissions!K$35*100,""))</f>
        <v/>
      </c>
      <c r="L120" s="1492" t="str">
        <f>IF(L100=EUconst_NA,EUconst_NA,IF(AND(ISNUMBER(D_Emissions!L$35),L100&lt;&gt;""),L100/D_Emissions!L$35*100,""))</f>
        <v/>
      </c>
      <c r="M120" s="1492" t="str">
        <f>IF(M100=EUconst_NA,EUconst_NA,IF(AND(ISNUMBER(D_Emissions!M$35),M100&lt;&gt;""),M100/D_Emissions!M$35*100,""))</f>
        <v/>
      </c>
      <c r="N120" s="1492" t="str">
        <f>IF(N100=EUconst_NA,EUconst_NA,IF(AND(ISNUMBER(D_Emissions!N$35),N100&lt;&gt;""),N100/D_Emissions!N$35*100,""))</f>
        <v/>
      </c>
      <c r="O120" s="618"/>
      <c r="P120" s="1137"/>
      <c r="Q120" s="1137"/>
      <c r="R120" s="1137"/>
      <c r="S120" s="1137"/>
      <c r="T120" s="1137"/>
      <c r="U120" s="1137"/>
      <c r="V120" s="1137"/>
    </row>
    <row r="121" spans="1:22" s="562" customFormat="1">
      <c r="A121" s="817"/>
      <c r="B121" s="618"/>
      <c r="C121" s="485"/>
      <c r="D121" s="561"/>
      <c r="E121" s="3332" t="str">
        <f t="shared" si="10"/>
        <v/>
      </c>
      <c r="F121" s="3466"/>
      <c r="G121" s="1563" t="s">
        <v>1022</v>
      </c>
      <c r="H121" s="605" t="str">
        <f>IF(H101=EUconst_NA,EUconst_NA,IF(AND(ISNUMBER(D_Emissions!H$35),H101&lt;&gt;""),H101/D_Emissions!H$35*100,""))</f>
        <v/>
      </c>
      <c r="I121" s="973" t="str">
        <f>IF(I101=EUconst_NA,EUconst_NA,IF(AND(ISNUMBER(D_Emissions!I$35),I101&lt;&gt;""),I101/D_Emissions!I$35*100,""))</f>
        <v/>
      </c>
      <c r="J121" s="1491" t="str">
        <f>IF(J101=EUconst_NA,EUconst_NA,IF(AND(ISNUMBER(D_Emissions!J$35),J101&lt;&gt;""),J101/D_Emissions!J$35*100,""))</f>
        <v/>
      </c>
      <c r="K121" s="1492" t="str">
        <f>IF(K101=EUconst_NA,EUconst_NA,IF(AND(ISNUMBER(D_Emissions!K$35),K101&lt;&gt;""),K101/D_Emissions!K$35*100,""))</f>
        <v/>
      </c>
      <c r="L121" s="1492" t="str">
        <f>IF(L101=EUconst_NA,EUconst_NA,IF(AND(ISNUMBER(D_Emissions!L$35),L101&lt;&gt;""),L101/D_Emissions!L$35*100,""))</f>
        <v/>
      </c>
      <c r="M121" s="1492" t="str">
        <f>IF(M101=EUconst_NA,EUconst_NA,IF(AND(ISNUMBER(D_Emissions!M$35),M101&lt;&gt;""),M101/D_Emissions!M$35*100,""))</f>
        <v/>
      </c>
      <c r="N121" s="1492" t="str">
        <f>IF(N101=EUconst_NA,EUconst_NA,IF(AND(ISNUMBER(D_Emissions!N$35),N101&lt;&gt;""),N101/D_Emissions!N$35*100,""))</f>
        <v/>
      </c>
      <c r="O121" s="618"/>
      <c r="P121" s="1137"/>
      <c r="Q121" s="1137"/>
      <c r="R121" s="1137"/>
      <c r="S121" s="1137"/>
      <c r="T121" s="1137"/>
      <c r="U121" s="1137"/>
      <c r="V121" s="1137"/>
    </row>
    <row r="122" spans="1:22" s="562" customFormat="1" ht="12.75" customHeight="1">
      <c r="A122" s="817"/>
      <c r="B122" s="618"/>
      <c r="C122" s="485"/>
      <c r="D122" s="561"/>
      <c r="E122" s="2606" t="str">
        <f t="shared" si="10"/>
        <v>Heat benchmark sub-installation, CL</v>
      </c>
      <c r="F122" s="3467"/>
      <c r="G122" s="2086" t="s">
        <v>1022</v>
      </c>
      <c r="H122" s="603" t="str">
        <f>IF(H102=EUconst_NA,EUconst_NA,IF(AND(ISNUMBER(D_Emissions!H$35),H102&lt;&gt;""),H102/D_Emissions!H$35*100,""))</f>
        <v/>
      </c>
      <c r="I122" s="2087" t="str">
        <f>IF(I102=EUconst_NA,EUconst_NA,IF(AND(ISNUMBER(D_Emissions!I$35),I102&lt;&gt;""),I102/D_Emissions!I$35*100,""))</f>
        <v/>
      </c>
      <c r="J122" s="1491" t="str">
        <f>IF(J102=EUconst_NA,EUconst_NA,IF(AND(ISNUMBER(D_Emissions!J$35),J102&lt;&gt;""),J102/D_Emissions!J$35*100,""))</f>
        <v/>
      </c>
      <c r="K122" s="1492" t="str">
        <f>IF(K102=EUconst_NA,EUconst_NA,IF(AND(ISNUMBER(D_Emissions!K$35),K102&lt;&gt;""),K102/D_Emissions!K$35*100,""))</f>
        <v/>
      </c>
      <c r="L122" s="1492" t="str">
        <f>IF(L102=EUconst_NA,EUconst_NA,IF(AND(ISNUMBER(D_Emissions!L$35),L102&lt;&gt;""),L102/D_Emissions!L$35*100,""))</f>
        <v/>
      </c>
      <c r="M122" s="1492" t="str">
        <f>IF(M102=EUconst_NA,EUconst_NA,IF(AND(ISNUMBER(D_Emissions!M$35),M102&lt;&gt;""),M102/D_Emissions!M$35*100,""))</f>
        <v/>
      </c>
      <c r="N122" s="1492" t="str">
        <f>IF(N102=EUconst_NA,EUconst_NA,IF(AND(ISNUMBER(D_Emissions!N$35),N102&lt;&gt;""),N102/D_Emissions!N$35*100,""))</f>
        <v/>
      </c>
      <c r="O122" s="618"/>
      <c r="P122" s="1137"/>
      <c r="Q122" s="1137"/>
      <c r="R122" s="1137"/>
      <c r="S122" s="1137"/>
      <c r="T122" s="1137"/>
      <c r="U122" s="1137"/>
      <c r="V122" s="1137"/>
    </row>
    <row r="123" spans="1:22" s="562" customFormat="1" ht="12.75" customHeight="1">
      <c r="A123" s="817"/>
      <c r="B123" s="618"/>
      <c r="C123" s="485"/>
      <c r="D123" s="561"/>
      <c r="E123" s="2609" t="str">
        <f t="shared" si="10"/>
        <v>Heat benchmark sub-installation, non-CL</v>
      </c>
      <c r="F123" s="3189"/>
      <c r="G123" s="1562" t="s">
        <v>1022</v>
      </c>
      <c r="H123" s="607" t="str">
        <f>IF(H103=EUconst_NA,EUconst_NA,IF(AND(ISNUMBER(D_Emissions!H$35),H103&lt;&gt;""),H103/D_Emissions!H$35*100,""))</f>
        <v/>
      </c>
      <c r="I123" s="2090" t="str">
        <f>IF(I103=EUconst_NA,EUconst_NA,IF(AND(ISNUMBER(D_Emissions!I$35),I103&lt;&gt;""),I103/D_Emissions!I$35*100,""))</f>
        <v/>
      </c>
      <c r="J123" s="1491" t="str">
        <f>IF(J103=EUconst_NA,EUconst_NA,IF(AND(ISNUMBER(D_Emissions!J$35),J103&lt;&gt;""),J103/D_Emissions!J$35*100,""))</f>
        <v/>
      </c>
      <c r="K123" s="1492" t="str">
        <f>IF(K103=EUconst_NA,EUconst_NA,IF(AND(ISNUMBER(D_Emissions!K$35),K103&lt;&gt;""),K103/D_Emissions!K$35*100,""))</f>
        <v/>
      </c>
      <c r="L123" s="1492" t="str">
        <f>IF(L103=EUconst_NA,EUconst_NA,IF(AND(ISNUMBER(D_Emissions!L$35),L103&lt;&gt;""),L103/D_Emissions!L$35*100,""))</f>
        <v/>
      </c>
      <c r="M123" s="1492" t="str">
        <f>IF(M103=EUconst_NA,EUconst_NA,IF(AND(ISNUMBER(D_Emissions!M$35),M103&lt;&gt;""),M103/D_Emissions!M$35*100,""))</f>
        <v/>
      </c>
      <c r="N123" s="1492" t="str">
        <f>IF(N103=EUconst_NA,EUconst_NA,IF(AND(ISNUMBER(D_Emissions!N$35),N103&lt;&gt;""),N103/D_Emissions!N$35*100,""))</f>
        <v/>
      </c>
      <c r="O123" s="618"/>
      <c r="P123" s="1137"/>
      <c r="Q123" s="1137"/>
      <c r="R123" s="1137"/>
      <c r="S123" s="1137"/>
      <c r="T123" s="1137"/>
      <c r="U123" s="1137"/>
      <c r="V123" s="1137"/>
    </row>
    <row r="124" spans="1:22" s="562" customFormat="1" ht="12.75" customHeight="1">
      <c r="A124" s="817"/>
      <c r="B124" s="618"/>
      <c r="C124" s="485"/>
      <c r="D124" s="561"/>
      <c r="E124" s="2609" t="str">
        <f t="shared" si="10"/>
        <v>District heating sub-installation</v>
      </c>
      <c r="F124" s="3189"/>
      <c r="G124" s="1562" t="s">
        <v>1022</v>
      </c>
      <c r="H124" s="607" t="str">
        <f>IF(H104=EUconst_NA,EUconst_NA,IF(AND(ISNUMBER(D_Emissions!H$35),H104&lt;&gt;""),H104/D_Emissions!H$35*100,""))</f>
        <v/>
      </c>
      <c r="I124" s="2090" t="str">
        <f>IF(I104=EUconst_NA,EUconst_NA,IF(AND(ISNUMBER(D_Emissions!I$35),I104&lt;&gt;""),I104/D_Emissions!I$35*100,""))</f>
        <v/>
      </c>
      <c r="J124" s="1491" t="str">
        <f>IF(J104=EUconst_NA,EUconst_NA,IF(AND(ISNUMBER(D_Emissions!J$35),J104&lt;&gt;""),J104/D_Emissions!J$35*100,""))</f>
        <v/>
      </c>
      <c r="K124" s="1492" t="str">
        <f>IF(K104=EUconst_NA,EUconst_NA,IF(AND(ISNUMBER(D_Emissions!K$35),K104&lt;&gt;""),K104/D_Emissions!K$35*100,""))</f>
        <v/>
      </c>
      <c r="L124" s="1492" t="str">
        <f>IF(L104=EUconst_NA,EUconst_NA,IF(AND(ISNUMBER(D_Emissions!L$35),L104&lt;&gt;""),L104/D_Emissions!L$35*100,""))</f>
        <v/>
      </c>
      <c r="M124" s="1492" t="str">
        <f>IF(M104=EUconst_NA,EUconst_NA,IF(AND(ISNUMBER(D_Emissions!M$35),M104&lt;&gt;""),M104/D_Emissions!M$35*100,""))</f>
        <v/>
      </c>
      <c r="N124" s="1492" t="str">
        <f>IF(N104=EUconst_NA,EUconst_NA,IF(AND(ISNUMBER(D_Emissions!N$35),N104&lt;&gt;""),N104/D_Emissions!N$35*100,""))</f>
        <v/>
      </c>
      <c r="O124" s="618"/>
      <c r="P124" s="1137"/>
      <c r="Q124" s="1137"/>
      <c r="R124" s="1137"/>
      <c r="S124" s="1137"/>
      <c r="T124" s="1137"/>
      <c r="U124" s="1137"/>
      <c r="V124" s="1137"/>
    </row>
    <row r="125" spans="1:22" s="562" customFormat="1" ht="12.75" customHeight="1">
      <c r="A125" s="817"/>
      <c r="B125" s="618"/>
      <c r="C125" s="485"/>
      <c r="D125" s="561"/>
      <c r="E125" s="2609" t="str">
        <f t="shared" si="10"/>
        <v>Fuel benchmark sub-installation, CL</v>
      </c>
      <c r="F125" s="3189"/>
      <c r="G125" s="1562" t="s">
        <v>1022</v>
      </c>
      <c r="H125" s="609" t="str">
        <f>IF(H105=EUconst_NA,EUconst_NA,IF(AND(ISNUMBER(D_Emissions!H$35),H105&lt;&gt;""),H105/D_Emissions!H$35*100,""))</f>
        <v/>
      </c>
      <c r="I125" s="2091" t="str">
        <f>IF(I105=EUconst_NA,EUconst_NA,IF(AND(ISNUMBER(D_Emissions!I$35),I105&lt;&gt;""),I105/D_Emissions!I$35*100,""))</f>
        <v/>
      </c>
      <c r="J125" s="1491" t="str">
        <f>IF(J105=EUconst_NA,EUconst_NA,IF(AND(ISNUMBER(D_Emissions!J$35),J105&lt;&gt;""),J105/D_Emissions!J$35*100,""))</f>
        <v/>
      </c>
      <c r="K125" s="1492" t="str">
        <f>IF(K105=EUconst_NA,EUconst_NA,IF(AND(ISNUMBER(D_Emissions!K$35),K105&lt;&gt;""),K105/D_Emissions!K$35*100,""))</f>
        <v/>
      </c>
      <c r="L125" s="1492" t="str">
        <f>IF(L105=EUconst_NA,EUconst_NA,IF(AND(ISNUMBER(D_Emissions!L$35),L105&lt;&gt;""),L105/D_Emissions!L$35*100,""))</f>
        <v/>
      </c>
      <c r="M125" s="1492" t="str">
        <f>IF(M105=EUconst_NA,EUconst_NA,IF(AND(ISNUMBER(D_Emissions!M$35),M105&lt;&gt;""),M105/D_Emissions!M$35*100,""))</f>
        <v/>
      </c>
      <c r="N125" s="1492" t="str">
        <f>IF(N105=EUconst_NA,EUconst_NA,IF(AND(ISNUMBER(D_Emissions!N$35),N105&lt;&gt;""),N105/D_Emissions!N$35*100,""))</f>
        <v/>
      </c>
      <c r="O125" s="618"/>
      <c r="P125" s="1137"/>
      <c r="Q125" s="1137"/>
      <c r="R125" s="1137"/>
      <c r="S125" s="1137"/>
      <c r="T125" s="1137"/>
      <c r="U125" s="1137"/>
      <c r="V125" s="1137"/>
    </row>
    <row r="126" spans="1:22" s="562" customFormat="1" ht="12.75" customHeight="1" thickBot="1">
      <c r="A126" s="817"/>
      <c r="B126" s="618"/>
      <c r="C126" s="485"/>
      <c r="D126" s="561"/>
      <c r="E126" s="3487" t="str">
        <f t="shared" si="10"/>
        <v>Fuel benchmark sub-installation, non-CL</v>
      </c>
      <c r="F126" s="3488"/>
      <c r="G126" s="2092" t="s">
        <v>1022</v>
      </c>
      <c r="H126" s="611" t="str">
        <f>IF(H106=EUconst_NA,EUconst_NA,IF(AND(ISNUMBER(D_Emissions!H$35),H106&lt;&gt;""),H106/D_Emissions!H$35*100,""))</f>
        <v/>
      </c>
      <c r="I126" s="2093" t="str">
        <f>IF(I106=EUconst_NA,EUconst_NA,IF(AND(ISNUMBER(D_Emissions!I$35),I106&lt;&gt;""),I106/D_Emissions!I$35*100,""))</f>
        <v/>
      </c>
      <c r="J126" s="1491" t="str">
        <f>IF(J106=EUconst_NA,EUconst_NA,IF(AND(ISNUMBER(D_Emissions!J$35),J106&lt;&gt;""),J106/D_Emissions!J$35*100,""))</f>
        <v/>
      </c>
      <c r="K126" s="1492" t="str">
        <f>IF(K106=EUconst_NA,EUconst_NA,IF(AND(ISNUMBER(D_Emissions!K$35),K106&lt;&gt;""),K106/D_Emissions!K$35*100,""))</f>
        <v/>
      </c>
      <c r="L126" s="1492" t="str">
        <f>IF(L106=EUconst_NA,EUconst_NA,IF(AND(ISNUMBER(D_Emissions!L$35),L106&lt;&gt;""),L106/D_Emissions!L$35*100,""))</f>
        <v/>
      </c>
      <c r="M126" s="1492" t="str">
        <f>IF(M106=EUconst_NA,EUconst_NA,IF(AND(ISNUMBER(D_Emissions!M$35),M106&lt;&gt;""),M106/D_Emissions!M$35*100,""))</f>
        <v/>
      </c>
      <c r="N126" s="1492" t="str">
        <f>IF(N106=EUconst_NA,EUconst_NA,IF(AND(ISNUMBER(D_Emissions!N$35),N106&lt;&gt;""),N106/D_Emissions!N$35*100,""))</f>
        <v/>
      </c>
      <c r="O126" s="618"/>
      <c r="P126" s="1137"/>
      <c r="Q126" s="1137"/>
      <c r="R126" s="1137"/>
      <c r="S126" s="1137"/>
      <c r="T126" s="1137"/>
      <c r="U126" s="1137"/>
      <c r="V126" s="1137"/>
    </row>
    <row r="127" spans="1:22" s="562" customFormat="1" ht="13.15" customHeight="1">
      <c r="A127" s="817"/>
      <c r="B127" s="618"/>
      <c r="C127" s="485"/>
      <c r="D127" s="561"/>
      <c r="E127" s="3489" t="str">
        <f t="shared" si="10"/>
        <v>Process emissions sub-installation, CL</v>
      </c>
      <c r="F127" s="3490"/>
      <c r="G127" s="2095" t="s">
        <v>1022</v>
      </c>
      <c r="H127" s="613" t="str">
        <f>IF(H107=EUconst_NA,EUconst_NA,IF(AND(ISNUMBER(D_Emissions!H$35),H107&lt;&gt;""),H107/D_Emissions!H$35*100,""))</f>
        <v/>
      </c>
      <c r="I127" s="2096" t="str">
        <f>IF(I107=EUconst_NA,EUconst_NA,IF(AND(ISNUMBER(D_Emissions!I$35),I107&lt;&gt;""),I107/D_Emissions!I$35*100,""))</f>
        <v/>
      </c>
      <c r="J127" s="1537" t="str">
        <f>IF(J107=EUconst_NA,EUconst_NA,IF(AND(ISNUMBER(D_Emissions!J$35),J107&lt;&gt;""),J107/D_Emissions!J$35*100,""))</f>
        <v/>
      </c>
      <c r="K127" s="1538" t="str">
        <f>IF(K107=EUconst_NA,EUconst_NA,IF(AND(ISNUMBER(D_Emissions!K$35),K107&lt;&gt;""),K107/D_Emissions!K$35*100,""))</f>
        <v/>
      </c>
      <c r="L127" s="1538" t="str">
        <f>IF(L107=EUconst_NA,EUconst_NA,IF(AND(ISNUMBER(D_Emissions!L$35),L107&lt;&gt;""),L107/D_Emissions!L$35*100,""))</f>
        <v/>
      </c>
      <c r="M127" s="1538" t="str">
        <f>IF(M107=EUconst_NA,EUconst_NA,IF(AND(ISNUMBER(D_Emissions!M$35),M107&lt;&gt;""),M107/D_Emissions!M$35*100,""))</f>
        <v/>
      </c>
      <c r="N127" s="1538" t="str">
        <f>IF(N107=EUconst_NA,EUconst_NA,IF(AND(ISNUMBER(D_Emissions!N$35),N107&lt;&gt;""),N107/D_Emissions!N$35*100,""))</f>
        <v/>
      </c>
      <c r="O127" s="618"/>
      <c r="P127" s="1137"/>
      <c r="Q127" s="1137"/>
      <c r="R127" s="1137"/>
      <c r="S127" s="1137"/>
      <c r="T127" s="1137"/>
      <c r="U127" s="1137"/>
      <c r="V127" s="1137"/>
    </row>
    <row r="128" spans="1:22" s="562" customFormat="1" ht="13.5" customHeight="1" thickBot="1">
      <c r="A128" s="817"/>
      <c r="B128" s="618"/>
      <c r="C128" s="485"/>
      <c r="D128" s="561"/>
      <c r="E128" s="3491" t="str">
        <f t="shared" si="10"/>
        <v>Process emissions sub-installation, non-CL</v>
      </c>
      <c r="F128" s="3488"/>
      <c r="G128" s="2097" t="s">
        <v>1022</v>
      </c>
      <c r="H128" s="615" t="str">
        <f>IF(H108=EUconst_NA,EUconst_NA,IF(AND(ISNUMBER(D_Emissions!H$35),H108&lt;&gt;""),H108/D_Emissions!H$35*100,""))</f>
        <v/>
      </c>
      <c r="I128" s="1548" t="str">
        <f>IF(I108=EUconst_NA,EUconst_NA,IF(AND(ISNUMBER(D_Emissions!I$35),I108&lt;&gt;""),I108/D_Emissions!I$35*100,""))</f>
        <v/>
      </c>
      <c r="J128" s="1537" t="str">
        <f>IF(J108=EUconst_NA,EUconst_NA,IF(AND(ISNUMBER(D_Emissions!J$35),J108&lt;&gt;""),J108/D_Emissions!J$35*100,""))</f>
        <v/>
      </c>
      <c r="K128" s="1538" t="str">
        <f>IF(K108=EUconst_NA,EUconst_NA,IF(AND(ISNUMBER(D_Emissions!K$35),K108&lt;&gt;""),K108/D_Emissions!K$35*100,""))</f>
        <v/>
      </c>
      <c r="L128" s="1538" t="str">
        <f>IF(L108=EUconst_NA,EUconst_NA,IF(AND(ISNUMBER(D_Emissions!L$35),L108&lt;&gt;""),L108/D_Emissions!L$35*100,""))</f>
        <v/>
      </c>
      <c r="M128" s="1538" t="str">
        <f>IF(M108=EUconst_NA,EUconst_NA,IF(AND(ISNUMBER(D_Emissions!M$35),M108&lt;&gt;""),M108/D_Emissions!M$35*100,""))</f>
        <v/>
      </c>
      <c r="N128" s="1538" t="str">
        <f>IF(N108=EUconst_NA,EUconst_NA,IF(AND(ISNUMBER(D_Emissions!N$35),N108&lt;&gt;""),N108/D_Emissions!N$35*100,""))</f>
        <v/>
      </c>
      <c r="O128" s="618"/>
      <c r="P128" s="1137"/>
      <c r="Q128" s="1137"/>
      <c r="R128" s="1137"/>
      <c r="S128" s="1137"/>
      <c r="T128" s="1137"/>
      <c r="U128" s="1137"/>
      <c r="V128" s="1137"/>
    </row>
    <row r="129" spans="1:22" s="562" customFormat="1" ht="13.15" customHeight="1">
      <c r="A129" s="817"/>
      <c r="B129" s="618"/>
      <c r="C129" s="485"/>
      <c r="D129" s="561"/>
      <c r="E129" s="3492" t="str">
        <f>E109</f>
        <v>Control: Other emissions</v>
      </c>
      <c r="F129" s="3493"/>
      <c r="G129" s="933" t="s">
        <v>1022</v>
      </c>
      <c r="H129" s="616" t="str">
        <f>IF(H109=EUconst_NA,EUconst_NA,IF(AND(ISNUMBER(D_Emissions!H$35),H109&lt;&gt;""),H109/D_Emissions!H$35*100,""))</f>
        <v/>
      </c>
      <c r="I129" s="1544" t="str">
        <f>IF(I109=EUconst_NA,EUconst_NA,IF(AND(ISNUMBER(D_Emissions!I$35),I109&lt;&gt;""),I109/D_Emissions!I$35*100,""))</f>
        <v/>
      </c>
      <c r="J129" s="1491" t="str">
        <f>IF(J109=EUconst_NA,EUconst_NA,IF(AND(ISNUMBER(D_Emissions!J$35),J109&lt;&gt;""),J109/D_Emissions!J$35*100,""))</f>
        <v/>
      </c>
      <c r="K129" s="1492" t="str">
        <f>IF(K109=EUconst_NA,EUconst_NA,IF(AND(ISNUMBER(D_Emissions!K$35),K109&lt;&gt;""),K109/D_Emissions!K$35*100,""))</f>
        <v/>
      </c>
      <c r="L129" s="1492" t="str">
        <f>IF(L109=EUconst_NA,EUconst_NA,IF(AND(ISNUMBER(D_Emissions!L$35),L109&lt;&gt;""),L109/D_Emissions!L$35*100,""))</f>
        <v/>
      </c>
      <c r="M129" s="1492" t="str">
        <f>IF(M109=EUconst_NA,EUconst_NA,IF(AND(ISNUMBER(D_Emissions!M$35),M109&lt;&gt;""),M109/D_Emissions!M$35*100,""))</f>
        <v/>
      </c>
      <c r="N129" s="1492" t="str">
        <f>IF(N109=EUconst_NA,EUconst_NA,IF(AND(ISNUMBER(D_Emissions!N$35),N109&lt;&gt;""),N109/D_Emissions!N$35*100,""))</f>
        <v/>
      </c>
      <c r="O129" s="618"/>
      <c r="P129" s="1137"/>
      <c r="Q129" s="1137"/>
      <c r="R129" s="1137"/>
      <c r="S129" s="1137"/>
      <c r="T129" s="1137"/>
      <c r="U129" s="1137"/>
      <c r="V129" s="1137"/>
    </row>
    <row r="130" spans="1:22" s="562" customFormat="1" ht="12.75" customHeight="1">
      <c r="A130" s="817"/>
      <c r="C130" s="485"/>
      <c r="D130" s="485"/>
      <c r="E130" s="485"/>
      <c r="F130" s="485"/>
      <c r="G130" s="485"/>
      <c r="H130" s="485"/>
      <c r="I130" s="485"/>
      <c r="J130" s="485"/>
      <c r="K130" s="485"/>
      <c r="L130" s="485"/>
      <c r="M130" s="485"/>
      <c r="N130" s="485"/>
      <c r="P130" s="1137"/>
      <c r="Q130" s="1137"/>
      <c r="R130" s="1137"/>
      <c r="S130" s="1137"/>
      <c r="T130" s="1137"/>
      <c r="U130" s="1137"/>
      <c r="V130" s="1137"/>
    </row>
    <row r="131" spans="1:22" s="562" customFormat="1" ht="14.1" customHeight="1">
      <c r="A131" s="817"/>
      <c r="C131" s="559">
        <v>3</v>
      </c>
      <c r="D131" s="2464" t="s">
        <v>1417</v>
      </c>
      <c r="E131" s="2380"/>
      <c r="F131" s="2380"/>
      <c r="G131" s="2380"/>
      <c r="H131" s="2380"/>
      <c r="I131" s="2380"/>
      <c r="J131" s="2380"/>
      <c r="K131" s="2380"/>
      <c r="L131" s="2380"/>
      <c r="M131" s="2380"/>
      <c r="N131" s="2380"/>
      <c r="P131" s="1137"/>
      <c r="Q131" s="1137"/>
      <c r="R131" s="1137"/>
      <c r="S131" s="1137"/>
      <c r="T131" s="1137"/>
      <c r="U131" s="1137"/>
      <c r="V131" s="1137"/>
    </row>
    <row r="132" spans="1:22" s="562" customFormat="1" ht="5.0999999999999996" customHeight="1">
      <c r="A132" s="817"/>
      <c r="C132" s="481"/>
      <c r="D132" s="481"/>
      <c r="E132" s="481"/>
      <c r="F132" s="481"/>
      <c r="G132" s="481"/>
      <c r="H132" s="481"/>
      <c r="I132" s="481"/>
      <c r="J132" s="481"/>
      <c r="K132" s="481"/>
      <c r="L132" s="481"/>
      <c r="M132" s="481"/>
      <c r="N132" s="481"/>
      <c r="P132" s="1137"/>
      <c r="Q132" s="1137"/>
      <c r="R132" s="1137"/>
      <c r="S132" s="1137"/>
      <c r="T132" s="1137"/>
      <c r="U132" s="1137"/>
      <c r="V132" s="1137"/>
    </row>
    <row r="133" spans="1:22" s="562" customFormat="1" ht="12.75" customHeight="1">
      <c r="A133" s="817"/>
      <c r="C133" s="481"/>
      <c r="D133" s="482" t="s">
        <v>400</v>
      </c>
      <c r="E133" s="2508" t="s">
        <v>1404</v>
      </c>
      <c r="F133" s="2380"/>
      <c r="G133" s="2380"/>
      <c r="H133" s="2380"/>
      <c r="I133" s="2380"/>
      <c r="J133" s="2380"/>
      <c r="K133" s="2380"/>
      <c r="L133" s="3465"/>
      <c r="M133" s="565" t="str">
        <f>IF(ISBLANK(D_Emissions!M45),"",D_Emissions!M45)</f>
        <v/>
      </c>
      <c r="N133" s="1134"/>
      <c r="P133" s="1137"/>
      <c r="Q133" s="1137"/>
      <c r="R133" s="1137"/>
      <c r="S133" s="1137"/>
      <c r="T133" s="1137"/>
      <c r="U133" s="1137"/>
      <c r="V133" s="1137"/>
    </row>
    <row r="134" spans="1:22" s="562" customFormat="1" ht="5.0999999999999996" customHeight="1">
      <c r="A134" s="817"/>
      <c r="C134" s="485"/>
      <c r="D134" s="485"/>
      <c r="E134" s="485"/>
      <c r="F134" s="485"/>
      <c r="G134" s="485"/>
      <c r="H134" s="485"/>
      <c r="I134" s="485"/>
      <c r="J134" s="485"/>
      <c r="K134" s="485"/>
      <c r="L134" s="485"/>
      <c r="M134" s="485"/>
      <c r="N134" s="485"/>
      <c r="P134" s="1137"/>
      <c r="Q134" s="1137"/>
      <c r="R134" s="1137"/>
      <c r="S134" s="1137"/>
      <c r="T134" s="1137"/>
      <c r="U134" s="1137"/>
      <c r="V134" s="1137"/>
    </row>
    <row r="135" spans="1:22" s="562" customFormat="1" ht="12.75" customHeight="1">
      <c r="A135" s="817"/>
      <c r="C135" s="485"/>
      <c r="D135" s="485"/>
      <c r="E135" s="2509" t="s">
        <v>1402</v>
      </c>
      <c r="F135" s="3284"/>
      <c r="G135" s="577" t="str">
        <f>D_Emissions!G56</f>
        <v>Unit</v>
      </c>
      <c r="H135" s="578">
        <f t="shared" ref="H135:N135" si="12">H$2737</f>
        <v>2024</v>
      </c>
      <c r="I135" s="697">
        <f t="shared" si="12"/>
        <v>2025</v>
      </c>
      <c r="J135" s="1489">
        <f t="shared" si="12"/>
        <v>2026</v>
      </c>
      <c r="K135" s="1490">
        <f t="shared" si="12"/>
        <v>2027</v>
      </c>
      <c r="L135" s="1490">
        <f t="shared" si="12"/>
        <v>2028</v>
      </c>
      <c r="M135" s="1490">
        <f t="shared" si="12"/>
        <v>2029</v>
      </c>
      <c r="N135" s="1490">
        <f t="shared" si="12"/>
        <v>2030</v>
      </c>
      <c r="P135" s="1137"/>
      <c r="Q135" s="1137"/>
      <c r="R135" s="1137"/>
      <c r="S135" s="1137"/>
      <c r="T135" s="1137"/>
      <c r="U135" s="1137"/>
      <c r="V135" s="1137"/>
    </row>
    <row r="136" spans="1:22" s="562" customFormat="1" ht="12.75" customHeight="1">
      <c r="A136" s="817"/>
      <c r="C136" s="485"/>
      <c r="D136" s="485"/>
      <c r="E136" s="2587" t="str">
        <f>D_Emissions!E57</f>
        <v>Fuel input into CHP</v>
      </c>
      <c r="F136" s="3461"/>
      <c r="G136" s="730" t="str">
        <f>D_Emissions!G57</f>
        <v>TJ / year</v>
      </c>
      <c r="H136" s="623" t="str">
        <f>IF(ISBLANK(D_Emissions!H57),"",D_Emissions!H57)</f>
        <v/>
      </c>
      <c r="I136" s="800" t="str">
        <f>IF(ISBLANK(D_Emissions!I57),"",D_Emissions!I57)</f>
        <v/>
      </c>
      <c r="J136" s="1788" t="str">
        <f>IF(ISBLANK(D_Emissions!J57),"",D_Emissions!J57)</f>
        <v/>
      </c>
      <c r="K136" s="1789" t="str">
        <f>IF(ISBLANK(D_Emissions!K57),"",D_Emissions!K57)</f>
        <v/>
      </c>
      <c r="L136" s="1789" t="str">
        <f>IF(ISBLANK(D_Emissions!L57),"",D_Emissions!L57)</f>
        <v/>
      </c>
      <c r="M136" s="1789" t="str">
        <f>IF(ISBLANK(D_Emissions!M57),"",D_Emissions!M57)</f>
        <v/>
      </c>
      <c r="N136" s="1789" t="str">
        <f>IF(ISBLANK(D_Emissions!N57),"",D_Emissions!N57)</f>
        <v/>
      </c>
      <c r="P136" s="1137"/>
      <c r="Q136" s="1137"/>
      <c r="R136" s="1137"/>
      <c r="S136" s="1137"/>
      <c r="T136" s="1137"/>
      <c r="U136" s="1137"/>
      <c r="V136" s="1137"/>
    </row>
    <row r="137" spans="1:22" s="562" customFormat="1" ht="12.75" customHeight="1">
      <c r="A137" s="817"/>
      <c r="C137" s="485"/>
      <c r="D137" s="485"/>
      <c r="E137" s="2606" t="str">
        <f>D_Emissions!E62</f>
        <v>Heat output from CHP</v>
      </c>
      <c r="F137" s="3467"/>
      <c r="G137" s="721" t="str">
        <f>D_Emissions!G62</f>
        <v>TJ / year</v>
      </c>
      <c r="H137" s="625" t="str">
        <f>IF(ISBLANK(D_Emissions!H62),"",D_Emissions!H62)</f>
        <v/>
      </c>
      <c r="I137" s="794" t="str">
        <f>IF(ISBLANK(D_Emissions!I62),"",D_Emissions!I62)</f>
        <v/>
      </c>
      <c r="J137" s="1788" t="str">
        <f>IF(ISBLANK(D_Emissions!J62),"",D_Emissions!J62)</f>
        <v/>
      </c>
      <c r="K137" s="1789" t="str">
        <f>IF(ISBLANK(D_Emissions!K62),"",D_Emissions!K62)</f>
        <v/>
      </c>
      <c r="L137" s="1789" t="str">
        <f>IF(ISBLANK(D_Emissions!L62),"",D_Emissions!L62)</f>
        <v/>
      </c>
      <c r="M137" s="1789" t="str">
        <f>IF(ISBLANK(D_Emissions!M62),"",D_Emissions!M62)</f>
        <v/>
      </c>
      <c r="N137" s="1789" t="str">
        <f>IF(ISBLANK(D_Emissions!N62),"",D_Emissions!N62)</f>
        <v/>
      </c>
      <c r="P137" s="1137"/>
      <c r="Q137" s="1137"/>
      <c r="R137" s="1137"/>
      <c r="S137" s="1137"/>
      <c r="T137" s="1137"/>
      <c r="U137" s="1137"/>
      <c r="V137" s="1137"/>
    </row>
    <row r="138" spans="1:22" s="562" customFormat="1" ht="12.75" customHeight="1">
      <c r="A138" s="817"/>
      <c r="C138" s="485"/>
      <c r="D138" s="485"/>
      <c r="E138" s="2586" t="str">
        <f>D_Emissions!E68</f>
        <v>Electricity output from CHP</v>
      </c>
      <c r="F138" s="3466"/>
      <c r="G138" s="728" t="str">
        <f>D_Emissions!G68</f>
        <v>TJ / year</v>
      </c>
      <c r="H138" s="627" t="str">
        <f>IF(ISBLANK(D_Emissions!H68),"",D_Emissions!H68)</f>
        <v/>
      </c>
      <c r="I138" s="796" t="str">
        <f>IF(ISBLANK(D_Emissions!I68),"",D_Emissions!I68)</f>
        <v/>
      </c>
      <c r="J138" s="1788" t="str">
        <f>IF(ISBLANK(D_Emissions!J68),"",D_Emissions!J68)</f>
        <v/>
      </c>
      <c r="K138" s="1789" t="str">
        <f>IF(ISBLANK(D_Emissions!K68),"",D_Emissions!K68)</f>
        <v/>
      </c>
      <c r="L138" s="1789" t="str">
        <f>IF(ISBLANK(D_Emissions!L68),"",D_Emissions!L68)</f>
        <v/>
      </c>
      <c r="M138" s="1789" t="str">
        <f>IF(ISBLANK(D_Emissions!M68),"",D_Emissions!M68)</f>
        <v/>
      </c>
      <c r="N138" s="1789" t="str">
        <f>IF(ISBLANK(D_Emissions!N68),"",D_Emissions!N68)</f>
        <v/>
      </c>
      <c r="P138" s="1137"/>
      <c r="Q138" s="1137"/>
      <c r="R138" s="1137"/>
      <c r="S138" s="1137"/>
      <c r="T138" s="1137"/>
      <c r="U138" s="1137"/>
      <c r="V138" s="1137"/>
    </row>
    <row r="139" spans="1:22" s="562" customFormat="1" ht="5.0999999999999996" customHeight="1">
      <c r="A139" s="817"/>
      <c r="C139" s="485"/>
      <c r="D139" s="485"/>
      <c r="E139" s="485"/>
      <c r="F139" s="485"/>
      <c r="G139" s="485"/>
      <c r="H139" s="485"/>
      <c r="I139" s="485"/>
      <c r="J139" s="1790"/>
      <c r="K139" s="1791"/>
      <c r="L139" s="1791"/>
      <c r="M139" s="1791"/>
      <c r="N139" s="1791"/>
      <c r="P139" s="1137"/>
      <c r="Q139" s="1137"/>
      <c r="R139" s="1137"/>
      <c r="S139" s="1137"/>
      <c r="T139" s="1137"/>
      <c r="U139" s="1137"/>
      <c r="V139" s="1137"/>
    </row>
    <row r="140" spans="1:22" s="562" customFormat="1" ht="12.75" customHeight="1">
      <c r="A140" s="817"/>
      <c r="C140" s="485"/>
      <c r="D140" s="485"/>
      <c r="E140" s="2509" t="s">
        <v>1054</v>
      </c>
      <c r="F140" s="3284"/>
      <c r="G140" s="577" t="str">
        <f>D_Emissions!G61</f>
        <v>Unit</v>
      </c>
      <c r="H140" s="578">
        <f t="shared" ref="H140:N140" si="13">H$2737</f>
        <v>2024</v>
      </c>
      <c r="I140" s="697">
        <f t="shared" si="13"/>
        <v>2025</v>
      </c>
      <c r="J140" s="1489">
        <f t="shared" si="13"/>
        <v>2026</v>
      </c>
      <c r="K140" s="1490">
        <f t="shared" si="13"/>
        <v>2027</v>
      </c>
      <c r="L140" s="1490">
        <f t="shared" si="13"/>
        <v>2028</v>
      </c>
      <c r="M140" s="1490">
        <f t="shared" si="13"/>
        <v>2029</v>
      </c>
      <c r="N140" s="1490">
        <f t="shared" si="13"/>
        <v>2030</v>
      </c>
      <c r="P140" s="1137"/>
      <c r="Q140" s="1137"/>
      <c r="R140" s="1137"/>
      <c r="S140" s="1137"/>
      <c r="T140" s="1137"/>
      <c r="U140" s="1137"/>
      <c r="V140" s="1137"/>
    </row>
    <row r="141" spans="1:22" s="562" customFormat="1" ht="12.75" customHeight="1">
      <c r="A141" s="817"/>
      <c r="C141" s="485"/>
      <c r="D141" s="485"/>
      <c r="E141" s="2606" t="str">
        <f>D_Emissions!E73</f>
        <v>From fuel input to CHP</v>
      </c>
      <c r="F141" s="3467"/>
      <c r="G141" s="721" t="str">
        <f>D_Emissions!G73</f>
        <v>t CO2 / year</v>
      </c>
      <c r="H141" s="625" t="str">
        <f>IF(ISBLANK(D_Emissions!H73),"",D_Emissions!H73)</f>
        <v/>
      </c>
      <c r="I141" s="794" t="str">
        <f>IF(ISBLANK(D_Emissions!I73),"",D_Emissions!I73)</f>
        <v/>
      </c>
      <c r="J141" s="1788" t="str">
        <f>IF(ISBLANK(D_Emissions!J73),"",D_Emissions!J73)</f>
        <v/>
      </c>
      <c r="K141" s="1789" t="str">
        <f>IF(ISBLANK(D_Emissions!K73),"",D_Emissions!K73)</f>
        <v/>
      </c>
      <c r="L141" s="1789" t="str">
        <f>IF(ISBLANK(D_Emissions!L73),"",D_Emissions!L73)</f>
        <v/>
      </c>
      <c r="M141" s="1789" t="str">
        <f>IF(ISBLANK(D_Emissions!M73),"",D_Emissions!M73)</f>
        <v/>
      </c>
      <c r="N141" s="1789" t="str">
        <f>IF(ISBLANK(D_Emissions!N73),"",D_Emissions!N73)</f>
        <v/>
      </c>
      <c r="P141" s="1137"/>
      <c r="Q141" s="1137"/>
      <c r="R141" s="1137"/>
      <c r="S141" s="1137"/>
      <c r="T141" s="1137"/>
      <c r="U141" s="1137"/>
      <c r="V141" s="1137"/>
    </row>
    <row r="142" spans="1:22" s="562" customFormat="1" ht="12.75" customHeight="1">
      <c r="A142" s="817"/>
      <c r="C142" s="485"/>
      <c r="D142" s="485"/>
      <c r="E142" s="2586" t="str">
        <f>D_Emissions!E74</f>
        <v>From flue gas cleaning</v>
      </c>
      <c r="F142" s="3466"/>
      <c r="G142" s="728" t="str">
        <f>D_Emissions!G74</f>
        <v>t CO2 / year</v>
      </c>
      <c r="H142" s="627" t="str">
        <f>IF(ISBLANK(D_Emissions!H74),"",D_Emissions!H74)</f>
        <v/>
      </c>
      <c r="I142" s="796" t="str">
        <f>IF(ISBLANK(D_Emissions!I74),"",D_Emissions!I74)</f>
        <v/>
      </c>
      <c r="J142" s="1788" t="str">
        <f>IF(ISBLANK(D_Emissions!J74),"",D_Emissions!J74)</f>
        <v/>
      </c>
      <c r="K142" s="1789" t="str">
        <f>IF(ISBLANK(D_Emissions!K74),"",D_Emissions!K74)</f>
        <v/>
      </c>
      <c r="L142" s="1789" t="str">
        <f>IF(ISBLANK(D_Emissions!L74),"",D_Emissions!L74)</f>
        <v/>
      </c>
      <c r="M142" s="1789" t="str">
        <f>IF(ISBLANK(D_Emissions!M74),"",D_Emissions!M74)</f>
        <v/>
      </c>
      <c r="N142" s="1789" t="str">
        <f>IF(ISBLANK(D_Emissions!N74),"",D_Emissions!N74)</f>
        <v/>
      </c>
      <c r="P142" s="1137"/>
      <c r="Q142" s="1137"/>
      <c r="R142" s="1137"/>
      <c r="S142" s="1137"/>
      <c r="T142" s="1137"/>
      <c r="U142" s="1137"/>
      <c r="V142" s="1137"/>
    </row>
    <row r="143" spans="1:22" s="562" customFormat="1" ht="12.75" customHeight="1">
      <c r="A143" s="817"/>
      <c r="C143" s="485"/>
      <c r="D143" s="485"/>
      <c r="E143" s="2587" t="str">
        <f>D_Emissions!E75</f>
        <v>Total emissions</v>
      </c>
      <c r="F143" s="3461"/>
      <c r="G143" s="730" t="str">
        <f>D_Emissions!G75</f>
        <v>t CO2 / year</v>
      </c>
      <c r="H143" s="623" t="str">
        <f>D_Emissions!H75</f>
        <v/>
      </c>
      <c r="I143" s="800" t="str">
        <f>D_Emissions!I75</f>
        <v/>
      </c>
      <c r="J143" s="1788" t="str">
        <f>D_Emissions!J75</f>
        <v/>
      </c>
      <c r="K143" s="1789" t="str">
        <f>D_Emissions!K75</f>
        <v/>
      </c>
      <c r="L143" s="1789" t="str">
        <f>D_Emissions!L75</f>
        <v/>
      </c>
      <c r="M143" s="1789" t="str">
        <f>D_Emissions!M75</f>
        <v/>
      </c>
      <c r="N143" s="1789" t="str">
        <f>D_Emissions!N75</f>
        <v/>
      </c>
      <c r="P143" s="1137"/>
      <c r="Q143" s="1137"/>
      <c r="R143" s="1137"/>
      <c r="S143" s="1137"/>
      <c r="T143" s="1137"/>
      <c r="U143" s="1137"/>
      <c r="V143" s="1137"/>
    </row>
    <row r="144" spans="1:22" s="562" customFormat="1" ht="5.0999999999999996" customHeight="1">
      <c r="A144" s="817"/>
      <c r="C144" s="485"/>
      <c r="D144" s="485"/>
      <c r="J144" s="1790"/>
      <c r="K144" s="1791"/>
      <c r="L144" s="1791"/>
      <c r="M144" s="1791"/>
      <c r="N144" s="1791"/>
      <c r="P144" s="1137"/>
      <c r="Q144" s="1137"/>
      <c r="R144" s="1137"/>
      <c r="S144" s="1137"/>
      <c r="T144" s="1137"/>
      <c r="U144" s="1137"/>
      <c r="V144" s="1137"/>
    </row>
    <row r="145" spans="1:22" s="562" customFormat="1" ht="12.75" customHeight="1">
      <c r="A145" s="817"/>
      <c r="C145" s="485"/>
      <c r="D145" s="485"/>
      <c r="E145" s="2509" t="s">
        <v>1403</v>
      </c>
      <c r="F145" s="3284"/>
      <c r="G145" s="577" t="str">
        <f>D_Emissions!G82</f>
        <v>Unit</v>
      </c>
      <c r="H145" s="578">
        <f t="shared" ref="H145:N145" si="14">H$2737</f>
        <v>2024</v>
      </c>
      <c r="I145" s="697">
        <f t="shared" si="14"/>
        <v>2025</v>
      </c>
      <c r="J145" s="1489">
        <f t="shared" si="14"/>
        <v>2026</v>
      </c>
      <c r="K145" s="1490">
        <f t="shared" si="14"/>
        <v>2027</v>
      </c>
      <c r="L145" s="1490">
        <f t="shared" si="14"/>
        <v>2028</v>
      </c>
      <c r="M145" s="1490">
        <f t="shared" si="14"/>
        <v>2029</v>
      </c>
      <c r="N145" s="1490">
        <f t="shared" si="14"/>
        <v>2030</v>
      </c>
      <c r="P145" s="1137"/>
      <c r="Q145" s="1137"/>
      <c r="R145" s="1137"/>
      <c r="S145" s="1137"/>
      <c r="T145" s="1137"/>
      <c r="U145" s="1137"/>
      <c r="V145" s="1137"/>
    </row>
    <row r="146" spans="1:22" s="562" customFormat="1" ht="12.75" customHeight="1">
      <c r="A146" s="817"/>
      <c r="C146" s="485"/>
      <c r="D146" s="485"/>
      <c r="E146" s="2606" t="str">
        <f>D_Emissions!E83</f>
        <v>Heat production</v>
      </c>
      <c r="F146" s="3467"/>
      <c r="G146" s="748" t="str">
        <f>D_Emissions!G83</f>
        <v>-</v>
      </c>
      <c r="H146" s="629" t="str">
        <f>D_Emissions!H83</f>
        <v/>
      </c>
      <c r="I146" s="2100" t="str">
        <f>D_Emissions!I83</f>
        <v/>
      </c>
      <c r="J146" s="1494" t="str">
        <f>D_Emissions!J83</f>
        <v/>
      </c>
      <c r="K146" s="1495" t="str">
        <f>D_Emissions!K83</f>
        <v/>
      </c>
      <c r="L146" s="1495" t="str">
        <f>D_Emissions!L83</f>
        <v/>
      </c>
      <c r="M146" s="1495" t="str">
        <f>D_Emissions!M83</f>
        <v/>
      </c>
      <c r="N146" s="1495" t="str">
        <f>D_Emissions!N83</f>
        <v/>
      </c>
      <c r="P146" s="1137"/>
      <c r="Q146" s="1137"/>
      <c r="R146" s="1137"/>
      <c r="S146" s="1137"/>
      <c r="T146" s="1137"/>
      <c r="U146" s="1137"/>
      <c r="V146" s="1137"/>
    </row>
    <row r="147" spans="1:22" s="562" customFormat="1" ht="12.75" customHeight="1">
      <c r="A147" s="817"/>
      <c r="C147" s="485"/>
      <c r="D147" s="485"/>
      <c r="E147" s="2586" t="str">
        <f>D_Emissions!E84</f>
        <v>Electricity production</v>
      </c>
      <c r="F147" s="3466"/>
      <c r="G147" s="749" t="str">
        <f>D_Emissions!G84</f>
        <v>-</v>
      </c>
      <c r="H147" s="631" t="str">
        <f>D_Emissions!H84</f>
        <v/>
      </c>
      <c r="I147" s="2101" t="str">
        <f>D_Emissions!I84</f>
        <v/>
      </c>
      <c r="J147" s="1494" t="str">
        <f>D_Emissions!J84</f>
        <v/>
      </c>
      <c r="K147" s="1495" t="str">
        <f>D_Emissions!K84</f>
        <v/>
      </c>
      <c r="L147" s="1495" t="str">
        <f>D_Emissions!L84</f>
        <v/>
      </c>
      <c r="M147" s="1495" t="str">
        <f>D_Emissions!M84</f>
        <v/>
      </c>
      <c r="N147" s="1495" t="str">
        <f>D_Emissions!N84</f>
        <v/>
      </c>
      <c r="P147" s="1137"/>
      <c r="Q147" s="1137"/>
      <c r="R147" s="1137"/>
      <c r="S147" s="1137"/>
      <c r="T147" s="1137"/>
      <c r="U147" s="1137"/>
      <c r="V147" s="1137"/>
    </row>
    <row r="148" spans="1:22" s="562" customFormat="1" ht="12.75" customHeight="1">
      <c r="A148" s="817"/>
      <c r="C148" s="485"/>
      <c r="D148" s="485"/>
      <c r="E148" s="2606" t="s">
        <v>1454</v>
      </c>
      <c r="F148" s="3467"/>
      <c r="G148" s="748" t="str">
        <f>D_Emissions!G92</f>
        <v>-</v>
      </c>
      <c r="H148" s="632" t="str">
        <f>IF(ISBLANK(D_Emissions!H92),"",D_Emissions!H92)</f>
        <v/>
      </c>
      <c r="I148" s="2102" t="str">
        <f>IF(ISBLANK(D_Emissions!I92),"",D_Emissions!I92)</f>
        <v/>
      </c>
      <c r="J148" s="1496" t="str">
        <f>IF(ISBLANK(D_Emissions!J92),"",D_Emissions!J92)</f>
        <v/>
      </c>
      <c r="K148" s="1497" t="str">
        <f>IF(ISBLANK(D_Emissions!K92),"",D_Emissions!K92)</f>
        <v/>
      </c>
      <c r="L148" s="1497" t="str">
        <f>IF(ISBLANK(D_Emissions!L92),"",D_Emissions!L92)</f>
        <v/>
      </c>
      <c r="M148" s="1497" t="str">
        <f>IF(ISBLANK(D_Emissions!M92),"",D_Emissions!M92)</f>
        <v/>
      </c>
      <c r="N148" s="1497" t="str">
        <f>IF(ISBLANK(D_Emissions!N92),"",D_Emissions!N92)</f>
        <v/>
      </c>
      <c r="P148" s="1137"/>
      <c r="Q148" s="1137"/>
      <c r="R148" s="1137"/>
      <c r="S148" s="1137"/>
      <c r="T148" s="1137"/>
      <c r="U148" s="1137"/>
      <c r="V148" s="1137"/>
    </row>
    <row r="149" spans="1:22" s="562" customFormat="1" ht="12.75" customHeight="1">
      <c r="A149" s="817"/>
      <c r="C149" s="485"/>
      <c r="D149" s="485"/>
      <c r="E149" s="2586" t="s">
        <v>1453</v>
      </c>
      <c r="F149" s="3466"/>
      <c r="G149" s="749" t="str">
        <f>D_Emissions!G93</f>
        <v>-</v>
      </c>
      <c r="H149" s="633" t="str">
        <f>IF(ISBLANK(D_Emissions!H93),"",D_Emissions!H93)</f>
        <v/>
      </c>
      <c r="I149" s="2103" t="str">
        <f>IF(ISBLANK(D_Emissions!I93),"",D_Emissions!I93)</f>
        <v/>
      </c>
      <c r="J149" s="1496" t="str">
        <f>IF(ISBLANK(D_Emissions!J93),"",D_Emissions!J93)</f>
        <v/>
      </c>
      <c r="K149" s="1497" t="str">
        <f>IF(ISBLANK(D_Emissions!K93),"",D_Emissions!K93)</f>
        <v/>
      </c>
      <c r="L149" s="1497" t="str">
        <f>IF(ISBLANK(D_Emissions!L93),"",D_Emissions!L93)</f>
        <v/>
      </c>
      <c r="M149" s="1497" t="str">
        <f>IF(ISBLANK(D_Emissions!M93),"",D_Emissions!M93)</f>
        <v/>
      </c>
      <c r="N149" s="1497" t="str">
        <f>IF(ISBLANK(D_Emissions!N93),"",D_Emissions!N93)</f>
        <v/>
      </c>
      <c r="P149" s="1137"/>
      <c r="Q149" s="1137"/>
      <c r="R149" s="1137"/>
      <c r="S149" s="1137"/>
      <c r="T149" s="1137"/>
      <c r="U149" s="1137"/>
      <c r="V149" s="1137"/>
    </row>
    <row r="150" spans="1:22" s="562" customFormat="1" ht="5.0999999999999996" customHeight="1">
      <c r="A150" s="817"/>
      <c r="C150" s="485"/>
      <c r="D150" s="485"/>
      <c r="E150" s="485"/>
      <c r="F150" s="485"/>
      <c r="G150" s="485"/>
      <c r="H150" s="485"/>
      <c r="I150" s="485"/>
      <c r="J150" s="1790"/>
      <c r="K150" s="1791"/>
      <c r="L150" s="1791"/>
      <c r="M150" s="1791"/>
      <c r="N150" s="1791"/>
      <c r="P150" s="1137"/>
      <c r="Q150" s="1137"/>
      <c r="R150" s="1137"/>
      <c r="S150" s="1137"/>
      <c r="T150" s="1137"/>
      <c r="U150" s="1137"/>
      <c r="V150" s="1137"/>
    </row>
    <row r="151" spans="1:22" s="562" customFormat="1" ht="12.75" customHeight="1">
      <c r="A151" s="817"/>
      <c r="C151" s="485"/>
      <c r="D151" s="485"/>
      <c r="E151" s="2509" t="s">
        <v>1419</v>
      </c>
      <c r="F151" s="3284"/>
      <c r="G151" s="577" t="str">
        <f>D_Emissions!G145</f>
        <v>Unit</v>
      </c>
      <c r="H151" s="578">
        <f t="shared" ref="H151:N151" si="15">H$2737</f>
        <v>2024</v>
      </c>
      <c r="I151" s="697">
        <f t="shared" si="15"/>
        <v>2025</v>
      </c>
      <c r="J151" s="1489">
        <f t="shared" si="15"/>
        <v>2026</v>
      </c>
      <c r="K151" s="1490">
        <f t="shared" si="15"/>
        <v>2027</v>
      </c>
      <c r="L151" s="1490">
        <f t="shared" si="15"/>
        <v>2028</v>
      </c>
      <c r="M151" s="1490">
        <f t="shared" si="15"/>
        <v>2029</v>
      </c>
      <c r="N151" s="1490">
        <f t="shared" si="15"/>
        <v>2030</v>
      </c>
      <c r="P151" s="1137"/>
      <c r="Q151" s="1137"/>
      <c r="R151" s="1137"/>
      <c r="S151" s="1137"/>
      <c r="T151" s="1137"/>
      <c r="U151" s="1137"/>
      <c r="V151" s="1137"/>
    </row>
    <row r="152" spans="1:22" s="562" customFormat="1" ht="12.75" customHeight="1">
      <c r="A152" s="817"/>
      <c r="C152" s="485"/>
      <c r="D152" s="485"/>
      <c r="E152" s="3470" t="str">
        <f>D_Emissions!E100</f>
        <v>Emissions attributable to heat output</v>
      </c>
      <c r="F152" s="3461"/>
      <c r="G152" s="1567" t="str">
        <f>D_Emissions!G100</f>
        <v>t CO2 / year</v>
      </c>
      <c r="H152" s="635" t="str">
        <f>D_Emissions!H100</f>
        <v/>
      </c>
      <c r="I152" s="2104" t="str">
        <f>D_Emissions!I100</f>
        <v/>
      </c>
      <c r="J152" s="2105" t="str">
        <f>D_Emissions!J100</f>
        <v/>
      </c>
      <c r="K152" s="1960" t="str">
        <f>D_Emissions!K100</f>
        <v/>
      </c>
      <c r="L152" s="1960" t="str">
        <f>D_Emissions!L100</f>
        <v/>
      </c>
      <c r="M152" s="1960" t="str">
        <f>D_Emissions!M100</f>
        <v/>
      </c>
      <c r="N152" s="1960" t="str">
        <f>D_Emissions!N100</f>
        <v/>
      </c>
      <c r="P152" s="1137"/>
      <c r="Q152" s="1137"/>
      <c r="R152" s="1137"/>
      <c r="S152" s="1137"/>
      <c r="T152" s="1137"/>
      <c r="U152" s="1137"/>
      <c r="V152" s="1137"/>
    </row>
    <row r="153" spans="1:22" s="562" customFormat="1" ht="12.75" customHeight="1">
      <c r="A153" s="817"/>
      <c r="C153" s="485"/>
      <c r="D153" s="485"/>
      <c r="E153" s="2587" t="str">
        <f>D_Emissions!E101</f>
        <v>Emission factor, heat</v>
      </c>
      <c r="F153" s="3461"/>
      <c r="G153" s="730" t="str">
        <f>D_Emissions!G101</f>
        <v>t CO2 / TJ</v>
      </c>
      <c r="H153" s="623" t="str">
        <f>D_Emissions!H101</f>
        <v/>
      </c>
      <c r="I153" s="800" t="str">
        <f>D_Emissions!I101</f>
        <v/>
      </c>
      <c r="J153" s="1788" t="str">
        <f>D_Emissions!J101</f>
        <v/>
      </c>
      <c r="K153" s="1789" t="str">
        <f>D_Emissions!K101</f>
        <v/>
      </c>
      <c r="L153" s="1789" t="str">
        <f>D_Emissions!L101</f>
        <v/>
      </c>
      <c r="M153" s="1789" t="str">
        <f>D_Emissions!M101</f>
        <v/>
      </c>
      <c r="N153" s="1789" t="str">
        <f>D_Emissions!N101</f>
        <v/>
      </c>
      <c r="P153" s="1137"/>
      <c r="Q153" s="1137"/>
      <c r="R153" s="1137"/>
      <c r="S153" s="1137"/>
      <c r="T153" s="1137"/>
      <c r="U153" s="1137"/>
      <c r="V153" s="1137"/>
    </row>
    <row r="154" spans="1:22" s="562" customFormat="1" ht="5.0999999999999996" customHeight="1">
      <c r="A154" s="817"/>
      <c r="C154" s="485"/>
      <c r="D154" s="485"/>
      <c r="E154" s="485"/>
      <c r="F154" s="485"/>
      <c r="G154" s="485"/>
      <c r="H154" s="485"/>
      <c r="I154" s="485"/>
      <c r="J154" s="1790"/>
      <c r="K154" s="1791"/>
      <c r="L154" s="1791"/>
      <c r="M154" s="1791"/>
      <c r="N154" s="1791"/>
      <c r="P154" s="1137"/>
      <c r="Q154" s="1137"/>
      <c r="R154" s="1137"/>
      <c r="S154" s="1137"/>
      <c r="T154" s="1137"/>
      <c r="U154" s="1137"/>
      <c r="V154" s="1137"/>
    </row>
    <row r="155" spans="1:22" s="562" customFormat="1" ht="12.75" customHeight="1">
      <c r="A155" s="817"/>
      <c r="C155" s="485"/>
      <c r="D155" s="485"/>
      <c r="E155" s="2606" t="str">
        <f>D_Emissions!E106</f>
        <v>Fuel input for heat</v>
      </c>
      <c r="F155" s="3467"/>
      <c r="G155" s="721" t="str">
        <f>D_Emissions!G106</f>
        <v>TJ / year</v>
      </c>
      <c r="H155" s="625" t="str">
        <f>D_Emissions!H106</f>
        <v/>
      </c>
      <c r="I155" s="794" t="str">
        <f>D_Emissions!I106</f>
        <v/>
      </c>
      <c r="J155" s="1788" t="str">
        <f>D_Emissions!J106</f>
        <v/>
      </c>
      <c r="K155" s="1789" t="str">
        <f>D_Emissions!K106</f>
        <v/>
      </c>
      <c r="L155" s="1789" t="str">
        <f>D_Emissions!L106</f>
        <v/>
      </c>
      <c r="M155" s="1789" t="str">
        <f>D_Emissions!M106</f>
        <v/>
      </c>
      <c r="N155" s="1789" t="str">
        <f>D_Emissions!N106</f>
        <v/>
      </c>
      <c r="P155" s="1137"/>
      <c r="Q155" s="1137"/>
      <c r="R155" s="1137"/>
      <c r="S155" s="1137"/>
      <c r="T155" s="1137"/>
      <c r="U155" s="1137"/>
      <c r="V155" s="1137"/>
    </row>
    <row r="156" spans="1:22" s="562" customFormat="1" ht="12.75" customHeight="1">
      <c r="A156" s="817"/>
      <c r="C156" s="485"/>
      <c r="D156" s="485"/>
      <c r="E156" s="2586" t="str">
        <f>D_Emissions!E107</f>
        <v>Fuel input for electricity</v>
      </c>
      <c r="F156" s="3466"/>
      <c r="G156" s="728" t="str">
        <f>D_Emissions!G107</f>
        <v>TJ / year</v>
      </c>
      <c r="H156" s="627" t="str">
        <f>D_Emissions!H107</f>
        <v/>
      </c>
      <c r="I156" s="796" t="str">
        <f>D_Emissions!I107</f>
        <v/>
      </c>
      <c r="J156" s="1788" t="str">
        <f>D_Emissions!J107</f>
        <v/>
      </c>
      <c r="K156" s="1789" t="str">
        <f>D_Emissions!K107</f>
        <v/>
      </c>
      <c r="L156" s="1789" t="str">
        <f>D_Emissions!L107</f>
        <v/>
      </c>
      <c r="M156" s="1789" t="str">
        <f>D_Emissions!M107</f>
        <v/>
      </c>
      <c r="N156" s="1789" t="str">
        <f>D_Emissions!N107</f>
        <v/>
      </c>
      <c r="P156" s="1137"/>
      <c r="Q156" s="1137"/>
      <c r="R156" s="1137"/>
      <c r="S156" s="1137"/>
      <c r="T156" s="1137"/>
      <c r="U156" s="1137"/>
      <c r="V156" s="1137"/>
    </row>
    <row r="157" spans="1:22" s="562" customFormat="1" ht="12.75" customHeight="1">
      <c r="A157" s="817"/>
      <c r="C157" s="481"/>
      <c r="D157" s="481"/>
      <c r="E157" s="481"/>
      <c r="F157" s="481"/>
      <c r="G157" s="481"/>
      <c r="H157" s="481"/>
      <c r="I157" s="481"/>
      <c r="J157" s="481"/>
      <c r="K157" s="481"/>
      <c r="L157" s="481"/>
      <c r="M157" s="481"/>
      <c r="N157" s="481"/>
      <c r="P157" s="1137"/>
      <c r="Q157" s="1137"/>
      <c r="R157" s="1137"/>
      <c r="S157" s="1137"/>
      <c r="T157" s="1137"/>
      <c r="U157" s="1137"/>
      <c r="V157" s="1137"/>
    </row>
    <row r="158" spans="1:22" s="562" customFormat="1" ht="12.75" customHeight="1">
      <c r="A158" s="817"/>
      <c r="C158" s="481"/>
      <c r="D158" s="482" t="s">
        <v>876</v>
      </c>
      <c r="E158" s="2508" t="s">
        <v>1405</v>
      </c>
      <c r="F158" s="2380"/>
      <c r="G158" s="2380"/>
      <c r="H158" s="2380"/>
      <c r="I158" s="2380"/>
      <c r="J158" s="2380"/>
      <c r="K158" s="2380"/>
      <c r="L158" s="3465"/>
      <c r="M158" s="565" t="str">
        <f>M133</f>
        <v/>
      </c>
      <c r="N158" s="1134"/>
      <c r="P158" s="1137"/>
      <c r="Q158" s="1137"/>
      <c r="R158" s="1137"/>
      <c r="S158" s="1137"/>
      <c r="T158" s="1137"/>
      <c r="U158" s="1137"/>
      <c r="V158" s="1137"/>
    </row>
    <row r="159" spans="1:22" s="562" customFormat="1" ht="5.0999999999999996" customHeight="1">
      <c r="A159" s="817"/>
      <c r="C159" s="485"/>
      <c r="D159" s="485"/>
      <c r="E159" s="485"/>
      <c r="F159" s="485"/>
      <c r="G159" s="485"/>
      <c r="H159" s="485"/>
      <c r="I159" s="485"/>
      <c r="J159" s="485"/>
      <c r="K159" s="485"/>
      <c r="L159" s="485"/>
      <c r="M159" s="485"/>
      <c r="N159" s="485"/>
      <c r="P159" s="1137"/>
      <c r="Q159" s="1137"/>
      <c r="R159" s="1137"/>
      <c r="S159" s="1137"/>
      <c r="T159" s="1137"/>
      <c r="U159" s="1137"/>
      <c r="V159" s="1137"/>
    </row>
    <row r="160" spans="1:22" s="562" customFormat="1" ht="12.75" customHeight="1">
      <c r="A160" s="817"/>
      <c r="C160" s="485"/>
      <c r="D160" s="485"/>
      <c r="E160" s="2509" t="s">
        <v>1402</v>
      </c>
      <c r="F160" s="3284"/>
      <c r="G160" s="577" t="str">
        <f>D_Emissions!G114</f>
        <v>Unit</v>
      </c>
      <c r="H160" s="578">
        <f t="shared" ref="H160:N160" si="16">H$2737</f>
        <v>2024</v>
      </c>
      <c r="I160" s="697">
        <f t="shared" si="16"/>
        <v>2025</v>
      </c>
      <c r="J160" s="1489">
        <f t="shared" si="16"/>
        <v>2026</v>
      </c>
      <c r="K160" s="1490">
        <f t="shared" si="16"/>
        <v>2027</v>
      </c>
      <c r="L160" s="1490">
        <f t="shared" si="16"/>
        <v>2028</v>
      </c>
      <c r="M160" s="1490">
        <f t="shared" si="16"/>
        <v>2029</v>
      </c>
      <c r="N160" s="1490">
        <f t="shared" si="16"/>
        <v>2030</v>
      </c>
      <c r="P160" s="1137"/>
      <c r="Q160" s="1137"/>
      <c r="R160" s="1137"/>
      <c r="S160" s="1137"/>
      <c r="T160" s="1137"/>
      <c r="U160" s="1137"/>
      <c r="V160" s="1137"/>
    </row>
    <row r="161" spans="1:22" s="562" customFormat="1" ht="12.75" customHeight="1">
      <c r="A161" s="817"/>
      <c r="C161" s="485"/>
      <c r="D161" s="485"/>
      <c r="E161" s="2587" t="str">
        <f>D_Emissions!E115</f>
        <v>Fuel input into CHP</v>
      </c>
      <c r="F161" s="3461"/>
      <c r="G161" s="730" t="str">
        <f>D_Emissions!G115</f>
        <v>TJ / year</v>
      </c>
      <c r="H161" s="623" t="str">
        <f>IF(ISBLANK(D_Emissions!H115),"",D_Emissions!H115)</f>
        <v/>
      </c>
      <c r="I161" s="800" t="str">
        <f>IF(ISBLANK(D_Emissions!I115),"",D_Emissions!I115)</f>
        <v/>
      </c>
      <c r="J161" s="1788" t="str">
        <f>IF(ISBLANK(D_Emissions!J115),"",D_Emissions!J115)</f>
        <v/>
      </c>
      <c r="K161" s="1789" t="str">
        <f>IF(ISBLANK(D_Emissions!K115),"",D_Emissions!K115)</f>
        <v/>
      </c>
      <c r="L161" s="1789" t="str">
        <f>IF(ISBLANK(D_Emissions!L115),"",D_Emissions!L115)</f>
        <v/>
      </c>
      <c r="M161" s="1789" t="str">
        <f>IF(ISBLANK(D_Emissions!M115),"",D_Emissions!M115)</f>
        <v/>
      </c>
      <c r="N161" s="1789" t="str">
        <f>IF(ISBLANK(D_Emissions!N115),"",D_Emissions!N115)</f>
        <v/>
      </c>
      <c r="P161" s="1137"/>
      <c r="Q161" s="1137"/>
      <c r="R161" s="1137"/>
      <c r="S161" s="1137"/>
      <c r="T161" s="1137"/>
      <c r="U161" s="1137"/>
      <c r="V161" s="1137"/>
    </row>
    <row r="162" spans="1:22" s="562" customFormat="1" ht="12.75" customHeight="1">
      <c r="A162" s="817"/>
      <c r="C162" s="485"/>
      <c r="D162" s="485"/>
      <c r="E162" s="2606" t="str">
        <f>D_Emissions!E119</f>
        <v>Heat output from CHP</v>
      </c>
      <c r="F162" s="3467"/>
      <c r="G162" s="721" t="str">
        <f>D_Emissions!G119</f>
        <v>TJ / year</v>
      </c>
      <c r="H162" s="625" t="str">
        <f>IF(ISBLANK(D_Emissions!H119),"",D_Emissions!H119)</f>
        <v/>
      </c>
      <c r="I162" s="794" t="str">
        <f>IF(ISBLANK(D_Emissions!I119),"",D_Emissions!I119)</f>
        <v/>
      </c>
      <c r="J162" s="1788" t="str">
        <f>IF(ISBLANK(D_Emissions!J119),"",D_Emissions!J119)</f>
        <v/>
      </c>
      <c r="K162" s="1789" t="str">
        <f>IF(ISBLANK(D_Emissions!K119),"",D_Emissions!K119)</f>
        <v/>
      </c>
      <c r="L162" s="1789" t="str">
        <f>IF(ISBLANK(D_Emissions!L119),"",D_Emissions!L119)</f>
        <v/>
      </c>
      <c r="M162" s="1789" t="str">
        <f>IF(ISBLANK(D_Emissions!M119),"",D_Emissions!M119)</f>
        <v/>
      </c>
      <c r="N162" s="1789" t="str">
        <f>IF(ISBLANK(D_Emissions!N119),"",D_Emissions!N119)</f>
        <v/>
      </c>
      <c r="P162" s="1137"/>
      <c r="Q162" s="1137"/>
      <c r="R162" s="1137"/>
      <c r="S162" s="1137"/>
      <c r="T162" s="1137"/>
      <c r="U162" s="1137"/>
      <c r="V162" s="1137"/>
    </row>
    <row r="163" spans="1:22" s="562" customFormat="1" ht="12.75" customHeight="1">
      <c r="A163" s="817"/>
      <c r="C163" s="485"/>
      <c r="D163" s="485"/>
      <c r="E163" s="2586" t="str">
        <f>D_Emissions!E124</f>
        <v>Electricity output from CHP</v>
      </c>
      <c r="F163" s="3466"/>
      <c r="G163" s="728" t="str">
        <f>D_Emissions!G124</f>
        <v>TJ / year</v>
      </c>
      <c r="H163" s="627" t="str">
        <f>IF(ISBLANK(D_Emissions!H124),"",D_Emissions!H124)</f>
        <v/>
      </c>
      <c r="I163" s="796" t="str">
        <f>IF(ISBLANK(D_Emissions!I124),"",D_Emissions!I124)</f>
        <v/>
      </c>
      <c r="J163" s="1788" t="str">
        <f>IF(ISBLANK(D_Emissions!J124),"",D_Emissions!J124)</f>
        <v/>
      </c>
      <c r="K163" s="1789" t="str">
        <f>IF(ISBLANK(D_Emissions!K124),"",D_Emissions!K124)</f>
        <v/>
      </c>
      <c r="L163" s="1789" t="str">
        <f>IF(ISBLANK(D_Emissions!L124),"",D_Emissions!L124)</f>
        <v/>
      </c>
      <c r="M163" s="1789" t="str">
        <f>IF(ISBLANK(D_Emissions!M124),"",D_Emissions!M124)</f>
        <v/>
      </c>
      <c r="N163" s="1789" t="str">
        <f>IF(ISBLANK(D_Emissions!N124),"",D_Emissions!N124)</f>
        <v/>
      </c>
      <c r="P163" s="1137"/>
      <c r="Q163" s="1137"/>
      <c r="R163" s="1137"/>
      <c r="S163" s="1137"/>
      <c r="T163" s="1137"/>
      <c r="U163" s="1137"/>
      <c r="V163" s="1137"/>
    </row>
    <row r="164" spans="1:22" s="562" customFormat="1" ht="5.0999999999999996" customHeight="1">
      <c r="A164" s="817"/>
      <c r="C164" s="485"/>
      <c r="D164" s="485"/>
      <c r="E164" s="485"/>
      <c r="F164" s="485"/>
      <c r="G164" s="485"/>
      <c r="H164" s="485"/>
      <c r="I164" s="485"/>
      <c r="J164" s="1790"/>
      <c r="K164" s="1791"/>
      <c r="L164" s="1791"/>
      <c r="M164" s="1791"/>
      <c r="N164" s="1791"/>
      <c r="P164" s="1137"/>
      <c r="Q164" s="1137"/>
      <c r="R164" s="1137"/>
      <c r="S164" s="1137"/>
      <c r="T164" s="1137"/>
      <c r="U164" s="1137"/>
      <c r="V164" s="1137"/>
    </row>
    <row r="165" spans="1:22" s="562" customFormat="1" ht="12.75" customHeight="1">
      <c r="A165" s="817"/>
      <c r="C165" s="481"/>
      <c r="D165" s="485"/>
      <c r="E165" s="2509" t="s">
        <v>1054</v>
      </c>
      <c r="F165" s="3284"/>
      <c r="G165" s="577" t="str">
        <f>D_Emissions!G127</f>
        <v>Unit</v>
      </c>
      <c r="H165" s="578">
        <f t="shared" ref="H165:N165" si="17">H$2737</f>
        <v>2024</v>
      </c>
      <c r="I165" s="697">
        <f t="shared" si="17"/>
        <v>2025</v>
      </c>
      <c r="J165" s="1489">
        <f t="shared" si="17"/>
        <v>2026</v>
      </c>
      <c r="K165" s="1490">
        <f t="shared" si="17"/>
        <v>2027</v>
      </c>
      <c r="L165" s="1490">
        <f t="shared" si="17"/>
        <v>2028</v>
      </c>
      <c r="M165" s="1490">
        <f t="shared" si="17"/>
        <v>2029</v>
      </c>
      <c r="N165" s="1490">
        <f t="shared" si="17"/>
        <v>2030</v>
      </c>
      <c r="P165" s="1137"/>
      <c r="Q165" s="1137"/>
      <c r="R165" s="1137"/>
      <c r="S165" s="1137"/>
      <c r="T165" s="1137"/>
      <c r="U165" s="1137"/>
      <c r="V165" s="1137"/>
    </row>
    <row r="166" spans="1:22" s="562" customFormat="1" ht="12.75" customHeight="1">
      <c r="A166" s="817"/>
      <c r="C166" s="485"/>
      <c r="D166" s="485"/>
      <c r="E166" s="2606" t="str">
        <f>D_Emissions!E128</f>
        <v>From fuel input to CHP</v>
      </c>
      <c r="F166" s="3467"/>
      <c r="G166" s="721" t="str">
        <f>D_Emissions!G128</f>
        <v>t CO2 / year</v>
      </c>
      <c r="H166" s="625" t="str">
        <f>IF(ISBLANK(D_Emissions!H128),"",D_Emissions!H128)</f>
        <v/>
      </c>
      <c r="I166" s="794" t="str">
        <f>IF(ISBLANK(D_Emissions!I128),"",D_Emissions!I128)</f>
        <v/>
      </c>
      <c r="J166" s="1788" t="str">
        <f>IF(ISBLANK(D_Emissions!J128),"",D_Emissions!J128)</f>
        <v/>
      </c>
      <c r="K166" s="1789" t="str">
        <f>IF(ISBLANK(D_Emissions!K128),"",D_Emissions!K128)</f>
        <v/>
      </c>
      <c r="L166" s="1789" t="str">
        <f>IF(ISBLANK(D_Emissions!L128),"",D_Emissions!L128)</f>
        <v/>
      </c>
      <c r="M166" s="1789" t="str">
        <f>IF(ISBLANK(D_Emissions!M128),"",D_Emissions!M128)</f>
        <v/>
      </c>
      <c r="N166" s="1789" t="str">
        <f>IF(ISBLANK(D_Emissions!N128),"",D_Emissions!N128)</f>
        <v/>
      </c>
      <c r="P166" s="1137"/>
      <c r="Q166" s="1137"/>
      <c r="R166" s="1137"/>
      <c r="S166" s="1137"/>
      <c r="T166" s="1137"/>
      <c r="U166" s="1137"/>
      <c r="V166" s="1137"/>
    </row>
    <row r="167" spans="1:22" s="562" customFormat="1" ht="12.75" customHeight="1">
      <c r="A167" s="817"/>
      <c r="C167" s="485"/>
      <c r="D167" s="485"/>
      <c r="E167" s="2586" t="str">
        <f>D_Emissions!E129</f>
        <v>From flue gas cleaning</v>
      </c>
      <c r="F167" s="3466"/>
      <c r="G167" s="728" t="str">
        <f>D_Emissions!G129</f>
        <v>t CO2 / year</v>
      </c>
      <c r="H167" s="627" t="str">
        <f>IF(ISBLANK(D_Emissions!H129),"",D_Emissions!H129)</f>
        <v/>
      </c>
      <c r="I167" s="796" t="str">
        <f>IF(ISBLANK(D_Emissions!I129),"",D_Emissions!I129)</f>
        <v/>
      </c>
      <c r="J167" s="1788" t="str">
        <f>IF(ISBLANK(D_Emissions!J129),"",D_Emissions!J129)</f>
        <v/>
      </c>
      <c r="K167" s="1789" t="str">
        <f>IF(ISBLANK(D_Emissions!K129),"",D_Emissions!K129)</f>
        <v/>
      </c>
      <c r="L167" s="1789" t="str">
        <f>IF(ISBLANK(D_Emissions!L129),"",D_Emissions!L129)</f>
        <v/>
      </c>
      <c r="M167" s="1789" t="str">
        <f>IF(ISBLANK(D_Emissions!M129),"",D_Emissions!M129)</f>
        <v/>
      </c>
      <c r="N167" s="1789" t="str">
        <f>IF(ISBLANK(D_Emissions!N129),"",D_Emissions!N129)</f>
        <v/>
      </c>
      <c r="P167" s="1137"/>
      <c r="Q167" s="1137"/>
      <c r="R167" s="1137"/>
      <c r="S167" s="1137"/>
      <c r="T167" s="1137"/>
      <c r="U167" s="1137"/>
      <c r="V167" s="1137"/>
    </row>
    <row r="168" spans="1:22" s="562" customFormat="1" ht="12.75" customHeight="1">
      <c r="A168" s="817"/>
      <c r="C168" s="485"/>
      <c r="D168" s="485"/>
      <c r="E168" s="2587" t="str">
        <f>D_Emissions!E130</f>
        <v>Total emissions</v>
      </c>
      <c r="F168" s="3461"/>
      <c r="G168" s="730" t="str">
        <f>D_Emissions!G130</f>
        <v>t CO2 / year</v>
      </c>
      <c r="H168" s="623" t="str">
        <f>D_Emissions!H130</f>
        <v/>
      </c>
      <c r="I168" s="800" t="str">
        <f>D_Emissions!I130</f>
        <v/>
      </c>
      <c r="J168" s="1788" t="str">
        <f>D_Emissions!J130</f>
        <v/>
      </c>
      <c r="K168" s="1789" t="str">
        <f>D_Emissions!K130</f>
        <v/>
      </c>
      <c r="L168" s="1789" t="str">
        <f>D_Emissions!L130</f>
        <v/>
      </c>
      <c r="M168" s="1789" t="str">
        <f>D_Emissions!M130</f>
        <v/>
      </c>
      <c r="N168" s="1789" t="str">
        <f>D_Emissions!N130</f>
        <v/>
      </c>
      <c r="P168" s="1137"/>
      <c r="Q168" s="1137"/>
      <c r="R168" s="1137"/>
      <c r="S168" s="1137"/>
      <c r="T168" s="1137"/>
      <c r="U168" s="1137"/>
      <c r="V168" s="1137"/>
    </row>
    <row r="169" spans="1:22" s="562" customFormat="1" ht="5.0999999999999996" customHeight="1">
      <c r="A169" s="817"/>
      <c r="C169" s="485"/>
      <c r="D169" s="485"/>
      <c r="J169" s="1790"/>
      <c r="K169" s="1791"/>
      <c r="L169" s="1791"/>
      <c r="M169" s="1791"/>
      <c r="N169" s="1791"/>
      <c r="P169" s="1137"/>
      <c r="Q169" s="1137"/>
      <c r="R169" s="1137"/>
      <c r="S169" s="1137"/>
      <c r="T169" s="1137"/>
      <c r="U169" s="1137"/>
      <c r="V169" s="1137"/>
    </row>
    <row r="170" spans="1:22" s="562" customFormat="1" ht="12.75" customHeight="1">
      <c r="A170" s="817"/>
      <c r="C170" s="485"/>
      <c r="D170" s="485"/>
      <c r="E170" s="2509" t="s">
        <v>1403</v>
      </c>
      <c r="F170" s="3284"/>
      <c r="G170" s="577" t="str">
        <f>D_Emissions!G135</f>
        <v>Unit</v>
      </c>
      <c r="H170" s="578">
        <f t="shared" ref="H170:N170" si="18">H$2737</f>
        <v>2024</v>
      </c>
      <c r="I170" s="697">
        <f t="shared" si="18"/>
        <v>2025</v>
      </c>
      <c r="J170" s="1489">
        <f t="shared" si="18"/>
        <v>2026</v>
      </c>
      <c r="K170" s="1490">
        <f t="shared" si="18"/>
        <v>2027</v>
      </c>
      <c r="L170" s="1490">
        <f t="shared" si="18"/>
        <v>2028</v>
      </c>
      <c r="M170" s="1490">
        <f t="shared" si="18"/>
        <v>2029</v>
      </c>
      <c r="N170" s="1490">
        <f t="shared" si="18"/>
        <v>2030</v>
      </c>
      <c r="P170" s="1137"/>
      <c r="Q170" s="1137"/>
      <c r="R170" s="1137"/>
      <c r="S170" s="1137"/>
      <c r="T170" s="1137"/>
      <c r="U170" s="1137"/>
      <c r="V170" s="1137"/>
    </row>
    <row r="171" spans="1:22" s="562" customFormat="1" ht="12.75" customHeight="1">
      <c r="A171" s="817"/>
      <c r="C171" s="485"/>
      <c r="D171" s="485"/>
      <c r="E171" s="2606" t="str">
        <f>D_Emissions!E136</f>
        <v>Heat production</v>
      </c>
      <c r="F171" s="3467"/>
      <c r="G171" s="748" t="str">
        <f>D_Emissions!G136</f>
        <v>-</v>
      </c>
      <c r="H171" s="629" t="str">
        <f>D_Emissions!H136</f>
        <v/>
      </c>
      <c r="I171" s="2100" t="str">
        <f>D_Emissions!I136</f>
        <v/>
      </c>
      <c r="J171" s="1494" t="str">
        <f>D_Emissions!J136</f>
        <v/>
      </c>
      <c r="K171" s="1495" t="str">
        <f>D_Emissions!K136</f>
        <v/>
      </c>
      <c r="L171" s="1495" t="str">
        <f>D_Emissions!L136</f>
        <v/>
      </c>
      <c r="M171" s="1495" t="str">
        <f>D_Emissions!M136</f>
        <v/>
      </c>
      <c r="N171" s="1495" t="str">
        <f>D_Emissions!N136</f>
        <v/>
      </c>
      <c r="P171" s="1137"/>
      <c r="Q171" s="1137"/>
      <c r="R171" s="1137"/>
      <c r="S171" s="1137"/>
      <c r="T171" s="1137"/>
      <c r="U171" s="1137"/>
      <c r="V171" s="1137"/>
    </row>
    <row r="172" spans="1:22" s="562" customFormat="1" ht="12.75" customHeight="1">
      <c r="A172" s="817"/>
      <c r="C172" s="485"/>
      <c r="D172" s="485"/>
      <c r="E172" s="2586" t="str">
        <f>D_Emissions!E137</f>
        <v>Electricity production</v>
      </c>
      <c r="F172" s="3466"/>
      <c r="G172" s="749" t="str">
        <f>D_Emissions!G137</f>
        <v>-</v>
      </c>
      <c r="H172" s="631" t="str">
        <f>D_Emissions!H137</f>
        <v/>
      </c>
      <c r="I172" s="2101" t="str">
        <f>D_Emissions!I137</f>
        <v/>
      </c>
      <c r="J172" s="1494" t="str">
        <f>D_Emissions!J137</f>
        <v/>
      </c>
      <c r="K172" s="1495" t="str">
        <f>D_Emissions!K137</f>
        <v/>
      </c>
      <c r="L172" s="1495" t="str">
        <f>D_Emissions!L137</f>
        <v/>
      </c>
      <c r="M172" s="1495" t="str">
        <f>D_Emissions!M137</f>
        <v/>
      </c>
      <c r="N172" s="1495" t="str">
        <f>D_Emissions!N137</f>
        <v/>
      </c>
      <c r="P172" s="1137"/>
      <c r="Q172" s="1137"/>
      <c r="R172" s="1137"/>
      <c r="S172" s="1137"/>
      <c r="T172" s="1137"/>
      <c r="U172" s="1137"/>
      <c r="V172" s="1137"/>
    </row>
    <row r="173" spans="1:22" s="562" customFormat="1" ht="12.75" customHeight="1">
      <c r="A173" s="817"/>
      <c r="C173" s="485"/>
      <c r="D173" s="485"/>
      <c r="E173" s="2606" t="s">
        <v>1454</v>
      </c>
      <c r="F173" s="3467"/>
      <c r="G173" s="748" t="str">
        <f>D_Emissions!G141</f>
        <v>-</v>
      </c>
      <c r="H173" s="632" t="str">
        <f>IF(ISBLANK(D_Emissions!H141),"",D_Emissions!H141)</f>
        <v/>
      </c>
      <c r="I173" s="2102" t="str">
        <f>IF(ISBLANK(D_Emissions!I141),"",D_Emissions!I141)</f>
        <v/>
      </c>
      <c r="J173" s="1496" t="str">
        <f>IF(ISBLANK(D_Emissions!J141),"",D_Emissions!J141)</f>
        <v/>
      </c>
      <c r="K173" s="1497" t="str">
        <f>IF(ISBLANK(D_Emissions!K141),"",D_Emissions!K141)</f>
        <v/>
      </c>
      <c r="L173" s="1497" t="str">
        <f>IF(ISBLANK(D_Emissions!L141),"",D_Emissions!L141)</f>
        <v/>
      </c>
      <c r="M173" s="1497" t="str">
        <f>IF(ISBLANK(D_Emissions!M141),"",D_Emissions!M141)</f>
        <v/>
      </c>
      <c r="N173" s="1497" t="str">
        <f>IF(ISBLANK(D_Emissions!N141),"",D_Emissions!N141)</f>
        <v/>
      </c>
      <c r="P173" s="1137"/>
      <c r="Q173" s="1137"/>
      <c r="R173" s="1137"/>
      <c r="S173" s="1137"/>
      <c r="T173" s="1137"/>
      <c r="U173" s="1137"/>
      <c r="V173" s="1137"/>
    </row>
    <row r="174" spans="1:22" s="562" customFormat="1" ht="12.75" customHeight="1">
      <c r="A174" s="817"/>
      <c r="C174" s="485"/>
      <c r="D174" s="485"/>
      <c r="E174" s="2586" t="s">
        <v>1453</v>
      </c>
      <c r="F174" s="3466"/>
      <c r="G174" s="749" t="str">
        <f>D_Emissions!G142</f>
        <v>-</v>
      </c>
      <c r="H174" s="633" t="str">
        <f>IF(ISBLANK(D_Emissions!H142),"",D_Emissions!H142)</f>
        <v/>
      </c>
      <c r="I174" s="2103" t="str">
        <f>IF(ISBLANK(D_Emissions!I142),"",D_Emissions!I142)</f>
        <v/>
      </c>
      <c r="J174" s="1496" t="str">
        <f>IF(ISBLANK(D_Emissions!J142),"",D_Emissions!J142)</f>
        <v/>
      </c>
      <c r="K174" s="1497" t="str">
        <f>IF(ISBLANK(D_Emissions!K142),"",D_Emissions!K142)</f>
        <v/>
      </c>
      <c r="L174" s="1497" t="str">
        <f>IF(ISBLANK(D_Emissions!L142),"",D_Emissions!L142)</f>
        <v/>
      </c>
      <c r="M174" s="1497" t="str">
        <f>IF(ISBLANK(D_Emissions!M142),"",D_Emissions!M142)</f>
        <v/>
      </c>
      <c r="N174" s="1497" t="str">
        <f>IF(ISBLANK(D_Emissions!N142),"",D_Emissions!N142)</f>
        <v/>
      </c>
      <c r="P174" s="1137"/>
      <c r="Q174" s="1137"/>
      <c r="R174" s="1137"/>
      <c r="S174" s="1137"/>
      <c r="T174" s="1137"/>
      <c r="U174" s="1137"/>
      <c r="V174" s="1137"/>
    </row>
    <row r="175" spans="1:22" s="562" customFormat="1" ht="5.0999999999999996" customHeight="1">
      <c r="A175" s="817"/>
      <c r="C175" s="485"/>
      <c r="D175" s="485"/>
      <c r="E175" s="485"/>
      <c r="F175" s="485"/>
      <c r="G175" s="485"/>
      <c r="H175" s="485"/>
      <c r="I175" s="485"/>
      <c r="J175" s="1790"/>
      <c r="K175" s="1791"/>
      <c r="L175" s="1791"/>
      <c r="M175" s="1791"/>
      <c r="N175" s="1791"/>
      <c r="P175" s="1137"/>
      <c r="Q175" s="1137"/>
      <c r="R175" s="1137"/>
      <c r="S175" s="1137"/>
      <c r="T175" s="1137"/>
      <c r="U175" s="1137"/>
      <c r="V175" s="1137"/>
    </row>
    <row r="176" spans="1:22" s="562" customFormat="1" ht="12.75" customHeight="1">
      <c r="A176" s="817"/>
      <c r="C176" s="485"/>
      <c r="D176" s="485"/>
      <c r="E176" s="2509" t="s">
        <v>1419</v>
      </c>
      <c r="F176" s="3284"/>
      <c r="G176" s="577" t="str">
        <f>D_Emissions!G145</f>
        <v>Unit</v>
      </c>
      <c r="H176" s="578">
        <f t="shared" ref="H176:N176" si="19">H$2737</f>
        <v>2024</v>
      </c>
      <c r="I176" s="697">
        <f t="shared" si="19"/>
        <v>2025</v>
      </c>
      <c r="J176" s="1489">
        <f t="shared" si="19"/>
        <v>2026</v>
      </c>
      <c r="K176" s="1490">
        <f t="shared" si="19"/>
        <v>2027</v>
      </c>
      <c r="L176" s="1490">
        <f t="shared" si="19"/>
        <v>2028</v>
      </c>
      <c r="M176" s="1490">
        <f t="shared" si="19"/>
        <v>2029</v>
      </c>
      <c r="N176" s="1490">
        <f t="shared" si="19"/>
        <v>2030</v>
      </c>
      <c r="P176" s="1137"/>
      <c r="Q176" s="1137"/>
      <c r="R176" s="1137"/>
      <c r="S176" s="1137"/>
      <c r="T176" s="1137"/>
      <c r="U176" s="1137"/>
      <c r="V176" s="1137"/>
    </row>
    <row r="177" spans="1:22" s="562" customFormat="1" ht="12.75" customHeight="1">
      <c r="A177" s="817"/>
      <c r="C177" s="485"/>
      <c r="D177" s="485"/>
      <c r="E177" s="3470" t="str">
        <f>D_Emissions!E146</f>
        <v>Emissions attributable to heat output</v>
      </c>
      <c r="F177" s="3461"/>
      <c r="G177" s="1567" t="str">
        <f>D_Emissions!G146</f>
        <v>t CO2 / year</v>
      </c>
      <c r="H177" s="635" t="str">
        <f>D_Emissions!H146</f>
        <v/>
      </c>
      <c r="I177" s="2104" t="str">
        <f>D_Emissions!I146</f>
        <v/>
      </c>
      <c r="J177" s="2105" t="str">
        <f>D_Emissions!J146</f>
        <v/>
      </c>
      <c r="K177" s="1960" t="str">
        <f>D_Emissions!K146</f>
        <v/>
      </c>
      <c r="L177" s="1960" t="str">
        <f>D_Emissions!L146</f>
        <v/>
      </c>
      <c r="M177" s="1960" t="str">
        <f>D_Emissions!M146</f>
        <v/>
      </c>
      <c r="N177" s="1960" t="str">
        <f>D_Emissions!N146</f>
        <v/>
      </c>
      <c r="O177" s="485"/>
      <c r="P177" s="1137"/>
      <c r="Q177" s="1137"/>
      <c r="R177" s="1137"/>
      <c r="S177" s="1137"/>
      <c r="T177" s="1137"/>
      <c r="U177" s="1137"/>
      <c r="V177" s="1137"/>
    </row>
    <row r="178" spans="1:22" s="562" customFormat="1" ht="12.75" customHeight="1">
      <c r="A178" s="817"/>
      <c r="C178" s="485"/>
      <c r="D178" s="485"/>
      <c r="E178" s="2587" t="str">
        <f>D_Emissions!E147</f>
        <v>Emission factor, heat</v>
      </c>
      <c r="F178" s="3461"/>
      <c r="G178" s="730" t="str">
        <f>D_Emissions!G147</f>
        <v>t CO2 / TJ</v>
      </c>
      <c r="H178" s="623" t="str">
        <f>D_Emissions!H147</f>
        <v/>
      </c>
      <c r="I178" s="800" t="str">
        <f>D_Emissions!I147</f>
        <v/>
      </c>
      <c r="J178" s="1788" t="str">
        <f>D_Emissions!J147</f>
        <v/>
      </c>
      <c r="K178" s="1789" t="str">
        <f>D_Emissions!K147</f>
        <v/>
      </c>
      <c r="L178" s="1789" t="str">
        <f>D_Emissions!L147</f>
        <v/>
      </c>
      <c r="M178" s="1789" t="str">
        <f>D_Emissions!M147</f>
        <v/>
      </c>
      <c r="N178" s="1789" t="str">
        <f>D_Emissions!N147</f>
        <v/>
      </c>
      <c r="O178" s="485"/>
      <c r="P178" s="1137"/>
      <c r="Q178" s="1137"/>
      <c r="R178" s="1137"/>
      <c r="S178" s="1137"/>
      <c r="T178" s="1137"/>
      <c r="U178" s="1137"/>
      <c r="V178" s="1137"/>
    </row>
    <row r="179" spans="1:22" s="562" customFormat="1" ht="5.0999999999999996" customHeight="1">
      <c r="A179" s="817"/>
      <c r="C179" s="485"/>
      <c r="D179" s="485"/>
      <c r="E179" s="485"/>
      <c r="F179" s="485"/>
      <c r="G179" s="485"/>
      <c r="H179" s="485"/>
      <c r="I179" s="485"/>
      <c r="J179" s="1790"/>
      <c r="K179" s="1791"/>
      <c r="L179" s="1791"/>
      <c r="M179" s="1791"/>
      <c r="N179" s="1791"/>
      <c r="O179" s="485"/>
      <c r="P179" s="1137"/>
      <c r="Q179" s="1137"/>
      <c r="R179" s="1137"/>
      <c r="S179" s="1137"/>
      <c r="T179" s="1137"/>
      <c r="U179" s="1137"/>
      <c r="V179" s="1137"/>
    </row>
    <row r="180" spans="1:22" s="562" customFormat="1" ht="12.75" customHeight="1">
      <c r="A180" s="817"/>
      <c r="C180" s="485"/>
      <c r="D180" s="485"/>
      <c r="E180" s="2606" t="str">
        <f>D_Emissions!E151</f>
        <v>Fuel input for heat</v>
      </c>
      <c r="F180" s="3467"/>
      <c r="G180" s="721" t="str">
        <f>D_Emissions!G151</f>
        <v>TJ / year</v>
      </c>
      <c r="H180" s="625" t="str">
        <f>D_Emissions!H151</f>
        <v/>
      </c>
      <c r="I180" s="794" t="str">
        <f>D_Emissions!I151</f>
        <v/>
      </c>
      <c r="J180" s="1788" t="str">
        <f>D_Emissions!J151</f>
        <v/>
      </c>
      <c r="K180" s="1789" t="str">
        <f>D_Emissions!K151</f>
        <v/>
      </c>
      <c r="L180" s="1789" t="str">
        <f>D_Emissions!L151</f>
        <v/>
      </c>
      <c r="M180" s="1789" t="str">
        <f>D_Emissions!M151</f>
        <v/>
      </c>
      <c r="N180" s="1789" t="str">
        <f>D_Emissions!N151</f>
        <v/>
      </c>
      <c r="O180" s="485"/>
      <c r="P180" s="1137"/>
      <c r="Q180" s="1137"/>
      <c r="R180" s="1137"/>
      <c r="S180" s="1137"/>
      <c r="T180" s="1137"/>
      <c r="U180" s="1137"/>
      <c r="V180" s="1137"/>
    </row>
    <row r="181" spans="1:22" s="562" customFormat="1" ht="12.75" customHeight="1">
      <c r="A181" s="817"/>
      <c r="C181" s="485"/>
      <c r="D181" s="485"/>
      <c r="E181" s="2586" t="str">
        <f>D_Emissions!E152</f>
        <v>Fuel input for electricity</v>
      </c>
      <c r="F181" s="3466"/>
      <c r="G181" s="728" t="str">
        <f>D_Emissions!G152</f>
        <v>TJ / year</v>
      </c>
      <c r="H181" s="627" t="str">
        <f>D_Emissions!H152</f>
        <v/>
      </c>
      <c r="I181" s="796" t="str">
        <f>D_Emissions!I152</f>
        <v/>
      </c>
      <c r="J181" s="1788" t="str">
        <f>D_Emissions!J152</f>
        <v/>
      </c>
      <c r="K181" s="1789" t="str">
        <f>D_Emissions!K152</f>
        <v/>
      </c>
      <c r="L181" s="1789" t="str">
        <f>D_Emissions!L152</f>
        <v/>
      </c>
      <c r="M181" s="1789" t="str">
        <f>D_Emissions!M152</f>
        <v/>
      </c>
      <c r="N181" s="1789" t="str">
        <f>D_Emissions!N152</f>
        <v/>
      </c>
      <c r="O181" s="485"/>
      <c r="P181" s="1137"/>
      <c r="Q181" s="1137"/>
      <c r="R181" s="1137"/>
      <c r="S181" s="1137"/>
      <c r="T181" s="1137"/>
      <c r="U181" s="1137"/>
      <c r="V181" s="1137"/>
    </row>
    <row r="182" spans="1:22" s="562" customFormat="1" ht="12.75" customHeight="1">
      <c r="A182" s="817"/>
      <c r="C182" s="485"/>
      <c r="D182" s="485"/>
      <c r="E182" s="485"/>
      <c r="F182" s="485"/>
      <c r="G182" s="485"/>
      <c r="H182" s="485"/>
      <c r="I182" s="485"/>
      <c r="J182" s="485"/>
      <c r="K182" s="485"/>
      <c r="L182" s="485"/>
      <c r="M182" s="485"/>
      <c r="N182" s="485"/>
      <c r="O182" s="485"/>
      <c r="P182" s="1137"/>
      <c r="Q182" s="1137"/>
      <c r="R182" s="1137"/>
      <c r="S182" s="1137"/>
      <c r="T182" s="1137"/>
      <c r="U182" s="1137"/>
      <c r="V182" s="1137"/>
    </row>
    <row r="183" spans="1:22" s="562" customFormat="1" ht="14.1" customHeight="1">
      <c r="A183" s="817"/>
      <c r="C183" s="559">
        <v>4</v>
      </c>
      <c r="D183" s="2464" t="s">
        <v>1418</v>
      </c>
      <c r="E183" s="2380"/>
      <c r="F183" s="2380"/>
      <c r="G183" s="2380"/>
      <c r="H183" s="2380"/>
      <c r="I183" s="2380"/>
      <c r="J183" s="2380"/>
      <c r="K183" s="2380"/>
      <c r="L183" s="2380"/>
      <c r="M183" s="2380"/>
      <c r="N183" s="2380"/>
      <c r="O183" s="485"/>
      <c r="P183" s="1137"/>
      <c r="Q183" s="1137"/>
      <c r="R183" s="1185" t="s">
        <v>1982</v>
      </c>
      <c r="S183" s="1137"/>
      <c r="T183" s="1137"/>
      <c r="U183" s="1137"/>
      <c r="V183" s="1137"/>
    </row>
    <row r="184" spans="1:22" s="562" customFormat="1" ht="5.0999999999999996" customHeight="1" thickBot="1">
      <c r="A184" s="817"/>
      <c r="C184" s="481"/>
      <c r="D184" s="481"/>
      <c r="E184" s="481"/>
      <c r="F184" s="481"/>
      <c r="G184" s="481"/>
      <c r="H184" s="481"/>
      <c r="I184" s="481"/>
      <c r="J184" s="481"/>
      <c r="K184" s="481"/>
      <c r="L184" s="481"/>
      <c r="M184" s="481"/>
      <c r="N184" s="481"/>
      <c r="O184" s="485"/>
      <c r="P184" s="1117"/>
      <c r="Q184" s="1117"/>
      <c r="R184" s="1137"/>
      <c r="S184" s="1137"/>
      <c r="T184" s="1137"/>
      <c r="U184" s="1137"/>
      <c r="V184" s="1137"/>
    </row>
    <row r="185" spans="1:22" s="562" customFormat="1" ht="12.75" customHeight="1" thickBot="1">
      <c r="A185" s="817"/>
      <c r="C185" s="481"/>
      <c r="D185" s="482" t="s">
        <v>400</v>
      </c>
      <c r="E185" s="2508" t="str">
        <f>D_Emissions!E170</f>
        <v>This section relates to the process emissions sub-installation of this type:</v>
      </c>
      <c r="F185" s="2508"/>
      <c r="G185" s="2508"/>
      <c r="H185" s="2508"/>
      <c r="I185" s="2508"/>
      <c r="J185" s="2508"/>
      <c r="K185" s="2580"/>
      <c r="L185" s="3462" t="str">
        <f>IF(ISBLANK(D_Emissions!L170),"",D_Emissions!L170)</f>
        <v/>
      </c>
      <c r="M185" s="3463"/>
      <c r="N185" s="3464"/>
      <c r="O185" s="485"/>
      <c r="P185" s="1137"/>
      <c r="Q185" s="1137"/>
      <c r="R185" s="1584" t="str">
        <f>IF(D_Emissions!L170="","",MATCH(D_Emissions!L170,EUconst_CLnonCL,0)+1320)</f>
        <v/>
      </c>
      <c r="S185" s="1137"/>
      <c r="T185" s="1137"/>
      <c r="U185" s="1137"/>
      <c r="V185" s="1137"/>
    </row>
    <row r="186" spans="1:22" s="562" customFormat="1" ht="12.75" customHeight="1">
      <c r="A186" s="817"/>
      <c r="C186" s="481"/>
      <c r="D186" s="482"/>
      <c r="E186" s="2508" t="str">
        <f>D_Emissions!E176</f>
        <v>Type of waste gas:</v>
      </c>
      <c r="F186" s="2380"/>
      <c r="G186" s="3465"/>
      <c r="H186" s="2872" t="str">
        <f>IF(ISBLANK(D_Emissions!H176),"",D_Emissions!H176)</f>
        <v/>
      </c>
      <c r="I186" s="2873"/>
      <c r="J186" s="2873"/>
      <c r="K186" s="2873"/>
      <c r="L186" s="2873"/>
      <c r="M186" s="2873"/>
      <c r="N186" s="2874"/>
      <c r="O186" s="485"/>
      <c r="P186" s="1137"/>
      <c r="Q186" s="1137"/>
      <c r="R186" s="1137"/>
      <c r="S186" s="1137"/>
      <c r="T186" s="1137"/>
      <c r="U186" s="1137"/>
      <c r="V186" s="1137"/>
    </row>
    <row r="187" spans="1:22" s="562" customFormat="1" ht="12.75" customHeight="1">
      <c r="A187" s="817"/>
      <c r="C187" s="485"/>
      <c r="D187" s="485"/>
      <c r="E187" s="636"/>
      <c r="F187" s="637"/>
      <c r="G187" s="577" t="s">
        <v>884</v>
      </c>
      <c r="H187" s="578">
        <f t="shared" ref="H187:N187" si="20">H$2737</f>
        <v>2024</v>
      </c>
      <c r="I187" s="697">
        <f t="shared" si="20"/>
        <v>2025</v>
      </c>
      <c r="J187" s="1489">
        <f t="shared" si="20"/>
        <v>2026</v>
      </c>
      <c r="K187" s="1490">
        <f t="shared" si="20"/>
        <v>2027</v>
      </c>
      <c r="L187" s="1490">
        <f t="shared" si="20"/>
        <v>2028</v>
      </c>
      <c r="M187" s="1490">
        <f t="shared" si="20"/>
        <v>2029</v>
      </c>
      <c r="N187" s="1490">
        <f t="shared" si="20"/>
        <v>2030</v>
      </c>
      <c r="O187" s="485"/>
      <c r="P187" s="1137"/>
      <c r="Q187" s="1137"/>
      <c r="R187" s="1137"/>
      <c r="S187" s="1137"/>
      <c r="T187" s="1137"/>
      <c r="U187" s="1137"/>
      <c r="V187" s="1137"/>
    </row>
    <row r="188" spans="1:22" s="562" customFormat="1" ht="12.75" customHeight="1">
      <c r="A188" s="817"/>
      <c r="C188" s="485"/>
      <c r="D188" s="485"/>
      <c r="E188" s="2788" t="str">
        <f>D_Emissions!E185</f>
        <v>Uncorrected process emissions</v>
      </c>
      <c r="F188" s="3461"/>
      <c r="G188" s="730" t="str">
        <f>D_Emissions!G185</f>
        <v>t CO2e/year</v>
      </c>
      <c r="H188" s="638" t="str">
        <f>IF(ISBLANK(D_Emissions!H185),"",D_Emissions!H185)</f>
        <v/>
      </c>
      <c r="I188" s="684" t="str">
        <f>IF(ISBLANK(D_Emissions!I185),"",D_Emissions!I185)</f>
        <v/>
      </c>
      <c r="J188" s="1790" t="str">
        <f>IF(ISBLANK(D_Emissions!J185),"",D_Emissions!J185)</f>
        <v/>
      </c>
      <c r="K188" s="1791" t="str">
        <f>IF(ISBLANK(D_Emissions!K185),"",D_Emissions!K185)</f>
        <v/>
      </c>
      <c r="L188" s="1791" t="str">
        <f>IF(ISBLANK(D_Emissions!L185),"",D_Emissions!L185)</f>
        <v/>
      </c>
      <c r="M188" s="1791" t="str">
        <f>IF(ISBLANK(D_Emissions!M185),"",D_Emissions!M185)</f>
        <v/>
      </c>
      <c r="N188" s="1791" t="str">
        <f>IF(ISBLANK(D_Emissions!N185),"",D_Emissions!N185)</f>
        <v/>
      </c>
      <c r="O188" s="485"/>
      <c r="P188" s="1137"/>
      <c r="Q188" s="1137"/>
      <c r="R188" s="1137"/>
      <c r="S188" s="1137"/>
      <c r="T188" s="1137"/>
      <c r="U188" s="1137"/>
      <c r="V188" s="1137"/>
    </row>
    <row r="189" spans="1:22" s="562" customFormat="1" ht="12.75" customHeight="1">
      <c r="A189" s="817"/>
      <c r="C189" s="485"/>
      <c r="D189" s="485"/>
      <c r="E189" s="2788" t="s">
        <v>657</v>
      </c>
      <c r="F189" s="3461"/>
      <c r="G189" s="730" t="str">
        <f>D_Emissions!G191</f>
        <v>t CO2e/year</v>
      </c>
      <c r="H189" s="638" t="str">
        <f>IF(ISBLANK(D_Emissions!H191),"",D_Emissions!H191)</f>
        <v/>
      </c>
      <c r="I189" s="684" t="str">
        <f>IF(ISBLANK(D_Emissions!I191),"",D_Emissions!I191)</f>
        <v/>
      </c>
      <c r="J189" s="1790" t="str">
        <f>IF(ISBLANK(D_Emissions!J191),"",D_Emissions!J191)</f>
        <v/>
      </c>
      <c r="K189" s="1791" t="str">
        <f>IF(ISBLANK(D_Emissions!K191),"",D_Emissions!K191)</f>
        <v/>
      </c>
      <c r="L189" s="1791" t="str">
        <f>IF(ISBLANK(D_Emissions!L191),"",D_Emissions!L191)</f>
        <v/>
      </c>
      <c r="M189" s="1791" t="str">
        <f>IF(ISBLANK(D_Emissions!M191),"",D_Emissions!M191)</f>
        <v/>
      </c>
      <c r="N189" s="1791" t="str">
        <f>IF(ISBLANK(D_Emissions!N191),"",D_Emissions!N191)</f>
        <v/>
      </c>
      <c r="O189" s="485"/>
      <c r="P189" s="1137"/>
      <c r="Q189" s="1137"/>
      <c r="R189" s="1137"/>
      <c r="S189" s="1137"/>
      <c r="T189" s="1137"/>
      <c r="U189" s="1137"/>
      <c r="V189" s="1137"/>
    </row>
    <row r="190" spans="1:22" s="562" customFormat="1" ht="12.75" customHeight="1">
      <c r="A190" s="817"/>
      <c r="C190" s="485"/>
      <c r="D190" s="485"/>
      <c r="E190" s="2788" t="s">
        <v>376</v>
      </c>
      <c r="F190" s="3461"/>
      <c r="G190" s="1040" t="str">
        <f>IF(ISBLANK(D_Emissions!G198),"",D_Emissions!G198)</f>
        <v/>
      </c>
      <c r="H190" s="638" t="str">
        <f>IF(ISBLANK(D_Emissions!H198),"",D_Emissions!H198)</f>
        <v/>
      </c>
      <c r="I190" s="684" t="str">
        <f>IF(ISBLANK(D_Emissions!I198),"",D_Emissions!I198)</f>
        <v/>
      </c>
      <c r="J190" s="1790" t="str">
        <f>IF(ISBLANK(D_Emissions!J198),"",D_Emissions!J198)</f>
        <v/>
      </c>
      <c r="K190" s="1791" t="str">
        <f>IF(ISBLANK(D_Emissions!K198),"",D_Emissions!K198)</f>
        <v/>
      </c>
      <c r="L190" s="1791" t="str">
        <f>IF(ISBLANK(D_Emissions!L198),"",D_Emissions!L198)</f>
        <v/>
      </c>
      <c r="M190" s="1791" t="str">
        <f>IF(ISBLANK(D_Emissions!M198),"",D_Emissions!M198)</f>
        <v/>
      </c>
      <c r="N190" s="1791" t="str">
        <f>IF(ISBLANK(D_Emissions!N198),"",D_Emissions!N198)</f>
        <v/>
      </c>
      <c r="O190" s="485"/>
      <c r="P190" s="1137"/>
      <c r="Q190" s="1137"/>
      <c r="R190" s="1137"/>
      <c r="S190" s="1137"/>
      <c r="T190" s="1137"/>
      <c r="U190" s="1137"/>
      <c r="V190" s="1137"/>
    </row>
    <row r="191" spans="1:22" s="562" customFormat="1" ht="12.75" customHeight="1">
      <c r="A191" s="817"/>
      <c r="C191" s="485"/>
      <c r="D191" s="485"/>
      <c r="E191" s="2788" t="str">
        <f>D_Emissions!E203</f>
        <v>Net calorific value</v>
      </c>
      <c r="F191" s="3461"/>
      <c r="G191" s="1040" t="str">
        <f>D_Emissions!G203</f>
        <v>GJ / Unit</v>
      </c>
      <c r="H191" s="638" t="str">
        <f>IF(ISBLANK(D_Emissions!H203),"",D_Emissions!H203)</f>
        <v/>
      </c>
      <c r="I191" s="684" t="str">
        <f>IF(ISBLANK(D_Emissions!I203),"",D_Emissions!I203)</f>
        <v/>
      </c>
      <c r="J191" s="1790" t="str">
        <f>IF(ISBLANK(D_Emissions!J203),"",D_Emissions!J203)</f>
        <v/>
      </c>
      <c r="K191" s="1791" t="str">
        <f>IF(ISBLANK(D_Emissions!K203),"",D_Emissions!K203)</f>
        <v/>
      </c>
      <c r="L191" s="1791" t="str">
        <f>IF(ISBLANK(D_Emissions!L203),"",D_Emissions!L203)</f>
        <v/>
      </c>
      <c r="M191" s="1791" t="str">
        <f>IF(ISBLANK(D_Emissions!M203),"",D_Emissions!M203)</f>
        <v/>
      </c>
      <c r="N191" s="1791" t="str">
        <f>IF(ISBLANK(D_Emissions!N203),"",D_Emissions!N203)</f>
        <v/>
      </c>
      <c r="O191" s="485"/>
      <c r="P191" s="1137"/>
      <c r="Q191" s="1137"/>
      <c r="R191" s="1137"/>
      <c r="S191" s="1137"/>
      <c r="T191" s="1137"/>
      <c r="U191" s="1137"/>
      <c r="V191" s="1137"/>
    </row>
    <row r="192" spans="1:22" s="562" customFormat="1" ht="12.75" customHeight="1">
      <c r="A192" s="817"/>
      <c r="C192" s="485"/>
      <c r="D192" s="485"/>
      <c r="E192" s="3470" t="s">
        <v>377</v>
      </c>
      <c r="F192" s="3461"/>
      <c r="G192" s="1567" t="str">
        <f>D_Emissions!G212</f>
        <v>t CO2 / year</v>
      </c>
      <c r="H192" s="641" t="str">
        <f>D_Emissions!H212</f>
        <v/>
      </c>
      <c r="I192" s="1568" t="str">
        <f>D_Emissions!I212</f>
        <v/>
      </c>
      <c r="J192" s="1537" t="str">
        <f>D_Emissions!J212</f>
        <v/>
      </c>
      <c r="K192" s="1538" t="str">
        <f>D_Emissions!K212</f>
        <v/>
      </c>
      <c r="L192" s="1538" t="str">
        <f>D_Emissions!L212</f>
        <v/>
      </c>
      <c r="M192" s="1538" t="str">
        <f>D_Emissions!M212</f>
        <v/>
      </c>
      <c r="N192" s="1538" t="str">
        <f>D_Emissions!N212</f>
        <v/>
      </c>
      <c r="O192" s="485"/>
      <c r="P192" s="1137"/>
      <c r="Q192" s="1137"/>
      <c r="R192" s="1137"/>
      <c r="S192" s="1137"/>
      <c r="T192" s="1137"/>
      <c r="U192" s="1137"/>
      <c r="V192" s="1137"/>
    </row>
    <row r="193" spans="1:22" s="562" customFormat="1" ht="12.75" customHeight="1">
      <c r="A193" s="817"/>
      <c r="C193" s="485"/>
      <c r="D193" s="485"/>
      <c r="E193" s="3470" t="str">
        <f>D_Emissions!E219</f>
        <v>Result of waste gas tool:</v>
      </c>
      <c r="F193" s="3461"/>
      <c r="G193" s="1569" t="str">
        <f>D_Emissions!G219</f>
        <v>t CO2 / year</v>
      </c>
      <c r="H193" s="641" t="str">
        <f>D_Emissions!H219</f>
        <v/>
      </c>
      <c r="I193" s="1568" t="str">
        <f>D_Emissions!I219</f>
        <v/>
      </c>
      <c r="J193" s="1537" t="str">
        <f>D_Emissions!J219</f>
        <v/>
      </c>
      <c r="K193" s="1538" t="str">
        <f>D_Emissions!K219</f>
        <v/>
      </c>
      <c r="L193" s="1538" t="str">
        <f>D_Emissions!L219</f>
        <v/>
      </c>
      <c r="M193" s="1538" t="str">
        <f>D_Emissions!M219</f>
        <v/>
      </c>
      <c r="N193" s="1538" t="str">
        <f>D_Emissions!N219</f>
        <v/>
      </c>
      <c r="O193" s="485"/>
      <c r="P193" s="1137"/>
      <c r="Q193" s="1137"/>
      <c r="R193" s="1137"/>
      <c r="S193" s="1137"/>
      <c r="T193" s="1137"/>
      <c r="U193" s="1137"/>
      <c r="V193" s="1137"/>
    </row>
    <row r="194" spans="1:22" s="562" customFormat="1" ht="5.0999999999999996" customHeight="1">
      <c r="A194" s="817"/>
      <c r="C194" s="485"/>
      <c r="D194" s="485"/>
      <c r="E194" s="485"/>
      <c r="F194" s="485"/>
      <c r="G194" s="485"/>
      <c r="H194" s="485"/>
      <c r="I194" s="485"/>
      <c r="J194" s="485"/>
      <c r="K194" s="485"/>
      <c r="L194" s="485"/>
      <c r="M194" s="485"/>
      <c r="N194" s="485"/>
      <c r="O194" s="485"/>
      <c r="P194" s="1137"/>
      <c r="Q194" s="1137"/>
      <c r="R194" s="1137"/>
      <c r="S194" s="1137"/>
      <c r="T194" s="1137"/>
      <c r="U194" s="1137"/>
      <c r="V194" s="1137"/>
    </row>
    <row r="195" spans="1:22" s="562" customFormat="1" ht="12.75" customHeight="1">
      <c r="A195" s="817"/>
      <c r="C195" s="485"/>
      <c r="D195" s="485"/>
      <c r="E195" s="2575" t="str">
        <f>D_Emissions!E206</f>
        <v>Reference efficiency for production of electricity:</v>
      </c>
      <c r="F195" s="2575"/>
      <c r="G195" s="2575"/>
      <c r="H195" s="2575"/>
      <c r="I195" s="643"/>
      <c r="J195" s="643" t="str">
        <f>D_Emissions!J206</f>
        <v>using natural gas:</v>
      </c>
      <c r="K195" s="644">
        <f>IF(ISBLANK(D_Emissions!K206),"",D_Emissions!K206)</f>
        <v>0.52500000000000002</v>
      </c>
      <c r="L195" s="645"/>
      <c r="M195" s="643" t="str">
        <f>D_Emissions!M206</f>
        <v>using waste gas:</v>
      </c>
      <c r="N195" s="644">
        <f>IF(ISBLANK(D_Emissions!N206),"",D_Emissions!N206)</f>
        <v>0.35</v>
      </c>
      <c r="O195" s="485"/>
      <c r="P195" s="1137"/>
      <c r="Q195" s="1137"/>
      <c r="R195" s="1185" t="s">
        <v>1982</v>
      </c>
      <c r="S195" s="1137"/>
      <c r="T195" s="1137"/>
      <c r="U195" s="1137"/>
      <c r="V195" s="1137"/>
    </row>
    <row r="196" spans="1:22" s="562" customFormat="1" ht="12.75" customHeight="1" thickBot="1">
      <c r="A196" s="817"/>
      <c r="C196" s="481"/>
      <c r="D196" s="481"/>
      <c r="E196" s="481"/>
      <c r="F196" s="481"/>
      <c r="G196" s="481"/>
      <c r="H196" s="481"/>
      <c r="I196" s="481"/>
      <c r="J196" s="481"/>
      <c r="K196" s="481"/>
      <c r="L196" s="481"/>
      <c r="M196" s="481"/>
      <c r="N196" s="481"/>
      <c r="O196" s="485"/>
      <c r="P196" s="1137"/>
      <c r="Q196" s="1137"/>
      <c r="R196" s="1137"/>
      <c r="S196" s="1137"/>
      <c r="T196" s="1137"/>
      <c r="U196" s="1137"/>
      <c r="V196" s="1137"/>
    </row>
    <row r="197" spans="1:22" s="562" customFormat="1" ht="12.75" customHeight="1" thickBot="1">
      <c r="A197" s="817"/>
      <c r="C197" s="481"/>
      <c r="D197" s="482" t="s">
        <v>876</v>
      </c>
      <c r="E197" s="2508" t="str">
        <f>D_Emissions!E226</f>
        <v>This section relates to the process emissions sub-installation of this type:</v>
      </c>
      <c r="F197" s="2380"/>
      <c r="G197" s="2380"/>
      <c r="H197" s="2380"/>
      <c r="I197" s="2380"/>
      <c r="J197" s="2380"/>
      <c r="K197" s="3465"/>
      <c r="L197" s="3462" t="str">
        <f>IF(ISBLANK(D_Emissions!L226),"",D_Emissions!L226)</f>
        <v/>
      </c>
      <c r="M197" s="3463"/>
      <c r="N197" s="3464"/>
      <c r="O197" s="485"/>
      <c r="P197" s="1137"/>
      <c r="Q197" s="1137"/>
      <c r="R197" s="1584" t="str">
        <f>IF(D_Emissions!L226="","",MATCH(D_Emissions!L226,EUconst_CLnonCL,0)+1320)</f>
        <v/>
      </c>
      <c r="S197" s="1137"/>
      <c r="T197" s="1137"/>
      <c r="U197" s="1137"/>
      <c r="V197" s="1137"/>
    </row>
    <row r="198" spans="1:22" s="562" customFormat="1" ht="12.75" customHeight="1">
      <c r="A198" s="817"/>
      <c r="C198" s="481"/>
      <c r="D198" s="482"/>
      <c r="E198" s="2508" t="str">
        <f>D_Emissions!E230</f>
        <v>Type of waste gas:</v>
      </c>
      <c r="F198" s="2380"/>
      <c r="G198" s="3465"/>
      <c r="H198" s="2872" t="str">
        <f>IF(ISBLANK(D_Emissions!H230),"",D_Emissions!H230)</f>
        <v/>
      </c>
      <c r="I198" s="2873"/>
      <c r="J198" s="2873"/>
      <c r="K198" s="2873"/>
      <c r="L198" s="2873"/>
      <c r="M198" s="2873"/>
      <c r="N198" s="2874"/>
      <c r="O198" s="485"/>
      <c r="P198" s="1137"/>
      <c r="Q198" s="1137"/>
      <c r="R198" s="1137"/>
      <c r="S198" s="1137"/>
      <c r="T198" s="1137"/>
      <c r="U198" s="1137"/>
      <c r="V198" s="1137"/>
    </row>
    <row r="199" spans="1:22" s="562" customFormat="1" ht="12.75" customHeight="1">
      <c r="A199" s="817"/>
      <c r="C199" s="485"/>
      <c r="D199" s="482"/>
      <c r="E199" s="636"/>
      <c r="F199" s="637"/>
      <c r="G199" s="577" t="str">
        <f>D_Emissions!G237</f>
        <v>Unit</v>
      </c>
      <c r="H199" s="578">
        <f t="shared" ref="H199:N199" si="21">H$2737</f>
        <v>2024</v>
      </c>
      <c r="I199" s="697">
        <f t="shared" si="21"/>
        <v>2025</v>
      </c>
      <c r="J199" s="1489">
        <f t="shared" si="21"/>
        <v>2026</v>
      </c>
      <c r="K199" s="1490">
        <f t="shared" si="21"/>
        <v>2027</v>
      </c>
      <c r="L199" s="1490">
        <f t="shared" si="21"/>
        <v>2028</v>
      </c>
      <c r="M199" s="1490">
        <f t="shared" si="21"/>
        <v>2029</v>
      </c>
      <c r="N199" s="1490">
        <f t="shared" si="21"/>
        <v>2030</v>
      </c>
      <c r="O199" s="485"/>
      <c r="P199" s="1137"/>
      <c r="Q199" s="1137"/>
      <c r="R199" s="1137"/>
      <c r="S199" s="1137"/>
      <c r="T199" s="1137"/>
      <c r="U199" s="1137"/>
      <c r="V199" s="1137"/>
    </row>
    <row r="200" spans="1:22" s="562" customFormat="1" ht="12.75" customHeight="1">
      <c r="A200" s="817"/>
      <c r="C200" s="485"/>
      <c r="D200" s="485"/>
      <c r="E200" s="2788" t="str">
        <f>D_Emissions!E238</f>
        <v>Uncorrected process emissions</v>
      </c>
      <c r="F200" s="3461"/>
      <c r="G200" s="730" t="str">
        <f>D_Emissions!G238</f>
        <v>t CO2e/year</v>
      </c>
      <c r="H200" s="638" t="str">
        <f>IF(ISBLANK(D_Emissions!H238),"",D_Emissions!H238)</f>
        <v/>
      </c>
      <c r="I200" s="684" t="str">
        <f>IF(ISBLANK(D_Emissions!I238),"",D_Emissions!I238)</f>
        <v/>
      </c>
      <c r="J200" s="1790" t="str">
        <f>IF(ISBLANK(D_Emissions!J238),"",D_Emissions!J238)</f>
        <v/>
      </c>
      <c r="K200" s="1791" t="str">
        <f>IF(ISBLANK(D_Emissions!K238),"",D_Emissions!K238)</f>
        <v/>
      </c>
      <c r="L200" s="1791" t="str">
        <f>IF(ISBLANK(D_Emissions!L238),"",D_Emissions!L238)</f>
        <v/>
      </c>
      <c r="M200" s="1791" t="str">
        <f>IF(ISBLANK(D_Emissions!M238),"",D_Emissions!M238)</f>
        <v/>
      </c>
      <c r="N200" s="1791" t="str">
        <f>IF(ISBLANK(D_Emissions!N238),"",D_Emissions!N238)</f>
        <v/>
      </c>
      <c r="O200" s="485"/>
      <c r="P200" s="1137"/>
      <c r="Q200" s="1137"/>
      <c r="R200" s="1137"/>
      <c r="S200" s="1137"/>
      <c r="T200" s="1137"/>
      <c r="U200" s="1137"/>
      <c r="V200" s="1137"/>
    </row>
    <row r="201" spans="1:22" s="562" customFormat="1" ht="12.75" customHeight="1">
      <c r="A201" s="817"/>
      <c r="C201" s="485"/>
      <c r="D201" s="485"/>
      <c r="E201" s="2788" t="s">
        <v>657</v>
      </c>
      <c r="F201" s="3461"/>
      <c r="G201" s="730" t="str">
        <f>D_Emissions!G243</f>
        <v>t CO2e/year</v>
      </c>
      <c r="H201" s="638" t="str">
        <f>IF(ISBLANK(D_Emissions!H243),"",D_Emissions!H243)</f>
        <v/>
      </c>
      <c r="I201" s="684" t="str">
        <f>IF(ISBLANK(D_Emissions!I243),"",D_Emissions!I243)</f>
        <v/>
      </c>
      <c r="J201" s="1790" t="str">
        <f>IF(ISBLANK(D_Emissions!J243),"",D_Emissions!J243)</f>
        <v/>
      </c>
      <c r="K201" s="1791" t="str">
        <f>IF(ISBLANK(D_Emissions!K243),"",D_Emissions!K243)</f>
        <v/>
      </c>
      <c r="L201" s="1791" t="str">
        <f>IF(ISBLANK(D_Emissions!L243),"",D_Emissions!L243)</f>
        <v/>
      </c>
      <c r="M201" s="1791" t="str">
        <f>IF(ISBLANK(D_Emissions!M243),"",D_Emissions!M243)</f>
        <v/>
      </c>
      <c r="N201" s="1791" t="str">
        <f>IF(ISBLANK(D_Emissions!N243),"",D_Emissions!N243)</f>
        <v/>
      </c>
      <c r="O201" s="485"/>
      <c r="P201" s="1137"/>
      <c r="Q201" s="1137"/>
      <c r="R201" s="1137"/>
      <c r="S201" s="1137"/>
      <c r="T201" s="1137"/>
      <c r="U201" s="1137"/>
      <c r="V201" s="1137"/>
    </row>
    <row r="202" spans="1:22" s="562" customFormat="1" ht="12.75" customHeight="1">
      <c r="A202" s="817"/>
      <c r="C202" s="485"/>
      <c r="D202" s="485"/>
      <c r="E202" s="2788" t="s">
        <v>376</v>
      </c>
      <c r="F202" s="3461"/>
      <c r="G202" s="1040" t="str">
        <f>IF(ISBLANK(D_Emissions!G248),"",D_Emissions!G248)</f>
        <v/>
      </c>
      <c r="H202" s="638" t="str">
        <f>IF(ISBLANK(D_Emissions!H248),"",D_Emissions!H248)</f>
        <v/>
      </c>
      <c r="I202" s="684" t="str">
        <f>IF(ISBLANK(D_Emissions!I248),"",D_Emissions!I248)</f>
        <v/>
      </c>
      <c r="J202" s="1790" t="str">
        <f>IF(ISBLANK(D_Emissions!J248),"",D_Emissions!J248)</f>
        <v/>
      </c>
      <c r="K202" s="1791" t="str">
        <f>IF(ISBLANK(D_Emissions!K248),"",D_Emissions!K248)</f>
        <v/>
      </c>
      <c r="L202" s="1791" t="str">
        <f>IF(ISBLANK(D_Emissions!L248),"",D_Emissions!L248)</f>
        <v/>
      </c>
      <c r="M202" s="1791" t="str">
        <f>IF(ISBLANK(D_Emissions!M248),"",D_Emissions!M248)</f>
        <v/>
      </c>
      <c r="N202" s="1791" t="str">
        <f>IF(ISBLANK(D_Emissions!N248),"",D_Emissions!N248)</f>
        <v/>
      </c>
      <c r="O202" s="485"/>
      <c r="P202" s="1137"/>
      <c r="Q202" s="1137"/>
      <c r="R202" s="1137"/>
      <c r="S202" s="1137"/>
      <c r="T202" s="1137"/>
      <c r="U202" s="1137"/>
      <c r="V202" s="1137"/>
    </row>
    <row r="203" spans="1:22" s="562" customFormat="1" ht="12.75" customHeight="1">
      <c r="A203" s="817"/>
      <c r="C203" s="485"/>
      <c r="D203" s="485"/>
      <c r="E203" s="2788" t="str">
        <f>D_Emissions!E252</f>
        <v>Net calorific value</v>
      </c>
      <c r="F203" s="3461"/>
      <c r="G203" s="1040" t="str">
        <f>D_Emissions!G252</f>
        <v>GJ / Unit</v>
      </c>
      <c r="H203" s="638" t="str">
        <f>IF(ISBLANK(D_Emissions!H252),"",D_Emissions!H252)</f>
        <v/>
      </c>
      <c r="I203" s="684" t="str">
        <f>IF(ISBLANK(D_Emissions!I252),"",D_Emissions!I252)</f>
        <v/>
      </c>
      <c r="J203" s="1790" t="str">
        <f>IF(ISBLANK(D_Emissions!J252),"",D_Emissions!J252)</f>
        <v/>
      </c>
      <c r="K203" s="1791" t="str">
        <f>IF(ISBLANK(D_Emissions!K252),"",D_Emissions!K252)</f>
        <v/>
      </c>
      <c r="L203" s="1791" t="str">
        <f>IF(ISBLANK(D_Emissions!L252),"",D_Emissions!L252)</f>
        <v/>
      </c>
      <c r="M203" s="1791" t="str">
        <f>IF(ISBLANK(D_Emissions!M252),"",D_Emissions!M252)</f>
        <v/>
      </c>
      <c r="N203" s="1791" t="str">
        <f>IF(ISBLANK(D_Emissions!N252),"",D_Emissions!N252)</f>
        <v/>
      </c>
      <c r="O203" s="485"/>
      <c r="P203" s="1137"/>
      <c r="Q203" s="1137"/>
      <c r="R203" s="1137"/>
      <c r="S203" s="1137"/>
      <c r="T203" s="1137"/>
      <c r="U203" s="1137"/>
      <c r="V203" s="1137"/>
    </row>
    <row r="204" spans="1:22" s="562" customFormat="1" ht="12.75" customHeight="1">
      <c r="A204" s="817"/>
      <c r="C204" s="485"/>
      <c r="D204" s="485"/>
      <c r="E204" s="3470" t="s">
        <v>377</v>
      </c>
      <c r="F204" s="3461"/>
      <c r="G204" s="1567" t="str">
        <f>D_Emissions!G262</f>
        <v>t CO2 / year</v>
      </c>
      <c r="H204" s="641" t="str">
        <f>D_Emissions!H262</f>
        <v/>
      </c>
      <c r="I204" s="1568" t="str">
        <f>D_Emissions!I262</f>
        <v/>
      </c>
      <c r="J204" s="1537" t="str">
        <f>D_Emissions!J262</f>
        <v/>
      </c>
      <c r="K204" s="1538" t="str">
        <f>D_Emissions!K262</f>
        <v/>
      </c>
      <c r="L204" s="1538" t="str">
        <f>D_Emissions!L262</f>
        <v/>
      </c>
      <c r="M204" s="1538" t="str">
        <f>D_Emissions!M262</f>
        <v/>
      </c>
      <c r="N204" s="1538" t="str">
        <f>D_Emissions!N262</f>
        <v/>
      </c>
      <c r="O204" s="485"/>
      <c r="P204" s="1137"/>
      <c r="Q204" s="1137"/>
      <c r="R204" s="1137"/>
      <c r="S204" s="1137"/>
      <c r="T204" s="1137"/>
      <c r="U204" s="1137"/>
      <c r="V204" s="1137"/>
    </row>
    <row r="205" spans="1:22" s="562" customFormat="1" ht="12.75" customHeight="1">
      <c r="A205" s="817"/>
      <c r="C205" s="485"/>
      <c r="D205" s="485"/>
      <c r="E205" s="3470" t="str">
        <f>D_Emissions!E267</f>
        <v>Result of waste gas tool:</v>
      </c>
      <c r="F205" s="3461"/>
      <c r="G205" s="1569" t="str">
        <f>D_Emissions!G267</f>
        <v>t CO2 / year</v>
      </c>
      <c r="H205" s="641" t="str">
        <f>D_Emissions!H267</f>
        <v/>
      </c>
      <c r="I205" s="1568" t="str">
        <f>D_Emissions!I267</f>
        <v/>
      </c>
      <c r="J205" s="1537" t="str">
        <f>D_Emissions!J267</f>
        <v/>
      </c>
      <c r="K205" s="1538" t="str">
        <f>D_Emissions!K267</f>
        <v/>
      </c>
      <c r="L205" s="1538" t="str">
        <f>D_Emissions!L267</f>
        <v/>
      </c>
      <c r="M205" s="1538" t="str">
        <f>D_Emissions!M267</f>
        <v/>
      </c>
      <c r="N205" s="1538" t="str">
        <f>D_Emissions!N267</f>
        <v/>
      </c>
      <c r="O205" s="485"/>
      <c r="P205" s="1137"/>
      <c r="Q205" s="1137"/>
      <c r="R205" s="1137"/>
      <c r="S205" s="1137"/>
      <c r="T205" s="1137"/>
      <c r="U205" s="1137"/>
      <c r="V205" s="1137"/>
    </row>
    <row r="206" spans="1:22" s="562" customFormat="1" ht="5.0999999999999996" customHeight="1">
      <c r="A206" s="817"/>
      <c r="C206" s="481"/>
      <c r="D206" s="481"/>
      <c r="E206" s="481"/>
      <c r="F206" s="481"/>
      <c r="G206" s="481"/>
      <c r="H206" s="481"/>
      <c r="I206" s="481"/>
      <c r="J206" s="481"/>
      <c r="K206" s="481"/>
      <c r="L206" s="481"/>
      <c r="M206" s="481"/>
      <c r="N206" s="481"/>
      <c r="O206" s="485"/>
      <c r="P206" s="1137"/>
      <c r="Q206" s="1137"/>
      <c r="R206" s="1137"/>
      <c r="S206" s="1137"/>
      <c r="T206" s="1137"/>
      <c r="U206" s="1137"/>
      <c r="V206" s="1137"/>
    </row>
    <row r="207" spans="1:22" s="562" customFormat="1" ht="12.75" customHeight="1">
      <c r="A207" s="817"/>
      <c r="C207" s="485"/>
      <c r="D207" s="485"/>
      <c r="E207" s="2575" t="str">
        <f>D_Emissions!E256</f>
        <v>Reference efficiency for production of electricity:</v>
      </c>
      <c r="F207" s="3469"/>
      <c r="G207" s="3469"/>
      <c r="H207" s="3469"/>
      <c r="I207" s="643"/>
      <c r="J207" s="643" t="str">
        <f>D_Emissions!J256</f>
        <v>using natural gas:</v>
      </c>
      <c r="K207" s="644">
        <f>IF(ISBLANK(D_Emissions!K256),"",D_Emissions!K256)</f>
        <v>0.52500000000000002</v>
      </c>
      <c r="L207" s="645"/>
      <c r="M207" s="643" t="str">
        <f>D_Emissions!M256</f>
        <v>using waste gas:</v>
      </c>
      <c r="N207" s="644">
        <f>IF(ISBLANK(D_Emissions!N256),"",D_Emissions!N256)</f>
        <v>0.35</v>
      </c>
      <c r="O207" s="485"/>
      <c r="P207" s="1137"/>
      <c r="Q207" s="1137"/>
      <c r="R207" s="1137"/>
      <c r="S207" s="1137"/>
      <c r="T207" s="1137"/>
      <c r="U207" s="1137"/>
      <c r="V207" s="1137"/>
    </row>
    <row r="208" spans="1:22" s="562" customFormat="1" ht="12.75" customHeight="1">
      <c r="A208" s="817"/>
      <c r="C208" s="485"/>
      <c r="D208" s="485"/>
      <c r="E208" s="485"/>
      <c r="F208" s="485"/>
      <c r="G208" s="485"/>
      <c r="H208" s="485"/>
      <c r="I208" s="485"/>
      <c r="J208" s="485"/>
      <c r="K208" s="485"/>
      <c r="L208" s="485"/>
      <c r="M208" s="485"/>
      <c r="N208" s="485"/>
      <c r="O208" s="485"/>
      <c r="P208" s="1137"/>
      <c r="Q208" s="1137"/>
      <c r="R208" s="1137"/>
      <c r="S208" s="1137"/>
      <c r="T208" s="1137"/>
      <c r="U208" s="1137"/>
      <c r="V208" s="1137"/>
    </row>
    <row r="209" spans="1:22" ht="14.1" customHeight="1">
      <c r="C209" s="559">
        <v>5</v>
      </c>
      <c r="D209" s="2464" t="s">
        <v>775</v>
      </c>
      <c r="E209" s="2380"/>
      <c r="F209" s="2380"/>
      <c r="G209" s="2380"/>
      <c r="H209" s="2380"/>
      <c r="I209" s="2380"/>
      <c r="J209" s="2380"/>
      <c r="K209" s="2380"/>
      <c r="L209" s="2380"/>
      <c r="M209" s="2380"/>
      <c r="N209" s="2380"/>
      <c r="P209" s="1137"/>
      <c r="Q209" s="1137"/>
      <c r="R209" s="1137"/>
      <c r="S209" s="1137"/>
      <c r="T209" s="1137"/>
      <c r="U209" s="1137"/>
      <c r="V209" s="1137"/>
    </row>
    <row r="210" spans="1:22" ht="5.0999999999999996" customHeight="1">
      <c r="C210" s="481"/>
      <c r="D210" s="481"/>
      <c r="E210" s="481"/>
      <c r="F210" s="481"/>
      <c r="G210" s="481"/>
      <c r="H210" s="481"/>
      <c r="I210" s="481"/>
      <c r="J210" s="481"/>
      <c r="K210" s="481"/>
      <c r="L210" s="481"/>
      <c r="M210" s="481"/>
      <c r="N210" s="481"/>
      <c r="P210" s="1137"/>
      <c r="Q210" s="1137"/>
      <c r="R210" s="1137"/>
      <c r="S210" s="1137"/>
      <c r="T210" s="1137"/>
      <c r="U210" s="1137"/>
      <c r="V210" s="1137"/>
    </row>
    <row r="211" spans="1:22" s="562" customFormat="1" ht="13.15" customHeight="1">
      <c r="A211" s="817"/>
      <c r="C211" s="485"/>
      <c r="D211" s="482" t="s">
        <v>400</v>
      </c>
      <c r="E211" s="2509" t="str">
        <f>E_EnergyFlows!E44</f>
        <v>Usage type of fuel input</v>
      </c>
      <c r="F211" s="3284"/>
      <c r="G211" s="482" t="str">
        <f>E_EnergyFlows!G44</f>
        <v>Unit</v>
      </c>
      <c r="H211" s="578">
        <f t="shared" ref="H211:N211" si="22">H$2737</f>
        <v>2024</v>
      </c>
      <c r="I211" s="697">
        <f t="shared" si="22"/>
        <v>2025</v>
      </c>
      <c r="J211" s="1489">
        <f t="shared" si="22"/>
        <v>2026</v>
      </c>
      <c r="K211" s="1490">
        <f t="shared" si="22"/>
        <v>2027</v>
      </c>
      <c r="L211" s="1490">
        <f t="shared" si="22"/>
        <v>2028</v>
      </c>
      <c r="M211" s="1490">
        <f t="shared" si="22"/>
        <v>2029</v>
      </c>
      <c r="N211" s="1490">
        <f t="shared" si="22"/>
        <v>2030</v>
      </c>
      <c r="P211" s="1137"/>
      <c r="Q211" s="1137"/>
      <c r="R211" s="1137"/>
      <c r="S211" s="1137"/>
      <c r="T211" s="1137"/>
      <c r="U211" s="1137"/>
      <c r="V211" s="1137"/>
    </row>
    <row r="212" spans="1:22" s="562" customFormat="1" ht="12.6" customHeight="1">
      <c r="A212" s="817"/>
      <c r="C212" s="485"/>
      <c r="D212" s="561"/>
      <c r="E212" s="2587" t="str">
        <f>E_EnergyFlows!E46</f>
        <v>Fuel input for production of measurable heat</v>
      </c>
      <c r="F212" s="3461"/>
      <c r="G212" s="730" t="str">
        <f t="shared" ref="G212:G217" si="23">EUconst_TJpa</f>
        <v>TJ / year</v>
      </c>
      <c r="H212" s="646" t="str">
        <f>IF(ISNUMBER(CTRL_InputMethodFuelDistribution),IF(CTRL_InputMethodFuelDistribution=1,IF(ISNUMBER(E_EnergyFlows!H36),E_EnergyFlows!H36,""),E_EnergyFlows!H46),"")</f>
        <v/>
      </c>
      <c r="I212" s="949" t="str">
        <f>IF(ISNUMBER(CTRL_InputMethodFuelDistribution),IF(CTRL_InputMethodFuelDistribution=1,IF(ISNUMBER(E_EnergyFlows!I36),E_EnergyFlows!I36,""),E_EnergyFlows!I46),"")</f>
        <v/>
      </c>
      <c r="J212" s="1491" t="str">
        <f>IF(ISNUMBER(CTRL_InputMethodFuelDistribution),IF(CTRL_InputMethodFuelDistribution=1,IF(ISNUMBER(E_EnergyFlows!J36),E_EnergyFlows!J36,""),E_EnergyFlows!J46),"")</f>
        <v/>
      </c>
      <c r="K212" s="1492" t="str">
        <f>IF(ISNUMBER(CTRL_InputMethodFuelDistribution),IF(CTRL_InputMethodFuelDistribution=1,IF(ISNUMBER(E_EnergyFlows!K36),E_EnergyFlows!K36,""),E_EnergyFlows!K46),"")</f>
        <v/>
      </c>
      <c r="L212" s="1492" t="str">
        <f>IF(ISNUMBER(CTRL_InputMethodFuelDistribution),IF(CTRL_InputMethodFuelDistribution=1,IF(ISNUMBER(E_EnergyFlows!L36),E_EnergyFlows!L36,""),E_EnergyFlows!L46),"")</f>
        <v/>
      </c>
      <c r="M212" s="1492" t="str">
        <f>IF(ISNUMBER(CTRL_InputMethodFuelDistribution),IF(CTRL_InputMethodFuelDistribution=1,IF(ISNUMBER(E_EnergyFlows!M36),E_EnergyFlows!M36,""),E_EnergyFlows!M46),"")</f>
        <v/>
      </c>
      <c r="N212" s="1492" t="str">
        <f>IF(ISNUMBER(CTRL_InputMethodFuelDistribution),IF(CTRL_InputMethodFuelDistribution=1,IF(ISNUMBER(E_EnergyFlows!N36),E_EnergyFlows!N36,""),E_EnergyFlows!N46),"")</f>
        <v/>
      </c>
      <c r="P212" s="1137"/>
      <c r="Q212" s="1137"/>
      <c r="R212" s="1137"/>
      <c r="S212" s="1137"/>
      <c r="T212" s="1137"/>
      <c r="U212" s="1137"/>
      <c r="V212" s="1137"/>
    </row>
    <row r="213" spans="1:22" s="562" customFormat="1" ht="12.6" customHeight="1">
      <c r="A213" s="817"/>
      <c r="C213" s="485"/>
      <c r="D213" s="561"/>
      <c r="E213" s="2587" t="str">
        <f>E_EnergyFlows!E49</f>
        <v>Fuel input for electricity production</v>
      </c>
      <c r="F213" s="3461"/>
      <c r="G213" s="730" t="str">
        <f t="shared" si="23"/>
        <v>TJ / year</v>
      </c>
      <c r="H213" s="616" t="str">
        <f>IF(ISNUMBER(CTRL_InputMethodFuelDistribution),IF(CTRL_InputMethodFuelDistribution=1,IF(ISNUMBER(E_EnergyFlows!H39),E_EnergyFlows!H39,""),E_EnergyFlows!H49),"")</f>
        <v/>
      </c>
      <c r="I213" s="1544" t="str">
        <f>IF(ISNUMBER(CTRL_InputMethodFuelDistribution),IF(CTRL_InputMethodFuelDistribution=1,IF(ISNUMBER(E_EnergyFlows!I39),E_EnergyFlows!I39,""),E_EnergyFlows!I49),"")</f>
        <v/>
      </c>
      <c r="J213" s="1491" t="str">
        <f>IF(ISNUMBER(CTRL_InputMethodFuelDistribution),IF(CTRL_InputMethodFuelDistribution=1,IF(ISNUMBER(E_EnergyFlows!J39),E_EnergyFlows!J39,""),E_EnergyFlows!J49),"")</f>
        <v/>
      </c>
      <c r="K213" s="1492" t="str">
        <f>IF(ISNUMBER(CTRL_InputMethodFuelDistribution),IF(CTRL_InputMethodFuelDistribution=1,IF(ISNUMBER(E_EnergyFlows!K39),E_EnergyFlows!K39,""),E_EnergyFlows!K49),"")</f>
        <v/>
      </c>
      <c r="L213" s="1492" t="str">
        <f>IF(ISNUMBER(CTRL_InputMethodFuelDistribution),IF(CTRL_InputMethodFuelDistribution=1,IF(ISNUMBER(E_EnergyFlows!L39),E_EnergyFlows!L39,""),E_EnergyFlows!L49),"")</f>
        <v/>
      </c>
      <c r="M213" s="1492" t="str">
        <f>IF(ISNUMBER(CTRL_InputMethodFuelDistribution),IF(CTRL_InputMethodFuelDistribution=1,IF(ISNUMBER(E_EnergyFlows!M39),E_EnergyFlows!M39,""),E_EnergyFlows!M49),"")</f>
        <v/>
      </c>
      <c r="N213" s="1492" t="str">
        <f>IF(ISNUMBER(CTRL_InputMethodFuelDistribution),IF(CTRL_InputMethodFuelDistribution=1,IF(ISNUMBER(E_EnergyFlows!N39),E_EnergyFlows!N39,""),E_EnergyFlows!N49),"")</f>
        <v/>
      </c>
      <c r="P213" s="1137"/>
      <c r="Q213" s="1137"/>
      <c r="R213" s="1137"/>
      <c r="S213" s="1137"/>
      <c r="T213" s="1137"/>
      <c r="U213" s="1137"/>
      <c r="V213" s="1137"/>
    </row>
    <row r="214" spans="1:22" s="562" customFormat="1" ht="13.5" customHeight="1" thickBot="1">
      <c r="A214" s="817"/>
      <c r="C214" s="485"/>
      <c r="D214" s="561"/>
      <c r="E214" s="3529" t="str">
        <f>E_EnergyFlows!E45</f>
        <v>Fuel input to product BM sub-installations</v>
      </c>
      <c r="F214" s="3504"/>
      <c r="G214" s="2106" t="str">
        <f t="shared" si="23"/>
        <v>TJ / year</v>
      </c>
      <c r="H214" s="648" t="str">
        <f>IF(ISNUMBER(CTRL_InputMethodFuelDistribution),IF(CTRL_InputMethodFuelDistribution=1,IF(ISNUMBER(E_EnergyFlows!H35),E_EnergyFlows!H35,""),E_EnergyFlows!H45),"")</f>
        <v/>
      </c>
      <c r="I214" s="1579" t="str">
        <f>IF(ISNUMBER(CTRL_InputMethodFuelDistribution),IF(CTRL_InputMethodFuelDistribution=1,IF(ISNUMBER(E_EnergyFlows!I35),E_EnergyFlows!I35,""),E_EnergyFlows!I45),"")</f>
        <v/>
      </c>
      <c r="J214" s="1491" t="str">
        <f>IF(ISNUMBER(CTRL_InputMethodFuelDistribution),IF(CTRL_InputMethodFuelDistribution=1,IF(ISNUMBER(E_EnergyFlows!J35),E_EnergyFlows!J35,""),E_EnergyFlows!J45),"")</f>
        <v/>
      </c>
      <c r="K214" s="1492" t="str">
        <f>IF(ISNUMBER(CTRL_InputMethodFuelDistribution),IF(CTRL_InputMethodFuelDistribution=1,IF(ISNUMBER(E_EnergyFlows!K35),E_EnergyFlows!K35,""),E_EnergyFlows!K45),"")</f>
        <v/>
      </c>
      <c r="L214" s="1492" t="str">
        <f>IF(ISNUMBER(CTRL_InputMethodFuelDistribution),IF(CTRL_InputMethodFuelDistribution=1,IF(ISNUMBER(E_EnergyFlows!L35),E_EnergyFlows!L35,""),E_EnergyFlows!L45),"")</f>
        <v/>
      </c>
      <c r="M214" s="1492" t="str">
        <f>IF(ISNUMBER(CTRL_InputMethodFuelDistribution),IF(CTRL_InputMethodFuelDistribution=1,IF(ISNUMBER(E_EnergyFlows!M35),E_EnergyFlows!M35,""),E_EnergyFlows!M45),"")</f>
        <v/>
      </c>
      <c r="N214" s="1492" t="str">
        <f>IF(ISNUMBER(CTRL_InputMethodFuelDistribution),IF(CTRL_InputMethodFuelDistribution=1,IF(ISNUMBER(E_EnergyFlows!N35),E_EnergyFlows!N35,""),E_EnergyFlows!N45),"")</f>
        <v/>
      </c>
      <c r="P214" s="1137"/>
      <c r="Q214" s="1137"/>
      <c r="R214" s="1137"/>
      <c r="S214" s="1137"/>
      <c r="T214" s="1137"/>
      <c r="U214" s="1137"/>
      <c r="V214" s="1137"/>
    </row>
    <row r="215" spans="1:22" s="562" customFormat="1" ht="13.15" customHeight="1">
      <c r="A215" s="817"/>
      <c r="C215" s="485"/>
      <c r="D215" s="561"/>
      <c r="E215" s="3489" t="str">
        <f>E_EnergyFlows!E47</f>
        <v>Fuel benchmark sub-installation, CL</v>
      </c>
      <c r="F215" s="3490"/>
      <c r="G215" s="2107" t="str">
        <f t="shared" si="23"/>
        <v>TJ / year</v>
      </c>
      <c r="H215" s="650" t="str">
        <f>IF(ISNUMBER(CTRL_InputMethodFuelDistribution),IF(CTRL_InputMethodFuelDistribution=1,IF(ISNUMBER(E_EnergyFlows!H37),E_EnergyFlows!H37,""),E_EnergyFlows!H47),"")</f>
        <v/>
      </c>
      <c r="I215" s="1546" t="str">
        <f>IF(ISNUMBER(CTRL_InputMethodFuelDistribution),IF(CTRL_InputMethodFuelDistribution=1,IF(ISNUMBER(E_EnergyFlows!I37),E_EnergyFlows!I37,""),E_EnergyFlows!I47),"")</f>
        <v/>
      </c>
      <c r="J215" s="1537" t="str">
        <f>IF(ISNUMBER(CTRL_InputMethodFuelDistribution),IF(CTRL_InputMethodFuelDistribution=1,IF(ISNUMBER(E_EnergyFlows!J37),E_EnergyFlows!J37,""),E_EnergyFlows!J47),"")</f>
        <v/>
      </c>
      <c r="K215" s="1538" t="str">
        <f>IF(ISNUMBER(CTRL_InputMethodFuelDistribution),IF(CTRL_InputMethodFuelDistribution=1,IF(ISNUMBER(E_EnergyFlows!K37),E_EnergyFlows!K37,""),E_EnergyFlows!K47),"")</f>
        <v/>
      </c>
      <c r="L215" s="1538" t="str">
        <f>IF(ISNUMBER(CTRL_InputMethodFuelDistribution),IF(CTRL_InputMethodFuelDistribution=1,IF(ISNUMBER(E_EnergyFlows!L37),E_EnergyFlows!L37,""),E_EnergyFlows!L47),"")</f>
        <v/>
      </c>
      <c r="M215" s="1538" t="str">
        <f>IF(ISNUMBER(CTRL_InputMethodFuelDistribution),IF(CTRL_InputMethodFuelDistribution=1,IF(ISNUMBER(E_EnergyFlows!M37),E_EnergyFlows!M37,""),E_EnergyFlows!M47),"")</f>
        <v/>
      </c>
      <c r="N215" s="1538" t="str">
        <f>IF(ISNUMBER(CTRL_InputMethodFuelDistribution),IF(CTRL_InputMethodFuelDistribution=1,IF(ISNUMBER(E_EnergyFlows!N37),E_EnergyFlows!N37,""),E_EnergyFlows!N47),"")</f>
        <v/>
      </c>
      <c r="P215" s="1137"/>
      <c r="Q215" s="1137"/>
      <c r="R215" s="1137"/>
      <c r="S215" s="1137"/>
      <c r="T215" s="1137"/>
      <c r="U215" s="1137"/>
      <c r="V215" s="1137"/>
    </row>
    <row r="216" spans="1:22" s="562" customFormat="1" ht="13.5" customHeight="1" thickBot="1">
      <c r="A216" s="817"/>
      <c r="C216" s="485"/>
      <c r="D216" s="561"/>
      <c r="E216" s="3491" t="str">
        <f>E_EnergyFlows!E48</f>
        <v>Fuel benchmark sub-installation, non-CL</v>
      </c>
      <c r="F216" s="3488"/>
      <c r="G216" s="2108" t="str">
        <f t="shared" si="23"/>
        <v>TJ / year</v>
      </c>
      <c r="H216" s="615" t="str">
        <f>IF(ISNUMBER(CTRL_InputMethodFuelDistribution),IF(CTRL_InputMethodFuelDistribution=1,IF(ISNUMBER(E_EnergyFlows!H38),E_EnergyFlows!H38,""),E_EnergyFlows!H48),"")</f>
        <v/>
      </c>
      <c r="I216" s="1548" t="str">
        <f>IF(ISNUMBER(CTRL_InputMethodFuelDistribution),IF(CTRL_InputMethodFuelDistribution=1,IF(ISNUMBER(E_EnergyFlows!I38),E_EnergyFlows!I38,""),E_EnergyFlows!I48),"")</f>
        <v/>
      </c>
      <c r="J216" s="1537" t="str">
        <f>IF(ISNUMBER(CTRL_InputMethodFuelDistribution),IF(CTRL_InputMethodFuelDistribution=1,IF(ISNUMBER(E_EnergyFlows!J38),E_EnergyFlows!J38,""),E_EnergyFlows!J48),"")</f>
        <v/>
      </c>
      <c r="K216" s="1538" t="str">
        <f>IF(ISNUMBER(CTRL_InputMethodFuelDistribution),IF(CTRL_InputMethodFuelDistribution=1,IF(ISNUMBER(E_EnergyFlows!K38),E_EnergyFlows!K38,""),E_EnergyFlows!K48),"")</f>
        <v/>
      </c>
      <c r="L216" s="1538" t="str">
        <f>IF(ISNUMBER(CTRL_InputMethodFuelDistribution),IF(CTRL_InputMethodFuelDistribution=1,IF(ISNUMBER(E_EnergyFlows!L38),E_EnergyFlows!L38,""),E_EnergyFlows!L48),"")</f>
        <v/>
      </c>
      <c r="M216" s="1538" t="str">
        <f>IF(ISNUMBER(CTRL_InputMethodFuelDistribution),IF(CTRL_InputMethodFuelDistribution=1,IF(ISNUMBER(E_EnergyFlows!M38),E_EnergyFlows!M38,""),E_EnergyFlows!M48),"")</f>
        <v/>
      </c>
      <c r="N216" s="1538" t="str">
        <f>IF(ISNUMBER(CTRL_InputMethodFuelDistribution),IF(CTRL_InputMethodFuelDistribution=1,IF(ISNUMBER(E_EnergyFlows!N38),E_EnergyFlows!N38,""),E_EnergyFlows!N48),"")</f>
        <v/>
      </c>
      <c r="P216" s="1137"/>
      <c r="Q216" s="1137"/>
      <c r="R216" s="1137"/>
      <c r="S216" s="1137"/>
      <c r="T216" s="1137"/>
      <c r="U216" s="1137"/>
      <c r="V216" s="1137"/>
    </row>
    <row r="217" spans="1:22" s="562" customFormat="1">
      <c r="A217" s="817"/>
      <c r="C217" s="485"/>
      <c r="D217" s="561"/>
      <c r="E217" s="3492" t="str">
        <f>E_EnergyFlows!E50</f>
        <v>Rest</v>
      </c>
      <c r="F217" s="3493"/>
      <c r="G217" s="750" t="str">
        <f t="shared" si="23"/>
        <v>TJ / year</v>
      </c>
      <c r="H217" s="616" t="str">
        <f>IF(ISNUMBER(CTRL_InputMethodFuelDistribution),IF(CTRL_InputMethodFuelDistribution=1,IF(ISNUMBER(E_EnergyFlows!H40),E_EnergyFlows!H40,""),E_EnergyFlows!H50),"")</f>
        <v/>
      </c>
      <c r="I217" s="1544" t="str">
        <f>IF(ISNUMBER(CTRL_InputMethodFuelDistribution),IF(CTRL_InputMethodFuelDistribution=1,IF(ISNUMBER(E_EnergyFlows!I40),E_EnergyFlows!I40,""),E_EnergyFlows!I50),"")</f>
        <v/>
      </c>
      <c r="J217" s="1491" t="str">
        <f>IF(ISNUMBER(CTRL_InputMethodFuelDistribution),IF(CTRL_InputMethodFuelDistribution=1,IF(ISNUMBER(E_EnergyFlows!J40),E_EnergyFlows!J40,""),E_EnergyFlows!J50),"")</f>
        <v/>
      </c>
      <c r="K217" s="1492" t="str">
        <f>IF(ISNUMBER(CTRL_InputMethodFuelDistribution),IF(CTRL_InputMethodFuelDistribution=1,IF(ISNUMBER(E_EnergyFlows!K40),E_EnergyFlows!K40,""),E_EnergyFlows!K50),"")</f>
        <v/>
      </c>
      <c r="L217" s="1492" t="str">
        <f>IF(ISNUMBER(CTRL_InputMethodFuelDistribution),IF(CTRL_InputMethodFuelDistribution=1,IF(ISNUMBER(E_EnergyFlows!L40),E_EnergyFlows!L40,""),E_EnergyFlows!L50),"")</f>
        <v/>
      </c>
      <c r="M217" s="1492" t="str">
        <f>IF(ISNUMBER(CTRL_InputMethodFuelDistribution),IF(CTRL_InputMethodFuelDistribution=1,IF(ISNUMBER(E_EnergyFlows!M40),E_EnergyFlows!M40,""),E_EnergyFlows!M50),"")</f>
        <v/>
      </c>
      <c r="N217" s="1492" t="str">
        <f>IF(ISNUMBER(CTRL_InputMethodFuelDistribution),IF(CTRL_InputMethodFuelDistribution=1,IF(ISNUMBER(E_EnergyFlows!N40),E_EnergyFlows!N40,""),E_EnergyFlows!N50),"")</f>
        <v/>
      </c>
      <c r="P217" s="1137"/>
      <c r="Q217" s="1137"/>
      <c r="R217" s="1137"/>
      <c r="S217" s="1137"/>
      <c r="T217" s="1137"/>
      <c r="U217" s="1137"/>
      <c r="V217" s="1137"/>
    </row>
    <row r="218" spans="1:22" s="562" customFormat="1" ht="5.0999999999999996" customHeight="1">
      <c r="A218" s="817"/>
      <c r="C218" s="485"/>
      <c r="D218" s="561"/>
      <c r="E218" s="561"/>
      <c r="F218" s="561"/>
      <c r="G218" s="561"/>
      <c r="H218" s="561"/>
      <c r="I218" s="561"/>
      <c r="J218" s="561"/>
      <c r="K218" s="561"/>
      <c r="L218" s="561"/>
      <c r="M218" s="561"/>
      <c r="N218" s="561"/>
      <c r="P218" s="1137"/>
      <c r="Q218" s="1137"/>
      <c r="R218" s="1137"/>
      <c r="S218" s="1137"/>
      <c r="T218" s="1137"/>
      <c r="U218" s="1137"/>
      <c r="V218" s="1137"/>
    </row>
    <row r="219" spans="1:22" s="562" customFormat="1" ht="13.15" customHeight="1">
      <c r="A219" s="817"/>
      <c r="C219" s="481"/>
      <c r="D219" s="482" t="s">
        <v>876</v>
      </c>
      <c r="E219" s="2576" t="s">
        <v>1800</v>
      </c>
      <c r="F219" s="3226"/>
      <c r="G219" s="3226"/>
      <c r="H219" s="3226"/>
      <c r="I219" s="3226"/>
      <c r="J219" s="3226"/>
      <c r="K219" s="3226"/>
      <c r="L219" s="3226"/>
      <c r="M219" s="3226"/>
      <c r="N219" s="3226"/>
      <c r="P219" s="1137"/>
      <c r="Q219" s="1137"/>
      <c r="R219" s="1137"/>
      <c r="S219" s="1137"/>
      <c r="T219" s="1137"/>
      <c r="U219" s="1137"/>
      <c r="V219" s="1137"/>
    </row>
    <row r="220" spans="1:22" s="562" customFormat="1" ht="5.0999999999999996" customHeight="1">
      <c r="A220" s="817"/>
      <c r="C220" s="481"/>
      <c r="D220" s="481"/>
      <c r="E220" s="481"/>
      <c r="F220" s="481"/>
      <c r="G220" s="481"/>
      <c r="H220" s="481"/>
      <c r="I220" s="481"/>
      <c r="J220" s="481"/>
      <c r="K220" s="481"/>
      <c r="L220" s="481"/>
      <c r="M220" s="481"/>
      <c r="N220" s="481"/>
      <c r="P220" s="1137"/>
      <c r="Q220" s="1137"/>
      <c r="R220" s="1137"/>
      <c r="S220" s="1137"/>
      <c r="T220" s="1137"/>
      <c r="U220" s="1137"/>
      <c r="V220" s="1137"/>
    </row>
    <row r="221" spans="1:22" s="562" customFormat="1" ht="13.5" customHeight="1">
      <c r="A221" s="817"/>
      <c r="C221" s="485"/>
      <c r="D221" s="485"/>
      <c r="E221" s="2509" t="s">
        <v>1984</v>
      </c>
      <c r="F221" s="3284"/>
      <c r="G221" s="482" t="str">
        <f>EUconst_Unit</f>
        <v>Unit</v>
      </c>
      <c r="H221" s="578">
        <f t="shared" ref="H221:N221" si="24">H$2737</f>
        <v>2024</v>
      </c>
      <c r="I221" s="697">
        <f t="shared" si="24"/>
        <v>2025</v>
      </c>
      <c r="J221" s="1489">
        <f t="shared" si="24"/>
        <v>2026</v>
      </c>
      <c r="K221" s="1490">
        <f t="shared" si="24"/>
        <v>2027</v>
      </c>
      <c r="L221" s="1490">
        <f t="shared" si="24"/>
        <v>2028</v>
      </c>
      <c r="M221" s="1490">
        <f t="shared" si="24"/>
        <v>2029</v>
      </c>
      <c r="N221" s="1490">
        <f t="shared" si="24"/>
        <v>2030</v>
      </c>
      <c r="P221" s="1137"/>
      <c r="Q221" s="1137"/>
      <c r="R221" s="1137"/>
      <c r="S221" s="1137"/>
      <c r="T221" s="1137"/>
      <c r="U221" s="1137"/>
      <c r="V221" s="1137"/>
    </row>
    <row r="222" spans="1:22" s="562" customFormat="1" ht="13.5" customHeight="1">
      <c r="A222" s="817"/>
      <c r="C222" s="485"/>
      <c r="D222" s="561" t="s">
        <v>6</v>
      </c>
      <c r="E222" s="3238" t="s">
        <v>1882</v>
      </c>
      <c r="F222" s="3238"/>
      <c r="G222" s="950" t="str">
        <f>EUconst_tCO2pTJ</f>
        <v>t CO2 / TJ</v>
      </c>
      <c r="H222" s="656" t="str">
        <f>IF(E_EnergyFlows!H57="","",E_EnergyFlows!H57)</f>
        <v/>
      </c>
      <c r="I222" s="962" t="str">
        <f>IF(E_EnergyFlows!I57="","",E_EnergyFlows!I57)</f>
        <v/>
      </c>
      <c r="J222" s="1491" t="str">
        <f>IF(E_EnergyFlows!J57="","",E_EnergyFlows!J57)</f>
        <v/>
      </c>
      <c r="K222" s="1492" t="str">
        <f>IF(E_EnergyFlows!K57="","",E_EnergyFlows!K57)</f>
        <v/>
      </c>
      <c r="L222" s="1492" t="str">
        <f>IF(E_EnergyFlows!L57="","",E_EnergyFlows!L57)</f>
        <v/>
      </c>
      <c r="M222" s="1492" t="str">
        <f>IF(E_EnergyFlows!M57="","",E_EnergyFlows!M57)</f>
        <v/>
      </c>
      <c r="N222" s="1492" t="str">
        <f>IF(E_EnergyFlows!N57="","",E_EnergyFlows!N57)</f>
        <v/>
      </c>
      <c r="P222" s="1137"/>
      <c r="Q222" s="1137"/>
      <c r="R222" s="1137"/>
      <c r="S222" s="1137"/>
      <c r="T222" s="1137"/>
      <c r="U222" s="1137"/>
      <c r="V222" s="1137"/>
    </row>
    <row r="223" spans="1:22" s="562" customFormat="1" ht="12.75" customHeight="1">
      <c r="A223" s="817"/>
      <c r="C223" s="485"/>
      <c r="D223" s="561" t="s">
        <v>7</v>
      </c>
      <c r="E223" s="3260" t="s">
        <v>1802</v>
      </c>
      <c r="F223" s="3260"/>
      <c r="G223" s="1038" t="str">
        <f>EUconst_tCO2pTJ</f>
        <v>t CO2 / TJ</v>
      </c>
      <c r="H223" s="658" t="str">
        <f>IF(E_EnergyFlows!H58="","",E_EnergyFlows!H58)</f>
        <v/>
      </c>
      <c r="I223" s="965" t="str">
        <f>IF(E_EnergyFlows!I58="","",E_EnergyFlows!I58)</f>
        <v/>
      </c>
      <c r="J223" s="1491" t="str">
        <f>IF(E_EnergyFlows!J58="","",E_EnergyFlows!J58)</f>
        <v/>
      </c>
      <c r="K223" s="1492" t="str">
        <f>IF(E_EnergyFlows!K58="","",E_EnergyFlows!K58)</f>
        <v/>
      </c>
      <c r="L223" s="1492" t="str">
        <f>IF(E_EnergyFlows!L58="","",E_EnergyFlows!L58)</f>
        <v/>
      </c>
      <c r="M223" s="1492" t="str">
        <f>IF(E_EnergyFlows!M58="","",E_EnergyFlows!M58)</f>
        <v/>
      </c>
      <c r="N223" s="1492" t="str">
        <f>IF(E_EnergyFlows!N58="","",E_EnergyFlows!N58)</f>
        <v/>
      </c>
      <c r="P223" s="1137"/>
      <c r="Q223" s="1137"/>
      <c r="R223" s="1137"/>
      <c r="S223" s="1137"/>
      <c r="T223" s="1137"/>
      <c r="U223" s="1137"/>
      <c r="V223" s="1137"/>
    </row>
    <row r="224" spans="1:22" s="562" customFormat="1">
      <c r="A224" s="817"/>
      <c r="B224" s="618"/>
      <c r="C224" s="485"/>
      <c r="D224" s="561" t="s">
        <v>8</v>
      </c>
      <c r="E224" s="3237" t="s">
        <v>1801</v>
      </c>
      <c r="F224" s="3245"/>
      <c r="G224" s="1039" t="str">
        <f>EUconst_tCO2pTJ</f>
        <v>t CO2 / TJ</v>
      </c>
      <c r="H224" s="660" t="str">
        <f>IF(E_EnergyFlows!H59="","",E_EnergyFlows!H59)</f>
        <v/>
      </c>
      <c r="I224" s="969" t="str">
        <f>IF(E_EnergyFlows!I59="","",E_EnergyFlows!I59)</f>
        <v/>
      </c>
      <c r="J224" s="1491" t="str">
        <f>IF(E_EnergyFlows!J59="","",E_EnergyFlows!J59)</f>
        <v/>
      </c>
      <c r="K224" s="1492" t="str">
        <f>IF(E_EnergyFlows!K59="","",E_EnergyFlows!K59)</f>
        <v/>
      </c>
      <c r="L224" s="1492" t="str">
        <f>IF(E_EnergyFlows!L59="","",E_EnergyFlows!L59)</f>
        <v/>
      </c>
      <c r="M224" s="1492" t="str">
        <f>IF(E_EnergyFlows!M59="","",E_EnergyFlows!M59)</f>
        <v/>
      </c>
      <c r="N224" s="1492" t="str">
        <f>IF(E_EnergyFlows!N59="","",E_EnergyFlows!N59)</f>
        <v/>
      </c>
      <c r="O224" s="618"/>
      <c r="P224" s="1137"/>
      <c r="Q224" s="1137"/>
      <c r="R224" s="1137"/>
      <c r="S224" s="1137"/>
      <c r="T224" s="1137"/>
      <c r="U224" s="1137"/>
      <c r="V224" s="1137"/>
    </row>
    <row r="225" spans="1:22" s="562" customFormat="1" ht="5.0999999999999996" customHeight="1">
      <c r="A225" s="817"/>
      <c r="B225" s="618"/>
      <c r="C225" s="485"/>
      <c r="D225" s="485"/>
      <c r="E225" s="485"/>
      <c r="F225" s="485"/>
      <c r="G225" s="485"/>
      <c r="H225" s="485"/>
      <c r="I225" s="485"/>
      <c r="J225" s="485"/>
      <c r="K225" s="485"/>
      <c r="L225" s="485"/>
      <c r="M225" s="485"/>
      <c r="N225" s="485"/>
      <c r="O225" s="481"/>
      <c r="P225" s="1137"/>
      <c r="Q225" s="1137"/>
      <c r="R225" s="1137"/>
      <c r="S225" s="1137"/>
      <c r="T225" s="1137"/>
      <c r="U225" s="1137"/>
      <c r="V225" s="1137"/>
    </row>
    <row r="226" spans="1:22" s="562" customFormat="1" ht="12.75" customHeight="1">
      <c r="A226" s="817"/>
      <c r="C226" s="485"/>
      <c r="D226" s="482" t="s">
        <v>48</v>
      </c>
      <c r="E226" s="2509" t="s">
        <v>1587</v>
      </c>
      <c r="F226" s="3284"/>
      <c r="G226" s="3284"/>
      <c r="H226" s="3284"/>
      <c r="I226" s="3284"/>
      <c r="J226" s="2380"/>
      <c r="K226" s="2380"/>
      <c r="L226" s="2380"/>
      <c r="M226" s="2380"/>
      <c r="N226" s="2380"/>
      <c r="O226" s="485"/>
      <c r="P226" s="1137"/>
      <c r="Q226" s="1137"/>
      <c r="R226" s="1137"/>
      <c r="S226" s="1137"/>
      <c r="T226" s="1137"/>
      <c r="U226" s="1137"/>
      <c r="V226" s="1137"/>
    </row>
    <row r="227" spans="1:22" s="562" customFormat="1" ht="12.75" customHeight="1">
      <c r="A227" s="817"/>
      <c r="C227" s="485"/>
      <c r="D227" s="485"/>
      <c r="E227" s="3330" t="str">
        <f t="shared" ref="E227:E241" si="25">E112</f>
        <v/>
      </c>
      <c r="F227" s="3467"/>
      <c r="G227" s="721" t="str">
        <f t="shared" ref="G227:G241" si="26">EUconst_TJpa</f>
        <v>TJ / year</v>
      </c>
      <c r="H227" s="625" t="str">
        <f t="shared" ref="H227:N241" si="27">IF($E227="","",INDEX(H$476:H$2500,MATCH($P227,$P$476:$P$2500,0)))</f>
        <v/>
      </c>
      <c r="I227" s="794" t="str">
        <f t="shared" si="27"/>
        <v/>
      </c>
      <c r="J227" s="1788" t="str">
        <f t="shared" si="27"/>
        <v/>
      </c>
      <c r="K227" s="1789" t="str">
        <f t="shared" si="27"/>
        <v/>
      </c>
      <c r="L227" s="1789" t="str">
        <f t="shared" si="27"/>
        <v/>
      </c>
      <c r="M227" s="1789" t="str">
        <f t="shared" si="27"/>
        <v/>
      </c>
      <c r="N227" s="1789" t="str">
        <f t="shared" si="27"/>
        <v/>
      </c>
      <c r="O227" s="485"/>
      <c r="P227" s="2109" t="str">
        <f t="shared" ref="P227:P241" si="28">EUconst_CNTR_FuelInput &amp; E227</f>
        <v>FuelInput_</v>
      </c>
      <c r="Q227" s="1137"/>
      <c r="R227" s="1137"/>
      <c r="S227" s="1137"/>
      <c r="T227" s="1137"/>
      <c r="U227" s="1137"/>
      <c r="V227" s="1137"/>
    </row>
    <row r="228" spans="1:22" s="562" customFormat="1" ht="12.75" customHeight="1">
      <c r="A228" s="817"/>
      <c r="C228" s="485"/>
      <c r="D228" s="485"/>
      <c r="E228" s="3362" t="str">
        <f t="shared" si="25"/>
        <v/>
      </c>
      <c r="F228" s="3189"/>
      <c r="G228" s="724" t="str">
        <f t="shared" si="26"/>
        <v>TJ / year</v>
      </c>
      <c r="H228" s="662" t="str">
        <f t="shared" si="27"/>
        <v/>
      </c>
      <c r="I228" s="931" t="str">
        <f t="shared" si="27"/>
        <v/>
      </c>
      <c r="J228" s="1788" t="str">
        <f t="shared" si="27"/>
        <v/>
      </c>
      <c r="K228" s="1789" t="str">
        <f t="shared" si="27"/>
        <v/>
      </c>
      <c r="L228" s="1789" t="str">
        <f t="shared" si="27"/>
        <v/>
      </c>
      <c r="M228" s="1789" t="str">
        <f t="shared" si="27"/>
        <v/>
      </c>
      <c r="N228" s="1789" t="str">
        <f t="shared" si="27"/>
        <v/>
      </c>
      <c r="O228" s="485"/>
      <c r="P228" s="2109" t="str">
        <f t="shared" si="28"/>
        <v>FuelInput_</v>
      </c>
      <c r="Q228" s="1137"/>
      <c r="R228" s="1137"/>
      <c r="S228" s="1137"/>
      <c r="T228" s="1137"/>
      <c r="U228" s="1137"/>
      <c r="V228" s="1137"/>
    </row>
    <row r="229" spans="1:22" s="562" customFormat="1" ht="12.75" customHeight="1">
      <c r="A229" s="817"/>
      <c r="C229" s="485"/>
      <c r="D229" s="485"/>
      <c r="E229" s="3362" t="str">
        <f t="shared" si="25"/>
        <v/>
      </c>
      <c r="F229" s="3189"/>
      <c r="G229" s="724" t="str">
        <f t="shared" si="26"/>
        <v>TJ / year</v>
      </c>
      <c r="H229" s="662" t="str">
        <f t="shared" si="27"/>
        <v/>
      </c>
      <c r="I229" s="931" t="str">
        <f t="shared" si="27"/>
        <v/>
      </c>
      <c r="J229" s="1788" t="str">
        <f t="shared" si="27"/>
        <v/>
      </c>
      <c r="K229" s="1789" t="str">
        <f t="shared" si="27"/>
        <v/>
      </c>
      <c r="L229" s="1789" t="str">
        <f t="shared" si="27"/>
        <v/>
      </c>
      <c r="M229" s="1789" t="str">
        <f t="shared" si="27"/>
        <v/>
      </c>
      <c r="N229" s="1789" t="str">
        <f t="shared" si="27"/>
        <v/>
      </c>
      <c r="O229" s="485"/>
      <c r="P229" s="2109" t="str">
        <f t="shared" si="28"/>
        <v>FuelInput_</v>
      </c>
      <c r="Q229" s="1137"/>
      <c r="R229" s="1137"/>
      <c r="S229" s="1137"/>
      <c r="T229" s="1137"/>
      <c r="U229" s="1137"/>
      <c r="V229" s="1137"/>
    </row>
    <row r="230" spans="1:22" s="562" customFormat="1" ht="12.75" customHeight="1">
      <c r="A230" s="817"/>
      <c r="C230" s="485"/>
      <c r="D230" s="485"/>
      <c r="E230" s="3362" t="str">
        <f t="shared" si="25"/>
        <v/>
      </c>
      <c r="F230" s="3189"/>
      <c r="G230" s="724" t="str">
        <f t="shared" si="26"/>
        <v>TJ / year</v>
      </c>
      <c r="H230" s="662" t="str">
        <f t="shared" si="27"/>
        <v/>
      </c>
      <c r="I230" s="931" t="str">
        <f t="shared" si="27"/>
        <v/>
      </c>
      <c r="J230" s="1788" t="str">
        <f t="shared" si="27"/>
        <v/>
      </c>
      <c r="K230" s="1789" t="str">
        <f t="shared" si="27"/>
        <v/>
      </c>
      <c r="L230" s="1789" t="str">
        <f t="shared" si="27"/>
        <v/>
      </c>
      <c r="M230" s="1789" t="str">
        <f t="shared" si="27"/>
        <v/>
      </c>
      <c r="N230" s="1789" t="str">
        <f t="shared" si="27"/>
        <v/>
      </c>
      <c r="O230" s="485"/>
      <c r="P230" s="2109" t="str">
        <f t="shared" si="28"/>
        <v>FuelInput_</v>
      </c>
      <c r="Q230" s="1137"/>
      <c r="R230" s="1137"/>
      <c r="S230" s="1137"/>
      <c r="T230" s="1137"/>
      <c r="U230" s="1137"/>
      <c r="V230" s="1137"/>
    </row>
    <row r="231" spans="1:22" s="562" customFormat="1" ht="12.75" customHeight="1">
      <c r="A231" s="817"/>
      <c r="C231" s="485"/>
      <c r="D231" s="485"/>
      <c r="E231" s="3362" t="str">
        <f t="shared" si="25"/>
        <v/>
      </c>
      <c r="F231" s="3189"/>
      <c r="G231" s="724" t="str">
        <f t="shared" si="26"/>
        <v>TJ / year</v>
      </c>
      <c r="H231" s="662" t="str">
        <f t="shared" si="27"/>
        <v/>
      </c>
      <c r="I231" s="931" t="str">
        <f t="shared" si="27"/>
        <v/>
      </c>
      <c r="J231" s="1788" t="str">
        <f t="shared" si="27"/>
        <v/>
      </c>
      <c r="K231" s="1789" t="str">
        <f t="shared" si="27"/>
        <v/>
      </c>
      <c r="L231" s="1789" t="str">
        <f t="shared" si="27"/>
        <v/>
      </c>
      <c r="M231" s="1789" t="str">
        <f t="shared" si="27"/>
        <v/>
      </c>
      <c r="N231" s="1789" t="str">
        <f t="shared" si="27"/>
        <v/>
      </c>
      <c r="O231" s="485"/>
      <c r="P231" s="2109" t="str">
        <f t="shared" si="28"/>
        <v>FuelInput_</v>
      </c>
      <c r="Q231" s="1137"/>
      <c r="R231" s="1137"/>
      <c r="S231" s="1137"/>
      <c r="T231" s="1137"/>
      <c r="U231" s="1137"/>
      <c r="V231" s="1137"/>
    </row>
    <row r="232" spans="1:22" s="562" customFormat="1" ht="12.75" customHeight="1">
      <c r="A232" s="817"/>
      <c r="C232" s="485"/>
      <c r="D232" s="485"/>
      <c r="E232" s="3362" t="str">
        <f t="shared" si="25"/>
        <v/>
      </c>
      <c r="F232" s="3189"/>
      <c r="G232" s="724" t="str">
        <f t="shared" si="26"/>
        <v>TJ / year</v>
      </c>
      <c r="H232" s="662" t="str">
        <f t="shared" si="27"/>
        <v/>
      </c>
      <c r="I232" s="931" t="str">
        <f t="shared" si="27"/>
        <v/>
      </c>
      <c r="J232" s="1788" t="str">
        <f t="shared" si="27"/>
        <v/>
      </c>
      <c r="K232" s="1789" t="str">
        <f t="shared" si="27"/>
        <v/>
      </c>
      <c r="L232" s="1789" t="str">
        <f t="shared" si="27"/>
        <v/>
      </c>
      <c r="M232" s="1789" t="str">
        <f t="shared" si="27"/>
        <v/>
      </c>
      <c r="N232" s="1789" t="str">
        <f t="shared" si="27"/>
        <v/>
      </c>
      <c r="O232" s="485"/>
      <c r="P232" s="2109" t="str">
        <f t="shared" si="28"/>
        <v>FuelInput_</v>
      </c>
      <c r="Q232" s="1137"/>
      <c r="R232" s="1137"/>
      <c r="S232" s="1137"/>
      <c r="T232" s="1137"/>
      <c r="U232" s="1137"/>
      <c r="V232" s="1137"/>
    </row>
    <row r="233" spans="1:22" s="562" customFormat="1" ht="12.75" customHeight="1">
      <c r="A233" s="817"/>
      <c r="C233" s="485"/>
      <c r="D233" s="485"/>
      <c r="E233" s="3362" t="str">
        <f t="shared" si="25"/>
        <v/>
      </c>
      <c r="F233" s="3189"/>
      <c r="G233" s="724" t="str">
        <f t="shared" si="26"/>
        <v>TJ / year</v>
      </c>
      <c r="H233" s="662" t="str">
        <f t="shared" si="27"/>
        <v/>
      </c>
      <c r="I233" s="931" t="str">
        <f t="shared" si="27"/>
        <v/>
      </c>
      <c r="J233" s="1788" t="str">
        <f t="shared" si="27"/>
        <v/>
      </c>
      <c r="K233" s="1789" t="str">
        <f t="shared" si="27"/>
        <v/>
      </c>
      <c r="L233" s="1789" t="str">
        <f t="shared" si="27"/>
        <v/>
      </c>
      <c r="M233" s="1789" t="str">
        <f t="shared" si="27"/>
        <v/>
      </c>
      <c r="N233" s="1789" t="str">
        <f t="shared" si="27"/>
        <v/>
      </c>
      <c r="O233" s="485"/>
      <c r="P233" s="2109" t="str">
        <f t="shared" si="28"/>
        <v>FuelInput_</v>
      </c>
      <c r="Q233" s="1137"/>
      <c r="R233" s="1137"/>
      <c r="S233" s="1137"/>
      <c r="T233" s="1137"/>
      <c r="U233" s="1137"/>
      <c r="V233" s="1137"/>
    </row>
    <row r="234" spans="1:22" s="562" customFormat="1" ht="12.75" customHeight="1">
      <c r="A234" s="817"/>
      <c r="C234" s="485"/>
      <c r="D234" s="485"/>
      <c r="E234" s="3362" t="str">
        <f t="shared" si="25"/>
        <v/>
      </c>
      <c r="F234" s="3189"/>
      <c r="G234" s="724" t="str">
        <f t="shared" si="26"/>
        <v>TJ / year</v>
      </c>
      <c r="H234" s="662" t="str">
        <f t="shared" si="27"/>
        <v/>
      </c>
      <c r="I234" s="931" t="str">
        <f t="shared" si="27"/>
        <v/>
      </c>
      <c r="J234" s="1788" t="str">
        <f t="shared" si="27"/>
        <v/>
      </c>
      <c r="K234" s="1789" t="str">
        <f t="shared" si="27"/>
        <v/>
      </c>
      <c r="L234" s="1789" t="str">
        <f t="shared" si="27"/>
        <v/>
      </c>
      <c r="M234" s="1789" t="str">
        <f t="shared" si="27"/>
        <v/>
      </c>
      <c r="N234" s="1789" t="str">
        <f t="shared" si="27"/>
        <v/>
      </c>
      <c r="O234" s="485"/>
      <c r="P234" s="2109" t="str">
        <f t="shared" si="28"/>
        <v>FuelInput_</v>
      </c>
      <c r="Q234" s="1137"/>
      <c r="R234" s="1137"/>
      <c r="S234" s="1137"/>
      <c r="T234" s="1137"/>
      <c r="U234" s="1137"/>
      <c r="V234" s="1137"/>
    </row>
    <row r="235" spans="1:22" s="562" customFormat="1" ht="12.75" customHeight="1">
      <c r="A235" s="817"/>
      <c r="C235" s="485"/>
      <c r="D235" s="485"/>
      <c r="E235" s="3362" t="str">
        <f t="shared" si="25"/>
        <v/>
      </c>
      <c r="F235" s="3189"/>
      <c r="G235" s="724" t="str">
        <f t="shared" si="26"/>
        <v>TJ / year</v>
      </c>
      <c r="H235" s="662" t="str">
        <f t="shared" si="27"/>
        <v/>
      </c>
      <c r="I235" s="931" t="str">
        <f t="shared" si="27"/>
        <v/>
      </c>
      <c r="J235" s="1788" t="str">
        <f t="shared" si="27"/>
        <v/>
      </c>
      <c r="K235" s="1789" t="str">
        <f t="shared" si="27"/>
        <v/>
      </c>
      <c r="L235" s="1789" t="str">
        <f t="shared" si="27"/>
        <v/>
      </c>
      <c r="M235" s="1789" t="str">
        <f t="shared" si="27"/>
        <v/>
      </c>
      <c r="N235" s="1789" t="str">
        <f t="shared" si="27"/>
        <v/>
      </c>
      <c r="O235" s="485"/>
      <c r="P235" s="2109" t="str">
        <f t="shared" si="28"/>
        <v>FuelInput_</v>
      </c>
      <c r="Q235" s="1137"/>
      <c r="R235" s="1137"/>
      <c r="S235" s="1137"/>
      <c r="T235" s="1137"/>
      <c r="U235" s="1137"/>
      <c r="V235" s="1137"/>
    </row>
    <row r="236" spans="1:22" s="562" customFormat="1" ht="12.75" customHeight="1">
      <c r="A236" s="817"/>
      <c r="C236" s="485"/>
      <c r="D236" s="485"/>
      <c r="E236" s="3332" t="str">
        <f t="shared" si="25"/>
        <v/>
      </c>
      <c r="F236" s="3466"/>
      <c r="G236" s="728" t="str">
        <f t="shared" si="26"/>
        <v>TJ / year</v>
      </c>
      <c r="H236" s="627" t="str">
        <f t="shared" si="27"/>
        <v/>
      </c>
      <c r="I236" s="796" t="str">
        <f t="shared" si="27"/>
        <v/>
      </c>
      <c r="J236" s="1788" t="str">
        <f t="shared" si="27"/>
        <v/>
      </c>
      <c r="K236" s="1789" t="str">
        <f t="shared" si="27"/>
        <v/>
      </c>
      <c r="L236" s="1789" t="str">
        <f t="shared" si="27"/>
        <v/>
      </c>
      <c r="M236" s="1789" t="str">
        <f t="shared" si="27"/>
        <v/>
      </c>
      <c r="N236" s="1789" t="str">
        <f t="shared" si="27"/>
        <v/>
      </c>
      <c r="O236" s="485"/>
      <c r="P236" s="2109" t="str">
        <f t="shared" si="28"/>
        <v>FuelInput_</v>
      </c>
      <c r="Q236" s="1137"/>
      <c r="R236" s="1137"/>
      <c r="S236" s="1137"/>
      <c r="T236" s="1137"/>
      <c r="U236" s="1137"/>
      <c r="V236" s="1137"/>
    </row>
    <row r="237" spans="1:22" s="562" customFormat="1" ht="12.75" customHeight="1">
      <c r="A237" s="817"/>
      <c r="C237" s="485"/>
      <c r="D237" s="485"/>
      <c r="E237" s="2606" t="str">
        <f t="shared" si="25"/>
        <v>Heat benchmark sub-installation, CL</v>
      </c>
      <c r="F237" s="3467"/>
      <c r="G237" s="1560" t="str">
        <f t="shared" si="26"/>
        <v>TJ / year</v>
      </c>
      <c r="H237" s="625" t="str">
        <f t="shared" si="27"/>
        <v/>
      </c>
      <c r="I237" s="794" t="str">
        <f t="shared" si="27"/>
        <v/>
      </c>
      <c r="J237" s="1788" t="str">
        <f t="shared" si="27"/>
        <v/>
      </c>
      <c r="K237" s="1789" t="str">
        <f t="shared" si="27"/>
        <v/>
      </c>
      <c r="L237" s="1789" t="str">
        <f t="shared" si="27"/>
        <v/>
      </c>
      <c r="M237" s="1789" t="str">
        <f t="shared" si="27"/>
        <v/>
      </c>
      <c r="N237" s="1789" t="str">
        <f t="shared" si="27"/>
        <v/>
      </c>
      <c r="O237" s="485"/>
      <c r="P237" s="2109" t="str">
        <f t="shared" si="28"/>
        <v>FuelInput_Heat benchmark sub-installation, CL</v>
      </c>
      <c r="Q237" s="1137"/>
      <c r="R237" s="1137"/>
      <c r="S237" s="1137"/>
      <c r="T237" s="1137"/>
      <c r="U237" s="1137"/>
      <c r="V237" s="1137"/>
    </row>
    <row r="238" spans="1:22" s="562" customFormat="1" ht="12.75" customHeight="1">
      <c r="A238" s="817"/>
      <c r="C238" s="485"/>
      <c r="D238" s="485"/>
      <c r="E238" s="2609" t="str">
        <f t="shared" si="25"/>
        <v>Heat benchmark sub-installation, non-CL</v>
      </c>
      <c r="F238" s="3189"/>
      <c r="G238" s="1562" t="str">
        <f t="shared" si="26"/>
        <v>TJ / year</v>
      </c>
      <c r="H238" s="662" t="str">
        <f t="shared" si="27"/>
        <v/>
      </c>
      <c r="I238" s="931" t="str">
        <f t="shared" si="27"/>
        <v/>
      </c>
      <c r="J238" s="1788" t="str">
        <f t="shared" si="27"/>
        <v/>
      </c>
      <c r="K238" s="1789" t="str">
        <f t="shared" si="27"/>
        <v/>
      </c>
      <c r="L238" s="1789" t="str">
        <f t="shared" si="27"/>
        <v/>
      </c>
      <c r="M238" s="1789" t="str">
        <f t="shared" si="27"/>
        <v/>
      </c>
      <c r="N238" s="1789" t="str">
        <f t="shared" si="27"/>
        <v/>
      </c>
      <c r="O238" s="485"/>
      <c r="P238" s="2109" t="str">
        <f t="shared" si="28"/>
        <v>FuelInput_Heat benchmark sub-installation, non-CL</v>
      </c>
      <c r="Q238" s="1137"/>
      <c r="R238" s="1137"/>
      <c r="S238" s="1137"/>
      <c r="T238" s="1137"/>
      <c r="U238" s="1137"/>
      <c r="V238" s="1137"/>
    </row>
    <row r="239" spans="1:22" s="562" customFormat="1" ht="12.75" customHeight="1">
      <c r="A239" s="817"/>
      <c r="C239" s="485"/>
      <c r="D239" s="485"/>
      <c r="E239" s="2609" t="str">
        <f t="shared" si="25"/>
        <v>District heating sub-installation</v>
      </c>
      <c r="F239" s="3189"/>
      <c r="G239" s="1562" t="str">
        <f t="shared" si="26"/>
        <v>TJ / year</v>
      </c>
      <c r="H239" s="662" t="str">
        <f t="shared" si="27"/>
        <v/>
      </c>
      <c r="I239" s="931" t="str">
        <f t="shared" si="27"/>
        <v/>
      </c>
      <c r="J239" s="1788" t="str">
        <f t="shared" si="27"/>
        <v/>
      </c>
      <c r="K239" s="1789" t="str">
        <f t="shared" si="27"/>
        <v/>
      </c>
      <c r="L239" s="1789" t="str">
        <f t="shared" si="27"/>
        <v/>
      </c>
      <c r="M239" s="1789" t="str">
        <f t="shared" si="27"/>
        <v/>
      </c>
      <c r="N239" s="1789" t="str">
        <f t="shared" si="27"/>
        <v/>
      </c>
      <c r="O239" s="485"/>
      <c r="P239" s="2109" t="str">
        <f t="shared" si="28"/>
        <v>FuelInput_District heating sub-installation</v>
      </c>
      <c r="Q239" s="1137"/>
      <c r="R239" s="1137"/>
      <c r="S239" s="1137"/>
      <c r="T239" s="1137"/>
      <c r="U239" s="1137"/>
      <c r="V239" s="1137"/>
    </row>
    <row r="240" spans="1:22" s="562" customFormat="1" ht="12.75" customHeight="1">
      <c r="A240" s="817"/>
      <c r="C240" s="485"/>
      <c r="D240" s="485"/>
      <c r="E240" s="2609" t="str">
        <f t="shared" si="25"/>
        <v>Fuel benchmark sub-installation, CL</v>
      </c>
      <c r="F240" s="3189"/>
      <c r="G240" s="1562" t="str">
        <f t="shared" si="26"/>
        <v>TJ / year</v>
      </c>
      <c r="H240" s="662" t="str">
        <f t="shared" si="27"/>
        <v/>
      </c>
      <c r="I240" s="931" t="str">
        <f t="shared" si="27"/>
        <v/>
      </c>
      <c r="J240" s="1788" t="str">
        <f t="shared" si="27"/>
        <v/>
      </c>
      <c r="K240" s="1789" t="str">
        <f t="shared" si="27"/>
        <v/>
      </c>
      <c r="L240" s="1789" t="str">
        <f t="shared" si="27"/>
        <v/>
      </c>
      <c r="M240" s="1789" t="str">
        <f t="shared" si="27"/>
        <v/>
      </c>
      <c r="N240" s="1789" t="str">
        <f t="shared" si="27"/>
        <v/>
      </c>
      <c r="O240" s="485"/>
      <c r="P240" s="2109" t="str">
        <f t="shared" si="28"/>
        <v>FuelInput_Fuel benchmark sub-installation, CL</v>
      </c>
      <c r="Q240" s="1137"/>
      <c r="R240" s="1137"/>
      <c r="S240" s="1137"/>
      <c r="T240" s="1137"/>
      <c r="U240" s="1137"/>
      <c r="V240" s="1137"/>
    </row>
    <row r="241" spans="1:22" s="562" customFormat="1" ht="12.75" customHeight="1">
      <c r="A241" s="817"/>
      <c r="C241" s="485"/>
      <c r="D241" s="485"/>
      <c r="E241" s="2586" t="str">
        <f t="shared" si="25"/>
        <v>Fuel benchmark sub-installation, non-CL</v>
      </c>
      <c r="F241" s="3466"/>
      <c r="G241" s="1563" t="str">
        <f t="shared" si="26"/>
        <v>TJ / year</v>
      </c>
      <c r="H241" s="627" t="str">
        <f t="shared" si="27"/>
        <v/>
      </c>
      <c r="I241" s="796" t="str">
        <f t="shared" si="27"/>
        <v/>
      </c>
      <c r="J241" s="1788" t="str">
        <f t="shared" si="27"/>
        <v/>
      </c>
      <c r="K241" s="1789" t="str">
        <f t="shared" si="27"/>
        <v/>
      </c>
      <c r="L241" s="1789" t="str">
        <f t="shared" si="27"/>
        <v/>
      </c>
      <c r="M241" s="1789" t="str">
        <f t="shared" si="27"/>
        <v/>
      </c>
      <c r="N241" s="1789" t="str">
        <f t="shared" si="27"/>
        <v/>
      </c>
      <c r="O241" s="485"/>
      <c r="P241" s="1970" t="str">
        <f t="shared" si="28"/>
        <v>FuelInput_Fuel benchmark sub-installation, non-CL</v>
      </c>
      <c r="Q241" s="1137"/>
      <c r="R241" s="1137"/>
      <c r="S241" s="1137"/>
      <c r="T241" s="1137"/>
      <c r="U241" s="1137"/>
      <c r="V241" s="1137"/>
    </row>
    <row r="242" spans="1:22" s="562" customFormat="1" ht="12.75" customHeight="1">
      <c r="A242" s="817"/>
      <c r="C242" s="485"/>
      <c r="D242" s="485"/>
      <c r="E242" s="485"/>
      <c r="F242" s="485"/>
      <c r="G242" s="485"/>
      <c r="H242" s="485"/>
      <c r="I242" s="485"/>
      <c r="J242" s="485"/>
      <c r="K242" s="485"/>
      <c r="L242" s="485"/>
      <c r="M242" s="485"/>
      <c r="N242" s="485"/>
      <c r="O242" s="485"/>
      <c r="P242" s="1137"/>
      <c r="Q242" s="1137"/>
      <c r="R242" s="1137"/>
      <c r="S242" s="1137"/>
      <c r="T242" s="1137"/>
      <c r="U242" s="1137"/>
      <c r="V242" s="1137"/>
    </row>
    <row r="243" spans="1:22" ht="14.1" customHeight="1">
      <c r="C243" s="559">
        <v>6</v>
      </c>
      <c r="D243" s="2464" t="s">
        <v>776</v>
      </c>
      <c r="E243" s="2464"/>
      <c r="F243" s="2464"/>
      <c r="G243" s="2464"/>
      <c r="H243" s="2464"/>
      <c r="I243" s="2464"/>
      <c r="J243" s="2464"/>
      <c r="K243" s="2464"/>
      <c r="L243" s="2464"/>
      <c r="M243" s="2464"/>
      <c r="N243" s="2464"/>
      <c r="O243" s="485"/>
      <c r="P243" s="1137"/>
      <c r="Q243" s="1137"/>
      <c r="R243" s="1137"/>
      <c r="S243" s="1137"/>
      <c r="T243" s="1137"/>
      <c r="U243" s="1137"/>
      <c r="V243" s="1137"/>
    </row>
    <row r="244" spans="1:22" ht="5.0999999999999996" customHeight="1">
      <c r="C244" s="481"/>
      <c r="D244" s="481"/>
      <c r="E244" s="481"/>
      <c r="F244" s="481"/>
      <c r="G244" s="481"/>
      <c r="H244" s="481"/>
      <c r="I244" s="481"/>
      <c r="J244" s="481"/>
      <c r="K244" s="481"/>
      <c r="L244" s="481"/>
      <c r="M244" s="481"/>
      <c r="N244" s="481"/>
      <c r="O244" s="485"/>
      <c r="P244" s="1137"/>
      <c r="Q244" s="1137"/>
      <c r="R244" s="1137"/>
      <c r="S244" s="1137"/>
      <c r="T244" s="1137"/>
      <c r="U244" s="1137"/>
      <c r="V244" s="1137"/>
    </row>
    <row r="245" spans="1:22" s="562" customFormat="1" ht="13.15" customHeight="1">
      <c r="A245" s="817"/>
      <c r="B245" s="618"/>
      <c r="C245" s="482"/>
      <c r="D245" s="482" t="str">
        <f>E_EnergyFlows!D90</f>
        <v>(a)</v>
      </c>
      <c r="E245" s="2508" t="str">
        <f>E_EnergyFlows!E90</f>
        <v>Total net amount of measurable heat produced in the installation:</v>
      </c>
      <c r="F245" s="2380"/>
      <c r="G245" s="2380"/>
      <c r="H245" s="2380"/>
      <c r="I245" s="2380"/>
      <c r="J245" s="2380"/>
      <c r="K245" s="2380"/>
      <c r="L245" s="2380"/>
      <c r="M245" s="2380"/>
      <c r="N245" s="2380"/>
      <c r="O245" s="485"/>
      <c r="P245" s="1117"/>
      <c r="Q245" s="1137"/>
      <c r="R245" s="1137"/>
      <c r="S245" s="1137"/>
      <c r="T245" s="1137"/>
      <c r="U245" s="1137"/>
      <c r="V245" s="1137"/>
    </row>
    <row r="246" spans="1:22" s="562" customFormat="1">
      <c r="A246" s="817"/>
      <c r="B246" s="618"/>
      <c r="C246" s="485"/>
      <c r="D246" s="485"/>
      <c r="E246" s="636"/>
      <c r="F246" s="637"/>
      <c r="G246" s="663" t="str">
        <f>E_EnergyFlows!G93</f>
        <v>Unit</v>
      </c>
      <c r="H246" s="578">
        <f>E_EnergyFlows!H93</f>
        <v>2024</v>
      </c>
      <c r="I246" s="697">
        <f>E_EnergyFlows!I93</f>
        <v>2025</v>
      </c>
      <c r="J246" s="1489">
        <f>E_EnergyFlows!J93</f>
        <v>2026</v>
      </c>
      <c r="K246" s="1490">
        <f>E_EnergyFlows!K93</f>
        <v>2027</v>
      </c>
      <c r="L246" s="1490">
        <f>E_EnergyFlows!L93</f>
        <v>2028</v>
      </c>
      <c r="M246" s="1490">
        <f>E_EnergyFlows!M93</f>
        <v>2029</v>
      </c>
      <c r="N246" s="1490">
        <f>E_EnergyFlows!N93</f>
        <v>2030</v>
      </c>
      <c r="O246" s="485"/>
      <c r="P246" s="1137"/>
      <c r="Q246" s="1137"/>
      <c r="R246" s="1137"/>
      <c r="S246" s="1137"/>
      <c r="T246" s="1137"/>
      <c r="U246" s="1137"/>
      <c r="V246" s="1137"/>
    </row>
    <row r="247" spans="1:22" s="562" customFormat="1" ht="12.6" customHeight="1">
      <c r="A247" s="817"/>
      <c r="B247" s="618"/>
      <c r="C247" s="485"/>
      <c r="D247" s="485"/>
      <c r="E247" s="2788" t="str">
        <f>E_EnergyFlows!E94</f>
        <v>Measurable heat produced</v>
      </c>
      <c r="F247" s="3461"/>
      <c r="G247" s="730" t="str">
        <f>E_EnergyFlows!G94</f>
        <v>TJ / year</v>
      </c>
      <c r="H247" s="623" t="str">
        <f>IF(ISBLANK(E_EnergyFlows!H94),"",E_EnergyFlows!H94)</f>
        <v/>
      </c>
      <c r="I247" s="800" t="str">
        <f>IF(ISBLANK(E_EnergyFlows!I94),"",E_EnergyFlows!I94)</f>
        <v/>
      </c>
      <c r="J247" s="1788" t="str">
        <f>IF(ISBLANK(E_EnergyFlows!J94),"",E_EnergyFlows!J94)</f>
        <v/>
      </c>
      <c r="K247" s="1492" t="str">
        <f>IF(ISBLANK(E_EnergyFlows!K94),"",E_EnergyFlows!K94)</f>
        <v/>
      </c>
      <c r="L247" s="1492" t="str">
        <f>IF(ISBLANK(E_EnergyFlows!L94),"",E_EnergyFlows!L94)</f>
        <v/>
      </c>
      <c r="M247" s="1492" t="str">
        <f>IF(ISBLANK(E_EnergyFlows!M94),"",E_EnergyFlows!M94)</f>
        <v/>
      </c>
      <c r="N247" s="1492" t="str">
        <f>IF(ISBLANK(E_EnergyFlows!N94),"",E_EnergyFlows!N94)</f>
        <v/>
      </c>
      <c r="O247" s="485"/>
      <c r="P247" s="1137"/>
      <c r="Q247" s="1137"/>
      <c r="R247" s="1137"/>
      <c r="S247" s="1137"/>
      <c r="T247" s="1137"/>
      <c r="U247" s="1137"/>
      <c r="V247" s="1137"/>
    </row>
    <row r="248" spans="1:22" s="562" customFormat="1" ht="5.0999999999999996" customHeight="1">
      <c r="A248" s="817"/>
      <c r="B248" s="618"/>
      <c r="C248" s="481"/>
      <c r="D248" s="481"/>
      <c r="E248" s="481"/>
      <c r="F248" s="481"/>
      <c r="G248" s="481"/>
      <c r="H248" s="481"/>
      <c r="I248" s="481"/>
      <c r="J248" s="481"/>
      <c r="K248" s="481"/>
      <c r="L248" s="481"/>
      <c r="M248" s="481"/>
      <c r="N248" s="481"/>
      <c r="O248" s="485"/>
      <c r="P248" s="1117"/>
      <c r="Q248" s="1137"/>
      <c r="R248" s="1137"/>
      <c r="S248" s="1137"/>
      <c r="T248" s="1137"/>
      <c r="U248" s="1137"/>
      <c r="V248" s="1137"/>
    </row>
    <row r="249" spans="1:22" s="562" customFormat="1" ht="13.15" customHeight="1">
      <c r="A249" s="817"/>
      <c r="B249" s="618"/>
      <c r="C249" s="482"/>
      <c r="D249" s="482" t="str">
        <f>E_EnergyFlows!D96</f>
        <v>(b)</v>
      </c>
      <c r="E249" s="2508" t="str">
        <f>E_EnergyFlows!E96</f>
        <v>Measurable heat imported from installations covered by the UK ETS:</v>
      </c>
      <c r="F249" s="2380"/>
      <c r="G249" s="2380"/>
      <c r="H249" s="2380"/>
      <c r="I249" s="2380"/>
      <c r="J249" s="2380"/>
      <c r="K249" s="2380"/>
      <c r="L249" s="2380"/>
      <c r="M249" s="2380"/>
      <c r="N249" s="2380"/>
      <c r="O249" s="485"/>
      <c r="P249" s="1117"/>
      <c r="Q249" s="1137"/>
      <c r="R249" s="1137"/>
      <c r="S249" s="1137"/>
      <c r="T249" s="1137"/>
      <c r="U249" s="1137"/>
      <c r="V249" s="1137"/>
    </row>
    <row r="250" spans="1:22" s="562" customFormat="1" ht="13.15" customHeight="1">
      <c r="A250" s="817"/>
      <c r="B250" s="618"/>
      <c r="C250" s="485"/>
      <c r="D250" s="485"/>
      <c r="E250" s="2509" t="str">
        <f>E_EnergyFlows!E99</f>
        <v>Name of installation</v>
      </c>
      <c r="F250" s="3284"/>
      <c r="G250" s="663" t="str">
        <f>E_EnergyFlows!G99</f>
        <v>Unit</v>
      </c>
      <c r="H250" s="578">
        <f>E_EnergyFlows!H99</f>
        <v>2024</v>
      </c>
      <c r="I250" s="697">
        <f>E_EnergyFlows!I99</f>
        <v>2025</v>
      </c>
      <c r="J250" s="1489">
        <f>E_EnergyFlows!J99</f>
        <v>2026</v>
      </c>
      <c r="K250" s="1490">
        <f>E_EnergyFlows!K99</f>
        <v>2027</v>
      </c>
      <c r="L250" s="1490">
        <f>E_EnergyFlows!L99</f>
        <v>2028</v>
      </c>
      <c r="M250" s="1490">
        <f>E_EnergyFlows!M99</f>
        <v>2029</v>
      </c>
      <c r="N250" s="1490">
        <f>E_EnergyFlows!N99</f>
        <v>2030</v>
      </c>
      <c r="O250" s="485"/>
      <c r="P250" s="1137"/>
      <c r="Q250" s="1137"/>
      <c r="R250" s="1137"/>
      <c r="S250" s="1137"/>
      <c r="T250" s="1137"/>
      <c r="U250" s="1137"/>
      <c r="V250" s="1137"/>
    </row>
    <row r="251" spans="1:22" s="562" customFormat="1">
      <c r="A251" s="817"/>
      <c r="B251" s="618"/>
      <c r="C251" s="561"/>
      <c r="D251" s="561"/>
      <c r="E251" s="3330" t="str">
        <f>IF(ISBLANK(E_EnergyFlows!E100),"",E_EnergyFlows!E100)</f>
        <v/>
      </c>
      <c r="F251" s="3467"/>
      <c r="G251" s="579" t="str">
        <f>E_EnergyFlows!G100</f>
        <v>TJ / year</v>
      </c>
      <c r="H251" s="625" t="str">
        <f>IF(ISBLANK(E_EnergyFlows!H100),"",E_EnergyFlows!H100)</f>
        <v/>
      </c>
      <c r="I251" s="794" t="str">
        <f>IF(ISBLANK(E_EnergyFlows!I100),"",E_EnergyFlows!I100)</f>
        <v/>
      </c>
      <c r="J251" s="1788" t="str">
        <f>IF(ISBLANK(E_EnergyFlows!J100),"",E_EnergyFlows!J100)</f>
        <v/>
      </c>
      <c r="K251" s="1492" t="str">
        <f>IF(ISBLANK(E_EnergyFlows!K100),"",E_EnergyFlows!K100)</f>
        <v/>
      </c>
      <c r="L251" s="1492" t="str">
        <f>IF(ISBLANK(E_EnergyFlows!L100),"",E_EnergyFlows!L100)</f>
        <v/>
      </c>
      <c r="M251" s="1492" t="str">
        <f>IF(ISBLANK(E_EnergyFlows!M100),"",E_EnergyFlows!M100)</f>
        <v/>
      </c>
      <c r="N251" s="1492" t="str">
        <f>IF(ISBLANK(E_EnergyFlows!N100),"",E_EnergyFlows!N100)</f>
        <v/>
      </c>
      <c r="O251" s="485"/>
      <c r="P251" s="1137"/>
      <c r="Q251" s="1137"/>
      <c r="R251" s="1137"/>
      <c r="S251" s="1137"/>
      <c r="T251" s="1137"/>
      <c r="U251" s="1137"/>
      <c r="V251" s="1137"/>
    </row>
    <row r="252" spans="1:22" s="562" customFormat="1">
      <c r="A252" s="817"/>
      <c r="B252" s="618"/>
      <c r="C252" s="561"/>
      <c r="D252" s="561"/>
      <c r="E252" s="3362" t="str">
        <f>IF(ISBLANK(E_EnergyFlows!E101),"",E_EnergyFlows!E101)</f>
        <v/>
      </c>
      <c r="F252" s="3189"/>
      <c r="G252" s="582" t="str">
        <f>E_EnergyFlows!G101</f>
        <v>TJ / year</v>
      </c>
      <c r="H252" s="662" t="str">
        <f>IF(ISBLANK(E_EnergyFlows!H101),"",E_EnergyFlows!H101)</f>
        <v/>
      </c>
      <c r="I252" s="931" t="str">
        <f>IF(ISBLANK(E_EnergyFlows!I101),"",E_EnergyFlows!I101)</f>
        <v/>
      </c>
      <c r="J252" s="1788" t="str">
        <f>IF(ISBLANK(E_EnergyFlows!J101),"",E_EnergyFlows!J101)</f>
        <v/>
      </c>
      <c r="K252" s="1492" t="str">
        <f>IF(ISBLANK(E_EnergyFlows!K101),"",E_EnergyFlows!K101)</f>
        <v/>
      </c>
      <c r="L252" s="1492" t="str">
        <f>IF(ISBLANK(E_EnergyFlows!L101),"",E_EnergyFlows!L101)</f>
        <v/>
      </c>
      <c r="M252" s="1492" t="str">
        <f>IF(ISBLANK(E_EnergyFlows!M101),"",E_EnergyFlows!M101)</f>
        <v/>
      </c>
      <c r="N252" s="1492" t="str">
        <f>IF(ISBLANK(E_EnergyFlows!N101),"",E_EnergyFlows!N101)</f>
        <v/>
      </c>
      <c r="O252" s="485"/>
      <c r="P252" s="1137"/>
      <c r="Q252" s="1137"/>
      <c r="R252" s="1137"/>
      <c r="S252" s="1137"/>
      <c r="T252" s="1137"/>
      <c r="U252" s="1137"/>
      <c r="V252" s="1137"/>
    </row>
    <row r="253" spans="1:22" s="562" customFormat="1">
      <c r="A253" s="817"/>
      <c r="B253" s="618"/>
      <c r="C253" s="561"/>
      <c r="D253" s="561"/>
      <c r="E253" s="3332" t="str">
        <f>IF(ISBLANK(E_EnergyFlows!E102),"",E_EnergyFlows!E102)</f>
        <v/>
      </c>
      <c r="F253" s="3466"/>
      <c r="G253" s="584" t="str">
        <f>E_EnergyFlows!G102</f>
        <v>TJ / year</v>
      </c>
      <c r="H253" s="627" t="str">
        <f>IF(ISBLANK(E_EnergyFlows!H102),"",E_EnergyFlows!H102)</f>
        <v/>
      </c>
      <c r="I253" s="796" t="str">
        <f>IF(ISBLANK(E_EnergyFlows!I102),"",E_EnergyFlows!I102)</f>
        <v/>
      </c>
      <c r="J253" s="1788" t="str">
        <f>IF(ISBLANK(E_EnergyFlows!J102),"",E_EnergyFlows!J102)</f>
        <v/>
      </c>
      <c r="K253" s="1492" t="str">
        <f>IF(ISBLANK(E_EnergyFlows!K102),"",E_EnergyFlows!K102)</f>
        <v/>
      </c>
      <c r="L253" s="1492" t="str">
        <f>IF(ISBLANK(E_EnergyFlows!L102),"",E_EnergyFlows!L102)</f>
        <v/>
      </c>
      <c r="M253" s="1492" t="str">
        <f>IF(ISBLANK(E_EnergyFlows!M102),"",E_EnergyFlows!M102)</f>
        <v/>
      </c>
      <c r="N253" s="1492" t="str">
        <f>IF(ISBLANK(E_EnergyFlows!N102),"",E_EnergyFlows!N102)</f>
        <v/>
      </c>
      <c r="O253" s="485"/>
      <c r="P253" s="1137"/>
      <c r="Q253" s="1137"/>
      <c r="R253" s="1137"/>
      <c r="S253" s="1137"/>
      <c r="T253" s="1137"/>
      <c r="U253" s="1137"/>
      <c r="V253" s="1137"/>
    </row>
    <row r="254" spans="1:22" s="562" customFormat="1">
      <c r="A254" s="817"/>
      <c r="B254" s="618"/>
      <c r="C254" s="561"/>
      <c r="D254" s="561"/>
      <c r="E254" s="2788" t="str">
        <f>E_EnergyFlows!E103</f>
        <v>Sub-total</v>
      </c>
      <c r="F254" s="3461"/>
      <c r="G254" s="1506" t="str">
        <f>E_EnergyFlows!G103</f>
        <v>TJ / year</v>
      </c>
      <c r="H254" s="623" t="str">
        <f>E_EnergyFlows!H103</f>
        <v/>
      </c>
      <c r="I254" s="800" t="str">
        <f>E_EnergyFlows!I103</f>
        <v/>
      </c>
      <c r="J254" s="1788" t="str">
        <f>E_EnergyFlows!J103</f>
        <v/>
      </c>
      <c r="K254" s="1492" t="str">
        <f>E_EnergyFlows!K103</f>
        <v/>
      </c>
      <c r="L254" s="1492" t="str">
        <f>E_EnergyFlows!L103</f>
        <v/>
      </c>
      <c r="M254" s="1492" t="str">
        <f>E_EnergyFlows!M103</f>
        <v/>
      </c>
      <c r="N254" s="1492" t="str">
        <f>E_EnergyFlows!N103</f>
        <v/>
      </c>
      <c r="O254" s="485"/>
      <c r="P254" s="1137"/>
      <c r="Q254" s="1137"/>
      <c r="R254" s="1137"/>
      <c r="S254" s="1137"/>
      <c r="T254" s="1137"/>
      <c r="U254" s="1137"/>
      <c r="V254" s="1137"/>
    </row>
    <row r="255" spans="1:22" s="562" customFormat="1" ht="5.0999999999999996" customHeight="1">
      <c r="A255" s="817"/>
      <c r="B255" s="618"/>
      <c r="C255" s="481"/>
      <c r="D255" s="481"/>
      <c r="E255" s="481"/>
      <c r="F255" s="481"/>
      <c r="G255" s="481"/>
      <c r="H255" s="481"/>
      <c r="I255" s="481"/>
      <c r="J255" s="481"/>
      <c r="K255" s="481"/>
      <c r="L255" s="481"/>
      <c r="M255" s="481"/>
      <c r="N255" s="481"/>
      <c r="O255" s="485"/>
      <c r="P255" s="1117"/>
      <c r="Q255" s="1137"/>
      <c r="R255" s="1137"/>
      <c r="S255" s="1137"/>
      <c r="T255" s="1137"/>
      <c r="U255" s="1137"/>
      <c r="V255" s="1137"/>
    </row>
    <row r="256" spans="1:22" s="562" customFormat="1" ht="13.15" customHeight="1">
      <c r="A256" s="817"/>
      <c r="B256" s="618"/>
      <c r="C256" s="482"/>
      <c r="D256" s="482" t="str">
        <f>E_EnergyFlows!D105</f>
        <v>(c)</v>
      </c>
      <c r="E256" s="2508" t="str">
        <f>E_EnergyFlows!E105</f>
        <v>Measurable heat imported from installations and entities not covered by the UK ETS (not eligible for heat benchmark):</v>
      </c>
      <c r="F256" s="2380"/>
      <c r="G256" s="2380"/>
      <c r="H256" s="2380"/>
      <c r="I256" s="2380"/>
      <c r="J256" s="2380"/>
      <c r="K256" s="2380"/>
      <c r="L256" s="2380"/>
      <c r="M256" s="2380"/>
      <c r="N256" s="2380"/>
      <c r="O256" s="485"/>
      <c r="P256" s="1117"/>
      <c r="Q256" s="1137"/>
      <c r="R256" s="1137"/>
      <c r="S256" s="1137"/>
      <c r="T256" s="1137"/>
      <c r="U256" s="1137"/>
      <c r="V256" s="1137"/>
    </row>
    <row r="257" spans="1:22" s="562" customFormat="1" ht="13.15" customHeight="1">
      <c r="A257" s="817"/>
      <c r="B257" s="618"/>
      <c r="C257" s="485"/>
      <c r="D257" s="485"/>
      <c r="E257" s="2509" t="str">
        <f>E_EnergyFlows!E110</f>
        <v>Name of installation or entity</v>
      </c>
      <c r="F257" s="3284"/>
      <c r="G257" s="663" t="str">
        <f>E_EnergyFlows!G110</f>
        <v>Unit</v>
      </c>
      <c r="H257" s="578">
        <f>E_EnergyFlows!H110</f>
        <v>2024</v>
      </c>
      <c r="I257" s="697">
        <f>E_EnergyFlows!I110</f>
        <v>2025</v>
      </c>
      <c r="J257" s="1489">
        <f>E_EnergyFlows!J110</f>
        <v>2026</v>
      </c>
      <c r="K257" s="1490">
        <f>E_EnergyFlows!K110</f>
        <v>2027</v>
      </c>
      <c r="L257" s="1490">
        <f>E_EnergyFlows!L110</f>
        <v>2028</v>
      </c>
      <c r="M257" s="1490">
        <f>E_EnergyFlows!M110</f>
        <v>2029</v>
      </c>
      <c r="N257" s="1490">
        <f>E_EnergyFlows!N110</f>
        <v>2030</v>
      </c>
      <c r="O257" s="618"/>
      <c r="P257" s="1137"/>
      <c r="Q257" s="1137"/>
      <c r="R257" s="1137"/>
      <c r="S257" s="1137"/>
      <c r="T257" s="1137"/>
      <c r="U257" s="1137"/>
      <c r="V257" s="1137"/>
    </row>
    <row r="258" spans="1:22" s="562" customFormat="1">
      <c r="A258" s="817"/>
      <c r="B258" s="618"/>
      <c r="C258" s="561"/>
      <c r="D258" s="561"/>
      <c r="E258" s="3330" t="str">
        <f>IF(ISBLANK(E_EnergyFlows!E111),"",E_EnergyFlows!E111)</f>
        <v/>
      </c>
      <c r="F258" s="3467"/>
      <c r="G258" s="579" t="str">
        <f>E_EnergyFlows!G111</f>
        <v>TJ / year</v>
      </c>
      <c r="H258" s="625" t="str">
        <f>IF(ISBLANK(E_EnergyFlows!H111),"",E_EnergyFlows!H111)</f>
        <v/>
      </c>
      <c r="I258" s="794" t="str">
        <f>IF(ISBLANK(E_EnergyFlows!I111),"",E_EnergyFlows!I111)</f>
        <v/>
      </c>
      <c r="J258" s="1788" t="str">
        <f>IF(ISBLANK(E_EnergyFlows!J111),"",E_EnergyFlows!J111)</f>
        <v/>
      </c>
      <c r="K258" s="1492" t="str">
        <f>IF(ISBLANK(E_EnergyFlows!K111),"",E_EnergyFlows!K111)</f>
        <v/>
      </c>
      <c r="L258" s="1492" t="str">
        <f>IF(ISBLANK(E_EnergyFlows!L111),"",E_EnergyFlows!L111)</f>
        <v/>
      </c>
      <c r="M258" s="1492" t="str">
        <f>IF(ISBLANK(E_EnergyFlows!M111),"",E_EnergyFlows!M111)</f>
        <v/>
      </c>
      <c r="N258" s="1492" t="str">
        <f>IF(ISBLANK(E_EnergyFlows!N111),"",E_EnergyFlows!N111)</f>
        <v/>
      </c>
      <c r="O258" s="618"/>
      <c r="P258" s="1137"/>
      <c r="Q258" s="1137"/>
      <c r="R258" s="1137"/>
      <c r="S258" s="1137"/>
      <c r="T258" s="1137"/>
      <c r="U258" s="1137"/>
      <c r="V258" s="1137"/>
    </row>
    <row r="259" spans="1:22" s="562" customFormat="1">
      <c r="A259" s="817"/>
      <c r="B259" s="618"/>
      <c r="C259" s="561"/>
      <c r="D259" s="561"/>
      <c r="E259" s="3362" t="str">
        <f>IF(ISBLANK(E_EnergyFlows!E112),"",E_EnergyFlows!E112)</f>
        <v/>
      </c>
      <c r="F259" s="3189"/>
      <c r="G259" s="582">
        <f>E_EnergyFlows!G112</f>
        <v>0</v>
      </c>
      <c r="H259" s="662" t="str">
        <f>IF(ISBLANK(E_EnergyFlows!H112),"",E_EnergyFlows!H112)</f>
        <v/>
      </c>
      <c r="I259" s="931" t="str">
        <f>IF(ISBLANK(E_EnergyFlows!I112),"",E_EnergyFlows!I112)</f>
        <v/>
      </c>
      <c r="J259" s="1788" t="str">
        <f>IF(ISBLANK(E_EnergyFlows!J112),"",E_EnergyFlows!J112)</f>
        <v/>
      </c>
      <c r="K259" s="1492" t="str">
        <f>IF(ISBLANK(E_EnergyFlows!K112),"",E_EnergyFlows!K112)</f>
        <v/>
      </c>
      <c r="L259" s="1492" t="str">
        <f>IF(ISBLANK(E_EnergyFlows!L112),"",E_EnergyFlows!L112)</f>
        <v/>
      </c>
      <c r="M259" s="1492" t="str">
        <f>IF(ISBLANK(E_EnergyFlows!M112),"",E_EnergyFlows!M112)</f>
        <v/>
      </c>
      <c r="N259" s="1492" t="str">
        <f>IF(ISBLANK(E_EnergyFlows!N112),"",E_EnergyFlows!N112)</f>
        <v/>
      </c>
      <c r="O259" s="618"/>
      <c r="P259" s="1137"/>
      <c r="Q259" s="1137"/>
      <c r="R259" s="1137"/>
      <c r="S259" s="1137"/>
      <c r="T259" s="1137"/>
      <c r="U259" s="1137"/>
      <c r="V259" s="1137"/>
    </row>
    <row r="260" spans="1:22" s="562" customFormat="1">
      <c r="A260" s="817"/>
      <c r="B260" s="618"/>
      <c r="C260" s="561"/>
      <c r="D260" s="561"/>
      <c r="E260" s="3332" t="str">
        <f>IF(ISBLANK(E_EnergyFlows!E113),"",E_EnergyFlows!E113)</f>
        <v/>
      </c>
      <c r="F260" s="3466"/>
      <c r="G260" s="584" t="str">
        <f>E_EnergyFlows!G113</f>
        <v>TJ / year</v>
      </c>
      <c r="H260" s="627" t="str">
        <f>IF(ISBLANK(E_EnergyFlows!H113),"",E_EnergyFlows!H113)</f>
        <v/>
      </c>
      <c r="I260" s="796" t="str">
        <f>IF(ISBLANK(E_EnergyFlows!I113),"",E_EnergyFlows!I113)</f>
        <v/>
      </c>
      <c r="J260" s="1788" t="str">
        <f>IF(ISBLANK(E_EnergyFlows!J113),"",E_EnergyFlows!J113)</f>
        <v/>
      </c>
      <c r="K260" s="1492" t="str">
        <f>IF(ISBLANK(E_EnergyFlows!K113),"",E_EnergyFlows!K113)</f>
        <v/>
      </c>
      <c r="L260" s="1492" t="str">
        <f>IF(ISBLANK(E_EnergyFlows!L113),"",E_EnergyFlows!L113)</f>
        <v/>
      </c>
      <c r="M260" s="1492" t="str">
        <f>IF(ISBLANK(E_EnergyFlows!M113),"",E_EnergyFlows!M113)</f>
        <v/>
      </c>
      <c r="N260" s="1492" t="str">
        <f>IF(ISBLANK(E_EnergyFlows!N113),"",E_EnergyFlows!N113)</f>
        <v/>
      </c>
      <c r="O260" s="618"/>
      <c r="P260" s="1137"/>
      <c r="Q260" s="1137"/>
      <c r="R260" s="1137"/>
      <c r="S260" s="1137"/>
      <c r="T260" s="1137"/>
      <c r="U260" s="1137"/>
      <c r="V260" s="1137"/>
    </row>
    <row r="261" spans="1:22" s="562" customFormat="1">
      <c r="A261" s="817"/>
      <c r="B261" s="618"/>
      <c r="C261" s="561"/>
      <c r="D261" s="561"/>
      <c r="E261" s="2788" t="str">
        <f>E_EnergyFlows!E114</f>
        <v>Sub-total</v>
      </c>
      <c r="F261" s="3461"/>
      <c r="G261" s="1506" t="str">
        <f>E_EnergyFlows!G114</f>
        <v>TJ / year</v>
      </c>
      <c r="H261" s="623" t="str">
        <f>E_EnergyFlows!H114</f>
        <v/>
      </c>
      <c r="I261" s="800" t="str">
        <f>E_EnergyFlows!I114</f>
        <v/>
      </c>
      <c r="J261" s="1788" t="str">
        <f>E_EnergyFlows!J114</f>
        <v/>
      </c>
      <c r="K261" s="1492" t="str">
        <f>E_EnergyFlows!K114</f>
        <v/>
      </c>
      <c r="L261" s="1492" t="str">
        <f>E_EnergyFlows!L114</f>
        <v/>
      </c>
      <c r="M261" s="1492" t="str">
        <f>E_EnergyFlows!M114</f>
        <v/>
      </c>
      <c r="N261" s="1492" t="str">
        <f>E_EnergyFlows!N114</f>
        <v/>
      </c>
      <c r="O261" s="618"/>
      <c r="P261" s="1137"/>
      <c r="Q261" s="1137"/>
      <c r="R261" s="1137"/>
      <c r="S261" s="1137"/>
      <c r="T261" s="1137"/>
      <c r="U261" s="1137"/>
      <c r="V261" s="1137"/>
    </row>
    <row r="262" spans="1:22" s="562" customFormat="1" ht="5.0999999999999996" customHeight="1">
      <c r="A262" s="817"/>
      <c r="B262" s="618"/>
      <c r="C262" s="481"/>
      <c r="D262" s="481"/>
      <c r="E262" s="481"/>
      <c r="F262" s="481"/>
      <c r="G262" s="481"/>
      <c r="H262" s="481"/>
      <c r="I262" s="481"/>
      <c r="J262" s="481"/>
      <c r="K262" s="481"/>
      <c r="L262" s="481"/>
      <c r="M262" s="481"/>
      <c r="N262" s="481"/>
      <c r="O262" s="618"/>
      <c r="P262" s="1137"/>
      <c r="Q262" s="1137"/>
      <c r="R262" s="1137"/>
      <c r="S262" s="1137"/>
      <c r="T262" s="1137"/>
      <c r="U262" s="1137"/>
      <c r="V262" s="1137"/>
    </row>
    <row r="263" spans="1:22" s="562" customFormat="1" ht="13.15" customHeight="1">
      <c r="A263" s="817"/>
      <c r="B263" s="618"/>
      <c r="C263" s="482"/>
      <c r="D263" s="482" t="str">
        <f>E_EnergyFlows!D116</f>
        <v>(d)</v>
      </c>
      <c r="E263" s="2509" t="str">
        <f>E_EnergyFlows!E116</f>
        <v>Measurable heat produced from electricity</v>
      </c>
      <c r="F263" s="3284"/>
      <c r="G263" s="3284"/>
      <c r="H263" s="3284"/>
      <c r="I263" s="3284"/>
      <c r="J263" s="2380"/>
      <c r="K263" s="2380"/>
      <c r="L263" s="2380"/>
      <c r="M263" s="2380"/>
      <c r="N263" s="2380"/>
      <c r="O263" s="618"/>
      <c r="P263" s="1137"/>
      <c r="Q263" s="1137"/>
      <c r="R263" s="1137"/>
      <c r="S263" s="1137"/>
      <c r="T263" s="1137"/>
      <c r="U263" s="1137"/>
      <c r="V263" s="1137"/>
    </row>
    <row r="264" spans="1:22" s="562" customFormat="1" ht="12.6" customHeight="1">
      <c r="A264" s="817"/>
      <c r="B264" s="618"/>
      <c r="C264" s="485"/>
      <c r="D264" s="485"/>
      <c r="E264" s="2587" t="str">
        <f>E_EnergyFlows!E119</f>
        <v>Heat from electricity</v>
      </c>
      <c r="F264" s="3461"/>
      <c r="G264" s="730" t="str">
        <f>E_EnergyFlows!G119</f>
        <v>TJ / year</v>
      </c>
      <c r="H264" s="623" t="str">
        <f>IF(ISBLANK(E_EnergyFlows!H119),"",E_EnergyFlows!H119)</f>
        <v/>
      </c>
      <c r="I264" s="800" t="str">
        <f>IF(ISBLANK(E_EnergyFlows!I119),"",E_EnergyFlows!I119)</f>
        <v/>
      </c>
      <c r="J264" s="1788" t="str">
        <f>IF(ISBLANK(E_EnergyFlows!J119),"",E_EnergyFlows!J119)</f>
        <v/>
      </c>
      <c r="K264" s="1492" t="str">
        <f>IF(ISBLANK(E_EnergyFlows!K119),"",E_EnergyFlows!K119)</f>
        <v/>
      </c>
      <c r="L264" s="1492" t="str">
        <f>IF(ISBLANK(E_EnergyFlows!L119),"",E_EnergyFlows!L119)</f>
        <v/>
      </c>
      <c r="M264" s="1492" t="str">
        <f>IF(ISBLANK(E_EnergyFlows!M119),"",E_EnergyFlows!M119)</f>
        <v/>
      </c>
      <c r="N264" s="1492" t="str">
        <f>IF(ISBLANK(E_EnergyFlows!N119),"",E_EnergyFlows!N119)</f>
        <v/>
      </c>
      <c r="O264" s="618"/>
      <c r="P264" s="1137"/>
      <c r="Q264" s="1137"/>
      <c r="R264" s="1137"/>
      <c r="S264" s="1137"/>
      <c r="T264" s="1137"/>
      <c r="U264" s="1137"/>
      <c r="V264" s="1137"/>
    </row>
    <row r="265" spans="1:22" s="562" customFormat="1" ht="5.0999999999999996" customHeight="1">
      <c r="A265" s="817"/>
      <c r="B265" s="618"/>
      <c r="C265" s="481"/>
      <c r="D265" s="481"/>
      <c r="E265" s="481"/>
      <c r="F265" s="481"/>
      <c r="G265" s="481"/>
      <c r="H265" s="481"/>
      <c r="I265" s="481"/>
      <c r="J265" s="481"/>
      <c r="K265" s="481"/>
      <c r="L265" s="481"/>
      <c r="M265" s="481"/>
      <c r="N265" s="481"/>
      <c r="O265" s="618"/>
      <c r="P265" s="1137"/>
      <c r="Q265" s="1137"/>
      <c r="R265" s="1137"/>
      <c r="S265" s="1137"/>
      <c r="T265" s="1137"/>
      <c r="U265" s="1137"/>
      <c r="V265" s="1137"/>
    </row>
    <row r="266" spans="1:22" s="562" customFormat="1" ht="13.15" customHeight="1">
      <c r="A266" s="817"/>
      <c r="B266" s="618"/>
      <c r="C266" s="482"/>
      <c r="D266" s="482" t="str">
        <f>E_EnergyFlows!D121</f>
        <v>(e)</v>
      </c>
      <c r="E266" s="2509" t="str">
        <f>E_EnergyFlows!E121</f>
        <v>Sum of measurable heat available at installation (=a+b+c)</v>
      </c>
      <c r="F266" s="3284"/>
      <c r="G266" s="3284"/>
      <c r="H266" s="3284"/>
      <c r="I266" s="3284"/>
      <c r="J266" s="2380"/>
      <c r="K266" s="2380"/>
      <c r="L266" s="2380"/>
      <c r="M266" s="2380"/>
      <c r="N266" s="2380"/>
      <c r="O266" s="618"/>
      <c r="P266" s="1137"/>
      <c r="Q266" s="1137"/>
      <c r="R266" s="1137"/>
      <c r="S266" s="1137"/>
      <c r="T266" s="1137"/>
      <c r="U266" s="1137"/>
      <c r="V266" s="1137"/>
    </row>
    <row r="267" spans="1:22" s="562" customFormat="1" ht="12.6" customHeight="1">
      <c r="A267" s="817"/>
      <c r="B267" s="618"/>
      <c r="C267" s="485"/>
      <c r="D267" s="485"/>
      <c r="E267" s="2788" t="str">
        <f>E_EnergyFlows!E122</f>
        <v>Total measurable heat</v>
      </c>
      <c r="F267" s="3461"/>
      <c r="G267" s="1506" t="str">
        <f>E_EnergyFlows!G122</f>
        <v>TJ / year</v>
      </c>
      <c r="H267" s="623" t="str">
        <f>E_EnergyFlows!H122</f>
        <v/>
      </c>
      <c r="I267" s="800" t="str">
        <f>E_EnergyFlows!I122</f>
        <v/>
      </c>
      <c r="J267" s="1788" t="str">
        <f>E_EnergyFlows!J122</f>
        <v/>
      </c>
      <c r="K267" s="1492" t="str">
        <f>E_EnergyFlows!K122</f>
        <v/>
      </c>
      <c r="L267" s="1492" t="str">
        <f>E_EnergyFlows!L122</f>
        <v/>
      </c>
      <c r="M267" s="1492" t="str">
        <f>E_EnergyFlows!M122</f>
        <v/>
      </c>
      <c r="N267" s="1492" t="str">
        <f>E_EnergyFlows!N122</f>
        <v/>
      </c>
      <c r="O267" s="618"/>
      <c r="P267" s="1137"/>
      <c r="Q267" s="1137"/>
      <c r="R267" s="1137"/>
      <c r="S267" s="1137"/>
      <c r="T267" s="1137"/>
      <c r="U267" s="1137"/>
      <c r="V267" s="1137"/>
    </row>
    <row r="268" spans="1:22" s="562" customFormat="1" ht="5.0999999999999996" customHeight="1">
      <c r="A268" s="817"/>
      <c r="B268" s="618"/>
      <c r="C268" s="481"/>
      <c r="D268" s="481"/>
      <c r="E268" s="481"/>
      <c r="F268" s="481"/>
      <c r="G268" s="481"/>
      <c r="H268" s="481"/>
      <c r="I268" s="481"/>
      <c r="J268" s="481"/>
      <c r="K268" s="481"/>
      <c r="L268" s="481"/>
      <c r="M268" s="481"/>
      <c r="N268" s="481"/>
      <c r="O268" s="618"/>
      <c r="P268" s="1137"/>
      <c r="Q268" s="1137"/>
      <c r="R268" s="1137"/>
      <c r="S268" s="1137"/>
      <c r="T268" s="1137"/>
      <c r="U268" s="1137"/>
      <c r="V268" s="1137"/>
    </row>
    <row r="269" spans="1:22" s="562" customFormat="1" ht="13.15" customHeight="1">
      <c r="A269" s="817"/>
      <c r="B269" s="618"/>
      <c r="C269" s="482"/>
      <c r="D269" s="482" t="str">
        <f>E_EnergyFlows!D124</f>
        <v>(f)</v>
      </c>
      <c r="E269" s="2509" t="str">
        <f>E_EnergyFlows!E124</f>
        <v>Ratio of "ETS heat" to "Total heat"</v>
      </c>
      <c r="F269" s="3284"/>
      <c r="G269" s="3284"/>
      <c r="H269" s="3284"/>
      <c r="I269" s="3284"/>
      <c r="J269" s="2380"/>
      <c r="K269" s="2380"/>
      <c r="L269" s="2380"/>
      <c r="M269" s="2380"/>
      <c r="N269" s="2380"/>
      <c r="O269" s="618"/>
      <c r="P269" s="1137"/>
      <c r="Q269" s="1137"/>
      <c r="R269" s="1137"/>
      <c r="S269" s="1137"/>
      <c r="T269" s="1137"/>
      <c r="U269" s="1137"/>
      <c r="V269" s="1137"/>
    </row>
    <row r="270" spans="1:22" s="562" customFormat="1" ht="12.6" customHeight="1">
      <c r="A270" s="817"/>
      <c r="B270" s="618"/>
      <c r="C270" s="485"/>
      <c r="D270" s="485"/>
      <c r="E270" s="2788" t="str">
        <f>E_EnergyFlows!E128</f>
        <v>Heat input ratio (a+b) / (a+b+c):</v>
      </c>
      <c r="F270" s="3461"/>
      <c r="G270" s="1506" t="str">
        <f>E_EnergyFlows!G128</f>
        <v>%</v>
      </c>
      <c r="H270" s="47" t="str">
        <f>E_EnergyFlows!H128</f>
        <v/>
      </c>
      <c r="I270" s="48" t="str">
        <f>E_EnergyFlows!I128</f>
        <v/>
      </c>
      <c r="J270" s="49" t="str">
        <f>E_EnergyFlows!J128</f>
        <v/>
      </c>
      <c r="K270" s="21" t="str">
        <f>E_EnergyFlows!K128</f>
        <v/>
      </c>
      <c r="L270" s="21" t="str">
        <f>E_EnergyFlows!L128</f>
        <v/>
      </c>
      <c r="M270" s="21" t="str">
        <f>E_EnergyFlows!M128</f>
        <v/>
      </c>
      <c r="N270" s="21" t="str">
        <f>E_EnergyFlows!N128</f>
        <v/>
      </c>
      <c r="O270" s="618"/>
      <c r="P270" s="1137"/>
      <c r="Q270" s="1137"/>
      <c r="R270" s="1137"/>
      <c r="S270" s="1137"/>
      <c r="T270" s="1137"/>
      <c r="U270" s="1137"/>
      <c r="V270" s="1137"/>
    </row>
    <row r="271" spans="1:22" s="562" customFormat="1" ht="5.0999999999999996" customHeight="1">
      <c r="A271" s="817"/>
      <c r="B271" s="618"/>
      <c r="C271" s="481"/>
      <c r="D271" s="481"/>
      <c r="E271" s="481"/>
      <c r="F271" s="481"/>
      <c r="G271" s="481"/>
      <c r="H271" s="481"/>
      <c r="I271" s="481"/>
      <c r="J271" s="481"/>
      <c r="K271" s="481"/>
      <c r="L271" s="481"/>
      <c r="M271" s="481"/>
      <c r="N271" s="481"/>
      <c r="O271" s="618"/>
      <c r="P271" s="1137"/>
      <c r="Q271" s="1137"/>
      <c r="R271" s="1137"/>
      <c r="S271" s="1137"/>
      <c r="T271" s="1137"/>
      <c r="U271" s="1137"/>
      <c r="V271" s="1137"/>
    </row>
    <row r="272" spans="1:22" s="562" customFormat="1" ht="13.15" customHeight="1">
      <c r="A272" s="817"/>
      <c r="B272" s="618"/>
      <c r="C272" s="482"/>
      <c r="D272" s="482" t="str">
        <f>E_EnergyFlows!D135</f>
        <v>(g)</v>
      </c>
      <c r="E272" s="2508" t="str">
        <f>E_EnergyFlows!E135</f>
        <v>Measurable heat consumed for electricity production within the installation (not eligible for heat benchmark):</v>
      </c>
      <c r="F272" s="2380"/>
      <c r="G272" s="2380"/>
      <c r="H272" s="2380"/>
      <c r="I272" s="2380"/>
      <c r="J272" s="2380"/>
      <c r="K272" s="2380"/>
      <c r="L272" s="2380"/>
      <c r="M272" s="2380"/>
      <c r="N272" s="2380"/>
      <c r="O272" s="618"/>
      <c r="P272" s="1137"/>
      <c r="Q272" s="1137"/>
      <c r="R272" s="1137"/>
      <c r="S272" s="1137"/>
      <c r="T272" s="1137"/>
      <c r="U272" s="1137"/>
      <c r="V272" s="1137"/>
    </row>
    <row r="273" spans="1:22" s="562" customFormat="1">
      <c r="A273" s="817"/>
      <c r="B273" s="618"/>
      <c r="C273" s="485"/>
      <c r="D273" s="485"/>
      <c r="E273" s="636"/>
      <c r="F273" s="637"/>
      <c r="G273" s="663"/>
      <c r="H273" s="578">
        <f>E_EnergyFlows!H138</f>
        <v>2024</v>
      </c>
      <c r="I273" s="697">
        <f>E_EnergyFlows!I138</f>
        <v>2025</v>
      </c>
      <c r="J273" s="1489">
        <f>E_EnergyFlows!J138</f>
        <v>2026</v>
      </c>
      <c r="K273" s="1490">
        <f>E_EnergyFlows!K138</f>
        <v>2027</v>
      </c>
      <c r="L273" s="1490">
        <f>E_EnergyFlows!L138</f>
        <v>2028</v>
      </c>
      <c r="M273" s="1490">
        <f>E_EnergyFlows!M138</f>
        <v>2029</v>
      </c>
      <c r="N273" s="1490">
        <f>E_EnergyFlows!N138</f>
        <v>2030</v>
      </c>
      <c r="O273" s="618"/>
      <c r="P273" s="1137"/>
      <c r="Q273" s="1137"/>
      <c r="R273" s="1137"/>
      <c r="S273" s="1137"/>
      <c r="T273" s="1137"/>
      <c r="U273" s="1137"/>
      <c r="V273" s="1137"/>
    </row>
    <row r="274" spans="1:22" s="562" customFormat="1" ht="12.6" customHeight="1">
      <c r="A274" s="817"/>
      <c r="B274" s="618"/>
      <c r="C274" s="561"/>
      <c r="D274" s="561"/>
      <c r="E274" s="2788" t="str">
        <f>E_EnergyFlows!E139</f>
        <v>Heat used for electricity production</v>
      </c>
      <c r="F274" s="3461"/>
      <c r="G274" s="1506" t="str">
        <f>E_EnergyFlows!G139</f>
        <v>TJ / year</v>
      </c>
      <c r="H274" s="623" t="str">
        <f>IF(ISBLANK(E_EnergyFlows!H139),"",E_EnergyFlows!H139)</f>
        <v/>
      </c>
      <c r="I274" s="800" t="str">
        <f>IF(ISBLANK(E_EnergyFlows!I139),"",E_EnergyFlows!I139)</f>
        <v/>
      </c>
      <c r="J274" s="1788" t="str">
        <f>IF(ISBLANK(E_EnergyFlows!J139),"",E_EnergyFlows!J139)</f>
        <v/>
      </c>
      <c r="K274" s="1492" t="str">
        <f>IF(ISBLANK(E_EnergyFlows!K139),"",E_EnergyFlows!K139)</f>
        <v/>
      </c>
      <c r="L274" s="1492" t="str">
        <f>IF(ISBLANK(E_EnergyFlows!L139),"",E_EnergyFlows!L139)</f>
        <v/>
      </c>
      <c r="M274" s="1492" t="str">
        <f>IF(ISBLANK(E_EnergyFlows!M139),"",E_EnergyFlows!M139)</f>
        <v/>
      </c>
      <c r="N274" s="1492" t="str">
        <f>IF(ISBLANK(E_EnergyFlows!N139),"",E_EnergyFlows!N139)</f>
        <v/>
      </c>
      <c r="O274" s="618"/>
      <c r="P274" s="1137"/>
      <c r="Q274" s="1137"/>
      <c r="R274" s="1137"/>
      <c r="S274" s="1137"/>
      <c r="T274" s="1137"/>
      <c r="U274" s="1137"/>
      <c r="V274" s="1137"/>
    </row>
    <row r="275" spans="1:22" s="562" customFormat="1" ht="12.6" customHeight="1">
      <c r="A275" s="817"/>
      <c r="B275" s="618"/>
      <c r="C275" s="561"/>
      <c r="D275" s="561"/>
      <c r="E275" s="2788" t="str">
        <f>E_EnergyFlows!E140</f>
        <v>Amount of heat from non-ETS sources</v>
      </c>
      <c r="F275" s="3461"/>
      <c r="G275" s="939" t="str">
        <f>E_EnergyFlows!G140</f>
        <v>TJ / year</v>
      </c>
      <c r="H275" s="47" t="str">
        <f>E_EnergyFlows!H140</f>
        <v/>
      </c>
      <c r="I275" s="48" t="str">
        <f>E_EnergyFlows!I140</f>
        <v/>
      </c>
      <c r="J275" s="49" t="str">
        <f>E_EnergyFlows!J140</f>
        <v/>
      </c>
      <c r="K275" s="21" t="str">
        <f>E_EnergyFlows!K140</f>
        <v/>
      </c>
      <c r="L275" s="21" t="str">
        <f>E_EnergyFlows!L140</f>
        <v/>
      </c>
      <c r="M275" s="21" t="str">
        <f>E_EnergyFlows!M140</f>
        <v/>
      </c>
      <c r="N275" s="21" t="str">
        <f>E_EnergyFlows!N140</f>
        <v/>
      </c>
      <c r="O275" s="618"/>
      <c r="P275" s="1137"/>
      <c r="Q275" s="1137"/>
      <c r="R275" s="1137"/>
      <c r="S275" s="1137"/>
      <c r="T275" s="1137"/>
      <c r="U275" s="1137"/>
      <c r="V275" s="1137"/>
    </row>
    <row r="276" spans="1:22" s="562" customFormat="1" ht="12.6" customHeight="1">
      <c r="A276" s="817"/>
      <c r="B276" s="618"/>
      <c r="C276" s="561"/>
      <c r="D276" s="561"/>
      <c r="E276" s="2788" t="str">
        <f>E_EnergyFlows!E141</f>
        <v>Manual override of (ii)</v>
      </c>
      <c r="F276" s="3461"/>
      <c r="G276" s="939" t="str">
        <f>E_EnergyFlows!G141</f>
        <v>TJ / year</v>
      </c>
      <c r="H276" s="623" t="str">
        <f>IF(ISBLANK(E_EnergyFlows!H141),"",E_EnergyFlows!H141)</f>
        <v/>
      </c>
      <c r="I276" s="800" t="str">
        <f>IF(ISBLANK(E_EnergyFlows!I141),"",E_EnergyFlows!I141)</f>
        <v/>
      </c>
      <c r="J276" s="1788" t="str">
        <f>IF(ISBLANK(E_EnergyFlows!J141),"",E_EnergyFlows!J141)</f>
        <v/>
      </c>
      <c r="K276" s="1492" t="str">
        <f>IF(ISBLANK(E_EnergyFlows!K141),"",E_EnergyFlows!K141)</f>
        <v/>
      </c>
      <c r="L276" s="1492" t="str">
        <f>IF(ISBLANK(E_EnergyFlows!L141),"",E_EnergyFlows!L141)</f>
        <v/>
      </c>
      <c r="M276" s="1492" t="str">
        <f>IF(ISBLANK(E_EnergyFlows!M141),"",E_EnergyFlows!M141)</f>
        <v/>
      </c>
      <c r="N276" s="1492" t="str">
        <f>IF(ISBLANK(E_EnergyFlows!N141),"",E_EnergyFlows!N141)</f>
        <v/>
      </c>
      <c r="O276" s="618"/>
      <c r="P276" s="1137"/>
      <c r="Q276" s="1137"/>
      <c r="R276" s="1137"/>
      <c r="S276" s="1137"/>
      <c r="T276" s="1137"/>
      <c r="U276" s="1137"/>
      <c r="V276" s="1137"/>
    </row>
    <row r="277" spans="1:22" s="562" customFormat="1" ht="5.0999999999999996" customHeight="1">
      <c r="A277" s="817"/>
      <c r="B277" s="618"/>
      <c r="C277" s="481"/>
      <c r="D277" s="481"/>
      <c r="E277" s="481"/>
      <c r="F277" s="481"/>
      <c r="G277" s="481"/>
      <c r="H277" s="481"/>
      <c r="I277" s="481"/>
      <c r="J277" s="481"/>
      <c r="K277" s="481"/>
      <c r="L277" s="481"/>
      <c r="M277" s="481"/>
      <c r="N277" s="481"/>
      <c r="O277" s="618"/>
      <c r="P277" s="1137"/>
      <c r="Q277" s="1137"/>
      <c r="R277" s="1137"/>
      <c r="S277" s="1137"/>
      <c r="T277" s="1137"/>
      <c r="U277" s="1137"/>
      <c r="V277" s="1137"/>
    </row>
    <row r="278" spans="1:22" s="562" customFormat="1" ht="13.15" customHeight="1">
      <c r="A278" s="817"/>
      <c r="B278" s="618"/>
      <c r="C278" s="482"/>
      <c r="D278" s="482" t="str">
        <f>E_EnergyFlows!D143</f>
        <v>(h)</v>
      </c>
      <c r="E278" s="2508" t="str">
        <f>E_EnergyFlows!E143</f>
        <v>Measurable heat consumed for product benchmark sub-installations within the installation  (not eligible for heat benchmark):</v>
      </c>
      <c r="F278" s="2380"/>
      <c r="G278" s="2380"/>
      <c r="H278" s="2380"/>
      <c r="I278" s="2380"/>
      <c r="J278" s="2380"/>
      <c r="K278" s="2380"/>
      <c r="L278" s="2380"/>
      <c r="M278" s="2380"/>
      <c r="N278" s="2380"/>
      <c r="O278" s="618"/>
      <c r="P278" s="1137"/>
      <c r="Q278" s="1137"/>
      <c r="R278" s="1137"/>
      <c r="S278" s="1137"/>
      <c r="T278" s="1137"/>
      <c r="U278" s="1137"/>
      <c r="V278" s="1137"/>
    </row>
    <row r="279" spans="1:22" s="562" customFormat="1">
      <c r="A279" s="817"/>
      <c r="B279" s="618"/>
      <c r="C279" s="485"/>
      <c r="D279" s="485"/>
      <c r="E279" s="636"/>
      <c r="F279" s="637"/>
      <c r="G279" s="663" t="str">
        <f>E_EnergyFlows!G146</f>
        <v>Unit</v>
      </c>
      <c r="H279" s="578">
        <f>E_EnergyFlows!H146</f>
        <v>2024</v>
      </c>
      <c r="I279" s="697">
        <f>E_EnergyFlows!I146</f>
        <v>2025</v>
      </c>
      <c r="J279" s="1489">
        <f>E_EnergyFlows!J146</f>
        <v>2026</v>
      </c>
      <c r="K279" s="1490">
        <f>E_EnergyFlows!K146</f>
        <v>2027</v>
      </c>
      <c r="L279" s="1490">
        <f>E_EnergyFlows!L146</f>
        <v>2028</v>
      </c>
      <c r="M279" s="1490">
        <f>E_EnergyFlows!M146</f>
        <v>2029</v>
      </c>
      <c r="N279" s="1490">
        <f>E_EnergyFlows!N146</f>
        <v>2030</v>
      </c>
      <c r="O279" s="618"/>
      <c r="P279" s="1137"/>
      <c r="Q279" s="1137"/>
      <c r="R279" s="1137"/>
      <c r="S279" s="1137"/>
      <c r="T279" s="1137"/>
      <c r="U279" s="1137"/>
      <c r="V279" s="1137"/>
    </row>
    <row r="280" spans="1:22" s="562" customFormat="1" ht="12.75" customHeight="1">
      <c r="A280" s="817"/>
      <c r="B280" s="618"/>
      <c r="C280" s="485"/>
      <c r="D280" s="561"/>
      <c r="E280" s="3330" t="str">
        <f>E_EnergyFlows!E147</f>
        <v/>
      </c>
      <c r="F280" s="3467"/>
      <c r="G280" s="1560" t="str">
        <f>E_EnergyFlows!G147</f>
        <v>TJ / year</v>
      </c>
      <c r="H280" s="625" t="str">
        <f>IF(ISBLANK(E_EnergyFlows!H147),"",E_EnergyFlows!H147)</f>
        <v/>
      </c>
      <c r="I280" s="794" t="str">
        <f>IF(ISBLANK(E_EnergyFlows!I147),"",E_EnergyFlows!I147)</f>
        <v/>
      </c>
      <c r="J280" s="1788" t="str">
        <f>IF(ISBLANK(E_EnergyFlows!J147),"",E_EnergyFlows!J147)</f>
        <v/>
      </c>
      <c r="K280" s="1492" t="str">
        <f>IF(ISBLANK(E_EnergyFlows!K147),"",E_EnergyFlows!K147)</f>
        <v/>
      </c>
      <c r="L280" s="1492" t="str">
        <f>IF(ISBLANK(E_EnergyFlows!L147),"",E_EnergyFlows!L147)</f>
        <v/>
      </c>
      <c r="M280" s="1492" t="str">
        <f>IF(ISBLANK(E_EnergyFlows!M147),"",E_EnergyFlows!M147)</f>
        <v/>
      </c>
      <c r="N280" s="1492" t="str">
        <f>IF(ISBLANK(E_EnergyFlows!N147),"",E_EnergyFlows!N147)</f>
        <v/>
      </c>
      <c r="O280" s="618"/>
      <c r="P280" s="1137"/>
      <c r="Q280" s="1137"/>
      <c r="R280" s="1137"/>
      <c r="S280" s="1137"/>
      <c r="T280" s="1137"/>
      <c r="U280" s="1137"/>
      <c r="V280" s="1137"/>
    </row>
    <row r="281" spans="1:22" s="562" customFormat="1">
      <c r="A281" s="817"/>
      <c r="B281" s="618"/>
      <c r="C281" s="485"/>
      <c r="D281" s="561"/>
      <c r="E281" s="3362" t="str">
        <f>E_EnergyFlows!E148</f>
        <v/>
      </c>
      <c r="F281" s="3189"/>
      <c r="G281" s="1562" t="str">
        <f>E_EnergyFlows!G148</f>
        <v>TJ / year</v>
      </c>
      <c r="H281" s="662" t="str">
        <f>IF(ISBLANK(E_EnergyFlows!H148),"",E_EnergyFlows!H148)</f>
        <v/>
      </c>
      <c r="I281" s="931" t="str">
        <f>IF(ISBLANK(E_EnergyFlows!I148),"",E_EnergyFlows!I148)</f>
        <v/>
      </c>
      <c r="J281" s="1788" t="str">
        <f>IF(ISBLANK(E_EnergyFlows!J148),"",E_EnergyFlows!J148)</f>
        <v/>
      </c>
      <c r="K281" s="1492" t="str">
        <f>IF(ISBLANK(E_EnergyFlows!K148),"",E_EnergyFlows!K148)</f>
        <v/>
      </c>
      <c r="L281" s="1492" t="str">
        <f>IF(ISBLANK(E_EnergyFlows!L148),"",E_EnergyFlows!L148)</f>
        <v/>
      </c>
      <c r="M281" s="1492" t="str">
        <f>IF(ISBLANK(E_EnergyFlows!M148),"",E_EnergyFlows!M148)</f>
        <v/>
      </c>
      <c r="N281" s="1492" t="str">
        <f>IF(ISBLANK(E_EnergyFlows!N148),"",E_EnergyFlows!N148)</f>
        <v/>
      </c>
      <c r="O281" s="618"/>
      <c r="P281" s="1137"/>
      <c r="Q281" s="1137"/>
      <c r="R281" s="1137"/>
      <c r="S281" s="1137"/>
      <c r="T281" s="1137"/>
      <c r="U281" s="1137"/>
      <c r="V281" s="1137"/>
    </row>
    <row r="282" spans="1:22" s="562" customFormat="1" ht="12.75" customHeight="1">
      <c r="A282" s="817"/>
      <c r="B282" s="618"/>
      <c r="C282" s="485"/>
      <c r="D282" s="561"/>
      <c r="E282" s="3362" t="str">
        <f>E_EnergyFlows!E149</f>
        <v/>
      </c>
      <c r="F282" s="3189"/>
      <c r="G282" s="1562" t="str">
        <f>E_EnergyFlows!G149</f>
        <v>TJ / year</v>
      </c>
      <c r="H282" s="662" t="str">
        <f>IF(ISBLANK(E_EnergyFlows!H149),"",E_EnergyFlows!H149)</f>
        <v/>
      </c>
      <c r="I282" s="931" t="str">
        <f>IF(ISBLANK(E_EnergyFlows!I149),"",E_EnergyFlows!I149)</f>
        <v/>
      </c>
      <c r="J282" s="1788" t="str">
        <f>IF(ISBLANK(E_EnergyFlows!J149),"",E_EnergyFlows!J149)</f>
        <v/>
      </c>
      <c r="K282" s="1492" t="str">
        <f>IF(ISBLANK(E_EnergyFlows!K149),"",E_EnergyFlows!K149)</f>
        <v/>
      </c>
      <c r="L282" s="1492" t="str">
        <f>IF(ISBLANK(E_EnergyFlows!L149),"",E_EnergyFlows!L149)</f>
        <v/>
      </c>
      <c r="M282" s="1492" t="str">
        <f>IF(ISBLANK(E_EnergyFlows!M149),"",E_EnergyFlows!M149)</f>
        <v/>
      </c>
      <c r="N282" s="1492" t="str">
        <f>IF(ISBLANK(E_EnergyFlows!N149),"",E_EnergyFlows!N149)</f>
        <v/>
      </c>
      <c r="O282" s="618"/>
      <c r="P282" s="1137"/>
      <c r="Q282" s="1137"/>
      <c r="R282" s="1137"/>
      <c r="S282" s="1137"/>
      <c r="T282" s="1137"/>
      <c r="U282" s="1137"/>
      <c r="V282" s="1137"/>
    </row>
    <row r="283" spans="1:22" s="562" customFormat="1">
      <c r="A283" s="817"/>
      <c r="B283" s="618"/>
      <c r="C283" s="485"/>
      <c r="D283" s="561"/>
      <c r="E283" s="3362" t="str">
        <f>E_EnergyFlows!E150</f>
        <v/>
      </c>
      <c r="F283" s="3189"/>
      <c r="G283" s="1562" t="str">
        <f>E_EnergyFlows!G150</f>
        <v>TJ / year</v>
      </c>
      <c r="H283" s="662" t="str">
        <f>IF(ISBLANK(E_EnergyFlows!H150),"",E_EnergyFlows!H150)</f>
        <v/>
      </c>
      <c r="I283" s="931" t="str">
        <f>IF(ISBLANK(E_EnergyFlows!I150),"",E_EnergyFlows!I150)</f>
        <v/>
      </c>
      <c r="J283" s="1788" t="str">
        <f>IF(ISBLANK(E_EnergyFlows!J150),"",E_EnergyFlows!J150)</f>
        <v/>
      </c>
      <c r="K283" s="1492" t="str">
        <f>IF(ISBLANK(E_EnergyFlows!K150),"",E_EnergyFlows!K150)</f>
        <v/>
      </c>
      <c r="L283" s="1492" t="str">
        <f>IF(ISBLANK(E_EnergyFlows!L150),"",E_EnergyFlows!L150)</f>
        <v/>
      </c>
      <c r="M283" s="1492" t="str">
        <f>IF(ISBLANK(E_EnergyFlows!M150),"",E_EnergyFlows!M150)</f>
        <v/>
      </c>
      <c r="N283" s="1492" t="str">
        <f>IF(ISBLANK(E_EnergyFlows!N150),"",E_EnergyFlows!N150)</f>
        <v/>
      </c>
      <c r="O283" s="618"/>
      <c r="P283" s="1137"/>
      <c r="Q283" s="1137"/>
      <c r="R283" s="1137"/>
      <c r="S283" s="1137"/>
      <c r="T283" s="1137"/>
      <c r="U283" s="1137"/>
      <c r="V283" s="1137"/>
    </row>
    <row r="284" spans="1:22" s="562" customFormat="1">
      <c r="A284" s="817"/>
      <c r="B284" s="618"/>
      <c r="C284" s="485"/>
      <c r="D284" s="561"/>
      <c r="E284" s="3362" t="str">
        <f>E_EnergyFlows!E151</f>
        <v/>
      </c>
      <c r="F284" s="3189"/>
      <c r="G284" s="1562" t="str">
        <f>E_EnergyFlows!G151</f>
        <v>TJ / year</v>
      </c>
      <c r="H284" s="662" t="str">
        <f>IF(ISBLANK(E_EnergyFlows!H151),"",E_EnergyFlows!H151)</f>
        <v/>
      </c>
      <c r="I284" s="931" t="str">
        <f>IF(ISBLANK(E_EnergyFlows!I151),"",E_EnergyFlows!I151)</f>
        <v/>
      </c>
      <c r="J284" s="1788" t="str">
        <f>IF(ISBLANK(E_EnergyFlows!J151),"",E_EnergyFlows!J151)</f>
        <v/>
      </c>
      <c r="K284" s="1492" t="str">
        <f>IF(ISBLANK(E_EnergyFlows!K151),"",E_EnergyFlows!K151)</f>
        <v/>
      </c>
      <c r="L284" s="1492" t="str">
        <f>IF(ISBLANK(E_EnergyFlows!L151),"",E_EnergyFlows!L151)</f>
        <v/>
      </c>
      <c r="M284" s="1492" t="str">
        <f>IF(ISBLANK(E_EnergyFlows!M151),"",E_EnergyFlows!M151)</f>
        <v/>
      </c>
      <c r="N284" s="1492" t="str">
        <f>IF(ISBLANK(E_EnergyFlows!N151),"",E_EnergyFlows!N151)</f>
        <v/>
      </c>
      <c r="O284" s="618"/>
      <c r="P284" s="1137"/>
      <c r="Q284" s="1137"/>
      <c r="R284" s="1137"/>
      <c r="S284" s="1137"/>
      <c r="T284" s="1137"/>
      <c r="U284" s="1137"/>
      <c r="V284" s="1137"/>
    </row>
    <row r="285" spans="1:22" s="562" customFormat="1">
      <c r="A285" s="817"/>
      <c r="B285" s="618"/>
      <c r="C285" s="485"/>
      <c r="D285" s="561"/>
      <c r="E285" s="3362" t="str">
        <f>E_EnergyFlows!E152</f>
        <v/>
      </c>
      <c r="F285" s="3189"/>
      <c r="G285" s="1562" t="str">
        <f>E_EnergyFlows!G152</f>
        <v>TJ / year</v>
      </c>
      <c r="H285" s="662" t="str">
        <f>IF(ISBLANK(E_EnergyFlows!H152),"",E_EnergyFlows!H152)</f>
        <v/>
      </c>
      <c r="I285" s="931" t="str">
        <f>IF(ISBLANK(E_EnergyFlows!I152),"",E_EnergyFlows!I152)</f>
        <v/>
      </c>
      <c r="J285" s="1788" t="str">
        <f>IF(ISBLANK(E_EnergyFlows!J152),"",E_EnergyFlows!J152)</f>
        <v/>
      </c>
      <c r="K285" s="1492" t="str">
        <f>IF(ISBLANK(E_EnergyFlows!K152),"",E_EnergyFlows!K152)</f>
        <v/>
      </c>
      <c r="L285" s="1492" t="str">
        <f>IF(ISBLANK(E_EnergyFlows!L152),"",E_EnergyFlows!L152)</f>
        <v/>
      </c>
      <c r="M285" s="1492" t="str">
        <f>IF(ISBLANK(E_EnergyFlows!M152),"",E_EnergyFlows!M152)</f>
        <v/>
      </c>
      <c r="N285" s="1492" t="str">
        <f>IF(ISBLANK(E_EnergyFlows!N152),"",E_EnergyFlows!N152)</f>
        <v/>
      </c>
      <c r="O285" s="618"/>
      <c r="P285" s="1137"/>
      <c r="Q285" s="1137"/>
      <c r="R285" s="1137"/>
      <c r="S285" s="1137"/>
      <c r="T285" s="1137"/>
      <c r="U285" s="1137"/>
      <c r="V285" s="1137"/>
    </row>
    <row r="286" spans="1:22" s="562" customFormat="1">
      <c r="A286" s="817"/>
      <c r="B286" s="618"/>
      <c r="C286" s="485"/>
      <c r="D286" s="561"/>
      <c r="E286" s="3362" t="str">
        <f>E_EnergyFlows!E153</f>
        <v/>
      </c>
      <c r="F286" s="3189"/>
      <c r="G286" s="1562" t="str">
        <f>E_EnergyFlows!G153</f>
        <v>TJ / year</v>
      </c>
      <c r="H286" s="662" t="str">
        <f>IF(ISBLANK(E_EnergyFlows!H153),"",E_EnergyFlows!H153)</f>
        <v/>
      </c>
      <c r="I286" s="931" t="str">
        <f>IF(ISBLANK(E_EnergyFlows!I153),"",E_EnergyFlows!I153)</f>
        <v/>
      </c>
      <c r="J286" s="1788" t="str">
        <f>IF(ISBLANK(E_EnergyFlows!J153),"",E_EnergyFlows!J153)</f>
        <v/>
      </c>
      <c r="K286" s="1492" t="str">
        <f>IF(ISBLANK(E_EnergyFlows!K153),"",E_EnergyFlows!K153)</f>
        <v/>
      </c>
      <c r="L286" s="1492" t="str">
        <f>IF(ISBLANK(E_EnergyFlows!L153),"",E_EnergyFlows!L153)</f>
        <v/>
      </c>
      <c r="M286" s="1492" t="str">
        <f>IF(ISBLANK(E_EnergyFlows!M153),"",E_EnergyFlows!M153)</f>
        <v/>
      </c>
      <c r="N286" s="1492" t="str">
        <f>IF(ISBLANK(E_EnergyFlows!N153),"",E_EnergyFlows!N153)</f>
        <v/>
      </c>
      <c r="O286" s="618"/>
      <c r="P286" s="1137"/>
      <c r="Q286" s="1137"/>
      <c r="R286" s="1137"/>
      <c r="S286" s="1137"/>
      <c r="T286" s="1137"/>
      <c r="U286" s="1137"/>
      <c r="V286" s="1137"/>
    </row>
    <row r="287" spans="1:22" s="562" customFormat="1">
      <c r="A287" s="817"/>
      <c r="B287" s="618"/>
      <c r="C287" s="485"/>
      <c r="D287" s="561"/>
      <c r="E287" s="3362" t="str">
        <f>E_EnergyFlows!E154</f>
        <v/>
      </c>
      <c r="F287" s="3189"/>
      <c r="G287" s="1562" t="str">
        <f>E_EnergyFlows!G154</f>
        <v>TJ / year</v>
      </c>
      <c r="H287" s="662" t="str">
        <f>IF(ISBLANK(E_EnergyFlows!H154),"",E_EnergyFlows!H154)</f>
        <v/>
      </c>
      <c r="I287" s="931" t="str">
        <f>IF(ISBLANK(E_EnergyFlows!I154),"",E_EnergyFlows!I154)</f>
        <v/>
      </c>
      <c r="J287" s="1788" t="str">
        <f>IF(ISBLANK(E_EnergyFlows!J154),"",E_EnergyFlows!J154)</f>
        <v/>
      </c>
      <c r="K287" s="1492" t="str">
        <f>IF(ISBLANK(E_EnergyFlows!K154),"",E_EnergyFlows!K154)</f>
        <v/>
      </c>
      <c r="L287" s="1492" t="str">
        <f>IF(ISBLANK(E_EnergyFlows!L154),"",E_EnergyFlows!L154)</f>
        <v/>
      </c>
      <c r="M287" s="1492" t="str">
        <f>IF(ISBLANK(E_EnergyFlows!M154),"",E_EnergyFlows!M154)</f>
        <v/>
      </c>
      <c r="N287" s="1492" t="str">
        <f>IF(ISBLANK(E_EnergyFlows!N154),"",E_EnergyFlows!N154)</f>
        <v/>
      </c>
      <c r="O287" s="618"/>
      <c r="P287" s="1137"/>
      <c r="Q287" s="1137"/>
      <c r="R287" s="1137"/>
      <c r="S287" s="1137"/>
      <c r="T287" s="1137"/>
      <c r="U287" s="1137"/>
      <c r="V287" s="1137"/>
    </row>
    <row r="288" spans="1:22" s="562" customFormat="1">
      <c r="A288" s="817"/>
      <c r="B288" s="618"/>
      <c r="C288" s="485"/>
      <c r="D288" s="561"/>
      <c r="E288" s="3362" t="str">
        <f>E_EnergyFlows!E155</f>
        <v/>
      </c>
      <c r="F288" s="3189"/>
      <c r="G288" s="1562" t="str">
        <f>E_EnergyFlows!G155</f>
        <v>TJ / year</v>
      </c>
      <c r="H288" s="662" t="str">
        <f>IF(ISBLANK(E_EnergyFlows!H155),"",E_EnergyFlows!H155)</f>
        <v/>
      </c>
      <c r="I288" s="931" t="str">
        <f>IF(ISBLANK(E_EnergyFlows!I155),"",E_EnergyFlows!I155)</f>
        <v/>
      </c>
      <c r="J288" s="1788" t="str">
        <f>IF(ISBLANK(E_EnergyFlows!J155),"",E_EnergyFlows!J155)</f>
        <v/>
      </c>
      <c r="K288" s="1492" t="str">
        <f>IF(ISBLANK(E_EnergyFlows!K155),"",E_EnergyFlows!K155)</f>
        <v/>
      </c>
      <c r="L288" s="1492" t="str">
        <f>IF(ISBLANK(E_EnergyFlows!L155),"",E_EnergyFlows!L155)</f>
        <v/>
      </c>
      <c r="M288" s="1492" t="str">
        <f>IF(ISBLANK(E_EnergyFlows!M155),"",E_EnergyFlows!M155)</f>
        <v/>
      </c>
      <c r="N288" s="1492" t="str">
        <f>IF(ISBLANK(E_EnergyFlows!N155),"",E_EnergyFlows!N155)</f>
        <v/>
      </c>
      <c r="O288" s="618"/>
      <c r="P288" s="1137"/>
      <c r="Q288" s="1137"/>
      <c r="R288" s="1137"/>
      <c r="S288" s="1137"/>
      <c r="T288" s="1137"/>
      <c r="U288" s="1137"/>
      <c r="V288" s="1137"/>
    </row>
    <row r="289" spans="1:22" s="562" customFormat="1">
      <c r="A289" s="817"/>
      <c r="B289" s="618"/>
      <c r="C289" s="485"/>
      <c r="D289" s="561"/>
      <c r="E289" s="3332" t="str">
        <f>E_EnergyFlows!E156</f>
        <v/>
      </c>
      <c r="F289" s="3466"/>
      <c r="G289" s="1563" t="str">
        <f>E_EnergyFlows!G156</f>
        <v>TJ / year</v>
      </c>
      <c r="H289" s="627" t="str">
        <f>IF(ISBLANK(E_EnergyFlows!H156),"",E_EnergyFlows!H156)</f>
        <v/>
      </c>
      <c r="I289" s="796" t="str">
        <f>IF(ISBLANK(E_EnergyFlows!I156),"",E_EnergyFlows!I156)</f>
        <v/>
      </c>
      <c r="J289" s="1788" t="str">
        <f>IF(ISBLANK(E_EnergyFlows!J156),"",E_EnergyFlows!J156)</f>
        <v/>
      </c>
      <c r="K289" s="1492" t="str">
        <f>IF(ISBLANK(E_EnergyFlows!K156),"",E_EnergyFlows!K156)</f>
        <v/>
      </c>
      <c r="L289" s="1492" t="str">
        <f>IF(ISBLANK(E_EnergyFlows!L156),"",E_EnergyFlows!L156)</f>
        <v/>
      </c>
      <c r="M289" s="1492" t="str">
        <f>IF(ISBLANK(E_EnergyFlows!M156),"",E_EnergyFlows!M156)</f>
        <v/>
      </c>
      <c r="N289" s="1492" t="str">
        <f>IF(ISBLANK(E_EnergyFlows!N156),"",E_EnergyFlows!N156)</f>
        <v/>
      </c>
      <c r="O289" s="618"/>
      <c r="P289" s="1137"/>
      <c r="Q289" s="1137"/>
      <c r="R289" s="1137"/>
      <c r="S289" s="1137"/>
      <c r="T289" s="1137"/>
      <c r="U289" s="1137"/>
      <c r="V289" s="1137"/>
    </row>
    <row r="290" spans="1:22" s="562" customFormat="1" ht="12.75" customHeight="1">
      <c r="A290" s="817"/>
      <c r="B290" s="618"/>
      <c r="C290" s="561"/>
      <c r="D290" s="561"/>
      <c r="E290" s="2788" t="str">
        <f>E_EnergyFlows!E157</f>
        <v>Sub-total</v>
      </c>
      <c r="F290" s="3461"/>
      <c r="G290" s="584" t="str">
        <f>E_EnergyFlows!G157</f>
        <v>TJ / year</v>
      </c>
      <c r="H290" s="623" t="str">
        <f>E_EnergyFlows!H157</f>
        <v/>
      </c>
      <c r="I290" s="800" t="str">
        <f>E_EnergyFlows!I157</f>
        <v/>
      </c>
      <c r="J290" s="1788" t="str">
        <f>E_EnergyFlows!J157</f>
        <v/>
      </c>
      <c r="K290" s="1492" t="str">
        <f>E_EnergyFlows!K157</f>
        <v/>
      </c>
      <c r="L290" s="1492" t="str">
        <f>E_EnergyFlows!L157</f>
        <v/>
      </c>
      <c r="M290" s="1492" t="str">
        <f>E_EnergyFlows!M157</f>
        <v/>
      </c>
      <c r="N290" s="1492" t="str">
        <f>E_EnergyFlows!N157</f>
        <v/>
      </c>
      <c r="O290" s="618"/>
      <c r="P290" s="1137"/>
      <c r="Q290" s="1137"/>
      <c r="R290" s="1137"/>
      <c r="S290" s="1137"/>
      <c r="T290" s="1137"/>
      <c r="U290" s="1137"/>
      <c r="V290" s="1137"/>
    </row>
    <row r="291" spans="1:22" s="562" customFormat="1" ht="5.0999999999999996" customHeight="1">
      <c r="A291" s="817"/>
      <c r="B291" s="618"/>
      <c r="C291" s="481"/>
      <c r="D291" s="481"/>
      <c r="E291" s="481"/>
      <c r="F291" s="481"/>
      <c r="G291" s="481"/>
      <c r="H291" s="481"/>
      <c r="I291" s="481"/>
      <c r="J291" s="481"/>
      <c r="K291" s="481"/>
      <c r="L291" s="481"/>
      <c r="M291" s="481"/>
      <c r="N291" s="481"/>
      <c r="O291" s="618"/>
      <c r="P291" s="1137"/>
      <c r="Q291" s="1137"/>
      <c r="R291" s="1137"/>
      <c r="S291" s="1137"/>
      <c r="T291" s="1137"/>
      <c r="U291" s="1137"/>
      <c r="V291" s="1137"/>
    </row>
    <row r="292" spans="1:22" s="562" customFormat="1" ht="12.6" customHeight="1">
      <c r="A292" s="817"/>
      <c r="B292" s="618"/>
      <c r="C292" s="485"/>
      <c r="D292" s="485"/>
      <c r="E292" s="2509" t="str">
        <f>E_EnergyFlows!E159</f>
        <v>Values entered in sheet "F_ProductBM":</v>
      </c>
      <c r="F292" s="3284"/>
      <c r="G292" s="3284"/>
      <c r="H292" s="3284"/>
      <c r="I292" s="3284"/>
      <c r="J292" s="2380"/>
      <c r="K292" s="2380"/>
      <c r="L292" s="2380"/>
      <c r="M292" s="2380"/>
      <c r="N292" s="2380"/>
      <c r="O292" s="618"/>
      <c r="P292" s="1137"/>
      <c r="Q292" s="1137"/>
      <c r="R292" s="1137"/>
      <c r="S292" s="1137"/>
      <c r="T292" s="1137"/>
      <c r="U292" s="1137"/>
      <c r="V292" s="1137"/>
    </row>
    <row r="293" spans="1:22" s="562" customFormat="1" ht="12.6" customHeight="1">
      <c r="A293" s="817"/>
      <c r="B293" s="618"/>
      <c r="C293" s="561"/>
      <c r="D293" s="561"/>
      <c r="E293" s="2788" t="str">
        <f>E_EnergyFlows!E160</f>
        <v>Amount of heat from non-ETS sources</v>
      </c>
      <c r="F293" s="3461"/>
      <c r="G293" s="939" t="str">
        <f>E_EnergyFlows!G160</f>
        <v>TJ / year</v>
      </c>
      <c r="H293" s="47" t="str">
        <f>E_EnergyFlows!H160</f>
        <v/>
      </c>
      <c r="I293" s="48" t="str">
        <f>E_EnergyFlows!I160</f>
        <v/>
      </c>
      <c r="J293" s="49" t="str">
        <f>E_EnergyFlows!J160</f>
        <v/>
      </c>
      <c r="K293" s="21" t="str">
        <f>E_EnergyFlows!K160</f>
        <v/>
      </c>
      <c r="L293" s="21" t="str">
        <f>E_EnergyFlows!L160</f>
        <v/>
      </c>
      <c r="M293" s="21" t="str">
        <f>E_EnergyFlows!M160</f>
        <v/>
      </c>
      <c r="N293" s="21" t="str">
        <f>E_EnergyFlows!N160</f>
        <v/>
      </c>
      <c r="O293" s="618"/>
      <c r="P293" s="1137"/>
      <c r="Q293" s="1137"/>
      <c r="R293" s="1137"/>
      <c r="S293" s="1137"/>
      <c r="T293" s="1137"/>
      <c r="U293" s="1137"/>
      <c r="V293" s="1137"/>
    </row>
    <row r="294" spans="1:22" s="562" customFormat="1" ht="5.0999999999999996" customHeight="1">
      <c r="A294" s="817"/>
      <c r="B294" s="618"/>
      <c r="C294" s="481"/>
      <c r="D294" s="481"/>
      <c r="E294" s="481"/>
      <c r="F294" s="481"/>
      <c r="G294" s="481"/>
      <c r="H294" s="481"/>
      <c r="I294" s="481"/>
      <c r="J294" s="481"/>
      <c r="K294" s="481"/>
      <c r="L294" s="481"/>
      <c r="M294" s="481"/>
      <c r="N294" s="481"/>
      <c r="O294" s="618"/>
      <c r="P294" s="1137"/>
      <c r="Q294" s="1137"/>
      <c r="R294" s="1137"/>
      <c r="S294" s="1137"/>
      <c r="T294" s="1137"/>
      <c r="U294" s="1137"/>
      <c r="V294" s="1137"/>
    </row>
    <row r="295" spans="1:22" s="562" customFormat="1" ht="12.6" customHeight="1">
      <c r="A295" s="817"/>
      <c r="B295" s="618"/>
      <c r="C295" s="485"/>
      <c r="D295" s="485"/>
      <c r="E295" s="2509" t="str">
        <f>E_EnergyFlows!E166</f>
        <v>Non-ETS heat entered in sheet "F_ProductBM" compared to total amount of heat for all product benchmarks:</v>
      </c>
      <c r="F295" s="3284"/>
      <c r="G295" s="3284"/>
      <c r="H295" s="3284"/>
      <c r="I295" s="3284"/>
      <c r="J295" s="2380"/>
      <c r="K295" s="2380"/>
      <c r="L295" s="2380"/>
      <c r="M295" s="2380"/>
      <c r="N295" s="2380"/>
      <c r="O295" s="618"/>
      <c r="P295" s="1137"/>
      <c r="Q295" s="1137"/>
      <c r="R295" s="1137"/>
      <c r="S295" s="1137"/>
      <c r="T295" s="1137"/>
      <c r="U295" s="1137"/>
      <c r="V295" s="1137"/>
    </row>
    <row r="296" spans="1:22" s="562" customFormat="1" ht="12.6" customHeight="1">
      <c r="A296" s="817"/>
      <c r="B296" s="618"/>
      <c r="C296" s="561"/>
      <c r="D296" s="561"/>
      <c r="E296" s="2587" t="str">
        <f>E_EnergyFlows!E167</f>
        <v>Point xii in relation to point xi:</v>
      </c>
      <c r="F296" s="3461"/>
      <c r="G296" s="1506" t="str">
        <f>E_EnergyFlows!G167</f>
        <v>%</v>
      </c>
      <c r="H296" s="47" t="str">
        <f>E_EnergyFlows!H167</f>
        <v/>
      </c>
      <c r="I296" s="48" t="str">
        <f>E_EnergyFlows!I167</f>
        <v/>
      </c>
      <c r="J296" s="49" t="str">
        <f>E_EnergyFlows!J167</f>
        <v/>
      </c>
      <c r="K296" s="21" t="str">
        <f>E_EnergyFlows!K167</f>
        <v/>
      </c>
      <c r="L296" s="21" t="str">
        <f>E_EnergyFlows!L167</f>
        <v/>
      </c>
      <c r="M296" s="21" t="str">
        <f>E_EnergyFlows!M167</f>
        <v/>
      </c>
      <c r="N296" s="21" t="str">
        <f>E_EnergyFlows!N167</f>
        <v/>
      </c>
      <c r="O296" s="618"/>
      <c r="P296" s="1137"/>
      <c r="Q296" s="1137"/>
      <c r="R296" s="1137"/>
      <c r="S296" s="1137"/>
      <c r="T296" s="1137"/>
      <c r="U296" s="1137"/>
      <c r="V296" s="1137"/>
    </row>
    <row r="297" spans="1:22" s="562" customFormat="1" ht="5.0999999999999996" customHeight="1">
      <c r="A297" s="817"/>
      <c r="B297" s="618"/>
      <c r="C297" s="2110"/>
      <c r="D297" s="2110"/>
      <c r="E297" s="481"/>
      <c r="F297" s="481"/>
      <c r="G297" s="481"/>
      <c r="H297" s="481"/>
      <c r="I297" s="481"/>
      <c r="J297" s="481"/>
      <c r="K297" s="481"/>
      <c r="L297" s="481"/>
      <c r="M297" s="481"/>
      <c r="N297" s="481"/>
      <c r="O297" s="618"/>
      <c r="P297" s="1137"/>
      <c r="Q297" s="1137"/>
      <c r="R297" s="1137"/>
      <c r="S297" s="1137"/>
      <c r="T297" s="1137"/>
      <c r="U297" s="1137"/>
      <c r="V297" s="1137"/>
    </row>
    <row r="298" spans="1:22" s="562" customFormat="1" ht="12.6" customHeight="1">
      <c r="A298" s="817"/>
      <c r="B298" s="618"/>
      <c r="C298" s="561"/>
      <c r="D298" s="561"/>
      <c r="E298" s="2509" t="str">
        <f>E_EnergyFlows!E169</f>
        <v>Non-ETS heat entered in sheet "F_ProductBM" compared to total amount of non-ETS heat imports entered above under point (c):</v>
      </c>
      <c r="F298" s="3284"/>
      <c r="G298" s="3284"/>
      <c r="H298" s="3284"/>
      <c r="I298" s="3284"/>
      <c r="J298" s="2380"/>
      <c r="K298" s="2380"/>
      <c r="L298" s="2380"/>
      <c r="M298" s="2380"/>
      <c r="N298" s="2380"/>
      <c r="O298" s="618"/>
      <c r="P298" s="1137"/>
      <c r="Q298" s="1137"/>
      <c r="R298" s="1137"/>
      <c r="S298" s="1137"/>
      <c r="T298" s="1137"/>
      <c r="U298" s="1137"/>
      <c r="V298" s="1137"/>
    </row>
    <row r="299" spans="1:22" s="562" customFormat="1" ht="12.6" customHeight="1">
      <c r="A299" s="817"/>
      <c r="B299" s="618"/>
      <c r="C299" s="561"/>
      <c r="D299" s="561"/>
      <c r="E299" s="2587" t="str">
        <f>E_EnergyFlows!E170</f>
        <v>Point xii in relation to point (c) above:</v>
      </c>
      <c r="F299" s="3461"/>
      <c r="G299" s="1506" t="str">
        <f>E_EnergyFlows!G170</f>
        <v>%</v>
      </c>
      <c r="H299" s="47" t="str">
        <f>E_EnergyFlows!H170</f>
        <v/>
      </c>
      <c r="I299" s="48" t="str">
        <f>E_EnergyFlows!I170</f>
        <v/>
      </c>
      <c r="J299" s="49" t="str">
        <f>E_EnergyFlows!J170</f>
        <v/>
      </c>
      <c r="K299" s="21" t="str">
        <f>E_EnergyFlows!K170</f>
        <v/>
      </c>
      <c r="L299" s="21" t="str">
        <f>E_EnergyFlows!L170</f>
        <v/>
      </c>
      <c r="M299" s="21" t="str">
        <f>E_EnergyFlows!M170</f>
        <v/>
      </c>
      <c r="N299" s="21" t="str">
        <f>E_EnergyFlows!N170</f>
        <v/>
      </c>
      <c r="O299" s="618"/>
      <c r="P299" s="1137"/>
      <c r="Q299" s="1137"/>
      <c r="R299" s="1137"/>
      <c r="S299" s="1137"/>
      <c r="T299" s="1137"/>
      <c r="U299" s="1137"/>
      <c r="V299" s="1137"/>
    </row>
    <row r="300" spans="1:22" s="562" customFormat="1" ht="5.0999999999999996" customHeight="1">
      <c r="A300" s="817"/>
      <c r="B300" s="618"/>
      <c r="C300" s="485"/>
      <c r="D300" s="485"/>
      <c r="E300" s="485"/>
      <c r="F300" s="485"/>
      <c r="G300" s="485"/>
      <c r="H300" s="485"/>
      <c r="I300" s="485"/>
      <c r="J300" s="485"/>
      <c r="K300" s="485"/>
      <c r="L300" s="485"/>
      <c r="M300" s="485"/>
      <c r="N300" s="485"/>
      <c r="O300" s="618"/>
      <c r="P300" s="1137"/>
      <c r="Q300" s="1137"/>
      <c r="R300" s="1137"/>
      <c r="S300" s="1137"/>
      <c r="T300" s="1137"/>
      <c r="U300" s="1137"/>
      <c r="V300" s="1137"/>
    </row>
    <row r="301" spans="1:22" s="562" customFormat="1" ht="13.15" customHeight="1">
      <c r="A301" s="817"/>
      <c r="B301" s="618"/>
      <c r="C301" s="482"/>
      <c r="D301" s="482" t="str">
        <f>E_EnergyFlows!D172</f>
        <v>(i)</v>
      </c>
      <c r="E301" s="2508" t="str">
        <f>E_EnergyFlows!E172</f>
        <v>Heat exported to ETS installations (not eligible for heat benchmark):</v>
      </c>
      <c r="F301" s="2380"/>
      <c r="G301" s="2380"/>
      <c r="H301" s="2380"/>
      <c r="I301" s="2380"/>
      <c r="J301" s="2380"/>
      <c r="K301" s="2380"/>
      <c r="L301" s="2380"/>
      <c r="M301" s="2380"/>
      <c r="N301" s="2380"/>
      <c r="O301" s="618"/>
      <c r="P301" s="1137"/>
      <c r="Q301" s="1137"/>
      <c r="R301" s="1137"/>
      <c r="S301" s="1137"/>
      <c r="T301" s="1137"/>
      <c r="U301" s="1137"/>
      <c r="V301" s="1137"/>
    </row>
    <row r="302" spans="1:22" s="562" customFormat="1" ht="13.15" customHeight="1">
      <c r="A302" s="817"/>
      <c r="B302" s="618"/>
      <c r="C302" s="485"/>
      <c r="D302" s="485"/>
      <c r="E302" s="2509" t="str">
        <f>E_EnergyFlows!E176</f>
        <v>Name of installation</v>
      </c>
      <c r="F302" s="3284"/>
      <c r="G302" s="663" t="str">
        <f>E_EnergyFlows!G176</f>
        <v>Unit</v>
      </c>
      <c r="H302" s="671">
        <f>E_EnergyFlows!H176</f>
        <v>2024</v>
      </c>
      <c r="I302" s="1081">
        <f>E_EnergyFlows!I176</f>
        <v>2025</v>
      </c>
      <c r="J302" s="1489">
        <f>E_EnergyFlows!J176</f>
        <v>2026</v>
      </c>
      <c r="K302" s="1490">
        <f>E_EnergyFlows!K176</f>
        <v>2027</v>
      </c>
      <c r="L302" s="1490">
        <f>E_EnergyFlows!L176</f>
        <v>2028</v>
      </c>
      <c r="M302" s="1490">
        <f>E_EnergyFlows!M176</f>
        <v>2029</v>
      </c>
      <c r="N302" s="1490">
        <f>E_EnergyFlows!N176</f>
        <v>2030</v>
      </c>
      <c r="O302" s="618"/>
      <c r="P302" s="1137"/>
      <c r="Q302" s="1137"/>
      <c r="R302" s="1137"/>
      <c r="S302" s="1137"/>
      <c r="T302" s="1137"/>
      <c r="U302" s="1137"/>
      <c r="V302" s="1137"/>
    </row>
    <row r="303" spans="1:22" s="562" customFormat="1">
      <c r="A303" s="817"/>
      <c r="B303" s="618"/>
      <c r="C303" s="561"/>
      <c r="D303" s="561"/>
      <c r="E303" s="3330" t="str">
        <f>IF(ISBLANK(E_EnergyFlows!E177),"",E_EnergyFlows!E177)</f>
        <v/>
      </c>
      <c r="F303" s="3467"/>
      <c r="G303" s="1564" t="str">
        <f>E_EnergyFlows!G177</f>
        <v>TJ / year</v>
      </c>
      <c r="H303" s="673" t="str">
        <f>IF(ISBLANK(E_EnergyFlows!H177),"",E_EnergyFlows!H177)</f>
        <v/>
      </c>
      <c r="I303" s="2111" t="str">
        <f>IF(ISBLANK(E_EnergyFlows!I177),"",E_EnergyFlows!I177)</f>
        <v/>
      </c>
      <c r="J303" s="1788" t="str">
        <f>IF(ISBLANK(E_EnergyFlows!J177),"",E_EnergyFlows!J177)</f>
        <v/>
      </c>
      <c r="K303" s="1492" t="str">
        <f>IF(ISBLANK(E_EnergyFlows!K177),"",E_EnergyFlows!K177)</f>
        <v/>
      </c>
      <c r="L303" s="1492" t="str">
        <f>IF(ISBLANK(E_EnergyFlows!L177),"",E_EnergyFlows!L177)</f>
        <v/>
      </c>
      <c r="M303" s="1492" t="str">
        <f>IF(ISBLANK(E_EnergyFlows!M177),"",E_EnergyFlows!M177)</f>
        <v/>
      </c>
      <c r="N303" s="1492" t="str">
        <f>IF(ISBLANK(E_EnergyFlows!N177),"",E_EnergyFlows!N177)</f>
        <v/>
      </c>
      <c r="O303" s="618"/>
      <c r="P303" s="1137"/>
      <c r="Q303" s="1137"/>
      <c r="R303" s="1137"/>
      <c r="S303" s="1137"/>
      <c r="T303" s="1137"/>
      <c r="U303" s="1137"/>
      <c r="V303" s="1137"/>
    </row>
    <row r="304" spans="1:22" s="562" customFormat="1">
      <c r="A304" s="817"/>
      <c r="B304" s="618"/>
      <c r="C304" s="561"/>
      <c r="D304" s="561"/>
      <c r="E304" s="3362" t="str">
        <f>IF(ISBLANK(E_EnergyFlows!E178),"",E_EnergyFlows!E178)</f>
        <v/>
      </c>
      <c r="F304" s="3189"/>
      <c r="G304" s="582" t="str">
        <f>E_EnergyFlows!G178</f>
        <v>TJ / year</v>
      </c>
      <c r="H304" s="662" t="str">
        <f>IF(ISBLANK(E_EnergyFlows!H178),"",E_EnergyFlows!H178)</f>
        <v/>
      </c>
      <c r="I304" s="931" t="str">
        <f>IF(ISBLANK(E_EnergyFlows!I178),"",E_EnergyFlows!I178)</f>
        <v/>
      </c>
      <c r="J304" s="1788" t="str">
        <f>IF(ISBLANK(E_EnergyFlows!J178),"",E_EnergyFlows!J178)</f>
        <v/>
      </c>
      <c r="K304" s="1492" t="str">
        <f>IF(ISBLANK(E_EnergyFlows!K178),"",E_EnergyFlows!K178)</f>
        <v/>
      </c>
      <c r="L304" s="1492" t="str">
        <f>IF(ISBLANK(E_EnergyFlows!L178),"",E_EnergyFlows!L178)</f>
        <v/>
      </c>
      <c r="M304" s="1492" t="str">
        <f>IF(ISBLANK(E_EnergyFlows!M178),"",E_EnergyFlows!M178)</f>
        <v/>
      </c>
      <c r="N304" s="1492" t="str">
        <f>IF(ISBLANK(E_EnergyFlows!N178),"",E_EnergyFlows!N178)</f>
        <v/>
      </c>
      <c r="O304" s="618"/>
      <c r="P304" s="1137"/>
      <c r="Q304" s="1137"/>
      <c r="R304" s="1137"/>
      <c r="S304" s="1137"/>
      <c r="T304" s="1137"/>
      <c r="U304" s="1137"/>
      <c r="V304" s="1137"/>
    </row>
    <row r="305" spans="1:22" s="562" customFormat="1">
      <c r="A305" s="817"/>
      <c r="B305" s="618"/>
      <c r="C305" s="561"/>
      <c r="D305" s="561"/>
      <c r="E305" s="3362" t="str">
        <f>IF(ISBLANK(E_EnergyFlows!E179),"",E_EnergyFlows!E179)</f>
        <v/>
      </c>
      <c r="F305" s="3189"/>
      <c r="G305" s="582" t="str">
        <f>E_EnergyFlows!G179</f>
        <v>TJ / year</v>
      </c>
      <c r="H305" s="662" t="str">
        <f>IF(ISBLANK(E_EnergyFlows!H179),"",E_EnergyFlows!H179)</f>
        <v/>
      </c>
      <c r="I305" s="931" t="str">
        <f>IF(ISBLANK(E_EnergyFlows!I179),"",E_EnergyFlows!I179)</f>
        <v/>
      </c>
      <c r="J305" s="1788" t="str">
        <f>IF(ISBLANK(E_EnergyFlows!J179),"",E_EnergyFlows!J179)</f>
        <v/>
      </c>
      <c r="K305" s="1492" t="str">
        <f>IF(ISBLANK(E_EnergyFlows!K179),"",E_EnergyFlows!K179)</f>
        <v/>
      </c>
      <c r="L305" s="1492" t="str">
        <f>IF(ISBLANK(E_EnergyFlows!L179),"",E_EnergyFlows!L179)</f>
        <v/>
      </c>
      <c r="M305" s="1492" t="str">
        <f>IF(ISBLANK(E_EnergyFlows!M179),"",E_EnergyFlows!M179)</f>
        <v/>
      </c>
      <c r="N305" s="1492" t="str">
        <f>IF(ISBLANK(E_EnergyFlows!N179),"",E_EnergyFlows!N179)</f>
        <v/>
      </c>
      <c r="O305" s="618"/>
      <c r="P305" s="1137"/>
      <c r="Q305" s="1137"/>
      <c r="R305" s="1137"/>
      <c r="S305" s="1137"/>
      <c r="T305" s="1137"/>
      <c r="U305" s="1137"/>
      <c r="V305" s="1137"/>
    </row>
    <row r="306" spans="1:22" s="562" customFormat="1">
      <c r="A306" s="817"/>
      <c r="B306" s="618"/>
      <c r="C306" s="561"/>
      <c r="D306" s="561"/>
      <c r="E306" s="3362" t="str">
        <f>IF(ISBLANK(E_EnergyFlows!E180),"",E_EnergyFlows!E180)</f>
        <v/>
      </c>
      <c r="F306" s="3189"/>
      <c r="G306" s="582" t="str">
        <f>E_EnergyFlows!G180</f>
        <v>TJ / year</v>
      </c>
      <c r="H306" s="662" t="str">
        <f>IF(ISBLANK(E_EnergyFlows!H180),"",E_EnergyFlows!H180)</f>
        <v/>
      </c>
      <c r="I306" s="931" t="str">
        <f>IF(ISBLANK(E_EnergyFlows!I180),"",E_EnergyFlows!I180)</f>
        <v/>
      </c>
      <c r="J306" s="1788" t="str">
        <f>IF(ISBLANK(E_EnergyFlows!J180),"",E_EnergyFlows!J180)</f>
        <v/>
      </c>
      <c r="K306" s="1492" t="str">
        <f>IF(ISBLANK(E_EnergyFlows!K180),"",E_EnergyFlows!K180)</f>
        <v/>
      </c>
      <c r="L306" s="1492" t="str">
        <f>IF(ISBLANK(E_EnergyFlows!L180),"",E_EnergyFlows!L180)</f>
        <v/>
      </c>
      <c r="M306" s="1492" t="str">
        <f>IF(ISBLANK(E_EnergyFlows!M180),"",E_EnergyFlows!M180)</f>
        <v/>
      </c>
      <c r="N306" s="1492" t="str">
        <f>IF(ISBLANK(E_EnergyFlows!N180),"",E_EnergyFlows!N180)</f>
        <v/>
      </c>
      <c r="O306" s="618"/>
      <c r="P306" s="1137"/>
      <c r="Q306" s="1137"/>
      <c r="R306" s="1137"/>
      <c r="S306" s="1137"/>
      <c r="T306" s="1137"/>
      <c r="U306" s="1137"/>
      <c r="V306" s="1137"/>
    </row>
    <row r="307" spans="1:22" s="562" customFormat="1">
      <c r="A307" s="817"/>
      <c r="B307" s="618"/>
      <c r="C307" s="561"/>
      <c r="D307" s="561"/>
      <c r="E307" s="3332" t="str">
        <f>IF(ISBLANK(E_EnergyFlows!E181),"",E_EnergyFlows!E181)</f>
        <v/>
      </c>
      <c r="F307" s="3466"/>
      <c r="G307" s="584" t="str">
        <f>E_EnergyFlows!G181</f>
        <v>TJ / year</v>
      </c>
      <c r="H307" s="627" t="str">
        <f>IF(ISBLANK(E_EnergyFlows!H181),"",E_EnergyFlows!H181)</f>
        <v/>
      </c>
      <c r="I307" s="796" t="str">
        <f>IF(ISBLANK(E_EnergyFlows!I181),"",E_EnergyFlows!I181)</f>
        <v/>
      </c>
      <c r="J307" s="1788" t="str">
        <f>IF(ISBLANK(E_EnergyFlows!J181),"",E_EnergyFlows!J181)</f>
        <v/>
      </c>
      <c r="K307" s="1492" t="str">
        <f>IF(ISBLANK(E_EnergyFlows!K181),"",E_EnergyFlows!K181)</f>
        <v/>
      </c>
      <c r="L307" s="1492" t="str">
        <f>IF(ISBLANK(E_EnergyFlows!L181),"",E_EnergyFlows!L181)</f>
        <v/>
      </c>
      <c r="M307" s="1492" t="str">
        <f>IF(ISBLANK(E_EnergyFlows!M181),"",E_EnergyFlows!M181)</f>
        <v/>
      </c>
      <c r="N307" s="1492" t="str">
        <f>IF(ISBLANK(E_EnergyFlows!N181),"",E_EnergyFlows!N181)</f>
        <v/>
      </c>
      <c r="O307" s="618"/>
      <c r="P307" s="1137"/>
      <c r="Q307" s="1137"/>
      <c r="R307" s="1137"/>
      <c r="S307" s="1137"/>
      <c r="T307" s="1137"/>
      <c r="U307" s="1137"/>
      <c r="V307" s="1137"/>
    </row>
    <row r="308" spans="1:22" s="562" customFormat="1" ht="12.6" customHeight="1">
      <c r="A308" s="817"/>
      <c r="B308" s="618"/>
      <c r="C308" s="561"/>
      <c r="D308" s="561"/>
      <c r="E308" s="2788" t="str">
        <f>E_EnergyFlows!E182</f>
        <v>Total heat exported to ETS installations</v>
      </c>
      <c r="F308" s="3461"/>
      <c r="G308" s="586" t="str">
        <f>E_EnergyFlows!G182</f>
        <v>TJ / year</v>
      </c>
      <c r="H308" s="676" t="str">
        <f>E_EnergyFlows!H182</f>
        <v/>
      </c>
      <c r="I308" s="2112" t="str">
        <f>E_EnergyFlows!I182</f>
        <v/>
      </c>
      <c r="J308" s="1788" t="str">
        <f>E_EnergyFlows!J182</f>
        <v/>
      </c>
      <c r="K308" s="1492" t="str">
        <f>E_EnergyFlows!K182</f>
        <v/>
      </c>
      <c r="L308" s="1492" t="str">
        <f>E_EnergyFlows!L182</f>
        <v/>
      </c>
      <c r="M308" s="1492" t="str">
        <f>E_EnergyFlows!M182</f>
        <v/>
      </c>
      <c r="N308" s="1492" t="str">
        <f>E_EnergyFlows!N182</f>
        <v/>
      </c>
      <c r="O308" s="618"/>
      <c r="P308" s="1137"/>
      <c r="Q308" s="1137"/>
      <c r="R308" s="1137"/>
      <c r="S308" s="1137"/>
      <c r="T308" s="1137"/>
      <c r="U308" s="1137"/>
      <c r="V308" s="1137"/>
    </row>
    <row r="309" spans="1:22" s="562" customFormat="1" ht="5.0999999999999996" customHeight="1">
      <c r="A309" s="817"/>
      <c r="B309" s="618"/>
      <c r="C309" s="481"/>
      <c r="D309" s="481"/>
      <c r="E309" s="481"/>
      <c r="F309" s="481"/>
      <c r="G309" s="481"/>
      <c r="H309" s="481"/>
      <c r="I309" s="481"/>
      <c r="J309" s="481"/>
      <c r="K309" s="481"/>
      <c r="L309" s="481"/>
      <c r="M309" s="481"/>
      <c r="N309" s="481"/>
      <c r="O309" s="618"/>
      <c r="P309" s="1137"/>
      <c r="Q309" s="1137"/>
      <c r="R309" s="1137"/>
      <c r="S309" s="1137"/>
      <c r="T309" s="1137"/>
      <c r="U309" s="1137"/>
      <c r="V309" s="1137"/>
    </row>
    <row r="310" spans="1:22" s="562" customFormat="1" ht="13.15" customHeight="1">
      <c r="A310" s="817"/>
      <c r="B310" s="618"/>
      <c r="C310" s="482"/>
      <c r="D310" s="482" t="str">
        <f>E_EnergyFlows!D186</f>
        <v>(j)</v>
      </c>
      <c r="E310" s="2508" t="str">
        <f>E_EnergyFlows!E186</f>
        <v>Sub-total: remaining total measurable heat, potentially belonging to heat benchmark sub-installations (=e-g-h-i):</v>
      </c>
      <c r="F310" s="2380"/>
      <c r="G310" s="2380"/>
      <c r="H310" s="2380"/>
      <c r="I310" s="2380"/>
      <c r="J310" s="2380"/>
      <c r="K310" s="2380"/>
      <c r="L310" s="2380"/>
      <c r="M310" s="2380"/>
      <c r="N310" s="2380"/>
      <c r="O310" s="618"/>
      <c r="P310" s="1137"/>
      <c r="Q310" s="1137"/>
      <c r="R310" s="1137"/>
      <c r="S310" s="1137"/>
      <c r="T310" s="1137"/>
      <c r="U310" s="1137"/>
      <c r="V310" s="1137"/>
    </row>
    <row r="311" spans="1:22" s="562" customFormat="1" ht="5.0999999999999996" customHeight="1">
      <c r="A311" s="817"/>
      <c r="B311" s="618"/>
      <c r="C311" s="481"/>
      <c r="D311" s="481"/>
      <c r="E311" s="481"/>
      <c r="F311" s="481"/>
      <c r="G311" s="481"/>
      <c r="H311" s="481"/>
      <c r="I311" s="481"/>
      <c r="J311" s="481"/>
      <c r="K311" s="481"/>
      <c r="L311" s="481"/>
      <c r="M311" s="481"/>
      <c r="N311" s="481"/>
      <c r="O311" s="618"/>
      <c r="P311" s="1137"/>
      <c r="Q311" s="1137"/>
      <c r="R311" s="1137"/>
      <c r="S311" s="1137"/>
      <c r="T311" s="1137"/>
      <c r="U311" s="1137"/>
      <c r="V311" s="1137"/>
    </row>
    <row r="312" spans="1:22" s="562" customFormat="1">
      <c r="A312" s="817"/>
      <c r="B312" s="618"/>
      <c r="C312" s="485"/>
      <c r="D312" s="485"/>
      <c r="E312" s="636"/>
      <c r="F312" s="637"/>
      <c r="G312" s="663" t="str">
        <f>E_EnergyFlows!G188</f>
        <v>Unit</v>
      </c>
      <c r="H312" s="578">
        <f>E_EnergyFlows!H188</f>
        <v>2024</v>
      </c>
      <c r="I312" s="697">
        <f>E_EnergyFlows!I188</f>
        <v>2025</v>
      </c>
      <c r="J312" s="1489">
        <f>E_EnergyFlows!J188</f>
        <v>2026</v>
      </c>
      <c r="K312" s="1490">
        <f>E_EnergyFlows!K188</f>
        <v>2027</v>
      </c>
      <c r="L312" s="1490">
        <f>E_EnergyFlows!L188</f>
        <v>2028</v>
      </c>
      <c r="M312" s="1490">
        <f>E_EnergyFlows!M188</f>
        <v>2029</v>
      </c>
      <c r="N312" s="1490">
        <f>E_EnergyFlows!N188</f>
        <v>2030</v>
      </c>
      <c r="O312" s="618"/>
      <c r="P312" s="1137"/>
      <c r="Q312" s="1137"/>
      <c r="R312" s="1137"/>
      <c r="S312" s="1137"/>
      <c r="T312" s="1137"/>
      <c r="U312" s="1137"/>
      <c r="V312" s="1137"/>
    </row>
    <row r="313" spans="1:22" s="562" customFormat="1">
      <c r="A313" s="817"/>
      <c r="B313" s="618"/>
      <c r="C313" s="561"/>
      <c r="D313" s="561"/>
      <c r="E313" s="2587" t="str">
        <f>E_EnergyFlows!E189</f>
        <v>Sub-total:</v>
      </c>
      <c r="F313" s="3461"/>
      <c r="G313" s="1506" t="str">
        <f>E_EnergyFlows!G189</f>
        <v>TJ / year</v>
      </c>
      <c r="H313" s="623" t="str">
        <f>E_EnergyFlows!H189</f>
        <v/>
      </c>
      <c r="I313" s="800" t="str">
        <f>E_EnergyFlows!I189</f>
        <v/>
      </c>
      <c r="J313" s="1788" t="str">
        <f>E_EnergyFlows!J189</f>
        <v/>
      </c>
      <c r="K313" s="1492" t="str">
        <f>E_EnergyFlows!K189</f>
        <v/>
      </c>
      <c r="L313" s="1492" t="str">
        <f>E_EnergyFlows!L189</f>
        <v/>
      </c>
      <c r="M313" s="1492" t="str">
        <f>E_EnergyFlows!M189</f>
        <v/>
      </c>
      <c r="N313" s="1492" t="str">
        <f>E_EnergyFlows!N189</f>
        <v/>
      </c>
      <c r="O313" s="618"/>
      <c r="P313" s="1137"/>
      <c r="Q313" s="1137"/>
      <c r="R313" s="1137"/>
      <c r="S313" s="1137"/>
      <c r="T313" s="1137"/>
      <c r="U313" s="1137"/>
      <c r="V313" s="1137"/>
    </row>
    <row r="314" spans="1:22" s="562" customFormat="1" ht="5.0999999999999996" customHeight="1">
      <c r="A314" s="817"/>
      <c r="B314" s="618"/>
      <c r="C314" s="481"/>
      <c r="D314" s="481"/>
      <c r="E314" s="481"/>
      <c r="F314" s="481"/>
      <c r="G314" s="481"/>
      <c r="H314" s="481"/>
      <c r="I314" s="481"/>
      <c r="J314" s="2039"/>
      <c r="K314" s="1900"/>
      <c r="L314" s="1900"/>
      <c r="M314" s="1900"/>
      <c r="N314" s="1900"/>
      <c r="O314" s="618"/>
      <c r="P314" s="1137"/>
      <c r="Q314" s="1137"/>
      <c r="R314" s="1137"/>
      <c r="S314" s="1137"/>
      <c r="T314" s="1137"/>
      <c r="U314" s="1137"/>
      <c r="V314" s="1137"/>
    </row>
    <row r="315" spans="1:22" s="562" customFormat="1" ht="12.6" customHeight="1">
      <c r="A315" s="817"/>
      <c r="B315" s="618"/>
      <c r="C315" s="561"/>
      <c r="D315" s="561"/>
      <c r="E315" s="2606" t="str">
        <f>E_EnergyFlows!E193</f>
        <v>eligible by origin:</v>
      </c>
      <c r="F315" s="3467"/>
      <c r="G315" s="579" t="str">
        <f>E_EnergyFlows!G193</f>
        <v>TJ / year</v>
      </c>
      <c r="H315" s="625" t="str">
        <f>E_EnergyFlows!H193</f>
        <v/>
      </c>
      <c r="I315" s="794" t="str">
        <f>E_EnergyFlows!I193</f>
        <v/>
      </c>
      <c r="J315" s="1788" t="str">
        <f>E_EnergyFlows!J193</f>
        <v/>
      </c>
      <c r="K315" s="1492" t="str">
        <f>E_EnergyFlows!K193</f>
        <v/>
      </c>
      <c r="L315" s="1492" t="str">
        <f>E_EnergyFlows!L193</f>
        <v/>
      </c>
      <c r="M315" s="1492" t="str">
        <f>E_EnergyFlows!M193</f>
        <v/>
      </c>
      <c r="N315" s="1492" t="str">
        <f>E_EnergyFlows!N193</f>
        <v/>
      </c>
      <c r="O315" s="618"/>
      <c r="P315" s="1137"/>
      <c r="Q315" s="1137"/>
      <c r="R315" s="1137"/>
      <c r="S315" s="1137"/>
      <c r="T315" s="1137"/>
      <c r="U315" s="1137"/>
      <c r="V315" s="1137"/>
    </row>
    <row r="316" spans="1:22" s="562" customFormat="1" ht="12.6" customHeight="1">
      <c r="A316" s="817"/>
      <c r="B316" s="618"/>
      <c r="C316" s="561"/>
      <c r="D316" s="561"/>
      <c r="E316" s="2586" t="str">
        <f>E_EnergyFlows!E194</f>
        <v>non-eligible by origin:</v>
      </c>
      <c r="F316" s="3466"/>
      <c r="G316" s="584" t="str">
        <f>E_EnergyFlows!G194</f>
        <v>TJ / year</v>
      </c>
      <c r="H316" s="627" t="str">
        <f>E_EnergyFlows!H194</f>
        <v/>
      </c>
      <c r="I316" s="796" t="str">
        <f>E_EnergyFlows!I194</f>
        <v/>
      </c>
      <c r="J316" s="1788" t="str">
        <f>E_EnergyFlows!J194</f>
        <v/>
      </c>
      <c r="K316" s="1492" t="str">
        <f>E_EnergyFlows!K194</f>
        <v/>
      </c>
      <c r="L316" s="1492" t="str">
        <f>E_EnergyFlows!L194</f>
        <v/>
      </c>
      <c r="M316" s="1492" t="str">
        <f>E_EnergyFlows!M194</f>
        <v/>
      </c>
      <c r="N316" s="1492" t="str">
        <f>E_EnergyFlows!N194</f>
        <v/>
      </c>
      <c r="O316" s="618"/>
      <c r="P316" s="1137"/>
      <c r="Q316" s="1137"/>
      <c r="R316" s="1137"/>
      <c r="S316" s="1137"/>
      <c r="T316" s="1137"/>
      <c r="U316" s="1137"/>
      <c r="V316" s="1137"/>
    </row>
    <row r="317" spans="1:22" s="562" customFormat="1" ht="5.0999999999999996" customHeight="1">
      <c r="A317" s="817"/>
      <c r="B317" s="618"/>
      <c r="C317" s="485"/>
      <c r="D317" s="485"/>
      <c r="E317" s="485"/>
      <c r="F317" s="485"/>
      <c r="G317" s="485"/>
      <c r="H317" s="485"/>
      <c r="I317" s="485"/>
      <c r="J317" s="485"/>
      <c r="K317" s="485"/>
      <c r="L317" s="485"/>
      <c r="M317" s="485"/>
      <c r="N317" s="485"/>
      <c r="O317" s="618"/>
      <c r="P317" s="1137"/>
      <c r="Q317" s="1137"/>
      <c r="R317" s="1137"/>
      <c r="S317" s="1137"/>
      <c r="T317" s="1137"/>
      <c r="U317" s="1137"/>
      <c r="V317" s="1137"/>
    </row>
    <row r="318" spans="1:22" s="562" customFormat="1" ht="13.15" customHeight="1">
      <c r="A318" s="817"/>
      <c r="B318" s="618"/>
      <c r="C318" s="482"/>
      <c r="D318" s="482" t="str">
        <f>E_EnergyFlows!D196</f>
        <v>(k)</v>
      </c>
      <c r="E318" s="2509" t="str">
        <f>E_EnergyFlows!E196</f>
        <v>Eligibility ratio for the remaining heat calculated under (j):</v>
      </c>
      <c r="F318" s="3284"/>
      <c r="G318" s="3284"/>
      <c r="H318" s="3284"/>
      <c r="I318" s="3284"/>
      <c r="J318" s="2380"/>
      <c r="K318" s="2380"/>
      <c r="L318" s="2380"/>
      <c r="M318" s="2380"/>
      <c r="N318" s="2380"/>
      <c r="O318" s="618"/>
      <c r="P318" s="1137"/>
      <c r="Q318" s="1137"/>
      <c r="R318" s="1137"/>
      <c r="S318" s="1137"/>
      <c r="T318" s="1137"/>
      <c r="U318" s="1137"/>
      <c r="V318" s="1137"/>
    </row>
    <row r="319" spans="1:22" s="562" customFormat="1" ht="13.15" customHeight="1">
      <c r="A319" s="817"/>
      <c r="B319" s="618"/>
      <c r="C319" s="561"/>
      <c r="D319" s="561"/>
      <c r="E319" s="3470" t="str">
        <f>E_EnergyFlows!E197</f>
        <v>corrected eligibility ratio (=(j).ii / (j).i):</v>
      </c>
      <c r="F319" s="3461"/>
      <c r="G319" s="1567" t="str">
        <f>E_EnergyFlows!G197</f>
        <v>%</v>
      </c>
      <c r="H319" s="635" t="str">
        <f>E_EnergyFlows!H197</f>
        <v/>
      </c>
      <c r="I319" s="2104" t="str">
        <f>E_EnergyFlows!I197</f>
        <v/>
      </c>
      <c r="J319" s="2105" t="str">
        <f>E_EnergyFlows!J197</f>
        <v/>
      </c>
      <c r="K319" s="1538" t="str">
        <f>E_EnergyFlows!K197</f>
        <v/>
      </c>
      <c r="L319" s="1538" t="str">
        <f>E_EnergyFlows!L197</f>
        <v/>
      </c>
      <c r="M319" s="1538" t="str">
        <f>E_EnergyFlows!M197</f>
        <v/>
      </c>
      <c r="N319" s="1538" t="str">
        <f>E_EnergyFlows!N197</f>
        <v/>
      </c>
      <c r="O319" s="618"/>
      <c r="P319" s="1137"/>
      <c r="Q319" s="1137"/>
      <c r="R319" s="1137"/>
      <c r="S319" s="1137"/>
      <c r="T319" s="1137"/>
      <c r="U319" s="1137"/>
      <c r="V319" s="1137"/>
    </row>
    <row r="320" spans="1:22" s="562" customFormat="1" ht="5.0999999999999996" customHeight="1">
      <c r="A320" s="817"/>
      <c r="B320" s="618"/>
      <c r="C320" s="481"/>
      <c r="D320" s="481"/>
      <c r="E320" s="481"/>
      <c r="F320" s="481"/>
      <c r="G320" s="481"/>
      <c r="H320" s="481"/>
      <c r="I320" s="481"/>
      <c r="J320" s="481"/>
      <c r="K320" s="481"/>
      <c r="L320" s="481"/>
      <c r="M320" s="481"/>
      <c r="N320" s="481"/>
      <c r="O320" s="618"/>
      <c r="P320" s="1137"/>
      <c r="Q320" s="1137"/>
      <c r="R320" s="1137"/>
      <c r="S320" s="1137"/>
      <c r="T320" s="1137"/>
      <c r="U320" s="1137"/>
      <c r="V320" s="1137"/>
    </row>
    <row r="321" spans="1:22" s="562" customFormat="1" ht="13.15" customHeight="1">
      <c r="A321" s="817"/>
      <c r="B321" s="618"/>
      <c r="C321" s="482"/>
      <c r="D321" s="482" t="str">
        <f>E_EnergyFlows!D199</f>
        <v>(l)</v>
      </c>
      <c r="E321" s="2509" t="str">
        <f>E_EnergyFlows!E199</f>
        <v>Net amount measurable heat consumed in the installation and eligible under heat benchmark:</v>
      </c>
      <c r="F321" s="3284"/>
      <c r="G321" s="3284"/>
      <c r="H321" s="3284"/>
      <c r="I321" s="3284"/>
      <c r="J321" s="2380"/>
      <c r="K321" s="2380"/>
      <c r="L321" s="2380"/>
      <c r="M321" s="2380"/>
      <c r="N321" s="2380"/>
      <c r="O321" s="618"/>
      <c r="P321" s="1137"/>
      <c r="Q321" s="1137"/>
      <c r="R321" s="1137"/>
      <c r="S321" s="1137"/>
      <c r="T321" s="1137"/>
      <c r="U321" s="1137"/>
      <c r="V321" s="1137"/>
    </row>
    <row r="322" spans="1:22" s="562" customFormat="1" ht="12.6" customHeight="1">
      <c r="A322" s="817"/>
      <c r="B322" s="618"/>
      <c r="C322" s="485"/>
      <c r="D322" s="485"/>
      <c r="E322" s="2587" t="str">
        <f>E_EnergyFlows!E201</f>
        <v>Heat consumed within the installation</v>
      </c>
      <c r="F322" s="3461"/>
      <c r="G322" s="1506" t="str">
        <f>E_EnergyFlows!G201</f>
        <v>TJ / year</v>
      </c>
      <c r="H322" s="623" t="str">
        <f>IF(ISBLANK(E_EnergyFlows!H201),"",E_EnergyFlows!H201)</f>
        <v/>
      </c>
      <c r="I322" s="800" t="str">
        <f>IF(ISBLANK(E_EnergyFlows!I201),"",E_EnergyFlows!I201)</f>
        <v/>
      </c>
      <c r="J322" s="1788" t="str">
        <f>IF(ISBLANK(E_EnergyFlows!J201),"",E_EnergyFlows!J201)</f>
        <v/>
      </c>
      <c r="K322" s="1492" t="str">
        <f>IF(ISBLANK(E_EnergyFlows!K201),"",E_EnergyFlows!K201)</f>
        <v/>
      </c>
      <c r="L322" s="1492" t="str">
        <f>IF(ISBLANK(E_EnergyFlows!L201),"",E_EnergyFlows!L201)</f>
        <v/>
      </c>
      <c r="M322" s="1492" t="str">
        <f>IF(ISBLANK(E_EnergyFlows!M201),"",E_EnergyFlows!M201)</f>
        <v/>
      </c>
      <c r="N322" s="1492" t="str">
        <f>IF(ISBLANK(E_EnergyFlows!N201),"",E_EnergyFlows!N201)</f>
        <v/>
      </c>
      <c r="O322" s="618"/>
      <c r="P322" s="1137"/>
      <c r="Q322" s="1137"/>
      <c r="R322" s="1137"/>
      <c r="S322" s="1137"/>
      <c r="T322" s="1137"/>
      <c r="U322" s="1137"/>
      <c r="V322" s="1137"/>
    </row>
    <row r="323" spans="1:22" s="562" customFormat="1" ht="5.0999999999999996" customHeight="1">
      <c r="A323" s="817"/>
      <c r="B323" s="618"/>
      <c r="C323" s="481"/>
      <c r="D323" s="481"/>
      <c r="E323" s="481"/>
      <c r="F323" s="481"/>
      <c r="G323" s="481"/>
      <c r="H323" s="481"/>
      <c r="I323" s="481"/>
      <c r="J323" s="481"/>
      <c r="K323" s="481"/>
      <c r="L323" s="481"/>
      <c r="M323" s="481"/>
      <c r="N323" s="481"/>
      <c r="O323" s="618"/>
      <c r="P323" s="1137"/>
      <c r="Q323" s="1137"/>
      <c r="R323" s="1137"/>
      <c r="S323" s="1137"/>
      <c r="T323" s="1137"/>
      <c r="U323" s="1137"/>
      <c r="V323" s="1137"/>
    </row>
    <row r="324" spans="1:22" s="562" customFormat="1" ht="13.15" customHeight="1">
      <c r="A324" s="817"/>
      <c r="B324" s="618"/>
      <c r="C324" s="482"/>
      <c r="D324" s="482" t="str">
        <f>E_EnergyFlows!D203</f>
        <v>(m)</v>
      </c>
      <c r="E324" s="2508" t="str">
        <f>E_EnergyFlows!E203</f>
        <v>Heat exported to installations or entities not covered by the UK ETS (e.g. district heating networks):</v>
      </c>
      <c r="F324" s="2380"/>
      <c r="G324" s="2380"/>
      <c r="H324" s="2380"/>
      <c r="I324" s="2380"/>
      <c r="J324" s="2380"/>
      <c r="K324" s="2380"/>
      <c r="L324" s="2380"/>
      <c r="M324" s="2380"/>
      <c r="N324" s="2380"/>
      <c r="O324" s="618"/>
      <c r="P324" s="1137"/>
      <c r="Q324" s="1137"/>
      <c r="R324" s="1137"/>
      <c r="S324" s="1137"/>
      <c r="T324" s="1137"/>
      <c r="U324" s="1137"/>
      <c r="V324" s="1137"/>
    </row>
    <row r="325" spans="1:22" s="562" customFormat="1" ht="13.15" customHeight="1">
      <c r="A325" s="817"/>
      <c r="B325" s="618"/>
      <c r="C325" s="485"/>
      <c r="D325" s="485"/>
      <c r="E325" s="2509" t="str">
        <f>E_EnergyFlows!E206</f>
        <v>Name of receiving entity or installation</v>
      </c>
      <c r="F325" s="3284"/>
      <c r="G325" s="663" t="str">
        <f>E_EnergyFlows!G206</f>
        <v>Unit</v>
      </c>
      <c r="H325" s="671">
        <f>E_EnergyFlows!H206</f>
        <v>2024</v>
      </c>
      <c r="I325" s="1081">
        <f>E_EnergyFlows!I206</f>
        <v>2025</v>
      </c>
      <c r="J325" s="1489">
        <f>E_EnergyFlows!J206</f>
        <v>2026</v>
      </c>
      <c r="K325" s="1490">
        <f>E_EnergyFlows!K206</f>
        <v>2027</v>
      </c>
      <c r="L325" s="1490">
        <f>E_EnergyFlows!L206</f>
        <v>2028</v>
      </c>
      <c r="M325" s="1490">
        <f>E_EnergyFlows!M206</f>
        <v>2029</v>
      </c>
      <c r="N325" s="1490">
        <f>E_EnergyFlows!N206</f>
        <v>2030</v>
      </c>
      <c r="O325" s="618"/>
      <c r="P325" s="1137"/>
      <c r="Q325" s="1137"/>
      <c r="R325" s="1137"/>
      <c r="S325" s="1137"/>
      <c r="T325" s="1137"/>
      <c r="U325" s="1137"/>
      <c r="V325" s="1137"/>
    </row>
    <row r="326" spans="1:22" s="562" customFormat="1">
      <c r="A326" s="817"/>
      <c r="B326" s="618"/>
      <c r="C326" s="561"/>
      <c r="D326" s="561"/>
      <c r="E326" s="3330" t="str">
        <f>IF(ISBLANK(E_EnergyFlows!E207),"",E_EnergyFlows!E207)</f>
        <v/>
      </c>
      <c r="F326" s="3467"/>
      <c r="G326" s="582" t="str">
        <f>E_EnergyFlows!G207</f>
        <v>TJ / year</v>
      </c>
      <c r="H326" s="673" t="str">
        <f>IF(ISBLANK(E_EnergyFlows!H207),"",E_EnergyFlows!H207)</f>
        <v/>
      </c>
      <c r="I326" s="2111" t="str">
        <f>IF(ISBLANK(E_EnergyFlows!I207),"",E_EnergyFlows!I207)</f>
        <v/>
      </c>
      <c r="J326" s="1788" t="str">
        <f>IF(ISBLANK(E_EnergyFlows!J207),"",E_EnergyFlows!J207)</f>
        <v/>
      </c>
      <c r="K326" s="1492" t="str">
        <f>IF(ISBLANK(E_EnergyFlows!K207),"",E_EnergyFlows!K207)</f>
        <v/>
      </c>
      <c r="L326" s="1492" t="str">
        <f>IF(ISBLANK(E_EnergyFlows!L207),"",E_EnergyFlows!L207)</f>
        <v/>
      </c>
      <c r="M326" s="1492" t="str">
        <f>IF(ISBLANK(E_EnergyFlows!M207),"",E_EnergyFlows!M207)</f>
        <v/>
      </c>
      <c r="N326" s="1492" t="str">
        <f>IF(ISBLANK(E_EnergyFlows!N207),"",E_EnergyFlows!N207)</f>
        <v/>
      </c>
      <c r="O326" s="618"/>
      <c r="P326" s="1137"/>
      <c r="Q326" s="1137"/>
      <c r="R326" s="1137"/>
      <c r="S326" s="1137"/>
      <c r="T326" s="1137"/>
      <c r="U326" s="1137"/>
      <c r="V326" s="1137"/>
    </row>
    <row r="327" spans="1:22" s="562" customFormat="1">
      <c r="A327" s="817"/>
      <c r="B327" s="618"/>
      <c r="C327" s="561"/>
      <c r="D327" s="561"/>
      <c r="E327" s="3362" t="str">
        <f>IF(ISBLANK(E_EnergyFlows!E208),"",E_EnergyFlows!E208)</f>
        <v/>
      </c>
      <c r="F327" s="3189"/>
      <c r="G327" s="582" t="str">
        <f>E_EnergyFlows!G208</f>
        <v>TJ / year</v>
      </c>
      <c r="H327" s="662" t="str">
        <f>IF(ISBLANK(E_EnergyFlows!H208),"",E_EnergyFlows!H208)</f>
        <v/>
      </c>
      <c r="I327" s="931" t="str">
        <f>IF(ISBLANK(E_EnergyFlows!I208),"",E_EnergyFlows!I208)</f>
        <v/>
      </c>
      <c r="J327" s="1788" t="str">
        <f>IF(ISBLANK(E_EnergyFlows!J208),"",E_EnergyFlows!J208)</f>
        <v/>
      </c>
      <c r="K327" s="1492" t="str">
        <f>IF(ISBLANK(E_EnergyFlows!K208),"",E_EnergyFlows!K208)</f>
        <v/>
      </c>
      <c r="L327" s="1492" t="str">
        <f>IF(ISBLANK(E_EnergyFlows!L208),"",E_EnergyFlows!L208)</f>
        <v/>
      </c>
      <c r="M327" s="1492" t="str">
        <f>IF(ISBLANK(E_EnergyFlows!M208),"",E_EnergyFlows!M208)</f>
        <v/>
      </c>
      <c r="N327" s="1492" t="str">
        <f>IF(ISBLANK(E_EnergyFlows!N208),"",E_EnergyFlows!N208)</f>
        <v/>
      </c>
      <c r="O327" s="618"/>
      <c r="P327" s="1137"/>
      <c r="Q327" s="1137"/>
      <c r="R327" s="1137"/>
      <c r="S327" s="1137"/>
      <c r="T327" s="1137"/>
      <c r="U327" s="1137"/>
      <c r="V327" s="1137"/>
    </row>
    <row r="328" spans="1:22" s="562" customFormat="1">
      <c r="A328" s="817"/>
      <c r="B328" s="618"/>
      <c r="C328" s="561"/>
      <c r="D328" s="561"/>
      <c r="E328" s="3362" t="str">
        <f>IF(ISBLANK(E_EnergyFlows!E209),"",E_EnergyFlows!E209)</f>
        <v/>
      </c>
      <c r="F328" s="3189"/>
      <c r="G328" s="582" t="str">
        <f>E_EnergyFlows!G209</f>
        <v>TJ / year</v>
      </c>
      <c r="H328" s="662" t="str">
        <f>IF(ISBLANK(E_EnergyFlows!H209),"",E_EnergyFlows!H209)</f>
        <v/>
      </c>
      <c r="I328" s="931" t="str">
        <f>IF(ISBLANK(E_EnergyFlows!I209),"",E_EnergyFlows!I209)</f>
        <v/>
      </c>
      <c r="J328" s="1788" t="str">
        <f>IF(ISBLANK(E_EnergyFlows!J209),"",E_EnergyFlows!J209)</f>
        <v/>
      </c>
      <c r="K328" s="1492" t="str">
        <f>IF(ISBLANK(E_EnergyFlows!K209),"",E_EnergyFlows!K209)</f>
        <v/>
      </c>
      <c r="L328" s="1492" t="str">
        <f>IF(ISBLANK(E_EnergyFlows!L209),"",E_EnergyFlows!L209)</f>
        <v/>
      </c>
      <c r="M328" s="1492" t="str">
        <f>IF(ISBLANK(E_EnergyFlows!M209),"",E_EnergyFlows!M209)</f>
        <v/>
      </c>
      <c r="N328" s="1492" t="str">
        <f>IF(ISBLANK(E_EnergyFlows!N209),"",E_EnergyFlows!N209)</f>
        <v/>
      </c>
      <c r="O328" s="618"/>
      <c r="P328" s="1137"/>
      <c r="Q328" s="1137"/>
      <c r="R328" s="1137"/>
      <c r="S328" s="1137"/>
      <c r="T328" s="1137"/>
      <c r="U328" s="1137"/>
      <c r="V328" s="1137"/>
    </row>
    <row r="329" spans="1:22" s="562" customFormat="1">
      <c r="A329" s="817"/>
      <c r="B329" s="618"/>
      <c r="C329" s="561"/>
      <c r="D329" s="561"/>
      <c r="E329" s="3362" t="str">
        <f>IF(ISBLANK(E_EnergyFlows!E210),"",E_EnergyFlows!E210)</f>
        <v/>
      </c>
      <c r="F329" s="3189"/>
      <c r="G329" s="582" t="str">
        <f>E_EnergyFlows!G210</f>
        <v>TJ / year</v>
      </c>
      <c r="H329" s="662" t="str">
        <f>IF(ISBLANK(E_EnergyFlows!H210),"",E_EnergyFlows!H210)</f>
        <v/>
      </c>
      <c r="I329" s="931" t="str">
        <f>IF(ISBLANK(E_EnergyFlows!I210),"",E_EnergyFlows!I210)</f>
        <v/>
      </c>
      <c r="J329" s="1788" t="str">
        <f>IF(ISBLANK(E_EnergyFlows!J210),"",E_EnergyFlows!J210)</f>
        <v/>
      </c>
      <c r="K329" s="1492" t="str">
        <f>IF(ISBLANK(E_EnergyFlows!K210),"",E_EnergyFlows!K210)</f>
        <v/>
      </c>
      <c r="L329" s="1492" t="str">
        <f>IF(ISBLANK(E_EnergyFlows!L210),"",E_EnergyFlows!L210)</f>
        <v/>
      </c>
      <c r="M329" s="1492" t="str">
        <f>IF(ISBLANK(E_EnergyFlows!M210),"",E_EnergyFlows!M210)</f>
        <v/>
      </c>
      <c r="N329" s="1492" t="str">
        <f>IF(ISBLANK(E_EnergyFlows!N210),"",E_EnergyFlows!N210)</f>
        <v/>
      </c>
      <c r="O329" s="618"/>
      <c r="P329" s="1137"/>
      <c r="Q329" s="1137"/>
      <c r="R329" s="1137"/>
      <c r="S329" s="1137"/>
      <c r="T329" s="1137"/>
      <c r="U329" s="1137"/>
      <c r="V329" s="1137"/>
    </row>
    <row r="330" spans="1:22" s="562" customFormat="1">
      <c r="A330" s="817"/>
      <c r="B330" s="618"/>
      <c r="C330" s="561"/>
      <c r="D330" s="561"/>
      <c r="E330" s="3332" t="str">
        <f>IF(ISBLANK(E_EnergyFlows!E211),"",E_EnergyFlows!E211)</f>
        <v/>
      </c>
      <c r="F330" s="3466"/>
      <c r="G330" s="584" t="str">
        <f>E_EnergyFlows!G211</f>
        <v>TJ / year</v>
      </c>
      <c r="H330" s="627" t="str">
        <f>IF(ISBLANK(E_EnergyFlows!H211),"",E_EnergyFlows!H211)</f>
        <v/>
      </c>
      <c r="I330" s="796" t="str">
        <f>IF(ISBLANK(E_EnergyFlows!I211),"",E_EnergyFlows!I211)</f>
        <v/>
      </c>
      <c r="J330" s="1788" t="str">
        <f>IF(ISBLANK(E_EnergyFlows!J211),"",E_EnergyFlows!J211)</f>
        <v/>
      </c>
      <c r="K330" s="1492" t="str">
        <f>IF(ISBLANK(E_EnergyFlows!K211),"",E_EnergyFlows!K211)</f>
        <v/>
      </c>
      <c r="L330" s="1492" t="str">
        <f>IF(ISBLANK(E_EnergyFlows!L211),"",E_EnergyFlows!L211)</f>
        <v/>
      </c>
      <c r="M330" s="1492" t="str">
        <f>IF(ISBLANK(E_EnergyFlows!M211),"",E_EnergyFlows!M211)</f>
        <v/>
      </c>
      <c r="N330" s="1492" t="str">
        <f>IF(ISBLANK(E_EnergyFlows!N211),"",E_EnergyFlows!N211)</f>
        <v/>
      </c>
      <c r="O330" s="618"/>
      <c r="P330" s="1137"/>
      <c r="Q330" s="1137"/>
      <c r="R330" s="1137"/>
      <c r="S330" s="1137"/>
      <c r="T330" s="1137"/>
      <c r="U330" s="1137"/>
      <c r="V330" s="1137"/>
    </row>
    <row r="331" spans="1:22" s="562" customFormat="1" ht="12.6" customHeight="1">
      <c r="A331" s="817"/>
      <c r="B331" s="618"/>
      <c r="C331" s="561"/>
      <c r="D331" s="561"/>
      <c r="E331" s="2788" t="str">
        <f>E_EnergyFlows!E212</f>
        <v>Total heat exported to outside ETS:</v>
      </c>
      <c r="F331" s="3461"/>
      <c r="G331" s="586" t="str">
        <f>E_EnergyFlows!G212</f>
        <v>TJ / year</v>
      </c>
      <c r="H331" s="616" t="str">
        <f>E_EnergyFlows!H212</f>
        <v/>
      </c>
      <c r="I331" s="1544" t="str">
        <f>E_EnergyFlows!I212</f>
        <v/>
      </c>
      <c r="J331" s="1491" t="str">
        <f>E_EnergyFlows!J212</f>
        <v/>
      </c>
      <c r="K331" s="1492" t="str">
        <f>E_EnergyFlows!K212</f>
        <v/>
      </c>
      <c r="L331" s="1492" t="str">
        <f>E_EnergyFlows!L212</f>
        <v/>
      </c>
      <c r="M331" s="1492" t="str">
        <f>E_EnergyFlows!M212</f>
        <v/>
      </c>
      <c r="N331" s="1492" t="str">
        <f>E_EnergyFlows!N212</f>
        <v/>
      </c>
      <c r="O331" s="618"/>
      <c r="P331" s="1137"/>
      <c r="Q331" s="1137"/>
      <c r="R331" s="1137"/>
      <c r="S331" s="1137"/>
      <c r="T331" s="1137"/>
      <c r="U331" s="1137"/>
      <c r="V331" s="1137"/>
    </row>
    <row r="332" spans="1:22" s="562" customFormat="1" ht="5.0999999999999996" customHeight="1">
      <c r="A332" s="817"/>
      <c r="B332" s="618"/>
      <c r="C332" s="481"/>
      <c r="D332" s="481"/>
      <c r="E332" s="481"/>
      <c r="F332" s="481"/>
      <c r="G332" s="481"/>
      <c r="H332" s="481"/>
      <c r="I332" s="481"/>
      <c r="J332" s="481"/>
      <c r="K332" s="481"/>
      <c r="L332" s="481"/>
      <c r="M332" s="481"/>
      <c r="N332" s="481"/>
      <c r="O332" s="618"/>
      <c r="P332" s="1137"/>
      <c r="Q332" s="1137"/>
      <c r="R332" s="1137"/>
      <c r="S332" s="1137"/>
      <c r="T332" s="1137"/>
      <c r="U332" s="1137"/>
      <c r="V332" s="1137"/>
    </row>
    <row r="333" spans="1:22" s="562" customFormat="1" ht="13.15" customHeight="1">
      <c r="A333" s="817"/>
      <c r="B333" s="618"/>
      <c r="C333" s="482"/>
      <c r="D333" s="482" t="str">
        <f>E_EnergyFlows!D214</f>
        <v>(n)</v>
      </c>
      <c r="E333" s="2508" t="str">
        <f>E_EnergyFlows!E214</f>
        <v>Heat losses (=j-l-m)</v>
      </c>
      <c r="F333" s="2380"/>
      <c r="G333" s="2380"/>
      <c r="H333" s="2380"/>
      <c r="I333" s="2380"/>
      <c r="J333" s="2380"/>
      <c r="K333" s="2380"/>
      <c r="L333" s="2380"/>
      <c r="M333" s="2380"/>
      <c r="N333" s="2380"/>
      <c r="O333" s="618"/>
      <c r="P333" s="1137"/>
      <c r="Q333" s="1137"/>
      <c r="R333" s="1137"/>
      <c r="S333" s="1137"/>
      <c r="T333" s="1137"/>
      <c r="U333" s="1137"/>
      <c r="V333" s="1137"/>
    </row>
    <row r="334" spans="1:22" s="562" customFormat="1">
      <c r="A334" s="817"/>
      <c r="B334" s="618"/>
      <c r="C334" s="485"/>
      <c r="D334" s="485"/>
      <c r="E334" s="636"/>
      <c r="F334" s="637"/>
      <c r="G334" s="663" t="str">
        <f>E_EnergyFlows!G217</f>
        <v>Unit</v>
      </c>
      <c r="H334" s="578">
        <f>E_EnergyFlows!H217</f>
        <v>2024</v>
      </c>
      <c r="I334" s="697">
        <f>E_EnergyFlows!I217</f>
        <v>2025</v>
      </c>
      <c r="J334" s="1489">
        <f>E_EnergyFlows!J217</f>
        <v>2026</v>
      </c>
      <c r="K334" s="1490">
        <f>E_EnergyFlows!K217</f>
        <v>2027</v>
      </c>
      <c r="L334" s="1490">
        <f>E_EnergyFlows!L217</f>
        <v>2028</v>
      </c>
      <c r="M334" s="1490">
        <f>E_EnergyFlows!M217</f>
        <v>2029</v>
      </c>
      <c r="N334" s="1490">
        <f>E_EnergyFlows!N217</f>
        <v>2030</v>
      </c>
      <c r="O334" s="618"/>
      <c r="P334" s="1137"/>
      <c r="Q334" s="1137"/>
      <c r="R334" s="1137"/>
      <c r="S334" s="1137"/>
      <c r="T334" s="1137"/>
      <c r="U334" s="1137"/>
      <c r="V334" s="1137"/>
    </row>
    <row r="335" spans="1:22" s="562" customFormat="1" ht="12.6" customHeight="1">
      <c r="A335" s="817"/>
      <c r="B335" s="618"/>
      <c r="C335" s="485"/>
      <c r="D335" s="561"/>
      <c r="E335" s="2587" t="str">
        <f>E_EnergyFlows!E218</f>
        <v>Heat losses (calculated)</v>
      </c>
      <c r="F335" s="3461"/>
      <c r="G335" s="1506" t="str">
        <f>E_EnergyFlows!G218</f>
        <v>TJ / year</v>
      </c>
      <c r="H335" s="623" t="str">
        <f>E_EnergyFlows!H218</f>
        <v/>
      </c>
      <c r="I335" s="800" t="str">
        <f>E_EnergyFlows!I218</f>
        <v/>
      </c>
      <c r="J335" s="1788" t="str">
        <f>E_EnergyFlows!J218</f>
        <v/>
      </c>
      <c r="K335" s="1492" t="str">
        <f>E_EnergyFlows!K218</f>
        <v/>
      </c>
      <c r="L335" s="1492" t="str">
        <f>E_EnergyFlows!L218</f>
        <v/>
      </c>
      <c r="M335" s="1492" t="str">
        <f>E_EnergyFlows!M218</f>
        <v/>
      </c>
      <c r="N335" s="1492" t="str">
        <f>E_EnergyFlows!N218</f>
        <v/>
      </c>
      <c r="O335" s="618"/>
      <c r="P335" s="1137"/>
      <c r="Q335" s="1137"/>
      <c r="R335" s="1137"/>
      <c r="S335" s="1137"/>
      <c r="T335" s="1137"/>
      <c r="U335" s="1137"/>
      <c r="V335" s="1137"/>
    </row>
    <row r="336" spans="1:22" s="562" customFormat="1" ht="25.5" customHeight="1">
      <c r="A336" s="817"/>
      <c r="B336" s="618"/>
      <c r="C336" s="485"/>
      <c r="D336" s="561"/>
      <c r="E336" s="2587" t="str">
        <f>E_EnergyFlows!E219</f>
        <v>Heat losses (fraction of heat available = e)</v>
      </c>
      <c r="F336" s="3461"/>
      <c r="G336" s="1506" t="str">
        <f>E_EnergyFlows!G219</f>
        <v>%</v>
      </c>
      <c r="H336" s="623" t="str">
        <f>E_EnergyFlows!H219</f>
        <v/>
      </c>
      <c r="I336" s="800" t="str">
        <f>E_EnergyFlows!I219</f>
        <v/>
      </c>
      <c r="J336" s="1788" t="str">
        <f>E_EnergyFlows!J219</f>
        <v/>
      </c>
      <c r="K336" s="1492" t="str">
        <f>E_EnergyFlows!K219</f>
        <v/>
      </c>
      <c r="L336" s="1492" t="str">
        <f>E_EnergyFlows!L219</f>
        <v/>
      </c>
      <c r="M336" s="1492" t="str">
        <f>E_EnergyFlows!M219</f>
        <v/>
      </c>
      <c r="N336" s="1492" t="str">
        <f>E_EnergyFlows!N219</f>
        <v/>
      </c>
      <c r="O336" s="618"/>
      <c r="P336" s="1137"/>
      <c r="Q336" s="1137"/>
      <c r="R336" s="1137"/>
      <c r="S336" s="1137"/>
      <c r="T336" s="1137"/>
      <c r="U336" s="1137"/>
      <c r="V336" s="1137"/>
    </row>
    <row r="337" spans="1:22" s="562" customFormat="1" ht="5.0999999999999996" customHeight="1">
      <c r="A337" s="817"/>
      <c r="B337" s="618"/>
      <c r="C337" s="485"/>
      <c r="D337" s="485"/>
      <c r="E337" s="485"/>
      <c r="F337" s="485"/>
      <c r="G337" s="485"/>
      <c r="H337" s="485"/>
      <c r="I337" s="485"/>
      <c r="J337" s="485"/>
      <c r="K337" s="485"/>
      <c r="L337" s="485"/>
      <c r="M337" s="485"/>
      <c r="N337" s="485"/>
      <c r="O337" s="618"/>
      <c r="P337" s="1137"/>
      <c r="Q337" s="1137"/>
      <c r="R337" s="1137"/>
      <c r="S337" s="1137"/>
      <c r="T337" s="1137"/>
      <c r="U337" s="1137"/>
      <c r="V337" s="1137"/>
    </row>
    <row r="338" spans="1:22" s="562" customFormat="1" ht="13.15" customHeight="1">
      <c r="A338" s="817"/>
      <c r="B338" s="618"/>
      <c r="C338" s="482"/>
      <c r="D338" s="482" t="str">
        <f>E_EnergyFlows!D221</f>
        <v>(o)</v>
      </c>
      <c r="E338" s="2509" t="str">
        <f>E_EnergyFlows!E221</f>
        <v>Total amount of heat potentially part of the heat benchmark or district heating sub-installations (=l+m):</v>
      </c>
      <c r="F338" s="3284"/>
      <c r="G338" s="3284"/>
      <c r="H338" s="3284"/>
      <c r="I338" s="3284"/>
      <c r="J338" s="2380"/>
      <c r="K338" s="2380"/>
      <c r="L338" s="2380"/>
      <c r="M338" s="2380"/>
      <c r="N338" s="2380"/>
      <c r="O338" s="618"/>
      <c r="P338" s="1137"/>
      <c r="Q338" s="1137"/>
      <c r="R338" s="1137"/>
      <c r="S338" s="1137"/>
      <c r="T338" s="1137"/>
      <c r="U338" s="1137"/>
      <c r="V338" s="1137"/>
    </row>
    <row r="339" spans="1:22" s="562" customFormat="1" ht="12.6" customHeight="1">
      <c r="A339" s="817"/>
      <c r="B339" s="618"/>
      <c r="C339" s="485"/>
      <c r="D339" s="485"/>
      <c r="E339" s="2587" t="str">
        <f>E_EnergyFlows!E222</f>
        <v>Total heat benchmark sub-installations:</v>
      </c>
      <c r="F339" s="3461"/>
      <c r="G339" s="1506" t="str">
        <f>E_EnergyFlows!G222</f>
        <v>TJ / year</v>
      </c>
      <c r="H339" s="623" t="str">
        <f>E_EnergyFlows!H222</f>
        <v/>
      </c>
      <c r="I339" s="800" t="str">
        <f>E_EnergyFlows!I222</f>
        <v/>
      </c>
      <c r="J339" s="1788" t="str">
        <f>E_EnergyFlows!J222</f>
        <v/>
      </c>
      <c r="K339" s="1492" t="str">
        <f>E_EnergyFlows!K222</f>
        <v/>
      </c>
      <c r="L339" s="1492" t="str">
        <f>E_EnergyFlows!L222</f>
        <v/>
      </c>
      <c r="M339" s="1492" t="str">
        <f>E_EnergyFlows!M222</f>
        <v/>
      </c>
      <c r="N339" s="1492" t="str">
        <f>E_EnergyFlows!N222</f>
        <v/>
      </c>
      <c r="O339" s="618"/>
      <c r="P339" s="1137"/>
      <c r="Q339" s="1137"/>
      <c r="R339" s="1137"/>
      <c r="S339" s="1137"/>
      <c r="T339" s="1137"/>
      <c r="U339" s="1137"/>
      <c r="V339" s="1137"/>
    </row>
    <row r="340" spans="1:22" s="562" customFormat="1" ht="5.0999999999999996" customHeight="1">
      <c r="A340" s="817"/>
      <c r="B340" s="618"/>
      <c r="C340" s="481"/>
      <c r="D340" s="481"/>
      <c r="E340" s="481"/>
      <c r="F340" s="481"/>
      <c r="G340" s="481"/>
      <c r="H340" s="481"/>
      <c r="I340" s="481"/>
      <c r="J340" s="481"/>
      <c r="K340" s="481"/>
      <c r="L340" s="481"/>
      <c r="M340" s="481"/>
      <c r="N340" s="481"/>
      <c r="O340" s="618"/>
      <c r="P340" s="1137"/>
      <c r="Q340" s="1137"/>
      <c r="R340" s="1137"/>
      <c r="S340" s="1137"/>
      <c r="T340" s="1137"/>
      <c r="U340" s="1137"/>
      <c r="V340" s="1137"/>
    </row>
    <row r="341" spans="1:22" s="562" customFormat="1" ht="13.15" customHeight="1">
      <c r="A341" s="817"/>
      <c r="B341" s="618"/>
      <c r="C341" s="482"/>
      <c r="D341" s="482" t="str">
        <f>E_EnergyFlows!D224</f>
        <v>(p)</v>
      </c>
      <c r="E341" s="2508" t="str">
        <f>E_EnergyFlows!E224</f>
        <v>Final result: Amount of heat attributable to heat benchmark or district heating sub-installations</v>
      </c>
      <c r="F341" s="2380"/>
      <c r="G341" s="2380"/>
      <c r="H341" s="2380"/>
      <c r="I341" s="2380"/>
      <c r="J341" s="2380"/>
      <c r="K341" s="2380"/>
      <c r="L341" s="2380"/>
      <c r="M341" s="2380"/>
      <c r="N341" s="2380"/>
      <c r="O341" s="618"/>
      <c r="P341" s="1137"/>
      <c r="Q341" s="1137"/>
      <c r="R341" s="1137"/>
      <c r="S341" s="1137"/>
      <c r="T341" s="1137"/>
      <c r="U341" s="1137"/>
      <c r="V341" s="1137"/>
    </row>
    <row r="342" spans="1:22" s="562" customFormat="1">
      <c r="A342" s="817"/>
      <c r="B342" s="618"/>
      <c r="C342" s="485"/>
      <c r="D342" s="485"/>
      <c r="E342" s="636"/>
      <c r="F342" s="637"/>
      <c r="G342" s="663" t="str">
        <f>E_EnergyFlows!G227</f>
        <v>Unit</v>
      </c>
      <c r="H342" s="578">
        <f>E_EnergyFlows!H227</f>
        <v>2024</v>
      </c>
      <c r="I342" s="697">
        <f>E_EnergyFlows!I227</f>
        <v>2025</v>
      </c>
      <c r="J342" s="1489">
        <f>E_EnergyFlows!J227</f>
        <v>2026</v>
      </c>
      <c r="K342" s="1490">
        <f>E_EnergyFlows!K227</f>
        <v>2027</v>
      </c>
      <c r="L342" s="1490">
        <f>E_EnergyFlows!L227</f>
        <v>2028</v>
      </c>
      <c r="M342" s="1490">
        <f>E_EnergyFlows!M227</f>
        <v>2029</v>
      </c>
      <c r="N342" s="1490">
        <f>E_EnergyFlows!N227</f>
        <v>2030</v>
      </c>
      <c r="O342" s="618"/>
      <c r="P342" s="1137"/>
      <c r="Q342" s="1137"/>
      <c r="R342" s="1137"/>
      <c r="S342" s="1137"/>
      <c r="T342" s="1137"/>
      <c r="U342" s="1137"/>
      <c r="V342" s="1137"/>
    </row>
    <row r="343" spans="1:22" s="562" customFormat="1" ht="25.5" customHeight="1">
      <c r="A343" s="817"/>
      <c r="B343" s="618"/>
      <c r="C343" s="485"/>
      <c r="D343" s="485"/>
      <c r="E343" s="2587" t="str">
        <f>E_EnergyFlows!E228</f>
        <v>Heat eligible for heat benchmark sub-installations</v>
      </c>
      <c r="F343" s="3461"/>
      <c r="G343" s="1569" t="str">
        <f>E_EnergyFlows!G228</f>
        <v>TJ / year</v>
      </c>
      <c r="H343" s="641" t="str">
        <f>E_EnergyFlows!H228</f>
        <v/>
      </c>
      <c r="I343" s="1568" t="str">
        <f>E_EnergyFlows!I228</f>
        <v/>
      </c>
      <c r="J343" s="1537" t="str">
        <f>E_EnergyFlows!J228</f>
        <v/>
      </c>
      <c r="K343" s="1538" t="str">
        <f>E_EnergyFlows!K228</f>
        <v/>
      </c>
      <c r="L343" s="1538" t="str">
        <f>E_EnergyFlows!L228</f>
        <v/>
      </c>
      <c r="M343" s="1538" t="str">
        <f>E_EnergyFlows!M228</f>
        <v/>
      </c>
      <c r="N343" s="1538" t="str">
        <f>E_EnergyFlows!N228</f>
        <v/>
      </c>
      <c r="O343" s="618"/>
      <c r="P343" s="1137"/>
      <c r="Q343" s="1137"/>
      <c r="R343" s="1137"/>
      <c r="S343" s="1137"/>
      <c r="T343" s="1137"/>
      <c r="U343" s="1137"/>
      <c r="V343" s="1137"/>
    </row>
    <row r="344" spans="1:22" s="562" customFormat="1" ht="5.0999999999999996" customHeight="1">
      <c r="A344" s="817"/>
      <c r="C344" s="485"/>
      <c r="D344" s="485"/>
      <c r="E344" s="485"/>
      <c r="F344" s="485"/>
      <c r="G344" s="485"/>
      <c r="H344" s="485"/>
      <c r="I344" s="485"/>
      <c r="J344" s="485"/>
      <c r="K344" s="485"/>
      <c r="L344" s="485"/>
      <c r="M344" s="485"/>
      <c r="N344" s="485"/>
      <c r="P344" s="1137"/>
      <c r="Q344" s="1137"/>
      <c r="R344" s="1137"/>
      <c r="S344" s="1137"/>
      <c r="T344" s="1137"/>
      <c r="U344" s="1137"/>
      <c r="V344" s="1137"/>
    </row>
    <row r="345" spans="1:22" ht="14.1" customHeight="1">
      <c r="C345" s="559"/>
      <c r="D345" s="2464" t="s">
        <v>1428</v>
      </c>
      <c r="E345" s="2380"/>
      <c r="F345" s="2380"/>
      <c r="G345" s="2380"/>
      <c r="H345" s="2380"/>
      <c r="I345" s="2380"/>
      <c r="J345" s="2380"/>
      <c r="K345" s="2380"/>
      <c r="L345" s="2380"/>
      <c r="M345" s="2380"/>
      <c r="N345" s="2380"/>
      <c r="P345" s="1137"/>
      <c r="Q345" s="1137"/>
      <c r="R345" s="1137"/>
      <c r="S345" s="1137"/>
      <c r="T345" s="1137"/>
      <c r="U345" s="1137"/>
      <c r="V345" s="1137"/>
    </row>
    <row r="346" spans="1:22" ht="13.5" thickBot="1">
      <c r="C346" s="485"/>
      <c r="D346" s="485"/>
      <c r="E346" s="570"/>
      <c r="F346" s="485"/>
      <c r="G346" s="577" t="s">
        <v>884</v>
      </c>
      <c r="H346" s="578">
        <f t="shared" ref="H346:N346" si="29">H$2737</f>
        <v>2024</v>
      </c>
      <c r="I346" s="697">
        <f t="shared" si="29"/>
        <v>2025</v>
      </c>
      <c r="J346" s="1489">
        <f t="shared" si="29"/>
        <v>2026</v>
      </c>
      <c r="K346" s="1490">
        <f t="shared" si="29"/>
        <v>2027</v>
      </c>
      <c r="L346" s="1490">
        <f t="shared" si="29"/>
        <v>2028</v>
      </c>
      <c r="M346" s="1490">
        <f t="shared" si="29"/>
        <v>2029</v>
      </c>
      <c r="N346" s="1490">
        <f t="shared" si="29"/>
        <v>2030</v>
      </c>
      <c r="P346" s="1137"/>
      <c r="Q346" s="1137"/>
      <c r="R346" s="1137"/>
      <c r="S346" s="1137"/>
      <c r="T346" s="1137"/>
      <c r="U346" s="1137"/>
      <c r="V346" s="1137"/>
    </row>
    <row r="347" spans="1:22" ht="12.75" customHeight="1">
      <c r="C347" s="485"/>
      <c r="D347" s="561"/>
      <c r="E347" s="3530" t="str">
        <f>E_EnergyFlows!E400</f>
        <v>Heat benchmark sub-installation, CL</v>
      </c>
      <c r="F347" s="3493"/>
      <c r="G347" s="2113" t="str">
        <f>EUconst_TJpa</f>
        <v>TJ / year</v>
      </c>
      <c r="H347" s="678" t="str">
        <f>E_EnergyFlows!H400</f>
        <v/>
      </c>
      <c r="I347" s="2114" t="str">
        <f>E_EnergyFlows!I400</f>
        <v/>
      </c>
      <c r="J347" s="1788" t="str">
        <f>E_EnergyFlows!J400</f>
        <v/>
      </c>
      <c r="K347" s="1789" t="str">
        <f>E_EnergyFlows!K400</f>
        <v/>
      </c>
      <c r="L347" s="1789" t="str">
        <f>E_EnergyFlows!L400</f>
        <v/>
      </c>
      <c r="M347" s="1789" t="str">
        <f>E_EnergyFlows!M400</f>
        <v/>
      </c>
      <c r="N347" s="1789" t="str">
        <f>E_EnergyFlows!N400</f>
        <v/>
      </c>
      <c r="P347" s="1137"/>
      <c r="Q347" s="1137"/>
      <c r="R347" s="1137"/>
      <c r="S347" s="1137"/>
      <c r="T347" s="1137"/>
      <c r="U347" s="1137"/>
      <c r="V347" s="1137"/>
    </row>
    <row r="348" spans="1:22" ht="13.5" customHeight="1">
      <c r="C348" s="485"/>
      <c r="D348" s="561"/>
      <c r="E348" s="3531" t="str">
        <f>E_EnergyFlows!E401</f>
        <v>Heat benchmark sub-installation, non-CL</v>
      </c>
      <c r="F348" s="3461"/>
      <c r="G348" s="2115" t="str">
        <f>EUconst_TJpa</f>
        <v>TJ / year</v>
      </c>
      <c r="H348" s="623" t="str">
        <f>E_EnergyFlows!H401</f>
        <v/>
      </c>
      <c r="I348" s="800" t="str">
        <f>E_EnergyFlows!I401</f>
        <v/>
      </c>
      <c r="J348" s="1788" t="str">
        <f>E_EnergyFlows!J401</f>
        <v/>
      </c>
      <c r="K348" s="1789" t="str">
        <f>E_EnergyFlows!K401</f>
        <v/>
      </c>
      <c r="L348" s="1789" t="str">
        <f>E_EnergyFlows!L401</f>
        <v/>
      </c>
      <c r="M348" s="1789" t="str">
        <f>E_EnergyFlows!M401</f>
        <v/>
      </c>
      <c r="N348" s="1789" t="str">
        <f>E_EnergyFlows!N401</f>
        <v/>
      </c>
      <c r="P348" s="1137"/>
      <c r="Q348" s="1137"/>
      <c r="R348" s="1137"/>
      <c r="S348" s="1137"/>
      <c r="T348" s="1137"/>
      <c r="U348" s="1137"/>
      <c r="V348" s="1137"/>
    </row>
    <row r="349" spans="1:22" s="562" customFormat="1" ht="12.75" customHeight="1" thickBot="1">
      <c r="A349" s="817"/>
      <c r="C349" s="485"/>
      <c r="D349" s="485"/>
      <c r="E349" s="3525" t="str">
        <f>E_EnergyFlows!E402</f>
        <v>District heating sub-installation</v>
      </c>
      <c r="F349" s="3504"/>
      <c r="G349" s="2116" t="str">
        <f>EUconst_TJpa</f>
        <v>TJ / year</v>
      </c>
      <c r="H349" s="681" t="str">
        <f>E_EnergyFlows!H402</f>
        <v/>
      </c>
      <c r="I349" s="2117" t="str">
        <f>E_EnergyFlows!I402</f>
        <v/>
      </c>
      <c r="J349" s="1788" t="str">
        <f>E_EnergyFlows!J402</f>
        <v/>
      </c>
      <c r="K349" s="1789" t="str">
        <f>E_EnergyFlows!K402</f>
        <v/>
      </c>
      <c r="L349" s="1789" t="str">
        <f>E_EnergyFlows!L402</f>
        <v/>
      </c>
      <c r="M349" s="1789" t="str">
        <f>E_EnergyFlows!M402</f>
        <v/>
      </c>
      <c r="N349" s="1789" t="str">
        <f>E_EnergyFlows!N402</f>
        <v/>
      </c>
      <c r="P349" s="1137"/>
      <c r="Q349" s="1137"/>
      <c r="R349" s="1137"/>
      <c r="S349" s="1137"/>
      <c r="T349" s="1137"/>
      <c r="U349" s="1137"/>
      <c r="V349" s="1137"/>
    </row>
    <row r="350" spans="1:22" s="562" customFormat="1" ht="12.75" customHeight="1">
      <c r="A350" s="817"/>
      <c r="C350" s="485"/>
      <c r="D350" s="485"/>
      <c r="E350" s="485"/>
      <c r="F350" s="485"/>
      <c r="G350" s="485"/>
      <c r="H350" s="485"/>
      <c r="I350" s="485"/>
      <c r="J350" s="485"/>
      <c r="K350" s="485"/>
      <c r="L350" s="485"/>
      <c r="M350" s="485"/>
      <c r="N350" s="485"/>
      <c r="P350" s="1137"/>
      <c r="Q350" s="1137"/>
      <c r="R350" s="1137"/>
      <c r="S350" s="1137"/>
      <c r="T350" s="1137"/>
      <c r="U350" s="1137"/>
      <c r="V350" s="1137"/>
    </row>
    <row r="351" spans="1:22" s="562" customFormat="1" ht="15" customHeight="1">
      <c r="A351" s="817"/>
      <c r="B351" s="618"/>
      <c r="C351" s="559">
        <v>7</v>
      </c>
      <c r="D351" s="2464" t="str">
        <f>E_EnergyFlows!D250</f>
        <v>Complete balance of waste gases at the installation</v>
      </c>
      <c r="E351" s="2380"/>
      <c r="F351" s="2380"/>
      <c r="G351" s="2380"/>
      <c r="H351" s="2380"/>
      <c r="I351" s="2380"/>
      <c r="J351" s="2380"/>
      <c r="K351" s="2380"/>
      <c r="L351" s="2380"/>
      <c r="M351" s="2380"/>
      <c r="N351" s="2380"/>
      <c r="O351" s="618"/>
      <c r="P351" s="1137"/>
      <c r="Q351" s="1137"/>
      <c r="R351" s="1137"/>
      <c r="S351" s="1137"/>
      <c r="T351" s="1137"/>
      <c r="U351" s="1137"/>
      <c r="V351" s="1137"/>
    </row>
    <row r="352" spans="1:22" s="562" customFormat="1" ht="5.0999999999999996" customHeight="1">
      <c r="A352" s="817"/>
      <c r="B352" s="618"/>
      <c r="C352" s="481"/>
      <c r="D352" s="481"/>
      <c r="E352" s="481"/>
      <c r="F352" s="481"/>
      <c r="G352" s="481"/>
      <c r="H352" s="481"/>
      <c r="I352" s="481"/>
      <c r="J352" s="481"/>
      <c r="K352" s="481"/>
      <c r="L352" s="481"/>
      <c r="M352" s="481"/>
      <c r="N352" s="481"/>
      <c r="O352" s="618"/>
      <c r="P352" s="1137"/>
      <c r="Q352" s="1137"/>
      <c r="R352" s="1137"/>
      <c r="S352" s="1137"/>
      <c r="T352" s="1137"/>
      <c r="U352" s="1137"/>
      <c r="V352" s="1137"/>
    </row>
    <row r="353" spans="1:22" s="562" customFormat="1" ht="13.15" customHeight="1">
      <c r="A353" s="817"/>
      <c r="B353" s="618"/>
      <c r="C353" s="482"/>
      <c r="D353" s="482" t="str">
        <f>E_EnergyFlows!D258</f>
        <v>(a)</v>
      </c>
      <c r="E353" s="2508" t="str">
        <f>E_EnergyFlows!E258</f>
        <v>Waste gases produced within the system boundaries of a product benchmark sub-installation</v>
      </c>
      <c r="F353" s="2380"/>
      <c r="G353" s="2380"/>
      <c r="H353" s="2380"/>
      <c r="I353" s="2380"/>
      <c r="J353" s="2380"/>
      <c r="K353" s="2380"/>
      <c r="L353" s="2380"/>
      <c r="M353" s="2380"/>
      <c r="N353" s="2380"/>
      <c r="O353" s="618"/>
      <c r="P353" s="1137"/>
      <c r="Q353" s="1137"/>
      <c r="R353" s="1137"/>
      <c r="S353" s="1137"/>
      <c r="T353" s="1137"/>
      <c r="U353" s="1137"/>
      <c r="V353" s="1137"/>
    </row>
    <row r="354" spans="1:22" s="562" customFormat="1" ht="13.15" customHeight="1">
      <c r="A354" s="817"/>
      <c r="B354" s="618"/>
      <c r="C354" s="485"/>
      <c r="D354" s="485"/>
      <c r="E354" s="2509" t="str">
        <f>E_EnergyFlows!E260</f>
        <v>Sub-installation</v>
      </c>
      <c r="F354" s="3284"/>
      <c r="G354" s="663" t="str">
        <f>E_EnergyFlows!G260</f>
        <v>Unit</v>
      </c>
      <c r="H354" s="578">
        <f>E_EnergyFlows!H260</f>
        <v>2024</v>
      </c>
      <c r="I354" s="697">
        <f>E_EnergyFlows!I260</f>
        <v>2025</v>
      </c>
      <c r="J354" s="1489">
        <f>E_EnergyFlows!J260</f>
        <v>2026</v>
      </c>
      <c r="K354" s="1490">
        <f>E_EnergyFlows!K260</f>
        <v>2027</v>
      </c>
      <c r="L354" s="1490">
        <f>E_EnergyFlows!L260</f>
        <v>2028</v>
      </c>
      <c r="M354" s="1490">
        <f>E_EnergyFlows!M260</f>
        <v>2029</v>
      </c>
      <c r="N354" s="1490">
        <f>E_EnergyFlows!N260</f>
        <v>2030</v>
      </c>
      <c r="O354" s="618"/>
      <c r="P354" s="1137"/>
      <c r="Q354" s="1137"/>
      <c r="R354" s="1137"/>
      <c r="S354" s="1137"/>
      <c r="T354" s="1137"/>
      <c r="U354" s="1137"/>
      <c r="V354" s="1137"/>
    </row>
    <row r="355" spans="1:22" s="562" customFormat="1" ht="12.6" customHeight="1">
      <c r="A355" s="817"/>
      <c r="B355" s="618"/>
      <c r="C355" s="485"/>
      <c r="D355" s="561"/>
      <c r="E355" s="3330" t="str">
        <f>E_EnergyFlows!E261</f>
        <v/>
      </c>
      <c r="F355" s="3467"/>
      <c r="G355" s="721" t="str">
        <f>E_EnergyFlows!G261</f>
        <v>TJ / year</v>
      </c>
      <c r="H355" s="656" t="str">
        <f>E_EnergyFlows!H261</f>
        <v/>
      </c>
      <c r="I355" s="962" t="str">
        <f>E_EnergyFlows!I261</f>
        <v/>
      </c>
      <c r="J355" s="1491" t="str">
        <f>E_EnergyFlows!J261</f>
        <v/>
      </c>
      <c r="K355" s="1492" t="str">
        <f>E_EnergyFlows!K261</f>
        <v/>
      </c>
      <c r="L355" s="1492" t="str">
        <f>E_EnergyFlows!L261</f>
        <v/>
      </c>
      <c r="M355" s="1492" t="str">
        <f>E_EnergyFlows!M261</f>
        <v/>
      </c>
      <c r="N355" s="1492" t="str">
        <f>E_EnergyFlows!N261</f>
        <v/>
      </c>
      <c r="O355" s="618"/>
      <c r="P355" s="1137"/>
      <c r="Q355" s="1137"/>
      <c r="R355" s="1137"/>
      <c r="S355" s="1137"/>
      <c r="T355" s="1137"/>
      <c r="U355" s="1137"/>
      <c r="V355" s="1137"/>
    </row>
    <row r="356" spans="1:22" s="562" customFormat="1">
      <c r="A356" s="817"/>
      <c r="B356" s="618"/>
      <c r="C356" s="485"/>
      <c r="D356" s="561"/>
      <c r="E356" s="3362" t="str">
        <f>E_EnergyFlows!E262</f>
        <v/>
      </c>
      <c r="F356" s="3189"/>
      <c r="G356" s="724" t="str">
        <f>E_EnergyFlows!G262</f>
        <v>TJ / year</v>
      </c>
      <c r="H356" s="658" t="str">
        <f>E_EnergyFlows!H262</f>
        <v/>
      </c>
      <c r="I356" s="965" t="str">
        <f>E_EnergyFlows!I262</f>
        <v/>
      </c>
      <c r="J356" s="1491" t="str">
        <f>E_EnergyFlows!J262</f>
        <v/>
      </c>
      <c r="K356" s="1492" t="str">
        <f>E_EnergyFlows!K262</f>
        <v/>
      </c>
      <c r="L356" s="1492" t="str">
        <f>E_EnergyFlows!L262</f>
        <v/>
      </c>
      <c r="M356" s="1492" t="str">
        <f>E_EnergyFlows!M262</f>
        <v/>
      </c>
      <c r="N356" s="1492" t="str">
        <f>E_EnergyFlows!N262</f>
        <v/>
      </c>
      <c r="O356" s="618"/>
      <c r="P356" s="1137"/>
      <c r="Q356" s="1137"/>
      <c r="R356" s="1137"/>
      <c r="S356" s="1137"/>
      <c r="T356" s="1137"/>
      <c r="U356" s="1137"/>
      <c r="V356" s="1137"/>
    </row>
    <row r="357" spans="1:22" s="562" customFormat="1">
      <c r="A357" s="817"/>
      <c r="B357" s="618"/>
      <c r="C357" s="485"/>
      <c r="D357" s="561"/>
      <c r="E357" s="3362" t="str">
        <f>E_EnergyFlows!E263</f>
        <v/>
      </c>
      <c r="F357" s="3189"/>
      <c r="G357" s="724" t="str">
        <f>E_EnergyFlows!G263</f>
        <v>TJ / year</v>
      </c>
      <c r="H357" s="658" t="str">
        <f>E_EnergyFlows!H263</f>
        <v/>
      </c>
      <c r="I357" s="965" t="str">
        <f>E_EnergyFlows!I263</f>
        <v/>
      </c>
      <c r="J357" s="1491" t="str">
        <f>E_EnergyFlows!J263</f>
        <v/>
      </c>
      <c r="K357" s="1492" t="str">
        <f>E_EnergyFlows!K263</f>
        <v/>
      </c>
      <c r="L357" s="1492" t="str">
        <f>E_EnergyFlows!L263</f>
        <v/>
      </c>
      <c r="M357" s="1492" t="str">
        <f>E_EnergyFlows!M263</f>
        <v/>
      </c>
      <c r="N357" s="1492" t="str">
        <f>E_EnergyFlows!N263</f>
        <v/>
      </c>
      <c r="O357" s="618"/>
      <c r="P357" s="1137"/>
      <c r="Q357" s="1137"/>
      <c r="R357" s="1137"/>
      <c r="S357" s="1137"/>
      <c r="T357" s="1137"/>
      <c r="U357" s="1137"/>
      <c r="V357" s="1137"/>
    </row>
    <row r="358" spans="1:22" s="562" customFormat="1">
      <c r="A358" s="817"/>
      <c r="B358" s="618"/>
      <c r="C358" s="485"/>
      <c r="D358" s="561"/>
      <c r="E358" s="3362" t="str">
        <f>E_EnergyFlows!E264</f>
        <v/>
      </c>
      <c r="F358" s="3189"/>
      <c r="G358" s="724" t="str">
        <f>E_EnergyFlows!G264</f>
        <v>TJ / year</v>
      </c>
      <c r="H358" s="658" t="str">
        <f>E_EnergyFlows!H264</f>
        <v/>
      </c>
      <c r="I358" s="965" t="str">
        <f>E_EnergyFlows!I264</f>
        <v/>
      </c>
      <c r="J358" s="1491" t="str">
        <f>E_EnergyFlows!J264</f>
        <v/>
      </c>
      <c r="K358" s="1492" t="str">
        <f>E_EnergyFlows!K264</f>
        <v/>
      </c>
      <c r="L358" s="1492" t="str">
        <f>E_EnergyFlows!L264</f>
        <v/>
      </c>
      <c r="M358" s="1492" t="str">
        <f>E_EnergyFlows!M264</f>
        <v/>
      </c>
      <c r="N358" s="1492" t="str">
        <f>E_EnergyFlows!N264</f>
        <v/>
      </c>
      <c r="O358" s="618"/>
      <c r="P358" s="1137"/>
      <c r="Q358" s="1137"/>
      <c r="R358" s="1137"/>
      <c r="S358" s="1137"/>
      <c r="T358" s="1137"/>
      <c r="U358" s="1137"/>
      <c r="V358" s="1137"/>
    </row>
    <row r="359" spans="1:22" s="562" customFormat="1">
      <c r="A359" s="817"/>
      <c r="B359" s="618"/>
      <c r="C359" s="485"/>
      <c r="D359" s="561"/>
      <c r="E359" s="3362" t="str">
        <f>E_EnergyFlows!E265</f>
        <v/>
      </c>
      <c r="F359" s="3189"/>
      <c r="G359" s="724" t="str">
        <f>E_EnergyFlows!G265</f>
        <v>TJ / year</v>
      </c>
      <c r="H359" s="658" t="str">
        <f>E_EnergyFlows!H265</f>
        <v/>
      </c>
      <c r="I359" s="965" t="str">
        <f>E_EnergyFlows!I265</f>
        <v/>
      </c>
      <c r="J359" s="1491" t="str">
        <f>E_EnergyFlows!J265</f>
        <v/>
      </c>
      <c r="K359" s="1492" t="str">
        <f>E_EnergyFlows!K265</f>
        <v/>
      </c>
      <c r="L359" s="1492" t="str">
        <f>E_EnergyFlows!L265</f>
        <v/>
      </c>
      <c r="M359" s="1492" t="str">
        <f>E_EnergyFlows!M265</f>
        <v/>
      </c>
      <c r="N359" s="1492" t="str">
        <f>E_EnergyFlows!N265</f>
        <v/>
      </c>
      <c r="O359" s="618"/>
      <c r="P359" s="1137"/>
      <c r="Q359" s="1137"/>
      <c r="R359" s="1137"/>
      <c r="S359" s="1137"/>
      <c r="T359" s="1137"/>
      <c r="U359" s="1137"/>
      <c r="V359" s="1137"/>
    </row>
    <row r="360" spans="1:22" s="562" customFormat="1">
      <c r="A360" s="817"/>
      <c r="B360" s="618"/>
      <c r="C360" s="485"/>
      <c r="D360" s="561"/>
      <c r="E360" s="3362" t="str">
        <f>E_EnergyFlows!E266</f>
        <v/>
      </c>
      <c r="F360" s="3189"/>
      <c r="G360" s="724" t="str">
        <f>E_EnergyFlows!G266</f>
        <v>TJ / year</v>
      </c>
      <c r="H360" s="658" t="str">
        <f>E_EnergyFlows!H266</f>
        <v/>
      </c>
      <c r="I360" s="965" t="str">
        <f>E_EnergyFlows!I266</f>
        <v/>
      </c>
      <c r="J360" s="1491" t="str">
        <f>E_EnergyFlows!J266</f>
        <v/>
      </c>
      <c r="K360" s="1492" t="str">
        <f>E_EnergyFlows!K266</f>
        <v/>
      </c>
      <c r="L360" s="1492" t="str">
        <f>E_EnergyFlows!L266</f>
        <v/>
      </c>
      <c r="M360" s="1492" t="str">
        <f>E_EnergyFlows!M266</f>
        <v/>
      </c>
      <c r="N360" s="1492" t="str">
        <f>E_EnergyFlows!N266</f>
        <v/>
      </c>
      <c r="O360" s="618"/>
      <c r="P360" s="1137"/>
      <c r="Q360" s="1137"/>
      <c r="R360" s="1137"/>
      <c r="S360" s="1137"/>
      <c r="T360" s="1137"/>
      <c r="U360" s="1137"/>
      <c r="V360" s="1137"/>
    </row>
    <row r="361" spans="1:22" s="562" customFormat="1">
      <c r="A361" s="817"/>
      <c r="B361" s="618"/>
      <c r="C361" s="485"/>
      <c r="D361" s="561"/>
      <c r="E361" s="3362" t="str">
        <f>E_EnergyFlows!E267</f>
        <v/>
      </c>
      <c r="F361" s="3189"/>
      <c r="G361" s="724" t="str">
        <f>E_EnergyFlows!G267</f>
        <v>TJ / year</v>
      </c>
      <c r="H361" s="658" t="str">
        <f>E_EnergyFlows!H267</f>
        <v/>
      </c>
      <c r="I361" s="965" t="str">
        <f>E_EnergyFlows!I267</f>
        <v/>
      </c>
      <c r="J361" s="1491" t="str">
        <f>E_EnergyFlows!J267</f>
        <v/>
      </c>
      <c r="K361" s="1492" t="str">
        <f>E_EnergyFlows!K267</f>
        <v/>
      </c>
      <c r="L361" s="1492" t="str">
        <f>E_EnergyFlows!L267</f>
        <v/>
      </c>
      <c r="M361" s="1492" t="str">
        <f>E_EnergyFlows!M267</f>
        <v/>
      </c>
      <c r="N361" s="1492" t="str">
        <f>E_EnergyFlows!N267</f>
        <v/>
      </c>
      <c r="O361" s="618"/>
      <c r="P361" s="1137"/>
      <c r="Q361" s="1137"/>
      <c r="R361" s="1137"/>
      <c r="S361" s="1137"/>
      <c r="T361" s="1137"/>
      <c r="U361" s="1137"/>
      <c r="V361" s="1137"/>
    </row>
    <row r="362" spans="1:22" s="562" customFormat="1">
      <c r="A362" s="817"/>
      <c r="B362" s="618"/>
      <c r="C362" s="485"/>
      <c r="D362" s="561"/>
      <c r="E362" s="3362" t="str">
        <f>E_EnergyFlows!E268</f>
        <v/>
      </c>
      <c r="F362" s="3189"/>
      <c r="G362" s="724" t="str">
        <f>E_EnergyFlows!G268</f>
        <v>TJ / year</v>
      </c>
      <c r="H362" s="658" t="str">
        <f>E_EnergyFlows!H268</f>
        <v/>
      </c>
      <c r="I362" s="965" t="str">
        <f>E_EnergyFlows!I268</f>
        <v/>
      </c>
      <c r="J362" s="1491" t="str">
        <f>E_EnergyFlows!J268</f>
        <v/>
      </c>
      <c r="K362" s="1492" t="str">
        <f>E_EnergyFlows!K268</f>
        <v/>
      </c>
      <c r="L362" s="1492" t="str">
        <f>E_EnergyFlows!L268</f>
        <v/>
      </c>
      <c r="M362" s="1492" t="str">
        <f>E_EnergyFlows!M268</f>
        <v/>
      </c>
      <c r="N362" s="1492" t="str">
        <f>E_EnergyFlows!N268</f>
        <v/>
      </c>
      <c r="O362" s="618"/>
      <c r="P362" s="1137"/>
      <c r="Q362" s="1137"/>
      <c r="R362" s="1137"/>
      <c r="S362" s="1137"/>
      <c r="T362" s="1137"/>
      <c r="U362" s="1137"/>
      <c r="V362" s="1137"/>
    </row>
    <row r="363" spans="1:22" s="562" customFormat="1">
      <c r="A363" s="817"/>
      <c r="B363" s="618"/>
      <c r="C363" s="485"/>
      <c r="D363" s="561"/>
      <c r="E363" s="3362" t="str">
        <f>E_EnergyFlows!E269</f>
        <v/>
      </c>
      <c r="F363" s="3189"/>
      <c r="G363" s="724" t="str">
        <f>E_EnergyFlows!G269</f>
        <v>TJ / year</v>
      </c>
      <c r="H363" s="658" t="str">
        <f>E_EnergyFlows!H269</f>
        <v/>
      </c>
      <c r="I363" s="965" t="str">
        <f>E_EnergyFlows!I269</f>
        <v/>
      </c>
      <c r="J363" s="1491" t="str">
        <f>E_EnergyFlows!J269</f>
        <v/>
      </c>
      <c r="K363" s="1492" t="str">
        <f>E_EnergyFlows!K269</f>
        <v/>
      </c>
      <c r="L363" s="1492" t="str">
        <f>E_EnergyFlows!L269</f>
        <v/>
      </c>
      <c r="M363" s="1492" t="str">
        <f>E_EnergyFlows!M269</f>
        <v/>
      </c>
      <c r="N363" s="1492" t="str">
        <f>E_EnergyFlows!N269</f>
        <v/>
      </c>
      <c r="O363" s="618"/>
      <c r="P363" s="1137"/>
      <c r="Q363" s="1137"/>
      <c r="R363" s="1137"/>
      <c r="S363" s="1137"/>
      <c r="T363" s="1137"/>
      <c r="U363" s="1137"/>
      <c r="V363" s="1137"/>
    </row>
    <row r="364" spans="1:22" s="562" customFormat="1">
      <c r="A364" s="817"/>
      <c r="B364" s="618"/>
      <c r="C364" s="485"/>
      <c r="D364" s="561"/>
      <c r="E364" s="3332" t="str">
        <f>E_EnergyFlows!E270</f>
        <v/>
      </c>
      <c r="F364" s="3466"/>
      <c r="G364" s="728" t="str">
        <f>E_EnergyFlows!G270</f>
        <v>TJ / year</v>
      </c>
      <c r="H364" s="660" t="str">
        <f>E_EnergyFlows!H270</f>
        <v/>
      </c>
      <c r="I364" s="969" t="str">
        <f>E_EnergyFlows!I270</f>
        <v/>
      </c>
      <c r="J364" s="1491" t="str">
        <f>E_EnergyFlows!J270</f>
        <v/>
      </c>
      <c r="K364" s="1492" t="str">
        <f>E_EnergyFlows!K270</f>
        <v/>
      </c>
      <c r="L364" s="1492" t="str">
        <f>E_EnergyFlows!L270</f>
        <v/>
      </c>
      <c r="M364" s="1492" t="str">
        <f>E_EnergyFlows!M270</f>
        <v/>
      </c>
      <c r="N364" s="1492" t="str">
        <f>E_EnergyFlows!N270</f>
        <v/>
      </c>
      <c r="O364" s="618"/>
      <c r="P364" s="1137"/>
      <c r="Q364" s="1137"/>
      <c r="R364" s="1137"/>
      <c r="S364" s="1137"/>
      <c r="T364" s="1137"/>
      <c r="U364" s="1137"/>
      <c r="V364" s="1137"/>
    </row>
    <row r="365" spans="1:22" s="562" customFormat="1" ht="12.75" customHeight="1">
      <c r="A365" s="817"/>
      <c r="B365" s="618"/>
      <c r="C365" s="485"/>
      <c r="D365" s="561"/>
      <c r="E365" s="2788" t="str">
        <f>E_EnergyFlows!E271</f>
        <v>Sub-total</v>
      </c>
      <c r="F365" s="3461"/>
      <c r="G365" s="730" t="str">
        <f>E_EnergyFlows!G271</f>
        <v>TJ / year</v>
      </c>
      <c r="H365" s="668" t="str">
        <f>E_EnergyFlows!H271</f>
        <v/>
      </c>
      <c r="I365" s="1021" t="str">
        <f>E_EnergyFlows!I271</f>
        <v/>
      </c>
      <c r="J365" s="1491" t="str">
        <f>E_EnergyFlows!J271</f>
        <v/>
      </c>
      <c r="K365" s="1492" t="str">
        <f>E_EnergyFlows!K271</f>
        <v/>
      </c>
      <c r="L365" s="1492" t="str">
        <f>E_EnergyFlows!L271</f>
        <v/>
      </c>
      <c r="M365" s="1492" t="str">
        <f>E_EnergyFlows!M271</f>
        <v/>
      </c>
      <c r="N365" s="1492" t="str">
        <f>E_EnergyFlows!N271</f>
        <v/>
      </c>
      <c r="O365" s="618"/>
      <c r="P365" s="1137"/>
      <c r="Q365" s="1137"/>
      <c r="R365" s="1137"/>
      <c r="S365" s="1137"/>
      <c r="T365" s="1137"/>
      <c r="U365" s="1137"/>
      <c r="V365" s="1137"/>
    </row>
    <row r="366" spans="1:22" s="562" customFormat="1" ht="5.0999999999999996" customHeight="1">
      <c r="A366" s="817"/>
      <c r="B366" s="618"/>
      <c r="C366" s="481"/>
      <c r="D366" s="481"/>
      <c r="E366" s="481"/>
      <c r="F366" s="481"/>
      <c r="G366" s="481"/>
      <c r="H366" s="481"/>
      <c r="I366" s="481"/>
      <c r="J366" s="481"/>
      <c r="K366" s="481"/>
      <c r="L366" s="481"/>
      <c r="M366" s="481"/>
      <c r="N366" s="481"/>
      <c r="O366" s="618"/>
      <c r="P366" s="1137"/>
      <c r="Q366" s="1137"/>
      <c r="R366" s="1137"/>
      <c r="S366" s="1137"/>
      <c r="T366" s="1137"/>
      <c r="U366" s="1137"/>
      <c r="V366" s="1137"/>
    </row>
    <row r="367" spans="1:22" s="562" customFormat="1" ht="12.75" customHeight="1">
      <c r="A367" s="817"/>
      <c r="B367" s="618"/>
      <c r="C367" s="482"/>
      <c r="D367" s="482" t="str">
        <f>E_EnergyFlows!D273</f>
        <v>(b)</v>
      </c>
      <c r="E367" s="2508" t="str">
        <f>E_EnergyFlows!E273</f>
        <v>Waste gases produced outside the system boundaries of a product benchmark sub-installation</v>
      </c>
      <c r="F367" s="2380"/>
      <c r="G367" s="2380"/>
      <c r="H367" s="2380"/>
      <c r="I367" s="2380"/>
      <c r="J367" s="2380"/>
      <c r="K367" s="2380"/>
      <c r="L367" s="2380"/>
      <c r="M367" s="2380"/>
      <c r="N367" s="2380"/>
      <c r="O367" s="618"/>
      <c r="P367" s="1137"/>
      <c r="Q367" s="1137"/>
      <c r="R367" s="1137"/>
      <c r="S367" s="1137"/>
      <c r="T367" s="1137"/>
      <c r="U367" s="1137"/>
      <c r="V367" s="1137"/>
    </row>
    <row r="368" spans="1:22" s="562" customFormat="1" ht="13.15" customHeight="1">
      <c r="A368" s="817"/>
      <c r="B368" s="618"/>
      <c r="C368" s="485"/>
      <c r="D368" s="485"/>
      <c r="E368" s="2509" t="str">
        <f>E_EnergyFlows!E276</f>
        <v>from section D.IV.</v>
      </c>
      <c r="F368" s="3284"/>
      <c r="G368" s="663" t="str">
        <f>E_EnergyFlows!G276</f>
        <v>Unit</v>
      </c>
      <c r="H368" s="578">
        <f>E_EnergyFlows!H276</f>
        <v>2024</v>
      </c>
      <c r="I368" s="697">
        <f>E_EnergyFlows!I276</f>
        <v>2025</v>
      </c>
      <c r="J368" s="1489">
        <f>E_EnergyFlows!J276</f>
        <v>2026</v>
      </c>
      <c r="K368" s="1490">
        <f>E_EnergyFlows!K276</f>
        <v>2027</v>
      </c>
      <c r="L368" s="1490">
        <f>E_EnergyFlows!L276</f>
        <v>2028</v>
      </c>
      <c r="M368" s="1490">
        <f>E_EnergyFlows!M276</f>
        <v>2029</v>
      </c>
      <c r="N368" s="1490">
        <f>E_EnergyFlows!N276</f>
        <v>2030</v>
      </c>
      <c r="O368" s="618"/>
      <c r="P368" s="1137"/>
      <c r="Q368" s="1137"/>
      <c r="R368" s="1137"/>
      <c r="S368" s="1137"/>
      <c r="T368" s="1137"/>
      <c r="U368" s="1137"/>
      <c r="V368" s="1137"/>
    </row>
    <row r="369" spans="1:22" s="562" customFormat="1">
      <c r="A369" s="817"/>
      <c r="B369" s="618"/>
      <c r="C369" s="485"/>
      <c r="D369" s="561"/>
      <c r="E369" s="3467" t="str">
        <f>E_EnergyFlows!E277</f>
        <v>Waste gas 1</v>
      </c>
      <c r="F369" s="3467"/>
      <c r="G369" s="721" t="str">
        <f>E_EnergyFlows!G277</f>
        <v>TJ / year</v>
      </c>
      <c r="H369" s="656" t="str">
        <f>E_EnergyFlows!H277</f>
        <v/>
      </c>
      <c r="I369" s="962" t="str">
        <f>E_EnergyFlows!I277</f>
        <v/>
      </c>
      <c r="J369" s="1491" t="str">
        <f>E_EnergyFlows!J277</f>
        <v/>
      </c>
      <c r="K369" s="1492" t="str">
        <f>E_EnergyFlows!K277</f>
        <v/>
      </c>
      <c r="L369" s="1492" t="str">
        <f>E_EnergyFlows!L277</f>
        <v/>
      </c>
      <c r="M369" s="1492" t="str">
        <f>E_EnergyFlows!M277</f>
        <v/>
      </c>
      <c r="N369" s="1492" t="str">
        <f>E_EnergyFlows!N277</f>
        <v/>
      </c>
      <c r="O369" s="618"/>
      <c r="P369" s="1137"/>
      <c r="Q369" s="1137"/>
      <c r="R369" s="1137"/>
      <c r="S369" s="1137"/>
      <c r="T369" s="1137"/>
      <c r="U369" s="1137"/>
      <c r="V369" s="1137"/>
    </row>
    <row r="370" spans="1:22" s="562" customFormat="1">
      <c r="A370" s="817"/>
      <c r="B370" s="618"/>
      <c r="C370" s="485"/>
      <c r="D370" s="561"/>
      <c r="E370" s="3466" t="str">
        <f>E_EnergyFlows!E278</f>
        <v>Waste gas 2</v>
      </c>
      <c r="F370" s="3466"/>
      <c r="G370" s="724" t="str">
        <f>E_EnergyFlows!G278</f>
        <v>TJ / year</v>
      </c>
      <c r="H370" s="660" t="str">
        <f>E_EnergyFlows!H278</f>
        <v/>
      </c>
      <c r="I370" s="969" t="str">
        <f>E_EnergyFlows!I278</f>
        <v/>
      </c>
      <c r="J370" s="1491" t="str">
        <f>E_EnergyFlows!J278</f>
        <v/>
      </c>
      <c r="K370" s="1492" t="str">
        <f>E_EnergyFlows!K278</f>
        <v/>
      </c>
      <c r="L370" s="1492" t="str">
        <f>E_EnergyFlows!L278</f>
        <v/>
      </c>
      <c r="M370" s="1492" t="str">
        <f>E_EnergyFlows!M278</f>
        <v/>
      </c>
      <c r="N370" s="1492" t="str">
        <f>E_EnergyFlows!N278</f>
        <v/>
      </c>
      <c r="O370" s="618"/>
      <c r="P370" s="1137"/>
      <c r="Q370" s="1137"/>
      <c r="R370" s="1137"/>
      <c r="S370" s="1137"/>
      <c r="T370" s="1137"/>
      <c r="U370" s="1137"/>
      <c r="V370" s="1137"/>
    </row>
    <row r="371" spans="1:22" s="562" customFormat="1" ht="12.75" customHeight="1">
      <c r="A371" s="817"/>
      <c r="B371" s="618"/>
      <c r="C371" s="485"/>
      <c r="D371" s="561"/>
      <c r="E371" s="2788" t="str">
        <f>E_EnergyFlows!E279</f>
        <v>Sub-total</v>
      </c>
      <c r="F371" s="3461"/>
      <c r="G371" s="730" t="str">
        <f>E_EnergyFlows!G279</f>
        <v>TJ / year</v>
      </c>
      <c r="H371" s="668" t="str">
        <f>E_EnergyFlows!H279</f>
        <v/>
      </c>
      <c r="I371" s="1021" t="str">
        <f>E_EnergyFlows!I279</f>
        <v/>
      </c>
      <c r="J371" s="1491" t="str">
        <f>E_EnergyFlows!J279</f>
        <v/>
      </c>
      <c r="K371" s="1492" t="str">
        <f>E_EnergyFlows!K279</f>
        <v/>
      </c>
      <c r="L371" s="1492" t="str">
        <f>E_EnergyFlows!L279</f>
        <v/>
      </c>
      <c r="M371" s="1492" t="str">
        <f>E_EnergyFlows!M279</f>
        <v/>
      </c>
      <c r="N371" s="1492" t="str">
        <f>E_EnergyFlows!N279</f>
        <v/>
      </c>
      <c r="O371" s="618"/>
      <c r="P371" s="1137"/>
      <c r="Q371" s="1137"/>
      <c r="R371" s="1137"/>
      <c r="S371" s="1137"/>
      <c r="T371" s="1137"/>
      <c r="U371" s="1137"/>
      <c r="V371" s="1137"/>
    </row>
    <row r="372" spans="1:22" s="562" customFormat="1" ht="5.0999999999999996" customHeight="1">
      <c r="A372" s="817"/>
      <c r="B372" s="618"/>
      <c r="C372" s="481"/>
      <c r="D372" s="481"/>
      <c r="E372" s="481"/>
      <c r="F372" s="481"/>
      <c r="G372" s="481"/>
      <c r="H372" s="481"/>
      <c r="I372" s="481"/>
      <c r="J372" s="481"/>
      <c r="K372" s="481"/>
      <c r="L372" s="481"/>
      <c r="M372" s="481"/>
      <c r="N372" s="481"/>
      <c r="O372" s="618"/>
      <c r="P372" s="1137"/>
      <c r="Q372" s="1137"/>
      <c r="R372" s="1137"/>
      <c r="S372" s="1137"/>
      <c r="T372" s="1137"/>
      <c r="U372" s="1137"/>
      <c r="V372" s="1137"/>
    </row>
    <row r="373" spans="1:22" s="562" customFormat="1" ht="13.15" customHeight="1">
      <c r="A373" s="817"/>
      <c r="B373" s="618"/>
      <c r="C373" s="482"/>
      <c r="D373" s="482" t="str">
        <f>E_EnergyFlows!D281</f>
        <v>(c)</v>
      </c>
      <c r="E373" s="2509" t="str">
        <f>E_EnergyFlows!E281</f>
        <v>Sum of waste gases (=a+b)</v>
      </c>
      <c r="F373" s="3284"/>
      <c r="G373" s="1553"/>
      <c r="H373" s="1553"/>
      <c r="I373" s="1553"/>
      <c r="J373" s="1553"/>
      <c r="K373" s="1553"/>
      <c r="L373" s="1553"/>
      <c r="M373" s="1553"/>
      <c r="N373" s="1553"/>
      <c r="O373" s="618"/>
      <c r="P373" s="1137"/>
      <c r="Q373" s="1137"/>
      <c r="R373" s="1137"/>
      <c r="S373" s="1137"/>
      <c r="T373" s="1137"/>
      <c r="U373" s="1137"/>
      <c r="V373" s="1137"/>
    </row>
    <row r="374" spans="1:22" s="562" customFormat="1" ht="12.6" customHeight="1">
      <c r="A374" s="817"/>
      <c r="B374" s="618"/>
      <c r="C374" s="485"/>
      <c r="D374" s="485"/>
      <c r="E374" s="2587" t="str">
        <f>E_EnergyFlows!E282</f>
        <v>Waste gases produced</v>
      </c>
      <c r="F374" s="3461"/>
      <c r="G374" s="1506" t="str">
        <f>E_EnergyFlows!G282</f>
        <v>TJ / year</v>
      </c>
      <c r="H374" s="668" t="str">
        <f>E_EnergyFlows!H282</f>
        <v/>
      </c>
      <c r="I374" s="1021" t="str">
        <f>E_EnergyFlows!I282</f>
        <v/>
      </c>
      <c r="J374" s="1491" t="str">
        <f>E_EnergyFlows!J282</f>
        <v/>
      </c>
      <c r="K374" s="1492" t="str">
        <f>E_EnergyFlows!K282</f>
        <v/>
      </c>
      <c r="L374" s="1492" t="str">
        <f>E_EnergyFlows!L282</f>
        <v/>
      </c>
      <c r="M374" s="1492" t="str">
        <f>E_EnergyFlows!M282</f>
        <v/>
      </c>
      <c r="N374" s="1492" t="str">
        <f>E_EnergyFlows!N282</f>
        <v/>
      </c>
      <c r="O374" s="618"/>
      <c r="P374" s="1137"/>
      <c r="Q374" s="1137"/>
      <c r="R374" s="1137"/>
      <c r="S374" s="1137"/>
      <c r="T374" s="1137"/>
      <c r="U374" s="1137"/>
      <c r="V374" s="1137"/>
    </row>
    <row r="375" spans="1:22" s="562" customFormat="1" ht="5.0999999999999996" customHeight="1">
      <c r="A375" s="817"/>
      <c r="B375" s="618"/>
      <c r="C375" s="485"/>
      <c r="D375" s="485"/>
      <c r="E375" s="485"/>
      <c r="F375" s="485"/>
      <c r="G375" s="485"/>
      <c r="H375" s="485"/>
      <c r="I375" s="485"/>
      <c r="J375" s="485"/>
      <c r="K375" s="485"/>
      <c r="L375" s="485"/>
      <c r="M375" s="485"/>
      <c r="N375" s="485"/>
      <c r="O375" s="618"/>
      <c r="P375" s="1137"/>
      <c r="Q375" s="1137"/>
      <c r="R375" s="1137"/>
      <c r="S375" s="1137"/>
      <c r="T375" s="1137"/>
      <c r="U375" s="1137"/>
      <c r="V375" s="1137"/>
    </row>
    <row r="376" spans="1:22" s="562" customFormat="1" ht="13.15" customHeight="1">
      <c r="A376" s="817"/>
      <c r="B376" s="618"/>
      <c r="C376" s="482"/>
      <c r="D376" s="482" t="str">
        <f>E_EnergyFlows!D284</f>
        <v>(d)</v>
      </c>
      <c r="E376" s="2508" t="str">
        <f>E_EnergyFlows!E284</f>
        <v>Waste gases imported from other installations or entities</v>
      </c>
      <c r="F376" s="2380"/>
      <c r="G376" s="2380"/>
      <c r="H376" s="2380"/>
      <c r="I376" s="2380"/>
      <c r="J376" s="2380"/>
      <c r="K376" s="2380"/>
      <c r="L376" s="2380"/>
      <c r="M376" s="2380"/>
      <c r="N376" s="2380"/>
      <c r="O376" s="618"/>
      <c r="P376" s="1137"/>
      <c r="Q376" s="1137"/>
      <c r="R376" s="1137"/>
      <c r="S376" s="1137"/>
      <c r="T376" s="1137"/>
      <c r="U376" s="1137"/>
      <c r="V376" s="1137"/>
    </row>
    <row r="377" spans="1:22" s="562" customFormat="1" ht="12.75" customHeight="1">
      <c r="A377" s="817"/>
      <c r="B377" s="618"/>
      <c r="C377" s="485"/>
      <c r="D377" s="485"/>
      <c r="E377" s="2509" t="str">
        <f>E_EnergyFlows!E287</f>
        <v>Name of installation or entity</v>
      </c>
      <c r="F377" s="3284"/>
      <c r="G377" s="663" t="str">
        <f>E_EnergyFlows!G287</f>
        <v>Unit</v>
      </c>
      <c r="H377" s="578">
        <f>E_EnergyFlows!H287</f>
        <v>2024</v>
      </c>
      <c r="I377" s="697">
        <f>E_EnergyFlows!I287</f>
        <v>2025</v>
      </c>
      <c r="J377" s="1489">
        <f>E_EnergyFlows!J287</f>
        <v>2026</v>
      </c>
      <c r="K377" s="1490">
        <f>E_EnergyFlows!K287</f>
        <v>2027</v>
      </c>
      <c r="L377" s="1490">
        <f>E_EnergyFlows!L287</f>
        <v>2028</v>
      </c>
      <c r="M377" s="1490">
        <f>E_EnergyFlows!M287</f>
        <v>2029</v>
      </c>
      <c r="N377" s="1490">
        <f>E_EnergyFlows!N287</f>
        <v>2030</v>
      </c>
      <c r="O377" s="618"/>
      <c r="P377" s="1137"/>
      <c r="Q377" s="1137"/>
      <c r="R377" s="1137"/>
      <c r="S377" s="1137"/>
      <c r="T377" s="1137"/>
      <c r="U377" s="1137"/>
      <c r="V377" s="1137"/>
    </row>
    <row r="378" spans="1:22" s="562" customFormat="1">
      <c r="A378" s="817"/>
      <c r="B378" s="618"/>
      <c r="C378" s="561"/>
      <c r="D378" s="561"/>
      <c r="E378" s="3330" t="str">
        <f>IF(ISBLANK(E_EnergyFlows!E288),"",E_EnergyFlows!E288)</f>
        <v/>
      </c>
      <c r="F378" s="3467"/>
      <c r="G378" s="579" t="str">
        <f>E_EnergyFlows!G288</f>
        <v>TJ / year</v>
      </c>
      <c r="H378" s="656" t="str">
        <f>IF(ISBLANK(E_EnergyFlows!H288),"",E_EnergyFlows!H288)</f>
        <v/>
      </c>
      <c r="I378" s="962" t="str">
        <f>IF(ISBLANK(E_EnergyFlows!I288),"",E_EnergyFlows!I288)</f>
        <v/>
      </c>
      <c r="J378" s="1491" t="str">
        <f>IF(ISBLANK(E_EnergyFlows!J288),"",E_EnergyFlows!J288)</f>
        <v/>
      </c>
      <c r="K378" s="1492" t="str">
        <f>IF(ISBLANK(E_EnergyFlows!K288),"",E_EnergyFlows!K288)</f>
        <v/>
      </c>
      <c r="L378" s="1492" t="str">
        <f>IF(ISBLANK(E_EnergyFlows!L288),"",E_EnergyFlows!L288)</f>
        <v/>
      </c>
      <c r="M378" s="1492" t="str">
        <f>IF(ISBLANK(E_EnergyFlows!M288),"",E_EnergyFlows!M288)</f>
        <v/>
      </c>
      <c r="N378" s="1492" t="str">
        <f>IF(ISBLANK(E_EnergyFlows!N288),"",E_EnergyFlows!N288)</f>
        <v/>
      </c>
      <c r="O378" s="618"/>
      <c r="P378" s="1137"/>
      <c r="Q378" s="1137"/>
      <c r="R378" s="1137"/>
      <c r="S378" s="1137"/>
      <c r="T378" s="1137"/>
      <c r="U378" s="1137"/>
      <c r="V378" s="1137"/>
    </row>
    <row r="379" spans="1:22" s="562" customFormat="1">
      <c r="A379" s="817"/>
      <c r="B379" s="618"/>
      <c r="C379" s="561"/>
      <c r="D379" s="561"/>
      <c r="E379" s="3362" t="str">
        <f>IF(ISBLANK(E_EnergyFlows!E289),"",E_EnergyFlows!E289)</f>
        <v/>
      </c>
      <c r="F379" s="3189"/>
      <c r="G379" s="582" t="str">
        <f>E_EnergyFlows!G289</f>
        <v>TJ / year</v>
      </c>
      <c r="H379" s="658" t="str">
        <f>IF(ISBLANK(E_EnergyFlows!H289),"",E_EnergyFlows!H289)</f>
        <v/>
      </c>
      <c r="I379" s="965" t="str">
        <f>IF(ISBLANK(E_EnergyFlows!I289),"",E_EnergyFlows!I289)</f>
        <v/>
      </c>
      <c r="J379" s="1491" t="str">
        <f>IF(ISBLANK(E_EnergyFlows!J289),"",E_EnergyFlows!J289)</f>
        <v/>
      </c>
      <c r="K379" s="1492" t="str">
        <f>IF(ISBLANK(E_EnergyFlows!K289),"",E_EnergyFlows!K289)</f>
        <v/>
      </c>
      <c r="L379" s="1492" t="str">
        <f>IF(ISBLANK(E_EnergyFlows!L289),"",E_EnergyFlows!L289)</f>
        <v/>
      </c>
      <c r="M379" s="1492" t="str">
        <f>IF(ISBLANK(E_EnergyFlows!M289),"",E_EnergyFlows!M289)</f>
        <v/>
      </c>
      <c r="N379" s="1492" t="str">
        <f>IF(ISBLANK(E_EnergyFlows!N289),"",E_EnergyFlows!N289)</f>
        <v/>
      </c>
      <c r="O379" s="618"/>
      <c r="P379" s="1137"/>
      <c r="Q379" s="1137"/>
      <c r="R379" s="1137"/>
      <c r="S379" s="1137"/>
      <c r="T379" s="1137"/>
      <c r="U379" s="1137"/>
      <c r="V379" s="1137"/>
    </row>
    <row r="380" spans="1:22" s="562" customFormat="1">
      <c r="A380" s="817"/>
      <c r="B380" s="618"/>
      <c r="C380" s="561"/>
      <c r="D380" s="561"/>
      <c r="E380" s="3332" t="str">
        <f>IF(ISBLANK(E_EnergyFlows!E290),"",E_EnergyFlows!E290)</f>
        <v/>
      </c>
      <c r="F380" s="3466"/>
      <c r="G380" s="584" t="str">
        <f>E_EnergyFlows!G290</f>
        <v>TJ / year</v>
      </c>
      <c r="H380" s="660" t="str">
        <f>IF(ISBLANK(E_EnergyFlows!H290),"",E_EnergyFlows!H290)</f>
        <v/>
      </c>
      <c r="I380" s="969" t="str">
        <f>IF(ISBLANK(E_EnergyFlows!I290),"",E_EnergyFlows!I290)</f>
        <v/>
      </c>
      <c r="J380" s="1491" t="str">
        <f>IF(ISBLANK(E_EnergyFlows!J290),"",E_EnergyFlows!J290)</f>
        <v/>
      </c>
      <c r="K380" s="1492" t="str">
        <f>IF(ISBLANK(E_EnergyFlows!K290),"",E_EnergyFlows!K290)</f>
        <v/>
      </c>
      <c r="L380" s="1492" t="str">
        <f>IF(ISBLANK(E_EnergyFlows!L290),"",E_EnergyFlows!L290)</f>
        <v/>
      </c>
      <c r="M380" s="1492" t="str">
        <f>IF(ISBLANK(E_EnergyFlows!M290),"",E_EnergyFlows!M290)</f>
        <v/>
      </c>
      <c r="N380" s="1492" t="str">
        <f>IF(ISBLANK(E_EnergyFlows!N290),"",E_EnergyFlows!N290)</f>
        <v/>
      </c>
      <c r="O380" s="618"/>
      <c r="P380" s="1137"/>
      <c r="Q380" s="1137"/>
      <c r="R380" s="1137"/>
      <c r="S380" s="1137"/>
      <c r="T380" s="1137"/>
      <c r="U380" s="1137"/>
      <c r="V380" s="1137"/>
    </row>
    <row r="381" spans="1:22" s="562" customFormat="1">
      <c r="A381" s="817"/>
      <c r="B381" s="618"/>
      <c r="C381" s="561"/>
      <c r="D381" s="561"/>
      <c r="E381" s="2788" t="str">
        <f>E_EnergyFlows!E291</f>
        <v>Sub-total</v>
      </c>
      <c r="F381" s="3461"/>
      <c r="G381" s="1506" t="str">
        <f>E_EnergyFlows!G291</f>
        <v>TJ / year</v>
      </c>
      <c r="H381" s="668" t="str">
        <f>E_EnergyFlows!H291</f>
        <v/>
      </c>
      <c r="I381" s="1021" t="str">
        <f>E_EnergyFlows!I291</f>
        <v/>
      </c>
      <c r="J381" s="1491" t="str">
        <f>E_EnergyFlows!J291</f>
        <v/>
      </c>
      <c r="K381" s="1492" t="str">
        <f>E_EnergyFlows!K291</f>
        <v/>
      </c>
      <c r="L381" s="1492" t="str">
        <f>E_EnergyFlows!L291</f>
        <v/>
      </c>
      <c r="M381" s="1492" t="str">
        <f>E_EnergyFlows!M291</f>
        <v/>
      </c>
      <c r="N381" s="1492" t="str">
        <f>E_EnergyFlows!N291</f>
        <v/>
      </c>
      <c r="O381" s="618"/>
      <c r="P381" s="1137"/>
      <c r="Q381" s="1137"/>
      <c r="R381" s="1137"/>
      <c r="S381" s="1137"/>
      <c r="T381" s="1137"/>
      <c r="U381" s="1137"/>
      <c r="V381" s="1137"/>
    </row>
    <row r="382" spans="1:22" s="562" customFormat="1" ht="5.0999999999999996" customHeight="1">
      <c r="A382" s="817"/>
      <c r="B382" s="618"/>
      <c r="C382" s="481"/>
      <c r="D382" s="481"/>
      <c r="E382" s="481"/>
      <c r="F382" s="481"/>
      <c r="G382" s="481"/>
      <c r="H382" s="481"/>
      <c r="I382" s="481"/>
      <c r="J382" s="481"/>
      <c r="K382" s="481"/>
      <c r="L382" s="481"/>
      <c r="M382" s="481"/>
      <c r="N382" s="481"/>
      <c r="O382" s="618"/>
      <c r="P382" s="1137"/>
      <c r="Q382" s="1137"/>
      <c r="R382" s="1137"/>
      <c r="S382" s="1137"/>
      <c r="T382" s="1137"/>
      <c r="U382" s="1137"/>
      <c r="V382" s="1137"/>
    </row>
    <row r="383" spans="1:22" s="562" customFormat="1" ht="12.75" customHeight="1">
      <c r="A383" s="817"/>
      <c r="B383" s="618"/>
      <c r="C383" s="482"/>
      <c r="D383" s="482" t="str">
        <f>E_EnergyFlows!D293</f>
        <v>(e)</v>
      </c>
      <c r="E383" s="2508" t="str">
        <f>E_EnergyFlows!E293</f>
        <v>Waste gases exported to other installations or entities</v>
      </c>
      <c r="F383" s="2380"/>
      <c r="G383" s="2380"/>
      <c r="H383" s="2380"/>
      <c r="I383" s="2380"/>
      <c r="J383" s="2380"/>
      <c r="K383" s="2380"/>
      <c r="L383" s="2380"/>
      <c r="M383" s="2380"/>
      <c r="N383" s="2380"/>
      <c r="O383" s="618"/>
      <c r="P383" s="1137"/>
      <c r="Q383" s="1137"/>
      <c r="R383" s="1137"/>
      <c r="S383" s="1137"/>
      <c r="T383" s="1137"/>
      <c r="U383" s="1137"/>
      <c r="V383" s="1137"/>
    </row>
    <row r="384" spans="1:22" s="562" customFormat="1" ht="13.15" customHeight="1">
      <c r="A384" s="817"/>
      <c r="B384" s="618"/>
      <c r="C384" s="485"/>
      <c r="D384" s="485"/>
      <c r="E384" s="2509" t="str">
        <f>E_EnergyFlows!E295</f>
        <v>Name of installation or entity</v>
      </c>
      <c r="F384" s="3284"/>
      <c r="G384" s="663" t="str">
        <f>E_EnergyFlows!G295</f>
        <v>Unit</v>
      </c>
      <c r="H384" s="578">
        <f>E_EnergyFlows!H295</f>
        <v>2024</v>
      </c>
      <c r="I384" s="697">
        <f>E_EnergyFlows!I295</f>
        <v>2025</v>
      </c>
      <c r="J384" s="1489">
        <f>E_EnergyFlows!J295</f>
        <v>2026</v>
      </c>
      <c r="K384" s="1490">
        <f>E_EnergyFlows!K295</f>
        <v>2027</v>
      </c>
      <c r="L384" s="1490">
        <f>E_EnergyFlows!L295</f>
        <v>2028</v>
      </c>
      <c r="M384" s="1490">
        <f>E_EnergyFlows!M295</f>
        <v>2029</v>
      </c>
      <c r="N384" s="1490">
        <f>E_EnergyFlows!N295</f>
        <v>2030</v>
      </c>
      <c r="O384" s="618"/>
      <c r="P384" s="1137"/>
      <c r="Q384" s="1137"/>
      <c r="R384" s="1137"/>
      <c r="S384" s="1137"/>
      <c r="T384" s="1137"/>
      <c r="U384" s="1137"/>
      <c r="V384" s="1137"/>
    </row>
    <row r="385" spans="1:22" s="562" customFormat="1">
      <c r="A385" s="817"/>
      <c r="B385" s="618"/>
      <c r="C385" s="561"/>
      <c r="D385" s="561"/>
      <c r="E385" s="3330" t="str">
        <f>IF(ISBLANK(E_EnergyFlows!E296),"",E_EnergyFlows!E296)</f>
        <v/>
      </c>
      <c r="F385" s="3467"/>
      <c r="G385" s="579" t="str">
        <f>E_EnergyFlows!G296</f>
        <v>TJ / year</v>
      </c>
      <c r="H385" s="656" t="str">
        <f>IF(ISBLANK(E_EnergyFlows!H296),"",E_EnergyFlows!H296)</f>
        <v/>
      </c>
      <c r="I385" s="962" t="str">
        <f>IF(ISBLANK(E_EnergyFlows!I296),"",E_EnergyFlows!I296)</f>
        <v/>
      </c>
      <c r="J385" s="1491" t="str">
        <f>IF(ISBLANK(E_EnergyFlows!J296),"",E_EnergyFlows!J296)</f>
        <v/>
      </c>
      <c r="K385" s="1492" t="str">
        <f>IF(ISBLANK(E_EnergyFlows!K296),"",E_EnergyFlows!K296)</f>
        <v/>
      </c>
      <c r="L385" s="1492" t="str">
        <f>IF(ISBLANK(E_EnergyFlows!L296),"",E_EnergyFlows!L296)</f>
        <v/>
      </c>
      <c r="M385" s="1492" t="str">
        <f>IF(ISBLANK(E_EnergyFlows!M296),"",E_EnergyFlows!M296)</f>
        <v/>
      </c>
      <c r="N385" s="1492" t="str">
        <f>IF(ISBLANK(E_EnergyFlows!N296),"",E_EnergyFlows!N296)</f>
        <v/>
      </c>
      <c r="O385" s="618"/>
      <c r="P385" s="1137"/>
      <c r="Q385" s="1137"/>
      <c r="R385" s="1137"/>
      <c r="S385" s="1137"/>
      <c r="T385" s="1137"/>
      <c r="U385" s="1137"/>
      <c r="V385" s="1137"/>
    </row>
    <row r="386" spans="1:22" s="562" customFormat="1">
      <c r="A386" s="817"/>
      <c r="B386" s="618"/>
      <c r="C386" s="561"/>
      <c r="D386" s="561"/>
      <c r="E386" s="3362" t="str">
        <f>IF(ISBLANK(E_EnergyFlows!E297),"",E_EnergyFlows!E297)</f>
        <v/>
      </c>
      <c r="F386" s="3189"/>
      <c r="G386" s="582" t="str">
        <f>E_EnergyFlows!G297</f>
        <v>TJ / year</v>
      </c>
      <c r="H386" s="658" t="str">
        <f>IF(ISBLANK(E_EnergyFlows!H297),"",E_EnergyFlows!H297)</f>
        <v/>
      </c>
      <c r="I386" s="965" t="str">
        <f>IF(ISBLANK(E_EnergyFlows!I297),"",E_EnergyFlows!I297)</f>
        <v/>
      </c>
      <c r="J386" s="1491" t="str">
        <f>IF(ISBLANK(E_EnergyFlows!J297),"",E_EnergyFlows!J297)</f>
        <v/>
      </c>
      <c r="K386" s="1492" t="str">
        <f>IF(ISBLANK(E_EnergyFlows!K297),"",E_EnergyFlows!K297)</f>
        <v/>
      </c>
      <c r="L386" s="1492" t="str">
        <f>IF(ISBLANK(E_EnergyFlows!L297),"",E_EnergyFlows!L297)</f>
        <v/>
      </c>
      <c r="M386" s="1492" t="str">
        <f>IF(ISBLANK(E_EnergyFlows!M297),"",E_EnergyFlows!M297)</f>
        <v/>
      </c>
      <c r="N386" s="1492" t="str">
        <f>IF(ISBLANK(E_EnergyFlows!N297),"",E_EnergyFlows!N297)</f>
        <v/>
      </c>
      <c r="O386" s="618"/>
      <c r="P386" s="1137"/>
      <c r="Q386" s="1137"/>
      <c r="R386" s="1137"/>
      <c r="S386" s="1137"/>
      <c r="T386" s="1137"/>
      <c r="U386" s="1137"/>
      <c r="V386" s="1137"/>
    </row>
    <row r="387" spans="1:22" s="562" customFormat="1">
      <c r="A387" s="817"/>
      <c r="B387" s="618"/>
      <c r="C387" s="561"/>
      <c r="D387" s="561"/>
      <c r="E387" s="3332" t="str">
        <f>IF(ISBLANK(E_EnergyFlows!E298),"",E_EnergyFlows!E298)</f>
        <v/>
      </c>
      <c r="F387" s="3466"/>
      <c r="G387" s="584" t="str">
        <f>E_EnergyFlows!G298</f>
        <v>TJ / year</v>
      </c>
      <c r="H387" s="660" t="str">
        <f>IF(ISBLANK(E_EnergyFlows!H298),"",E_EnergyFlows!H298)</f>
        <v/>
      </c>
      <c r="I387" s="969" t="str">
        <f>IF(ISBLANK(E_EnergyFlows!I298),"",E_EnergyFlows!I298)</f>
        <v/>
      </c>
      <c r="J387" s="1491" t="str">
        <f>IF(ISBLANK(E_EnergyFlows!J298),"",E_EnergyFlows!J298)</f>
        <v/>
      </c>
      <c r="K387" s="1492" t="str">
        <f>IF(ISBLANK(E_EnergyFlows!K298),"",E_EnergyFlows!K298)</f>
        <v/>
      </c>
      <c r="L387" s="1492" t="str">
        <f>IF(ISBLANK(E_EnergyFlows!L298),"",E_EnergyFlows!L298)</f>
        <v/>
      </c>
      <c r="M387" s="1492" t="str">
        <f>IF(ISBLANK(E_EnergyFlows!M298),"",E_EnergyFlows!M298)</f>
        <v/>
      </c>
      <c r="N387" s="1492" t="str">
        <f>IF(ISBLANK(E_EnergyFlows!N298),"",E_EnergyFlows!N298)</f>
        <v/>
      </c>
      <c r="O387" s="618"/>
      <c r="P387" s="1137"/>
      <c r="Q387" s="1137"/>
      <c r="R387" s="1137"/>
      <c r="S387" s="1137"/>
      <c r="T387" s="1137"/>
      <c r="U387" s="1137"/>
      <c r="V387" s="1137"/>
    </row>
    <row r="388" spans="1:22" s="562" customFormat="1">
      <c r="A388" s="817"/>
      <c r="B388" s="618"/>
      <c r="C388" s="561"/>
      <c r="D388" s="561"/>
      <c r="E388" s="2788" t="str">
        <f>E_EnergyFlows!E299</f>
        <v>Sub-total</v>
      </c>
      <c r="F388" s="3461"/>
      <c r="G388" s="1506" t="str">
        <f>E_EnergyFlows!G299</f>
        <v>TJ / year</v>
      </c>
      <c r="H388" s="668" t="str">
        <f>E_EnergyFlows!H299</f>
        <v/>
      </c>
      <c r="I388" s="1021" t="str">
        <f>E_EnergyFlows!I299</f>
        <v/>
      </c>
      <c r="J388" s="1491" t="str">
        <f>E_EnergyFlows!J299</f>
        <v/>
      </c>
      <c r="K388" s="1492" t="str">
        <f>E_EnergyFlows!K299</f>
        <v/>
      </c>
      <c r="L388" s="1492" t="str">
        <f>E_EnergyFlows!L299</f>
        <v/>
      </c>
      <c r="M388" s="1492" t="str">
        <f>E_EnergyFlows!M299</f>
        <v/>
      </c>
      <c r="N388" s="1492" t="str">
        <f>E_EnergyFlows!N299</f>
        <v/>
      </c>
      <c r="O388" s="618"/>
      <c r="P388" s="1137"/>
      <c r="Q388" s="1137"/>
      <c r="R388" s="1137"/>
      <c r="S388" s="1137"/>
      <c r="T388" s="1137"/>
      <c r="U388" s="1137"/>
      <c r="V388" s="1137"/>
    </row>
    <row r="389" spans="1:22" s="562" customFormat="1" ht="5.0999999999999996" customHeight="1">
      <c r="A389" s="817"/>
      <c r="B389" s="618"/>
      <c r="C389" s="481"/>
      <c r="D389" s="481"/>
      <c r="E389" s="481"/>
      <c r="F389" s="481"/>
      <c r="G389" s="481"/>
      <c r="H389" s="481"/>
      <c r="I389" s="481"/>
      <c r="J389" s="481"/>
      <c r="K389" s="481"/>
      <c r="L389" s="481"/>
      <c r="M389" s="481"/>
      <c r="N389" s="481"/>
      <c r="O389" s="618"/>
      <c r="P389" s="1137"/>
      <c r="Q389" s="1137"/>
      <c r="R389" s="1137"/>
      <c r="S389" s="1137"/>
      <c r="T389" s="1137"/>
      <c r="U389" s="1137"/>
      <c r="V389" s="1137"/>
    </row>
    <row r="390" spans="1:22" s="562" customFormat="1" ht="13.15" customHeight="1">
      <c r="A390" s="817"/>
      <c r="B390" s="618"/>
      <c r="C390" s="482"/>
      <c r="D390" s="482" t="str">
        <f>E_EnergyFlows!D301</f>
        <v>(f)</v>
      </c>
      <c r="E390" s="2509" t="str">
        <f>E_EnergyFlows!E301</f>
        <v>Sum of waste gases available at installation (=c+d-e)</v>
      </c>
      <c r="F390" s="3284"/>
      <c r="G390" s="3284"/>
      <c r="H390" s="3284"/>
      <c r="I390" s="3284"/>
      <c r="J390" s="2380"/>
      <c r="K390" s="2380"/>
      <c r="L390" s="2380"/>
      <c r="M390" s="2380"/>
      <c r="N390" s="2380"/>
      <c r="O390" s="618"/>
      <c r="P390" s="1137"/>
      <c r="Q390" s="1137"/>
      <c r="R390" s="1137"/>
      <c r="S390" s="1137"/>
      <c r="T390" s="1137"/>
      <c r="U390" s="1137"/>
      <c r="V390" s="1137"/>
    </row>
    <row r="391" spans="1:22" s="562" customFormat="1" ht="12.6" customHeight="1">
      <c r="A391" s="817"/>
      <c r="B391" s="618"/>
      <c r="C391" s="485"/>
      <c r="D391" s="485"/>
      <c r="E391" s="2587" t="str">
        <f>E_EnergyFlows!E302</f>
        <v>Waste gases available</v>
      </c>
      <c r="F391" s="3461"/>
      <c r="G391" s="1506" t="str">
        <f>E_EnergyFlows!G302</f>
        <v>TJ / year</v>
      </c>
      <c r="H391" s="668" t="str">
        <f>E_EnergyFlows!H302</f>
        <v/>
      </c>
      <c r="I391" s="1021" t="str">
        <f>E_EnergyFlows!I302</f>
        <v/>
      </c>
      <c r="J391" s="1491" t="str">
        <f>E_EnergyFlows!J302</f>
        <v/>
      </c>
      <c r="K391" s="1492" t="str">
        <f>E_EnergyFlows!K302</f>
        <v/>
      </c>
      <c r="L391" s="1492" t="str">
        <f>E_EnergyFlows!L302</f>
        <v/>
      </c>
      <c r="M391" s="1492" t="str">
        <f>E_EnergyFlows!M302</f>
        <v/>
      </c>
      <c r="N391" s="1492" t="str">
        <f>E_EnergyFlows!N302</f>
        <v/>
      </c>
      <c r="O391" s="618"/>
      <c r="P391" s="1137"/>
      <c r="Q391" s="1137"/>
      <c r="R391" s="1137"/>
      <c r="S391" s="1137"/>
      <c r="T391" s="1137"/>
      <c r="U391" s="1137"/>
      <c r="V391" s="1137"/>
    </row>
    <row r="392" spans="1:22" s="562" customFormat="1" ht="5.0999999999999996" customHeight="1">
      <c r="A392" s="817"/>
      <c r="B392" s="618"/>
      <c r="C392" s="485"/>
      <c r="D392" s="485"/>
      <c r="E392" s="485"/>
      <c r="F392" s="485"/>
      <c r="G392" s="485"/>
      <c r="H392" s="485"/>
      <c r="I392" s="485"/>
      <c r="J392" s="485"/>
      <c r="K392" s="485"/>
      <c r="L392" s="485"/>
      <c r="M392" s="485"/>
      <c r="N392" s="485"/>
      <c r="O392" s="618"/>
      <c r="P392" s="1137"/>
      <c r="Q392" s="1137"/>
      <c r="R392" s="1137"/>
      <c r="S392" s="1137"/>
      <c r="T392" s="1137"/>
      <c r="U392" s="1137"/>
      <c r="V392" s="1137"/>
    </row>
    <row r="393" spans="1:22" s="562" customFormat="1" ht="13.15" customHeight="1">
      <c r="A393" s="817"/>
      <c r="B393" s="618"/>
      <c r="C393" s="482"/>
      <c r="D393" s="482" t="str">
        <f>E_EnergyFlows!D304</f>
        <v>(g)</v>
      </c>
      <c r="E393" s="2508" t="str">
        <f>E_EnergyFlows!E304</f>
        <v>Waste gases consumed within product benchmark sub-installations</v>
      </c>
      <c r="F393" s="2380"/>
      <c r="G393" s="2380"/>
      <c r="H393" s="2380"/>
      <c r="I393" s="2380"/>
      <c r="J393" s="2380"/>
      <c r="K393" s="2380"/>
      <c r="L393" s="2380"/>
      <c r="M393" s="2380"/>
      <c r="N393" s="2380"/>
      <c r="O393" s="618"/>
      <c r="P393" s="1137"/>
      <c r="Q393" s="1137"/>
      <c r="R393" s="1137"/>
      <c r="S393" s="1137"/>
      <c r="T393" s="1137"/>
      <c r="U393" s="1137"/>
      <c r="V393" s="1137"/>
    </row>
    <row r="394" spans="1:22" s="562" customFormat="1" ht="13.15" customHeight="1">
      <c r="A394" s="817"/>
      <c r="B394" s="618"/>
      <c r="C394" s="485"/>
      <c r="D394" s="485"/>
      <c r="E394" s="2509" t="str">
        <f>E_EnergyFlows!E306</f>
        <v>Type of product BM sub-installation</v>
      </c>
      <c r="F394" s="3284"/>
      <c r="G394" s="663" t="str">
        <f>E_EnergyFlows!G306</f>
        <v>Unit</v>
      </c>
      <c r="H394" s="578">
        <f>E_EnergyFlows!H306</f>
        <v>2024</v>
      </c>
      <c r="I394" s="697">
        <f>E_EnergyFlows!I306</f>
        <v>2025</v>
      </c>
      <c r="J394" s="1489">
        <f>E_EnergyFlows!J306</f>
        <v>2026</v>
      </c>
      <c r="K394" s="1490">
        <f>E_EnergyFlows!K306</f>
        <v>2027</v>
      </c>
      <c r="L394" s="1490">
        <f>E_EnergyFlows!L306</f>
        <v>2028</v>
      </c>
      <c r="M394" s="1490">
        <f>E_EnergyFlows!M306</f>
        <v>2029</v>
      </c>
      <c r="N394" s="1490">
        <f>E_EnergyFlows!N306</f>
        <v>2030</v>
      </c>
      <c r="O394" s="618"/>
      <c r="P394" s="1137"/>
      <c r="Q394" s="1137"/>
      <c r="R394" s="1137"/>
      <c r="S394" s="1137"/>
      <c r="T394" s="1137"/>
      <c r="U394" s="1137"/>
      <c r="V394" s="1137"/>
    </row>
    <row r="395" spans="1:22" s="562" customFormat="1" ht="12.75" customHeight="1">
      <c r="A395" s="817"/>
      <c r="B395" s="618"/>
      <c r="C395" s="485"/>
      <c r="D395" s="561"/>
      <c r="E395" s="3330" t="str">
        <f>E_EnergyFlows!E307</f>
        <v/>
      </c>
      <c r="F395" s="3467"/>
      <c r="G395" s="1560" t="str">
        <f>E_EnergyFlows!G307</f>
        <v>TJ / year</v>
      </c>
      <c r="H395" s="656" t="str">
        <f>E_EnergyFlows!H307</f>
        <v/>
      </c>
      <c r="I395" s="962" t="str">
        <f>E_EnergyFlows!I307</f>
        <v/>
      </c>
      <c r="J395" s="1491" t="str">
        <f>E_EnergyFlows!J307</f>
        <v/>
      </c>
      <c r="K395" s="1492" t="str">
        <f>E_EnergyFlows!K307</f>
        <v/>
      </c>
      <c r="L395" s="1492" t="str">
        <f>E_EnergyFlows!L307</f>
        <v/>
      </c>
      <c r="M395" s="1492" t="str">
        <f>E_EnergyFlows!M307</f>
        <v/>
      </c>
      <c r="N395" s="1492" t="str">
        <f>E_EnergyFlows!N307</f>
        <v/>
      </c>
      <c r="O395" s="618"/>
      <c r="P395" s="1137"/>
      <c r="Q395" s="1137"/>
      <c r="R395" s="1137"/>
      <c r="S395" s="1137"/>
      <c r="T395" s="1137"/>
      <c r="U395" s="1137"/>
      <c r="V395" s="1137"/>
    </row>
    <row r="396" spans="1:22" s="562" customFormat="1">
      <c r="A396" s="817"/>
      <c r="B396" s="618"/>
      <c r="C396" s="485"/>
      <c r="D396" s="561"/>
      <c r="E396" s="3362" t="str">
        <f>E_EnergyFlows!E308</f>
        <v/>
      </c>
      <c r="F396" s="3189"/>
      <c r="G396" s="1562" t="str">
        <f>E_EnergyFlows!G308</f>
        <v>TJ / year</v>
      </c>
      <c r="H396" s="658" t="str">
        <f>E_EnergyFlows!H308</f>
        <v/>
      </c>
      <c r="I396" s="965" t="str">
        <f>E_EnergyFlows!I308</f>
        <v/>
      </c>
      <c r="J396" s="1491" t="str">
        <f>E_EnergyFlows!J308</f>
        <v/>
      </c>
      <c r="K396" s="1492" t="str">
        <f>E_EnergyFlows!K308</f>
        <v/>
      </c>
      <c r="L396" s="1492" t="str">
        <f>E_EnergyFlows!L308</f>
        <v/>
      </c>
      <c r="M396" s="1492" t="str">
        <f>E_EnergyFlows!M308</f>
        <v/>
      </c>
      <c r="N396" s="1492" t="str">
        <f>E_EnergyFlows!N308</f>
        <v/>
      </c>
      <c r="O396" s="618"/>
      <c r="P396" s="1137"/>
      <c r="Q396" s="1137"/>
      <c r="R396" s="1137"/>
      <c r="S396" s="1137"/>
      <c r="T396" s="1137"/>
      <c r="U396" s="1137"/>
      <c r="V396" s="1137"/>
    </row>
    <row r="397" spans="1:22" s="562" customFormat="1" ht="12.75" customHeight="1">
      <c r="A397" s="817"/>
      <c r="B397" s="618"/>
      <c r="C397" s="485"/>
      <c r="D397" s="561"/>
      <c r="E397" s="3362" t="str">
        <f>E_EnergyFlows!E309</f>
        <v/>
      </c>
      <c r="F397" s="3189"/>
      <c r="G397" s="1562" t="str">
        <f>E_EnergyFlows!G309</f>
        <v>TJ / year</v>
      </c>
      <c r="H397" s="658" t="str">
        <f>E_EnergyFlows!H309</f>
        <v/>
      </c>
      <c r="I397" s="965" t="str">
        <f>E_EnergyFlows!I309</f>
        <v/>
      </c>
      <c r="J397" s="1491" t="str">
        <f>E_EnergyFlows!J309</f>
        <v/>
      </c>
      <c r="K397" s="1492" t="str">
        <f>E_EnergyFlows!K309</f>
        <v/>
      </c>
      <c r="L397" s="1492" t="str">
        <f>E_EnergyFlows!L309</f>
        <v/>
      </c>
      <c r="M397" s="1492" t="str">
        <f>E_EnergyFlows!M309</f>
        <v/>
      </c>
      <c r="N397" s="1492" t="str">
        <f>E_EnergyFlows!N309</f>
        <v/>
      </c>
      <c r="O397" s="618"/>
      <c r="P397" s="1137"/>
      <c r="Q397" s="1137"/>
      <c r="R397" s="1137"/>
      <c r="S397" s="1137"/>
      <c r="T397" s="1137"/>
      <c r="U397" s="1137"/>
      <c r="V397" s="1137"/>
    </row>
    <row r="398" spans="1:22" s="562" customFormat="1">
      <c r="A398" s="817"/>
      <c r="B398" s="618"/>
      <c r="C398" s="485"/>
      <c r="D398" s="561"/>
      <c r="E398" s="3362" t="str">
        <f>E_EnergyFlows!E310</f>
        <v/>
      </c>
      <c r="F398" s="3189"/>
      <c r="G398" s="1562" t="str">
        <f>E_EnergyFlows!G310</f>
        <v>TJ / year</v>
      </c>
      <c r="H398" s="658" t="str">
        <f>E_EnergyFlows!H310</f>
        <v/>
      </c>
      <c r="I398" s="965" t="str">
        <f>E_EnergyFlows!I310</f>
        <v/>
      </c>
      <c r="J398" s="1491" t="str">
        <f>E_EnergyFlows!J310</f>
        <v/>
      </c>
      <c r="K398" s="1492" t="str">
        <f>E_EnergyFlows!K310</f>
        <v/>
      </c>
      <c r="L398" s="1492" t="str">
        <f>E_EnergyFlows!L310</f>
        <v/>
      </c>
      <c r="M398" s="1492" t="str">
        <f>E_EnergyFlows!M310</f>
        <v/>
      </c>
      <c r="N398" s="1492" t="str">
        <f>E_EnergyFlows!N310</f>
        <v/>
      </c>
      <c r="O398" s="618"/>
      <c r="P398" s="1137"/>
      <c r="Q398" s="1137"/>
      <c r="R398" s="1137"/>
      <c r="S398" s="1137"/>
      <c r="T398" s="1137"/>
      <c r="U398" s="1137"/>
      <c r="V398" s="1137"/>
    </row>
    <row r="399" spans="1:22" s="562" customFormat="1">
      <c r="A399" s="817"/>
      <c r="B399" s="618"/>
      <c r="C399" s="485"/>
      <c r="D399" s="561"/>
      <c r="E399" s="3362" t="str">
        <f>E_EnergyFlows!E311</f>
        <v/>
      </c>
      <c r="F399" s="3189"/>
      <c r="G399" s="1562" t="str">
        <f>E_EnergyFlows!G311</f>
        <v>TJ / year</v>
      </c>
      <c r="H399" s="658" t="str">
        <f>E_EnergyFlows!H311</f>
        <v/>
      </c>
      <c r="I399" s="965" t="str">
        <f>E_EnergyFlows!I311</f>
        <v/>
      </c>
      <c r="J399" s="1491" t="str">
        <f>E_EnergyFlows!J311</f>
        <v/>
      </c>
      <c r="K399" s="1492" t="str">
        <f>E_EnergyFlows!K311</f>
        <v/>
      </c>
      <c r="L399" s="1492" t="str">
        <f>E_EnergyFlows!L311</f>
        <v/>
      </c>
      <c r="M399" s="1492" t="str">
        <f>E_EnergyFlows!M311</f>
        <v/>
      </c>
      <c r="N399" s="1492" t="str">
        <f>E_EnergyFlows!N311</f>
        <v/>
      </c>
      <c r="O399" s="618"/>
      <c r="P399" s="1137"/>
      <c r="Q399" s="1137"/>
      <c r="R399" s="1137"/>
      <c r="S399" s="1137"/>
      <c r="T399" s="1137"/>
      <c r="U399" s="1137"/>
      <c r="V399" s="1137"/>
    </row>
    <row r="400" spans="1:22" s="562" customFormat="1">
      <c r="A400" s="817"/>
      <c r="B400" s="618"/>
      <c r="C400" s="485"/>
      <c r="D400" s="561"/>
      <c r="E400" s="3362" t="str">
        <f>E_EnergyFlows!E312</f>
        <v/>
      </c>
      <c r="F400" s="3189"/>
      <c r="G400" s="1562" t="str">
        <f>E_EnergyFlows!G312</f>
        <v>TJ / year</v>
      </c>
      <c r="H400" s="658" t="str">
        <f>E_EnergyFlows!H312</f>
        <v/>
      </c>
      <c r="I400" s="965" t="str">
        <f>E_EnergyFlows!I312</f>
        <v/>
      </c>
      <c r="J400" s="1491" t="str">
        <f>E_EnergyFlows!J312</f>
        <v/>
      </c>
      <c r="K400" s="1492" t="str">
        <f>E_EnergyFlows!K312</f>
        <v/>
      </c>
      <c r="L400" s="1492" t="str">
        <f>E_EnergyFlows!L312</f>
        <v/>
      </c>
      <c r="M400" s="1492" t="str">
        <f>E_EnergyFlows!M312</f>
        <v/>
      </c>
      <c r="N400" s="1492" t="str">
        <f>E_EnergyFlows!N312</f>
        <v/>
      </c>
      <c r="O400" s="618"/>
      <c r="P400" s="1137"/>
      <c r="Q400" s="1137"/>
      <c r="R400" s="1137"/>
      <c r="S400" s="1137"/>
      <c r="T400" s="1137"/>
      <c r="U400" s="1137"/>
      <c r="V400" s="1137"/>
    </row>
    <row r="401" spans="1:22" s="562" customFormat="1">
      <c r="A401" s="817"/>
      <c r="B401" s="618"/>
      <c r="C401" s="485"/>
      <c r="D401" s="561"/>
      <c r="E401" s="3362" t="str">
        <f>E_EnergyFlows!E313</f>
        <v/>
      </c>
      <c r="F401" s="3189"/>
      <c r="G401" s="1562" t="str">
        <f>E_EnergyFlows!G313</f>
        <v>TJ / year</v>
      </c>
      <c r="H401" s="658" t="str">
        <f>E_EnergyFlows!H313</f>
        <v/>
      </c>
      <c r="I401" s="965" t="str">
        <f>E_EnergyFlows!I313</f>
        <v/>
      </c>
      <c r="J401" s="1491" t="str">
        <f>E_EnergyFlows!J313</f>
        <v/>
      </c>
      <c r="K401" s="1492" t="str">
        <f>E_EnergyFlows!K313</f>
        <v/>
      </c>
      <c r="L401" s="1492" t="str">
        <f>E_EnergyFlows!L313</f>
        <v/>
      </c>
      <c r="M401" s="1492" t="str">
        <f>E_EnergyFlows!M313</f>
        <v/>
      </c>
      <c r="N401" s="1492" t="str">
        <f>E_EnergyFlows!N313</f>
        <v/>
      </c>
      <c r="O401" s="618"/>
      <c r="P401" s="1137"/>
      <c r="Q401" s="1137"/>
      <c r="R401" s="1137"/>
      <c r="S401" s="1137"/>
      <c r="T401" s="1137"/>
      <c r="U401" s="1137"/>
      <c r="V401" s="1137"/>
    </row>
    <row r="402" spans="1:22" s="562" customFormat="1">
      <c r="A402" s="817"/>
      <c r="B402" s="618"/>
      <c r="C402" s="485"/>
      <c r="D402" s="561"/>
      <c r="E402" s="3362" t="str">
        <f>E_EnergyFlows!E314</f>
        <v/>
      </c>
      <c r="F402" s="3189"/>
      <c r="G402" s="1562" t="str">
        <f>E_EnergyFlows!G314</f>
        <v>TJ / year</v>
      </c>
      <c r="H402" s="658" t="str">
        <f>E_EnergyFlows!H314</f>
        <v/>
      </c>
      <c r="I402" s="965" t="str">
        <f>E_EnergyFlows!I314</f>
        <v/>
      </c>
      <c r="J402" s="1491" t="str">
        <f>E_EnergyFlows!J314</f>
        <v/>
      </c>
      <c r="K402" s="1492" t="str">
        <f>E_EnergyFlows!K314</f>
        <v/>
      </c>
      <c r="L402" s="1492" t="str">
        <f>E_EnergyFlows!L314</f>
        <v/>
      </c>
      <c r="M402" s="1492" t="str">
        <f>E_EnergyFlows!M314</f>
        <v/>
      </c>
      <c r="N402" s="1492" t="str">
        <f>E_EnergyFlows!N314</f>
        <v/>
      </c>
      <c r="O402" s="618"/>
      <c r="P402" s="1137"/>
      <c r="Q402" s="1137"/>
      <c r="R402" s="1137"/>
      <c r="S402" s="1137"/>
      <c r="T402" s="1137"/>
      <c r="U402" s="1137"/>
      <c r="V402" s="1137"/>
    </row>
    <row r="403" spans="1:22" s="562" customFormat="1">
      <c r="A403" s="817"/>
      <c r="B403" s="618"/>
      <c r="C403" s="485"/>
      <c r="D403" s="561"/>
      <c r="E403" s="3362" t="str">
        <f>E_EnergyFlows!E315</f>
        <v/>
      </c>
      <c r="F403" s="3189"/>
      <c r="G403" s="1562" t="str">
        <f>E_EnergyFlows!G315</f>
        <v>TJ / year</v>
      </c>
      <c r="H403" s="658" t="str">
        <f>E_EnergyFlows!H315</f>
        <v/>
      </c>
      <c r="I403" s="965" t="str">
        <f>E_EnergyFlows!I315</f>
        <v/>
      </c>
      <c r="J403" s="1491" t="str">
        <f>E_EnergyFlows!J315</f>
        <v/>
      </c>
      <c r="K403" s="1492" t="str">
        <f>E_EnergyFlows!K315</f>
        <v/>
      </c>
      <c r="L403" s="1492" t="str">
        <f>E_EnergyFlows!L315</f>
        <v/>
      </c>
      <c r="M403" s="1492" t="str">
        <f>E_EnergyFlows!M315</f>
        <v/>
      </c>
      <c r="N403" s="1492" t="str">
        <f>E_EnergyFlows!N315</f>
        <v/>
      </c>
      <c r="O403" s="618"/>
      <c r="P403" s="1137"/>
      <c r="Q403" s="1137"/>
      <c r="R403" s="1137"/>
      <c r="S403" s="1137"/>
      <c r="T403" s="1137"/>
      <c r="U403" s="1137"/>
      <c r="V403" s="1137"/>
    </row>
    <row r="404" spans="1:22" s="562" customFormat="1">
      <c r="A404" s="817"/>
      <c r="B404" s="618"/>
      <c r="C404" s="485"/>
      <c r="D404" s="561"/>
      <c r="E404" s="3332" t="str">
        <f>E_EnergyFlows!E316</f>
        <v/>
      </c>
      <c r="F404" s="3466"/>
      <c r="G404" s="1563" t="str">
        <f>E_EnergyFlows!G316</f>
        <v>TJ / year</v>
      </c>
      <c r="H404" s="660" t="str">
        <f>E_EnergyFlows!H316</f>
        <v/>
      </c>
      <c r="I404" s="969" t="str">
        <f>E_EnergyFlows!I316</f>
        <v/>
      </c>
      <c r="J404" s="1491" t="str">
        <f>E_EnergyFlows!J316</f>
        <v/>
      </c>
      <c r="K404" s="1492" t="str">
        <f>E_EnergyFlows!K316</f>
        <v/>
      </c>
      <c r="L404" s="1492" t="str">
        <f>E_EnergyFlows!L316</f>
        <v/>
      </c>
      <c r="M404" s="1492" t="str">
        <f>E_EnergyFlows!M316</f>
        <v/>
      </c>
      <c r="N404" s="1492" t="str">
        <f>E_EnergyFlows!N316</f>
        <v/>
      </c>
      <c r="O404" s="618"/>
      <c r="P404" s="1137"/>
      <c r="Q404" s="1137"/>
      <c r="R404" s="1137"/>
      <c r="S404" s="1137"/>
      <c r="T404" s="1137"/>
      <c r="U404" s="1137"/>
      <c r="V404" s="1137"/>
    </row>
    <row r="405" spans="1:22" s="562" customFormat="1" ht="12.75" customHeight="1">
      <c r="A405" s="817"/>
      <c r="B405" s="618"/>
      <c r="C405" s="561"/>
      <c r="D405" s="561"/>
      <c r="E405" s="2788" t="str">
        <f>E_EnergyFlows!E317</f>
        <v>Sub-total</v>
      </c>
      <c r="F405" s="3461"/>
      <c r="G405" s="584" t="str">
        <f>E_EnergyFlows!G317</f>
        <v>TJ / year</v>
      </c>
      <c r="H405" s="646" t="str">
        <f>E_EnergyFlows!H317</f>
        <v/>
      </c>
      <c r="I405" s="949" t="str">
        <f>E_EnergyFlows!I317</f>
        <v/>
      </c>
      <c r="J405" s="1491" t="str">
        <f>E_EnergyFlows!J317</f>
        <v/>
      </c>
      <c r="K405" s="1492" t="str">
        <f>E_EnergyFlows!K317</f>
        <v/>
      </c>
      <c r="L405" s="1492" t="str">
        <f>E_EnergyFlows!L317</f>
        <v/>
      </c>
      <c r="M405" s="1492" t="str">
        <f>E_EnergyFlows!M317</f>
        <v/>
      </c>
      <c r="N405" s="1492" t="str">
        <f>E_EnergyFlows!N317</f>
        <v/>
      </c>
      <c r="O405" s="618"/>
      <c r="P405" s="1137"/>
      <c r="Q405" s="1137"/>
      <c r="R405" s="1137"/>
      <c r="S405" s="1137"/>
      <c r="T405" s="1137"/>
      <c r="U405" s="1137"/>
      <c r="V405" s="1137"/>
    </row>
    <row r="406" spans="1:22" s="562" customFormat="1" ht="5.0999999999999996" customHeight="1">
      <c r="A406" s="817"/>
      <c r="B406" s="618"/>
      <c r="C406" s="481"/>
      <c r="D406" s="481"/>
      <c r="E406" s="481"/>
      <c r="F406" s="481"/>
      <c r="G406" s="481"/>
      <c r="H406" s="481"/>
      <c r="I406" s="481"/>
      <c r="J406" s="481"/>
      <c r="K406" s="481"/>
      <c r="L406" s="481"/>
      <c r="M406" s="481"/>
      <c r="N406" s="481"/>
      <c r="O406" s="618"/>
      <c r="P406" s="1137"/>
      <c r="Q406" s="1137"/>
      <c r="R406" s="1137"/>
      <c r="S406" s="1137"/>
      <c r="T406" s="1137"/>
      <c r="U406" s="1137"/>
      <c r="V406" s="1137"/>
    </row>
    <row r="407" spans="1:22" s="562" customFormat="1" ht="13.15" customHeight="1">
      <c r="A407" s="817"/>
      <c r="B407" s="618"/>
      <c r="C407" s="482"/>
      <c r="D407" s="482" t="str">
        <f>E_EnergyFlows!D319</f>
        <v>(h)</v>
      </c>
      <c r="E407" s="2508" t="str">
        <f>E_EnergyFlows!E319</f>
        <v>Waste gases consumed within fall-back sub-installations</v>
      </c>
      <c r="F407" s="2380"/>
      <c r="G407" s="2380"/>
      <c r="H407" s="2380"/>
      <c r="I407" s="2380"/>
      <c r="J407" s="2380"/>
      <c r="K407" s="2380"/>
      <c r="L407" s="2380"/>
      <c r="M407" s="2380"/>
      <c r="N407" s="2380"/>
      <c r="O407" s="618"/>
      <c r="P407" s="1137"/>
      <c r="Q407" s="1137"/>
      <c r="R407" s="1137"/>
      <c r="S407" s="1137"/>
      <c r="T407" s="1137"/>
      <c r="U407" s="1137"/>
      <c r="V407" s="1137"/>
    </row>
    <row r="408" spans="1:22" s="562" customFormat="1" ht="13.15" customHeight="1">
      <c r="A408" s="817"/>
      <c r="B408" s="618"/>
      <c r="C408" s="485"/>
      <c r="D408" s="485"/>
      <c r="E408" s="2509" t="str">
        <f>E_EnergyFlows!E321</f>
        <v>Type of fall-back sub-installation</v>
      </c>
      <c r="F408" s="3284"/>
      <c r="G408" s="482" t="str">
        <f>E_EnergyFlows!G321</f>
        <v>Unit</v>
      </c>
      <c r="H408" s="578">
        <f>E_EnergyFlows!H321</f>
        <v>2024</v>
      </c>
      <c r="I408" s="697">
        <f>E_EnergyFlows!I321</f>
        <v>2025</v>
      </c>
      <c r="J408" s="1489">
        <f>E_EnergyFlows!J321</f>
        <v>2026</v>
      </c>
      <c r="K408" s="1490">
        <f>E_EnergyFlows!K321</f>
        <v>2027</v>
      </c>
      <c r="L408" s="1490">
        <f>E_EnergyFlows!L321</f>
        <v>2028</v>
      </c>
      <c r="M408" s="1490">
        <f>E_EnergyFlows!M321</f>
        <v>2029</v>
      </c>
      <c r="N408" s="1490">
        <f>E_EnergyFlows!N321</f>
        <v>2030</v>
      </c>
      <c r="O408" s="618"/>
      <c r="P408" s="1137"/>
      <c r="Q408" s="1137"/>
      <c r="R408" s="1137"/>
      <c r="S408" s="1137"/>
      <c r="T408" s="1137"/>
      <c r="U408" s="1137"/>
      <c r="V408" s="1137"/>
    </row>
    <row r="409" spans="1:22" s="562" customFormat="1" ht="12.75" customHeight="1">
      <c r="A409" s="817"/>
      <c r="B409" s="618"/>
      <c r="C409" s="485"/>
      <c r="D409" s="561"/>
      <c r="E409" s="2606" t="str">
        <f>E_EnergyFlows!E322</f>
        <v>Heat benchmark sub-installation, CL</v>
      </c>
      <c r="F409" s="3467"/>
      <c r="G409" s="1560" t="str">
        <f>E_EnergyFlows!G322</f>
        <v>TJ / year</v>
      </c>
      <c r="H409" s="656" t="str">
        <f>E_EnergyFlows!H322</f>
        <v/>
      </c>
      <c r="I409" s="962" t="str">
        <f>E_EnergyFlows!I322</f>
        <v/>
      </c>
      <c r="J409" s="1491" t="str">
        <f>E_EnergyFlows!J322</f>
        <v/>
      </c>
      <c r="K409" s="1492" t="str">
        <f>E_EnergyFlows!K322</f>
        <v/>
      </c>
      <c r="L409" s="1492" t="str">
        <f>E_EnergyFlows!L322</f>
        <v/>
      </c>
      <c r="M409" s="1492" t="str">
        <f>E_EnergyFlows!M322</f>
        <v/>
      </c>
      <c r="N409" s="1492" t="str">
        <f>E_EnergyFlows!N322</f>
        <v/>
      </c>
      <c r="O409" s="618"/>
      <c r="P409" s="1137"/>
      <c r="Q409" s="1137"/>
      <c r="R409" s="1137"/>
      <c r="S409" s="1137"/>
      <c r="T409" s="1137"/>
      <c r="U409" s="1137"/>
      <c r="V409" s="1137"/>
    </row>
    <row r="410" spans="1:22" s="562" customFormat="1" ht="12.75" customHeight="1">
      <c r="A410" s="817"/>
      <c r="B410" s="618"/>
      <c r="C410" s="485"/>
      <c r="D410" s="561"/>
      <c r="E410" s="2609" t="str">
        <f>E_EnergyFlows!E323</f>
        <v>Heat benchmark sub-installation, non-CL</v>
      </c>
      <c r="F410" s="3189"/>
      <c r="G410" s="1562" t="str">
        <f>E_EnergyFlows!G323</f>
        <v>TJ / year</v>
      </c>
      <c r="H410" s="658" t="str">
        <f>E_EnergyFlows!H323</f>
        <v/>
      </c>
      <c r="I410" s="965" t="str">
        <f>E_EnergyFlows!I323</f>
        <v/>
      </c>
      <c r="J410" s="1491" t="str">
        <f>E_EnergyFlows!J323</f>
        <v/>
      </c>
      <c r="K410" s="1492" t="str">
        <f>E_EnergyFlows!K323</f>
        <v/>
      </c>
      <c r="L410" s="1492" t="str">
        <f>E_EnergyFlows!L323</f>
        <v/>
      </c>
      <c r="M410" s="1492" t="str">
        <f>E_EnergyFlows!M323</f>
        <v/>
      </c>
      <c r="N410" s="1492" t="str">
        <f>E_EnergyFlows!N323</f>
        <v/>
      </c>
      <c r="O410" s="618"/>
      <c r="P410" s="1137"/>
      <c r="Q410" s="1137"/>
      <c r="R410" s="1137"/>
      <c r="S410" s="1137"/>
      <c r="T410" s="1137"/>
      <c r="U410" s="1137"/>
      <c r="V410" s="1137"/>
    </row>
    <row r="411" spans="1:22" s="562" customFormat="1" ht="12.75" customHeight="1">
      <c r="A411" s="817"/>
      <c r="B411" s="618"/>
      <c r="C411" s="485"/>
      <c r="D411" s="561"/>
      <c r="E411" s="2609" t="str">
        <f>E_EnergyFlows!E324</f>
        <v>District heating sub-installation</v>
      </c>
      <c r="F411" s="3189"/>
      <c r="G411" s="1562" t="str">
        <f>E_EnergyFlows!G324</f>
        <v>TJ / year</v>
      </c>
      <c r="H411" s="658" t="str">
        <f>E_EnergyFlows!H324</f>
        <v/>
      </c>
      <c r="I411" s="965" t="str">
        <f>E_EnergyFlows!I324</f>
        <v/>
      </c>
      <c r="J411" s="1491" t="str">
        <f>E_EnergyFlows!J324</f>
        <v/>
      </c>
      <c r="K411" s="1492" t="str">
        <f>E_EnergyFlows!K324</f>
        <v/>
      </c>
      <c r="L411" s="1492" t="str">
        <f>E_EnergyFlows!L324</f>
        <v/>
      </c>
      <c r="M411" s="1492" t="str">
        <f>E_EnergyFlows!M324</f>
        <v/>
      </c>
      <c r="N411" s="1492" t="str">
        <f>E_EnergyFlows!N324</f>
        <v/>
      </c>
      <c r="O411" s="618"/>
      <c r="P411" s="1137"/>
      <c r="Q411" s="1137"/>
      <c r="R411" s="1137"/>
      <c r="S411" s="1137"/>
      <c r="T411" s="1137"/>
      <c r="U411" s="1137"/>
      <c r="V411" s="1137"/>
    </row>
    <row r="412" spans="1:22" s="562" customFormat="1" ht="12.75" customHeight="1">
      <c r="A412" s="817"/>
      <c r="B412" s="618"/>
      <c r="C412" s="485"/>
      <c r="D412" s="561"/>
      <c r="E412" s="2609" t="str">
        <f>E_EnergyFlows!E325</f>
        <v>Fuel benchmark sub-installation, CL</v>
      </c>
      <c r="F412" s="3189"/>
      <c r="G412" s="1562" t="str">
        <f>E_EnergyFlows!G325</f>
        <v>TJ / year</v>
      </c>
      <c r="H412" s="658" t="str">
        <f>E_EnergyFlows!H325</f>
        <v/>
      </c>
      <c r="I412" s="965" t="str">
        <f>E_EnergyFlows!I325</f>
        <v/>
      </c>
      <c r="J412" s="1491" t="str">
        <f>E_EnergyFlows!J325</f>
        <v/>
      </c>
      <c r="K412" s="1492" t="str">
        <f>E_EnergyFlows!K325</f>
        <v/>
      </c>
      <c r="L412" s="1492" t="str">
        <f>E_EnergyFlows!L325</f>
        <v/>
      </c>
      <c r="M412" s="1492" t="str">
        <f>E_EnergyFlows!M325</f>
        <v/>
      </c>
      <c r="N412" s="1492" t="str">
        <f>E_EnergyFlows!N325</f>
        <v/>
      </c>
      <c r="O412" s="618"/>
      <c r="P412" s="1137"/>
      <c r="Q412" s="1137"/>
      <c r="R412" s="1137"/>
      <c r="S412" s="1137"/>
      <c r="T412" s="1137"/>
      <c r="U412" s="1137"/>
      <c r="V412" s="1137"/>
    </row>
    <row r="413" spans="1:22" s="562" customFormat="1" ht="12.75" customHeight="1">
      <c r="A413" s="817"/>
      <c r="B413" s="618"/>
      <c r="C413" s="485"/>
      <c r="D413" s="561"/>
      <c r="E413" s="2586" t="str">
        <f>E_EnergyFlows!E326</f>
        <v>Fuel benchmark sub-installation, non-CL</v>
      </c>
      <c r="F413" s="3466"/>
      <c r="G413" s="1563" t="str">
        <f>E_EnergyFlows!G326</f>
        <v>TJ / year</v>
      </c>
      <c r="H413" s="660" t="str">
        <f>E_EnergyFlows!H326</f>
        <v/>
      </c>
      <c r="I413" s="969" t="str">
        <f>E_EnergyFlows!I326</f>
        <v/>
      </c>
      <c r="J413" s="1491" t="str">
        <f>E_EnergyFlows!J326</f>
        <v/>
      </c>
      <c r="K413" s="1492" t="str">
        <f>E_EnergyFlows!K326</f>
        <v/>
      </c>
      <c r="L413" s="1492" t="str">
        <f>E_EnergyFlows!L326</f>
        <v/>
      </c>
      <c r="M413" s="1492" t="str">
        <f>E_EnergyFlows!M326</f>
        <v/>
      </c>
      <c r="N413" s="1492" t="str">
        <f>E_EnergyFlows!N326</f>
        <v/>
      </c>
      <c r="O413" s="618"/>
      <c r="P413" s="1137"/>
      <c r="Q413" s="1137"/>
      <c r="R413" s="1137"/>
      <c r="S413" s="1137"/>
      <c r="T413" s="1137"/>
      <c r="U413" s="1137"/>
      <c r="V413" s="1137"/>
    </row>
    <row r="414" spans="1:22" s="562" customFormat="1" ht="12.75" customHeight="1">
      <c r="A414" s="817"/>
      <c r="B414" s="618"/>
      <c r="C414" s="485"/>
      <c r="D414" s="561"/>
      <c r="E414" s="2788" t="str">
        <f>E_EnergyFlows!E327</f>
        <v>Sub-total</v>
      </c>
      <c r="F414" s="3461"/>
      <c r="G414" s="750" t="str">
        <f>E_EnergyFlows!G327</f>
        <v>TJ / year</v>
      </c>
      <c r="H414" s="616" t="str">
        <f>E_EnergyFlows!H327</f>
        <v/>
      </c>
      <c r="I414" s="1544" t="str">
        <f>E_EnergyFlows!I327</f>
        <v/>
      </c>
      <c r="J414" s="1491" t="str">
        <f>E_EnergyFlows!J327</f>
        <v/>
      </c>
      <c r="K414" s="1492" t="str">
        <f>E_EnergyFlows!K327</f>
        <v/>
      </c>
      <c r="L414" s="1492" t="str">
        <f>E_EnergyFlows!L327</f>
        <v/>
      </c>
      <c r="M414" s="1492" t="str">
        <f>E_EnergyFlows!M327</f>
        <v/>
      </c>
      <c r="N414" s="1492" t="str">
        <f>E_EnergyFlows!N327</f>
        <v/>
      </c>
      <c r="O414" s="618"/>
      <c r="P414" s="1137"/>
      <c r="Q414" s="1137"/>
      <c r="R414" s="1137"/>
      <c r="S414" s="1137"/>
      <c r="T414" s="1137"/>
      <c r="U414" s="1137"/>
      <c r="V414" s="1137"/>
    </row>
    <row r="415" spans="1:22" s="562" customFormat="1" ht="5.0999999999999996" customHeight="1">
      <c r="A415" s="817"/>
      <c r="B415" s="618"/>
      <c r="C415" s="485"/>
      <c r="D415" s="485"/>
      <c r="E415" s="485"/>
      <c r="F415" s="485"/>
      <c r="G415" s="485"/>
      <c r="H415" s="485"/>
      <c r="I415" s="485"/>
      <c r="J415" s="485"/>
      <c r="K415" s="485"/>
      <c r="L415" s="485"/>
      <c r="M415" s="485"/>
      <c r="N415" s="485"/>
      <c r="O415" s="618"/>
      <c r="P415" s="1137"/>
      <c r="Q415" s="1137"/>
      <c r="R415" s="1137"/>
      <c r="S415" s="1137"/>
      <c r="T415" s="1137"/>
      <c r="U415" s="1137"/>
      <c r="V415" s="1137"/>
    </row>
    <row r="416" spans="1:22" s="562" customFormat="1" ht="13.15" customHeight="1">
      <c r="A416" s="817"/>
      <c r="B416" s="618"/>
      <c r="C416" s="482"/>
      <c r="D416" s="482" t="str">
        <f>E_EnergyFlows!D329</f>
        <v>(i)</v>
      </c>
      <c r="E416" s="2509" t="str">
        <f>E_EnergyFlows!E329</f>
        <v>Amount of waste gases consumed for the production of electricity</v>
      </c>
      <c r="F416" s="3284"/>
      <c r="G416" s="3284"/>
      <c r="H416" s="3284"/>
      <c r="I416" s="3284"/>
      <c r="J416" s="2380"/>
      <c r="K416" s="2380"/>
      <c r="L416" s="2380"/>
      <c r="M416" s="2380"/>
      <c r="N416" s="2380"/>
      <c r="O416" s="618"/>
      <c r="P416" s="1137"/>
      <c r="Q416" s="1137"/>
      <c r="R416" s="1137"/>
      <c r="S416" s="1137"/>
      <c r="T416" s="1137"/>
      <c r="U416" s="1137"/>
      <c r="V416" s="1137"/>
    </row>
    <row r="417" spans="1:22" s="562" customFormat="1" ht="12.6" customHeight="1">
      <c r="A417" s="817"/>
      <c r="B417" s="618"/>
      <c r="C417" s="485"/>
      <c r="D417" s="485"/>
      <c r="E417" s="2587" t="str">
        <f>E_EnergyFlows!E330</f>
        <v>Waste gases for electricity</v>
      </c>
      <c r="F417" s="3461"/>
      <c r="G417" s="1506" t="str">
        <f>E_EnergyFlows!G330</f>
        <v>TJ / year</v>
      </c>
      <c r="H417" s="646" t="str">
        <f>IF(ISBLANK(E_EnergyFlows!H330),"",E_EnergyFlows!H330)</f>
        <v/>
      </c>
      <c r="I417" s="949" t="str">
        <f>IF(ISBLANK(E_EnergyFlows!I330),"",E_EnergyFlows!I330)</f>
        <v/>
      </c>
      <c r="J417" s="1491" t="str">
        <f>IF(ISBLANK(E_EnergyFlows!J330),"",E_EnergyFlows!J330)</f>
        <v/>
      </c>
      <c r="K417" s="1492" t="str">
        <f>IF(ISBLANK(E_EnergyFlows!K330),"",E_EnergyFlows!K330)</f>
        <v/>
      </c>
      <c r="L417" s="1492" t="str">
        <f>IF(ISBLANK(E_EnergyFlows!L330),"",E_EnergyFlows!L330)</f>
        <v/>
      </c>
      <c r="M417" s="1492" t="str">
        <f>IF(ISBLANK(E_EnergyFlows!M330),"",E_EnergyFlows!M330)</f>
        <v/>
      </c>
      <c r="N417" s="1492" t="str">
        <f>IF(ISBLANK(E_EnergyFlows!N330),"",E_EnergyFlows!N330)</f>
        <v/>
      </c>
      <c r="O417" s="618"/>
      <c r="P417" s="1137"/>
      <c r="Q417" s="1137"/>
      <c r="R417" s="1137"/>
      <c r="S417" s="1137"/>
      <c r="T417" s="1137"/>
      <c r="U417" s="1137"/>
      <c r="V417" s="1137"/>
    </row>
    <row r="418" spans="1:22" s="562" customFormat="1" ht="5.0999999999999996" customHeight="1">
      <c r="A418" s="817"/>
      <c r="B418" s="618"/>
      <c r="C418" s="481"/>
      <c r="D418" s="481"/>
      <c r="E418" s="481"/>
      <c r="F418" s="481"/>
      <c r="G418" s="481"/>
      <c r="H418" s="481"/>
      <c r="I418" s="481"/>
      <c r="J418" s="481"/>
      <c r="K418" s="481"/>
      <c r="L418" s="481"/>
      <c r="M418" s="481"/>
      <c r="N418" s="481"/>
      <c r="O418" s="618"/>
      <c r="P418" s="1137"/>
      <c r="Q418" s="1137"/>
      <c r="R418" s="1137"/>
      <c r="S418" s="1137"/>
      <c r="T418" s="1137"/>
      <c r="U418" s="1137"/>
      <c r="V418" s="1137"/>
    </row>
    <row r="419" spans="1:22" s="562" customFormat="1" ht="12.75" customHeight="1">
      <c r="A419" s="817"/>
      <c r="B419" s="618"/>
      <c r="C419" s="482"/>
      <c r="D419" s="482" t="str">
        <f>E_EnergyFlows!D332</f>
        <v>(j)</v>
      </c>
      <c r="E419" s="2508" t="str">
        <f>E_EnergyFlows!E332</f>
        <v>Amount of waste gases flared other than safety flaring</v>
      </c>
      <c r="F419" s="2380"/>
      <c r="G419" s="2380"/>
      <c r="H419" s="2380"/>
      <c r="I419" s="2380"/>
      <c r="J419" s="2380"/>
      <c r="K419" s="2380"/>
      <c r="L419" s="2380"/>
      <c r="M419" s="2380"/>
      <c r="N419" s="2380"/>
      <c r="O419" s="618"/>
      <c r="P419" s="1137"/>
      <c r="Q419" s="1137"/>
      <c r="R419" s="1137"/>
      <c r="S419" s="1137"/>
      <c r="T419" s="1137"/>
      <c r="U419" s="1137"/>
      <c r="V419" s="1137"/>
    </row>
    <row r="420" spans="1:22" s="562" customFormat="1" ht="13.15" customHeight="1">
      <c r="A420" s="817"/>
      <c r="B420" s="618"/>
      <c r="C420" s="485"/>
      <c r="D420" s="485"/>
      <c r="E420" s="2509" t="str">
        <f>E_EnergyFlows!E335</f>
        <v>Sub-installation</v>
      </c>
      <c r="F420" s="3284"/>
      <c r="G420" s="663" t="str">
        <f>E_EnergyFlows!G335</f>
        <v>Unit</v>
      </c>
      <c r="H420" s="671">
        <f>E_EnergyFlows!H335</f>
        <v>2024</v>
      </c>
      <c r="I420" s="1081">
        <f>E_EnergyFlows!I335</f>
        <v>2025</v>
      </c>
      <c r="J420" s="1489">
        <f>E_EnergyFlows!J335</f>
        <v>2026</v>
      </c>
      <c r="K420" s="1490">
        <f>E_EnergyFlows!K335</f>
        <v>2027</v>
      </c>
      <c r="L420" s="1490">
        <f>E_EnergyFlows!L335</f>
        <v>2028</v>
      </c>
      <c r="M420" s="1490">
        <f>E_EnergyFlows!M335</f>
        <v>2029</v>
      </c>
      <c r="N420" s="1490">
        <f>E_EnergyFlows!N335</f>
        <v>2030</v>
      </c>
      <c r="O420" s="618"/>
      <c r="P420" s="1137"/>
      <c r="Q420" s="1137"/>
      <c r="R420" s="1137"/>
      <c r="S420" s="1137"/>
      <c r="T420" s="1137"/>
      <c r="U420" s="1137"/>
      <c r="V420" s="1137"/>
    </row>
    <row r="421" spans="1:22" s="562" customFormat="1" ht="12.75" customHeight="1">
      <c r="A421" s="817"/>
      <c r="B421" s="618"/>
      <c r="C421" s="485"/>
      <c r="D421" s="561"/>
      <c r="E421" s="3330" t="str">
        <f>E_EnergyFlows!E336</f>
        <v/>
      </c>
      <c r="F421" s="3467"/>
      <c r="G421" s="1560" t="str">
        <f>E_EnergyFlows!G336</f>
        <v>TJ / year</v>
      </c>
      <c r="H421" s="656" t="str">
        <f>E_EnergyFlows!H336</f>
        <v/>
      </c>
      <c r="I421" s="962" t="str">
        <f>E_EnergyFlows!I336</f>
        <v/>
      </c>
      <c r="J421" s="1491" t="str">
        <f>E_EnergyFlows!J336</f>
        <v/>
      </c>
      <c r="K421" s="1492" t="str">
        <f>E_EnergyFlows!K336</f>
        <v/>
      </c>
      <c r="L421" s="1492" t="str">
        <f>E_EnergyFlows!L336</f>
        <v/>
      </c>
      <c r="M421" s="1492" t="str">
        <f>E_EnergyFlows!M336</f>
        <v/>
      </c>
      <c r="N421" s="1492" t="str">
        <f>E_EnergyFlows!N336</f>
        <v/>
      </c>
      <c r="O421" s="618"/>
      <c r="P421" s="1137"/>
      <c r="Q421" s="1137"/>
      <c r="R421" s="1137"/>
      <c r="S421" s="1137"/>
      <c r="T421" s="1137"/>
      <c r="U421" s="1137"/>
      <c r="V421" s="1137"/>
    </row>
    <row r="422" spans="1:22" s="562" customFormat="1" ht="12.75" customHeight="1">
      <c r="A422" s="817"/>
      <c r="B422" s="618"/>
      <c r="C422" s="485"/>
      <c r="D422" s="561"/>
      <c r="E422" s="3362" t="str">
        <f>E_EnergyFlows!E337</f>
        <v/>
      </c>
      <c r="F422" s="3189"/>
      <c r="G422" s="1562" t="str">
        <f>E_EnergyFlows!G337</f>
        <v>TJ / year</v>
      </c>
      <c r="H422" s="658" t="str">
        <f>E_EnergyFlows!H337</f>
        <v/>
      </c>
      <c r="I422" s="965" t="str">
        <f>E_EnergyFlows!I337</f>
        <v/>
      </c>
      <c r="J422" s="1491" t="str">
        <f>E_EnergyFlows!J337</f>
        <v/>
      </c>
      <c r="K422" s="1492" t="str">
        <f>E_EnergyFlows!K337</f>
        <v/>
      </c>
      <c r="L422" s="1492" t="str">
        <f>E_EnergyFlows!L337</f>
        <v/>
      </c>
      <c r="M422" s="1492" t="str">
        <f>E_EnergyFlows!M337</f>
        <v/>
      </c>
      <c r="N422" s="1492" t="str">
        <f>E_EnergyFlows!N337</f>
        <v/>
      </c>
      <c r="O422" s="618"/>
      <c r="P422" s="1137"/>
      <c r="Q422" s="1137"/>
      <c r="R422" s="1137"/>
      <c r="S422" s="1137"/>
      <c r="T422" s="1137"/>
      <c r="U422" s="1137"/>
      <c r="V422" s="1137"/>
    </row>
    <row r="423" spans="1:22" s="562" customFormat="1" ht="12.75" customHeight="1">
      <c r="A423" s="817"/>
      <c r="B423" s="618"/>
      <c r="C423" s="485"/>
      <c r="D423" s="561"/>
      <c r="E423" s="3362" t="str">
        <f>E_EnergyFlows!E338</f>
        <v/>
      </c>
      <c r="F423" s="3189"/>
      <c r="G423" s="1562" t="str">
        <f>E_EnergyFlows!G338</f>
        <v>TJ / year</v>
      </c>
      <c r="H423" s="658" t="str">
        <f>E_EnergyFlows!H338</f>
        <v/>
      </c>
      <c r="I423" s="965" t="str">
        <f>E_EnergyFlows!I338</f>
        <v/>
      </c>
      <c r="J423" s="1491" t="str">
        <f>E_EnergyFlows!J338</f>
        <v/>
      </c>
      <c r="K423" s="1492" t="str">
        <f>E_EnergyFlows!K338</f>
        <v/>
      </c>
      <c r="L423" s="1492" t="str">
        <f>E_EnergyFlows!L338</f>
        <v/>
      </c>
      <c r="M423" s="1492" t="str">
        <f>E_EnergyFlows!M338</f>
        <v/>
      </c>
      <c r="N423" s="1492" t="str">
        <f>E_EnergyFlows!N338</f>
        <v/>
      </c>
      <c r="O423" s="618"/>
      <c r="P423" s="1137"/>
      <c r="Q423" s="1137"/>
      <c r="R423" s="1137"/>
      <c r="S423" s="1137"/>
      <c r="T423" s="1137"/>
      <c r="U423" s="1137"/>
      <c r="V423" s="1137"/>
    </row>
    <row r="424" spans="1:22" s="562" customFormat="1" ht="12.75" customHeight="1">
      <c r="A424" s="817"/>
      <c r="B424" s="618"/>
      <c r="C424" s="485"/>
      <c r="D424" s="561"/>
      <c r="E424" s="3362" t="str">
        <f>E_EnergyFlows!E339</f>
        <v/>
      </c>
      <c r="F424" s="3189"/>
      <c r="G424" s="1562" t="str">
        <f>E_EnergyFlows!G339</f>
        <v>TJ / year</v>
      </c>
      <c r="H424" s="658" t="str">
        <f>E_EnergyFlows!H339</f>
        <v/>
      </c>
      <c r="I424" s="965" t="str">
        <f>E_EnergyFlows!I339</f>
        <v/>
      </c>
      <c r="J424" s="1491" t="str">
        <f>E_EnergyFlows!J339</f>
        <v/>
      </c>
      <c r="K424" s="1492" t="str">
        <f>E_EnergyFlows!K339</f>
        <v/>
      </c>
      <c r="L424" s="1492" t="str">
        <f>E_EnergyFlows!L339</f>
        <v/>
      </c>
      <c r="M424" s="1492" t="str">
        <f>E_EnergyFlows!M339</f>
        <v/>
      </c>
      <c r="N424" s="1492" t="str">
        <f>E_EnergyFlows!N339</f>
        <v/>
      </c>
      <c r="O424" s="618"/>
      <c r="P424" s="1137"/>
      <c r="Q424" s="1137"/>
      <c r="R424" s="1137"/>
      <c r="S424" s="1137"/>
      <c r="T424" s="1137"/>
      <c r="U424" s="1137"/>
      <c r="V424" s="1137"/>
    </row>
    <row r="425" spans="1:22" s="562" customFormat="1" ht="12.75" customHeight="1">
      <c r="A425" s="817"/>
      <c r="B425" s="618"/>
      <c r="C425" s="485"/>
      <c r="D425" s="561"/>
      <c r="E425" s="3362" t="str">
        <f>E_EnergyFlows!E340</f>
        <v/>
      </c>
      <c r="F425" s="3189"/>
      <c r="G425" s="1562" t="str">
        <f>E_EnergyFlows!G340</f>
        <v>TJ / year</v>
      </c>
      <c r="H425" s="658" t="str">
        <f>E_EnergyFlows!H340</f>
        <v/>
      </c>
      <c r="I425" s="965" t="str">
        <f>E_EnergyFlows!I340</f>
        <v/>
      </c>
      <c r="J425" s="1491" t="str">
        <f>E_EnergyFlows!J340</f>
        <v/>
      </c>
      <c r="K425" s="1492" t="str">
        <f>E_EnergyFlows!K340</f>
        <v/>
      </c>
      <c r="L425" s="1492" t="str">
        <f>E_EnergyFlows!L340</f>
        <v/>
      </c>
      <c r="M425" s="1492" t="str">
        <f>E_EnergyFlows!M340</f>
        <v/>
      </c>
      <c r="N425" s="1492" t="str">
        <f>E_EnergyFlows!N340</f>
        <v/>
      </c>
      <c r="O425" s="618"/>
      <c r="P425" s="1137"/>
      <c r="Q425" s="1137"/>
      <c r="R425" s="1137"/>
      <c r="S425" s="1137"/>
      <c r="T425" s="1137"/>
      <c r="U425" s="1137"/>
      <c r="V425" s="1137"/>
    </row>
    <row r="426" spans="1:22" s="562" customFormat="1" ht="12.75" customHeight="1">
      <c r="A426" s="817"/>
      <c r="B426" s="618"/>
      <c r="C426" s="485"/>
      <c r="D426" s="561"/>
      <c r="E426" s="3362" t="str">
        <f>E_EnergyFlows!E341</f>
        <v/>
      </c>
      <c r="F426" s="3189"/>
      <c r="G426" s="1562" t="str">
        <f>E_EnergyFlows!G341</f>
        <v>TJ / year</v>
      </c>
      <c r="H426" s="658" t="str">
        <f>E_EnergyFlows!H341</f>
        <v/>
      </c>
      <c r="I426" s="965" t="str">
        <f>E_EnergyFlows!I341</f>
        <v/>
      </c>
      <c r="J426" s="1491" t="str">
        <f>E_EnergyFlows!J341</f>
        <v/>
      </c>
      <c r="K426" s="1492" t="str">
        <f>E_EnergyFlows!K341</f>
        <v/>
      </c>
      <c r="L426" s="1492" t="str">
        <f>E_EnergyFlows!L341</f>
        <v/>
      </c>
      <c r="M426" s="1492" t="str">
        <f>E_EnergyFlows!M341</f>
        <v/>
      </c>
      <c r="N426" s="1492" t="str">
        <f>E_EnergyFlows!N341</f>
        <v/>
      </c>
      <c r="O426" s="618"/>
      <c r="P426" s="1137"/>
      <c r="Q426" s="1137"/>
      <c r="R426" s="1137"/>
      <c r="S426" s="1137"/>
      <c r="T426" s="1137"/>
      <c r="U426" s="1137"/>
      <c r="V426" s="1137"/>
    </row>
    <row r="427" spans="1:22" s="562" customFormat="1" ht="12.75" customHeight="1">
      <c r="A427" s="817"/>
      <c r="B427" s="618"/>
      <c r="C427" s="485"/>
      <c r="D427" s="561"/>
      <c r="E427" s="3362" t="str">
        <f>E_EnergyFlows!E342</f>
        <v/>
      </c>
      <c r="F427" s="3189"/>
      <c r="G427" s="1562" t="str">
        <f>E_EnergyFlows!G342</f>
        <v>TJ / year</v>
      </c>
      <c r="H427" s="658" t="str">
        <f>E_EnergyFlows!H342</f>
        <v/>
      </c>
      <c r="I427" s="965" t="str">
        <f>E_EnergyFlows!I342</f>
        <v/>
      </c>
      <c r="J427" s="1491" t="str">
        <f>E_EnergyFlows!J342</f>
        <v/>
      </c>
      <c r="K427" s="1492" t="str">
        <f>E_EnergyFlows!K342</f>
        <v/>
      </c>
      <c r="L427" s="1492" t="str">
        <f>E_EnergyFlows!L342</f>
        <v/>
      </c>
      <c r="M427" s="1492" t="str">
        <f>E_EnergyFlows!M342</f>
        <v/>
      </c>
      <c r="N427" s="1492" t="str">
        <f>E_EnergyFlows!N342</f>
        <v/>
      </c>
      <c r="O427" s="618"/>
      <c r="P427" s="1137"/>
      <c r="Q427" s="1137"/>
      <c r="R427" s="1137"/>
      <c r="S427" s="1137"/>
      <c r="T427" s="1137"/>
      <c r="U427" s="1137"/>
      <c r="V427" s="1137"/>
    </row>
    <row r="428" spans="1:22" s="562" customFormat="1" ht="12.75" customHeight="1">
      <c r="A428" s="817"/>
      <c r="B428" s="618"/>
      <c r="C428" s="485"/>
      <c r="D428" s="561"/>
      <c r="E428" s="3362" t="str">
        <f>E_EnergyFlows!E343</f>
        <v/>
      </c>
      <c r="F428" s="3189"/>
      <c r="G428" s="1562" t="str">
        <f>E_EnergyFlows!G343</f>
        <v>TJ / year</v>
      </c>
      <c r="H428" s="658" t="str">
        <f>E_EnergyFlows!H343</f>
        <v/>
      </c>
      <c r="I428" s="965" t="str">
        <f>E_EnergyFlows!I343</f>
        <v/>
      </c>
      <c r="J428" s="1491" t="str">
        <f>E_EnergyFlows!J343</f>
        <v/>
      </c>
      <c r="K428" s="1492" t="str">
        <f>E_EnergyFlows!K343</f>
        <v/>
      </c>
      <c r="L428" s="1492" t="str">
        <f>E_EnergyFlows!L343</f>
        <v/>
      </c>
      <c r="M428" s="1492" t="str">
        <f>E_EnergyFlows!M343</f>
        <v/>
      </c>
      <c r="N428" s="1492" t="str">
        <f>E_EnergyFlows!N343</f>
        <v/>
      </c>
      <c r="O428" s="618"/>
      <c r="P428" s="1137"/>
      <c r="Q428" s="1137"/>
      <c r="R428" s="1137"/>
      <c r="S428" s="1137"/>
      <c r="T428" s="1137"/>
      <c r="U428" s="1137"/>
      <c r="V428" s="1137"/>
    </row>
    <row r="429" spans="1:22" s="562" customFormat="1" ht="12.75" customHeight="1">
      <c r="A429" s="817"/>
      <c r="B429" s="618"/>
      <c r="C429" s="485"/>
      <c r="D429" s="561"/>
      <c r="E429" s="3362" t="str">
        <f>E_EnergyFlows!E344</f>
        <v/>
      </c>
      <c r="F429" s="3189"/>
      <c r="G429" s="1562" t="str">
        <f>E_EnergyFlows!G344</f>
        <v>TJ / year</v>
      </c>
      <c r="H429" s="658" t="str">
        <f>E_EnergyFlows!H344</f>
        <v/>
      </c>
      <c r="I429" s="965" t="str">
        <f>E_EnergyFlows!I344</f>
        <v/>
      </c>
      <c r="J429" s="1491" t="str">
        <f>E_EnergyFlows!J344</f>
        <v/>
      </c>
      <c r="K429" s="1492" t="str">
        <f>E_EnergyFlows!K344</f>
        <v/>
      </c>
      <c r="L429" s="1492" t="str">
        <f>E_EnergyFlows!L344</f>
        <v/>
      </c>
      <c r="M429" s="1492" t="str">
        <f>E_EnergyFlows!M344</f>
        <v/>
      </c>
      <c r="N429" s="1492" t="str">
        <f>E_EnergyFlows!N344</f>
        <v/>
      </c>
      <c r="O429" s="618"/>
      <c r="P429" s="1137"/>
      <c r="Q429" s="1137"/>
      <c r="R429" s="1137"/>
      <c r="S429" s="1137"/>
      <c r="T429" s="1137"/>
      <c r="U429" s="1137"/>
      <c r="V429" s="1137"/>
    </row>
    <row r="430" spans="1:22" s="562" customFormat="1" ht="12.75" customHeight="1">
      <c r="A430" s="817"/>
      <c r="B430" s="618"/>
      <c r="C430" s="485"/>
      <c r="D430" s="561"/>
      <c r="E430" s="3332" t="str">
        <f>E_EnergyFlows!E345</f>
        <v/>
      </c>
      <c r="F430" s="3466"/>
      <c r="G430" s="1563" t="str">
        <f>E_EnergyFlows!G345</f>
        <v>TJ / year</v>
      </c>
      <c r="H430" s="660" t="str">
        <f>E_EnergyFlows!H345</f>
        <v/>
      </c>
      <c r="I430" s="969" t="str">
        <f>E_EnergyFlows!I345</f>
        <v/>
      </c>
      <c r="J430" s="1491" t="str">
        <f>E_EnergyFlows!J345</f>
        <v/>
      </c>
      <c r="K430" s="1492" t="str">
        <f>E_EnergyFlows!K345</f>
        <v/>
      </c>
      <c r="L430" s="1492" t="str">
        <f>E_EnergyFlows!L345</f>
        <v/>
      </c>
      <c r="M430" s="1492" t="str">
        <f>E_EnergyFlows!M345</f>
        <v/>
      </c>
      <c r="N430" s="1492" t="str">
        <f>E_EnergyFlows!N345</f>
        <v/>
      </c>
      <c r="O430" s="618"/>
      <c r="P430" s="1137"/>
      <c r="Q430" s="1137"/>
      <c r="R430" s="1137"/>
      <c r="S430" s="1137"/>
      <c r="T430" s="1137"/>
      <c r="U430" s="1137"/>
      <c r="V430" s="1137"/>
    </row>
    <row r="431" spans="1:22" s="562" customFormat="1" ht="25.5" customHeight="1">
      <c r="A431" s="817"/>
      <c r="B431" s="618"/>
      <c r="C431" s="485"/>
      <c r="D431" s="561"/>
      <c r="E431" s="2587" t="str">
        <f>E_EnergyFlows!E346</f>
        <v>produced outside product BM sub-installations</v>
      </c>
      <c r="F431" s="3461"/>
      <c r="G431" s="586" t="str">
        <f>E_EnergyFlows!G346</f>
        <v>TJ / year</v>
      </c>
      <c r="H431" s="683" t="str">
        <f>IF(ISBLANK(E_EnergyFlows!H346),"",E_EnergyFlows!H346)</f>
        <v/>
      </c>
      <c r="I431" s="934" t="str">
        <f>IF(ISBLANK(E_EnergyFlows!I346),"",E_EnergyFlows!I346)</f>
        <v/>
      </c>
      <c r="J431" s="1491" t="str">
        <f>IF(ISBLANK(E_EnergyFlows!J346),"",E_EnergyFlows!J346)</f>
        <v/>
      </c>
      <c r="K431" s="1492" t="str">
        <f>IF(ISBLANK(E_EnergyFlows!K346),"",E_EnergyFlows!K346)</f>
        <v/>
      </c>
      <c r="L431" s="1492" t="str">
        <f>IF(ISBLANK(E_EnergyFlows!L346),"",E_EnergyFlows!L346)</f>
        <v/>
      </c>
      <c r="M431" s="1492" t="str">
        <f>IF(ISBLANK(E_EnergyFlows!M346),"",E_EnergyFlows!M346)</f>
        <v/>
      </c>
      <c r="N431" s="1492" t="str">
        <f>IF(ISBLANK(E_EnergyFlows!N346),"",E_EnergyFlows!N346)</f>
        <v/>
      </c>
      <c r="O431" s="618"/>
      <c r="P431" s="1137"/>
      <c r="Q431" s="1137"/>
      <c r="R431" s="1137"/>
      <c r="S431" s="1137"/>
      <c r="T431" s="1137"/>
      <c r="U431" s="1137"/>
      <c r="V431" s="1137"/>
    </row>
    <row r="432" spans="1:22" s="562" customFormat="1" ht="12.75" customHeight="1">
      <c r="A432" s="817"/>
      <c r="B432" s="618"/>
      <c r="C432" s="485"/>
      <c r="D432" s="561"/>
      <c r="E432" s="2788" t="str">
        <f>E_EnergyFlows!E347</f>
        <v>Sub-total</v>
      </c>
      <c r="F432" s="3461"/>
      <c r="G432" s="1506" t="str">
        <f>E_EnergyFlows!G347</f>
        <v>TJ / year</v>
      </c>
      <c r="H432" s="668" t="str">
        <f>E_EnergyFlows!H347</f>
        <v/>
      </c>
      <c r="I432" s="1021" t="str">
        <f>E_EnergyFlows!I347</f>
        <v/>
      </c>
      <c r="J432" s="1491" t="str">
        <f>E_EnergyFlows!J347</f>
        <v/>
      </c>
      <c r="K432" s="1492" t="str">
        <f>E_EnergyFlows!K347</f>
        <v/>
      </c>
      <c r="L432" s="1492" t="str">
        <f>E_EnergyFlows!L347</f>
        <v/>
      </c>
      <c r="M432" s="1492" t="str">
        <f>E_EnergyFlows!M347</f>
        <v/>
      </c>
      <c r="N432" s="1492" t="str">
        <f>E_EnergyFlows!N347</f>
        <v/>
      </c>
      <c r="O432" s="618"/>
      <c r="P432" s="1137"/>
      <c r="Q432" s="1137"/>
      <c r="R432" s="1137"/>
      <c r="S432" s="1137"/>
      <c r="T432" s="1137"/>
      <c r="U432" s="1137"/>
      <c r="V432" s="1137"/>
    </row>
    <row r="433" spans="1:22" s="562" customFormat="1" ht="5.0999999999999996" customHeight="1">
      <c r="A433" s="817"/>
      <c r="B433" s="618"/>
      <c r="C433" s="481"/>
      <c r="D433" s="481"/>
      <c r="E433" s="481"/>
      <c r="F433" s="481"/>
      <c r="G433" s="481"/>
      <c r="H433" s="481"/>
      <c r="I433" s="481"/>
      <c r="J433" s="481"/>
      <c r="K433" s="481"/>
      <c r="L433" s="481"/>
      <c r="M433" s="481"/>
      <c r="N433" s="481"/>
      <c r="O433" s="618"/>
      <c r="P433" s="1137"/>
      <c r="Q433" s="1137"/>
      <c r="R433" s="1137"/>
      <c r="S433" s="1137"/>
      <c r="T433" s="1137"/>
      <c r="U433" s="1137"/>
      <c r="V433" s="1137"/>
    </row>
    <row r="434" spans="1:22" s="562" customFormat="1" ht="12.75" customHeight="1">
      <c r="A434" s="817"/>
      <c r="B434" s="618"/>
      <c r="C434" s="482"/>
      <c r="D434" s="482" t="str">
        <f>E_EnergyFlows!D349</f>
        <v>(k)</v>
      </c>
      <c r="E434" s="2509" t="str">
        <f>E_EnergyFlows!E349</f>
        <v>Plausibility check</v>
      </c>
      <c r="F434" s="3284"/>
      <c r="G434" s="3284"/>
      <c r="H434" s="3284"/>
      <c r="I434" s="3284"/>
      <c r="J434" s="2380"/>
      <c r="K434" s="2380"/>
      <c r="L434" s="2380"/>
      <c r="M434" s="2380"/>
      <c r="N434" s="2380"/>
      <c r="O434" s="618"/>
      <c r="P434" s="1137"/>
      <c r="Q434" s="1137"/>
      <c r="R434" s="1137"/>
      <c r="S434" s="1137"/>
      <c r="T434" s="1137"/>
      <c r="U434" s="1137"/>
      <c r="V434" s="1137"/>
    </row>
    <row r="435" spans="1:22" s="562" customFormat="1" ht="12.75" customHeight="1">
      <c r="A435" s="817"/>
      <c r="B435" s="618"/>
      <c r="C435" s="485"/>
      <c r="D435" s="561"/>
      <c r="E435" s="2587" t="str">
        <f>E_EnergyFlows!E351</f>
        <v>Difference (calculated)</v>
      </c>
      <c r="F435" s="3461"/>
      <c r="G435" s="1506" t="str">
        <f>E_EnergyFlows!G351</f>
        <v>TJ / year</v>
      </c>
      <c r="H435" s="668" t="str">
        <f>E_EnergyFlows!H351</f>
        <v/>
      </c>
      <c r="I435" s="1021" t="str">
        <f>E_EnergyFlows!I351</f>
        <v/>
      </c>
      <c r="J435" s="1491" t="str">
        <f>E_EnergyFlows!J351</f>
        <v/>
      </c>
      <c r="K435" s="1492" t="str">
        <f>E_EnergyFlows!K351</f>
        <v/>
      </c>
      <c r="L435" s="1492" t="str">
        <f>E_EnergyFlows!L351</f>
        <v/>
      </c>
      <c r="M435" s="1492" t="str">
        <f>E_EnergyFlows!M351</f>
        <v/>
      </c>
      <c r="N435" s="1492" t="str">
        <f>E_EnergyFlows!N351</f>
        <v/>
      </c>
      <c r="O435" s="618"/>
      <c r="P435" s="1137"/>
      <c r="Q435" s="1137"/>
      <c r="R435" s="1137"/>
      <c r="S435" s="1137"/>
      <c r="T435" s="1137"/>
      <c r="U435" s="1137"/>
      <c r="V435" s="1137"/>
    </row>
    <row r="436" spans="1:22" s="562" customFormat="1" ht="12.75" customHeight="1">
      <c r="A436" s="817"/>
      <c r="B436" s="618"/>
      <c r="C436" s="485"/>
      <c r="D436" s="561"/>
      <c r="E436" s="2587" t="str">
        <f>E_EnergyFlows!E352</f>
        <v>Difference (as fraction of f)</v>
      </c>
      <c r="F436" s="3461"/>
      <c r="G436" s="1506" t="str">
        <f>E_EnergyFlows!G352</f>
        <v>%</v>
      </c>
      <c r="H436" s="616" t="str">
        <f>E_EnergyFlows!H352</f>
        <v/>
      </c>
      <c r="I436" s="1544" t="str">
        <f>E_EnergyFlows!I352</f>
        <v/>
      </c>
      <c r="J436" s="1491" t="str">
        <f>E_EnergyFlows!J352</f>
        <v/>
      </c>
      <c r="K436" s="1492" t="str">
        <f>E_EnergyFlows!K352</f>
        <v/>
      </c>
      <c r="L436" s="1492" t="str">
        <f>E_EnergyFlows!L352</f>
        <v/>
      </c>
      <c r="M436" s="1492" t="str">
        <f>E_EnergyFlows!M352</f>
        <v/>
      </c>
      <c r="N436" s="1492" t="str">
        <f>E_EnergyFlows!N352</f>
        <v/>
      </c>
      <c r="O436" s="618"/>
      <c r="P436" s="1137"/>
      <c r="Q436" s="1137"/>
      <c r="R436" s="1137"/>
      <c r="S436" s="1137"/>
      <c r="T436" s="1137"/>
      <c r="U436" s="1137"/>
      <c r="V436" s="1137"/>
    </row>
    <row r="437" spans="1:22" s="562" customFormat="1" ht="12.75" customHeight="1">
      <c r="A437" s="817"/>
      <c r="C437" s="485"/>
      <c r="D437" s="485"/>
      <c r="E437" s="485"/>
      <c r="F437" s="485"/>
      <c r="G437" s="485"/>
      <c r="H437" s="485"/>
      <c r="I437" s="485"/>
      <c r="J437" s="485"/>
      <c r="K437" s="485"/>
      <c r="L437" s="485"/>
      <c r="M437" s="485"/>
      <c r="N437" s="485"/>
      <c r="P437" s="1137"/>
      <c r="Q437" s="1137"/>
      <c r="R437" s="1137"/>
      <c r="S437" s="1137"/>
      <c r="T437" s="1137"/>
      <c r="U437" s="1137"/>
      <c r="V437" s="1137"/>
    </row>
    <row r="438" spans="1:22" s="562" customFormat="1" ht="14.1" customHeight="1">
      <c r="A438" s="817"/>
      <c r="B438" s="618"/>
      <c r="C438" s="559">
        <v>8</v>
      </c>
      <c r="D438" s="2464" t="str">
        <f>E_EnergyFlows!D356</f>
        <v>Complete balance of electricity at the installation</v>
      </c>
      <c r="E438" s="2380"/>
      <c r="F438" s="2380"/>
      <c r="G438" s="2380"/>
      <c r="H438" s="2380"/>
      <c r="I438" s="2380"/>
      <c r="J438" s="2380"/>
      <c r="K438" s="2380"/>
      <c r="L438" s="2380"/>
      <c r="M438" s="2380"/>
      <c r="N438" s="2380"/>
      <c r="O438" s="618"/>
      <c r="P438" s="1137"/>
      <c r="Q438" s="1137"/>
      <c r="R438" s="1137"/>
      <c r="S438" s="1137"/>
      <c r="T438" s="1137"/>
      <c r="U438" s="1137"/>
      <c r="V438" s="1137"/>
    </row>
    <row r="439" spans="1:22" s="562" customFormat="1" ht="5.0999999999999996" customHeight="1">
      <c r="A439" s="817"/>
      <c r="B439" s="618"/>
      <c r="C439" s="481"/>
      <c r="D439" s="481"/>
      <c r="E439" s="481"/>
      <c r="F439" s="481"/>
      <c r="G439" s="481"/>
      <c r="H439" s="481"/>
      <c r="I439" s="481"/>
      <c r="J439" s="481"/>
      <c r="K439" s="481"/>
      <c r="L439" s="481"/>
      <c r="M439" s="481"/>
      <c r="N439" s="481"/>
      <c r="O439" s="618"/>
      <c r="P439" s="1137"/>
      <c r="Q439" s="1137"/>
      <c r="R439" s="1137"/>
      <c r="S439" s="1137"/>
      <c r="T439" s="1137"/>
      <c r="U439" s="1137"/>
      <c r="V439" s="1137"/>
    </row>
    <row r="440" spans="1:22" s="562" customFormat="1" ht="13.5" customHeight="1">
      <c r="A440" s="817"/>
      <c r="B440" s="618"/>
      <c r="C440" s="485"/>
      <c r="D440" s="482"/>
      <c r="E440" s="2508" t="str">
        <f>E_EnergyFlows!E358</f>
        <v>Does the installation produce electricity?</v>
      </c>
      <c r="F440" s="2380"/>
      <c r="G440" s="2380"/>
      <c r="H440" s="2380"/>
      <c r="I440" s="2380"/>
      <c r="J440" s="2380"/>
      <c r="K440" s="2380"/>
      <c r="L440" s="3465"/>
      <c r="M440" s="684" t="str">
        <f>IF(ISBLANK(E_EnergyFlows!M358),"",E_EnergyFlows!M358)</f>
        <v/>
      </c>
      <c r="N440" s="685"/>
      <c r="O440" s="618"/>
      <c r="P440" s="1137"/>
      <c r="Q440" s="1137"/>
      <c r="R440" s="1137"/>
      <c r="S440" s="1137"/>
      <c r="T440" s="1137"/>
      <c r="U440" s="1137"/>
      <c r="V440" s="1137"/>
    </row>
    <row r="441" spans="1:22" s="562" customFormat="1" ht="5.0999999999999996" customHeight="1">
      <c r="A441" s="817"/>
      <c r="B441" s="618"/>
      <c r="C441" s="481"/>
      <c r="D441" s="482"/>
      <c r="E441" s="653"/>
      <c r="F441" s="1553"/>
      <c r="G441" s="1553"/>
      <c r="H441" s="1553"/>
      <c r="I441" s="1553"/>
      <c r="J441" s="1553"/>
      <c r="K441" s="1553"/>
      <c r="L441" s="1553"/>
      <c r="M441" s="1553"/>
      <c r="N441" s="1553"/>
      <c r="O441" s="618"/>
      <c r="P441" s="1137"/>
      <c r="Q441" s="1137"/>
      <c r="R441" s="1137"/>
      <c r="S441" s="1137"/>
      <c r="T441" s="1137"/>
      <c r="U441" s="1137"/>
      <c r="V441" s="1137"/>
    </row>
    <row r="442" spans="1:22" s="562" customFormat="1">
      <c r="A442" s="817"/>
      <c r="B442" s="618"/>
      <c r="C442" s="485"/>
      <c r="D442" s="485"/>
      <c r="E442" s="636"/>
      <c r="F442" s="637"/>
      <c r="G442" s="663" t="str">
        <f>E_EnergyFlows!G363</f>
        <v>Unit</v>
      </c>
      <c r="H442" s="578">
        <f>E_EnergyFlows!H363</f>
        <v>2024</v>
      </c>
      <c r="I442" s="697">
        <f>E_EnergyFlows!I363</f>
        <v>2025</v>
      </c>
      <c r="J442" s="1489">
        <f>E_EnergyFlows!J363</f>
        <v>2026</v>
      </c>
      <c r="K442" s="1490">
        <f>E_EnergyFlows!K363</f>
        <v>2027</v>
      </c>
      <c r="L442" s="1490">
        <f>E_EnergyFlows!L363</f>
        <v>2028</v>
      </c>
      <c r="M442" s="1490">
        <f>E_EnergyFlows!M363</f>
        <v>2029</v>
      </c>
      <c r="N442" s="1490">
        <f>E_EnergyFlows!N363</f>
        <v>2030</v>
      </c>
      <c r="O442" s="618"/>
      <c r="P442" s="1137"/>
      <c r="Q442" s="1137"/>
      <c r="R442" s="1137"/>
      <c r="S442" s="1137"/>
      <c r="T442" s="1137"/>
      <c r="U442" s="1137"/>
      <c r="V442" s="1137"/>
    </row>
    <row r="443" spans="1:22" s="562" customFormat="1" ht="12.6" customHeight="1">
      <c r="A443" s="817"/>
      <c r="B443" s="618"/>
      <c r="C443" s="485"/>
      <c r="D443" s="561"/>
      <c r="E443" s="2788" t="str">
        <f>E_EnergyFlows!E364</f>
        <v>Net electricity produced from fuels</v>
      </c>
      <c r="F443" s="3461"/>
      <c r="G443" s="730" t="str">
        <f>E_EnergyFlows!G364</f>
        <v>MWh / year</v>
      </c>
      <c r="H443" s="646" t="str">
        <f>IF(ISBLANK(E_EnergyFlows!H364),"",E_EnergyFlows!H364)</f>
        <v/>
      </c>
      <c r="I443" s="949" t="str">
        <f>IF(ISBLANK(E_EnergyFlows!I364),"",E_EnergyFlows!I364)</f>
        <v/>
      </c>
      <c r="J443" s="1491" t="str">
        <f>IF(ISBLANK(E_EnergyFlows!J364),"",E_EnergyFlows!J364)</f>
        <v/>
      </c>
      <c r="K443" s="1492" t="str">
        <f>IF(ISBLANK(E_EnergyFlows!K364),"",E_EnergyFlows!K364)</f>
        <v/>
      </c>
      <c r="L443" s="1492" t="str">
        <f>IF(ISBLANK(E_EnergyFlows!L364),"",E_EnergyFlows!L364)</f>
        <v/>
      </c>
      <c r="M443" s="1492" t="str">
        <f>IF(ISBLANK(E_EnergyFlows!M364),"",E_EnergyFlows!M364)</f>
        <v/>
      </c>
      <c r="N443" s="1492" t="str">
        <f>IF(ISBLANK(E_EnergyFlows!N364),"",E_EnergyFlows!N364)</f>
        <v/>
      </c>
      <c r="O443" s="618"/>
      <c r="P443" s="1137"/>
      <c r="Q443" s="1137"/>
      <c r="R443" s="1137"/>
      <c r="S443" s="1137"/>
      <c r="T443" s="1137"/>
      <c r="U443" s="1137"/>
      <c r="V443" s="1137"/>
    </row>
    <row r="444" spans="1:22" s="562" customFormat="1" ht="12.6" customHeight="1">
      <c r="A444" s="817"/>
      <c r="B444" s="618"/>
      <c r="C444" s="485"/>
      <c r="D444" s="561"/>
      <c r="E444" s="2788" t="str">
        <f>E_EnergyFlows!E365</f>
        <v>Other electricity produced</v>
      </c>
      <c r="F444" s="3461"/>
      <c r="G444" s="730" t="str">
        <f>E_EnergyFlows!G365</f>
        <v>MWh / year</v>
      </c>
      <c r="H444" s="646" t="str">
        <f>IF(ISBLANK(E_EnergyFlows!H365),"",E_EnergyFlows!H365)</f>
        <v/>
      </c>
      <c r="I444" s="949" t="str">
        <f>IF(ISBLANK(E_EnergyFlows!I365),"",E_EnergyFlows!I365)</f>
        <v/>
      </c>
      <c r="J444" s="1491" t="str">
        <f>IF(ISBLANK(E_EnergyFlows!J365),"",E_EnergyFlows!J365)</f>
        <v/>
      </c>
      <c r="K444" s="1492" t="str">
        <f>IF(ISBLANK(E_EnergyFlows!K365),"",E_EnergyFlows!K365)</f>
        <v/>
      </c>
      <c r="L444" s="1492" t="str">
        <f>IF(ISBLANK(E_EnergyFlows!L365),"",E_EnergyFlows!L365)</f>
        <v/>
      </c>
      <c r="M444" s="1492" t="str">
        <f>IF(ISBLANK(E_EnergyFlows!M365),"",E_EnergyFlows!M365)</f>
        <v/>
      </c>
      <c r="N444" s="1492" t="str">
        <f>IF(ISBLANK(E_EnergyFlows!N365),"",E_EnergyFlows!N365)</f>
        <v/>
      </c>
      <c r="O444" s="618"/>
      <c r="P444" s="1137"/>
      <c r="Q444" s="1137"/>
      <c r="R444" s="1137"/>
      <c r="S444" s="1137"/>
      <c r="T444" s="1137"/>
      <c r="U444" s="1137"/>
      <c r="V444" s="1137"/>
    </row>
    <row r="445" spans="1:22" s="562" customFormat="1" ht="12.6" customHeight="1">
      <c r="A445" s="817"/>
      <c r="B445" s="618"/>
      <c r="C445" s="485"/>
      <c r="D445" s="485"/>
      <c r="E445" s="2788" t="str">
        <f>E_EnergyFlows!E368</f>
        <v>Electricity imported</v>
      </c>
      <c r="F445" s="3461"/>
      <c r="G445" s="730" t="str">
        <f>E_EnergyFlows!G368</f>
        <v>MWh / year</v>
      </c>
      <c r="H445" s="646" t="str">
        <f>IF(ISBLANK(E_EnergyFlows!H368),"",E_EnergyFlows!H368)</f>
        <v/>
      </c>
      <c r="I445" s="949" t="str">
        <f>IF(ISBLANK(E_EnergyFlows!I368),"",E_EnergyFlows!I368)</f>
        <v/>
      </c>
      <c r="J445" s="1491" t="str">
        <f>IF(ISBLANK(E_EnergyFlows!J368),"",E_EnergyFlows!J368)</f>
        <v/>
      </c>
      <c r="K445" s="1492" t="str">
        <f>IF(ISBLANK(E_EnergyFlows!K368),"",E_EnergyFlows!K368)</f>
        <v/>
      </c>
      <c r="L445" s="1492" t="str">
        <f>IF(ISBLANK(E_EnergyFlows!L368),"",E_EnergyFlows!L368)</f>
        <v/>
      </c>
      <c r="M445" s="1492" t="str">
        <f>IF(ISBLANK(E_EnergyFlows!M368),"",E_EnergyFlows!M368)</f>
        <v/>
      </c>
      <c r="N445" s="1492" t="str">
        <f>IF(ISBLANK(E_EnergyFlows!N368),"",E_EnergyFlows!N368)</f>
        <v/>
      </c>
      <c r="O445" s="618"/>
      <c r="P445" s="1137"/>
      <c r="Q445" s="1137"/>
      <c r="R445" s="1137"/>
      <c r="S445" s="1137"/>
      <c r="T445" s="1137"/>
      <c r="U445" s="1137"/>
      <c r="V445" s="1137"/>
    </row>
    <row r="446" spans="1:22" s="562" customFormat="1" ht="12.6" customHeight="1">
      <c r="A446" s="817"/>
      <c r="B446" s="618"/>
      <c r="C446" s="485"/>
      <c r="D446" s="485"/>
      <c r="E446" s="2788" t="str">
        <f>E_EnergyFlows!E371</f>
        <v>Electricity exported</v>
      </c>
      <c r="F446" s="3461"/>
      <c r="G446" s="730" t="str">
        <f>E_EnergyFlows!G371</f>
        <v>MWh / year</v>
      </c>
      <c r="H446" s="646" t="str">
        <f>IF(ISBLANK(E_EnergyFlows!H371),"",E_EnergyFlows!H371)</f>
        <v/>
      </c>
      <c r="I446" s="949" t="str">
        <f>IF(ISBLANK(E_EnergyFlows!I371),"",E_EnergyFlows!I371)</f>
        <v/>
      </c>
      <c r="J446" s="1491" t="str">
        <f>IF(ISBLANK(E_EnergyFlows!J371),"",E_EnergyFlows!J371)</f>
        <v/>
      </c>
      <c r="K446" s="1492" t="str">
        <f>IF(ISBLANK(E_EnergyFlows!K371),"",E_EnergyFlows!K371)</f>
        <v/>
      </c>
      <c r="L446" s="1492" t="str">
        <f>IF(ISBLANK(E_EnergyFlows!L371),"",E_EnergyFlows!L371)</f>
        <v/>
      </c>
      <c r="M446" s="1492" t="str">
        <f>IF(ISBLANK(E_EnergyFlows!M371),"",E_EnergyFlows!M371)</f>
        <v/>
      </c>
      <c r="N446" s="1492" t="str">
        <f>IF(ISBLANK(E_EnergyFlows!N371),"",E_EnergyFlows!N371)</f>
        <v/>
      </c>
      <c r="O446" s="618"/>
      <c r="P446" s="1137"/>
      <c r="Q446" s="1137"/>
      <c r="R446" s="1137"/>
      <c r="S446" s="1137"/>
      <c r="T446" s="1137"/>
      <c r="U446" s="1137"/>
      <c r="V446" s="1137"/>
    </row>
    <row r="447" spans="1:22" s="562" customFormat="1" ht="12.6" customHeight="1">
      <c r="A447" s="817"/>
      <c r="B447" s="618"/>
      <c r="C447" s="485"/>
      <c r="D447" s="485"/>
      <c r="E447" s="2788" t="str">
        <f>E_EnergyFlows!E374</f>
        <v>Electricity useable</v>
      </c>
      <c r="F447" s="3461"/>
      <c r="G447" s="730" t="str">
        <f>E_EnergyFlows!G374</f>
        <v>MWh / year</v>
      </c>
      <c r="H447" s="668" t="str">
        <f>E_EnergyFlows!H374</f>
        <v/>
      </c>
      <c r="I447" s="1021" t="str">
        <f>E_EnergyFlows!I374</f>
        <v/>
      </c>
      <c r="J447" s="1491" t="str">
        <f>E_EnergyFlows!J374</f>
        <v/>
      </c>
      <c r="K447" s="1492" t="str">
        <f>E_EnergyFlows!K374</f>
        <v/>
      </c>
      <c r="L447" s="1492" t="str">
        <f>E_EnergyFlows!L374</f>
        <v/>
      </c>
      <c r="M447" s="1492" t="str">
        <f>E_EnergyFlows!M374</f>
        <v/>
      </c>
      <c r="N447" s="1492" t="str">
        <f>E_EnergyFlows!N374</f>
        <v/>
      </c>
      <c r="O447" s="618"/>
      <c r="P447" s="1137"/>
      <c r="Q447" s="1137"/>
      <c r="R447" s="1137"/>
      <c r="S447" s="1137"/>
      <c r="T447" s="1137"/>
      <c r="U447" s="1137"/>
      <c r="V447" s="1137"/>
    </row>
    <row r="448" spans="1:22" s="562" customFormat="1" ht="12.6" customHeight="1">
      <c r="A448" s="817"/>
      <c r="B448" s="618"/>
      <c r="C448" s="485"/>
      <c r="D448" s="485"/>
      <c r="E448" s="2788" t="str">
        <f>E_EnergyFlows!E377</f>
        <v>Electricity consumed in the installation</v>
      </c>
      <c r="F448" s="3461"/>
      <c r="G448" s="730" t="str">
        <f>E_EnergyFlows!G377</f>
        <v>MWh / year</v>
      </c>
      <c r="H448" s="646" t="str">
        <f>IF(ISBLANK(E_EnergyFlows!H377),"",E_EnergyFlows!H377)</f>
        <v/>
      </c>
      <c r="I448" s="949" t="str">
        <f>IF(ISBLANK(E_EnergyFlows!I377),"",E_EnergyFlows!I377)</f>
        <v/>
      </c>
      <c r="J448" s="1491" t="str">
        <f>IF(ISBLANK(E_EnergyFlows!J377),"",E_EnergyFlows!J377)</f>
        <v/>
      </c>
      <c r="K448" s="1492" t="str">
        <f>IF(ISBLANK(E_EnergyFlows!K377),"",E_EnergyFlows!K377)</f>
        <v/>
      </c>
      <c r="L448" s="1492" t="str">
        <f>IF(ISBLANK(E_EnergyFlows!L377),"",E_EnergyFlows!L377)</f>
        <v/>
      </c>
      <c r="M448" s="1492" t="str">
        <f>IF(ISBLANK(E_EnergyFlows!M377),"",E_EnergyFlows!M377)</f>
        <v/>
      </c>
      <c r="N448" s="1492" t="str">
        <f>IF(ISBLANK(E_EnergyFlows!N377),"",E_EnergyFlows!N377)</f>
        <v/>
      </c>
      <c r="O448" s="618"/>
      <c r="P448" s="1137"/>
      <c r="Q448" s="1137"/>
      <c r="R448" s="1137"/>
      <c r="S448" s="1137"/>
      <c r="T448" s="1137"/>
      <c r="U448" s="1137"/>
      <c r="V448" s="1137"/>
    </row>
    <row r="449" spans="1:22" s="562" customFormat="1" ht="12.75" customHeight="1">
      <c r="A449" s="817"/>
      <c r="B449" s="618"/>
      <c r="C449" s="485"/>
      <c r="D449" s="485"/>
      <c r="E449" s="485"/>
      <c r="F449" s="485"/>
      <c r="G449" s="485"/>
      <c r="H449" s="485"/>
      <c r="I449" s="485"/>
      <c r="J449" s="485"/>
      <c r="K449" s="485"/>
      <c r="L449" s="485"/>
      <c r="M449" s="485"/>
      <c r="N449" s="485"/>
      <c r="O449" s="618"/>
      <c r="P449" s="1137"/>
      <c r="Q449" s="1137"/>
      <c r="R449" s="1137"/>
      <c r="S449" s="1137"/>
      <c r="T449" s="1137"/>
      <c r="U449" s="1137"/>
      <c r="V449" s="1137"/>
    </row>
    <row r="450" spans="1:22" s="562" customFormat="1" ht="16.5" thickBot="1">
      <c r="A450" s="817"/>
      <c r="C450" s="507" t="s">
        <v>10</v>
      </c>
      <c r="D450" s="3445" t="s">
        <v>1455</v>
      </c>
      <c r="E450" s="3445"/>
      <c r="F450" s="3445"/>
      <c r="G450" s="3445"/>
      <c r="H450" s="3445"/>
      <c r="I450" s="3445"/>
      <c r="J450" s="3445"/>
      <c r="K450" s="3445"/>
      <c r="L450" s="3445"/>
      <c r="M450" s="3445"/>
      <c r="N450" s="3445"/>
      <c r="P450" s="1137"/>
      <c r="Q450" s="1137"/>
      <c r="R450" s="1137"/>
      <c r="S450" s="1137"/>
      <c r="T450" s="1137"/>
      <c r="U450" s="1137"/>
      <c r="V450" s="1137"/>
    </row>
    <row r="451" spans="1:22" s="562" customFormat="1" ht="5.0999999999999996" customHeight="1">
      <c r="A451" s="817"/>
      <c r="C451" s="2118"/>
      <c r="D451" s="2118"/>
      <c r="E451" s="2118"/>
      <c r="F451" s="2118"/>
      <c r="G451" s="2118"/>
      <c r="H451" s="2118"/>
      <c r="I451" s="2118"/>
      <c r="J451" s="2118"/>
      <c r="K451" s="2118"/>
      <c r="L451" s="2118"/>
      <c r="M451" s="2118"/>
      <c r="N451" s="2118"/>
      <c r="P451" s="1137"/>
      <c r="Q451" s="1137"/>
      <c r="R451" s="1137"/>
      <c r="S451" s="1137"/>
      <c r="T451" s="1137"/>
      <c r="U451" s="1137"/>
      <c r="V451" s="1137"/>
    </row>
    <row r="452" spans="1:22" s="562" customFormat="1" ht="13.9" customHeight="1">
      <c r="A452" s="817"/>
      <c r="C452" s="485"/>
      <c r="D452" s="2482" t="s">
        <v>1429</v>
      </c>
      <c r="E452" s="2482"/>
      <c r="F452" s="2482"/>
      <c r="G452" s="2482"/>
      <c r="H452" s="2482"/>
      <c r="I452" s="2482"/>
      <c r="J452" s="2482"/>
      <c r="K452" s="2482"/>
      <c r="L452" s="2482"/>
      <c r="M452" s="2482"/>
      <c r="N452" s="2482"/>
      <c r="P452" s="1137"/>
      <c r="Q452" s="1137"/>
      <c r="R452" s="1137"/>
      <c r="S452" s="1137"/>
      <c r="T452" s="1137"/>
      <c r="U452" s="1137"/>
      <c r="V452" s="1137"/>
    </row>
    <row r="453" spans="1:22" s="562" customFormat="1" ht="5.0999999999999996" customHeight="1">
      <c r="A453" s="817"/>
      <c r="C453" s="481"/>
      <c r="D453" s="481"/>
      <c r="E453" s="481"/>
      <c r="F453" s="481"/>
      <c r="G453" s="481"/>
      <c r="H453" s="481"/>
      <c r="I453" s="481"/>
      <c r="J453" s="481"/>
      <c r="K453" s="481"/>
      <c r="L453" s="481"/>
      <c r="M453" s="481"/>
      <c r="N453" s="481"/>
      <c r="P453" s="1137"/>
      <c r="Q453" s="1137"/>
      <c r="R453" s="1137"/>
      <c r="S453" s="1137"/>
      <c r="T453" s="1137"/>
      <c r="U453" s="1137"/>
      <c r="V453" s="1137"/>
    </row>
    <row r="454" spans="1:22" s="562" customFormat="1" ht="12.75" customHeight="1">
      <c r="A454" s="817"/>
      <c r="C454" s="481"/>
      <c r="D454" s="3526" t="s">
        <v>457</v>
      </c>
      <c r="E454" s="3526"/>
      <c r="F454" s="3526"/>
      <c r="G454" s="3526"/>
      <c r="H454" s="3526"/>
      <c r="I454" s="3526"/>
      <c r="J454" s="3526"/>
      <c r="K454" s="3526"/>
      <c r="L454" s="3526"/>
      <c r="M454" s="3526"/>
      <c r="N454" s="3526"/>
      <c r="P454" s="1137"/>
      <c r="Q454" s="1137"/>
      <c r="R454" s="1137"/>
      <c r="S454" s="1137"/>
      <c r="T454" s="1137"/>
      <c r="U454" s="1137"/>
      <c r="V454" s="1137"/>
    </row>
    <row r="455" spans="1:22" s="562" customFormat="1" ht="12.75" customHeight="1">
      <c r="A455" s="817"/>
      <c r="C455" s="481"/>
      <c r="D455" s="3476" t="s">
        <v>458</v>
      </c>
      <c r="E455" s="3476"/>
      <c r="F455" s="3477" t="s">
        <v>459</v>
      </c>
      <c r="G455" s="3477"/>
      <c r="H455" s="3477"/>
      <c r="I455" s="3477"/>
      <c r="J455" s="3477"/>
      <c r="K455" s="3477"/>
      <c r="L455" s="3477"/>
      <c r="M455" s="3477"/>
      <c r="N455" s="3477"/>
      <c r="P455" s="1137"/>
      <c r="Q455" s="1137"/>
      <c r="R455" s="1137"/>
      <c r="S455" s="1137"/>
      <c r="T455" s="1137"/>
      <c r="U455" s="1137"/>
      <c r="V455" s="1137"/>
    </row>
    <row r="456" spans="1:22" s="562" customFormat="1" ht="12.75" customHeight="1">
      <c r="A456" s="817"/>
      <c r="C456" s="481"/>
      <c r="D456" s="3476" t="s">
        <v>156</v>
      </c>
      <c r="E456" s="3476"/>
      <c r="F456" s="3477" t="s">
        <v>460</v>
      </c>
      <c r="G456" s="3477"/>
      <c r="H456" s="3477"/>
      <c r="I456" s="3477"/>
      <c r="J456" s="3477"/>
      <c r="K456" s="3477"/>
      <c r="L456" s="3477"/>
      <c r="M456" s="3477"/>
      <c r="N456" s="3477"/>
      <c r="P456" s="1137"/>
      <c r="Q456" s="1137"/>
      <c r="R456" s="1137"/>
      <c r="S456" s="1137"/>
      <c r="T456" s="1137"/>
      <c r="U456" s="1137"/>
      <c r="V456" s="1137"/>
    </row>
    <row r="457" spans="1:22" s="562" customFormat="1" ht="12.75" customHeight="1">
      <c r="A457" s="817"/>
      <c r="C457" s="481"/>
      <c r="D457" s="3476" t="s">
        <v>1434</v>
      </c>
      <c r="E457" s="3476"/>
      <c r="F457" s="3477" t="s">
        <v>1435</v>
      </c>
      <c r="G457" s="3477"/>
      <c r="H457" s="3477"/>
      <c r="I457" s="3477"/>
      <c r="J457" s="3477"/>
      <c r="K457" s="3477"/>
      <c r="L457" s="3477"/>
      <c r="M457" s="3477"/>
      <c r="N457" s="3477"/>
      <c r="P457" s="1137"/>
      <c r="Q457" s="1137"/>
      <c r="R457" s="1137"/>
      <c r="S457" s="1137"/>
      <c r="T457" s="1137"/>
      <c r="U457" s="1137"/>
      <c r="V457" s="1137"/>
    </row>
    <row r="458" spans="1:22" s="562" customFormat="1" ht="12.75" customHeight="1">
      <c r="A458" s="817"/>
      <c r="C458" s="481"/>
      <c r="D458" s="3476" t="s">
        <v>1684</v>
      </c>
      <c r="E458" s="3476"/>
      <c r="F458" s="3477" t="s">
        <v>1849</v>
      </c>
      <c r="G458" s="3477"/>
      <c r="H458" s="3477"/>
      <c r="I458" s="3477"/>
      <c r="J458" s="3477"/>
      <c r="K458" s="3477"/>
      <c r="L458" s="3477"/>
      <c r="M458" s="3477"/>
      <c r="N458" s="3477"/>
      <c r="P458" s="1137"/>
      <c r="Q458" s="1137"/>
      <c r="R458" s="1137"/>
      <c r="S458" s="1137"/>
      <c r="T458" s="1137"/>
      <c r="U458" s="1137"/>
      <c r="V458" s="1137"/>
    </row>
    <row r="459" spans="1:22" s="562" customFormat="1" ht="12.75" customHeight="1">
      <c r="A459" s="817"/>
      <c r="C459" s="481"/>
      <c r="D459" s="3476" t="s">
        <v>302</v>
      </c>
      <c r="E459" s="3527"/>
      <c r="F459" s="3477" t="s">
        <v>1944</v>
      </c>
      <c r="G459" s="3477"/>
      <c r="H459" s="3477"/>
      <c r="I459" s="3477"/>
      <c r="J459" s="3477"/>
      <c r="K459" s="3477"/>
      <c r="L459" s="3477"/>
      <c r="M459" s="3477"/>
      <c r="N459" s="3477"/>
      <c r="P459" s="1137"/>
      <c r="Q459" s="1137"/>
      <c r="R459" s="1137"/>
      <c r="S459" s="1137"/>
      <c r="T459" s="1137"/>
      <c r="U459" s="1137"/>
      <c r="V459" s="1137"/>
    </row>
    <row r="460" spans="1:22" s="562" customFormat="1" ht="12.75" customHeight="1">
      <c r="A460" s="817"/>
      <c r="C460" s="481"/>
      <c r="D460" s="3476" t="s">
        <v>1256</v>
      </c>
      <c r="E460" s="3476"/>
      <c r="F460" s="3477" t="s">
        <v>1591</v>
      </c>
      <c r="G460" s="3477"/>
      <c r="H460" s="3477"/>
      <c r="I460" s="3477"/>
      <c r="J460" s="3477"/>
      <c r="K460" s="3477"/>
      <c r="L460" s="3477"/>
      <c r="M460" s="3477"/>
      <c r="N460" s="3477"/>
      <c r="P460" s="1137"/>
      <c r="Q460" s="1137"/>
      <c r="R460" s="1137"/>
      <c r="S460" s="1137"/>
      <c r="T460" s="1137"/>
      <c r="U460" s="1137"/>
      <c r="V460" s="1137"/>
    </row>
    <row r="461" spans="1:22" s="562" customFormat="1" ht="12.75" customHeight="1">
      <c r="A461" s="817"/>
      <c r="C461" s="481"/>
      <c r="D461" s="3476" t="s">
        <v>1389</v>
      </c>
      <c r="E461" s="3476"/>
      <c r="F461" s="3477" t="s">
        <v>1592</v>
      </c>
      <c r="G461" s="3477"/>
      <c r="H461" s="3477"/>
      <c r="I461" s="3477"/>
      <c r="J461" s="3477"/>
      <c r="K461" s="3477"/>
      <c r="L461" s="3477"/>
      <c r="M461" s="3477"/>
      <c r="N461" s="3477"/>
      <c r="P461" s="1137"/>
      <c r="Q461" s="1137"/>
      <c r="R461" s="1137"/>
      <c r="S461" s="1137"/>
      <c r="T461" s="1137"/>
      <c r="U461" s="1137"/>
      <c r="V461" s="1137"/>
    </row>
    <row r="462" spans="1:22" s="562" customFormat="1" ht="12.75" customHeight="1">
      <c r="A462" s="817"/>
      <c r="C462" s="481"/>
      <c r="D462" s="3476" t="s">
        <v>303</v>
      </c>
      <c r="E462" s="3476"/>
      <c r="F462" s="3477" t="s">
        <v>1423</v>
      </c>
      <c r="G462" s="3477"/>
      <c r="H462" s="3477"/>
      <c r="I462" s="3477"/>
      <c r="J462" s="3477"/>
      <c r="K462" s="3477"/>
      <c r="L462" s="3477"/>
      <c r="M462" s="3477"/>
      <c r="N462" s="3477"/>
      <c r="P462" s="1137"/>
      <c r="Q462" s="1137"/>
      <c r="R462" s="1137"/>
      <c r="S462" s="1137"/>
      <c r="T462" s="1137"/>
      <c r="U462" s="1137"/>
      <c r="V462" s="1137"/>
    </row>
    <row r="463" spans="1:22" s="562" customFormat="1" ht="25.5" customHeight="1">
      <c r="A463" s="817"/>
      <c r="C463" s="481"/>
      <c r="D463" s="3476" t="s">
        <v>1422</v>
      </c>
      <c r="E463" s="3476"/>
      <c r="F463" s="3477" t="s">
        <v>2229</v>
      </c>
      <c r="G463" s="3477"/>
      <c r="H463" s="3477"/>
      <c r="I463" s="3477"/>
      <c r="J463" s="3477"/>
      <c r="K463" s="3477"/>
      <c r="L463" s="3477"/>
      <c r="M463" s="3477"/>
      <c r="N463" s="3477"/>
      <c r="P463" s="1137"/>
      <c r="Q463" s="1137"/>
      <c r="R463" s="1137"/>
      <c r="S463" s="1137"/>
      <c r="T463" s="1137"/>
      <c r="U463" s="1137"/>
      <c r="V463" s="1137"/>
    </row>
    <row r="464" spans="1:22" s="562" customFormat="1" ht="12.75" customHeight="1">
      <c r="A464" s="817"/>
      <c r="C464" s="481"/>
      <c r="D464" s="3476" t="s">
        <v>1390</v>
      </c>
      <c r="E464" s="3476"/>
      <c r="F464" s="3477" t="s">
        <v>1398</v>
      </c>
      <c r="G464" s="3477"/>
      <c r="H464" s="3477"/>
      <c r="I464" s="3477"/>
      <c r="J464" s="3477"/>
      <c r="K464" s="3477"/>
      <c r="L464" s="3477"/>
      <c r="M464" s="3477"/>
      <c r="N464" s="3477"/>
      <c r="P464" s="1137"/>
      <c r="Q464" s="1137"/>
      <c r="R464" s="1137"/>
      <c r="S464" s="1137"/>
      <c r="T464" s="1137"/>
      <c r="U464" s="1137"/>
      <c r="V464" s="1137"/>
    </row>
    <row r="465" spans="1:22" s="562" customFormat="1" ht="12.75" customHeight="1">
      <c r="A465" s="817"/>
      <c r="C465" s="481"/>
      <c r="D465" s="3476" t="s">
        <v>1391</v>
      </c>
      <c r="E465" s="3476"/>
      <c r="F465" s="3477" t="s">
        <v>1397</v>
      </c>
      <c r="G465" s="3477"/>
      <c r="H465" s="3477"/>
      <c r="I465" s="3477"/>
      <c r="J465" s="3477"/>
      <c r="K465" s="3477"/>
      <c r="L465" s="3477"/>
      <c r="M465" s="3477"/>
      <c r="N465" s="3477"/>
      <c r="O465" s="485"/>
      <c r="P465" s="1117"/>
      <c r="Q465" s="1117"/>
      <c r="R465" s="1117"/>
      <c r="S465" s="1137"/>
      <c r="T465" s="1137"/>
      <c r="U465" s="1137"/>
      <c r="V465" s="1137"/>
    </row>
    <row r="466" spans="1:22" s="573" customFormat="1" ht="12.75" customHeight="1">
      <c r="A466" s="2119"/>
      <c r="C466" s="2120"/>
      <c r="D466" s="3477" t="s">
        <v>1691</v>
      </c>
      <c r="E466" s="3477"/>
      <c r="F466" s="3477" t="s">
        <v>1940</v>
      </c>
      <c r="G466" s="3477"/>
      <c r="H466" s="3477"/>
      <c r="I466" s="3477"/>
      <c r="J466" s="3477"/>
      <c r="K466" s="3477"/>
      <c r="L466" s="3477"/>
      <c r="M466" s="3477"/>
      <c r="N466" s="3477"/>
      <c r="O466" s="485"/>
      <c r="P466" s="2121"/>
      <c r="Q466" s="2122"/>
      <c r="R466" s="2122"/>
      <c r="S466" s="2122"/>
      <c r="T466" s="2122"/>
      <c r="U466" s="2122"/>
      <c r="V466" s="2122"/>
    </row>
    <row r="467" spans="1:22" s="573" customFormat="1" ht="25.5" customHeight="1">
      <c r="A467" s="2119"/>
      <c r="C467" s="2120"/>
      <c r="D467" s="3495" t="s">
        <v>1783</v>
      </c>
      <c r="E467" s="3495"/>
      <c r="F467" s="3477" t="s">
        <v>2692</v>
      </c>
      <c r="G467" s="3477"/>
      <c r="H467" s="3477"/>
      <c r="I467" s="3477"/>
      <c r="J467" s="3477"/>
      <c r="K467" s="3477"/>
      <c r="L467" s="3477"/>
      <c r="M467" s="3477"/>
      <c r="N467" s="3477"/>
      <c r="O467" s="485"/>
      <c r="P467" s="2121"/>
      <c r="Q467" s="2122"/>
      <c r="R467" s="2122"/>
      <c r="S467" s="2122"/>
      <c r="T467" s="2122"/>
      <c r="U467" s="2122"/>
      <c r="V467" s="2122"/>
    </row>
    <row r="468" spans="1:22" s="573" customFormat="1" ht="25.5" customHeight="1">
      <c r="A468" s="2119"/>
      <c r="C468" s="2120"/>
      <c r="D468" s="3495" t="s">
        <v>1784</v>
      </c>
      <c r="E468" s="3495"/>
      <c r="F468" s="3477" t="s">
        <v>2337</v>
      </c>
      <c r="G468" s="3477"/>
      <c r="H468" s="3477"/>
      <c r="I468" s="3477"/>
      <c r="J468" s="3477"/>
      <c r="K468" s="3477"/>
      <c r="L468" s="3477"/>
      <c r="M468" s="3477"/>
      <c r="N468" s="3477"/>
      <c r="O468" s="485"/>
      <c r="P468" s="2121"/>
      <c r="Q468" s="2122"/>
      <c r="R468" s="2122"/>
      <c r="S468" s="2122"/>
      <c r="T468" s="2122"/>
      <c r="U468" s="2122"/>
      <c r="V468" s="2122"/>
    </row>
    <row r="469" spans="1:22" s="573" customFormat="1" ht="25.5" customHeight="1">
      <c r="A469" s="2119"/>
      <c r="C469" s="2120"/>
      <c r="D469" s="3495" t="s">
        <v>1850</v>
      </c>
      <c r="E469" s="3495"/>
      <c r="F469" s="3477" t="s">
        <v>2338</v>
      </c>
      <c r="G469" s="3477"/>
      <c r="H469" s="3477"/>
      <c r="I469" s="3477"/>
      <c r="J469" s="3477"/>
      <c r="K469" s="3477"/>
      <c r="L469" s="3477"/>
      <c r="M469" s="3477"/>
      <c r="N469" s="3477"/>
      <c r="O469" s="485"/>
      <c r="P469" s="2121"/>
      <c r="Q469" s="2122"/>
      <c r="R469" s="2122"/>
      <c r="S469" s="2122"/>
      <c r="T469" s="2122"/>
      <c r="U469" s="2122"/>
      <c r="V469" s="2122"/>
    </row>
    <row r="470" spans="1:22" s="573" customFormat="1" ht="25.5" customHeight="1">
      <c r="A470" s="2119"/>
      <c r="C470" s="2120"/>
      <c r="D470" s="3495" t="s">
        <v>1851</v>
      </c>
      <c r="E470" s="3495"/>
      <c r="F470" s="3477" t="s">
        <v>2339</v>
      </c>
      <c r="G470" s="3477"/>
      <c r="H470" s="3477"/>
      <c r="I470" s="3477"/>
      <c r="J470" s="3477"/>
      <c r="K470" s="3477"/>
      <c r="L470" s="3477"/>
      <c r="M470" s="3477"/>
      <c r="N470" s="3477"/>
      <c r="O470" s="485"/>
      <c r="P470" s="2121"/>
      <c r="Q470" s="2122"/>
      <c r="R470" s="2122"/>
      <c r="S470" s="2122"/>
      <c r="T470" s="2122"/>
      <c r="U470" s="2122"/>
      <c r="V470" s="2122"/>
    </row>
    <row r="471" spans="1:22" s="573" customFormat="1" ht="25.5" customHeight="1">
      <c r="A471" s="2119"/>
      <c r="C471" s="2120"/>
      <c r="D471" s="3495" t="s">
        <v>2230</v>
      </c>
      <c r="E471" s="3495"/>
      <c r="F471" s="3477" t="s">
        <v>2340</v>
      </c>
      <c r="G471" s="3477"/>
      <c r="H471" s="3477"/>
      <c r="I471" s="3477"/>
      <c r="J471" s="3477"/>
      <c r="K471" s="3477"/>
      <c r="L471" s="3477"/>
      <c r="M471" s="3477"/>
      <c r="N471" s="3477"/>
      <c r="O471" s="485"/>
      <c r="P471" s="2121"/>
      <c r="Q471" s="2122"/>
      <c r="R471" s="2122"/>
      <c r="S471" s="2122"/>
      <c r="T471" s="2122"/>
      <c r="U471" s="2122"/>
      <c r="V471" s="2122"/>
    </row>
    <row r="472" spans="1:22" s="573" customFormat="1" ht="25.5" customHeight="1">
      <c r="A472" s="2119"/>
      <c r="C472" s="2120"/>
      <c r="D472" s="3495" t="s">
        <v>2231</v>
      </c>
      <c r="E472" s="3495"/>
      <c r="F472" s="3477" t="s">
        <v>2341</v>
      </c>
      <c r="G472" s="3477"/>
      <c r="H472" s="3477"/>
      <c r="I472" s="3477"/>
      <c r="J472" s="3477"/>
      <c r="K472" s="3477"/>
      <c r="L472" s="3477"/>
      <c r="M472" s="3477"/>
      <c r="N472" s="3477"/>
      <c r="O472" s="485"/>
      <c r="P472" s="2121"/>
      <c r="Q472" s="2122"/>
      <c r="R472" s="2122"/>
      <c r="S472" s="2122"/>
      <c r="T472" s="2122"/>
      <c r="U472" s="2122"/>
      <c r="V472" s="2122"/>
    </row>
    <row r="473" spans="1:22" s="573" customFormat="1" ht="46.5" customHeight="1">
      <c r="A473" s="2119"/>
      <c r="C473" s="2120"/>
      <c r="D473" s="3477" t="s">
        <v>222</v>
      </c>
      <c r="E473" s="3477"/>
      <c r="F473" s="2504" t="s">
        <v>2565</v>
      </c>
      <c r="G473" s="3494"/>
      <c r="H473" s="3494"/>
      <c r="I473" s="3494"/>
      <c r="J473" s="3494"/>
      <c r="K473" s="3494"/>
      <c r="L473" s="3494"/>
      <c r="M473" s="3494"/>
      <c r="N473" s="3494"/>
      <c r="O473" s="485"/>
      <c r="P473" s="2121"/>
      <c r="Q473" s="2122"/>
      <c r="R473" s="2122"/>
      <c r="S473" s="2122"/>
      <c r="T473" s="2122"/>
      <c r="U473" s="2122"/>
      <c r="V473" s="2122"/>
    </row>
    <row r="474" spans="1:22" s="562" customFormat="1" ht="12.75" customHeight="1" thickBot="1">
      <c r="A474" s="817"/>
      <c r="C474" s="481"/>
      <c r="D474" s="485"/>
      <c r="E474" s="485"/>
      <c r="F474" s="485"/>
      <c r="G474" s="485"/>
      <c r="H474" s="485"/>
      <c r="I474" s="485"/>
      <c r="J474" s="485"/>
      <c r="K474" s="485"/>
      <c r="L474" s="485"/>
      <c r="M474" s="485"/>
      <c r="N474" s="485"/>
      <c r="O474" s="485"/>
      <c r="P474" s="1117"/>
      <c r="Q474" s="1117"/>
      <c r="R474" s="1117"/>
      <c r="S474" s="1137"/>
      <c r="T474" s="1137"/>
      <c r="U474" s="1137"/>
      <c r="V474" s="1137"/>
    </row>
    <row r="475" spans="1:22" s="562" customFormat="1" ht="75" customHeight="1" thickBot="1">
      <c r="A475" s="817"/>
      <c r="C475" s="481"/>
      <c r="D475" s="2501" t="s">
        <v>2566</v>
      </c>
      <c r="E475" s="2396"/>
      <c r="F475" s="2396"/>
      <c r="G475" s="2396"/>
      <c r="H475" s="2396"/>
      <c r="I475" s="2396"/>
      <c r="J475" s="2396"/>
      <c r="K475" s="2396"/>
      <c r="L475" s="2396"/>
      <c r="M475" s="2396"/>
      <c r="N475" s="2397"/>
      <c r="O475" s="485"/>
      <c r="P475" s="1117"/>
      <c r="Q475" s="1117"/>
      <c r="R475" s="1117"/>
      <c r="S475" s="1137"/>
      <c r="T475" s="1137"/>
      <c r="U475" s="1137"/>
      <c r="V475" s="1137"/>
    </row>
    <row r="476" spans="1:22" s="562" customFormat="1" ht="13.5" thickBot="1">
      <c r="A476" s="817"/>
      <c r="C476" s="485"/>
      <c r="D476" s="485"/>
      <c r="E476" s="485"/>
      <c r="F476" s="485"/>
      <c r="G476" s="485"/>
      <c r="H476" s="485"/>
      <c r="I476" s="485"/>
      <c r="J476" s="485"/>
      <c r="K476" s="485"/>
      <c r="L476" s="485"/>
      <c r="M476" s="485"/>
      <c r="N476" s="485"/>
      <c r="O476" s="485"/>
      <c r="P476" s="1137" t="s">
        <v>2567</v>
      </c>
      <c r="Q476" s="1137" t="s">
        <v>1257</v>
      </c>
      <c r="R476" s="1137" t="s">
        <v>869</v>
      </c>
      <c r="S476" s="1137"/>
      <c r="T476" s="1137"/>
      <c r="U476" s="1137"/>
      <c r="V476" s="1137"/>
    </row>
    <row r="477" spans="1:22" s="562" customFormat="1" ht="15" customHeight="1" thickBot="1">
      <c r="A477" s="719"/>
      <c r="C477" s="559">
        <v>1</v>
      </c>
      <c r="D477" s="2482" t="str">
        <f>CONCATENATE(EUconst_BMSubinst," ",C477, ":")</f>
        <v>Sub-installation with product benchmark 1:</v>
      </c>
      <c r="E477" s="2482"/>
      <c r="F477" s="2482"/>
      <c r="G477" s="2482"/>
      <c r="H477" s="2483"/>
      <c r="I477" s="3293" t="str">
        <f>IF(INDEX(CNTR_SubInstListIsProdBM,$C477),INDEX(CNTR_SubInstListNames,$C477),"")</f>
        <v/>
      </c>
      <c r="J477" s="3471"/>
      <c r="K477" s="3471"/>
      <c r="L477" s="3471"/>
      <c r="M477" s="3471"/>
      <c r="N477" s="3472"/>
      <c r="O477" s="485"/>
      <c r="P477" s="1137"/>
      <c r="Q477" s="2123">
        <f>C477</f>
        <v>1</v>
      </c>
      <c r="R477" s="2124" t="str">
        <f>I477</f>
        <v/>
      </c>
      <c r="S477" s="1137"/>
      <c r="T477" s="1137"/>
      <c r="U477" s="1137"/>
      <c r="V477" s="1137"/>
    </row>
    <row r="478" spans="1:22" s="562" customFormat="1" ht="5.0999999999999996" customHeight="1">
      <c r="A478" s="719"/>
      <c r="C478" s="559"/>
      <c r="D478" s="559"/>
      <c r="E478" s="559"/>
      <c r="F478" s="559"/>
      <c r="G478" s="559"/>
      <c r="H478" s="559"/>
      <c r="I478" s="559"/>
      <c r="J478" s="559"/>
      <c r="K478" s="559"/>
      <c r="L478" s="559"/>
      <c r="M478" s="559"/>
      <c r="N478" s="559"/>
      <c r="O478" s="485"/>
      <c r="P478" s="1137"/>
      <c r="Q478" s="1137"/>
      <c r="R478" s="1137"/>
      <c r="S478" s="1137"/>
      <c r="T478" s="1137"/>
      <c r="U478" s="1137"/>
      <c r="V478" s="1137"/>
    </row>
    <row r="479" spans="1:22" s="562" customFormat="1" ht="12.75" customHeight="1">
      <c r="A479" s="719"/>
      <c r="C479" s="559"/>
      <c r="D479" s="559"/>
      <c r="E479" s="559"/>
      <c r="F479" s="559"/>
      <c r="H479" s="688" t="s">
        <v>458</v>
      </c>
      <c r="I479" s="688" t="s">
        <v>1256</v>
      </c>
      <c r="J479" s="688" t="s">
        <v>1434</v>
      </c>
      <c r="K479" s="688" t="s">
        <v>1684</v>
      </c>
      <c r="L479" s="689" t="s">
        <v>156</v>
      </c>
      <c r="M479" s="2469" t="s">
        <v>302</v>
      </c>
      <c r="N479" s="2469"/>
      <c r="O479" s="485"/>
      <c r="P479" s="1137"/>
      <c r="Q479" s="1137"/>
      <c r="R479" s="1137"/>
      <c r="S479" s="1137"/>
      <c r="T479" s="1137"/>
      <c r="U479" s="1137"/>
      <c r="V479" s="1137"/>
    </row>
    <row r="480" spans="1:22" s="562" customFormat="1" ht="12.75" customHeight="1">
      <c r="A480" s="719"/>
      <c r="C480" s="559"/>
      <c r="D480" s="559"/>
      <c r="E480" s="690" t="str">
        <f>I477</f>
        <v/>
      </c>
      <c r="F480" s="691"/>
      <c r="G480" s="691"/>
      <c r="H480" s="692" t="str">
        <f>IF(L480=EUconst_NA,EUconst_NA,INDEX(EUconst_BMlistCLstatus,L480))</f>
        <v>N.A.</v>
      </c>
      <c r="I480" s="692" t="str">
        <f>IF(I477="","",INDEX(EUconst_BMlistElExchangability,L480))</f>
        <v/>
      </c>
      <c r="J480" s="566" t="str">
        <f>IF($I477="",EUconst_NA,INDEX(CNTR_SubInstStartDate,MATCH(I477,CNTR_SubInstListNames,0)))</f>
        <v>N.A.</v>
      </c>
      <c r="K480" s="566" t="str">
        <f>IF($I477="",EUconst_NA,IF(INDEX(CNTR_SubInstCessationDate,MATCH(I477,CNTR_SubInstListNames,0))=0,"",INDEX(CNTR_SubInstCessationDate,MATCH(I477,CNTR_SubInstListNames,0))))</f>
        <v>N.A.</v>
      </c>
      <c r="L480" s="693" t="str">
        <f>IF($I477="",EUconst_NA,MATCH(I477,EUconst_BMlistNames,0))</f>
        <v>N.A.</v>
      </c>
      <c r="M480" s="694" t="str">
        <f>IF(I477="",EUconst_NA,INDEX(EUconst_BMlistBMvaluesMatrix,L480,3))</f>
        <v>N.A.</v>
      </c>
      <c r="N480" s="685" t="str">
        <f>EUconst_EUA &amp; "/" &amp; F483</f>
        <v>UKA/tonnes</v>
      </c>
      <c r="O480" s="485"/>
      <c r="P480" s="1137"/>
      <c r="Q480" s="1137"/>
      <c r="R480" s="1137"/>
      <c r="S480" s="1137"/>
      <c r="T480" s="1137"/>
      <c r="U480" s="1137"/>
      <c r="V480" s="1137"/>
    </row>
    <row r="481" spans="1:22" s="562" customFormat="1" ht="5.0999999999999996" customHeight="1" thickBot="1">
      <c r="A481" s="719"/>
      <c r="B481" s="485"/>
      <c r="C481" s="485"/>
      <c r="D481" s="485"/>
      <c r="E481" s="559"/>
      <c r="J481" s="485"/>
      <c r="K481" s="485"/>
      <c r="L481" s="485"/>
      <c r="M481" s="485"/>
      <c r="N481" s="485"/>
      <c r="O481" s="485"/>
      <c r="P481" s="1137"/>
      <c r="Q481" s="1137"/>
      <c r="R481" s="1137"/>
      <c r="S481" s="1137"/>
      <c r="T481" s="1117"/>
      <c r="U481" s="1137"/>
      <c r="V481" s="1137"/>
    </row>
    <row r="482" spans="1:22" s="562" customFormat="1" ht="12.75" customHeight="1">
      <c r="A482" s="719"/>
      <c r="B482" s="485"/>
      <c r="C482" s="485"/>
      <c r="D482" s="485"/>
      <c r="E482" s="496"/>
      <c r="F482" s="482" t="str">
        <f>EUconst_Unit</f>
        <v>Unit</v>
      </c>
      <c r="G482" s="695" t="s">
        <v>1646</v>
      </c>
      <c r="H482" s="696">
        <f t="shared" ref="H482:N482" si="30">H$2737</f>
        <v>2024</v>
      </c>
      <c r="I482" s="697">
        <f t="shared" si="30"/>
        <v>2025</v>
      </c>
      <c r="J482" s="2125">
        <f t="shared" si="30"/>
        <v>2026</v>
      </c>
      <c r="K482" s="1489">
        <f t="shared" si="30"/>
        <v>2027</v>
      </c>
      <c r="L482" s="1490">
        <f t="shared" si="30"/>
        <v>2028</v>
      </c>
      <c r="M482" s="1490">
        <f t="shared" si="30"/>
        <v>2029</v>
      </c>
      <c r="N482" s="1490">
        <f t="shared" si="30"/>
        <v>2030</v>
      </c>
      <c r="O482" s="485"/>
      <c r="P482" s="1137"/>
      <c r="Q482" s="1137" t="s">
        <v>1803</v>
      </c>
      <c r="R482" s="2126">
        <f>J$2737</f>
        <v>2026</v>
      </c>
      <c r="S482" s="2127">
        <f>K$2737</f>
        <v>2027</v>
      </c>
      <c r="T482" s="2127">
        <f>L$2737</f>
        <v>2028</v>
      </c>
      <c r="U482" s="2127">
        <f>M$2737</f>
        <v>2029</v>
      </c>
      <c r="V482" s="2128">
        <f>N$2737</f>
        <v>2030</v>
      </c>
    </row>
    <row r="483" spans="1:22" s="562" customFormat="1" ht="12.75" customHeight="1" thickBot="1">
      <c r="A483" s="719"/>
      <c r="B483" s="485"/>
      <c r="C483" s="485"/>
      <c r="D483" s="485"/>
      <c r="E483" s="698" t="s">
        <v>1665</v>
      </c>
      <c r="F483" s="699" t="str">
        <f>IF(ISNUMBER(L480),INDEX(EUconst_BMlistUnits,L480),EUconst_Tons)</f>
        <v>tonnes</v>
      </c>
      <c r="G483" s="700" t="str">
        <f>I586</f>
        <v/>
      </c>
      <c r="H483" s="701" t="str">
        <f>IF($I477="","",IF(H482&gt;=CNTR_ReportingYear,"",INDEX(F_ProductBM!H:H,MATCH($P483,F_ProductBM!$Q:$Q,0))))</f>
        <v/>
      </c>
      <c r="I483" s="702" t="str">
        <f>IF($I477="","",IF(I482&gt;=CNTR_ReportingYear,"",INDEX(F_ProductBM!I:I,MATCH($P483,F_ProductBM!$Q:$Q,0))))</f>
        <v/>
      </c>
      <c r="J483" s="2129" t="str">
        <f>IF($I477="","",IF(J482&gt;=CNTR_ReportingYear,"",INDEX(F_ProductBM!J:J,MATCH($P483,F_ProductBM!$Q:$Q,0))))</f>
        <v/>
      </c>
      <c r="K483" s="2072" t="str">
        <f>IF($I477="","",IF(K482&gt;=CNTR_ReportingYear,"",INDEX(F_ProductBM!K:K,MATCH($P483,F_ProductBM!$Q:$Q,0))))</f>
        <v/>
      </c>
      <c r="L483" s="2073" t="str">
        <f>IF($I477="","",IF(L482&gt;=CNTR_ReportingYear,"",INDEX(F_ProductBM!L:L,MATCH($P483,F_ProductBM!$Q:$Q,0))))</f>
        <v/>
      </c>
      <c r="M483" s="2073" t="str">
        <f>IF($I477="","",IF(M482&gt;=CNTR_ReportingYear,"",INDEX(F_ProductBM!M:M,MATCH($P483,F_ProductBM!$Q:$Q,0))))</f>
        <v/>
      </c>
      <c r="N483" s="2073" t="str">
        <f>IF($I477="","",IF(N482&gt;=CNTR_ReportingYear,"",INDEX(F_ProductBM!N:N,MATCH($P483,F_ProductBM!$Q:$Q,0))))</f>
        <v/>
      </c>
      <c r="O483" s="485"/>
      <c r="P483" s="1158" t="str">
        <f>EUconst_CNTR_HAL&amp;I477</f>
        <v>HAL_</v>
      </c>
      <c r="Q483" s="1137"/>
      <c r="R483" s="1961" t="b">
        <f>AND($I477&lt;&gt;"",R482&lt;=CNTR_ReportingYear,IF($J480&lt;&gt;EUconst_NA,R482&gt;=YEAR($J480),TRUE))</f>
        <v>0</v>
      </c>
      <c r="S483" s="1675" t="b">
        <f>AND($I477&lt;&gt;"",S482&lt;=CNTR_ReportingYear,IF($J480&lt;&gt;EUconst_NA,S482&gt;=YEAR($J480),TRUE))</f>
        <v>0</v>
      </c>
      <c r="T483" s="1675" t="b">
        <f>AND($I477&lt;&gt;"",T482&lt;=CNTR_ReportingYear,IF($J480&lt;&gt;EUconst_NA,T482&gt;=YEAR($J480),TRUE))</f>
        <v>0</v>
      </c>
      <c r="U483" s="1675" t="b">
        <f>AND($I477&lt;&gt;"",U482&lt;=CNTR_ReportingYear,IF($J480&lt;&gt;EUconst_NA,U482&gt;=YEAR($J480),TRUE))</f>
        <v>0</v>
      </c>
      <c r="V483" s="1676" t="b">
        <f>AND($I477&lt;&gt;"",V482&lt;=CNTR_ReportingYear,IF($J480&lt;&gt;EUconst_NA,V482&gt;=YEAR($J480),TRUE))</f>
        <v>0</v>
      </c>
    </row>
    <row r="484" spans="1:22" s="562" customFormat="1" ht="5.0999999999999996" customHeight="1" thickBot="1">
      <c r="A484" s="719"/>
      <c r="B484" s="485"/>
      <c r="C484" s="559"/>
      <c r="D484" s="559"/>
      <c r="E484" s="559"/>
      <c r="F484" s="559"/>
      <c r="G484" s="559"/>
      <c r="H484" s="559"/>
      <c r="I484" s="559"/>
      <c r="J484" s="559"/>
      <c r="K484" s="2130"/>
      <c r="L484" s="2131"/>
      <c r="M484" s="2131"/>
      <c r="N484" s="2131"/>
      <c r="O484" s="485"/>
      <c r="P484" s="1137"/>
      <c r="Q484" s="1137"/>
      <c r="R484" s="1137"/>
      <c r="S484" s="1137"/>
      <c r="T484" s="1137"/>
      <c r="U484" s="1137"/>
      <c r="V484" s="1137"/>
    </row>
    <row r="485" spans="1:22" s="562" customFormat="1" ht="5.0999999999999996" customHeight="1">
      <c r="A485" s="719"/>
      <c r="B485" s="485"/>
      <c r="C485" s="559"/>
      <c r="D485" s="703"/>
      <c r="E485" s="704"/>
      <c r="F485" s="704"/>
      <c r="G485" s="704"/>
      <c r="H485" s="704"/>
      <c r="I485" s="704"/>
      <c r="J485" s="704"/>
      <c r="K485" s="2130"/>
      <c r="L485" s="2131"/>
      <c r="M485" s="2131"/>
      <c r="N485" s="2131"/>
      <c r="O485" s="485"/>
      <c r="P485" s="1137"/>
      <c r="Q485" s="1137"/>
      <c r="R485" s="1137"/>
      <c r="S485" s="1137"/>
      <c r="T485" s="1137"/>
      <c r="U485" s="1137"/>
      <c r="V485" s="1137"/>
    </row>
    <row r="486" spans="1:22" s="562" customFormat="1" ht="12.75" customHeight="1">
      <c r="A486" s="719"/>
      <c r="B486" s="485"/>
      <c r="C486" s="559"/>
      <c r="D486" s="706"/>
      <c r="E486" s="707" t="s">
        <v>1787</v>
      </c>
      <c r="F486" s="637"/>
      <c r="G486" s="637"/>
      <c r="H486" s="663"/>
      <c r="I486" s="708"/>
      <c r="J486" s="2132">
        <f>J$2737</f>
        <v>2026</v>
      </c>
      <c r="K486" s="1489">
        <f>K$2737</f>
        <v>2027</v>
      </c>
      <c r="L486" s="1490">
        <f>L$2737</f>
        <v>2028</v>
      </c>
      <c r="M486" s="1490">
        <f>M$2737</f>
        <v>2029</v>
      </c>
      <c r="N486" s="1490">
        <f>N$2737</f>
        <v>2030</v>
      </c>
      <c r="O486" s="485"/>
      <c r="P486" s="1137"/>
      <c r="Q486" s="1137"/>
      <c r="R486" s="1137"/>
      <c r="S486" s="1137"/>
      <c r="T486" s="1137"/>
      <c r="U486" s="1137"/>
      <c r="V486" s="1137"/>
    </row>
    <row r="487" spans="1:22" s="562" customFormat="1" ht="12.75" customHeight="1">
      <c r="A487" s="719"/>
      <c r="B487" s="485"/>
      <c r="C487" s="559"/>
      <c r="D487" s="706"/>
      <c r="E487" s="711" t="s">
        <v>1783</v>
      </c>
      <c r="F487" s="712"/>
      <c r="G487" s="712"/>
      <c r="H487" s="713"/>
      <c r="I487" s="712"/>
      <c r="J487" s="2133" t="str">
        <f>IF(R483,INDEX(F_ProductBM!V:V,MATCH($P487,F_ProductBM!$Q:$Q,0))&gt;=3,"")</f>
        <v/>
      </c>
      <c r="K487" s="2134" t="str">
        <f>IF(S483,INDEX(F_ProductBM!W:W,MATCH($P487,F_ProductBM!$Q:$Q,0))&gt;=3,"")</f>
        <v/>
      </c>
      <c r="L487" s="2135" t="str">
        <f>IF(T483,INDEX(F_ProductBM!X:X,MATCH($P487,F_ProductBM!$Q:$Q,0))&gt;=3,"")</f>
        <v/>
      </c>
      <c r="M487" s="2135" t="str">
        <f>IF(U483,INDEX(F_ProductBM!Y:Y,MATCH($P487,F_ProductBM!$Q:$Q,0))&gt;=3,"")</f>
        <v/>
      </c>
      <c r="N487" s="2135" t="str">
        <f>IF(V483,INDEX(F_ProductBM!Z:Z,MATCH($P487,F_ProductBM!$Q:$Q,0))&gt;=3,"")</f>
        <v/>
      </c>
      <c r="O487" s="485"/>
      <c r="P487" s="1158" t="str">
        <f>EUconst_CNTR_HALinitial&amp;I477</f>
        <v>HALini_</v>
      </c>
      <c r="Q487" s="1137"/>
      <c r="R487" s="1137"/>
      <c r="S487" s="1137"/>
      <c r="T487" s="1137"/>
      <c r="U487" s="1137"/>
      <c r="V487" s="1137"/>
    </row>
    <row r="488" spans="1:22" s="562" customFormat="1" ht="12.75" customHeight="1">
      <c r="A488" s="719"/>
      <c r="B488" s="485"/>
      <c r="C488" s="559"/>
      <c r="D488" s="706"/>
      <c r="E488" s="714" t="s">
        <v>1784</v>
      </c>
      <c r="F488" s="715"/>
      <c r="G488" s="715"/>
      <c r="H488" s="716"/>
      <c r="I488" s="715"/>
      <c r="J488" s="2136" t="str">
        <f>IF(R483,IF($K480="",2050,YEAR($K480))&lt;&gt;(J486-1),"")</f>
        <v/>
      </c>
      <c r="K488" s="2134" t="str">
        <f>IF(S483,IF($K480="",2050,YEAR($K480))&lt;&gt;(K486-1),"")</f>
        <v/>
      </c>
      <c r="L488" s="2135" t="str">
        <f>IF(T483,IF($K480="",2050,YEAR($K480))&lt;&gt;(L486-1),"")</f>
        <v/>
      </c>
      <c r="M488" s="2135" t="str">
        <f>IF(U483,IF($K480="",2050,YEAR($K480))&lt;&gt;(M486-1),"")</f>
        <v/>
      </c>
      <c r="N488" s="2135" t="str">
        <f>IF(V483,IF($K480="",2050,YEAR($K480))&lt;&gt;(N486-1),"")</f>
        <v/>
      </c>
      <c r="O488" s="485"/>
      <c r="P488" s="1137"/>
      <c r="Q488" s="1137"/>
      <c r="R488" s="1137"/>
      <c r="S488" s="1137"/>
      <c r="T488" s="1137"/>
      <c r="U488" s="1137"/>
      <c r="V488" s="1137"/>
    </row>
    <row r="489" spans="1:22" s="562" customFormat="1" ht="5.0999999999999996" customHeight="1">
      <c r="A489" s="719"/>
      <c r="B489" s="485"/>
      <c r="C489" s="559"/>
      <c r="D489" s="706"/>
      <c r="E489" s="559"/>
      <c r="F489" s="559"/>
      <c r="G489" s="559"/>
      <c r="H489" s="559"/>
      <c r="I489" s="559"/>
      <c r="J489" s="559"/>
      <c r="K489" s="2130"/>
      <c r="L489" s="2131"/>
      <c r="M489" s="2131"/>
      <c r="N489" s="2131"/>
      <c r="O489" s="485"/>
      <c r="P489" s="1137"/>
      <c r="Q489" s="1137"/>
      <c r="R489" s="1137"/>
      <c r="S489" s="1137"/>
      <c r="T489" s="1137"/>
      <c r="U489" s="1137"/>
      <c r="V489" s="1137"/>
    </row>
    <row r="490" spans="1:22" s="562" customFormat="1" ht="12.75" customHeight="1">
      <c r="A490" s="719"/>
      <c r="B490" s="485"/>
      <c r="C490" s="559"/>
      <c r="D490" s="706"/>
      <c r="E490" s="496" t="s">
        <v>1762</v>
      </c>
      <c r="F490" s="485"/>
      <c r="G490" s="485"/>
      <c r="H490" s="663" t="str">
        <f>EUconst_Unit</f>
        <v>Unit</v>
      </c>
      <c r="I490" s="708"/>
      <c r="J490" s="2125">
        <f>J$2737</f>
        <v>2026</v>
      </c>
      <c r="K490" s="1489">
        <f>K$2737</f>
        <v>2027</v>
      </c>
      <c r="L490" s="1490">
        <f>L$2737</f>
        <v>2028</v>
      </c>
      <c r="M490" s="1490">
        <f>M$2737</f>
        <v>2029</v>
      </c>
      <c r="N490" s="1490">
        <f>N$2737</f>
        <v>2030</v>
      </c>
      <c r="O490" s="485"/>
      <c r="P490" s="1137"/>
      <c r="Q490" s="1137"/>
      <c r="R490" s="1137"/>
      <c r="S490" s="1137"/>
      <c r="T490" s="1137"/>
      <c r="U490" s="1137"/>
      <c r="V490" s="1137"/>
    </row>
    <row r="491" spans="1:22" s="562" customFormat="1" ht="12.75" hidden="1" customHeight="1">
      <c r="A491" s="719" t="s">
        <v>2289</v>
      </c>
      <c r="B491" s="485"/>
      <c r="C491" s="559"/>
      <c r="D491" s="706"/>
      <c r="E491" s="698" t="s">
        <v>1714</v>
      </c>
      <c r="F491" s="698"/>
      <c r="G491" s="698"/>
      <c r="H491" s="639" t="str">
        <f>F483</f>
        <v>tonnes</v>
      </c>
      <c r="I491" s="698"/>
      <c r="J491" s="2137" t="str">
        <f t="shared" ref="J491:J496" si="31">I586</f>
        <v/>
      </c>
      <c r="K491" s="2072" t="str">
        <f t="shared" ref="K491:N496" si="32">J586</f>
        <v/>
      </c>
      <c r="L491" s="2073" t="str">
        <f t="shared" si="32"/>
        <v/>
      </c>
      <c r="M491" s="2073" t="str">
        <f t="shared" si="32"/>
        <v/>
      </c>
      <c r="N491" s="2073" t="str">
        <f t="shared" si="32"/>
        <v/>
      </c>
      <c r="O491" s="485"/>
      <c r="P491" s="1137"/>
      <c r="Q491" s="1137"/>
      <c r="R491" s="1137"/>
      <c r="S491" s="1137"/>
      <c r="T491" s="1137"/>
      <c r="U491" s="1137"/>
      <c r="V491" s="1137"/>
    </row>
    <row r="492" spans="1:22" s="562" customFormat="1" ht="12.75" hidden="1" customHeight="1">
      <c r="A492" s="719" t="s">
        <v>2289</v>
      </c>
      <c r="B492" s="485"/>
      <c r="C492" s="559"/>
      <c r="D492" s="706"/>
      <c r="E492" s="720" t="s">
        <v>303</v>
      </c>
      <c r="F492" s="720"/>
      <c r="G492" s="720"/>
      <c r="H492" s="721" t="str">
        <f>EUconst_EUA</f>
        <v>UKA</v>
      </c>
      <c r="I492" s="722"/>
      <c r="J492" s="2138" t="str">
        <f t="shared" si="31"/>
        <v/>
      </c>
      <c r="K492" s="2072" t="str">
        <f t="shared" si="32"/>
        <v/>
      </c>
      <c r="L492" s="2073" t="str">
        <f t="shared" si="32"/>
        <v/>
      </c>
      <c r="M492" s="2073" t="str">
        <f t="shared" si="32"/>
        <v/>
      </c>
      <c r="N492" s="2073" t="str">
        <f t="shared" si="32"/>
        <v/>
      </c>
      <c r="O492" s="485"/>
      <c r="P492" s="1137"/>
      <c r="Q492" s="1137"/>
      <c r="R492" s="1137"/>
      <c r="S492" s="1137"/>
      <c r="T492" s="1137"/>
      <c r="U492" s="1137"/>
      <c r="V492" s="1137"/>
    </row>
    <row r="493" spans="1:22" s="562" customFormat="1" ht="12.75" hidden="1" customHeight="1">
      <c r="A493" s="719" t="s">
        <v>2289</v>
      </c>
      <c r="B493" s="485"/>
      <c r="C493" s="559"/>
      <c r="D493" s="706"/>
      <c r="E493" s="723" t="s">
        <v>1422</v>
      </c>
      <c r="F493" s="723"/>
      <c r="G493" s="723"/>
      <c r="H493" s="724" t="str">
        <f>EUconst_EUA</f>
        <v>UKA</v>
      </c>
      <c r="I493" s="725"/>
      <c r="J493" s="2139" t="str">
        <f t="shared" si="31"/>
        <v/>
      </c>
      <c r="K493" s="2072" t="str">
        <f t="shared" si="32"/>
        <v/>
      </c>
      <c r="L493" s="2073" t="str">
        <f t="shared" si="32"/>
        <v/>
      </c>
      <c r="M493" s="2073" t="str">
        <f t="shared" si="32"/>
        <v/>
      </c>
      <c r="N493" s="2073" t="str">
        <f t="shared" si="32"/>
        <v/>
      </c>
      <c r="O493" s="485"/>
      <c r="P493" s="1137"/>
      <c r="Q493" s="1137"/>
      <c r="R493" s="1137"/>
      <c r="S493" s="1137"/>
      <c r="T493" s="1137"/>
      <c r="U493" s="1137"/>
      <c r="V493" s="1137"/>
    </row>
    <row r="494" spans="1:22" s="562" customFormat="1" ht="12.75" hidden="1" customHeight="1">
      <c r="A494" s="719" t="s">
        <v>2289</v>
      </c>
      <c r="B494" s="485"/>
      <c r="C494" s="559"/>
      <c r="D494" s="706"/>
      <c r="E494" s="723" t="s">
        <v>1390</v>
      </c>
      <c r="F494" s="723"/>
      <c r="G494" s="723"/>
      <c r="H494" s="724" t="str">
        <f>EUconst_EUA</f>
        <v>UKA</v>
      </c>
      <c r="I494" s="725"/>
      <c r="J494" s="2139" t="str">
        <f t="shared" si="31"/>
        <v/>
      </c>
      <c r="K494" s="2072" t="str">
        <f t="shared" si="32"/>
        <v/>
      </c>
      <c r="L494" s="2073" t="str">
        <f t="shared" si="32"/>
        <v/>
      </c>
      <c r="M494" s="2073" t="str">
        <f t="shared" si="32"/>
        <v/>
      </c>
      <c r="N494" s="2073" t="str">
        <f t="shared" si="32"/>
        <v/>
      </c>
      <c r="O494" s="485"/>
      <c r="P494" s="1137"/>
      <c r="Q494" s="1137"/>
      <c r="R494" s="1137"/>
      <c r="S494" s="1137"/>
      <c r="T494" s="1137"/>
      <c r="U494" s="1137"/>
      <c r="V494" s="1137"/>
    </row>
    <row r="495" spans="1:22" s="562" customFormat="1" ht="12.75" hidden="1" customHeight="1">
      <c r="A495" s="719" t="s">
        <v>2289</v>
      </c>
      <c r="B495" s="485"/>
      <c r="C495" s="559"/>
      <c r="D495" s="706"/>
      <c r="E495" s="723" t="s">
        <v>1389</v>
      </c>
      <c r="F495" s="723"/>
      <c r="G495" s="723"/>
      <c r="H495" s="726" t="s">
        <v>1021</v>
      </c>
      <c r="I495" s="725"/>
      <c r="J495" s="2140" t="str">
        <f t="shared" si="31"/>
        <v/>
      </c>
      <c r="K495" s="2141" t="str">
        <f t="shared" si="32"/>
        <v/>
      </c>
      <c r="L495" s="2142" t="str">
        <f t="shared" si="32"/>
        <v/>
      </c>
      <c r="M495" s="2142" t="str">
        <f t="shared" si="32"/>
        <v/>
      </c>
      <c r="N495" s="2142" t="str">
        <f t="shared" si="32"/>
        <v/>
      </c>
      <c r="O495" s="485"/>
      <c r="P495" s="1137"/>
      <c r="Q495" s="1137"/>
      <c r="R495" s="1137"/>
      <c r="S495" s="1137"/>
      <c r="T495" s="1137"/>
      <c r="U495" s="1137"/>
      <c r="V495" s="1137"/>
    </row>
    <row r="496" spans="1:22" s="562" customFormat="1" ht="12.75" hidden="1" customHeight="1">
      <c r="A496" s="719" t="s">
        <v>2289</v>
      </c>
      <c r="B496" s="485"/>
      <c r="C496" s="559"/>
      <c r="D496" s="706"/>
      <c r="E496" s="727" t="s">
        <v>1391</v>
      </c>
      <c r="F496" s="727"/>
      <c r="G496" s="727"/>
      <c r="H496" s="728" t="s">
        <v>1021</v>
      </c>
      <c r="I496" s="729"/>
      <c r="J496" s="2143" t="str">
        <f t="shared" si="31"/>
        <v/>
      </c>
      <c r="K496" s="2141" t="str">
        <f t="shared" si="32"/>
        <v/>
      </c>
      <c r="L496" s="2142" t="str">
        <f t="shared" si="32"/>
        <v/>
      </c>
      <c r="M496" s="2142" t="str">
        <f t="shared" si="32"/>
        <v/>
      </c>
      <c r="N496" s="2142" t="str">
        <f t="shared" si="32"/>
        <v/>
      </c>
      <c r="O496" s="485"/>
      <c r="P496" s="1137"/>
      <c r="Q496" s="1137"/>
      <c r="R496" s="1137"/>
      <c r="S496" s="1137"/>
      <c r="T496" s="1137"/>
      <c r="U496" s="1137"/>
      <c r="V496" s="1137"/>
    </row>
    <row r="497" spans="1:22" s="562" customFormat="1" ht="12.75" customHeight="1">
      <c r="A497" s="719"/>
      <c r="B497" s="485"/>
      <c r="C497" s="559"/>
      <c r="D497" s="706"/>
      <c r="E497" s="698" t="s">
        <v>1671</v>
      </c>
      <c r="F497" s="698"/>
      <c r="G497" s="698"/>
      <c r="H497" s="730" t="str">
        <f>EUconst_EUA</f>
        <v>UKA</v>
      </c>
      <c r="I497" s="731"/>
      <c r="J497" s="2129" t="str">
        <f>IF($I477="","",MAX(0,ROUND((SUM($M480)*SUM(J491)*SUM(J495)*SUM(J496)-SUM(J492)-SUM(J493)+SUM(J494))*IF($H480=TRUE,1,J$2517),0)))</f>
        <v/>
      </c>
      <c r="K497" s="2072" t="str">
        <f>IF($I477="","",MAX(0,ROUND((SUM($M480)*SUM(K491)*SUM(K495)*SUM(K496)-SUM(K492)-SUM(K493)+SUM(K494))*IF($H480=TRUE,1,K$2517),0)))</f>
        <v/>
      </c>
      <c r="L497" s="2073" t="str">
        <f>IF($I477="","",MAX(0,ROUND((SUM($M480)*SUM(L491)*SUM(L495)*SUM(L496)-SUM(L492)-SUM(L493)+SUM(L494))*IF($H480=TRUE,1,L$2517),0)))</f>
        <v/>
      </c>
      <c r="M497" s="2073" t="str">
        <f>IF($I477="","",MAX(0,ROUND((SUM($M480)*SUM(M491)*SUM(M495)*SUM(M496)-SUM(M492)-SUM(M493)+SUM(M494))*IF($H480=TRUE,1,M$2517),0)))</f>
        <v/>
      </c>
      <c r="N497" s="2073" t="str">
        <f>IF($I477="","",MAX(0,ROUND((SUM($M480)*SUM(N491)*SUM(N495)*SUM(N496)-SUM(N492)-SUM(N493)+SUM(N494))*IF($H480=TRUE,1,N$2517),0)))</f>
        <v/>
      </c>
      <c r="O497" s="485"/>
      <c r="P497" s="1137"/>
      <c r="Q497" s="1137"/>
      <c r="R497" s="1137"/>
      <c r="S497" s="1137"/>
      <c r="T497" s="1137"/>
      <c r="U497" s="1137"/>
      <c r="V497" s="1137"/>
    </row>
    <row r="498" spans="1:22" s="562" customFormat="1" ht="5.0999999999999996" customHeight="1">
      <c r="A498" s="719"/>
      <c r="B498" s="485"/>
      <c r="C498" s="559"/>
      <c r="D498" s="706"/>
      <c r="E498" s="559"/>
      <c r="F498" s="559"/>
      <c r="G498" s="559"/>
      <c r="H498" s="559"/>
      <c r="I498" s="559"/>
      <c r="J498" s="559"/>
      <c r="K498" s="2130"/>
      <c r="L498" s="2131"/>
      <c r="M498" s="2131"/>
      <c r="N498" s="2131"/>
      <c r="O498" s="485"/>
      <c r="P498" s="1137"/>
      <c r="Q498" s="1137"/>
      <c r="R498" s="1137"/>
      <c r="S498" s="1137"/>
      <c r="T498" s="1137"/>
      <c r="U498" s="1137"/>
      <c r="V498" s="1137"/>
    </row>
    <row r="499" spans="1:22" s="562" customFormat="1" ht="12.75" customHeight="1">
      <c r="A499" s="719"/>
      <c r="B499" s="485"/>
      <c r="C499" s="559"/>
      <c r="D499" s="706"/>
      <c r="E499" s="707" t="s">
        <v>1752</v>
      </c>
      <c r="F499" s="637"/>
      <c r="G499" s="637"/>
      <c r="H499" s="663" t="str">
        <f>EUconst_Unit</f>
        <v>Unit</v>
      </c>
      <c r="I499" s="708"/>
      <c r="J499" s="2132">
        <f>J$2737</f>
        <v>2026</v>
      </c>
      <c r="K499" s="1489">
        <f>K$2737</f>
        <v>2027</v>
      </c>
      <c r="L499" s="1490">
        <f>L$2737</f>
        <v>2028</v>
      </c>
      <c r="M499" s="1490">
        <f>M$2737</f>
        <v>2029</v>
      </c>
      <c r="N499" s="1490">
        <f>N$2737</f>
        <v>2030</v>
      </c>
      <c r="O499" s="485"/>
      <c r="P499" s="1137"/>
      <c r="Q499" s="1137"/>
      <c r="R499" s="1137"/>
      <c r="S499" s="1137"/>
      <c r="T499" s="1137"/>
      <c r="U499" s="1137"/>
      <c r="V499" s="1137"/>
    </row>
    <row r="500" spans="1:22" s="562" customFormat="1" ht="12.75" customHeight="1">
      <c r="A500" s="719"/>
      <c r="B500" s="485"/>
      <c r="C500" s="559"/>
      <c r="D500" s="706"/>
      <c r="E500" s="720" t="s">
        <v>1691</v>
      </c>
      <c r="F500" s="720"/>
      <c r="G500" s="720"/>
      <c r="H500" s="732" t="str">
        <f>H491</f>
        <v>tonnes</v>
      </c>
      <c r="I500" s="733"/>
      <c r="J500" s="2144" t="str">
        <f>INDEX(F_ProductBM!J:J,MATCH($P500,F_ProductBM!$Q:$Q,0))</f>
        <v/>
      </c>
      <c r="K500" s="2072" t="str">
        <f>INDEX(F_ProductBM!K:K,MATCH($P500,F_ProductBM!$Q:$Q,0))</f>
        <v/>
      </c>
      <c r="L500" s="2073" t="str">
        <f>INDEX(F_ProductBM!L:L,MATCH($P500,F_ProductBM!$Q:$Q,0))</f>
        <v/>
      </c>
      <c r="M500" s="2073" t="str">
        <f>INDEX(F_ProductBM!M:M,MATCH($P500,F_ProductBM!$Q:$Q,0))</f>
        <v/>
      </c>
      <c r="N500" s="2073" t="str">
        <f>INDEX(F_ProductBM!N:N,MATCH($P500,F_ProductBM!$Q:$Q,0))</f>
        <v/>
      </c>
      <c r="O500" s="485"/>
      <c r="P500" s="1158" t="str">
        <f>EUconst_CNTR_HALinitial&amp;I477</f>
        <v>HALini_</v>
      </c>
      <c r="Q500" s="1137"/>
      <c r="R500" s="1137"/>
      <c r="S500" s="1137"/>
      <c r="T500" s="1137"/>
      <c r="U500" s="1137"/>
      <c r="V500" s="1137"/>
    </row>
    <row r="501" spans="1:22" s="562" customFormat="1" ht="12.75" customHeight="1">
      <c r="A501" s="719"/>
      <c r="B501" s="485"/>
      <c r="C501" s="559"/>
      <c r="D501" s="706"/>
      <c r="E501" s="723" t="s">
        <v>1648</v>
      </c>
      <c r="F501" s="723"/>
      <c r="G501" s="723"/>
      <c r="H501" s="734" t="s">
        <v>1021</v>
      </c>
      <c r="I501" s="735"/>
      <c r="J501" s="23" t="str">
        <f>INDEX(F_ProductBM!J:J,MATCH($P501,F_ProductBM!$Q:$Q,0))</f>
        <v/>
      </c>
      <c r="K501" s="46" t="str">
        <f>INDEX(F_ProductBM!K:K,MATCH($P501,F_ProductBM!$Q:$Q,0))</f>
        <v/>
      </c>
      <c r="L501" s="27" t="str">
        <f>INDEX(F_ProductBM!L:L,MATCH($P501,F_ProductBM!$Q:$Q,0))</f>
        <v/>
      </c>
      <c r="M501" s="27" t="str">
        <f>INDEX(F_ProductBM!M:M,MATCH($P501,F_ProductBM!$Q:$Q,0))</f>
        <v/>
      </c>
      <c r="N501" s="27" t="str">
        <f>INDEX(F_ProductBM!N:N,MATCH($P501,F_ProductBM!$Q:$Q,0))</f>
        <v/>
      </c>
      <c r="O501" s="485"/>
      <c r="P501" s="1158" t="str">
        <f>EUconst_CNTR_RelThreshold &amp; P503</f>
        <v>RelThresh_HALprelim_</v>
      </c>
      <c r="Q501" s="1137"/>
      <c r="R501" s="1137"/>
      <c r="S501" s="1137"/>
      <c r="T501" s="1137"/>
      <c r="U501" s="1137"/>
      <c r="V501" s="1137"/>
    </row>
    <row r="502" spans="1:22" s="562" customFormat="1" ht="12.75" customHeight="1">
      <c r="A502" s="719"/>
      <c r="B502" s="485"/>
      <c r="C502" s="559"/>
      <c r="D502" s="706"/>
      <c r="E502" s="736" t="s">
        <v>1850</v>
      </c>
      <c r="F502" s="736"/>
      <c r="G502" s="736"/>
      <c r="H502" s="737" t="s">
        <v>1021</v>
      </c>
      <c r="I502" s="738"/>
      <c r="J502" s="2145" t="str">
        <f>INDEX(F_ProductBM!V:V,MATCH($P502,F_ProductBM!$Q:$Q,0)+1)</f>
        <v/>
      </c>
      <c r="K502" s="2134" t="str">
        <f>INDEX(F_ProductBM!W:W,MATCH($P502,F_ProductBM!$Q:$Q,0)+1)</f>
        <v/>
      </c>
      <c r="L502" s="2135" t="str">
        <f>INDEX(F_ProductBM!X:X,MATCH($P502,F_ProductBM!$Q:$Q,0)+1)</f>
        <v/>
      </c>
      <c r="M502" s="2135" t="str">
        <f>INDEX(F_ProductBM!Y:Y,MATCH($P502,F_ProductBM!$Q:$Q,0)+1)</f>
        <v/>
      </c>
      <c r="N502" s="2135" t="str">
        <f>INDEX(F_ProductBM!Z:Z,MATCH($P502,F_ProductBM!$Q:$Q,0)+1)</f>
        <v/>
      </c>
      <c r="O502" s="485"/>
      <c r="P502" s="1158" t="str">
        <f>P501</f>
        <v>RelThresh_HALprelim_</v>
      </c>
      <c r="Q502" s="1137"/>
      <c r="R502" s="1137"/>
      <c r="S502" s="1137"/>
      <c r="T502" s="1137"/>
      <c r="U502" s="1137"/>
      <c r="V502" s="1137"/>
    </row>
    <row r="503" spans="1:22" s="562" customFormat="1" ht="12.75" customHeight="1">
      <c r="A503" s="719"/>
      <c r="B503" s="485"/>
      <c r="C503" s="559"/>
      <c r="D503" s="706"/>
      <c r="E503" s="727" t="s">
        <v>1689</v>
      </c>
      <c r="F503" s="727"/>
      <c r="G503" s="727"/>
      <c r="H503" s="739" t="str">
        <f>F483</f>
        <v>tonnes</v>
      </c>
      <c r="I503" s="727"/>
      <c r="J503" s="2146" t="str">
        <f>INDEX(F_ProductBM!J:J,MATCH($P503,F_ProductBM!$Q:$Q,0))</f>
        <v/>
      </c>
      <c r="K503" s="2072" t="str">
        <f>INDEX(F_ProductBM!K:K,MATCH($P503,F_ProductBM!$Q:$Q,0))</f>
        <v/>
      </c>
      <c r="L503" s="2073" t="str">
        <f>INDEX(F_ProductBM!L:L,MATCH($P503,F_ProductBM!$Q:$Q,0))</f>
        <v/>
      </c>
      <c r="M503" s="2073" t="str">
        <f>INDEX(F_ProductBM!M:M,MATCH($P503,F_ProductBM!$Q:$Q,0))</f>
        <v/>
      </c>
      <c r="N503" s="2073" t="str">
        <f>INDEX(F_ProductBM!N:N,MATCH($P503,F_ProductBM!$Q:$Q,0))</f>
        <v/>
      </c>
      <c r="O503" s="485"/>
      <c r="P503" s="1158" t="str">
        <f>EUconst_CNTR_HALprelim&amp;I477</f>
        <v>HALprelim_</v>
      </c>
      <c r="Q503" s="1137"/>
      <c r="R503" s="1137"/>
      <c r="S503" s="1137"/>
      <c r="T503" s="1137"/>
      <c r="U503" s="1137"/>
      <c r="V503" s="1137"/>
    </row>
    <row r="504" spans="1:22" s="562" customFormat="1" ht="12.75" hidden="1" customHeight="1">
      <c r="A504" s="719" t="s">
        <v>2289</v>
      </c>
      <c r="B504" s="485"/>
      <c r="C504" s="559"/>
      <c r="D504" s="706"/>
      <c r="E504" s="720" t="s">
        <v>303</v>
      </c>
      <c r="F504" s="720"/>
      <c r="G504" s="720"/>
      <c r="H504" s="721" t="str">
        <f>EUconst_EUA</f>
        <v>UKA</v>
      </c>
      <c r="I504" s="722"/>
      <c r="J504" s="2138" t="str">
        <f t="shared" ref="J504:N508" si="33">I587</f>
        <v/>
      </c>
      <c r="K504" s="2072" t="str">
        <f t="shared" si="33"/>
        <v/>
      </c>
      <c r="L504" s="2073" t="str">
        <f t="shared" si="33"/>
        <v/>
      </c>
      <c r="M504" s="2073" t="str">
        <f t="shared" si="33"/>
        <v/>
      </c>
      <c r="N504" s="2073" t="str">
        <f t="shared" si="33"/>
        <v/>
      </c>
      <c r="O504" s="485"/>
      <c r="P504" s="1137"/>
      <c r="Q504" s="1137"/>
      <c r="R504" s="1137"/>
      <c r="S504" s="1137"/>
      <c r="T504" s="1137"/>
      <c r="U504" s="1137"/>
      <c r="V504" s="1137"/>
    </row>
    <row r="505" spans="1:22" s="562" customFormat="1" ht="12.75" hidden="1" customHeight="1">
      <c r="A505" s="719" t="s">
        <v>2289</v>
      </c>
      <c r="B505" s="485"/>
      <c r="C505" s="559"/>
      <c r="D505" s="706"/>
      <c r="E505" s="723" t="s">
        <v>1422</v>
      </c>
      <c r="F505" s="723"/>
      <c r="G505" s="723"/>
      <c r="H505" s="724" t="str">
        <f>EUconst_EUA</f>
        <v>UKA</v>
      </c>
      <c r="I505" s="725"/>
      <c r="J505" s="2139" t="str">
        <f t="shared" si="33"/>
        <v/>
      </c>
      <c r="K505" s="2072" t="str">
        <f t="shared" si="33"/>
        <v/>
      </c>
      <c r="L505" s="2073" t="str">
        <f t="shared" si="33"/>
        <v/>
      </c>
      <c r="M505" s="2073" t="str">
        <f t="shared" si="33"/>
        <v/>
      </c>
      <c r="N505" s="2073" t="str">
        <f t="shared" si="33"/>
        <v/>
      </c>
      <c r="O505" s="485"/>
      <c r="P505" s="1137"/>
      <c r="Q505" s="1137"/>
      <c r="R505" s="1137"/>
      <c r="S505" s="1137"/>
      <c r="T505" s="1137"/>
      <c r="U505" s="1137"/>
      <c r="V505" s="1137"/>
    </row>
    <row r="506" spans="1:22" s="562" customFormat="1" ht="12.75" hidden="1" customHeight="1">
      <c r="A506" s="719" t="s">
        <v>2289</v>
      </c>
      <c r="B506" s="485"/>
      <c r="C506" s="559"/>
      <c r="D506" s="706"/>
      <c r="E506" s="723" t="s">
        <v>1390</v>
      </c>
      <c r="F506" s="723"/>
      <c r="G506" s="723"/>
      <c r="H506" s="724" t="str">
        <f>EUconst_EUA</f>
        <v>UKA</v>
      </c>
      <c r="I506" s="725"/>
      <c r="J506" s="2139" t="str">
        <f t="shared" si="33"/>
        <v/>
      </c>
      <c r="K506" s="2072" t="str">
        <f t="shared" si="33"/>
        <v/>
      </c>
      <c r="L506" s="2073" t="str">
        <f t="shared" si="33"/>
        <v/>
      </c>
      <c r="M506" s="2073" t="str">
        <f t="shared" si="33"/>
        <v/>
      </c>
      <c r="N506" s="2073" t="str">
        <f t="shared" si="33"/>
        <v/>
      </c>
      <c r="O506" s="485"/>
      <c r="P506" s="1137"/>
      <c r="Q506" s="1137"/>
      <c r="R506" s="1137"/>
      <c r="S506" s="1137"/>
      <c r="T506" s="1137"/>
      <c r="U506" s="1137"/>
      <c r="V506" s="1137"/>
    </row>
    <row r="507" spans="1:22" s="562" customFormat="1" ht="12.75" hidden="1" customHeight="1">
      <c r="A507" s="719" t="s">
        <v>2289</v>
      </c>
      <c r="B507" s="485"/>
      <c r="C507" s="559"/>
      <c r="D507" s="706"/>
      <c r="E507" s="723" t="s">
        <v>1389</v>
      </c>
      <c r="F507" s="723"/>
      <c r="G507" s="723"/>
      <c r="H507" s="726" t="s">
        <v>1021</v>
      </c>
      <c r="I507" s="725"/>
      <c r="J507" s="2140" t="str">
        <f t="shared" si="33"/>
        <v/>
      </c>
      <c r="K507" s="2141" t="str">
        <f t="shared" si="33"/>
        <v/>
      </c>
      <c r="L507" s="2142" t="str">
        <f t="shared" si="33"/>
        <v/>
      </c>
      <c r="M507" s="2142" t="str">
        <f t="shared" si="33"/>
        <v/>
      </c>
      <c r="N507" s="2142" t="str">
        <f t="shared" si="33"/>
        <v/>
      </c>
      <c r="O507" s="485"/>
      <c r="P507" s="1137"/>
      <c r="Q507" s="1137"/>
      <c r="R507" s="1137"/>
      <c r="S507" s="1137"/>
      <c r="T507" s="1137"/>
      <c r="U507" s="1137"/>
      <c r="V507" s="1137"/>
    </row>
    <row r="508" spans="1:22" s="562" customFormat="1" ht="12.75" hidden="1" customHeight="1">
      <c r="A508" s="719" t="s">
        <v>2289</v>
      </c>
      <c r="B508" s="485"/>
      <c r="C508" s="559"/>
      <c r="D508" s="706"/>
      <c r="E508" s="727" t="s">
        <v>1391</v>
      </c>
      <c r="F508" s="727"/>
      <c r="G508" s="727"/>
      <c r="H508" s="728" t="s">
        <v>1021</v>
      </c>
      <c r="I508" s="729"/>
      <c r="J508" s="2143" t="str">
        <f t="shared" si="33"/>
        <v/>
      </c>
      <c r="K508" s="2141" t="str">
        <f t="shared" si="33"/>
        <v/>
      </c>
      <c r="L508" s="2142" t="str">
        <f t="shared" si="33"/>
        <v/>
      </c>
      <c r="M508" s="2142" t="str">
        <f t="shared" si="33"/>
        <v/>
      </c>
      <c r="N508" s="2142" t="str">
        <f t="shared" si="33"/>
        <v/>
      </c>
      <c r="O508" s="485"/>
      <c r="P508" s="1137"/>
      <c r="Q508" s="1137"/>
      <c r="R508" s="1137"/>
      <c r="S508" s="1137"/>
      <c r="T508" s="1137"/>
      <c r="U508" s="1137"/>
      <c r="V508" s="1137"/>
    </row>
    <row r="509" spans="1:22" s="562" customFormat="1" ht="12.75" customHeight="1">
      <c r="A509" s="719"/>
      <c r="B509" s="485"/>
      <c r="C509" s="559"/>
      <c r="D509" s="706"/>
      <c r="E509" s="698" t="s">
        <v>1671</v>
      </c>
      <c r="F509" s="698"/>
      <c r="G509" s="698"/>
      <c r="H509" s="730" t="str">
        <f>EUconst_EUA</f>
        <v>UKA</v>
      </c>
      <c r="I509" s="731"/>
      <c r="J509" s="2129" t="str">
        <f>IF($I477="","",MAX(0,ROUND((SUM($M480)*SUM(J503)*SUM(J507)*SUM(J508)-SUM(J504)-SUM(J505)+SUM(J506))*IF($H480=TRUE,1,J$2517),0)))</f>
        <v/>
      </c>
      <c r="K509" s="2072" t="str">
        <f>IF($I477="","",MAX(0,ROUND((SUM($M480)*SUM(K503)*SUM(K507)*SUM(K508)-SUM(K504)-SUM(K505)+SUM(K506))*IF($H480=TRUE,1,K$2517),0)))</f>
        <v/>
      </c>
      <c r="L509" s="2073" t="str">
        <f>IF($I477="","",MAX(0,ROUND((SUM($M480)*SUM(L503)*SUM(L507)*SUM(L508)-SUM(L504)-SUM(L505)+SUM(L506))*IF($H480=TRUE,1,L$2517),0)))</f>
        <v/>
      </c>
      <c r="M509" s="2073" t="str">
        <f>IF($I477="","",MAX(0,ROUND((SUM($M480)*SUM(M503)*SUM(M507)*SUM(M508)-SUM(M504)-SUM(M505)+SUM(M506))*IF($H480=TRUE,1,M$2517),0)))</f>
        <v/>
      </c>
      <c r="N509" s="2073" t="str">
        <f>IF($I477="","",MAX(0,ROUND((SUM($M480)*SUM(N503)*SUM(N507)*SUM(N508)-SUM(N504)-SUM(N505)+SUM(N506))*IF($H480=TRUE,1,N$2517),0)))</f>
        <v/>
      </c>
      <c r="O509" s="485"/>
      <c r="P509" s="1137"/>
      <c r="Q509" s="1137"/>
      <c r="R509" s="1137"/>
      <c r="S509" s="1137"/>
      <c r="T509" s="1137"/>
      <c r="U509" s="1137"/>
      <c r="V509" s="1137"/>
    </row>
    <row r="510" spans="1:22" s="562" customFormat="1" ht="12.75" customHeight="1">
      <c r="A510" s="719"/>
      <c r="B510" s="485"/>
      <c r="C510" s="559"/>
      <c r="D510" s="706"/>
      <c r="E510" s="698" t="s">
        <v>1670</v>
      </c>
      <c r="F510" s="698"/>
      <c r="G510" s="698"/>
      <c r="H510" s="730" t="str">
        <f>EUconst_EUA</f>
        <v>UKA</v>
      </c>
      <c r="I510" s="731"/>
      <c r="J510" s="2129" t="str">
        <f>IF($I477="","",ABS(SUM(J509)-SUM(J497)))</f>
        <v/>
      </c>
      <c r="K510" s="2072" t="str">
        <f>IF($I477="","",ABS(SUM(K509)-SUM(K497)))</f>
        <v/>
      </c>
      <c r="L510" s="2073" t="str">
        <f>IF($I477="","",ABS(SUM(L509)-SUM(L497)))</f>
        <v/>
      </c>
      <c r="M510" s="2073" t="str">
        <f>IF($I477="","",ABS(SUM(M509)-SUM(M497)))</f>
        <v/>
      </c>
      <c r="N510" s="2073" t="str">
        <f>IF($I477="","",ABS(SUM(N509)-SUM(N497)))</f>
        <v/>
      </c>
      <c r="O510" s="485"/>
      <c r="P510" s="1137"/>
      <c r="Q510" s="1137"/>
      <c r="R510" s="1137"/>
      <c r="S510" s="1137"/>
      <c r="T510" s="1137"/>
      <c r="U510" s="1137"/>
      <c r="V510" s="1137"/>
    </row>
    <row r="511" spans="1:22" s="562" customFormat="1" ht="12.75" customHeight="1">
      <c r="A511" s="719"/>
      <c r="B511" s="485"/>
      <c r="C511" s="559"/>
      <c r="D511" s="706"/>
      <c r="E511" s="740" t="s">
        <v>2130</v>
      </c>
      <c r="F511" s="740"/>
      <c r="G511" s="740"/>
      <c r="H511" s="741" t="s">
        <v>1021</v>
      </c>
      <c r="I511" s="742"/>
      <c r="J511" s="2147" t="str">
        <f>IF($I477="","",J510&gt;=100)</f>
        <v/>
      </c>
      <c r="K511" s="2134" t="str">
        <f>IF($I477="","",K510&gt;=100)</f>
        <v/>
      </c>
      <c r="L511" s="2135" t="str">
        <f>IF($I477="","",L510&gt;=100)</f>
        <v/>
      </c>
      <c r="M511" s="2135" t="str">
        <f>IF($I477="","",M510&gt;=100)</f>
        <v/>
      </c>
      <c r="N511" s="2135" t="str">
        <f>IF($I477="","",N510&gt;=100)</f>
        <v/>
      </c>
      <c r="O511" s="485"/>
      <c r="P511" s="1158" t="str">
        <f>EUconst_CNTR_100EUA_ActivityLevel&amp;I477</f>
        <v>EUA100AL_</v>
      </c>
      <c r="Q511" s="1137"/>
      <c r="R511" s="1137"/>
      <c r="S511" s="1137"/>
      <c r="T511" s="1137"/>
      <c r="U511" s="1137"/>
      <c r="V511" s="1137"/>
    </row>
    <row r="512" spans="1:22" s="562" customFormat="1" ht="5.0999999999999996" customHeight="1">
      <c r="A512" s="719"/>
      <c r="B512" s="485"/>
      <c r="C512" s="559"/>
      <c r="D512" s="706"/>
      <c r="E512" s="485"/>
      <c r="F512" s="485"/>
      <c r="G512" s="485"/>
      <c r="H512" s="485"/>
      <c r="I512" s="743"/>
      <c r="J512" s="485"/>
      <c r="K512" s="1790"/>
      <c r="L512" s="1791"/>
      <c r="M512" s="1791"/>
      <c r="N512" s="1791"/>
      <c r="O512" s="485"/>
      <c r="P512" s="1137"/>
      <c r="Q512" s="1137"/>
      <c r="R512" s="1137"/>
      <c r="S512" s="1137"/>
      <c r="T512" s="1137"/>
      <c r="U512" s="1137"/>
      <c r="V512" s="1137"/>
    </row>
    <row r="513" spans="1:22" s="562" customFormat="1" ht="12.75" customHeight="1">
      <c r="A513" s="719"/>
      <c r="B513" s="485"/>
      <c r="C513" s="559"/>
      <c r="D513" s="706"/>
      <c r="E513" s="707" t="s">
        <v>1753</v>
      </c>
      <c r="F513" s="637"/>
      <c r="G513" s="637"/>
      <c r="H513" s="663" t="str">
        <f>EUconst_Unit</f>
        <v>Unit</v>
      </c>
      <c r="I513" s="708"/>
      <c r="J513" s="2132">
        <f>J$2737</f>
        <v>2026</v>
      </c>
      <c r="K513" s="1489">
        <f>K$2737</f>
        <v>2027</v>
      </c>
      <c r="L513" s="1490">
        <f>L$2737</f>
        <v>2028</v>
      </c>
      <c r="M513" s="1490">
        <f>M$2737</f>
        <v>2029</v>
      </c>
      <c r="N513" s="1490">
        <f>N$2737</f>
        <v>2030</v>
      </c>
      <c r="O513" s="485"/>
      <c r="P513" s="1137"/>
      <c r="Q513" s="1137"/>
      <c r="R513" s="1137"/>
      <c r="S513" s="1137"/>
      <c r="T513" s="1137"/>
      <c r="U513" s="1137"/>
      <c r="V513" s="1137"/>
    </row>
    <row r="514" spans="1:22" s="562" customFormat="1" ht="12.75" hidden="1" customHeight="1">
      <c r="A514" s="719" t="s">
        <v>2289</v>
      </c>
      <c r="B514" s="485"/>
      <c r="C514" s="559"/>
      <c r="D514" s="706"/>
      <c r="E514" s="698" t="s">
        <v>1714</v>
      </c>
      <c r="F514" s="698"/>
      <c r="G514" s="698"/>
      <c r="H514" s="639" t="str">
        <f>H503</f>
        <v>tonnes</v>
      </c>
      <c r="I514" s="698"/>
      <c r="J514" s="2137" t="str">
        <f t="shared" ref="J514:N517" si="34">I586</f>
        <v/>
      </c>
      <c r="K514" s="2072" t="str">
        <f t="shared" si="34"/>
        <v/>
      </c>
      <c r="L514" s="2073" t="str">
        <f t="shared" si="34"/>
        <v/>
      </c>
      <c r="M514" s="2073" t="str">
        <f t="shared" si="34"/>
        <v/>
      </c>
      <c r="N514" s="2073" t="str">
        <f t="shared" si="34"/>
        <v/>
      </c>
      <c r="O514" s="485"/>
      <c r="P514" s="1137"/>
      <c r="Q514" s="1137"/>
      <c r="R514" s="1137"/>
      <c r="S514" s="1137"/>
      <c r="T514" s="1137"/>
      <c r="U514" s="1137"/>
      <c r="V514" s="1137"/>
    </row>
    <row r="515" spans="1:22" s="562" customFormat="1" ht="12.75" hidden="1" customHeight="1">
      <c r="A515" s="719" t="s">
        <v>2289</v>
      </c>
      <c r="B515" s="485"/>
      <c r="C515" s="559"/>
      <c r="D515" s="706"/>
      <c r="E515" s="720" t="s">
        <v>303</v>
      </c>
      <c r="F515" s="720"/>
      <c r="G515" s="720"/>
      <c r="H515" s="721" t="str">
        <f>EUconst_EUA</f>
        <v>UKA</v>
      </c>
      <c r="I515" s="722"/>
      <c r="J515" s="2138" t="str">
        <f t="shared" si="34"/>
        <v/>
      </c>
      <c r="K515" s="2072" t="str">
        <f t="shared" si="34"/>
        <v/>
      </c>
      <c r="L515" s="2073" t="str">
        <f t="shared" si="34"/>
        <v/>
      </c>
      <c r="M515" s="2073" t="str">
        <f t="shared" si="34"/>
        <v/>
      </c>
      <c r="N515" s="2073" t="str">
        <f t="shared" si="34"/>
        <v/>
      </c>
      <c r="O515" s="485"/>
      <c r="P515" s="1137"/>
      <c r="Q515" s="1137"/>
      <c r="R515" s="1137"/>
      <c r="S515" s="1137"/>
      <c r="T515" s="1137"/>
      <c r="U515" s="1137"/>
      <c r="V515" s="1137"/>
    </row>
    <row r="516" spans="1:22" s="562" customFormat="1" ht="12.75" hidden="1" customHeight="1">
      <c r="A516" s="719" t="s">
        <v>2289</v>
      </c>
      <c r="B516" s="485"/>
      <c r="C516" s="559"/>
      <c r="D516" s="706"/>
      <c r="E516" s="723" t="s">
        <v>1422</v>
      </c>
      <c r="F516" s="723"/>
      <c r="G516" s="723"/>
      <c r="H516" s="724" t="str">
        <f>EUconst_EUA</f>
        <v>UKA</v>
      </c>
      <c r="I516" s="725"/>
      <c r="J516" s="2139" t="str">
        <f t="shared" si="34"/>
        <v/>
      </c>
      <c r="K516" s="2072" t="str">
        <f t="shared" si="34"/>
        <v/>
      </c>
      <c r="L516" s="2073" t="str">
        <f t="shared" si="34"/>
        <v/>
      </c>
      <c r="M516" s="2073" t="str">
        <f t="shared" si="34"/>
        <v/>
      </c>
      <c r="N516" s="2073" t="str">
        <f t="shared" si="34"/>
        <v/>
      </c>
      <c r="O516" s="485"/>
      <c r="P516" s="1137"/>
      <c r="Q516" s="1137"/>
      <c r="R516" s="1137"/>
      <c r="S516" s="1137"/>
      <c r="T516" s="1137"/>
      <c r="U516" s="1137"/>
      <c r="V516" s="1137"/>
    </row>
    <row r="517" spans="1:22" s="562" customFormat="1" ht="12.75" hidden="1" customHeight="1">
      <c r="A517" s="719" t="s">
        <v>2289</v>
      </c>
      <c r="B517" s="485"/>
      <c r="C517" s="559"/>
      <c r="D517" s="706"/>
      <c r="E517" s="745" t="s">
        <v>1390</v>
      </c>
      <c r="F517" s="745"/>
      <c r="G517" s="745"/>
      <c r="H517" s="746" t="str">
        <f>EUconst_EUA</f>
        <v>UKA</v>
      </c>
      <c r="I517" s="747"/>
      <c r="J517" s="2148" t="str">
        <f t="shared" si="34"/>
        <v/>
      </c>
      <c r="K517" s="2072" t="str">
        <f t="shared" si="34"/>
        <v/>
      </c>
      <c r="L517" s="2073" t="str">
        <f t="shared" si="34"/>
        <v/>
      </c>
      <c r="M517" s="2073" t="str">
        <f t="shared" si="34"/>
        <v/>
      </c>
      <c r="N517" s="2073" t="str">
        <f t="shared" si="34"/>
        <v/>
      </c>
      <c r="O517" s="485"/>
      <c r="P517" s="1137"/>
      <c r="Q517" s="1137"/>
      <c r="R517" s="1137"/>
      <c r="S517" s="1137"/>
      <c r="T517" s="1137"/>
      <c r="U517" s="1137"/>
      <c r="V517" s="1137"/>
    </row>
    <row r="518" spans="1:22" s="562" customFormat="1" ht="12.75" customHeight="1">
      <c r="A518" s="719"/>
      <c r="B518" s="485"/>
      <c r="C518" s="559"/>
      <c r="D518" s="706"/>
      <c r="E518" s="720" t="s">
        <v>1691</v>
      </c>
      <c r="F518" s="720"/>
      <c r="G518" s="720"/>
      <c r="H518" s="748" t="s">
        <v>1021</v>
      </c>
      <c r="I518" s="722"/>
      <c r="J518" s="2149" t="str">
        <f>INDEX(F_ProductBM!J:J,MATCH($P518,F_ProductBM!$Q:$Q,0))</f>
        <v/>
      </c>
      <c r="K518" s="2141" t="str">
        <f>INDEX(F_ProductBM!K:K,MATCH($P518,F_ProductBM!$Q:$Q,0))</f>
        <v/>
      </c>
      <c r="L518" s="2142" t="str">
        <f>INDEX(F_ProductBM!L:L,MATCH($P518,F_ProductBM!$Q:$Q,0))</f>
        <v/>
      </c>
      <c r="M518" s="2142" t="str">
        <f>INDEX(F_ProductBM!M:M,MATCH($P518,F_ProductBM!$Q:$Q,0))</f>
        <v/>
      </c>
      <c r="N518" s="2142" t="str">
        <f>INDEX(F_ProductBM!N:N,MATCH($P518,F_ProductBM!$Q:$Q,0))</f>
        <v/>
      </c>
      <c r="O518" s="485"/>
      <c r="P518" s="1158" t="str">
        <f>EUconst_CNTR_HAL &amp; EUconst_CNTR_ELEXCHInitial &amp; I477</f>
        <v>HAL_ELEXCHIni_</v>
      </c>
      <c r="Q518" s="1137"/>
      <c r="R518" s="1137"/>
      <c r="S518" s="1137"/>
      <c r="T518" s="1137"/>
      <c r="U518" s="1137"/>
      <c r="V518" s="1137"/>
    </row>
    <row r="519" spans="1:22" s="562" customFormat="1" ht="12.75" customHeight="1">
      <c r="A519" s="719"/>
      <c r="B519" s="485"/>
      <c r="C519" s="559"/>
      <c r="D519" s="706"/>
      <c r="E519" s="723" t="s">
        <v>2232</v>
      </c>
      <c r="F519" s="723"/>
      <c r="G519" s="723"/>
      <c r="H519" s="734" t="s">
        <v>1021</v>
      </c>
      <c r="I519" s="735"/>
      <c r="J519" s="23" t="str">
        <f>INDEX(F_ProductBM!J:J,MATCH($P519,F_ProductBM!$Q:$Q,0))</f>
        <v/>
      </c>
      <c r="K519" s="46" t="str">
        <f>INDEX(F_ProductBM!K:K,MATCH($P519,F_ProductBM!$Q:$Q,0))</f>
        <v/>
      </c>
      <c r="L519" s="27" t="str">
        <f>INDEX(F_ProductBM!L:L,MATCH($P519,F_ProductBM!$Q:$Q,0))</f>
        <v/>
      </c>
      <c r="M519" s="27" t="str">
        <f>INDEX(F_ProductBM!M:M,MATCH($P519,F_ProductBM!$Q:$Q,0))</f>
        <v/>
      </c>
      <c r="N519" s="27" t="str">
        <f>INDEX(F_ProductBM!N:N,MATCH($P519,F_ProductBM!$Q:$Q,0))</f>
        <v/>
      </c>
      <c r="O519" s="485"/>
      <c r="P519" s="1158" t="str">
        <f>EUconst_CNTR_RelThreshold &amp; P521</f>
        <v>RelThresh_HALprelim_ELEXCH_</v>
      </c>
      <c r="Q519" s="1137"/>
      <c r="R519" s="1137"/>
      <c r="S519" s="1137"/>
      <c r="T519" s="1137"/>
      <c r="U519" s="1137"/>
      <c r="V519" s="1137"/>
    </row>
    <row r="520" spans="1:22" s="562" customFormat="1" ht="12.75" customHeight="1">
      <c r="A520" s="719"/>
      <c r="B520" s="485"/>
      <c r="C520" s="559"/>
      <c r="D520" s="706"/>
      <c r="E520" s="736" t="s">
        <v>1852</v>
      </c>
      <c r="F520" s="736"/>
      <c r="G520" s="736"/>
      <c r="H520" s="737" t="s">
        <v>1021</v>
      </c>
      <c r="I520" s="738"/>
      <c r="J520" s="2145" t="str">
        <f>INDEX(F_ProductBM!V:V,MATCH($P520,F_ProductBM!$Q:$Q,0))</f>
        <v/>
      </c>
      <c r="K520" s="2134" t="str">
        <f>INDEX(F_ProductBM!W:W,MATCH($P520,F_ProductBM!$Q:$Q,0))</f>
        <v/>
      </c>
      <c r="L520" s="2135" t="str">
        <f>INDEX(F_ProductBM!X:X,MATCH($P520,F_ProductBM!$Q:$Q,0))</f>
        <v/>
      </c>
      <c r="M520" s="2135" t="str">
        <f>INDEX(F_ProductBM!Y:Y,MATCH($P520,F_ProductBM!$Q:$Q,0))</f>
        <v/>
      </c>
      <c r="N520" s="2135" t="str">
        <f>INDEX(F_ProductBM!Z:Z,MATCH($P520,F_ProductBM!$Q:$Q,0))</f>
        <v/>
      </c>
      <c r="O520" s="485"/>
      <c r="P520" s="1158" t="str">
        <f>P519</f>
        <v>RelThresh_HALprelim_ELEXCH_</v>
      </c>
      <c r="Q520" s="1137"/>
      <c r="R520" s="1137"/>
      <c r="S520" s="1137"/>
      <c r="T520" s="1137"/>
      <c r="U520" s="1137"/>
      <c r="V520" s="1137"/>
    </row>
    <row r="521" spans="1:22" s="562" customFormat="1" ht="12.75" customHeight="1">
      <c r="A521" s="719"/>
      <c r="B521" s="485"/>
      <c r="C521" s="559"/>
      <c r="D521" s="706"/>
      <c r="E521" s="727" t="s">
        <v>1689</v>
      </c>
      <c r="F521" s="727"/>
      <c r="G521" s="727"/>
      <c r="H521" s="749" t="s">
        <v>1021</v>
      </c>
      <c r="I521" s="727"/>
      <c r="J521" s="2150" t="str">
        <f>IF($I480=TRUE,INDEX(F_ProductBM!J:J,MATCH($P521,F_ProductBM!$Q:$Q,0)),"")</f>
        <v/>
      </c>
      <c r="K521" s="2141" t="str">
        <f>IF($I480=TRUE,INDEX(F_ProductBM!K:K,MATCH($P521,F_ProductBM!$Q:$Q,0)),"")</f>
        <v/>
      </c>
      <c r="L521" s="2142" t="str">
        <f>IF($I480=TRUE,INDEX(F_ProductBM!L:L,MATCH($P521,F_ProductBM!$Q:$Q,0)),"")</f>
        <v/>
      </c>
      <c r="M521" s="2142" t="str">
        <f>IF($I480=TRUE,INDEX(F_ProductBM!M:M,MATCH($P521,F_ProductBM!$Q:$Q,0)),"")</f>
        <v/>
      </c>
      <c r="N521" s="2142" t="str">
        <f>IF($I480=TRUE,INDEX(F_ProductBM!N:N,MATCH($P521,F_ProductBM!$Q:$Q,0)),"")</f>
        <v/>
      </c>
      <c r="O521" s="485"/>
      <c r="P521" s="1158" t="str">
        <f>EUconst_CNTR_HALprelim&amp;EUconst_CNTR_ELEXCH&amp;$I477</f>
        <v>HALprelim_ELEXCH_</v>
      </c>
      <c r="Q521" s="1137"/>
      <c r="R521" s="1137"/>
      <c r="S521" s="1137"/>
      <c r="T521" s="1137"/>
      <c r="U521" s="1137"/>
      <c r="V521" s="1137"/>
    </row>
    <row r="522" spans="1:22" s="562" customFormat="1" ht="12.75" hidden="1" customHeight="1">
      <c r="A522" s="719" t="s">
        <v>2289</v>
      </c>
      <c r="B522" s="485"/>
      <c r="C522" s="559"/>
      <c r="D522" s="706"/>
      <c r="E522" s="727" t="s">
        <v>1391</v>
      </c>
      <c r="F522" s="727"/>
      <c r="G522" s="727"/>
      <c r="H522" s="750" t="s">
        <v>1021</v>
      </c>
      <c r="I522" s="729"/>
      <c r="J522" s="2143" t="str">
        <f>I591</f>
        <v/>
      </c>
      <c r="K522" s="2141" t="str">
        <f>J591</f>
        <v/>
      </c>
      <c r="L522" s="2142" t="str">
        <f>K591</f>
        <v/>
      </c>
      <c r="M522" s="2142" t="str">
        <f>L591</f>
        <v/>
      </c>
      <c r="N522" s="2142" t="str">
        <f>M591</f>
        <v/>
      </c>
      <c r="O522" s="485"/>
      <c r="P522" s="1137"/>
      <c r="Q522" s="1137"/>
      <c r="R522" s="1137"/>
      <c r="S522" s="1137"/>
      <c r="T522" s="1137"/>
      <c r="U522" s="1137"/>
      <c r="V522" s="1137"/>
    </row>
    <row r="523" spans="1:22" s="562" customFormat="1" ht="12.75" customHeight="1">
      <c r="A523" s="719"/>
      <c r="B523" s="485"/>
      <c r="C523" s="559"/>
      <c r="D523" s="706"/>
      <c r="E523" s="698" t="s">
        <v>1671</v>
      </c>
      <c r="F523" s="698"/>
      <c r="G523" s="698"/>
      <c r="H523" s="730" t="str">
        <f>EUconst_EUA</f>
        <v>UKA</v>
      </c>
      <c r="I523" s="731"/>
      <c r="J523" s="2129" t="str">
        <f>IF($I480=TRUE,MAX(0,ROUND((SUM($M480)*SUM(J514)*SUM(J521)*SUM(J522)-SUM(J515)-SUM(J516)+SUM(J517))*IF($H480=TRUE,1,J$2517),0)),"")</f>
        <v/>
      </c>
      <c r="K523" s="2072" t="str">
        <f>IF($I480=TRUE,MAX(0,ROUND((SUM($M480)*SUM(K514)*SUM(K521)*SUM(K522)-SUM(K515)-SUM(K516)+SUM(K517))*IF($H480=TRUE,1,K$2517),0)),"")</f>
        <v/>
      </c>
      <c r="L523" s="2073" t="str">
        <f>IF($I480=TRUE,MAX(0,ROUND((SUM($M480)*SUM(L514)*SUM(L521)*SUM(L522)-SUM(L515)-SUM(L516)+SUM(L517))*IF($H480=TRUE,1,L$2517),0)),"")</f>
        <v/>
      </c>
      <c r="M523" s="2073" t="str">
        <f>IF($I480=TRUE,MAX(0,ROUND((SUM($M480)*SUM(M514)*SUM(M521)*SUM(M522)-SUM(M515)-SUM(M516)+SUM(M517))*IF($H480=TRUE,1,M$2517),0)),"")</f>
        <v/>
      </c>
      <c r="N523" s="2073" t="str">
        <f>IF($I480=TRUE,MAX(0,ROUND((SUM($M480)*SUM(N514)*SUM(N521)*SUM(N522)-SUM(N515)-SUM(N516)+SUM(N517))*IF($H480=TRUE,1,N$2517),0)),"")</f>
        <v/>
      </c>
      <c r="O523" s="485"/>
      <c r="P523" s="1137"/>
      <c r="Q523" s="1137"/>
      <c r="R523" s="1137"/>
      <c r="S523" s="1137"/>
      <c r="T523" s="1137"/>
      <c r="U523" s="1137"/>
      <c r="V523" s="1137"/>
    </row>
    <row r="524" spans="1:22" s="562" customFormat="1" ht="12.75" customHeight="1">
      <c r="A524" s="719"/>
      <c r="B524" s="485"/>
      <c r="C524" s="559"/>
      <c r="D524" s="706"/>
      <c r="E524" s="698" t="s">
        <v>1670</v>
      </c>
      <c r="F524" s="698"/>
      <c r="G524" s="698"/>
      <c r="H524" s="730" t="str">
        <f>EUconst_EUA</f>
        <v>UKA</v>
      </c>
      <c r="I524" s="731"/>
      <c r="J524" s="2129" t="str">
        <f>IF($I480=TRUE,ABS(SUM(J523)-SUM(J497)),"")</f>
        <v/>
      </c>
      <c r="K524" s="2072" t="str">
        <f>IF($I480=TRUE,ABS(SUM(K523)-SUM(K497)),"")</f>
        <v/>
      </c>
      <c r="L524" s="2073" t="str">
        <f>IF($I480=TRUE,ABS(SUM(L523)-SUM(L497)),"")</f>
        <v/>
      </c>
      <c r="M524" s="2073" t="str">
        <f>IF($I480=TRUE,ABS(SUM(M523)-SUM(M497)),"")</f>
        <v/>
      </c>
      <c r="N524" s="2073" t="str">
        <f>IF($I480=TRUE,ABS(SUM(N523)-SUM(N497)),"")</f>
        <v/>
      </c>
      <c r="O524" s="485"/>
      <c r="P524" s="1137"/>
      <c r="Q524" s="1137"/>
      <c r="R524" s="1137"/>
      <c r="S524" s="1137"/>
      <c r="T524" s="1137"/>
      <c r="U524" s="1137"/>
      <c r="V524" s="1137"/>
    </row>
    <row r="525" spans="1:22" s="562" customFormat="1" ht="12.75" customHeight="1">
      <c r="A525" s="719"/>
      <c r="B525" s="485"/>
      <c r="C525" s="559"/>
      <c r="D525" s="706"/>
      <c r="E525" s="740" t="s">
        <v>2131</v>
      </c>
      <c r="F525" s="740"/>
      <c r="G525" s="740"/>
      <c r="H525" s="741" t="s">
        <v>1021</v>
      </c>
      <c r="I525" s="742"/>
      <c r="J525" s="2147" t="str">
        <f>IF($I480=TRUE,J524&gt;=100,"")</f>
        <v/>
      </c>
      <c r="K525" s="2134" t="str">
        <f>IF($I480=TRUE,K524&gt;=100,"")</f>
        <v/>
      </c>
      <c r="L525" s="2135" t="str">
        <f>IF($I480=TRUE,L524&gt;=100,"")</f>
        <v/>
      </c>
      <c r="M525" s="2135" t="str">
        <f>IF($I480=TRUE,M524&gt;=100,"")</f>
        <v/>
      </c>
      <c r="N525" s="2135" t="str">
        <f>IF($I480=TRUE,N524&gt;=100,"")</f>
        <v/>
      </c>
      <c r="O525" s="485"/>
      <c r="P525" s="1158" t="str">
        <f>EUconst_CNTR_100EUA_ElExch&amp;I477</f>
        <v>EUA100ElExch_</v>
      </c>
      <c r="Q525" s="1137"/>
      <c r="R525" s="1137"/>
      <c r="S525" s="1137"/>
      <c r="T525" s="1137"/>
      <c r="U525" s="1137"/>
      <c r="V525" s="1137"/>
    </row>
    <row r="526" spans="1:22" s="562" customFormat="1" ht="5.0999999999999996" customHeight="1">
      <c r="A526" s="719"/>
      <c r="B526" s="485"/>
      <c r="C526" s="559"/>
      <c r="D526" s="706"/>
      <c r="E526" s="485"/>
      <c r="F526" s="485"/>
      <c r="G526" s="485"/>
      <c r="H526" s="485"/>
      <c r="I526" s="743"/>
      <c r="J526" s="485"/>
      <c r="K526" s="1790"/>
      <c r="L526" s="1791"/>
      <c r="M526" s="1791"/>
      <c r="N526" s="1791"/>
      <c r="O526" s="485"/>
      <c r="P526" s="1137"/>
      <c r="Q526" s="1137"/>
      <c r="R526" s="1137"/>
      <c r="S526" s="1137"/>
      <c r="T526" s="1137"/>
      <c r="U526" s="1137"/>
      <c r="V526" s="1137"/>
    </row>
    <row r="527" spans="1:22" s="562" customFormat="1" ht="12.75" customHeight="1">
      <c r="A527" s="719"/>
      <c r="B527" s="485"/>
      <c r="C527" s="559"/>
      <c r="D527" s="706"/>
      <c r="E527" s="707" t="s">
        <v>1754</v>
      </c>
      <c r="F527" s="637"/>
      <c r="G527" s="637"/>
      <c r="H527" s="663" t="str">
        <f>EUconst_Unit</f>
        <v>Unit</v>
      </c>
      <c r="I527" s="708"/>
      <c r="J527" s="2132">
        <f>J$2737</f>
        <v>2026</v>
      </c>
      <c r="K527" s="1489">
        <f>K$2737</f>
        <v>2027</v>
      </c>
      <c r="L527" s="1490">
        <f>L$2737</f>
        <v>2028</v>
      </c>
      <c r="M527" s="1490">
        <f>M$2737</f>
        <v>2029</v>
      </c>
      <c r="N527" s="1490">
        <f>N$2737</f>
        <v>2030</v>
      </c>
      <c r="O527" s="485"/>
      <c r="P527" s="1137"/>
      <c r="Q527" s="1137"/>
      <c r="R527" s="1137"/>
      <c r="S527" s="1137"/>
      <c r="T527" s="1137"/>
      <c r="U527" s="1137"/>
      <c r="V527" s="1137"/>
    </row>
    <row r="528" spans="1:22" s="562" customFormat="1" ht="12.75" hidden="1" customHeight="1">
      <c r="A528" s="719" t="s">
        <v>2289</v>
      </c>
      <c r="B528" s="485"/>
      <c r="C528" s="559"/>
      <c r="D528" s="706"/>
      <c r="E528" s="698" t="s">
        <v>1714</v>
      </c>
      <c r="F528" s="698"/>
      <c r="G528" s="698"/>
      <c r="H528" s="639" t="str">
        <f>H514</f>
        <v>tonnes</v>
      </c>
      <c r="I528" s="698"/>
      <c r="J528" s="2137" t="str">
        <f>I586</f>
        <v/>
      </c>
      <c r="K528" s="2072" t="str">
        <f>J586</f>
        <v/>
      </c>
      <c r="L528" s="2073" t="str">
        <f>K586</f>
        <v/>
      </c>
      <c r="M528" s="2073" t="str">
        <f>L586</f>
        <v/>
      </c>
      <c r="N528" s="2073" t="str">
        <f>M586</f>
        <v/>
      </c>
      <c r="O528" s="485"/>
      <c r="P528" s="1137"/>
      <c r="Q528" s="1137"/>
      <c r="R528" s="1137"/>
      <c r="S528" s="1137"/>
      <c r="T528" s="1137"/>
      <c r="U528" s="1137"/>
      <c r="V528" s="1137"/>
    </row>
    <row r="529" spans="1:22" s="562" customFormat="1" ht="12.75" customHeight="1">
      <c r="A529" s="719"/>
      <c r="B529" s="485"/>
      <c r="C529" s="559"/>
      <c r="D529" s="706"/>
      <c r="E529" s="720" t="s">
        <v>1691</v>
      </c>
      <c r="F529" s="720"/>
      <c r="G529" s="720"/>
      <c r="H529" s="748" t="str">
        <f>EUconst_EUA</f>
        <v>UKA</v>
      </c>
      <c r="I529" s="722"/>
      <c r="J529" s="2144" t="str">
        <f>IF(R483,SUM(INDEX(F_ProductBM!J:J,MATCH($P529,F_ProductBM!$Q:$Q,0))),"")</f>
        <v/>
      </c>
      <c r="K529" s="2072" t="str">
        <f>IF(S483,SUM(INDEX(F_ProductBM!K:K,MATCH($P529,F_ProductBM!$Q:$Q,0))),"")</f>
        <v/>
      </c>
      <c r="L529" s="2073" t="str">
        <f>IF(T483,SUM(INDEX(F_ProductBM!L:L,MATCH($P529,F_ProductBM!$Q:$Q,0))),"")</f>
        <v/>
      </c>
      <c r="M529" s="2073" t="str">
        <f>IF(U483,SUM(INDEX(F_ProductBM!M:M,MATCH($P529,F_ProductBM!$Q:$Q,0))),"")</f>
        <v/>
      </c>
      <c r="N529" s="2073" t="str">
        <f>IF(V483,SUM(INDEX(F_ProductBM!N:N,MATCH($P529,F_ProductBM!$Q:$Q,0))),"")</f>
        <v/>
      </c>
      <c r="O529" s="485"/>
      <c r="P529" s="1158" t="str">
        <f>EUconst_CNTR_HEATInitial &amp; I477</f>
        <v>HEATIni_</v>
      </c>
      <c r="Q529" s="1137"/>
      <c r="R529" s="1137"/>
      <c r="S529" s="1137"/>
      <c r="T529" s="1137"/>
      <c r="U529" s="1137"/>
      <c r="V529" s="1137"/>
    </row>
    <row r="530" spans="1:22" s="562" customFormat="1" ht="12.75" customHeight="1">
      <c r="A530" s="719"/>
      <c r="B530" s="485"/>
      <c r="C530" s="559"/>
      <c r="D530" s="706"/>
      <c r="E530" s="723" t="s">
        <v>2232</v>
      </c>
      <c r="F530" s="723"/>
      <c r="G530" s="723"/>
      <c r="H530" s="734" t="s">
        <v>1021</v>
      </c>
      <c r="I530" s="735"/>
      <c r="J530" s="23" t="str">
        <f>INDEX(F_ProductBM!J:J,MATCH($P530,F_ProductBM!$Q:$Q,0))</f>
        <v/>
      </c>
      <c r="K530" s="46" t="str">
        <f>INDEX(F_ProductBM!K:K,MATCH($P530,F_ProductBM!$Q:$Q,0))</f>
        <v/>
      </c>
      <c r="L530" s="27" t="str">
        <f>INDEX(F_ProductBM!L:L,MATCH($P530,F_ProductBM!$Q:$Q,0))</f>
        <v/>
      </c>
      <c r="M530" s="27" t="str">
        <f>INDEX(F_ProductBM!M:M,MATCH($P530,F_ProductBM!$Q:$Q,0))</f>
        <v/>
      </c>
      <c r="N530" s="27" t="str">
        <f>INDEX(F_ProductBM!N:N,MATCH($P530,F_ProductBM!$Q:$Q,0))</f>
        <v/>
      </c>
      <c r="O530" s="485"/>
      <c r="P530" s="1158" t="str">
        <f>EUconst_CNTR_RelThreshold &amp; P532</f>
        <v>RelThresh_HEATprelim_</v>
      </c>
      <c r="Q530" s="1137"/>
      <c r="R530" s="1137"/>
      <c r="S530" s="1137"/>
      <c r="T530" s="1137"/>
      <c r="U530" s="1137"/>
      <c r="V530" s="1137"/>
    </row>
    <row r="531" spans="1:22" s="562" customFormat="1" ht="12.75" customHeight="1">
      <c r="A531" s="719"/>
      <c r="B531" s="485"/>
      <c r="C531" s="559"/>
      <c r="D531" s="706"/>
      <c r="E531" s="736" t="s">
        <v>1853</v>
      </c>
      <c r="F531" s="736"/>
      <c r="G531" s="736"/>
      <c r="H531" s="737" t="s">
        <v>1021</v>
      </c>
      <c r="I531" s="738"/>
      <c r="J531" s="2145" t="str">
        <f>INDEX(F_ProductBM!V:V,MATCH($P531,F_ProductBM!$Q:$Q,0))</f>
        <v/>
      </c>
      <c r="K531" s="2134" t="str">
        <f>INDEX(F_ProductBM!W:W,MATCH($P531,F_ProductBM!$Q:$Q,0))</f>
        <v/>
      </c>
      <c r="L531" s="2135" t="str">
        <f>INDEX(F_ProductBM!X:X,MATCH($P531,F_ProductBM!$Q:$Q,0))</f>
        <v/>
      </c>
      <c r="M531" s="2135" t="str">
        <f>INDEX(F_ProductBM!Y:Y,MATCH($P531,F_ProductBM!$Q:$Q,0))</f>
        <v/>
      </c>
      <c r="N531" s="2135" t="str">
        <f>INDEX(F_ProductBM!Z:Z,MATCH($P531,F_ProductBM!$Q:$Q,0))</f>
        <v/>
      </c>
      <c r="O531" s="485"/>
      <c r="P531" s="1158" t="str">
        <f>P530</f>
        <v>RelThresh_HEATprelim_</v>
      </c>
      <c r="Q531" s="1137"/>
      <c r="R531" s="1137"/>
      <c r="S531" s="1137"/>
      <c r="T531" s="1137"/>
      <c r="U531" s="1137"/>
      <c r="V531" s="1137"/>
    </row>
    <row r="532" spans="1:22" s="562" customFormat="1" ht="12.75" customHeight="1">
      <c r="A532" s="719"/>
      <c r="B532" s="485"/>
      <c r="C532" s="559"/>
      <c r="D532" s="706"/>
      <c r="E532" s="727" t="s">
        <v>1689</v>
      </c>
      <c r="F532" s="727"/>
      <c r="G532" s="727"/>
      <c r="H532" s="749" t="str">
        <f>EUconst_EUA</f>
        <v>UKA</v>
      </c>
      <c r="I532" s="727"/>
      <c r="J532" s="2146" t="str">
        <f>IF($I477="","",INDEX(F_ProductBM!J:J,MATCH($P532,F_ProductBM!$Q:$Q,0)))</f>
        <v/>
      </c>
      <c r="K532" s="2072" t="str">
        <f>IF($I477="","",INDEX(F_ProductBM!K:K,MATCH($P532,F_ProductBM!$Q:$Q,0)))</f>
        <v/>
      </c>
      <c r="L532" s="2073" t="str">
        <f>IF($I477="","",INDEX(F_ProductBM!L:L,MATCH($P532,F_ProductBM!$Q:$Q,0)))</f>
        <v/>
      </c>
      <c r="M532" s="2073" t="str">
        <f>IF($I477="","",INDEX(F_ProductBM!M:M,MATCH($P532,F_ProductBM!$Q:$Q,0)))</f>
        <v/>
      </c>
      <c r="N532" s="2073" t="str">
        <f>IF($I477="","",INDEX(F_ProductBM!N:N,MATCH($P532,F_ProductBM!$Q:$Q,0)))</f>
        <v/>
      </c>
      <c r="O532" s="485"/>
      <c r="P532" s="1158" t="str">
        <f>EUconst_CNTR_HEATprelim&amp;I477</f>
        <v>HEATprelim_</v>
      </c>
      <c r="Q532" s="1137"/>
      <c r="R532" s="1137"/>
      <c r="S532" s="1137"/>
      <c r="T532" s="1137"/>
      <c r="U532" s="1137"/>
      <c r="V532" s="1137"/>
    </row>
    <row r="533" spans="1:22" s="562" customFormat="1" ht="12.75" hidden="1" customHeight="1">
      <c r="A533" s="719" t="s">
        <v>2289</v>
      </c>
      <c r="B533" s="485"/>
      <c r="C533" s="559"/>
      <c r="D533" s="706"/>
      <c r="E533" s="723" t="s">
        <v>1422</v>
      </c>
      <c r="F533" s="723"/>
      <c r="G533" s="723"/>
      <c r="H533" s="724" t="str">
        <f>EUconst_EUA</f>
        <v>UKA</v>
      </c>
      <c r="I533" s="725"/>
      <c r="J533" s="2139" t="str">
        <f t="shared" ref="J533:N536" si="35">I588</f>
        <v/>
      </c>
      <c r="K533" s="2072" t="str">
        <f t="shared" si="35"/>
        <v/>
      </c>
      <c r="L533" s="2073" t="str">
        <f t="shared" si="35"/>
        <v/>
      </c>
      <c r="M533" s="2073" t="str">
        <f t="shared" si="35"/>
        <v/>
      </c>
      <c r="N533" s="2073" t="str">
        <f t="shared" si="35"/>
        <v/>
      </c>
      <c r="O533" s="485"/>
      <c r="P533" s="1137"/>
      <c r="Q533" s="1137"/>
      <c r="R533" s="1137"/>
      <c r="S533" s="1137"/>
      <c r="T533" s="1137"/>
      <c r="U533" s="1137"/>
      <c r="V533" s="1137"/>
    </row>
    <row r="534" spans="1:22" s="562" customFormat="1" ht="12.75" hidden="1" customHeight="1">
      <c r="A534" s="719" t="s">
        <v>2289</v>
      </c>
      <c r="B534" s="485"/>
      <c r="C534" s="559"/>
      <c r="D534" s="706"/>
      <c r="E534" s="723" t="s">
        <v>1390</v>
      </c>
      <c r="F534" s="723"/>
      <c r="G534" s="723"/>
      <c r="H534" s="724" t="str">
        <f>EUconst_EUA</f>
        <v>UKA</v>
      </c>
      <c r="I534" s="725"/>
      <c r="J534" s="2139" t="str">
        <f t="shared" si="35"/>
        <v/>
      </c>
      <c r="K534" s="2072" t="str">
        <f t="shared" si="35"/>
        <v/>
      </c>
      <c r="L534" s="2073" t="str">
        <f t="shared" si="35"/>
        <v/>
      </c>
      <c r="M534" s="2073" t="str">
        <f t="shared" si="35"/>
        <v/>
      </c>
      <c r="N534" s="2073" t="str">
        <f t="shared" si="35"/>
        <v/>
      </c>
      <c r="O534" s="485"/>
      <c r="P534" s="1137"/>
      <c r="Q534" s="1137"/>
      <c r="R534" s="1137"/>
      <c r="S534" s="1137"/>
      <c r="T534" s="1137"/>
      <c r="U534" s="1137"/>
      <c r="V534" s="1137"/>
    </row>
    <row r="535" spans="1:22" s="562" customFormat="1" ht="12.75" hidden="1" customHeight="1">
      <c r="A535" s="719" t="s">
        <v>2289</v>
      </c>
      <c r="B535" s="485"/>
      <c r="C535" s="559"/>
      <c r="D535" s="706"/>
      <c r="E535" s="723" t="s">
        <v>1389</v>
      </c>
      <c r="F535" s="723"/>
      <c r="G535" s="723"/>
      <c r="H535" s="726" t="s">
        <v>1021</v>
      </c>
      <c r="I535" s="725"/>
      <c r="J535" s="2140" t="str">
        <f t="shared" si="35"/>
        <v/>
      </c>
      <c r="K535" s="2141" t="str">
        <f t="shared" si="35"/>
        <v/>
      </c>
      <c r="L535" s="2142" t="str">
        <f t="shared" si="35"/>
        <v/>
      </c>
      <c r="M535" s="2142" t="str">
        <f t="shared" si="35"/>
        <v/>
      </c>
      <c r="N535" s="2142" t="str">
        <f t="shared" si="35"/>
        <v/>
      </c>
      <c r="O535" s="485"/>
      <c r="P535" s="1137"/>
      <c r="Q535" s="1137"/>
      <c r="R535" s="1137"/>
      <c r="S535" s="1137"/>
      <c r="T535" s="1137"/>
      <c r="U535" s="1137"/>
      <c r="V535" s="1137"/>
    </row>
    <row r="536" spans="1:22" s="562" customFormat="1" ht="12.75" hidden="1" customHeight="1">
      <c r="A536" s="719" t="s">
        <v>2289</v>
      </c>
      <c r="B536" s="485"/>
      <c r="C536" s="559"/>
      <c r="D536" s="706"/>
      <c r="E536" s="727" t="s">
        <v>1391</v>
      </c>
      <c r="F536" s="727"/>
      <c r="G536" s="727"/>
      <c r="H536" s="728" t="s">
        <v>1021</v>
      </c>
      <c r="I536" s="729"/>
      <c r="J536" s="2143" t="str">
        <f t="shared" si="35"/>
        <v/>
      </c>
      <c r="K536" s="2141" t="str">
        <f t="shared" si="35"/>
        <v/>
      </c>
      <c r="L536" s="2142" t="str">
        <f t="shared" si="35"/>
        <v/>
      </c>
      <c r="M536" s="2142" t="str">
        <f t="shared" si="35"/>
        <v/>
      </c>
      <c r="N536" s="2142" t="str">
        <f t="shared" si="35"/>
        <v/>
      </c>
      <c r="O536" s="485"/>
      <c r="P536" s="1137"/>
      <c r="Q536" s="1137"/>
      <c r="R536" s="1137"/>
      <c r="S536" s="1137"/>
      <c r="T536" s="1137"/>
      <c r="U536" s="1137"/>
      <c r="V536" s="1137"/>
    </row>
    <row r="537" spans="1:22" s="562" customFormat="1" ht="12.75" customHeight="1">
      <c r="A537" s="719"/>
      <c r="B537" s="485"/>
      <c r="C537" s="559"/>
      <c r="D537" s="706"/>
      <c r="E537" s="698" t="s">
        <v>1671</v>
      </c>
      <c r="F537" s="698"/>
      <c r="G537" s="698"/>
      <c r="H537" s="730" t="str">
        <f>EUconst_EUA</f>
        <v>UKA</v>
      </c>
      <c r="I537" s="731"/>
      <c r="J537" s="2129" t="str">
        <f>IF($I477="","",MAX(0,ROUND((SUM($M480)*SUM(J528)*SUM(J535)*SUM(J536)-SUM(J532)-SUM(J533)+SUM(J534))*IF($H480=TRUE,1,J$2517),0)))</f>
        <v/>
      </c>
      <c r="K537" s="2072" t="str">
        <f>IF($I477="","",MAX(0,ROUND((SUM($M480)*SUM(K528)*SUM(K535)*SUM(K536)-SUM(K532)-SUM(K533)+SUM(K534))*IF($H480=TRUE,1,K$2517),0)))</f>
        <v/>
      </c>
      <c r="L537" s="2073" t="str">
        <f>IF($I477="","",MAX(0,ROUND((SUM($M480)*SUM(L528)*SUM(L535)*SUM(L536)-SUM(L532)-SUM(L533)+SUM(L534))*IF($H480=TRUE,1,L$2517),0)))</f>
        <v/>
      </c>
      <c r="M537" s="2073" t="str">
        <f>IF($I477="","",MAX(0,ROUND((SUM($M480)*SUM(M528)*SUM(M535)*SUM(M536)-SUM(M532)-SUM(M533)+SUM(M534))*IF($H480=TRUE,1,M$2517),0)))</f>
        <v/>
      </c>
      <c r="N537" s="2073" t="str">
        <f>IF($I477="","",MAX(0,ROUND((SUM($M480)*SUM(N528)*SUM(N535)*SUM(N536)-SUM(N532)-SUM(N533)+SUM(N534))*IF($H480=TRUE,1,N$2517),0)))</f>
        <v/>
      </c>
      <c r="O537" s="485"/>
      <c r="P537" s="1137"/>
      <c r="Q537" s="1137"/>
      <c r="R537" s="1137"/>
      <c r="S537" s="1137"/>
      <c r="T537" s="1137"/>
      <c r="U537" s="1137"/>
      <c r="V537" s="1137"/>
    </row>
    <row r="538" spans="1:22" s="562" customFormat="1" ht="12.75" customHeight="1">
      <c r="A538" s="719"/>
      <c r="B538" s="485"/>
      <c r="C538" s="559"/>
      <c r="D538" s="706"/>
      <c r="E538" s="698" t="s">
        <v>1670</v>
      </c>
      <c r="F538" s="698"/>
      <c r="G538" s="698"/>
      <c r="H538" s="730" t="str">
        <f>EUconst_EUA</f>
        <v>UKA</v>
      </c>
      <c r="I538" s="731"/>
      <c r="J538" s="2129" t="str">
        <f>IF($I477="","",ABS(SUM(J537)-SUM(J497)))</f>
        <v/>
      </c>
      <c r="K538" s="2072" t="str">
        <f>IF($I477="","",ABS(SUM(K537)-SUM(K497)))</f>
        <v/>
      </c>
      <c r="L538" s="2073" t="str">
        <f>IF($I477="","",ABS(SUM(L537)-SUM(L497)))</f>
        <v/>
      </c>
      <c r="M538" s="2073" t="str">
        <f>IF($I477="","",ABS(SUM(M537)-SUM(M497)))</f>
        <v/>
      </c>
      <c r="N538" s="2073" t="str">
        <f>IF($I477="","",ABS(SUM(N537)-SUM(N497)))</f>
        <v/>
      </c>
      <c r="O538" s="485"/>
      <c r="P538" s="1137"/>
      <c r="Q538" s="1137"/>
      <c r="R538" s="1137"/>
      <c r="S538" s="1137"/>
      <c r="T538" s="1137"/>
      <c r="U538" s="1137"/>
      <c r="V538" s="1137"/>
    </row>
    <row r="539" spans="1:22" s="562" customFormat="1" ht="12.75" customHeight="1">
      <c r="A539" s="719"/>
      <c r="B539" s="485"/>
      <c r="C539" s="559"/>
      <c r="D539" s="706"/>
      <c r="E539" s="740" t="s">
        <v>2132</v>
      </c>
      <c r="F539" s="740"/>
      <c r="G539" s="740"/>
      <c r="H539" s="741" t="s">
        <v>1021</v>
      </c>
      <c r="I539" s="742"/>
      <c r="J539" s="2147" t="str">
        <f>IF($I477="","",J538&gt;=100)</f>
        <v/>
      </c>
      <c r="K539" s="2134" t="str">
        <f>IF($I477="","",K538&gt;=100)</f>
        <v/>
      </c>
      <c r="L539" s="2135" t="str">
        <f>IF($I477="","",L538&gt;=100)</f>
        <v/>
      </c>
      <c r="M539" s="2135" t="str">
        <f>IF($I477="","",M538&gt;=100)</f>
        <v/>
      </c>
      <c r="N539" s="2135" t="str">
        <f>IF($I477="","",N538&gt;=100)</f>
        <v/>
      </c>
      <c r="O539" s="485"/>
      <c r="P539" s="1158" t="str">
        <f>EUconst_CNTR_100EUA_HEAT&amp;I477</f>
        <v>EUA100HEAT_</v>
      </c>
      <c r="Q539" s="1137"/>
      <c r="R539" s="1137"/>
      <c r="S539" s="1137"/>
      <c r="T539" s="1137"/>
      <c r="U539" s="1137"/>
      <c r="V539" s="1137"/>
    </row>
    <row r="540" spans="1:22" s="562" customFormat="1" ht="5.0999999999999996" customHeight="1">
      <c r="A540" s="719"/>
      <c r="B540" s="485"/>
      <c r="C540" s="559"/>
      <c r="D540" s="706"/>
      <c r="E540" s="485"/>
      <c r="F540" s="485"/>
      <c r="G540" s="485"/>
      <c r="H540" s="485"/>
      <c r="I540" s="743"/>
      <c r="J540" s="485"/>
      <c r="K540" s="1790"/>
      <c r="L540" s="1791"/>
      <c r="M540" s="1791"/>
      <c r="N540" s="1791"/>
      <c r="O540" s="485"/>
      <c r="P540" s="1137"/>
      <c r="Q540" s="1137"/>
      <c r="R540" s="1137"/>
      <c r="S540" s="1137"/>
      <c r="T540" s="1137"/>
      <c r="U540" s="1137"/>
      <c r="V540" s="1137"/>
    </row>
    <row r="541" spans="1:22" s="562" customFormat="1" ht="12.75" customHeight="1">
      <c r="A541" s="719"/>
      <c r="B541" s="485"/>
      <c r="C541" s="559"/>
      <c r="D541" s="706"/>
      <c r="E541" s="707" t="s">
        <v>1755</v>
      </c>
      <c r="F541" s="637"/>
      <c r="G541" s="637"/>
      <c r="H541" s="663" t="str">
        <f>EUconst_Unit</f>
        <v>Unit</v>
      </c>
      <c r="I541" s="708"/>
      <c r="J541" s="2132">
        <f>J$2737</f>
        <v>2026</v>
      </c>
      <c r="K541" s="1489">
        <f>K$2737</f>
        <v>2027</v>
      </c>
      <c r="L541" s="1490">
        <f>L$2737</f>
        <v>2028</v>
      </c>
      <c r="M541" s="1490">
        <f>M$2737</f>
        <v>2029</v>
      </c>
      <c r="N541" s="1490">
        <f>N$2737</f>
        <v>2030</v>
      </c>
      <c r="O541" s="485"/>
      <c r="P541" s="1137"/>
      <c r="Q541" s="1137"/>
      <c r="R541" s="1137"/>
      <c r="S541" s="1137"/>
      <c r="T541" s="1137"/>
      <c r="U541" s="1137"/>
      <c r="V541" s="1137"/>
    </row>
    <row r="542" spans="1:22" s="562" customFormat="1" ht="12.75" hidden="1" customHeight="1">
      <c r="A542" s="719" t="s">
        <v>2289</v>
      </c>
      <c r="B542" s="485"/>
      <c r="C542" s="559"/>
      <c r="D542" s="706"/>
      <c r="E542" s="698" t="s">
        <v>1714</v>
      </c>
      <c r="F542" s="698"/>
      <c r="G542" s="698"/>
      <c r="H542" s="639" t="str">
        <f>H528</f>
        <v>tonnes</v>
      </c>
      <c r="I542" s="698"/>
      <c r="J542" s="2137" t="str">
        <f t="shared" ref="J542:N544" si="36">I586</f>
        <v/>
      </c>
      <c r="K542" s="2072" t="str">
        <f t="shared" si="36"/>
        <v/>
      </c>
      <c r="L542" s="2073" t="str">
        <f t="shared" si="36"/>
        <v/>
      </c>
      <c r="M542" s="2073" t="str">
        <f t="shared" si="36"/>
        <v/>
      </c>
      <c r="N542" s="2073" t="str">
        <f t="shared" si="36"/>
        <v/>
      </c>
      <c r="O542" s="485"/>
      <c r="P542" s="1137"/>
      <c r="Q542" s="1137"/>
      <c r="R542" s="1137"/>
      <c r="S542" s="1137"/>
      <c r="T542" s="1137"/>
      <c r="U542" s="1137"/>
      <c r="V542" s="1137"/>
    </row>
    <row r="543" spans="1:22" s="562" customFormat="1" ht="12.75" hidden="1" customHeight="1">
      <c r="A543" s="719" t="s">
        <v>2289</v>
      </c>
      <c r="B543" s="485"/>
      <c r="C543" s="559"/>
      <c r="D543" s="706"/>
      <c r="E543" s="720" t="s">
        <v>303</v>
      </c>
      <c r="F543" s="720"/>
      <c r="G543" s="720"/>
      <c r="H543" s="721" t="str">
        <f>EUconst_EUA</f>
        <v>UKA</v>
      </c>
      <c r="I543" s="722"/>
      <c r="J543" s="2138" t="str">
        <f t="shared" si="36"/>
        <v/>
      </c>
      <c r="K543" s="2072" t="str">
        <f t="shared" si="36"/>
        <v/>
      </c>
      <c r="L543" s="2073" t="str">
        <f t="shared" si="36"/>
        <v/>
      </c>
      <c r="M543" s="2073" t="str">
        <f t="shared" si="36"/>
        <v/>
      </c>
      <c r="N543" s="2073" t="str">
        <f t="shared" si="36"/>
        <v/>
      </c>
      <c r="O543" s="485"/>
      <c r="P543" s="1137"/>
      <c r="Q543" s="1137"/>
      <c r="R543" s="1137"/>
      <c r="S543" s="1137"/>
      <c r="T543" s="1137"/>
      <c r="U543" s="1137"/>
      <c r="V543" s="1137"/>
    </row>
    <row r="544" spans="1:22" s="562" customFormat="1" ht="12.75" hidden="1" customHeight="1">
      <c r="A544" s="719" t="s">
        <v>2289</v>
      </c>
      <c r="B544" s="485"/>
      <c r="C544" s="559"/>
      <c r="D544" s="706"/>
      <c r="E544" s="745" t="s">
        <v>1422</v>
      </c>
      <c r="F544" s="745"/>
      <c r="G544" s="745"/>
      <c r="H544" s="746" t="str">
        <f>EUconst_EUA</f>
        <v>UKA</v>
      </c>
      <c r="I544" s="747"/>
      <c r="J544" s="2148" t="str">
        <f t="shared" si="36"/>
        <v/>
      </c>
      <c r="K544" s="2072" t="str">
        <f t="shared" si="36"/>
        <v/>
      </c>
      <c r="L544" s="2073" t="str">
        <f t="shared" si="36"/>
        <v/>
      </c>
      <c r="M544" s="2073" t="str">
        <f t="shared" si="36"/>
        <v/>
      </c>
      <c r="N544" s="2073" t="str">
        <f t="shared" si="36"/>
        <v/>
      </c>
      <c r="O544" s="485"/>
      <c r="P544" s="1137"/>
      <c r="Q544" s="1137"/>
      <c r="R544" s="1137"/>
      <c r="S544" s="1137"/>
      <c r="T544" s="1137"/>
      <c r="U544" s="1137"/>
      <c r="V544" s="1137"/>
    </row>
    <row r="545" spans="1:22" s="562" customFormat="1" ht="12.75" customHeight="1">
      <c r="A545" s="719"/>
      <c r="B545" s="485"/>
      <c r="C545" s="559"/>
      <c r="D545" s="706"/>
      <c r="E545" s="720" t="s">
        <v>1691</v>
      </c>
      <c r="F545" s="720"/>
      <c r="G545" s="720"/>
      <c r="H545" s="721" t="str">
        <f>EUconst_EUA</f>
        <v>UKA</v>
      </c>
      <c r="I545" s="722"/>
      <c r="J545" s="2151" t="str">
        <f>IF(L480=42,INDEX(H_SpecialBM!J:J,MATCH($P545,H_SpecialBM!$Q:$Q,0)),"")</f>
        <v/>
      </c>
      <c r="K545" s="2072" t="str">
        <f>IF(L480=42,INDEX(H_SpecialBM!K:K,MATCH($P545,H_SpecialBM!$Q:$Q,0)),"")</f>
        <v/>
      </c>
      <c r="L545" s="2073" t="str">
        <f>IF(L480=42,INDEX(H_SpecialBM!L:L,MATCH($P545,H_SpecialBM!$Q:$Q,0)),"")</f>
        <v/>
      </c>
      <c r="M545" s="2073" t="str">
        <f>IF(L480=42,INDEX(H_SpecialBM!M:M,MATCH($P545,H_SpecialBM!$Q:$Q,0)),"")</f>
        <v/>
      </c>
      <c r="N545" s="2073" t="str">
        <f>IF(L480=42,INDEX(H_SpecialBM!N:N,MATCH($P545,H_SpecialBM!$Q:$Q,0)),"")</f>
        <v/>
      </c>
      <c r="O545" s="485"/>
      <c r="P545" s="1158" t="str">
        <f>EUconst_CNTR_HVCInitial &amp; INDEX(EUconst_BMlistNames,42)</f>
        <v>HVCIni_Steam cracking</v>
      </c>
      <c r="Q545" s="1137"/>
      <c r="R545" s="1137"/>
      <c r="S545" s="1137"/>
      <c r="T545" s="1137"/>
      <c r="U545" s="1137"/>
      <c r="V545" s="1137"/>
    </row>
    <row r="546" spans="1:22" s="562" customFormat="1" ht="12.75" customHeight="1">
      <c r="A546" s="719"/>
      <c r="B546" s="485"/>
      <c r="C546" s="559"/>
      <c r="D546" s="706"/>
      <c r="E546" s="723" t="s">
        <v>2232</v>
      </c>
      <c r="F546" s="723"/>
      <c r="G546" s="723"/>
      <c r="H546" s="751" t="s">
        <v>1021</v>
      </c>
      <c r="I546" s="735"/>
      <c r="J546" s="23" t="str">
        <f>IF(L480=42,INDEX(H_SpecialBM!J:J,MATCH($P546,H_SpecialBM!$Q:$Q,0)),"")</f>
        <v/>
      </c>
      <c r="K546" s="46" t="str">
        <f>IF(L480=42,INDEX(H_SpecialBM!K:K,MATCH($P546,H_SpecialBM!$Q:$Q,0)),"")</f>
        <v/>
      </c>
      <c r="L546" s="27" t="str">
        <f>IF(L480=42,INDEX(H_SpecialBM!L:L,MATCH($P546,H_SpecialBM!$Q:$Q,0)),"")</f>
        <v/>
      </c>
      <c r="M546" s="27" t="str">
        <f>IF(L480=42,INDEX(H_SpecialBM!M:M,MATCH($P546,H_SpecialBM!$Q:$Q,0)),"")</f>
        <v/>
      </c>
      <c r="N546" s="27" t="str">
        <f>IF(L480=42,INDEX(H_SpecialBM!N:N,MATCH($P546,H_SpecialBM!$Q:$Q,0)),"")</f>
        <v/>
      </c>
      <c r="O546" s="485"/>
      <c r="P546" s="1158" t="str">
        <f>EUconst_CNTR_RelThreshold &amp; P548</f>
        <v>RelThresh_HVCprelim_</v>
      </c>
      <c r="Q546" s="1137"/>
      <c r="R546" s="1137"/>
      <c r="S546" s="1137"/>
      <c r="T546" s="1137"/>
      <c r="U546" s="1137"/>
      <c r="V546" s="1137"/>
    </row>
    <row r="547" spans="1:22" s="562" customFormat="1" ht="12.75" customHeight="1">
      <c r="A547" s="719"/>
      <c r="B547" s="485"/>
      <c r="C547" s="559"/>
      <c r="D547" s="706"/>
      <c r="E547" s="736" t="s">
        <v>1854</v>
      </c>
      <c r="F547" s="736"/>
      <c r="G547" s="736"/>
      <c r="H547" s="738" t="s">
        <v>1021</v>
      </c>
      <c r="I547" s="738"/>
      <c r="J547" s="2145" t="str">
        <f>IF(L480=42,INDEX(H_SpecialBM!V:V,MATCH($P547,H_SpecialBM!$Q:$Q,0)),"")</f>
        <v/>
      </c>
      <c r="K547" s="2134" t="str">
        <f>IF(L480=42,INDEX(H_SpecialBM!W:W,MATCH($P547,H_SpecialBM!$Q:$Q,0)),"")</f>
        <v/>
      </c>
      <c r="L547" s="2135" t="str">
        <f>IF(L480=42,INDEX(H_SpecialBM!X:X,MATCH($P547,H_SpecialBM!$Q:$Q,0)),"")</f>
        <v/>
      </c>
      <c r="M547" s="2135" t="str">
        <f>IF(L480=42,INDEX(H_SpecialBM!Y:Y,MATCH($P547,H_SpecialBM!$Q:$Q,0)),"")</f>
        <v/>
      </c>
      <c r="N547" s="2135" t="str">
        <f>IF(L480=42,INDEX(H_SpecialBM!Z:Z,MATCH($P547,H_SpecialBM!$Q:$Q,0)),"")</f>
        <v/>
      </c>
      <c r="O547" s="485"/>
      <c r="P547" s="1158" t="str">
        <f>P546</f>
        <v>RelThresh_HVCprelim_</v>
      </c>
      <c r="Q547" s="1137"/>
      <c r="R547" s="1137"/>
      <c r="S547" s="1137"/>
      <c r="T547" s="1137"/>
      <c r="U547" s="1137"/>
      <c r="V547" s="1137"/>
    </row>
    <row r="548" spans="1:22" s="562" customFormat="1" ht="12.75" customHeight="1">
      <c r="A548" s="719"/>
      <c r="B548" s="485"/>
      <c r="C548" s="559"/>
      <c r="D548" s="706"/>
      <c r="E548" s="727" t="s">
        <v>1689</v>
      </c>
      <c r="F548" s="727"/>
      <c r="G548" s="727"/>
      <c r="H548" s="728" t="str">
        <f>EUconst_EUA</f>
        <v>UKA</v>
      </c>
      <c r="I548" s="729"/>
      <c r="J548" s="2152" t="str">
        <f>IF($L480=42,INDEX(H_SpecialBM!J:J,MATCH($P548,H_SpecialBM!$Q:$Q,0)),"")</f>
        <v/>
      </c>
      <c r="K548" s="2072" t="str">
        <f>IF($L480=42,INDEX(H_SpecialBM!K:K,MATCH($P548,H_SpecialBM!$Q:$Q,0)),"")</f>
        <v/>
      </c>
      <c r="L548" s="2073" t="str">
        <f>IF($L480=42,INDEX(H_SpecialBM!L:L,MATCH($P548,H_SpecialBM!$Q:$Q,0)),"")</f>
        <v/>
      </c>
      <c r="M548" s="2073" t="str">
        <f>IF($L480=42,INDEX(H_SpecialBM!M:M,MATCH($P548,H_SpecialBM!$Q:$Q,0)),"")</f>
        <v/>
      </c>
      <c r="N548" s="2073" t="str">
        <f>IF($L480=42,INDEX(H_SpecialBM!N:N,MATCH($P548,H_SpecialBM!$Q:$Q,0)),"")</f>
        <v/>
      </c>
      <c r="O548" s="485"/>
      <c r="P548" s="1158" t="str">
        <f>EUconst_CNTR_HVCprelim</f>
        <v>HVCprelim_</v>
      </c>
      <c r="Q548" s="1137"/>
      <c r="R548" s="1137"/>
      <c r="S548" s="1137"/>
      <c r="T548" s="1137"/>
      <c r="U548" s="1137"/>
      <c r="V548" s="1137"/>
    </row>
    <row r="549" spans="1:22" s="562" customFormat="1" ht="12.75" hidden="1" customHeight="1">
      <c r="A549" s="719" t="s">
        <v>2289</v>
      </c>
      <c r="B549" s="485"/>
      <c r="C549" s="559"/>
      <c r="D549" s="706"/>
      <c r="E549" s="645" t="s">
        <v>1389</v>
      </c>
      <c r="F549" s="645"/>
      <c r="G549" s="645"/>
      <c r="H549" s="752" t="s">
        <v>1021</v>
      </c>
      <c r="I549" s="753"/>
      <c r="J549" s="2153" t="str">
        <f t="shared" ref="J549:N550" si="37">I590</f>
        <v/>
      </c>
      <c r="K549" s="2141" t="str">
        <f t="shared" si="37"/>
        <v/>
      </c>
      <c r="L549" s="2142" t="str">
        <f t="shared" si="37"/>
        <v/>
      </c>
      <c r="M549" s="2142" t="str">
        <f t="shared" si="37"/>
        <v/>
      </c>
      <c r="N549" s="2142" t="str">
        <f t="shared" si="37"/>
        <v/>
      </c>
      <c r="O549" s="485"/>
      <c r="P549" s="1137"/>
      <c r="Q549" s="1137"/>
      <c r="R549" s="1137"/>
      <c r="S549" s="1137"/>
      <c r="T549" s="1137"/>
      <c r="U549" s="1137"/>
      <c r="V549" s="1137"/>
    </row>
    <row r="550" spans="1:22" s="562" customFormat="1" ht="12.75" hidden="1" customHeight="1">
      <c r="A550" s="719" t="s">
        <v>2289</v>
      </c>
      <c r="B550" s="485"/>
      <c r="C550" s="559"/>
      <c r="D550" s="706"/>
      <c r="E550" s="727" t="s">
        <v>1391</v>
      </c>
      <c r="F550" s="727"/>
      <c r="G550" s="727"/>
      <c r="H550" s="728" t="s">
        <v>1021</v>
      </c>
      <c r="I550" s="729"/>
      <c r="J550" s="2143" t="str">
        <f t="shared" si="37"/>
        <v/>
      </c>
      <c r="K550" s="2141" t="str">
        <f t="shared" si="37"/>
        <v/>
      </c>
      <c r="L550" s="2142" t="str">
        <f t="shared" si="37"/>
        <v/>
      </c>
      <c r="M550" s="2142" t="str">
        <f t="shared" si="37"/>
        <v/>
      </c>
      <c r="N550" s="2142" t="str">
        <f t="shared" si="37"/>
        <v/>
      </c>
      <c r="O550" s="485"/>
      <c r="P550" s="1137"/>
      <c r="Q550" s="1137"/>
      <c r="R550" s="1137"/>
      <c r="S550" s="1137"/>
      <c r="T550" s="1137"/>
      <c r="U550" s="1137"/>
      <c r="V550" s="1137"/>
    </row>
    <row r="551" spans="1:22" s="562" customFormat="1" ht="12.75" customHeight="1">
      <c r="A551" s="719"/>
      <c r="B551" s="485"/>
      <c r="C551" s="559"/>
      <c r="D551" s="706"/>
      <c r="E551" s="698" t="s">
        <v>1671</v>
      </c>
      <c r="F551" s="698"/>
      <c r="G551" s="698"/>
      <c r="H551" s="730" t="str">
        <f>EUconst_EUA</f>
        <v>UKA</v>
      </c>
      <c r="I551" s="731"/>
      <c r="J551" s="2129" t="str">
        <f>IF(J548="","",MAX(0,ROUND((SUM($M480)*SUM(J542)*SUM(J549)*SUM(J550)-SUM(J543)-SUM(J544)+SUM(J548))*IF($H480=TRUE,1,J$2517),0)))</f>
        <v/>
      </c>
      <c r="K551" s="2072" t="str">
        <f>IF(K548="","",MAX(0,ROUND((SUM($M480)*SUM(K542)*SUM(K549)*SUM(K550)-SUM(K543)-SUM(K544)+SUM(K548))*IF($H480=TRUE,1,K$2517),0)))</f>
        <v/>
      </c>
      <c r="L551" s="2073" t="str">
        <f>IF(L548="","",MAX(0,ROUND((SUM($M480)*SUM(L542)*SUM(L549)*SUM(L550)-SUM(L543)-SUM(L544)+SUM(L548))*IF($H480=TRUE,1,L$2517),0)))</f>
        <v/>
      </c>
      <c r="M551" s="2073" t="str">
        <f>IF(M548="","",MAX(0,ROUND((SUM($M480)*SUM(M542)*SUM(M549)*SUM(M550)-SUM(M543)-SUM(M544)+SUM(M548))*IF($H480=TRUE,1,M$2517),0)))</f>
        <v/>
      </c>
      <c r="N551" s="2073" t="str">
        <f>IF(N548="","",MAX(0,ROUND((SUM($M480)*SUM(N542)*SUM(N549)*SUM(N550)-SUM(N543)-SUM(N544)+SUM(N548))*IF($H480=TRUE,1,N$2517),0)))</f>
        <v/>
      </c>
      <c r="O551" s="485"/>
      <c r="P551" s="1137"/>
      <c r="Q551" s="1137"/>
      <c r="R551" s="1137"/>
      <c r="S551" s="1137"/>
      <c r="T551" s="1137"/>
      <c r="U551" s="1137"/>
      <c r="V551" s="1137"/>
    </row>
    <row r="552" spans="1:22" s="562" customFormat="1" ht="12.75" customHeight="1">
      <c r="A552" s="719"/>
      <c r="B552" s="485"/>
      <c r="C552" s="559"/>
      <c r="D552" s="706"/>
      <c r="E552" s="698" t="s">
        <v>1670</v>
      </c>
      <c r="F552" s="698"/>
      <c r="G552" s="698"/>
      <c r="H552" s="730" t="str">
        <f>EUconst_EUA</f>
        <v>UKA</v>
      </c>
      <c r="I552" s="731"/>
      <c r="J552" s="2129" t="str">
        <f>IF(J551="","",ABS(SUM(J551)-SUM(J497)))</f>
        <v/>
      </c>
      <c r="K552" s="2072" t="str">
        <f>IF(K551="","",ABS(SUM(K551)-SUM(K497)))</f>
        <v/>
      </c>
      <c r="L552" s="2073" t="str">
        <f>IF(L551="","",ABS(SUM(L551)-SUM(L497)))</f>
        <v/>
      </c>
      <c r="M552" s="2073" t="str">
        <f>IF(M551="","",ABS(SUM(M551)-SUM(M497)))</f>
        <v/>
      </c>
      <c r="N552" s="2073" t="str">
        <f>IF(N551="","",ABS(SUM(N551)-SUM(N497)))</f>
        <v/>
      </c>
      <c r="O552" s="485"/>
      <c r="P552" s="1137"/>
      <c r="Q552" s="1137"/>
      <c r="R552" s="1137"/>
      <c r="S552" s="1137"/>
      <c r="T552" s="1137"/>
      <c r="U552" s="1137"/>
      <c r="V552" s="1137"/>
    </row>
    <row r="553" spans="1:22" s="562" customFormat="1" ht="12.75" customHeight="1">
      <c r="A553" s="719"/>
      <c r="B553" s="485"/>
      <c r="C553" s="559"/>
      <c r="D553" s="706"/>
      <c r="E553" s="740" t="s">
        <v>2133</v>
      </c>
      <c r="F553" s="698"/>
      <c r="G553" s="698"/>
      <c r="H553" s="741" t="s">
        <v>1021</v>
      </c>
      <c r="I553" s="742"/>
      <c r="J553" s="2147" t="str">
        <f>IF(J552="","",J552&gt;=100)</f>
        <v/>
      </c>
      <c r="K553" s="2134" t="str">
        <f>IF(K552="","",K552&gt;=100)</f>
        <v/>
      </c>
      <c r="L553" s="2135" t="str">
        <f>IF(L552="","",L552&gt;=100)</f>
        <v/>
      </c>
      <c r="M553" s="2135" t="str">
        <f>IF(M552="","",M552&gt;=100)</f>
        <v/>
      </c>
      <c r="N553" s="2135" t="str">
        <f>IF(N552="","",N552&gt;=100)</f>
        <v/>
      </c>
      <c r="O553" s="485"/>
      <c r="P553" s="1158" t="str">
        <f>EUconst_CNTR_100EUA_HVC&amp;I477</f>
        <v>EUA100HVC_</v>
      </c>
      <c r="Q553" s="1137"/>
      <c r="R553" s="1137"/>
      <c r="S553" s="1137"/>
      <c r="T553" s="1137"/>
      <c r="U553" s="1137"/>
      <c r="V553" s="1137"/>
    </row>
    <row r="554" spans="1:22" s="562" customFormat="1" ht="5.0999999999999996" customHeight="1">
      <c r="A554" s="719"/>
      <c r="B554" s="485"/>
      <c r="C554" s="559"/>
      <c r="D554" s="706"/>
      <c r="E554" s="485"/>
      <c r="F554" s="485"/>
      <c r="G554" s="485"/>
      <c r="H554" s="485"/>
      <c r="I554" s="743"/>
      <c r="J554" s="485"/>
      <c r="K554" s="1790"/>
      <c r="L554" s="1791"/>
      <c r="M554" s="1791"/>
      <c r="N554" s="1791"/>
      <c r="O554" s="485"/>
      <c r="P554" s="1137"/>
      <c r="Q554" s="1137"/>
      <c r="R554" s="1137"/>
      <c r="S554" s="1137"/>
      <c r="T554" s="1137"/>
      <c r="U554" s="1137"/>
      <c r="V554" s="1137"/>
    </row>
    <row r="555" spans="1:22" s="562" customFormat="1" ht="12.75" customHeight="1">
      <c r="A555" s="719"/>
      <c r="B555" s="485"/>
      <c r="C555" s="559"/>
      <c r="D555" s="706"/>
      <c r="E555" s="707" t="s">
        <v>1756</v>
      </c>
      <c r="F555" s="637"/>
      <c r="G555" s="637"/>
      <c r="H555" s="663" t="str">
        <f>EUconst_Unit</f>
        <v>Unit</v>
      </c>
      <c r="I555" s="708"/>
      <c r="J555" s="2132">
        <f>J$2737</f>
        <v>2026</v>
      </c>
      <c r="K555" s="1489">
        <f>K$2737</f>
        <v>2027</v>
      </c>
      <c r="L555" s="1490">
        <f>L$2737</f>
        <v>2028</v>
      </c>
      <c r="M555" s="1490">
        <f>M$2737</f>
        <v>2029</v>
      </c>
      <c r="N555" s="1490">
        <f>N$2737</f>
        <v>2030</v>
      </c>
      <c r="O555" s="485"/>
      <c r="P555" s="1137"/>
      <c r="Q555" s="1137"/>
      <c r="R555" s="1137"/>
      <c r="S555" s="1137"/>
      <c r="T555" s="1137"/>
      <c r="U555" s="1137"/>
      <c r="V555" s="1137"/>
    </row>
    <row r="556" spans="1:22" s="562" customFormat="1" ht="12.75" hidden="1" customHeight="1">
      <c r="A556" s="719" t="s">
        <v>2289</v>
      </c>
      <c r="B556" s="485"/>
      <c r="C556" s="559"/>
      <c r="D556" s="706"/>
      <c r="E556" s="698" t="s">
        <v>1714</v>
      </c>
      <c r="F556" s="698"/>
      <c r="G556" s="698"/>
      <c r="H556" s="639" t="str">
        <f>H542</f>
        <v>tonnes</v>
      </c>
      <c r="I556" s="698"/>
      <c r="J556" s="2137" t="str">
        <f t="shared" ref="J556:N560" si="38">I586</f>
        <v/>
      </c>
      <c r="K556" s="2072" t="str">
        <f t="shared" si="38"/>
        <v/>
      </c>
      <c r="L556" s="2073" t="str">
        <f t="shared" si="38"/>
        <v/>
      </c>
      <c r="M556" s="2073" t="str">
        <f t="shared" si="38"/>
        <v/>
      </c>
      <c r="N556" s="2073" t="str">
        <f t="shared" si="38"/>
        <v/>
      </c>
      <c r="O556" s="485"/>
      <c r="P556" s="1137"/>
      <c r="Q556" s="1137"/>
      <c r="R556" s="1137"/>
      <c r="S556" s="1137"/>
      <c r="T556" s="1137"/>
      <c r="U556" s="1137"/>
      <c r="V556" s="1137"/>
    </row>
    <row r="557" spans="1:22" s="562" customFormat="1" ht="12.75" hidden="1" customHeight="1">
      <c r="A557" s="719" t="s">
        <v>2289</v>
      </c>
      <c r="B557" s="485"/>
      <c r="C557" s="559"/>
      <c r="D557" s="706"/>
      <c r="E557" s="720" t="s">
        <v>303</v>
      </c>
      <c r="F557" s="720"/>
      <c r="G557" s="720"/>
      <c r="H557" s="721" t="str">
        <f>EUconst_EUA</f>
        <v>UKA</v>
      </c>
      <c r="I557" s="722"/>
      <c r="J557" s="2138" t="str">
        <f t="shared" si="38"/>
        <v/>
      </c>
      <c r="K557" s="2072" t="str">
        <f t="shared" si="38"/>
        <v/>
      </c>
      <c r="L557" s="2073" t="str">
        <f t="shared" si="38"/>
        <v/>
      </c>
      <c r="M557" s="2073" t="str">
        <f t="shared" si="38"/>
        <v/>
      </c>
      <c r="N557" s="2073" t="str">
        <f t="shared" si="38"/>
        <v/>
      </c>
      <c r="O557" s="485"/>
      <c r="P557" s="1137"/>
      <c r="Q557" s="1137"/>
      <c r="R557" s="1137"/>
      <c r="S557" s="1137"/>
      <c r="T557" s="1137"/>
      <c r="U557" s="1137"/>
      <c r="V557" s="1137"/>
    </row>
    <row r="558" spans="1:22" s="562" customFormat="1" ht="12.75" hidden="1" customHeight="1">
      <c r="A558" s="719" t="s">
        <v>2289</v>
      </c>
      <c r="B558" s="485"/>
      <c r="C558" s="559"/>
      <c r="D558" s="706"/>
      <c r="E558" s="723" t="s">
        <v>1422</v>
      </c>
      <c r="F558" s="723"/>
      <c r="G558" s="723"/>
      <c r="H558" s="724" t="str">
        <f>EUconst_EUA</f>
        <v>UKA</v>
      </c>
      <c r="I558" s="725"/>
      <c r="J558" s="2139" t="str">
        <f t="shared" si="38"/>
        <v/>
      </c>
      <c r="K558" s="2072" t="str">
        <f t="shared" si="38"/>
        <v/>
      </c>
      <c r="L558" s="2073" t="str">
        <f t="shared" si="38"/>
        <v/>
      </c>
      <c r="M558" s="2073" t="str">
        <f t="shared" si="38"/>
        <v/>
      </c>
      <c r="N558" s="2073" t="str">
        <f t="shared" si="38"/>
        <v/>
      </c>
      <c r="O558" s="485"/>
      <c r="P558" s="1137"/>
      <c r="Q558" s="1137"/>
      <c r="R558" s="1137"/>
      <c r="S558" s="1137"/>
      <c r="T558" s="1137"/>
      <c r="U558" s="1137"/>
      <c r="V558" s="1137"/>
    </row>
    <row r="559" spans="1:22" s="562" customFormat="1" ht="12.75" hidden="1" customHeight="1">
      <c r="A559" s="719" t="s">
        <v>2289</v>
      </c>
      <c r="B559" s="485"/>
      <c r="C559" s="559"/>
      <c r="D559" s="706"/>
      <c r="E559" s="723" t="s">
        <v>1390</v>
      </c>
      <c r="F559" s="723"/>
      <c r="G559" s="723"/>
      <c r="H559" s="724" t="str">
        <f>EUconst_EUA</f>
        <v>UKA</v>
      </c>
      <c r="I559" s="725"/>
      <c r="J559" s="2139" t="str">
        <f t="shared" si="38"/>
        <v/>
      </c>
      <c r="K559" s="2072" t="str">
        <f t="shared" si="38"/>
        <v/>
      </c>
      <c r="L559" s="2073" t="str">
        <f t="shared" si="38"/>
        <v/>
      </c>
      <c r="M559" s="2073" t="str">
        <f t="shared" si="38"/>
        <v/>
      </c>
      <c r="N559" s="2073" t="str">
        <f t="shared" si="38"/>
        <v/>
      </c>
      <c r="O559" s="485"/>
      <c r="P559" s="1137"/>
      <c r="Q559" s="1137"/>
      <c r="R559" s="1137"/>
      <c r="S559" s="1137"/>
      <c r="T559" s="1137"/>
      <c r="U559" s="1137"/>
      <c r="V559" s="1137"/>
    </row>
    <row r="560" spans="1:22" s="562" customFormat="1" ht="12.75" hidden="1" customHeight="1">
      <c r="A560" s="719" t="s">
        <v>2289</v>
      </c>
      <c r="B560" s="485"/>
      <c r="C560" s="559"/>
      <c r="D560" s="706"/>
      <c r="E560" s="745" t="s">
        <v>1389</v>
      </c>
      <c r="F560" s="745"/>
      <c r="G560" s="745"/>
      <c r="H560" s="754" t="s">
        <v>1021</v>
      </c>
      <c r="I560" s="747"/>
      <c r="J560" s="2154" t="str">
        <f t="shared" si="38"/>
        <v/>
      </c>
      <c r="K560" s="2141" t="str">
        <f t="shared" si="38"/>
        <v/>
      </c>
      <c r="L560" s="2142" t="str">
        <f t="shared" si="38"/>
        <v/>
      </c>
      <c r="M560" s="2142" t="str">
        <f t="shared" si="38"/>
        <v/>
      </c>
      <c r="N560" s="2142" t="str">
        <f t="shared" si="38"/>
        <v/>
      </c>
      <c r="O560" s="485"/>
      <c r="P560" s="1137"/>
      <c r="Q560" s="1137"/>
      <c r="R560" s="1137"/>
      <c r="S560" s="1137"/>
      <c r="T560" s="1137"/>
      <c r="U560" s="1137"/>
      <c r="V560" s="1137"/>
    </row>
    <row r="561" spans="1:22" s="562" customFormat="1" ht="12.75" customHeight="1">
      <c r="A561" s="719"/>
      <c r="B561" s="485"/>
      <c r="C561" s="559"/>
      <c r="D561" s="706"/>
      <c r="E561" s="720" t="s">
        <v>1691</v>
      </c>
      <c r="F561" s="720"/>
      <c r="G561" s="720"/>
      <c r="H561" s="748" t="s">
        <v>1021</v>
      </c>
      <c r="I561" s="722"/>
      <c r="J561" s="2149" t="str">
        <f>IF(L480=47,INDEX(H_SpecialBM!J:J,MATCH($P561,H_SpecialBM!$Q:$Q,0)),"")</f>
        <v/>
      </c>
      <c r="K561" s="2141" t="str">
        <f>IF(L480=47,INDEX(H_SpecialBM!K:K,MATCH($P561,H_SpecialBM!$Q:$Q,0)),"")</f>
        <v/>
      </c>
      <c r="L561" s="2142" t="str">
        <f>IF(L480=47,INDEX(H_SpecialBM!L:L,MATCH($P561,H_SpecialBM!$Q:$Q,0)),"")</f>
        <v/>
      </c>
      <c r="M561" s="2142" t="str">
        <f>IF(L480=47,INDEX(H_SpecialBM!M:M,MATCH($P561,H_SpecialBM!$Q:$Q,0)),"")</f>
        <v/>
      </c>
      <c r="N561" s="2142" t="str">
        <f>IF(L480=47,INDEX(H_SpecialBM!N:N,MATCH($P561,H_SpecialBM!$Q:$Q,0)),"")</f>
        <v/>
      </c>
      <c r="O561" s="485"/>
      <c r="P561" s="1158" t="str">
        <f>EUconst_CNTR_VCMInitial &amp; INDEX(EUconst_BMlistNames,47)</f>
        <v>VCMIni_Vinyl chloride monomer</v>
      </c>
      <c r="Q561" s="1137"/>
      <c r="R561" s="1137"/>
      <c r="S561" s="1137"/>
      <c r="T561" s="1137"/>
      <c r="U561" s="1137"/>
      <c r="V561" s="1137"/>
    </row>
    <row r="562" spans="1:22" s="562" customFormat="1" ht="12.75" customHeight="1">
      <c r="A562" s="719"/>
      <c r="B562" s="485"/>
      <c r="C562" s="559"/>
      <c r="D562" s="706"/>
      <c r="E562" s="723" t="s">
        <v>2232</v>
      </c>
      <c r="F562" s="723"/>
      <c r="G562" s="723"/>
      <c r="H562" s="751" t="s">
        <v>1021</v>
      </c>
      <c r="I562" s="735"/>
      <c r="J562" s="23" t="str">
        <f>IF(L480=47,INDEX(H_SpecialBM!J:J,MATCH($P562,H_SpecialBM!$Q:$Q,0)),"")</f>
        <v/>
      </c>
      <c r="K562" s="46" t="str">
        <f>IF(L480=47,INDEX(H_SpecialBM!K:K,MATCH($P562,H_SpecialBM!$Q:$Q,0)),"")</f>
        <v/>
      </c>
      <c r="L562" s="27" t="str">
        <f>IF(L480=47,INDEX(H_SpecialBM!L:L,MATCH($P562,H_SpecialBM!$Q:$Q,0)),"")</f>
        <v/>
      </c>
      <c r="M562" s="27" t="str">
        <f>IF(L480=47,INDEX(H_SpecialBM!M:M,MATCH($P562,H_SpecialBM!$Q:$Q,0)),"")</f>
        <v/>
      </c>
      <c r="N562" s="27" t="str">
        <f>IF(L480=47,INDEX(H_SpecialBM!N:N,MATCH($P562,H_SpecialBM!$Q:$Q,0)),"")</f>
        <v/>
      </c>
      <c r="O562" s="485"/>
      <c r="P562" s="1158" t="str">
        <f>EUconst_CNTR_RelThreshold &amp; P564</f>
        <v>RelThresh_VCMprelim_</v>
      </c>
      <c r="Q562" s="1137"/>
      <c r="R562" s="1137"/>
      <c r="S562" s="1137"/>
      <c r="T562" s="1137"/>
      <c r="U562" s="1137"/>
      <c r="V562" s="1137"/>
    </row>
    <row r="563" spans="1:22" s="562" customFormat="1" ht="12.75" customHeight="1">
      <c r="A563" s="719"/>
      <c r="B563" s="485"/>
      <c r="C563" s="559"/>
      <c r="D563" s="706"/>
      <c r="E563" s="736" t="s">
        <v>1855</v>
      </c>
      <c r="F563" s="736"/>
      <c r="G563" s="736"/>
      <c r="H563" s="738" t="s">
        <v>1021</v>
      </c>
      <c r="I563" s="738"/>
      <c r="J563" s="2145" t="str">
        <f>IF(L480=47,INDEX(H_SpecialBM!V:V,MATCH($P563,H_SpecialBM!$Q:$Q,0)),"")</f>
        <v/>
      </c>
      <c r="K563" s="2134" t="str">
        <f>IF(L480=47,INDEX(H_SpecialBM!W:W,MATCH($P563,H_SpecialBM!$Q:$Q,0)),"")</f>
        <v/>
      </c>
      <c r="L563" s="2135" t="str">
        <f>IF(L480=47,INDEX(H_SpecialBM!X:X,MATCH($P563,H_SpecialBM!$Q:$Q,0)),"")</f>
        <v/>
      </c>
      <c r="M563" s="2135" t="str">
        <f>IF(L480=47,INDEX(H_SpecialBM!Y:Y,MATCH($P563,H_SpecialBM!$Q:$Q,0)),"")</f>
        <v/>
      </c>
      <c r="N563" s="2135" t="str">
        <f>IF(L480=47,INDEX(H_SpecialBM!Z:Z,MATCH($P563,H_SpecialBM!$Q:$Q,0)),"")</f>
        <v/>
      </c>
      <c r="O563" s="485"/>
      <c r="P563" s="1158" t="str">
        <f>P562</f>
        <v>RelThresh_VCMprelim_</v>
      </c>
      <c r="Q563" s="1137"/>
      <c r="R563" s="1137"/>
      <c r="S563" s="1137"/>
      <c r="T563" s="1137"/>
      <c r="U563" s="1137"/>
      <c r="V563" s="1137"/>
    </row>
    <row r="564" spans="1:22" s="562" customFormat="1" ht="12.75" customHeight="1">
      <c r="A564" s="719"/>
      <c r="B564" s="485"/>
      <c r="C564" s="559"/>
      <c r="D564" s="706"/>
      <c r="E564" s="727" t="s">
        <v>1689</v>
      </c>
      <c r="F564" s="727"/>
      <c r="G564" s="727"/>
      <c r="H564" s="728" t="s">
        <v>1021</v>
      </c>
      <c r="I564" s="729"/>
      <c r="J564" s="2150" t="str">
        <f>IF($L480=47,IF(ISNUMBER(INDEX(H_SpecialBM!J:J,MATCH($P564,H_SpecialBM!$Q:$Q,0))),INDEX(H_SpecialBM!J:J,MATCH($P564,H_SpecialBM!$Q:$Q,0)),1),"")</f>
        <v/>
      </c>
      <c r="K564" s="2141" t="str">
        <f>IF($L480=47,IF(ISNUMBER(INDEX(H_SpecialBM!K:K,MATCH($P564,H_SpecialBM!$Q:$Q,0))),INDEX(H_SpecialBM!K:K,MATCH($P564,H_SpecialBM!$Q:$Q,0)),1),"")</f>
        <v/>
      </c>
      <c r="L564" s="2142" t="str">
        <f>IF($L480=47,IF(ISNUMBER(INDEX(H_SpecialBM!L:L,MATCH($P564,H_SpecialBM!$Q:$Q,0))),INDEX(H_SpecialBM!L:L,MATCH($P564,H_SpecialBM!$Q:$Q,0)),1),"")</f>
        <v/>
      </c>
      <c r="M564" s="2142" t="str">
        <f>IF($L480=47,IF(ISNUMBER(INDEX(H_SpecialBM!M:M,MATCH($P564,H_SpecialBM!$Q:$Q,0))),INDEX(H_SpecialBM!M:M,MATCH($P564,H_SpecialBM!$Q:$Q,0)),1),"")</f>
        <v/>
      </c>
      <c r="N564" s="2142" t="str">
        <f>IF($L480=47,IF(ISNUMBER(INDEX(H_SpecialBM!N:N,MATCH($P564,H_SpecialBM!$Q:$Q,0))),INDEX(H_SpecialBM!N:N,MATCH($P564,H_SpecialBM!$Q:$Q,0)),1),"")</f>
        <v/>
      </c>
      <c r="O564" s="485"/>
      <c r="P564" s="1158" t="str">
        <f>EUconst_CNTR_VCMprelim</f>
        <v>VCMprelim_</v>
      </c>
      <c r="Q564" s="1137"/>
      <c r="R564" s="1137"/>
      <c r="S564" s="1137"/>
      <c r="T564" s="1137"/>
      <c r="U564" s="1137"/>
      <c r="V564" s="1137"/>
    </row>
    <row r="565" spans="1:22" s="562" customFormat="1" ht="12.75" customHeight="1">
      <c r="A565" s="719"/>
      <c r="B565" s="485"/>
      <c r="C565" s="559"/>
      <c r="D565" s="706"/>
      <c r="E565" s="698" t="s">
        <v>1671</v>
      </c>
      <c r="F565" s="698"/>
      <c r="G565" s="698"/>
      <c r="H565" s="730" t="str">
        <f>EUconst_EUA</f>
        <v>UKA</v>
      </c>
      <c r="I565" s="731"/>
      <c r="J565" s="2129" t="str">
        <f>IF(J564="","",MAX(0,ROUND((SUM($M480)*SUM(J556)*SUM(J560)*SUM(J564)-SUM(J557)-SUM(J558)+SUM(J559))*IF($H480=TRUE,1,J$2517),0)))</f>
        <v/>
      </c>
      <c r="K565" s="2072" t="str">
        <f>IF(K564="","",MAX(0,ROUND((SUM($M480)*SUM(K556)*SUM(K560)*SUM(K564)-SUM(K557)-SUM(K558)+SUM(K559))*IF($H480=TRUE,1,K$2517),0)))</f>
        <v/>
      </c>
      <c r="L565" s="2073" t="str">
        <f>IF(L564="","",MAX(0,ROUND((SUM($M480)*SUM(L556)*SUM(L560)*SUM(L564)-SUM(L557)-SUM(L558)+SUM(L559))*IF($H480=TRUE,1,L$2517),0)))</f>
        <v/>
      </c>
      <c r="M565" s="2073" t="str">
        <f>IF(M564="","",MAX(0,ROUND((SUM($M480)*SUM(M556)*SUM(M560)*SUM(M564)-SUM(M557)-SUM(M558)+SUM(M559))*IF($H480=TRUE,1,M$2517),0)))</f>
        <v/>
      </c>
      <c r="N565" s="2073" t="str">
        <f>IF(N564="","",MAX(0,ROUND((SUM($M480)*SUM(N556)*SUM(N560)*SUM(N564)-SUM(N557)-SUM(N558)+SUM(N559))*IF($H480=TRUE,1,N$2517),0)))</f>
        <v/>
      </c>
      <c r="O565" s="485"/>
      <c r="P565" s="1137"/>
      <c r="Q565" s="1137"/>
      <c r="R565" s="1137"/>
      <c r="S565" s="1137"/>
      <c r="T565" s="1137"/>
      <c r="U565" s="1137"/>
      <c r="V565" s="1137"/>
    </row>
    <row r="566" spans="1:22" s="562" customFormat="1" ht="12.75" customHeight="1">
      <c r="A566" s="719"/>
      <c r="B566" s="485"/>
      <c r="C566" s="559"/>
      <c r="D566" s="706"/>
      <c r="E566" s="698" t="s">
        <v>1670</v>
      </c>
      <c r="F566" s="698"/>
      <c r="G566" s="698"/>
      <c r="H566" s="730" t="str">
        <f>EUconst_EUA</f>
        <v>UKA</v>
      </c>
      <c r="I566" s="731"/>
      <c r="J566" s="2129" t="str">
        <f>IF(J565="","",ABS(SUM(J565)-SUM(J497)))</f>
        <v/>
      </c>
      <c r="K566" s="2072" t="str">
        <f>IF(K565="","",ABS(SUM(K565)-SUM(K497)))</f>
        <v/>
      </c>
      <c r="L566" s="2073" t="str">
        <f>IF(L565="","",ABS(SUM(L565)-SUM(L497)))</f>
        <v/>
      </c>
      <c r="M566" s="2073" t="str">
        <f>IF(M565="","",ABS(SUM(M565)-SUM(M497)))</f>
        <v/>
      </c>
      <c r="N566" s="2073" t="str">
        <f>IF(N565="","",ABS(SUM(N565)-SUM(N497)))</f>
        <v/>
      </c>
      <c r="O566" s="485"/>
      <c r="P566" s="1137"/>
      <c r="Q566" s="1137"/>
      <c r="R566" s="1137"/>
      <c r="S566" s="1137"/>
      <c r="T566" s="1137"/>
      <c r="U566" s="1137"/>
      <c r="V566" s="1137"/>
    </row>
    <row r="567" spans="1:22" s="562" customFormat="1" ht="12.75" customHeight="1">
      <c r="A567" s="719"/>
      <c r="B567" s="485"/>
      <c r="C567" s="559"/>
      <c r="D567" s="706"/>
      <c r="E567" s="740" t="s">
        <v>2134</v>
      </c>
      <c r="F567" s="698"/>
      <c r="G567" s="698"/>
      <c r="H567" s="741" t="s">
        <v>1021</v>
      </c>
      <c r="I567" s="742"/>
      <c r="J567" s="2147" t="str">
        <f>IF(J566="","",J566&gt;=100)</f>
        <v/>
      </c>
      <c r="K567" s="2134" t="str">
        <f>IF(K566="","",K566&gt;=100)</f>
        <v/>
      </c>
      <c r="L567" s="2135" t="str">
        <f>IF(L566="","",L566&gt;=100)</f>
        <v/>
      </c>
      <c r="M567" s="2135" t="str">
        <f>IF(M566="","",M566&gt;=100)</f>
        <v/>
      </c>
      <c r="N567" s="2135" t="str">
        <f>IF(N566="","",N566&gt;=100)</f>
        <v/>
      </c>
      <c r="O567" s="485"/>
      <c r="P567" s="1158" t="str">
        <f>EUconst_CNTR_100EUA_VCM&amp;I504</f>
        <v>EUA100VCM_</v>
      </c>
      <c r="Q567" s="1137"/>
      <c r="R567" s="1137"/>
      <c r="S567" s="1137"/>
      <c r="T567" s="1137"/>
      <c r="U567" s="1137"/>
      <c r="V567" s="1137"/>
    </row>
    <row r="568" spans="1:22" s="562" customFormat="1" ht="5.0999999999999996" customHeight="1">
      <c r="A568" s="719"/>
      <c r="B568" s="485"/>
      <c r="C568" s="559"/>
      <c r="D568" s="706"/>
      <c r="E568" s="485"/>
      <c r="F568" s="485"/>
      <c r="G568" s="485"/>
      <c r="H568" s="485"/>
      <c r="I568" s="743"/>
      <c r="J568" s="485"/>
      <c r="K568" s="1790"/>
      <c r="L568" s="1791"/>
      <c r="M568" s="1791"/>
      <c r="N568" s="1791"/>
      <c r="O568" s="485"/>
      <c r="P568" s="1137"/>
      <c r="Q568" s="1137"/>
      <c r="R568" s="1137"/>
      <c r="S568" s="1137"/>
      <c r="T568" s="1137"/>
      <c r="U568" s="1137"/>
      <c r="V568" s="1137"/>
    </row>
    <row r="569" spans="1:22" s="562" customFormat="1" ht="12.75" customHeight="1">
      <c r="A569" s="719"/>
      <c r="B569" s="485"/>
      <c r="C569" s="559"/>
      <c r="D569" s="706"/>
      <c r="E569" s="707" t="s">
        <v>1757</v>
      </c>
      <c r="F569" s="637"/>
      <c r="G569" s="637"/>
      <c r="H569" s="663" t="str">
        <f>EUconst_Unit</f>
        <v>Unit</v>
      </c>
      <c r="I569" s="708"/>
      <c r="J569" s="2132">
        <f>J$2737</f>
        <v>2026</v>
      </c>
      <c r="K569" s="1489">
        <f>K$2737</f>
        <v>2027</v>
      </c>
      <c r="L569" s="1490">
        <f>L$2737</f>
        <v>2028</v>
      </c>
      <c r="M569" s="1490">
        <f>M$2737</f>
        <v>2029</v>
      </c>
      <c r="N569" s="1490">
        <f>N$2737</f>
        <v>2030</v>
      </c>
      <c r="O569" s="485"/>
      <c r="P569" s="1137"/>
      <c r="Q569" s="1137"/>
      <c r="R569" s="1137"/>
      <c r="S569" s="1137"/>
      <c r="T569" s="1137"/>
      <c r="U569" s="1137"/>
      <c r="V569" s="1137"/>
    </row>
    <row r="570" spans="1:22" s="562" customFormat="1" ht="12.75" hidden="1" customHeight="1">
      <c r="A570" s="719" t="s">
        <v>2289</v>
      </c>
      <c r="B570" s="485"/>
      <c r="C570" s="559"/>
      <c r="D570" s="706"/>
      <c r="E570" s="698" t="s">
        <v>1714</v>
      </c>
      <c r="F570" s="698"/>
      <c r="G570" s="698"/>
      <c r="H570" s="639" t="str">
        <f>H556</f>
        <v>tonnes</v>
      </c>
      <c r="I570" s="698"/>
      <c r="J570" s="2137" t="str">
        <f t="shared" ref="J570:N571" si="39">I586</f>
        <v/>
      </c>
      <c r="K570" s="2072" t="str">
        <f t="shared" si="39"/>
        <v/>
      </c>
      <c r="L570" s="2073" t="str">
        <f t="shared" si="39"/>
        <v/>
      </c>
      <c r="M570" s="2073" t="str">
        <f t="shared" si="39"/>
        <v/>
      </c>
      <c r="N570" s="2073" t="str">
        <f t="shared" si="39"/>
        <v/>
      </c>
      <c r="O570" s="485"/>
      <c r="P570" s="1137"/>
      <c r="Q570" s="1137"/>
      <c r="R570" s="1137"/>
      <c r="S570" s="1137"/>
      <c r="T570" s="1137"/>
      <c r="U570" s="1137"/>
      <c r="V570" s="1137"/>
    </row>
    <row r="571" spans="1:22" s="562" customFormat="1" ht="12.75" hidden="1" customHeight="1">
      <c r="A571" s="719" t="s">
        <v>2289</v>
      </c>
      <c r="B571" s="485"/>
      <c r="C571" s="559"/>
      <c r="D571" s="706"/>
      <c r="E571" s="720" t="s">
        <v>303</v>
      </c>
      <c r="F571" s="720"/>
      <c r="G571" s="720"/>
      <c r="H571" s="721" t="str">
        <f>EUconst_EUA</f>
        <v>UKA</v>
      </c>
      <c r="I571" s="722"/>
      <c r="J571" s="2138" t="str">
        <f t="shared" si="39"/>
        <v/>
      </c>
      <c r="K571" s="2072" t="str">
        <f t="shared" si="39"/>
        <v/>
      </c>
      <c r="L571" s="2073" t="str">
        <f t="shared" si="39"/>
        <v/>
      </c>
      <c r="M571" s="2073" t="str">
        <f t="shared" si="39"/>
        <v/>
      </c>
      <c r="N571" s="2073" t="str">
        <f t="shared" si="39"/>
        <v/>
      </c>
      <c r="O571" s="485"/>
      <c r="P571" s="1137"/>
      <c r="Q571" s="1137"/>
      <c r="R571" s="1137"/>
      <c r="S571" s="1137"/>
      <c r="T571" s="1137"/>
      <c r="U571" s="1137"/>
      <c r="V571" s="1137"/>
    </row>
    <row r="572" spans="1:22" s="562" customFormat="1" ht="12.75" customHeight="1">
      <c r="A572" s="719"/>
      <c r="B572" s="485"/>
      <c r="C572" s="559"/>
      <c r="D572" s="706"/>
      <c r="E572" s="720" t="s">
        <v>1691</v>
      </c>
      <c r="F572" s="720"/>
      <c r="G572" s="720"/>
      <c r="H572" s="748" t="str">
        <f>EUconst_tCO2</f>
        <v>t CO2</v>
      </c>
      <c r="I572" s="722"/>
      <c r="J572" s="2144" t="str">
        <f>INDEX(F_ProductBM!J:J,MATCH($P572,F_ProductBM!$Q:$Q,0))</f>
        <v/>
      </c>
      <c r="K572" s="2072" t="str">
        <f>INDEX(F_ProductBM!K:K,MATCH($P572,F_ProductBM!$Q:$Q,0))</f>
        <v/>
      </c>
      <c r="L572" s="2073" t="str">
        <f>INDEX(F_ProductBM!L:L,MATCH($P572,F_ProductBM!$Q:$Q,0))</f>
        <v/>
      </c>
      <c r="M572" s="2073" t="str">
        <f>INDEX(F_ProductBM!M:M,MATCH($P572,F_ProductBM!$Q:$Q,0))</f>
        <v/>
      </c>
      <c r="N572" s="2073" t="str">
        <f>INDEX(F_ProductBM!N:N,MATCH($P572,F_ProductBM!$Q:$Q,0))</f>
        <v/>
      </c>
      <c r="O572" s="485"/>
      <c r="P572" s="1158" t="str">
        <f>EUconst_CNTR_HALinitial &amp; EUconst_CNTR_WGFlared &amp; I477</f>
        <v>HALini_WasteGasFlare_</v>
      </c>
      <c r="Q572" s="1137"/>
      <c r="R572" s="1137"/>
      <c r="S572" s="1137"/>
      <c r="T572" s="1137"/>
      <c r="U572" s="1137"/>
      <c r="V572" s="1137"/>
    </row>
    <row r="573" spans="1:22" s="562" customFormat="1" ht="12.75" customHeight="1">
      <c r="A573" s="719"/>
      <c r="B573" s="485"/>
      <c r="C573" s="559"/>
      <c r="D573" s="706"/>
      <c r="E573" s="723" t="s">
        <v>2232</v>
      </c>
      <c r="F573" s="723"/>
      <c r="G573" s="723"/>
      <c r="H573" s="734" t="s">
        <v>1021</v>
      </c>
      <c r="I573" s="735"/>
      <c r="J573" s="23" t="str">
        <f>INDEX(F_ProductBM!J:J,MATCH($P573,F_ProductBM!$Q:$Q,0))</f>
        <v/>
      </c>
      <c r="K573" s="46" t="str">
        <f>INDEX(F_ProductBM!K:K,MATCH($P573,F_ProductBM!$Q:$Q,0))</f>
        <v/>
      </c>
      <c r="L573" s="27" t="str">
        <f>INDEX(F_ProductBM!L:L,MATCH($P573,F_ProductBM!$Q:$Q,0))</f>
        <v/>
      </c>
      <c r="M573" s="27" t="str">
        <f>INDEX(F_ProductBM!M:M,MATCH($P573,F_ProductBM!$Q:$Q,0))</f>
        <v/>
      </c>
      <c r="N573" s="27" t="str">
        <f>INDEX(F_ProductBM!N:N,MATCH($P573,F_ProductBM!$Q:$Q,0))</f>
        <v/>
      </c>
      <c r="O573" s="485"/>
      <c r="P573" s="1158" t="str">
        <f>EUconst_CNTR_RelThreshold &amp; P575</f>
        <v>RelThresh_HALprelim_WasteGasFlare_</v>
      </c>
      <c r="Q573" s="1137"/>
      <c r="R573" s="1137"/>
      <c r="S573" s="1137"/>
      <c r="T573" s="1137"/>
      <c r="U573" s="1137"/>
      <c r="V573" s="1137"/>
    </row>
    <row r="574" spans="1:22" s="562" customFormat="1" ht="12.75" customHeight="1">
      <c r="A574" s="719"/>
      <c r="B574" s="485"/>
      <c r="C574" s="559"/>
      <c r="D574" s="706"/>
      <c r="E574" s="736" t="s">
        <v>1856</v>
      </c>
      <c r="F574" s="736"/>
      <c r="G574" s="736"/>
      <c r="H574" s="737" t="s">
        <v>1021</v>
      </c>
      <c r="I574" s="738"/>
      <c r="J574" s="2145" t="str">
        <f>INDEX(F_ProductBM!V:V,MATCH($P574,F_ProductBM!$Q:$Q,0))</f>
        <v/>
      </c>
      <c r="K574" s="2134" t="str">
        <f>INDEX(F_ProductBM!W:W,MATCH($P574,F_ProductBM!$Q:$Q,0))</f>
        <v/>
      </c>
      <c r="L574" s="2135" t="str">
        <f>INDEX(F_ProductBM!X:X,MATCH($P574,F_ProductBM!$Q:$Q,0))</f>
        <v/>
      </c>
      <c r="M574" s="2135" t="str">
        <f>INDEX(F_ProductBM!Y:Y,MATCH($P574,F_ProductBM!$Q:$Q,0))</f>
        <v/>
      </c>
      <c r="N574" s="2135" t="str">
        <f>INDEX(F_ProductBM!Z:Z,MATCH($P574,F_ProductBM!$Q:$Q,0))</f>
        <v/>
      </c>
      <c r="O574" s="485"/>
      <c r="P574" s="1158" t="str">
        <f>P573</f>
        <v>RelThresh_HALprelim_WasteGasFlare_</v>
      </c>
      <c r="Q574" s="1137"/>
      <c r="R574" s="1137"/>
      <c r="S574" s="1137"/>
      <c r="T574" s="1137"/>
      <c r="U574" s="1137"/>
      <c r="V574" s="1137"/>
    </row>
    <row r="575" spans="1:22" s="562" customFormat="1" ht="12.75" customHeight="1">
      <c r="A575" s="719"/>
      <c r="B575" s="485"/>
      <c r="C575" s="559"/>
      <c r="D575" s="706"/>
      <c r="E575" s="727" t="s">
        <v>1689</v>
      </c>
      <c r="F575" s="727"/>
      <c r="G575" s="727"/>
      <c r="H575" s="728" t="str">
        <f>EUconst_tCO2</f>
        <v>t CO2</v>
      </c>
      <c r="I575" s="729"/>
      <c r="J575" s="2146" t="str">
        <f>IF(OR($I477="",CNTR_SubPeriod=1),"",INDEX(F_ProductBM!J:J,MATCH($P575,F_ProductBM!$Q:$Q,0)))</f>
        <v/>
      </c>
      <c r="K575" s="2072" t="str">
        <f>IF(OR($I477="",CNTR_SubPeriod=1),"",INDEX(F_ProductBM!K:K,MATCH($P575,F_ProductBM!$Q:$Q,0)))</f>
        <v/>
      </c>
      <c r="L575" s="2073" t="str">
        <f>IF(OR($I477="",CNTR_SubPeriod=1),"",INDEX(F_ProductBM!L:L,MATCH($P575,F_ProductBM!$Q:$Q,0)))</f>
        <v/>
      </c>
      <c r="M575" s="2073" t="str">
        <f>IF(OR($I477="",CNTR_SubPeriod=1),"",INDEX(F_ProductBM!M:M,MATCH($P575,F_ProductBM!$Q:$Q,0)))</f>
        <v/>
      </c>
      <c r="N575" s="2073" t="str">
        <f>IF(OR($I477="",CNTR_SubPeriod=1),"",INDEX(F_ProductBM!N:N,MATCH($P575,F_ProductBM!$Q:$Q,0)))</f>
        <v/>
      </c>
      <c r="O575" s="485"/>
      <c r="P575" s="1158" t="str">
        <f>EUconst_CNTR_HALprelim&amp;EUconst_CNTR_WGFlared&amp;$I477</f>
        <v>HALprelim_WasteGasFlare_</v>
      </c>
      <c r="Q575" s="1137"/>
      <c r="R575" s="1137"/>
      <c r="S575" s="1137"/>
      <c r="T575" s="1137"/>
      <c r="U575" s="1137"/>
      <c r="V575" s="1137"/>
    </row>
    <row r="576" spans="1:22" s="562" customFormat="1" ht="12.75" hidden="1" customHeight="1">
      <c r="A576" s="719" t="s">
        <v>2289</v>
      </c>
      <c r="B576" s="485"/>
      <c r="C576" s="559"/>
      <c r="D576" s="706"/>
      <c r="E576" s="723" t="s">
        <v>1390</v>
      </c>
      <c r="F576" s="723"/>
      <c r="G576" s="723"/>
      <c r="H576" s="724" t="str">
        <f>EUconst_EUA</f>
        <v>UKA</v>
      </c>
      <c r="I576" s="725"/>
      <c r="J576" s="2139" t="str">
        <f t="shared" ref="J576:N578" si="40">I589</f>
        <v/>
      </c>
      <c r="K576" s="2072" t="str">
        <f t="shared" si="40"/>
        <v/>
      </c>
      <c r="L576" s="2073" t="str">
        <f t="shared" si="40"/>
        <v/>
      </c>
      <c r="M576" s="2073" t="str">
        <f t="shared" si="40"/>
        <v/>
      </c>
      <c r="N576" s="2073" t="str">
        <f t="shared" si="40"/>
        <v/>
      </c>
      <c r="O576" s="485"/>
      <c r="P576" s="1137"/>
      <c r="Q576" s="1137"/>
      <c r="R576" s="1137"/>
      <c r="S576" s="1137"/>
      <c r="T576" s="1137"/>
      <c r="U576" s="1137"/>
      <c r="V576" s="1137"/>
    </row>
    <row r="577" spans="1:22" s="562" customFormat="1" ht="12.75" hidden="1" customHeight="1">
      <c r="A577" s="719" t="s">
        <v>2289</v>
      </c>
      <c r="B577" s="485"/>
      <c r="C577" s="559"/>
      <c r="D577" s="706"/>
      <c r="E577" s="723" t="s">
        <v>1389</v>
      </c>
      <c r="F577" s="723"/>
      <c r="G577" s="723"/>
      <c r="H577" s="726" t="s">
        <v>1021</v>
      </c>
      <c r="I577" s="725"/>
      <c r="J577" s="2140" t="str">
        <f t="shared" si="40"/>
        <v/>
      </c>
      <c r="K577" s="2141" t="str">
        <f t="shared" si="40"/>
        <v/>
      </c>
      <c r="L577" s="2142" t="str">
        <f t="shared" si="40"/>
        <v/>
      </c>
      <c r="M577" s="2142" t="str">
        <f t="shared" si="40"/>
        <v/>
      </c>
      <c r="N577" s="2142" t="str">
        <f t="shared" si="40"/>
        <v/>
      </c>
      <c r="O577" s="485"/>
      <c r="P577" s="1137"/>
      <c r="Q577" s="1137"/>
      <c r="R577" s="1137"/>
      <c r="S577" s="1137"/>
      <c r="T577" s="1137"/>
      <c r="U577" s="1137"/>
      <c r="V577" s="1137"/>
    </row>
    <row r="578" spans="1:22" s="562" customFormat="1" ht="12.75" hidden="1" customHeight="1">
      <c r="A578" s="719" t="s">
        <v>2289</v>
      </c>
      <c r="B578" s="485"/>
      <c r="C578" s="559"/>
      <c r="D578" s="706"/>
      <c r="E578" s="727" t="s">
        <v>1391</v>
      </c>
      <c r="F578" s="727"/>
      <c r="G578" s="727"/>
      <c r="H578" s="728" t="s">
        <v>1021</v>
      </c>
      <c r="I578" s="729"/>
      <c r="J578" s="2143" t="str">
        <f t="shared" si="40"/>
        <v/>
      </c>
      <c r="K578" s="2141" t="str">
        <f t="shared" si="40"/>
        <v/>
      </c>
      <c r="L578" s="2142" t="str">
        <f t="shared" si="40"/>
        <v/>
      </c>
      <c r="M578" s="2142" t="str">
        <f t="shared" si="40"/>
        <v/>
      </c>
      <c r="N578" s="2142" t="str">
        <f t="shared" si="40"/>
        <v/>
      </c>
      <c r="O578" s="485"/>
      <c r="P578" s="1137"/>
      <c r="Q578" s="1137"/>
      <c r="R578" s="1137"/>
      <c r="S578" s="1137"/>
      <c r="T578" s="1137"/>
      <c r="U578" s="1137"/>
      <c r="V578" s="1137"/>
    </row>
    <row r="579" spans="1:22" s="562" customFormat="1" ht="12.75" customHeight="1">
      <c r="A579" s="719"/>
      <c r="B579" s="485"/>
      <c r="C579" s="559"/>
      <c r="D579" s="706"/>
      <c r="E579" s="698" t="s">
        <v>1671</v>
      </c>
      <c r="F579" s="698"/>
      <c r="G579" s="698"/>
      <c r="H579" s="730" t="str">
        <f>EUconst_EUA</f>
        <v>UKA</v>
      </c>
      <c r="I579" s="731"/>
      <c r="J579" s="2129" t="str">
        <f>IF(J575="","",MAX(0,ROUND((SUM($M480)*SUM(J570)*SUM(J577)*SUM(J578)-SUM(J571)-SUM(J575)+SUM(J576))*IF($H480=TRUE,1,J$2517),0)))</f>
        <v/>
      </c>
      <c r="K579" s="2072" t="str">
        <f>IF(K575="","",MAX(0,ROUND((SUM($M480)*SUM(K570)*SUM(K577)*SUM(K578)-SUM(K571)-SUM(K575)+SUM(K576))*IF($H480=TRUE,1,K$2517),0)))</f>
        <v/>
      </c>
      <c r="L579" s="2073" t="str">
        <f>IF(L575="","",MAX(0,ROUND((SUM($M480)*SUM(L570)*SUM(L577)*SUM(L578)-SUM(L571)-SUM(L575)+SUM(L576))*IF($H480=TRUE,1,L$2517),0)))</f>
        <v/>
      </c>
      <c r="M579" s="2073" t="str">
        <f>IF(M575="","",MAX(0,ROUND((SUM($M480)*SUM(M570)*SUM(M577)*SUM(M578)-SUM(M571)-SUM(M575)+SUM(M576))*IF($H480=TRUE,1,M$2517),0)))</f>
        <v/>
      </c>
      <c r="N579" s="2073" t="str">
        <f>IF(N575="","",MAX(0,ROUND((SUM($M480)*SUM(N570)*SUM(N577)*SUM(N578)-SUM(N571)-SUM(N575)+SUM(N576))*IF($H480=TRUE,1,N$2517),0)))</f>
        <v/>
      </c>
      <c r="O579" s="485"/>
      <c r="P579" s="1137"/>
      <c r="Q579" s="1137"/>
      <c r="R579" s="1137"/>
      <c r="S579" s="1137"/>
      <c r="T579" s="1137"/>
      <c r="U579" s="1137"/>
      <c r="V579" s="1137"/>
    </row>
    <row r="580" spans="1:22" s="562" customFormat="1" ht="12.75" customHeight="1">
      <c r="A580" s="719"/>
      <c r="B580" s="485"/>
      <c r="C580" s="559"/>
      <c r="D580" s="706"/>
      <c r="E580" s="698" t="s">
        <v>1670</v>
      </c>
      <c r="F580" s="698"/>
      <c r="G580" s="698"/>
      <c r="H580" s="730" t="str">
        <f>EUconst_EUA</f>
        <v>UKA</v>
      </c>
      <c r="I580" s="731"/>
      <c r="J580" s="2129" t="str">
        <f>IF(J579="","",ABS(SUM(J579)-SUM(J497)))</f>
        <v/>
      </c>
      <c r="K580" s="2072" t="str">
        <f>IF(K579="","",ABS(SUM(K579)-SUM(K497)))</f>
        <v/>
      </c>
      <c r="L580" s="2073" t="str">
        <f>IF(L579="","",ABS(SUM(L579)-SUM(L497)))</f>
        <v/>
      </c>
      <c r="M580" s="2073" t="str">
        <f>IF(M579="","",ABS(SUM(M579)-SUM(M497)))</f>
        <v/>
      </c>
      <c r="N580" s="2073" t="str">
        <f>IF(N579="","",ABS(SUM(N579)-SUM(N497)))</f>
        <v/>
      </c>
      <c r="O580" s="485"/>
      <c r="P580" s="1137"/>
      <c r="Q580" s="1137"/>
      <c r="R580" s="1137"/>
      <c r="S580" s="1137"/>
      <c r="T580" s="1137"/>
      <c r="U580" s="1137"/>
      <c r="V580" s="1137"/>
    </row>
    <row r="581" spans="1:22" s="562" customFormat="1" ht="12.75" customHeight="1">
      <c r="A581" s="719"/>
      <c r="B581" s="485"/>
      <c r="C581" s="559"/>
      <c r="D581" s="706"/>
      <c r="E581" s="740" t="s">
        <v>2135</v>
      </c>
      <c r="F581" s="698"/>
      <c r="G581" s="698"/>
      <c r="H581" s="741" t="s">
        <v>1021</v>
      </c>
      <c r="I581" s="742"/>
      <c r="J581" s="2147" t="str">
        <f>IF(J580="","",J580&gt;=100)</f>
        <v/>
      </c>
      <c r="K581" s="2134" t="str">
        <f>IF(K580="","",K580&gt;=100)</f>
        <v/>
      </c>
      <c r="L581" s="2135" t="str">
        <f>IF(L580="","",L580&gt;=100)</f>
        <v/>
      </c>
      <c r="M581" s="2135" t="str">
        <f>IF(M580="","",M580&gt;=100)</f>
        <v/>
      </c>
      <c r="N581" s="2135" t="str">
        <f>IF(N580="","",N580&gt;=100)</f>
        <v/>
      </c>
      <c r="O581" s="485"/>
      <c r="P581" s="1158" t="str">
        <f>EUconst_CNTR_100EUA_WGFlare&amp;I477</f>
        <v>EUA100WGFlare_</v>
      </c>
      <c r="Q581" s="1137"/>
      <c r="R581" s="1137"/>
      <c r="S581" s="1137"/>
      <c r="T581" s="1137"/>
      <c r="U581" s="1137"/>
      <c r="V581" s="1137"/>
    </row>
    <row r="582" spans="1:22" s="562" customFormat="1" ht="12.75" customHeight="1" thickBot="1">
      <c r="A582" s="719"/>
      <c r="B582" s="485"/>
      <c r="C582" s="559"/>
      <c r="D582" s="755"/>
      <c r="E582" s="756"/>
      <c r="F582" s="756"/>
      <c r="G582" s="756"/>
      <c r="H582" s="756"/>
      <c r="I582" s="757"/>
      <c r="J582" s="756"/>
      <c r="K582" s="1790"/>
      <c r="L582" s="1791"/>
      <c r="M582" s="1791"/>
      <c r="N582" s="1791"/>
      <c r="O582" s="485"/>
      <c r="P582" s="1137"/>
      <c r="Q582" s="1137"/>
      <c r="R582" s="1137"/>
      <c r="S582" s="1137"/>
      <c r="T582" s="1137"/>
      <c r="U582" s="1137"/>
      <c r="V582" s="1137"/>
    </row>
    <row r="583" spans="1:22" s="562" customFormat="1" ht="5.0999999999999996" customHeight="1" thickBot="1">
      <c r="A583" s="817"/>
      <c r="B583" s="485"/>
      <c r="C583" s="559"/>
      <c r="D583" s="559"/>
      <c r="E583" s="485"/>
      <c r="F583" s="485"/>
      <c r="G583" s="485"/>
      <c r="H583" s="485"/>
      <c r="I583" s="743"/>
      <c r="J583" s="485"/>
      <c r="K583" s="1790"/>
      <c r="L583" s="1791"/>
      <c r="M583" s="1791"/>
      <c r="N583" s="1791"/>
      <c r="O583" s="485"/>
      <c r="P583" s="1137"/>
      <c r="Q583" s="1137"/>
      <c r="R583" s="1137"/>
      <c r="S583" s="1137"/>
      <c r="T583" s="1137"/>
      <c r="U583" s="1137"/>
      <c r="V583" s="1137"/>
    </row>
    <row r="584" spans="1:22" s="562" customFormat="1" ht="5.0999999999999996" customHeight="1">
      <c r="A584" s="817"/>
      <c r="B584" s="485"/>
      <c r="C584" s="485"/>
      <c r="D584" s="759"/>
      <c r="E584" s="760"/>
      <c r="F584" s="760"/>
      <c r="G584" s="760"/>
      <c r="H584" s="760"/>
      <c r="I584" s="761"/>
      <c r="J584" s="760"/>
      <c r="K584" s="1790"/>
      <c r="L584" s="1791"/>
      <c r="M584" s="1791"/>
      <c r="N584" s="1791"/>
      <c r="O584" s="485"/>
      <c r="P584" s="1137"/>
      <c r="Q584" s="1137"/>
      <c r="R584" s="1137"/>
      <c r="S584" s="1137"/>
      <c r="T584" s="1117"/>
      <c r="U584" s="1137"/>
      <c r="V584" s="1137"/>
    </row>
    <row r="585" spans="1:22" s="562" customFormat="1">
      <c r="A585" s="817"/>
      <c r="B585" s="485"/>
      <c r="C585" s="485"/>
      <c r="D585" s="539"/>
      <c r="E585" s="496" t="s">
        <v>1786</v>
      </c>
      <c r="F585" s="485"/>
      <c r="G585" s="485"/>
      <c r="H585" s="663" t="str">
        <f>EUconst_Unit</f>
        <v>Unit</v>
      </c>
      <c r="I585" s="763" t="s">
        <v>1675</v>
      </c>
      <c r="J585" s="2132">
        <f>J$2737</f>
        <v>2026</v>
      </c>
      <c r="K585" s="1489">
        <f>K$2737</f>
        <v>2027</v>
      </c>
      <c r="L585" s="1490">
        <f>L$2737</f>
        <v>2028</v>
      </c>
      <c r="M585" s="1490">
        <f>M$2737</f>
        <v>2029</v>
      </c>
      <c r="N585" s="1490">
        <f>N$2737</f>
        <v>2030</v>
      </c>
      <c r="O585" s="485"/>
      <c r="P585" s="1137"/>
      <c r="Q585" s="1137"/>
      <c r="R585" s="1137"/>
      <c r="S585" s="2155" t="s">
        <v>1646</v>
      </c>
      <c r="T585" s="1117"/>
      <c r="U585" s="1137"/>
      <c r="V585" s="1137"/>
    </row>
    <row r="586" spans="1:22" s="562" customFormat="1">
      <c r="A586" s="817"/>
      <c r="B586" s="485"/>
      <c r="C586" s="485"/>
      <c r="D586" s="539"/>
      <c r="E586" s="720" t="s">
        <v>1714</v>
      </c>
      <c r="F586" s="720"/>
      <c r="G586" s="720"/>
      <c r="H586" s="732" t="str">
        <f>H570</f>
        <v>tonnes</v>
      </c>
      <c r="I586" s="764" t="str">
        <f>IF($I477="","",IF(T592&gt;=$H$2736,0,S586))</f>
        <v/>
      </c>
      <c r="J586" s="2144" t="str">
        <f>IF($I477="","",INDEX(F_ProductBM!J:J,MATCH($P586,F_ProductBM!$Q:$Q,0)))</f>
        <v/>
      </c>
      <c r="K586" s="2072" t="str">
        <f>IF($I477="","",INDEX(F_ProductBM!K:K,MATCH($P586,F_ProductBM!$Q:$Q,0)))</f>
        <v/>
      </c>
      <c r="L586" s="2073" t="str">
        <f>IF($I477="","",INDEX(F_ProductBM!L:L,MATCH($P586,F_ProductBM!$Q:$Q,0)))</f>
        <v/>
      </c>
      <c r="M586" s="2073" t="str">
        <f>IF($I477="","",INDEX(F_ProductBM!M:M,MATCH($P586,F_ProductBM!$Q:$Q,0)))</f>
        <v/>
      </c>
      <c r="N586" s="2073" t="str">
        <f>IF($I477="","",INDEX(F_ProductBM!N:N,MATCH($P586,F_ProductBM!$Q:$Q,0)))</f>
        <v/>
      </c>
      <c r="O586" s="485"/>
      <c r="P586" s="1158" t="str">
        <f>EUconst_CNTR_HALfinal&amp;I477</f>
        <v>HALfinal_</v>
      </c>
      <c r="Q586" s="1137"/>
      <c r="R586" s="1137"/>
      <c r="S586" s="2156" t="str">
        <f>IF($I477="","",INDEX(F_ProductBM!I:I,MATCH($P586,F_ProductBM!$Q:$Q,0)))</f>
        <v/>
      </c>
      <c r="T586" s="1117"/>
      <c r="U586" s="1137"/>
      <c r="V586" s="1137"/>
    </row>
    <row r="587" spans="1:22" s="562" customFormat="1">
      <c r="A587" s="817"/>
      <c r="B587" s="485"/>
      <c r="C587" s="485"/>
      <c r="D587" s="539"/>
      <c r="E587" s="645" t="s">
        <v>303</v>
      </c>
      <c r="F587" s="645"/>
      <c r="G587" s="645"/>
      <c r="H587" s="765" t="str">
        <f>EUconst_EUA</f>
        <v>UKA</v>
      </c>
      <c r="I587" s="766" t="str">
        <f>IF($I477="","",IF(YEAR(J480)&gt;=$H$2736-1,0,S587))</f>
        <v/>
      </c>
      <c r="J587" s="2157" t="str">
        <f>IF($I477="","",INDEX(F_ProductBM!J:J,MATCH($P587,F_ProductBM!$Q:$Q,0)))</f>
        <v/>
      </c>
      <c r="K587" s="2072" t="str">
        <f>IF($I477="","",INDEX(F_ProductBM!K:K,MATCH($P587,F_ProductBM!$Q:$Q,0)))</f>
        <v/>
      </c>
      <c r="L587" s="2073" t="str">
        <f>IF($I477="","",INDEX(F_ProductBM!L:L,MATCH($P587,F_ProductBM!$Q:$Q,0)))</f>
        <v/>
      </c>
      <c r="M587" s="2073" t="str">
        <f>IF($I477="","",INDEX(F_ProductBM!M:M,MATCH($P587,F_ProductBM!$Q:$Q,0)))</f>
        <v/>
      </c>
      <c r="N587" s="2073" t="str">
        <f>IF($I477="","",INDEX(F_ProductBM!N:N,MATCH($P587,F_ProductBM!$Q:$Q,0)))</f>
        <v/>
      </c>
      <c r="O587" s="485"/>
      <c r="P587" s="1158" t="str">
        <f>EUconst_CNTR_HEATfinal&amp;I477</f>
        <v>HEATfinal_</v>
      </c>
      <c r="Q587" s="1137"/>
      <c r="R587" s="1137"/>
      <c r="S587" s="2158" t="str">
        <f>IF($I477="","",INDEX(F_ProductBM!I:I,MATCH($P587,F_ProductBM!$Q:$Q,0)))</f>
        <v/>
      </c>
      <c r="T587" s="1117"/>
      <c r="U587" s="1137"/>
      <c r="V587" s="1137"/>
    </row>
    <row r="588" spans="1:22" s="562" customFormat="1">
      <c r="A588" s="817"/>
      <c r="B588" s="485"/>
      <c r="C588" s="485"/>
      <c r="D588" s="539"/>
      <c r="E588" s="723" t="s">
        <v>1422</v>
      </c>
      <c r="F588" s="723"/>
      <c r="G588" s="723"/>
      <c r="H588" s="724" t="str">
        <f>EUconst_EUA</f>
        <v>UKA</v>
      </c>
      <c r="I588" s="767" t="str">
        <f>IF($I477="","",IF(T592&gt;=$H$2736,0,S588))</f>
        <v/>
      </c>
      <c r="J588" s="2159" t="str">
        <f>IF($I477="","",INDEX(F_ProductBM!J:J,MATCH($P588,F_ProductBM!$Q:$Q,0)))</f>
        <v/>
      </c>
      <c r="K588" s="2072" t="str">
        <f>IF($I477="","",INDEX(F_ProductBM!K:K,MATCH($P588,F_ProductBM!$Q:$Q,0)))</f>
        <v/>
      </c>
      <c r="L588" s="2073" t="str">
        <f>IF($I477="","",INDEX(F_ProductBM!L:L,MATCH($P588,F_ProductBM!$Q:$Q,0)))</f>
        <v/>
      </c>
      <c r="M588" s="2073" t="str">
        <f>IF($I477="","",INDEX(F_ProductBM!M:M,MATCH($P588,F_ProductBM!$Q:$Q,0)))</f>
        <v/>
      </c>
      <c r="N588" s="2073" t="str">
        <f>IF($I477="","",INDEX(F_ProductBM!N:N,MATCH($P588,F_ProductBM!$Q:$Q,0)))</f>
        <v/>
      </c>
      <c r="O588" s="485"/>
      <c r="P588" s="1158" t="str">
        <f>EUconst_CNTR_HALfinal&amp;EUconst_CNTR_WGFlared&amp;$I477</f>
        <v>HALfinal_WasteGasFlare_</v>
      </c>
      <c r="Q588" s="1137"/>
      <c r="R588" s="1137"/>
      <c r="S588" s="2160" t="str">
        <f>IF($I477="","",INDEX(F_ProductBM!I:I,MATCH($P588,F_ProductBM!$Q:$Q,0)))</f>
        <v/>
      </c>
      <c r="T588" s="1117"/>
      <c r="U588" s="1137"/>
      <c r="V588" s="1137"/>
    </row>
    <row r="589" spans="1:22" s="562" customFormat="1">
      <c r="A589" s="817"/>
      <c r="B589" s="485"/>
      <c r="C589" s="485"/>
      <c r="D589" s="539"/>
      <c r="E589" s="723" t="s">
        <v>1390</v>
      </c>
      <c r="F589" s="723"/>
      <c r="G589" s="723"/>
      <c r="H589" s="724" t="str">
        <f>EUconst_EUA</f>
        <v>UKA</v>
      </c>
      <c r="I589" s="767" t="str">
        <f>IF($I477="","",IF(T592&gt;=$H$2736,0,IF(L480=42,S589,0)))</f>
        <v/>
      </c>
      <c r="J589" s="2159" t="str">
        <f>IF($I477="","",IF($L480=42,INDEX(H_SpecialBM!J:J,MATCH($P589,H_SpecialBM!$Q:$Q,0)),0))</f>
        <v/>
      </c>
      <c r="K589" s="2072" t="str">
        <f>IF($I477="","",IF($L480=42,INDEX(H_SpecialBM!K:K,MATCH($P589,H_SpecialBM!$Q:$Q,0)),0))</f>
        <v/>
      </c>
      <c r="L589" s="2073" t="str">
        <f>IF($I477="","",IF($L480=42,INDEX(H_SpecialBM!L:L,MATCH($P589,H_SpecialBM!$Q:$Q,0)),0))</f>
        <v/>
      </c>
      <c r="M589" s="2073" t="str">
        <f>IF($I477="","",IF($L480=42,INDEX(H_SpecialBM!M:M,MATCH($P589,H_SpecialBM!$Q:$Q,0)),0))</f>
        <v/>
      </c>
      <c r="N589" s="2073" t="str">
        <f>IF($I477="","",IF($L480=42,INDEX(H_SpecialBM!N:N,MATCH($P589,H_SpecialBM!$Q:$Q,0)),0))</f>
        <v/>
      </c>
      <c r="O589" s="485"/>
      <c r="P589" s="1158" t="str">
        <f>EUconst_CNTR_HVCfinal</f>
        <v>HVCfinal_</v>
      </c>
      <c r="Q589" s="1137"/>
      <c r="R589" s="1137"/>
      <c r="S589" s="2160" t="str">
        <f>IF($I477="","",IF(L480=42,INDEX(H_SpecialBM!I:I,MATCH($P589,H_SpecialBM!$Q:$Q,0)),0))</f>
        <v/>
      </c>
      <c r="T589" s="1117"/>
      <c r="U589" s="1137"/>
      <c r="V589" s="1137"/>
    </row>
    <row r="590" spans="1:22" s="562" customFormat="1">
      <c r="A590" s="817"/>
      <c r="B590" s="485"/>
      <c r="C590" s="485"/>
      <c r="D590" s="539"/>
      <c r="E590" s="723" t="s">
        <v>1389</v>
      </c>
      <c r="F590" s="723"/>
      <c r="G590" s="723"/>
      <c r="H590" s="726" t="s">
        <v>1021</v>
      </c>
      <c r="I590" s="768" t="str">
        <f>IF(AND($I477&lt;&gt;"",$I480=TRUE),IF(T592&gt;=$H$2736,1,S590),IF($I477="","",1))</f>
        <v/>
      </c>
      <c r="J590" s="2161" t="str">
        <f>IF(AND($I477&lt;&gt;"",$I480=TRUE),INDEX(F_ProductBM!J:J,MATCH($P590,F_ProductBM!$Q:$Q,0)),IF($I477="","",1))</f>
        <v/>
      </c>
      <c r="K590" s="2141" t="str">
        <f>IF(AND($I477&lt;&gt;"",$I480=TRUE),INDEX(F_ProductBM!K:K,MATCH($P590,F_ProductBM!$Q:$Q,0)),IF($I477="","",1))</f>
        <v/>
      </c>
      <c r="L590" s="2142" t="str">
        <f>IF(AND($I477&lt;&gt;"",$I480=TRUE),INDEX(F_ProductBM!L:L,MATCH($P590,F_ProductBM!$Q:$Q,0)),IF($I477="","",1))</f>
        <v/>
      </c>
      <c r="M590" s="2142" t="str">
        <f>IF(AND($I477&lt;&gt;"",$I480=TRUE),INDEX(F_ProductBM!M:M,MATCH($P590,F_ProductBM!$Q:$Q,0)),IF($I477="","",1))</f>
        <v/>
      </c>
      <c r="N590" s="2142" t="str">
        <f>IF(AND($I477&lt;&gt;"",$I480=TRUE),INDEX(F_ProductBM!N:N,MATCH($P590,F_ProductBM!$Q:$Q,0)),IF($I477="","",1))</f>
        <v/>
      </c>
      <c r="O590" s="485"/>
      <c r="P590" s="1158" t="str">
        <f>EUconst_CNTR_HALfinal&amp;EUconst_CNTR_ELEXCH&amp;$I477</f>
        <v>HALfinal_ELEXCH_</v>
      </c>
      <c r="Q590" s="1137"/>
      <c r="R590" s="1137"/>
      <c r="S590" s="2162" t="str">
        <f>IF(AND($I477&lt;&gt;"",$I480=TRUE),INDEX(F_ProductBM!I:I,MATCH($P590,F_ProductBM!$Q:$Q,0)),IF($I477="","",1))</f>
        <v/>
      </c>
      <c r="T590" s="1137"/>
      <c r="U590" s="1137"/>
      <c r="V590" s="1137"/>
    </row>
    <row r="591" spans="1:22" s="562" customFormat="1">
      <c r="A591" s="817"/>
      <c r="B591" s="485"/>
      <c r="C591" s="485"/>
      <c r="D591" s="539"/>
      <c r="E591" s="727" t="s">
        <v>1391</v>
      </c>
      <c r="F591" s="727"/>
      <c r="G591" s="727"/>
      <c r="H591" s="728" t="s">
        <v>1021</v>
      </c>
      <c r="I591" s="769" t="str">
        <f>IF($I477="","",IF($L480=47,IF(AND(ISNUMBER(S591),YEAR(J480)&lt;2021),S591,1),1))</f>
        <v/>
      </c>
      <c r="J591" s="2163" t="str">
        <f>IF($I477="","",IF($L480=47,IF(ISNUMBER(INDEX(H_SpecialBM!J:J,MATCH($P591,H_SpecialBM!$Q:$Q,0))),INDEX(H_SpecialBM!J:J,MATCH($P591,H_SpecialBM!$Q:$Q,0)),1),1))</f>
        <v/>
      </c>
      <c r="K591" s="2141" t="str">
        <f>IF($I477="","",IF($L480=47,IF(ISNUMBER(INDEX(H_SpecialBM!K:K,MATCH($P591,H_SpecialBM!$Q:$Q,0))),INDEX(H_SpecialBM!K:K,MATCH($P591,H_SpecialBM!$Q:$Q,0)),1),1))</f>
        <v/>
      </c>
      <c r="L591" s="2142" t="str">
        <f>IF($I477="","",IF($L480=47,IF(ISNUMBER(INDEX(H_SpecialBM!L:L,MATCH($P591,H_SpecialBM!$Q:$Q,0))),INDEX(H_SpecialBM!L:L,MATCH($P591,H_SpecialBM!$Q:$Q,0)),1),1))</f>
        <v/>
      </c>
      <c r="M591" s="2142" t="str">
        <f>IF($I477="","",IF($L480=47,IF(ISNUMBER(INDEX(H_SpecialBM!M:M,MATCH($P591,H_SpecialBM!$Q:$Q,0))),INDEX(H_SpecialBM!M:M,MATCH($P591,H_SpecialBM!$Q:$Q,0)),1),1))</f>
        <v/>
      </c>
      <c r="N591" s="2142" t="str">
        <f>IF($I477="","",IF($L480=47,IF(ISNUMBER(INDEX(H_SpecialBM!N:N,MATCH($P591,H_SpecialBM!$Q:$Q,0))),INDEX(H_SpecialBM!N:N,MATCH($P591,H_SpecialBM!$Q:$Q,0)),1),1))</f>
        <v/>
      </c>
      <c r="O591" s="485"/>
      <c r="P591" s="1158" t="str">
        <f>EUconst_CNTR_VCMfinal</f>
        <v>VCMfinal_</v>
      </c>
      <c r="Q591" s="1137"/>
      <c r="R591" s="1137"/>
      <c r="S591" s="2164" t="str">
        <f>IF($I477="","",IF($L480=47,IF(ISNUMBER(INDEX(H_SpecialBM!I:I,MATCH($P591,H_SpecialBM!$Q:$Q,0))),INDEX(H_SpecialBM!I:I,MATCH($P591,H_SpecialBM!$Q:$Q,0)),1),1))</f>
        <v/>
      </c>
      <c r="T591" s="1137"/>
      <c r="U591" s="1137"/>
      <c r="V591" s="1137"/>
    </row>
    <row r="592" spans="1:22" s="562" customFormat="1">
      <c r="A592" s="817"/>
      <c r="B592" s="485"/>
      <c r="C592" s="485"/>
      <c r="D592" s="539"/>
      <c r="E592" s="698" t="s">
        <v>222</v>
      </c>
      <c r="F592" s="698"/>
      <c r="G592" s="698"/>
      <c r="H592" s="730" t="str">
        <f>EUconst_EUA</f>
        <v>UKA</v>
      </c>
      <c r="I592" s="770" t="str">
        <f>IF($I477="","",MAX(0,ROUND((SUM($M480)*SUM(I586)*SUM(I590)*SUM(I591)-SUM(I587)-SUM(I588)+SUM(I589))*IF($H480=TRUE,1,J$2517),0)))</f>
        <v/>
      </c>
      <c r="J592" s="2129" t="str">
        <f>IF($I477="","",MAX(0,ROUND((SUM($M480)*SUM(J586)*SUM(J590)*SUM(J591)-SUM(J587)-SUM(J588)+SUM(J589))*IF($H480=TRUE,1,J$2517),0)))</f>
        <v/>
      </c>
      <c r="K592" s="2072" t="str">
        <f>IF($I477="","",MAX(0,ROUND((SUM($M480)*SUM(K586)*SUM(K590)*SUM(K591)-SUM(K587)-SUM(K588)+SUM(K589))*IF($H480=TRUE,1,K$2517),0)))</f>
        <v/>
      </c>
      <c r="L592" s="2073" t="str">
        <f>IF($I477="","",MAX(0,ROUND((SUM($M480)*SUM(L586)*SUM(L590)*SUM(L591)-SUM(L587)-SUM(L588)+SUM(L589))*IF($H480=TRUE,1,L$2517),0)))</f>
        <v/>
      </c>
      <c r="M592" s="2073" t="str">
        <f>IF($I477="","",MAX(0,ROUND((SUM($M480)*SUM(M586)*SUM(M590)*SUM(M591)-SUM(M587)-SUM(M588)+SUM(M589))*IF($H480=TRUE,1,M$2517),0)))</f>
        <v/>
      </c>
      <c r="N592" s="2073" t="str">
        <f>IF($I477="","",MAX(0,ROUND((SUM($M480)*SUM(N586)*SUM(N590)*SUM(N591)-SUM(N587)-SUM(N588)+SUM(N589))*IF($H480=TRUE,1,N$2517),0)))</f>
        <v/>
      </c>
      <c r="O592" s="485"/>
      <c r="P592" s="1158" t="str">
        <f>EUconst_AllocPrelim&amp;I477</f>
        <v>AllocPrelim_</v>
      </c>
      <c r="Q592" s="1137"/>
      <c r="R592" s="1137"/>
      <c r="S592" s="2165" t="str">
        <f>IF($I477="","",MAX(0,ROUND((SUM($M480)*SUM(S586)*SUM(S590)*SUM(S591)-SUM(S587)-SUM(S588)+SUM(S589))*IF($H480=TRUE,1,J$2517),0)))</f>
        <v/>
      </c>
      <c r="T592" s="1137">
        <f>INDEX(F_ProductBM!V:V,MATCH(C477,F_ProductBM!C:C,0))</f>
        <v>2005</v>
      </c>
      <c r="U592" s="1137" t="e">
        <f>INDEX(I592:N592,CNTR_ReportingYear-$I$2736)&lt;&gt;INDEX(I592:N592,CNTR_ReportingYear-$H$2736)</f>
        <v>#REF!</v>
      </c>
      <c r="V592" s="1137"/>
    </row>
    <row r="593" spans="1:22" s="562" customFormat="1" ht="5.0999999999999996" customHeight="1" thickBot="1">
      <c r="A593" s="817"/>
      <c r="C593" s="485"/>
      <c r="D593" s="771"/>
      <c r="E593" s="756"/>
      <c r="F593" s="756"/>
      <c r="G593" s="756"/>
      <c r="H593" s="756"/>
      <c r="I593" s="756"/>
      <c r="J593" s="756"/>
      <c r="K593" s="1790"/>
      <c r="L593" s="1791"/>
      <c r="M593" s="1791"/>
      <c r="N593" s="1791"/>
      <c r="O593" s="485"/>
      <c r="P593" s="1137"/>
      <c r="Q593" s="1137"/>
      <c r="R593" s="1137"/>
      <c r="S593" s="1137"/>
      <c r="T593" s="1137"/>
      <c r="U593" s="1137"/>
      <c r="V593" s="1137"/>
    </row>
    <row r="594" spans="1:22" s="562" customFormat="1" ht="5.0999999999999996" customHeight="1" thickBot="1">
      <c r="A594" s="817"/>
      <c r="C594" s="485"/>
      <c r="E594" s="561"/>
      <c r="F594" s="485"/>
      <c r="G594" s="485"/>
      <c r="H594" s="485"/>
      <c r="I594" s="485"/>
      <c r="J594" s="485"/>
      <c r="K594" s="1790"/>
      <c r="L594" s="1791"/>
      <c r="M594" s="1791"/>
      <c r="N594" s="1791"/>
      <c r="O594" s="485"/>
      <c r="P594" s="1137"/>
      <c r="Q594" s="1137"/>
      <c r="R594" s="1137"/>
      <c r="S594" s="1137"/>
      <c r="T594" s="1137"/>
      <c r="U594" s="1137"/>
      <c r="V594" s="1137"/>
    </row>
    <row r="595" spans="1:22" s="562" customFormat="1" ht="12.75" customHeight="1">
      <c r="A595" s="817"/>
      <c r="C595" s="485"/>
      <c r="D595" s="772"/>
      <c r="E595" s="773"/>
      <c r="F595" s="773"/>
      <c r="G595" s="774"/>
      <c r="H595" s="774"/>
      <c r="I595" s="774"/>
      <c r="J595" s="774"/>
      <c r="K595" s="1790"/>
      <c r="L595" s="1791"/>
      <c r="M595" s="1791"/>
      <c r="N595" s="1791"/>
      <c r="O595" s="485"/>
      <c r="P595" s="1137"/>
      <c r="Q595" s="1137"/>
      <c r="R595" s="1137"/>
      <c r="S595" s="1137"/>
      <c r="T595" s="1137"/>
      <c r="U595" s="1137"/>
      <c r="V595" s="1137"/>
    </row>
    <row r="596" spans="1:22" s="562" customFormat="1" ht="13.5" thickBot="1">
      <c r="A596" s="817"/>
      <c r="C596" s="485"/>
      <c r="D596" s="776"/>
      <c r="E596" s="777"/>
      <c r="F596" s="777"/>
      <c r="G596" s="778" t="str">
        <f>EUconst_Unit</f>
        <v>Unit</v>
      </c>
      <c r="H596" s="779">
        <f t="shared" ref="H596:M596" si="41">H$2737</f>
        <v>2024</v>
      </c>
      <c r="I596" s="780">
        <f t="shared" si="41"/>
        <v>2025</v>
      </c>
      <c r="J596" s="2166">
        <f t="shared" si="41"/>
        <v>2026</v>
      </c>
      <c r="K596" s="1489">
        <f t="shared" si="41"/>
        <v>2027</v>
      </c>
      <c r="L596" s="1490">
        <f t="shared" si="41"/>
        <v>2028</v>
      </c>
      <c r="M596" s="1490">
        <f t="shared" si="41"/>
        <v>2029</v>
      </c>
      <c r="N596" s="1490">
        <f>N$2737</f>
        <v>2030</v>
      </c>
      <c r="O596" s="485"/>
      <c r="P596" s="1137"/>
      <c r="Q596" s="1137"/>
      <c r="R596" s="1137"/>
      <c r="S596" s="1137"/>
      <c r="T596" s="1137"/>
      <c r="U596" s="1137"/>
      <c r="V596" s="1137"/>
    </row>
    <row r="597" spans="1:22" s="562" customFormat="1" ht="13.5" customHeight="1" thickBot="1">
      <c r="A597" s="817"/>
      <c r="C597" s="485"/>
      <c r="D597" s="776"/>
      <c r="E597" s="2470" t="s">
        <v>1504</v>
      </c>
      <c r="F597" s="2470"/>
      <c r="G597" s="808" t="str">
        <f>EUconst_tCO2epa</f>
        <v>t CO2e/year</v>
      </c>
      <c r="H597" s="786" t="str">
        <f t="shared" ref="H597:N597" si="42">INDEX(H$92:H$108,MATCH($I477,$E$92:$E$108,0))</f>
        <v/>
      </c>
      <c r="I597" s="787" t="str">
        <f t="shared" si="42"/>
        <v/>
      </c>
      <c r="J597" s="2167" t="str">
        <f t="shared" si="42"/>
        <v/>
      </c>
      <c r="K597" s="2105" t="str">
        <f t="shared" si="42"/>
        <v/>
      </c>
      <c r="L597" s="1960" t="str">
        <f t="shared" si="42"/>
        <v/>
      </c>
      <c r="M597" s="1960" t="str">
        <f t="shared" si="42"/>
        <v/>
      </c>
      <c r="N597" s="1960" t="str">
        <f t="shared" si="42"/>
        <v/>
      </c>
      <c r="O597" s="485"/>
      <c r="P597" s="1137"/>
      <c r="Q597" s="1137"/>
      <c r="R597" s="1137"/>
      <c r="S597" s="1137"/>
      <c r="T597" s="1137"/>
      <c r="U597" s="1137"/>
      <c r="V597" s="1137"/>
    </row>
    <row r="598" spans="1:22" s="562" customFormat="1" ht="5.0999999999999996" customHeight="1">
      <c r="A598" s="817"/>
      <c r="C598" s="485"/>
      <c r="D598" s="776"/>
      <c r="E598" s="809"/>
      <c r="F598" s="809"/>
      <c r="G598" s="777"/>
      <c r="H598" s="2168"/>
      <c r="I598" s="2168"/>
      <c r="J598" s="2168"/>
      <c r="K598" s="2169"/>
      <c r="L598" s="2170"/>
      <c r="M598" s="2170"/>
      <c r="N598" s="2170"/>
      <c r="O598" s="485"/>
      <c r="P598" s="1137"/>
      <c r="Q598" s="1137"/>
      <c r="R598" s="1137"/>
      <c r="S598" s="1137"/>
      <c r="T598" s="1137"/>
      <c r="U598" s="1137"/>
      <c r="V598" s="1137"/>
    </row>
    <row r="599" spans="1:22" s="562" customFormat="1" ht="12.75" customHeight="1">
      <c r="A599" s="817"/>
      <c r="C599" s="485"/>
      <c r="D599" s="776"/>
      <c r="E599" s="2471" t="s">
        <v>1344</v>
      </c>
      <c r="F599" s="3467"/>
      <c r="G599" s="811" t="str">
        <f>EUconst_TJpa</f>
        <v>TJ / year</v>
      </c>
      <c r="H599" s="625" t="str">
        <f>IF($I477="","",IF(INDEX(F_ProductBM!H:H,MATCH($P599,F_ProductBM!$Q:$Q,0))="","",INDEX(F_ProductBM!H:H,MATCH($P599,F_ProductBM!$Q:$Q,0))))</f>
        <v/>
      </c>
      <c r="I599" s="794" t="str">
        <f>IF($I477="","",IF(INDEX(F_ProductBM!I:I,MATCH($P599,F_ProductBM!$Q:$Q,0))="","",INDEX(F_ProductBM!I:I,MATCH($P599,F_ProductBM!$Q:$Q,0))))</f>
        <v/>
      </c>
      <c r="J599" s="2171" t="str">
        <f>IF($I477="","",IF(INDEX(F_ProductBM!J:J,MATCH($P599,F_ProductBM!$Q:$Q,0))="","",INDEX(F_ProductBM!J:J,MATCH($P599,F_ProductBM!$Q:$Q,0))))</f>
        <v/>
      </c>
      <c r="K599" s="1788" t="str">
        <f>IF($I477="","",IF(INDEX(F_ProductBM!K:K,MATCH($P599,F_ProductBM!$Q:$Q,0))="","",INDEX(F_ProductBM!K:K,MATCH($P599,F_ProductBM!$Q:$Q,0))))</f>
        <v/>
      </c>
      <c r="L599" s="1789" t="str">
        <f>IF($I477="","",IF(INDEX(F_ProductBM!L:L,MATCH($P599,F_ProductBM!$Q:$Q,0))="","",INDEX(F_ProductBM!L:L,MATCH($P599,F_ProductBM!$Q:$Q,0))))</f>
        <v/>
      </c>
      <c r="M599" s="1789" t="str">
        <f>IF($I477="","",IF(INDEX(F_ProductBM!M:M,MATCH($P599,F_ProductBM!$Q:$Q,0))="","",INDEX(F_ProductBM!M:M,MATCH($P599,F_ProductBM!$Q:$Q,0))))</f>
        <v/>
      </c>
      <c r="N599" s="1789" t="str">
        <f>IF($I477="","",IF(INDEX(F_ProductBM!N:N,MATCH($P599,F_ProductBM!$Q:$Q,0))="","",INDEX(F_ProductBM!N:N,MATCH($P599,F_ProductBM!$Q:$Q,0))))</f>
        <v/>
      </c>
      <c r="O599" s="485"/>
      <c r="P599" s="2109" t="str">
        <f>EUconst_CNTR_FuelInput &amp; I477</f>
        <v>FuelInput_</v>
      </c>
      <c r="Q599" s="1137"/>
      <c r="R599" s="1137"/>
      <c r="S599" s="1137"/>
      <c r="T599" s="1137"/>
      <c r="U599" s="1137"/>
      <c r="V599" s="1137"/>
    </row>
    <row r="600" spans="1:22" s="562" customFormat="1" ht="12.75" customHeight="1">
      <c r="A600" s="817"/>
      <c r="C600" s="485"/>
      <c r="D600" s="776"/>
      <c r="E600" s="2473" t="s">
        <v>1182</v>
      </c>
      <c r="F600" s="3466"/>
      <c r="G600" s="812" t="str">
        <f>EUconst_tCO2pTJ</f>
        <v>t CO2 / TJ</v>
      </c>
      <c r="H600" s="627" t="str">
        <f>IF($I477="","",IF(INDEX(F_ProductBM!H:H,MATCH($P600,F_ProductBM!$Q:$Q,0))="","",INDEX(F_ProductBM!H:H,MATCH($P600,F_ProductBM!$Q:$Q,0))))</f>
        <v/>
      </c>
      <c r="I600" s="796" t="str">
        <f>IF($I477="","",IF(INDEX(F_ProductBM!I:I,MATCH($P600,F_ProductBM!$Q:$Q,0))="","",INDEX(F_ProductBM!I:I,MATCH($P600,F_ProductBM!$Q:$Q,0))))</f>
        <v/>
      </c>
      <c r="J600" s="2172" t="str">
        <f>IF($I477="","",IF(INDEX(F_ProductBM!J:J,MATCH($P600,F_ProductBM!$Q:$Q,0))="","",INDEX(F_ProductBM!J:J,MATCH($P600,F_ProductBM!$Q:$Q,0))))</f>
        <v/>
      </c>
      <c r="K600" s="1788" t="str">
        <f>IF($I477="","",IF(INDEX(F_ProductBM!K:K,MATCH($P600,F_ProductBM!$Q:$Q,0))="","",INDEX(F_ProductBM!K:K,MATCH($P600,F_ProductBM!$Q:$Q,0))))</f>
        <v/>
      </c>
      <c r="L600" s="1789" t="str">
        <f>IF($I477="","",IF(INDEX(F_ProductBM!L:L,MATCH($P600,F_ProductBM!$Q:$Q,0))="","",INDEX(F_ProductBM!L:L,MATCH($P600,F_ProductBM!$Q:$Q,0))))</f>
        <v/>
      </c>
      <c r="M600" s="1789" t="str">
        <f>IF($I477="","",IF(INDEX(F_ProductBM!M:M,MATCH($P600,F_ProductBM!$Q:$Q,0))="","",INDEX(F_ProductBM!M:M,MATCH($P600,F_ProductBM!$Q:$Q,0))))</f>
        <v/>
      </c>
      <c r="N600" s="1789" t="str">
        <f>IF($I477="","",IF(INDEX(F_ProductBM!N:N,MATCH($P600,F_ProductBM!$Q:$Q,0))="","",INDEX(F_ProductBM!N:N,MATCH($P600,F_ProductBM!$Q:$Q,0))))</f>
        <v/>
      </c>
      <c r="O600" s="485"/>
      <c r="P600" s="1970" t="str">
        <f>EUconst_CNTR_FuelEF &amp; I477</f>
        <v>FuelEF_</v>
      </c>
      <c r="Q600" s="1137"/>
      <c r="R600" s="1137"/>
      <c r="S600" s="1137"/>
      <c r="T600" s="1137"/>
      <c r="U600" s="1137"/>
      <c r="V600" s="1137"/>
    </row>
    <row r="601" spans="1:22" s="562" customFormat="1" ht="5.0999999999999996" customHeight="1">
      <c r="A601" s="817"/>
      <c r="C601" s="485"/>
      <c r="D601" s="776"/>
      <c r="E601" s="809"/>
      <c r="F601" s="809"/>
      <c r="G601" s="813"/>
      <c r="H601" s="2173"/>
      <c r="I601" s="2173"/>
      <c r="J601" s="2173"/>
      <c r="K601" s="1788"/>
      <c r="L601" s="1789"/>
      <c r="M601" s="1789"/>
      <c r="N601" s="1789"/>
      <c r="O601" s="485"/>
      <c r="P601" s="1137"/>
      <c r="Q601" s="1137"/>
      <c r="R601" s="1137"/>
      <c r="S601" s="1137"/>
      <c r="T601" s="1137"/>
      <c r="U601" s="1137"/>
      <c r="V601" s="1137"/>
    </row>
    <row r="602" spans="1:22" s="562" customFormat="1" ht="12.75" customHeight="1">
      <c r="A602" s="817"/>
      <c r="C602" s="485"/>
      <c r="D602" s="776"/>
      <c r="E602" s="2475" t="s">
        <v>63</v>
      </c>
      <c r="F602" s="3461"/>
      <c r="G602" s="815" t="str">
        <f>EUconst_tCO2pa</f>
        <v>t CO2 / year</v>
      </c>
      <c r="H602" s="623" t="str">
        <f>IF($I477="","",IF(INDEX(F_ProductBM!H:H,MATCH($P602,F_ProductBM!$Q:$Q,0))="","",INDEX(F_ProductBM!H:H,MATCH($P602,F_ProductBM!$Q:$Q,0))))</f>
        <v/>
      </c>
      <c r="I602" s="800" t="str">
        <f>IF($I477="","",IF(INDEX(F_ProductBM!I:I,MATCH($P602,F_ProductBM!$Q:$Q,0))="","",INDEX(F_ProductBM!I:I,MATCH($P602,F_ProductBM!$Q:$Q,0))))</f>
        <v/>
      </c>
      <c r="J602" s="2174" t="str">
        <f>IF($I477="","",IF(INDEX(F_ProductBM!J:J,MATCH($P602,F_ProductBM!$Q:$Q,0))="","",INDEX(F_ProductBM!J:J,MATCH($P602,F_ProductBM!$Q:$Q,0))))</f>
        <v/>
      </c>
      <c r="K602" s="1788" t="str">
        <f>IF($I477="","",IF(INDEX(F_ProductBM!K:K,MATCH($P602,F_ProductBM!$Q:$Q,0))="","",INDEX(F_ProductBM!K:K,MATCH($P602,F_ProductBM!$Q:$Q,0))))</f>
        <v/>
      </c>
      <c r="L602" s="1789" t="str">
        <f>IF($I477="","",IF(INDEX(F_ProductBM!L:L,MATCH($P602,F_ProductBM!$Q:$Q,0))="","",INDEX(F_ProductBM!L:L,MATCH($P602,F_ProductBM!$Q:$Q,0))))</f>
        <v/>
      </c>
      <c r="M602" s="1789" t="str">
        <f>IF($I477="","",IF(INDEX(F_ProductBM!M:M,MATCH($P602,F_ProductBM!$Q:$Q,0))="","",INDEX(F_ProductBM!M:M,MATCH($P602,F_ProductBM!$Q:$Q,0))))</f>
        <v/>
      </c>
      <c r="N602" s="1789" t="str">
        <f>IF($I477="","",IF(INDEX(F_ProductBM!N:N,MATCH($P602,F_ProductBM!$Q:$Q,0))="","",INDEX(F_ProductBM!N:N,MATCH($P602,F_ProductBM!$Q:$Q,0))))</f>
        <v/>
      </c>
      <c r="O602" s="485"/>
      <c r="P602" s="1970" t="str">
        <f>EUconst_CNTR_Emissions &amp; I477</f>
        <v>DirEmissions_</v>
      </c>
      <c r="Q602" s="1137"/>
      <c r="R602" s="1137"/>
      <c r="S602" s="1137"/>
      <c r="T602" s="1137"/>
      <c r="U602" s="1137"/>
      <c r="V602" s="1137"/>
    </row>
    <row r="603" spans="1:22" s="562" customFormat="1" ht="12.75" customHeight="1">
      <c r="A603" s="817"/>
      <c r="C603" s="485"/>
      <c r="D603" s="776"/>
      <c r="E603" s="2475" t="s">
        <v>1154</v>
      </c>
      <c r="F603" s="3461"/>
      <c r="G603" s="815" t="str">
        <f>EUconst_tCO2pa</f>
        <v>t CO2 / year</v>
      </c>
      <c r="H603" s="623" t="str">
        <f>IF($I477="","",IF(INDEX(F_ProductBM!H:H,MATCH($P603,F_ProductBM!$Q:$Q,0))="","",INDEX(F_ProductBM!H:H,MATCH($P603,F_ProductBM!$Q:$Q,0))))</f>
        <v/>
      </c>
      <c r="I603" s="800" t="str">
        <f>IF($I477="","",IF(INDEX(F_ProductBM!I:I,MATCH($P603,F_ProductBM!$Q:$Q,0))="","",INDEX(F_ProductBM!I:I,MATCH($P603,F_ProductBM!$Q:$Q,0))))</f>
        <v/>
      </c>
      <c r="J603" s="2174" t="str">
        <f>IF($I477="","",IF(INDEX(F_ProductBM!J:J,MATCH($P603,F_ProductBM!$Q:$Q,0))="","",INDEX(F_ProductBM!J:J,MATCH($P603,F_ProductBM!$Q:$Q,0))))</f>
        <v/>
      </c>
      <c r="K603" s="1788" t="str">
        <f>IF($I477="","",IF(INDEX(F_ProductBM!K:K,MATCH($P603,F_ProductBM!$Q:$Q,0))="","",INDEX(F_ProductBM!K:K,MATCH($P603,F_ProductBM!$Q:$Q,0))))</f>
        <v/>
      </c>
      <c r="L603" s="1789" t="str">
        <f>IF($I477="","",IF(INDEX(F_ProductBM!L:L,MATCH($P603,F_ProductBM!$Q:$Q,0))="","",INDEX(F_ProductBM!L:L,MATCH($P603,F_ProductBM!$Q:$Q,0))))</f>
        <v/>
      </c>
      <c r="M603" s="1789" t="str">
        <f>IF($I477="","",IF(INDEX(F_ProductBM!M:M,MATCH($P603,F_ProductBM!$Q:$Q,0))="","",INDEX(F_ProductBM!M:M,MATCH($P603,F_ProductBM!$Q:$Q,0))))</f>
        <v/>
      </c>
      <c r="N603" s="1789" t="str">
        <f>IF($I477="","",IF(INDEX(F_ProductBM!N:N,MATCH($P603,F_ProductBM!$Q:$Q,0))="","",INDEX(F_ProductBM!N:N,MATCH($P603,F_ProductBM!$Q:$Q,0))))</f>
        <v/>
      </c>
      <c r="O603" s="485"/>
      <c r="P603" s="1970" t="str">
        <f>EUconst_CNTR_EmissionsIntSource1 &amp; I477</f>
        <v>EmInternalSource1_</v>
      </c>
      <c r="Q603" s="1137"/>
      <c r="R603" s="1137"/>
      <c r="S603" s="1137"/>
      <c r="T603" s="1137"/>
      <c r="U603" s="1137"/>
      <c r="V603" s="1137"/>
    </row>
    <row r="604" spans="1:22" s="562" customFormat="1" ht="12.75" customHeight="1">
      <c r="A604" s="817"/>
      <c r="C604" s="485"/>
      <c r="D604" s="776"/>
      <c r="E604" s="2475" t="s">
        <v>1155</v>
      </c>
      <c r="F604" s="3461"/>
      <c r="G604" s="815" t="str">
        <f>EUconst_tCO2pa</f>
        <v>t CO2 / year</v>
      </c>
      <c r="H604" s="623" t="str">
        <f>IF($I477="","",IF(INDEX(F_ProductBM!H:H,MATCH($P604,F_ProductBM!$Q:$Q,0))="","",INDEX(F_ProductBM!H:H,MATCH($P604,F_ProductBM!$Q:$Q,0))))</f>
        <v/>
      </c>
      <c r="I604" s="800" t="str">
        <f>IF($I477="","",IF(INDEX(F_ProductBM!I:I,MATCH($P604,F_ProductBM!$Q:$Q,0))="","",INDEX(F_ProductBM!I:I,MATCH($P604,F_ProductBM!$Q:$Q,0))))</f>
        <v/>
      </c>
      <c r="J604" s="2174" t="str">
        <f>IF($I477="","",IF(INDEX(F_ProductBM!J:J,MATCH($P604,F_ProductBM!$Q:$Q,0))="","",INDEX(F_ProductBM!J:J,MATCH($P604,F_ProductBM!$Q:$Q,0))))</f>
        <v/>
      </c>
      <c r="K604" s="1788" t="str">
        <f>IF($I477="","",IF(INDEX(F_ProductBM!K:K,MATCH($P604,F_ProductBM!$Q:$Q,0))="","",INDEX(F_ProductBM!K:K,MATCH($P604,F_ProductBM!$Q:$Q,0))))</f>
        <v/>
      </c>
      <c r="L604" s="1789" t="str">
        <f>IF($I477="","",IF(INDEX(F_ProductBM!L:L,MATCH($P604,F_ProductBM!$Q:$Q,0))="","",INDEX(F_ProductBM!L:L,MATCH($P604,F_ProductBM!$Q:$Q,0))))</f>
        <v/>
      </c>
      <c r="M604" s="1789" t="str">
        <f>IF($I477="","",IF(INDEX(F_ProductBM!M:M,MATCH($P604,F_ProductBM!$Q:$Q,0))="","",INDEX(F_ProductBM!M:M,MATCH($P604,F_ProductBM!$Q:$Q,0))))</f>
        <v/>
      </c>
      <c r="N604" s="1789" t="str">
        <f>IF($I477="","",IF(INDEX(F_ProductBM!N:N,MATCH($P604,F_ProductBM!$Q:$Q,0))="","",INDEX(F_ProductBM!N:N,MATCH($P604,F_ProductBM!$Q:$Q,0))))</f>
        <v/>
      </c>
      <c r="O604" s="485"/>
      <c r="P604" s="1970" t="str">
        <f>EUconst_CNTR_EmissionsIntSource2 &amp; I477</f>
        <v>EmInternalSource2_</v>
      </c>
      <c r="Q604" s="1137"/>
      <c r="R604" s="1137"/>
      <c r="S604" s="1137"/>
      <c r="T604" s="1137"/>
      <c r="U604" s="1137"/>
      <c r="V604" s="1137"/>
    </row>
    <row r="605" spans="1:22" s="562" customFormat="1" ht="12.75" customHeight="1">
      <c r="A605" s="817"/>
      <c r="C605" s="485"/>
      <c r="D605" s="776"/>
      <c r="E605" s="2475" t="s">
        <v>1156</v>
      </c>
      <c r="F605" s="3461"/>
      <c r="G605" s="815" t="str">
        <f>EUconst_tCO2epa</f>
        <v>t CO2e/year</v>
      </c>
      <c r="H605" s="623" t="str">
        <f>IF($I477="","",IF(INDEX(F_ProductBM!H:H,MATCH($P605,F_ProductBM!$Q:$Q,0))="","",INDEX(F_ProductBM!H:H,MATCH($P605,F_ProductBM!$Q:$Q,0))))</f>
        <v/>
      </c>
      <c r="I605" s="800" t="str">
        <f>IF($I477="","",IF(INDEX(F_ProductBM!I:I,MATCH($P605,F_ProductBM!$Q:$Q,0))="","",INDEX(F_ProductBM!I:I,MATCH($P605,F_ProductBM!$Q:$Q,0))))</f>
        <v/>
      </c>
      <c r="J605" s="2174" t="str">
        <f>IF($I477="","",IF(INDEX(F_ProductBM!J:J,MATCH($P605,F_ProductBM!$Q:$Q,0))="","",INDEX(F_ProductBM!J:J,MATCH($P605,F_ProductBM!$Q:$Q,0))))</f>
        <v/>
      </c>
      <c r="K605" s="1788" t="str">
        <f>IF($I477="","",IF(INDEX(F_ProductBM!K:K,MATCH($P605,F_ProductBM!$Q:$Q,0))="","",INDEX(F_ProductBM!K:K,MATCH($P605,F_ProductBM!$Q:$Q,0))))</f>
        <v/>
      </c>
      <c r="L605" s="1789" t="str">
        <f>IF($I477="","",IF(INDEX(F_ProductBM!L:L,MATCH($P605,F_ProductBM!$Q:$Q,0))="","",INDEX(F_ProductBM!L:L,MATCH($P605,F_ProductBM!$Q:$Q,0))))</f>
        <v/>
      </c>
      <c r="M605" s="1789" t="str">
        <f>IF($I477="","",IF(INDEX(F_ProductBM!M:M,MATCH($P605,F_ProductBM!$Q:$Q,0))="","",INDEX(F_ProductBM!M:M,MATCH($P605,F_ProductBM!$Q:$Q,0))))</f>
        <v/>
      </c>
      <c r="N605" s="1789" t="str">
        <f>IF($I477="","",IF(INDEX(F_ProductBM!N:N,MATCH($P605,F_ProductBM!$Q:$Q,0))="","",INDEX(F_ProductBM!N:N,MATCH($P605,F_ProductBM!$Q:$Q,0))))</f>
        <v/>
      </c>
      <c r="O605" s="485"/>
      <c r="P605" s="1970" t="str">
        <f>EUconst_CNTR_CO2Feedstock &amp; I477</f>
        <v>EmCO2Feedstock_</v>
      </c>
      <c r="Q605" s="1137"/>
      <c r="R605" s="1137"/>
      <c r="S605" s="1137"/>
      <c r="T605" s="1137"/>
      <c r="U605" s="1137"/>
      <c r="V605" s="1137"/>
    </row>
    <row r="606" spans="1:22" s="562" customFormat="1" ht="5.0999999999999996" customHeight="1">
      <c r="A606" s="817"/>
      <c r="C606" s="485"/>
      <c r="D606" s="776"/>
      <c r="E606" s="809"/>
      <c r="F606" s="809"/>
      <c r="G606" s="813"/>
      <c r="H606" s="2173"/>
      <c r="I606" s="2173"/>
      <c r="J606" s="2173"/>
      <c r="K606" s="1788"/>
      <c r="L606" s="1789"/>
      <c r="M606" s="1789"/>
      <c r="N606" s="1789"/>
      <c r="O606" s="485"/>
      <c r="P606" s="1137"/>
      <c r="Q606" s="1137"/>
      <c r="R606" s="1137"/>
      <c r="S606" s="1137"/>
      <c r="T606" s="1137"/>
      <c r="U606" s="1137"/>
      <c r="V606" s="1137"/>
    </row>
    <row r="607" spans="1:22" s="562" customFormat="1" ht="12.75" customHeight="1">
      <c r="A607" s="817"/>
      <c r="C607" s="485"/>
      <c r="D607" s="776"/>
      <c r="E607" s="2471" t="s">
        <v>1087</v>
      </c>
      <c r="F607" s="3467"/>
      <c r="G607" s="811" t="str">
        <f>EUconst_TJpa</f>
        <v>TJ / year</v>
      </c>
      <c r="H607" s="625" t="str">
        <f>IF($I477="","",IF(INDEX(F_ProductBM!H:H,MATCH($P607,F_ProductBM!$Q:$Q,0))="","",INDEX(F_ProductBM!H:H,MATCH($P607,F_ProductBM!$Q:$Q,0))))</f>
        <v/>
      </c>
      <c r="I607" s="794" t="str">
        <f>IF($I477="","",IF(INDEX(F_ProductBM!I:I,MATCH($P607,F_ProductBM!$Q:$Q,0))="","",INDEX(F_ProductBM!I:I,MATCH($P607,F_ProductBM!$Q:$Q,0))))</f>
        <v/>
      </c>
      <c r="J607" s="2171" t="str">
        <f>IF($I477="","",IF(INDEX(F_ProductBM!J:J,MATCH($P607,F_ProductBM!$Q:$Q,0))="","",INDEX(F_ProductBM!J:J,MATCH($P607,F_ProductBM!$Q:$Q,0))))</f>
        <v/>
      </c>
      <c r="K607" s="1788" t="str">
        <f>IF($I477="","",IF(INDEX(F_ProductBM!K:K,MATCH($P607,F_ProductBM!$Q:$Q,0))="","",INDEX(F_ProductBM!K:K,MATCH($P607,F_ProductBM!$Q:$Q,0))))</f>
        <v/>
      </c>
      <c r="L607" s="1789" t="str">
        <f>IF($I477="","",IF(INDEX(F_ProductBM!L:L,MATCH($P607,F_ProductBM!$Q:$Q,0))="","",INDEX(F_ProductBM!L:L,MATCH($P607,F_ProductBM!$Q:$Q,0))))</f>
        <v/>
      </c>
      <c r="M607" s="1789" t="str">
        <f>IF($I477="","",IF(INDEX(F_ProductBM!M:M,MATCH($P607,F_ProductBM!$Q:$Q,0))="","",INDEX(F_ProductBM!M:M,MATCH($P607,F_ProductBM!$Q:$Q,0))))</f>
        <v/>
      </c>
      <c r="N607" s="1789" t="str">
        <f>IF($I477="","",IF(INDEX(F_ProductBM!N:N,MATCH($P607,F_ProductBM!$Q:$Q,0))="","",INDEX(F_ProductBM!N:N,MATCH($P607,F_ProductBM!$Q:$Q,0))))</f>
        <v/>
      </c>
      <c r="O607" s="485"/>
      <c r="P607" s="1970" t="str">
        <f>EUconst_CNTR_HeatImport &amp; I477</f>
        <v>HeatIm_</v>
      </c>
      <c r="Q607" s="1137"/>
      <c r="R607" s="1137"/>
      <c r="S607" s="1137"/>
      <c r="T607" s="1137"/>
      <c r="U607" s="1137"/>
      <c r="V607" s="1137"/>
    </row>
    <row r="608" spans="1:22" s="562" customFormat="1" ht="12.75" customHeight="1">
      <c r="A608" s="817"/>
      <c r="C608" s="485"/>
      <c r="D608" s="776"/>
      <c r="E608" s="2473" t="s">
        <v>1103</v>
      </c>
      <c r="F608" s="3466"/>
      <c r="G608" s="812" t="str">
        <f>EUconst_tCO2pTJ</f>
        <v>t CO2 / TJ</v>
      </c>
      <c r="H608" s="627" t="str">
        <f>IF($I477="","",IF(INDEX(F_ProductBM!H:H,MATCH($P608,F_ProductBM!$Q:$Q,0))="","",INDEX(F_ProductBM!H:H,MATCH($P608,F_ProductBM!$Q:$Q,0))))</f>
        <v/>
      </c>
      <c r="I608" s="796" t="str">
        <f>IF($I477="","",IF(INDEX(F_ProductBM!I:I,MATCH($P608,F_ProductBM!$Q:$Q,0))="","",INDEX(F_ProductBM!I:I,MATCH($P608,F_ProductBM!$Q:$Q,0))))</f>
        <v/>
      </c>
      <c r="J608" s="2172" t="str">
        <f>IF($I477="","",IF(INDEX(F_ProductBM!J:J,MATCH($P608,F_ProductBM!$Q:$Q,0))="","",INDEX(F_ProductBM!J:J,MATCH($P608,F_ProductBM!$Q:$Q,0))))</f>
        <v/>
      </c>
      <c r="K608" s="1788" t="str">
        <f>IF($I477="","",IF(INDEX(F_ProductBM!K:K,MATCH($P608,F_ProductBM!$Q:$Q,0))="","",INDEX(F_ProductBM!K:K,MATCH($P608,F_ProductBM!$Q:$Q,0))))</f>
        <v/>
      </c>
      <c r="L608" s="1789" t="str">
        <f>IF($I477="","",IF(INDEX(F_ProductBM!L:L,MATCH($P608,F_ProductBM!$Q:$Q,0))="","",INDEX(F_ProductBM!L:L,MATCH($P608,F_ProductBM!$Q:$Q,0))))</f>
        <v/>
      </c>
      <c r="M608" s="1789" t="str">
        <f>IF($I477="","",IF(INDEX(F_ProductBM!M:M,MATCH($P608,F_ProductBM!$Q:$Q,0))="","",INDEX(F_ProductBM!M:M,MATCH($P608,F_ProductBM!$Q:$Q,0))))</f>
        <v/>
      </c>
      <c r="N608" s="1789" t="str">
        <f>IF($I477="","",IF(INDEX(F_ProductBM!N:N,MATCH($P608,F_ProductBM!$Q:$Q,0))="","",INDEX(F_ProductBM!N:N,MATCH($P608,F_ProductBM!$Q:$Q,0))))</f>
        <v/>
      </c>
      <c r="O608" s="485"/>
      <c r="P608" s="1970" t="str">
        <f>EUconst_CNTR_HeatImportEF &amp; I477</f>
        <v>HeatImEF_</v>
      </c>
      <c r="Q608" s="1137"/>
      <c r="R608" s="1137"/>
      <c r="S608" s="1137"/>
      <c r="T608" s="1137"/>
      <c r="U608" s="1137"/>
      <c r="V608" s="1137"/>
    </row>
    <row r="609" spans="1:22" s="562" customFormat="1" ht="5.0999999999999996" customHeight="1">
      <c r="A609" s="817"/>
      <c r="C609" s="485"/>
      <c r="D609" s="776"/>
      <c r="E609" s="809"/>
      <c r="F609" s="809"/>
      <c r="G609" s="813"/>
      <c r="H609" s="2173"/>
      <c r="I609" s="2173"/>
      <c r="J609" s="2173"/>
      <c r="K609" s="1788"/>
      <c r="L609" s="1789"/>
      <c r="M609" s="1789"/>
      <c r="N609" s="1789"/>
      <c r="O609" s="485"/>
      <c r="P609" s="1117"/>
      <c r="Q609" s="1137"/>
      <c r="R609" s="1137"/>
      <c r="S609" s="1137"/>
      <c r="T609" s="1137"/>
      <c r="U609" s="1137"/>
      <c r="V609" s="1137"/>
    </row>
    <row r="610" spans="1:22" s="562" customFormat="1" ht="12.75" customHeight="1">
      <c r="A610" s="817"/>
      <c r="C610" s="485"/>
      <c r="D610" s="776"/>
      <c r="E610" s="2475" t="s">
        <v>1150</v>
      </c>
      <c r="F610" s="3461"/>
      <c r="G610" s="815" t="str">
        <f>EUconst_TJpa</f>
        <v>TJ / year</v>
      </c>
      <c r="H610" s="623" t="str">
        <f>IF($I477="","",IF(INDEX(F_ProductBM!H:H,MATCH($P610,F_ProductBM!$Q:$Q,0))="","",INDEX(F_ProductBM!H:H,MATCH($P610,F_ProductBM!$Q:$Q,0))))</f>
        <v/>
      </c>
      <c r="I610" s="800" t="str">
        <f>IF($I477="","",IF(INDEX(F_ProductBM!I:I,MATCH($P610,F_ProductBM!$Q:$Q,0))="","",INDEX(F_ProductBM!I:I,MATCH($P610,F_ProductBM!$Q:$Q,0))))</f>
        <v/>
      </c>
      <c r="J610" s="2174" t="str">
        <f>IF($I477="","",IF(INDEX(F_ProductBM!J:J,MATCH($P610,F_ProductBM!$Q:$Q,0))="","",INDEX(F_ProductBM!J:J,MATCH($P610,F_ProductBM!$Q:$Q,0))))</f>
        <v/>
      </c>
      <c r="K610" s="1788" t="str">
        <f>IF($I477="","",IF(INDEX(F_ProductBM!K:K,MATCH($P610,F_ProductBM!$Q:$Q,0))="","",INDEX(F_ProductBM!K:K,MATCH($P610,F_ProductBM!$Q:$Q,0))))</f>
        <v/>
      </c>
      <c r="L610" s="1789" t="str">
        <f>IF($I477="","",IF(INDEX(F_ProductBM!L:L,MATCH($P610,F_ProductBM!$Q:$Q,0))="","",INDEX(F_ProductBM!L:L,MATCH($P610,F_ProductBM!$Q:$Q,0))))</f>
        <v/>
      </c>
      <c r="M610" s="1789" t="str">
        <f>IF($I477="","",IF(INDEX(F_ProductBM!M:M,MATCH($P610,F_ProductBM!$Q:$Q,0))="","",INDEX(F_ProductBM!M:M,MATCH($P610,F_ProductBM!$Q:$Q,0))))</f>
        <v/>
      </c>
      <c r="N610" s="1789" t="str">
        <f>IF($I477="","",IF(INDEX(F_ProductBM!N:N,MATCH($P610,F_ProductBM!$Q:$Q,0))="","",INDEX(F_ProductBM!N:N,MATCH($P610,F_ProductBM!$Q:$Q,0))))</f>
        <v/>
      </c>
      <c r="O610" s="485"/>
      <c r="P610" s="1970" t="str">
        <f>EUconst_CNTR_HeatImportPulp &amp; I477</f>
        <v>HeatImPulp_</v>
      </c>
      <c r="Q610" s="1137"/>
      <c r="R610" s="1137"/>
      <c r="S610" s="1137"/>
      <c r="T610" s="1137"/>
      <c r="U610" s="1137"/>
      <c r="V610" s="1137"/>
    </row>
    <row r="611" spans="1:22" s="562" customFormat="1" ht="12.75" customHeight="1">
      <c r="A611" s="817"/>
      <c r="C611" s="485"/>
      <c r="D611" s="776"/>
      <c r="E611" s="2475" t="s">
        <v>1149</v>
      </c>
      <c r="F611" s="3461"/>
      <c r="G611" s="815" t="str">
        <f>EUconst_TJpa</f>
        <v>TJ / year</v>
      </c>
      <c r="H611" s="623" t="str">
        <f>IF($I477="","",IF(INDEX(F_ProductBM!H:H,MATCH($P611,F_ProductBM!$Q:$Q,0))="","",INDEX(F_ProductBM!H:H,MATCH($P611,F_ProductBM!$Q:$Q,0))))</f>
        <v/>
      </c>
      <c r="I611" s="800" t="str">
        <f>IF($I477="","",IF(INDEX(F_ProductBM!I:I,MATCH($P611,F_ProductBM!$Q:$Q,0))="","",INDEX(F_ProductBM!I:I,MATCH($P611,F_ProductBM!$Q:$Q,0))))</f>
        <v/>
      </c>
      <c r="J611" s="2174" t="str">
        <f>IF($I477="","",IF(INDEX(F_ProductBM!J:J,MATCH($P611,F_ProductBM!$Q:$Q,0))="","",INDEX(F_ProductBM!J:J,MATCH($P611,F_ProductBM!$Q:$Q,0))))</f>
        <v/>
      </c>
      <c r="K611" s="1788" t="str">
        <f>IF($I477="","",IF(INDEX(F_ProductBM!K:K,MATCH($P611,F_ProductBM!$Q:$Q,0))="","",INDEX(F_ProductBM!K:K,MATCH($P611,F_ProductBM!$Q:$Q,0))))</f>
        <v/>
      </c>
      <c r="L611" s="1789" t="str">
        <f>IF($I477="","",IF(INDEX(F_ProductBM!L:L,MATCH($P611,F_ProductBM!$Q:$Q,0))="","",INDEX(F_ProductBM!L:L,MATCH($P611,F_ProductBM!$Q:$Q,0))))</f>
        <v/>
      </c>
      <c r="M611" s="1789" t="str">
        <f>IF($I477="","",IF(INDEX(F_ProductBM!M:M,MATCH($P611,F_ProductBM!$Q:$Q,0))="","",INDEX(F_ProductBM!M:M,MATCH($P611,F_ProductBM!$Q:$Q,0))))</f>
        <v/>
      </c>
      <c r="N611" s="1789" t="str">
        <f>IF($I477="","",IF(INDEX(F_ProductBM!N:N,MATCH($P611,F_ProductBM!$Q:$Q,0))="","",INDEX(F_ProductBM!N:N,MATCH($P611,F_ProductBM!$Q:$Q,0))))</f>
        <v/>
      </c>
      <c r="O611" s="485"/>
      <c r="P611" s="1970" t="str">
        <f>EUconst_CNTR_HeatImportNitric &amp; I477</f>
        <v>HeatImNitric_</v>
      </c>
      <c r="Q611" s="1137"/>
      <c r="R611" s="1137"/>
      <c r="S611" s="1137"/>
      <c r="T611" s="1137"/>
      <c r="U611" s="1137"/>
      <c r="V611" s="1137"/>
    </row>
    <row r="612" spans="1:22" s="562" customFormat="1" ht="5.0999999999999996" customHeight="1">
      <c r="A612" s="817"/>
      <c r="C612" s="485"/>
      <c r="D612" s="776"/>
      <c r="E612" s="809"/>
      <c r="F612" s="809"/>
      <c r="G612" s="777"/>
      <c r="H612" s="2173"/>
      <c r="I612" s="2173"/>
      <c r="J612" s="2173"/>
      <c r="K612" s="1788"/>
      <c r="L612" s="1789"/>
      <c r="M612" s="1789"/>
      <c r="N612" s="1789"/>
      <c r="O612" s="485"/>
      <c r="P612" s="1117"/>
      <c r="Q612" s="1137"/>
      <c r="R612" s="1137"/>
      <c r="S612" s="1137"/>
      <c r="T612" s="1137"/>
      <c r="U612" s="1137"/>
      <c r="V612" s="1137"/>
    </row>
    <row r="613" spans="1:22" s="562" customFormat="1" ht="12.75" customHeight="1">
      <c r="A613" s="817"/>
      <c r="C613" s="485"/>
      <c r="D613" s="776"/>
      <c r="E613" s="2471" t="s">
        <v>1079</v>
      </c>
      <c r="F613" s="3467"/>
      <c r="G613" s="811" t="str">
        <f>EUconst_TJpa</f>
        <v>TJ / year</v>
      </c>
      <c r="H613" s="625" t="str">
        <f>IF($I477="","",IF(INDEX(F_ProductBM!H:H,MATCH($P613,F_ProductBM!$Q:$Q,0))="","",INDEX(F_ProductBM!H:H,MATCH($P613,F_ProductBM!$Q:$Q,0))))</f>
        <v/>
      </c>
      <c r="I613" s="794" t="str">
        <f>IF($I477="","",IF(INDEX(F_ProductBM!I:I,MATCH($P613,F_ProductBM!$Q:$Q,0))="","",INDEX(F_ProductBM!I:I,MATCH($P613,F_ProductBM!$Q:$Q,0))))</f>
        <v/>
      </c>
      <c r="J613" s="2171" t="str">
        <f>IF($I477="","",IF(INDEX(F_ProductBM!J:J,MATCH($P613,F_ProductBM!$Q:$Q,0))="","",INDEX(F_ProductBM!J:J,MATCH($P613,F_ProductBM!$Q:$Q,0))))</f>
        <v/>
      </c>
      <c r="K613" s="1788" t="str">
        <f>IF($I477="","",IF(INDEX(F_ProductBM!K:K,MATCH($P613,F_ProductBM!$Q:$Q,0))="","",INDEX(F_ProductBM!K:K,MATCH($P613,F_ProductBM!$Q:$Q,0))))</f>
        <v/>
      </c>
      <c r="L613" s="1789" t="str">
        <f>IF($I477="","",IF(INDEX(F_ProductBM!L:L,MATCH($P613,F_ProductBM!$Q:$Q,0))="","",INDEX(F_ProductBM!L:L,MATCH($P613,F_ProductBM!$Q:$Q,0))))</f>
        <v/>
      </c>
      <c r="M613" s="1789" t="str">
        <f>IF($I477="","",IF(INDEX(F_ProductBM!M:M,MATCH($P613,F_ProductBM!$Q:$Q,0))="","",INDEX(F_ProductBM!M:M,MATCH($P613,F_ProductBM!$Q:$Q,0))))</f>
        <v/>
      </c>
      <c r="N613" s="1789" t="str">
        <f>IF($I477="","",IF(INDEX(F_ProductBM!N:N,MATCH($P613,F_ProductBM!$Q:$Q,0))="","",INDEX(F_ProductBM!N:N,MATCH($P613,F_ProductBM!$Q:$Q,0))))</f>
        <v/>
      </c>
      <c r="O613" s="485"/>
      <c r="P613" s="1970" t="str">
        <f>EUconst_CNTR_HeatExport &amp; I477</f>
        <v>HeatEx_</v>
      </c>
      <c r="Q613" s="1137"/>
      <c r="R613" s="1137"/>
      <c r="S613" s="1137"/>
      <c r="T613" s="1137"/>
      <c r="U613" s="1137"/>
      <c r="V613" s="1137"/>
    </row>
    <row r="614" spans="1:22" s="562" customFormat="1" ht="12.75" customHeight="1">
      <c r="A614" s="817"/>
      <c r="C614" s="485"/>
      <c r="D614" s="776"/>
      <c r="E614" s="2473" t="s">
        <v>1104</v>
      </c>
      <c r="F614" s="3466"/>
      <c r="G614" s="812" t="str">
        <f>EUconst_tCO2pTJ</f>
        <v>t CO2 / TJ</v>
      </c>
      <c r="H614" s="627" t="str">
        <f>IF($I477="","",IF(INDEX(F_ProductBM!H:H,MATCH($P614,F_ProductBM!$Q:$Q,0))="","",INDEX(F_ProductBM!H:H,MATCH($P614,F_ProductBM!$Q:$Q,0))))</f>
        <v/>
      </c>
      <c r="I614" s="796" t="str">
        <f>IF($I477="","",IF(INDEX(F_ProductBM!I:I,MATCH($P614,F_ProductBM!$Q:$Q,0))="","",INDEX(F_ProductBM!I:I,MATCH($P614,F_ProductBM!$Q:$Q,0))))</f>
        <v/>
      </c>
      <c r="J614" s="2172" t="str">
        <f>IF($I477="","",IF(INDEX(F_ProductBM!J:J,MATCH($P614,F_ProductBM!$Q:$Q,0))="","",INDEX(F_ProductBM!J:J,MATCH($P614,F_ProductBM!$Q:$Q,0))))</f>
        <v/>
      </c>
      <c r="K614" s="1788" t="str">
        <f>IF($I477="","",IF(INDEX(F_ProductBM!K:K,MATCH($P614,F_ProductBM!$Q:$Q,0))="","",INDEX(F_ProductBM!K:K,MATCH($P614,F_ProductBM!$Q:$Q,0))))</f>
        <v/>
      </c>
      <c r="L614" s="1789" t="str">
        <f>IF($I477="","",IF(INDEX(F_ProductBM!L:L,MATCH($P614,F_ProductBM!$Q:$Q,0))="","",INDEX(F_ProductBM!L:L,MATCH($P614,F_ProductBM!$Q:$Q,0))))</f>
        <v/>
      </c>
      <c r="M614" s="1789" t="str">
        <f>IF($I477="","",IF(INDEX(F_ProductBM!M:M,MATCH($P614,F_ProductBM!$Q:$Q,0))="","",INDEX(F_ProductBM!M:M,MATCH($P614,F_ProductBM!$Q:$Q,0))))</f>
        <v/>
      </c>
      <c r="N614" s="1789" t="str">
        <f>IF($I477="","",IF(INDEX(F_ProductBM!N:N,MATCH($P614,F_ProductBM!$Q:$Q,0))="","",INDEX(F_ProductBM!N:N,MATCH($P614,F_ProductBM!$Q:$Q,0))))</f>
        <v/>
      </c>
      <c r="O614" s="485"/>
      <c r="P614" s="1970" t="str">
        <f>EUconst_CNTR_HeatExportEF &amp; I477</f>
        <v>HeatExEF_</v>
      </c>
      <c r="Q614" s="1137"/>
      <c r="R614" s="1137"/>
      <c r="S614" s="1137"/>
      <c r="T614" s="1137"/>
      <c r="U614" s="1137"/>
      <c r="V614" s="1137"/>
    </row>
    <row r="615" spans="1:22" s="562" customFormat="1" ht="5.0999999999999996" customHeight="1">
      <c r="A615" s="817"/>
      <c r="C615" s="485"/>
      <c r="D615" s="776"/>
      <c r="E615" s="809"/>
      <c r="F615" s="809"/>
      <c r="G615" s="777"/>
      <c r="H615" s="2173"/>
      <c r="I615" s="2173"/>
      <c r="J615" s="2173"/>
      <c r="K615" s="1788"/>
      <c r="L615" s="1789"/>
      <c r="M615" s="1789"/>
      <c r="N615" s="1789"/>
      <c r="O615" s="485"/>
      <c r="P615" s="1117"/>
      <c r="Q615" s="1137"/>
      <c r="R615" s="1137"/>
      <c r="S615" s="1137"/>
      <c r="T615" s="1137"/>
      <c r="U615" s="1137"/>
      <c r="V615" s="1137"/>
    </row>
    <row r="616" spans="1:22" s="562" customFormat="1" ht="12.75" customHeight="1">
      <c r="A616" s="817"/>
      <c r="C616" s="485"/>
      <c r="D616" s="776"/>
      <c r="E616" s="2471" t="s">
        <v>1141</v>
      </c>
      <c r="F616" s="3467"/>
      <c r="G616" s="811" t="str">
        <f>EUconst_TJpa</f>
        <v>TJ / year</v>
      </c>
      <c r="H616" s="625" t="str">
        <f>IF($I477="","",IF(INDEX(F_ProductBM!H:H,MATCH($P616,F_ProductBM!$Q:$Q,0))="","",INDEX(F_ProductBM!H:H,MATCH($P616,F_ProductBM!$Q:$Q,0))))</f>
        <v/>
      </c>
      <c r="I616" s="794" t="str">
        <f>IF($I477="","",IF(INDEX(F_ProductBM!I:I,MATCH($P616,F_ProductBM!$Q:$Q,0))="","",INDEX(F_ProductBM!I:I,MATCH($P616,F_ProductBM!$Q:$Q,0))))</f>
        <v/>
      </c>
      <c r="J616" s="2171" t="str">
        <f>IF($I477="","",IF(INDEX(F_ProductBM!J:J,MATCH($P616,F_ProductBM!$Q:$Q,0))="","",INDEX(F_ProductBM!J:J,MATCH($P616,F_ProductBM!$Q:$Q,0))))</f>
        <v/>
      </c>
      <c r="K616" s="1788" t="str">
        <f>IF($I477="","",IF(INDEX(F_ProductBM!K:K,MATCH($P616,F_ProductBM!$Q:$Q,0))="","",INDEX(F_ProductBM!K:K,MATCH($P616,F_ProductBM!$Q:$Q,0))))</f>
        <v/>
      </c>
      <c r="L616" s="1789" t="str">
        <f>IF($I477="","",IF(INDEX(F_ProductBM!L:L,MATCH($P616,F_ProductBM!$Q:$Q,0))="","",INDEX(F_ProductBM!L:L,MATCH($P616,F_ProductBM!$Q:$Q,0))))</f>
        <v/>
      </c>
      <c r="M616" s="1789" t="str">
        <f>IF($I477="","",IF(INDEX(F_ProductBM!M:M,MATCH($P616,F_ProductBM!$Q:$Q,0))="","",INDEX(F_ProductBM!M:M,MATCH($P616,F_ProductBM!$Q:$Q,0))))</f>
        <v/>
      </c>
      <c r="N616" s="1789" t="str">
        <f>IF($I477="","",IF(INDEX(F_ProductBM!N:N,MATCH($P616,F_ProductBM!$Q:$Q,0))="","",INDEX(F_ProductBM!N:N,MATCH($P616,F_ProductBM!$Q:$Q,0))))</f>
        <v/>
      </c>
      <c r="O616" s="485"/>
      <c r="P616" s="2109" t="str">
        <f>EUconst_CNTR_WGProduced &amp; I477</f>
        <v>WasteGasProd_</v>
      </c>
      <c r="Q616" s="1137"/>
      <c r="R616" s="1137"/>
      <c r="S616" s="1137"/>
      <c r="T616" s="1137"/>
      <c r="U616" s="1137"/>
      <c r="V616" s="1137"/>
    </row>
    <row r="617" spans="1:22" s="562" customFormat="1" ht="12.75" customHeight="1">
      <c r="A617" s="817"/>
      <c r="C617" s="485"/>
      <c r="D617" s="776"/>
      <c r="E617" s="2473" t="s">
        <v>1258</v>
      </c>
      <c r="F617" s="3466"/>
      <c r="G617" s="812" t="str">
        <f>EUconst_tCO2pTJ</f>
        <v>t CO2 / TJ</v>
      </c>
      <c r="H617" s="627" t="str">
        <f>IF($I477="","",IF(INDEX(F_ProductBM!H:H,MATCH($P617,F_ProductBM!$Q:$Q,0))="","",INDEX(F_ProductBM!H:H,MATCH($P617,F_ProductBM!$Q:$Q,0))))</f>
        <v/>
      </c>
      <c r="I617" s="796" t="str">
        <f>IF($I477="","",IF(INDEX(F_ProductBM!I:I,MATCH($P617,F_ProductBM!$Q:$Q,0))="","",INDEX(F_ProductBM!I:I,MATCH($P617,F_ProductBM!$Q:$Q,0))))</f>
        <v/>
      </c>
      <c r="J617" s="2172" t="str">
        <f>IF($I477="","",IF(INDEX(F_ProductBM!J:J,MATCH($P617,F_ProductBM!$Q:$Q,0))="","",INDEX(F_ProductBM!J:J,MATCH($P617,F_ProductBM!$Q:$Q,0))))</f>
        <v/>
      </c>
      <c r="K617" s="1788" t="str">
        <f>IF($I477="","",IF(INDEX(F_ProductBM!K:K,MATCH($P617,F_ProductBM!$Q:$Q,0))="","",INDEX(F_ProductBM!K:K,MATCH($P617,F_ProductBM!$Q:$Q,0))))</f>
        <v/>
      </c>
      <c r="L617" s="1789" t="str">
        <f>IF($I477="","",IF(INDEX(F_ProductBM!L:L,MATCH($P617,F_ProductBM!$Q:$Q,0))="","",INDEX(F_ProductBM!L:L,MATCH($P617,F_ProductBM!$Q:$Q,0))))</f>
        <v/>
      </c>
      <c r="M617" s="1789" t="str">
        <f>IF($I477="","",IF(INDEX(F_ProductBM!M:M,MATCH($P617,F_ProductBM!$Q:$Q,0))="","",INDEX(F_ProductBM!M:M,MATCH($P617,F_ProductBM!$Q:$Q,0))))</f>
        <v/>
      </c>
      <c r="N617" s="1789" t="str">
        <f>IF($I477="","",IF(INDEX(F_ProductBM!N:N,MATCH($P617,F_ProductBM!$Q:$Q,0))="","",INDEX(F_ProductBM!N:N,MATCH($P617,F_ProductBM!$Q:$Q,0))))</f>
        <v/>
      </c>
      <c r="O617" s="485"/>
      <c r="P617" s="1970" t="str">
        <f>EUconst_CNTR_WGProducedEF &amp; I477</f>
        <v>WasteGasProdEF_</v>
      </c>
      <c r="Q617" s="1137"/>
      <c r="R617" s="1137"/>
      <c r="S617" s="1137"/>
      <c r="T617" s="1137"/>
      <c r="U617" s="1137"/>
      <c r="V617" s="1137"/>
    </row>
    <row r="618" spans="1:22" s="562" customFormat="1" ht="12.75" customHeight="1">
      <c r="A618" s="817"/>
      <c r="C618" s="485"/>
      <c r="D618" s="776"/>
      <c r="E618" s="2471" t="s">
        <v>1309</v>
      </c>
      <c r="F618" s="3467"/>
      <c r="G618" s="811" t="str">
        <f>EUconst_TJpa</f>
        <v>TJ / year</v>
      </c>
      <c r="H618" s="625" t="str">
        <f>IF($I477="","",IF(INDEX(F_ProductBM!H:H,MATCH($P618,F_ProductBM!$Q:$Q,0))="","",INDEX(F_ProductBM!H:H,MATCH($P618,F_ProductBM!$Q:$Q,0))))</f>
        <v/>
      </c>
      <c r="I618" s="794" t="str">
        <f>IF($I477="","",IF(INDEX(F_ProductBM!I:I,MATCH($P618,F_ProductBM!$Q:$Q,0))="","",INDEX(F_ProductBM!I:I,MATCH($P618,F_ProductBM!$Q:$Q,0))))</f>
        <v/>
      </c>
      <c r="J618" s="2171" t="str">
        <f>IF($I477="","",IF(INDEX(F_ProductBM!J:J,MATCH($P618,F_ProductBM!$Q:$Q,0))="","",INDEX(F_ProductBM!J:J,MATCH($P618,F_ProductBM!$Q:$Q,0))))</f>
        <v/>
      </c>
      <c r="K618" s="1788" t="str">
        <f>IF($I477="","",IF(INDEX(F_ProductBM!K:K,MATCH($P618,F_ProductBM!$Q:$Q,0))="","",INDEX(F_ProductBM!K:K,MATCH($P618,F_ProductBM!$Q:$Q,0))))</f>
        <v/>
      </c>
      <c r="L618" s="1789" t="str">
        <f>IF($I477="","",IF(INDEX(F_ProductBM!L:L,MATCH($P618,F_ProductBM!$Q:$Q,0))="","",INDEX(F_ProductBM!L:L,MATCH($P618,F_ProductBM!$Q:$Q,0))))</f>
        <v/>
      </c>
      <c r="M618" s="1789" t="str">
        <f>IF($I477="","",IF(INDEX(F_ProductBM!M:M,MATCH($P618,F_ProductBM!$Q:$Q,0))="","",INDEX(F_ProductBM!M:M,MATCH($P618,F_ProductBM!$Q:$Q,0))))</f>
        <v/>
      </c>
      <c r="N618" s="1789" t="str">
        <f>IF($I477="","",IF(INDEX(F_ProductBM!N:N,MATCH($P618,F_ProductBM!$Q:$Q,0))="","",INDEX(F_ProductBM!N:N,MATCH($P618,F_ProductBM!$Q:$Q,0))))</f>
        <v/>
      </c>
      <c r="O618" s="485"/>
      <c r="P618" s="1970" t="str">
        <f>EUconst_CNTR_WGConsumed &amp; I477</f>
        <v>WasteGasCons_</v>
      </c>
      <c r="Q618" s="1137"/>
      <c r="R618" s="1137"/>
      <c r="S618" s="1137"/>
      <c r="T618" s="1137"/>
      <c r="U618" s="1137"/>
      <c r="V618" s="1137"/>
    </row>
    <row r="619" spans="1:22" s="562" customFormat="1" ht="12.75" customHeight="1">
      <c r="A619" s="817"/>
      <c r="C619" s="485"/>
      <c r="D619" s="776"/>
      <c r="E619" s="2473" t="s">
        <v>1307</v>
      </c>
      <c r="F619" s="3466"/>
      <c r="G619" s="812" t="str">
        <f>EUconst_tCO2pTJ</f>
        <v>t CO2 / TJ</v>
      </c>
      <c r="H619" s="627" t="str">
        <f>IF($I477="","",IF(INDEX(F_ProductBM!H:H,MATCH($P619,F_ProductBM!$Q:$Q,0))="","",INDEX(F_ProductBM!H:H,MATCH($P619,F_ProductBM!$Q:$Q,0))))</f>
        <v/>
      </c>
      <c r="I619" s="796" t="str">
        <f>IF($I477="","",IF(INDEX(F_ProductBM!I:I,MATCH($P619,F_ProductBM!$Q:$Q,0))="","",INDEX(F_ProductBM!I:I,MATCH($P619,F_ProductBM!$Q:$Q,0))))</f>
        <v/>
      </c>
      <c r="J619" s="2172" t="str">
        <f>IF($I477="","",IF(INDEX(F_ProductBM!J:J,MATCH($P619,F_ProductBM!$Q:$Q,0))="","",INDEX(F_ProductBM!J:J,MATCH($P619,F_ProductBM!$Q:$Q,0))))</f>
        <v/>
      </c>
      <c r="K619" s="1788" t="str">
        <f>IF($I477="","",IF(INDEX(F_ProductBM!K:K,MATCH($P619,F_ProductBM!$Q:$Q,0))="","",INDEX(F_ProductBM!K:K,MATCH($P619,F_ProductBM!$Q:$Q,0))))</f>
        <v/>
      </c>
      <c r="L619" s="1789" t="str">
        <f>IF($I477="","",IF(INDEX(F_ProductBM!L:L,MATCH($P619,F_ProductBM!$Q:$Q,0))="","",INDEX(F_ProductBM!L:L,MATCH($P619,F_ProductBM!$Q:$Q,0))))</f>
        <v/>
      </c>
      <c r="M619" s="1789" t="str">
        <f>IF($I477="","",IF(INDEX(F_ProductBM!M:M,MATCH($P619,F_ProductBM!$Q:$Q,0))="","",INDEX(F_ProductBM!M:M,MATCH($P619,F_ProductBM!$Q:$Q,0))))</f>
        <v/>
      </c>
      <c r="N619" s="1789" t="str">
        <f>IF($I477="","",IF(INDEX(F_ProductBM!N:N,MATCH($P619,F_ProductBM!$Q:$Q,0))="","",INDEX(F_ProductBM!N:N,MATCH($P619,F_ProductBM!$Q:$Q,0))))</f>
        <v/>
      </c>
      <c r="O619" s="485"/>
      <c r="P619" s="1970" t="str">
        <f>EUconst_CNTR_WGConsumedEF &amp; I477</f>
        <v>WasteGasConsEF_</v>
      </c>
      <c r="Q619" s="1137"/>
      <c r="R619" s="1137"/>
      <c r="S619" s="1137"/>
      <c r="T619" s="1137"/>
      <c r="U619" s="1137"/>
      <c r="V619" s="1137"/>
    </row>
    <row r="620" spans="1:22" s="562" customFormat="1" ht="12.75" customHeight="1">
      <c r="A620" s="817"/>
      <c r="C620" s="485"/>
      <c r="D620" s="776"/>
      <c r="E620" s="2471" t="s">
        <v>1288</v>
      </c>
      <c r="F620" s="3467"/>
      <c r="G620" s="811" t="str">
        <f>EUconst_TJpa</f>
        <v>TJ / year</v>
      </c>
      <c r="H620" s="625" t="str">
        <f>IF($I477="","",IF(INDEX(F_ProductBM!H:H,MATCH($P620,F_ProductBM!$Q:$Q,0))="","",INDEX(F_ProductBM!H:H,MATCH($P620,F_ProductBM!$Q:$Q,0))))</f>
        <v/>
      </c>
      <c r="I620" s="794" t="str">
        <f>IF($I477="","",IF(INDEX(F_ProductBM!I:I,MATCH($P620,F_ProductBM!$Q:$Q,0))="","",INDEX(F_ProductBM!I:I,MATCH($P620,F_ProductBM!$Q:$Q,0))))</f>
        <v/>
      </c>
      <c r="J620" s="2171" t="str">
        <f>IF($I477="","",IF(INDEX(F_ProductBM!J:J,MATCH($P620,F_ProductBM!$Q:$Q,0))="","",INDEX(F_ProductBM!J:J,MATCH($P620,F_ProductBM!$Q:$Q,0))))</f>
        <v/>
      </c>
      <c r="K620" s="1788" t="str">
        <f>IF($I477="","",IF(INDEX(F_ProductBM!K:K,MATCH($P620,F_ProductBM!$Q:$Q,0))="","",INDEX(F_ProductBM!K:K,MATCH($P620,F_ProductBM!$Q:$Q,0))))</f>
        <v/>
      </c>
      <c r="L620" s="1789" t="str">
        <f>IF($I477="","",IF(INDEX(F_ProductBM!L:L,MATCH($P620,F_ProductBM!$Q:$Q,0))="","",INDEX(F_ProductBM!L:L,MATCH($P620,F_ProductBM!$Q:$Q,0))))</f>
        <v/>
      </c>
      <c r="M620" s="1789" t="str">
        <f>IF($I477="","",IF(INDEX(F_ProductBM!M:M,MATCH($P620,F_ProductBM!$Q:$Q,0))="","",INDEX(F_ProductBM!M:M,MATCH($P620,F_ProductBM!$Q:$Q,0))))</f>
        <v/>
      </c>
      <c r="N620" s="1789" t="str">
        <f>IF($I477="","",IF(INDEX(F_ProductBM!N:N,MATCH($P620,F_ProductBM!$Q:$Q,0))="","",INDEX(F_ProductBM!N:N,MATCH($P620,F_ProductBM!$Q:$Q,0))))</f>
        <v/>
      </c>
      <c r="O620" s="485"/>
      <c r="P620" s="1970" t="str">
        <f>EUconst_CNTR_WGFlared &amp; I477</f>
        <v>WasteGasFlare_</v>
      </c>
      <c r="Q620" s="1137"/>
      <c r="R620" s="1137"/>
      <c r="S620" s="1137"/>
      <c r="T620" s="1137"/>
      <c r="U620" s="1137"/>
      <c r="V620" s="1137"/>
    </row>
    <row r="621" spans="1:22" s="562" customFormat="1" ht="12.75" customHeight="1">
      <c r="A621" s="817"/>
      <c r="C621" s="485"/>
      <c r="D621" s="776"/>
      <c r="E621" s="2473" t="s">
        <v>1308</v>
      </c>
      <c r="F621" s="3466"/>
      <c r="G621" s="812" t="str">
        <f>EUconst_tCO2pTJ</f>
        <v>t CO2 / TJ</v>
      </c>
      <c r="H621" s="627" t="str">
        <f>IF($I477="","",IF(INDEX(F_ProductBM!H:H,MATCH($P621,F_ProductBM!$Q:$Q,0))="","",INDEX(F_ProductBM!H:H,MATCH($P621,F_ProductBM!$Q:$Q,0))))</f>
        <v/>
      </c>
      <c r="I621" s="796" t="str">
        <f>IF($I477="","",IF(INDEX(F_ProductBM!I:I,MATCH($P621,F_ProductBM!$Q:$Q,0))="","",INDEX(F_ProductBM!I:I,MATCH($P621,F_ProductBM!$Q:$Q,0))))</f>
        <v/>
      </c>
      <c r="J621" s="2172" t="str">
        <f>IF($I477="","",IF(INDEX(F_ProductBM!J:J,MATCH($P621,F_ProductBM!$Q:$Q,0))="","",INDEX(F_ProductBM!J:J,MATCH($P621,F_ProductBM!$Q:$Q,0))))</f>
        <v/>
      </c>
      <c r="K621" s="1788" t="str">
        <f>IF($I477="","",IF(INDEX(F_ProductBM!K:K,MATCH($P621,F_ProductBM!$Q:$Q,0))="","",INDEX(F_ProductBM!K:K,MATCH($P621,F_ProductBM!$Q:$Q,0))))</f>
        <v/>
      </c>
      <c r="L621" s="1789" t="str">
        <f>IF($I477="","",IF(INDEX(F_ProductBM!L:L,MATCH($P621,F_ProductBM!$Q:$Q,0))="","",INDEX(F_ProductBM!L:L,MATCH($P621,F_ProductBM!$Q:$Q,0))))</f>
        <v/>
      </c>
      <c r="M621" s="1789" t="str">
        <f>IF($I477="","",IF(INDEX(F_ProductBM!M:M,MATCH($P621,F_ProductBM!$Q:$Q,0))="","",INDEX(F_ProductBM!M:M,MATCH($P621,F_ProductBM!$Q:$Q,0))))</f>
        <v/>
      </c>
      <c r="N621" s="1789" t="str">
        <f>IF($I477="","",IF(INDEX(F_ProductBM!N:N,MATCH($P621,F_ProductBM!$Q:$Q,0))="","",INDEX(F_ProductBM!N:N,MATCH($P621,F_ProductBM!$Q:$Q,0))))</f>
        <v/>
      </c>
      <c r="O621" s="485"/>
      <c r="P621" s="1970" t="str">
        <f>EUconst_CNTR_WGFlaredEF &amp; I477</f>
        <v>WasteGasFlareEF_</v>
      </c>
      <c r="Q621" s="1137"/>
      <c r="R621" s="1137"/>
      <c r="S621" s="1137"/>
      <c r="T621" s="1137"/>
      <c r="U621" s="1137"/>
      <c r="V621" s="1137"/>
    </row>
    <row r="622" spans="1:22" s="562" customFormat="1" ht="12.75" customHeight="1">
      <c r="A622" s="817"/>
      <c r="C622" s="485"/>
      <c r="D622" s="776"/>
      <c r="E622" s="2471" t="s">
        <v>1102</v>
      </c>
      <c r="F622" s="3467"/>
      <c r="G622" s="811" t="str">
        <f>EUconst_TJpa</f>
        <v>TJ / year</v>
      </c>
      <c r="H622" s="625" t="str">
        <f>IF($I477="","",IF(INDEX(F_ProductBM!H:H,MATCH($P622,F_ProductBM!$Q:$Q,0))="","",INDEX(F_ProductBM!H:H,MATCH($P622,F_ProductBM!$Q:$Q,0))))</f>
        <v/>
      </c>
      <c r="I622" s="794" t="str">
        <f>IF($I477="","",IF(INDEX(F_ProductBM!I:I,MATCH($P622,F_ProductBM!$Q:$Q,0))="","",INDEX(F_ProductBM!I:I,MATCH($P622,F_ProductBM!$Q:$Q,0))))</f>
        <v/>
      </c>
      <c r="J622" s="2171" t="str">
        <f>IF($I477="","",IF(INDEX(F_ProductBM!J:J,MATCH($P622,F_ProductBM!$Q:$Q,0))="","",INDEX(F_ProductBM!J:J,MATCH($P622,F_ProductBM!$Q:$Q,0))))</f>
        <v/>
      </c>
      <c r="K622" s="1788" t="str">
        <f>IF($I477="","",IF(INDEX(F_ProductBM!K:K,MATCH($P622,F_ProductBM!$Q:$Q,0))="","",INDEX(F_ProductBM!K:K,MATCH($P622,F_ProductBM!$Q:$Q,0))))</f>
        <v/>
      </c>
      <c r="L622" s="1789" t="str">
        <f>IF($I477="","",IF(INDEX(F_ProductBM!L:L,MATCH($P622,F_ProductBM!$Q:$Q,0))="","",INDEX(F_ProductBM!L:L,MATCH($P622,F_ProductBM!$Q:$Q,0))))</f>
        <v/>
      </c>
      <c r="M622" s="1789" t="str">
        <f>IF($I477="","",IF(INDEX(F_ProductBM!M:M,MATCH($P622,F_ProductBM!$Q:$Q,0))="","",INDEX(F_ProductBM!M:M,MATCH($P622,F_ProductBM!$Q:$Q,0))))</f>
        <v/>
      </c>
      <c r="N622" s="1789" t="str">
        <f>IF($I477="","",IF(INDEX(F_ProductBM!N:N,MATCH($P622,F_ProductBM!$Q:$Q,0))="","",INDEX(F_ProductBM!N:N,MATCH($P622,F_ProductBM!$Q:$Q,0))))</f>
        <v/>
      </c>
      <c r="O622" s="485"/>
      <c r="P622" s="1970" t="str">
        <f>EUconst_CNTR_WGImport &amp; I477</f>
        <v>WasteGasIm_</v>
      </c>
      <c r="Q622" s="1137"/>
      <c r="R622" s="1137"/>
      <c r="S622" s="1137"/>
      <c r="T622" s="1137"/>
      <c r="U622" s="1137"/>
      <c r="V622" s="1137"/>
    </row>
    <row r="623" spans="1:22" s="562" customFormat="1" ht="12.75" customHeight="1">
      <c r="A623" s="817"/>
      <c r="C623" s="485"/>
      <c r="D623" s="776"/>
      <c r="E623" s="816" t="s">
        <v>1275</v>
      </c>
      <c r="F623" s="816"/>
      <c r="G623" s="812" t="str">
        <f>EUconst_tCO2pTJ</f>
        <v>t CO2 / TJ</v>
      </c>
      <c r="H623" s="627" t="str">
        <f>IF($I477="","",IF(INDEX(F_ProductBM!H:H,MATCH($P623,F_ProductBM!$Q:$Q,0))="","",INDEX(F_ProductBM!H:H,MATCH($P623,F_ProductBM!$Q:$Q,0))))</f>
        <v/>
      </c>
      <c r="I623" s="796" t="str">
        <f>IF($I477="","",IF(INDEX(F_ProductBM!I:I,MATCH($P623,F_ProductBM!$Q:$Q,0))="","",INDEX(F_ProductBM!I:I,MATCH($P623,F_ProductBM!$Q:$Q,0))))</f>
        <v/>
      </c>
      <c r="J623" s="2172" t="str">
        <f>IF($I477="","",IF(INDEX(F_ProductBM!J:J,MATCH($P623,F_ProductBM!$Q:$Q,0))="","",INDEX(F_ProductBM!J:J,MATCH($P623,F_ProductBM!$Q:$Q,0))))</f>
        <v/>
      </c>
      <c r="K623" s="1788" t="str">
        <f>IF($I477="","",IF(INDEX(F_ProductBM!K:K,MATCH($P623,F_ProductBM!$Q:$Q,0))="","",INDEX(F_ProductBM!K:K,MATCH($P623,F_ProductBM!$Q:$Q,0))))</f>
        <v/>
      </c>
      <c r="L623" s="1789" t="str">
        <f>IF($I477="","",IF(INDEX(F_ProductBM!L:L,MATCH($P623,F_ProductBM!$Q:$Q,0))="","",INDEX(F_ProductBM!L:L,MATCH($P623,F_ProductBM!$Q:$Q,0))))</f>
        <v/>
      </c>
      <c r="M623" s="1789" t="str">
        <f>IF($I477="","",IF(INDEX(F_ProductBM!M:M,MATCH($P623,F_ProductBM!$Q:$Q,0))="","",INDEX(F_ProductBM!M:M,MATCH($P623,F_ProductBM!$Q:$Q,0))))</f>
        <v/>
      </c>
      <c r="N623" s="1789" t="str">
        <f>IF($I477="","",IF(INDEX(F_ProductBM!N:N,MATCH($P623,F_ProductBM!$Q:$Q,0))="","",INDEX(F_ProductBM!N:N,MATCH($P623,F_ProductBM!$Q:$Q,0))))</f>
        <v/>
      </c>
      <c r="O623" s="485"/>
      <c r="P623" s="1970" t="str">
        <f>EUconst_CNTR_WGImportEF &amp; I477</f>
        <v>WasteGasImEF_</v>
      </c>
      <c r="Q623" s="1137"/>
      <c r="R623" s="1137"/>
      <c r="S623" s="1137"/>
      <c r="T623" s="1137"/>
      <c r="U623" s="1137"/>
      <c r="V623" s="1137"/>
    </row>
    <row r="624" spans="1:22" s="562" customFormat="1" ht="12.75" customHeight="1">
      <c r="A624" s="817"/>
      <c r="C624" s="485"/>
      <c r="D624" s="776"/>
      <c r="E624" s="2471" t="s">
        <v>1080</v>
      </c>
      <c r="F624" s="3467"/>
      <c r="G624" s="811" t="str">
        <f>EUconst_TJpa</f>
        <v>TJ / year</v>
      </c>
      <c r="H624" s="625" t="str">
        <f>IF($I477="","",IF(INDEX(F_ProductBM!H:H,MATCH($P624,F_ProductBM!$Q:$Q,0))="","",INDEX(F_ProductBM!H:H,MATCH($P624,F_ProductBM!$Q:$Q,0))))</f>
        <v/>
      </c>
      <c r="I624" s="794" t="str">
        <f>IF($I477="","",IF(INDEX(F_ProductBM!I:I,MATCH($P624,F_ProductBM!$Q:$Q,0))="","",INDEX(F_ProductBM!I:I,MATCH($P624,F_ProductBM!$Q:$Q,0))))</f>
        <v/>
      </c>
      <c r="J624" s="2171" t="str">
        <f>IF($I477="","",IF(INDEX(F_ProductBM!J:J,MATCH($P624,F_ProductBM!$Q:$Q,0))="","",INDEX(F_ProductBM!J:J,MATCH($P624,F_ProductBM!$Q:$Q,0))))</f>
        <v/>
      </c>
      <c r="K624" s="1788" t="str">
        <f>IF($I477="","",IF(INDEX(F_ProductBM!K:K,MATCH($P624,F_ProductBM!$Q:$Q,0))="","",INDEX(F_ProductBM!K:K,MATCH($P624,F_ProductBM!$Q:$Q,0))))</f>
        <v/>
      </c>
      <c r="L624" s="1789" t="str">
        <f>IF($I477="","",IF(INDEX(F_ProductBM!L:L,MATCH($P624,F_ProductBM!$Q:$Q,0))="","",INDEX(F_ProductBM!L:L,MATCH($P624,F_ProductBM!$Q:$Q,0))))</f>
        <v/>
      </c>
      <c r="M624" s="1789" t="str">
        <f>IF($I477="","",IF(INDEX(F_ProductBM!M:M,MATCH($P624,F_ProductBM!$Q:$Q,0))="","",INDEX(F_ProductBM!M:M,MATCH($P624,F_ProductBM!$Q:$Q,0))))</f>
        <v/>
      </c>
      <c r="N624" s="1789" t="str">
        <f>IF($I477="","",IF(INDEX(F_ProductBM!N:N,MATCH($P624,F_ProductBM!$Q:$Q,0))="","",INDEX(F_ProductBM!N:N,MATCH($P624,F_ProductBM!$Q:$Q,0))))</f>
        <v/>
      </c>
      <c r="O624" s="485"/>
      <c r="P624" s="1970" t="str">
        <f>EUconst_CNTR_WGExport &amp; I477</f>
        <v>WasteGasEx_</v>
      </c>
      <c r="Q624" s="1137"/>
      <c r="R624" s="1137"/>
      <c r="S624" s="1137"/>
      <c r="T624" s="1137"/>
      <c r="U624" s="1137"/>
      <c r="V624" s="1137"/>
    </row>
    <row r="625" spans="1:22" s="562" customFormat="1" ht="12.75" customHeight="1">
      <c r="A625" s="817"/>
      <c r="C625" s="485"/>
      <c r="D625" s="776"/>
      <c r="E625" s="2473" t="s">
        <v>1276</v>
      </c>
      <c r="F625" s="3466"/>
      <c r="G625" s="812" t="str">
        <f>EUconst_tCO2pTJ</f>
        <v>t CO2 / TJ</v>
      </c>
      <c r="H625" s="627" t="str">
        <f>IF($I477="","",IF(INDEX(F_ProductBM!H:H,MATCH($P625,F_ProductBM!$Q:$Q,0))="","",INDEX(F_ProductBM!H:H,MATCH($P625,F_ProductBM!$Q:$Q,0))))</f>
        <v/>
      </c>
      <c r="I625" s="796" t="str">
        <f>IF($I477="","",IF(INDEX(F_ProductBM!I:I,MATCH($P625,F_ProductBM!$Q:$Q,0))="","",INDEX(F_ProductBM!I:I,MATCH($P625,F_ProductBM!$Q:$Q,0))))</f>
        <v/>
      </c>
      <c r="J625" s="2172" t="str">
        <f>IF($I477="","",IF(INDEX(F_ProductBM!J:J,MATCH($P625,F_ProductBM!$Q:$Q,0))="","",INDEX(F_ProductBM!J:J,MATCH($P625,F_ProductBM!$Q:$Q,0))))</f>
        <v/>
      </c>
      <c r="K625" s="1788" t="str">
        <f>IF($I477="","",IF(INDEX(F_ProductBM!K:K,MATCH($P625,F_ProductBM!$Q:$Q,0))="","",INDEX(F_ProductBM!K:K,MATCH($P625,F_ProductBM!$Q:$Q,0))))</f>
        <v/>
      </c>
      <c r="L625" s="1789" t="str">
        <f>IF($I477="","",IF(INDEX(F_ProductBM!L:L,MATCH($P625,F_ProductBM!$Q:$Q,0))="","",INDEX(F_ProductBM!L:L,MATCH($P625,F_ProductBM!$Q:$Q,0))))</f>
        <v/>
      </c>
      <c r="M625" s="1789" t="str">
        <f>IF($I477="","",IF(INDEX(F_ProductBM!M:M,MATCH($P625,F_ProductBM!$Q:$Q,0))="","",INDEX(F_ProductBM!M:M,MATCH($P625,F_ProductBM!$Q:$Q,0))))</f>
        <v/>
      </c>
      <c r="N625" s="1789" t="str">
        <f>IF($I477="","",IF(INDEX(F_ProductBM!N:N,MATCH($P625,F_ProductBM!$Q:$Q,0))="","",INDEX(F_ProductBM!N:N,MATCH($P625,F_ProductBM!$Q:$Q,0))))</f>
        <v/>
      </c>
      <c r="O625" s="485"/>
      <c r="P625" s="1970" t="str">
        <f>EUconst_CNTR_WGExportEF &amp; I477</f>
        <v>WasteGasExEF_</v>
      </c>
      <c r="Q625" s="1137"/>
      <c r="R625" s="1137"/>
      <c r="S625" s="1137"/>
      <c r="T625" s="1137"/>
      <c r="U625" s="1137"/>
      <c r="V625" s="1137"/>
    </row>
    <row r="626" spans="1:22" s="562" customFormat="1" ht="5.0999999999999996" customHeight="1">
      <c r="A626" s="817"/>
      <c r="C626" s="485"/>
      <c r="D626" s="776"/>
      <c r="E626" s="809"/>
      <c r="F626" s="809"/>
      <c r="G626" s="777"/>
      <c r="H626" s="2173"/>
      <c r="I626" s="2173"/>
      <c r="J626" s="2173"/>
      <c r="K626" s="1788"/>
      <c r="L626" s="1789"/>
      <c r="M626" s="1789"/>
      <c r="N626" s="1789"/>
      <c r="O626" s="485"/>
      <c r="P626" s="1117"/>
      <c r="Q626" s="1137"/>
      <c r="R626" s="1137"/>
      <c r="S626" s="1137"/>
      <c r="T626" s="1137"/>
      <c r="U626" s="1137"/>
      <c r="V626" s="1137"/>
    </row>
    <row r="627" spans="1:22" s="562" customFormat="1" ht="12.75" customHeight="1">
      <c r="A627" s="817"/>
      <c r="C627" s="485"/>
      <c r="D627" s="776"/>
      <c r="E627" s="2475" t="s">
        <v>914</v>
      </c>
      <c r="F627" s="3461"/>
      <c r="G627" s="815" t="str">
        <f>EUconst_MWhpa</f>
        <v>MWh / year</v>
      </c>
      <c r="H627" s="623" t="str">
        <f>IF($I477="","",IF(INDEX(F_ProductBM!H:H,MATCH($P627,F_ProductBM!$R:$R,0))="","",INDEX(F_ProductBM!H:H,MATCH($P627,F_ProductBM!$R:$R,0))))</f>
        <v/>
      </c>
      <c r="I627" s="800" t="str">
        <f>IF($I477="","",IF(INDEX(F_ProductBM!I:I,MATCH($P627,F_ProductBM!$R:$R,0))="","",INDEX(F_ProductBM!I:I,MATCH($P627,F_ProductBM!$R:$R,0))))</f>
        <v/>
      </c>
      <c r="J627" s="2174" t="str">
        <f>IF($I477="","",IF(INDEX(F_ProductBM!J:J,MATCH($P627,F_ProductBM!$R:$R,0))="","",INDEX(F_ProductBM!J:J,MATCH($P627,F_ProductBM!$R:$R,0))))</f>
        <v/>
      </c>
      <c r="K627" s="1788" t="str">
        <f>IF($I477="","",IF(INDEX(F_ProductBM!K:K,MATCH($P627,F_ProductBM!$R:$R,0))="","",INDEX(F_ProductBM!K:K,MATCH($P627,F_ProductBM!$R:$R,0))))</f>
        <v/>
      </c>
      <c r="L627" s="1789" t="str">
        <f>IF($I477="","",IF(INDEX(F_ProductBM!L:L,MATCH($P627,F_ProductBM!$R:$R,0))="","",INDEX(F_ProductBM!L:L,MATCH($P627,F_ProductBM!$R:$R,0))))</f>
        <v/>
      </c>
      <c r="M627" s="1789" t="str">
        <f>IF($I477="","",IF(INDEX(F_ProductBM!M:M,MATCH($P627,F_ProductBM!$R:$R,0))="","",INDEX(F_ProductBM!M:M,MATCH($P627,F_ProductBM!$R:$R,0))))</f>
        <v/>
      </c>
      <c r="N627" s="1789" t="str">
        <f>IF($I477="","",IF(INDEX(F_ProductBM!N:N,MATCH($P627,F_ProductBM!$R:$R,0))="","",INDEX(F_ProductBM!N:N,MATCH($P627,F_ProductBM!$R:$R,0))))</f>
        <v/>
      </c>
      <c r="O627" s="485"/>
      <c r="P627" s="1158" t="str">
        <f>EUconst_CNTR_HAL&amp;EUconst_CNTR_ELEXCH &amp; I477</f>
        <v>HAL_ELEXCH_</v>
      </c>
      <c r="Q627" s="1137"/>
      <c r="R627" s="1137"/>
      <c r="S627" s="1137"/>
      <c r="T627" s="1137"/>
      <c r="U627" s="1137"/>
      <c r="V627" s="1137"/>
    </row>
    <row r="628" spans="1:22" s="562" customFormat="1" ht="12.75" customHeight="1">
      <c r="A628" s="817"/>
      <c r="C628" s="485"/>
      <c r="D628" s="776"/>
      <c r="E628" s="2475" t="s">
        <v>1354</v>
      </c>
      <c r="F628" s="3461"/>
      <c r="G628" s="815" t="str">
        <f>EUconst_MWhpa</f>
        <v>MWh / year</v>
      </c>
      <c r="H628" s="623" t="str">
        <f>IF($I477="","",IF(INDEX(F_ProductBM!H:H,MATCH($P628,F_ProductBM!$Q:$Q,0))="","",INDEX(F_ProductBM!H:H,MATCH($P628,F_ProductBM!$Q:$Q,0))))</f>
        <v/>
      </c>
      <c r="I628" s="800" t="str">
        <f>IF($I477="","",IF(INDEX(F_ProductBM!I:I,MATCH($P628,F_ProductBM!$Q:$Q,0))="","",INDEX(F_ProductBM!I:I,MATCH($P628,F_ProductBM!$Q:$Q,0))))</f>
        <v/>
      </c>
      <c r="J628" s="2174" t="str">
        <f>IF($I477="","",IF(INDEX(F_ProductBM!J:J,MATCH($P628,F_ProductBM!$Q:$Q,0))="","",INDEX(F_ProductBM!J:J,MATCH($P628,F_ProductBM!$Q:$Q,0))))</f>
        <v/>
      </c>
      <c r="K628" s="1788" t="str">
        <f>IF($I477="","",IF(INDEX(F_ProductBM!K:K,MATCH($P628,F_ProductBM!$Q:$Q,0))="","",INDEX(F_ProductBM!K:K,MATCH($P628,F_ProductBM!$Q:$Q,0))))</f>
        <v/>
      </c>
      <c r="L628" s="1789" t="str">
        <f>IF($I477="","",IF(INDEX(F_ProductBM!L:L,MATCH($P628,F_ProductBM!$Q:$Q,0))="","",INDEX(F_ProductBM!L:L,MATCH($P628,F_ProductBM!$Q:$Q,0))))</f>
        <v/>
      </c>
      <c r="M628" s="1789" t="str">
        <f>IF($I477="","",IF(INDEX(F_ProductBM!M:M,MATCH($P628,F_ProductBM!$Q:$Q,0))="","",INDEX(F_ProductBM!M:M,MATCH($P628,F_ProductBM!$Q:$Q,0))))</f>
        <v/>
      </c>
      <c r="N628" s="1789" t="str">
        <f>IF($I477="","",IF(INDEX(F_ProductBM!N:N,MATCH($P628,F_ProductBM!$Q:$Q,0))="","",INDEX(F_ProductBM!N:N,MATCH($P628,F_ProductBM!$Q:$Q,0))))</f>
        <v/>
      </c>
      <c r="O628" s="485"/>
      <c r="P628" s="1970" t="str">
        <f>EUconst_CNTR_ElectricityExported &amp; I477</f>
        <v>ElecEx_</v>
      </c>
      <c r="Q628" s="1137"/>
      <c r="R628" s="1137"/>
      <c r="S628" s="1137"/>
      <c r="T628" s="1137"/>
      <c r="U628" s="1137"/>
      <c r="V628" s="1137"/>
    </row>
    <row r="629" spans="1:22" s="562" customFormat="1" ht="5.0999999999999996" customHeight="1">
      <c r="A629" s="817"/>
      <c r="C629" s="485"/>
      <c r="D629" s="776"/>
      <c r="E629" s="809"/>
      <c r="F629" s="809"/>
      <c r="G629" s="777"/>
      <c r="H629" s="2173"/>
      <c r="I629" s="2173"/>
      <c r="J629" s="2173"/>
      <c r="K629" s="1788"/>
      <c r="L629" s="1789"/>
      <c r="M629" s="1789"/>
      <c r="N629" s="1789"/>
      <c r="O629" s="485"/>
      <c r="P629" s="1117"/>
      <c r="Q629" s="1137"/>
      <c r="R629" s="1137"/>
      <c r="S629" s="1137"/>
      <c r="T629" s="1137"/>
      <c r="U629" s="1137"/>
      <c r="V629" s="1137"/>
    </row>
    <row r="630" spans="1:22" s="562" customFormat="1" ht="12.75" customHeight="1">
      <c r="A630" s="817"/>
      <c r="C630" s="485"/>
      <c r="D630" s="776"/>
      <c r="E630" s="2475" t="s">
        <v>1157</v>
      </c>
      <c r="F630" s="3461"/>
      <c r="G630" s="815" t="str">
        <f>EUconst_Tons</f>
        <v>tonnes</v>
      </c>
      <c r="H630" s="623" t="str">
        <f>IF($I477="","",IF(INDEX(F_ProductBM!H:H,MATCH($P630,F_ProductBM!$Q:$Q,0))="","",INDEX(F_ProductBM!H:H,MATCH($P630,F_ProductBM!$Q:$Q,0))))</f>
        <v/>
      </c>
      <c r="I630" s="800" t="str">
        <f>IF($I477="","",IF(INDEX(F_ProductBM!I:I,MATCH($P630,F_ProductBM!$Q:$Q,0))="","",INDEX(F_ProductBM!I:I,MATCH($P630,F_ProductBM!$Q:$Q,0))))</f>
        <v/>
      </c>
      <c r="J630" s="2174" t="str">
        <f>IF($I477="","",IF(INDEX(F_ProductBM!J:J,MATCH($P630,F_ProductBM!$Q:$Q,0))="","",INDEX(F_ProductBM!J:J,MATCH($P630,F_ProductBM!$Q:$Q,0))))</f>
        <v/>
      </c>
      <c r="K630" s="1788" t="str">
        <f>IF($I477="","",IF(INDEX(F_ProductBM!K:K,MATCH($P630,F_ProductBM!$Q:$Q,0))="","",INDEX(F_ProductBM!K:K,MATCH($P630,F_ProductBM!$Q:$Q,0))))</f>
        <v/>
      </c>
      <c r="L630" s="1789" t="str">
        <f>IF($I477="","",IF(INDEX(F_ProductBM!L:L,MATCH($P630,F_ProductBM!$Q:$Q,0))="","",INDEX(F_ProductBM!L:L,MATCH($P630,F_ProductBM!$Q:$Q,0))))</f>
        <v/>
      </c>
      <c r="M630" s="1789" t="str">
        <f>IF($I477="","",IF(INDEX(F_ProductBM!M:M,MATCH($P630,F_ProductBM!$Q:$Q,0))="","",INDEX(F_ProductBM!M:M,MATCH($P630,F_ProductBM!$Q:$Q,0))))</f>
        <v/>
      </c>
      <c r="N630" s="1789" t="str">
        <f>IF($I477="","",IF(INDEX(F_ProductBM!N:N,MATCH($P630,F_ProductBM!$Q:$Q,0))="","",INDEX(F_ProductBM!N:N,MATCH($P630,F_ProductBM!$Q:$Q,0))))</f>
        <v/>
      </c>
      <c r="O630" s="485"/>
      <c r="P630" s="1970" t="str">
        <f>EUconst_CNTR_HALPulpTotal &amp; I477</f>
        <v>HALPulpTotal_</v>
      </c>
      <c r="Q630" s="1137"/>
      <c r="R630" s="1137"/>
      <c r="S630" s="1137"/>
      <c r="T630" s="1137"/>
      <c r="U630" s="1137"/>
      <c r="V630" s="1137"/>
    </row>
    <row r="631" spans="1:22" s="562" customFormat="1" ht="5.0999999999999996" customHeight="1">
      <c r="A631" s="817"/>
      <c r="C631" s="485"/>
      <c r="D631" s="776"/>
      <c r="E631" s="809"/>
      <c r="F631" s="809"/>
      <c r="G631" s="777"/>
      <c r="H631" s="2173"/>
      <c r="I631" s="2173"/>
      <c r="J631" s="2173"/>
      <c r="K631" s="1788"/>
      <c r="L631" s="1789"/>
      <c r="M631" s="1789"/>
      <c r="N631" s="1789"/>
      <c r="O631" s="485"/>
      <c r="P631" s="1117"/>
      <c r="Q631" s="1137"/>
      <c r="R631" s="1137"/>
      <c r="S631" s="1137"/>
      <c r="T631" s="1137"/>
      <c r="U631" s="1137"/>
      <c r="V631" s="1137"/>
    </row>
    <row r="632" spans="1:22" s="562" customFormat="1">
      <c r="A632" s="817"/>
      <c r="C632" s="485"/>
      <c r="D632" s="776"/>
      <c r="E632" s="2492" t="s">
        <v>1440</v>
      </c>
      <c r="F632" s="3284"/>
      <c r="G632" s="777"/>
      <c r="H632" s="2173"/>
      <c r="I632" s="2173"/>
      <c r="J632" s="2173"/>
      <c r="K632" s="1788"/>
      <c r="L632" s="1789"/>
      <c r="M632" s="1789"/>
      <c r="N632" s="1789"/>
      <c r="O632" s="485"/>
      <c r="P632" s="1117"/>
      <c r="Q632" s="1137"/>
      <c r="R632" s="1137"/>
      <c r="S632" s="1137"/>
      <c r="T632" s="1137"/>
      <c r="U632" s="1137"/>
      <c r="V632" s="1137"/>
    </row>
    <row r="633" spans="1:22" s="562" customFormat="1">
      <c r="A633" s="817"/>
      <c r="C633" s="485"/>
      <c r="D633" s="776"/>
      <c r="E633" s="3285" t="str">
        <f>IF(I477="","",IF(INDEX(F_ProductBM!E:E,MATCH($P633,F_ProductBM!$Q:$Q,0))="","",INDEX(F_ProductBM!E:E,MATCH($P633,F_ProductBM!$Q:$Q,0))))</f>
        <v/>
      </c>
      <c r="F633" s="3461"/>
      <c r="G633" s="815" t="str">
        <f>EUconst_Tons</f>
        <v>tonnes</v>
      </c>
      <c r="H633" s="623" t="str">
        <f>IF($I477="","",IF(INDEX(F_ProductBM!H:H,MATCH($P633,F_ProductBM!$Q:$Q,0))="","",INDEX(F_ProductBM!H:H,MATCH($P633,F_ProductBM!$Q:$Q,0))))</f>
        <v/>
      </c>
      <c r="I633" s="800" t="str">
        <f>IF($I477="","",IF(INDEX(F_ProductBM!I:I,MATCH($P633,F_ProductBM!$Q:$Q,0))="","",INDEX(F_ProductBM!I:I,MATCH($P633,F_ProductBM!$Q:$Q,0))))</f>
        <v/>
      </c>
      <c r="J633" s="2174" t="str">
        <f>IF($I477="","",IF(INDEX(F_ProductBM!J:J,MATCH($P633,F_ProductBM!$Q:$Q,0))="","",INDEX(F_ProductBM!J:J,MATCH($P633,F_ProductBM!$Q:$Q,0))))</f>
        <v/>
      </c>
      <c r="K633" s="1788" t="str">
        <f>IF($I477="","",IF(INDEX(F_ProductBM!K:K,MATCH($P633,F_ProductBM!$Q:$Q,0))="","",INDEX(F_ProductBM!K:K,MATCH($P633,F_ProductBM!$Q:$Q,0))))</f>
        <v/>
      </c>
      <c r="L633" s="1789" t="str">
        <f>IF($I477="","",IF(INDEX(F_ProductBM!L:L,MATCH($P633,F_ProductBM!$Q:$Q,0))="","",INDEX(F_ProductBM!L:L,MATCH($P633,F_ProductBM!$Q:$Q,0))))</f>
        <v/>
      </c>
      <c r="M633" s="1789" t="str">
        <f>IF($I477="","",IF(INDEX(F_ProductBM!M:M,MATCH($P633,F_ProductBM!$Q:$Q,0))="","",INDEX(F_ProductBM!M:M,MATCH($P633,F_ProductBM!$Q:$Q,0))))</f>
        <v/>
      </c>
      <c r="N633" s="1789" t="str">
        <f>IF($I477="","",IF(INDEX(F_ProductBM!N:N,MATCH($P633,F_ProductBM!$Q:$Q,0))="","",INDEX(F_ProductBM!N:N,MATCH($P633,F_ProductBM!$Q:$Q,0))))</f>
        <v/>
      </c>
      <c r="O633" s="485"/>
      <c r="P633" s="1970" t="str">
        <f>EUconst_CNTR_IntermediateImport &amp; R633 &amp; "_" &amp; I477</f>
        <v>IntImp_1_</v>
      </c>
      <c r="Q633" s="1137"/>
      <c r="R633" s="1312">
        <v>1</v>
      </c>
      <c r="S633" s="1137"/>
      <c r="T633" s="1137"/>
      <c r="U633" s="1137"/>
      <c r="V633" s="1137"/>
    </row>
    <row r="634" spans="1:22" s="562" customFormat="1">
      <c r="A634" s="817"/>
      <c r="C634" s="485"/>
      <c r="D634" s="776"/>
      <c r="E634" s="3285" t="str">
        <f>IF(I477="","",IF(INDEX(F_ProductBM!E:E,MATCH($P634,F_ProductBM!$Q:$Q,0))="","",INDEX(F_ProductBM!E:E,MATCH($P634,F_ProductBM!$Q:$Q,0))))</f>
        <v/>
      </c>
      <c r="F634" s="3461"/>
      <c r="G634" s="815" t="str">
        <f>EUconst_Tons</f>
        <v>tonnes</v>
      </c>
      <c r="H634" s="623" t="str">
        <f>IF($I477="","",IF(INDEX(F_ProductBM!H:H,MATCH($P634,F_ProductBM!$Q:$Q,0))="","",INDEX(F_ProductBM!H:H,MATCH($P634,F_ProductBM!$Q:$Q,0))))</f>
        <v/>
      </c>
      <c r="I634" s="800" t="str">
        <f>IF($I477="","",IF(INDEX(F_ProductBM!I:I,MATCH($P634,F_ProductBM!$Q:$Q,0))="","",INDEX(F_ProductBM!I:I,MATCH($P634,F_ProductBM!$Q:$Q,0))))</f>
        <v/>
      </c>
      <c r="J634" s="2174" t="str">
        <f>IF($I477="","",IF(INDEX(F_ProductBM!J:J,MATCH($P634,F_ProductBM!$Q:$Q,0))="","",INDEX(F_ProductBM!J:J,MATCH($P634,F_ProductBM!$Q:$Q,0))))</f>
        <v/>
      </c>
      <c r="K634" s="1788" t="str">
        <f>IF($I477="","",IF(INDEX(F_ProductBM!K:K,MATCH($P634,F_ProductBM!$Q:$Q,0))="","",INDEX(F_ProductBM!K:K,MATCH($P634,F_ProductBM!$Q:$Q,0))))</f>
        <v/>
      </c>
      <c r="L634" s="1789" t="str">
        <f>IF($I477="","",IF(INDEX(F_ProductBM!L:L,MATCH($P634,F_ProductBM!$Q:$Q,0))="","",INDEX(F_ProductBM!L:L,MATCH($P634,F_ProductBM!$Q:$Q,0))))</f>
        <v/>
      </c>
      <c r="M634" s="1789" t="str">
        <f>IF($I477="","",IF(INDEX(F_ProductBM!M:M,MATCH($P634,F_ProductBM!$Q:$Q,0))="","",INDEX(F_ProductBM!M:M,MATCH($P634,F_ProductBM!$Q:$Q,0))))</f>
        <v/>
      </c>
      <c r="N634" s="1789" t="str">
        <f>IF($I477="","",IF(INDEX(F_ProductBM!N:N,MATCH($P634,F_ProductBM!$Q:$Q,0))="","",INDEX(F_ProductBM!N:N,MATCH($P634,F_ProductBM!$Q:$Q,0))))</f>
        <v/>
      </c>
      <c r="O634" s="485"/>
      <c r="P634" s="1970" t="str">
        <f>EUconst_CNTR_IntermediateImport &amp; R634 &amp; "_" &amp; I477</f>
        <v>IntImp_2_</v>
      </c>
      <c r="Q634" s="1137"/>
      <c r="R634" s="1312">
        <v>2</v>
      </c>
      <c r="S634" s="1137"/>
      <c r="T634" s="1137"/>
      <c r="U634" s="1137"/>
      <c r="V634" s="1137"/>
    </row>
    <row r="635" spans="1:22" s="562" customFormat="1">
      <c r="A635" s="817"/>
      <c r="C635" s="485"/>
      <c r="D635" s="776"/>
      <c r="E635" s="2475" t="s">
        <v>1441</v>
      </c>
      <c r="F635" s="3461"/>
      <c r="G635" s="777"/>
      <c r="H635" s="2173"/>
      <c r="I635" s="2173"/>
      <c r="J635" s="2173"/>
      <c r="K635" s="1788"/>
      <c r="L635" s="1789"/>
      <c r="M635" s="1789"/>
      <c r="N635" s="1789"/>
      <c r="O635" s="485"/>
      <c r="P635" s="1117"/>
      <c r="Q635" s="1137"/>
      <c r="R635" s="1137"/>
      <c r="S635" s="1137"/>
      <c r="T635" s="1137"/>
      <c r="U635" s="1137"/>
      <c r="V635" s="1137"/>
    </row>
    <row r="636" spans="1:22" s="562" customFormat="1">
      <c r="A636" s="817"/>
      <c r="C636" s="485"/>
      <c r="D636" s="776"/>
      <c r="E636" s="3285" t="str">
        <f>IF(I477="","",IF(INDEX(F_ProductBM!E:E,MATCH($P636,F_ProductBM!$Q:$Q,0))="","",INDEX(F_ProductBM!E:E,MATCH($P636,F_ProductBM!$Q:$Q,0))))</f>
        <v/>
      </c>
      <c r="F636" s="3461"/>
      <c r="G636" s="815" t="str">
        <f>EUconst_Tons</f>
        <v>tonnes</v>
      </c>
      <c r="H636" s="623" t="str">
        <f>IF($I477="","",IF(INDEX(F_ProductBM!H:H,MATCH($P636,F_ProductBM!$Q:$Q,0))="","",INDEX(F_ProductBM!H:H,MATCH($P636,F_ProductBM!$Q:$Q,0))))</f>
        <v/>
      </c>
      <c r="I636" s="800" t="str">
        <f>IF($I477="","",IF(INDEX(F_ProductBM!I:I,MATCH($P636,F_ProductBM!$Q:$Q,0))="","",INDEX(F_ProductBM!I:I,MATCH($P636,F_ProductBM!$Q:$Q,0))))</f>
        <v/>
      </c>
      <c r="J636" s="2174" t="str">
        <f>IF($I477="","",IF(INDEX(F_ProductBM!J:J,MATCH($P636,F_ProductBM!$Q:$Q,0))="","",INDEX(F_ProductBM!J:J,MATCH($P636,F_ProductBM!$Q:$Q,0))))</f>
        <v/>
      </c>
      <c r="K636" s="1788" t="str">
        <f>IF($I477="","",IF(INDEX(F_ProductBM!K:K,MATCH($P636,F_ProductBM!$Q:$Q,0))="","",INDEX(F_ProductBM!K:K,MATCH($P636,F_ProductBM!$Q:$Q,0))))</f>
        <v/>
      </c>
      <c r="L636" s="1789" t="str">
        <f>IF($I477="","",IF(INDEX(F_ProductBM!L:L,MATCH($P636,F_ProductBM!$Q:$Q,0))="","",INDEX(F_ProductBM!L:L,MATCH($P636,F_ProductBM!$Q:$Q,0))))</f>
        <v/>
      </c>
      <c r="M636" s="1789" t="str">
        <f>IF($I477="","",IF(INDEX(F_ProductBM!M:M,MATCH($P636,F_ProductBM!$Q:$Q,0))="","",INDEX(F_ProductBM!M:M,MATCH($P636,F_ProductBM!$Q:$Q,0))))</f>
        <v/>
      </c>
      <c r="N636" s="1789" t="str">
        <f>IF($I477="","",IF(INDEX(F_ProductBM!N:N,MATCH($P636,F_ProductBM!$Q:$Q,0))="","",INDEX(F_ProductBM!N:N,MATCH($P636,F_ProductBM!$Q:$Q,0))))</f>
        <v/>
      </c>
      <c r="O636" s="485"/>
      <c r="P636" s="1970" t="str">
        <f>EUconst_CNTR_IntermediateExport &amp; R633 &amp; "_" &amp; I477</f>
        <v>IntExp_1_</v>
      </c>
      <c r="Q636" s="1137"/>
      <c r="R636" s="1312">
        <v>1</v>
      </c>
      <c r="S636" s="1137"/>
      <c r="T636" s="1137"/>
      <c r="U636" s="1137"/>
      <c r="V636" s="1137"/>
    </row>
    <row r="637" spans="1:22" s="562" customFormat="1">
      <c r="A637" s="817"/>
      <c r="C637" s="485"/>
      <c r="D637" s="776"/>
      <c r="E637" s="3285" t="str">
        <f>IF(I477="","",IF(INDEX(F_ProductBM!E:E,MATCH($P637,F_ProductBM!$Q:$Q,0))="","",INDEX(F_ProductBM!E:E,MATCH($P637,F_ProductBM!$Q:$Q,0))))</f>
        <v/>
      </c>
      <c r="F637" s="3461"/>
      <c r="G637" s="815" t="str">
        <f>EUconst_Tons</f>
        <v>tonnes</v>
      </c>
      <c r="H637" s="623" t="str">
        <f>IF($I477="","",IF(INDEX(F_ProductBM!H:H,MATCH($P637,F_ProductBM!$Q:$Q,0))="","",INDEX(F_ProductBM!H:H,MATCH($P637,F_ProductBM!$Q:$Q,0))))</f>
        <v/>
      </c>
      <c r="I637" s="800" t="str">
        <f>IF($I477="","",IF(INDEX(F_ProductBM!I:I,MATCH($P637,F_ProductBM!$Q:$Q,0))="","",INDEX(F_ProductBM!I:I,MATCH($P637,F_ProductBM!$Q:$Q,0))))</f>
        <v/>
      </c>
      <c r="J637" s="2174" t="str">
        <f>IF($I477="","",IF(INDEX(F_ProductBM!J:J,MATCH($P637,F_ProductBM!$Q:$Q,0))="","",INDEX(F_ProductBM!J:J,MATCH($P637,F_ProductBM!$Q:$Q,0))))</f>
        <v/>
      </c>
      <c r="K637" s="1788" t="str">
        <f>IF($I477="","",IF(INDEX(F_ProductBM!K:K,MATCH($P637,F_ProductBM!$Q:$Q,0))="","",INDEX(F_ProductBM!K:K,MATCH($P637,F_ProductBM!$Q:$Q,0))))</f>
        <v/>
      </c>
      <c r="L637" s="1789" t="str">
        <f>IF($I477="","",IF(INDEX(F_ProductBM!L:L,MATCH($P637,F_ProductBM!$Q:$Q,0))="","",INDEX(F_ProductBM!L:L,MATCH($P637,F_ProductBM!$Q:$Q,0))))</f>
        <v/>
      </c>
      <c r="M637" s="1789" t="str">
        <f>IF($I477="","",IF(INDEX(F_ProductBM!M:M,MATCH($P637,F_ProductBM!$Q:$Q,0))="","",INDEX(F_ProductBM!M:M,MATCH($P637,F_ProductBM!$Q:$Q,0))))</f>
        <v/>
      </c>
      <c r="N637" s="1789" t="str">
        <f>IF($I477="","",IF(INDEX(F_ProductBM!N:N,MATCH($P637,F_ProductBM!$Q:$Q,0))="","",INDEX(F_ProductBM!N:N,MATCH($P637,F_ProductBM!$Q:$Q,0))))</f>
        <v/>
      </c>
      <c r="O637" s="485"/>
      <c r="P637" s="1970" t="str">
        <f>EUconst_CNTR_IntermediateExport &amp; R637 &amp; "_" &amp; I477</f>
        <v>IntExp_2_</v>
      </c>
      <c r="Q637" s="1137"/>
      <c r="R637" s="1312">
        <v>2</v>
      </c>
      <c r="S637" s="1137"/>
      <c r="T637" s="1137"/>
      <c r="U637" s="1137"/>
      <c r="V637" s="1137"/>
    </row>
    <row r="638" spans="1:22" s="562" customFormat="1" ht="12.75" customHeight="1" thickBot="1">
      <c r="A638" s="817"/>
      <c r="C638" s="485"/>
      <c r="D638" s="802"/>
      <c r="E638" s="803"/>
      <c r="F638" s="803"/>
      <c r="G638" s="804"/>
      <c r="H638" s="804"/>
      <c r="I638" s="805"/>
      <c r="J638" s="805"/>
      <c r="K638" s="1790"/>
      <c r="L638" s="1791"/>
      <c r="M638" s="1791"/>
      <c r="N638" s="1791"/>
      <c r="O638" s="485"/>
      <c r="P638" s="1117"/>
      <c r="Q638" s="1137"/>
      <c r="R638" s="1137"/>
      <c r="S638" s="1137"/>
      <c r="T638" s="1137"/>
      <c r="U638" s="1137"/>
      <c r="V638" s="1137"/>
    </row>
    <row r="639" spans="1:22" s="562" customFormat="1" ht="5.0999999999999996" customHeight="1" thickBot="1">
      <c r="A639" s="817"/>
      <c r="C639" s="485"/>
      <c r="D639" s="485"/>
      <c r="E639" s="807"/>
      <c r="O639" s="485"/>
      <c r="P639" s="1137"/>
      <c r="Q639" s="1137"/>
      <c r="R639" s="1137"/>
      <c r="S639" s="1137"/>
      <c r="T639" s="1137"/>
      <c r="U639" s="1137"/>
      <c r="V639" s="1137"/>
    </row>
    <row r="640" spans="1:22" s="562" customFormat="1" ht="5.0999999999999996" customHeight="1" thickBot="1">
      <c r="A640" s="817"/>
      <c r="C640" s="2118"/>
      <c r="D640" s="2118"/>
      <c r="E640" s="2118"/>
      <c r="F640" s="2118"/>
      <c r="G640" s="2118"/>
      <c r="H640" s="2118"/>
      <c r="I640" s="2118"/>
      <c r="J640" s="2118"/>
      <c r="K640" s="2118"/>
      <c r="L640" s="2118"/>
      <c r="M640" s="2118"/>
      <c r="N640" s="2118"/>
      <c r="O640" s="485"/>
      <c r="P640" s="1137"/>
      <c r="Q640" s="1137"/>
      <c r="R640" s="1137"/>
      <c r="S640" s="1137"/>
      <c r="T640" s="1137"/>
      <c r="U640" s="1137"/>
      <c r="V640" s="1137"/>
    </row>
    <row r="641" spans="1:22" s="562" customFormat="1" ht="15" customHeight="1" thickBot="1">
      <c r="A641" s="719"/>
      <c r="B641" s="485"/>
      <c r="C641" s="559">
        <f>C477+1</f>
        <v>2</v>
      </c>
      <c r="D641" s="2482" t="str">
        <f>CONCATENATE(EUconst_BMSubinst," ",C641, ":")</f>
        <v>Sub-installation with product benchmark 2:</v>
      </c>
      <c r="E641" s="2482"/>
      <c r="F641" s="2482"/>
      <c r="G641" s="2482"/>
      <c r="H641" s="2483"/>
      <c r="I641" s="3293" t="str">
        <f>IF(INDEX(CNTR_SubInstListIsProdBM,$C641),INDEX(CNTR_SubInstListNames,$C641),"")</f>
        <v/>
      </c>
      <c r="J641" s="3471"/>
      <c r="K641" s="3471"/>
      <c r="L641" s="3471"/>
      <c r="M641" s="3471"/>
      <c r="N641" s="3472"/>
      <c r="O641" s="485"/>
      <c r="P641" s="1137"/>
      <c r="Q641" s="2123">
        <f>C641</f>
        <v>2</v>
      </c>
      <c r="R641" s="2124" t="str">
        <f>I641</f>
        <v/>
      </c>
      <c r="S641" s="1137"/>
      <c r="T641" s="1137"/>
      <c r="U641" s="1137"/>
      <c r="V641" s="1137"/>
    </row>
    <row r="642" spans="1:22" s="562" customFormat="1" ht="5.0999999999999996" customHeight="1">
      <c r="A642" s="719"/>
      <c r="B642" s="485"/>
      <c r="C642" s="559"/>
      <c r="D642" s="559"/>
      <c r="E642" s="559"/>
      <c r="F642" s="559"/>
      <c r="G642" s="559"/>
      <c r="H642" s="559"/>
      <c r="I642" s="559"/>
      <c r="J642" s="559"/>
      <c r="K642" s="559"/>
      <c r="L642" s="559"/>
      <c r="M642" s="559"/>
      <c r="N642" s="559"/>
      <c r="O642" s="485"/>
      <c r="P642" s="1137"/>
      <c r="Q642" s="1137"/>
      <c r="R642" s="1137"/>
      <c r="S642" s="1137"/>
      <c r="T642" s="1137"/>
      <c r="U642" s="1137"/>
      <c r="V642" s="1137"/>
    </row>
    <row r="643" spans="1:22" s="562" customFormat="1" ht="12.75" customHeight="1">
      <c r="A643" s="719"/>
      <c r="B643" s="485"/>
      <c r="C643" s="559"/>
      <c r="D643" s="559"/>
      <c r="E643" s="559"/>
      <c r="F643" s="559"/>
      <c r="H643" s="688" t="s">
        <v>458</v>
      </c>
      <c r="I643" s="688" t="s">
        <v>1256</v>
      </c>
      <c r="J643" s="688" t="s">
        <v>1434</v>
      </c>
      <c r="K643" s="688" t="s">
        <v>1684</v>
      </c>
      <c r="L643" s="689" t="s">
        <v>156</v>
      </c>
      <c r="M643" s="2469" t="s">
        <v>302</v>
      </c>
      <c r="N643" s="2469"/>
      <c r="O643" s="485"/>
      <c r="P643" s="1137"/>
      <c r="Q643" s="1137"/>
      <c r="R643" s="1137"/>
      <c r="S643" s="1137"/>
      <c r="T643" s="2175"/>
      <c r="U643" s="1137"/>
      <c r="V643" s="1137"/>
    </row>
    <row r="644" spans="1:22" s="562" customFormat="1" ht="12.75" customHeight="1">
      <c r="A644" s="719"/>
      <c r="B644" s="485"/>
      <c r="C644" s="559"/>
      <c r="D644" s="559"/>
      <c r="E644" s="690" t="str">
        <f>I641</f>
        <v/>
      </c>
      <c r="F644" s="691"/>
      <c r="G644" s="691"/>
      <c r="H644" s="692" t="str">
        <f>IF(L644=EUconst_NA,EUconst_NA,INDEX(EUconst_BMlistCLstatus,L644))</f>
        <v>N.A.</v>
      </c>
      <c r="I644" s="692" t="str">
        <f>IF(I641="","",INDEX(EUconst_BMlistElExchangability,L644))</f>
        <v/>
      </c>
      <c r="J644" s="566" t="str">
        <f>IF($I641="",EUconst_NA,INDEX(CNTR_SubInstStartDate,MATCH(I641,CNTR_SubInstListNames,0)))</f>
        <v>N.A.</v>
      </c>
      <c r="K644" s="566" t="str">
        <f>IF($I641="",EUconst_NA,IF(INDEX(CNTR_SubInstCessationDate,MATCH(I641,CNTR_SubInstListNames,0))=0,"",INDEX(CNTR_SubInstCessationDate,MATCH(I641,CNTR_SubInstListNames,0))))</f>
        <v>N.A.</v>
      </c>
      <c r="L644" s="693" t="str">
        <f>IF($I641="",EUconst_NA,MATCH(I641,EUconst_BMlistNames,0))</f>
        <v>N.A.</v>
      </c>
      <c r="M644" s="694" t="str">
        <f>IF(I641="",EUconst_NA,INDEX(EUconst_BMlistBMvaluesMatrix,L644,3))</f>
        <v>N.A.</v>
      </c>
      <c r="N644" s="685" t="str">
        <f>EUconst_EUA &amp; "/" &amp; F647</f>
        <v>UKA/tonnes</v>
      </c>
      <c r="O644" s="485"/>
      <c r="P644" s="1137"/>
      <c r="Q644" s="1137"/>
      <c r="R644" s="1137"/>
      <c r="S644" s="1137"/>
      <c r="T644" s="2175"/>
      <c r="U644" s="1137"/>
      <c r="V644" s="1137"/>
    </row>
    <row r="645" spans="1:22" s="562" customFormat="1" ht="5.0999999999999996" customHeight="1" thickBot="1">
      <c r="A645" s="719"/>
      <c r="B645" s="485"/>
      <c r="C645" s="485"/>
      <c r="D645" s="485"/>
      <c r="E645" s="559"/>
      <c r="J645" s="485"/>
      <c r="K645" s="485"/>
      <c r="L645" s="485"/>
      <c r="M645" s="485"/>
      <c r="N645" s="485"/>
      <c r="O645" s="485"/>
      <c r="P645" s="1137"/>
      <c r="Q645" s="1137"/>
      <c r="R645" s="1137"/>
      <c r="S645" s="1137"/>
      <c r="T645" s="1117"/>
      <c r="U645" s="1137"/>
      <c r="V645" s="1137"/>
    </row>
    <row r="646" spans="1:22" s="562" customFormat="1" ht="12.75" customHeight="1">
      <c r="A646" s="719"/>
      <c r="B646" s="485"/>
      <c r="C646" s="485"/>
      <c r="D646" s="485"/>
      <c r="E646" s="496"/>
      <c r="F646" s="482" t="str">
        <f>EUconst_Unit</f>
        <v>Unit</v>
      </c>
      <c r="G646" s="695" t="s">
        <v>1646</v>
      </c>
      <c r="H646" s="696">
        <f t="shared" ref="H646:N646" si="43">H$2737</f>
        <v>2024</v>
      </c>
      <c r="I646" s="697">
        <f t="shared" si="43"/>
        <v>2025</v>
      </c>
      <c r="J646" s="2125">
        <f t="shared" si="43"/>
        <v>2026</v>
      </c>
      <c r="K646" s="1489">
        <f t="shared" si="43"/>
        <v>2027</v>
      </c>
      <c r="L646" s="1490">
        <f t="shared" si="43"/>
        <v>2028</v>
      </c>
      <c r="M646" s="1490">
        <f t="shared" si="43"/>
        <v>2029</v>
      </c>
      <c r="N646" s="1490">
        <f t="shared" si="43"/>
        <v>2030</v>
      </c>
      <c r="O646" s="485"/>
      <c r="P646" s="1137"/>
      <c r="Q646" s="1137" t="s">
        <v>1803</v>
      </c>
      <c r="R646" s="2126">
        <f>J$2737</f>
        <v>2026</v>
      </c>
      <c r="S646" s="2127">
        <f>K$2737</f>
        <v>2027</v>
      </c>
      <c r="T646" s="2127">
        <f>L$2737</f>
        <v>2028</v>
      </c>
      <c r="U646" s="2127">
        <f>M$2737</f>
        <v>2029</v>
      </c>
      <c r="V646" s="2128">
        <f>N$2737</f>
        <v>2030</v>
      </c>
    </row>
    <row r="647" spans="1:22" s="562" customFormat="1" ht="12.75" customHeight="1" thickBot="1">
      <c r="A647" s="719"/>
      <c r="B647" s="485"/>
      <c r="C647" s="485"/>
      <c r="D647" s="485"/>
      <c r="E647" s="698" t="s">
        <v>1665</v>
      </c>
      <c r="F647" s="699" t="str">
        <f>IF(ISNUMBER(L644),INDEX(EUconst_BMlistUnits,L644),EUconst_Tons)</f>
        <v>tonnes</v>
      </c>
      <c r="G647" s="700" t="str">
        <f>I750</f>
        <v/>
      </c>
      <c r="H647" s="701" t="str">
        <f>IF($I641="","",IF(H646&gt;=CNTR_ReportingYear,"",INDEX(F_ProductBM!H:H,MATCH($P647,F_ProductBM!$Q:$Q,0))))</f>
        <v/>
      </c>
      <c r="I647" s="702" t="str">
        <f>IF($I641="","",IF(I646&gt;=CNTR_ReportingYear,"",INDEX(F_ProductBM!I:I,MATCH($P647,F_ProductBM!$Q:$Q,0))))</f>
        <v/>
      </c>
      <c r="J647" s="2129" t="str">
        <f>IF($I641="","",IF(J646&gt;=CNTR_ReportingYear,"",INDEX(F_ProductBM!J:J,MATCH($P647,F_ProductBM!$Q:$Q,0))))</f>
        <v/>
      </c>
      <c r="K647" s="2072" t="str">
        <f>IF($I641="","",IF(K646&gt;=CNTR_ReportingYear,"",INDEX(F_ProductBM!K:K,MATCH($P647,F_ProductBM!$Q:$Q,0))))</f>
        <v/>
      </c>
      <c r="L647" s="2073" t="str">
        <f>IF($I641="","",IF(L646&gt;=CNTR_ReportingYear,"",INDEX(F_ProductBM!L:L,MATCH($P647,F_ProductBM!$Q:$Q,0))))</f>
        <v/>
      </c>
      <c r="M647" s="2073" t="str">
        <f>IF($I641="","",IF(M646&gt;=CNTR_ReportingYear,"",INDEX(F_ProductBM!M:M,MATCH($P647,F_ProductBM!$Q:$Q,0))))</f>
        <v/>
      </c>
      <c r="N647" s="2073" t="str">
        <f>IF($I641="","",IF(N646&gt;=CNTR_ReportingYear,"",INDEX(F_ProductBM!N:N,MATCH($P647,F_ProductBM!$Q:$Q,0))))</f>
        <v/>
      </c>
      <c r="O647" s="485"/>
      <c r="P647" s="1158" t="str">
        <f>EUconst_CNTR_HAL&amp;I641</f>
        <v>HAL_</v>
      </c>
      <c r="Q647" s="1137"/>
      <c r="R647" s="1961" t="b">
        <f>AND($I641&lt;&gt;"",R646&lt;=CNTR_ReportingYear,IF($J644&lt;&gt;EUconst_NA,R646&gt;=YEAR($J644),TRUE))</f>
        <v>0</v>
      </c>
      <c r="S647" s="1675" t="b">
        <f>AND($I641&lt;&gt;"",S646&lt;=CNTR_ReportingYear,IF($J644&lt;&gt;EUconst_NA,S646&gt;=YEAR($J644),TRUE))</f>
        <v>0</v>
      </c>
      <c r="T647" s="1675" t="b">
        <f>AND($I641&lt;&gt;"",T646&lt;=CNTR_ReportingYear,IF($J644&lt;&gt;EUconst_NA,T646&gt;=YEAR($J644),TRUE))</f>
        <v>0</v>
      </c>
      <c r="U647" s="1675" t="b">
        <f>AND($I641&lt;&gt;"",U646&lt;=CNTR_ReportingYear,IF($J644&lt;&gt;EUconst_NA,U646&gt;=YEAR($J644),TRUE))</f>
        <v>0</v>
      </c>
      <c r="V647" s="1676" t="b">
        <f>AND($I641&lt;&gt;"",V646&lt;=CNTR_ReportingYear,IF($J644&lt;&gt;EUconst_NA,V646&gt;=YEAR($J644),TRUE))</f>
        <v>0</v>
      </c>
    </row>
    <row r="648" spans="1:22" s="562" customFormat="1" ht="5.0999999999999996" customHeight="1" thickBot="1">
      <c r="A648" s="719"/>
      <c r="B648" s="485"/>
      <c r="C648" s="559"/>
      <c r="D648" s="559"/>
      <c r="E648" s="559"/>
      <c r="F648" s="559"/>
      <c r="G648" s="559"/>
      <c r="H648" s="559"/>
      <c r="I648" s="559"/>
      <c r="J648" s="559"/>
      <c r="K648" s="2130"/>
      <c r="L648" s="2131"/>
      <c r="M648" s="2131"/>
      <c r="N648" s="2131"/>
      <c r="O648" s="485"/>
      <c r="P648" s="1137"/>
      <c r="Q648" s="1137"/>
      <c r="R648" s="1137"/>
      <c r="S648" s="1137"/>
      <c r="T648" s="1137"/>
      <c r="U648" s="1137"/>
      <c r="V648" s="1137"/>
    </row>
    <row r="649" spans="1:22" s="562" customFormat="1" ht="5.0999999999999996" customHeight="1">
      <c r="A649" s="719"/>
      <c r="B649" s="485"/>
      <c r="C649" s="559"/>
      <c r="D649" s="703"/>
      <c r="E649" s="704"/>
      <c r="F649" s="704"/>
      <c r="G649" s="704"/>
      <c r="H649" s="704"/>
      <c r="I649" s="704"/>
      <c r="J649" s="704"/>
      <c r="K649" s="2130"/>
      <c r="L649" s="2131"/>
      <c r="M649" s="2131"/>
      <c r="N649" s="2131"/>
      <c r="O649" s="485"/>
      <c r="P649" s="1137"/>
      <c r="Q649" s="1137"/>
      <c r="R649" s="1137"/>
      <c r="S649" s="1137"/>
      <c r="T649" s="1137"/>
      <c r="U649" s="1137"/>
      <c r="V649" s="1137"/>
    </row>
    <row r="650" spans="1:22" s="562" customFormat="1" ht="12.75" customHeight="1">
      <c r="A650" s="719"/>
      <c r="B650" s="485"/>
      <c r="C650" s="559"/>
      <c r="D650" s="706"/>
      <c r="E650" s="707" t="s">
        <v>1787</v>
      </c>
      <c r="F650" s="637"/>
      <c r="G650" s="637"/>
      <c r="H650" s="663"/>
      <c r="I650" s="708"/>
      <c r="J650" s="2132">
        <f>J$2737</f>
        <v>2026</v>
      </c>
      <c r="K650" s="1489">
        <f>K$2737</f>
        <v>2027</v>
      </c>
      <c r="L650" s="1490">
        <f>L$2737</f>
        <v>2028</v>
      </c>
      <c r="M650" s="1490">
        <f>M$2737</f>
        <v>2029</v>
      </c>
      <c r="N650" s="1490">
        <f>N$2737</f>
        <v>2030</v>
      </c>
      <c r="O650" s="485"/>
      <c r="P650" s="1137"/>
      <c r="Q650" s="1137"/>
      <c r="R650" s="1137"/>
      <c r="S650" s="1137"/>
      <c r="T650" s="1137"/>
      <c r="U650" s="1137"/>
      <c r="V650" s="1137"/>
    </row>
    <row r="651" spans="1:22" s="562" customFormat="1" ht="12.75" customHeight="1">
      <c r="A651" s="719"/>
      <c r="B651" s="485"/>
      <c r="C651" s="559"/>
      <c r="D651" s="706"/>
      <c r="E651" s="711" t="s">
        <v>1783</v>
      </c>
      <c r="F651" s="712"/>
      <c r="G651" s="712"/>
      <c r="H651" s="713"/>
      <c r="I651" s="712"/>
      <c r="J651" s="2133" t="str">
        <f>IF(R647,INDEX(F_ProductBM!V:V,MATCH($P651,F_ProductBM!$Q:$Q,0))&gt;=3,"")</f>
        <v/>
      </c>
      <c r="K651" s="2134" t="str">
        <f>IF(S647,INDEX(F_ProductBM!W:W,MATCH($P651,F_ProductBM!$Q:$Q,0))&gt;=3,"")</f>
        <v/>
      </c>
      <c r="L651" s="2135" t="str">
        <f>IF(T647,INDEX(F_ProductBM!X:X,MATCH($P651,F_ProductBM!$Q:$Q,0))&gt;=3,"")</f>
        <v/>
      </c>
      <c r="M651" s="2135" t="str">
        <f>IF(U647,INDEX(F_ProductBM!Y:Y,MATCH($P651,F_ProductBM!$Q:$Q,0))&gt;=3,"")</f>
        <v/>
      </c>
      <c r="N651" s="2135" t="str">
        <f>IF(V647,INDEX(F_ProductBM!Z:Z,MATCH($P651,F_ProductBM!$Q:$Q,0))&gt;=3,"")</f>
        <v/>
      </c>
      <c r="O651" s="485"/>
      <c r="P651" s="1158" t="str">
        <f>EUconst_CNTR_HALinitial&amp;I641</f>
        <v>HALini_</v>
      </c>
      <c r="Q651" s="1137"/>
      <c r="R651" s="1137"/>
      <c r="S651" s="1137"/>
      <c r="T651" s="1137"/>
      <c r="U651" s="1137"/>
      <c r="V651" s="1137"/>
    </row>
    <row r="652" spans="1:22" s="562" customFormat="1" ht="12.75" customHeight="1">
      <c r="A652" s="719"/>
      <c r="B652" s="485"/>
      <c r="C652" s="559"/>
      <c r="D652" s="706"/>
      <c r="E652" s="714" t="s">
        <v>1784</v>
      </c>
      <c r="F652" s="715"/>
      <c r="G652" s="715"/>
      <c r="H652" s="716"/>
      <c r="I652" s="715"/>
      <c r="J652" s="2136" t="str">
        <f>IF(R647,IF($K644="",2050,YEAR($K644))&lt;&gt;(J650-1),"")</f>
        <v/>
      </c>
      <c r="K652" s="2134" t="str">
        <f>IF(S647,IF($K644="",2050,YEAR($K644))&lt;&gt;(K650-1),"")</f>
        <v/>
      </c>
      <c r="L652" s="2135" t="str">
        <f>IF(T647,IF($K644="",2050,YEAR($K644))&lt;&gt;(L650-1),"")</f>
        <v/>
      </c>
      <c r="M652" s="2135" t="str">
        <f>IF(U647,IF($K644="",2050,YEAR($K644))&lt;&gt;(M650-1),"")</f>
        <v/>
      </c>
      <c r="N652" s="2135" t="str">
        <f>IF(V647,IF($K644="",2050,YEAR($K644))&lt;&gt;(N650-1),"")</f>
        <v/>
      </c>
      <c r="O652" s="485"/>
      <c r="P652" s="1137"/>
      <c r="Q652" s="1137"/>
      <c r="R652" s="1137"/>
      <c r="S652" s="1137"/>
      <c r="T652" s="1137"/>
      <c r="U652" s="1137"/>
      <c r="V652" s="1137"/>
    </row>
    <row r="653" spans="1:22" s="562" customFormat="1" ht="5.0999999999999996" customHeight="1">
      <c r="A653" s="719"/>
      <c r="B653" s="485"/>
      <c r="C653" s="559"/>
      <c r="D653" s="706"/>
      <c r="E653" s="559"/>
      <c r="F653" s="559"/>
      <c r="G653" s="559"/>
      <c r="H653" s="559"/>
      <c r="I653" s="559"/>
      <c r="J653" s="559"/>
      <c r="K653" s="2130"/>
      <c r="L653" s="2131"/>
      <c r="M653" s="2131"/>
      <c r="N653" s="2131"/>
      <c r="O653" s="485"/>
      <c r="P653" s="1137"/>
      <c r="Q653" s="1137"/>
      <c r="R653" s="1137"/>
      <c r="S653" s="1137"/>
      <c r="T653" s="1137"/>
      <c r="U653" s="1137"/>
      <c r="V653" s="1137"/>
    </row>
    <row r="654" spans="1:22" s="562" customFormat="1" ht="12.75" customHeight="1">
      <c r="A654" s="719"/>
      <c r="B654" s="485"/>
      <c r="C654" s="559"/>
      <c r="D654" s="706"/>
      <c r="E654" s="496" t="s">
        <v>1762</v>
      </c>
      <c r="F654" s="485"/>
      <c r="G654" s="485"/>
      <c r="H654" s="663" t="str">
        <f>EUconst_Unit</f>
        <v>Unit</v>
      </c>
      <c r="I654" s="708"/>
      <c r="J654" s="2125">
        <f>J$2737</f>
        <v>2026</v>
      </c>
      <c r="K654" s="1489">
        <f>K$2737</f>
        <v>2027</v>
      </c>
      <c r="L654" s="1490">
        <f>L$2737</f>
        <v>2028</v>
      </c>
      <c r="M654" s="1490">
        <f>M$2737</f>
        <v>2029</v>
      </c>
      <c r="N654" s="1490">
        <f>N$2737</f>
        <v>2030</v>
      </c>
      <c r="O654" s="485"/>
      <c r="P654" s="1137"/>
      <c r="Q654" s="1137"/>
      <c r="R654" s="1137"/>
      <c r="S654" s="1137"/>
      <c r="T654" s="1137"/>
      <c r="U654" s="1137"/>
      <c r="V654" s="1137"/>
    </row>
    <row r="655" spans="1:22" s="562" customFormat="1" ht="12.75" hidden="1" customHeight="1">
      <c r="A655" s="719" t="s">
        <v>2289</v>
      </c>
      <c r="B655" s="485"/>
      <c r="C655" s="559"/>
      <c r="D655" s="706"/>
      <c r="E655" s="698" t="s">
        <v>1714</v>
      </c>
      <c r="F655" s="698"/>
      <c r="G655" s="698"/>
      <c r="H655" s="639" t="str">
        <f>F647</f>
        <v>tonnes</v>
      </c>
      <c r="I655" s="698"/>
      <c r="J655" s="2137" t="str">
        <f t="shared" ref="J655:N660" si="44">I750</f>
        <v/>
      </c>
      <c r="K655" s="2072" t="str">
        <f>J750</f>
        <v/>
      </c>
      <c r="L655" s="2073" t="str">
        <f>K750</f>
        <v/>
      </c>
      <c r="M655" s="2073" t="str">
        <f>L750</f>
        <v/>
      </c>
      <c r="N655" s="2073" t="str">
        <f>M750</f>
        <v/>
      </c>
      <c r="O655" s="485"/>
      <c r="P655" s="1137"/>
      <c r="Q655" s="1137"/>
      <c r="R655" s="1137"/>
      <c r="S655" s="1137"/>
      <c r="T655" s="1137"/>
      <c r="U655" s="1137"/>
      <c r="V655" s="1137"/>
    </row>
    <row r="656" spans="1:22" s="562" customFormat="1" ht="12.75" hidden="1" customHeight="1">
      <c r="A656" s="719" t="s">
        <v>2289</v>
      </c>
      <c r="B656" s="485"/>
      <c r="C656" s="559"/>
      <c r="D656" s="706"/>
      <c r="E656" s="720" t="s">
        <v>303</v>
      </c>
      <c r="F656" s="720"/>
      <c r="G656" s="720"/>
      <c r="H656" s="721" t="str">
        <f>EUconst_EUA</f>
        <v>UKA</v>
      </c>
      <c r="I656" s="722"/>
      <c r="J656" s="2138" t="str">
        <f t="shared" si="44"/>
        <v/>
      </c>
      <c r="K656" s="2072" t="str">
        <f t="shared" si="44"/>
        <v/>
      </c>
      <c r="L656" s="2073" t="str">
        <f t="shared" si="44"/>
        <v/>
      </c>
      <c r="M656" s="2073" t="str">
        <f t="shared" si="44"/>
        <v/>
      </c>
      <c r="N656" s="2073" t="str">
        <f t="shared" si="44"/>
        <v/>
      </c>
      <c r="O656" s="485"/>
      <c r="P656" s="1137"/>
      <c r="Q656" s="1137"/>
      <c r="R656" s="1137"/>
      <c r="S656" s="1137"/>
      <c r="T656" s="1137"/>
      <c r="U656" s="1137"/>
      <c r="V656" s="1137"/>
    </row>
    <row r="657" spans="1:22" s="562" customFormat="1" ht="12.75" hidden="1" customHeight="1">
      <c r="A657" s="719" t="s">
        <v>2289</v>
      </c>
      <c r="B657" s="485"/>
      <c r="C657" s="559"/>
      <c r="D657" s="706"/>
      <c r="E657" s="723" t="s">
        <v>1422</v>
      </c>
      <c r="F657" s="723"/>
      <c r="G657" s="723"/>
      <c r="H657" s="724" t="str">
        <f>EUconst_EUA</f>
        <v>UKA</v>
      </c>
      <c r="I657" s="725"/>
      <c r="J657" s="2139" t="str">
        <f t="shared" si="44"/>
        <v/>
      </c>
      <c r="K657" s="2072" t="str">
        <f t="shared" si="44"/>
        <v/>
      </c>
      <c r="L657" s="2073" t="str">
        <f t="shared" si="44"/>
        <v/>
      </c>
      <c r="M657" s="2073" t="str">
        <f t="shared" si="44"/>
        <v/>
      </c>
      <c r="N657" s="2073" t="str">
        <f t="shared" si="44"/>
        <v/>
      </c>
      <c r="O657" s="485"/>
      <c r="P657" s="1137"/>
      <c r="Q657" s="1137"/>
      <c r="R657" s="1137"/>
      <c r="S657" s="1137"/>
      <c r="T657" s="1137"/>
      <c r="U657" s="1137"/>
      <c r="V657" s="1137"/>
    </row>
    <row r="658" spans="1:22" s="562" customFormat="1" ht="12.75" hidden="1" customHeight="1">
      <c r="A658" s="719" t="s">
        <v>2289</v>
      </c>
      <c r="B658" s="485"/>
      <c r="C658" s="559"/>
      <c r="D658" s="706"/>
      <c r="E658" s="723" t="s">
        <v>1390</v>
      </c>
      <c r="F658" s="723"/>
      <c r="G658" s="723"/>
      <c r="H658" s="724" t="str">
        <f>EUconst_EUA</f>
        <v>UKA</v>
      </c>
      <c r="I658" s="725"/>
      <c r="J658" s="2139" t="str">
        <f t="shared" si="44"/>
        <v/>
      </c>
      <c r="K658" s="2072" t="str">
        <f t="shared" si="44"/>
        <v/>
      </c>
      <c r="L658" s="2073" t="str">
        <f t="shared" si="44"/>
        <v/>
      </c>
      <c r="M658" s="2073" t="str">
        <f t="shared" si="44"/>
        <v/>
      </c>
      <c r="N658" s="2073" t="str">
        <f t="shared" si="44"/>
        <v/>
      </c>
      <c r="O658" s="485"/>
      <c r="P658" s="1137"/>
      <c r="Q658" s="1137"/>
      <c r="R658" s="1137"/>
      <c r="S658" s="1137"/>
      <c r="T658" s="1137"/>
      <c r="U658" s="1137"/>
      <c r="V658" s="1137"/>
    </row>
    <row r="659" spans="1:22" s="562" customFormat="1" ht="12.75" hidden="1" customHeight="1">
      <c r="A659" s="719" t="s">
        <v>2289</v>
      </c>
      <c r="B659" s="485"/>
      <c r="C659" s="559"/>
      <c r="D659" s="706"/>
      <c r="E659" s="723" t="s">
        <v>1389</v>
      </c>
      <c r="F659" s="723"/>
      <c r="G659" s="723"/>
      <c r="H659" s="726" t="s">
        <v>1021</v>
      </c>
      <c r="I659" s="725"/>
      <c r="J659" s="2140" t="str">
        <f t="shared" si="44"/>
        <v/>
      </c>
      <c r="K659" s="2141" t="str">
        <f t="shared" si="44"/>
        <v/>
      </c>
      <c r="L659" s="2142" t="str">
        <f t="shared" si="44"/>
        <v/>
      </c>
      <c r="M659" s="2142" t="str">
        <f t="shared" si="44"/>
        <v/>
      </c>
      <c r="N659" s="2142" t="str">
        <f t="shared" si="44"/>
        <v/>
      </c>
      <c r="O659" s="485"/>
      <c r="P659" s="1137"/>
      <c r="Q659" s="1137"/>
      <c r="R659" s="1137"/>
      <c r="S659" s="1137"/>
      <c r="T659" s="1137"/>
      <c r="U659" s="1137"/>
      <c r="V659" s="1137"/>
    </row>
    <row r="660" spans="1:22" s="562" customFormat="1" ht="12.75" hidden="1" customHeight="1">
      <c r="A660" s="719" t="s">
        <v>2289</v>
      </c>
      <c r="B660" s="485"/>
      <c r="C660" s="559"/>
      <c r="D660" s="706"/>
      <c r="E660" s="727" t="s">
        <v>1391</v>
      </c>
      <c r="F660" s="727"/>
      <c r="G660" s="727"/>
      <c r="H660" s="728" t="s">
        <v>1021</v>
      </c>
      <c r="I660" s="729"/>
      <c r="J660" s="2143" t="str">
        <f t="shared" si="44"/>
        <v/>
      </c>
      <c r="K660" s="2141" t="str">
        <f t="shared" si="44"/>
        <v/>
      </c>
      <c r="L660" s="2142" t="str">
        <f t="shared" si="44"/>
        <v/>
      </c>
      <c r="M660" s="2142" t="str">
        <f t="shared" si="44"/>
        <v/>
      </c>
      <c r="N660" s="2142" t="str">
        <f t="shared" si="44"/>
        <v/>
      </c>
      <c r="O660" s="485"/>
      <c r="P660" s="1137"/>
      <c r="Q660" s="1137"/>
      <c r="R660" s="1137"/>
      <c r="S660" s="1137"/>
      <c r="T660" s="1137"/>
      <c r="U660" s="1137"/>
      <c r="V660" s="1137"/>
    </row>
    <row r="661" spans="1:22" s="562" customFormat="1" ht="12.75" customHeight="1">
      <c r="A661" s="719"/>
      <c r="B661" s="485"/>
      <c r="C661" s="559"/>
      <c r="D661" s="706"/>
      <c r="E661" s="698" t="s">
        <v>1671</v>
      </c>
      <c r="F661" s="698"/>
      <c r="G661" s="698"/>
      <c r="H661" s="730" t="str">
        <f>EUconst_EUA</f>
        <v>UKA</v>
      </c>
      <c r="I661" s="731"/>
      <c r="J661" s="2129" t="str">
        <f>IF($I641="","",MAX(0,ROUND((SUM($M644)*SUM(J655)*SUM(J659)*SUM(J660)-SUM(J656)-SUM(J657)+SUM(J658))*IF($H644=TRUE,1,J$2517),0)))</f>
        <v/>
      </c>
      <c r="K661" s="2072" t="str">
        <f>IF($I641="","",MAX(0,ROUND((SUM($M644)*SUM(K655)*SUM(K659)*SUM(K660)-SUM(K656)-SUM(K657)+SUM(K658))*IF($H644=TRUE,1,K$2517),0)))</f>
        <v/>
      </c>
      <c r="L661" s="2073" t="str">
        <f>IF($I641="","",MAX(0,ROUND((SUM($M644)*SUM(L655)*SUM(L659)*SUM(L660)-SUM(L656)-SUM(L657)+SUM(L658))*IF($H644=TRUE,1,L$2517),0)))</f>
        <v/>
      </c>
      <c r="M661" s="2073" t="str">
        <f>IF($I641="","",MAX(0,ROUND((SUM($M644)*SUM(M655)*SUM(M659)*SUM(M660)-SUM(M656)-SUM(M657)+SUM(M658))*IF($H644=TRUE,1,M$2517),0)))</f>
        <v/>
      </c>
      <c r="N661" s="2073" t="str">
        <f>IF($I641="","",MAX(0,ROUND((SUM($M644)*SUM(N655)*SUM(N659)*SUM(N660)-SUM(N656)-SUM(N657)+SUM(N658))*IF($H644=TRUE,1,N$2517),0)))</f>
        <v/>
      </c>
      <c r="O661" s="485"/>
      <c r="P661" s="1137"/>
      <c r="Q661" s="1137"/>
      <c r="R661" s="1137"/>
      <c r="S661" s="1137"/>
      <c r="T661" s="1137"/>
      <c r="U661" s="1137"/>
      <c r="V661" s="1137"/>
    </row>
    <row r="662" spans="1:22" s="562" customFormat="1" ht="5.0999999999999996" customHeight="1">
      <c r="A662" s="719"/>
      <c r="B662" s="485"/>
      <c r="C662" s="559"/>
      <c r="D662" s="706"/>
      <c r="E662" s="559"/>
      <c r="F662" s="559"/>
      <c r="G662" s="559"/>
      <c r="H662" s="559"/>
      <c r="I662" s="559"/>
      <c r="J662" s="559"/>
      <c r="K662" s="2130"/>
      <c r="L662" s="2131"/>
      <c r="M662" s="2131"/>
      <c r="N662" s="2131"/>
      <c r="O662" s="485"/>
      <c r="P662" s="1137"/>
      <c r="Q662" s="1137"/>
      <c r="R662" s="1137"/>
      <c r="S662" s="1137"/>
      <c r="T662" s="1137"/>
      <c r="U662" s="1137"/>
      <c r="V662" s="1137"/>
    </row>
    <row r="663" spans="1:22" s="562" customFormat="1" ht="12.75" customHeight="1">
      <c r="A663" s="719"/>
      <c r="B663" s="485"/>
      <c r="C663" s="559"/>
      <c r="D663" s="706"/>
      <c r="E663" s="707" t="s">
        <v>1752</v>
      </c>
      <c r="F663" s="637"/>
      <c r="G663" s="637"/>
      <c r="H663" s="663" t="str">
        <f>EUconst_Unit</f>
        <v>Unit</v>
      </c>
      <c r="I663" s="708"/>
      <c r="J663" s="2132">
        <f>J$2737</f>
        <v>2026</v>
      </c>
      <c r="K663" s="1489">
        <f>K$2737</f>
        <v>2027</v>
      </c>
      <c r="L663" s="1490">
        <f>L$2737</f>
        <v>2028</v>
      </c>
      <c r="M663" s="1490">
        <f>M$2737</f>
        <v>2029</v>
      </c>
      <c r="N663" s="1490">
        <f>N$2737</f>
        <v>2030</v>
      </c>
      <c r="O663" s="485"/>
      <c r="P663" s="1137"/>
      <c r="Q663" s="1137"/>
      <c r="R663" s="1137"/>
      <c r="S663" s="1137"/>
      <c r="T663" s="1137"/>
      <c r="U663" s="1137"/>
      <c r="V663" s="1137"/>
    </row>
    <row r="664" spans="1:22" s="562" customFormat="1" ht="12.75" customHeight="1">
      <c r="A664" s="719"/>
      <c r="B664" s="485"/>
      <c r="C664" s="559"/>
      <c r="D664" s="706"/>
      <c r="E664" s="720" t="s">
        <v>1691</v>
      </c>
      <c r="F664" s="720"/>
      <c r="G664" s="720"/>
      <c r="H664" s="732" t="str">
        <f>H655</f>
        <v>tonnes</v>
      </c>
      <c r="I664" s="733"/>
      <c r="J664" s="2144" t="str">
        <f>INDEX(F_ProductBM!J:J,MATCH($P664,F_ProductBM!$Q:$Q,0))</f>
        <v/>
      </c>
      <c r="K664" s="2072" t="str">
        <f>INDEX(F_ProductBM!K:K,MATCH($P664,F_ProductBM!$Q:$Q,0))</f>
        <v/>
      </c>
      <c r="L664" s="2073" t="str">
        <f>INDEX(F_ProductBM!L:L,MATCH($P664,F_ProductBM!$Q:$Q,0))</f>
        <v/>
      </c>
      <c r="M664" s="2073" t="str">
        <f>INDEX(F_ProductBM!M:M,MATCH($P664,F_ProductBM!$Q:$Q,0))</f>
        <v/>
      </c>
      <c r="N664" s="2073" t="str">
        <f>INDEX(F_ProductBM!N:N,MATCH($P664,F_ProductBM!$Q:$Q,0))</f>
        <v/>
      </c>
      <c r="O664" s="485"/>
      <c r="P664" s="1158" t="str">
        <f>EUconst_CNTR_HALinitial&amp;I641</f>
        <v>HALini_</v>
      </c>
      <c r="Q664" s="1137"/>
      <c r="R664" s="1137"/>
      <c r="S664" s="1137"/>
      <c r="T664" s="1137"/>
      <c r="U664" s="1137"/>
      <c r="V664" s="1137"/>
    </row>
    <row r="665" spans="1:22" s="562" customFormat="1" ht="12.75" customHeight="1">
      <c r="A665" s="719"/>
      <c r="B665" s="485"/>
      <c r="C665" s="559"/>
      <c r="D665" s="706"/>
      <c r="E665" s="723" t="s">
        <v>1648</v>
      </c>
      <c r="F665" s="723"/>
      <c r="G665" s="723"/>
      <c r="H665" s="734" t="s">
        <v>1021</v>
      </c>
      <c r="I665" s="735"/>
      <c r="J665" s="23" t="str">
        <f>INDEX(F_ProductBM!J:J,MATCH($P665,F_ProductBM!$Q:$Q,0))</f>
        <v/>
      </c>
      <c r="K665" s="46" t="str">
        <f>INDEX(F_ProductBM!K:K,MATCH($P665,F_ProductBM!$Q:$Q,0))</f>
        <v/>
      </c>
      <c r="L665" s="27" t="str">
        <f>INDEX(F_ProductBM!L:L,MATCH($P665,F_ProductBM!$Q:$Q,0))</f>
        <v/>
      </c>
      <c r="M665" s="27" t="str">
        <f>INDEX(F_ProductBM!M:M,MATCH($P665,F_ProductBM!$Q:$Q,0))</f>
        <v/>
      </c>
      <c r="N665" s="27" t="str">
        <f>INDEX(F_ProductBM!N:N,MATCH($P665,F_ProductBM!$Q:$Q,0))</f>
        <v/>
      </c>
      <c r="O665" s="485"/>
      <c r="P665" s="1158" t="str">
        <f>EUconst_CNTR_RelThreshold &amp; P667</f>
        <v>RelThresh_HALprelim_</v>
      </c>
      <c r="Q665" s="1137"/>
      <c r="R665" s="1137"/>
      <c r="S665" s="1137"/>
      <c r="T665" s="1137"/>
      <c r="U665" s="1137"/>
      <c r="V665" s="1137"/>
    </row>
    <row r="666" spans="1:22" s="562" customFormat="1" ht="12.75" customHeight="1">
      <c r="A666" s="719"/>
      <c r="B666" s="485"/>
      <c r="C666" s="559"/>
      <c r="D666" s="706"/>
      <c r="E666" s="736" t="s">
        <v>1850</v>
      </c>
      <c r="F666" s="736"/>
      <c r="G666" s="736"/>
      <c r="H666" s="737" t="s">
        <v>1021</v>
      </c>
      <c r="I666" s="738"/>
      <c r="J666" s="2145" t="str">
        <f>INDEX(F_ProductBM!V:V,MATCH($P666,F_ProductBM!$Q:$Q,0)+1)</f>
        <v/>
      </c>
      <c r="K666" s="2134" t="str">
        <f>INDEX(F_ProductBM!W:W,MATCH($P666,F_ProductBM!$Q:$Q,0)+1)</f>
        <v/>
      </c>
      <c r="L666" s="2135" t="str">
        <f>INDEX(F_ProductBM!X:X,MATCH($P666,F_ProductBM!$Q:$Q,0)+1)</f>
        <v/>
      </c>
      <c r="M666" s="2135" t="str">
        <f>INDEX(F_ProductBM!Y:Y,MATCH($P666,F_ProductBM!$Q:$Q,0)+1)</f>
        <v/>
      </c>
      <c r="N666" s="2135" t="str">
        <f>INDEX(F_ProductBM!Z:Z,MATCH($P666,F_ProductBM!$Q:$Q,0)+1)</f>
        <v/>
      </c>
      <c r="O666" s="485"/>
      <c r="P666" s="1158" t="str">
        <f>P665</f>
        <v>RelThresh_HALprelim_</v>
      </c>
      <c r="Q666" s="1137"/>
      <c r="R666" s="1137"/>
      <c r="S666" s="1137"/>
      <c r="T666" s="1137"/>
      <c r="U666" s="1137"/>
      <c r="V666" s="1137"/>
    </row>
    <row r="667" spans="1:22" s="562" customFormat="1" ht="12.75" customHeight="1">
      <c r="A667" s="719"/>
      <c r="B667" s="485"/>
      <c r="C667" s="559"/>
      <c r="D667" s="706"/>
      <c r="E667" s="727" t="s">
        <v>1689</v>
      </c>
      <c r="F667" s="727"/>
      <c r="G667" s="727"/>
      <c r="H667" s="739" t="str">
        <f>F647</f>
        <v>tonnes</v>
      </c>
      <c r="I667" s="727"/>
      <c r="J667" s="2146" t="str">
        <f>INDEX(F_ProductBM!J:J,MATCH($P667,F_ProductBM!$Q:$Q,0))</f>
        <v/>
      </c>
      <c r="K667" s="2072" t="str">
        <f>INDEX(F_ProductBM!K:K,MATCH($P667,F_ProductBM!$Q:$Q,0))</f>
        <v/>
      </c>
      <c r="L667" s="2073" t="str">
        <f>INDEX(F_ProductBM!L:L,MATCH($P667,F_ProductBM!$Q:$Q,0))</f>
        <v/>
      </c>
      <c r="M667" s="2073" t="str">
        <f>INDEX(F_ProductBM!M:M,MATCH($P667,F_ProductBM!$Q:$Q,0))</f>
        <v/>
      </c>
      <c r="N667" s="2073" t="str">
        <f>INDEX(F_ProductBM!N:N,MATCH($P667,F_ProductBM!$Q:$Q,0))</f>
        <v/>
      </c>
      <c r="O667" s="485"/>
      <c r="P667" s="1158" t="str">
        <f>EUconst_CNTR_HALprelim&amp;I641</f>
        <v>HALprelim_</v>
      </c>
      <c r="Q667" s="1137"/>
      <c r="R667" s="1137"/>
      <c r="S667" s="1137"/>
      <c r="T667" s="1137"/>
      <c r="U667" s="1137"/>
      <c r="V667" s="1137"/>
    </row>
    <row r="668" spans="1:22" s="562" customFormat="1" ht="12.75" hidden="1" customHeight="1">
      <c r="A668" s="719" t="s">
        <v>2289</v>
      </c>
      <c r="B668" s="485"/>
      <c r="C668" s="559"/>
      <c r="D668" s="706"/>
      <c r="E668" s="720" t="s">
        <v>303</v>
      </c>
      <c r="F668" s="720"/>
      <c r="G668" s="720"/>
      <c r="H668" s="721" t="str">
        <f>EUconst_EUA</f>
        <v>UKA</v>
      </c>
      <c r="I668" s="722"/>
      <c r="J668" s="2138" t="str">
        <f>I751</f>
        <v/>
      </c>
      <c r="K668" s="2072" t="str">
        <f t="shared" ref="K668:N672" si="45">J751</f>
        <v/>
      </c>
      <c r="L668" s="2073" t="str">
        <f t="shared" si="45"/>
        <v/>
      </c>
      <c r="M668" s="2073" t="str">
        <f t="shared" si="45"/>
        <v/>
      </c>
      <c r="N668" s="2073" t="str">
        <f t="shared" si="45"/>
        <v/>
      </c>
      <c r="O668" s="485"/>
      <c r="P668" s="1137"/>
      <c r="Q668" s="1137"/>
      <c r="R668" s="1137"/>
      <c r="S668" s="1137"/>
      <c r="T668" s="1137"/>
      <c r="U668" s="1137"/>
      <c r="V668" s="1137"/>
    </row>
    <row r="669" spans="1:22" s="562" customFormat="1" ht="12.75" hidden="1" customHeight="1">
      <c r="A669" s="719" t="s">
        <v>2289</v>
      </c>
      <c r="B669" s="485"/>
      <c r="C669" s="559"/>
      <c r="D669" s="706"/>
      <c r="E669" s="723" t="s">
        <v>1422</v>
      </c>
      <c r="F669" s="723"/>
      <c r="G669" s="723"/>
      <c r="H669" s="724" t="str">
        <f>EUconst_EUA</f>
        <v>UKA</v>
      </c>
      <c r="I669" s="725"/>
      <c r="J669" s="2139" t="str">
        <f>I752</f>
        <v/>
      </c>
      <c r="K669" s="2072" t="str">
        <f t="shared" si="45"/>
        <v/>
      </c>
      <c r="L669" s="2073" t="str">
        <f t="shared" si="45"/>
        <v/>
      </c>
      <c r="M669" s="2073" t="str">
        <f t="shared" si="45"/>
        <v/>
      </c>
      <c r="N669" s="2073" t="str">
        <f t="shared" si="45"/>
        <v/>
      </c>
      <c r="O669" s="485"/>
      <c r="P669" s="1137"/>
      <c r="Q669" s="1137"/>
      <c r="R669" s="1137"/>
      <c r="S669" s="1137"/>
      <c r="T669" s="1137"/>
      <c r="U669" s="1137"/>
      <c r="V669" s="1137"/>
    </row>
    <row r="670" spans="1:22" s="562" customFormat="1" ht="12.75" hidden="1" customHeight="1">
      <c r="A670" s="719" t="s">
        <v>2289</v>
      </c>
      <c r="B670" s="485"/>
      <c r="C670" s="559"/>
      <c r="D670" s="706"/>
      <c r="E670" s="723" t="s">
        <v>1390</v>
      </c>
      <c r="F670" s="723"/>
      <c r="G670" s="723"/>
      <c r="H670" s="724" t="str">
        <f>EUconst_EUA</f>
        <v>UKA</v>
      </c>
      <c r="I670" s="725"/>
      <c r="J670" s="2139" t="str">
        <f>I753</f>
        <v/>
      </c>
      <c r="K670" s="2072" t="str">
        <f t="shared" si="45"/>
        <v/>
      </c>
      <c r="L670" s="2073" t="str">
        <f t="shared" si="45"/>
        <v/>
      </c>
      <c r="M670" s="2073" t="str">
        <f t="shared" si="45"/>
        <v/>
      </c>
      <c r="N670" s="2073" t="str">
        <f t="shared" si="45"/>
        <v/>
      </c>
      <c r="O670" s="485"/>
      <c r="P670" s="1137"/>
      <c r="Q670" s="1137"/>
      <c r="R670" s="1137"/>
      <c r="S670" s="1137"/>
      <c r="T670" s="1137"/>
      <c r="U670" s="1137"/>
      <c r="V670" s="1137"/>
    </row>
    <row r="671" spans="1:22" s="562" customFormat="1" ht="12.75" hidden="1" customHeight="1">
      <c r="A671" s="719" t="s">
        <v>2289</v>
      </c>
      <c r="B671" s="485"/>
      <c r="C671" s="559"/>
      <c r="D671" s="706"/>
      <c r="E671" s="723" t="s">
        <v>1389</v>
      </c>
      <c r="F671" s="723"/>
      <c r="G671" s="723"/>
      <c r="H671" s="726" t="s">
        <v>1021</v>
      </c>
      <c r="I671" s="725"/>
      <c r="J671" s="2140" t="str">
        <f>I754</f>
        <v/>
      </c>
      <c r="K671" s="2141" t="str">
        <f t="shared" si="45"/>
        <v/>
      </c>
      <c r="L671" s="2142" t="str">
        <f t="shared" si="45"/>
        <v/>
      </c>
      <c r="M671" s="2142" t="str">
        <f t="shared" si="45"/>
        <v/>
      </c>
      <c r="N671" s="2142" t="str">
        <f t="shared" si="45"/>
        <v/>
      </c>
      <c r="O671" s="485"/>
      <c r="P671" s="1137"/>
      <c r="Q671" s="1137"/>
      <c r="R671" s="1137"/>
      <c r="S671" s="1137"/>
      <c r="T671" s="1137"/>
      <c r="U671" s="1137"/>
      <c r="V671" s="1137"/>
    </row>
    <row r="672" spans="1:22" s="562" customFormat="1" ht="12.75" hidden="1" customHeight="1">
      <c r="A672" s="719" t="s">
        <v>2289</v>
      </c>
      <c r="B672" s="485"/>
      <c r="C672" s="559"/>
      <c r="D672" s="706"/>
      <c r="E672" s="727" t="s">
        <v>1391</v>
      </c>
      <c r="F672" s="727"/>
      <c r="G672" s="727"/>
      <c r="H672" s="728" t="s">
        <v>1021</v>
      </c>
      <c r="I672" s="729"/>
      <c r="J672" s="2143" t="str">
        <f>I755</f>
        <v/>
      </c>
      <c r="K672" s="2141" t="str">
        <f t="shared" si="45"/>
        <v/>
      </c>
      <c r="L672" s="2142" t="str">
        <f t="shared" si="45"/>
        <v/>
      </c>
      <c r="M672" s="2142" t="str">
        <f t="shared" si="45"/>
        <v/>
      </c>
      <c r="N672" s="2142" t="str">
        <f t="shared" si="45"/>
        <v/>
      </c>
      <c r="O672" s="485"/>
      <c r="P672" s="1137"/>
      <c r="Q672" s="1137"/>
      <c r="R672" s="1137"/>
      <c r="S672" s="1137"/>
      <c r="T672" s="1137"/>
      <c r="U672" s="1137"/>
      <c r="V672" s="1137"/>
    </row>
    <row r="673" spans="1:22" s="562" customFormat="1" ht="12.75" customHeight="1">
      <c r="A673" s="719"/>
      <c r="B673" s="485"/>
      <c r="C673" s="559"/>
      <c r="D673" s="706"/>
      <c r="E673" s="698" t="s">
        <v>1671</v>
      </c>
      <c r="F673" s="698"/>
      <c r="G673" s="698"/>
      <c r="H673" s="730" t="str">
        <f>EUconst_EUA</f>
        <v>UKA</v>
      </c>
      <c r="I673" s="731"/>
      <c r="J673" s="2129" t="str">
        <f>IF($I641="","",MAX(0,ROUND((SUM($M644)*SUM(J667)*SUM(J671)*SUM(J672)-SUM(J668)-SUM(J669)+SUM(J670))*IF($H644=TRUE,1,J$2517),0)))</f>
        <v/>
      </c>
      <c r="K673" s="2072" t="str">
        <f>IF($I641="","",MAX(0,ROUND((SUM($M644)*SUM(K667)*SUM(K671)*SUM(K672)-SUM(K668)-SUM(K669)+SUM(K670))*IF($H644=TRUE,1,K$2517),0)))</f>
        <v/>
      </c>
      <c r="L673" s="2073" t="str">
        <f>IF($I641="","",MAX(0,ROUND((SUM($M644)*SUM(L667)*SUM(L671)*SUM(L672)-SUM(L668)-SUM(L669)+SUM(L670))*IF($H644=TRUE,1,L$2517),0)))</f>
        <v/>
      </c>
      <c r="M673" s="2073" t="str">
        <f>IF($I641="","",MAX(0,ROUND((SUM($M644)*SUM(M667)*SUM(M671)*SUM(M672)-SUM(M668)-SUM(M669)+SUM(M670))*IF($H644=TRUE,1,M$2517),0)))</f>
        <v/>
      </c>
      <c r="N673" s="2073" t="str">
        <f>IF($I641="","",MAX(0,ROUND((SUM($M644)*SUM(N667)*SUM(N671)*SUM(N672)-SUM(N668)-SUM(N669)+SUM(N670))*IF($H644=TRUE,1,N$2517),0)))</f>
        <v/>
      </c>
      <c r="O673" s="485"/>
      <c r="P673" s="1137"/>
      <c r="Q673" s="1137"/>
      <c r="R673" s="1137"/>
      <c r="S673" s="1137"/>
      <c r="T673" s="1137"/>
      <c r="U673" s="1137"/>
      <c r="V673" s="1137"/>
    </row>
    <row r="674" spans="1:22" s="562" customFormat="1" ht="12.75" customHeight="1">
      <c r="A674" s="719"/>
      <c r="B674" s="485"/>
      <c r="C674" s="559"/>
      <c r="D674" s="706"/>
      <c r="E674" s="698" t="s">
        <v>1670</v>
      </c>
      <c r="F674" s="698"/>
      <c r="G674" s="698"/>
      <c r="H674" s="730" t="str">
        <f>EUconst_EUA</f>
        <v>UKA</v>
      </c>
      <c r="I674" s="731"/>
      <c r="J674" s="2129" t="str">
        <f>IF($I641="","",ABS(SUM(J673)-SUM(J661)))</f>
        <v/>
      </c>
      <c r="K674" s="2072" t="str">
        <f>IF($I641="","",ABS(SUM(K673)-SUM(K661)))</f>
        <v/>
      </c>
      <c r="L674" s="2073" t="str">
        <f>IF($I641="","",ABS(SUM(L673)-SUM(L661)))</f>
        <v/>
      </c>
      <c r="M674" s="2073" t="str">
        <f>IF($I641="","",ABS(SUM(M673)-SUM(M661)))</f>
        <v/>
      </c>
      <c r="N674" s="2073" t="str">
        <f>IF($I641="","",ABS(SUM(N673)-SUM(N661)))</f>
        <v/>
      </c>
      <c r="O674" s="485"/>
      <c r="P674" s="1137"/>
      <c r="Q674" s="1137"/>
      <c r="R674" s="1137"/>
      <c r="S674" s="1137"/>
      <c r="T674" s="1137"/>
      <c r="U674" s="1137"/>
      <c r="V674" s="1137"/>
    </row>
    <row r="675" spans="1:22" s="562" customFormat="1" ht="12.75" customHeight="1">
      <c r="A675" s="719"/>
      <c r="B675" s="485"/>
      <c r="C675" s="559"/>
      <c r="D675" s="706"/>
      <c r="E675" s="740" t="s">
        <v>2130</v>
      </c>
      <c r="F675" s="740"/>
      <c r="G675" s="740"/>
      <c r="H675" s="741" t="s">
        <v>1021</v>
      </c>
      <c r="I675" s="742"/>
      <c r="J675" s="2147" t="str">
        <f>IF($I641="","",J674&gt;=100)</f>
        <v/>
      </c>
      <c r="K675" s="2134" t="str">
        <f>IF($I641="","",K674&gt;=100)</f>
        <v/>
      </c>
      <c r="L675" s="2135" t="str">
        <f>IF($I641="","",L674&gt;=100)</f>
        <v/>
      </c>
      <c r="M675" s="2135" t="str">
        <f>IF($I641="","",M674&gt;=100)</f>
        <v/>
      </c>
      <c r="N675" s="2135" t="str">
        <f>IF($I641="","",N674&gt;=100)</f>
        <v/>
      </c>
      <c r="O675" s="485"/>
      <c r="P675" s="1158" t="str">
        <f>EUconst_CNTR_100EUA_ActivityLevel&amp;I641</f>
        <v>EUA100AL_</v>
      </c>
      <c r="Q675" s="1137"/>
      <c r="R675" s="1137"/>
      <c r="S675" s="1137"/>
      <c r="T675" s="1137"/>
      <c r="U675" s="1137"/>
      <c r="V675" s="1137"/>
    </row>
    <row r="676" spans="1:22" s="562" customFormat="1" ht="5.0999999999999996" customHeight="1">
      <c r="A676" s="719"/>
      <c r="B676" s="485"/>
      <c r="C676" s="559"/>
      <c r="D676" s="706"/>
      <c r="E676" s="485"/>
      <c r="F676" s="485"/>
      <c r="G676" s="485"/>
      <c r="H676" s="485"/>
      <c r="I676" s="743"/>
      <c r="J676" s="485"/>
      <c r="K676" s="1790"/>
      <c r="L676" s="1791"/>
      <c r="M676" s="1791"/>
      <c r="N676" s="1791"/>
      <c r="O676" s="485"/>
      <c r="P676" s="1137"/>
      <c r="Q676" s="1137"/>
      <c r="R676" s="1137"/>
      <c r="S676" s="1137"/>
      <c r="T676" s="1137"/>
      <c r="U676" s="1137"/>
      <c r="V676" s="1137"/>
    </row>
    <row r="677" spans="1:22" s="562" customFormat="1" ht="12.75" customHeight="1">
      <c r="A677" s="719"/>
      <c r="B677" s="485"/>
      <c r="C677" s="559"/>
      <c r="D677" s="706"/>
      <c r="E677" s="707" t="s">
        <v>1753</v>
      </c>
      <c r="F677" s="637"/>
      <c r="G677" s="637"/>
      <c r="H677" s="663" t="str">
        <f>EUconst_Unit</f>
        <v>Unit</v>
      </c>
      <c r="I677" s="708"/>
      <c r="J677" s="2132">
        <f>J$2737</f>
        <v>2026</v>
      </c>
      <c r="K677" s="1489">
        <f>K$2737</f>
        <v>2027</v>
      </c>
      <c r="L677" s="1490">
        <f>L$2737</f>
        <v>2028</v>
      </c>
      <c r="M677" s="1490">
        <f>M$2737</f>
        <v>2029</v>
      </c>
      <c r="N677" s="1490">
        <f>N$2737</f>
        <v>2030</v>
      </c>
      <c r="O677" s="485"/>
      <c r="P677" s="1137"/>
      <c r="Q677" s="1137"/>
      <c r="R677" s="1137"/>
      <c r="S677" s="1137"/>
      <c r="T677" s="1137"/>
      <c r="U677" s="1137"/>
      <c r="V677" s="1137"/>
    </row>
    <row r="678" spans="1:22" s="562" customFormat="1" ht="12.75" hidden="1" customHeight="1">
      <c r="A678" s="719" t="s">
        <v>2289</v>
      </c>
      <c r="B678" s="485"/>
      <c r="C678" s="559"/>
      <c r="D678" s="706"/>
      <c r="E678" s="698" t="s">
        <v>1714</v>
      </c>
      <c r="F678" s="698"/>
      <c r="G678" s="698"/>
      <c r="H678" s="639" t="str">
        <f>H667</f>
        <v>tonnes</v>
      </c>
      <c r="I678" s="698"/>
      <c r="J678" s="2137" t="str">
        <f>I750</f>
        <v/>
      </c>
      <c r="K678" s="2072" t="str">
        <f>J750</f>
        <v/>
      </c>
      <c r="L678" s="2073" t="str">
        <f>K750</f>
        <v/>
      </c>
      <c r="M678" s="2073" t="str">
        <f>L750</f>
        <v/>
      </c>
      <c r="N678" s="2073" t="str">
        <f>M750</f>
        <v/>
      </c>
      <c r="O678" s="485"/>
      <c r="P678" s="1137"/>
      <c r="Q678" s="1137"/>
      <c r="R678" s="1137"/>
      <c r="S678" s="1137"/>
      <c r="T678" s="1137"/>
      <c r="U678" s="1137"/>
      <c r="V678" s="1137"/>
    </row>
    <row r="679" spans="1:22" s="562" customFormat="1" ht="12.75" hidden="1" customHeight="1">
      <c r="A679" s="719" t="s">
        <v>2289</v>
      </c>
      <c r="B679" s="485"/>
      <c r="C679" s="559"/>
      <c r="D679" s="706"/>
      <c r="E679" s="720" t="s">
        <v>303</v>
      </c>
      <c r="F679" s="720"/>
      <c r="G679" s="720"/>
      <c r="H679" s="721" t="str">
        <f>EUconst_EUA</f>
        <v>UKA</v>
      </c>
      <c r="I679" s="722"/>
      <c r="J679" s="2138" t="str">
        <f t="shared" ref="J679:N680" si="46">I751</f>
        <v/>
      </c>
      <c r="K679" s="2072" t="str">
        <f t="shared" si="46"/>
        <v/>
      </c>
      <c r="L679" s="2073" t="str">
        <f t="shared" si="46"/>
        <v/>
      </c>
      <c r="M679" s="2073" t="str">
        <f t="shared" si="46"/>
        <v/>
      </c>
      <c r="N679" s="2073" t="str">
        <f t="shared" si="46"/>
        <v/>
      </c>
      <c r="O679" s="485"/>
      <c r="P679" s="1137"/>
      <c r="Q679" s="1137"/>
      <c r="R679" s="1137"/>
      <c r="S679" s="1137"/>
      <c r="T679" s="1137"/>
      <c r="U679" s="1137"/>
      <c r="V679" s="1137"/>
    </row>
    <row r="680" spans="1:22" s="562" customFormat="1" ht="12.75" hidden="1" customHeight="1">
      <c r="A680" s="719" t="s">
        <v>2289</v>
      </c>
      <c r="B680" s="485"/>
      <c r="C680" s="559"/>
      <c r="D680" s="706"/>
      <c r="E680" s="723" t="s">
        <v>1422</v>
      </c>
      <c r="F680" s="723"/>
      <c r="G680" s="723"/>
      <c r="H680" s="724" t="str">
        <f>EUconst_EUA</f>
        <v>UKA</v>
      </c>
      <c r="I680" s="725"/>
      <c r="J680" s="2139" t="str">
        <f t="shared" si="46"/>
        <v/>
      </c>
      <c r="K680" s="2072" t="str">
        <f t="shared" si="46"/>
        <v/>
      </c>
      <c r="L680" s="2073" t="str">
        <f t="shared" si="46"/>
        <v/>
      </c>
      <c r="M680" s="2073" t="str">
        <f t="shared" si="46"/>
        <v/>
      </c>
      <c r="N680" s="2073" t="str">
        <f t="shared" si="46"/>
        <v/>
      </c>
      <c r="O680" s="485"/>
      <c r="P680" s="1137"/>
      <c r="Q680" s="1137"/>
      <c r="R680" s="1137"/>
      <c r="S680" s="1137"/>
      <c r="T680" s="1137"/>
      <c r="U680" s="1137"/>
      <c r="V680" s="1137"/>
    </row>
    <row r="681" spans="1:22" s="562" customFormat="1" ht="12.75" hidden="1" customHeight="1">
      <c r="A681" s="719" t="s">
        <v>2289</v>
      </c>
      <c r="B681" s="485"/>
      <c r="C681" s="559"/>
      <c r="D681" s="706"/>
      <c r="E681" s="745" t="s">
        <v>1390</v>
      </c>
      <c r="F681" s="745"/>
      <c r="G681" s="745"/>
      <c r="H681" s="746" t="str">
        <f>EUconst_EUA</f>
        <v>UKA</v>
      </c>
      <c r="I681" s="747"/>
      <c r="J681" s="2148" t="str">
        <f>I753</f>
        <v/>
      </c>
      <c r="K681" s="2072" t="str">
        <f>J753</f>
        <v/>
      </c>
      <c r="L681" s="2073" t="str">
        <f>K753</f>
        <v/>
      </c>
      <c r="M681" s="2073" t="str">
        <f>L753</f>
        <v/>
      </c>
      <c r="N681" s="2073" t="str">
        <f>M753</f>
        <v/>
      </c>
      <c r="O681" s="485"/>
      <c r="P681" s="1137"/>
      <c r="Q681" s="1137"/>
      <c r="R681" s="1137"/>
      <c r="S681" s="1137"/>
      <c r="T681" s="1137"/>
      <c r="U681" s="1137"/>
      <c r="V681" s="1137"/>
    </row>
    <row r="682" spans="1:22" s="562" customFormat="1" ht="12.75" customHeight="1">
      <c r="A682" s="719"/>
      <c r="B682" s="485"/>
      <c r="C682" s="559"/>
      <c r="D682" s="706"/>
      <c r="E682" s="720" t="s">
        <v>1691</v>
      </c>
      <c r="F682" s="720"/>
      <c r="G682" s="720"/>
      <c r="H682" s="748" t="s">
        <v>1021</v>
      </c>
      <c r="I682" s="722"/>
      <c r="J682" s="2149" t="str">
        <f>INDEX(F_ProductBM!J:J,MATCH($P682,F_ProductBM!$Q:$Q,0))</f>
        <v/>
      </c>
      <c r="K682" s="2141" t="str">
        <f>INDEX(F_ProductBM!K:K,MATCH($P682,F_ProductBM!$Q:$Q,0))</f>
        <v/>
      </c>
      <c r="L682" s="2142" t="str">
        <f>INDEX(F_ProductBM!L:L,MATCH($P682,F_ProductBM!$Q:$Q,0))</f>
        <v/>
      </c>
      <c r="M682" s="2142" t="str">
        <f>INDEX(F_ProductBM!M:M,MATCH($P682,F_ProductBM!$Q:$Q,0))</f>
        <v/>
      </c>
      <c r="N682" s="2142" t="str">
        <f>INDEX(F_ProductBM!N:N,MATCH($P682,F_ProductBM!$Q:$Q,0))</f>
        <v/>
      </c>
      <c r="O682" s="485"/>
      <c r="P682" s="1158" t="str">
        <f>EUconst_CNTR_HAL &amp; EUconst_CNTR_ELEXCHInitial &amp; I641</f>
        <v>HAL_ELEXCHIni_</v>
      </c>
      <c r="Q682" s="1137"/>
      <c r="R682" s="1137"/>
      <c r="S682" s="1137"/>
      <c r="T682" s="1137"/>
      <c r="U682" s="1137"/>
      <c r="V682" s="1137"/>
    </row>
    <row r="683" spans="1:22" s="562" customFormat="1" ht="12.75" customHeight="1">
      <c r="A683" s="719"/>
      <c r="B683" s="485"/>
      <c r="C683" s="559"/>
      <c r="D683" s="706"/>
      <c r="E683" s="723" t="s">
        <v>2232</v>
      </c>
      <c r="F683" s="723"/>
      <c r="G683" s="723"/>
      <c r="H683" s="734" t="s">
        <v>1021</v>
      </c>
      <c r="I683" s="735"/>
      <c r="J683" s="23" t="str">
        <f>INDEX(F_ProductBM!J:J,MATCH($P683,F_ProductBM!$Q:$Q,0))</f>
        <v/>
      </c>
      <c r="K683" s="46" t="str">
        <f>INDEX(F_ProductBM!K:K,MATCH($P683,F_ProductBM!$Q:$Q,0))</f>
        <v/>
      </c>
      <c r="L683" s="27" t="str">
        <f>INDEX(F_ProductBM!L:L,MATCH($P683,F_ProductBM!$Q:$Q,0))</f>
        <v/>
      </c>
      <c r="M683" s="27" t="str">
        <f>INDEX(F_ProductBM!M:M,MATCH($P683,F_ProductBM!$Q:$Q,0))</f>
        <v/>
      </c>
      <c r="N683" s="27" t="str">
        <f>INDEX(F_ProductBM!N:N,MATCH($P683,F_ProductBM!$Q:$Q,0))</f>
        <v/>
      </c>
      <c r="O683" s="485"/>
      <c r="P683" s="1158" t="str">
        <f>EUconst_CNTR_RelThreshold &amp; P685</f>
        <v>RelThresh_HALprelim_ELEXCH_</v>
      </c>
      <c r="Q683" s="1137"/>
      <c r="R683" s="1137"/>
      <c r="S683" s="1137"/>
      <c r="T683" s="1137"/>
      <c r="U683" s="1137"/>
      <c r="V683" s="1137"/>
    </row>
    <row r="684" spans="1:22" s="562" customFormat="1" ht="12.75" customHeight="1">
      <c r="A684" s="719"/>
      <c r="B684" s="485"/>
      <c r="C684" s="559"/>
      <c r="D684" s="706"/>
      <c r="E684" s="736" t="s">
        <v>1852</v>
      </c>
      <c r="F684" s="736"/>
      <c r="G684" s="736"/>
      <c r="H684" s="737" t="s">
        <v>1021</v>
      </c>
      <c r="I684" s="738"/>
      <c r="J684" s="2145" t="str">
        <f>INDEX(F_ProductBM!V:V,MATCH($P684,F_ProductBM!$Q:$Q,0))</f>
        <v/>
      </c>
      <c r="K684" s="2134" t="str">
        <f>INDEX(F_ProductBM!W:W,MATCH($P684,F_ProductBM!$Q:$Q,0))</f>
        <v/>
      </c>
      <c r="L684" s="2135" t="str">
        <f>INDEX(F_ProductBM!X:X,MATCH($P684,F_ProductBM!$Q:$Q,0))</f>
        <v/>
      </c>
      <c r="M684" s="2135" t="str">
        <f>INDEX(F_ProductBM!Y:Y,MATCH($P684,F_ProductBM!$Q:$Q,0))</f>
        <v/>
      </c>
      <c r="N684" s="2135" t="str">
        <f>INDEX(F_ProductBM!Z:Z,MATCH($P684,F_ProductBM!$Q:$Q,0))</f>
        <v/>
      </c>
      <c r="O684" s="485"/>
      <c r="P684" s="1158" t="str">
        <f>P683</f>
        <v>RelThresh_HALprelim_ELEXCH_</v>
      </c>
      <c r="Q684" s="1137"/>
      <c r="R684" s="1137"/>
      <c r="S684" s="1137"/>
      <c r="T684" s="1137"/>
      <c r="U684" s="1137"/>
      <c r="V684" s="1137"/>
    </row>
    <row r="685" spans="1:22" s="562" customFormat="1" ht="12.75" customHeight="1">
      <c r="A685" s="719"/>
      <c r="B685" s="485"/>
      <c r="C685" s="559"/>
      <c r="D685" s="706"/>
      <c r="E685" s="727" t="s">
        <v>1689</v>
      </c>
      <c r="F685" s="727"/>
      <c r="G685" s="727"/>
      <c r="H685" s="749" t="s">
        <v>1021</v>
      </c>
      <c r="I685" s="727"/>
      <c r="J685" s="2150" t="str">
        <f>IF($I644=TRUE,INDEX(F_ProductBM!J:J,MATCH($P685,F_ProductBM!$Q:$Q,0)),"")</f>
        <v/>
      </c>
      <c r="K685" s="2141" t="str">
        <f>IF($I644=TRUE,INDEX(F_ProductBM!K:K,MATCH($P685,F_ProductBM!$Q:$Q,0)),"")</f>
        <v/>
      </c>
      <c r="L685" s="2142" t="str">
        <f>IF($I644=TRUE,INDEX(F_ProductBM!L:L,MATCH($P685,F_ProductBM!$Q:$Q,0)),"")</f>
        <v/>
      </c>
      <c r="M685" s="2142" t="str">
        <f>IF($I644=TRUE,INDEX(F_ProductBM!M:M,MATCH($P685,F_ProductBM!$Q:$Q,0)),"")</f>
        <v/>
      </c>
      <c r="N685" s="2142" t="str">
        <f>IF($I644=TRUE,INDEX(F_ProductBM!N:N,MATCH($P685,F_ProductBM!$Q:$Q,0)),"")</f>
        <v/>
      </c>
      <c r="O685" s="485"/>
      <c r="P685" s="1158" t="str">
        <f>EUconst_CNTR_HALprelim&amp;EUconst_CNTR_ELEXCH&amp;$I641</f>
        <v>HALprelim_ELEXCH_</v>
      </c>
      <c r="Q685" s="1137"/>
      <c r="R685" s="1137"/>
      <c r="S685" s="1137"/>
      <c r="T685" s="1137"/>
      <c r="U685" s="1137"/>
      <c r="V685" s="1137"/>
    </row>
    <row r="686" spans="1:22" s="562" customFormat="1" ht="12.75" hidden="1" customHeight="1">
      <c r="A686" s="719" t="s">
        <v>2289</v>
      </c>
      <c r="B686" s="485"/>
      <c r="C686" s="559"/>
      <c r="D686" s="706"/>
      <c r="E686" s="727" t="s">
        <v>1391</v>
      </c>
      <c r="F686" s="727"/>
      <c r="G686" s="727"/>
      <c r="H686" s="750" t="s">
        <v>1021</v>
      </c>
      <c r="I686" s="729"/>
      <c r="J686" s="2143" t="str">
        <f>I755</f>
        <v/>
      </c>
      <c r="K686" s="2141" t="str">
        <f>J755</f>
        <v/>
      </c>
      <c r="L686" s="2142" t="str">
        <f>K755</f>
        <v/>
      </c>
      <c r="M686" s="2142" t="str">
        <f>L755</f>
        <v/>
      </c>
      <c r="N686" s="2142" t="str">
        <f>M755</f>
        <v/>
      </c>
      <c r="O686" s="485"/>
      <c r="P686" s="1137"/>
      <c r="Q686" s="1137"/>
      <c r="R686" s="1137"/>
      <c r="S686" s="1137"/>
      <c r="T686" s="1137"/>
      <c r="U686" s="1137"/>
      <c r="V686" s="1137"/>
    </row>
    <row r="687" spans="1:22" s="562" customFormat="1" ht="12.75" customHeight="1">
      <c r="A687" s="719"/>
      <c r="B687" s="485"/>
      <c r="C687" s="559"/>
      <c r="D687" s="706"/>
      <c r="E687" s="698" t="s">
        <v>1671</v>
      </c>
      <c r="F687" s="698"/>
      <c r="G687" s="698"/>
      <c r="H687" s="730" t="str">
        <f>EUconst_EUA</f>
        <v>UKA</v>
      </c>
      <c r="I687" s="731"/>
      <c r="J687" s="2129" t="str">
        <f>IF($I644=TRUE,MAX(0,ROUND((SUM($M644)*SUM(J678)*SUM(J685)*SUM(J686)-SUM(J679)-SUM(J680)+SUM(J681))*IF($H644=TRUE,1,J$2517),0)),"")</f>
        <v/>
      </c>
      <c r="K687" s="2072" t="str">
        <f>IF($I644=TRUE,MAX(0,ROUND((SUM($M644)*SUM(K678)*SUM(K685)*SUM(K686)-SUM(K679)-SUM(K680)+SUM(K681))*IF($H644=TRUE,1,K$2517),0)),"")</f>
        <v/>
      </c>
      <c r="L687" s="2073" t="str">
        <f>IF($I644=TRUE,MAX(0,ROUND((SUM($M644)*SUM(L678)*SUM(L685)*SUM(L686)-SUM(L679)-SUM(L680)+SUM(L681))*IF($H644=TRUE,1,L$2517),0)),"")</f>
        <v/>
      </c>
      <c r="M687" s="2073" t="str">
        <f>IF($I644=TRUE,MAX(0,ROUND((SUM($M644)*SUM(M678)*SUM(M685)*SUM(M686)-SUM(M679)-SUM(M680)+SUM(M681))*IF($H644=TRUE,1,M$2517),0)),"")</f>
        <v/>
      </c>
      <c r="N687" s="2073" t="str">
        <f>IF($I644=TRUE,MAX(0,ROUND((SUM($M644)*SUM(N678)*SUM(N685)*SUM(N686)-SUM(N679)-SUM(N680)+SUM(N681))*IF($H644=TRUE,1,N$2517),0)),"")</f>
        <v/>
      </c>
      <c r="O687" s="485"/>
      <c r="P687" s="1137"/>
      <c r="Q687" s="1137"/>
      <c r="R687" s="1137"/>
      <c r="S687" s="1137"/>
      <c r="T687" s="1137"/>
      <c r="U687" s="1137"/>
      <c r="V687" s="1137"/>
    </row>
    <row r="688" spans="1:22" s="562" customFormat="1" ht="12.75" customHeight="1">
      <c r="A688" s="719"/>
      <c r="B688" s="485"/>
      <c r="C688" s="559"/>
      <c r="D688" s="706"/>
      <c r="E688" s="698" t="s">
        <v>1670</v>
      </c>
      <c r="F688" s="698"/>
      <c r="G688" s="698"/>
      <c r="H688" s="730" t="str">
        <f>EUconst_EUA</f>
        <v>UKA</v>
      </c>
      <c r="I688" s="731"/>
      <c r="J688" s="2129" t="str">
        <f>IF($I644=TRUE,ABS(SUM(J687)-SUM(J661)),"")</f>
        <v/>
      </c>
      <c r="K688" s="2072" t="str">
        <f>IF($I644=TRUE,ABS(SUM(K687)-SUM(K661)),"")</f>
        <v/>
      </c>
      <c r="L688" s="2073" t="str">
        <f>IF($I644=TRUE,ABS(SUM(L687)-SUM(L661)),"")</f>
        <v/>
      </c>
      <c r="M688" s="2073" t="str">
        <f>IF($I644=TRUE,ABS(SUM(M687)-SUM(M661)),"")</f>
        <v/>
      </c>
      <c r="N688" s="2073" t="str">
        <f>IF($I644=TRUE,ABS(SUM(N687)-SUM(N661)),"")</f>
        <v/>
      </c>
      <c r="O688" s="485"/>
      <c r="P688" s="1137"/>
      <c r="Q688" s="1137"/>
      <c r="R688" s="1137"/>
      <c r="S688" s="1137"/>
      <c r="T688" s="1137"/>
      <c r="U688" s="1137"/>
      <c r="V688" s="1137"/>
    </row>
    <row r="689" spans="1:22" s="562" customFormat="1" ht="12.75" customHeight="1">
      <c r="A689" s="719"/>
      <c r="B689" s="485"/>
      <c r="C689" s="559"/>
      <c r="D689" s="706"/>
      <c r="E689" s="740" t="s">
        <v>2131</v>
      </c>
      <c r="F689" s="740"/>
      <c r="G689" s="740"/>
      <c r="H689" s="741" t="s">
        <v>1021</v>
      </c>
      <c r="I689" s="742"/>
      <c r="J689" s="2147" t="str">
        <f>IF($I644=TRUE,J688&gt;=100,"")</f>
        <v/>
      </c>
      <c r="K689" s="2134" t="str">
        <f>IF($I644=TRUE,K688&gt;=100,"")</f>
        <v/>
      </c>
      <c r="L689" s="2135" t="str">
        <f>IF($I644=TRUE,L688&gt;=100,"")</f>
        <v/>
      </c>
      <c r="M689" s="2135" t="str">
        <f>IF($I644=TRUE,M688&gt;=100,"")</f>
        <v/>
      </c>
      <c r="N689" s="2135" t="str">
        <f>IF($I644=TRUE,N688&gt;=100,"")</f>
        <v/>
      </c>
      <c r="O689" s="485"/>
      <c r="P689" s="1158" t="str">
        <f>EUconst_CNTR_100EUA_ElExch&amp;I641</f>
        <v>EUA100ElExch_</v>
      </c>
      <c r="Q689" s="1137"/>
      <c r="R689" s="1137"/>
      <c r="S689" s="1137"/>
      <c r="T689" s="1137"/>
      <c r="U689" s="1137"/>
      <c r="V689" s="1137"/>
    </row>
    <row r="690" spans="1:22" s="562" customFormat="1" ht="5.0999999999999996" customHeight="1">
      <c r="A690" s="719"/>
      <c r="B690" s="485"/>
      <c r="C690" s="559"/>
      <c r="D690" s="706"/>
      <c r="E690" s="485"/>
      <c r="F690" s="485"/>
      <c r="G690" s="485"/>
      <c r="H690" s="485"/>
      <c r="I690" s="743"/>
      <c r="J690" s="485"/>
      <c r="K690" s="1790"/>
      <c r="L690" s="1791"/>
      <c r="M690" s="1791"/>
      <c r="N690" s="1791"/>
      <c r="O690" s="485"/>
      <c r="P690" s="1137"/>
      <c r="Q690" s="1137"/>
      <c r="R690" s="1137"/>
      <c r="S690" s="1137"/>
      <c r="T690" s="1137"/>
      <c r="U690" s="1137"/>
      <c r="V690" s="1137"/>
    </row>
    <row r="691" spans="1:22" s="562" customFormat="1" ht="12.75" customHeight="1">
      <c r="A691" s="719"/>
      <c r="B691" s="485"/>
      <c r="C691" s="559"/>
      <c r="D691" s="706"/>
      <c r="E691" s="707" t="s">
        <v>1754</v>
      </c>
      <c r="F691" s="637"/>
      <c r="G691" s="637"/>
      <c r="H691" s="663" t="str">
        <f>EUconst_Unit</f>
        <v>Unit</v>
      </c>
      <c r="I691" s="708"/>
      <c r="J691" s="2132">
        <f>J$2737</f>
        <v>2026</v>
      </c>
      <c r="K691" s="1489">
        <f>K$2737</f>
        <v>2027</v>
      </c>
      <c r="L691" s="1490">
        <f>L$2737</f>
        <v>2028</v>
      </c>
      <c r="M691" s="1490">
        <f>M$2737</f>
        <v>2029</v>
      </c>
      <c r="N691" s="1490">
        <f>N$2737</f>
        <v>2030</v>
      </c>
      <c r="O691" s="485"/>
      <c r="P691" s="1137"/>
      <c r="Q691" s="1137"/>
      <c r="R691" s="1137"/>
      <c r="S691" s="1137"/>
      <c r="T691" s="1137"/>
      <c r="U691" s="1137"/>
      <c r="V691" s="1137"/>
    </row>
    <row r="692" spans="1:22" s="562" customFormat="1" ht="12.75" hidden="1" customHeight="1">
      <c r="A692" s="719" t="s">
        <v>2289</v>
      </c>
      <c r="B692" s="485"/>
      <c r="C692" s="559"/>
      <c r="D692" s="706"/>
      <c r="E692" s="698" t="s">
        <v>1714</v>
      </c>
      <c r="F692" s="698"/>
      <c r="G692" s="698"/>
      <c r="H692" s="639" t="str">
        <f>H678</f>
        <v>tonnes</v>
      </c>
      <c r="I692" s="698"/>
      <c r="J692" s="2137" t="str">
        <f>I750</f>
        <v/>
      </c>
      <c r="K692" s="2072" t="str">
        <f>J750</f>
        <v/>
      </c>
      <c r="L692" s="2073" t="str">
        <f>K750</f>
        <v/>
      </c>
      <c r="M692" s="2073" t="str">
        <f>L750</f>
        <v/>
      </c>
      <c r="N692" s="2073" t="str">
        <f>M750</f>
        <v/>
      </c>
      <c r="O692" s="485"/>
      <c r="P692" s="1137"/>
      <c r="Q692" s="1137"/>
      <c r="R692" s="1137"/>
      <c r="S692" s="1137"/>
      <c r="T692" s="1137"/>
      <c r="U692" s="1137"/>
      <c r="V692" s="1137"/>
    </row>
    <row r="693" spans="1:22" s="562" customFormat="1" ht="12.75" customHeight="1">
      <c r="A693" s="719"/>
      <c r="B693" s="485"/>
      <c r="C693" s="559"/>
      <c r="D693" s="706"/>
      <c r="E693" s="720" t="s">
        <v>1691</v>
      </c>
      <c r="F693" s="720"/>
      <c r="G693" s="720"/>
      <c r="H693" s="748" t="str">
        <f>EUconst_EUA</f>
        <v>UKA</v>
      </c>
      <c r="I693" s="722"/>
      <c r="J693" s="2144" t="str">
        <f>IF(R647,SUM(INDEX(F_ProductBM!J:J,MATCH($P693,F_ProductBM!$Q:$Q,0))),"")</f>
        <v/>
      </c>
      <c r="K693" s="2072" t="str">
        <f>IF(S647,SUM(INDEX(F_ProductBM!K:K,MATCH($P693,F_ProductBM!$Q:$Q,0))),"")</f>
        <v/>
      </c>
      <c r="L693" s="2073" t="str">
        <f>IF(T647,SUM(INDEX(F_ProductBM!L:L,MATCH($P693,F_ProductBM!$Q:$Q,0))),"")</f>
        <v/>
      </c>
      <c r="M693" s="2073" t="str">
        <f>IF(U647,SUM(INDEX(F_ProductBM!M:M,MATCH($P693,F_ProductBM!$Q:$Q,0))),"")</f>
        <v/>
      </c>
      <c r="N693" s="2073" t="str">
        <f>IF(V647,SUM(INDEX(F_ProductBM!N:N,MATCH($P693,F_ProductBM!$Q:$Q,0))),"")</f>
        <v/>
      </c>
      <c r="O693" s="485"/>
      <c r="P693" s="1158" t="str">
        <f>EUconst_CNTR_HEATInitial &amp; I641</f>
        <v>HEATIni_</v>
      </c>
      <c r="Q693" s="1137"/>
      <c r="R693" s="1137"/>
      <c r="S693" s="1137"/>
      <c r="T693" s="1137"/>
      <c r="U693" s="1137"/>
      <c r="V693" s="1137"/>
    </row>
    <row r="694" spans="1:22" s="562" customFormat="1" ht="12.75" customHeight="1">
      <c r="A694" s="719"/>
      <c r="B694" s="485"/>
      <c r="C694" s="559"/>
      <c r="D694" s="706"/>
      <c r="E694" s="723" t="s">
        <v>2232</v>
      </c>
      <c r="F694" s="723"/>
      <c r="G694" s="723"/>
      <c r="H694" s="734" t="s">
        <v>1021</v>
      </c>
      <c r="I694" s="735"/>
      <c r="J694" s="23" t="str">
        <f>INDEX(F_ProductBM!J:J,MATCH($P694,F_ProductBM!$Q:$Q,0))</f>
        <v/>
      </c>
      <c r="K694" s="46" t="str">
        <f>INDEX(F_ProductBM!K:K,MATCH($P694,F_ProductBM!$Q:$Q,0))</f>
        <v/>
      </c>
      <c r="L694" s="27" t="str">
        <f>INDEX(F_ProductBM!L:L,MATCH($P694,F_ProductBM!$Q:$Q,0))</f>
        <v/>
      </c>
      <c r="M694" s="27" t="str">
        <f>INDEX(F_ProductBM!M:M,MATCH($P694,F_ProductBM!$Q:$Q,0))</f>
        <v/>
      </c>
      <c r="N694" s="27" t="str">
        <f>INDEX(F_ProductBM!N:N,MATCH($P694,F_ProductBM!$Q:$Q,0))</f>
        <v/>
      </c>
      <c r="O694" s="485"/>
      <c r="P694" s="1158" t="str">
        <f>EUconst_CNTR_RelThreshold &amp; P696</f>
        <v>RelThresh_HEATprelim_</v>
      </c>
      <c r="Q694" s="1137"/>
      <c r="R694" s="1137"/>
      <c r="S694" s="1137"/>
      <c r="T694" s="1137"/>
      <c r="U694" s="1137"/>
      <c r="V694" s="1137"/>
    </row>
    <row r="695" spans="1:22" s="562" customFormat="1" ht="12.75" customHeight="1">
      <c r="A695" s="719"/>
      <c r="B695" s="485"/>
      <c r="C695" s="559"/>
      <c r="D695" s="706"/>
      <c r="E695" s="736" t="s">
        <v>1853</v>
      </c>
      <c r="F695" s="736"/>
      <c r="G695" s="736"/>
      <c r="H695" s="737" t="s">
        <v>1021</v>
      </c>
      <c r="I695" s="738"/>
      <c r="J695" s="2145" t="str">
        <f>INDEX(F_ProductBM!V:V,MATCH($P695,F_ProductBM!$Q:$Q,0))</f>
        <v/>
      </c>
      <c r="K695" s="2134" t="str">
        <f>INDEX(F_ProductBM!W:W,MATCH($P695,F_ProductBM!$Q:$Q,0))</f>
        <v/>
      </c>
      <c r="L695" s="2135" t="str">
        <f>INDEX(F_ProductBM!X:X,MATCH($P695,F_ProductBM!$Q:$Q,0))</f>
        <v/>
      </c>
      <c r="M695" s="2135" t="str">
        <f>INDEX(F_ProductBM!Y:Y,MATCH($P695,F_ProductBM!$Q:$Q,0))</f>
        <v/>
      </c>
      <c r="N695" s="2135" t="str">
        <f>INDEX(F_ProductBM!Z:Z,MATCH($P695,F_ProductBM!$Q:$Q,0))</f>
        <v/>
      </c>
      <c r="O695" s="485"/>
      <c r="P695" s="1158" t="str">
        <f>P694</f>
        <v>RelThresh_HEATprelim_</v>
      </c>
      <c r="Q695" s="1137"/>
      <c r="R695" s="1137"/>
      <c r="S695" s="1137"/>
      <c r="T695" s="1137"/>
      <c r="U695" s="1137"/>
      <c r="V695" s="1137"/>
    </row>
    <row r="696" spans="1:22" s="562" customFormat="1" ht="12.75" customHeight="1">
      <c r="A696" s="719"/>
      <c r="B696" s="485"/>
      <c r="C696" s="559"/>
      <c r="D696" s="706"/>
      <c r="E696" s="727" t="s">
        <v>1689</v>
      </c>
      <c r="F696" s="727"/>
      <c r="G696" s="727"/>
      <c r="H696" s="749" t="str">
        <f>EUconst_EUA</f>
        <v>UKA</v>
      </c>
      <c r="I696" s="727"/>
      <c r="J696" s="2146" t="str">
        <f>IF($I641="","",INDEX(F_ProductBM!J:J,MATCH($P696,F_ProductBM!$Q:$Q,0)))</f>
        <v/>
      </c>
      <c r="K696" s="2072" t="str">
        <f>IF($I641="","",INDEX(F_ProductBM!K:K,MATCH($P696,F_ProductBM!$Q:$Q,0)))</f>
        <v/>
      </c>
      <c r="L696" s="2073" t="str">
        <f>IF($I641="","",INDEX(F_ProductBM!L:L,MATCH($P696,F_ProductBM!$Q:$Q,0)))</f>
        <v/>
      </c>
      <c r="M696" s="2073" t="str">
        <f>IF($I641="","",INDEX(F_ProductBM!M:M,MATCH($P696,F_ProductBM!$Q:$Q,0)))</f>
        <v/>
      </c>
      <c r="N696" s="2073" t="str">
        <f>IF($I641="","",INDEX(F_ProductBM!N:N,MATCH($P696,F_ProductBM!$Q:$Q,0)))</f>
        <v/>
      </c>
      <c r="O696" s="485"/>
      <c r="P696" s="1158" t="str">
        <f>EUconst_CNTR_HEATprelim&amp;I641</f>
        <v>HEATprelim_</v>
      </c>
      <c r="Q696" s="1137"/>
      <c r="R696" s="1137"/>
      <c r="S696" s="1137"/>
      <c r="T696" s="1137"/>
      <c r="U696" s="1137"/>
      <c r="V696" s="1137"/>
    </row>
    <row r="697" spans="1:22" s="562" customFormat="1" ht="12.75" hidden="1" customHeight="1">
      <c r="A697" s="719" t="s">
        <v>2289</v>
      </c>
      <c r="B697" s="485"/>
      <c r="C697" s="559"/>
      <c r="D697" s="706"/>
      <c r="E697" s="723" t="s">
        <v>1422</v>
      </c>
      <c r="F697" s="723"/>
      <c r="G697" s="723"/>
      <c r="H697" s="724" t="str">
        <f>EUconst_EUA</f>
        <v>UKA</v>
      </c>
      <c r="I697" s="725"/>
      <c r="J697" s="2139" t="str">
        <f t="shared" ref="J697:N700" si="47">I752</f>
        <v/>
      </c>
      <c r="K697" s="2072" t="str">
        <f t="shared" si="47"/>
        <v/>
      </c>
      <c r="L697" s="2073" t="str">
        <f t="shared" si="47"/>
        <v/>
      </c>
      <c r="M697" s="2073" t="str">
        <f t="shared" si="47"/>
        <v/>
      </c>
      <c r="N697" s="2073" t="str">
        <f t="shared" si="47"/>
        <v/>
      </c>
      <c r="O697" s="485"/>
      <c r="P697" s="1137"/>
      <c r="Q697" s="1137"/>
      <c r="R697" s="1137"/>
      <c r="S697" s="1137"/>
      <c r="T697" s="1137"/>
      <c r="U697" s="1137"/>
      <c r="V697" s="1137"/>
    </row>
    <row r="698" spans="1:22" s="562" customFormat="1" ht="12.75" hidden="1" customHeight="1">
      <c r="A698" s="719" t="s">
        <v>2289</v>
      </c>
      <c r="B698" s="485"/>
      <c r="C698" s="559"/>
      <c r="D698" s="706"/>
      <c r="E698" s="723" t="s">
        <v>1390</v>
      </c>
      <c r="F698" s="723"/>
      <c r="G698" s="723"/>
      <c r="H698" s="724" t="str">
        <f>EUconst_EUA</f>
        <v>UKA</v>
      </c>
      <c r="I698" s="725"/>
      <c r="J698" s="2139" t="str">
        <f t="shared" si="47"/>
        <v/>
      </c>
      <c r="K698" s="2072" t="str">
        <f t="shared" si="47"/>
        <v/>
      </c>
      <c r="L698" s="2073" t="str">
        <f t="shared" si="47"/>
        <v/>
      </c>
      <c r="M698" s="2073" t="str">
        <f t="shared" si="47"/>
        <v/>
      </c>
      <c r="N698" s="2073" t="str">
        <f t="shared" si="47"/>
        <v/>
      </c>
      <c r="O698" s="485"/>
      <c r="P698" s="1137"/>
      <c r="Q698" s="1137"/>
      <c r="R698" s="1137"/>
      <c r="S698" s="1137"/>
      <c r="T698" s="1137"/>
      <c r="U698" s="1137"/>
      <c r="V698" s="1137"/>
    </row>
    <row r="699" spans="1:22" s="562" customFormat="1" ht="12.75" hidden="1" customHeight="1">
      <c r="A699" s="719" t="s">
        <v>2289</v>
      </c>
      <c r="B699" s="485"/>
      <c r="C699" s="559"/>
      <c r="D699" s="706"/>
      <c r="E699" s="723" t="s">
        <v>1389</v>
      </c>
      <c r="F699" s="723"/>
      <c r="G699" s="723"/>
      <c r="H699" s="726" t="s">
        <v>1021</v>
      </c>
      <c r="I699" s="725"/>
      <c r="J699" s="2140" t="str">
        <f t="shared" si="47"/>
        <v/>
      </c>
      <c r="K699" s="2141" t="str">
        <f t="shared" si="47"/>
        <v/>
      </c>
      <c r="L699" s="2142" t="str">
        <f t="shared" si="47"/>
        <v/>
      </c>
      <c r="M699" s="2142" t="str">
        <f t="shared" si="47"/>
        <v/>
      </c>
      <c r="N699" s="2142" t="str">
        <f t="shared" si="47"/>
        <v/>
      </c>
      <c r="O699" s="485"/>
      <c r="P699" s="1137"/>
      <c r="Q699" s="1137"/>
      <c r="R699" s="1137"/>
      <c r="S699" s="1137"/>
      <c r="T699" s="1137"/>
      <c r="U699" s="1137"/>
      <c r="V699" s="1137"/>
    </row>
    <row r="700" spans="1:22" s="562" customFormat="1" ht="12.75" hidden="1" customHeight="1">
      <c r="A700" s="719" t="s">
        <v>2289</v>
      </c>
      <c r="B700" s="485"/>
      <c r="C700" s="559"/>
      <c r="D700" s="706"/>
      <c r="E700" s="727" t="s">
        <v>1391</v>
      </c>
      <c r="F700" s="727"/>
      <c r="G700" s="727"/>
      <c r="H700" s="728" t="s">
        <v>1021</v>
      </c>
      <c r="I700" s="729"/>
      <c r="J700" s="2143" t="str">
        <f t="shared" si="47"/>
        <v/>
      </c>
      <c r="K700" s="2141" t="str">
        <f t="shared" si="47"/>
        <v/>
      </c>
      <c r="L700" s="2142" t="str">
        <f t="shared" si="47"/>
        <v/>
      </c>
      <c r="M700" s="2142" t="str">
        <f t="shared" si="47"/>
        <v/>
      </c>
      <c r="N700" s="2142" t="str">
        <f t="shared" si="47"/>
        <v/>
      </c>
      <c r="O700" s="485"/>
      <c r="P700" s="1137"/>
      <c r="Q700" s="1137"/>
      <c r="R700" s="1137"/>
      <c r="S700" s="1137"/>
      <c r="T700" s="1137"/>
      <c r="U700" s="1137"/>
      <c r="V700" s="1137"/>
    </row>
    <row r="701" spans="1:22" s="562" customFormat="1" ht="12.75" customHeight="1">
      <c r="A701" s="719"/>
      <c r="B701" s="485"/>
      <c r="C701" s="559"/>
      <c r="D701" s="706"/>
      <c r="E701" s="698" t="s">
        <v>1671</v>
      </c>
      <c r="F701" s="698"/>
      <c r="G701" s="698"/>
      <c r="H701" s="730" t="str">
        <f>EUconst_EUA</f>
        <v>UKA</v>
      </c>
      <c r="I701" s="731"/>
      <c r="J701" s="2129" t="str">
        <f>IF($I641="","",MAX(0,ROUND((SUM($M644)*SUM(J692)*SUM(J699)*SUM(J700)-SUM(J696)-SUM(J697)+SUM(J698))*IF($H644=TRUE,1,J$2517),0)))</f>
        <v/>
      </c>
      <c r="K701" s="2072" t="str">
        <f>IF($I641="","",MAX(0,ROUND((SUM($M644)*SUM(K692)*SUM(K699)*SUM(K700)-SUM(K696)-SUM(K697)+SUM(K698))*IF($H644=TRUE,1,K$2517),0)))</f>
        <v/>
      </c>
      <c r="L701" s="2073" t="str">
        <f>IF($I641="","",MAX(0,ROUND((SUM($M644)*SUM(L692)*SUM(L699)*SUM(L700)-SUM(L696)-SUM(L697)+SUM(L698))*IF($H644=TRUE,1,L$2517),0)))</f>
        <v/>
      </c>
      <c r="M701" s="2073" t="str">
        <f>IF($I641="","",MAX(0,ROUND((SUM($M644)*SUM(M692)*SUM(M699)*SUM(M700)-SUM(M696)-SUM(M697)+SUM(M698))*IF($H644=TRUE,1,M$2517),0)))</f>
        <v/>
      </c>
      <c r="N701" s="2073" t="str">
        <f>IF($I641="","",MAX(0,ROUND((SUM($M644)*SUM(N692)*SUM(N699)*SUM(N700)-SUM(N696)-SUM(N697)+SUM(N698))*IF($H644=TRUE,1,N$2517),0)))</f>
        <v/>
      </c>
      <c r="O701" s="485"/>
      <c r="P701" s="1137"/>
      <c r="Q701" s="1137"/>
      <c r="R701" s="1137"/>
      <c r="S701" s="1137"/>
      <c r="T701" s="1137"/>
      <c r="U701" s="1137"/>
      <c r="V701" s="1137"/>
    </row>
    <row r="702" spans="1:22" s="562" customFormat="1" ht="12.75" customHeight="1">
      <c r="A702" s="719"/>
      <c r="B702" s="485"/>
      <c r="C702" s="559"/>
      <c r="D702" s="706"/>
      <c r="E702" s="698" t="s">
        <v>1670</v>
      </c>
      <c r="F702" s="698"/>
      <c r="G702" s="698"/>
      <c r="H702" s="730" t="str">
        <f>EUconst_EUA</f>
        <v>UKA</v>
      </c>
      <c r="I702" s="731"/>
      <c r="J702" s="2129" t="str">
        <f>IF($I641="","",ABS(SUM(J701)-SUM(J661)))</f>
        <v/>
      </c>
      <c r="K702" s="2072" t="str">
        <f>IF($I641="","",ABS(SUM(K701)-SUM(K661)))</f>
        <v/>
      </c>
      <c r="L702" s="2073" t="str">
        <f>IF($I641="","",ABS(SUM(L701)-SUM(L661)))</f>
        <v/>
      </c>
      <c r="M702" s="2073" t="str">
        <f>IF($I641="","",ABS(SUM(M701)-SUM(M661)))</f>
        <v/>
      </c>
      <c r="N702" s="2073" t="str">
        <f>IF($I641="","",ABS(SUM(N701)-SUM(N661)))</f>
        <v/>
      </c>
      <c r="O702" s="485"/>
      <c r="P702" s="1137"/>
      <c r="Q702" s="1137"/>
      <c r="R702" s="1137"/>
      <c r="S702" s="1137"/>
      <c r="T702" s="1137"/>
      <c r="U702" s="1137"/>
      <c r="V702" s="1137"/>
    </row>
    <row r="703" spans="1:22" s="562" customFormat="1" ht="12.75" customHeight="1">
      <c r="A703" s="719"/>
      <c r="B703" s="485"/>
      <c r="C703" s="559"/>
      <c r="D703" s="706"/>
      <c r="E703" s="740" t="s">
        <v>2132</v>
      </c>
      <c r="F703" s="740"/>
      <c r="G703" s="740"/>
      <c r="H703" s="741" t="s">
        <v>1021</v>
      </c>
      <c r="I703" s="742"/>
      <c r="J703" s="2147" t="str">
        <f>IF($I641="","",J702&gt;=100)</f>
        <v/>
      </c>
      <c r="K703" s="2134" t="str">
        <f>IF($I641="","",K702&gt;=100)</f>
        <v/>
      </c>
      <c r="L703" s="2135" t="str">
        <f>IF($I641="","",L702&gt;=100)</f>
        <v/>
      </c>
      <c r="M703" s="2135" t="str">
        <f>IF($I641="","",M702&gt;=100)</f>
        <v/>
      </c>
      <c r="N703" s="2135" t="str">
        <f>IF($I641="","",N702&gt;=100)</f>
        <v/>
      </c>
      <c r="O703" s="485"/>
      <c r="P703" s="1158" t="str">
        <f>EUconst_CNTR_100EUA_HEAT&amp;I641</f>
        <v>EUA100HEAT_</v>
      </c>
      <c r="Q703" s="1137"/>
      <c r="R703" s="1137"/>
      <c r="S703" s="1137"/>
      <c r="T703" s="1137"/>
      <c r="U703" s="1137"/>
      <c r="V703" s="1137"/>
    </row>
    <row r="704" spans="1:22" s="562" customFormat="1" ht="5.0999999999999996" customHeight="1">
      <c r="A704" s="719"/>
      <c r="B704" s="485"/>
      <c r="C704" s="559"/>
      <c r="D704" s="706"/>
      <c r="E704" s="485"/>
      <c r="F704" s="485"/>
      <c r="G704" s="485"/>
      <c r="H704" s="485"/>
      <c r="I704" s="743"/>
      <c r="J704" s="485"/>
      <c r="K704" s="1790"/>
      <c r="L704" s="1791"/>
      <c r="M704" s="1791"/>
      <c r="N704" s="1791"/>
      <c r="O704" s="485"/>
      <c r="P704" s="1137"/>
      <c r="Q704" s="1137"/>
      <c r="R704" s="1137"/>
      <c r="S704" s="1137"/>
      <c r="T704" s="1137"/>
      <c r="U704" s="1137"/>
      <c r="V704" s="1137"/>
    </row>
    <row r="705" spans="1:22" s="562" customFormat="1" ht="12.75" customHeight="1">
      <c r="A705" s="719"/>
      <c r="B705" s="485"/>
      <c r="C705" s="559"/>
      <c r="D705" s="706"/>
      <c r="E705" s="707" t="s">
        <v>1755</v>
      </c>
      <c r="F705" s="637"/>
      <c r="G705" s="637"/>
      <c r="H705" s="663" t="str">
        <f>EUconst_Unit</f>
        <v>Unit</v>
      </c>
      <c r="I705" s="708"/>
      <c r="J705" s="2132">
        <f>J$2737</f>
        <v>2026</v>
      </c>
      <c r="K705" s="1489">
        <f>K$2737</f>
        <v>2027</v>
      </c>
      <c r="L705" s="1490">
        <f>L$2737</f>
        <v>2028</v>
      </c>
      <c r="M705" s="1490">
        <f>M$2737</f>
        <v>2029</v>
      </c>
      <c r="N705" s="1490">
        <f>N$2737</f>
        <v>2030</v>
      </c>
      <c r="O705" s="485"/>
      <c r="P705" s="1137"/>
      <c r="Q705" s="1137"/>
      <c r="R705" s="1137"/>
      <c r="S705" s="1137"/>
      <c r="T705" s="1137"/>
      <c r="U705" s="1137"/>
      <c r="V705" s="1137"/>
    </row>
    <row r="706" spans="1:22" s="562" customFormat="1" ht="12.75" hidden="1" customHeight="1">
      <c r="A706" s="719" t="s">
        <v>2289</v>
      </c>
      <c r="B706" s="485"/>
      <c r="C706" s="559"/>
      <c r="D706" s="706"/>
      <c r="E706" s="698" t="s">
        <v>1714</v>
      </c>
      <c r="F706" s="698"/>
      <c r="G706" s="698"/>
      <c r="H706" s="639" t="str">
        <f>H692</f>
        <v>tonnes</v>
      </c>
      <c r="I706" s="698"/>
      <c r="J706" s="2137" t="str">
        <f t="shared" ref="J706:N708" si="48">I750</f>
        <v/>
      </c>
      <c r="K706" s="2072" t="str">
        <f t="shared" si="48"/>
        <v/>
      </c>
      <c r="L706" s="2073" t="str">
        <f t="shared" si="48"/>
        <v/>
      </c>
      <c r="M706" s="2073" t="str">
        <f t="shared" si="48"/>
        <v/>
      </c>
      <c r="N706" s="2073" t="str">
        <f t="shared" si="48"/>
        <v/>
      </c>
      <c r="O706" s="485"/>
      <c r="P706" s="1137"/>
      <c r="Q706" s="1137"/>
      <c r="R706" s="1137"/>
      <c r="S706" s="1137"/>
      <c r="T706" s="1137"/>
      <c r="U706" s="1137"/>
      <c r="V706" s="1137"/>
    </row>
    <row r="707" spans="1:22" s="562" customFormat="1" ht="12.75" hidden="1" customHeight="1">
      <c r="A707" s="719" t="s">
        <v>2289</v>
      </c>
      <c r="B707" s="485"/>
      <c r="C707" s="559"/>
      <c r="D707" s="706"/>
      <c r="E707" s="720" t="s">
        <v>303</v>
      </c>
      <c r="F707" s="720"/>
      <c r="G707" s="720"/>
      <c r="H707" s="721" t="str">
        <f>EUconst_EUA</f>
        <v>UKA</v>
      </c>
      <c r="I707" s="722"/>
      <c r="J707" s="2138" t="str">
        <f t="shared" si="48"/>
        <v/>
      </c>
      <c r="K707" s="2072" t="str">
        <f t="shared" si="48"/>
        <v/>
      </c>
      <c r="L707" s="2073" t="str">
        <f t="shared" si="48"/>
        <v/>
      </c>
      <c r="M707" s="2073" t="str">
        <f t="shared" si="48"/>
        <v/>
      </c>
      <c r="N707" s="2073" t="str">
        <f t="shared" si="48"/>
        <v/>
      </c>
      <c r="O707" s="485"/>
      <c r="P707" s="1137"/>
      <c r="Q707" s="1137"/>
      <c r="R707" s="1137"/>
      <c r="S707" s="1137"/>
      <c r="T707" s="1137"/>
      <c r="U707" s="1137"/>
      <c r="V707" s="1137"/>
    </row>
    <row r="708" spans="1:22" s="562" customFormat="1" ht="12.75" hidden="1" customHeight="1">
      <c r="A708" s="719" t="s">
        <v>2289</v>
      </c>
      <c r="B708" s="485"/>
      <c r="C708" s="559"/>
      <c r="D708" s="706"/>
      <c r="E708" s="745" t="s">
        <v>1422</v>
      </c>
      <c r="F708" s="745"/>
      <c r="G708" s="745"/>
      <c r="H708" s="746" t="str">
        <f>EUconst_EUA</f>
        <v>UKA</v>
      </c>
      <c r="I708" s="747"/>
      <c r="J708" s="2148" t="str">
        <f t="shared" si="48"/>
        <v/>
      </c>
      <c r="K708" s="2072" t="str">
        <f t="shared" si="48"/>
        <v/>
      </c>
      <c r="L708" s="2073" t="str">
        <f t="shared" si="48"/>
        <v/>
      </c>
      <c r="M708" s="2073" t="str">
        <f t="shared" si="48"/>
        <v/>
      </c>
      <c r="N708" s="2073" t="str">
        <f t="shared" si="48"/>
        <v/>
      </c>
      <c r="O708" s="485"/>
      <c r="P708" s="1137"/>
      <c r="Q708" s="1137"/>
      <c r="R708" s="1137"/>
      <c r="S708" s="1137"/>
      <c r="T708" s="1137"/>
      <c r="U708" s="1137"/>
      <c r="V708" s="1137"/>
    </row>
    <row r="709" spans="1:22" s="562" customFormat="1" ht="12.75" customHeight="1">
      <c r="A709" s="719"/>
      <c r="B709" s="485"/>
      <c r="C709" s="559"/>
      <c r="D709" s="706"/>
      <c r="E709" s="720" t="s">
        <v>1691</v>
      </c>
      <c r="F709" s="720"/>
      <c r="G709" s="720"/>
      <c r="H709" s="721" t="str">
        <f>EUconst_EUA</f>
        <v>UKA</v>
      </c>
      <c r="I709" s="722"/>
      <c r="J709" s="2151" t="str">
        <f>IF(L644=42,INDEX(H_SpecialBM!J:J,MATCH($P709,H_SpecialBM!$Q:$Q,0)),"")</f>
        <v/>
      </c>
      <c r="K709" s="2072" t="str">
        <f>IF(L644=42,INDEX(H_SpecialBM!K:K,MATCH($P709,H_SpecialBM!$Q:$Q,0)),"")</f>
        <v/>
      </c>
      <c r="L709" s="2073" t="str">
        <f>IF(L644=42,INDEX(H_SpecialBM!L:L,MATCH($P709,H_SpecialBM!$Q:$Q,0)),"")</f>
        <v/>
      </c>
      <c r="M709" s="2073" t="str">
        <f>IF(L644=42,INDEX(H_SpecialBM!M:M,MATCH($P709,H_SpecialBM!$Q:$Q,0)),"")</f>
        <v/>
      </c>
      <c r="N709" s="2073" t="str">
        <f>IF(L644=42,INDEX(H_SpecialBM!N:N,MATCH($P709,H_SpecialBM!$Q:$Q,0)),"")</f>
        <v/>
      </c>
      <c r="O709" s="485"/>
      <c r="P709" s="1158" t="str">
        <f>EUconst_CNTR_HVCInitial &amp; INDEX(EUconst_BMlistNames,42)</f>
        <v>HVCIni_Steam cracking</v>
      </c>
      <c r="Q709" s="1137"/>
      <c r="R709" s="1137"/>
      <c r="S709" s="1137"/>
      <c r="T709" s="1137"/>
      <c r="U709" s="1137"/>
      <c r="V709" s="1137"/>
    </row>
    <row r="710" spans="1:22" s="562" customFormat="1" ht="12.75" customHeight="1">
      <c r="A710" s="719"/>
      <c r="B710" s="485"/>
      <c r="C710" s="559"/>
      <c r="D710" s="706"/>
      <c r="E710" s="723" t="s">
        <v>2232</v>
      </c>
      <c r="F710" s="723"/>
      <c r="G710" s="723"/>
      <c r="H710" s="751" t="s">
        <v>1021</v>
      </c>
      <c r="I710" s="735"/>
      <c r="J710" s="23" t="str">
        <f>IF(L644=42,INDEX(H_SpecialBM!J:J,MATCH($P710,H_SpecialBM!$Q:$Q,0)),"")</f>
        <v/>
      </c>
      <c r="K710" s="46" t="str">
        <f>IF(L644=42,INDEX(H_SpecialBM!K:K,MATCH($P710,H_SpecialBM!$Q:$Q,0)),"")</f>
        <v/>
      </c>
      <c r="L710" s="27" t="str">
        <f>IF(L644=42,INDEX(H_SpecialBM!L:L,MATCH($P710,H_SpecialBM!$Q:$Q,0)),"")</f>
        <v/>
      </c>
      <c r="M710" s="27" t="str">
        <f>IF(L644=42,INDEX(H_SpecialBM!M:M,MATCH($P710,H_SpecialBM!$Q:$Q,0)),"")</f>
        <v/>
      </c>
      <c r="N710" s="27" t="str">
        <f>IF(L644=42,INDEX(H_SpecialBM!N:N,MATCH($P710,H_SpecialBM!$Q:$Q,0)),"")</f>
        <v/>
      </c>
      <c r="O710" s="485"/>
      <c r="P710" s="1158" t="str">
        <f>EUconst_CNTR_RelThreshold &amp; P712</f>
        <v>RelThresh_HVCprelim_</v>
      </c>
      <c r="Q710" s="1137"/>
      <c r="R710" s="1137"/>
      <c r="S710" s="1137"/>
      <c r="T710" s="1137"/>
      <c r="U710" s="1137"/>
      <c r="V710" s="1137"/>
    </row>
    <row r="711" spans="1:22" s="562" customFormat="1" ht="12.75" customHeight="1">
      <c r="A711" s="719"/>
      <c r="B711" s="485"/>
      <c r="C711" s="559"/>
      <c r="D711" s="706"/>
      <c r="E711" s="736" t="s">
        <v>1854</v>
      </c>
      <c r="F711" s="736"/>
      <c r="G711" s="736"/>
      <c r="H711" s="738" t="s">
        <v>1021</v>
      </c>
      <c r="I711" s="738"/>
      <c r="J711" s="2145" t="str">
        <f>IF(L644=42,INDEX(H_SpecialBM!V:V,MATCH($P711,H_SpecialBM!$Q:$Q,0)),"")</f>
        <v/>
      </c>
      <c r="K711" s="2134" t="str">
        <f>IF(L644=42,INDEX(H_SpecialBM!W:W,MATCH($P711,H_SpecialBM!$Q:$Q,0)),"")</f>
        <v/>
      </c>
      <c r="L711" s="2135" t="str">
        <f>IF(L644=42,INDEX(H_SpecialBM!X:X,MATCH($P711,H_SpecialBM!$Q:$Q,0)),"")</f>
        <v/>
      </c>
      <c r="M711" s="2135" t="str">
        <f>IF(L644=42,INDEX(H_SpecialBM!Y:Y,MATCH($P711,H_SpecialBM!$Q:$Q,0)),"")</f>
        <v/>
      </c>
      <c r="N711" s="2135" t="str">
        <f>IF(L644=42,INDEX(H_SpecialBM!Z:Z,MATCH($P711,H_SpecialBM!$Q:$Q,0)),"")</f>
        <v/>
      </c>
      <c r="O711" s="485"/>
      <c r="P711" s="1158" t="str">
        <f>P710</f>
        <v>RelThresh_HVCprelim_</v>
      </c>
      <c r="Q711" s="1137"/>
      <c r="R711" s="1137"/>
      <c r="S711" s="1137"/>
      <c r="T711" s="1137"/>
      <c r="U711" s="1137"/>
      <c r="V711" s="1137"/>
    </row>
    <row r="712" spans="1:22" s="562" customFormat="1" ht="12.75" customHeight="1">
      <c r="A712" s="719"/>
      <c r="B712" s="485"/>
      <c r="C712" s="559"/>
      <c r="D712" s="706"/>
      <c r="E712" s="727" t="s">
        <v>1689</v>
      </c>
      <c r="F712" s="727"/>
      <c r="G712" s="727"/>
      <c r="H712" s="728" t="str">
        <f>EUconst_EUA</f>
        <v>UKA</v>
      </c>
      <c r="I712" s="729"/>
      <c r="J712" s="2152" t="str">
        <f>IF($L644=42,INDEX(H_SpecialBM!J:J,MATCH($P712,H_SpecialBM!$Q:$Q,0)),"")</f>
        <v/>
      </c>
      <c r="K712" s="2072" t="str">
        <f>IF($L644=42,INDEX(H_SpecialBM!K:K,MATCH($P712,H_SpecialBM!$Q:$Q,0)),"")</f>
        <v/>
      </c>
      <c r="L712" s="2073" t="str">
        <f>IF($L644=42,INDEX(H_SpecialBM!L:L,MATCH($P712,H_SpecialBM!$Q:$Q,0)),"")</f>
        <v/>
      </c>
      <c r="M712" s="2073" t="str">
        <f>IF($L644=42,INDEX(H_SpecialBM!M:M,MATCH($P712,H_SpecialBM!$Q:$Q,0)),"")</f>
        <v/>
      </c>
      <c r="N712" s="2073" t="str">
        <f>IF($L644=42,INDEX(H_SpecialBM!N:N,MATCH($P712,H_SpecialBM!$Q:$Q,0)),"")</f>
        <v/>
      </c>
      <c r="O712" s="485"/>
      <c r="P712" s="1158" t="str">
        <f>EUconst_CNTR_HVCprelim</f>
        <v>HVCprelim_</v>
      </c>
      <c r="Q712" s="1137"/>
      <c r="R712" s="1137"/>
      <c r="S712" s="1137"/>
      <c r="T712" s="1137"/>
      <c r="U712" s="1137"/>
      <c r="V712" s="1137"/>
    </row>
    <row r="713" spans="1:22" s="562" customFormat="1" ht="12.75" hidden="1" customHeight="1">
      <c r="A713" s="719" t="s">
        <v>2289</v>
      </c>
      <c r="B713" s="485"/>
      <c r="C713" s="559"/>
      <c r="D713" s="706"/>
      <c r="E713" s="645" t="s">
        <v>1389</v>
      </c>
      <c r="F713" s="645"/>
      <c r="G713" s="645"/>
      <c r="H713" s="752" t="s">
        <v>1021</v>
      </c>
      <c r="I713" s="753"/>
      <c r="J713" s="2153" t="str">
        <f t="shared" ref="J713:N714" si="49">I754</f>
        <v/>
      </c>
      <c r="K713" s="2141" t="str">
        <f t="shared" si="49"/>
        <v/>
      </c>
      <c r="L713" s="2142" t="str">
        <f t="shared" si="49"/>
        <v/>
      </c>
      <c r="M713" s="2142" t="str">
        <f t="shared" si="49"/>
        <v/>
      </c>
      <c r="N713" s="2142" t="str">
        <f t="shared" si="49"/>
        <v/>
      </c>
      <c r="O713" s="485"/>
      <c r="P713" s="1137"/>
      <c r="Q713" s="1137"/>
      <c r="R713" s="1137"/>
      <c r="S713" s="1137"/>
      <c r="T713" s="1137"/>
      <c r="U713" s="1137"/>
      <c r="V713" s="1137"/>
    </row>
    <row r="714" spans="1:22" s="562" customFormat="1" ht="12.75" hidden="1" customHeight="1">
      <c r="A714" s="719" t="s">
        <v>2289</v>
      </c>
      <c r="B714" s="485"/>
      <c r="C714" s="559"/>
      <c r="D714" s="706"/>
      <c r="E714" s="727" t="s">
        <v>1391</v>
      </c>
      <c r="F714" s="727"/>
      <c r="G714" s="727"/>
      <c r="H714" s="728" t="s">
        <v>1021</v>
      </c>
      <c r="I714" s="729"/>
      <c r="J714" s="2143" t="str">
        <f t="shared" si="49"/>
        <v/>
      </c>
      <c r="K714" s="2141" t="str">
        <f t="shared" si="49"/>
        <v/>
      </c>
      <c r="L714" s="2142" t="str">
        <f t="shared" si="49"/>
        <v/>
      </c>
      <c r="M714" s="2142" t="str">
        <f t="shared" si="49"/>
        <v/>
      </c>
      <c r="N714" s="2142" t="str">
        <f t="shared" si="49"/>
        <v/>
      </c>
      <c r="O714" s="485"/>
      <c r="P714" s="1137"/>
      <c r="Q714" s="1137"/>
      <c r="R714" s="1137"/>
      <c r="S714" s="1137"/>
      <c r="T714" s="1137"/>
      <c r="U714" s="1137"/>
      <c r="V714" s="1137"/>
    </row>
    <row r="715" spans="1:22" s="562" customFormat="1" ht="12.75" customHeight="1">
      <c r="A715" s="719"/>
      <c r="B715" s="485"/>
      <c r="C715" s="559"/>
      <c r="D715" s="706"/>
      <c r="E715" s="698" t="s">
        <v>1671</v>
      </c>
      <c r="F715" s="698"/>
      <c r="G715" s="698"/>
      <c r="H715" s="730" t="str">
        <f>EUconst_EUA</f>
        <v>UKA</v>
      </c>
      <c r="I715" s="731"/>
      <c r="J715" s="2129" t="str">
        <f>IF(J712="","",MAX(0,ROUND((SUM($M644)*SUM(J706)*SUM(J713)*SUM(J714)-SUM(J707)-SUM(J708)+SUM(J712))*IF($H644=TRUE,1,J$2517),0)))</f>
        <v/>
      </c>
      <c r="K715" s="2072" t="str">
        <f>IF(K712="","",MAX(0,ROUND((SUM($M644)*SUM(K706)*SUM(K713)*SUM(K714)-SUM(K707)-SUM(K708)+SUM(K712))*IF($H644=TRUE,1,K$2517),0)))</f>
        <v/>
      </c>
      <c r="L715" s="2073" t="str">
        <f>IF(L712="","",MAX(0,ROUND((SUM($M644)*SUM(L706)*SUM(L713)*SUM(L714)-SUM(L707)-SUM(L708)+SUM(L712))*IF($H644=TRUE,1,L$2517),0)))</f>
        <v/>
      </c>
      <c r="M715" s="2073" t="str">
        <f>IF(M712="","",MAX(0,ROUND((SUM($M644)*SUM(M706)*SUM(M713)*SUM(M714)-SUM(M707)-SUM(M708)+SUM(M712))*IF($H644=TRUE,1,M$2517),0)))</f>
        <v/>
      </c>
      <c r="N715" s="2073" t="str">
        <f>IF(N712="","",MAX(0,ROUND((SUM($M644)*SUM(N706)*SUM(N713)*SUM(N714)-SUM(N707)-SUM(N708)+SUM(N712))*IF($H644=TRUE,1,N$2517),0)))</f>
        <v/>
      </c>
      <c r="O715" s="485"/>
      <c r="P715" s="1137"/>
      <c r="Q715" s="1137"/>
      <c r="R715" s="1137"/>
      <c r="S715" s="1137"/>
      <c r="T715" s="1137"/>
      <c r="U715" s="1137"/>
      <c r="V715" s="1137"/>
    </row>
    <row r="716" spans="1:22" s="562" customFormat="1" ht="12.75" customHeight="1">
      <c r="A716" s="719"/>
      <c r="B716" s="485"/>
      <c r="C716" s="559"/>
      <c r="D716" s="706"/>
      <c r="E716" s="698" t="s">
        <v>1670</v>
      </c>
      <c r="F716" s="698"/>
      <c r="G716" s="698"/>
      <c r="H716" s="730" t="str">
        <f>EUconst_EUA</f>
        <v>UKA</v>
      </c>
      <c r="I716" s="731"/>
      <c r="J716" s="2129" t="str">
        <f>IF(J715="","",ABS(SUM(J715)-SUM(J661)))</f>
        <v/>
      </c>
      <c r="K716" s="2072" t="str">
        <f>IF(K715="","",ABS(SUM(K715)-SUM(K661)))</f>
        <v/>
      </c>
      <c r="L716" s="2073" t="str">
        <f>IF(L715="","",ABS(SUM(L715)-SUM(L661)))</f>
        <v/>
      </c>
      <c r="M716" s="2073" t="str">
        <f>IF(M715="","",ABS(SUM(M715)-SUM(M661)))</f>
        <v/>
      </c>
      <c r="N716" s="2073" t="str">
        <f>IF(N715="","",ABS(SUM(N715)-SUM(N661)))</f>
        <v/>
      </c>
      <c r="O716" s="485"/>
      <c r="P716" s="1137"/>
      <c r="Q716" s="1137"/>
      <c r="R716" s="1137"/>
      <c r="S716" s="1137"/>
      <c r="T716" s="1137"/>
      <c r="U716" s="1137"/>
      <c r="V716" s="1137"/>
    </row>
    <row r="717" spans="1:22" s="562" customFormat="1" ht="12.75" customHeight="1">
      <c r="A717" s="719"/>
      <c r="B717" s="485"/>
      <c r="C717" s="559"/>
      <c r="D717" s="706"/>
      <c r="E717" s="740" t="s">
        <v>2133</v>
      </c>
      <c r="F717" s="698"/>
      <c r="G717" s="698"/>
      <c r="H717" s="741" t="s">
        <v>1021</v>
      </c>
      <c r="I717" s="742"/>
      <c r="J717" s="2147" t="str">
        <f>IF(J716="","",J716&gt;=100)</f>
        <v/>
      </c>
      <c r="K717" s="2134" t="str">
        <f>IF(K716="","",K716&gt;=100)</f>
        <v/>
      </c>
      <c r="L717" s="2135" t="str">
        <f>IF(L716="","",L716&gt;=100)</f>
        <v/>
      </c>
      <c r="M717" s="2135" t="str">
        <f>IF(M716="","",M716&gt;=100)</f>
        <v/>
      </c>
      <c r="N717" s="2135" t="str">
        <f>IF(N716="","",N716&gt;=100)</f>
        <v/>
      </c>
      <c r="O717" s="485"/>
      <c r="P717" s="1158" t="str">
        <f>EUconst_CNTR_100EUA_HVC&amp;I641</f>
        <v>EUA100HVC_</v>
      </c>
      <c r="Q717" s="1137"/>
      <c r="R717" s="1137"/>
      <c r="S717" s="1137"/>
      <c r="T717" s="1137"/>
      <c r="U717" s="1137"/>
      <c r="V717" s="1137"/>
    </row>
    <row r="718" spans="1:22" s="562" customFormat="1" ht="5.0999999999999996" customHeight="1">
      <c r="A718" s="719"/>
      <c r="B718" s="485"/>
      <c r="C718" s="559"/>
      <c r="D718" s="706"/>
      <c r="E718" s="485"/>
      <c r="F718" s="485"/>
      <c r="G718" s="485"/>
      <c r="H718" s="485"/>
      <c r="I718" s="743"/>
      <c r="J718" s="485"/>
      <c r="K718" s="1790"/>
      <c r="L718" s="1791"/>
      <c r="M718" s="1791"/>
      <c r="N718" s="1791"/>
      <c r="O718" s="485"/>
      <c r="P718" s="1137"/>
      <c r="Q718" s="1137"/>
      <c r="R718" s="1137"/>
      <c r="S718" s="1137"/>
      <c r="T718" s="1137"/>
      <c r="U718" s="1137"/>
      <c r="V718" s="1137"/>
    </row>
    <row r="719" spans="1:22" s="562" customFormat="1" ht="12.75" customHeight="1">
      <c r="A719" s="719"/>
      <c r="B719" s="485"/>
      <c r="C719" s="559"/>
      <c r="D719" s="706"/>
      <c r="E719" s="707" t="s">
        <v>1756</v>
      </c>
      <c r="F719" s="637"/>
      <c r="G719" s="637"/>
      <c r="H719" s="663" t="str">
        <f>EUconst_Unit</f>
        <v>Unit</v>
      </c>
      <c r="I719" s="708"/>
      <c r="J719" s="2132">
        <f>J$2737</f>
        <v>2026</v>
      </c>
      <c r="K719" s="1489">
        <f>K$2737</f>
        <v>2027</v>
      </c>
      <c r="L719" s="1490">
        <f>L$2737</f>
        <v>2028</v>
      </c>
      <c r="M719" s="1490">
        <f>M$2737</f>
        <v>2029</v>
      </c>
      <c r="N719" s="1490">
        <f>N$2737</f>
        <v>2030</v>
      </c>
      <c r="O719" s="485"/>
      <c r="P719" s="1137"/>
      <c r="Q719" s="1137"/>
      <c r="R719" s="1137"/>
      <c r="S719" s="1137"/>
      <c r="T719" s="1137"/>
      <c r="U719" s="1137"/>
      <c r="V719" s="1137"/>
    </row>
    <row r="720" spans="1:22" s="562" customFormat="1" ht="12.75" hidden="1" customHeight="1">
      <c r="A720" s="719" t="s">
        <v>2289</v>
      </c>
      <c r="B720" s="485"/>
      <c r="C720" s="559"/>
      <c r="D720" s="706"/>
      <c r="E720" s="698" t="s">
        <v>1714</v>
      </c>
      <c r="F720" s="698"/>
      <c r="G720" s="698"/>
      <c r="H720" s="639" t="str">
        <f>H706</f>
        <v>tonnes</v>
      </c>
      <c r="I720" s="698"/>
      <c r="J720" s="2137" t="str">
        <f t="shared" ref="J720:N724" si="50">I750</f>
        <v/>
      </c>
      <c r="K720" s="2072" t="str">
        <f t="shared" si="50"/>
        <v/>
      </c>
      <c r="L720" s="2073" t="str">
        <f t="shared" si="50"/>
        <v/>
      </c>
      <c r="M720" s="2073" t="str">
        <f t="shared" si="50"/>
        <v/>
      </c>
      <c r="N720" s="2073" t="str">
        <f t="shared" si="50"/>
        <v/>
      </c>
      <c r="O720" s="485"/>
      <c r="P720" s="1137"/>
      <c r="Q720" s="1137"/>
      <c r="R720" s="1137"/>
      <c r="S720" s="1137"/>
      <c r="T720" s="1137"/>
      <c r="U720" s="1137"/>
      <c r="V720" s="1137"/>
    </row>
    <row r="721" spans="1:22" s="562" customFormat="1" ht="12.75" hidden="1" customHeight="1">
      <c r="A721" s="719" t="s">
        <v>2289</v>
      </c>
      <c r="B721" s="485"/>
      <c r="C721" s="559"/>
      <c r="D721" s="706"/>
      <c r="E721" s="720" t="s">
        <v>303</v>
      </c>
      <c r="F721" s="720"/>
      <c r="G721" s="720"/>
      <c r="H721" s="721" t="str">
        <f>EUconst_EUA</f>
        <v>UKA</v>
      </c>
      <c r="I721" s="722"/>
      <c r="J721" s="2138" t="str">
        <f t="shared" si="50"/>
        <v/>
      </c>
      <c r="K721" s="2072" t="str">
        <f t="shared" si="50"/>
        <v/>
      </c>
      <c r="L721" s="2073" t="str">
        <f t="shared" si="50"/>
        <v/>
      </c>
      <c r="M721" s="2073" t="str">
        <f t="shared" si="50"/>
        <v/>
      </c>
      <c r="N721" s="2073" t="str">
        <f t="shared" si="50"/>
        <v/>
      </c>
      <c r="O721" s="485"/>
      <c r="P721" s="1137"/>
      <c r="Q721" s="1137"/>
      <c r="R721" s="1137"/>
      <c r="S721" s="1137"/>
      <c r="T721" s="1137"/>
      <c r="U721" s="1137"/>
      <c r="V721" s="1137"/>
    </row>
    <row r="722" spans="1:22" s="562" customFormat="1" ht="12.75" hidden="1" customHeight="1">
      <c r="A722" s="719" t="s">
        <v>2289</v>
      </c>
      <c r="B722" s="485"/>
      <c r="C722" s="559"/>
      <c r="D722" s="706"/>
      <c r="E722" s="723" t="s">
        <v>1422</v>
      </c>
      <c r="F722" s="723"/>
      <c r="G722" s="723"/>
      <c r="H722" s="724" t="str">
        <f>EUconst_EUA</f>
        <v>UKA</v>
      </c>
      <c r="I722" s="725"/>
      <c r="J722" s="2139" t="str">
        <f t="shared" si="50"/>
        <v/>
      </c>
      <c r="K722" s="2072" t="str">
        <f t="shared" si="50"/>
        <v/>
      </c>
      <c r="L722" s="2073" t="str">
        <f t="shared" si="50"/>
        <v/>
      </c>
      <c r="M722" s="2073" t="str">
        <f t="shared" si="50"/>
        <v/>
      </c>
      <c r="N722" s="2073" t="str">
        <f t="shared" si="50"/>
        <v/>
      </c>
      <c r="O722" s="485"/>
      <c r="P722" s="1137"/>
      <c r="Q722" s="1137"/>
      <c r="R722" s="1137"/>
      <c r="S722" s="1137"/>
      <c r="T722" s="1137"/>
      <c r="U722" s="1137"/>
      <c r="V722" s="1137"/>
    </row>
    <row r="723" spans="1:22" s="562" customFormat="1" ht="12.75" hidden="1" customHeight="1">
      <c r="A723" s="719" t="s">
        <v>2289</v>
      </c>
      <c r="B723" s="485"/>
      <c r="C723" s="559"/>
      <c r="D723" s="706"/>
      <c r="E723" s="723" t="s">
        <v>1390</v>
      </c>
      <c r="F723" s="723"/>
      <c r="G723" s="723"/>
      <c r="H723" s="724" t="str">
        <f>EUconst_EUA</f>
        <v>UKA</v>
      </c>
      <c r="I723" s="725"/>
      <c r="J723" s="2139" t="str">
        <f t="shared" si="50"/>
        <v/>
      </c>
      <c r="K723" s="2072" t="str">
        <f t="shared" si="50"/>
        <v/>
      </c>
      <c r="L723" s="2073" t="str">
        <f t="shared" si="50"/>
        <v/>
      </c>
      <c r="M723" s="2073" t="str">
        <f t="shared" si="50"/>
        <v/>
      </c>
      <c r="N723" s="2073" t="str">
        <f t="shared" si="50"/>
        <v/>
      </c>
      <c r="O723" s="485"/>
      <c r="P723" s="1137"/>
      <c r="Q723" s="1137"/>
      <c r="R723" s="1137"/>
      <c r="S723" s="1137"/>
      <c r="T723" s="1137"/>
      <c r="U723" s="1137"/>
      <c r="V723" s="1137"/>
    </row>
    <row r="724" spans="1:22" s="562" customFormat="1" ht="12.75" hidden="1" customHeight="1">
      <c r="A724" s="719" t="s">
        <v>2289</v>
      </c>
      <c r="B724" s="485"/>
      <c r="C724" s="559"/>
      <c r="D724" s="706"/>
      <c r="E724" s="745" t="s">
        <v>1389</v>
      </c>
      <c r="F724" s="745"/>
      <c r="G724" s="745"/>
      <c r="H724" s="754" t="s">
        <v>1021</v>
      </c>
      <c r="I724" s="747"/>
      <c r="J724" s="2154" t="str">
        <f t="shared" si="50"/>
        <v/>
      </c>
      <c r="K724" s="2141" t="str">
        <f t="shared" si="50"/>
        <v/>
      </c>
      <c r="L724" s="2142" t="str">
        <f t="shared" si="50"/>
        <v/>
      </c>
      <c r="M724" s="2142" t="str">
        <f t="shared" si="50"/>
        <v/>
      </c>
      <c r="N724" s="2142" t="str">
        <f t="shared" si="50"/>
        <v/>
      </c>
      <c r="O724" s="485"/>
      <c r="P724" s="1137"/>
      <c r="Q724" s="1137"/>
      <c r="R724" s="1137"/>
      <c r="S724" s="1137"/>
      <c r="T724" s="1137"/>
      <c r="U724" s="1137"/>
      <c r="V724" s="1137"/>
    </row>
    <row r="725" spans="1:22" s="562" customFormat="1" ht="12.75" customHeight="1">
      <c r="A725" s="719"/>
      <c r="B725" s="485"/>
      <c r="C725" s="559"/>
      <c r="D725" s="706"/>
      <c r="E725" s="720" t="s">
        <v>1691</v>
      </c>
      <c r="F725" s="720"/>
      <c r="G725" s="720"/>
      <c r="H725" s="748" t="s">
        <v>1021</v>
      </c>
      <c r="I725" s="722"/>
      <c r="J725" s="2149" t="str">
        <f>IF(L644=47,INDEX(H_SpecialBM!J:J,MATCH($P725,H_SpecialBM!$Q:$Q,0)),"")</f>
        <v/>
      </c>
      <c r="K725" s="2141" t="str">
        <f>IF(L644=47,INDEX(H_SpecialBM!K:K,MATCH($P725,H_SpecialBM!$Q:$Q,0)),"")</f>
        <v/>
      </c>
      <c r="L725" s="2142" t="str">
        <f>IF(L644=47,INDEX(H_SpecialBM!L:L,MATCH($P725,H_SpecialBM!$Q:$Q,0)),"")</f>
        <v/>
      </c>
      <c r="M725" s="2142" t="str">
        <f>IF(L644=47,INDEX(H_SpecialBM!M:M,MATCH($P725,H_SpecialBM!$Q:$Q,0)),"")</f>
        <v/>
      </c>
      <c r="N725" s="2142" t="str">
        <f>IF(L644=47,INDEX(H_SpecialBM!N:N,MATCH($P725,H_SpecialBM!$Q:$Q,0)),"")</f>
        <v/>
      </c>
      <c r="O725" s="485"/>
      <c r="P725" s="1158" t="str">
        <f>EUconst_CNTR_VCMInitial &amp; INDEX(EUconst_BMlistNames,47)</f>
        <v>VCMIni_Vinyl chloride monomer</v>
      </c>
      <c r="Q725" s="1137"/>
      <c r="R725" s="1137"/>
      <c r="S725" s="1137"/>
      <c r="T725" s="1137"/>
      <c r="U725" s="1137"/>
      <c r="V725" s="1137"/>
    </row>
    <row r="726" spans="1:22" s="562" customFormat="1" ht="12.75" customHeight="1">
      <c r="A726" s="719"/>
      <c r="B726" s="485"/>
      <c r="C726" s="559"/>
      <c r="D726" s="706"/>
      <c r="E726" s="723" t="s">
        <v>2232</v>
      </c>
      <c r="F726" s="723"/>
      <c r="G726" s="723"/>
      <c r="H726" s="751" t="s">
        <v>1021</v>
      </c>
      <c r="I726" s="735"/>
      <c r="J726" s="23" t="str">
        <f>IF(L644=47,INDEX(H_SpecialBM!J:J,MATCH($P726,H_SpecialBM!$Q:$Q,0)),"")</f>
        <v/>
      </c>
      <c r="K726" s="46" t="str">
        <f>IF(L644=47,INDEX(H_SpecialBM!K:K,MATCH($P726,H_SpecialBM!$Q:$Q,0)),"")</f>
        <v/>
      </c>
      <c r="L726" s="27" t="str">
        <f>IF(L644=47,INDEX(H_SpecialBM!L:L,MATCH($P726,H_SpecialBM!$Q:$Q,0)),"")</f>
        <v/>
      </c>
      <c r="M726" s="27" t="str">
        <f>IF(L644=47,INDEX(H_SpecialBM!M:M,MATCH($P726,H_SpecialBM!$Q:$Q,0)),"")</f>
        <v/>
      </c>
      <c r="N726" s="27" t="str">
        <f>IF(L644=47,INDEX(H_SpecialBM!N:N,MATCH($P726,H_SpecialBM!$Q:$Q,0)),"")</f>
        <v/>
      </c>
      <c r="O726" s="485"/>
      <c r="P726" s="1158" t="str">
        <f>EUconst_CNTR_RelThreshold &amp; P728</f>
        <v>RelThresh_VCMprelim_</v>
      </c>
      <c r="Q726" s="1137"/>
      <c r="R726" s="1137"/>
      <c r="S726" s="1137"/>
      <c r="T726" s="1137"/>
      <c r="U726" s="1137"/>
      <c r="V726" s="1137"/>
    </row>
    <row r="727" spans="1:22" s="562" customFormat="1" ht="12.75" customHeight="1">
      <c r="A727" s="719"/>
      <c r="B727" s="485"/>
      <c r="C727" s="559"/>
      <c r="D727" s="706"/>
      <c r="E727" s="736" t="s">
        <v>1855</v>
      </c>
      <c r="F727" s="736"/>
      <c r="G727" s="736"/>
      <c r="H727" s="738" t="s">
        <v>1021</v>
      </c>
      <c r="I727" s="738"/>
      <c r="J727" s="2145" t="str">
        <f>IF(L644=47,INDEX(H_SpecialBM!V:V,MATCH($P727,H_SpecialBM!$Q:$Q,0)),"")</f>
        <v/>
      </c>
      <c r="K727" s="2134" t="str">
        <f>IF(L644=47,INDEX(H_SpecialBM!W:W,MATCH($P727,H_SpecialBM!$Q:$Q,0)),"")</f>
        <v/>
      </c>
      <c r="L727" s="2135" t="str">
        <f>IF(L644=47,INDEX(H_SpecialBM!X:X,MATCH($P727,H_SpecialBM!$Q:$Q,0)),"")</f>
        <v/>
      </c>
      <c r="M727" s="2135" t="str">
        <f>IF(L644=47,INDEX(H_SpecialBM!Y:Y,MATCH($P727,H_SpecialBM!$Q:$Q,0)),"")</f>
        <v/>
      </c>
      <c r="N727" s="2135" t="str">
        <f>IF(L644=47,INDEX(H_SpecialBM!Z:Z,MATCH($P727,H_SpecialBM!$Q:$Q,0)),"")</f>
        <v/>
      </c>
      <c r="O727" s="485"/>
      <c r="P727" s="1158" t="str">
        <f>P726</f>
        <v>RelThresh_VCMprelim_</v>
      </c>
      <c r="Q727" s="1137"/>
      <c r="R727" s="1137"/>
      <c r="S727" s="1137"/>
      <c r="T727" s="1137"/>
      <c r="U727" s="1137"/>
      <c r="V727" s="1137"/>
    </row>
    <row r="728" spans="1:22" s="562" customFormat="1" ht="12.75" customHeight="1">
      <c r="A728" s="719"/>
      <c r="B728" s="485"/>
      <c r="C728" s="559"/>
      <c r="D728" s="706"/>
      <c r="E728" s="727" t="s">
        <v>1689</v>
      </c>
      <c r="F728" s="727"/>
      <c r="G728" s="727"/>
      <c r="H728" s="728" t="s">
        <v>1021</v>
      </c>
      <c r="I728" s="729"/>
      <c r="J728" s="2150" t="str">
        <f>IF($L644=47,IF(ISNUMBER(INDEX(H_SpecialBM!J:J,MATCH($P728,H_SpecialBM!$Q:$Q,0))),INDEX(H_SpecialBM!J:J,MATCH($P728,H_SpecialBM!$Q:$Q,0)),1),"")</f>
        <v/>
      </c>
      <c r="K728" s="2141" t="str">
        <f>IF($L644=47,IF(ISNUMBER(INDEX(H_SpecialBM!K:K,MATCH($P728,H_SpecialBM!$Q:$Q,0))),INDEX(H_SpecialBM!K:K,MATCH($P728,H_SpecialBM!$Q:$Q,0)),1),"")</f>
        <v/>
      </c>
      <c r="L728" s="2142" t="str">
        <f>IF($L644=47,IF(ISNUMBER(INDEX(H_SpecialBM!L:L,MATCH($P728,H_SpecialBM!$Q:$Q,0))),INDEX(H_SpecialBM!L:L,MATCH($P728,H_SpecialBM!$Q:$Q,0)),1),"")</f>
        <v/>
      </c>
      <c r="M728" s="2142" t="str">
        <f>IF($L644=47,IF(ISNUMBER(INDEX(H_SpecialBM!M:M,MATCH($P728,H_SpecialBM!$Q:$Q,0))),INDEX(H_SpecialBM!M:M,MATCH($P728,H_SpecialBM!$Q:$Q,0)),1),"")</f>
        <v/>
      </c>
      <c r="N728" s="2142" t="str">
        <f>IF($L644=47,IF(ISNUMBER(INDEX(H_SpecialBM!N:N,MATCH($P728,H_SpecialBM!$Q:$Q,0))),INDEX(H_SpecialBM!N:N,MATCH($P728,H_SpecialBM!$Q:$Q,0)),1),"")</f>
        <v/>
      </c>
      <c r="O728" s="485"/>
      <c r="P728" s="1158" t="str">
        <f>EUconst_CNTR_VCMprelim</f>
        <v>VCMprelim_</v>
      </c>
      <c r="Q728" s="1137"/>
      <c r="R728" s="1137"/>
      <c r="S728" s="1137"/>
      <c r="T728" s="1137"/>
      <c r="U728" s="1137"/>
      <c r="V728" s="1137"/>
    </row>
    <row r="729" spans="1:22" s="562" customFormat="1" ht="12.75" customHeight="1">
      <c r="A729" s="719"/>
      <c r="B729" s="485"/>
      <c r="C729" s="559"/>
      <c r="D729" s="706"/>
      <c r="E729" s="698" t="s">
        <v>1671</v>
      </c>
      <c r="F729" s="698"/>
      <c r="G729" s="698"/>
      <c r="H729" s="730" t="str">
        <f>EUconst_EUA</f>
        <v>UKA</v>
      </c>
      <c r="I729" s="731"/>
      <c r="J729" s="2129" t="str">
        <f>IF(J728="","",MAX(0,ROUND((SUM($M644)*SUM(J720)*SUM(J724)*SUM(J728)-SUM(J721)-SUM(J722)+SUM(J723))*IF($H644=TRUE,1,J$2517),0)))</f>
        <v/>
      </c>
      <c r="K729" s="2072" t="str">
        <f>IF(K728="","",MAX(0,ROUND((SUM($M644)*SUM(K720)*SUM(K724)*SUM(K728)-SUM(K721)-SUM(K722)+SUM(K723))*IF($H644=TRUE,1,K$2517),0)))</f>
        <v/>
      </c>
      <c r="L729" s="2073" t="str">
        <f>IF(L728="","",MAX(0,ROUND((SUM($M644)*SUM(L720)*SUM(L724)*SUM(L728)-SUM(L721)-SUM(L722)+SUM(L723))*IF($H644=TRUE,1,L$2517),0)))</f>
        <v/>
      </c>
      <c r="M729" s="2073" t="str">
        <f>IF(M728="","",MAX(0,ROUND((SUM($M644)*SUM(M720)*SUM(M724)*SUM(M728)-SUM(M721)-SUM(M722)+SUM(M723))*IF($H644=TRUE,1,M$2517),0)))</f>
        <v/>
      </c>
      <c r="N729" s="2073" t="str">
        <f>IF(N728="","",MAX(0,ROUND((SUM($M644)*SUM(N720)*SUM(N724)*SUM(N728)-SUM(N721)-SUM(N722)+SUM(N723))*IF($H644=TRUE,1,N$2517),0)))</f>
        <v/>
      </c>
      <c r="O729" s="485"/>
      <c r="P729" s="1137"/>
      <c r="Q729" s="1137"/>
      <c r="R729" s="1137"/>
      <c r="S729" s="1137"/>
      <c r="T729" s="1137"/>
      <c r="U729" s="1137"/>
      <c r="V729" s="1137"/>
    </row>
    <row r="730" spans="1:22" s="562" customFormat="1" ht="12.75" customHeight="1">
      <c r="A730" s="719"/>
      <c r="B730" s="485"/>
      <c r="C730" s="559"/>
      <c r="D730" s="706"/>
      <c r="E730" s="698" t="s">
        <v>1670</v>
      </c>
      <c r="F730" s="698"/>
      <c r="G730" s="698"/>
      <c r="H730" s="730" t="str">
        <f>EUconst_EUA</f>
        <v>UKA</v>
      </c>
      <c r="I730" s="731"/>
      <c r="J730" s="2129" t="str">
        <f>IF(J729="","",ABS(SUM(J729)-SUM(J661)))</f>
        <v/>
      </c>
      <c r="K730" s="2072" t="str">
        <f>IF(K729="","",ABS(SUM(K729)-SUM(K661)))</f>
        <v/>
      </c>
      <c r="L730" s="2073" t="str">
        <f>IF(L729="","",ABS(SUM(L729)-SUM(L661)))</f>
        <v/>
      </c>
      <c r="M730" s="2073" t="str">
        <f>IF(M729="","",ABS(SUM(M729)-SUM(M661)))</f>
        <v/>
      </c>
      <c r="N730" s="2073" t="str">
        <f>IF(N729="","",ABS(SUM(N729)-SUM(N661)))</f>
        <v/>
      </c>
      <c r="O730" s="485"/>
      <c r="P730" s="1137"/>
      <c r="Q730" s="1137"/>
      <c r="R730" s="1137"/>
      <c r="S730" s="1137"/>
      <c r="T730" s="1137"/>
      <c r="U730" s="1137"/>
      <c r="V730" s="1137"/>
    </row>
    <row r="731" spans="1:22" s="562" customFormat="1" ht="12.75" customHeight="1">
      <c r="A731" s="719"/>
      <c r="B731" s="485"/>
      <c r="C731" s="559"/>
      <c r="D731" s="706"/>
      <c r="E731" s="740" t="s">
        <v>2134</v>
      </c>
      <c r="F731" s="698"/>
      <c r="G731" s="698"/>
      <c r="H731" s="741" t="s">
        <v>1021</v>
      </c>
      <c r="I731" s="742"/>
      <c r="J731" s="2147" t="str">
        <f>IF(J730="","",J730&gt;=100)</f>
        <v/>
      </c>
      <c r="K731" s="2134" t="str">
        <f>IF(K730="","",K730&gt;=100)</f>
        <v/>
      </c>
      <c r="L731" s="2135" t="str">
        <f>IF(L730="","",L730&gt;=100)</f>
        <v/>
      </c>
      <c r="M731" s="2135" t="str">
        <f>IF(M730="","",M730&gt;=100)</f>
        <v/>
      </c>
      <c r="N731" s="2135" t="str">
        <f>IF(N730="","",N730&gt;=100)</f>
        <v/>
      </c>
      <c r="O731" s="485"/>
      <c r="P731" s="1158" t="str">
        <f>EUconst_CNTR_100EUA_VCM&amp;I668</f>
        <v>EUA100VCM_</v>
      </c>
      <c r="Q731" s="1137"/>
      <c r="R731" s="1137"/>
      <c r="S731" s="1137"/>
      <c r="T731" s="1137"/>
      <c r="U731" s="1137"/>
      <c r="V731" s="1137"/>
    </row>
    <row r="732" spans="1:22" s="562" customFormat="1" ht="5.0999999999999996" customHeight="1">
      <c r="A732" s="719"/>
      <c r="B732" s="485"/>
      <c r="C732" s="559"/>
      <c r="D732" s="706"/>
      <c r="E732" s="485"/>
      <c r="F732" s="485"/>
      <c r="G732" s="485"/>
      <c r="H732" s="485"/>
      <c r="I732" s="743"/>
      <c r="J732" s="485"/>
      <c r="K732" s="1790"/>
      <c r="L732" s="1791"/>
      <c r="M732" s="1791"/>
      <c r="N732" s="1791"/>
      <c r="O732" s="485"/>
      <c r="P732" s="1137"/>
      <c r="Q732" s="1137"/>
      <c r="R732" s="1137"/>
      <c r="S732" s="1137"/>
      <c r="T732" s="1137"/>
      <c r="U732" s="1137"/>
      <c r="V732" s="1137"/>
    </row>
    <row r="733" spans="1:22" s="562" customFormat="1" ht="12.75" customHeight="1">
      <c r="A733" s="719"/>
      <c r="B733" s="485"/>
      <c r="C733" s="559"/>
      <c r="D733" s="706"/>
      <c r="E733" s="707" t="s">
        <v>1757</v>
      </c>
      <c r="F733" s="637"/>
      <c r="G733" s="637"/>
      <c r="H733" s="663" t="str">
        <f>EUconst_Unit</f>
        <v>Unit</v>
      </c>
      <c r="I733" s="708"/>
      <c r="J733" s="2132">
        <f>J$2737</f>
        <v>2026</v>
      </c>
      <c r="K733" s="1489">
        <f>K$2737</f>
        <v>2027</v>
      </c>
      <c r="L733" s="1490">
        <f>L$2737</f>
        <v>2028</v>
      </c>
      <c r="M733" s="1490">
        <f>M$2737</f>
        <v>2029</v>
      </c>
      <c r="N733" s="1490">
        <f>N$2737</f>
        <v>2030</v>
      </c>
      <c r="O733" s="485"/>
      <c r="P733" s="1137"/>
      <c r="Q733" s="1137"/>
      <c r="R733" s="1137"/>
      <c r="S733" s="1137"/>
      <c r="T733" s="1137"/>
      <c r="U733" s="1137"/>
      <c r="V733" s="1137"/>
    </row>
    <row r="734" spans="1:22" s="562" customFormat="1" ht="12.75" hidden="1" customHeight="1">
      <c r="A734" s="719" t="s">
        <v>2289</v>
      </c>
      <c r="B734" s="485"/>
      <c r="C734" s="559"/>
      <c r="D734" s="706"/>
      <c r="E734" s="698" t="s">
        <v>1714</v>
      </c>
      <c r="F734" s="698"/>
      <c r="G734" s="698"/>
      <c r="H734" s="639" t="str">
        <f>H720</f>
        <v>tonnes</v>
      </c>
      <c r="I734" s="698"/>
      <c r="J734" s="2137" t="str">
        <f t="shared" ref="J734:N735" si="51">I750</f>
        <v/>
      </c>
      <c r="K734" s="2072" t="str">
        <f t="shared" si="51"/>
        <v/>
      </c>
      <c r="L734" s="2073" t="str">
        <f t="shared" si="51"/>
        <v/>
      </c>
      <c r="M734" s="2073" t="str">
        <f t="shared" si="51"/>
        <v/>
      </c>
      <c r="N734" s="2073" t="str">
        <f t="shared" si="51"/>
        <v/>
      </c>
      <c r="O734" s="485"/>
      <c r="P734" s="1137"/>
      <c r="Q734" s="1137"/>
      <c r="R734" s="1137"/>
      <c r="S734" s="1137"/>
      <c r="T734" s="1137"/>
      <c r="U734" s="1137"/>
      <c r="V734" s="1137"/>
    </row>
    <row r="735" spans="1:22" s="562" customFormat="1" ht="12.75" hidden="1" customHeight="1">
      <c r="A735" s="719" t="s">
        <v>2289</v>
      </c>
      <c r="B735" s="485"/>
      <c r="C735" s="559"/>
      <c r="D735" s="706"/>
      <c r="E735" s="720" t="s">
        <v>303</v>
      </c>
      <c r="F735" s="720"/>
      <c r="G735" s="720"/>
      <c r="H735" s="721" t="str">
        <f>EUconst_EUA</f>
        <v>UKA</v>
      </c>
      <c r="I735" s="722"/>
      <c r="J735" s="2138" t="str">
        <f t="shared" si="51"/>
        <v/>
      </c>
      <c r="K735" s="2072" t="str">
        <f t="shared" si="51"/>
        <v/>
      </c>
      <c r="L735" s="2073" t="str">
        <f t="shared" si="51"/>
        <v/>
      </c>
      <c r="M735" s="2073" t="str">
        <f t="shared" si="51"/>
        <v/>
      </c>
      <c r="N735" s="2073" t="str">
        <f t="shared" si="51"/>
        <v/>
      </c>
      <c r="O735" s="485"/>
      <c r="P735" s="1137"/>
      <c r="Q735" s="1137"/>
      <c r="R735" s="1137"/>
      <c r="S735" s="1137"/>
      <c r="T735" s="1137"/>
      <c r="U735" s="1137"/>
      <c r="V735" s="1137"/>
    </row>
    <row r="736" spans="1:22" s="562" customFormat="1" ht="12.75" customHeight="1">
      <c r="A736" s="719"/>
      <c r="B736" s="485"/>
      <c r="C736" s="559"/>
      <c r="D736" s="706"/>
      <c r="E736" s="720" t="s">
        <v>1691</v>
      </c>
      <c r="F736" s="720"/>
      <c r="G736" s="720"/>
      <c r="H736" s="748" t="str">
        <f>EUconst_tCO2</f>
        <v>t CO2</v>
      </c>
      <c r="I736" s="722"/>
      <c r="J736" s="2144" t="str">
        <f>INDEX(F_ProductBM!J:J,MATCH($P736,F_ProductBM!$Q:$Q,0))</f>
        <v/>
      </c>
      <c r="K736" s="2072" t="str">
        <f>INDEX(F_ProductBM!K:K,MATCH($P736,F_ProductBM!$Q:$Q,0))</f>
        <v/>
      </c>
      <c r="L736" s="2073" t="str">
        <f>INDEX(F_ProductBM!L:L,MATCH($P736,F_ProductBM!$Q:$Q,0))</f>
        <v/>
      </c>
      <c r="M736" s="2073" t="str">
        <f>INDEX(F_ProductBM!M:M,MATCH($P736,F_ProductBM!$Q:$Q,0))</f>
        <v/>
      </c>
      <c r="N736" s="2073" t="str">
        <f>INDEX(F_ProductBM!N:N,MATCH($P736,F_ProductBM!$Q:$Q,0))</f>
        <v/>
      </c>
      <c r="O736" s="485"/>
      <c r="P736" s="1158" t="str">
        <f>EUconst_CNTR_HALinitial &amp; EUconst_CNTR_WGFlared &amp; I641</f>
        <v>HALini_WasteGasFlare_</v>
      </c>
      <c r="Q736" s="1137"/>
      <c r="R736" s="1137"/>
      <c r="S736" s="1137"/>
      <c r="T736" s="1137"/>
      <c r="U736" s="1137"/>
      <c r="V736" s="1137"/>
    </row>
    <row r="737" spans="1:22" s="562" customFormat="1" ht="12.75" customHeight="1">
      <c r="A737" s="719"/>
      <c r="B737" s="485"/>
      <c r="C737" s="559"/>
      <c r="D737" s="706"/>
      <c r="E737" s="723" t="s">
        <v>2232</v>
      </c>
      <c r="F737" s="723"/>
      <c r="G737" s="723"/>
      <c r="H737" s="734" t="s">
        <v>1021</v>
      </c>
      <c r="I737" s="735"/>
      <c r="J737" s="23" t="str">
        <f>INDEX(F_ProductBM!J:J,MATCH($P737,F_ProductBM!$Q:$Q,0))</f>
        <v/>
      </c>
      <c r="K737" s="46" t="str">
        <f>INDEX(F_ProductBM!K:K,MATCH($P737,F_ProductBM!$Q:$Q,0))</f>
        <v/>
      </c>
      <c r="L737" s="27" t="str">
        <f>INDEX(F_ProductBM!L:L,MATCH($P737,F_ProductBM!$Q:$Q,0))</f>
        <v/>
      </c>
      <c r="M737" s="27" t="str">
        <f>INDEX(F_ProductBM!M:M,MATCH($P737,F_ProductBM!$Q:$Q,0))</f>
        <v/>
      </c>
      <c r="N737" s="27" t="str">
        <f>INDEX(F_ProductBM!N:N,MATCH($P737,F_ProductBM!$Q:$Q,0))</f>
        <v/>
      </c>
      <c r="O737" s="485"/>
      <c r="P737" s="1158" t="str">
        <f>EUconst_CNTR_RelThreshold &amp; P739</f>
        <v>RelThresh_HALprelim_WasteGasFlare_</v>
      </c>
      <c r="Q737" s="1137"/>
      <c r="R737" s="1137"/>
      <c r="S737" s="1137"/>
      <c r="T737" s="1137"/>
      <c r="U737" s="1137"/>
      <c r="V737" s="1137"/>
    </row>
    <row r="738" spans="1:22" s="562" customFormat="1" ht="12.75" customHeight="1">
      <c r="A738" s="719"/>
      <c r="B738" s="485"/>
      <c r="C738" s="559"/>
      <c r="D738" s="706"/>
      <c r="E738" s="736" t="s">
        <v>1856</v>
      </c>
      <c r="F738" s="736"/>
      <c r="G738" s="736"/>
      <c r="H738" s="737" t="s">
        <v>1021</v>
      </c>
      <c r="I738" s="738"/>
      <c r="J738" s="2145" t="str">
        <f>INDEX(F_ProductBM!V:V,MATCH($P738,F_ProductBM!$Q:$Q,0))</f>
        <v/>
      </c>
      <c r="K738" s="2134" t="str">
        <f>INDEX(F_ProductBM!W:W,MATCH($P738,F_ProductBM!$Q:$Q,0))</f>
        <v/>
      </c>
      <c r="L738" s="2135" t="str">
        <f>INDEX(F_ProductBM!X:X,MATCH($P738,F_ProductBM!$Q:$Q,0))</f>
        <v/>
      </c>
      <c r="M738" s="2135" t="str">
        <f>INDEX(F_ProductBM!Y:Y,MATCH($P738,F_ProductBM!$Q:$Q,0))</f>
        <v/>
      </c>
      <c r="N738" s="2135" t="str">
        <f>INDEX(F_ProductBM!Z:Z,MATCH($P738,F_ProductBM!$Q:$Q,0))</f>
        <v/>
      </c>
      <c r="O738" s="485"/>
      <c r="P738" s="1158" t="str">
        <f>P737</f>
        <v>RelThresh_HALprelim_WasteGasFlare_</v>
      </c>
      <c r="Q738" s="1137"/>
      <c r="R738" s="1137"/>
      <c r="S738" s="1137"/>
      <c r="T738" s="1137"/>
      <c r="U738" s="1137"/>
      <c r="V738" s="1137"/>
    </row>
    <row r="739" spans="1:22" s="562" customFormat="1" ht="12.75" customHeight="1">
      <c r="A739" s="719"/>
      <c r="B739" s="485"/>
      <c r="C739" s="559"/>
      <c r="D739" s="706"/>
      <c r="E739" s="727" t="s">
        <v>1689</v>
      </c>
      <c r="F739" s="727"/>
      <c r="G739" s="727"/>
      <c r="H739" s="728" t="str">
        <f>EUconst_tCO2</f>
        <v>t CO2</v>
      </c>
      <c r="I739" s="729"/>
      <c r="J739" s="2146" t="str">
        <f>IF(OR($I641="",CNTR_SubPeriod=1),"",INDEX(F_ProductBM!J:J,MATCH($P739,F_ProductBM!$Q:$Q,0)))</f>
        <v/>
      </c>
      <c r="K739" s="2072" t="str">
        <f>IF(OR($I641="",CNTR_SubPeriod=1),"",INDEX(F_ProductBM!K:K,MATCH($P739,F_ProductBM!$Q:$Q,0)))</f>
        <v/>
      </c>
      <c r="L739" s="2073" t="str">
        <f>IF(OR($I641="",CNTR_SubPeriod=1),"",INDEX(F_ProductBM!L:L,MATCH($P739,F_ProductBM!$Q:$Q,0)))</f>
        <v/>
      </c>
      <c r="M739" s="2073" t="str">
        <f>IF(OR($I641="",CNTR_SubPeriod=1),"",INDEX(F_ProductBM!M:M,MATCH($P739,F_ProductBM!$Q:$Q,0)))</f>
        <v/>
      </c>
      <c r="N739" s="2073" t="str">
        <f>IF(OR($I641="",CNTR_SubPeriod=1),"",INDEX(F_ProductBM!N:N,MATCH($P739,F_ProductBM!$Q:$Q,0)))</f>
        <v/>
      </c>
      <c r="O739" s="485"/>
      <c r="P739" s="1158" t="str">
        <f>EUconst_CNTR_HALprelim&amp;EUconst_CNTR_WGFlared&amp;$I641</f>
        <v>HALprelim_WasteGasFlare_</v>
      </c>
      <c r="Q739" s="1137"/>
      <c r="R739" s="1137"/>
      <c r="S739" s="1137"/>
      <c r="T739" s="1137"/>
      <c r="U739" s="1137"/>
      <c r="V739" s="1137"/>
    </row>
    <row r="740" spans="1:22" s="562" customFormat="1" ht="12.75" hidden="1" customHeight="1">
      <c r="A740" s="719" t="s">
        <v>2289</v>
      </c>
      <c r="B740" s="485"/>
      <c r="C740" s="559"/>
      <c r="D740" s="706"/>
      <c r="E740" s="723" t="s">
        <v>1390</v>
      </c>
      <c r="F740" s="723"/>
      <c r="G740" s="723"/>
      <c r="H740" s="724" t="str">
        <f>EUconst_EUA</f>
        <v>UKA</v>
      </c>
      <c r="I740" s="725"/>
      <c r="J740" s="2139" t="str">
        <f t="shared" ref="J740:N742" si="52">I753</f>
        <v/>
      </c>
      <c r="K740" s="2072" t="str">
        <f t="shared" si="52"/>
        <v/>
      </c>
      <c r="L740" s="2073" t="str">
        <f t="shared" si="52"/>
        <v/>
      </c>
      <c r="M740" s="2073" t="str">
        <f t="shared" si="52"/>
        <v/>
      </c>
      <c r="N740" s="2073" t="str">
        <f t="shared" si="52"/>
        <v/>
      </c>
      <c r="O740" s="485"/>
      <c r="P740" s="1137"/>
      <c r="Q740" s="1137"/>
      <c r="R740" s="1137"/>
      <c r="S740" s="1137"/>
      <c r="T740" s="1137"/>
      <c r="U740" s="1137"/>
      <c r="V740" s="1137"/>
    </row>
    <row r="741" spans="1:22" s="562" customFormat="1" ht="12.75" hidden="1" customHeight="1">
      <c r="A741" s="719" t="s">
        <v>2289</v>
      </c>
      <c r="B741" s="485"/>
      <c r="C741" s="559"/>
      <c r="D741" s="706"/>
      <c r="E741" s="723" t="s">
        <v>1389</v>
      </c>
      <c r="F741" s="723"/>
      <c r="G741" s="723"/>
      <c r="H741" s="726" t="s">
        <v>1021</v>
      </c>
      <c r="I741" s="725"/>
      <c r="J741" s="2140" t="str">
        <f t="shared" si="52"/>
        <v/>
      </c>
      <c r="K741" s="2141" t="str">
        <f t="shared" si="52"/>
        <v/>
      </c>
      <c r="L741" s="2142" t="str">
        <f t="shared" si="52"/>
        <v/>
      </c>
      <c r="M741" s="2142" t="str">
        <f t="shared" si="52"/>
        <v/>
      </c>
      <c r="N741" s="2142" t="str">
        <f t="shared" si="52"/>
        <v/>
      </c>
      <c r="O741" s="485"/>
      <c r="P741" s="1137"/>
      <c r="Q741" s="1137"/>
      <c r="R741" s="1137"/>
      <c r="S741" s="1137"/>
      <c r="T741" s="1137"/>
      <c r="U741" s="1137"/>
      <c r="V741" s="1137"/>
    </row>
    <row r="742" spans="1:22" s="562" customFormat="1" ht="12.75" hidden="1" customHeight="1">
      <c r="A742" s="719" t="s">
        <v>2289</v>
      </c>
      <c r="B742" s="485"/>
      <c r="C742" s="559"/>
      <c r="D742" s="706"/>
      <c r="E742" s="727" t="s">
        <v>1391</v>
      </c>
      <c r="F742" s="727"/>
      <c r="G742" s="727"/>
      <c r="H742" s="728" t="s">
        <v>1021</v>
      </c>
      <c r="I742" s="729"/>
      <c r="J742" s="2143" t="str">
        <f t="shared" si="52"/>
        <v/>
      </c>
      <c r="K742" s="2141" t="str">
        <f t="shared" si="52"/>
        <v/>
      </c>
      <c r="L742" s="2142" t="str">
        <f t="shared" si="52"/>
        <v/>
      </c>
      <c r="M742" s="2142" t="str">
        <f t="shared" si="52"/>
        <v/>
      </c>
      <c r="N742" s="2142" t="str">
        <f t="shared" si="52"/>
        <v/>
      </c>
      <c r="O742" s="485"/>
      <c r="P742" s="1137"/>
      <c r="Q742" s="1137"/>
      <c r="R742" s="1137"/>
      <c r="S742" s="1137"/>
      <c r="T742" s="1137"/>
      <c r="U742" s="1137"/>
      <c r="V742" s="1137"/>
    </row>
    <row r="743" spans="1:22" s="562" customFormat="1" ht="12.75" customHeight="1">
      <c r="A743" s="719"/>
      <c r="B743" s="485"/>
      <c r="C743" s="559"/>
      <c r="D743" s="706"/>
      <c r="E743" s="698" t="s">
        <v>1671</v>
      </c>
      <c r="F743" s="698"/>
      <c r="G743" s="698"/>
      <c r="H743" s="730" t="str">
        <f>EUconst_EUA</f>
        <v>UKA</v>
      </c>
      <c r="I743" s="731"/>
      <c r="J743" s="2129" t="str">
        <f>IF(J739="","",MAX(0,ROUND((SUM($M644)*SUM(J734)*SUM(J741)*SUM(J742)-SUM(J735)-SUM(J739)+SUM(J740))*IF($H644=TRUE,1,J$2517),0)))</f>
        <v/>
      </c>
      <c r="K743" s="2072" t="str">
        <f>IF(K739="","",MAX(0,ROUND((SUM($M644)*SUM(K734)*SUM(K741)*SUM(K742)-SUM(K735)-SUM(K739)+SUM(K740))*IF($H644=TRUE,1,K$2517),0)))</f>
        <v/>
      </c>
      <c r="L743" s="2073" t="str">
        <f>IF(L739="","",MAX(0,ROUND((SUM($M644)*SUM(L734)*SUM(L741)*SUM(L742)-SUM(L735)-SUM(L739)+SUM(L740))*IF($H644=TRUE,1,L$2517),0)))</f>
        <v/>
      </c>
      <c r="M743" s="2073" t="str">
        <f>IF(M739="","",MAX(0,ROUND((SUM($M644)*SUM(M734)*SUM(M741)*SUM(M742)-SUM(M735)-SUM(M739)+SUM(M740))*IF($H644=TRUE,1,M$2517),0)))</f>
        <v/>
      </c>
      <c r="N743" s="2073" t="str">
        <f>IF(N739="","",MAX(0,ROUND((SUM($M644)*SUM(N734)*SUM(N741)*SUM(N742)-SUM(N735)-SUM(N739)+SUM(N740))*IF($H644=TRUE,1,N$2517),0)))</f>
        <v/>
      </c>
      <c r="O743" s="485"/>
      <c r="P743" s="1137"/>
      <c r="Q743" s="1137"/>
      <c r="R743" s="1137"/>
      <c r="S743" s="1137"/>
      <c r="T743" s="1137"/>
      <c r="U743" s="1137"/>
      <c r="V743" s="1137"/>
    </row>
    <row r="744" spans="1:22" s="562" customFormat="1" ht="12.75" customHeight="1">
      <c r="A744" s="719"/>
      <c r="B744" s="485"/>
      <c r="C744" s="559"/>
      <c r="D744" s="706"/>
      <c r="E744" s="698" t="s">
        <v>1670</v>
      </c>
      <c r="F744" s="698"/>
      <c r="G744" s="698"/>
      <c r="H744" s="730" t="str">
        <f>EUconst_EUA</f>
        <v>UKA</v>
      </c>
      <c r="I744" s="731"/>
      <c r="J744" s="2129" t="str">
        <f>IF(J743="","",ABS(SUM(J743)-SUM(J661)))</f>
        <v/>
      </c>
      <c r="K744" s="2072" t="str">
        <f>IF(K743="","",ABS(SUM(K743)-SUM(K661)))</f>
        <v/>
      </c>
      <c r="L744" s="2073" t="str">
        <f>IF(L743="","",ABS(SUM(L743)-SUM(L661)))</f>
        <v/>
      </c>
      <c r="M744" s="2073" t="str">
        <f>IF(M743="","",ABS(SUM(M743)-SUM(M661)))</f>
        <v/>
      </c>
      <c r="N744" s="2073" t="str">
        <f>IF(N743="","",ABS(SUM(N743)-SUM(N661)))</f>
        <v/>
      </c>
      <c r="O744" s="485"/>
      <c r="P744" s="1137"/>
      <c r="Q744" s="1137"/>
      <c r="R744" s="1137"/>
      <c r="S744" s="1137"/>
      <c r="T744" s="1137"/>
      <c r="U744" s="1137"/>
      <c r="V744" s="1137"/>
    </row>
    <row r="745" spans="1:22" s="562" customFormat="1" ht="12.75" customHeight="1">
      <c r="A745" s="719"/>
      <c r="B745" s="485"/>
      <c r="C745" s="559"/>
      <c r="D745" s="706"/>
      <c r="E745" s="740" t="s">
        <v>2135</v>
      </c>
      <c r="F745" s="698"/>
      <c r="G745" s="698"/>
      <c r="H745" s="741" t="s">
        <v>1021</v>
      </c>
      <c r="I745" s="742"/>
      <c r="J745" s="2147" t="str">
        <f>IF(J744="","",J744&gt;=100)</f>
        <v/>
      </c>
      <c r="K745" s="2134" t="str">
        <f>IF(K744="","",K744&gt;=100)</f>
        <v/>
      </c>
      <c r="L745" s="2135" t="str">
        <f>IF(L744="","",L744&gt;=100)</f>
        <v/>
      </c>
      <c r="M745" s="2135" t="str">
        <f>IF(M744="","",M744&gt;=100)</f>
        <v/>
      </c>
      <c r="N745" s="2135" t="str">
        <f>IF(N744="","",N744&gt;=100)</f>
        <v/>
      </c>
      <c r="O745" s="485"/>
      <c r="P745" s="1158" t="str">
        <f>EUconst_CNTR_100EUA_WGFlare&amp;I641</f>
        <v>EUA100WGFlare_</v>
      </c>
      <c r="Q745" s="1137"/>
      <c r="R745" s="1137"/>
      <c r="S745" s="1137"/>
      <c r="T745" s="1137"/>
      <c r="U745" s="1137"/>
      <c r="V745" s="1137"/>
    </row>
    <row r="746" spans="1:22" s="562" customFormat="1" ht="12.75" customHeight="1" thickBot="1">
      <c r="A746" s="719"/>
      <c r="B746" s="485"/>
      <c r="C746" s="559"/>
      <c r="D746" s="755"/>
      <c r="E746" s="756"/>
      <c r="F746" s="756"/>
      <c r="G746" s="756"/>
      <c r="H746" s="756"/>
      <c r="I746" s="757"/>
      <c r="J746" s="756"/>
      <c r="K746" s="1790"/>
      <c r="L746" s="1791"/>
      <c r="M746" s="1791"/>
      <c r="N746" s="1791"/>
      <c r="O746" s="485"/>
      <c r="P746" s="1137"/>
      <c r="Q746" s="1137"/>
      <c r="R746" s="1137"/>
      <c r="S746" s="1137"/>
      <c r="T746" s="1137"/>
      <c r="U746" s="1137"/>
      <c r="V746" s="1137"/>
    </row>
    <row r="747" spans="1:22" s="562" customFormat="1" ht="5.0999999999999996" customHeight="1" thickBot="1">
      <c r="A747" s="817"/>
      <c r="B747" s="485"/>
      <c r="C747" s="559"/>
      <c r="D747" s="559"/>
      <c r="E747" s="485"/>
      <c r="F747" s="485"/>
      <c r="G747" s="485"/>
      <c r="H747" s="485"/>
      <c r="I747" s="743"/>
      <c r="J747" s="485"/>
      <c r="K747" s="1790"/>
      <c r="L747" s="1791"/>
      <c r="M747" s="1791"/>
      <c r="N747" s="1791"/>
      <c r="O747" s="485"/>
      <c r="P747" s="1137"/>
      <c r="Q747" s="1137"/>
      <c r="R747" s="1137"/>
      <c r="S747" s="1137"/>
      <c r="T747" s="1137"/>
      <c r="U747" s="1137"/>
      <c r="V747" s="1137"/>
    </row>
    <row r="748" spans="1:22" s="562" customFormat="1" ht="5.0999999999999996" customHeight="1">
      <c r="A748" s="817"/>
      <c r="B748" s="485"/>
      <c r="C748" s="485"/>
      <c r="D748" s="759"/>
      <c r="E748" s="760"/>
      <c r="F748" s="760"/>
      <c r="G748" s="760"/>
      <c r="H748" s="760"/>
      <c r="I748" s="761"/>
      <c r="J748" s="760"/>
      <c r="K748" s="1790"/>
      <c r="L748" s="1791"/>
      <c r="M748" s="1791"/>
      <c r="N748" s="1791"/>
      <c r="O748" s="485"/>
      <c r="P748" s="1137"/>
      <c r="Q748" s="1137"/>
      <c r="R748" s="1137"/>
      <c r="S748" s="1137"/>
      <c r="T748" s="1117"/>
      <c r="U748" s="1137"/>
      <c r="V748" s="1137"/>
    </row>
    <row r="749" spans="1:22" s="562" customFormat="1">
      <c r="A749" s="817"/>
      <c r="B749" s="485"/>
      <c r="C749" s="485"/>
      <c r="D749" s="539"/>
      <c r="E749" s="496" t="s">
        <v>1786</v>
      </c>
      <c r="F749" s="485"/>
      <c r="G749" s="485"/>
      <c r="H749" s="663" t="str">
        <f>EUconst_Unit</f>
        <v>Unit</v>
      </c>
      <c r="I749" s="763" t="s">
        <v>1675</v>
      </c>
      <c r="J749" s="2132">
        <f>J$2737</f>
        <v>2026</v>
      </c>
      <c r="K749" s="1489">
        <f>K$2737</f>
        <v>2027</v>
      </c>
      <c r="L749" s="1490">
        <f>L$2737</f>
        <v>2028</v>
      </c>
      <c r="M749" s="1490">
        <f>M$2737</f>
        <v>2029</v>
      </c>
      <c r="N749" s="1490">
        <f>N$2737</f>
        <v>2030</v>
      </c>
      <c r="O749" s="485"/>
      <c r="P749" s="1137"/>
      <c r="Q749" s="1137"/>
      <c r="R749" s="1137"/>
      <c r="S749" s="2155" t="s">
        <v>1646</v>
      </c>
      <c r="T749" s="1117"/>
      <c r="U749" s="1137"/>
      <c r="V749" s="1137"/>
    </row>
    <row r="750" spans="1:22" s="562" customFormat="1">
      <c r="A750" s="817"/>
      <c r="B750" s="485"/>
      <c r="C750" s="485"/>
      <c r="D750" s="539"/>
      <c r="E750" s="720" t="s">
        <v>1714</v>
      </c>
      <c r="F750" s="720"/>
      <c r="G750" s="720"/>
      <c r="H750" s="732" t="str">
        <f>H734</f>
        <v>tonnes</v>
      </c>
      <c r="I750" s="764" t="str">
        <f>IF($I641="","",IF(T756&gt;=$H$2736,0,S750))</f>
        <v/>
      </c>
      <c r="J750" s="2144" t="str">
        <f>IF($I641="","",INDEX(F_ProductBM!J:J,MATCH($P750,F_ProductBM!$Q:$Q,0)))</f>
        <v/>
      </c>
      <c r="K750" s="2072" t="str">
        <f>IF($I641="","",INDEX(F_ProductBM!K:K,MATCH($P750,F_ProductBM!$Q:$Q,0)))</f>
        <v/>
      </c>
      <c r="L750" s="2073" t="str">
        <f>IF($I641="","",INDEX(F_ProductBM!L:L,MATCH($P750,F_ProductBM!$Q:$Q,0)))</f>
        <v/>
      </c>
      <c r="M750" s="2073" t="str">
        <f>IF($I641="","",INDEX(F_ProductBM!M:M,MATCH($P750,F_ProductBM!$Q:$Q,0)))</f>
        <v/>
      </c>
      <c r="N750" s="2073" t="str">
        <f>IF($I641="","",INDEX(F_ProductBM!N:N,MATCH($P750,F_ProductBM!$Q:$Q,0)))</f>
        <v/>
      </c>
      <c r="O750" s="485"/>
      <c r="P750" s="1158" t="str">
        <f>EUconst_CNTR_HALfinal&amp;I641</f>
        <v>HALfinal_</v>
      </c>
      <c r="Q750" s="1137"/>
      <c r="R750" s="1137"/>
      <c r="S750" s="2156" t="str">
        <f>IF($I641="","",INDEX(F_ProductBM!I:I,MATCH($P750,F_ProductBM!$Q:$Q,0)))</f>
        <v/>
      </c>
      <c r="T750" s="1117"/>
      <c r="U750" s="1137"/>
      <c r="V750" s="1137"/>
    </row>
    <row r="751" spans="1:22" s="562" customFormat="1">
      <c r="A751" s="817"/>
      <c r="B751" s="485"/>
      <c r="C751" s="485"/>
      <c r="D751" s="539"/>
      <c r="E751" s="645" t="s">
        <v>303</v>
      </c>
      <c r="F751" s="645"/>
      <c r="G751" s="645"/>
      <c r="H751" s="765" t="str">
        <f>EUconst_EUA</f>
        <v>UKA</v>
      </c>
      <c r="I751" s="766" t="str">
        <f>IF($I641="","",IF(YEAR(J644)&gt;=$H$2736-1,0,S751))</f>
        <v/>
      </c>
      <c r="J751" s="2157" t="str">
        <f>IF($I641="","",INDEX(F_ProductBM!J:J,MATCH($P751,F_ProductBM!$Q:$Q,0)))</f>
        <v/>
      </c>
      <c r="K751" s="2072" t="str">
        <f>IF($I641="","",INDEX(F_ProductBM!K:K,MATCH($P751,F_ProductBM!$Q:$Q,0)))</f>
        <v/>
      </c>
      <c r="L751" s="2073" t="str">
        <f>IF($I641="","",INDEX(F_ProductBM!L:L,MATCH($P751,F_ProductBM!$Q:$Q,0)))</f>
        <v/>
      </c>
      <c r="M751" s="2073" t="str">
        <f>IF($I641="","",INDEX(F_ProductBM!M:M,MATCH($P751,F_ProductBM!$Q:$Q,0)))</f>
        <v/>
      </c>
      <c r="N751" s="2073" t="str">
        <f>IF($I641="","",INDEX(F_ProductBM!N:N,MATCH($P751,F_ProductBM!$Q:$Q,0)))</f>
        <v/>
      </c>
      <c r="O751" s="485"/>
      <c r="P751" s="1158" t="str">
        <f>EUconst_CNTR_HEATfinal&amp;I641</f>
        <v>HEATfinal_</v>
      </c>
      <c r="Q751" s="1137"/>
      <c r="R751" s="1137"/>
      <c r="S751" s="2158" t="str">
        <f>IF($I641="","",INDEX(F_ProductBM!I:I,MATCH($P751,F_ProductBM!$Q:$Q,0)))</f>
        <v/>
      </c>
      <c r="T751" s="1117"/>
      <c r="U751" s="1137"/>
      <c r="V751" s="1137"/>
    </row>
    <row r="752" spans="1:22" s="562" customFormat="1">
      <c r="A752" s="817"/>
      <c r="B752" s="485"/>
      <c r="C752" s="485"/>
      <c r="D752" s="539"/>
      <c r="E752" s="723" t="s">
        <v>1422</v>
      </c>
      <c r="F752" s="723"/>
      <c r="G752" s="723"/>
      <c r="H752" s="724" t="str">
        <f>EUconst_EUA</f>
        <v>UKA</v>
      </c>
      <c r="I752" s="767" t="str">
        <f>IF($I641="","",IF(T756&gt;=$H$2736,0,S752))</f>
        <v/>
      </c>
      <c r="J752" s="2159" t="str">
        <f>IF($I641="","",INDEX(F_ProductBM!J:J,MATCH($P752,F_ProductBM!$Q:$Q,0)))</f>
        <v/>
      </c>
      <c r="K752" s="2072" t="str">
        <f>IF($I641="","",INDEX(F_ProductBM!K:K,MATCH($P752,F_ProductBM!$Q:$Q,0)))</f>
        <v/>
      </c>
      <c r="L752" s="2073" t="str">
        <f>IF($I641="","",INDEX(F_ProductBM!L:L,MATCH($P752,F_ProductBM!$Q:$Q,0)))</f>
        <v/>
      </c>
      <c r="M752" s="2073" t="str">
        <f>IF($I641="","",INDEX(F_ProductBM!M:M,MATCH($P752,F_ProductBM!$Q:$Q,0)))</f>
        <v/>
      </c>
      <c r="N752" s="2073" t="str">
        <f>IF($I641="","",INDEX(F_ProductBM!N:N,MATCH($P752,F_ProductBM!$Q:$Q,0)))</f>
        <v/>
      </c>
      <c r="O752" s="485"/>
      <c r="P752" s="1158" t="str">
        <f>EUconst_CNTR_HALfinal&amp;EUconst_CNTR_WGFlared&amp;$I641</f>
        <v>HALfinal_WasteGasFlare_</v>
      </c>
      <c r="Q752" s="1137"/>
      <c r="R752" s="1137"/>
      <c r="S752" s="2160" t="str">
        <f>IF($I641="","",INDEX(F_ProductBM!I:I,MATCH($P752,F_ProductBM!$Q:$Q,0)))</f>
        <v/>
      </c>
      <c r="T752" s="1117"/>
      <c r="U752" s="1137"/>
      <c r="V752" s="1137"/>
    </row>
    <row r="753" spans="1:22" s="562" customFormat="1">
      <c r="A753" s="817"/>
      <c r="C753" s="485"/>
      <c r="D753" s="539"/>
      <c r="E753" s="723" t="s">
        <v>1390</v>
      </c>
      <c r="F753" s="723"/>
      <c r="G753" s="723"/>
      <c r="H753" s="724" t="str">
        <f>EUconst_EUA</f>
        <v>UKA</v>
      </c>
      <c r="I753" s="767" t="str">
        <f>IF($I641="","",IF(T756&gt;=$H$2736,0,IF(L644=42,S753,0)))</f>
        <v/>
      </c>
      <c r="J753" s="2159" t="str">
        <f>IF($I641="","",IF($L644=42,INDEX(H_SpecialBM!J:J,MATCH($P753,H_SpecialBM!$Q:$Q,0)),0))</f>
        <v/>
      </c>
      <c r="K753" s="2072" t="str">
        <f>IF($I641="","",IF($L644=42,INDEX(H_SpecialBM!K:K,MATCH($P753,H_SpecialBM!$Q:$Q,0)),0))</f>
        <v/>
      </c>
      <c r="L753" s="2073" t="str">
        <f>IF($I641="","",IF($L644=42,INDEX(H_SpecialBM!L:L,MATCH($P753,H_SpecialBM!$Q:$Q,0)),0))</f>
        <v/>
      </c>
      <c r="M753" s="2073" t="str">
        <f>IF($I641="","",IF($L644=42,INDEX(H_SpecialBM!M:M,MATCH($P753,H_SpecialBM!$Q:$Q,0)),0))</f>
        <v/>
      </c>
      <c r="N753" s="2073" t="str">
        <f>IF($I641="","",IF($L644=42,INDEX(H_SpecialBM!N:N,MATCH($P753,H_SpecialBM!$Q:$Q,0)),0))</f>
        <v/>
      </c>
      <c r="O753" s="485"/>
      <c r="P753" s="1158" t="str">
        <f>EUconst_CNTR_HVCfinal</f>
        <v>HVCfinal_</v>
      </c>
      <c r="Q753" s="1137"/>
      <c r="R753" s="1137"/>
      <c r="S753" s="2160" t="str">
        <f>IF($I641="","",IF(L644=42,INDEX(H_SpecialBM!I:I,MATCH($P753,H_SpecialBM!$Q:$Q,0)),0))</f>
        <v/>
      </c>
      <c r="T753" s="1117"/>
      <c r="U753" s="1137"/>
      <c r="V753" s="1137"/>
    </row>
    <row r="754" spans="1:22" s="562" customFormat="1">
      <c r="A754" s="817"/>
      <c r="C754" s="485"/>
      <c r="D754" s="539"/>
      <c r="E754" s="723" t="s">
        <v>1389</v>
      </c>
      <c r="F754" s="723"/>
      <c r="G754" s="723"/>
      <c r="H754" s="726" t="s">
        <v>1021</v>
      </c>
      <c r="I754" s="768" t="str">
        <f>IF(AND($I641&lt;&gt;"",$I644=TRUE),IF(T756&gt;=$H$2736,1,S754),IF($I641="","",1))</f>
        <v/>
      </c>
      <c r="J754" s="2161" t="str">
        <f>IF(AND($I641&lt;&gt;"",$I644=TRUE),INDEX(F_ProductBM!J:J,MATCH($P754,F_ProductBM!$Q:$Q,0)),IF($I641="","",1))</f>
        <v/>
      </c>
      <c r="K754" s="2141" t="str">
        <f>IF(AND($I641&lt;&gt;"",$I644=TRUE),INDEX(F_ProductBM!K:K,MATCH($P754,F_ProductBM!$Q:$Q,0)),IF($I641="","",1))</f>
        <v/>
      </c>
      <c r="L754" s="2142" t="str">
        <f>IF(AND($I641&lt;&gt;"",$I644=TRUE),INDEX(F_ProductBM!L:L,MATCH($P754,F_ProductBM!$Q:$Q,0)),IF($I641="","",1))</f>
        <v/>
      </c>
      <c r="M754" s="2142" t="str">
        <f>IF(AND($I641&lt;&gt;"",$I644=TRUE),INDEX(F_ProductBM!M:M,MATCH($P754,F_ProductBM!$Q:$Q,0)),IF($I641="","",1))</f>
        <v/>
      </c>
      <c r="N754" s="2142" t="str">
        <f>IF(AND($I641&lt;&gt;"",$I644=TRUE),INDEX(F_ProductBM!N:N,MATCH($P754,F_ProductBM!$Q:$Q,0)),IF($I641="","",1))</f>
        <v/>
      </c>
      <c r="O754" s="485"/>
      <c r="P754" s="1158" t="str">
        <f>EUconst_CNTR_HALfinal&amp;EUconst_CNTR_ELEXCH&amp;$I641</f>
        <v>HALfinal_ELEXCH_</v>
      </c>
      <c r="Q754" s="1137"/>
      <c r="R754" s="1137"/>
      <c r="S754" s="2162" t="str">
        <f>IF(AND($I641&lt;&gt;"",$I644=TRUE),INDEX(F_ProductBM!I:I,MATCH($P754,F_ProductBM!$Q:$Q,0)),IF($I641="","",1))</f>
        <v/>
      </c>
      <c r="T754" s="1137"/>
      <c r="U754" s="1137"/>
      <c r="V754" s="1137"/>
    </row>
    <row r="755" spans="1:22" s="562" customFormat="1">
      <c r="A755" s="817"/>
      <c r="C755" s="485"/>
      <c r="D755" s="539"/>
      <c r="E755" s="727" t="s">
        <v>1391</v>
      </c>
      <c r="F755" s="727"/>
      <c r="G755" s="727"/>
      <c r="H755" s="728" t="s">
        <v>1021</v>
      </c>
      <c r="I755" s="769" t="str">
        <f>IF($I641="","",IF($L644=47,IF(AND(ISNUMBER(S755),YEAR(J644)&lt;2021),S755,1),1))</f>
        <v/>
      </c>
      <c r="J755" s="2163" t="str">
        <f>IF($I641="","",IF($L644=47,IF(ISNUMBER(INDEX(H_SpecialBM!J:J,MATCH($P755,H_SpecialBM!$Q:$Q,0))),INDEX(H_SpecialBM!J:J,MATCH($P755,H_SpecialBM!$Q:$Q,0)),1),1))</f>
        <v/>
      </c>
      <c r="K755" s="2141" t="str">
        <f>IF($I641="","",IF($L644=47,IF(ISNUMBER(INDEX(H_SpecialBM!K:K,MATCH($P755,H_SpecialBM!$Q:$Q,0))),INDEX(H_SpecialBM!K:K,MATCH($P755,H_SpecialBM!$Q:$Q,0)),1),1))</f>
        <v/>
      </c>
      <c r="L755" s="2142" t="str">
        <f>IF($I641="","",IF($L644=47,IF(ISNUMBER(INDEX(H_SpecialBM!L:L,MATCH($P755,H_SpecialBM!$Q:$Q,0))),INDEX(H_SpecialBM!L:L,MATCH($P755,H_SpecialBM!$Q:$Q,0)),1),1))</f>
        <v/>
      </c>
      <c r="M755" s="2142" t="str">
        <f>IF($I641="","",IF($L644=47,IF(ISNUMBER(INDEX(H_SpecialBM!M:M,MATCH($P755,H_SpecialBM!$Q:$Q,0))),INDEX(H_SpecialBM!M:M,MATCH($P755,H_SpecialBM!$Q:$Q,0)),1),1))</f>
        <v/>
      </c>
      <c r="N755" s="2142" t="str">
        <f>IF($I641="","",IF($L644=47,IF(ISNUMBER(INDEX(H_SpecialBM!N:N,MATCH($P755,H_SpecialBM!$Q:$Q,0))),INDEX(H_SpecialBM!N:N,MATCH($P755,H_SpecialBM!$Q:$Q,0)),1),1))</f>
        <v/>
      </c>
      <c r="O755" s="485"/>
      <c r="P755" s="1158" t="str">
        <f>EUconst_CNTR_VCMfinal</f>
        <v>VCMfinal_</v>
      </c>
      <c r="Q755" s="1137"/>
      <c r="R755" s="1137"/>
      <c r="S755" s="2164" t="str">
        <f>IF($I641="","",IF($L644=47,IF(ISNUMBER(INDEX(H_SpecialBM!I:I,MATCH($P755,H_SpecialBM!$Q:$Q,0))),INDEX(H_SpecialBM!I:I,MATCH($P755,H_SpecialBM!$Q:$Q,0)),1),1))</f>
        <v/>
      </c>
      <c r="T755" s="1137"/>
      <c r="U755" s="1137"/>
      <c r="V755" s="1137"/>
    </row>
    <row r="756" spans="1:22" s="562" customFormat="1">
      <c r="A756" s="817"/>
      <c r="C756" s="485"/>
      <c r="D756" s="539"/>
      <c r="E756" s="698" t="s">
        <v>222</v>
      </c>
      <c r="F756" s="698"/>
      <c r="G756" s="698"/>
      <c r="H756" s="730" t="str">
        <f>EUconst_EUA</f>
        <v>UKA</v>
      </c>
      <c r="I756" s="770" t="str">
        <f>IF($I641="","",MAX(0,ROUND((SUM($M644)*SUM(I750)*SUM(I754)*SUM(I755)-SUM(I751)-SUM(I752)+SUM(I753))*IF($H644=TRUE,1,J$2517),0)))</f>
        <v/>
      </c>
      <c r="J756" s="2129" t="str">
        <f>IF($I641="","",MAX(0,ROUND((SUM($M644)*SUM(J750)*SUM(J754)*SUM(J755)-SUM(J751)-SUM(J752)+SUM(J753))*IF($H644=TRUE,1,J$2517),0)))</f>
        <v/>
      </c>
      <c r="K756" s="2072" t="str">
        <f>IF($I641="","",MAX(0,ROUND((SUM($M644)*SUM(K750)*SUM(K754)*SUM(K755)-SUM(K751)-SUM(K752)+SUM(K753))*IF($H644=TRUE,1,K$2517),0)))</f>
        <v/>
      </c>
      <c r="L756" s="2073" t="str">
        <f>IF($I641="","",MAX(0,ROUND((SUM($M644)*SUM(L750)*SUM(L754)*SUM(L755)-SUM(L751)-SUM(L752)+SUM(L753))*IF($H644=TRUE,1,L$2517),0)))</f>
        <v/>
      </c>
      <c r="M756" s="2073" t="str">
        <f>IF($I641="","",MAX(0,ROUND((SUM($M644)*SUM(M750)*SUM(M754)*SUM(M755)-SUM(M751)-SUM(M752)+SUM(M753))*IF($H644=TRUE,1,M$2517),0)))</f>
        <v/>
      </c>
      <c r="N756" s="2073" t="str">
        <f>IF($I641="","",MAX(0,ROUND((SUM($M644)*SUM(N750)*SUM(N754)*SUM(N755)-SUM(N751)-SUM(N752)+SUM(N753))*IF($H644=TRUE,1,N$2517),0)))</f>
        <v/>
      </c>
      <c r="O756" s="485"/>
      <c r="P756" s="1158" t="str">
        <f>EUconst_AllocPrelim&amp;I641</f>
        <v>AllocPrelim_</v>
      </c>
      <c r="Q756" s="1137"/>
      <c r="R756" s="1137"/>
      <c r="S756" s="2165" t="str">
        <f>IF($I641="","",MAX(0,ROUND((SUM($M644)*SUM(S750)*SUM(S754)*SUM(S755)-SUM(S751)-SUM(S752)+SUM(S753))*IF($H644=TRUE,1,J$2517),0)))</f>
        <v/>
      </c>
      <c r="T756" s="1137">
        <f>INDEX(F_ProductBM!V:V,MATCH(C641,F_ProductBM!C:C,0))</f>
        <v>2005</v>
      </c>
      <c r="U756" s="1137" t="e">
        <f>INDEX(I756:N756,CNTR_ReportingYear-$I$2736)&lt;&gt;INDEX(I756:N756,CNTR_ReportingYear-$H$2736)</f>
        <v>#REF!</v>
      </c>
      <c r="V756" s="1137"/>
    </row>
    <row r="757" spans="1:22" s="562" customFormat="1" ht="5.0999999999999996" customHeight="1" thickBot="1">
      <c r="A757" s="817"/>
      <c r="C757" s="485"/>
      <c r="D757" s="771"/>
      <c r="E757" s="756"/>
      <c r="F757" s="756"/>
      <c r="G757" s="756"/>
      <c r="H757" s="756"/>
      <c r="I757" s="756"/>
      <c r="J757" s="756"/>
      <c r="K757" s="1790"/>
      <c r="L757" s="1791"/>
      <c r="M757" s="1791"/>
      <c r="N757" s="1791"/>
      <c r="O757" s="485"/>
      <c r="P757" s="1137"/>
      <c r="Q757" s="1137"/>
      <c r="R757" s="1137"/>
      <c r="S757" s="1137"/>
      <c r="T757" s="1137"/>
      <c r="U757" s="1137"/>
      <c r="V757" s="1137"/>
    </row>
    <row r="758" spans="1:22" s="562" customFormat="1" ht="5.0999999999999996" customHeight="1" thickBot="1">
      <c r="A758" s="817"/>
      <c r="C758" s="485"/>
      <c r="E758" s="561"/>
      <c r="F758" s="485"/>
      <c r="G758" s="485"/>
      <c r="H758" s="485"/>
      <c r="I758" s="485"/>
      <c r="J758" s="485"/>
      <c r="K758" s="1790"/>
      <c r="L758" s="1791"/>
      <c r="M758" s="1791"/>
      <c r="N758" s="1791"/>
      <c r="O758" s="485"/>
      <c r="P758" s="1137"/>
      <c r="Q758" s="1137"/>
      <c r="R758" s="1137"/>
      <c r="S758" s="1137"/>
      <c r="T758" s="1137"/>
      <c r="U758" s="1137"/>
      <c r="V758" s="1137"/>
    </row>
    <row r="759" spans="1:22" s="562" customFormat="1" ht="12.75" customHeight="1">
      <c r="A759" s="817"/>
      <c r="C759" s="485"/>
      <c r="D759" s="772"/>
      <c r="E759" s="773"/>
      <c r="F759" s="773"/>
      <c r="G759" s="774"/>
      <c r="H759" s="774"/>
      <c r="I759" s="774"/>
      <c r="J759" s="774"/>
      <c r="K759" s="1790"/>
      <c r="L759" s="1791"/>
      <c r="M759" s="1791"/>
      <c r="N759" s="1791"/>
      <c r="O759" s="485"/>
      <c r="P759" s="1137"/>
      <c r="Q759" s="1137"/>
      <c r="R759" s="1137"/>
      <c r="S759" s="1137"/>
      <c r="T759" s="1137"/>
      <c r="U759" s="1137"/>
      <c r="V759" s="1137"/>
    </row>
    <row r="760" spans="1:22" s="562" customFormat="1" ht="13.5" thickBot="1">
      <c r="A760" s="817"/>
      <c r="C760" s="485"/>
      <c r="D760" s="776"/>
      <c r="E760" s="777"/>
      <c r="F760" s="777"/>
      <c r="G760" s="778" t="str">
        <f>EUconst_Unit</f>
        <v>Unit</v>
      </c>
      <c r="H760" s="779">
        <f t="shared" ref="H760:M760" si="53">H$2737</f>
        <v>2024</v>
      </c>
      <c r="I760" s="780">
        <f t="shared" si="53"/>
        <v>2025</v>
      </c>
      <c r="J760" s="2166">
        <f t="shared" si="53"/>
        <v>2026</v>
      </c>
      <c r="K760" s="1489">
        <f t="shared" si="53"/>
        <v>2027</v>
      </c>
      <c r="L760" s="1490">
        <f t="shared" si="53"/>
        <v>2028</v>
      </c>
      <c r="M760" s="1490">
        <f t="shared" si="53"/>
        <v>2029</v>
      </c>
      <c r="N760" s="1490">
        <f>N$2737</f>
        <v>2030</v>
      </c>
      <c r="O760" s="485"/>
      <c r="P760" s="1137"/>
      <c r="Q760" s="1137"/>
      <c r="R760" s="1137"/>
      <c r="S760" s="1137"/>
      <c r="T760" s="1117"/>
      <c r="U760" s="1137"/>
      <c r="V760" s="1137"/>
    </row>
    <row r="761" spans="1:22" s="562" customFormat="1" ht="13.5" customHeight="1" thickBot="1">
      <c r="A761" s="817"/>
      <c r="C761" s="485"/>
      <c r="D761" s="776"/>
      <c r="E761" s="2470" t="s">
        <v>1504</v>
      </c>
      <c r="F761" s="2470"/>
      <c r="G761" s="808" t="str">
        <f>EUconst_tCO2epa</f>
        <v>t CO2e/year</v>
      </c>
      <c r="H761" s="786" t="str">
        <f t="shared" ref="H761:N761" si="54">INDEX(H$92:H$108,MATCH($I641,$E$92:$E$108,0))</f>
        <v/>
      </c>
      <c r="I761" s="787" t="str">
        <f t="shared" si="54"/>
        <v/>
      </c>
      <c r="J761" s="2167" t="str">
        <f t="shared" si="54"/>
        <v/>
      </c>
      <c r="K761" s="2105" t="str">
        <f t="shared" si="54"/>
        <v/>
      </c>
      <c r="L761" s="1960" t="str">
        <f t="shared" si="54"/>
        <v/>
      </c>
      <c r="M761" s="1960" t="str">
        <f t="shared" si="54"/>
        <v/>
      </c>
      <c r="N761" s="1960" t="str">
        <f t="shared" si="54"/>
        <v/>
      </c>
      <c r="O761" s="485"/>
      <c r="P761" s="1137"/>
      <c r="Q761" s="1137"/>
      <c r="R761" s="1137"/>
      <c r="S761" s="1137"/>
      <c r="T761" s="1117"/>
      <c r="U761" s="1137"/>
      <c r="V761" s="1137"/>
    </row>
    <row r="762" spans="1:22" s="562" customFormat="1" ht="5.0999999999999996" customHeight="1">
      <c r="A762" s="817"/>
      <c r="C762" s="485"/>
      <c r="D762" s="776"/>
      <c r="E762" s="809"/>
      <c r="F762" s="809"/>
      <c r="G762" s="777"/>
      <c r="H762" s="2168"/>
      <c r="I762" s="2168"/>
      <c r="J762" s="2168"/>
      <c r="K762" s="2169"/>
      <c r="L762" s="2170"/>
      <c r="M762" s="2170"/>
      <c r="N762" s="2170"/>
      <c r="O762" s="485"/>
      <c r="P762" s="1137"/>
      <c r="Q762" s="1137"/>
      <c r="R762" s="1137"/>
      <c r="S762" s="1137"/>
      <c r="T762" s="1117"/>
      <c r="U762" s="1137"/>
      <c r="V762" s="1137"/>
    </row>
    <row r="763" spans="1:22" s="562" customFormat="1" ht="12.75" customHeight="1">
      <c r="A763" s="817"/>
      <c r="C763" s="485"/>
      <c r="D763" s="776"/>
      <c r="E763" s="2471" t="s">
        <v>1344</v>
      </c>
      <c r="F763" s="3467"/>
      <c r="G763" s="811" t="str">
        <f>EUconst_TJpa</f>
        <v>TJ / year</v>
      </c>
      <c r="H763" s="625" t="str">
        <f>IF($I641="","",IF(INDEX(F_ProductBM!H:H,MATCH($P763,F_ProductBM!$Q:$Q,0))="","",INDEX(F_ProductBM!H:H,MATCH($P763,F_ProductBM!$Q:$Q,0))))</f>
        <v/>
      </c>
      <c r="I763" s="794" t="str">
        <f>IF($I641="","",IF(INDEX(F_ProductBM!I:I,MATCH($P763,F_ProductBM!$Q:$Q,0))="","",INDEX(F_ProductBM!I:I,MATCH($P763,F_ProductBM!$Q:$Q,0))))</f>
        <v/>
      </c>
      <c r="J763" s="2171" t="str">
        <f>IF($I641="","",IF(INDEX(F_ProductBM!J:J,MATCH($P763,F_ProductBM!$Q:$Q,0))="","",INDEX(F_ProductBM!J:J,MATCH($P763,F_ProductBM!$Q:$Q,0))))</f>
        <v/>
      </c>
      <c r="K763" s="1788" t="str">
        <f>IF($I641="","",IF(INDEX(F_ProductBM!K:K,MATCH($P763,F_ProductBM!$Q:$Q,0))="","",INDEX(F_ProductBM!K:K,MATCH($P763,F_ProductBM!$Q:$Q,0))))</f>
        <v/>
      </c>
      <c r="L763" s="1789" t="str">
        <f>IF($I641="","",IF(INDEX(F_ProductBM!L:L,MATCH($P763,F_ProductBM!$Q:$Q,0))="","",INDEX(F_ProductBM!L:L,MATCH($P763,F_ProductBM!$Q:$Q,0))))</f>
        <v/>
      </c>
      <c r="M763" s="1789" t="str">
        <f>IF($I641="","",IF(INDEX(F_ProductBM!M:M,MATCH($P763,F_ProductBM!$Q:$Q,0))="","",INDEX(F_ProductBM!M:M,MATCH($P763,F_ProductBM!$Q:$Q,0))))</f>
        <v/>
      </c>
      <c r="N763" s="1789" t="str">
        <f>IF($I641="","",IF(INDEX(F_ProductBM!N:N,MATCH($P763,F_ProductBM!$Q:$Q,0))="","",INDEX(F_ProductBM!N:N,MATCH($P763,F_ProductBM!$Q:$Q,0))))</f>
        <v/>
      </c>
      <c r="O763" s="485"/>
      <c r="P763" s="2109" t="str">
        <f>EUconst_CNTR_FuelInput &amp; I641</f>
        <v>FuelInput_</v>
      </c>
      <c r="Q763" s="1137"/>
      <c r="R763" s="1137"/>
      <c r="S763" s="1137"/>
      <c r="T763" s="1117"/>
      <c r="U763" s="1137"/>
      <c r="V763" s="1137"/>
    </row>
    <row r="764" spans="1:22" s="562" customFormat="1" ht="12.75" customHeight="1">
      <c r="A764" s="817"/>
      <c r="C764" s="485"/>
      <c r="D764" s="776"/>
      <c r="E764" s="2473" t="s">
        <v>1182</v>
      </c>
      <c r="F764" s="3466"/>
      <c r="G764" s="812" t="str">
        <f>EUconst_tCO2pTJ</f>
        <v>t CO2 / TJ</v>
      </c>
      <c r="H764" s="627" t="str">
        <f>IF($I641="","",IF(INDEX(F_ProductBM!H:H,MATCH($P764,F_ProductBM!$Q:$Q,0))="","",INDEX(F_ProductBM!H:H,MATCH($P764,F_ProductBM!$Q:$Q,0))))</f>
        <v/>
      </c>
      <c r="I764" s="796" t="str">
        <f>IF($I641="","",IF(INDEX(F_ProductBM!I:I,MATCH($P764,F_ProductBM!$Q:$Q,0))="","",INDEX(F_ProductBM!I:I,MATCH($P764,F_ProductBM!$Q:$Q,0))))</f>
        <v/>
      </c>
      <c r="J764" s="2172" t="str">
        <f>IF($I641="","",IF(INDEX(F_ProductBM!J:J,MATCH($P764,F_ProductBM!$Q:$Q,0))="","",INDEX(F_ProductBM!J:J,MATCH($P764,F_ProductBM!$Q:$Q,0))))</f>
        <v/>
      </c>
      <c r="K764" s="1788" t="str">
        <f>IF($I641="","",IF(INDEX(F_ProductBM!K:K,MATCH($P764,F_ProductBM!$Q:$Q,0))="","",INDEX(F_ProductBM!K:K,MATCH($P764,F_ProductBM!$Q:$Q,0))))</f>
        <v/>
      </c>
      <c r="L764" s="1789" t="str">
        <f>IF($I641="","",IF(INDEX(F_ProductBM!L:L,MATCH($P764,F_ProductBM!$Q:$Q,0))="","",INDEX(F_ProductBM!L:L,MATCH($P764,F_ProductBM!$Q:$Q,0))))</f>
        <v/>
      </c>
      <c r="M764" s="1789" t="str">
        <f>IF($I641="","",IF(INDEX(F_ProductBM!M:M,MATCH($P764,F_ProductBM!$Q:$Q,0))="","",INDEX(F_ProductBM!M:M,MATCH($P764,F_ProductBM!$Q:$Q,0))))</f>
        <v/>
      </c>
      <c r="N764" s="1789" t="str">
        <f>IF($I641="","",IF(INDEX(F_ProductBM!N:N,MATCH($P764,F_ProductBM!$Q:$Q,0))="","",INDEX(F_ProductBM!N:N,MATCH($P764,F_ProductBM!$Q:$Q,0))))</f>
        <v/>
      </c>
      <c r="O764" s="485"/>
      <c r="P764" s="1970" t="str">
        <f>EUconst_CNTR_FuelEF &amp; I641</f>
        <v>FuelEF_</v>
      </c>
      <c r="Q764" s="1137"/>
      <c r="R764" s="1137"/>
      <c r="S764" s="1137"/>
      <c r="T764" s="1117"/>
      <c r="U764" s="1137"/>
      <c r="V764" s="1137"/>
    </row>
    <row r="765" spans="1:22" s="562" customFormat="1" ht="5.0999999999999996" customHeight="1">
      <c r="A765" s="817"/>
      <c r="C765" s="485"/>
      <c r="D765" s="776"/>
      <c r="E765" s="809"/>
      <c r="F765" s="809"/>
      <c r="G765" s="813"/>
      <c r="H765" s="2173"/>
      <c r="I765" s="2173"/>
      <c r="J765" s="2173"/>
      <c r="K765" s="1788"/>
      <c r="L765" s="1789"/>
      <c r="M765" s="1789"/>
      <c r="N765" s="1789"/>
      <c r="O765" s="485"/>
      <c r="P765" s="1137"/>
      <c r="Q765" s="1137"/>
      <c r="R765" s="1137"/>
      <c r="S765" s="1137"/>
      <c r="T765" s="1117"/>
      <c r="U765" s="1137"/>
      <c r="V765" s="1137"/>
    </row>
    <row r="766" spans="1:22" s="562" customFormat="1" ht="12.75" customHeight="1">
      <c r="A766" s="817"/>
      <c r="C766" s="485"/>
      <c r="D766" s="776"/>
      <c r="E766" s="2475" t="s">
        <v>63</v>
      </c>
      <c r="F766" s="3461"/>
      <c r="G766" s="815" t="str">
        <f>EUconst_tCO2pa</f>
        <v>t CO2 / year</v>
      </c>
      <c r="H766" s="623" t="str">
        <f>IF($I641="","",IF(INDEX(F_ProductBM!H:H,MATCH($P766,F_ProductBM!$Q:$Q,0))="","",INDEX(F_ProductBM!H:H,MATCH($P766,F_ProductBM!$Q:$Q,0))))</f>
        <v/>
      </c>
      <c r="I766" s="800" t="str">
        <f>IF($I641="","",IF(INDEX(F_ProductBM!I:I,MATCH($P766,F_ProductBM!$Q:$Q,0))="","",INDEX(F_ProductBM!I:I,MATCH($P766,F_ProductBM!$Q:$Q,0))))</f>
        <v/>
      </c>
      <c r="J766" s="2174" t="str">
        <f>IF($I641="","",IF(INDEX(F_ProductBM!J:J,MATCH($P766,F_ProductBM!$Q:$Q,0))="","",INDEX(F_ProductBM!J:J,MATCH($P766,F_ProductBM!$Q:$Q,0))))</f>
        <v/>
      </c>
      <c r="K766" s="1788" t="str">
        <f>IF($I641="","",IF(INDEX(F_ProductBM!K:K,MATCH($P766,F_ProductBM!$Q:$Q,0))="","",INDEX(F_ProductBM!K:K,MATCH($P766,F_ProductBM!$Q:$Q,0))))</f>
        <v/>
      </c>
      <c r="L766" s="1789" t="str">
        <f>IF($I641="","",IF(INDEX(F_ProductBM!L:L,MATCH($P766,F_ProductBM!$Q:$Q,0))="","",INDEX(F_ProductBM!L:L,MATCH($P766,F_ProductBM!$Q:$Q,0))))</f>
        <v/>
      </c>
      <c r="M766" s="1789" t="str">
        <f>IF($I641="","",IF(INDEX(F_ProductBM!M:M,MATCH($P766,F_ProductBM!$Q:$Q,0))="","",INDEX(F_ProductBM!M:M,MATCH($P766,F_ProductBM!$Q:$Q,0))))</f>
        <v/>
      </c>
      <c r="N766" s="1789" t="str">
        <f>IF($I641="","",IF(INDEX(F_ProductBM!N:N,MATCH($P766,F_ProductBM!$Q:$Q,0))="","",INDEX(F_ProductBM!N:N,MATCH($P766,F_ProductBM!$Q:$Q,0))))</f>
        <v/>
      </c>
      <c r="O766" s="485"/>
      <c r="P766" s="1970" t="str">
        <f>EUconst_CNTR_Emissions &amp; I641</f>
        <v>DirEmissions_</v>
      </c>
      <c r="Q766" s="1137"/>
      <c r="R766" s="1137"/>
      <c r="S766" s="1137"/>
      <c r="T766" s="1117"/>
      <c r="U766" s="1137"/>
      <c r="V766" s="1137"/>
    </row>
    <row r="767" spans="1:22" s="562" customFormat="1" ht="12.75" customHeight="1">
      <c r="A767" s="817"/>
      <c r="C767" s="485"/>
      <c r="D767" s="776"/>
      <c r="E767" s="2475" t="s">
        <v>1154</v>
      </c>
      <c r="F767" s="3461"/>
      <c r="G767" s="815" t="str">
        <f>EUconst_tCO2pa</f>
        <v>t CO2 / year</v>
      </c>
      <c r="H767" s="623" t="str">
        <f>IF($I641="","",IF(INDEX(F_ProductBM!H:H,MATCH($P767,F_ProductBM!$Q:$Q,0))="","",INDEX(F_ProductBM!H:H,MATCH($P767,F_ProductBM!$Q:$Q,0))))</f>
        <v/>
      </c>
      <c r="I767" s="800" t="str">
        <f>IF($I641="","",IF(INDEX(F_ProductBM!I:I,MATCH($P767,F_ProductBM!$Q:$Q,0))="","",INDEX(F_ProductBM!I:I,MATCH($P767,F_ProductBM!$Q:$Q,0))))</f>
        <v/>
      </c>
      <c r="J767" s="2174" t="str">
        <f>IF($I641="","",IF(INDEX(F_ProductBM!J:J,MATCH($P767,F_ProductBM!$Q:$Q,0))="","",INDEX(F_ProductBM!J:J,MATCH($P767,F_ProductBM!$Q:$Q,0))))</f>
        <v/>
      </c>
      <c r="K767" s="1788" t="str">
        <f>IF($I641="","",IF(INDEX(F_ProductBM!K:K,MATCH($P767,F_ProductBM!$Q:$Q,0))="","",INDEX(F_ProductBM!K:K,MATCH($P767,F_ProductBM!$Q:$Q,0))))</f>
        <v/>
      </c>
      <c r="L767" s="1789" t="str">
        <f>IF($I641="","",IF(INDEX(F_ProductBM!L:L,MATCH($P767,F_ProductBM!$Q:$Q,0))="","",INDEX(F_ProductBM!L:L,MATCH($P767,F_ProductBM!$Q:$Q,0))))</f>
        <v/>
      </c>
      <c r="M767" s="1789" t="str">
        <f>IF($I641="","",IF(INDEX(F_ProductBM!M:M,MATCH($P767,F_ProductBM!$Q:$Q,0))="","",INDEX(F_ProductBM!M:M,MATCH($P767,F_ProductBM!$Q:$Q,0))))</f>
        <v/>
      </c>
      <c r="N767" s="1789" t="str">
        <f>IF($I641="","",IF(INDEX(F_ProductBM!N:N,MATCH($P767,F_ProductBM!$Q:$Q,0))="","",INDEX(F_ProductBM!N:N,MATCH($P767,F_ProductBM!$Q:$Q,0))))</f>
        <v/>
      </c>
      <c r="O767" s="485"/>
      <c r="P767" s="1970" t="str">
        <f>EUconst_CNTR_EmissionsIntSource1 &amp; I641</f>
        <v>EmInternalSource1_</v>
      </c>
      <c r="Q767" s="1137"/>
      <c r="R767" s="1137"/>
      <c r="S767" s="1137"/>
      <c r="T767" s="1117"/>
      <c r="U767" s="1137"/>
      <c r="V767" s="1137"/>
    </row>
    <row r="768" spans="1:22" s="562" customFormat="1" ht="12.75" customHeight="1">
      <c r="A768" s="817"/>
      <c r="C768" s="485"/>
      <c r="D768" s="776"/>
      <c r="E768" s="2475" t="s">
        <v>1155</v>
      </c>
      <c r="F768" s="3461"/>
      <c r="G768" s="815" t="str">
        <f>EUconst_tCO2pa</f>
        <v>t CO2 / year</v>
      </c>
      <c r="H768" s="623" t="str">
        <f>IF($I641="","",IF(INDEX(F_ProductBM!H:H,MATCH($P768,F_ProductBM!$Q:$Q,0))="","",INDEX(F_ProductBM!H:H,MATCH($P768,F_ProductBM!$Q:$Q,0))))</f>
        <v/>
      </c>
      <c r="I768" s="800" t="str">
        <f>IF($I641="","",IF(INDEX(F_ProductBM!I:I,MATCH($P768,F_ProductBM!$Q:$Q,0))="","",INDEX(F_ProductBM!I:I,MATCH($P768,F_ProductBM!$Q:$Q,0))))</f>
        <v/>
      </c>
      <c r="J768" s="2174" t="str">
        <f>IF($I641="","",IF(INDEX(F_ProductBM!J:J,MATCH($P768,F_ProductBM!$Q:$Q,0))="","",INDEX(F_ProductBM!J:J,MATCH($P768,F_ProductBM!$Q:$Q,0))))</f>
        <v/>
      </c>
      <c r="K768" s="1788" t="str">
        <f>IF($I641="","",IF(INDEX(F_ProductBM!K:K,MATCH($P768,F_ProductBM!$Q:$Q,0))="","",INDEX(F_ProductBM!K:K,MATCH($P768,F_ProductBM!$Q:$Q,0))))</f>
        <v/>
      </c>
      <c r="L768" s="1789" t="str">
        <f>IF($I641="","",IF(INDEX(F_ProductBM!L:L,MATCH($P768,F_ProductBM!$Q:$Q,0))="","",INDEX(F_ProductBM!L:L,MATCH($P768,F_ProductBM!$Q:$Q,0))))</f>
        <v/>
      </c>
      <c r="M768" s="1789" t="str">
        <f>IF($I641="","",IF(INDEX(F_ProductBM!M:M,MATCH($P768,F_ProductBM!$Q:$Q,0))="","",INDEX(F_ProductBM!M:M,MATCH($P768,F_ProductBM!$Q:$Q,0))))</f>
        <v/>
      </c>
      <c r="N768" s="1789" t="str">
        <f>IF($I641="","",IF(INDEX(F_ProductBM!N:N,MATCH($P768,F_ProductBM!$Q:$Q,0))="","",INDEX(F_ProductBM!N:N,MATCH($P768,F_ProductBM!$Q:$Q,0))))</f>
        <v/>
      </c>
      <c r="O768" s="485"/>
      <c r="P768" s="1970" t="str">
        <f>EUconst_CNTR_EmissionsIntSource2 &amp; I641</f>
        <v>EmInternalSource2_</v>
      </c>
      <c r="Q768" s="1137"/>
      <c r="R768" s="1137"/>
      <c r="S768" s="1137"/>
      <c r="T768" s="1117"/>
      <c r="U768" s="1137"/>
      <c r="V768" s="1137"/>
    </row>
    <row r="769" spans="1:22" s="562" customFormat="1" ht="12.75" customHeight="1">
      <c r="A769" s="817"/>
      <c r="C769" s="485"/>
      <c r="D769" s="776"/>
      <c r="E769" s="2475" t="s">
        <v>1156</v>
      </c>
      <c r="F769" s="3461"/>
      <c r="G769" s="815" t="str">
        <f>EUconst_tCO2epa</f>
        <v>t CO2e/year</v>
      </c>
      <c r="H769" s="623" t="str">
        <f>IF($I641="","",IF(INDEX(F_ProductBM!H:H,MATCH($P769,F_ProductBM!$Q:$Q,0))="","",INDEX(F_ProductBM!H:H,MATCH($P769,F_ProductBM!$Q:$Q,0))))</f>
        <v/>
      </c>
      <c r="I769" s="800" t="str">
        <f>IF($I641="","",IF(INDEX(F_ProductBM!I:I,MATCH($P769,F_ProductBM!$Q:$Q,0))="","",INDEX(F_ProductBM!I:I,MATCH($P769,F_ProductBM!$Q:$Q,0))))</f>
        <v/>
      </c>
      <c r="J769" s="2174" t="str">
        <f>IF($I641="","",IF(INDEX(F_ProductBM!J:J,MATCH($P769,F_ProductBM!$Q:$Q,0))="","",INDEX(F_ProductBM!J:J,MATCH($P769,F_ProductBM!$Q:$Q,0))))</f>
        <v/>
      </c>
      <c r="K769" s="1788" t="str">
        <f>IF($I641="","",IF(INDEX(F_ProductBM!K:K,MATCH($P769,F_ProductBM!$Q:$Q,0))="","",INDEX(F_ProductBM!K:K,MATCH($P769,F_ProductBM!$Q:$Q,0))))</f>
        <v/>
      </c>
      <c r="L769" s="1789" t="str">
        <f>IF($I641="","",IF(INDEX(F_ProductBM!L:L,MATCH($P769,F_ProductBM!$Q:$Q,0))="","",INDEX(F_ProductBM!L:L,MATCH($P769,F_ProductBM!$Q:$Q,0))))</f>
        <v/>
      </c>
      <c r="M769" s="1789" t="str">
        <f>IF($I641="","",IF(INDEX(F_ProductBM!M:M,MATCH($P769,F_ProductBM!$Q:$Q,0))="","",INDEX(F_ProductBM!M:M,MATCH($P769,F_ProductBM!$Q:$Q,0))))</f>
        <v/>
      </c>
      <c r="N769" s="1789" t="str">
        <f>IF($I641="","",IF(INDEX(F_ProductBM!N:N,MATCH($P769,F_ProductBM!$Q:$Q,0))="","",INDEX(F_ProductBM!N:N,MATCH($P769,F_ProductBM!$Q:$Q,0))))</f>
        <v/>
      </c>
      <c r="O769" s="485"/>
      <c r="P769" s="1970" t="str">
        <f>EUconst_CNTR_CO2Feedstock &amp; I641</f>
        <v>EmCO2Feedstock_</v>
      </c>
      <c r="Q769" s="1137"/>
      <c r="R769" s="1137"/>
      <c r="S769" s="1137"/>
      <c r="T769" s="1137"/>
      <c r="U769" s="1137"/>
      <c r="V769" s="1137"/>
    </row>
    <row r="770" spans="1:22" s="562" customFormat="1" ht="5.0999999999999996" customHeight="1">
      <c r="A770" s="817"/>
      <c r="C770" s="485"/>
      <c r="D770" s="776"/>
      <c r="E770" s="809"/>
      <c r="F770" s="809"/>
      <c r="G770" s="813"/>
      <c r="H770" s="2173"/>
      <c r="I770" s="2173"/>
      <c r="J770" s="2173"/>
      <c r="K770" s="1788"/>
      <c r="L770" s="1789"/>
      <c r="M770" s="1789"/>
      <c r="N770" s="1789"/>
      <c r="O770" s="485"/>
      <c r="P770" s="1137"/>
      <c r="Q770" s="1137"/>
      <c r="R770" s="1137"/>
      <c r="S770" s="1137"/>
      <c r="T770" s="1137"/>
      <c r="U770" s="1137"/>
      <c r="V770" s="1137"/>
    </row>
    <row r="771" spans="1:22" s="562" customFormat="1" ht="12.75" customHeight="1">
      <c r="A771" s="817"/>
      <c r="C771" s="485"/>
      <c r="D771" s="776"/>
      <c r="E771" s="2471" t="s">
        <v>1087</v>
      </c>
      <c r="F771" s="3467"/>
      <c r="G771" s="811" t="str">
        <f>EUconst_TJpa</f>
        <v>TJ / year</v>
      </c>
      <c r="H771" s="625" t="str">
        <f>IF($I641="","",IF(INDEX(F_ProductBM!H:H,MATCH($P771,F_ProductBM!$Q:$Q,0))="","",INDEX(F_ProductBM!H:H,MATCH($P771,F_ProductBM!$Q:$Q,0))))</f>
        <v/>
      </c>
      <c r="I771" s="794" t="str">
        <f>IF($I641="","",IF(INDEX(F_ProductBM!I:I,MATCH($P771,F_ProductBM!$Q:$Q,0))="","",INDEX(F_ProductBM!I:I,MATCH($P771,F_ProductBM!$Q:$Q,0))))</f>
        <v/>
      </c>
      <c r="J771" s="2171" t="str">
        <f>IF($I641="","",IF(INDEX(F_ProductBM!J:J,MATCH($P771,F_ProductBM!$Q:$Q,0))="","",INDEX(F_ProductBM!J:J,MATCH($P771,F_ProductBM!$Q:$Q,0))))</f>
        <v/>
      </c>
      <c r="K771" s="1788" t="str">
        <f>IF($I641="","",IF(INDEX(F_ProductBM!K:K,MATCH($P771,F_ProductBM!$Q:$Q,0))="","",INDEX(F_ProductBM!K:K,MATCH($P771,F_ProductBM!$Q:$Q,0))))</f>
        <v/>
      </c>
      <c r="L771" s="1789" t="str">
        <f>IF($I641="","",IF(INDEX(F_ProductBM!L:L,MATCH($P771,F_ProductBM!$Q:$Q,0))="","",INDEX(F_ProductBM!L:L,MATCH($P771,F_ProductBM!$Q:$Q,0))))</f>
        <v/>
      </c>
      <c r="M771" s="1789" t="str">
        <f>IF($I641="","",IF(INDEX(F_ProductBM!M:M,MATCH($P771,F_ProductBM!$Q:$Q,0))="","",INDEX(F_ProductBM!M:M,MATCH($P771,F_ProductBM!$Q:$Q,0))))</f>
        <v/>
      </c>
      <c r="N771" s="1789" t="str">
        <f>IF($I641="","",IF(INDEX(F_ProductBM!N:N,MATCH($P771,F_ProductBM!$Q:$Q,0))="","",INDEX(F_ProductBM!N:N,MATCH($P771,F_ProductBM!$Q:$Q,0))))</f>
        <v/>
      </c>
      <c r="O771" s="485"/>
      <c r="P771" s="1970" t="str">
        <f>EUconst_CNTR_HeatImport &amp; I641</f>
        <v>HeatIm_</v>
      </c>
      <c r="Q771" s="1137"/>
      <c r="R771" s="1137"/>
      <c r="S771" s="1137"/>
      <c r="T771" s="1137"/>
      <c r="U771" s="1137"/>
      <c r="V771" s="1137"/>
    </row>
    <row r="772" spans="1:22" s="562" customFormat="1" ht="12.75" customHeight="1">
      <c r="A772" s="817"/>
      <c r="C772" s="485"/>
      <c r="D772" s="776"/>
      <c r="E772" s="2473" t="s">
        <v>1103</v>
      </c>
      <c r="F772" s="3466"/>
      <c r="G772" s="812" t="str">
        <f>EUconst_tCO2pTJ</f>
        <v>t CO2 / TJ</v>
      </c>
      <c r="H772" s="627" t="str">
        <f>IF($I641="","",IF(INDEX(F_ProductBM!H:H,MATCH($P772,F_ProductBM!$Q:$Q,0))="","",INDEX(F_ProductBM!H:H,MATCH($P772,F_ProductBM!$Q:$Q,0))))</f>
        <v/>
      </c>
      <c r="I772" s="796" t="str">
        <f>IF($I641="","",IF(INDEX(F_ProductBM!I:I,MATCH($P772,F_ProductBM!$Q:$Q,0))="","",INDEX(F_ProductBM!I:I,MATCH($P772,F_ProductBM!$Q:$Q,0))))</f>
        <v/>
      </c>
      <c r="J772" s="2172" t="str">
        <f>IF($I641="","",IF(INDEX(F_ProductBM!J:J,MATCH($P772,F_ProductBM!$Q:$Q,0))="","",INDEX(F_ProductBM!J:J,MATCH($P772,F_ProductBM!$Q:$Q,0))))</f>
        <v/>
      </c>
      <c r="K772" s="1788" t="str">
        <f>IF($I641="","",IF(INDEX(F_ProductBM!K:K,MATCH($P772,F_ProductBM!$Q:$Q,0))="","",INDEX(F_ProductBM!K:K,MATCH($P772,F_ProductBM!$Q:$Q,0))))</f>
        <v/>
      </c>
      <c r="L772" s="1789" t="str">
        <f>IF($I641="","",IF(INDEX(F_ProductBM!L:L,MATCH($P772,F_ProductBM!$Q:$Q,0))="","",INDEX(F_ProductBM!L:L,MATCH($P772,F_ProductBM!$Q:$Q,0))))</f>
        <v/>
      </c>
      <c r="M772" s="1789" t="str">
        <f>IF($I641="","",IF(INDEX(F_ProductBM!M:M,MATCH($P772,F_ProductBM!$Q:$Q,0))="","",INDEX(F_ProductBM!M:M,MATCH($P772,F_ProductBM!$Q:$Q,0))))</f>
        <v/>
      </c>
      <c r="N772" s="1789" t="str">
        <f>IF($I641="","",IF(INDEX(F_ProductBM!N:N,MATCH($P772,F_ProductBM!$Q:$Q,0))="","",INDEX(F_ProductBM!N:N,MATCH($P772,F_ProductBM!$Q:$Q,0))))</f>
        <v/>
      </c>
      <c r="O772" s="485"/>
      <c r="P772" s="1970" t="str">
        <f>EUconst_CNTR_HeatImportEF &amp; I641</f>
        <v>HeatImEF_</v>
      </c>
      <c r="Q772" s="1137"/>
      <c r="R772" s="1137"/>
      <c r="S772" s="1137"/>
      <c r="T772" s="1137"/>
      <c r="U772" s="1137"/>
      <c r="V772" s="1137"/>
    </row>
    <row r="773" spans="1:22" s="562" customFormat="1" ht="5.0999999999999996" customHeight="1">
      <c r="A773" s="817"/>
      <c r="C773" s="485"/>
      <c r="D773" s="776"/>
      <c r="E773" s="809"/>
      <c r="F773" s="809"/>
      <c r="G773" s="813"/>
      <c r="H773" s="2173"/>
      <c r="I773" s="2173"/>
      <c r="J773" s="2173"/>
      <c r="K773" s="1788"/>
      <c r="L773" s="1789"/>
      <c r="M773" s="1789"/>
      <c r="N773" s="1789"/>
      <c r="O773" s="485"/>
      <c r="P773" s="1117"/>
      <c r="Q773" s="1137"/>
      <c r="R773" s="1137"/>
      <c r="S773" s="1137"/>
      <c r="T773" s="1137"/>
      <c r="U773" s="1137"/>
      <c r="V773" s="1137"/>
    </row>
    <row r="774" spans="1:22" s="562" customFormat="1" ht="12.75" customHeight="1">
      <c r="A774" s="817"/>
      <c r="C774" s="485"/>
      <c r="D774" s="776"/>
      <c r="E774" s="2475" t="s">
        <v>1150</v>
      </c>
      <c r="F774" s="3461"/>
      <c r="G774" s="815" t="str">
        <f>EUconst_TJpa</f>
        <v>TJ / year</v>
      </c>
      <c r="H774" s="623" t="str">
        <f>IF($I641="","",IF(INDEX(F_ProductBM!H:H,MATCH($P774,F_ProductBM!$Q:$Q,0))="","",INDEX(F_ProductBM!H:H,MATCH($P774,F_ProductBM!$Q:$Q,0))))</f>
        <v/>
      </c>
      <c r="I774" s="800" t="str">
        <f>IF($I641="","",IF(INDEX(F_ProductBM!I:I,MATCH($P774,F_ProductBM!$Q:$Q,0))="","",INDEX(F_ProductBM!I:I,MATCH($P774,F_ProductBM!$Q:$Q,0))))</f>
        <v/>
      </c>
      <c r="J774" s="2174" t="str">
        <f>IF($I641="","",IF(INDEX(F_ProductBM!J:J,MATCH($P774,F_ProductBM!$Q:$Q,0))="","",INDEX(F_ProductBM!J:J,MATCH($P774,F_ProductBM!$Q:$Q,0))))</f>
        <v/>
      </c>
      <c r="K774" s="1788" t="str">
        <f>IF($I641="","",IF(INDEX(F_ProductBM!K:K,MATCH($P774,F_ProductBM!$Q:$Q,0))="","",INDEX(F_ProductBM!K:K,MATCH($P774,F_ProductBM!$Q:$Q,0))))</f>
        <v/>
      </c>
      <c r="L774" s="1789" t="str">
        <f>IF($I641="","",IF(INDEX(F_ProductBM!L:L,MATCH($P774,F_ProductBM!$Q:$Q,0))="","",INDEX(F_ProductBM!L:L,MATCH($P774,F_ProductBM!$Q:$Q,0))))</f>
        <v/>
      </c>
      <c r="M774" s="1789" t="str">
        <f>IF($I641="","",IF(INDEX(F_ProductBM!M:M,MATCH($P774,F_ProductBM!$Q:$Q,0))="","",INDEX(F_ProductBM!M:M,MATCH($P774,F_ProductBM!$Q:$Q,0))))</f>
        <v/>
      </c>
      <c r="N774" s="1789" t="str">
        <f>IF($I641="","",IF(INDEX(F_ProductBM!N:N,MATCH($P774,F_ProductBM!$Q:$Q,0))="","",INDEX(F_ProductBM!N:N,MATCH($P774,F_ProductBM!$Q:$Q,0))))</f>
        <v/>
      </c>
      <c r="O774" s="485"/>
      <c r="P774" s="1970" t="str">
        <f>EUconst_CNTR_HeatImportPulp &amp; I641</f>
        <v>HeatImPulp_</v>
      </c>
      <c r="Q774" s="1137"/>
      <c r="R774" s="1137"/>
      <c r="S774" s="1137"/>
      <c r="T774" s="1137"/>
      <c r="U774" s="1137"/>
      <c r="V774" s="1137"/>
    </row>
    <row r="775" spans="1:22" s="562" customFormat="1" ht="12.75" customHeight="1">
      <c r="A775" s="817"/>
      <c r="C775" s="485"/>
      <c r="D775" s="776"/>
      <c r="E775" s="2475" t="s">
        <v>1149</v>
      </c>
      <c r="F775" s="3461"/>
      <c r="G775" s="815" t="str">
        <f>EUconst_TJpa</f>
        <v>TJ / year</v>
      </c>
      <c r="H775" s="623" t="str">
        <f>IF($I641="","",IF(INDEX(F_ProductBM!H:H,MATCH($P775,F_ProductBM!$Q:$Q,0))="","",INDEX(F_ProductBM!H:H,MATCH($P775,F_ProductBM!$Q:$Q,0))))</f>
        <v/>
      </c>
      <c r="I775" s="800" t="str">
        <f>IF($I641="","",IF(INDEX(F_ProductBM!I:I,MATCH($P775,F_ProductBM!$Q:$Q,0))="","",INDEX(F_ProductBM!I:I,MATCH($P775,F_ProductBM!$Q:$Q,0))))</f>
        <v/>
      </c>
      <c r="J775" s="2174" t="str">
        <f>IF($I641="","",IF(INDEX(F_ProductBM!J:J,MATCH($P775,F_ProductBM!$Q:$Q,0))="","",INDEX(F_ProductBM!J:J,MATCH($P775,F_ProductBM!$Q:$Q,0))))</f>
        <v/>
      </c>
      <c r="K775" s="1788" t="str">
        <f>IF($I641="","",IF(INDEX(F_ProductBM!K:K,MATCH($P775,F_ProductBM!$Q:$Q,0))="","",INDEX(F_ProductBM!K:K,MATCH($P775,F_ProductBM!$Q:$Q,0))))</f>
        <v/>
      </c>
      <c r="L775" s="1789" t="str">
        <f>IF($I641="","",IF(INDEX(F_ProductBM!L:L,MATCH($P775,F_ProductBM!$Q:$Q,0))="","",INDEX(F_ProductBM!L:L,MATCH($P775,F_ProductBM!$Q:$Q,0))))</f>
        <v/>
      </c>
      <c r="M775" s="1789" t="str">
        <f>IF($I641="","",IF(INDEX(F_ProductBM!M:M,MATCH($P775,F_ProductBM!$Q:$Q,0))="","",INDEX(F_ProductBM!M:M,MATCH($P775,F_ProductBM!$Q:$Q,0))))</f>
        <v/>
      </c>
      <c r="N775" s="1789" t="str">
        <f>IF($I641="","",IF(INDEX(F_ProductBM!N:N,MATCH($P775,F_ProductBM!$Q:$Q,0))="","",INDEX(F_ProductBM!N:N,MATCH($P775,F_ProductBM!$Q:$Q,0))))</f>
        <v/>
      </c>
      <c r="O775" s="485"/>
      <c r="P775" s="1970" t="str">
        <f>EUconst_CNTR_HeatImportNitric &amp; I641</f>
        <v>HeatImNitric_</v>
      </c>
      <c r="Q775" s="1137"/>
      <c r="R775" s="1137"/>
      <c r="S775" s="1137"/>
      <c r="T775" s="1137"/>
      <c r="U775" s="1137"/>
      <c r="V775" s="1137"/>
    </row>
    <row r="776" spans="1:22" s="562" customFormat="1" ht="5.0999999999999996" customHeight="1">
      <c r="A776" s="817"/>
      <c r="C776" s="485"/>
      <c r="D776" s="776"/>
      <c r="E776" s="809"/>
      <c r="F776" s="809"/>
      <c r="G776" s="777"/>
      <c r="H776" s="2173"/>
      <c r="I776" s="2173"/>
      <c r="J776" s="2173"/>
      <c r="K776" s="1788"/>
      <c r="L776" s="1789"/>
      <c r="M776" s="1789"/>
      <c r="N776" s="1789"/>
      <c r="O776" s="485"/>
      <c r="P776" s="1117"/>
      <c r="Q776" s="1137"/>
      <c r="R776" s="1137"/>
      <c r="S776" s="1137"/>
      <c r="T776" s="1137"/>
      <c r="U776" s="1137"/>
      <c r="V776" s="1137"/>
    </row>
    <row r="777" spans="1:22" s="562" customFormat="1" ht="12.75" customHeight="1">
      <c r="A777" s="817"/>
      <c r="C777" s="485"/>
      <c r="D777" s="776"/>
      <c r="E777" s="2471" t="s">
        <v>1079</v>
      </c>
      <c r="F777" s="3467"/>
      <c r="G777" s="811" t="str">
        <f>EUconst_TJpa</f>
        <v>TJ / year</v>
      </c>
      <c r="H777" s="625" t="str">
        <f>IF($I641="","",IF(INDEX(F_ProductBM!H:H,MATCH($P777,F_ProductBM!$Q:$Q,0))="","",INDEX(F_ProductBM!H:H,MATCH($P777,F_ProductBM!$Q:$Q,0))))</f>
        <v/>
      </c>
      <c r="I777" s="794" t="str">
        <f>IF($I641="","",IF(INDEX(F_ProductBM!I:I,MATCH($P777,F_ProductBM!$Q:$Q,0))="","",INDEX(F_ProductBM!I:I,MATCH($P777,F_ProductBM!$Q:$Q,0))))</f>
        <v/>
      </c>
      <c r="J777" s="2171" t="str">
        <f>IF($I641="","",IF(INDEX(F_ProductBM!J:J,MATCH($P777,F_ProductBM!$Q:$Q,0))="","",INDEX(F_ProductBM!J:J,MATCH($P777,F_ProductBM!$Q:$Q,0))))</f>
        <v/>
      </c>
      <c r="K777" s="1788" t="str">
        <f>IF($I641="","",IF(INDEX(F_ProductBM!K:K,MATCH($P777,F_ProductBM!$Q:$Q,0))="","",INDEX(F_ProductBM!K:K,MATCH($P777,F_ProductBM!$Q:$Q,0))))</f>
        <v/>
      </c>
      <c r="L777" s="1789" t="str">
        <f>IF($I641="","",IF(INDEX(F_ProductBM!L:L,MATCH($P777,F_ProductBM!$Q:$Q,0))="","",INDEX(F_ProductBM!L:L,MATCH($P777,F_ProductBM!$Q:$Q,0))))</f>
        <v/>
      </c>
      <c r="M777" s="1789" t="str">
        <f>IF($I641="","",IF(INDEX(F_ProductBM!M:M,MATCH($P777,F_ProductBM!$Q:$Q,0))="","",INDEX(F_ProductBM!M:M,MATCH($P777,F_ProductBM!$Q:$Q,0))))</f>
        <v/>
      </c>
      <c r="N777" s="1789" t="str">
        <f>IF($I641="","",IF(INDEX(F_ProductBM!N:N,MATCH($P777,F_ProductBM!$Q:$Q,0))="","",INDEX(F_ProductBM!N:N,MATCH($P777,F_ProductBM!$Q:$Q,0))))</f>
        <v/>
      </c>
      <c r="O777" s="485"/>
      <c r="P777" s="1970" t="str">
        <f>EUconst_CNTR_HeatExport &amp; I641</f>
        <v>HeatEx_</v>
      </c>
      <c r="Q777" s="1137"/>
      <c r="R777" s="1137"/>
      <c r="S777" s="1137"/>
      <c r="T777" s="1137"/>
      <c r="U777" s="1137"/>
      <c r="V777" s="1137"/>
    </row>
    <row r="778" spans="1:22" s="562" customFormat="1" ht="12.75" customHeight="1">
      <c r="A778" s="817"/>
      <c r="C778" s="485"/>
      <c r="D778" s="776"/>
      <c r="E778" s="2473" t="s">
        <v>1104</v>
      </c>
      <c r="F778" s="3466"/>
      <c r="G778" s="812" t="str">
        <f>EUconst_tCO2pTJ</f>
        <v>t CO2 / TJ</v>
      </c>
      <c r="H778" s="627" t="str">
        <f>IF($I641="","",IF(INDEX(F_ProductBM!H:H,MATCH($P778,F_ProductBM!$Q:$Q,0))="","",INDEX(F_ProductBM!H:H,MATCH($P778,F_ProductBM!$Q:$Q,0))))</f>
        <v/>
      </c>
      <c r="I778" s="796" t="str">
        <f>IF($I641="","",IF(INDEX(F_ProductBM!I:I,MATCH($P778,F_ProductBM!$Q:$Q,0))="","",INDEX(F_ProductBM!I:I,MATCH($P778,F_ProductBM!$Q:$Q,0))))</f>
        <v/>
      </c>
      <c r="J778" s="2172" t="str">
        <f>IF($I641="","",IF(INDEX(F_ProductBM!J:J,MATCH($P778,F_ProductBM!$Q:$Q,0))="","",INDEX(F_ProductBM!J:J,MATCH($P778,F_ProductBM!$Q:$Q,0))))</f>
        <v/>
      </c>
      <c r="K778" s="1788" t="str">
        <f>IF($I641="","",IF(INDEX(F_ProductBM!K:K,MATCH($P778,F_ProductBM!$Q:$Q,0))="","",INDEX(F_ProductBM!K:K,MATCH($P778,F_ProductBM!$Q:$Q,0))))</f>
        <v/>
      </c>
      <c r="L778" s="1789" t="str">
        <f>IF($I641="","",IF(INDEX(F_ProductBM!L:L,MATCH($P778,F_ProductBM!$Q:$Q,0))="","",INDEX(F_ProductBM!L:L,MATCH($P778,F_ProductBM!$Q:$Q,0))))</f>
        <v/>
      </c>
      <c r="M778" s="1789" t="str">
        <f>IF($I641="","",IF(INDEX(F_ProductBM!M:M,MATCH($P778,F_ProductBM!$Q:$Q,0))="","",INDEX(F_ProductBM!M:M,MATCH($P778,F_ProductBM!$Q:$Q,0))))</f>
        <v/>
      </c>
      <c r="N778" s="1789" t="str">
        <f>IF($I641="","",IF(INDEX(F_ProductBM!N:N,MATCH($P778,F_ProductBM!$Q:$Q,0))="","",INDEX(F_ProductBM!N:N,MATCH($P778,F_ProductBM!$Q:$Q,0))))</f>
        <v/>
      </c>
      <c r="O778" s="485"/>
      <c r="P778" s="1970" t="str">
        <f>EUconst_CNTR_HeatExportEF &amp; I641</f>
        <v>HeatExEF_</v>
      </c>
      <c r="Q778" s="1137"/>
      <c r="R778" s="1137"/>
      <c r="S778" s="1137"/>
      <c r="T778" s="1137"/>
      <c r="U778" s="1137"/>
      <c r="V778" s="1137"/>
    </row>
    <row r="779" spans="1:22" s="562" customFormat="1" ht="5.0999999999999996" customHeight="1">
      <c r="A779" s="817"/>
      <c r="C779" s="485"/>
      <c r="D779" s="776"/>
      <c r="E779" s="809"/>
      <c r="F779" s="809"/>
      <c r="G779" s="777"/>
      <c r="H779" s="2173"/>
      <c r="I779" s="2173"/>
      <c r="J779" s="2173"/>
      <c r="K779" s="1788"/>
      <c r="L779" s="1789"/>
      <c r="M779" s="1789"/>
      <c r="N779" s="1789"/>
      <c r="O779" s="485"/>
      <c r="P779" s="1117"/>
      <c r="Q779" s="1137"/>
      <c r="R779" s="1137"/>
      <c r="S779" s="1137"/>
      <c r="T779" s="1137"/>
      <c r="U779" s="1137"/>
      <c r="V779" s="1137"/>
    </row>
    <row r="780" spans="1:22" s="562" customFormat="1" ht="12.75" customHeight="1">
      <c r="A780" s="817"/>
      <c r="C780" s="485"/>
      <c r="D780" s="776"/>
      <c r="E780" s="2471" t="s">
        <v>1141</v>
      </c>
      <c r="F780" s="3467"/>
      <c r="G780" s="811" t="str">
        <f>EUconst_TJpa</f>
        <v>TJ / year</v>
      </c>
      <c r="H780" s="625" t="str">
        <f>IF($I641="","",IF(INDEX(F_ProductBM!H:H,MATCH($P780,F_ProductBM!$Q:$Q,0))="","",INDEX(F_ProductBM!H:H,MATCH($P780,F_ProductBM!$Q:$Q,0))))</f>
        <v/>
      </c>
      <c r="I780" s="794" t="str">
        <f>IF($I641="","",IF(INDEX(F_ProductBM!I:I,MATCH($P780,F_ProductBM!$Q:$Q,0))="","",INDEX(F_ProductBM!I:I,MATCH($P780,F_ProductBM!$Q:$Q,0))))</f>
        <v/>
      </c>
      <c r="J780" s="2171" t="str">
        <f>IF($I641="","",IF(INDEX(F_ProductBM!J:J,MATCH($P780,F_ProductBM!$Q:$Q,0))="","",INDEX(F_ProductBM!J:J,MATCH($P780,F_ProductBM!$Q:$Q,0))))</f>
        <v/>
      </c>
      <c r="K780" s="1788" t="str">
        <f>IF($I641="","",IF(INDEX(F_ProductBM!K:K,MATCH($P780,F_ProductBM!$Q:$Q,0))="","",INDEX(F_ProductBM!K:K,MATCH($P780,F_ProductBM!$Q:$Q,0))))</f>
        <v/>
      </c>
      <c r="L780" s="1789" t="str">
        <f>IF($I641="","",IF(INDEX(F_ProductBM!L:L,MATCH($P780,F_ProductBM!$Q:$Q,0))="","",INDEX(F_ProductBM!L:L,MATCH($P780,F_ProductBM!$Q:$Q,0))))</f>
        <v/>
      </c>
      <c r="M780" s="1789" t="str">
        <f>IF($I641="","",IF(INDEX(F_ProductBM!M:M,MATCH($P780,F_ProductBM!$Q:$Q,0))="","",INDEX(F_ProductBM!M:M,MATCH($P780,F_ProductBM!$Q:$Q,0))))</f>
        <v/>
      </c>
      <c r="N780" s="1789" t="str">
        <f>IF($I641="","",IF(INDEX(F_ProductBM!N:N,MATCH($P780,F_ProductBM!$Q:$Q,0))="","",INDEX(F_ProductBM!N:N,MATCH($P780,F_ProductBM!$Q:$Q,0))))</f>
        <v/>
      </c>
      <c r="O780" s="485"/>
      <c r="P780" s="2109" t="str">
        <f>EUconst_CNTR_WGProduced &amp; I641</f>
        <v>WasteGasProd_</v>
      </c>
      <c r="Q780" s="1137"/>
      <c r="R780" s="1137"/>
      <c r="S780" s="1137"/>
      <c r="T780" s="1137"/>
      <c r="U780" s="1137"/>
      <c r="V780" s="1137"/>
    </row>
    <row r="781" spans="1:22" s="562" customFormat="1" ht="12.75" customHeight="1">
      <c r="A781" s="817"/>
      <c r="C781" s="485"/>
      <c r="D781" s="776"/>
      <c r="E781" s="2473" t="s">
        <v>1258</v>
      </c>
      <c r="F781" s="3466"/>
      <c r="G781" s="812" t="str">
        <f>EUconst_tCO2pTJ</f>
        <v>t CO2 / TJ</v>
      </c>
      <c r="H781" s="627" t="str">
        <f>IF($I641="","",IF(INDEX(F_ProductBM!H:H,MATCH($P781,F_ProductBM!$Q:$Q,0))="","",INDEX(F_ProductBM!H:H,MATCH($P781,F_ProductBM!$Q:$Q,0))))</f>
        <v/>
      </c>
      <c r="I781" s="796" t="str">
        <f>IF($I641="","",IF(INDEX(F_ProductBM!I:I,MATCH($P781,F_ProductBM!$Q:$Q,0))="","",INDEX(F_ProductBM!I:I,MATCH($P781,F_ProductBM!$Q:$Q,0))))</f>
        <v/>
      </c>
      <c r="J781" s="2172" t="str">
        <f>IF($I641="","",IF(INDEX(F_ProductBM!J:J,MATCH($P781,F_ProductBM!$Q:$Q,0))="","",INDEX(F_ProductBM!J:J,MATCH($P781,F_ProductBM!$Q:$Q,0))))</f>
        <v/>
      </c>
      <c r="K781" s="1788" t="str">
        <f>IF($I641="","",IF(INDEX(F_ProductBM!K:K,MATCH($P781,F_ProductBM!$Q:$Q,0))="","",INDEX(F_ProductBM!K:K,MATCH($P781,F_ProductBM!$Q:$Q,0))))</f>
        <v/>
      </c>
      <c r="L781" s="1789" t="str">
        <f>IF($I641="","",IF(INDEX(F_ProductBM!L:L,MATCH($P781,F_ProductBM!$Q:$Q,0))="","",INDEX(F_ProductBM!L:L,MATCH($P781,F_ProductBM!$Q:$Q,0))))</f>
        <v/>
      </c>
      <c r="M781" s="1789" t="str">
        <f>IF($I641="","",IF(INDEX(F_ProductBM!M:M,MATCH($P781,F_ProductBM!$Q:$Q,0))="","",INDEX(F_ProductBM!M:M,MATCH($P781,F_ProductBM!$Q:$Q,0))))</f>
        <v/>
      </c>
      <c r="N781" s="1789" t="str">
        <f>IF($I641="","",IF(INDEX(F_ProductBM!N:N,MATCH($P781,F_ProductBM!$Q:$Q,0))="","",INDEX(F_ProductBM!N:N,MATCH($P781,F_ProductBM!$Q:$Q,0))))</f>
        <v/>
      </c>
      <c r="O781" s="485"/>
      <c r="P781" s="1970" t="str">
        <f>EUconst_CNTR_WGProducedEF &amp; I641</f>
        <v>WasteGasProdEF_</v>
      </c>
      <c r="Q781" s="1137"/>
      <c r="R781" s="1137"/>
      <c r="S781" s="1137"/>
      <c r="T781" s="1137"/>
      <c r="U781" s="1137"/>
      <c r="V781" s="1137"/>
    </row>
    <row r="782" spans="1:22" s="562" customFormat="1" ht="12.75" customHeight="1">
      <c r="A782" s="817"/>
      <c r="C782" s="485"/>
      <c r="D782" s="776"/>
      <c r="E782" s="2471" t="s">
        <v>1309</v>
      </c>
      <c r="F782" s="3467"/>
      <c r="G782" s="811" t="str">
        <f>EUconst_TJpa</f>
        <v>TJ / year</v>
      </c>
      <c r="H782" s="625" t="str">
        <f>IF($I641="","",IF(INDEX(F_ProductBM!H:H,MATCH($P782,F_ProductBM!$Q:$Q,0))="","",INDEX(F_ProductBM!H:H,MATCH($P782,F_ProductBM!$Q:$Q,0))))</f>
        <v/>
      </c>
      <c r="I782" s="794" t="str">
        <f>IF($I641="","",IF(INDEX(F_ProductBM!I:I,MATCH($P782,F_ProductBM!$Q:$Q,0))="","",INDEX(F_ProductBM!I:I,MATCH($P782,F_ProductBM!$Q:$Q,0))))</f>
        <v/>
      </c>
      <c r="J782" s="2171" t="str">
        <f>IF($I641="","",IF(INDEX(F_ProductBM!J:J,MATCH($P782,F_ProductBM!$Q:$Q,0))="","",INDEX(F_ProductBM!J:J,MATCH($P782,F_ProductBM!$Q:$Q,0))))</f>
        <v/>
      </c>
      <c r="K782" s="1788" t="str">
        <f>IF($I641="","",IF(INDEX(F_ProductBM!K:K,MATCH($P782,F_ProductBM!$Q:$Q,0))="","",INDEX(F_ProductBM!K:K,MATCH($P782,F_ProductBM!$Q:$Q,0))))</f>
        <v/>
      </c>
      <c r="L782" s="1789" t="str">
        <f>IF($I641="","",IF(INDEX(F_ProductBM!L:L,MATCH($P782,F_ProductBM!$Q:$Q,0))="","",INDEX(F_ProductBM!L:L,MATCH($P782,F_ProductBM!$Q:$Q,0))))</f>
        <v/>
      </c>
      <c r="M782" s="1789" t="str">
        <f>IF($I641="","",IF(INDEX(F_ProductBM!M:M,MATCH($P782,F_ProductBM!$Q:$Q,0))="","",INDEX(F_ProductBM!M:M,MATCH($P782,F_ProductBM!$Q:$Q,0))))</f>
        <v/>
      </c>
      <c r="N782" s="1789" t="str">
        <f>IF($I641="","",IF(INDEX(F_ProductBM!N:N,MATCH($P782,F_ProductBM!$Q:$Q,0))="","",INDEX(F_ProductBM!N:N,MATCH($P782,F_ProductBM!$Q:$Q,0))))</f>
        <v/>
      </c>
      <c r="O782" s="485"/>
      <c r="P782" s="1970" t="str">
        <f>EUconst_CNTR_WGConsumed &amp; I641</f>
        <v>WasteGasCons_</v>
      </c>
      <c r="Q782" s="1137"/>
      <c r="R782" s="1137"/>
      <c r="S782" s="1137"/>
      <c r="T782" s="1137"/>
      <c r="U782" s="1137"/>
      <c r="V782" s="1137"/>
    </row>
    <row r="783" spans="1:22" s="562" customFormat="1" ht="12.75" customHeight="1">
      <c r="A783" s="817"/>
      <c r="C783" s="485"/>
      <c r="D783" s="776"/>
      <c r="E783" s="2473" t="s">
        <v>1307</v>
      </c>
      <c r="F783" s="3466"/>
      <c r="G783" s="812" t="str">
        <f>EUconst_tCO2pTJ</f>
        <v>t CO2 / TJ</v>
      </c>
      <c r="H783" s="627" t="str">
        <f>IF($I641="","",IF(INDEX(F_ProductBM!H:H,MATCH($P783,F_ProductBM!$Q:$Q,0))="","",INDEX(F_ProductBM!H:H,MATCH($P783,F_ProductBM!$Q:$Q,0))))</f>
        <v/>
      </c>
      <c r="I783" s="796" t="str">
        <f>IF($I641="","",IF(INDEX(F_ProductBM!I:I,MATCH($P783,F_ProductBM!$Q:$Q,0))="","",INDEX(F_ProductBM!I:I,MATCH($P783,F_ProductBM!$Q:$Q,0))))</f>
        <v/>
      </c>
      <c r="J783" s="2172" t="str">
        <f>IF($I641="","",IF(INDEX(F_ProductBM!J:J,MATCH($P783,F_ProductBM!$Q:$Q,0))="","",INDEX(F_ProductBM!J:J,MATCH($P783,F_ProductBM!$Q:$Q,0))))</f>
        <v/>
      </c>
      <c r="K783" s="1788" t="str">
        <f>IF($I641="","",IF(INDEX(F_ProductBM!K:K,MATCH($P783,F_ProductBM!$Q:$Q,0))="","",INDEX(F_ProductBM!K:K,MATCH($P783,F_ProductBM!$Q:$Q,0))))</f>
        <v/>
      </c>
      <c r="L783" s="1789" t="str">
        <f>IF($I641="","",IF(INDEX(F_ProductBM!L:L,MATCH($P783,F_ProductBM!$Q:$Q,0))="","",INDEX(F_ProductBM!L:L,MATCH($P783,F_ProductBM!$Q:$Q,0))))</f>
        <v/>
      </c>
      <c r="M783" s="1789" t="str">
        <f>IF($I641="","",IF(INDEX(F_ProductBM!M:M,MATCH($P783,F_ProductBM!$Q:$Q,0))="","",INDEX(F_ProductBM!M:M,MATCH($P783,F_ProductBM!$Q:$Q,0))))</f>
        <v/>
      </c>
      <c r="N783" s="1789" t="str">
        <f>IF($I641="","",IF(INDEX(F_ProductBM!N:N,MATCH($P783,F_ProductBM!$Q:$Q,0))="","",INDEX(F_ProductBM!N:N,MATCH($P783,F_ProductBM!$Q:$Q,0))))</f>
        <v/>
      </c>
      <c r="O783" s="485"/>
      <c r="P783" s="1970" t="str">
        <f>EUconst_CNTR_WGConsumedEF &amp; I641</f>
        <v>WasteGasConsEF_</v>
      </c>
      <c r="Q783" s="1137"/>
      <c r="R783" s="1137"/>
      <c r="S783" s="1137"/>
      <c r="T783" s="1137"/>
      <c r="U783" s="1137"/>
      <c r="V783" s="1137"/>
    </row>
    <row r="784" spans="1:22" s="562" customFormat="1" ht="12.75" customHeight="1">
      <c r="A784" s="817"/>
      <c r="C784" s="485"/>
      <c r="D784" s="776"/>
      <c r="E784" s="2471" t="s">
        <v>1288</v>
      </c>
      <c r="F784" s="3467"/>
      <c r="G784" s="811" t="str">
        <f>EUconst_TJpa</f>
        <v>TJ / year</v>
      </c>
      <c r="H784" s="625" t="str">
        <f>IF($I641="","",IF(INDEX(F_ProductBM!H:H,MATCH($P784,F_ProductBM!$Q:$Q,0))="","",INDEX(F_ProductBM!H:H,MATCH($P784,F_ProductBM!$Q:$Q,0))))</f>
        <v/>
      </c>
      <c r="I784" s="794" t="str">
        <f>IF($I641="","",IF(INDEX(F_ProductBM!I:I,MATCH($P784,F_ProductBM!$Q:$Q,0))="","",INDEX(F_ProductBM!I:I,MATCH($P784,F_ProductBM!$Q:$Q,0))))</f>
        <v/>
      </c>
      <c r="J784" s="2171" t="str">
        <f>IF($I641="","",IF(INDEX(F_ProductBM!J:J,MATCH($P784,F_ProductBM!$Q:$Q,0))="","",INDEX(F_ProductBM!J:J,MATCH($P784,F_ProductBM!$Q:$Q,0))))</f>
        <v/>
      </c>
      <c r="K784" s="1788" t="str">
        <f>IF($I641="","",IF(INDEX(F_ProductBM!K:K,MATCH($P784,F_ProductBM!$Q:$Q,0))="","",INDEX(F_ProductBM!K:K,MATCH($P784,F_ProductBM!$Q:$Q,0))))</f>
        <v/>
      </c>
      <c r="L784" s="1789" t="str">
        <f>IF($I641="","",IF(INDEX(F_ProductBM!L:L,MATCH($P784,F_ProductBM!$Q:$Q,0))="","",INDEX(F_ProductBM!L:L,MATCH($P784,F_ProductBM!$Q:$Q,0))))</f>
        <v/>
      </c>
      <c r="M784" s="1789" t="str">
        <f>IF($I641="","",IF(INDEX(F_ProductBM!M:M,MATCH($P784,F_ProductBM!$Q:$Q,0))="","",INDEX(F_ProductBM!M:M,MATCH($P784,F_ProductBM!$Q:$Q,0))))</f>
        <v/>
      </c>
      <c r="N784" s="1789" t="str">
        <f>IF($I641="","",IF(INDEX(F_ProductBM!N:N,MATCH($P784,F_ProductBM!$Q:$Q,0))="","",INDEX(F_ProductBM!N:N,MATCH($P784,F_ProductBM!$Q:$Q,0))))</f>
        <v/>
      </c>
      <c r="O784" s="485"/>
      <c r="P784" s="1970" t="str">
        <f>EUconst_CNTR_WGFlared &amp; I641</f>
        <v>WasteGasFlare_</v>
      </c>
      <c r="Q784" s="1137"/>
      <c r="R784" s="1137"/>
      <c r="S784" s="1137"/>
      <c r="T784" s="1137"/>
      <c r="U784" s="1137"/>
      <c r="V784" s="1137"/>
    </row>
    <row r="785" spans="1:22" s="562" customFormat="1" ht="12.75" customHeight="1">
      <c r="A785" s="817"/>
      <c r="C785" s="485"/>
      <c r="D785" s="776"/>
      <c r="E785" s="2473" t="s">
        <v>1308</v>
      </c>
      <c r="F785" s="3466"/>
      <c r="G785" s="812" t="str">
        <f>EUconst_tCO2pTJ</f>
        <v>t CO2 / TJ</v>
      </c>
      <c r="H785" s="627" t="str">
        <f>IF($I641="","",IF(INDEX(F_ProductBM!H:H,MATCH($P785,F_ProductBM!$Q:$Q,0))="","",INDEX(F_ProductBM!H:H,MATCH($P785,F_ProductBM!$Q:$Q,0))))</f>
        <v/>
      </c>
      <c r="I785" s="796" t="str">
        <f>IF($I641="","",IF(INDEX(F_ProductBM!I:I,MATCH($P785,F_ProductBM!$Q:$Q,0))="","",INDEX(F_ProductBM!I:I,MATCH($P785,F_ProductBM!$Q:$Q,0))))</f>
        <v/>
      </c>
      <c r="J785" s="2172" t="str">
        <f>IF($I641="","",IF(INDEX(F_ProductBM!J:J,MATCH($P785,F_ProductBM!$Q:$Q,0))="","",INDEX(F_ProductBM!J:J,MATCH($P785,F_ProductBM!$Q:$Q,0))))</f>
        <v/>
      </c>
      <c r="K785" s="1788" t="str">
        <f>IF($I641="","",IF(INDEX(F_ProductBM!K:K,MATCH($P785,F_ProductBM!$Q:$Q,0))="","",INDEX(F_ProductBM!K:K,MATCH($P785,F_ProductBM!$Q:$Q,0))))</f>
        <v/>
      </c>
      <c r="L785" s="1789" t="str">
        <f>IF($I641="","",IF(INDEX(F_ProductBM!L:L,MATCH($P785,F_ProductBM!$Q:$Q,0))="","",INDEX(F_ProductBM!L:L,MATCH($P785,F_ProductBM!$Q:$Q,0))))</f>
        <v/>
      </c>
      <c r="M785" s="1789" t="str">
        <f>IF($I641="","",IF(INDEX(F_ProductBM!M:M,MATCH($P785,F_ProductBM!$Q:$Q,0))="","",INDEX(F_ProductBM!M:M,MATCH($P785,F_ProductBM!$Q:$Q,0))))</f>
        <v/>
      </c>
      <c r="N785" s="1789" t="str">
        <f>IF($I641="","",IF(INDEX(F_ProductBM!N:N,MATCH($P785,F_ProductBM!$Q:$Q,0))="","",INDEX(F_ProductBM!N:N,MATCH($P785,F_ProductBM!$Q:$Q,0))))</f>
        <v/>
      </c>
      <c r="O785" s="485"/>
      <c r="P785" s="1970" t="str">
        <f>EUconst_CNTR_WGFlaredEF &amp; I641</f>
        <v>WasteGasFlareEF_</v>
      </c>
      <c r="Q785" s="1137"/>
      <c r="R785" s="1137"/>
      <c r="S785" s="1137"/>
      <c r="T785" s="1137"/>
      <c r="U785" s="1137"/>
      <c r="V785" s="1137"/>
    </row>
    <row r="786" spans="1:22" s="562" customFormat="1" ht="12.75" customHeight="1">
      <c r="A786" s="817"/>
      <c r="C786" s="485"/>
      <c r="D786" s="776"/>
      <c r="E786" s="2471" t="s">
        <v>1102</v>
      </c>
      <c r="F786" s="3467"/>
      <c r="G786" s="811" t="str">
        <f>EUconst_TJpa</f>
        <v>TJ / year</v>
      </c>
      <c r="H786" s="625" t="str">
        <f>IF($I641="","",IF(INDEX(F_ProductBM!H:H,MATCH($P786,F_ProductBM!$Q:$Q,0))="","",INDEX(F_ProductBM!H:H,MATCH($P786,F_ProductBM!$Q:$Q,0))))</f>
        <v/>
      </c>
      <c r="I786" s="794" t="str">
        <f>IF($I641="","",IF(INDEX(F_ProductBM!I:I,MATCH($P786,F_ProductBM!$Q:$Q,0))="","",INDEX(F_ProductBM!I:I,MATCH($P786,F_ProductBM!$Q:$Q,0))))</f>
        <v/>
      </c>
      <c r="J786" s="2171" t="str">
        <f>IF($I641="","",IF(INDEX(F_ProductBM!J:J,MATCH($P786,F_ProductBM!$Q:$Q,0))="","",INDEX(F_ProductBM!J:J,MATCH($P786,F_ProductBM!$Q:$Q,0))))</f>
        <v/>
      </c>
      <c r="K786" s="1788" t="str">
        <f>IF($I641="","",IF(INDEX(F_ProductBM!K:K,MATCH($P786,F_ProductBM!$Q:$Q,0))="","",INDEX(F_ProductBM!K:K,MATCH($P786,F_ProductBM!$Q:$Q,0))))</f>
        <v/>
      </c>
      <c r="L786" s="1789" t="str">
        <f>IF($I641="","",IF(INDEX(F_ProductBM!L:L,MATCH($P786,F_ProductBM!$Q:$Q,0))="","",INDEX(F_ProductBM!L:L,MATCH($P786,F_ProductBM!$Q:$Q,0))))</f>
        <v/>
      </c>
      <c r="M786" s="1789" t="str">
        <f>IF($I641="","",IF(INDEX(F_ProductBM!M:M,MATCH($P786,F_ProductBM!$Q:$Q,0))="","",INDEX(F_ProductBM!M:M,MATCH($P786,F_ProductBM!$Q:$Q,0))))</f>
        <v/>
      </c>
      <c r="N786" s="1789" t="str">
        <f>IF($I641="","",IF(INDEX(F_ProductBM!N:N,MATCH($P786,F_ProductBM!$Q:$Q,0))="","",INDEX(F_ProductBM!N:N,MATCH($P786,F_ProductBM!$Q:$Q,0))))</f>
        <v/>
      </c>
      <c r="O786" s="485"/>
      <c r="P786" s="1970" t="str">
        <f>EUconst_CNTR_WGImport &amp; I641</f>
        <v>WasteGasIm_</v>
      </c>
      <c r="Q786" s="1137"/>
      <c r="R786" s="1137"/>
      <c r="S786" s="1137"/>
      <c r="T786" s="1137"/>
      <c r="U786" s="1137"/>
      <c r="V786" s="1137"/>
    </row>
    <row r="787" spans="1:22" s="562" customFormat="1" ht="12.75" customHeight="1">
      <c r="A787" s="817"/>
      <c r="C787" s="485"/>
      <c r="D787" s="776"/>
      <c r="E787" s="816" t="s">
        <v>1275</v>
      </c>
      <c r="F787" s="816"/>
      <c r="G787" s="812" t="str">
        <f>EUconst_tCO2pTJ</f>
        <v>t CO2 / TJ</v>
      </c>
      <c r="H787" s="627" t="str">
        <f>IF($I641="","",IF(INDEX(F_ProductBM!H:H,MATCH($P787,F_ProductBM!$Q:$Q,0))="","",INDEX(F_ProductBM!H:H,MATCH($P787,F_ProductBM!$Q:$Q,0))))</f>
        <v/>
      </c>
      <c r="I787" s="796" t="str">
        <f>IF($I641="","",IF(INDEX(F_ProductBM!I:I,MATCH($P787,F_ProductBM!$Q:$Q,0))="","",INDEX(F_ProductBM!I:I,MATCH($P787,F_ProductBM!$Q:$Q,0))))</f>
        <v/>
      </c>
      <c r="J787" s="2172" t="str">
        <f>IF($I641="","",IF(INDEX(F_ProductBM!J:J,MATCH($P787,F_ProductBM!$Q:$Q,0))="","",INDEX(F_ProductBM!J:J,MATCH($P787,F_ProductBM!$Q:$Q,0))))</f>
        <v/>
      </c>
      <c r="K787" s="1788" t="str">
        <f>IF($I641="","",IF(INDEX(F_ProductBM!K:K,MATCH($P787,F_ProductBM!$Q:$Q,0))="","",INDEX(F_ProductBM!K:K,MATCH($P787,F_ProductBM!$Q:$Q,0))))</f>
        <v/>
      </c>
      <c r="L787" s="1789" t="str">
        <f>IF($I641="","",IF(INDEX(F_ProductBM!L:L,MATCH($P787,F_ProductBM!$Q:$Q,0))="","",INDEX(F_ProductBM!L:L,MATCH($P787,F_ProductBM!$Q:$Q,0))))</f>
        <v/>
      </c>
      <c r="M787" s="1789" t="str">
        <f>IF($I641="","",IF(INDEX(F_ProductBM!M:M,MATCH($P787,F_ProductBM!$Q:$Q,0))="","",INDEX(F_ProductBM!M:M,MATCH($P787,F_ProductBM!$Q:$Q,0))))</f>
        <v/>
      </c>
      <c r="N787" s="1789" t="str">
        <f>IF($I641="","",IF(INDEX(F_ProductBM!N:N,MATCH($P787,F_ProductBM!$Q:$Q,0))="","",INDEX(F_ProductBM!N:N,MATCH($P787,F_ProductBM!$Q:$Q,0))))</f>
        <v/>
      </c>
      <c r="O787" s="485"/>
      <c r="P787" s="1970" t="str">
        <f>EUconst_CNTR_WGImportEF &amp; I641</f>
        <v>WasteGasImEF_</v>
      </c>
      <c r="Q787" s="1137"/>
      <c r="R787" s="1137"/>
      <c r="S787" s="1137"/>
      <c r="T787" s="1137"/>
      <c r="U787" s="1137"/>
      <c r="V787" s="1137"/>
    </row>
    <row r="788" spans="1:22" s="562" customFormat="1" ht="12.75" customHeight="1">
      <c r="A788" s="817"/>
      <c r="C788" s="485"/>
      <c r="D788" s="776"/>
      <c r="E788" s="2471" t="s">
        <v>1080</v>
      </c>
      <c r="F788" s="3467"/>
      <c r="G788" s="811" t="str">
        <f>EUconst_TJpa</f>
        <v>TJ / year</v>
      </c>
      <c r="H788" s="625" t="str">
        <f>IF($I641="","",IF(INDEX(F_ProductBM!H:H,MATCH($P788,F_ProductBM!$Q:$Q,0))="","",INDEX(F_ProductBM!H:H,MATCH($P788,F_ProductBM!$Q:$Q,0))))</f>
        <v/>
      </c>
      <c r="I788" s="794" t="str">
        <f>IF($I641="","",IF(INDEX(F_ProductBM!I:I,MATCH($P788,F_ProductBM!$Q:$Q,0))="","",INDEX(F_ProductBM!I:I,MATCH($P788,F_ProductBM!$Q:$Q,0))))</f>
        <v/>
      </c>
      <c r="J788" s="2171" t="str">
        <f>IF($I641="","",IF(INDEX(F_ProductBM!J:J,MATCH($P788,F_ProductBM!$Q:$Q,0))="","",INDEX(F_ProductBM!J:J,MATCH($P788,F_ProductBM!$Q:$Q,0))))</f>
        <v/>
      </c>
      <c r="K788" s="1788" t="str">
        <f>IF($I641="","",IF(INDEX(F_ProductBM!K:K,MATCH($P788,F_ProductBM!$Q:$Q,0))="","",INDEX(F_ProductBM!K:K,MATCH($P788,F_ProductBM!$Q:$Q,0))))</f>
        <v/>
      </c>
      <c r="L788" s="1789" t="str">
        <f>IF($I641="","",IF(INDEX(F_ProductBM!L:L,MATCH($P788,F_ProductBM!$Q:$Q,0))="","",INDEX(F_ProductBM!L:L,MATCH($P788,F_ProductBM!$Q:$Q,0))))</f>
        <v/>
      </c>
      <c r="M788" s="1789" t="str">
        <f>IF($I641="","",IF(INDEX(F_ProductBM!M:M,MATCH($P788,F_ProductBM!$Q:$Q,0))="","",INDEX(F_ProductBM!M:M,MATCH($P788,F_ProductBM!$Q:$Q,0))))</f>
        <v/>
      </c>
      <c r="N788" s="1789" t="str">
        <f>IF($I641="","",IF(INDEX(F_ProductBM!N:N,MATCH($P788,F_ProductBM!$Q:$Q,0))="","",INDEX(F_ProductBM!N:N,MATCH($P788,F_ProductBM!$Q:$Q,0))))</f>
        <v/>
      </c>
      <c r="O788" s="485"/>
      <c r="P788" s="1970" t="str">
        <f>EUconst_CNTR_WGExport &amp; I641</f>
        <v>WasteGasEx_</v>
      </c>
      <c r="Q788" s="1137"/>
      <c r="R788" s="1137"/>
      <c r="S788" s="1137"/>
      <c r="T788" s="1137"/>
      <c r="U788" s="1137"/>
      <c r="V788" s="1137"/>
    </row>
    <row r="789" spans="1:22" s="562" customFormat="1" ht="12.75" customHeight="1">
      <c r="A789" s="817"/>
      <c r="C789" s="485"/>
      <c r="D789" s="776"/>
      <c r="E789" s="2473" t="s">
        <v>1276</v>
      </c>
      <c r="F789" s="3466"/>
      <c r="G789" s="812" t="str">
        <f>EUconst_tCO2pTJ</f>
        <v>t CO2 / TJ</v>
      </c>
      <c r="H789" s="627" t="str">
        <f>IF($I641="","",IF(INDEX(F_ProductBM!H:H,MATCH($P789,F_ProductBM!$Q:$Q,0))="","",INDEX(F_ProductBM!H:H,MATCH($P789,F_ProductBM!$Q:$Q,0))))</f>
        <v/>
      </c>
      <c r="I789" s="796" t="str">
        <f>IF($I641="","",IF(INDEX(F_ProductBM!I:I,MATCH($P789,F_ProductBM!$Q:$Q,0))="","",INDEX(F_ProductBM!I:I,MATCH($P789,F_ProductBM!$Q:$Q,0))))</f>
        <v/>
      </c>
      <c r="J789" s="2172" t="str">
        <f>IF($I641="","",IF(INDEX(F_ProductBM!J:J,MATCH($P789,F_ProductBM!$Q:$Q,0))="","",INDEX(F_ProductBM!J:J,MATCH($P789,F_ProductBM!$Q:$Q,0))))</f>
        <v/>
      </c>
      <c r="K789" s="1788" t="str">
        <f>IF($I641="","",IF(INDEX(F_ProductBM!K:K,MATCH($P789,F_ProductBM!$Q:$Q,0))="","",INDEX(F_ProductBM!K:K,MATCH($P789,F_ProductBM!$Q:$Q,0))))</f>
        <v/>
      </c>
      <c r="L789" s="1789" t="str">
        <f>IF($I641="","",IF(INDEX(F_ProductBM!L:L,MATCH($P789,F_ProductBM!$Q:$Q,0))="","",INDEX(F_ProductBM!L:L,MATCH($P789,F_ProductBM!$Q:$Q,0))))</f>
        <v/>
      </c>
      <c r="M789" s="1789" t="str">
        <f>IF($I641="","",IF(INDEX(F_ProductBM!M:M,MATCH($P789,F_ProductBM!$Q:$Q,0))="","",INDEX(F_ProductBM!M:M,MATCH($P789,F_ProductBM!$Q:$Q,0))))</f>
        <v/>
      </c>
      <c r="N789" s="1789" t="str">
        <f>IF($I641="","",IF(INDEX(F_ProductBM!N:N,MATCH($P789,F_ProductBM!$Q:$Q,0))="","",INDEX(F_ProductBM!N:N,MATCH($P789,F_ProductBM!$Q:$Q,0))))</f>
        <v/>
      </c>
      <c r="O789" s="485"/>
      <c r="P789" s="1970" t="str">
        <f>EUconst_CNTR_WGExportEF &amp; I641</f>
        <v>WasteGasExEF_</v>
      </c>
      <c r="Q789" s="1137"/>
      <c r="R789" s="1137"/>
      <c r="S789" s="1137"/>
      <c r="T789" s="1137"/>
      <c r="U789" s="1137"/>
      <c r="V789" s="1137"/>
    </row>
    <row r="790" spans="1:22" s="562" customFormat="1" ht="5.0999999999999996" customHeight="1">
      <c r="A790" s="817"/>
      <c r="C790" s="485"/>
      <c r="D790" s="776"/>
      <c r="E790" s="809"/>
      <c r="F790" s="809"/>
      <c r="G790" s="777"/>
      <c r="H790" s="2173"/>
      <c r="I790" s="2173"/>
      <c r="J790" s="2173"/>
      <c r="K790" s="1788"/>
      <c r="L790" s="1789"/>
      <c r="M790" s="1789"/>
      <c r="N790" s="1789"/>
      <c r="O790" s="485"/>
      <c r="P790" s="1117"/>
      <c r="Q790" s="1137"/>
      <c r="R790" s="1137"/>
      <c r="S790" s="1137"/>
      <c r="T790" s="1137"/>
      <c r="U790" s="1137"/>
      <c r="V790" s="1137"/>
    </row>
    <row r="791" spans="1:22" s="562" customFormat="1" ht="12.75" customHeight="1">
      <c r="A791" s="817"/>
      <c r="C791" s="485"/>
      <c r="D791" s="776"/>
      <c r="E791" s="2475" t="s">
        <v>914</v>
      </c>
      <c r="F791" s="3461"/>
      <c r="G791" s="815" t="str">
        <f>EUconst_MWhpa</f>
        <v>MWh / year</v>
      </c>
      <c r="H791" s="623" t="str">
        <f>IF($I641="","",IF(INDEX(F_ProductBM!H:H,MATCH($P791,F_ProductBM!$R:$R,0))="","",INDEX(F_ProductBM!H:H,MATCH($P791,F_ProductBM!$R:$R,0))))</f>
        <v/>
      </c>
      <c r="I791" s="800" t="str">
        <f>IF($I641="","",IF(INDEX(F_ProductBM!I:I,MATCH($P791,F_ProductBM!$R:$R,0))="","",INDEX(F_ProductBM!I:I,MATCH($P791,F_ProductBM!$R:$R,0))))</f>
        <v/>
      </c>
      <c r="J791" s="2174" t="str">
        <f>IF($I641="","",IF(INDEX(F_ProductBM!J:J,MATCH($P791,F_ProductBM!$R:$R,0))="","",INDEX(F_ProductBM!J:J,MATCH($P791,F_ProductBM!$R:$R,0))))</f>
        <v/>
      </c>
      <c r="K791" s="1788" t="str">
        <f>IF($I641="","",IF(INDEX(F_ProductBM!K:K,MATCH($P791,F_ProductBM!$R:$R,0))="","",INDEX(F_ProductBM!K:K,MATCH($P791,F_ProductBM!$R:$R,0))))</f>
        <v/>
      </c>
      <c r="L791" s="1789" t="str">
        <f>IF($I641="","",IF(INDEX(F_ProductBM!L:L,MATCH($P791,F_ProductBM!$R:$R,0))="","",INDEX(F_ProductBM!L:L,MATCH($P791,F_ProductBM!$R:$R,0))))</f>
        <v/>
      </c>
      <c r="M791" s="1789" t="str">
        <f>IF($I641="","",IF(INDEX(F_ProductBM!M:M,MATCH($P791,F_ProductBM!$R:$R,0))="","",INDEX(F_ProductBM!M:M,MATCH($P791,F_ProductBM!$R:$R,0))))</f>
        <v/>
      </c>
      <c r="N791" s="1789" t="str">
        <f>IF($I641="","",IF(INDEX(F_ProductBM!N:N,MATCH($P791,F_ProductBM!$R:$R,0))="","",INDEX(F_ProductBM!N:N,MATCH($P791,F_ProductBM!$R:$R,0))))</f>
        <v/>
      </c>
      <c r="O791" s="485"/>
      <c r="P791" s="1158" t="str">
        <f>EUconst_CNTR_HAL&amp;EUconst_CNTR_ELEXCH &amp; I641</f>
        <v>HAL_ELEXCH_</v>
      </c>
      <c r="Q791" s="1137"/>
      <c r="R791" s="1137"/>
      <c r="S791" s="1137"/>
      <c r="T791" s="1137"/>
      <c r="U791" s="1137"/>
      <c r="V791" s="1137"/>
    </row>
    <row r="792" spans="1:22" s="562" customFormat="1" ht="12.75" customHeight="1">
      <c r="A792" s="817"/>
      <c r="C792" s="485"/>
      <c r="D792" s="776"/>
      <c r="E792" s="2475" t="s">
        <v>1354</v>
      </c>
      <c r="F792" s="3461"/>
      <c r="G792" s="815" t="str">
        <f>EUconst_MWhpa</f>
        <v>MWh / year</v>
      </c>
      <c r="H792" s="623" t="str">
        <f>IF($I641="","",IF(INDEX(F_ProductBM!H:H,MATCH($P792,F_ProductBM!$Q:$Q,0))="","",INDEX(F_ProductBM!H:H,MATCH($P792,F_ProductBM!$Q:$Q,0))))</f>
        <v/>
      </c>
      <c r="I792" s="800" t="str">
        <f>IF($I641="","",IF(INDEX(F_ProductBM!I:I,MATCH($P792,F_ProductBM!$Q:$Q,0))="","",INDEX(F_ProductBM!I:I,MATCH($P792,F_ProductBM!$Q:$Q,0))))</f>
        <v/>
      </c>
      <c r="J792" s="2174" t="str">
        <f>IF($I641="","",IF(INDEX(F_ProductBM!J:J,MATCH($P792,F_ProductBM!$Q:$Q,0))="","",INDEX(F_ProductBM!J:J,MATCH($P792,F_ProductBM!$Q:$Q,0))))</f>
        <v/>
      </c>
      <c r="K792" s="1788" t="str">
        <f>IF($I641="","",IF(INDEX(F_ProductBM!K:K,MATCH($P792,F_ProductBM!$Q:$Q,0))="","",INDEX(F_ProductBM!K:K,MATCH($P792,F_ProductBM!$Q:$Q,0))))</f>
        <v/>
      </c>
      <c r="L792" s="1789" t="str">
        <f>IF($I641="","",IF(INDEX(F_ProductBM!L:L,MATCH($P792,F_ProductBM!$Q:$Q,0))="","",INDEX(F_ProductBM!L:L,MATCH($P792,F_ProductBM!$Q:$Q,0))))</f>
        <v/>
      </c>
      <c r="M792" s="1789" t="str">
        <f>IF($I641="","",IF(INDEX(F_ProductBM!M:M,MATCH($P792,F_ProductBM!$Q:$Q,0))="","",INDEX(F_ProductBM!M:M,MATCH($P792,F_ProductBM!$Q:$Q,0))))</f>
        <v/>
      </c>
      <c r="N792" s="1789" t="str">
        <f>IF($I641="","",IF(INDEX(F_ProductBM!N:N,MATCH($P792,F_ProductBM!$Q:$Q,0))="","",INDEX(F_ProductBM!N:N,MATCH($P792,F_ProductBM!$Q:$Q,0))))</f>
        <v/>
      </c>
      <c r="O792" s="485"/>
      <c r="P792" s="1970" t="str">
        <f>EUconst_CNTR_ElectricityExported &amp; I641</f>
        <v>ElecEx_</v>
      </c>
      <c r="Q792" s="1137"/>
      <c r="R792" s="1137"/>
      <c r="S792" s="1137"/>
      <c r="T792" s="1137"/>
      <c r="U792" s="1137"/>
      <c r="V792" s="1137"/>
    </row>
    <row r="793" spans="1:22" s="562" customFormat="1" ht="5.0999999999999996" customHeight="1">
      <c r="A793" s="817"/>
      <c r="C793" s="485"/>
      <c r="D793" s="776"/>
      <c r="E793" s="809"/>
      <c r="F793" s="809"/>
      <c r="G793" s="777"/>
      <c r="H793" s="2173"/>
      <c r="I793" s="2173"/>
      <c r="J793" s="2173"/>
      <c r="K793" s="1788"/>
      <c r="L793" s="1789"/>
      <c r="M793" s="1789"/>
      <c r="N793" s="1789"/>
      <c r="O793" s="485"/>
      <c r="P793" s="1117"/>
      <c r="Q793" s="1137"/>
      <c r="R793" s="1137"/>
      <c r="S793" s="1137"/>
      <c r="T793" s="1137"/>
      <c r="U793" s="1137"/>
      <c r="V793" s="1137"/>
    </row>
    <row r="794" spans="1:22" s="562" customFormat="1" ht="12.75" customHeight="1">
      <c r="A794" s="817"/>
      <c r="C794" s="485"/>
      <c r="D794" s="776"/>
      <c r="E794" s="2475" t="s">
        <v>1157</v>
      </c>
      <c r="F794" s="3461"/>
      <c r="G794" s="815" t="str">
        <f>EUconst_Tons</f>
        <v>tonnes</v>
      </c>
      <c r="H794" s="623" t="str">
        <f>IF($I641="","",IF(INDEX(F_ProductBM!H:H,MATCH($P794,F_ProductBM!$Q:$Q,0))="","",INDEX(F_ProductBM!H:H,MATCH($P794,F_ProductBM!$Q:$Q,0))))</f>
        <v/>
      </c>
      <c r="I794" s="800" t="str">
        <f>IF($I641="","",IF(INDEX(F_ProductBM!I:I,MATCH($P794,F_ProductBM!$Q:$Q,0))="","",INDEX(F_ProductBM!I:I,MATCH($P794,F_ProductBM!$Q:$Q,0))))</f>
        <v/>
      </c>
      <c r="J794" s="2174" t="str">
        <f>IF($I641="","",IF(INDEX(F_ProductBM!J:J,MATCH($P794,F_ProductBM!$Q:$Q,0))="","",INDEX(F_ProductBM!J:J,MATCH($P794,F_ProductBM!$Q:$Q,0))))</f>
        <v/>
      </c>
      <c r="K794" s="1788" t="str">
        <f>IF($I641="","",IF(INDEX(F_ProductBM!K:K,MATCH($P794,F_ProductBM!$Q:$Q,0))="","",INDEX(F_ProductBM!K:K,MATCH($P794,F_ProductBM!$Q:$Q,0))))</f>
        <v/>
      </c>
      <c r="L794" s="1789" t="str">
        <f>IF($I641="","",IF(INDEX(F_ProductBM!L:L,MATCH($P794,F_ProductBM!$Q:$Q,0))="","",INDEX(F_ProductBM!L:L,MATCH($P794,F_ProductBM!$Q:$Q,0))))</f>
        <v/>
      </c>
      <c r="M794" s="1789" t="str">
        <f>IF($I641="","",IF(INDEX(F_ProductBM!M:M,MATCH($P794,F_ProductBM!$Q:$Q,0))="","",INDEX(F_ProductBM!M:M,MATCH($P794,F_ProductBM!$Q:$Q,0))))</f>
        <v/>
      </c>
      <c r="N794" s="1789" t="str">
        <f>IF($I641="","",IF(INDEX(F_ProductBM!N:N,MATCH($P794,F_ProductBM!$Q:$Q,0))="","",INDEX(F_ProductBM!N:N,MATCH($P794,F_ProductBM!$Q:$Q,0))))</f>
        <v/>
      </c>
      <c r="O794" s="485"/>
      <c r="P794" s="1970" t="str">
        <f>EUconst_CNTR_HALPulpTotal &amp; I641</f>
        <v>HALPulpTotal_</v>
      </c>
      <c r="Q794" s="1137"/>
      <c r="R794" s="1137"/>
      <c r="S794" s="1137"/>
      <c r="T794" s="1137"/>
      <c r="U794" s="1137"/>
      <c r="V794" s="1137"/>
    </row>
    <row r="795" spans="1:22" s="562" customFormat="1" ht="5.0999999999999996" customHeight="1">
      <c r="A795" s="817"/>
      <c r="C795" s="485"/>
      <c r="D795" s="776"/>
      <c r="E795" s="809"/>
      <c r="F795" s="809"/>
      <c r="G795" s="777"/>
      <c r="H795" s="2173"/>
      <c r="I795" s="2173"/>
      <c r="J795" s="2173"/>
      <c r="K795" s="1788"/>
      <c r="L795" s="1789"/>
      <c r="M795" s="1789"/>
      <c r="N795" s="1789"/>
      <c r="O795" s="485"/>
      <c r="P795" s="1117"/>
      <c r="Q795" s="1137"/>
      <c r="R795" s="1137"/>
      <c r="S795" s="1137"/>
      <c r="T795" s="1137"/>
      <c r="U795" s="1137"/>
      <c r="V795" s="1137"/>
    </row>
    <row r="796" spans="1:22" s="562" customFormat="1">
      <c r="A796" s="817"/>
      <c r="C796" s="485"/>
      <c r="D796" s="776"/>
      <c r="E796" s="2492" t="s">
        <v>1440</v>
      </c>
      <c r="F796" s="3284"/>
      <c r="G796" s="777"/>
      <c r="H796" s="2173"/>
      <c r="I796" s="2173"/>
      <c r="J796" s="2173"/>
      <c r="K796" s="1788"/>
      <c r="L796" s="1789"/>
      <c r="M796" s="1789"/>
      <c r="N796" s="1789"/>
      <c r="O796" s="485"/>
      <c r="P796" s="1117"/>
      <c r="Q796" s="1137"/>
      <c r="R796" s="1137"/>
      <c r="S796" s="1137"/>
      <c r="T796" s="1137"/>
      <c r="U796" s="1137"/>
      <c r="V796" s="1137"/>
    </row>
    <row r="797" spans="1:22" s="562" customFormat="1">
      <c r="A797" s="817"/>
      <c r="C797" s="485"/>
      <c r="D797" s="776"/>
      <c r="E797" s="3285" t="str">
        <f>IF(I641="","",IF(INDEX(F_ProductBM!E:E,MATCH($P797,F_ProductBM!$Q:$Q,0))="","",INDEX(F_ProductBM!E:E,MATCH($P797,F_ProductBM!$Q:$Q,0))))</f>
        <v/>
      </c>
      <c r="F797" s="3461"/>
      <c r="G797" s="815" t="str">
        <f>EUconst_Tons</f>
        <v>tonnes</v>
      </c>
      <c r="H797" s="623" t="str">
        <f>IF($I641="","",IF(INDEX(F_ProductBM!H:H,MATCH($P797,F_ProductBM!$Q:$Q,0))="","",INDEX(F_ProductBM!H:H,MATCH($P797,F_ProductBM!$Q:$Q,0))))</f>
        <v/>
      </c>
      <c r="I797" s="800" t="str">
        <f>IF($I641="","",IF(INDEX(F_ProductBM!I:I,MATCH($P797,F_ProductBM!$Q:$Q,0))="","",INDEX(F_ProductBM!I:I,MATCH($P797,F_ProductBM!$Q:$Q,0))))</f>
        <v/>
      </c>
      <c r="J797" s="2174" t="str">
        <f>IF($I641="","",IF(INDEX(F_ProductBM!J:J,MATCH($P797,F_ProductBM!$Q:$Q,0))="","",INDEX(F_ProductBM!J:J,MATCH($P797,F_ProductBM!$Q:$Q,0))))</f>
        <v/>
      </c>
      <c r="K797" s="1788" t="str">
        <f>IF($I641="","",IF(INDEX(F_ProductBM!K:K,MATCH($P797,F_ProductBM!$Q:$Q,0))="","",INDEX(F_ProductBM!K:K,MATCH($P797,F_ProductBM!$Q:$Q,0))))</f>
        <v/>
      </c>
      <c r="L797" s="1789" t="str">
        <f>IF($I641="","",IF(INDEX(F_ProductBM!L:L,MATCH($P797,F_ProductBM!$Q:$Q,0))="","",INDEX(F_ProductBM!L:L,MATCH($P797,F_ProductBM!$Q:$Q,0))))</f>
        <v/>
      </c>
      <c r="M797" s="1789" t="str">
        <f>IF($I641="","",IF(INDEX(F_ProductBM!M:M,MATCH($P797,F_ProductBM!$Q:$Q,0))="","",INDEX(F_ProductBM!M:M,MATCH($P797,F_ProductBM!$Q:$Q,0))))</f>
        <v/>
      </c>
      <c r="N797" s="1789" t="str">
        <f>IF($I641="","",IF(INDEX(F_ProductBM!N:N,MATCH($P797,F_ProductBM!$Q:$Q,0))="","",INDEX(F_ProductBM!N:N,MATCH($P797,F_ProductBM!$Q:$Q,0))))</f>
        <v/>
      </c>
      <c r="O797" s="485"/>
      <c r="P797" s="1970" t="str">
        <f>EUconst_CNTR_IntermediateImport &amp; R797 &amp; "_" &amp; I641</f>
        <v>IntImp_1_</v>
      </c>
      <c r="Q797" s="1137"/>
      <c r="R797" s="1312">
        <v>1</v>
      </c>
      <c r="S797" s="1137"/>
      <c r="T797" s="1137"/>
      <c r="U797" s="1137"/>
      <c r="V797" s="1137"/>
    </row>
    <row r="798" spans="1:22" s="562" customFormat="1">
      <c r="A798" s="817"/>
      <c r="C798" s="485"/>
      <c r="D798" s="776"/>
      <c r="E798" s="3285" t="str">
        <f>IF(I641="","",IF(INDEX(F_ProductBM!E:E,MATCH($P798,F_ProductBM!$Q:$Q,0))="","",INDEX(F_ProductBM!E:E,MATCH($P798,F_ProductBM!$Q:$Q,0))))</f>
        <v/>
      </c>
      <c r="F798" s="3461"/>
      <c r="G798" s="815" t="str">
        <f>EUconst_Tons</f>
        <v>tonnes</v>
      </c>
      <c r="H798" s="623" t="str">
        <f>IF($I641="","",IF(INDEX(F_ProductBM!H:H,MATCH($P798,F_ProductBM!$Q:$Q,0))="","",INDEX(F_ProductBM!H:H,MATCH($P798,F_ProductBM!$Q:$Q,0))))</f>
        <v/>
      </c>
      <c r="I798" s="800" t="str">
        <f>IF($I641="","",IF(INDEX(F_ProductBM!I:I,MATCH($P798,F_ProductBM!$Q:$Q,0))="","",INDEX(F_ProductBM!I:I,MATCH($P798,F_ProductBM!$Q:$Q,0))))</f>
        <v/>
      </c>
      <c r="J798" s="2174" t="str">
        <f>IF($I641="","",IF(INDEX(F_ProductBM!J:J,MATCH($P798,F_ProductBM!$Q:$Q,0))="","",INDEX(F_ProductBM!J:J,MATCH($P798,F_ProductBM!$Q:$Q,0))))</f>
        <v/>
      </c>
      <c r="K798" s="1788" t="str">
        <f>IF($I641="","",IF(INDEX(F_ProductBM!K:K,MATCH($P798,F_ProductBM!$Q:$Q,0))="","",INDEX(F_ProductBM!K:K,MATCH($P798,F_ProductBM!$Q:$Q,0))))</f>
        <v/>
      </c>
      <c r="L798" s="1789" t="str">
        <f>IF($I641="","",IF(INDEX(F_ProductBM!L:L,MATCH($P798,F_ProductBM!$Q:$Q,0))="","",INDEX(F_ProductBM!L:L,MATCH($P798,F_ProductBM!$Q:$Q,0))))</f>
        <v/>
      </c>
      <c r="M798" s="1789" t="str">
        <f>IF($I641="","",IF(INDEX(F_ProductBM!M:M,MATCH($P798,F_ProductBM!$Q:$Q,0))="","",INDEX(F_ProductBM!M:M,MATCH($P798,F_ProductBM!$Q:$Q,0))))</f>
        <v/>
      </c>
      <c r="N798" s="1789" t="str">
        <f>IF($I641="","",IF(INDEX(F_ProductBM!N:N,MATCH($P798,F_ProductBM!$Q:$Q,0))="","",INDEX(F_ProductBM!N:N,MATCH($P798,F_ProductBM!$Q:$Q,0))))</f>
        <v/>
      </c>
      <c r="O798" s="485"/>
      <c r="P798" s="1970" t="str">
        <f>EUconst_CNTR_IntermediateImport &amp; R798 &amp; "_" &amp; I641</f>
        <v>IntImp_2_</v>
      </c>
      <c r="Q798" s="1137"/>
      <c r="R798" s="1312">
        <v>2</v>
      </c>
      <c r="S798" s="1137"/>
      <c r="T798" s="1137"/>
      <c r="U798" s="1137"/>
      <c r="V798" s="1137"/>
    </row>
    <row r="799" spans="1:22" s="562" customFormat="1">
      <c r="A799" s="817"/>
      <c r="C799" s="485"/>
      <c r="D799" s="776"/>
      <c r="E799" s="2475" t="s">
        <v>1441</v>
      </c>
      <c r="F799" s="3461"/>
      <c r="G799" s="777"/>
      <c r="H799" s="2173"/>
      <c r="I799" s="2173"/>
      <c r="J799" s="2173"/>
      <c r="K799" s="1788"/>
      <c r="L799" s="1789"/>
      <c r="M799" s="1789"/>
      <c r="N799" s="1789"/>
      <c r="O799" s="485"/>
      <c r="P799" s="1117"/>
      <c r="Q799" s="1137"/>
      <c r="R799" s="1137"/>
      <c r="S799" s="1137"/>
      <c r="T799" s="1137"/>
      <c r="U799" s="1137"/>
      <c r="V799" s="1137"/>
    </row>
    <row r="800" spans="1:22" s="562" customFormat="1">
      <c r="A800" s="817"/>
      <c r="C800" s="485"/>
      <c r="D800" s="776"/>
      <c r="E800" s="3285" t="str">
        <f>IF(I641="","",IF(INDEX(F_ProductBM!E:E,MATCH($P800,F_ProductBM!$Q:$Q,0))="","",INDEX(F_ProductBM!E:E,MATCH($P800,F_ProductBM!$Q:$Q,0))))</f>
        <v/>
      </c>
      <c r="F800" s="3461"/>
      <c r="G800" s="815" t="str">
        <f>EUconst_Tons</f>
        <v>tonnes</v>
      </c>
      <c r="H800" s="623" t="str">
        <f>IF($I641="","",IF(INDEX(F_ProductBM!H:H,MATCH($P800,F_ProductBM!$Q:$Q,0))="","",INDEX(F_ProductBM!H:H,MATCH($P800,F_ProductBM!$Q:$Q,0))))</f>
        <v/>
      </c>
      <c r="I800" s="800" t="str">
        <f>IF($I641="","",IF(INDEX(F_ProductBM!I:I,MATCH($P800,F_ProductBM!$Q:$Q,0))="","",INDEX(F_ProductBM!I:I,MATCH($P800,F_ProductBM!$Q:$Q,0))))</f>
        <v/>
      </c>
      <c r="J800" s="2174" t="str">
        <f>IF($I641="","",IF(INDEX(F_ProductBM!J:J,MATCH($P800,F_ProductBM!$Q:$Q,0))="","",INDEX(F_ProductBM!J:J,MATCH($P800,F_ProductBM!$Q:$Q,0))))</f>
        <v/>
      </c>
      <c r="K800" s="1788" t="str">
        <f>IF($I641="","",IF(INDEX(F_ProductBM!K:K,MATCH($P800,F_ProductBM!$Q:$Q,0))="","",INDEX(F_ProductBM!K:K,MATCH($P800,F_ProductBM!$Q:$Q,0))))</f>
        <v/>
      </c>
      <c r="L800" s="1789" t="str">
        <f>IF($I641="","",IF(INDEX(F_ProductBM!L:L,MATCH($P800,F_ProductBM!$Q:$Q,0))="","",INDEX(F_ProductBM!L:L,MATCH($P800,F_ProductBM!$Q:$Q,0))))</f>
        <v/>
      </c>
      <c r="M800" s="1789" t="str">
        <f>IF($I641="","",IF(INDEX(F_ProductBM!M:M,MATCH($P800,F_ProductBM!$Q:$Q,0))="","",INDEX(F_ProductBM!M:M,MATCH($P800,F_ProductBM!$Q:$Q,0))))</f>
        <v/>
      </c>
      <c r="N800" s="1789" t="str">
        <f>IF($I641="","",IF(INDEX(F_ProductBM!N:N,MATCH($P800,F_ProductBM!$Q:$Q,0))="","",INDEX(F_ProductBM!N:N,MATCH($P800,F_ProductBM!$Q:$Q,0))))</f>
        <v/>
      </c>
      <c r="O800" s="485"/>
      <c r="P800" s="1970" t="str">
        <f>EUconst_CNTR_IntermediateExport &amp; R797 &amp; "_" &amp; I641</f>
        <v>IntExp_1_</v>
      </c>
      <c r="Q800" s="1137"/>
      <c r="R800" s="1312">
        <v>1</v>
      </c>
      <c r="S800" s="1137"/>
      <c r="T800" s="1137"/>
      <c r="U800" s="1137"/>
      <c r="V800" s="1137"/>
    </row>
    <row r="801" spans="1:22" s="562" customFormat="1">
      <c r="A801" s="817"/>
      <c r="C801" s="485"/>
      <c r="D801" s="776"/>
      <c r="E801" s="3285" t="str">
        <f>IF(I641="","",IF(INDEX(F_ProductBM!E:E,MATCH($P801,F_ProductBM!$Q:$Q,0))="","",INDEX(F_ProductBM!E:E,MATCH($P801,F_ProductBM!$Q:$Q,0))))</f>
        <v/>
      </c>
      <c r="F801" s="3461"/>
      <c r="G801" s="815" t="str">
        <f>EUconst_Tons</f>
        <v>tonnes</v>
      </c>
      <c r="H801" s="623" t="str">
        <f>IF($I641="","",IF(INDEX(F_ProductBM!H:H,MATCH($P801,F_ProductBM!$Q:$Q,0))="","",INDEX(F_ProductBM!H:H,MATCH($P801,F_ProductBM!$Q:$Q,0))))</f>
        <v/>
      </c>
      <c r="I801" s="800" t="str">
        <f>IF($I641="","",IF(INDEX(F_ProductBM!I:I,MATCH($P801,F_ProductBM!$Q:$Q,0))="","",INDEX(F_ProductBM!I:I,MATCH($P801,F_ProductBM!$Q:$Q,0))))</f>
        <v/>
      </c>
      <c r="J801" s="2174" t="str">
        <f>IF($I641="","",IF(INDEX(F_ProductBM!J:J,MATCH($P801,F_ProductBM!$Q:$Q,0))="","",INDEX(F_ProductBM!J:J,MATCH($P801,F_ProductBM!$Q:$Q,0))))</f>
        <v/>
      </c>
      <c r="K801" s="1788" t="str">
        <f>IF($I641="","",IF(INDEX(F_ProductBM!K:K,MATCH($P801,F_ProductBM!$Q:$Q,0))="","",INDEX(F_ProductBM!K:K,MATCH($P801,F_ProductBM!$Q:$Q,0))))</f>
        <v/>
      </c>
      <c r="L801" s="1789" t="str">
        <f>IF($I641="","",IF(INDEX(F_ProductBM!L:L,MATCH($P801,F_ProductBM!$Q:$Q,0))="","",INDEX(F_ProductBM!L:L,MATCH($P801,F_ProductBM!$Q:$Q,0))))</f>
        <v/>
      </c>
      <c r="M801" s="1789" t="str">
        <f>IF($I641="","",IF(INDEX(F_ProductBM!M:M,MATCH($P801,F_ProductBM!$Q:$Q,0))="","",INDEX(F_ProductBM!M:M,MATCH($P801,F_ProductBM!$Q:$Q,0))))</f>
        <v/>
      </c>
      <c r="N801" s="1789" t="str">
        <f>IF($I641="","",IF(INDEX(F_ProductBM!N:N,MATCH($P801,F_ProductBM!$Q:$Q,0))="","",INDEX(F_ProductBM!N:N,MATCH($P801,F_ProductBM!$Q:$Q,0))))</f>
        <v/>
      </c>
      <c r="O801" s="485"/>
      <c r="P801" s="1970" t="str">
        <f>EUconst_CNTR_IntermediateExport &amp; R801 &amp; "_" &amp; I641</f>
        <v>IntExp_2_</v>
      </c>
      <c r="Q801" s="1137"/>
      <c r="R801" s="1312">
        <v>2</v>
      </c>
      <c r="S801" s="1137"/>
      <c r="T801" s="1117"/>
      <c r="U801" s="1137"/>
      <c r="V801" s="1137"/>
    </row>
    <row r="802" spans="1:22" s="562" customFormat="1" ht="12.75" customHeight="1" thickBot="1">
      <c r="A802" s="817"/>
      <c r="C802" s="485"/>
      <c r="D802" s="802"/>
      <c r="E802" s="803"/>
      <c r="F802" s="803"/>
      <c r="G802" s="804"/>
      <c r="H802" s="804"/>
      <c r="I802" s="805"/>
      <c r="J802" s="805"/>
      <c r="K802" s="1790"/>
      <c r="L802" s="1791"/>
      <c r="M802" s="1791"/>
      <c r="N802" s="1791"/>
      <c r="O802" s="485"/>
      <c r="P802" s="1117"/>
      <c r="Q802" s="1137"/>
      <c r="R802" s="1137"/>
      <c r="S802" s="1137"/>
      <c r="T802" s="1117"/>
      <c r="U802" s="1137"/>
      <c r="V802" s="1137"/>
    </row>
    <row r="803" spans="1:22" s="562" customFormat="1" ht="5.0999999999999996" customHeight="1" thickBot="1">
      <c r="A803" s="817"/>
      <c r="C803" s="485"/>
      <c r="D803" s="485"/>
      <c r="E803" s="807"/>
      <c r="O803" s="485"/>
      <c r="P803" s="1137"/>
      <c r="Q803" s="1137"/>
      <c r="R803" s="1137"/>
      <c r="S803" s="1137"/>
      <c r="T803" s="1137"/>
      <c r="U803" s="1137"/>
      <c r="V803" s="1137"/>
    </row>
    <row r="804" spans="1:22" s="562" customFormat="1" ht="5.0999999999999996" customHeight="1" thickBot="1">
      <c r="A804" s="817"/>
      <c r="C804" s="2118"/>
      <c r="D804" s="2118"/>
      <c r="E804" s="2118"/>
      <c r="F804" s="2118"/>
      <c r="G804" s="2118"/>
      <c r="H804" s="2118"/>
      <c r="I804" s="2118"/>
      <c r="J804" s="2118"/>
      <c r="K804" s="2118"/>
      <c r="L804" s="2118"/>
      <c r="M804" s="2118"/>
      <c r="N804" s="2118"/>
      <c r="O804" s="485"/>
      <c r="P804" s="1137"/>
      <c r="Q804" s="1137"/>
      <c r="R804" s="1137"/>
      <c r="S804" s="1137"/>
      <c r="T804" s="1137"/>
      <c r="U804" s="1137"/>
      <c r="V804" s="1137"/>
    </row>
    <row r="805" spans="1:22" s="562" customFormat="1" ht="15" customHeight="1" thickBot="1">
      <c r="A805" s="719"/>
      <c r="C805" s="559">
        <f>C641+1</f>
        <v>3</v>
      </c>
      <c r="D805" s="2482" t="str">
        <f>CONCATENATE(EUconst_BMSubinst," ",C805, ":")</f>
        <v>Sub-installation with product benchmark 3:</v>
      </c>
      <c r="E805" s="2482"/>
      <c r="F805" s="2482"/>
      <c r="G805" s="2482"/>
      <c r="H805" s="2483"/>
      <c r="I805" s="3293" t="str">
        <f>IF(INDEX(CNTR_SubInstListIsProdBM,$C805),INDEX(CNTR_SubInstListNames,$C805),"")</f>
        <v/>
      </c>
      <c r="J805" s="3471"/>
      <c r="K805" s="3471"/>
      <c r="L805" s="3471"/>
      <c r="M805" s="3471"/>
      <c r="N805" s="3472"/>
      <c r="O805" s="485"/>
      <c r="P805" s="1137"/>
      <c r="Q805" s="2123">
        <f>C805</f>
        <v>3</v>
      </c>
      <c r="R805" s="2124" t="str">
        <f>I805</f>
        <v/>
      </c>
      <c r="S805" s="1137"/>
      <c r="T805" s="1137"/>
      <c r="U805" s="1137"/>
      <c r="V805" s="1137"/>
    </row>
    <row r="806" spans="1:22" s="562" customFormat="1" ht="5.0999999999999996" customHeight="1">
      <c r="A806" s="719"/>
      <c r="C806" s="559"/>
      <c r="D806" s="559"/>
      <c r="E806" s="559"/>
      <c r="F806" s="559"/>
      <c r="G806" s="559"/>
      <c r="H806" s="559"/>
      <c r="I806" s="559"/>
      <c r="J806" s="559"/>
      <c r="K806" s="559"/>
      <c r="L806" s="559"/>
      <c r="M806" s="559"/>
      <c r="N806" s="559"/>
      <c r="O806" s="485"/>
      <c r="P806" s="1137"/>
      <c r="Q806" s="1137"/>
      <c r="R806" s="1137"/>
      <c r="S806" s="1137"/>
      <c r="T806" s="1137"/>
      <c r="U806" s="1137"/>
      <c r="V806" s="1137"/>
    </row>
    <row r="807" spans="1:22" s="562" customFormat="1" ht="12.75" customHeight="1">
      <c r="A807" s="719"/>
      <c r="C807" s="559"/>
      <c r="D807" s="559"/>
      <c r="E807" s="559"/>
      <c r="F807" s="559"/>
      <c r="H807" s="688" t="s">
        <v>458</v>
      </c>
      <c r="I807" s="688" t="s">
        <v>1256</v>
      </c>
      <c r="J807" s="688" t="s">
        <v>1434</v>
      </c>
      <c r="K807" s="688" t="s">
        <v>1684</v>
      </c>
      <c r="L807" s="689" t="s">
        <v>156</v>
      </c>
      <c r="M807" s="2469" t="s">
        <v>302</v>
      </c>
      <c r="N807" s="2469"/>
      <c r="O807" s="485"/>
      <c r="P807" s="1137"/>
      <c r="Q807" s="1137"/>
      <c r="R807" s="1137"/>
      <c r="S807" s="1137"/>
      <c r="T807" s="2175"/>
      <c r="U807" s="1137"/>
      <c r="V807" s="1137"/>
    </row>
    <row r="808" spans="1:22" s="562" customFormat="1" ht="12.75" customHeight="1">
      <c r="A808" s="719"/>
      <c r="C808" s="559"/>
      <c r="D808" s="559"/>
      <c r="E808" s="690" t="str">
        <f>I805</f>
        <v/>
      </c>
      <c r="F808" s="691"/>
      <c r="G808" s="691"/>
      <c r="H808" s="692" t="str">
        <f>IF(L808=EUconst_NA,EUconst_NA,INDEX(EUconst_BMlistCLstatus,L808))</f>
        <v>N.A.</v>
      </c>
      <c r="I808" s="692" t="str">
        <f>IF(I805="","",INDEX(EUconst_BMlistElExchangability,L808))</f>
        <v/>
      </c>
      <c r="J808" s="566" t="str">
        <f>IF($I805="",EUconst_NA,INDEX(CNTR_SubInstStartDate,MATCH(I805,CNTR_SubInstListNames,0)))</f>
        <v>N.A.</v>
      </c>
      <c r="K808" s="566" t="str">
        <f>IF($I805="",EUconst_NA,IF(INDEX(CNTR_SubInstCessationDate,MATCH(I805,CNTR_SubInstListNames,0))=0,"",INDEX(CNTR_SubInstCessationDate,MATCH(I805,CNTR_SubInstListNames,0))))</f>
        <v>N.A.</v>
      </c>
      <c r="L808" s="693" t="str">
        <f>IF($I805="",EUconst_NA,MATCH(I805,EUconst_BMlistNames,0))</f>
        <v>N.A.</v>
      </c>
      <c r="M808" s="694" t="str">
        <f>IF(I805="",EUconst_NA,INDEX(EUconst_BMlistBMvaluesMatrix,L808,3))</f>
        <v>N.A.</v>
      </c>
      <c r="N808" s="685" t="str">
        <f>EUconst_EUA &amp; "/" &amp; F811</f>
        <v>UKA/tonnes</v>
      </c>
      <c r="O808" s="485"/>
      <c r="P808" s="1137"/>
      <c r="Q808" s="1137"/>
      <c r="R808" s="1137"/>
      <c r="S808" s="1137"/>
      <c r="T808" s="2175"/>
      <c r="U808" s="1137"/>
      <c r="V808" s="1137"/>
    </row>
    <row r="809" spans="1:22" s="562" customFormat="1" ht="5.0999999999999996" customHeight="1" thickBot="1">
      <c r="A809" s="719"/>
      <c r="C809" s="485"/>
      <c r="D809" s="485"/>
      <c r="E809" s="559"/>
      <c r="J809" s="485"/>
      <c r="K809" s="485"/>
      <c r="L809" s="485"/>
      <c r="M809" s="485"/>
      <c r="N809" s="485"/>
      <c r="O809" s="485"/>
      <c r="P809" s="1137"/>
      <c r="Q809" s="1137"/>
      <c r="R809" s="1137"/>
      <c r="S809" s="1137"/>
      <c r="T809" s="1117"/>
      <c r="U809" s="1137"/>
      <c r="V809" s="1137"/>
    </row>
    <row r="810" spans="1:22" s="562" customFormat="1" ht="12.75" customHeight="1">
      <c r="A810" s="719"/>
      <c r="C810" s="485"/>
      <c r="D810" s="485"/>
      <c r="E810" s="496"/>
      <c r="F810" s="482" t="str">
        <f>EUconst_Unit</f>
        <v>Unit</v>
      </c>
      <c r="G810" s="695" t="s">
        <v>1646</v>
      </c>
      <c r="H810" s="696">
        <f t="shared" ref="H810:N810" si="55">H$2737</f>
        <v>2024</v>
      </c>
      <c r="I810" s="697">
        <f t="shared" si="55"/>
        <v>2025</v>
      </c>
      <c r="J810" s="2125">
        <f t="shared" si="55"/>
        <v>2026</v>
      </c>
      <c r="K810" s="1489">
        <f t="shared" si="55"/>
        <v>2027</v>
      </c>
      <c r="L810" s="1490">
        <f t="shared" si="55"/>
        <v>2028</v>
      </c>
      <c r="M810" s="1490">
        <f t="shared" si="55"/>
        <v>2029</v>
      </c>
      <c r="N810" s="1490">
        <f t="shared" si="55"/>
        <v>2030</v>
      </c>
      <c r="O810" s="485"/>
      <c r="P810" s="1137"/>
      <c r="Q810" s="1137" t="s">
        <v>1803</v>
      </c>
      <c r="R810" s="2126">
        <f>J$2737</f>
        <v>2026</v>
      </c>
      <c r="S810" s="2127">
        <f>K$2737</f>
        <v>2027</v>
      </c>
      <c r="T810" s="2127">
        <f>L$2737</f>
        <v>2028</v>
      </c>
      <c r="U810" s="2127">
        <f>M$2737</f>
        <v>2029</v>
      </c>
      <c r="V810" s="2128">
        <f>N$2737</f>
        <v>2030</v>
      </c>
    </row>
    <row r="811" spans="1:22" s="562" customFormat="1" ht="12.75" customHeight="1" thickBot="1">
      <c r="A811" s="719"/>
      <c r="C811" s="485"/>
      <c r="D811" s="485"/>
      <c r="E811" s="698" t="s">
        <v>1665</v>
      </c>
      <c r="F811" s="699" t="str">
        <f>IF(ISNUMBER(L808),INDEX(EUconst_BMlistUnits,L808),EUconst_Tons)</f>
        <v>tonnes</v>
      </c>
      <c r="G811" s="700" t="str">
        <f>I914</f>
        <v/>
      </c>
      <c r="H811" s="701" t="str">
        <f>IF($I805="","",IF(H810&gt;=CNTR_ReportingYear,"",INDEX(F_ProductBM!H:H,MATCH($P811,F_ProductBM!$Q:$Q,0))))</f>
        <v/>
      </c>
      <c r="I811" s="702" t="str">
        <f>IF($I805="","",IF(I810&gt;=CNTR_ReportingYear,"",INDEX(F_ProductBM!I:I,MATCH($P811,F_ProductBM!$Q:$Q,0))))</f>
        <v/>
      </c>
      <c r="J811" s="2129" t="str">
        <f>IF($I805="","",IF(J810&gt;=CNTR_ReportingYear,"",INDEX(F_ProductBM!J:J,MATCH($P811,F_ProductBM!$Q:$Q,0))))</f>
        <v/>
      </c>
      <c r="K811" s="2072" t="str">
        <f>IF($I805="","",IF(K810&gt;=CNTR_ReportingYear,"",INDEX(F_ProductBM!K:K,MATCH($P811,F_ProductBM!$Q:$Q,0))))</f>
        <v/>
      </c>
      <c r="L811" s="2073" t="str">
        <f>IF($I805="","",IF(L810&gt;=CNTR_ReportingYear,"",INDEX(F_ProductBM!L:L,MATCH($P811,F_ProductBM!$Q:$Q,0))))</f>
        <v/>
      </c>
      <c r="M811" s="2073" t="str">
        <f>IF($I805="","",IF(M810&gt;=CNTR_ReportingYear,"",INDEX(F_ProductBM!M:M,MATCH($P811,F_ProductBM!$Q:$Q,0))))</f>
        <v/>
      </c>
      <c r="N811" s="2073" t="str">
        <f>IF($I805="","",IF(N810&gt;=CNTR_ReportingYear,"",INDEX(F_ProductBM!N:N,MATCH($P811,F_ProductBM!$Q:$Q,0))))</f>
        <v/>
      </c>
      <c r="O811" s="485"/>
      <c r="P811" s="1158" t="str">
        <f>EUconst_CNTR_HAL&amp;I805</f>
        <v>HAL_</v>
      </c>
      <c r="Q811" s="1137"/>
      <c r="R811" s="1961" t="b">
        <f>AND($I805&lt;&gt;"",R810&lt;=CNTR_ReportingYear,IF($J808&lt;&gt;EUconst_NA,R810&gt;=YEAR($J808),TRUE))</f>
        <v>0</v>
      </c>
      <c r="S811" s="1675" t="b">
        <f>AND($I805&lt;&gt;"",S810&lt;=CNTR_ReportingYear,IF($J808&lt;&gt;EUconst_NA,S810&gt;=YEAR($J808),TRUE))</f>
        <v>0</v>
      </c>
      <c r="T811" s="1675" t="b">
        <f>AND($I805&lt;&gt;"",T810&lt;=CNTR_ReportingYear,IF($J808&lt;&gt;EUconst_NA,T810&gt;=YEAR($J808),TRUE))</f>
        <v>0</v>
      </c>
      <c r="U811" s="1675" t="b">
        <f>AND($I805&lt;&gt;"",U810&lt;=CNTR_ReportingYear,IF($J808&lt;&gt;EUconst_NA,U810&gt;=YEAR($J808),TRUE))</f>
        <v>0</v>
      </c>
      <c r="V811" s="1676" t="b">
        <f>AND($I805&lt;&gt;"",V810&lt;=CNTR_ReportingYear,IF($J808&lt;&gt;EUconst_NA,V810&gt;=YEAR($J808),TRUE))</f>
        <v>0</v>
      </c>
    </row>
    <row r="812" spans="1:22" s="562" customFormat="1" ht="5.0999999999999996" customHeight="1" thickBot="1">
      <c r="A812" s="719"/>
      <c r="C812" s="559"/>
      <c r="D812" s="559"/>
      <c r="E812" s="559"/>
      <c r="F812" s="559"/>
      <c r="G812" s="559"/>
      <c r="H812" s="559"/>
      <c r="I812" s="559"/>
      <c r="J812" s="559"/>
      <c r="K812" s="2130"/>
      <c r="L812" s="2131"/>
      <c r="M812" s="2131"/>
      <c r="N812" s="2131"/>
      <c r="O812" s="485"/>
      <c r="P812" s="1137"/>
      <c r="Q812" s="1137"/>
      <c r="R812" s="1137"/>
      <c r="S812" s="1137"/>
      <c r="T812" s="1137"/>
      <c r="U812" s="1137"/>
      <c r="V812" s="1137"/>
    </row>
    <row r="813" spans="1:22" s="562" customFormat="1" ht="5.0999999999999996" customHeight="1">
      <c r="A813" s="719"/>
      <c r="C813" s="559"/>
      <c r="D813" s="703"/>
      <c r="E813" s="704"/>
      <c r="F813" s="704"/>
      <c r="G813" s="704"/>
      <c r="H813" s="704"/>
      <c r="I813" s="704"/>
      <c r="J813" s="704"/>
      <c r="K813" s="2130"/>
      <c r="L813" s="2131"/>
      <c r="M813" s="2131"/>
      <c r="N813" s="2131"/>
      <c r="O813" s="485"/>
      <c r="P813" s="1137"/>
      <c r="Q813" s="1137"/>
      <c r="R813" s="1137"/>
      <c r="S813" s="1137"/>
      <c r="T813" s="1137"/>
      <c r="U813" s="1137"/>
      <c r="V813" s="1137"/>
    </row>
    <row r="814" spans="1:22" s="562" customFormat="1" ht="12.75" customHeight="1">
      <c r="A814" s="719"/>
      <c r="C814" s="559"/>
      <c r="D814" s="706"/>
      <c r="E814" s="707" t="s">
        <v>1787</v>
      </c>
      <c r="F814" s="637"/>
      <c r="G814" s="637"/>
      <c r="H814" s="663"/>
      <c r="I814" s="708"/>
      <c r="J814" s="2132">
        <f>J$2737</f>
        <v>2026</v>
      </c>
      <c r="K814" s="1489">
        <f>K$2737</f>
        <v>2027</v>
      </c>
      <c r="L814" s="1490">
        <f>L$2737</f>
        <v>2028</v>
      </c>
      <c r="M814" s="1490">
        <f>M$2737</f>
        <v>2029</v>
      </c>
      <c r="N814" s="1490">
        <f>N$2737</f>
        <v>2030</v>
      </c>
      <c r="O814" s="485"/>
      <c r="P814" s="1137"/>
      <c r="Q814" s="1137"/>
      <c r="R814" s="1137"/>
      <c r="S814" s="1137"/>
      <c r="T814" s="1137"/>
      <c r="U814" s="1137"/>
      <c r="V814" s="1137"/>
    </row>
    <row r="815" spans="1:22" s="562" customFormat="1" ht="12.75" customHeight="1">
      <c r="A815" s="719"/>
      <c r="C815" s="559"/>
      <c r="D815" s="706"/>
      <c r="E815" s="711" t="s">
        <v>1783</v>
      </c>
      <c r="F815" s="712"/>
      <c r="G815" s="712"/>
      <c r="H815" s="713"/>
      <c r="I815" s="712"/>
      <c r="J815" s="2133" t="str">
        <f>IF(R811,INDEX(F_ProductBM!V:V,MATCH($P815,F_ProductBM!$Q:$Q,0))&gt;=3,"")</f>
        <v/>
      </c>
      <c r="K815" s="2134" t="str">
        <f>IF(S811,INDEX(F_ProductBM!W:W,MATCH($P815,F_ProductBM!$Q:$Q,0))&gt;=3,"")</f>
        <v/>
      </c>
      <c r="L815" s="2135" t="str">
        <f>IF(T811,INDEX(F_ProductBM!X:X,MATCH($P815,F_ProductBM!$Q:$Q,0))&gt;=3,"")</f>
        <v/>
      </c>
      <c r="M815" s="2135" t="str">
        <f>IF(U811,INDEX(F_ProductBM!Y:Y,MATCH($P815,F_ProductBM!$Q:$Q,0))&gt;=3,"")</f>
        <v/>
      </c>
      <c r="N815" s="2135" t="str">
        <f>IF(V811,INDEX(F_ProductBM!Z:Z,MATCH($P815,F_ProductBM!$Q:$Q,0))&gt;=3,"")</f>
        <v/>
      </c>
      <c r="O815" s="485"/>
      <c r="P815" s="1158" t="str">
        <f>EUconst_CNTR_HALinitial&amp;I805</f>
        <v>HALini_</v>
      </c>
      <c r="Q815" s="1137"/>
      <c r="R815" s="1137"/>
      <c r="S815" s="1137"/>
      <c r="T815" s="1137"/>
      <c r="U815" s="1137"/>
      <c r="V815" s="1137"/>
    </row>
    <row r="816" spans="1:22" s="562" customFormat="1" ht="12.75" customHeight="1">
      <c r="A816" s="719"/>
      <c r="C816" s="559"/>
      <c r="D816" s="706"/>
      <c r="E816" s="714" t="s">
        <v>1784</v>
      </c>
      <c r="F816" s="715"/>
      <c r="G816" s="715"/>
      <c r="H816" s="716"/>
      <c r="I816" s="715"/>
      <c r="J816" s="2136" t="str">
        <f>IF(R811,IF($K808="",2050,YEAR($K808))&lt;&gt;(J814-1),"")</f>
        <v/>
      </c>
      <c r="K816" s="2134" t="str">
        <f>IF(S811,IF($K808="",2050,YEAR($K808))&lt;&gt;(K814-1),"")</f>
        <v/>
      </c>
      <c r="L816" s="2135" t="str">
        <f>IF(T811,IF($K808="",2050,YEAR($K808))&lt;&gt;(L814-1),"")</f>
        <v/>
      </c>
      <c r="M816" s="2135" t="str">
        <f>IF(U811,IF($K808="",2050,YEAR($K808))&lt;&gt;(M814-1),"")</f>
        <v/>
      </c>
      <c r="N816" s="2135" t="str">
        <f>IF(V811,IF($K808="",2050,YEAR($K808))&lt;&gt;(N814-1),"")</f>
        <v/>
      </c>
      <c r="O816" s="485"/>
      <c r="P816" s="1137"/>
      <c r="Q816" s="1137"/>
      <c r="R816" s="1137"/>
      <c r="S816" s="1137"/>
      <c r="T816" s="1137"/>
      <c r="U816" s="1137"/>
      <c r="V816" s="1137"/>
    </row>
    <row r="817" spans="1:22" s="562" customFormat="1" ht="5.0999999999999996" customHeight="1">
      <c r="A817" s="719"/>
      <c r="B817" s="485"/>
      <c r="C817" s="559"/>
      <c r="D817" s="706"/>
      <c r="E817" s="559"/>
      <c r="F817" s="559"/>
      <c r="G817" s="559"/>
      <c r="H817" s="559"/>
      <c r="I817" s="559"/>
      <c r="J817" s="559"/>
      <c r="K817" s="2130"/>
      <c r="L817" s="2131"/>
      <c r="M817" s="2131"/>
      <c r="N817" s="2131"/>
      <c r="O817" s="485"/>
      <c r="P817" s="1137"/>
      <c r="Q817" s="1137"/>
      <c r="R817" s="1137"/>
      <c r="S817" s="1137"/>
      <c r="T817" s="1137"/>
      <c r="U817" s="1137"/>
      <c r="V817" s="1137"/>
    </row>
    <row r="818" spans="1:22" s="562" customFormat="1" ht="12.75" customHeight="1">
      <c r="A818" s="719"/>
      <c r="B818" s="485"/>
      <c r="C818" s="559"/>
      <c r="D818" s="706"/>
      <c r="E818" s="496" t="s">
        <v>1762</v>
      </c>
      <c r="F818" s="485"/>
      <c r="G818" s="485"/>
      <c r="H818" s="663" t="str">
        <f>EUconst_Unit</f>
        <v>Unit</v>
      </c>
      <c r="I818" s="708"/>
      <c r="J818" s="2125">
        <f>J$2737</f>
        <v>2026</v>
      </c>
      <c r="K818" s="1489">
        <f>K$2737</f>
        <v>2027</v>
      </c>
      <c r="L818" s="1490">
        <f>L$2737</f>
        <v>2028</v>
      </c>
      <c r="M818" s="1490">
        <f>M$2737</f>
        <v>2029</v>
      </c>
      <c r="N818" s="1490">
        <f>N$2737</f>
        <v>2030</v>
      </c>
      <c r="O818" s="485"/>
      <c r="P818" s="1137"/>
      <c r="Q818" s="1137"/>
      <c r="R818" s="1137"/>
      <c r="S818" s="1137"/>
      <c r="T818" s="1137"/>
      <c r="U818" s="1137"/>
      <c r="V818" s="1137"/>
    </row>
    <row r="819" spans="1:22" s="562" customFormat="1" ht="12.75" hidden="1" customHeight="1">
      <c r="A819" s="719" t="s">
        <v>2289</v>
      </c>
      <c r="B819" s="485"/>
      <c r="C819" s="559"/>
      <c r="D819" s="706"/>
      <c r="E819" s="698" t="s">
        <v>1714</v>
      </c>
      <c r="F819" s="698"/>
      <c r="G819" s="698"/>
      <c r="H819" s="639" t="str">
        <f>F811</f>
        <v>tonnes</v>
      </c>
      <c r="I819" s="698"/>
      <c r="J819" s="2137" t="str">
        <f t="shared" ref="J819:J824" si="56">I914</f>
        <v/>
      </c>
      <c r="K819" s="2072" t="str">
        <f t="shared" ref="K819:N824" si="57">J914</f>
        <v/>
      </c>
      <c r="L819" s="2073" t="str">
        <f t="shared" si="57"/>
        <v/>
      </c>
      <c r="M819" s="2073" t="str">
        <f t="shared" si="57"/>
        <v/>
      </c>
      <c r="N819" s="2073" t="str">
        <f t="shared" si="57"/>
        <v/>
      </c>
      <c r="O819" s="485"/>
      <c r="P819" s="1137"/>
      <c r="Q819" s="1137"/>
      <c r="R819" s="1137"/>
      <c r="S819" s="1137"/>
      <c r="T819" s="1137"/>
      <c r="U819" s="1137"/>
      <c r="V819" s="1137"/>
    </row>
    <row r="820" spans="1:22" s="562" customFormat="1" ht="12.75" hidden="1" customHeight="1">
      <c r="A820" s="719" t="s">
        <v>2289</v>
      </c>
      <c r="B820" s="485"/>
      <c r="C820" s="559"/>
      <c r="D820" s="706"/>
      <c r="E820" s="720" t="s">
        <v>303</v>
      </c>
      <c r="F820" s="720"/>
      <c r="G820" s="720"/>
      <c r="H820" s="721" t="str">
        <f>EUconst_EUA</f>
        <v>UKA</v>
      </c>
      <c r="I820" s="722"/>
      <c r="J820" s="2138" t="str">
        <f t="shared" si="56"/>
        <v/>
      </c>
      <c r="K820" s="2072" t="str">
        <f t="shared" si="57"/>
        <v/>
      </c>
      <c r="L820" s="2073" t="str">
        <f t="shared" si="57"/>
        <v/>
      </c>
      <c r="M820" s="2073" t="str">
        <f t="shared" si="57"/>
        <v/>
      </c>
      <c r="N820" s="2073" t="str">
        <f t="shared" si="57"/>
        <v/>
      </c>
      <c r="O820" s="485"/>
      <c r="P820" s="1137"/>
      <c r="Q820" s="1137"/>
      <c r="R820" s="1137"/>
      <c r="S820" s="1137"/>
      <c r="T820" s="1137"/>
      <c r="U820" s="1137"/>
      <c r="V820" s="1137"/>
    </row>
    <row r="821" spans="1:22" s="562" customFormat="1" ht="12.75" hidden="1" customHeight="1">
      <c r="A821" s="719" t="s">
        <v>2289</v>
      </c>
      <c r="B821" s="485"/>
      <c r="C821" s="559"/>
      <c r="D821" s="706"/>
      <c r="E821" s="723" t="s">
        <v>1422</v>
      </c>
      <c r="F821" s="723"/>
      <c r="G821" s="723"/>
      <c r="H821" s="724" t="str">
        <f>EUconst_EUA</f>
        <v>UKA</v>
      </c>
      <c r="I821" s="725"/>
      <c r="J821" s="2139" t="str">
        <f t="shared" si="56"/>
        <v/>
      </c>
      <c r="K821" s="2072" t="str">
        <f t="shared" si="57"/>
        <v/>
      </c>
      <c r="L821" s="2073" t="str">
        <f t="shared" si="57"/>
        <v/>
      </c>
      <c r="M821" s="2073" t="str">
        <f t="shared" si="57"/>
        <v/>
      </c>
      <c r="N821" s="2073" t="str">
        <f t="shared" si="57"/>
        <v/>
      </c>
      <c r="O821" s="485"/>
      <c r="P821" s="1137"/>
      <c r="Q821" s="1137"/>
      <c r="R821" s="1137"/>
      <c r="S821" s="1137"/>
      <c r="T821" s="1137"/>
      <c r="U821" s="1137"/>
      <c r="V821" s="1137"/>
    </row>
    <row r="822" spans="1:22" s="562" customFormat="1" ht="12.75" hidden="1" customHeight="1">
      <c r="A822" s="719" t="s">
        <v>2289</v>
      </c>
      <c r="B822" s="485"/>
      <c r="C822" s="559"/>
      <c r="D822" s="706"/>
      <c r="E822" s="723" t="s">
        <v>1390</v>
      </c>
      <c r="F822" s="723"/>
      <c r="G822" s="723"/>
      <c r="H822" s="724" t="str">
        <f>EUconst_EUA</f>
        <v>UKA</v>
      </c>
      <c r="I822" s="725"/>
      <c r="J822" s="2139" t="str">
        <f t="shared" si="56"/>
        <v/>
      </c>
      <c r="K822" s="2072" t="str">
        <f t="shared" si="57"/>
        <v/>
      </c>
      <c r="L822" s="2073" t="str">
        <f t="shared" si="57"/>
        <v/>
      </c>
      <c r="M822" s="2073" t="str">
        <f t="shared" si="57"/>
        <v/>
      </c>
      <c r="N822" s="2073" t="str">
        <f t="shared" si="57"/>
        <v/>
      </c>
      <c r="O822" s="485"/>
      <c r="P822" s="1137"/>
      <c r="Q822" s="1137"/>
      <c r="R822" s="1137"/>
      <c r="S822" s="1137"/>
      <c r="T822" s="1137"/>
      <c r="U822" s="1137"/>
      <c r="V822" s="1137"/>
    </row>
    <row r="823" spans="1:22" s="562" customFormat="1" ht="12.75" hidden="1" customHeight="1">
      <c r="A823" s="719" t="s">
        <v>2289</v>
      </c>
      <c r="B823" s="485"/>
      <c r="C823" s="559"/>
      <c r="D823" s="706"/>
      <c r="E823" s="723" t="s">
        <v>1389</v>
      </c>
      <c r="F823" s="723"/>
      <c r="G823" s="723"/>
      <c r="H823" s="726" t="s">
        <v>1021</v>
      </c>
      <c r="I823" s="725"/>
      <c r="J823" s="2140" t="str">
        <f t="shared" si="56"/>
        <v/>
      </c>
      <c r="K823" s="2141" t="str">
        <f t="shared" si="57"/>
        <v/>
      </c>
      <c r="L823" s="2142" t="str">
        <f t="shared" si="57"/>
        <v/>
      </c>
      <c r="M823" s="2142" t="str">
        <f t="shared" si="57"/>
        <v/>
      </c>
      <c r="N823" s="2142" t="str">
        <f t="shared" si="57"/>
        <v/>
      </c>
      <c r="O823" s="485"/>
      <c r="P823" s="1137"/>
      <c r="Q823" s="1137"/>
      <c r="R823" s="1137"/>
      <c r="S823" s="1137"/>
      <c r="T823" s="1137"/>
      <c r="U823" s="1137"/>
      <c r="V823" s="1137"/>
    </row>
    <row r="824" spans="1:22" s="562" customFormat="1" ht="12.75" hidden="1" customHeight="1">
      <c r="A824" s="719" t="s">
        <v>2289</v>
      </c>
      <c r="B824" s="485"/>
      <c r="C824" s="559"/>
      <c r="D824" s="706"/>
      <c r="E824" s="727" t="s">
        <v>1391</v>
      </c>
      <c r="F824" s="727"/>
      <c r="G824" s="727"/>
      <c r="H824" s="728" t="s">
        <v>1021</v>
      </c>
      <c r="I824" s="729"/>
      <c r="J824" s="2143" t="str">
        <f t="shared" si="56"/>
        <v/>
      </c>
      <c r="K824" s="2141" t="str">
        <f t="shared" si="57"/>
        <v/>
      </c>
      <c r="L824" s="2142" t="str">
        <f t="shared" si="57"/>
        <v/>
      </c>
      <c r="M824" s="2142" t="str">
        <f t="shared" si="57"/>
        <v/>
      </c>
      <c r="N824" s="2142" t="str">
        <f t="shared" si="57"/>
        <v/>
      </c>
      <c r="O824" s="485"/>
      <c r="P824" s="1137"/>
      <c r="Q824" s="1137"/>
      <c r="R824" s="1137"/>
      <c r="S824" s="1137"/>
      <c r="T824" s="1137"/>
      <c r="U824" s="1137"/>
      <c r="V824" s="1137"/>
    </row>
    <row r="825" spans="1:22" s="562" customFormat="1" ht="12.75" customHeight="1">
      <c r="A825" s="719"/>
      <c r="B825" s="485"/>
      <c r="C825" s="559"/>
      <c r="D825" s="706"/>
      <c r="E825" s="698" t="s">
        <v>1671</v>
      </c>
      <c r="F825" s="698"/>
      <c r="G825" s="698"/>
      <c r="H825" s="730" t="str">
        <f>EUconst_EUA</f>
        <v>UKA</v>
      </c>
      <c r="I825" s="731"/>
      <c r="J825" s="2129" t="str">
        <f>IF($I805="","",MAX(0,ROUND((SUM($M808)*SUM(J819)*SUM(J823)*SUM(J824)-SUM(J820)-SUM(J821)+SUM(J822))*IF($H808=TRUE,1,J$2517),0)))</f>
        <v/>
      </c>
      <c r="K825" s="2072" t="str">
        <f>IF($I805="","",MAX(0,ROUND((SUM($M808)*SUM(K819)*SUM(K823)*SUM(K824)-SUM(K820)-SUM(K821)+SUM(K822))*IF($H808=TRUE,1,K$2517),0)))</f>
        <v/>
      </c>
      <c r="L825" s="2073" t="str">
        <f>IF($I805="","",MAX(0,ROUND((SUM($M808)*SUM(L819)*SUM(L823)*SUM(L824)-SUM(L820)-SUM(L821)+SUM(L822))*IF($H808=TRUE,1,L$2517),0)))</f>
        <v/>
      </c>
      <c r="M825" s="2073" t="str">
        <f>IF($I805="","",MAX(0,ROUND((SUM($M808)*SUM(M819)*SUM(M823)*SUM(M824)-SUM(M820)-SUM(M821)+SUM(M822))*IF($H808=TRUE,1,M$2517),0)))</f>
        <v/>
      </c>
      <c r="N825" s="2073" t="str">
        <f>IF($I805="","",MAX(0,ROUND((SUM($M808)*SUM(N819)*SUM(N823)*SUM(N824)-SUM(N820)-SUM(N821)+SUM(N822))*IF($H808=TRUE,1,N$2517),0)))</f>
        <v/>
      </c>
      <c r="O825" s="485"/>
      <c r="P825" s="1137"/>
      <c r="Q825" s="1137"/>
      <c r="R825" s="1137"/>
      <c r="S825" s="1137"/>
      <c r="T825" s="1137"/>
      <c r="U825" s="1137"/>
      <c r="V825" s="1137"/>
    </row>
    <row r="826" spans="1:22" s="562" customFormat="1" ht="5.0999999999999996" customHeight="1">
      <c r="A826" s="719"/>
      <c r="B826" s="485"/>
      <c r="C826" s="559"/>
      <c r="D826" s="706"/>
      <c r="E826" s="559"/>
      <c r="F826" s="559"/>
      <c r="G826" s="559"/>
      <c r="H826" s="559"/>
      <c r="I826" s="559"/>
      <c r="J826" s="559"/>
      <c r="K826" s="2130"/>
      <c r="L826" s="2131"/>
      <c r="M826" s="2131"/>
      <c r="N826" s="2131"/>
      <c r="O826" s="485"/>
      <c r="P826" s="1137"/>
      <c r="Q826" s="1137"/>
      <c r="R826" s="1137"/>
      <c r="S826" s="1137"/>
      <c r="T826" s="1137"/>
      <c r="U826" s="1137"/>
      <c r="V826" s="1137"/>
    </row>
    <row r="827" spans="1:22" s="562" customFormat="1" ht="12.75" customHeight="1">
      <c r="A827" s="719"/>
      <c r="B827" s="485"/>
      <c r="C827" s="559"/>
      <c r="D827" s="706"/>
      <c r="E827" s="707" t="s">
        <v>1752</v>
      </c>
      <c r="F827" s="637"/>
      <c r="G827" s="637"/>
      <c r="H827" s="663" t="str">
        <f>EUconst_Unit</f>
        <v>Unit</v>
      </c>
      <c r="I827" s="708"/>
      <c r="J827" s="2132">
        <f>J$2737</f>
        <v>2026</v>
      </c>
      <c r="K827" s="1489">
        <f>K$2737</f>
        <v>2027</v>
      </c>
      <c r="L827" s="1490">
        <f>L$2737</f>
        <v>2028</v>
      </c>
      <c r="M827" s="1490">
        <f>M$2737</f>
        <v>2029</v>
      </c>
      <c r="N827" s="1490">
        <f>N$2737</f>
        <v>2030</v>
      </c>
      <c r="O827" s="485"/>
      <c r="P827" s="1137"/>
      <c r="Q827" s="1137"/>
      <c r="R827" s="1137"/>
      <c r="S827" s="1137"/>
      <c r="T827" s="1137"/>
      <c r="U827" s="1137"/>
      <c r="V827" s="1137"/>
    </row>
    <row r="828" spans="1:22" s="562" customFormat="1" ht="12.75" customHeight="1">
      <c r="A828" s="719"/>
      <c r="B828" s="485"/>
      <c r="C828" s="559"/>
      <c r="D828" s="706"/>
      <c r="E828" s="720" t="s">
        <v>1691</v>
      </c>
      <c r="F828" s="720"/>
      <c r="G828" s="720"/>
      <c r="H828" s="732" t="str">
        <f>H819</f>
        <v>tonnes</v>
      </c>
      <c r="I828" s="733"/>
      <c r="J828" s="2144" t="str">
        <f>INDEX(F_ProductBM!J:J,MATCH($P828,F_ProductBM!$Q:$Q,0))</f>
        <v/>
      </c>
      <c r="K828" s="2072" t="str">
        <f>INDEX(F_ProductBM!K:K,MATCH($P828,F_ProductBM!$Q:$Q,0))</f>
        <v/>
      </c>
      <c r="L828" s="2073" t="str">
        <f>INDEX(F_ProductBM!L:L,MATCH($P828,F_ProductBM!$Q:$Q,0))</f>
        <v/>
      </c>
      <c r="M828" s="2073" t="str">
        <f>INDEX(F_ProductBM!M:M,MATCH($P828,F_ProductBM!$Q:$Q,0))</f>
        <v/>
      </c>
      <c r="N828" s="2073" t="str">
        <f>INDEX(F_ProductBM!N:N,MATCH($P828,F_ProductBM!$Q:$Q,0))</f>
        <v/>
      </c>
      <c r="O828" s="485"/>
      <c r="P828" s="1158" t="str">
        <f>EUconst_CNTR_HALinitial&amp;I805</f>
        <v>HALini_</v>
      </c>
      <c r="Q828" s="1137"/>
      <c r="R828" s="1137"/>
      <c r="S828" s="1137"/>
      <c r="T828" s="1137"/>
      <c r="U828" s="1137"/>
      <c r="V828" s="1137"/>
    </row>
    <row r="829" spans="1:22" s="562" customFormat="1" ht="12.75" customHeight="1">
      <c r="A829" s="719"/>
      <c r="B829" s="485"/>
      <c r="C829" s="559"/>
      <c r="D829" s="706"/>
      <c r="E829" s="723" t="s">
        <v>1648</v>
      </c>
      <c r="F829" s="723"/>
      <c r="G829" s="723"/>
      <c r="H829" s="734" t="s">
        <v>1021</v>
      </c>
      <c r="I829" s="735"/>
      <c r="J829" s="23" t="str">
        <f>INDEX(F_ProductBM!J:J,MATCH($P829,F_ProductBM!$Q:$Q,0))</f>
        <v/>
      </c>
      <c r="K829" s="46" t="str">
        <f>INDEX(F_ProductBM!K:K,MATCH($P829,F_ProductBM!$Q:$Q,0))</f>
        <v/>
      </c>
      <c r="L829" s="27" t="str">
        <f>INDEX(F_ProductBM!L:L,MATCH($P829,F_ProductBM!$Q:$Q,0))</f>
        <v/>
      </c>
      <c r="M829" s="27" t="str">
        <f>INDEX(F_ProductBM!M:M,MATCH($P829,F_ProductBM!$Q:$Q,0))</f>
        <v/>
      </c>
      <c r="N829" s="27" t="str">
        <f>INDEX(F_ProductBM!N:N,MATCH($P829,F_ProductBM!$Q:$Q,0))</f>
        <v/>
      </c>
      <c r="O829" s="485"/>
      <c r="P829" s="1158" t="str">
        <f>EUconst_CNTR_RelThreshold &amp; P831</f>
        <v>RelThresh_HALprelim_</v>
      </c>
      <c r="Q829" s="1137"/>
      <c r="R829" s="1137"/>
      <c r="S829" s="1137"/>
      <c r="T829" s="1137"/>
      <c r="U829" s="1137"/>
      <c r="V829" s="1137"/>
    </row>
    <row r="830" spans="1:22" s="562" customFormat="1" ht="12.75" customHeight="1">
      <c r="A830" s="719"/>
      <c r="B830" s="485"/>
      <c r="C830" s="559"/>
      <c r="D830" s="706"/>
      <c r="E830" s="736" t="s">
        <v>1850</v>
      </c>
      <c r="F830" s="736"/>
      <c r="G830" s="736"/>
      <c r="H830" s="737" t="s">
        <v>1021</v>
      </c>
      <c r="I830" s="738"/>
      <c r="J830" s="2145" t="str">
        <f>INDEX(F_ProductBM!V:V,MATCH($P830,F_ProductBM!$Q:$Q,0)+1)</f>
        <v/>
      </c>
      <c r="K830" s="2134" t="str">
        <f>INDEX(F_ProductBM!W:W,MATCH($P830,F_ProductBM!$Q:$Q,0)+1)</f>
        <v/>
      </c>
      <c r="L830" s="2135" t="str">
        <f>INDEX(F_ProductBM!X:X,MATCH($P830,F_ProductBM!$Q:$Q,0)+1)</f>
        <v/>
      </c>
      <c r="M830" s="2135" t="str">
        <f>INDEX(F_ProductBM!Y:Y,MATCH($P830,F_ProductBM!$Q:$Q,0)+1)</f>
        <v/>
      </c>
      <c r="N830" s="2135" t="str">
        <f>INDEX(F_ProductBM!Z:Z,MATCH($P830,F_ProductBM!$Q:$Q,0)+1)</f>
        <v/>
      </c>
      <c r="O830" s="485"/>
      <c r="P830" s="1158" t="str">
        <f>P829</f>
        <v>RelThresh_HALprelim_</v>
      </c>
      <c r="Q830" s="1137"/>
      <c r="R830" s="1137"/>
      <c r="S830" s="1137"/>
      <c r="T830" s="1137"/>
      <c r="U830" s="1137"/>
      <c r="V830" s="1137"/>
    </row>
    <row r="831" spans="1:22" s="562" customFormat="1" ht="12.75" customHeight="1">
      <c r="A831" s="719"/>
      <c r="B831" s="485"/>
      <c r="C831" s="559"/>
      <c r="D831" s="706"/>
      <c r="E831" s="727" t="s">
        <v>1689</v>
      </c>
      <c r="F831" s="727"/>
      <c r="G831" s="727"/>
      <c r="H831" s="739" t="str">
        <f>F811</f>
        <v>tonnes</v>
      </c>
      <c r="I831" s="727"/>
      <c r="J831" s="2146" t="str">
        <f>INDEX(F_ProductBM!J:J,MATCH($P831,F_ProductBM!$Q:$Q,0))</f>
        <v/>
      </c>
      <c r="K831" s="2072" t="str">
        <f>INDEX(F_ProductBM!K:K,MATCH($P831,F_ProductBM!$Q:$Q,0))</f>
        <v/>
      </c>
      <c r="L831" s="2073" t="str">
        <f>INDEX(F_ProductBM!L:L,MATCH($P831,F_ProductBM!$Q:$Q,0))</f>
        <v/>
      </c>
      <c r="M831" s="2073" t="str">
        <f>INDEX(F_ProductBM!M:M,MATCH($P831,F_ProductBM!$Q:$Q,0))</f>
        <v/>
      </c>
      <c r="N831" s="2073" t="str">
        <f>INDEX(F_ProductBM!N:N,MATCH($P831,F_ProductBM!$Q:$Q,0))</f>
        <v/>
      </c>
      <c r="O831" s="485"/>
      <c r="P831" s="1158" t="str">
        <f>EUconst_CNTR_HALprelim&amp;I805</f>
        <v>HALprelim_</v>
      </c>
      <c r="Q831" s="1137"/>
      <c r="R831" s="1137"/>
      <c r="S831" s="1137"/>
      <c r="T831" s="1137"/>
      <c r="U831" s="1137"/>
      <c r="V831" s="1137"/>
    </row>
    <row r="832" spans="1:22" s="562" customFormat="1" ht="12.75" hidden="1" customHeight="1">
      <c r="A832" s="719" t="s">
        <v>2289</v>
      </c>
      <c r="B832" s="485"/>
      <c r="C832" s="559"/>
      <c r="D832" s="706"/>
      <c r="E832" s="720" t="s">
        <v>303</v>
      </c>
      <c r="F832" s="720"/>
      <c r="G832" s="720"/>
      <c r="H832" s="721" t="str">
        <f>EUconst_EUA</f>
        <v>UKA</v>
      </c>
      <c r="I832" s="722"/>
      <c r="J832" s="2138" t="str">
        <f t="shared" ref="J832:N836" si="58">I915</f>
        <v/>
      </c>
      <c r="K832" s="2072" t="str">
        <f t="shared" si="58"/>
        <v/>
      </c>
      <c r="L832" s="2073" t="str">
        <f t="shared" si="58"/>
        <v/>
      </c>
      <c r="M832" s="2073" t="str">
        <f t="shared" si="58"/>
        <v/>
      </c>
      <c r="N832" s="2073" t="str">
        <f t="shared" si="58"/>
        <v/>
      </c>
      <c r="O832" s="485"/>
      <c r="P832" s="1137"/>
      <c r="Q832" s="1137"/>
      <c r="R832" s="1137"/>
      <c r="S832" s="1137"/>
      <c r="T832" s="1137"/>
      <c r="U832" s="1137"/>
      <c r="V832" s="1137"/>
    </row>
    <row r="833" spans="1:22" s="562" customFormat="1" ht="12.75" hidden="1" customHeight="1">
      <c r="A833" s="719" t="s">
        <v>2289</v>
      </c>
      <c r="B833" s="485"/>
      <c r="C833" s="559"/>
      <c r="D833" s="706"/>
      <c r="E833" s="723" t="s">
        <v>1422</v>
      </c>
      <c r="F833" s="723"/>
      <c r="G833" s="723"/>
      <c r="H833" s="724" t="str">
        <f>EUconst_EUA</f>
        <v>UKA</v>
      </c>
      <c r="I833" s="725"/>
      <c r="J833" s="2139" t="str">
        <f t="shared" si="58"/>
        <v/>
      </c>
      <c r="K833" s="2072" t="str">
        <f t="shared" si="58"/>
        <v/>
      </c>
      <c r="L833" s="2073" t="str">
        <f t="shared" si="58"/>
        <v/>
      </c>
      <c r="M833" s="2073" t="str">
        <f t="shared" si="58"/>
        <v/>
      </c>
      <c r="N833" s="2073" t="str">
        <f t="shared" si="58"/>
        <v/>
      </c>
      <c r="O833" s="485"/>
      <c r="P833" s="1137"/>
      <c r="Q833" s="1137"/>
      <c r="R833" s="1137"/>
      <c r="S833" s="1137"/>
      <c r="T833" s="1137"/>
      <c r="U833" s="1137"/>
      <c r="V833" s="1137"/>
    </row>
    <row r="834" spans="1:22" s="562" customFormat="1" ht="12.75" hidden="1" customHeight="1">
      <c r="A834" s="719" t="s">
        <v>2289</v>
      </c>
      <c r="B834" s="485"/>
      <c r="C834" s="559"/>
      <c r="D834" s="706"/>
      <c r="E834" s="723" t="s">
        <v>1390</v>
      </c>
      <c r="F834" s="723"/>
      <c r="G834" s="723"/>
      <c r="H834" s="724" t="str">
        <f>EUconst_EUA</f>
        <v>UKA</v>
      </c>
      <c r="I834" s="725"/>
      <c r="J834" s="2139" t="str">
        <f t="shared" si="58"/>
        <v/>
      </c>
      <c r="K834" s="2072" t="str">
        <f t="shared" si="58"/>
        <v/>
      </c>
      <c r="L834" s="2073" t="str">
        <f t="shared" si="58"/>
        <v/>
      </c>
      <c r="M834" s="2073" t="str">
        <f t="shared" si="58"/>
        <v/>
      </c>
      <c r="N834" s="2073" t="str">
        <f t="shared" si="58"/>
        <v/>
      </c>
      <c r="O834" s="485"/>
      <c r="P834" s="1137"/>
      <c r="Q834" s="1137"/>
      <c r="R834" s="1137"/>
      <c r="S834" s="1137"/>
      <c r="T834" s="1137"/>
      <c r="U834" s="1137"/>
      <c r="V834" s="1137"/>
    </row>
    <row r="835" spans="1:22" s="562" customFormat="1" ht="12.75" hidden="1" customHeight="1">
      <c r="A835" s="719" t="s">
        <v>2289</v>
      </c>
      <c r="B835" s="485"/>
      <c r="C835" s="559"/>
      <c r="D835" s="706"/>
      <c r="E835" s="723" t="s">
        <v>1389</v>
      </c>
      <c r="F835" s="723"/>
      <c r="G835" s="723"/>
      <c r="H835" s="726" t="s">
        <v>1021</v>
      </c>
      <c r="I835" s="725"/>
      <c r="J835" s="2140" t="str">
        <f t="shared" si="58"/>
        <v/>
      </c>
      <c r="K835" s="2141" t="str">
        <f t="shared" si="58"/>
        <v/>
      </c>
      <c r="L835" s="2142" t="str">
        <f t="shared" si="58"/>
        <v/>
      </c>
      <c r="M835" s="2142" t="str">
        <f t="shared" si="58"/>
        <v/>
      </c>
      <c r="N835" s="2142" t="str">
        <f t="shared" si="58"/>
        <v/>
      </c>
      <c r="O835" s="485"/>
      <c r="P835" s="1137"/>
      <c r="Q835" s="1137"/>
      <c r="R835" s="1137"/>
      <c r="S835" s="1137"/>
      <c r="T835" s="1137"/>
      <c r="U835" s="1137"/>
      <c r="V835" s="1137"/>
    </row>
    <row r="836" spans="1:22" s="562" customFormat="1" ht="12.75" hidden="1" customHeight="1">
      <c r="A836" s="719" t="s">
        <v>2289</v>
      </c>
      <c r="B836" s="485"/>
      <c r="C836" s="559"/>
      <c r="D836" s="706"/>
      <c r="E836" s="727" t="s">
        <v>1391</v>
      </c>
      <c r="F836" s="727"/>
      <c r="G836" s="727"/>
      <c r="H836" s="728" t="s">
        <v>1021</v>
      </c>
      <c r="I836" s="729"/>
      <c r="J836" s="2143" t="str">
        <f t="shared" si="58"/>
        <v/>
      </c>
      <c r="K836" s="2141" t="str">
        <f t="shared" si="58"/>
        <v/>
      </c>
      <c r="L836" s="2142" t="str">
        <f t="shared" si="58"/>
        <v/>
      </c>
      <c r="M836" s="2142" t="str">
        <f t="shared" si="58"/>
        <v/>
      </c>
      <c r="N836" s="2142" t="str">
        <f t="shared" si="58"/>
        <v/>
      </c>
      <c r="O836" s="485"/>
      <c r="P836" s="1137"/>
      <c r="Q836" s="1137"/>
      <c r="R836" s="1137"/>
      <c r="S836" s="1137"/>
      <c r="T836" s="1137"/>
      <c r="U836" s="1137"/>
      <c r="V836" s="1137"/>
    </row>
    <row r="837" spans="1:22" s="562" customFormat="1" ht="12.75" customHeight="1">
      <c r="A837" s="719"/>
      <c r="B837" s="485"/>
      <c r="C837" s="559"/>
      <c r="D837" s="706"/>
      <c r="E837" s="698" t="s">
        <v>1671</v>
      </c>
      <c r="F837" s="698"/>
      <c r="G837" s="698"/>
      <c r="H837" s="730" t="str">
        <f>EUconst_EUA</f>
        <v>UKA</v>
      </c>
      <c r="I837" s="731"/>
      <c r="J837" s="2129" t="str">
        <f>IF($I805="","",MAX(0,ROUND((SUM($M808)*SUM(J831)*SUM(J835)*SUM(J836)-SUM(J832)-SUM(J833)+SUM(J834))*IF($H808=TRUE,1,J$2517),0)))</f>
        <v/>
      </c>
      <c r="K837" s="2072" t="str">
        <f>IF($I805="","",MAX(0,ROUND((SUM($M808)*SUM(K831)*SUM(K835)*SUM(K836)-SUM(K832)-SUM(K833)+SUM(K834))*IF($H808=TRUE,1,K$2517),0)))</f>
        <v/>
      </c>
      <c r="L837" s="2073" t="str">
        <f>IF($I805="","",MAX(0,ROUND((SUM($M808)*SUM(L831)*SUM(L835)*SUM(L836)-SUM(L832)-SUM(L833)+SUM(L834))*IF($H808=TRUE,1,L$2517),0)))</f>
        <v/>
      </c>
      <c r="M837" s="2073" t="str">
        <f>IF($I805="","",MAX(0,ROUND((SUM($M808)*SUM(M831)*SUM(M835)*SUM(M836)-SUM(M832)-SUM(M833)+SUM(M834))*IF($H808=TRUE,1,M$2517),0)))</f>
        <v/>
      </c>
      <c r="N837" s="2073" t="str">
        <f>IF($I805="","",MAX(0,ROUND((SUM($M808)*SUM(N831)*SUM(N835)*SUM(N836)-SUM(N832)-SUM(N833)+SUM(N834))*IF($H808=TRUE,1,N$2517),0)))</f>
        <v/>
      </c>
      <c r="O837" s="485"/>
      <c r="P837" s="1137"/>
      <c r="Q837" s="1137"/>
      <c r="R837" s="1137"/>
      <c r="S837" s="1137"/>
      <c r="T837" s="1137"/>
      <c r="U837" s="1137"/>
      <c r="V837" s="1137"/>
    </row>
    <row r="838" spans="1:22" s="562" customFormat="1" ht="12.75" customHeight="1">
      <c r="A838" s="719"/>
      <c r="B838" s="485"/>
      <c r="C838" s="559"/>
      <c r="D838" s="706"/>
      <c r="E838" s="698" t="s">
        <v>1670</v>
      </c>
      <c r="F838" s="698"/>
      <c r="G838" s="698"/>
      <c r="H838" s="730" t="str">
        <f>EUconst_EUA</f>
        <v>UKA</v>
      </c>
      <c r="I838" s="731"/>
      <c r="J838" s="2129" t="str">
        <f>IF($I805="","",ABS(SUM(J837)-SUM(J825)))</f>
        <v/>
      </c>
      <c r="K838" s="2072" t="str">
        <f>IF($I805="","",ABS(SUM(K837)-SUM(K825)))</f>
        <v/>
      </c>
      <c r="L838" s="2073" t="str">
        <f>IF($I805="","",ABS(SUM(L837)-SUM(L825)))</f>
        <v/>
      </c>
      <c r="M838" s="2073" t="str">
        <f>IF($I805="","",ABS(SUM(M837)-SUM(M825)))</f>
        <v/>
      </c>
      <c r="N838" s="2073" t="str">
        <f>IF($I805="","",ABS(SUM(N837)-SUM(N825)))</f>
        <v/>
      </c>
      <c r="O838" s="485"/>
      <c r="P838" s="1137"/>
      <c r="Q838" s="1137"/>
      <c r="R838" s="1137"/>
      <c r="S838" s="1137"/>
      <c r="T838" s="1137"/>
      <c r="U838" s="1137"/>
      <c r="V838" s="1137"/>
    </row>
    <row r="839" spans="1:22" s="562" customFormat="1" ht="12.75" customHeight="1">
      <c r="A839" s="719"/>
      <c r="B839" s="485"/>
      <c r="C839" s="559"/>
      <c r="D839" s="706"/>
      <c r="E839" s="740" t="s">
        <v>2130</v>
      </c>
      <c r="F839" s="740"/>
      <c r="G839" s="740"/>
      <c r="H839" s="741" t="s">
        <v>1021</v>
      </c>
      <c r="I839" s="742"/>
      <c r="J839" s="2147" t="str">
        <f>IF($I805="","",J838&gt;=100)</f>
        <v/>
      </c>
      <c r="K839" s="2134" t="str">
        <f>IF($I805="","",K838&gt;=100)</f>
        <v/>
      </c>
      <c r="L839" s="2135" t="str">
        <f>IF($I805="","",L838&gt;=100)</f>
        <v/>
      </c>
      <c r="M839" s="2135" t="str">
        <f>IF($I805="","",M838&gt;=100)</f>
        <v/>
      </c>
      <c r="N839" s="2135" t="str">
        <f>IF($I805="","",N838&gt;=100)</f>
        <v/>
      </c>
      <c r="O839" s="485"/>
      <c r="P839" s="1158" t="str">
        <f>EUconst_CNTR_100EUA_ActivityLevel&amp;I805</f>
        <v>EUA100AL_</v>
      </c>
      <c r="Q839" s="1137"/>
      <c r="R839" s="1137"/>
      <c r="S839" s="1137"/>
      <c r="T839" s="1137"/>
      <c r="U839" s="1137"/>
      <c r="V839" s="1137"/>
    </row>
    <row r="840" spans="1:22" s="562" customFormat="1" ht="5.0999999999999996" customHeight="1">
      <c r="A840" s="719"/>
      <c r="B840" s="485"/>
      <c r="C840" s="559"/>
      <c r="D840" s="706"/>
      <c r="E840" s="485"/>
      <c r="F840" s="485"/>
      <c r="G840" s="485"/>
      <c r="H840" s="485"/>
      <c r="I840" s="743"/>
      <c r="J840" s="485"/>
      <c r="K840" s="1790"/>
      <c r="L840" s="1791"/>
      <c r="M840" s="1791"/>
      <c r="N840" s="1791"/>
      <c r="O840" s="485"/>
      <c r="P840" s="1137"/>
      <c r="Q840" s="1137"/>
      <c r="R840" s="1137"/>
      <c r="S840" s="1137"/>
      <c r="T840" s="1137"/>
      <c r="U840" s="1137"/>
      <c r="V840" s="1137"/>
    </row>
    <row r="841" spans="1:22" s="562" customFormat="1" ht="12.75" customHeight="1">
      <c r="A841" s="719"/>
      <c r="B841" s="485"/>
      <c r="C841" s="559"/>
      <c r="D841" s="706"/>
      <c r="E841" s="707" t="s">
        <v>1753</v>
      </c>
      <c r="F841" s="637"/>
      <c r="G841" s="637"/>
      <c r="H841" s="663" t="str">
        <f>EUconst_Unit</f>
        <v>Unit</v>
      </c>
      <c r="I841" s="708"/>
      <c r="J841" s="2132">
        <f>J$2737</f>
        <v>2026</v>
      </c>
      <c r="K841" s="1489">
        <f>K$2737</f>
        <v>2027</v>
      </c>
      <c r="L841" s="1490">
        <f>L$2737</f>
        <v>2028</v>
      </c>
      <c r="M841" s="1490">
        <f>M$2737</f>
        <v>2029</v>
      </c>
      <c r="N841" s="1490">
        <f>N$2737</f>
        <v>2030</v>
      </c>
      <c r="O841" s="485"/>
      <c r="P841" s="1137"/>
      <c r="Q841" s="1137"/>
      <c r="R841" s="1137"/>
      <c r="S841" s="1137"/>
      <c r="T841" s="1137"/>
      <c r="U841" s="1137"/>
      <c r="V841" s="1137"/>
    </row>
    <row r="842" spans="1:22" s="562" customFormat="1" ht="12.75" hidden="1" customHeight="1">
      <c r="A842" s="719" t="s">
        <v>2289</v>
      </c>
      <c r="B842" s="485"/>
      <c r="C842" s="559"/>
      <c r="D842" s="706"/>
      <c r="E842" s="698" t="s">
        <v>1714</v>
      </c>
      <c r="F842" s="698"/>
      <c r="G842" s="698"/>
      <c r="H842" s="639" t="str">
        <f>H831</f>
        <v>tonnes</v>
      </c>
      <c r="I842" s="698"/>
      <c r="J842" s="2137" t="str">
        <f t="shared" ref="J842:N845" si="59">I914</f>
        <v/>
      </c>
      <c r="K842" s="2072" t="str">
        <f t="shared" si="59"/>
        <v/>
      </c>
      <c r="L842" s="2073" t="str">
        <f t="shared" si="59"/>
        <v/>
      </c>
      <c r="M842" s="2073" t="str">
        <f t="shared" si="59"/>
        <v/>
      </c>
      <c r="N842" s="2073" t="str">
        <f t="shared" si="59"/>
        <v/>
      </c>
      <c r="O842" s="485"/>
      <c r="P842" s="1137"/>
      <c r="Q842" s="1137"/>
      <c r="R842" s="1137"/>
      <c r="S842" s="1137"/>
      <c r="T842" s="1137"/>
      <c r="U842" s="1137"/>
      <c r="V842" s="1137"/>
    </row>
    <row r="843" spans="1:22" s="562" customFormat="1" ht="12.75" hidden="1" customHeight="1">
      <c r="A843" s="719" t="s">
        <v>2289</v>
      </c>
      <c r="B843" s="485"/>
      <c r="C843" s="559"/>
      <c r="D843" s="706"/>
      <c r="E843" s="720" t="s">
        <v>303</v>
      </c>
      <c r="F843" s="720"/>
      <c r="G843" s="720"/>
      <c r="H843" s="721" t="str">
        <f>EUconst_EUA</f>
        <v>UKA</v>
      </c>
      <c r="I843" s="722"/>
      <c r="J843" s="2138" t="str">
        <f t="shared" si="59"/>
        <v/>
      </c>
      <c r="K843" s="2072" t="str">
        <f t="shared" si="59"/>
        <v/>
      </c>
      <c r="L843" s="2073" t="str">
        <f t="shared" si="59"/>
        <v/>
      </c>
      <c r="M843" s="2073" t="str">
        <f t="shared" si="59"/>
        <v/>
      </c>
      <c r="N843" s="2073" t="str">
        <f t="shared" si="59"/>
        <v/>
      </c>
      <c r="O843" s="485"/>
      <c r="P843" s="1137"/>
      <c r="Q843" s="1137"/>
      <c r="R843" s="1137"/>
      <c r="S843" s="1137"/>
      <c r="T843" s="1137"/>
      <c r="U843" s="1137"/>
      <c r="V843" s="1137"/>
    </row>
    <row r="844" spans="1:22" s="562" customFormat="1" ht="12.75" hidden="1" customHeight="1">
      <c r="A844" s="719" t="s">
        <v>2289</v>
      </c>
      <c r="B844" s="485"/>
      <c r="C844" s="559"/>
      <c r="D844" s="706"/>
      <c r="E844" s="723" t="s">
        <v>1422</v>
      </c>
      <c r="F844" s="723"/>
      <c r="G844" s="723"/>
      <c r="H844" s="724" t="str">
        <f>EUconst_EUA</f>
        <v>UKA</v>
      </c>
      <c r="I844" s="725"/>
      <c r="J844" s="2139" t="str">
        <f t="shared" si="59"/>
        <v/>
      </c>
      <c r="K844" s="2072" t="str">
        <f t="shared" si="59"/>
        <v/>
      </c>
      <c r="L844" s="2073" t="str">
        <f t="shared" si="59"/>
        <v/>
      </c>
      <c r="M844" s="2073" t="str">
        <f t="shared" si="59"/>
        <v/>
      </c>
      <c r="N844" s="2073" t="str">
        <f t="shared" si="59"/>
        <v/>
      </c>
      <c r="O844" s="485"/>
      <c r="P844" s="1137"/>
      <c r="Q844" s="1137"/>
      <c r="R844" s="1137"/>
      <c r="S844" s="1137"/>
      <c r="T844" s="1137"/>
      <c r="U844" s="1137"/>
      <c r="V844" s="1137"/>
    </row>
    <row r="845" spans="1:22" s="562" customFormat="1" ht="12.75" hidden="1" customHeight="1">
      <c r="A845" s="719" t="s">
        <v>2289</v>
      </c>
      <c r="B845" s="485"/>
      <c r="C845" s="559"/>
      <c r="D845" s="706"/>
      <c r="E845" s="745" t="s">
        <v>1390</v>
      </c>
      <c r="F845" s="745"/>
      <c r="G845" s="745"/>
      <c r="H845" s="746" t="str">
        <f>EUconst_EUA</f>
        <v>UKA</v>
      </c>
      <c r="I845" s="747"/>
      <c r="J845" s="2148" t="str">
        <f t="shared" si="59"/>
        <v/>
      </c>
      <c r="K845" s="2072" t="str">
        <f t="shared" si="59"/>
        <v/>
      </c>
      <c r="L845" s="2073" t="str">
        <f t="shared" si="59"/>
        <v/>
      </c>
      <c r="M845" s="2073" t="str">
        <f t="shared" si="59"/>
        <v/>
      </c>
      <c r="N845" s="2073" t="str">
        <f t="shared" si="59"/>
        <v/>
      </c>
      <c r="O845" s="485"/>
      <c r="P845" s="1137"/>
      <c r="Q845" s="1137"/>
      <c r="R845" s="1137"/>
      <c r="S845" s="1137"/>
      <c r="T845" s="1137"/>
      <c r="U845" s="1137"/>
      <c r="V845" s="1137"/>
    </row>
    <row r="846" spans="1:22" s="562" customFormat="1" ht="12.75" customHeight="1">
      <c r="A846" s="719"/>
      <c r="B846" s="485"/>
      <c r="C846" s="559"/>
      <c r="D846" s="706"/>
      <c r="E846" s="720" t="s">
        <v>1691</v>
      </c>
      <c r="F846" s="720"/>
      <c r="G846" s="720"/>
      <c r="H846" s="748" t="s">
        <v>1021</v>
      </c>
      <c r="I846" s="722"/>
      <c r="J846" s="2149" t="str">
        <f>INDEX(F_ProductBM!J:J,MATCH($P846,F_ProductBM!$Q:$Q,0))</f>
        <v/>
      </c>
      <c r="K846" s="2141" t="str">
        <f>INDEX(F_ProductBM!K:K,MATCH($P846,F_ProductBM!$Q:$Q,0))</f>
        <v/>
      </c>
      <c r="L846" s="2142" t="str">
        <f>INDEX(F_ProductBM!L:L,MATCH($P846,F_ProductBM!$Q:$Q,0))</f>
        <v/>
      </c>
      <c r="M846" s="2142" t="str">
        <f>INDEX(F_ProductBM!M:M,MATCH($P846,F_ProductBM!$Q:$Q,0))</f>
        <v/>
      </c>
      <c r="N846" s="2142" t="str">
        <f>INDEX(F_ProductBM!N:N,MATCH($P846,F_ProductBM!$Q:$Q,0))</f>
        <v/>
      </c>
      <c r="O846" s="485"/>
      <c r="P846" s="1158" t="str">
        <f>EUconst_CNTR_HAL &amp; EUconst_CNTR_ELEXCHInitial &amp; I805</f>
        <v>HAL_ELEXCHIni_</v>
      </c>
      <c r="Q846" s="1137"/>
      <c r="R846" s="1137"/>
      <c r="S846" s="1137"/>
      <c r="T846" s="1137"/>
      <c r="U846" s="1137"/>
      <c r="V846" s="1137"/>
    </row>
    <row r="847" spans="1:22" s="562" customFormat="1" ht="12.75" customHeight="1">
      <c r="A847" s="719"/>
      <c r="B847" s="485"/>
      <c r="C847" s="559"/>
      <c r="D847" s="706"/>
      <c r="E847" s="723" t="s">
        <v>2232</v>
      </c>
      <c r="F847" s="723"/>
      <c r="G847" s="723"/>
      <c r="H847" s="734" t="s">
        <v>1021</v>
      </c>
      <c r="I847" s="735"/>
      <c r="J847" s="23" t="str">
        <f>INDEX(F_ProductBM!J:J,MATCH($P847,F_ProductBM!$Q:$Q,0))</f>
        <v/>
      </c>
      <c r="K847" s="46" t="str">
        <f>INDEX(F_ProductBM!K:K,MATCH($P847,F_ProductBM!$Q:$Q,0))</f>
        <v/>
      </c>
      <c r="L847" s="27" t="str">
        <f>INDEX(F_ProductBM!L:L,MATCH($P847,F_ProductBM!$Q:$Q,0))</f>
        <v/>
      </c>
      <c r="M847" s="27" t="str">
        <f>INDEX(F_ProductBM!M:M,MATCH($P847,F_ProductBM!$Q:$Q,0))</f>
        <v/>
      </c>
      <c r="N847" s="27" t="str">
        <f>INDEX(F_ProductBM!N:N,MATCH($P847,F_ProductBM!$Q:$Q,0))</f>
        <v/>
      </c>
      <c r="O847" s="485"/>
      <c r="P847" s="1158" t="str">
        <f>EUconst_CNTR_RelThreshold &amp; P849</f>
        <v>RelThresh_HALprelim_ELEXCH_</v>
      </c>
      <c r="Q847" s="1137"/>
      <c r="R847" s="1137"/>
      <c r="S847" s="1137"/>
      <c r="T847" s="1137"/>
      <c r="U847" s="1137"/>
      <c r="V847" s="1137"/>
    </row>
    <row r="848" spans="1:22" s="562" customFormat="1" ht="12.75" customHeight="1">
      <c r="A848" s="719"/>
      <c r="B848" s="485"/>
      <c r="C848" s="559"/>
      <c r="D848" s="706"/>
      <c r="E848" s="736" t="s">
        <v>1852</v>
      </c>
      <c r="F848" s="736"/>
      <c r="G848" s="736"/>
      <c r="H848" s="737" t="s">
        <v>1021</v>
      </c>
      <c r="I848" s="738"/>
      <c r="J848" s="2145" t="str">
        <f>INDEX(F_ProductBM!V:V,MATCH($P848,F_ProductBM!$Q:$Q,0))</f>
        <v/>
      </c>
      <c r="K848" s="2134" t="str">
        <f>INDEX(F_ProductBM!W:W,MATCH($P848,F_ProductBM!$Q:$Q,0))</f>
        <v/>
      </c>
      <c r="L848" s="2135" t="str">
        <f>INDEX(F_ProductBM!X:X,MATCH($P848,F_ProductBM!$Q:$Q,0))</f>
        <v/>
      </c>
      <c r="M848" s="2135" t="str">
        <f>INDEX(F_ProductBM!Y:Y,MATCH($P848,F_ProductBM!$Q:$Q,0))</f>
        <v/>
      </c>
      <c r="N848" s="2135" t="str">
        <f>INDEX(F_ProductBM!Z:Z,MATCH($P848,F_ProductBM!$Q:$Q,0))</f>
        <v/>
      </c>
      <c r="O848" s="485"/>
      <c r="P848" s="1158" t="str">
        <f>P847</f>
        <v>RelThresh_HALprelim_ELEXCH_</v>
      </c>
      <c r="Q848" s="1137"/>
      <c r="R848" s="1137"/>
      <c r="S848" s="1137"/>
      <c r="T848" s="1137"/>
      <c r="U848" s="1137"/>
      <c r="V848" s="1137"/>
    </row>
    <row r="849" spans="1:22" s="562" customFormat="1" ht="12.75" customHeight="1">
      <c r="A849" s="719"/>
      <c r="B849" s="485"/>
      <c r="C849" s="559"/>
      <c r="D849" s="706"/>
      <c r="E849" s="727" t="s">
        <v>1689</v>
      </c>
      <c r="F849" s="727"/>
      <c r="G849" s="727"/>
      <c r="H849" s="749" t="s">
        <v>1021</v>
      </c>
      <c r="I849" s="727"/>
      <c r="J849" s="2150" t="str">
        <f>IF($I808=TRUE,INDEX(F_ProductBM!J:J,MATCH($P849,F_ProductBM!$Q:$Q,0)),"")</f>
        <v/>
      </c>
      <c r="K849" s="2141" t="str">
        <f>IF($I808=TRUE,INDEX(F_ProductBM!K:K,MATCH($P849,F_ProductBM!$Q:$Q,0)),"")</f>
        <v/>
      </c>
      <c r="L849" s="2142" t="str">
        <f>IF($I808=TRUE,INDEX(F_ProductBM!L:L,MATCH($P849,F_ProductBM!$Q:$Q,0)),"")</f>
        <v/>
      </c>
      <c r="M849" s="2142" t="str">
        <f>IF($I808=TRUE,INDEX(F_ProductBM!M:M,MATCH($P849,F_ProductBM!$Q:$Q,0)),"")</f>
        <v/>
      </c>
      <c r="N849" s="2142" t="str">
        <f>IF($I808=TRUE,INDEX(F_ProductBM!N:N,MATCH($P849,F_ProductBM!$Q:$Q,0)),"")</f>
        <v/>
      </c>
      <c r="O849" s="485"/>
      <c r="P849" s="1158" t="str">
        <f>EUconst_CNTR_HALprelim&amp;EUconst_CNTR_ELEXCH&amp;$I805</f>
        <v>HALprelim_ELEXCH_</v>
      </c>
      <c r="Q849" s="1137"/>
      <c r="R849" s="1137"/>
      <c r="S849" s="1137"/>
      <c r="T849" s="1137"/>
      <c r="U849" s="1137"/>
      <c r="V849" s="1137"/>
    </row>
    <row r="850" spans="1:22" s="562" customFormat="1" ht="12.75" hidden="1" customHeight="1">
      <c r="A850" s="719" t="s">
        <v>2289</v>
      </c>
      <c r="B850" s="485"/>
      <c r="C850" s="559"/>
      <c r="D850" s="706"/>
      <c r="E850" s="727" t="s">
        <v>1391</v>
      </c>
      <c r="F850" s="727"/>
      <c r="G850" s="727"/>
      <c r="H850" s="750" t="s">
        <v>1021</v>
      </c>
      <c r="I850" s="729"/>
      <c r="J850" s="2143" t="str">
        <f>I919</f>
        <v/>
      </c>
      <c r="K850" s="2141" t="str">
        <f>J919</f>
        <v/>
      </c>
      <c r="L850" s="2142" t="str">
        <f>K919</f>
        <v/>
      </c>
      <c r="M850" s="2142" t="str">
        <f>L919</f>
        <v/>
      </c>
      <c r="N850" s="2142" t="str">
        <f>M919</f>
        <v/>
      </c>
      <c r="O850" s="485"/>
      <c r="P850" s="1137"/>
      <c r="Q850" s="1137"/>
      <c r="R850" s="1137"/>
      <c r="S850" s="1137"/>
      <c r="T850" s="1137"/>
      <c r="U850" s="1137"/>
      <c r="V850" s="1137"/>
    </row>
    <row r="851" spans="1:22" s="562" customFormat="1" ht="12.75" customHeight="1">
      <c r="A851" s="719"/>
      <c r="B851" s="485"/>
      <c r="C851" s="559"/>
      <c r="D851" s="706"/>
      <c r="E851" s="698" t="s">
        <v>1671</v>
      </c>
      <c r="F851" s="698"/>
      <c r="G851" s="698"/>
      <c r="H851" s="730" t="str">
        <f>EUconst_EUA</f>
        <v>UKA</v>
      </c>
      <c r="I851" s="731"/>
      <c r="J851" s="2129" t="str">
        <f>IF($I808=TRUE,MAX(0,ROUND((SUM($M808)*SUM(J842)*SUM(J849)*SUM(J850)-SUM(J843)-SUM(J844)+SUM(J845))*IF($H808=TRUE,1,J$2517),0)),"")</f>
        <v/>
      </c>
      <c r="K851" s="2072" t="str">
        <f>IF($I808=TRUE,MAX(0,ROUND((SUM($M808)*SUM(K842)*SUM(K849)*SUM(K850)-SUM(K843)-SUM(K844)+SUM(K845))*IF($H808=TRUE,1,K$2517),0)),"")</f>
        <v/>
      </c>
      <c r="L851" s="2073" t="str">
        <f>IF($I808=TRUE,MAX(0,ROUND((SUM($M808)*SUM(L842)*SUM(L849)*SUM(L850)-SUM(L843)-SUM(L844)+SUM(L845))*IF($H808=TRUE,1,L$2517),0)),"")</f>
        <v/>
      </c>
      <c r="M851" s="2073" t="str">
        <f>IF($I808=TRUE,MAX(0,ROUND((SUM($M808)*SUM(M842)*SUM(M849)*SUM(M850)-SUM(M843)-SUM(M844)+SUM(M845))*IF($H808=TRUE,1,M$2517),0)),"")</f>
        <v/>
      </c>
      <c r="N851" s="2073" t="str">
        <f>IF($I808=TRUE,MAX(0,ROUND((SUM($M808)*SUM(N842)*SUM(N849)*SUM(N850)-SUM(N843)-SUM(N844)+SUM(N845))*IF($H808=TRUE,1,N$2517),0)),"")</f>
        <v/>
      </c>
      <c r="O851" s="485"/>
      <c r="P851" s="1137"/>
      <c r="Q851" s="1137"/>
      <c r="R851" s="1137"/>
      <c r="S851" s="1137"/>
      <c r="T851" s="1137"/>
      <c r="U851" s="1137"/>
      <c r="V851" s="1137"/>
    </row>
    <row r="852" spans="1:22" s="562" customFormat="1" ht="12.75" customHeight="1">
      <c r="A852" s="719"/>
      <c r="B852" s="485"/>
      <c r="C852" s="559"/>
      <c r="D852" s="706"/>
      <c r="E852" s="698" t="s">
        <v>1670</v>
      </c>
      <c r="F852" s="698"/>
      <c r="G852" s="698"/>
      <c r="H852" s="730" t="str">
        <f>EUconst_EUA</f>
        <v>UKA</v>
      </c>
      <c r="I852" s="731"/>
      <c r="J852" s="2129" t="str">
        <f>IF($I808=TRUE,ABS(SUM(J851)-SUM(J825)),"")</f>
        <v/>
      </c>
      <c r="K852" s="2072" t="str">
        <f>IF($I808=TRUE,ABS(SUM(K851)-SUM(K825)),"")</f>
        <v/>
      </c>
      <c r="L852" s="2073" t="str">
        <f>IF($I808=TRUE,ABS(SUM(L851)-SUM(L825)),"")</f>
        <v/>
      </c>
      <c r="M852" s="2073" t="str">
        <f>IF($I808=TRUE,ABS(SUM(M851)-SUM(M825)),"")</f>
        <v/>
      </c>
      <c r="N852" s="2073" t="str">
        <f>IF($I808=TRUE,ABS(SUM(N851)-SUM(N825)),"")</f>
        <v/>
      </c>
      <c r="O852" s="485"/>
      <c r="P852" s="1137"/>
      <c r="Q852" s="1137"/>
      <c r="R852" s="1137"/>
      <c r="S852" s="1137"/>
      <c r="T852" s="1137"/>
      <c r="U852" s="1137"/>
      <c r="V852" s="1137"/>
    </row>
    <row r="853" spans="1:22" s="562" customFormat="1" ht="12.75" customHeight="1">
      <c r="A853" s="719"/>
      <c r="B853" s="485"/>
      <c r="C853" s="559"/>
      <c r="D853" s="706"/>
      <c r="E853" s="740" t="s">
        <v>2131</v>
      </c>
      <c r="F853" s="740"/>
      <c r="G853" s="740"/>
      <c r="H853" s="741" t="s">
        <v>1021</v>
      </c>
      <c r="I853" s="742"/>
      <c r="J853" s="2147" t="str">
        <f>IF($I808=TRUE,J852&gt;=100,"")</f>
        <v/>
      </c>
      <c r="K853" s="2134" t="str">
        <f>IF($I808=TRUE,K852&gt;=100,"")</f>
        <v/>
      </c>
      <c r="L853" s="2135" t="str">
        <f>IF($I808=TRUE,L852&gt;=100,"")</f>
        <v/>
      </c>
      <c r="M853" s="2135" t="str">
        <f>IF($I808=TRUE,M852&gt;=100,"")</f>
        <v/>
      </c>
      <c r="N853" s="2135" t="str">
        <f>IF($I808=TRUE,N852&gt;=100,"")</f>
        <v/>
      </c>
      <c r="O853" s="485"/>
      <c r="P853" s="1158" t="str">
        <f>EUconst_CNTR_100EUA_ElExch&amp;I805</f>
        <v>EUA100ElExch_</v>
      </c>
      <c r="Q853" s="1137"/>
      <c r="R853" s="1137"/>
      <c r="S853" s="1137"/>
      <c r="T853" s="1137"/>
      <c r="U853" s="1137"/>
      <c r="V853" s="1137"/>
    </row>
    <row r="854" spans="1:22" s="562" customFormat="1" ht="5.0999999999999996" customHeight="1">
      <c r="A854" s="719"/>
      <c r="B854" s="485"/>
      <c r="C854" s="559"/>
      <c r="D854" s="706"/>
      <c r="E854" s="485"/>
      <c r="F854" s="485"/>
      <c r="G854" s="485"/>
      <c r="H854" s="485"/>
      <c r="I854" s="743"/>
      <c r="J854" s="485"/>
      <c r="K854" s="1790"/>
      <c r="L854" s="1791"/>
      <c r="M854" s="1791"/>
      <c r="N854" s="1791"/>
      <c r="O854" s="485"/>
      <c r="P854" s="1137"/>
      <c r="Q854" s="1137"/>
      <c r="R854" s="1137"/>
      <c r="S854" s="1137"/>
      <c r="T854" s="1137"/>
      <c r="U854" s="1137"/>
      <c r="V854" s="1137"/>
    </row>
    <row r="855" spans="1:22" s="562" customFormat="1" ht="12.75" customHeight="1">
      <c r="A855" s="719"/>
      <c r="B855" s="485"/>
      <c r="C855" s="559"/>
      <c r="D855" s="706"/>
      <c r="E855" s="707" t="s">
        <v>1754</v>
      </c>
      <c r="F855" s="637"/>
      <c r="G855" s="637"/>
      <c r="H855" s="663" t="str">
        <f>EUconst_Unit</f>
        <v>Unit</v>
      </c>
      <c r="I855" s="708"/>
      <c r="J855" s="2132">
        <f>J$2737</f>
        <v>2026</v>
      </c>
      <c r="K855" s="1489">
        <f>K$2737</f>
        <v>2027</v>
      </c>
      <c r="L855" s="1490">
        <f>L$2737</f>
        <v>2028</v>
      </c>
      <c r="M855" s="1490">
        <f>M$2737</f>
        <v>2029</v>
      </c>
      <c r="N855" s="1490">
        <f>N$2737</f>
        <v>2030</v>
      </c>
      <c r="O855" s="485"/>
      <c r="P855" s="1137"/>
      <c r="Q855" s="1137"/>
      <c r="R855" s="1137"/>
      <c r="S855" s="1137"/>
      <c r="T855" s="1137"/>
      <c r="U855" s="1137"/>
      <c r="V855" s="1137"/>
    </row>
    <row r="856" spans="1:22" s="562" customFormat="1" ht="12.75" hidden="1" customHeight="1">
      <c r="A856" s="719" t="s">
        <v>2289</v>
      </c>
      <c r="B856" s="485"/>
      <c r="C856" s="559"/>
      <c r="D856" s="706"/>
      <c r="E856" s="698" t="s">
        <v>1714</v>
      </c>
      <c r="F856" s="698"/>
      <c r="G856" s="698"/>
      <c r="H856" s="639" t="str">
        <f>H842</f>
        <v>tonnes</v>
      </c>
      <c r="I856" s="698"/>
      <c r="J856" s="2137" t="str">
        <f>I914</f>
        <v/>
      </c>
      <c r="K856" s="2072" t="str">
        <f>J914</f>
        <v/>
      </c>
      <c r="L856" s="2073" t="str">
        <f>K914</f>
        <v/>
      </c>
      <c r="M856" s="2073" t="str">
        <f>L914</f>
        <v/>
      </c>
      <c r="N856" s="2073" t="str">
        <f>M914</f>
        <v/>
      </c>
      <c r="O856" s="485"/>
      <c r="P856" s="1137"/>
      <c r="Q856" s="1137"/>
      <c r="R856" s="1137"/>
      <c r="S856" s="1137"/>
      <c r="T856" s="1137"/>
      <c r="U856" s="1137"/>
      <c r="V856" s="1137"/>
    </row>
    <row r="857" spans="1:22" s="562" customFormat="1" ht="12.75" customHeight="1">
      <c r="A857" s="719"/>
      <c r="B857" s="485"/>
      <c r="C857" s="559"/>
      <c r="D857" s="706"/>
      <c r="E857" s="720" t="s">
        <v>1691</v>
      </c>
      <c r="F857" s="720"/>
      <c r="G857" s="720"/>
      <c r="H857" s="748" t="str">
        <f>EUconst_EUA</f>
        <v>UKA</v>
      </c>
      <c r="I857" s="722"/>
      <c r="J857" s="2144" t="str">
        <f>IF(R811,SUM(INDEX(F_ProductBM!J:J,MATCH($P857,F_ProductBM!$Q:$Q,0))),"")</f>
        <v/>
      </c>
      <c r="K857" s="2072" t="str">
        <f>IF(S811,SUM(INDEX(F_ProductBM!K:K,MATCH($P857,F_ProductBM!$Q:$Q,0))),"")</f>
        <v/>
      </c>
      <c r="L857" s="2073" t="str">
        <f>IF(T811,SUM(INDEX(F_ProductBM!L:L,MATCH($P857,F_ProductBM!$Q:$Q,0))),"")</f>
        <v/>
      </c>
      <c r="M857" s="2073" t="str">
        <f>IF(U811,SUM(INDEX(F_ProductBM!M:M,MATCH($P857,F_ProductBM!$Q:$Q,0))),"")</f>
        <v/>
      </c>
      <c r="N857" s="2073" t="str">
        <f>IF(V811,SUM(INDEX(F_ProductBM!N:N,MATCH($P857,F_ProductBM!$Q:$Q,0))),"")</f>
        <v/>
      </c>
      <c r="O857" s="485"/>
      <c r="P857" s="1158" t="str">
        <f>EUconst_CNTR_HEATInitial &amp; I805</f>
        <v>HEATIni_</v>
      </c>
      <c r="Q857" s="1137"/>
      <c r="R857" s="1137"/>
      <c r="S857" s="1137"/>
      <c r="T857" s="1137"/>
      <c r="U857" s="1137"/>
      <c r="V857" s="1137"/>
    </row>
    <row r="858" spans="1:22" s="562" customFormat="1" ht="12.75" customHeight="1">
      <c r="A858" s="719"/>
      <c r="B858" s="485"/>
      <c r="C858" s="559"/>
      <c r="D858" s="706"/>
      <c r="E858" s="723" t="s">
        <v>2232</v>
      </c>
      <c r="F858" s="723"/>
      <c r="G858" s="723"/>
      <c r="H858" s="734" t="s">
        <v>1021</v>
      </c>
      <c r="I858" s="735"/>
      <c r="J858" s="23" t="str">
        <f>INDEX(F_ProductBM!J:J,MATCH($P858,F_ProductBM!$Q:$Q,0))</f>
        <v/>
      </c>
      <c r="K858" s="46" t="str">
        <f>INDEX(F_ProductBM!K:K,MATCH($P858,F_ProductBM!$Q:$Q,0))</f>
        <v/>
      </c>
      <c r="L858" s="27" t="str">
        <f>INDEX(F_ProductBM!L:L,MATCH($P858,F_ProductBM!$Q:$Q,0))</f>
        <v/>
      </c>
      <c r="M858" s="27" t="str">
        <f>INDEX(F_ProductBM!M:M,MATCH($P858,F_ProductBM!$Q:$Q,0))</f>
        <v/>
      </c>
      <c r="N858" s="27" t="str">
        <f>INDEX(F_ProductBM!N:N,MATCH($P858,F_ProductBM!$Q:$Q,0))</f>
        <v/>
      </c>
      <c r="O858" s="485"/>
      <c r="P858" s="1158" t="str">
        <f>EUconst_CNTR_RelThreshold &amp; P860</f>
        <v>RelThresh_HEATprelim_</v>
      </c>
      <c r="Q858" s="1137"/>
      <c r="R858" s="1137"/>
      <c r="S858" s="1137"/>
      <c r="T858" s="1137"/>
      <c r="U858" s="1137"/>
      <c r="V858" s="1137"/>
    </row>
    <row r="859" spans="1:22" s="562" customFormat="1" ht="12.75" customHeight="1">
      <c r="A859" s="719"/>
      <c r="B859" s="485"/>
      <c r="C859" s="559"/>
      <c r="D859" s="706"/>
      <c r="E859" s="736" t="s">
        <v>1853</v>
      </c>
      <c r="F859" s="736"/>
      <c r="G859" s="736"/>
      <c r="H859" s="737" t="s">
        <v>1021</v>
      </c>
      <c r="I859" s="738"/>
      <c r="J859" s="2145" t="str">
        <f>INDEX(F_ProductBM!V:V,MATCH($P859,F_ProductBM!$Q:$Q,0))</f>
        <v/>
      </c>
      <c r="K859" s="2134" t="str">
        <f>INDEX(F_ProductBM!W:W,MATCH($P859,F_ProductBM!$Q:$Q,0))</f>
        <v/>
      </c>
      <c r="L859" s="2135" t="str">
        <f>INDEX(F_ProductBM!X:X,MATCH($P859,F_ProductBM!$Q:$Q,0))</f>
        <v/>
      </c>
      <c r="M859" s="2135" t="str">
        <f>INDEX(F_ProductBM!Y:Y,MATCH($P859,F_ProductBM!$Q:$Q,0))</f>
        <v/>
      </c>
      <c r="N859" s="2135" t="str">
        <f>INDEX(F_ProductBM!Z:Z,MATCH($P859,F_ProductBM!$Q:$Q,0))</f>
        <v/>
      </c>
      <c r="O859" s="485"/>
      <c r="P859" s="1158" t="str">
        <f>P858</f>
        <v>RelThresh_HEATprelim_</v>
      </c>
      <c r="Q859" s="1137"/>
      <c r="R859" s="1137"/>
      <c r="S859" s="1137"/>
      <c r="T859" s="1137"/>
      <c r="U859" s="1137"/>
      <c r="V859" s="1137"/>
    </row>
    <row r="860" spans="1:22" s="562" customFormat="1" ht="12.75" customHeight="1">
      <c r="A860" s="719"/>
      <c r="B860" s="485"/>
      <c r="C860" s="559"/>
      <c r="D860" s="706"/>
      <c r="E860" s="727" t="s">
        <v>1689</v>
      </c>
      <c r="F860" s="727"/>
      <c r="G860" s="727"/>
      <c r="H860" s="749" t="str">
        <f>EUconst_EUA</f>
        <v>UKA</v>
      </c>
      <c r="I860" s="727"/>
      <c r="J860" s="2146" t="str">
        <f>IF($I805="","",INDEX(F_ProductBM!J:J,MATCH($P860,F_ProductBM!$Q:$Q,0)))</f>
        <v/>
      </c>
      <c r="K860" s="2072" t="str">
        <f>IF($I805="","",INDEX(F_ProductBM!K:K,MATCH($P860,F_ProductBM!$Q:$Q,0)))</f>
        <v/>
      </c>
      <c r="L860" s="2073" t="str">
        <f>IF($I805="","",INDEX(F_ProductBM!L:L,MATCH($P860,F_ProductBM!$Q:$Q,0)))</f>
        <v/>
      </c>
      <c r="M860" s="2073" t="str">
        <f>IF($I805="","",INDEX(F_ProductBM!M:M,MATCH($P860,F_ProductBM!$Q:$Q,0)))</f>
        <v/>
      </c>
      <c r="N860" s="2073" t="str">
        <f>IF($I805="","",INDEX(F_ProductBM!N:N,MATCH($P860,F_ProductBM!$Q:$Q,0)))</f>
        <v/>
      </c>
      <c r="O860" s="485"/>
      <c r="P860" s="1158" t="str">
        <f>EUconst_CNTR_HEATprelim&amp;I805</f>
        <v>HEATprelim_</v>
      </c>
      <c r="Q860" s="1137"/>
      <c r="R860" s="1137"/>
      <c r="S860" s="1137"/>
      <c r="T860" s="1137"/>
      <c r="U860" s="1137"/>
      <c r="V860" s="1137"/>
    </row>
    <row r="861" spans="1:22" s="562" customFormat="1" ht="12.75" hidden="1" customHeight="1">
      <c r="A861" s="719" t="s">
        <v>2289</v>
      </c>
      <c r="B861" s="485"/>
      <c r="C861" s="559"/>
      <c r="D861" s="706"/>
      <c r="E861" s="723" t="s">
        <v>1422</v>
      </c>
      <c r="F861" s="723"/>
      <c r="G861" s="723"/>
      <c r="H861" s="724" t="str">
        <f>EUconst_EUA</f>
        <v>UKA</v>
      </c>
      <c r="I861" s="725"/>
      <c r="J861" s="2139" t="str">
        <f t="shared" ref="J861:N864" si="60">I916</f>
        <v/>
      </c>
      <c r="K861" s="2072" t="str">
        <f t="shared" si="60"/>
        <v/>
      </c>
      <c r="L861" s="2073" t="str">
        <f t="shared" si="60"/>
        <v/>
      </c>
      <c r="M861" s="2073" t="str">
        <f t="shared" si="60"/>
        <v/>
      </c>
      <c r="N861" s="2073" t="str">
        <f t="shared" si="60"/>
        <v/>
      </c>
      <c r="O861" s="485"/>
      <c r="P861" s="1137"/>
      <c r="Q861" s="1137"/>
      <c r="R861" s="1137"/>
      <c r="S861" s="1137"/>
      <c r="T861" s="1137"/>
      <c r="U861" s="1137"/>
      <c r="V861" s="1137"/>
    </row>
    <row r="862" spans="1:22" s="562" customFormat="1" ht="12.75" hidden="1" customHeight="1">
      <c r="A862" s="719" t="s">
        <v>2289</v>
      </c>
      <c r="B862" s="485"/>
      <c r="C862" s="559"/>
      <c r="D862" s="706"/>
      <c r="E862" s="723" t="s">
        <v>1390</v>
      </c>
      <c r="F862" s="723"/>
      <c r="G862" s="723"/>
      <c r="H862" s="724" t="str">
        <f>EUconst_EUA</f>
        <v>UKA</v>
      </c>
      <c r="I862" s="725"/>
      <c r="J862" s="2139" t="str">
        <f t="shared" si="60"/>
        <v/>
      </c>
      <c r="K862" s="2072" t="str">
        <f t="shared" si="60"/>
        <v/>
      </c>
      <c r="L862" s="2073" t="str">
        <f t="shared" si="60"/>
        <v/>
      </c>
      <c r="M862" s="2073" t="str">
        <f t="shared" si="60"/>
        <v/>
      </c>
      <c r="N862" s="2073" t="str">
        <f t="shared" si="60"/>
        <v/>
      </c>
      <c r="O862" s="485"/>
      <c r="P862" s="1137"/>
      <c r="Q862" s="1137"/>
      <c r="R862" s="1137"/>
      <c r="S862" s="1137"/>
      <c r="T862" s="1137"/>
      <c r="U862" s="1137"/>
      <c r="V862" s="1137"/>
    </row>
    <row r="863" spans="1:22" s="562" customFormat="1" ht="12.75" hidden="1" customHeight="1">
      <c r="A863" s="719" t="s">
        <v>2289</v>
      </c>
      <c r="B863" s="485"/>
      <c r="C863" s="559"/>
      <c r="D863" s="706"/>
      <c r="E863" s="723" t="s">
        <v>1389</v>
      </c>
      <c r="F863" s="723"/>
      <c r="G863" s="723"/>
      <c r="H863" s="726" t="s">
        <v>1021</v>
      </c>
      <c r="I863" s="725"/>
      <c r="J863" s="2140" t="str">
        <f t="shared" si="60"/>
        <v/>
      </c>
      <c r="K863" s="2141" t="str">
        <f t="shared" si="60"/>
        <v/>
      </c>
      <c r="L863" s="2142" t="str">
        <f t="shared" si="60"/>
        <v/>
      </c>
      <c r="M863" s="2142" t="str">
        <f t="shared" si="60"/>
        <v/>
      </c>
      <c r="N863" s="2142" t="str">
        <f t="shared" si="60"/>
        <v/>
      </c>
      <c r="O863" s="485"/>
      <c r="P863" s="1137"/>
      <c r="Q863" s="1137"/>
      <c r="R863" s="1137"/>
      <c r="S863" s="1137"/>
      <c r="T863" s="1137"/>
      <c r="U863" s="1137"/>
      <c r="V863" s="1137"/>
    </row>
    <row r="864" spans="1:22" s="562" customFormat="1" ht="12.75" hidden="1" customHeight="1">
      <c r="A864" s="719" t="s">
        <v>2289</v>
      </c>
      <c r="B864" s="485"/>
      <c r="C864" s="559"/>
      <c r="D864" s="706"/>
      <c r="E864" s="727" t="s">
        <v>1391</v>
      </c>
      <c r="F864" s="727"/>
      <c r="G864" s="727"/>
      <c r="H864" s="728" t="s">
        <v>1021</v>
      </c>
      <c r="I864" s="729"/>
      <c r="J864" s="2143" t="str">
        <f t="shared" si="60"/>
        <v/>
      </c>
      <c r="K864" s="2141" t="str">
        <f t="shared" si="60"/>
        <v/>
      </c>
      <c r="L864" s="2142" t="str">
        <f t="shared" si="60"/>
        <v/>
      </c>
      <c r="M864" s="2142" t="str">
        <f t="shared" si="60"/>
        <v/>
      </c>
      <c r="N864" s="2142" t="str">
        <f t="shared" si="60"/>
        <v/>
      </c>
      <c r="O864" s="485"/>
      <c r="P864" s="1137"/>
      <c r="Q864" s="1137"/>
      <c r="R864" s="1137"/>
      <c r="S864" s="1137"/>
      <c r="T864" s="1137"/>
      <c r="U864" s="1137"/>
      <c r="V864" s="1137"/>
    </row>
    <row r="865" spans="1:22" s="562" customFormat="1" ht="12.75" customHeight="1">
      <c r="A865" s="719"/>
      <c r="B865" s="485"/>
      <c r="C865" s="559"/>
      <c r="D865" s="706"/>
      <c r="E865" s="698" t="s">
        <v>1671</v>
      </c>
      <c r="F865" s="698"/>
      <c r="G865" s="698"/>
      <c r="H865" s="730" t="str">
        <f>EUconst_EUA</f>
        <v>UKA</v>
      </c>
      <c r="I865" s="731"/>
      <c r="J865" s="2129" t="str">
        <f>IF($I805="","",MAX(0,ROUND((SUM($M808)*SUM(J856)*SUM(J863)*SUM(J864)-SUM(J860)-SUM(J861)+SUM(J862))*IF($H808=TRUE,1,J$2517),0)))</f>
        <v/>
      </c>
      <c r="K865" s="2072" t="str">
        <f>IF($I805="","",MAX(0,ROUND((SUM($M808)*SUM(K856)*SUM(K863)*SUM(K864)-SUM(K860)-SUM(K861)+SUM(K862))*IF($H808=TRUE,1,K$2517),0)))</f>
        <v/>
      </c>
      <c r="L865" s="2073" t="str">
        <f>IF($I805="","",MAX(0,ROUND((SUM($M808)*SUM(L856)*SUM(L863)*SUM(L864)-SUM(L860)-SUM(L861)+SUM(L862))*IF($H808=TRUE,1,L$2517),0)))</f>
        <v/>
      </c>
      <c r="M865" s="2073" t="str">
        <f>IF($I805="","",MAX(0,ROUND((SUM($M808)*SUM(M856)*SUM(M863)*SUM(M864)-SUM(M860)-SUM(M861)+SUM(M862))*IF($H808=TRUE,1,M$2517),0)))</f>
        <v/>
      </c>
      <c r="N865" s="2073" t="str">
        <f>IF($I805="","",MAX(0,ROUND((SUM($M808)*SUM(N856)*SUM(N863)*SUM(N864)-SUM(N860)-SUM(N861)+SUM(N862))*IF($H808=TRUE,1,N$2517),0)))</f>
        <v/>
      </c>
      <c r="O865" s="485"/>
      <c r="P865" s="1137"/>
      <c r="Q865" s="1137"/>
      <c r="R865" s="1137"/>
      <c r="S865" s="1137"/>
      <c r="T865" s="1137"/>
      <c r="U865" s="1137"/>
      <c r="V865" s="1137"/>
    </row>
    <row r="866" spans="1:22" s="562" customFormat="1" ht="12.75" customHeight="1">
      <c r="A866" s="719"/>
      <c r="B866" s="485"/>
      <c r="C866" s="559"/>
      <c r="D866" s="706"/>
      <c r="E866" s="698" t="s">
        <v>1670</v>
      </c>
      <c r="F866" s="698"/>
      <c r="G866" s="698"/>
      <c r="H866" s="730" t="str">
        <f>EUconst_EUA</f>
        <v>UKA</v>
      </c>
      <c r="I866" s="731"/>
      <c r="J866" s="2129" t="str">
        <f>IF($I805="","",ABS(SUM(J865)-SUM(J825)))</f>
        <v/>
      </c>
      <c r="K866" s="2072" t="str">
        <f>IF($I805="","",ABS(SUM(K865)-SUM(K825)))</f>
        <v/>
      </c>
      <c r="L866" s="2073" t="str">
        <f>IF($I805="","",ABS(SUM(L865)-SUM(L825)))</f>
        <v/>
      </c>
      <c r="M866" s="2073" t="str">
        <f>IF($I805="","",ABS(SUM(M865)-SUM(M825)))</f>
        <v/>
      </c>
      <c r="N866" s="2073" t="str">
        <f>IF($I805="","",ABS(SUM(N865)-SUM(N825)))</f>
        <v/>
      </c>
      <c r="O866" s="485"/>
      <c r="P866" s="1137"/>
      <c r="Q866" s="1137"/>
      <c r="R866" s="1137"/>
      <c r="S866" s="1137"/>
      <c r="T866" s="1137"/>
      <c r="U866" s="1137"/>
      <c r="V866" s="1137"/>
    </row>
    <row r="867" spans="1:22" s="562" customFormat="1" ht="12.75" customHeight="1">
      <c r="A867" s="719"/>
      <c r="B867" s="485"/>
      <c r="C867" s="559"/>
      <c r="D867" s="706"/>
      <c r="E867" s="740" t="s">
        <v>2132</v>
      </c>
      <c r="F867" s="740"/>
      <c r="G867" s="740"/>
      <c r="H867" s="741" t="s">
        <v>1021</v>
      </c>
      <c r="I867" s="742"/>
      <c r="J867" s="2147" t="str">
        <f>IF($I805="","",J866&gt;=100)</f>
        <v/>
      </c>
      <c r="K867" s="2134" t="str">
        <f>IF($I805="","",K866&gt;=100)</f>
        <v/>
      </c>
      <c r="L867" s="2135" t="str">
        <f>IF($I805="","",L866&gt;=100)</f>
        <v/>
      </c>
      <c r="M867" s="2135" t="str">
        <f>IF($I805="","",M866&gt;=100)</f>
        <v/>
      </c>
      <c r="N867" s="2135" t="str">
        <f>IF($I805="","",N866&gt;=100)</f>
        <v/>
      </c>
      <c r="O867" s="485"/>
      <c r="P867" s="1158" t="str">
        <f>EUconst_CNTR_100EUA_HEAT&amp;I805</f>
        <v>EUA100HEAT_</v>
      </c>
      <c r="Q867" s="1137"/>
      <c r="R867" s="1137"/>
      <c r="S867" s="1137"/>
      <c r="T867" s="1137"/>
      <c r="U867" s="1137"/>
      <c r="V867" s="1137"/>
    </row>
    <row r="868" spans="1:22" s="562" customFormat="1" ht="5.0999999999999996" customHeight="1">
      <c r="A868" s="719"/>
      <c r="B868" s="485"/>
      <c r="C868" s="559"/>
      <c r="D868" s="706"/>
      <c r="E868" s="485"/>
      <c r="F868" s="485"/>
      <c r="G868" s="485"/>
      <c r="H868" s="485"/>
      <c r="I868" s="743"/>
      <c r="J868" s="485"/>
      <c r="K868" s="1790"/>
      <c r="L868" s="1791"/>
      <c r="M868" s="1791"/>
      <c r="N868" s="1791"/>
      <c r="O868" s="485"/>
      <c r="P868" s="1137"/>
      <c r="Q868" s="1137"/>
      <c r="R868" s="1137"/>
      <c r="S868" s="1137"/>
      <c r="T868" s="1137"/>
      <c r="U868" s="1137"/>
      <c r="V868" s="1137"/>
    </row>
    <row r="869" spans="1:22" s="562" customFormat="1" ht="12.75" customHeight="1">
      <c r="A869" s="719"/>
      <c r="B869" s="485"/>
      <c r="C869" s="559"/>
      <c r="D869" s="706"/>
      <c r="E869" s="707" t="s">
        <v>1755</v>
      </c>
      <c r="F869" s="637"/>
      <c r="G869" s="637"/>
      <c r="H869" s="663" t="str">
        <f>EUconst_Unit</f>
        <v>Unit</v>
      </c>
      <c r="I869" s="708"/>
      <c r="J869" s="2132">
        <f>J$2737</f>
        <v>2026</v>
      </c>
      <c r="K869" s="1489">
        <f>K$2737</f>
        <v>2027</v>
      </c>
      <c r="L869" s="1490">
        <f>L$2737</f>
        <v>2028</v>
      </c>
      <c r="M869" s="1490">
        <f>M$2737</f>
        <v>2029</v>
      </c>
      <c r="N869" s="1490">
        <f>N$2737</f>
        <v>2030</v>
      </c>
      <c r="O869" s="485"/>
      <c r="P869" s="1137"/>
      <c r="Q869" s="1137"/>
      <c r="R869" s="1137"/>
      <c r="S869" s="1137"/>
      <c r="T869" s="1137"/>
      <c r="U869" s="1137"/>
      <c r="V869" s="1137"/>
    </row>
    <row r="870" spans="1:22" s="562" customFormat="1" ht="12.75" hidden="1" customHeight="1">
      <c r="A870" s="719" t="s">
        <v>2289</v>
      </c>
      <c r="B870" s="485"/>
      <c r="C870" s="559"/>
      <c r="D870" s="706"/>
      <c r="E870" s="698" t="s">
        <v>1714</v>
      </c>
      <c r="F870" s="698"/>
      <c r="G870" s="698"/>
      <c r="H870" s="639" t="str">
        <f>H856</f>
        <v>tonnes</v>
      </c>
      <c r="I870" s="698"/>
      <c r="J870" s="2137" t="str">
        <f t="shared" ref="J870:N872" si="61">I914</f>
        <v/>
      </c>
      <c r="K870" s="2072" t="str">
        <f t="shared" si="61"/>
        <v/>
      </c>
      <c r="L870" s="2073" t="str">
        <f t="shared" si="61"/>
        <v/>
      </c>
      <c r="M870" s="2073" t="str">
        <f t="shared" si="61"/>
        <v/>
      </c>
      <c r="N870" s="2073" t="str">
        <f t="shared" si="61"/>
        <v/>
      </c>
      <c r="O870" s="485"/>
      <c r="P870" s="1137"/>
      <c r="Q870" s="1137"/>
      <c r="R870" s="1137"/>
      <c r="S870" s="1137"/>
      <c r="T870" s="1137"/>
      <c r="U870" s="1137"/>
      <c r="V870" s="1137"/>
    </row>
    <row r="871" spans="1:22" s="562" customFormat="1" ht="12.75" hidden="1" customHeight="1">
      <c r="A871" s="719" t="s">
        <v>2289</v>
      </c>
      <c r="B871" s="485"/>
      <c r="C871" s="559"/>
      <c r="D871" s="706"/>
      <c r="E871" s="720" t="s">
        <v>303</v>
      </c>
      <c r="F871" s="720"/>
      <c r="G871" s="720"/>
      <c r="H871" s="721" t="str">
        <f>EUconst_EUA</f>
        <v>UKA</v>
      </c>
      <c r="I871" s="722"/>
      <c r="J871" s="2138" t="str">
        <f t="shared" si="61"/>
        <v/>
      </c>
      <c r="K871" s="2072" t="str">
        <f t="shared" si="61"/>
        <v/>
      </c>
      <c r="L871" s="2073" t="str">
        <f t="shared" si="61"/>
        <v/>
      </c>
      <c r="M871" s="2073" t="str">
        <f t="shared" si="61"/>
        <v/>
      </c>
      <c r="N871" s="2073" t="str">
        <f t="shared" si="61"/>
        <v/>
      </c>
      <c r="O871" s="485"/>
      <c r="P871" s="1137"/>
      <c r="Q871" s="1137"/>
      <c r="R871" s="1137"/>
      <c r="S871" s="1137"/>
      <c r="T871" s="1137"/>
      <c r="U871" s="1137"/>
      <c r="V871" s="1137"/>
    </row>
    <row r="872" spans="1:22" s="562" customFormat="1" ht="12.75" hidden="1" customHeight="1">
      <c r="A872" s="719" t="s">
        <v>2289</v>
      </c>
      <c r="B872" s="485"/>
      <c r="C872" s="559"/>
      <c r="D872" s="706"/>
      <c r="E872" s="745" t="s">
        <v>1422</v>
      </c>
      <c r="F872" s="745"/>
      <c r="G872" s="745"/>
      <c r="H872" s="746" t="str">
        <f>EUconst_EUA</f>
        <v>UKA</v>
      </c>
      <c r="I872" s="747"/>
      <c r="J872" s="2148" t="str">
        <f t="shared" si="61"/>
        <v/>
      </c>
      <c r="K872" s="2072" t="str">
        <f t="shared" si="61"/>
        <v/>
      </c>
      <c r="L872" s="2073" t="str">
        <f t="shared" si="61"/>
        <v/>
      </c>
      <c r="M872" s="2073" t="str">
        <f t="shared" si="61"/>
        <v/>
      </c>
      <c r="N872" s="2073" t="str">
        <f t="shared" si="61"/>
        <v/>
      </c>
      <c r="O872" s="485"/>
      <c r="P872" s="1137"/>
      <c r="Q872" s="1137"/>
      <c r="R872" s="1137"/>
      <c r="S872" s="1137"/>
      <c r="T872" s="1137"/>
      <c r="U872" s="1137"/>
      <c r="V872" s="1137"/>
    </row>
    <row r="873" spans="1:22" s="562" customFormat="1" ht="12.75" customHeight="1">
      <c r="A873" s="719"/>
      <c r="B873" s="485"/>
      <c r="C873" s="559"/>
      <c r="D873" s="706"/>
      <c r="E873" s="720" t="s">
        <v>1691</v>
      </c>
      <c r="F873" s="720"/>
      <c r="G873" s="720"/>
      <c r="H873" s="721" t="str">
        <f>EUconst_EUA</f>
        <v>UKA</v>
      </c>
      <c r="I873" s="722"/>
      <c r="J873" s="2151" t="str">
        <f>IF(L808=42,INDEX(H_SpecialBM!J:J,MATCH($P873,H_SpecialBM!$Q:$Q,0)),"")</f>
        <v/>
      </c>
      <c r="K873" s="2072" t="str">
        <f>IF(L808=42,INDEX(H_SpecialBM!K:K,MATCH($P873,H_SpecialBM!$Q:$Q,0)),"")</f>
        <v/>
      </c>
      <c r="L873" s="2073" t="str">
        <f>IF(L808=42,INDEX(H_SpecialBM!L:L,MATCH($P873,H_SpecialBM!$Q:$Q,0)),"")</f>
        <v/>
      </c>
      <c r="M873" s="2073" t="str">
        <f>IF(L808=42,INDEX(H_SpecialBM!M:M,MATCH($P873,H_SpecialBM!$Q:$Q,0)),"")</f>
        <v/>
      </c>
      <c r="N873" s="2073" t="str">
        <f>IF(L808=42,INDEX(H_SpecialBM!N:N,MATCH($P873,H_SpecialBM!$Q:$Q,0)),"")</f>
        <v/>
      </c>
      <c r="O873" s="485"/>
      <c r="P873" s="1158" t="str">
        <f>EUconst_CNTR_HVCInitial &amp; INDEX(EUconst_BMlistNames,42)</f>
        <v>HVCIni_Steam cracking</v>
      </c>
      <c r="Q873" s="1137"/>
      <c r="R873" s="1137"/>
      <c r="S873" s="1137"/>
      <c r="T873" s="1137"/>
      <c r="U873" s="1137"/>
      <c r="V873" s="1137"/>
    </row>
    <row r="874" spans="1:22" s="562" customFormat="1" ht="12.75" customHeight="1">
      <c r="A874" s="719"/>
      <c r="B874" s="485"/>
      <c r="C874" s="559"/>
      <c r="D874" s="706"/>
      <c r="E874" s="723" t="s">
        <v>2232</v>
      </c>
      <c r="F874" s="723"/>
      <c r="G874" s="723"/>
      <c r="H874" s="751" t="s">
        <v>1021</v>
      </c>
      <c r="I874" s="735"/>
      <c r="J874" s="23" t="str">
        <f>IF(L808=42,INDEX(H_SpecialBM!J:J,MATCH($P874,H_SpecialBM!$Q:$Q,0)),"")</f>
        <v/>
      </c>
      <c r="K874" s="46" t="str">
        <f>IF(L808=42,INDEX(H_SpecialBM!K:K,MATCH($P874,H_SpecialBM!$Q:$Q,0)),"")</f>
        <v/>
      </c>
      <c r="L874" s="27" t="str">
        <f>IF(L808=42,INDEX(H_SpecialBM!L:L,MATCH($P874,H_SpecialBM!$Q:$Q,0)),"")</f>
        <v/>
      </c>
      <c r="M874" s="27" t="str">
        <f>IF(L808=42,INDEX(H_SpecialBM!M:M,MATCH($P874,H_SpecialBM!$Q:$Q,0)),"")</f>
        <v/>
      </c>
      <c r="N874" s="27" t="str">
        <f>IF(L808=42,INDEX(H_SpecialBM!N:N,MATCH($P874,H_SpecialBM!$Q:$Q,0)),"")</f>
        <v/>
      </c>
      <c r="O874" s="485"/>
      <c r="P874" s="1158" t="str">
        <f>EUconst_CNTR_RelThreshold &amp; P876</f>
        <v>RelThresh_HVCprelim_</v>
      </c>
      <c r="Q874" s="1137"/>
      <c r="R874" s="1137"/>
      <c r="S874" s="1137"/>
      <c r="T874" s="1137"/>
      <c r="U874" s="1137"/>
      <c r="V874" s="1137"/>
    </row>
    <row r="875" spans="1:22" s="562" customFormat="1" ht="12.75" customHeight="1">
      <c r="A875" s="719"/>
      <c r="B875" s="485"/>
      <c r="C875" s="559"/>
      <c r="D875" s="706"/>
      <c r="E875" s="736" t="s">
        <v>1854</v>
      </c>
      <c r="F875" s="736"/>
      <c r="G875" s="736"/>
      <c r="H875" s="738" t="s">
        <v>1021</v>
      </c>
      <c r="I875" s="738"/>
      <c r="J875" s="2145" t="str">
        <f>IF(L808=42,INDEX(H_SpecialBM!V:V,MATCH($P875,H_SpecialBM!$Q:$Q,0)),"")</f>
        <v/>
      </c>
      <c r="K875" s="2134" t="str">
        <f>IF(L808=42,INDEX(H_SpecialBM!W:W,MATCH($P875,H_SpecialBM!$Q:$Q,0)),"")</f>
        <v/>
      </c>
      <c r="L875" s="2135" t="str">
        <f>IF(L808=42,INDEX(H_SpecialBM!X:X,MATCH($P875,H_SpecialBM!$Q:$Q,0)),"")</f>
        <v/>
      </c>
      <c r="M875" s="2135" t="str">
        <f>IF(L808=42,INDEX(H_SpecialBM!Y:Y,MATCH($P875,H_SpecialBM!$Q:$Q,0)),"")</f>
        <v/>
      </c>
      <c r="N875" s="2135" t="str">
        <f>IF(L808=42,INDEX(H_SpecialBM!Z:Z,MATCH($P875,H_SpecialBM!$Q:$Q,0)),"")</f>
        <v/>
      </c>
      <c r="O875" s="485"/>
      <c r="P875" s="1158" t="str">
        <f>P874</f>
        <v>RelThresh_HVCprelim_</v>
      </c>
      <c r="Q875" s="1137"/>
      <c r="R875" s="1137"/>
      <c r="S875" s="1137"/>
      <c r="T875" s="1137"/>
      <c r="U875" s="1137"/>
      <c r="V875" s="1137"/>
    </row>
    <row r="876" spans="1:22" s="562" customFormat="1" ht="12.75" customHeight="1">
      <c r="A876" s="719"/>
      <c r="B876" s="485"/>
      <c r="C876" s="559"/>
      <c r="D876" s="706"/>
      <c r="E876" s="727" t="s">
        <v>1689</v>
      </c>
      <c r="F876" s="727"/>
      <c r="G876" s="727"/>
      <c r="H876" s="728" t="str">
        <f>EUconst_EUA</f>
        <v>UKA</v>
      </c>
      <c r="I876" s="729"/>
      <c r="J876" s="2152" t="str">
        <f>IF($L808=42,INDEX(H_SpecialBM!J:J,MATCH($P876,H_SpecialBM!$Q:$Q,0)),"")</f>
        <v/>
      </c>
      <c r="K876" s="2072" t="str">
        <f>IF($L808=42,INDEX(H_SpecialBM!K:K,MATCH($P876,H_SpecialBM!$Q:$Q,0)),"")</f>
        <v/>
      </c>
      <c r="L876" s="2073" t="str">
        <f>IF($L808=42,INDEX(H_SpecialBM!L:L,MATCH($P876,H_SpecialBM!$Q:$Q,0)),"")</f>
        <v/>
      </c>
      <c r="M876" s="2073" t="str">
        <f>IF($L808=42,INDEX(H_SpecialBM!M:M,MATCH($P876,H_SpecialBM!$Q:$Q,0)),"")</f>
        <v/>
      </c>
      <c r="N876" s="2073" t="str">
        <f>IF($L808=42,INDEX(H_SpecialBM!N:N,MATCH($P876,H_SpecialBM!$Q:$Q,0)),"")</f>
        <v/>
      </c>
      <c r="O876" s="485"/>
      <c r="P876" s="1158" t="str">
        <f>EUconst_CNTR_HVCprelim</f>
        <v>HVCprelim_</v>
      </c>
      <c r="Q876" s="1137"/>
      <c r="R876" s="1137"/>
      <c r="S876" s="1137"/>
      <c r="T876" s="1137"/>
      <c r="U876" s="1137"/>
      <c r="V876" s="1137"/>
    </row>
    <row r="877" spans="1:22" s="562" customFormat="1" ht="12.75" hidden="1" customHeight="1">
      <c r="A877" s="719" t="s">
        <v>2289</v>
      </c>
      <c r="B877" s="485"/>
      <c r="C877" s="559"/>
      <c r="D877" s="706"/>
      <c r="E877" s="645" t="s">
        <v>1389</v>
      </c>
      <c r="F877" s="645"/>
      <c r="G877" s="645"/>
      <c r="H877" s="752" t="s">
        <v>1021</v>
      </c>
      <c r="I877" s="753"/>
      <c r="J877" s="2153" t="str">
        <f t="shared" ref="J877:N878" si="62">I918</f>
        <v/>
      </c>
      <c r="K877" s="2141" t="str">
        <f t="shared" si="62"/>
        <v/>
      </c>
      <c r="L877" s="2142" t="str">
        <f t="shared" si="62"/>
        <v/>
      </c>
      <c r="M877" s="2142" t="str">
        <f t="shared" si="62"/>
        <v/>
      </c>
      <c r="N877" s="2142" t="str">
        <f t="shared" si="62"/>
        <v/>
      </c>
      <c r="O877" s="485"/>
      <c r="P877" s="1137"/>
      <c r="Q877" s="1137"/>
      <c r="R877" s="1137"/>
      <c r="S877" s="1137"/>
      <c r="T877" s="1137"/>
      <c r="U877" s="1137"/>
      <c r="V877" s="1137"/>
    </row>
    <row r="878" spans="1:22" s="562" customFormat="1" ht="12.75" hidden="1" customHeight="1">
      <c r="A878" s="719" t="s">
        <v>2289</v>
      </c>
      <c r="B878" s="485"/>
      <c r="C878" s="559"/>
      <c r="D878" s="706"/>
      <c r="E878" s="727" t="s">
        <v>1391</v>
      </c>
      <c r="F878" s="727"/>
      <c r="G878" s="727"/>
      <c r="H878" s="728" t="s">
        <v>1021</v>
      </c>
      <c r="I878" s="729"/>
      <c r="J878" s="2143" t="str">
        <f t="shared" si="62"/>
        <v/>
      </c>
      <c r="K878" s="2141" t="str">
        <f t="shared" si="62"/>
        <v/>
      </c>
      <c r="L878" s="2142" t="str">
        <f t="shared" si="62"/>
        <v/>
      </c>
      <c r="M878" s="2142" t="str">
        <f t="shared" si="62"/>
        <v/>
      </c>
      <c r="N878" s="2142" t="str">
        <f t="shared" si="62"/>
        <v/>
      </c>
      <c r="O878" s="485"/>
      <c r="P878" s="1137"/>
      <c r="Q878" s="1137"/>
      <c r="R878" s="1137"/>
      <c r="S878" s="1137"/>
      <c r="T878" s="1137"/>
      <c r="U878" s="1137"/>
      <c r="V878" s="1137"/>
    </row>
    <row r="879" spans="1:22" s="562" customFormat="1" ht="12.75" customHeight="1">
      <c r="A879" s="719"/>
      <c r="B879" s="485"/>
      <c r="C879" s="559"/>
      <c r="D879" s="706"/>
      <c r="E879" s="698" t="s">
        <v>1671</v>
      </c>
      <c r="F879" s="698"/>
      <c r="G879" s="698"/>
      <c r="H879" s="730" t="str">
        <f>EUconst_EUA</f>
        <v>UKA</v>
      </c>
      <c r="I879" s="731"/>
      <c r="J879" s="2129" t="str">
        <f>IF(J876="","",MAX(0,ROUND((SUM($M808)*SUM(J870)*SUM(J877)*SUM(J878)-SUM(J871)-SUM(J872)+SUM(J876))*IF($H808=TRUE,1,J$2517),0)))</f>
        <v/>
      </c>
      <c r="K879" s="2072" t="str">
        <f>IF(K876="","",MAX(0,ROUND((SUM($M808)*SUM(K870)*SUM(K877)*SUM(K878)-SUM(K871)-SUM(K872)+SUM(K876))*IF($H808=TRUE,1,K$2517),0)))</f>
        <v/>
      </c>
      <c r="L879" s="2073" t="str">
        <f>IF(L876="","",MAX(0,ROUND((SUM($M808)*SUM(L870)*SUM(L877)*SUM(L878)-SUM(L871)-SUM(L872)+SUM(L876))*IF($H808=TRUE,1,L$2517),0)))</f>
        <v/>
      </c>
      <c r="M879" s="2073" t="str">
        <f>IF(M876="","",MAX(0,ROUND((SUM($M808)*SUM(M870)*SUM(M877)*SUM(M878)-SUM(M871)-SUM(M872)+SUM(M876))*IF($H808=TRUE,1,M$2517),0)))</f>
        <v/>
      </c>
      <c r="N879" s="2073" t="str">
        <f>IF(N876="","",MAX(0,ROUND((SUM($M808)*SUM(N870)*SUM(N877)*SUM(N878)-SUM(N871)-SUM(N872)+SUM(N876))*IF($H808=TRUE,1,N$2517),0)))</f>
        <v/>
      </c>
      <c r="O879" s="485"/>
      <c r="P879" s="1137"/>
      <c r="Q879" s="1137"/>
      <c r="R879" s="1137"/>
      <c r="S879" s="1137"/>
      <c r="T879" s="1137"/>
      <c r="U879" s="1137"/>
      <c r="V879" s="1137"/>
    </row>
    <row r="880" spans="1:22" s="562" customFormat="1" ht="12.75" customHeight="1">
      <c r="A880" s="719"/>
      <c r="B880" s="485"/>
      <c r="C880" s="559"/>
      <c r="D880" s="706"/>
      <c r="E880" s="698" t="s">
        <v>1670</v>
      </c>
      <c r="F880" s="698"/>
      <c r="G880" s="698"/>
      <c r="H880" s="730" t="str">
        <f>EUconst_EUA</f>
        <v>UKA</v>
      </c>
      <c r="I880" s="731"/>
      <c r="J880" s="2129" t="str">
        <f>IF(J879="","",ABS(SUM(J879)-SUM(J825)))</f>
        <v/>
      </c>
      <c r="K880" s="2072" t="str">
        <f>IF(K879="","",ABS(SUM(K879)-SUM(K825)))</f>
        <v/>
      </c>
      <c r="L880" s="2073" t="str">
        <f>IF(L879="","",ABS(SUM(L879)-SUM(L825)))</f>
        <v/>
      </c>
      <c r="M880" s="2073" t="str">
        <f>IF(M879="","",ABS(SUM(M879)-SUM(M825)))</f>
        <v/>
      </c>
      <c r="N880" s="2073" t="str">
        <f>IF(N879="","",ABS(SUM(N879)-SUM(N825)))</f>
        <v/>
      </c>
      <c r="O880" s="485"/>
      <c r="P880" s="1137"/>
      <c r="Q880" s="1137"/>
      <c r="R880" s="1137"/>
      <c r="S880" s="1137"/>
      <c r="T880" s="1137"/>
      <c r="U880" s="1137"/>
      <c r="V880" s="1137"/>
    </row>
    <row r="881" spans="1:22" s="562" customFormat="1" ht="12.75" customHeight="1">
      <c r="A881" s="719"/>
      <c r="B881" s="485"/>
      <c r="C881" s="559"/>
      <c r="D881" s="706"/>
      <c r="E881" s="740" t="s">
        <v>2133</v>
      </c>
      <c r="F881" s="698"/>
      <c r="G881" s="698"/>
      <c r="H881" s="741" t="s">
        <v>1021</v>
      </c>
      <c r="I881" s="742"/>
      <c r="J881" s="2147" t="str">
        <f>IF(J880="","",J880&gt;=100)</f>
        <v/>
      </c>
      <c r="K881" s="2134" t="str">
        <f>IF(K880="","",K880&gt;=100)</f>
        <v/>
      </c>
      <c r="L881" s="2135" t="str">
        <f>IF(L880="","",L880&gt;=100)</f>
        <v/>
      </c>
      <c r="M881" s="2135" t="str">
        <f>IF(M880="","",M880&gt;=100)</f>
        <v/>
      </c>
      <c r="N881" s="2135" t="str">
        <f>IF(N880="","",N880&gt;=100)</f>
        <v/>
      </c>
      <c r="O881" s="485"/>
      <c r="P881" s="1158" t="str">
        <f>EUconst_CNTR_100EUA_HVC&amp;I805</f>
        <v>EUA100HVC_</v>
      </c>
      <c r="Q881" s="1137"/>
      <c r="R881" s="1137"/>
      <c r="S881" s="1137"/>
      <c r="T881" s="1137"/>
      <c r="U881" s="1137"/>
      <c r="V881" s="1137"/>
    </row>
    <row r="882" spans="1:22" s="562" customFormat="1" ht="5.0999999999999996" customHeight="1">
      <c r="A882" s="719"/>
      <c r="B882" s="485"/>
      <c r="C882" s="559"/>
      <c r="D882" s="706"/>
      <c r="E882" s="485"/>
      <c r="F882" s="485"/>
      <c r="G882" s="485"/>
      <c r="H882" s="485"/>
      <c r="I882" s="743"/>
      <c r="J882" s="485"/>
      <c r="K882" s="1790"/>
      <c r="L882" s="1791"/>
      <c r="M882" s="1791"/>
      <c r="N882" s="1791"/>
      <c r="O882" s="485"/>
      <c r="P882" s="1137"/>
      <c r="Q882" s="1137"/>
      <c r="R882" s="1137"/>
      <c r="S882" s="1137"/>
      <c r="T882" s="1137"/>
      <c r="U882" s="1137"/>
      <c r="V882" s="1137"/>
    </row>
    <row r="883" spans="1:22" s="562" customFormat="1" ht="12.75" customHeight="1">
      <c r="A883" s="719"/>
      <c r="B883" s="485"/>
      <c r="C883" s="559"/>
      <c r="D883" s="706"/>
      <c r="E883" s="707" t="s">
        <v>1756</v>
      </c>
      <c r="F883" s="637"/>
      <c r="G883" s="637"/>
      <c r="H883" s="663" t="str">
        <f>EUconst_Unit</f>
        <v>Unit</v>
      </c>
      <c r="I883" s="708"/>
      <c r="J883" s="2132">
        <f>J$2737</f>
        <v>2026</v>
      </c>
      <c r="K883" s="1489">
        <f>K$2737</f>
        <v>2027</v>
      </c>
      <c r="L883" s="1490">
        <f>L$2737</f>
        <v>2028</v>
      </c>
      <c r="M883" s="1490">
        <f>M$2737</f>
        <v>2029</v>
      </c>
      <c r="N883" s="1490">
        <f>N$2737</f>
        <v>2030</v>
      </c>
      <c r="O883" s="485"/>
      <c r="P883" s="1137"/>
      <c r="Q883" s="1137"/>
      <c r="R883" s="1137"/>
      <c r="S883" s="1137"/>
      <c r="T883" s="1137"/>
      <c r="U883" s="1137"/>
      <c r="V883" s="1137"/>
    </row>
    <row r="884" spans="1:22" s="562" customFormat="1" ht="12.75" hidden="1" customHeight="1">
      <c r="A884" s="719" t="s">
        <v>2289</v>
      </c>
      <c r="B884" s="485"/>
      <c r="C884" s="559"/>
      <c r="D884" s="706"/>
      <c r="E884" s="698" t="s">
        <v>1714</v>
      </c>
      <c r="F884" s="698"/>
      <c r="G884" s="698"/>
      <c r="H884" s="639" t="str">
        <f>H870</f>
        <v>tonnes</v>
      </c>
      <c r="I884" s="698"/>
      <c r="J884" s="2137" t="str">
        <f t="shared" ref="J884:N888" si="63">I914</f>
        <v/>
      </c>
      <c r="K884" s="2072" t="str">
        <f t="shared" si="63"/>
        <v/>
      </c>
      <c r="L884" s="2073" t="str">
        <f t="shared" si="63"/>
        <v/>
      </c>
      <c r="M884" s="2073" t="str">
        <f t="shared" si="63"/>
        <v/>
      </c>
      <c r="N884" s="2073" t="str">
        <f t="shared" si="63"/>
        <v/>
      </c>
      <c r="O884" s="485"/>
      <c r="P884" s="1137"/>
      <c r="Q884" s="1137"/>
      <c r="R884" s="1137"/>
      <c r="S884" s="1137"/>
      <c r="T884" s="1137"/>
      <c r="U884" s="1137"/>
      <c r="V884" s="1137"/>
    </row>
    <row r="885" spans="1:22" s="562" customFormat="1" ht="12.75" hidden="1" customHeight="1">
      <c r="A885" s="719" t="s">
        <v>2289</v>
      </c>
      <c r="B885" s="485"/>
      <c r="C885" s="559"/>
      <c r="D885" s="706"/>
      <c r="E885" s="720" t="s">
        <v>303</v>
      </c>
      <c r="F885" s="720"/>
      <c r="G885" s="720"/>
      <c r="H885" s="721" t="str">
        <f>EUconst_EUA</f>
        <v>UKA</v>
      </c>
      <c r="I885" s="722"/>
      <c r="J885" s="2138" t="str">
        <f t="shared" si="63"/>
        <v/>
      </c>
      <c r="K885" s="2072" t="str">
        <f t="shared" si="63"/>
        <v/>
      </c>
      <c r="L885" s="2073" t="str">
        <f t="shared" si="63"/>
        <v/>
      </c>
      <c r="M885" s="2073" t="str">
        <f t="shared" si="63"/>
        <v/>
      </c>
      <c r="N885" s="2073" t="str">
        <f t="shared" si="63"/>
        <v/>
      </c>
      <c r="O885" s="485"/>
      <c r="P885" s="1137"/>
      <c r="Q885" s="1137"/>
      <c r="R885" s="1137"/>
      <c r="S885" s="1137"/>
      <c r="T885" s="1137"/>
      <c r="U885" s="1137"/>
      <c r="V885" s="1137"/>
    </row>
    <row r="886" spans="1:22" s="562" customFormat="1" ht="12.75" hidden="1" customHeight="1">
      <c r="A886" s="719" t="s">
        <v>2289</v>
      </c>
      <c r="B886" s="485"/>
      <c r="C886" s="559"/>
      <c r="D886" s="706"/>
      <c r="E886" s="723" t="s">
        <v>1422</v>
      </c>
      <c r="F886" s="723"/>
      <c r="G886" s="723"/>
      <c r="H886" s="724" t="str">
        <f>EUconst_EUA</f>
        <v>UKA</v>
      </c>
      <c r="I886" s="725"/>
      <c r="J886" s="2139" t="str">
        <f t="shared" si="63"/>
        <v/>
      </c>
      <c r="K886" s="2072" t="str">
        <f t="shared" si="63"/>
        <v/>
      </c>
      <c r="L886" s="2073" t="str">
        <f t="shared" si="63"/>
        <v/>
      </c>
      <c r="M886" s="2073" t="str">
        <f t="shared" si="63"/>
        <v/>
      </c>
      <c r="N886" s="2073" t="str">
        <f t="shared" si="63"/>
        <v/>
      </c>
      <c r="O886" s="485"/>
      <c r="P886" s="1137"/>
      <c r="Q886" s="1137"/>
      <c r="R886" s="1137"/>
      <c r="S886" s="1137"/>
      <c r="T886" s="1137"/>
      <c r="U886" s="1137"/>
      <c r="V886" s="1137"/>
    </row>
    <row r="887" spans="1:22" s="562" customFormat="1" ht="12.75" hidden="1" customHeight="1">
      <c r="A887" s="719" t="s">
        <v>2289</v>
      </c>
      <c r="B887" s="485"/>
      <c r="C887" s="559"/>
      <c r="D887" s="706"/>
      <c r="E887" s="723" t="s">
        <v>1390</v>
      </c>
      <c r="F887" s="723"/>
      <c r="G887" s="723"/>
      <c r="H887" s="724" t="str">
        <f>EUconst_EUA</f>
        <v>UKA</v>
      </c>
      <c r="I887" s="725"/>
      <c r="J887" s="2139" t="str">
        <f t="shared" si="63"/>
        <v/>
      </c>
      <c r="K887" s="2072" t="str">
        <f t="shared" si="63"/>
        <v/>
      </c>
      <c r="L887" s="2073" t="str">
        <f t="shared" si="63"/>
        <v/>
      </c>
      <c r="M887" s="2073" t="str">
        <f t="shared" si="63"/>
        <v/>
      </c>
      <c r="N887" s="2073" t="str">
        <f t="shared" si="63"/>
        <v/>
      </c>
      <c r="O887" s="485"/>
      <c r="P887" s="1137"/>
      <c r="Q887" s="1137"/>
      <c r="R887" s="1137"/>
      <c r="S887" s="1137"/>
      <c r="T887" s="1137"/>
      <c r="U887" s="1137"/>
      <c r="V887" s="1137"/>
    </row>
    <row r="888" spans="1:22" s="562" customFormat="1" ht="12.75" hidden="1" customHeight="1">
      <c r="A888" s="719" t="s">
        <v>2289</v>
      </c>
      <c r="B888" s="485"/>
      <c r="C888" s="559"/>
      <c r="D888" s="706"/>
      <c r="E888" s="745" t="s">
        <v>1389</v>
      </c>
      <c r="F888" s="745"/>
      <c r="G888" s="745"/>
      <c r="H888" s="754" t="s">
        <v>1021</v>
      </c>
      <c r="I888" s="747"/>
      <c r="J888" s="2154" t="str">
        <f t="shared" si="63"/>
        <v/>
      </c>
      <c r="K888" s="2141" t="str">
        <f t="shared" si="63"/>
        <v/>
      </c>
      <c r="L888" s="2142" t="str">
        <f t="shared" si="63"/>
        <v/>
      </c>
      <c r="M888" s="2142" t="str">
        <f t="shared" si="63"/>
        <v/>
      </c>
      <c r="N888" s="2142" t="str">
        <f t="shared" si="63"/>
        <v/>
      </c>
      <c r="O888" s="485"/>
      <c r="P888" s="1137"/>
      <c r="Q888" s="1137"/>
      <c r="R888" s="1137"/>
      <c r="S888" s="1137"/>
      <c r="T888" s="1137"/>
      <c r="U888" s="1137"/>
      <c r="V888" s="1137"/>
    </row>
    <row r="889" spans="1:22" s="562" customFormat="1" ht="12.75" customHeight="1">
      <c r="A889" s="719"/>
      <c r="B889" s="485"/>
      <c r="C889" s="559"/>
      <c r="D889" s="706"/>
      <c r="E889" s="720" t="s">
        <v>1691</v>
      </c>
      <c r="F889" s="720"/>
      <c r="G889" s="720"/>
      <c r="H889" s="748" t="s">
        <v>1021</v>
      </c>
      <c r="I889" s="722"/>
      <c r="J889" s="2149" t="str">
        <f>IF(L808=47,INDEX(H_SpecialBM!J:J,MATCH($P889,H_SpecialBM!$Q:$Q,0)),"")</f>
        <v/>
      </c>
      <c r="K889" s="2141" t="str">
        <f>IF(L808=47,INDEX(H_SpecialBM!K:K,MATCH($P889,H_SpecialBM!$Q:$Q,0)),"")</f>
        <v/>
      </c>
      <c r="L889" s="2142" t="str">
        <f>IF(L808=47,INDEX(H_SpecialBM!L:L,MATCH($P889,H_SpecialBM!$Q:$Q,0)),"")</f>
        <v/>
      </c>
      <c r="M889" s="2142" t="str">
        <f>IF(L808=47,INDEX(H_SpecialBM!M:M,MATCH($P889,H_SpecialBM!$Q:$Q,0)),"")</f>
        <v/>
      </c>
      <c r="N889" s="2142" t="str">
        <f>IF(L808=47,INDEX(H_SpecialBM!N:N,MATCH($P889,H_SpecialBM!$Q:$Q,0)),"")</f>
        <v/>
      </c>
      <c r="O889" s="485"/>
      <c r="P889" s="1158" t="str">
        <f>EUconst_CNTR_VCMInitial &amp; INDEX(EUconst_BMlistNames,47)</f>
        <v>VCMIni_Vinyl chloride monomer</v>
      </c>
      <c r="Q889" s="1137"/>
      <c r="R889" s="1137"/>
      <c r="S889" s="1137"/>
      <c r="T889" s="1137"/>
      <c r="U889" s="1137"/>
      <c r="V889" s="1137"/>
    </row>
    <row r="890" spans="1:22" s="562" customFormat="1" ht="12.75" customHeight="1">
      <c r="A890" s="719"/>
      <c r="B890" s="485"/>
      <c r="C890" s="559"/>
      <c r="D890" s="706"/>
      <c r="E890" s="723" t="s">
        <v>2232</v>
      </c>
      <c r="F890" s="723"/>
      <c r="G890" s="723"/>
      <c r="H890" s="751" t="s">
        <v>1021</v>
      </c>
      <c r="I890" s="735"/>
      <c r="J890" s="23" t="str">
        <f>IF(L808=47,INDEX(H_SpecialBM!J:J,MATCH($P890,H_SpecialBM!$Q:$Q,0)),"")</f>
        <v/>
      </c>
      <c r="K890" s="46" t="str">
        <f>IF(L808=47,INDEX(H_SpecialBM!K:K,MATCH($P890,H_SpecialBM!$Q:$Q,0)),"")</f>
        <v/>
      </c>
      <c r="L890" s="27" t="str">
        <f>IF(L808=47,INDEX(H_SpecialBM!L:L,MATCH($P890,H_SpecialBM!$Q:$Q,0)),"")</f>
        <v/>
      </c>
      <c r="M890" s="27" t="str">
        <f>IF(L808=47,INDEX(H_SpecialBM!M:M,MATCH($P890,H_SpecialBM!$Q:$Q,0)),"")</f>
        <v/>
      </c>
      <c r="N890" s="27" t="str">
        <f>IF(L808=47,INDEX(H_SpecialBM!N:N,MATCH($P890,H_SpecialBM!$Q:$Q,0)),"")</f>
        <v/>
      </c>
      <c r="O890" s="485"/>
      <c r="P890" s="1158" t="str">
        <f>EUconst_CNTR_RelThreshold &amp; P892</f>
        <v>RelThresh_VCMprelim_</v>
      </c>
      <c r="Q890" s="1137"/>
      <c r="R890" s="1137"/>
      <c r="S890" s="1137"/>
      <c r="T890" s="1137"/>
      <c r="U890" s="1137"/>
      <c r="V890" s="1137"/>
    </row>
    <row r="891" spans="1:22" s="562" customFormat="1" ht="12.75" customHeight="1">
      <c r="A891" s="719"/>
      <c r="B891" s="485"/>
      <c r="C891" s="559"/>
      <c r="D891" s="706"/>
      <c r="E891" s="736" t="s">
        <v>1855</v>
      </c>
      <c r="F891" s="736"/>
      <c r="G891" s="736"/>
      <c r="H891" s="738" t="s">
        <v>1021</v>
      </c>
      <c r="I891" s="738"/>
      <c r="J891" s="2145" t="str">
        <f>IF(L808=47,INDEX(H_SpecialBM!V:V,MATCH($P891,H_SpecialBM!$Q:$Q,0)),"")</f>
        <v/>
      </c>
      <c r="K891" s="2134" t="str">
        <f>IF(L808=47,INDEX(H_SpecialBM!W:W,MATCH($P891,H_SpecialBM!$Q:$Q,0)),"")</f>
        <v/>
      </c>
      <c r="L891" s="2135" t="str">
        <f>IF(L808=47,INDEX(H_SpecialBM!X:X,MATCH($P891,H_SpecialBM!$Q:$Q,0)),"")</f>
        <v/>
      </c>
      <c r="M891" s="2135" t="str">
        <f>IF(L808=47,INDEX(H_SpecialBM!Y:Y,MATCH($P891,H_SpecialBM!$Q:$Q,0)),"")</f>
        <v/>
      </c>
      <c r="N891" s="2135" t="str">
        <f>IF(L808=47,INDEX(H_SpecialBM!Z:Z,MATCH($P891,H_SpecialBM!$Q:$Q,0)),"")</f>
        <v/>
      </c>
      <c r="O891" s="485"/>
      <c r="P891" s="1158" t="str">
        <f>P890</f>
        <v>RelThresh_VCMprelim_</v>
      </c>
      <c r="Q891" s="1137"/>
      <c r="R891" s="1137"/>
      <c r="S891" s="1137"/>
      <c r="T891" s="1137"/>
      <c r="U891" s="1137"/>
      <c r="V891" s="1137"/>
    </row>
    <row r="892" spans="1:22" s="562" customFormat="1" ht="12.75" customHeight="1">
      <c r="A892" s="719"/>
      <c r="B892" s="485"/>
      <c r="C892" s="559"/>
      <c r="D892" s="706"/>
      <c r="E892" s="727" t="s">
        <v>1689</v>
      </c>
      <c r="F892" s="727"/>
      <c r="G892" s="727"/>
      <c r="H892" s="728" t="s">
        <v>1021</v>
      </c>
      <c r="I892" s="729"/>
      <c r="J892" s="2150" t="str">
        <f>IF($L808=47,IF(ISNUMBER(INDEX(H_SpecialBM!J:J,MATCH($P892,H_SpecialBM!$Q:$Q,0))),INDEX(H_SpecialBM!J:J,MATCH($P892,H_SpecialBM!$Q:$Q,0)),1),"")</f>
        <v/>
      </c>
      <c r="K892" s="2141" t="str">
        <f>IF($L808=47,IF(ISNUMBER(INDEX(H_SpecialBM!K:K,MATCH($P892,H_SpecialBM!$Q:$Q,0))),INDEX(H_SpecialBM!K:K,MATCH($P892,H_SpecialBM!$Q:$Q,0)),1),"")</f>
        <v/>
      </c>
      <c r="L892" s="2142" t="str">
        <f>IF($L808=47,IF(ISNUMBER(INDEX(H_SpecialBM!L:L,MATCH($P892,H_SpecialBM!$Q:$Q,0))),INDEX(H_SpecialBM!L:L,MATCH($P892,H_SpecialBM!$Q:$Q,0)),1),"")</f>
        <v/>
      </c>
      <c r="M892" s="2142" t="str">
        <f>IF($L808=47,IF(ISNUMBER(INDEX(H_SpecialBM!M:M,MATCH($P892,H_SpecialBM!$Q:$Q,0))),INDEX(H_SpecialBM!M:M,MATCH($P892,H_SpecialBM!$Q:$Q,0)),1),"")</f>
        <v/>
      </c>
      <c r="N892" s="2142" t="str">
        <f>IF($L808=47,IF(ISNUMBER(INDEX(H_SpecialBM!N:N,MATCH($P892,H_SpecialBM!$Q:$Q,0))),INDEX(H_SpecialBM!N:N,MATCH($P892,H_SpecialBM!$Q:$Q,0)),1),"")</f>
        <v/>
      </c>
      <c r="O892" s="485"/>
      <c r="P892" s="1158" t="str">
        <f>EUconst_CNTR_VCMprelim</f>
        <v>VCMprelim_</v>
      </c>
      <c r="Q892" s="1137"/>
      <c r="R892" s="1137"/>
      <c r="S892" s="1137"/>
      <c r="T892" s="1137"/>
      <c r="U892" s="1137"/>
      <c r="V892" s="1137"/>
    </row>
    <row r="893" spans="1:22" s="562" customFormat="1" ht="12.75" customHeight="1">
      <c r="A893" s="719"/>
      <c r="B893" s="485"/>
      <c r="C893" s="559"/>
      <c r="D893" s="706"/>
      <c r="E893" s="698" t="s">
        <v>1671</v>
      </c>
      <c r="F893" s="698"/>
      <c r="G893" s="698"/>
      <c r="H893" s="730" t="str">
        <f>EUconst_EUA</f>
        <v>UKA</v>
      </c>
      <c r="I893" s="731"/>
      <c r="J893" s="2129" t="str">
        <f>IF(J892="","",MAX(0,ROUND((SUM($M808)*SUM(J884)*SUM(J888)*SUM(J892)-SUM(J885)-SUM(J886)+SUM(J887))*IF($H808=TRUE,1,J$2517),0)))</f>
        <v/>
      </c>
      <c r="K893" s="2072" t="str">
        <f>IF(K892="","",MAX(0,ROUND((SUM($M808)*SUM(K884)*SUM(K888)*SUM(K892)-SUM(K885)-SUM(K886)+SUM(K887))*IF($H808=TRUE,1,K$2517),0)))</f>
        <v/>
      </c>
      <c r="L893" s="2073" t="str">
        <f>IF(L892="","",MAX(0,ROUND((SUM($M808)*SUM(L884)*SUM(L888)*SUM(L892)-SUM(L885)-SUM(L886)+SUM(L887))*IF($H808=TRUE,1,L$2517),0)))</f>
        <v/>
      </c>
      <c r="M893" s="2073" t="str">
        <f>IF(M892="","",MAX(0,ROUND((SUM($M808)*SUM(M884)*SUM(M888)*SUM(M892)-SUM(M885)-SUM(M886)+SUM(M887))*IF($H808=TRUE,1,M$2517),0)))</f>
        <v/>
      </c>
      <c r="N893" s="2073" t="str">
        <f>IF(N892="","",MAX(0,ROUND((SUM($M808)*SUM(N884)*SUM(N888)*SUM(N892)-SUM(N885)-SUM(N886)+SUM(N887))*IF($H808=TRUE,1,N$2517),0)))</f>
        <v/>
      </c>
      <c r="O893" s="485"/>
      <c r="P893" s="1137"/>
      <c r="Q893" s="1137"/>
      <c r="R893" s="1137"/>
      <c r="S893" s="1137"/>
      <c r="T893" s="1137"/>
      <c r="U893" s="1137"/>
      <c r="V893" s="1137"/>
    </row>
    <row r="894" spans="1:22" s="562" customFormat="1" ht="12.75" customHeight="1">
      <c r="A894" s="719"/>
      <c r="B894" s="485"/>
      <c r="C894" s="559"/>
      <c r="D894" s="706"/>
      <c r="E894" s="698" t="s">
        <v>1670</v>
      </c>
      <c r="F894" s="698"/>
      <c r="G894" s="698"/>
      <c r="H894" s="730" t="str">
        <f>EUconst_EUA</f>
        <v>UKA</v>
      </c>
      <c r="I894" s="731"/>
      <c r="J894" s="2129" t="str">
        <f>IF(J893="","",ABS(SUM(J893)-SUM(J825)))</f>
        <v/>
      </c>
      <c r="K894" s="2072" t="str">
        <f>IF(K893="","",ABS(SUM(K893)-SUM(K825)))</f>
        <v/>
      </c>
      <c r="L894" s="2073" t="str">
        <f>IF(L893="","",ABS(SUM(L893)-SUM(L825)))</f>
        <v/>
      </c>
      <c r="M894" s="2073" t="str">
        <f>IF(M893="","",ABS(SUM(M893)-SUM(M825)))</f>
        <v/>
      </c>
      <c r="N894" s="2073" t="str">
        <f>IF(N893="","",ABS(SUM(N893)-SUM(N825)))</f>
        <v/>
      </c>
      <c r="O894" s="485"/>
      <c r="P894" s="1137"/>
      <c r="Q894" s="1137"/>
      <c r="R894" s="1137"/>
      <c r="S894" s="1137"/>
      <c r="T894" s="1137"/>
      <c r="U894" s="1137"/>
      <c r="V894" s="1137"/>
    </row>
    <row r="895" spans="1:22" s="562" customFormat="1" ht="12.75" customHeight="1">
      <c r="A895" s="719"/>
      <c r="B895" s="485"/>
      <c r="C895" s="559"/>
      <c r="D895" s="706"/>
      <c r="E895" s="740" t="s">
        <v>2134</v>
      </c>
      <c r="F895" s="698"/>
      <c r="G895" s="698"/>
      <c r="H895" s="741" t="s">
        <v>1021</v>
      </c>
      <c r="I895" s="742"/>
      <c r="J895" s="2147" t="str">
        <f>IF(J894="","",J894&gt;=100)</f>
        <v/>
      </c>
      <c r="K895" s="2134" t="str">
        <f>IF(K894="","",K894&gt;=100)</f>
        <v/>
      </c>
      <c r="L895" s="2135" t="str">
        <f>IF(L894="","",L894&gt;=100)</f>
        <v/>
      </c>
      <c r="M895" s="2135" t="str">
        <f>IF(M894="","",M894&gt;=100)</f>
        <v/>
      </c>
      <c r="N895" s="2135" t="str">
        <f>IF(N894="","",N894&gt;=100)</f>
        <v/>
      </c>
      <c r="O895" s="485"/>
      <c r="P895" s="1158" t="str">
        <f>EUconst_CNTR_100EUA_VCM&amp;I832</f>
        <v>EUA100VCM_</v>
      </c>
      <c r="Q895" s="1137"/>
      <c r="R895" s="1137"/>
      <c r="S895" s="1137"/>
      <c r="T895" s="1137"/>
      <c r="U895" s="1137"/>
      <c r="V895" s="1137"/>
    </row>
    <row r="896" spans="1:22" s="562" customFormat="1" ht="5.0999999999999996" customHeight="1">
      <c r="A896" s="719"/>
      <c r="B896" s="485"/>
      <c r="C896" s="559"/>
      <c r="D896" s="706"/>
      <c r="E896" s="485"/>
      <c r="F896" s="485"/>
      <c r="G896" s="485"/>
      <c r="H896" s="485"/>
      <c r="I896" s="743"/>
      <c r="J896" s="485"/>
      <c r="K896" s="1790"/>
      <c r="L896" s="1791"/>
      <c r="M896" s="1791"/>
      <c r="N896" s="1791"/>
      <c r="O896" s="485"/>
      <c r="P896" s="1137"/>
      <c r="Q896" s="1137"/>
      <c r="R896" s="1137"/>
      <c r="S896" s="1137"/>
      <c r="T896" s="1137"/>
      <c r="U896" s="1137"/>
      <c r="V896" s="1137"/>
    </row>
    <row r="897" spans="1:22" s="562" customFormat="1" ht="12.75" customHeight="1">
      <c r="A897" s="719"/>
      <c r="B897" s="485"/>
      <c r="C897" s="559"/>
      <c r="D897" s="706"/>
      <c r="E897" s="707" t="s">
        <v>1757</v>
      </c>
      <c r="F897" s="637"/>
      <c r="G897" s="637"/>
      <c r="H897" s="663" t="str">
        <f>EUconst_Unit</f>
        <v>Unit</v>
      </c>
      <c r="I897" s="708"/>
      <c r="J897" s="2132">
        <f>J$2737</f>
        <v>2026</v>
      </c>
      <c r="K897" s="1489">
        <f>K$2737</f>
        <v>2027</v>
      </c>
      <c r="L897" s="1490">
        <f>L$2737</f>
        <v>2028</v>
      </c>
      <c r="M897" s="1490">
        <f>M$2737</f>
        <v>2029</v>
      </c>
      <c r="N897" s="1490">
        <f>N$2737</f>
        <v>2030</v>
      </c>
      <c r="O897" s="485"/>
      <c r="P897" s="1137"/>
      <c r="Q897" s="1137"/>
      <c r="R897" s="1137"/>
      <c r="S897" s="1137"/>
      <c r="T897" s="1137"/>
      <c r="U897" s="1137"/>
      <c r="V897" s="1137"/>
    </row>
    <row r="898" spans="1:22" s="562" customFormat="1" ht="12.75" hidden="1" customHeight="1">
      <c r="A898" s="719" t="s">
        <v>2289</v>
      </c>
      <c r="B898" s="485"/>
      <c r="C898" s="559"/>
      <c r="D898" s="706"/>
      <c r="E898" s="698" t="s">
        <v>1714</v>
      </c>
      <c r="F898" s="698"/>
      <c r="G898" s="698"/>
      <c r="H898" s="639" t="str">
        <f>H884</f>
        <v>tonnes</v>
      </c>
      <c r="I898" s="698"/>
      <c r="J898" s="2137" t="str">
        <f t="shared" ref="J898:N899" si="64">I914</f>
        <v/>
      </c>
      <c r="K898" s="2072" t="str">
        <f t="shared" si="64"/>
        <v/>
      </c>
      <c r="L898" s="2073" t="str">
        <f t="shared" si="64"/>
        <v/>
      </c>
      <c r="M898" s="2073" t="str">
        <f t="shared" si="64"/>
        <v/>
      </c>
      <c r="N898" s="2073" t="str">
        <f t="shared" si="64"/>
        <v/>
      </c>
      <c r="O898" s="485"/>
      <c r="P898" s="1137"/>
      <c r="Q898" s="1137"/>
      <c r="R898" s="1137"/>
      <c r="S898" s="1137"/>
      <c r="T898" s="1137"/>
      <c r="U898" s="1137"/>
      <c r="V898" s="1137"/>
    </row>
    <row r="899" spans="1:22" s="562" customFormat="1" ht="12.75" hidden="1" customHeight="1">
      <c r="A899" s="719" t="s">
        <v>2289</v>
      </c>
      <c r="B899" s="485"/>
      <c r="C899" s="559"/>
      <c r="D899" s="706"/>
      <c r="E899" s="720" t="s">
        <v>303</v>
      </c>
      <c r="F899" s="720"/>
      <c r="G899" s="720"/>
      <c r="H899" s="721" t="str">
        <f>EUconst_EUA</f>
        <v>UKA</v>
      </c>
      <c r="I899" s="722"/>
      <c r="J899" s="2138" t="str">
        <f t="shared" si="64"/>
        <v/>
      </c>
      <c r="K899" s="2072" t="str">
        <f t="shared" si="64"/>
        <v/>
      </c>
      <c r="L899" s="2073" t="str">
        <f t="shared" si="64"/>
        <v/>
      </c>
      <c r="M899" s="2073" t="str">
        <f t="shared" si="64"/>
        <v/>
      </c>
      <c r="N899" s="2073" t="str">
        <f t="shared" si="64"/>
        <v/>
      </c>
      <c r="O899" s="485"/>
      <c r="P899" s="1137"/>
      <c r="Q899" s="1137"/>
      <c r="R899" s="1137"/>
      <c r="S899" s="1137"/>
      <c r="T899" s="1137"/>
      <c r="U899" s="1137"/>
      <c r="V899" s="1137"/>
    </row>
    <row r="900" spans="1:22" s="562" customFormat="1" ht="12.75" customHeight="1">
      <c r="A900" s="719"/>
      <c r="B900" s="485"/>
      <c r="C900" s="559"/>
      <c r="D900" s="706"/>
      <c r="E900" s="720" t="s">
        <v>1691</v>
      </c>
      <c r="F900" s="720"/>
      <c r="G900" s="720"/>
      <c r="H900" s="748" t="str">
        <f>EUconst_tCO2</f>
        <v>t CO2</v>
      </c>
      <c r="I900" s="722"/>
      <c r="J900" s="2144" t="str">
        <f>INDEX(F_ProductBM!J:J,MATCH($P900,F_ProductBM!$Q:$Q,0))</f>
        <v/>
      </c>
      <c r="K900" s="2072" t="str">
        <f>INDEX(F_ProductBM!K:K,MATCH($P900,F_ProductBM!$Q:$Q,0))</f>
        <v/>
      </c>
      <c r="L900" s="2073" t="str">
        <f>INDEX(F_ProductBM!L:L,MATCH($P900,F_ProductBM!$Q:$Q,0))</f>
        <v/>
      </c>
      <c r="M900" s="2073" t="str">
        <f>INDEX(F_ProductBM!M:M,MATCH($P900,F_ProductBM!$Q:$Q,0))</f>
        <v/>
      </c>
      <c r="N900" s="2073" t="str">
        <f>INDEX(F_ProductBM!N:N,MATCH($P900,F_ProductBM!$Q:$Q,0))</f>
        <v/>
      </c>
      <c r="O900" s="485"/>
      <c r="P900" s="1158" t="str">
        <f>EUconst_CNTR_HALinitial &amp; EUconst_CNTR_WGFlared &amp; I805</f>
        <v>HALini_WasteGasFlare_</v>
      </c>
      <c r="Q900" s="1137"/>
      <c r="R900" s="1137"/>
      <c r="S900" s="1137"/>
      <c r="T900" s="1137"/>
      <c r="U900" s="1137"/>
      <c r="V900" s="1137"/>
    </row>
    <row r="901" spans="1:22" s="562" customFormat="1" ht="12.75" customHeight="1">
      <c r="A901" s="719"/>
      <c r="B901" s="485"/>
      <c r="C901" s="559"/>
      <c r="D901" s="706"/>
      <c r="E901" s="723" t="s">
        <v>2232</v>
      </c>
      <c r="F901" s="723"/>
      <c r="G901" s="723"/>
      <c r="H901" s="734" t="s">
        <v>1021</v>
      </c>
      <c r="I901" s="735"/>
      <c r="J901" s="23" t="str">
        <f>INDEX(F_ProductBM!J:J,MATCH($P901,F_ProductBM!$Q:$Q,0))</f>
        <v/>
      </c>
      <c r="K901" s="46" t="str">
        <f>INDEX(F_ProductBM!K:K,MATCH($P901,F_ProductBM!$Q:$Q,0))</f>
        <v/>
      </c>
      <c r="L901" s="27" t="str">
        <f>INDEX(F_ProductBM!L:L,MATCH($P901,F_ProductBM!$Q:$Q,0))</f>
        <v/>
      </c>
      <c r="M901" s="27" t="str">
        <f>INDEX(F_ProductBM!M:M,MATCH($P901,F_ProductBM!$Q:$Q,0))</f>
        <v/>
      </c>
      <c r="N901" s="27" t="str">
        <f>INDEX(F_ProductBM!N:N,MATCH($P901,F_ProductBM!$Q:$Q,0))</f>
        <v/>
      </c>
      <c r="O901" s="485"/>
      <c r="P901" s="1158" t="str">
        <f>EUconst_CNTR_RelThreshold &amp; P903</f>
        <v>RelThresh_HALprelim_WasteGasFlare_</v>
      </c>
      <c r="Q901" s="1137"/>
      <c r="R901" s="1137"/>
      <c r="S901" s="1137"/>
      <c r="T901" s="1137"/>
      <c r="U901" s="1137"/>
      <c r="V901" s="1137"/>
    </row>
    <row r="902" spans="1:22" s="562" customFormat="1" ht="12.75" customHeight="1">
      <c r="A902" s="719"/>
      <c r="B902" s="485"/>
      <c r="C902" s="559"/>
      <c r="D902" s="706"/>
      <c r="E902" s="736" t="s">
        <v>1856</v>
      </c>
      <c r="F902" s="736"/>
      <c r="G902" s="736"/>
      <c r="H902" s="737" t="s">
        <v>1021</v>
      </c>
      <c r="I902" s="738"/>
      <c r="J902" s="2145" t="str">
        <f>INDEX(F_ProductBM!V:V,MATCH($P902,F_ProductBM!$Q:$Q,0))</f>
        <v/>
      </c>
      <c r="K902" s="2134" t="str">
        <f>INDEX(F_ProductBM!W:W,MATCH($P902,F_ProductBM!$Q:$Q,0))</f>
        <v/>
      </c>
      <c r="L902" s="2135" t="str">
        <f>INDEX(F_ProductBM!X:X,MATCH($P902,F_ProductBM!$Q:$Q,0))</f>
        <v/>
      </c>
      <c r="M902" s="2135" t="str">
        <f>INDEX(F_ProductBM!Y:Y,MATCH($P902,F_ProductBM!$Q:$Q,0))</f>
        <v/>
      </c>
      <c r="N902" s="2135" t="str">
        <f>INDEX(F_ProductBM!Z:Z,MATCH($P902,F_ProductBM!$Q:$Q,0))</f>
        <v/>
      </c>
      <c r="O902" s="485"/>
      <c r="P902" s="1158" t="str">
        <f>P901</f>
        <v>RelThresh_HALprelim_WasteGasFlare_</v>
      </c>
      <c r="Q902" s="1137"/>
      <c r="R902" s="1137"/>
      <c r="S902" s="1137"/>
      <c r="T902" s="1137"/>
      <c r="U902" s="1137"/>
      <c r="V902" s="1137"/>
    </row>
    <row r="903" spans="1:22" s="562" customFormat="1" ht="12.75" customHeight="1">
      <c r="A903" s="719"/>
      <c r="B903" s="485"/>
      <c r="C903" s="559"/>
      <c r="D903" s="706"/>
      <c r="E903" s="727" t="s">
        <v>1689</v>
      </c>
      <c r="F903" s="727"/>
      <c r="G903" s="727"/>
      <c r="H903" s="728" t="str">
        <f>EUconst_tCO2</f>
        <v>t CO2</v>
      </c>
      <c r="I903" s="729"/>
      <c r="J903" s="2146" t="str">
        <f>IF(OR($I805="",CNTR_SubPeriod=1),"",INDEX(F_ProductBM!J:J,MATCH($P903,F_ProductBM!$Q:$Q,0)))</f>
        <v/>
      </c>
      <c r="K903" s="2072" t="str">
        <f>IF(OR($I805="",CNTR_SubPeriod=1),"",INDEX(F_ProductBM!K:K,MATCH($P903,F_ProductBM!$Q:$Q,0)))</f>
        <v/>
      </c>
      <c r="L903" s="2073" t="str">
        <f>IF(OR($I805="",CNTR_SubPeriod=1),"",INDEX(F_ProductBM!L:L,MATCH($P903,F_ProductBM!$Q:$Q,0)))</f>
        <v/>
      </c>
      <c r="M903" s="2073" t="str">
        <f>IF(OR($I805="",CNTR_SubPeriod=1),"",INDEX(F_ProductBM!M:M,MATCH($P903,F_ProductBM!$Q:$Q,0)))</f>
        <v/>
      </c>
      <c r="N903" s="2073" t="str">
        <f>IF(OR($I805="",CNTR_SubPeriod=1),"",INDEX(F_ProductBM!N:N,MATCH($P903,F_ProductBM!$Q:$Q,0)))</f>
        <v/>
      </c>
      <c r="O903" s="485"/>
      <c r="P903" s="1158" t="str">
        <f>EUconst_CNTR_HALprelim&amp;EUconst_CNTR_WGFlared&amp;$I805</f>
        <v>HALprelim_WasteGasFlare_</v>
      </c>
      <c r="Q903" s="1137"/>
      <c r="R903" s="1137"/>
      <c r="S903" s="1137"/>
      <c r="T903" s="1137"/>
      <c r="U903" s="1137"/>
      <c r="V903" s="1137"/>
    </row>
    <row r="904" spans="1:22" s="562" customFormat="1" ht="12.75" hidden="1" customHeight="1">
      <c r="A904" s="719" t="s">
        <v>2289</v>
      </c>
      <c r="B904" s="485"/>
      <c r="C904" s="559"/>
      <c r="D904" s="706"/>
      <c r="E904" s="723" t="s">
        <v>1390</v>
      </c>
      <c r="F904" s="723"/>
      <c r="G904" s="723"/>
      <c r="H904" s="724" t="str">
        <f>EUconst_EUA</f>
        <v>UKA</v>
      </c>
      <c r="I904" s="725"/>
      <c r="J904" s="2139" t="str">
        <f t="shared" ref="J904:N906" si="65">I917</f>
        <v/>
      </c>
      <c r="K904" s="2072" t="str">
        <f t="shared" si="65"/>
        <v/>
      </c>
      <c r="L904" s="2073" t="str">
        <f t="shared" si="65"/>
        <v/>
      </c>
      <c r="M904" s="2073" t="str">
        <f t="shared" si="65"/>
        <v/>
      </c>
      <c r="N904" s="2073" t="str">
        <f t="shared" si="65"/>
        <v/>
      </c>
      <c r="O904" s="485"/>
      <c r="P904" s="1137"/>
      <c r="Q904" s="1137"/>
      <c r="R904" s="1137"/>
      <c r="S904" s="1137"/>
      <c r="T904" s="1137"/>
      <c r="U904" s="1137"/>
      <c r="V904" s="1137"/>
    </row>
    <row r="905" spans="1:22" s="562" customFormat="1" ht="12.75" hidden="1" customHeight="1">
      <c r="A905" s="719" t="s">
        <v>2289</v>
      </c>
      <c r="B905" s="485"/>
      <c r="C905" s="559"/>
      <c r="D905" s="706"/>
      <c r="E905" s="723" t="s">
        <v>1389</v>
      </c>
      <c r="F905" s="723"/>
      <c r="G905" s="723"/>
      <c r="H905" s="726" t="s">
        <v>1021</v>
      </c>
      <c r="I905" s="725"/>
      <c r="J905" s="2140" t="str">
        <f t="shared" si="65"/>
        <v/>
      </c>
      <c r="K905" s="2141" t="str">
        <f t="shared" si="65"/>
        <v/>
      </c>
      <c r="L905" s="2142" t="str">
        <f t="shared" si="65"/>
        <v/>
      </c>
      <c r="M905" s="2142" t="str">
        <f t="shared" si="65"/>
        <v/>
      </c>
      <c r="N905" s="2142" t="str">
        <f t="shared" si="65"/>
        <v/>
      </c>
      <c r="O905" s="485"/>
      <c r="P905" s="1137"/>
      <c r="Q905" s="1137"/>
      <c r="R905" s="1137"/>
      <c r="S905" s="1137"/>
      <c r="T905" s="1137"/>
      <c r="U905" s="1137"/>
      <c r="V905" s="1137"/>
    </row>
    <row r="906" spans="1:22" s="562" customFormat="1" ht="12.75" hidden="1" customHeight="1">
      <c r="A906" s="719" t="s">
        <v>2289</v>
      </c>
      <c r="B906" s="485"/>
      <c r="C906" s="559"/>
      <c r="D906" s="706"/>
      <c r="E906" s="727" t="s">
        <v>1391</v>
      </c>
      <c r="F906" s="727"/>
      <c r="G906" s="727"/>
      <c r="H906" s="728" t="s">
        <v>1021</v>
      </c>
      <c r="I906" s="729"/>
      <c r="J906" s="2143" t="str">
        <f t="shared" si="65"/>
        <v/>
      </c>
      <c r="K906" s="2141" t="str">
        <f t="shared" si="65"/>
        <v/>
      </c>
      <c r="L906" s="2142" t="str">
        <f t="shared" si="65"/>
        <v/>
      </c>
      <c r="M906" s="2142" t="str">
        <f t="shared" si="65"/>
        <v/>
      </c>
      <c r="N906" s="2142" t="str">
        <f t="shared" si="65"/>
        <v/>
      </c>
      <c r="O906" s="485"/>
      <c r="P906" s="1137"/>
      <c r="Q906" s="1137"/>
      <c r="R906" s="1137"/>
      <c r="S906" s="1137"/>
      <c r="T906" s="1137"/>
      <c r="U906" s="1137"/>
      <c r="V906" s="1137"/>
    </row>
    <row r="907" spans="1:22" s="562" customFormat="1" ht="12.75" customHeight="1">
      <c r="A907" s="719"/>
      <c r="B907" s="485"/>
      <c r="C907" s="559"/>
      <c r="D907" s="706"/>
      <c r="E907" s="698" t="s">
        <v>1671</v>
      </c>
      <c r="F907" s="698"/>
      <c r="G907" s="698"/>
      <c r="H907" s="730" t="str">
        <f>EUconst_EUA</f>
        <v>UKA</v>
      </c>
      <c r="I907" s="731"/>
      <c r="J907" s="2129" t="str">
        <f>IF(J903="","",MAX(0,ROUND((SUM($M808)*SUM(J898)*SUM(J905)*SUM(J906)-SUM(J899)-SUM(J903)+SUM(J904))*IF($H808=TRUE,1,J$2517),0)))</f>
        <v/>
      </c>
      <c r="K907" s="2072" t="str">
        <f>IF(K903="","",MAX(0,ROUND((SUM($M808)*SUM(K898)*SUM(K905)*SUM(K906)-SUM(K899)-SUM(K903)+SUM(K904))*IF($H808=TRUE,1,K$2517),0)))</f>
        <v/>
      </c>
      <c r="L907" s="2073" t="str">
        <f>IF(L903="","",MAX(0,ROUND((SUM($M808)*SUM(L898)*SUM(L905)*SUM(L906)-SUM(L899)-SUM(L903)+SUM(L904))*IF($H808=TRUE,1,L$2517),0)))</f>
        <v/>
      </c>
      <c r="M907" s="2073" t="str">
        <f>IF(M903="","",MAX(0,ROUND((SUM($M808)*SUM(M898)*SUM(M905)*SUM(M906)-SUM(M899)-SUM(M903)+SUM(M904))*IF($H808=TRUE,1,M$2517),0)))</f>
        <v/>
      </c>
      <c r="N907" s="2073" t="str">
        <f>IF(N903="","",MAX(0,ROUND((SUM($M808)*SUM(N898)*SUM(N905)*SUM(N906)-SUM(N899)-SUM(N903)+SUM(N904))*IF($H808=TRUE,1,N$2517),0)))</f>
        <v/>
      </c>
      <c r="O907" s="485"/>
      <c r="P907" s="1137"/>
      <c r="Q907" s="1137"/>
      <c r="R907" s="1137"/>
      <c r="S907" s="1137"/>
      <c r="T907" s="1137"/>
      <c r="U907" s="1137"/>
      <c r="V907" s="1137"/>
    </row>
    <row r="908" spans="1:22" s="562" customFormat="1" ht="12.75" customHeight="1">
      <c r="A908" s="719"/>
      <c r="B908" s="485"/>
      <c r="C908" s="559"/>
      <c r="D908" s="706"/>
      <c r="E908" s="698" t="s">
        <v>1670</v>
      </c>
      <c r="F908" s="698"/>
      <c r="G908" s="698"/>
      <c r="H908" s="730" t="str">
        <f>EUconst_EUA</f>
        <v>UKA</v>
      </c>
      <c r="I908" s="731"/>
      <c r="J908" s="2129" t="str">
        <f>IF(J907="","",ABS(SUM(J907)-SUM(J825)))</f>
        <v/>
      </c>
      <c r="K908" s="2072" t="str">
        <f>IF(K907="","",ABS(SUM(K907)-SUM(K825)))</f>
        <v/>
      </c>
      <c r="L908" s="2073" t="str">
        <f>IF(L907="","",ABS(SUM(L907)-SUM(L825)))</f>
        <v/>
      </c>
      <c r="M908" s="2073" t="str">
        <f>IF(M907="","",ABS(SUM(M907)-SUM(M825)))</f>
        <v/>
      </c>
      <c r="N908" s="2073" t="str">
        <f>IF(N907="","",ABS(SUM(N907)-SUM(N825)))</f>
        <v/>
      </c>
      <c r="O908" s="485"/>
      <c r="P908" s="1137"/>
      <c r="Q908" s="1137"/>
      <c r="R908" s="1137"/>
      <c r="S908" s="1137"/>
      <c r="T908" s="1137"/>
      <c r="U908" s="1137"/>
      <c r="V908" s="1137"/>
    </row>
    <row r="909" spans="1:22" s="562" customFormat="1" ht="12.75" customHeight="1">
      <c r="A909" s="719"/>
      <c r="B909" s="485"/>
      <c r="C909" s="559"/>
      <c r="D909" s="706"/>
      <c r="E909" s="740" t="s">
        <v>2135</v>
      </c>
      <c r="F909" s="698"/>
      <c r="G909" s="698"/>
      <c r="H909" s="741" t="s">
        <v>1021</v>
      </c>
      <c r="I909" s="742"/>
      <c r="J909" s="2147" t="str">
        <f>IF(J908="","",J908&gt;=100)</f>
        <v/>
      </c>
      <c r="K909" s="2134" t="str">
        <f>IF(K908="","",K908&gt;=100)</f>
        <v/>
      </c>
      <c r="L909" s="2135" t="str">
        <f>IF(L908="","",L908&gt;=100)</f>
        <v/>
      </c>
      <c r="M909" s="2135" t="str">
        <f>IF(M908="","",M908&gt;=100)</f>
        <v/>
      </c>
      <c r="N909" s="2135" t="str">
        <f>IF(N908="","",N908&gt;=100)</f>
        <v/>
      </c>
      <c r="O909" s="485"/>
      <c r="P909" s="1158" t="str">
        <f>EUconst_CNTR_100EUA_WGFlare&amp;I805</f>
        <v>EUA100WGFlare_</v>
      </c>
      <c r="Q909" s="1137"/>
      <c r="R909" s="1137"/>
      <c r="S909" s="1137"/>
      <c r="T909" s="1137"/>
      <c r="U909" s="1137"/>
      <c r="V909" s="1137"/>
    </row>
    <row r="910" spans="1:22" s="562" customFormat="1" ht="12.75" customHeight="1" thickBot="1">
      <c r="A910" s="719"/>
      <c r="B910" s="485"/>
      <c r="C910" s="559"/>
      <c r="D910" s="755"/>
      <c r="E910" s="756"/>
      <c r="F910" s="756"/>
      <c r="G910" s="756"/>
      <c r="H910" s="756"/>
      <c r="I910" s="757"/>
      <c r="J910" s="756"/>
      <c r="K910" s="1790"/>
      <c r="L910" s="1791"/>
      <c r="M910" s="1791"/>
      <c r="N910" s="1791"/>
      <c r="O910" s="485"/>
      <c r="P910" s="1137"/>
      <c r="Q910" s="1137"/>
      <c r="R910" s="1137"/>
      <c r="S910" s="1137"/>
      <c r="T910" s="1137"/>
      <c r="U910" s="1137"/>
      <c r="V910" s="1137"/>
    </row>
    <row r="911" spans="1:22" s="562" customFormat="1" ht="5.0999999999999996" customHeight="1" thickBot="1">
      <c r="A911" s="817"/>
      <c r="B911" s="485"/>
      <c r="C911" s="559"/>
      <c r="D911" s="559"/>
      <c r="E911" s="485"/>
      <c r="F911" s="485"/>
      <c r="G911" s="485"/>
      <c r="H911" s="485"/>
      <c r="I911" s="743"/>
      <c r="J911" s="485"/>
      <c r="K911" s="1790"/>
      <c r="L911" s="1791"/>
      <c r="M911" s="1791"/>
      <c r="N911" s="1791"/>
      <c r="O911" s="485"/>
      <c r="P911" s="1137"/>
      <c r="Q911" s="1137"/>
      <c r="R911" s="1137"/>
      <c r="S911" s="1137"/>
      <c r="T911" s="1137"/>
      <c r="U911" s="1137"/>
      <c r="V911" s="1137"/>
    </row>
    <row r="912" spans="1:22" s="562" customFormat="1" ht="5.0999999999999996" customHeight="1">
      <c r="A912" s="817"/>
      <c r="B912" s="485"/>
      <c r="C912" s="485"/>
      <c r="D912" s="759"/>
      <c r="E912" s="760"/>
      <c r="F912" s="760"/>
      <c r="G912" s="760"/>
      <c r="H912" s="760"/>
      <c r="I912" s="761"/>
      <c r="J912" s="760"/>
      <c r="K912" s="1790"/>
      <c r="L912" s="1791"/>
      <c r="M912" s="1791"/>
      <c r="N912" s="1791"/>
      <c r="O912" s="485"/>
      <c r="P912" s="1137"/>
      <c r="Q912" s="1137"/>
      <c r="R912" s="1137"/>
      <c r="S912" s="1137"/>
      <c r="T912" s="1137"/>
      <c r="U912" s="1137"/>
      <c r="V912" s="1137"/>
    </row>
    <row r="913" spans="1:22" s="562" customFormat="1">
      <c r="A913" s="817"/>
      <c r="C913" s="485"/>
      <c r="D913" s="539"/>
      <c r="E913" s="496" t="s">
        <v>1786</v>
      </c>
      <c r="F913" s="485"/>
      <c r="G913" s="485"/>
      <c r="H913" s="663" t="str">
        <f>EUconst_Unit</f>
        <v>Unit</v>
      </c>
      <c r="I913" s="763" t="s">
        <v>1675</v>
      </c>
      <c r="J913" s="2132">
        <f>J$2737</f>
        <v>2026</v>
      </c>
      <c r="K913" s="1489">
        <f>K$2737</f>
        <v>2027</v>
      </c>
      <c r="L913" s="1490">
        <f>L$2737</f>
        <v>2028</v>
      </c>
      <c r="M913" s="1490">
        <f>M$2737</f>
        <v>2029</v>
      </c>
      <c r="N913" s="1490">
        <f>N$2737</f>
        <v>2030</v>
      </c>
      <c r="O913" s="485"/>
      <c r="P913" s="1137"/>
      <c r="Q913" s="1137"/>
      <c r="R913" s="1137"/>
      <c r="S913" s="2155" t="s">
        <v>1646</v>
      </c>
      <c r="T913" s="1117"/>
      <c r="U913" s="1137"/>
      <c r="V913" s="1137"/>
    </row>
    <row r="914" spans="1:22" s="562" customFormat="1">
      <c r="A914" s="817"/>
      <c r="C914" s="485"/>
      <c r="D914" s="539"/>
      <c r="E914" s="720" t="s">
        <v>1714</v>
      </c>
      <c r="F914" s="720"/>
      <c r="G914" s="720"/>
      <c r="H914" s="732" t="str">
        <f>H898</f>
        <v>tonnes</v>
      </c>
      <c r="I914" s="764" t="str">
        <f>IF($I805="","",IF(T920&gt;=$H$2736,0,S914))</f>
        <v/>
      </c>
      <c r="J914" s="2144" t="str">
        <f>IF($I805="","",INDEX(F_ProductBM!J:J,MATCH($P914,F_ProductBM!$Q:$Q,0)))</f>
        <v/>
      </c>
      <c r="K914" s="2072" t="str">
        <f>IF($I805="","",INDEX(F_ProductBM!K:K,MATCH($P914,F_ProductBM!$Q:$Q,0)))</f>
        <v/>
      </c>
      <c r="L914" s="2073" t="str">
        <f>IF($I805="","",INDEX(F_ProductBM!L:L,MATCH($P914,F_ProductBM!$Q:$Q,0)))</f>
        <v/>
      </c>
      <c r="M914" s="2073" t="str">
        <f>IF($I805="","",INDEX(F_ProductBM!M:M,MATCH($P914,F_ProductBM!$Q:$Q,0)))</f>
        <v/>
      </c>
      <c r="N914" s="2073" t="str">
        <f>IF($I805="","",INDEX(F_ProductBM!N:N,MATCH($P914,F_ProductBM!$Q:$Q,0)))</f>
        <v/>
      </c>
      <c r="O914" s="485"/>
      <c r="P914" s="1158" t="str">
        <f>EUconst_CNTR_HALfinal&amp;I805</f>
        <v>HALfinal_</v>
      </c>
      <c r="Q914" s="1137"/>
      <c r="R914" s="1137"/>
      <c r="S914" s="2156" t="str">
        <f>IF($I805="","",INDEX(F_ProductBM!I:I,MATCH($P914,F_ProductBM!$Q:$Q,0)))</f>
        <v/>
      </c>
      <c r="T914" s="1117"/>
      <c r="U914" s="1137"/>
      <c r="V914" s="1137"/>
    </row>
    <row r="915" spans="1:22" s="562" customFormat="1">
      <c r="A915" s="817"/>
      <c r="C915" s="485"/>
      <c r="D915" s="539"/>
      <c r="E915" s="645" t="s">
        <v>303</v>
      </c>
      <c r="F915" s="645"/>
      <c r="G915" s="645"/>
      <c r="H915" s="765" t="str">
        <f>EUconst_EUA</f>
        <v>UKA</v>
      </c>
      <c r="I915" s="766" t="str">
        <f>IF($I805="","",IF(YEAR(J808)&gt;=$H$2736-1,0,S915))</f>
        <v/>
      </c>
      <c r="J915" s="2157" t="str">
        <f>IF($I805="","",INDEX(F_ProductBM!J:J,MATCH($P915,F_ProductBM!$Q:$Q,0)))</f>
        <v/>
      </c>
      <c r="K915" s="2072" t="str">
        <f>IF($I805="","",INDEX(F_ProductBM!K:K,MATCH($P915,F_ProductBM!$Q:$Q,0)))</f>
        <v/>
      </c>
      <c r="L915" s="2073" t="str">
        <f>IF($I805="","",INDEX(F_ProductBM!L:L,MATCH($P915,F_ProductBM!$Q:$Q,0)))</f>
        <v/>
      </c>
      <c r="M915" s="2073" t="str">
        <f>IF($I805="","",INDEX(F_ProductBM!M:M,MATCH($P915,F_ProductBM!$Q:$Q,0)))</f>
        <v/>
      </c>
      <c r="N915" s="2073" t="str">
        <f>IF($I805="","",INDEX(F_ProductBM!N:N,MATCH($P915,F_ProductBM!$Q:$Q,0)))</f>
        <v/>
      </c>
      <c r="O915" s="485"/>
      <c r="P915" s="1158" t="str">
        <f>EUconst_CNTR_HEATfinal&amp;I805</f>
        <v>HEATfinal_</v>
      </c>
      <c r="Q915" s="1137"/>
      <c r="R915" s="1137"/>
      <c r="S915" s="2158" t="str">
        <f>IF($I805="","",INDEX(F_ProductBM!I:I,MATCH($P915,F_ProductBM!$Q:$Q,0)))</f>
        <v/>
      </c>
      <c r="T915" s="1117"/>
      <c r="U915" s="1137"/>
      <c r="V915" s="1137"/>
    </row>
    <row r="916" spans="1:22" s="562" customFormat="1">
      <c r="A916" s="817"/>
      <c r="C916" s="485"/>
      <c r="D916" s="539"/>
      <c r="E916" s="723" t="s">
        <v>1422</v>
      </c>
      <c r="F916" s="723"/>
      <c r="G916" s="723"/>
      <c r="H916" s="724" t="str">
        <f>EUconst_EUA</f>
        <v>UKA</v>
      </c>
      <c r="I916" s="767" t="str">
        <f>IF($I805="","",IF(T920&gt;=$H$2736,0,S916))</f>
        <v/>
      </c>
      <c r="J916" s="2159" t="str">
        <f>IF($I805="","",INDEX(F_ProductBM!J:J,MATCH($P916,F_ProductBM!$Q:$Q,0)))</f>
        <v/>
      </c>
      <c r="K916" s="2072" t="str">
        <f>IF($I805="","",INDEX(F_ProductBM!K:K,MATCH($P916,F_ProductBM!$Q:$Q,0)))</f>
        <v/>
      </c>
      <c r="L916" s="2073" t="str">
        <f>IF($I805="","",INDEX(F_ProductBM!L:L,MATCH($P916,F_ProductBM!$Q:$Q,0)))</f>
        <v/>
      </c>
      <c r="M916" s="2073" t="str">
        <f>IF($I805="","",INDEX(F_ProductBM!M:M,MATCH($P916,F_ProductBM!$Q:$Q,0)))</f>
        <v/>
      </c>
      <c r="N916" s="2073" t="str">
        <f>IF($I805="","",INDEX(F_ProductBM!N:N,MATCH($P916,F_ProductBM!$Q:$Q,0)))</f>
        <v/>
      </c>
      <c r="O916" s="485"/>
      <c r="P916" s="1158" t="str">
        <f>EUconst_CNTR_HALfinal&amp;EUconst_CNTR_WGFlared&amp;$I805</f>
        <v>HALfinal_WasteGasFlare_</v>
      </c>
      <c r="Q916" s="1137"/>
      <c r="R916" s="1137"/>
      <c r="S916" s="2160" t="str">
        <f>IF($I805="","",INDEX(F_ProductBM!I:I,MATCH($P916,F_ProductBM!$Q:$Q,0)))</f>
        <v/>
      </c>
      <c r="T916" s="1117"/>
      <c r="U916" s="1137"/>
      <c r="V916" s="1137"/>
    </row>
    <row r="917" spans="1:22" s="562" customFormat="1">
      <c r="A917" s="817"/>
      <c r="C917" s="485"/>
      <c r="D917" s="539"/>
      <c r="E917" s="723" t="s">
        <v>1390</v>
      </c>
      <c r="F917" s="723"/>
      <c r="G917" s="723"/>
      <c r="H917" s="724" t="str">
        <f>EUconst_EUA</f>
        <v>UKA</v>
      </c>
      <c r="I917" s="767" t="str">
        <f>IF($I805="","",IF(T920&gt;=$H$2736,0,IF(L808=42,S917,0)))</f>
        <v/>
      </c>
      <c r="J917" s="2159" t="str">
        <f>IF($I805="","",IF($L808=42,INDEX(H_SpecialBM!J:J,MATCH($P917,H_SpecialBM!$Q:$Q,0)),0))</f>
        <v/>
      </c>
      <c r="K917" s="2072" t="str">
        <f>IF($I805="","",IF($L808=42,INDEX(H_SpecialBM!K:K,MATCH($P917,H_SpecialBM!$Q:$Q,0)),0))</f>
        <v/>
      </c>
      <c r="L917" s="2073" t="str">
        <f>IF($I805="","",IF($L808=42,INDEX(H_SpecialBM!L:L,MATCH($P917,H_SpecialBM!$Q:$Q,0)),0))</f>
        <v/>
      </c>
      <c r="M917" s="2073" t="str">
        <f>IF($I805="","",IF($L808=42,INDEX(H_SpecialBM!M:M,MATCH($P917,H_SpecialBM!$Q:$Q,0)),0))</f>
        <v/>
      </c>
      <c r="N917" s="2073" t="str">
        <f>IF($I805="","",IF($L808=42,INDEX(H_SpecialBM!N:N,MATCH($P917,H_SpecialBM!$Q:$Q,0)),0))</f>
        <v/>
      </c>
      <c r="O917" s="485"/>
      <c r="P917" s="1158" t="str">
        <f>EUconst_CNTR_HVCfinal</f>
        <v>HVCfinal_</v>
      </c>
      <c r="Q917" s="1137"/>
      <c r="R917" s="1137"/>
      <c r="S917" s="2160" t="str">
        <f>IF($I805="","",IF(L808=42,INDEX(H_SpecialBM!I:I,MATCH($P917,H_SpecialBM!$Q:$Q,0)),0))</f>
        <v/>
      </c>
      <c r="T917" s="1117"/>
      <c r="U917" s="1137"/>
      <c r="V917" s="1137"/>
    </row>
    <row r="918" spans="1:22" s="562" customFormat="1">
      <c r="A918" s="817"/>
      <c r="C918" s="485"/>
      <c r="D918" s="539"/>
      <c r="E918" s="723" t="s">
        <v>1389</v>
      </c>
      <c r="F918" s="723"/>
      <c r="G918" s="723"/>
      <c r="H918" s="726" t="s">
        <v>1021</v>
      </c>
      <c r="I918" s="768" t="str">
        <f>IF(AND($I805&lt;&gt;"",$I808=TRUE),IF(T920&gt;=$H$2736,1,S918),IF($I805="","",1))</f>
        <v/>
      </c>
      <c r="J918" s="2161" t="str">
        <f>IF(AND($I805&lt;&gt;"",$I808=TRUE),INDEX(F_ProductBM!J:J,MATCH($P918,F_ProductBM!$Q:$Q,0)),IF($I805="","",1))</f>
        <v/>
      </c>
      <c r="K918" s="2141" t="str">
        <f>IF(AND($I805&lt;&gt;"",$I808=TRUE),INDEX(F_ProductBM!K:K,MATCH($P918,F_ProductBM!$Q:$Q,0)),IF($I805="","",1))</f>
        <v/>
      </c>
      <c r="L918" s="2142" t="str">
        <f>IF(AND($I805&lt;&gt;"",$I808=TRUE),INDEX(F_ProductBM!L:L,MATCH($P918,F_ProductBM!$Q:$Q,0)),IF($I805="","",1))</f>
        <v/>
      </c>
      <c r="M918" s="2142" t="str">
        <f>IF(AND($I805&lt;&gt;"",$I808=TRUE),INDEX(F_ProductBM!M:M,MATCH($P918,F_ProductBM!$Q:$Q,0)),IF($I805="","",1))</f>
        <v/>
      </c>
      <c r="N918" s="2142" t="str">
        <f>IF(AND($I805&lt;&gt;"",$I808=TRUE),INDEX(F_ProductBM!N:N,MATCH($P918,F_ProductBM!$Q:$Q,0)),IF($I805="","",1))</f>
        <v/>
      </c>
      <c r="O918" s="485"/>
      <c r="P918" s="1158" t="str">
        <f>EUconst_CNTR_HALfinal&amp;EUconst_CNTR_ELEXCH&amp;$I805</f>
        <v>HALfinal_ELEXCH_</v>
      </c>
      <c r="Q918" s="1137"/>
      <c r="R918" s="1137"/>
      <c r="S918" s="2162" t="str">
        <f>IF(AND($I805&lt;&gt;"",$I808=TRUE),INDEX(F_ProductBM!I:I,MATCH($P918,F_ProductBM!$Q:$Q,0)),IF($I805="","",1))</f>
        <v/>
      </c>
      <c r="T918" s="1137"/>
      <c r="U918" s="1137"/>
      <c r="V918" s="1137"/>
    </row>
    <row r="919" spans="1:22" s="562" customFormat="1">
      <c r="A919" s="817"/>
      <c r="C919" s="485"/>
      <c r="D919" s="539"/>
      <c r="E919" s="727" t="s">
        <v>1391</v>
      </c>
      <c r="F919" s="727"/>
      <c r="G919" s="727"/>
      <c r="H919" s="728" t="s">
        <v>1021</v>
      </c>
      <c r="I919" s="769" t="str">
        <f>IF($I805="","",IF($L808=47,IF(AND(ISNUMBER(S919),YEAR(J808)&lt;2021),S919,1),1))</f>
        <v/>
      </c>
      <c r="J919" s="2163" t="str">
        <f>IF($I805="","",IF($L808=47,IF(ISNUMBER(INDEX(H_SpecialBM!J:J,MATCH($P919,H_SpecialBM!$Q:$Q,0))),INDEX(H_SpecialBM!J:J,MATCH($P919,H_SpecialBM!$Q:$Q,0)),1),1))</f>
        <v/>
      </c>
      <c r="K919" s="2141" t="str">
        <f>IF($I805="","",IF($L808=47,IF(ISNUMBER(INDEX(H_SpecialBM!K:K,MATCH($P919,H_SpecialBM!$Q:$Q,0))),INDEX(H_SpecialBM!K:K,MATCH($P919,H_SpecialBM!$Q:$Q,0)),1),1))</f>
        <v/>
      </c>
      <c r="L919" s="2142" t="str">
        <f>IF($I805="","",IF($L808=47,IF(ISNUMBER(INDEX(H_SpecialBM!L:L,MATCH($P919,H_SpecialBM!$Q:$Q,0))),INDEX(H_SpecialBM!L:L,MATCH($P919,H_SpecialBM!$Q:$Q,0)),1),1))</f>
        <v/>
      </c>
      <c r="M919" s="2142" t="str">
        <f>IF($I805="","",IF($L808=47,IF(ISNUMBER(INDEX(H_SpecialBM!M:M,MATCH($P919,H_SpecialBM!$Q:$Q,0))),INDEX(H_SpecialBM!M:M,MATCH($P919,H_SpecialBM!$Q:$Q,0)),1),1))</f>
        <v/>
      </c>
      <c r="N919" s="2142" t="str">
        <f>IF($I805="","",IF($L808=47,IF(ISNUMBER(INDEX(H_SpecialBM!N:N,MATCH($P919,H_SpecialBM!$Q:$Q,0))),INDEX(H_SpecialBM!N:N,MATCH($P919,H_SpecialBM!$Q:$Q,0)),1),1))</f>
        <v/>
      </c>
      <c r="O919" s="485"/>
      <c r="P919" s="1158" t="str">
        <f>EUconst_CNTR_VCMfinal</f>
        <v>VCMfinal_</v>
      </c>
      <c r="Q919" s="1137"/>
      <c r="R919" s="1137"/>
      <c r="S919" s="2164" t="str">
        <f>IF($I805="","",IF($L808=47,IF(ISNUMBER(INDEX(H_SpecialBM!I:I,MATCH($P919,H_SpecialBM!$Q:$Q,0))),INDEX(H_SpecialBM!I:I,MATCH($P919,H_SpecialBM!$Q:$Q,0)),1),1))</f>
        <v/>
      </c>
      <c r="T919" s="1137"/>
      <c r="U919" s="1137"/>
      <c r="V919" s="1137"/>
    </row>
    <row r="920" spans="1:22" s="562" customFormat="1">
      <c r="A920" s="817"/>
      <c r="C920" s="485"/>
      <c r="D920" s="539"/>
      <c r="E920" s="698" t="s">
        <v>222</v>
      </c>
      <c r="F920" s="698"/>
      <c r="G920" s="698"/>
      <c r="H920" s="730" t="str">
        <f>EUconst_EUA</f>
        <v>UKA</v>
      </c>
      <c r="I920" s="770" t="str">
        <f>IF($I805="","",MAX(0,ROUND((SUM($M808)*SUM(I914)*SUM(I918)*SUM(I919)-SUM(I915)-SUM(I916)+SUM(I917))*IF($H808=TRUE,1,J$2517),0)))</f>
        <v/>
      </c>
      <c r="J920" s="2129" t="str">
        <f>IF($I805="","",MAX(0,ROUND((SUM($M808)*SUM(J914)*SUM(J918)*SUM(J919)-SUM(J915)-SUM(J916)+SUM(J917))*IF($H808=TRUE,1,J$2517),0)))</f>
        <v/>
      </c>
      <c r="K920" s="2072" t="str">
        <f>IF($I805="","",MAX(0,ROUND((SUM($M808)*SUM(K914)*SUM(K918)*SUM(K919)-SUM(K915)-SUM(K916)+SUM(K917))*IF($H808=TRUE,1,K$2517),0)))</f>
        <v/>
      </c>
      <c r="L920" s="2073" t="str">
        <f>IF($I805="","",MAX(0,ROUND((SUM($M808)*SUM(L914)*SUM(L918)*SUM(L919)-SUM(L915)-SUM(L916)+SUM(L917))*IF($H808=TRUE,1,L$2517),0)))</f>
        <v/>
      </c>
      <c r="M920" s="2073" t="str">
        <f>IF($I805="","",MAX(0,ROUND((SUM($M808)*SUM(M914)*SUM(M918)*SUM(M919)-SUM(M915)-SUM(M916)+SUM(M917))*IF($H808=TRUE,1,M$2517),0)))</f>
        <v/>
      </c>
      <c r="N920" s="2073" t="str">
        <f>IF($I805="","",MAX(0,ROUND((SUM($M808)*SUM(N914)*SUM(N918)*SUM(N919)-SUM(N915)-SUM(N916)+SUM(N917))*IF($H808=TRUE,1,N$2517),0)))</f>
        <v/>
      </c>
      <c r="O920" s="485"/>
      <c r="P920" s="1158" t="str">
        <f>EUconst_AllocPrelim&amp;I805</f>
        <v>AllocPrelim_</v>
      </c>
      <c r="Q920" s="1137"/>
      <c r="R920" s="1137"/>
      <c r="S920" s="2165" t="str">
        <f>IF($I805="","",MAX(0,ROUND((SUM($M808)*SUM(S914)*SUM(S918)*SUM(S919)-SUM(S915)-SUM(S916)+SUM(S917))*IF($H808=TRUE,1,J$2517),0)))</f>
        <v/>
      </c>
      <c r="T920" s="1137">
        <f>INDEX(F_ProductBM!V:V,MATCH(C805,F_ProductBM!C:C,0))</f>
        <v>2005</v>
      </c>
      <c r="U920" s="1137" t="e">
        <f>INDEX(I920:N920,CNTR_ReportingYear-$I$2736)&lt;&gt;INDEX(I920:N920,CNTR_ReportingYear-$H$2736)</f>
        <v>#REF!</v>
      </c>
      <c r="V920" s="1137"/>
    </row>
    <row r="921" spans="1:22" s="562" customFormat="1" ht="5.0999999999999996" customHeight="1" thickBot="1">
      <c r="A921" s="817"/>
      <c r="C921" s="485"/>
      <c r="D921" s="771"/>
      <c r="E921" s="756"/>
      <c r="F921" s="756"/>
      <c r="G921" s="756"/>
      <c r="H921" s="756"/>
      <c r="I921" s="756"/>
      <c r="J921" s="756"/>
      <c r="K921" s="1790"/>
      <c r="L921" s="1791"/>
      <c r="M921" s="1791"/>
      <c r="N921" s="1791"/>
      <c r="O921" s="485"/>
      <c r="P921" s="1137"/>
      <c r="Q921" s="1137"/>
      <c r="R921" s="1137"/>
      <c r="S921" s="1137"/>
      <c r="T921" s="1137"/>
      <c r="U921" s="1137"/>
      <c r="V921" s="1137"/>
    </row>
    <row r="922" spans="1:22" s="562" customFormat="1" ht="5.0999999999999996" customHeight="1" thickBot="1">
      <c r="A922" s="817"/>
      <c r="C922" s="485"/>
      <c r="E922" s="561"/>
      <c r="F922" s="485"/>
      <c r="G922" s="485"/>
      <c r="H922" s="485"/>
      <c r="I922" s="485"/>
      <c r="J922" s="485"/>
      <c r="K922" s="1790"/>
      <c r="L922" s="1791"/>
      <c r="M922" s="1791"/>
      <c r="N922" s="1791"/>
      <c r="O922" s="485"/>
      <c r="P922" s="1137"/>
      <c r="Q922" s="1137"/>
      <c r="R922" s="1137"/>
      <c r="S922" s="1137"/>
      <c r="T922" s="1137"/>
      <c r="U922" s="1137"/>
      <c r="V922" s="1137"/>
    </row>
    <row r="923" spans="1:22" s="562" customFormat="1" ht="12.75" customHeight="1">
      <c r="A923" s="817"/>
      <c r="C923" s="485"/>
      <c r="D923" s="772"/>
      <c r="E923" s="773"/>
      <c r="F923" s="773"/>
      <c r="G923" s="774"/>
      <c r="H923" s="774"/>
      <c r="I923" s="774"/>
      <c r="J923" s="774"/>
      <c r="K923" s="1790"/>
      <c r="L923" s="1791"/>
      <c r="M923" s="1791"/>
      <c r="N923" s="1791"/>
      <c r="O923" s="485"/>
      <c r="P923" s="1137"/>
      <c r="Q923" s="1137"/>
      <c r="R923" s="1137"/>
      <c r="S923" s="1137"/>
      <c r="T923" s="1137"/>
      <c r="U923" s="1137"/>
      <c r="V923" s="1137"/>
    </row>
    <row r="924" spans="1:22" s="562" customFormat="1" ht="13.5" thickBot="1">
      <c r="A924" s="817"/>
      <c r="C924" s="485"/>
      <c r="D924" s="776"/>
      <c r="E924" s="777"/>
      <c r="F924" s="777"/>
      <c r="G924" s="778" t="str">
        <f>EUconst_Unit</f>
        <v>Unit</v>
      </c>
      <c r="H924" s="779">
        <f t="shared" ref="H924:M924" si="66">H$2737</f>
        <v>2024</v>
      </c>
      <c r="I924" s="780">
        <f t="shared" si="66"/>
        <v>2025</v>
      </c>
      <c r="J924" s="2166">
        <f t="shared" si="66"/>
        <v>2026</v>
      </c>
      <c r="K924" s="1489">
        <f t="shared" si="66"/>
        <v>2027</v>
      </c>
      <c r="L924" s="1490">
        <f t="shared" si="66"/>
        <v>2028</v>
      </c>
      <c r="M924" s="1490">
        <f t="shared" si="66"/>
        <v>2029</v>
      </c>
      <c r="N924" s="1490">
        <f>N$2737</f>
        <v>2030</v>
      </c>
      <c r="O924" s="485"/>
      <c r="P924" s="1137"/>
      <c r="Q924" s="1137"/>
      <c r="R924" s="1137"/>
      <c r="S924" s="1137"/>
      <c r="T924" s="1117"/>
      <c r="U924" s="1137"/>
      <c r="V924" s="1137"/>
    </row>
    <row r="925" spans="1:22" s="562" customFormat="1" ht="13.5" customHeight="1" thickBot="1">
      <c r="A925" s="817"/>
      <c r="C925" s="485"/>
      <c r="D925" s="776"/>
      <c r="E925" s="2470" t="s">
        <v>1504</v>
      </c>
      <c r="F925" s="2470"/>
      <c r="G925" s="808" t="str">
        <f>EUconst_tCO2epa</f>
        <v>t CO2e/year</v>
      </c>
      <c r="H925" s="786" t="str">
        <f t="shared" ref="H925:N925" si="67">INDEX(H$92:H$108,MATCH($I805,$E$92:$E$108,0))</f>
        <v/>
      </c>
      <c r="I925" s="787" t="str">
        <f t="shared" si="67"/>
        <v/>
      </c>
      <c r="J925" s="2167" t="str">
        <f t="shared" si="67"/>
        <v/>
      </c>
      <c r="K925" s="2105" t="str">
        <f t="shared" si="67"/>
        <v/>
      </c>
      <c r="L925" s="1960" t="str">
        <f t="shared" si="67"/>
        <v/>
      </c>
      <c r="M925" s="1960" t="str">
        <f t="shared" si="67"/>
        <v/>
      </c>
      <c r="N925" s="1960" t="str">
        <f t="shared" si="67"/>
        <v/>
      </c>
      <c r="O925" s="485"/>
      <c r="P925" s="1137"/>
      <c r="Q925" s="1137"/>
      <c r="R925" s="1137"/>
      <c r="S925" s="1137"/>
      <c r="T925" s="1117"/>
      <c r="U925" s="1137"/>
      <c r="V925" s="1137"/>
    </row>
    <row r="926" spans="1:22" s="562" customFormat="1" ht="5.0999999999999996" customHeight="1">
      <c r="A926" s="817"/>
      <c r="C926" s="485"/>
      <c r="D926" s="776"/>
      <c r="E926" s="809"/>
      <c r="F926" s="809"/>
      <c r="G926" s="777"/>
      <c r="H926" s="2168"/>
      <c r="I926" s="2168"/>
      <c r="J926" s="2168"/>
      <c r="K926" s="2169"/>
      <c r="L926" s="2170"/>
      <c r="M926" s="2170"/>
      <c r="N926" s="2170"/>
      <c r="O926" s="485"/>
      <c r="P926" s="1137"/>
      <c r="Q926" s="1137"/>
      <c r="R926" s="1137"/>
      <c r="S926" s="1137"/>
      <c r="T926" s="1117"/>
      <c r="U926" s="1137"/>
      <c r="V926" s="1137"/>
    </row>
    <row r="927" spans="1:22" s="562" customFormat="1" ht="12.75" customHeight="1">
      <c r="A927" s="817"/>
      <c r="C927" s="485"/>
      <c r="D927" s="776"/>
      <c r="E927" s="2471" t="s">
        <v>1344</v>
      </c>
      <c r="F927" s="3467"/>
      <c r="G927" s="811" t="str">
        <f>EUconst_TJpa</f>
        <v>TJ / year</v>
      </c>
      <c r="H927" s="625" t="str">
        <f>IF($I805="","",IF(INDEX(F_ProductBM!H:H,MATCH($P927,F_ProductBM!$Q:$Q,0))="","",INDEX(F_ProductBM!H:H,MATCH($P927,F_ProductBM!$Q:$Q,0))))</f>
        <v/>
      </c>
      <c r="I927" s="794" t="str">
        <f>IF($I805="","",IF(INDEX(F_ProductBM!I:I,MATCH($P927,F_ProductBM!$Q:$Q,0))="","",INDEX(F_ProductBM!I:I,MATCH($P927,F_ProductBM!$Q:$Q,0))))</f>
        <v/>
      </c>
      <c r="J927" s="2171" t="str">
        <f>IF($I805="","",IF(INDEX(F_ProductBM!J:J,MATCH($P927,F_ProductBM!$Q:$Q,0))="","",INDEX(F_ProductBM!J:J,MATCH($P927,F_ProductBM!$Q:$Q,0))))</f>
        <v/>
      </c>
      <c r="K927" s="1788" t="str">
        <f>IF($I805="","",IF(INDEX(F_ProductBM!K:K,MATCH($P927,F_ProductBM!$Q:$Q,0))="","",INDEX(F_ProductBM!K:K,MATCH($P927,F_ProductBM!$Q:$Q,0))))</f>
        <v/>
      </c>
      <c r="L927" s="1789" t="str">
        <f>IF($I805="","",IF(INDEX(F_ProductBM!L:L,MATCH($P927,F_ProductBM!$Q:$Q,0))="","",INDEX(F_ProductBM!L:L,MATCH($P927,F_ProductBM!$Q:$Q,0))))</f>
        <v/>
      </c>
      <c r="M927" s="1789" t="str">
        <f>IF($I805="","",IF(INDEX(F_ProductBM!M:M,MATCH($P927,F_ProductBM!$Q:$Q,0))="","",INDEX(F_ProductBM!M:M,MATCH($P927,F_ProductBM!$Q:$Q,0))))</f>
        <v/>
      </c>
      <c r="N927" s="1789" t="str">
        <f>IF($I805="","",IF(INDEX(F_ProductBM!N:N,MATCH($P927,F_ProductBM!$Q:$Q,0))="","",INDEX(F_ProductBM!N:N,MATCH($P927,F_ProductBM!$Q:$Q,0))))</f>
        <v/>
      </c>
      <c r="O927" s="485"/>
      <c r="P927" s="2109" t="str">
        <f>EUconst_CNTR_FuelInput &amp; I805</f>
        <v>FuelInput_</v>
      </c>
      <c r="Q927" s="1137"/>
      <c r="R927" s="1137"/>
      <c r="S927" s="1137"/>
      <c r="T927" s="1117"/>
      <c r="U927" s="1137"/>
      <c r="V927" s="1137"/>
    </row>
    <row r="928" spans="1:22" s="562" customFormat="1" ht="12.75" customHeight="1">
      <c r="A928" s="817"/>
      <c r="C928" s="485"/>
      <c r="D928" s="776"/>
      <c r="E928" s="2473" t="s">
        <v>1182</v>
      </c>
      <c r="F928" s="3466"/>
      <c r="G928" s="812" t="str">
        <f>EUconst_tCO2pTJ</f>
        <v>t CO2 / TJ</v>
      </c>
      <c r="H928" s="627" t="str">
        <f>IF($I805="","",IF(INDEX(F_ProductBM!H:H,MATCH($P928,F_ProductBM!$Q:$Q,0))="","",INDEX(F_ProductBM!H:H,MATCH($P928,F_ProductBM!$Q:$Q,0))))</f>
        <v/>
      </c>
      <c r="I928" s="796" t="str">
        <f>IF($I805="","",IF(INDEX(F_ProductBM!I:I,MATCH($P928,F_ProductBM!$Q:$Q,0))="","",INDEX(F_ProductBM!I:I,MATCH($P928,F_ProductBM!$Q:$Q,0))))</f>
        <v/>
      </c>
      <c r="J928" s="2172" t="str">
        <f>IF($I805="","",IF(INDEX(F_ProductBM!J:J,MATCH($P928,F_ProductBM!$Q:$Q,0))="","",INDEX(F_ProductBM!J:J,MATCH($P928,F_ProductBM!$Q:$Q,0))))</f>
        <v/>
      </c>
      <c r="K928" s="1788" t="str">
        <f>IF($I805="","",IF(INDEX(F_ProductBM!K:K,MATCH($P928,F_ProductBM!$Q:$Q,0))="","",INDEX(F_ProductBM!K:K,MATCH($P928,F_ProductBM!$Q:$Q,0))))</f>
        <v/>
      </c>
      <c r="L928" s="1789" t="str">
        <f>IF($I805="","",IF(INDEX(F_ProductBM!L:L,MATCH($P928,F_ProductBM!$Q:$Q,0))="","",INDEX(F_ProductBM!L:L,MATCH($P928,F_ProductBM!$Q:$Q,0))))</f>
        <v/>
      </c>
      <c r="M928" s="1789" t="str">
        <f>IF($I805="","",IF(INDEX(F_ProductBM!M:M,MATCH($P928,F_ProductBM!$Q:$Q,0))="","",INDEX(F_ProductBM!M:M,MATCH($P928,F_ProductBM!$Q:$Q,0))))</f>
        <v/>
      </c>
      <c r="N928" s="1789" t="str">
        <f>IF($I805="","",IF(INDEX(F_ProductBM!N:N,MATCH($P928,F_ProductBM!$Q:$Q,0))="","",INDEX(F_ProductBM!N:N,MATCH($P928,F_ProductBM!$Q:$Q,0))))</f>
        <v/>
      </c>
      <c r="O928" s="485"/>
      <c r="P928" s="1970" t="str">
        <f>EUconst_CNTR_FuelEF &amp; I805</f>
        <v>FuelEF_</v>
      </c>
      <c r="Q928" s="1137"/>
      <c r="R928" s="1137"/>
      <c r="S928" s="1137"/>
      <c r="T928" s="1117"/>
      <c r="U928" s="1137"/>
      <c r="V928" s="1137"/>
    </row>
    <row r="929" spans="1:22" s="562" customFormat="1" ht="5.0999999999999996" customHeight="1">
      <c r="A929" s="817"/>
      <c r="C929" s="485"/>
      <c r="D929" s="776"/>
      <c r="E929" s="809"/>
      <c r="F929" s="809"/>
      <c r="G929" s="813"/>
      <c r="H929" s="2173"/>
      <c r="I929" s="2173"/>
      <c r="J929" s="2173"/>
      <c r="K929" s="1788"/>
      <c r="L929" s="1789"/>
      <c r="M929" s="1789"/>
      <c r="N929" s="1789"/>
      <c r="O929" s="485"/>
      <c r="P929" s="1137"/>
      <c r="Q929" s="1137"/>
      <c r="R929" s="1137"/>
      <c r="S929" s="1137"/>
      <c r="T929" s="1137"/>
      <c r="U929" s="1137"/>
      <c r="V929" s="1137"/>
    </row>
    <row r="930" spans="1:22" s="562" customFormat="1" ht="12.75" customHeight="1">
      <c r="A930" s="817"/>
      <c r="C930" s="485"/>
      <c r="D930" s="776"/>
      <c r="E930" s="2475" t="s">
        <v>63</v>
      </c>
      <c r="F930" s="3461"/>
      <c r="G930" s="815" t="str">
        <f>EUconst_tCO2pa</f>
        <v>t CO2 / year</v>
      </c>
      <c r="H930" s="623" t="str">
        <f>IF($I805="","",IF(INDEX(F_ProductBM!H:H,MATCH($P930,F_ProductBM!$Q:$Q,0))="","",INDEX(F_ProductBM!H:H,MATCH($P930,F_ProductBM!$Q:$Q,0))))</f>
        <v/>
      </c>
      <c r="I930" s="800" t="str">
        <f>IF($I805="","",IF(INDEX(F_ProductBM!I:I,MATCH($P930,F_ProductBM!$Q:$Q,0))="","",INDEX(F_ProductBM!I:I,MATCH($P930,F_ProductBM!$Q:$Q,0))))</f>
        <v/>
      </c>
      <c r="J930" s="2174" t="str">
        <f>IF($I805="","",IF(INDEX(F_ProductBM!J:J,MATCH($P930,F_ProductBM!$Q:$Q,0))="","",INDEX(F_ProductBM!J:J,MATCH($P930,F_ProductBM!$Q:$Q,0))))</f>
        <v/>
      </c>
      <c r="K930" s="1788" t="str">
        <f>IF($I805="","",IF(INDEX(F_ProductBM!K:K,MATCH($P930,F_ProductBM!$Q:$Q,0))="","",INDEX(F_ProductBM!K:K,MATCH($P930,F_ProductBM!$Q:$Q,0))))</f>
        <v/>
      </c>
      <c r="L930" s="1789" t="str">
        <f>IF($I805="","",IF(INDEX(F_ProductBM!L:L,MATCH($P930,F_ProductBM!$Q:$Q,0))="","",INDEX(F_ProductBM!L:L,MATCH($P930,F_ProductBM!$Q:$Q,0))))</f>
        <v/>
      </c>
      <c r="M930" s="1789" t="str">
        <f>IF($I805="","",IF(INDEX(F_ProductBM!M:M,MATCH($P930,F_ProductBM!$Q:$Q,0))="","",INDEX(F_ProductBM!M:M,MATCH($P930,F_ProductBM!$Q:$Q,0))))</f>
        <v/>
      </c>
      <c r="N930" s="1789" t="str">
        <f>IF($I805="","",IF(INDEX(F_ProductBM!N:N,MATCH($P930,F_ProductBM!$Q:$Q,0))="","",INDEX(F_ProductBM!N:N,MATCH($P930,F_ProductBM!$Q:$Q,0))))</f>
        <v/>
      </c>
      <c r="O930" s="485"/>
      <c r="P930" s="1970" t="str">
        <f>EUconst_CNTR_Emissions &amp; I805</f>
        <v>DirEmissions_</v>
      </c>
      <c r="Q930" s="1137"/>
      <c r="R930" s="1137"/>
      <c r="S930" s="1137"/>
      <c r="T930" s="1137"/>
      <c r="U930" s="1137"/>
      <c r="V930" s="1137"/>
    </row>
    <row r="931" spans="1:22" s="562" customFormat="1" ht="12.75" customHeight="1">
      <c r="A931" s="817"/>
      <c r="C931" s="485"/>
      <c r="D931" s="776"/>
      <c r="E931" s="2475" t="s">
        <v>1154</v>
      </c>
      <c r="F931" s="3461"/>
      <c r="G931" s="815" t="str">
        <f>EUconst_tCO2pa</f>
        <v>t CO2 / year</v>
      </c>
      <c r="H931" s="623" t="str">
        <f>IF($I805="","",IF(INDEX(F_ProductBM!H:H,MATCH($P931,F_ProductBM!$Q:$Q,0))="","",INDEX(F_ProductBM!H:H,MATCH($P931,F_ProductBM!$Q:$Q,0))))</f>
        <v/>
      </c>
      <c r="I931" s="800" t="str">
        <f>IF($I805="","",IF(INDEX(F_ProductBM!I:I,MATCH($P931,F_ProductBM!$Q:$Q,0))="","",INDEX(F_ProductBM!I:I,MATCH($P931,F_ProductBM!$Q:$Q,0))))</f>
        <v/>
      </c>
      <c r="J931" s="2174" t="str">
        <f>IF($I805="","",IF(INDEX(F_ProductBM!J:J,MATCH($P931,F_ProductBM!$Q:$Q,0))="","",INDEX(F_ProductBM!J:J,MATCH($P931,F_ProductBM!$Q:$Q,0))))</f>
        <v/>
      </c>
      <c r="K931" s="1788" t="str">
        <f>IF($I805="","",IF(INDEX(F_ProductBM!K:K,MATCH($P931,F_ProductBM!$Q:$Q,0))="","",INDEX(F_ProductBM!K:K,MATCH($P931,F_ProductBM!$Q:$Q,0))))</f>
        <v/>
      </c>
      <c r="L931" s="1789" t="str">
        <f>IF($I805="","",IF(INDEX(F_ProductBM!L:L,MATCH($P931,F_ProductBM!$Q:$Q,0))="","",INDEX(F_ProductBM!L:L,MATCH($P931,F_ProductBM!$Q:$Q,0))))</f>
        <v/>
      </c>
      <c r="M931" s="1789" t="str">
        <f>IF($I805="","",IF(INDEX(F_ProductBM!M:M,MATCH($P931,F_ProductBM!$Q:$Q,0))="","",INDEX(F_ProductBM!M:M,MATCH($P931,F_ProductBM!$Q:$Q,0))))</f>
        <v/>
      </c>
      <c r="N931" s="1789" t="str">
        <f>IF($I805="","",IF(INDEX(F_ProductBM!N:N,MATCH($P931,F_ProductBM!$Q:$Q,0))="","",INDEX(F_ProductBM!N:N,MATCH($P931,F_ProductBM!$Q:$Q,0))))</f>
        <v/>
      </c>
      <c r="O931" s="485"/>
      <c r="P931" s="1970" t="str">
        <f>EUconst_CNTR_EmissionsIntSource1 &amp; I805</f>
        <v>EmInternalSource1_</v>
      </c>
      <c r="Q931" s="1137"/>
      <c r="R931" s="1137"/>
      <c r="S931" s="1137"/>
      <c r="T931" s="1137"/>
      <c r="U931" s="1137"/>
      <c r="V931" s="1137"/>
    </row>
    <row r="932" spans="1:22" s="562" customFormat="1" ht="12.75" customHeight="1">
      <c r="A932" s="817"/>
      <c r="C932" s="485"/>
      <c r="D932" s="776"/>
      <c r="E932" s="2475" t="s">
        <v>1155</v>
      </c>
      <c r="F932" s="3461"/>
      <c r="G932" s="815" t="str">
        <f>EUconst_tCO2pa</f>
        <v>t CO2 / year</v>
      </c>
      <c r="H932" s="623" t="str">
        <f>IF($I805="","",IF(INDEX(F_ProductBM!H:H,MATCH($P932,F_ProductBM!$Q:$Q,0))="","",INDEX(F_ProductBM!H:H,MATCH($P932,F_ProductBM!$Q:$Q,0))))</f>
        <v/>
      </c>
      <c r="I932" s="800" t="str">
        <f>IF($I805="","",IF(INDEX(F_ProductBM!I:I,MATCH($P932,F_ProductBM!$Q:$Q,0))="","",INDEX(F_ProductBM!I:I,MATCH($P932,F_ProductBM!$Q:$Q,0))))</f>
        <v/>
      </c>
      <c r="J932" s="2174" t="str">
        <f>IF($I805="","",IF(INDEX(F_ProductBM!J:J,MATCH($P932,F_ProductBM!$Q:$Q,0))="","",INDEX(F_ProductBM!J:J,MATCH($P932,F_ProductBM!$Q:$Q,0))))</f>
        <v/>
      </c>
      <c r="K932" s="1788" t="str">
        <f>IF($I805="","",IF(INDEX(F_ProductBM!K:K,MATCH($P932,F_ProductBM!$Q:$Q,0))="","",INDEX(F_ProductBM!K:K,MATCH($P932,F_ProductBM!$Q:$Q,0))))</f>
        <v/>
      </c>
      <c r="L932" s="1789" t="str">
        <f>IF($I805="","",IF(INDEX(F_ProductBM!L:L,MATCH($P932,F_ProductBM!$Q:$Q,0))="","",INDEX(F_ProductBM!L:L,MATCH($P932,F_ProductBM!$Q:$Q,0))))</f>
        <v/>
      </c>
      <c r="M932" s="1789" t="str">
        <f>IF($I805="","",IF(INDEX(F_ProductBM!M:M,MATCH($P932,F_ProductBM!$Q:$Q,0))="","",INDEX(F_ProductBM!M:M,MATCH($P932,F_ProductBM!$Q:$Q,0))))</f>
        <v/>
      </c>
      <c r="N932" s="1789" t="str">
        <f>IF($I805="","",IF(INDEX(F_ProductBM!N:N,MATCH($P932,F_ProductBM!$Q:$Q,0))="","",INDEX(F_ProductBM!N:N,MATCH($P932,F_ProductBM!$Q:$Q,0))))</f>
        <v/>
      </c>
      <c r="O932" s="485"/>
      <c r="P932" s="1970" t="str">
        <f>EUconst_CNTR_EmissionsIntSource2 &amp; I805</f>
        <v>EmInternalSource2_</v>
      </c>
      <c r="Q932" s="1137"/>
      <c r="R932" s="1137"/>
      <c r="S932" s="1137"/>
      <c r="T932" s="1137"/>
      <c r="U932" s="1137"/>
      <c r="V932" s="1137"/>
    </row>
    <row r="933" spans="1:22" s="562" customFormat="1" ht="12.75" customHeight="1">
      <c r="A933" s="817"/>
      <c r="C933" s="485"/>
      <c r="D933" s="776"/>
      <c r="E933" s="2475" t="s">
        <v>1156</v>
      </c>
      <c r="F933" s="3461"/>
      <c r="G933" s="815" t="str">
        <f>EUconst_tCO2epa</f>
        <v>t CO2e/year</v>
      </c>
      <c r="H933" s="623" t="str">
        <f>IF($I805="","",IF(INDEX(F_ProductBM!H:H,MATCH($P933,F_ProductBM!$Q:$Q,0))="","",INDEX(F_ProductBM!H:H,MATCH($P933,F_ProductBM!$Q:$Q,0))))</f>
        <v/>
      </c>
      <c r="I933" s="800" t="str">
        <f>IF($I805="","",IF(INDEX(F_ProductBM!I:I,MATCH($P933,F_ProductBM!$Q:$Q,0))="","",INDEX(F_ProductBM!I:I,MATCH($P933,F_ProductBM!$Q:$Q,0))))</f>
        <v/>
      </c>
      <c r="J933" s="2174" t="str">
        <f>IF($I805="","",IF(INDEX(F_ProductBM!J:J,MATCH($P933,F_ProductBM!$Q:$Q,0))="","",INDEX(F_ProductBM!J:J,MATCH($P933,F_ProductBM!$Q:$Q,0))))</f>
        <v/>
      </c>
      <c r="K933" s="1788" t="str">
        <f>IF($I805="","",IF(INDEX(F_ProductBM!K:K,MATCH($P933,F_ProductBM!$Q:$Q,0))="","",INDEX(F_ProductBM!K:K,MATCH($P933,F_ProductBM!$Q:$Q,0))))</f>
        <v/>
      </c>
      <c r="L933" s="1789" t="str">
        <f>IF($I805="","",IF(INDEX(F_ProductBM!L:L,MATCH($P933,F_ProductBM!$Q:$Q,0))="","",INDEX(F_ProductBM!L:L,MATCH($P933,F_ProductBM!$Q:$Q,0))))</f>
        <v/>
      </c>
      <c r="M933" s="1789" t="str">
        <f>IF($I805="","",IF(INDEX(F_ProductBM!M:M,MATCH($P933,F_ProductBM!$Q:$Q,0))="","",INDEX(F_ProductBM!M:M,MATCH($P933,F_ProductBM!$Q:$Q,0))))</f>
        <v/>
      </c>
      <c r="N933" s="1789" t="str">
        <f>IF($I805="","",IF(INDEX(F_ProductBM!N:N,MATCH($P933,F_ProductBM!$Q:$Q,0))="","",INDEX(F_ProductBM!N:N,MATCH($P933,F_ProductBM!$Q:$Q,0))))</f>
        <v/>
      </c>
      <c r="O933" s="485"/>
      <c r="P933" s="1970" t="str">
        <f>EUconst_CNTR_CO2Feedstock &amp; I805</f>
        <v>EmCO2Feedstock_</v>
      </c>
      <c r="Q933" s="1137"/>
      <c r="R933" s="1137"/>
      <c r="S933" s="1137"/>
      <c r="T933" s="1137"/>
      <c r="U933" s="1137"/>
      <c r="V933" s="1137"/>
    </row>
    <row r="934" spans="1:22" s="562" customFormat="1" ht="5.0999999999999996" customHeight="1">
      <c r="A934" s="817"/>
      <c r="C934" s="485"/>
      <c r="D934" s="776"/>
      <c r="E934" s="809"/>
      <c r="F934" s="809"/>
      <c r="G934" s="813"/>
      <c r="H934" s="2173"/>
      <c r="I934" s="2173"/>
      <c r="J934" s="2173"/>
      <c r="K934" s="1788"/>
      <c r="L934" s="1789"/>
      <c r="M934" s="1789"/>
      <c r="N934" s="1789"/>
      <c r="O934" s="485"/>
      <c r="P934" s="1137"/>
      <c r="Q934" s="1137"/>
      <c r="R934" s="1137"/>
      <c r="S934" s="1137"/>
      <c r="T934" s="1137"/>
      <c r="U934" s="1137"/>
      <c r="V934" s="1137"/>
    </row>
    <row r="935" spans="1:22" s="562" customFormat="1" ht="12.75" customHeight="1">
      <c r="A935" s="817"/>
      <c r="C935" s="485"/>
      <c r="D935" s="776"/>
      <c r="E935" s="2471" t="s">
        <v>1087</v>
      </c>
      <c r="F935" s="3467"/>
      <c r="G935" s="811" t="str">
        <f>EUconst_TJpa</f>
        <v>TJ / year</v>
      </c>
      <c r="H935" s="625" t="str">
        <f>IF($I805="","",IF(INDEX(F_ProductBM!H:H,MATCH($P935,F_ProductBM!$Q:$Q,0))="","",INDEX(F_ProductBM!H:H,MATCH($P935,F_ProductBM!$Q:$Q,0))))</f>
        <v/>
      </c>
      <c r="I935" s="794" t="str">
        <f>IF($I805="","",IF(INDEX(F_ProductBM!I:I,MATCH($P935,F_ProductBM!$Q:$Q,0))="","",INDEX(F_ProductBM!I:I,MATCH($P935,F_ProductBM!$Q:$Q,0))))</f>
        <v/>
      </c>
      <c r="J935" s="2171" t="str">
        <f>IF($I805="","",IF(INDEX(F_ProductBM!J:J,MATCH($P935,F_ProductBM!$Q:$Q,0))="","",INDEX(F_ProductBM!J:J,MATCH($P935,F_ProductBM!$Q:$Q,0))))</f>
        <v/>
      </c>
      <c r="K935" s="1788" t="str">
        <f>IF($I805="","",IF(INDEX(F_ProductBM!K:K,MATCH($P935,F_ProductBM!$Q:$Q,0))="","",INDEX(F_ProductBM!K:K,MATCH($P935,F_ProductBM!$Q:$Q,0))))</f>
        <v/>
      </c>
      <c r="L935" s="1789" t="str">
        <f>IF($I805="","",IF(INDEX(F_ProductBM!L:L,MATCH($P935,F_ProductBM!$Q:$Q,0))="","",INDEX(F_ProductBM!L:L,MATCH($P935,F_ProductBM!$Q:$Q,0))))</f>
        <v/>
      </c>
      <c r="M935" s="1789" t="str">
        <f>IF($I805="","",IF(INDEX(F_ProductBM!M:M,MATCH($P935,F_ProductBM!$Q:$Q,0))="","",INDEX(F_ProductBM!M:M,MATCH($P935,F_ProductBM!$Q:$Q,0))))</f>
        <v/>
      </c>
      <c r="N935" s="1789" t="str">
        <f>IF($I805="","",IF(INDEX(F_ProductBM!N:N,MATCH($P935,F_ProductBM!$Q:$Q,0))="","",INDEX(F_ProductBM!N:N,MATCH($P935,F_ProductBM!$Q:$Q,0))))</f>
        <v/>
      </c>
      <c r="O935" s="485"/>
      <c r="P935" s="1970" t="str">
        <f>EUconst_CNTR_HeatImport &amp; I805</f>
        <v>HeatIm_</v>
      </c>
      <c r="Q935" s="1137"/>
      <c r="R935" s="1137"/>
      <c r="S935" s="1137"/>
      <c r="T935" s="1137"/>
      <c r="U935" s="1137"/>
      <c r="V935" s="1137"/>
    </row>
    <row r="936" spans="1:22" s="562" customFormat="1" ht="12.75" customHeight="1">
      <c r="A936" s="817"/>
      <c r="C936" s="485"/>
      <c r="D936" s="776"/>
      <c r="E936" s="2473" t="s">
        <v>1103</v>
      </c>
      <c r="F936" s="3466"/>
      <c r="G936" s="812" t="str">
        <f>EUconst_tCO2pTJ</f>
        <v>t CO2 / TJ</v>
      </c>
      <c r="H936" s="627" t="str">
        <f>IF($I805="","",IF(INDEX(F_ProductBM!H:H,MATCH($P936,F_ProductBM!$Q:$Q,0))="","",INDEX(F_ProductBM!H:H,MATCH($P936,F_ProductBM!$Q:$Q,0))))</f>
        <v/>
      </c>
      <c r="I936" s="796" t="str">
        <f>IF($I805="","",IF(INDEX(F_ProductBM!I:I,MATCH($P936,F_ProductBM!$Q:$Q,0))="","",INDEX(F_ProductBM!I:I,MATCH($P936,F_ProductBM!$Q:$Q,0))))</f>
        <v/>
      </c>
      <c r="J936" s="2172" t="str">
        <f>IF($I805="","",IF(INDEX(F_ProductBM!J:J,MATCH($P936,F_ProductBM!$Q:$Q,0))="","",INDEX(F_ProductBM!J:J,MATCH($P936,F_ProductBM!$Q:$Q,0))))</f>
        <v/>
      </c>
      <c r="K936" s="1788" t="str">
        <f>IF($I805="","",IF(INDEX(F_ProductBM!K:K,MATCH($P936,F_ProductBM!$Q:$Q,0))="","",INDEX(F_ProductBM!K:K,MATCH($P936,F_ProductBM!$Q:$Q,0))))</f>
        <v/>
      </c>
      <c r="L936" s="1789" t="str">
        <f>IF($I805="","",IF(INDEX(F_ProductBM!L:L,MATCH($P936,F_ProductBM!$Q:$Q,0))="","",INDEX(F_ProductBM!L:L,MATCH($P936,F_ProductBM!$Q:$Q,0))))</f>
        <v/>
      </c>
      <c r="M936" s="1789" t="str">
        <f>IF($I805="","",IF(INDEX(F_ProductBM!M:M,MATCH($P936,F_ProductBM!$Q:$Q,0))="","",INDEX(F_ProductBM!M:M,MATCH($P936,F_ProductBM!$Q:$Q,0))))</f>
        <v/>
      </c>
      <c r="N936" s="1789" t="str">
        <f>IF($I805="","",IF(INDEX(F_ProductBM!N:N,MATCH($P936,F_ProductBM!$Q:$Q,0))="","",INDEX(F_ProductBM!N:N,MATCH($P936,F_ProductBM!$Q:$Q,0))))</f>
        <v/>
      </c>
      <c r="O936" s="485"/>
      <c r="P936" s="1970" t="str">
        <f>EUconst_CNTR_HeatImportEF &amp; I805</f>
        <v>HeatImEF_</v>
      </c>
      <c r="Q936" s="1137"/>
      <c r="R936" s="1137"/>
      <c r="S936" s="1137"/>
      <c r="T936" s="1137"/>
      <c r="U936" s="1137"/>
      <c r="V936" s="1137"/>
    </row>
    <row r="937" spans="1:22" s="562" customFormat="1" ht="5.0999999999999996" customHeight="1">
      <c r="A937" s="817"/>
      <c r="C937" s="485"/>
      <c r="D937" s="776"/>
      <c r="E937" s="809"/>
      <c r="F937" s="809"/>
      <c r="G937" s="813"/>
      <c r="H937" s="2173"/>
      <c r="I937" s="2173"/>
      <c r="J937" s="2173"/>
      <c r="K937" s="1788"/>
      <c r="L937" s="1789"/>
      <c r="M937" s="1789"/>
      <c r="N937" s="1789"/>
      <c r="O937" s="485"/>
      <c r="P937" s="1117"/>
      <c r="Q937" s="1137"/>
      <c r="R937" s="1137"/>
      <c r="S937" s="1137"/>
      <c r="T937" s="1137"/>
      <c r="U937" s="1137"/>
      <c r="V937" s="1137"/>
    </row>
    <row r="938" spans="1:22" s="562" customFormat="1" ht="12.75" customHeight="1">
      <c r="A938" s="817"/>
      <c r="C938" s="485"/>
      <c r="D938" s="776"/>
      <c r="E938" s="2475" t="s">
        <v>1150</v>
      </c>
      <c r="F938" s="3461"/>
      <c r="G938" s="815" t="str">
        <f>EUconst_TJpa</f>
        <v>TJ / year</v>
      </c>
      <c r="H938" s="623" t="str">
        <f>IF($I805="","",IF(INDEX(F_ProductBM!H:H,MATCH($P938,F_ProductBM!$Q:$Q,0))="","",INDEX(F_ProductBM!H:H,MATCH($P938,F_ProductBM!$Q:$Q,0))))</f>
        <v/>
      </c>
      <c r="I938" s="800" t="str">
        <f>IF($I805="","",IF(INDEX(F_ProductBM!I:I,MATCH($P938,F_ProductBM!$Q:$Q,0))="","",INDEX(F_ProductBM!I:I,MATCH($P938,F_ProductBM!$Q:$Q,0))))</f>
        <v/>
      </c>
      <c r="J938" s="2174" t="str">
        <f>IF($I805="","",IF(INDEX(F_ProductBM!J:J,MATCH($P938,F_ProductBM!$Q:$Q,0))="","",INDEX(F_ProductBM!J:J,MATCH($P938,F_ProductBM!$Q:$Q,0))))</f>
        <v/>
      </c>
      <c r="K938" s="1788" t="str">
        <f>IF($I805="","",IF(INDEX(F_ProductBM!K:K,MATCH($P938,F_ProductBM!$Q:$Q,0))="","",INDEX(F_ProductBM!K:K,MATCH($P938,F_ProductBM!$Q:$Q,0))))</f>
        <v/>
      </c>
      <c r="L938" s="1789" t="str">
        <f>IF($I805="","",IF(INDEX(F_ProductBM!L:L,MATCH($P938,F_ProductBM!$Q:$Q,0))="","",INDEX(F_ProductBM!L:L,MATCH($P938,F_ProductBM!$Q:$Q,0))))</f>
        <v/>
      </c>
      <c r="M938" s="1789" t="str">
        <f>IF($I805="","",IF(INDEX(F_ProductBM!M:M,MATCH($P938,F_ProductBM!$Q:$Q,0))="","",INDEX(F_ProductBM!M:M,MATCH($P938,F_ProductBM!$Q:$Q,0))))</f>
        <v/>
      </c>
      <c r="N938" s="1789" t="str">
        <f>IF($I805="","",IF(INDEX(F_ProductBM!N:N,MATCH($P938,F_ProductBM!$Q:$Q,0))="","",INDEX(F_ProductBM!N:N,MATCH($P938,F_ProductBM!$Q:$Q,0))))</f>
        <v/>
      </c>
      <c r="O938" s="485"/>
      <c r="P938" s="1970" t="str">
        <f>EUconst_CNTR_HeatImportPulp &amp; I805</f>
        <v>HeatImPulp_</v>
      </c>
      <c r="Q938" s="1137"/>
      <c r="R938" s="1137"/>
      <c r="S938" s="1137"/>
      <c r="T938" s="1137"/>
      <c r="U938" s="1137"/>
      <c r="V938" s="1137"/>
    </row>
    <row r="939" spans="1:22" s="562" customFormat="1" ht="12.75" customHeight="1">
      <c r="A939" s="817"/>
      <c r="C939" s="485"/>
      <c r="D939" s="776"/>
      <c r="E939" s="2475" t="s">
        <v>1149</v>
      </c>
      <c r="F939" s="3461"/>
      <c r="G939" s="815" t="str">
        <f>EUconst_TJpa</f>
        <v>TJ / year</v>
      </c>
      <c r="H939" s="623" t="str">
        <f>IF($I805="","",IF(INDEX(F_ProductBM!H:H,MATCH($P939,F_ProductBM!$Q:$Q,0))="","",INDEX(F_ProductBM!H:H,MATCH($P939,F_ProductBM!$Q:$Q,0))))</f>
        <v/>
      </c>
      <c r="I939" s="800" t="str">
        <f>IF($I805="","",IF(INDEX(F_ProductBM!I:I,MATCH($P939,F_ProductBM!$Q:$Q,0))="","",INDEX(F_ProductBM!I:I,MATCH($P939,F_ProductBM!$Q:$Q,0))))</f>
        <v/>
      </c>
      <c r="J939" s="2174" t="str">
        <f>IF($I805="","",IF(INDEX(F_ProductBM!J:J,MATCH($P939,F_ProductBM!$Q:$Q,0))="","",INDEX(F_ProductBM!J:J,MATCH($P939,F_ProductBM!$Q:$Q,0))))</f>
        <v/>
      </c>
      <c r="K939" s="1788" t="str">
        <f>IF($I805="","",IF(INDEX(F_ProductBM!K:K,MATCH($P939,F_ProductBM!$Q:$Q,0))="","",INDEX(F_ProductBM!K:K,MATCH($P939,F_ProductBM!$Q:$Q,0))))</f>
        <v/>
      </c>
      <c r="L939" s="1789" t="str">
        <f>IF($I805="","",IF(INDEX(F_ProductBM!L:L,MATCH($P939,F_ProductBM!$Q:$Q,0))="","",INDEX(F_ProductBM!L:L,MATCH($P939,F_ProductBM!$Q:$Q,0))))</f>
        <v/>
      </c>
      <c r="M939" s="1789" t="str">
        <f>IF($I805="","",IF(INDEX(F_ProductBM!M:M,MATCH($P939,F_ProductBM!$Q:$Q,0))="","",INDEX(F_ProductBM!M:M,MATCH($P939,F_ProductBM!$Q:$Q,0))))</f>
        <v/>
      </c>
      <c r="N939" s="1789" t="str">
        <f>IF($I805="","",IF(INDEX(F_ProductBM!N:N,MATCH($P939,F_ProductBM!$Q:$Q,0))="","",INDEX(F_ProductBM!N:N,MATCH($P939,F_ProductBM!$Q:$Q,0))))</f>
        <v/>
      </c>
      <c r="O939" s="485"/>
      <c r="P939" s="1970" t="str">
        <f>EUconst_CNTR_HeatImportNitric &amp; I805</f>
        <v>HeatImNitric_</v>
      </c>
      <c r="Q939" s="1137"/>
      <c r="R939" s="1137"/>
      <c r="S939" s="1137"/>
      <c r="T939" s="1137"/>
      <c r="U939" s="1137"/>
      <c r="V939" s="1137"/>
    </row>
    <row r="940" spans="1:22" s="562" customFormat="1" ht="5.0999999999999996" customHeight="1">
      <c r="A940" s="817"/>
      <c r="C940" s="485"/>
      <c r="D940" s="776"/>
      <c r="E940" s="809"/>
      <c r="F940" s="809"/>
      <c r="G940" s="777"/>
      <c r="H940" s="2173"/>
      <c r="I940" s="2173"/>
      <c r="J940" s="2173"/>
      <c r="K940" s="1788"/>
      <c r="L940" s="1789"/>
      <c r="M940" s="1789"/>
      <c r="N940" s="1789"/>
      <c r="O940" s="485"/>
      <c r="P940" s="1117"/>
      <c r="Q940" s="1137"/>
      <c r="R940" s="1137"/>
      <c r="S940" s="1137"/>
      <c r="T940" s="1137"/>
      <c r="U940" s="1137"/>
      <c r="V940" s="1137"/>
    </row>
    <row r="941" spans="1:22" s="562" customFormat="1" ht="12.75" customHeight="1">
      <c r="A941" s="817"/>
      <c r="C941" s="485"/>
      <c r="D941" s="776"/>
      <c r="E941" s="2471" t="s">
        <v>1079</v>
      </c>
      <c r="F941" s="3467"/>
      <c r="G941" s="811" t="str">
        <f>EUconst_TJpa</f>
        <v>TJ / year</v>
      </c>
      <c r="H941" s="625" t="str">
        <f>IF($I805="","",IF(INDEX(F_ProductBM!H:H,MATCH($P941,F_ProductBM!$Q:$Q,0))="","",INDEX(F_ProductBM!H:H,MATCH($P941,F_ProductBM!$Q:$Q,0))))</f>
        <v/>
      </c>
      <c r="I941" s="794" t="str">
        <f>IF($I805="","",IF(INDEX(F_ProductBM!I:I,MATCH($P941,F_ProductBM!$Q:$Q,0))="","",INDEX(F_ProductBM!I:I,MATCH($P941,F_ProductBM!$Q:$Q,0))))</f>
        <v/>
      </c>
      <c r="J941" s="2171" t="str">
        <f>IF($I805="","",IF(INDEX(F_ProductBM!J:J,MATCH($P941,F_ProductBM!$Q:$Q,0))="","",INDEX(F_ProductBM!J:J,MATCH($P941,F_ProductBM!$Q:$Q,0))))</f>
        <v/>
      </c>
      <c r="K941" s="1788" t="str">
        <f>IF($I805="","",IF(INDEX(F_ProductBM!K:K,MATCH($P941,F_ProductBM!$Q:$Q,0))="","",INDEX(F_ProductBM!K:K,MATCH($P941,F_ProductBM!$Q:$Q,0))))</f>
        <v/>
      </c>
      <c r="L941" s="1789" t="str">
        <f>IF($I805="","",IF(INDEX(F_ProductBM!L:L,MATCH($P941,F_ProductBM!$Q:$Q,0))="","",INDEX(F_ProductBM!L:L,MATCH($P941,F_ProductBM!$Q:$Q,0))))</f>
        <v/>
      </c>
      <c r="M941" s="1789" t="str">
        <f>IF($I805="","",IF(INDEX(F_ProductBM!M:M,MATCH($P941,F_ProductBM!$Q:$Q,0))="","",INDEX(F_ProductBM!M:M,MATCH($P941,F_ProductBM!$Q:$Q,0))))</f>
        <v/>
      </c>
      <c r="N941" s="1789" t="str">
        <f>IF($I805="","",IF(INDEX(F_ProductBM!N:N,MATCH($P941,F_ProductBM!$Q:$Q,0))="","",INDEX(F_ProductBM!N:N,MATCH($P941,F_ProductBM!$Q:$Q,0))))</f>
        <v/>
      </c>
      <c r="O941" s="485"/>
      <c r="P941" s="1970" t="str">
        <f>EUconst_CNTR_HeatExport &amp; I805</f>
        <v>HeatEx_</v>
      </c>
      <c r="Q941" s="1137"/>
      <c r="R941" s="1137"/>
      <c r="S941" s="1137"/>
      <c r="T941" s="1137"/>
      <c r="U941" s="1137"/>
      <c r="V941" s="1137"/>
    </row>
    <row r="942" spans="1:22" s="562" customFormat="1" ht="12.75" customHeight="1">
      <c r="A942" s="817"/>
      <c r="C942" s="485"/>
      <c r="D942" s="776"/>
      <c r="E942" s="2473" t="s">
        <v>1104</v>
      </c>
      <c r="F942" s="3466"/>
      <c r="G942" s="812" t="str">
        <f>EUconst_tCO2pTJ</f>
        <v>t CO2 / TJ</v>
      </c>
      <c r="H942" s="627" t="str">
        <f>IF($I805="","",IF(INDEX(F_ProductBM!H:H,MATCH($P942,F_ProductBM!$Q:$Q,0))="","",INDEX(F_ProductBM!H:H,MATCH($P942,F_ProductBM!$Q:$Q,0))))</f>
        <v/>
      </c>
      <c r="I942" s="796" t="str">
        <f>IF($I805="","",IF(INDEX(F_ProductBM!I:I,MATCH($P942,F_ProductBM!$Q:$Q,0))="","",INDEX(F_ProductBM!I:I,MATCH($P942,F_ProductBM!$Q:$Q,0))))</f>
        <v/>
      </c>
      <c r="J942" s="2172" t="str">
        <f>IF($I805="","",IF(INDEX(F_ProductBM!J:J,MATCH($P942,F_ProductBM!$Q:$Q,0))="","",INDEX(F_ProductBM!J:J,MATCH($P942,F_ProductBM!$Q:$Q,0))))</f>
        <v/>
      </c>
      <c r="K942" s="1788" t="str">
        <f>IF($I805="","",IF(INDEX(F_ProductBM!K:K,MATCH($P942,F_ProductBM!$Q:$Q,0))="","",INDEX(F_ProductBM!K:K,MATCH($P942,F_ProductBM!$Q:$Q,0))))</f>
        <v/>
      </c>
      <c r="L942" s="1789" t="str">
        <f>IF($I805="","",IF(INDEX(F_ProductBM!L:L,MATCH($P942,F_ProductBM!$Q:$Q,0))="","",INDEX(F_ProductBM!L:L,MATCH($P942,F_ProductBM!$Q:$Q,0))))</f>
        <v/>
      </c>
      <c r="M942" s="1789" t="str">
        <f>IF($I805="","",IF(INDEX(F_ProductBM!M:M,MATCH($P942,F_ProductBM!$Q:$Q,0))="","",INDEX(F_ProductBM!M:M,MATCH($P942,F_ProductBM!$Q:$Q,0))))</f>
        <v/>
      </c>
      <c r="N942" s="1789" t="str">
        <f>IF($I805="","",IF(INDEX(F_ProductBM!N:N,MATCH($P942,F_ProductBM!$Q:$Q,0))="","",INDEX(F_ProductBM!N:N,MATCH($P942,F_ProductBM!$Q:$Q,0))))</f>
        <v/>
      </c>
      <c r="O942" s="485"/>
      <c r="P942" s="1970" t="str">
        <f>EUconst_CNTR_HeatExportEF &amp; I805</f>
        <v>HeatExEF_</v>
      </c>
      <c r="Q942" s="1137"/>
      <c r="R942" s="1137"/>
      <c r="S942" s="1137"/>
      <c r="T942" s="1137"/>
      <c r="U942" s="1137"/>
      <c r="V942" s="1137"/>
    </row>
    <row r="943" spans="1:22" s="562" customFormat="1" ht="5.0999999999999996" customHeight="1">
      <c r="A943" s="817"/>
      <c r="C943" s="485"/>
      <c r="D943" s="776"/>
      <c r="E943" s="809"/>
      <c r="F943" s="809"/>
      <c r="G943" s="777"/>
      <c r="H943" s="2173"/>
      <c r="I943" s="2173"/>
      <c r="J943" s="2173"/>
      <c r="K943" s="1788"/>
      <c r="L943" s="1789"/>
      <c r="M943" s="1789"/>
      <c r="N943" s="1789"/>
      <c r="O943" s="485"/>
      <c r="P943" s="1117"/>
      <c r="Q943" s="1137"/>
      <c r="R943" s="1137"/>
      <c r="S943" s="1137"/>
      <c r="T943" s="1137"/>
      <c r="U943" s="1137"/>
      <c r="V943" s="1137"/>
    </row>
    <row r="944" spans="1:22" s="562" customFormat="1" ht="12.75" customHeight="1">
      <c r="A944" s="817"/>
      <c r="C944" s="485"/>
      <c r="D944" s="776"/>
      <c r="E944" s="2471" t="s">
        <v>1141</v>
      </c>
      <c r="F944" s="3467"/>
      <c r="G944" s="811" t="str">
        <f>EUconst_TJpa</f>
        <v>TJ / year</v>
      </c>
      <c r="H944" s="625" t="str">
        <f>IF($I805="","",IF(INDEX(F_ProductBM!H:H,MATCH($P944,F_ProductBM!$Q:$Q,0))="","",INDEX(F_ProductBM!H:H,MATCH($P944,F_ProductBM!$Q:$Q,0))))</f>
        <v/>
      </c>
      <c r="I944" s="794" t="str">
        <f>IF($I805="","",IF(INDEX(F_ProductBM!I:I,MATCH($P944,F_ProductBM!$Q:$Q,0))="","",INDEX(F_ProductBM!I:I,MATCH($P944,F_ProductBM!$Q:$Q,0))))</f>
        <v/>
      </c>
      <c r="J944" s="2171" t="str">
        <f>IF($I805="","",IF(INDEX(F_ProductBM!J:J,MATCH($P944,F_ProductBM!$Q:$Q,0))="","",INDEX(F_ProductBM!J:J,MATCH($P944,F_ProductBM!$Q:$Q,0))))</f>
        <v/>
      </c>
      <c r="K944" s="1788" t="str">
        <f>IF($I805="","",IF(INDEX(F_ProductBM!K:K,MATCH($P944,F_ProductBM!$Q:$Q,0))="","",INDEX(F_ProductBM!K:K,MATCH($P944,F_ProductBM!$Q:$Q,0))))</f>
        <v/>
      </c>
      <c r="L944" s="1789" t="str">
        <f>IF($I805="","",IF(INDEX(F_ProductBM!L:L,MATCH($P944,F_ProductBM!$Q:$Q,0))="","",INDEX(F_ProductBM!L:L,MATCH($P944,F_ProductBM!$Q:$Q,0))))</f>
        <v/>
      </c>
      <c r="M944" s="1789" t="str">
        <f>IF($I805="","",IF(INDEX(F_ProductBM!M:M,MATCH($P944,F_ProductBM!$Q:$Q,0))="","",INDEX(F_ProductBM!M:M,MATCH($P944,F_ProductBM!$Q:$Q,0))))</f>
        <v/>
      </c>
      <c r="N944" s="1789" t="str">
        <f>IF($I805="","",IF(INDEX(F_ProductBM!N:N,MATCH($P944,F_ProductBM!$Q:$Q,0))="","",INDEX(F_ProductBM!N:N,MATCH($P944,F_ProductBM!$Q:$Q,0))))</f>
        <v/>
      </c>
      <c r="O944" s="485"/>
      <c r="P944" s="2109" t="str">
        <f>EUconst_CNTR_WGProduced &amp; I805</f>
        <v>WasteGasProd_</v>
      </c>
      <c r="Q944" s="1137"/>
      <c r="R944" s="1137"/>
      <c r="S944" s="1137"/>
      <c r="T944" s="1137"/>
      <c r="U944" s="1137"/>
      <c r="V944" s="1137"/>
    </row>
    <row r="945" spans="1:22" s="562" customFormat="1" ht="12.75" customHeight="1">
      <c r="A945" s="817"/>
      <c r="C945" s="485"/>
      <c r="D945" s="776"/>
      <c r="E945" s="2473" t="s">
        <v>1258</v>
      </c>
      <c r="F945" s="3466"/>
      <c r="G945" s="812" t="str">
        <f>EUconst_tCO2pTJ</f>
        <v>t CO2 / TJ</v>
      </c>
      <c r="H945" s="627" t="str">
        <f>IF($I805="","",IF(INDEX(F_ProductBM!H:H,MATCH($P945,F_ProductBM!$Q:$Q,0))="","",INDEX(F_ProductBM!H:H,MATCH($P945,F_ProductBM!$Q:$Q,0))))</f>
        <v/>
      </c>
      <c r="I945" s="796" t="str">
        <f>IF($I805="","",IF(INDEX(F_ProductBM!I:I,MATCH($P945,F_ProductBM!$Q:$Q,0))="","",INDEX(F_ProductBM!I:I,MATCH($P945,F_ProductBM!$Q:$Q,0))))</f>
        <v/>
      </c>
      <c r="J945" s="2172" t="str">
        <f>IF($I805="","",IF(INDEX(F_ProductBM!J:J,MATCH($P945,F_ProductBM!$Q:$Q,0))="","",INDEX(F_ProductBM!J:J,MATCH($P945,F_ProductBM!$Q:$Q,0))))</f>
        <v/>
      </c>
      <c r="K945" s="1788" t="str">
        <f>IF($I805="","",IF(INDEX(F_ProductBM!K:K,MATCH($P945,F_ProductBM!$Q:$Q,0))="","",INDEX(F_ProductBM!K:K,MATCH($P945,F_ProductBM!$Q:$Q,0))))</f>
        <v/>
      </c>
      <c r="L945" s="1789" t="str">
        <f>IF($I805="","",IF(INDEX(F_ProductBM!L:L,MATCH($P945,F_ProductBM!$Q:$Q,0))="","",INDEX(F_ProductBM!L:L,MATCH($P945,F_ProductBM!$Q:$Q,0))))</f>
        <v/>
      </c>
      <c r="M945" s="1789" t="str">
        <f>IF($I805="","",IF(INDEX(F_ProductBM!M:M,MATCH($P945,F_ProductBM!$Q:$Q,0))="","",INDEX(F_ProductBM!M:M,MATCH($P945,F_ProductBM!$Q:$Q,0))))</f>
        <v/>
      </c>
      <c r="N945" s="1789" t="str">
        <f>IF($I805="","",IF(INDEX(F_ProductBM!N:N,MATCH($P945,F_ProductBM!$Q:$Q,0))="","",INDEX(F_ProductBM!N:N,MATCH($P945,F_ProductBM!$Q:$Q,0))))</f>
        <v/>
      </c>
      <c r="O945" s="485"/>
      <c r="P945" s="1970" t="str">
        <f>EUconst_CNTR_WGProducedEF &amp; I805</f>
        <v>WasteGasProdEF_</v>
      </c>
      <c r="Q945" s="1137"/>
      <c r="R945" s="1137"/>
      <c r="S945" s="1137"/>
      <c r="T945" s="1137"/>
      <c r="U945" s="1137"/>
      <c r="V945" s="1137"/>
    </row>
    <row r="946" spans="1:22" s="562" customFormat="1" ht="12.75" customHeight="1">
      <c r="A946" s="817"/>
      <c r="C946" s="485"/>
      <c r="D946" s="776"/>
      <c r="E946" s="2471" t="s">
        <v>1309</v>
      </c>
      <c r="F946" s="3467"/>
      <c r="G946" s="811" t="str">
        <f>EUconst_TJpa</f>
        <v>TJ / year</v>
      </c>
      <c r="H946" s="625" t="str">
        <f>IF($I805="","",IF(INDEX(F_ProductBM!H:H,MATCH($P946,F_ProductBM!$Q:$Q,0))="","",INDEX(F_ProductBM!H:H,MATCH($P946,F_ProductBM!$Q:$Q,0))))</f>
        <v/>
      </c>
      <c r="I946" s="794" t="str">
        <f>IF($I805="","",IF(INDEX(F_ProductBM!I:I,MATCH($P946,F_ProductBM!$Q:$Q,0))="","",INDEX(F_ProductBM!I:I,MATCH($P946,F_ProductBM!$Q:$Q,0))))</f>
        <v/>
      </c>
      <c r="J946" s="2171" t="str">
        <f>IF($I805="","",IF(INDEX(F_ProductBM!J:J,MATCH($P946,F_ProductBM!$Q:$Q,0))="","",INDEX(F_ProductBM!J:J,MATCH($P946,F_ProductBM!$Q:$Q,0))))</f>
        <v/>
      </c>
      <c r="K946" s="1788" t="str">
        <f>IF($I805="","",IF(INDEX(F_ProductBM!K:K,MATCH($P946,F_ProductBM!$Q:$Q,0))="","",INDEX(F_ProductBM!K:K,MATCH($P946,F_ProductBM!$Q:$Q,0))))</f>
        <v/>
      </c>
      <c r="L946" s="1789" t="str">
        <f>IF($I805="","",IF(INDEX(F_ProductBM!L:L,MATCH($P946,F_ProductBM!$Q:$Q,0))="","",INDEX(F_ProductBM!L:L,MATCH($P946,F_ProductBM!$Q:$Q,0))))</f>
        <v/>
      </c>
      <c r="M946" s="1789" t="str">
        <f>IF($I805="","",IF(INDEX(F_ProductBM!M:M,MATCH($P946,F_ProductBM!$Q:$Q,0))="","",INDEX(F_ProductBM!M:M,MATCH($P946,F_ProductBM!$Q:$Q,0))))</f>
        <v/>
      </c>
      <c r="N946" s="1789" t="str">
        <f>IF($I805="","",IF(INDEX(F_ProductBM!N:N,MATCH($P946,F_ProductBM!$Q:$Q,0))="","",INDEX(F_ProductBM!N:N,MATCH($P946,F_ProductBM!$Q:$Q,0))))</f>
        <v/>
      </c>
      <c r="O946" s="485"/>
      <c r="P946" s="1970" t="str">
        <f>EUconst_CNTR_WGConsumed &amp; I805</f>
        <v>WasteGasCons_</v>
      </c>
      <c r="Q946" s="1137"/>
      <c r="R946" s="1137"/>
      <c r="S946" s="1137"/>
      <c r="T946" s="1137"/>
      <c r="U946" s="1137"/>
      <c r="V946" s="1137"/>
    </row>
    <row r="947" spans="1:22" s="562" customFormat="1" ht="12.75" customHeight="1">
      <c r="A947" s="817"/>
      <c r="C947" s="485"/>
      <c r="D947" s="776"/>
      <c r="E947" s="2473" t="s">
        <v>1307</v>
      </c>
      <c r="F947" s="3466"/>
      <c r="G947" s="812" t="str">
        <f>EUconst_tCO2pTJ</f>
        <v>t CO2 / TJ</v>
      </c>
      <c r="H947" s="627" t="str">
        <f>IF($I805="","",IF(INDEX(F_ProductBM!H:H,MATCH($P947,F_ProductBM!$Q:$Q,0))="","",INDEX(F_ProductBM!H:H,MATCH($P947,F_ProductBM!$Q:$Q,0))))</f>
        <v/>
      </c>
      <c r="I947" s="796" t="str">
        <f>IF($I805="","",IF(INDEX(F_ProductBM!I:I,MATCH($P947,F_ProductBM!$Q:$Q,0))="","",INDEX(F_ProductBM!I:I,MATCH($P947,F_ProductBM!$Q:$Q,0))))</f>
        <v/>
      </c>
      <c r="J947" s="2172" t="str">
        <f>IF($I805="","",IF(INDEX(F_ProductBM!J:J,MATCH($P947,F_ProductBM!$Q:$Q,0))="","",INDEX(F_ProductBM!J:J,MATCH($P947,F_ProductBM!$Q:$Q,0))))</f>
        <v/>
      </c>
      <c r="K947" s="1788" t="str">
        <f>IF($I805="","",IF(INDEX(F_ProductBM!K:K,MATCH($P947,F_ProductBM!$Q:$Q,0))="","",INDEX(F_ProductBM!K:K,MATCH($P947,F_ProductBM!$Q:$Q,0))))</f>
        <v/>
      </c>
      <c r="L947" s="1789" t="str">
        <f>IF($I805="","",IF(INDEX(F_ProductBM!L:L,MATCH($P947,F_ProductBM!$Q:$Q,0))="","",INDEX(F_ProductBM!L:L,MATCH($P947,F_ProductBM!$Q:$Q,0))))</f>
        <v/>
      </c>
      <c r="M947" s="1789" t="str">
        <f>IF($I805="","",IF(INDEX(F_ProductBM!M:M,MATCH($P947,F_ProductBM!$Q:$Q,0))="","",INDEX(F_ProductBM!M:M,MATCH($P947,F_ProductBM!$Q:$Q,0))))</f>
        <v/>
      </c>
      <c r="N947" s="1789" t="str">
        <f>IF($I805="","",IF(INDEX(F_ProductBM!N:N,MATCH($P947,F_ProductBM!$Q:$Q,0))="","",INDEX(F_ProductBM!N:N,MATCH($P947,F_ProductBM!$Q:$Q,0))))</f>
        <v/>
      </c>
      <c r="O947" s="485"/>
      <c r="P947" s="1970" t="str">
        <f>EUconst_CNTR_WGConsumedEF &amp; I805</f>
        <v>WasteGasConsEF_</v>
      </c>
      <c r="Q947" s="1137"/>
      <c r="R947" s="1137"/>
      <c r="S947" s="1137"/>
      <c r="T947" s="1137"/>
      <c r="U947" s="1137"/>
      <c r="V947" s="1137"/>
    </row>
    <row r="948" spans="1:22" s="562" customFormat="1" ht="12.75" customHeight="1">
      <c r="A948" s="817"/>
      <c r="C948" s="485"/>
      <c r="D948" s="776"/>
      <c r="E948" s="2471" t="s">
        <v>1288</v>
      </c>
      <c r="F948" s="3467"/>
      <c r="G948" s="811" t="str">
        <f>EUconst_TJpa</f>
        <v>TJ / year</v>
      </c>
      <c r="H948" s="625" t="str">
        <f>IF($I805="","",IF(INDEX(F_ProductBM!H:H,MATCH($P948,F_ProductBM!$Q:$Q,0))="","",INDEX(F_ProductBM!H:H,MATCH($P948,F_ProductBM!$Q:$Q,0))))</f>
        <v/>
      </c>
      <c r="I948" s="794" t="str">
        <f>IF($I805="","",IF(INDEX(F_ProductBM!I:I,MATCH($P948,F_ProductBM!$Q:$Q,0))="","",INDEX(F_ProductBM!I:I,MATCH($P948,F_ProductBM!$Q:$Q,0))))</f>
        <v/>
      </c>
      <c r="J948" s="2171" t="str">
        <f>IF($I805="","",IF(INDEX(F_ProductBM!J:J,MATCH($P948,F_ProductBM!$Q:$Q,0))="","",INDEX(F_ProductBM!J:J,MATCH($P948,F_ProductBM!$Q:$Q,0))))</f>
        <v/>
      </c>
      <c r="K948" s="1788" t="str">
        <f>IF($I805="","",IF(INDEX(F_ProductBM!K:K,MATCH($P948,F_ProductBM!$Q:$Q,0))="","",INDEX(F_ProductBM!K:K,MATCH($P948,F_ProductBM!$Q:$Q,0))))</f>
        <v/>
      </c>
      <c r="L948" s="1789" t="str">
        <f>IF($I805="","",IF(INDEX(F_ProductBM!L:L,MATCH($P948,F_ProductBM!$Q:$Q,0))="","",INDEX(F_ProductBM!L:L,MATCH($P948,F_ProductBM!$Q:$Q,0))))</f>
        <v/>
      </c>
      <c r="M948" s="1789" t="str">
        <f>IF($I805="","",IF(INDEX(F_ProductBM!M:M,MATCH($P948,F_ProductBM!$Q:$Q,0))="","",INDEX(F_ProductBM!M:M,MATCH($P948,F_ProductBM!$Q:$Q,0))))</f>
        <v/>
      </c>
      <c r="N948" s="1789" t="str">
        <f>IF($I805="","",IF(INDEX(F_ProductBM!N:N,MATCH($P948,F_ProductBM!$Q:$Q,0))="","",INDEX(F_ProductBM!N:N,MATCH($P948,F_ProductBM!$Q:$Q,0))))</f>
        <v/>
      </c>
      <c r="O948" s="485"/>
      <c r="P948" s="1970" t="str">
        <f>EUconst_CNTR_WGFlared &amp; I805</f>
        <v>WasteGasFlare_</v>
      </c>
      <c r="Q948" s="1137"/>
      <c r="R948" s="1137"/>
      <c r="S948" s="1137"/>
      <c r="T948" s="1137"/>
      <c r="U948" s="1137"/>
      <c r="V948" s="1137"/>
    </row>
    <row r="949" spans="1:22" s="562" customFormat="1" ht="12.75" customHeight="1">
      <c r="A949" s="817"/>
      <c r="C949" s="485"/>
      <c r="D949" s="776"/>
      <c r="E949" s="2473" t="s">
        <v>1308</v>
      </c>
      <c r="F949" s="3466"/>
      <c r="G949" s="812" t="str">
        <f>EUconst_tCO2pTJ</f>
        <v>t CO2 / TJ</v>
      </c>
      <c r="H949" s="627" t="str">
        <f>IF($I805="","",IF(INDEX(F_ProductBM!H:H,MATCH($P949,F_ProductBM!$Q:$Q,0))="","",INDEX(F_ProductBM!H:H,MATCH($P949,F_ProductBM!$Q:$Q,0))))</f>
        <v/>
      </c>
      <c r="I949" s="796" t="str">
        <f>IF($I805="","",IF(INDEX(F_ProductBM!I:I,MATCH($P949,F_ProductBM!$Q:$Q,0))="","",INDEX(F_ProductBM!I:I,MATCH($P949,F_ProductBM!$Q:$Q,0))))</f>
        <v/>
      </c>
      <c r="J949" s="2172" t="str">
        <f>IF($I805="","",IF(INDEX(F_ProductBM!J:J,MATCH($P949,F_ProductBM!$Q:$Q,0))="","",INDEX(F_ProductBM!J:J,MATCH($P949,F_ProductBM!$Q:$Q,0))))</f>
        <v/>
      </c>
      <c r="K949" s="1788" t="str">
        <f>IF($I805="","",IF(INDEX(F_ProductBM!K:K,MATCH($P949,F_ProductBM!$Q:$Q,0))="","",INDEX(F_ProductBM!K:K,MATCH($P949,F_ProductBM!$Q:$Q,0))))</f>
        <v/>
      </c>
      <c r="L949" s="1789" t="str">
        <f>IF($I805="","",IF(INDEX(F_ProductBM!L:L,MATCH($P949,F_ProductBM!$Q:$Q,0))="","",INDEX(F_ProductBM!L:L,MATCH($P949,F_ProductBM!$Q:$Q,0))))</f>
        <v/>
      </c>
      <c r="M949" s="1789" t="str">
        <f>IF($I805="","",IF(INDEX(F_ProductBM!M:M,MATCH($P949,F_ProductBM!$Q:$Q,0))="","",INDEX(F_ProductBM!M:M,MATCH($P949,F_ProductBM!$Q:$Q,0))))</f>
        <v/>
      </c>
      <c r="N949" s="1789" t="str">
        <f>IF($I805="","",IF(INDEX(F_ProductBM!N:N,MATCH($P949,F_ProductBM!$Q:$Q,0))="","",INDEX(F_ProductBM!N:N,MATCH($P949,F_ProductBM!$Q:$Q,0))))</f>
        <v/>
      </c>
      <c r="O949" s="485"/>
      <c r="P949" s="1970" t="str">
        <f>EUconst_CNTR_WGFlaredEF &amp; I805</f>
        <v>WasteGasFlareEF_</v>
      </c>
      <c r="Q949" s="1137"/>
      <c r="R949" s="1137"/>
      <c r="S949" s="1137"/>
      <c r="T949" s="1137"/>
      <c r="U949" s="1137"/>
      <c r="V949" s="1137"/>
    </row>
    <row r="950" spans="1:22" s="562" customFormat="1" ht="12.75" customHeight="1">
      <c r="A950" s="817"/>
      <c r="C950" s="485"/>
      <c r="D950" s="776"/>
      <c r="E950" s="2471" t="s">
        <v>1102</v>
      </c>
      <c r="F950" s="3467"/>
      <c r="G950" s="811" t="str">
        <f>EUconst_TJpa</f>
        <v>TJ / year</v>
      </c>
      <c r="H950" s="625" t="str">
        <f>IF($I805="","",IF(INDEX(F_ProductBM!H:H,MATCH($P950,F_ProductBM!$Q:$Q,0))="","",INDEX(F_ProductBM!H:H,MATCH($P950,F_ProductBM!$Q:$Q,0))))</f>
        <v/>
      </c>
      <c r="I950" s="794" t="str">
        <f>IF($I805="","",IF(INDEX(F_ProductBM!I:I,MATCH($P950,F_ProductBM!$Q:$Q,0))="","",INDEX(F_ProductBM!I:I,MATCH($P950,F_ProductBM!$Q:$Q,0))))</f>
        <v/>
      </c>
      <c r="J950" s="2171" t="str">
        <f>IF($I805="","",IF(INDEX(F_ProductBM!J:J,MATCH($P950,F_ProductBM!$Q:$Q,0))="","",INDEX(F_ProductBM!J:J,MATCH($P950,F_ProductBM!$Q:$Q,0))))</f>
        <v/>
      </c>
      <c r="K950" s="1788" t="str">
        <f>IF($I805="","",IF(INDEX(F_ProductBM!K:K,MATCH($P950,F_ProductBM!$Q:$Q,0))="","",INDEX(F_ProductBM!K:K,MATCH($P950,F_ProductBM!$Q:$Q,0))))</f>
        <v/>
      </c>
      <c r="L950" s="1789" t="str">
        <f>IF($I805="","",IF(INDEX(F_ProductBM!L:L,MATCH($P950,F_ProductBM!$Q:$Q,0))="","",INDEX(F_ProductBM!L:L,MATCH($P950,F_ProductBM!$Q:$Q,0))))</f>
        <v/>
      </c>
      <c r="M950" s="1789" t="str">
        <f>IF($I805="","",IF(INDEX(F_ProductBM!M:M,MATCH($P950,F_ProductBM!$Q:$Q,0))="","",INDEX(F_ProductBM!M:M,MATCH($P950,F_ProductBM!$Q:$Q,0))))</f>
        <v/>
      </c>
      <c r="N950" s="1789" t="str">
        <f>IF($I805="","",IF(INDEX(F_ProductBM!N:N,MATCH($P950,F_ProductBM!$Q:$Q,0))="","",INDEX(F_ProductBM!N:N,MATCH($P950,F_ProductBM!$Q:$Q,0))))</f>
        <v/>
      </c>
      <c r="O950" s="485"/>
      <c r="P950" s="1970" t="str">
        <f>EUconst_CNTR_WGImport &amp; I805</f>
        <v>WasteGasIm_</v>
      </c>
      <c r="Q950" s="1137"/>
      <c r="R950" s="1137"/>
      <c r="S950" s="1137"/>
      <c r="T950" s="1137"/>
      <c r="U950" s="1137"/>
      <c r="V950" s="1137"/>
    </row>
    <row r="951" spans="1:22" s="562" customFormat="1" ht="12.75" customHeight="1">
      <c r="A951" s="817"/>
      <c r="C951" s="485"/>
      <c r="D951" s="776"/>
      <c r="E951" s="816" t="s">
        <v>1275</v>
      </c>
      <c r="F951" s="816"/>
      <c r="G951" s="812" t="str">
        <f>EUconst_tCO2pTJ</f>
        <v>t CO2 / TJ</v>
      </c>
      <c r="H951" s="627" t="str">
        <f>IF($I805="","",IF(INDEX(F_ProductBM!H:H,MATCH($P951,F_ProductBM!$Q:$Q,0))="","",INDEX(F_ProductBM!H:H,MATCH($P951,F_ProductBM!$Q:$Q,0))))</f>
        <v/>
      </c>
      <c r="I951" s="796" t="str">
        <f>IF($I805="","",IF(INDEX(F_ProductBM!I:I,MATCH($P951,F_ProductBM!$Q:$Q,0))="","",INDEX(F_ProductBM!I:I,MATCH($P951,F_ProductBM!$Q:$Q,0))))</f>
        <v/>
      </c>
      <c r="J951" s="2172" t="str">
        <f>IF($I805="","",IF(INDEX(F_ProductBM!J:J,MATCH($P951,F_ProductBM!$Q:$Q,0))="","",INDEX(F_ProductBM!J:J,MATCH($P951,F_ProductBM!$Q:$Q,0))))</f>
        <v/>
      </c>
      <c r="K951" s="1788" t="str">
        <f>IF($I805="","",IF(INDEX(F_ProductBM!K:K,MATCH($P951,F_ProductBM!$Q:$Q,0))="","",INDEX(F_ProductBM!K:K,MATCH($P951,F_ProductBM!$Q:$Q,0))))</f>
        <v/>
      </c>
      <c r="L951" s="1789" t="str">
        <f>IF($I805="","",IF(INDEX(F_ProductBM!L:L,MATCH($P951,F_ProductBM!$Q:$Q,0))="","",INDEX(F_ProductBM!L:L,MATCH($P951,F_ProductBM!$Q:$Q,0))))</f>
        <v/>
      </c>
      <c r="M951" s="1789" t="str">
        <f>IF($I805="","",IF(INDEX(F_ProductBM!M:M,MATCH($P951,F_ProductBM!$Q:$Q,0))="","",INDEX(F_ProductBM!M:M,MATCH($P951,F_ProductBM!$Q:$Q,0))))</f>
        <v/>
      </c>
      <c r="N951" s="1789" t="str">
        <f>IF($I805="","",IF(INDEX(F_ProductBM!N:N,MATCH($P951,F_ProductBM!$Q:$Q,0))="","",INDEX(F_ProductBM!N:N,MATCH($P951,F_ProductBM!$Q:$Q,0))))</f>
        <v/>
      </c>
      <c r="O951" s="485"/>
      <c r="P951" s="1970" t="str">
        <f>EUconst_CNTR_WGImportEF &amp; I805</f>
        <v>WasteGasImEF_</v>
      </c>
      <c r="Q951" s="1137"/>
      <c r="R951" s="1137"/>
      <c r="S951" s="1137"/>
      <c r="T951" s="1137"/>
      <c r="U951" s="1137"/>
      <c r="V951" s="1137"/>
    </row>
    <row r="952" spans="1:22" s="562" customFormat="1" ht="12.75" customHeight="1">
      <c r="A952" s="817"/>
      <c r="C952" s="485"/>
      <c r="D952" s="776"/>
      <c r="E952" s="2471" t="s">
        <v>1080</v>
      </c>
      <c r="F952" s="3467"/>
      <c r="G952" s="811" t="str">
        <f>EUconst_TJpa</f>
        <v>TJ / year</v>
      </c>
      <c r="H952" s="625" t="str">
        <f>IF($I805="","",IF(INDEX(F_ProductBM!H:H,MATCH($P952,F_ProductBM!$Q:$Q,0))="","",INDEX(F_ProductBM!H:H,MATCH($P952,F_ProductBM!$Q:$Q,0))))</f>
        <v/>
      </c>
      <c r="I952" s="794" t="str">
        <f>IF($I805="","",IF(INDEX(F_ProductBM!I:I,MATCH($P952,F_ProductBM!$Q:$Q,0))="","",INDEX(F_ProductBM!I:I,MATCH($P952,F_ProductBM!$Q:$Q,0))))</f>
        <v/>
      </c>
      <c r="J952" s="2171" t="str">
        <f>IF($I805="","",IF(INDEX(F_ProductBM!J:J,MATCH($P952,F_ProductBM!$Q:$Q,0))="","",INDEX(F_ProductBM!J:J,MATCH($P952,F_ProductBM!$Q:$Q,0))))</f>
        <v/>
      </c>
      <c r="K952" s="1788" t="str">
        <f>IF($I805="","",IF(INDEX(F_ProductBM!K:K,MATCH($P952,F_ProductBM!$Q:$Q,0))="","",INDEX(F_ProductBM!K:K,MATCH($P952,F_ProductBM!$Q:$Q,0))))</f>
        <v/>
      </c>
      <c r="L952" s="1789" t="str">
        <f>IF($I805="","",IF(INDEX(F_ProductBM!L:L,MATCH($P952,F_ProductBM!$Q:$Q,0))="","",INDEX(F_ProductBM!L:L,MATCH($P952,F_ProductBM!$Q:$Q,0))))</f>
        <v/>
      </c>
      <c r="M952" s="1789" t="str">
        <f>IF($I805="","",IF(INDEX(F_ProductBM!M:M,MATCH($P952,F_ProductBM!$Q:$Q,0))="","",INDEX(F_ProductBM!M:M,MATCH($P952,F_ProductBM!$Q:$Q,0))))</f>
        <v/>
      </c>
      <c r="N952" s="1789" t="str">
        <f>IF($I805="","",IF(INDEX(F_ProductBM!N:N,MATCH($P952,F_ProductBM!$Q:$Q,0))="","",INDEX(F_ProductBM!N:N,MATCH($P952,F_ProductBM!$Q:$Q,0))))</f>
        <v/>
      </c>
      <c r="O952" s="485"/>
      <c r="P952" s="1970" t="str">
        <f>EUconst_CNTR_WGExport &amp; I805</f>
        <v>WasteGasEx_</v>
      </c>
      <c r="Q952" s="1137"/>
      <c r="R952" s="1137"/>
      <c r="S952" s="1137"/>
      <c r="T952" s="1137"/>
      <c r="U952" s="1137"/>
      <c r="V952" s="1137"/>
    </row>
    <row r="953" spans="1:22" s="562" customFormat="1" ht="12.75" customHeight="1">
      <c r="A953" s="817"/>
      <c r="C953" s="485"/>
      <c r="D953" s="776"/>
      <c r="E953" s="2473" t="s">
        <v>1276</v>
      </c>
      <c r="F953" s="3466"/>
      <c r="G953" s="812" t="str">
        <f>EUconst_tCO2pTJ</f>
        <v>t CO2 / TJ</v>
      </c>
      <c r="H953" s="627" t="str">
        <f>IF($I805="","",IF(INDEX(F_ProductBM!H:H,MATCH($P953,F_ProductBM!$Q:$Q,0))="","",INDEX(F_ProductBM!H:H,MATCH($P953,F_ProductBM!$Q:$Q,0))))</f>
        <v/>
      </c>
      <c r="I953" s="796" t="str">
        <f>IF($I805="","",IF(INDEX(F_ProductBM!I:I,MATCH($P953,F_ProductBM!$Q:$Q,0))="","",INDEX(F_ProductBM!I:I,MATCH($P953,F_ProductBM!$Q:$Q,0))))</f>
        <v/>
      </c>
      <c r="J953" s="2172" t="str">
        <f>IF($I805="","",IF(INDEX(F_ProductBM!J:J,MATCH($P953,F_ProductBM!$Q:$Q,0))="","",INDEX(F_ProductBM!J:J,MATCH($P953,F_ProductBM!$Q:$Q,0))))</f>
        <v/>
      </c>
      <c r="K953" s="1788" t="str">
        <f>IF($I805="","",IF(INDEX(F_ProductBM!K:K,MATCH($P953,F_ProductBM!$Q:$Q,0))="","",INDEX(F_ProductBM!K:K,MATCH($P953,F_ProductBM!$Q:$Q,0))))</f>
        <v/>
      </c>
      <c r="L953" s="1789" t="str">
        <f>IF($I805="","",IF(INDEX(F_ProductBM!L:L,MATCH($P953,F_ProductBM!$Q:$Q,0))="","",INDEX(F_ProductBM!L:L,MATCH($P953,F_ProductBM!$Q:$Q,0))))</f>
        <v/>
      </c>
      <c r="M953" s="1789" t="str">
        <f>IF($I805="","",IF(INDEX(F_ProductBM!M:M,MATCH($P953,F_ProductBM!$Q:$Q,0))="","",INDEX(F_ProductBM!M:M,MATCH($P953,F_ProductBM!$Q:$Q,0))))</f>
        <v/>
      </c>
      <c r="N953" s="1789" t="str">
        <f>IF($I805="","",IF(INDEX(F_ProductBM!N:N,MATCH($P953,F_ProductBM!$Q:$Q,0))="","",INDEX(F_ProductBM!N:N,MATCH($P953,F_ProductBM!$Q:$Q,0))))</f>
        <v/>
      </c>
      <c r="O953" s="485"/>
      <c r="P953" s="1970" t="str">
        <f>EUconst_CNTR_WGExportEF &amp; I805</f>
        <v>WasteGasExEF_</v>
      </c>
      <c r="Q953" s="1137"/>
      <c r="R953" s="1137"/>
      <c r="S953" s="1137"/>
      <c r="T953" s="1137"/>
      <c r="U953" s="1137"/>
      <c r="V953" s="1137"/>
    </row>
    <row r="954" spans="1:22" s="562" customFormat="1" ht="5.0999999999999996" customHeight="1">
      <c r="A954" s="817"/>
      <c r="C954" s="485"/>
      <c r="D954" s="776"/>
      <c r="E954" s="809"/>
      <c r="F954" s="809"/>
      <c r="G954" s="777"/>
      <c r="H954" s="2173"/>
      <c r="I954" s="2173"/>
      <c r="J954" s="2173"/>
      <c r="K954" s="1788"/>
      <c r="L954" s="1789"/>
      <c r="M954" s="1789"/>
      <c r="N954" s="1789"/>
      <c r="O954" s="485"/>
      <c r="P954" s="1117"/>
      <c r="Q954" s="1137"/>
      <c r="R954" s="1137"/>
      <c r="S954" s="1137"/>
      <c r="T954" s="1137"/>
      <c r="U954" s="1137"/>
      <c r="V954" s="1137"/>
    </row>
    <row r="955" spans="1:22" s="562" customFormat="1" ht="12.75" customHeight="1">
      <c r="A955" s="817"/>
      <c r="C955" s="485"/>
      <c r="D955" s="776"/>
      <c r="E955" s="2475" t="s">
        <v>914</v>
      </c>
      <c r="F955" s="3461"/>
      <c r="G955" s="815" t="str">
        <f>EUconst_MWhpa</f>
        <v>MWh / year</v>
      </c>
      <c r="H955" s="623" t="str">
        <f>IF($I805="","",IF(INDEX(F_ProductBM!H:H,MATCH($P955,F_ProductBM!$R:$R,0))="","",INDEX(F_ProductBM!H:H,MATCH($P955,F_ProductBM!$R:$R,0))))</f>
        <v/>
      </c>
      <c r="I955" s="800" t="str">
        <f>IF($I805="","",IF(INDEX(F_ProductBM!I:I,MATCH($P955,F_ProductBM!$R:$R,0))="","",INDEX(F_ProductBM!I:I,MATCH($P955,F_ProductBM!$R:$R,0))))</f>
        <v/>
      </c>
      <c r="J955" s="2174" t="str">
        <f>IF($I805="","",IF(INDEX(F_ProductBM!J:J,MATCH($P955,F_ProductBM!$R:$R,0))="","",INDEX(F_ProductBM!J:J,MATCH($P955,F_ProductBM!$R:$R,0))))</f>
        <v/>
      </c>
      <c r="K955" s="1788" t="str">
        <f>IF($I805="","",IF(INDEX(F_ProductBM!K:K,MATCH($P955,F_ProductBM!$R:$R,0))="","",INDEX(F_ProductBM!K:K,MATCH($P955,F_ProductBM!$R:$R,0))))</f>
        <v/>
      </c>
      <c r="L955" s="1789" t="str">
        <f>IF($I805="","",IF(INDEX(F_ProductBM!L:L,MATCH($P955,F_ProductBM!$R:$R,0))="","",INDEX(F_ProductBM!L:L,MATCH($P955,F_ProductBM!$R:$R,0))))</f>
        <v/>
      </c>
      <c r="M955" s="1789" t="str">
        <f>IF($I805="","",IF(INDEX(F_ProductBM!M:M,MATCH($P955,F_ProductBM!$R:$R,0))="","",INDEX(F_ProductBM!M:M,MATCH($P955,F_ProductBM!$R:$R,0))))</f>
        <v/>
      </c>
      <c r="N955" s="1789" t="str">
        <f>IF($I805="","",IF(INDEX(F_ProductBM!N:N,MATCH($P955,F_ProductBM!$R:$R,0))="","",INDEX(F_ProductBM!N:N,MATCH($P955,F_ProductBM!$R:$R,0))))</f>
        <v/>
      </c>
      <c r="O955" s="485"/>
      <c r="P955" s="1158" t="str">
        <f>EUconst_CNTR_HAL&amp;EUconst_CNTR_ELEXCH &amp; I805</f>
        <v>HAL_ELEXCH_</v>
      </c>
      <c r="Q955" s="1137"/>
      <c r="R955" s="1137"/>
      <c r="S955" s="1137"/>
      <c r="T955" s="1137"/>
      <c r="U955" s="1137"/>
      <c r="V955" s="1137"/>
    </row>
    <row r="956" spans="1:22" s="562" customFormat="1" ht="12.75" customHeight="1">
      <c r="A956" s="817"/>
      <c r="C956" s="485"/>
      <c r="D956" s="776"/>
      <c r="E956" s="2475" t="s">
        <v>1354</v>
      </c>
      <c r="F956" s="3461"/>
      <c r="G956" s="815" t="str">
        <f>EUconst_MWhpa</f>
        <v>MWh / year</v>
      </c>
      <c r="H956" s="623" t="str">
        <f>IF($I805="","",IF(INDEX(F_ProductBM!H:H,MATCH($P956,F_ProductBM!$Q:$Q,0))="","",INDEX(F_ProductBM!H:H,MATCH($P956,F_ProductBM!$Q:$Q,0))))</f>
        <v/>
      </c>
      <c r="I956" s="800" t="str">
        <f>IF($I805="","",IF(INDEX(F_ProductBM!I:I,MATCH($P956,F_ProductBM!$Q:$Q,0))="","",INDEX(F_ProductBM!I:I,MATCH($P956,F_ProductBM!$Q:$Q,0))))</f>
        <v/>
      </c>
      <c r="J956" s="2174" t="str">
        <f>IF($I805="","",IF(INDEX(F_ProductBM!J:J,MATCH($P956,F_ProductBM!$Q:$Q,0))="","",INDEX(F_ProductBM!J:J,MATCH($P956,F_ProductBM!$Q:$Q,0))))</f>
        <v/>
      </c>
      <c r="K956" s="1788" t="str">
        <f>IF($I805="","",IF(INDEX(F_ProductBM!K:K,MATCH($P956,F_ProductBM!$Q:$Q,0))="","",INDEX(F_ProductBM!K:K,MATCH($P956,F_ProductBM!$Q:$Q,0))))</f>
        <v/>
      </c>
      <c r="L956" s="1789" t="str">
        <f>IF($I805="","",IF(INDEX(F_ProductBM!L:L,MATCH($P956,F_ProductBM!$Q:$Q,0))="","",INDEX(F_ProductBM!L:L,MATCH($P956,F_ProductBM!$Q:$Q,0))))</f>
        <v/>
      </c>
      <c r="M956" s="1789" t="str">
        <f>IF($I805="","",IF(INDEX(F_ProductBM!M:M,MATCH($P956,F_ProductBM!$Q:$Q,0))="","",INDEX(F_ProductBM!M:M,MATCH($P956,F_ProductBM!$Q:$Q,0))))</f>
        <v/>
      </c>
      <c r="N956" s="1789" t="str">
        <f>IF($I805="","",IF(INDEX(F_ProductBM!N:N,MATCH($P956,F_ProductBM!$Q:$Q,0))="","",INDEX(F_ProductBM!N:N,MATCH($P956,F_ProductBM!$Q:$Q,0))))</f>
        <v/>
      </c>
      <c r="O956" s="485"/>
      <c r="P956" s="1970" t="str">
        <f>EUconst_CNTR_ElectricityExported &amp; I805</f>
        <v>ElecEx_</v>
      </c>
      <c r="Q956" s="1137"/>
      <c r="R956" s="1137"/>
      <c r="S956" s="1137"/>
      <c r="T956" s="1137"/>
      <c r="U956" s="1137"/>
      <c r="V956" s="1137"/>
    </row>
    <row r="957" spans="1:22" s="562" customFormat="1" ht="5.0999999999999996" customHeight="1">
      <c r="A957" s="817"/>
      <c r="C957" s="485"/>
      <c r="D957" s="776"/>
      <c r="E957" s="809"/>
      <c r="F957" s="809"/>
      <c r="G957" s="777"/>
      <c r="H957" s="2173"/>
      <c r="I957" s="2173"/>
      <c r="J957" s="2173"/>
      <c r="K957" s="1788"/>
      <c r="L957" s="1789"/>
      <c r="M957" s="1789"/>
      <c r="N957" s="1789"/>
      <c r="O957" s="485"/>
      <c r="P957" s="1117"/>
      <c r="Q957" s="1137"/>
      <c r="R957" s="1137"/>
      <c r="S957" s="1137"/>
      <c r="T957" s="1137"/>
      <c r="U957" s="1137"/>
      <c r="V957" s="1137"/>
    </row>
    <row r="958" spans="1:22" s="562" customFormat="1" ht="12.75" customHeight="1">
      <c r="A958" s="817"/>
      <c r="C958" s="485"/>
      <c r="D958" s="776"/>
      <c r="E958" s="2475" t="s">
        <v>1157</v>
      </c>
      <c r="F958" s="3461"/>
      <c r="G958" s="815" t="str">
        <f>EUconst_Tons</f>
        <v>tonnes</v>
      </c>
      <c r="H958" s="623" t="str">
        <f>IF($I805="","",IF(INDEX(F_ProductBM!H:H,MATCH($P958,F_ProductBM!$Q:$Q,0))="","",INDEX(F_ProductBM!H:H,MATCH($P958,F_ProductBM!$Q:$Q,0))))</f>
        <v/>
      </c>
      <c r="I958" s="800" t="str">
        <f>IF($I805="","",IF(INDEX(F_ProductBM!I:I,MATCH($P958,F_ProductBM!$Q:$Q,0))="","",INDEX(F_ProductBM!I:I,MATCH($P958,F_ProductBM!$Q:$Q,0))))</f>
        <v/>
      </c>
      <c r="J958" s="2174" t="str">
        <f>IF($I805="","",IF(INDEX(F_ProductBM!J:J,MATCH($P958,F_ProductBM!$Q:$Q,0))="","",INDEX(F_ProductBM!J:J,MATCH($P958,F_ProductBM!$Q:$Q,0))))</f>
        <v/>
      </c>
      <c r="K958" s="1788" t="str">
        <f>IF($I805="","",IF(INDEX(F_ProductBM!K:K,MATCH($P958,F_ProductBM!$Q:$Q,0))="","",INDEX(F_ProductBM!K:K,MATCH($P958,F_ProductBM!$Q:$Q,0))))</f>
        <v/>
      </c>
      <c r="L958" s="1789" t="str">
        <f>IF($I805="","",IF(INDEX(F_ProductBM!L:L,MATCH($P958,F_ProductBM!$Q:$Q,0))="","",INDEX(F_ProductBM!L:L,MATCH($P958,F_ProductBM!$Q:$Q,0))))</f>
        <v/>
      </c>
      <c r="M958" s="1789" t="str">
        <f>IF($I805="","",IF(INDEX(F_ProductBM!M:M,MATCH($P958,F_ProductBM!$Q:$Q,0))="","",INDEX(F_ProductBM!M:M,MATCH($P958,F_ProductBM!$Q:$Q,0))))</f>
        <v/>
      </c>
      <c r="N958" s="1789" t="str">
        <f>IF($I805="","",IF(INDEX(F_ProductBM!N:N,MATCH($P958,F_ProductBM!$Q:$Q,0))="","",INDEX(F_ProductBM!N:N,MATCH($P958,F_ProductBM!$Q:$Q,0))))</f>
        <v/>
      </c>
      <c r="O958" s="485"/>
      <c r="P958" s="1970" t="str">
        <f>EUconst_CNTR_HALPulpTotal &amp; I805</f>
        <v>HALPulpTotal_</v>
      </c>
      <c r="Q958" s="1137"/>
      <c r="R958" s="1137"/>
      <c r="S958" s="1137"/>
      <c r="T958" s="1137"/>
      <c r="U958" s="1137"/>
      <c r="V958" s="1137"/>
    </row>
    <row r="959" spans="1:22" s="562" customFormat="1" ht="5.0999999999999996" customHeight="1">
      <c r="A959" s="817"/>
      <c r="C959" s="485"/>
      <c r="D959" s="776"/>
      <c r="E959" s="809"/>
      <c r="F959" s="809"/>
      <c r="G959" s="777"/>
      <c r="H959" s="2173"/>
      <c r="I959" s="2173"/>
      <c r="J959" s="2173"/>
      <c r="K959" s="1788"/>
      <c r="L959" s="1789"/>
      <c r="M959" s="1789"/>
      <c r="N959" s="1789"/>
      <c r="O959" s="485"/>
      <c r="P959" s="1117"/>
      <c r="Q959" s="1137"/>
      <c r="R959" s="1137"/>
      <c r="S959" s="1137"/>
      <c r="T959" s="1137"/>
      <c r="U959" s="1137"/>
      <c r="V959" s="1137"/>
    </row>
    <row r="960" spans="1:22" s="562" customFormat="1">
      <c r="A960" s="817"/>
      <c r="C960" s="485"/>
      <c r="D960" s="776"/>
      <c r="E960" s="2492" t="s">
        <v>1440</v>
      </c>
      <c r="F960" s="3284"/>
      <c r="G960" s="777"/>
      <c r="H960" s="2173"/>
      <c r="I960" s="2173"/>
      <c r="J960" s="2173"/>
      <c r="K960" s="1788"/>
      <c r="L960" s="1789"/>
      <c r="M960" s="1789"/>
      <c r="N960" s="1789"/>
      <c r="O960" s="485"/>
      <c r="P960" s="1117"/>
      <c r="Q960" s="1137"/>
      <c r="R960" s="1137"/>
      <c r="S960" s="1137"/>
      <c r="T960" s="1137"/>
      <c r="U960" s="1137"/>
      <c r="V960" s="1137"/>
    </row>
    <row r="961" spans="1:22" s="562" customFormat="1">
      <c r="A961" s="817"/>
      <c r="C961" s="485"/>
      <c r="D961" s="776"/>
      <c r="E961" s="3285" t="str">
        <f>IF(I805="","",IF(INDEX(F_ProductBM!E:E,MATCH($P961,F_ProductBM!$Q:$Q,0))="","",INDEX(F_ProductBM!E:E,MATCH($P961,F_ProductBM!$Q:$Q,0))))</f>
        <v/>
      </c>
      <c r="F961" s="3461"/>
      <c r="G961" s="815" t="str">
        <f>EUconst_Tons</f>
        <v>tonnes</v>
      </c>
      <c r="H961" s="623" t="str">
        <f>IF($I805="","",IF(INDEX(F_ProductBM!H:H,MATCH($P961,F_ProductBM!$Q:$Q,0))="","",INDEX(F_ProductBM!H:H,MATCH($P961,F_ProductBM!$Q:$Q,0))))</f>
        <v/>
      </c>
      <c r="I961" s="800" t="str">
        <f>IF($I805="","",IF(INDEX(F_ProductBM!I:I,MATCH($P961,F_ProductBM!$Q:$Q,0))="","",INDEX(F_ProductBM!I:I,MATCH($P961,F_ProductBM!$Q:$Q,0))))</f>
        <v/>
      </c>
      <c r="J961" s="2174" t="str">
        <f>IF($I805="","",IF(INDEX(F_ProductBM!J:J,MATCH($P961,F_ProductBM!$Q:$Q,0))="","",INDEX(F_ProductBM!J:J,MATCH($P961,F_ProductBM!$Q:$Q,0))))</f>
        <v/>
      </c>
      <c r="K961" s="1788" t="str">
        <f>IF($I805="","",IF(INDEX(F_ProductBM!K:K,MATCH($P961,F_ProductBM!$Q:$Q,0))="","",INDEX(F_ProductBM!K:K,MATCH($P961,F_ProductBM!$Q:$Q,0))))</f>
        <v/>
      </c>
      <c r="L961" s="1789" t="str">
        <f>IF($I805="","",IF(INDEX(F_ProductBM!L:L,MATCH($P961,F_ProductBM!$Q:$Q,0))="","",INDEX(F_ProductBM!L:L,MATCH($P961,F_ProductBM!$Q:$Q,0))))</f>
        <v/>
      </c>
      <c r="M961" s="1789" t="str">
        <f>IF($I805="","",IF(INDEX(F_ProductBM!M:M,MATCH($P961,F_ProductBM!$Q:$Q,0))="","",INDEX(F_ProductBM!M:M,MATCH($P961,F_ProductBM!$Q:$Q,0))))</f>
        <v/>
      </c>
      <c r="N961" s="1789" t="str">
        <f>IF($I805="","",IF(INDEX(F_ProductBM!N:N,MATCH($P961,F_ProductBM!$Q:$Q,0))="","",INDEX(F_ProductBM!N:N,MATCH($P961,F_ProductBM!$Q:$Q,0))))</f>
        <v/>
      </c>
      <c r="O961" s="485"/>
      <c r="P961" s="1970" t="str">
        <f>EUconst_CNTR_IntermediateImport &amp; R961 &amp; "_" &amp; I805</f>
        <v>IntImp_1_</v>
      </c>
      <c r="Q961" s="1137"/>
      <c r="R961" s="1312">
        <v>1</v>
      </c>
      <c r="S961" s="1137"/>
      <c r="T961" s="1117"/>
      <c r="U961" s="1137"/>
      <c r="V961" s="1137"/>
    </row>
    <row r="962" spans="1:22" s="562" customFormat="1">
      <c r="A962" s="817"/>
      <c r="C962" s="485"/>
      <c r="D962" s="776"/>
      <c r="E962" s="3285" t="str">
        <f>IF(I805="","",IF(INDEX(F_ProductBM!E:E,MATCH($P962,F_ProductBM!$Q:$Q,0))="","",INDEX(F_ProductBM!E:E,MATCH($P962,F_ProductBM!$Q:$Q,0))))</f>
        <v/>
      </c>
      <c r="F962" s="3461"/>
      <c r="G962" s="815" t="str">
        <f>EUconst_Tons</f>
        <v>tonnes</v>
      </c>
      <c r="H962" s="623" t="str">
        <f>IF($I805="","",IF(INDEX(F_ProductBM!H:H,MATCH($P962,F_ProductBM!$Q:$Q,0))="","",INDEX(F_ProductBM!H:H,MATCH($P962,F_ProductBM!$Q:$Q,0))))</f>
        <v/>
      </c>
      <c r="I962" s="800" t="str">
        <f>IF($I805="","",IF(INDEX(F_ProductBM!I:I,MATCH($P962,F_ProductBM!$Q:$Q,0))="","",INDEX(F_ProductBM!I:I,MATCH($P962,F_ProductBM!$Q:$Q,0))))</f>
        <v/>
      </c>
      <c r="J962" s="2174" t="str">
        <f>IF($I805="","",IF(INDEX(F_ProductBM!J:J,MATCH($P962,F_ProductBM!$Q:$Q,0))="","",INDEX(F_ProductBM!J:J,MATCH($P962,F_ProductBM!$Q:$Q,0))))</f>
        <v/>
      </c>
      <c r="K962" s="1788" t="str">
        <f>IF($I805="","",IF(INDEX(F_ProductBM!K:K,MATCH($P962,F_ProductBM!$Q:$Q,0))="","",INDEX(F_ProductBM!K:K,MATCH($P962,F_ProductBM!$Q:$Q,0))))</f>
        <v/>
      </c>
      <c r="L962" s="1789" t="str">
        <f>IF($I805="","",IF(INDEX(F_ProductBM!L:L,MATCH($P962,F_ProductBM!$Q:$Q,0))="","",INDEX(F_ProductBM!L:L,MATCH($P962,F_ProductBM!$Q:$Q,0))))</f>
        <v/>
      </c>
      <c r="M962" s="1789" t="str">
        <f>IF($I805="","",IF(INDEX(F_ProductBM!M:M,MATCH($P962,F_ProductBM!$Q:$Q,0))="","",INDEX(F_ProductBM!M:M,MATCH($P962,F_ProductBM!$Q:$Q,0))))</f>
        <v/>
      </c>
      <c r="N962" s="1789" t="str">
        <f>IF($I805="","",IF(INDEX(F_ProductBM!N:N,MATCH($P962,F_ProductBM!$Q:$Q,0))="","",INDEX(F_ProductBM!N:N,MATCH($P962,F_ProductBM!$Q:$Q,0))))</f>
        <v/>
      </c>
      <c r="O962" s="485"/>
      <c r="P962" s="1970" t="str">
        <f>EUconst_CNTR_IntermediateImport &amp; R962 &amp; "_" &amp; I805</f>
        <v>IntImp_2_</v>
      </c>
      <c r="Q962" s="1137"/>
      <c r="R962" s="1312">
        <v>2</v>
      </c>
      <c r="S962" s="1137"/>
      <c r="T962" s="1117"/>
      <c r="U962" s="1137"/>
      <c r="V962" s="1137"/>
    </row>
    <row r="963" spans="1:22" s="562" customFormat="1">
      <c r="A963" s="817"/>
      <c r="C963" s="485"/>
      <c r="D963" s="776"/>
      <c r="E963" s="2475" t="s">
        <v>1441</v>
      </c>
      <c r="F963" s="3461"/>
      <c r="G963" s="777"/>
      <c r="H963" s="2173"/>
      <c r="I963" s="2173"/>
      <c r="J963" s="2173"/>
      <c r="K963" s="1788"/>
      <c r="L963" s="1789"/>
      <c r="M963" s="1789"/>
      <c r="N963" s="1789"/>
      <c r="O963" s="485"/>
      <c r="P963" s="1117"/>
      <c r="Q963" s="1137"/>
      <c r="R963" s="1137"/>
      <c r="S963" s="1137"/>
      <c r="T963" s="1117"/>
      <c r="U963" s="1137"/>
      <c r="V963" s="1137"/>
    </row>
    <row r="964" spans="1:22" s="562" customFormat="1">
      <c r="A964" s="817"/>
      <c r="C964" s="485"/>
      <c r="D964" s="776"/>
      <c r="E964" s="3285" t="str">
        <f>IF(I805="","",IF(INDEX(F_ProductBM!E:E,MATCH($P964,F_ProductBM!$Q:$Q,0))="","",INDEX(F_ProductBM!E:E,MATCH($P964,F_ProductBM!$Q:$Q,0))))</f>
        <v/>
      </c>
      <c r="F964" s="3461"/>
      <c r="G964" s="815" t="str">
        <f>EUconst_Tons</f>
        <v>tonnes</v>
      </c>
      <c r="H964" s="623" t="str">
        <f>IF($I805="","",IF(INDEX(F_ProductBM!H:H,MATCH($P964,F_ProductBM!$Q:$Q,0))="","",INDEX(F_ProductBM!H:H,MATCH($P964,F_ProductBM!$Q:$Q,0))))</f>
        <v/>
      </c>
      <c r="I964" s="800" t="str">
        <f>IF($I805="","",IF(INDEX(F_ProductBM!I:I,MATCH($P964,F_ProductBM!$Q:$Q,0))="","",INDEX(F_ProductBM!I:I,MATCH($P964,F_ProductBM!$Q:$Q,0))))</f>
        <v/>
      </c>
      <c r="J964" s="2174" t="str">
        <f>IF($I805="","",IF(INDEX(F_ProductBM!J:J,MATCH($P964,F_ProductBM!$Q:$Q,0))="","",INDEX(F_ProductBM!J:J,MATCH($P964,F_ProductBM!$Q:$Q,0))))</f>
        <v/>
      </c>
      <c r="K964" s="1788" t="str">
        <f>IF($I805="","",IF(INDEX(F_ProductBM!K:K,MATCH($P964,F_ProductBM!$Q:$Q,0))="","",INDEX(F_ProductBM!K:K,MATCH($P964,F_ProductBM!$Q:$Q,0))))</f>
        <v/>
      </c>
      <c r="L964" s="1789" t="str">
        <f>IF($I805="","",IF(INDEX(F_ProductBM!L:L,MATCH($P964,F_ProductBM!$Q:$Q,0))="","",INDEX(F_ProductBM!L:L,MATCH($P964,F_ProductBM!$Q:$Q,0))))</f>
        <v/>
      </c>
      <c r="M964" s="1789" t="str">
        <f>IF($I805="","",IF(INDEX(F_ProductBM!M:M,MATCH($P964,F_ProductBM!$Q:$Q,0))="","",INDEX(F_ProductBM!M:M,MATCH($P964,F_ProductBM!$Q:$Q,0))))</f>
        <v/>
      </c>
      <c r="N964" s="1789" t="str">
        <f>IF($I805="","",IF(INDEX(F_ProductBM!N:N,MATCH($P964,F_ProductBM!$Q:$Q,0))="","",INDEX(F_ProductBM!N:N,MATCH($P964,F_ProductBM!$Q:$Q,0))))</f>
        <v/>
      </c>
      <c r="O964" s="485"/>
      <c r="P964" s="1970" t="str">
        <f>EUconst_CNTR_IntermediateExport &amp; R961 &amp; "_" &amp; I805</f>
        <v>IntExp_1_</v>
      </c>
      <c r="Q964" s="1137"/>
      <c r="R964" s="1312">
        <v>1</v>
      </c>
      <c r="S964" s="1137"/>
      <c r="T964" s="1117"/>
      <c r="U964" s="1137"/>
      <c r="V964" s="1137"/>
    </row>
    <row r="965" spans="1:22" s="562" customFormat="1">
      <c r="A965" s="817"/>
      <c r="C965" s="485"/>
      <c r="D965" s="776"/>
      <c r="E965" s="3285" t="str">
        <f>IF(I805="","",IF(INDEX(F_ProductBM!E:E,MATCH($P965,F_ProductBM!$Q:$Q,0))="","",INDEX(F_ProductBM!E:E,MATCH($P965,F_ProductBM!$Q:$Q,0))))</f>
        <v/>
      </c>
      <c r="F965" s="3461"/>
      <c r="G965" s="815" t="str">
        <f>EUconst_Tons</f>
        <v>tonnes</v>
      </c>
      <c r="H965" s="623" t="str">
        <f>IF($I805="","",IF(INDEX(F_ProductBM!H:H,MATCH($P965,F_ProductBM!$Q:$Q,0))="","",INDEX(F_ProductBM!H:H,MATCH($P965,F_ProductBM!$Q:$Q,0))))</f>
        <v/>
      </c>
      <c r="I965" s="800" t="str">
        <f>IF($I805="","",IF(INDEX(F_ProductBM!I:I,MATCH($P965,F_ProductBM!$Q:$Q,0))="","",INDEX(F_ProductBM!I:I,MATCH($P965,F_ProductBM!$Q:$Q,0))))</f>
        <v/>
      </c>
      <c r="J965" s="2174" t="str">
        <f>IF($I805="","",IF(INDEX(F_ProductBM!J:J,MATCH($P965,F_ProductBM!$Q:$Q,0))="","",INDEX(F_ProductBM!J:J,MATCH($P965,F_ProductBM!$Q:$Q,0))))</f>
        <v/>
      </c>
      <c r="K965" s="1788" t="str">
        <f>IF($I805="","",IF(INDEX(F_ProductBM!K:K,MATCH($P965,F_ProductBM!$Q:$Q,0))="","",INDEX(F_ProductBM!K:K,MATCH($P965,F_ProductBM!$Q:$Q,0))))</f>
        <v/>
      </c>
      <c r="L965" s="1789" t="str">
        <f>IF($I805="","",IF(INDEX(F_ProductBM!L:L,MATCH($P965,F_ProductBM!$Q:$Q,0))="","",INDEX(F_ProductBM!L:L,MATCH($P965,F_ProductBM!$Q:$Q,0))))</f>
        <v/>
      </c>
      <c r="M965" s="1789" t="str">
        <f>IF($I805="","",IF(INDEX(F_ProductBM!M:M,MATCH($P965,F_ProductBM!$Q:$Q,0))="","",INDEX(F_ProductBM!M:M,MATCH($P965,F_ProductBM!$Q:$Q,0))))</f>
        <v/>
      </c>
      <c r="N965" s="1789" t="str">
        <f>IF($I805="","",IF(INDEX(F_ProductBM!N:N,MATCH($P965,F_ProductBM!$Q:$Q,0))="","",INDEX(F_ProductBM!N:N,MATCH($P965,F_ProductBM!$Q:$Q,0))))</f>
        <v/>
      </c>
      <c r="O965" s="485"/>
      <c r="P965" s="1970" t="str">
        <f>EUconst_CNTR_IntermediateExport &amp; R965 &amp; "_" &amp; I805</f>
        <v>IntExp_2_</v>
      </c>
      <c r="Q965" s="1137"/>
      <c r="R965" s="1312">
        <v>2</v>
      </c>
      <c r="S965" s="1137"/>
      <c r="T965" s="1117"/>
      <c r="U965" s="1137"/>
      <c r="V965" s="1137"/>
    </row>
    <row r="966" spans="1:22" s="562" customFormat="1" ht="12.75" customHeight="1" thickBot="1">
      <c r="A966" s="817"/>
      <c r="C966" s="485"/>
      <c r="D966" s="802"/>
      <c r="E966" s="803"/>
      <c r="F966" s="803"/>
      <c r="G966" s="804"/>
      <c r="H966" s="804"/>
      <c r="I966" s="805"/>
      <c r="J966" s="805"/>
      <c r="K966" s="1790"/>
      <c r="L966" s="1791"/>
      <c r="M966" s="1791"/>
      <c r="N966" s="1791"/>
      <c r="O966" s="485"/>
      <c r="P966" s="1117"/>
      <c r="Q966" s="1137"/>
      <c r="R966" s="1137"/>
      <c r="S966" s="1137"/>
      <c r="T966" s="1117"/>
      <c r="U966" s="1137"/>
      <c r="V966" s="1137"/>
    </row>
    <row r="967" spans="1:22" s="562" customFormat="1" ht="5.0999999999999996" customHeight="1" thickBot="1">
      <c r="A967" s="817"/>
      <c r="C967" s="485"/>
      <c r="D967" s="485"/>
      <c r="E967" s="807"/>
      <c r="O967" s="485"/>
      <c r="P967" s="1137"/>
      <c r="Q967" s="1137"/>
      <c r="R967" s="1137"/>
      <c r="S967" s="1137"/>
      <c r="T967" s="1137"/>
      <c r="U967" s="1137"/>
      <c r="V967" s="1137"/>
    </row>
    <row r="968" spans="1:22" s="562" customFormat="1" ht="5.0999999999999996" customHeight="1" thickBot="1">
      <c r="A968" s="817"/>
      <c r="C968" s="2118"/>
      <c r="D968" s="2118"/>
      <c r="E968" s="2118"/>
      <c r="F968" s="2118"/>
      <c r="G968" s="2118"/>
      <c r="H968" s="2118"/>
      <c r="I968" s="2118"/>
      <c r="J968" s="2118"/>
      <c r="K968" s="2118"/>
      <c r="L968" s="2118"/>
      <c r="M968" s="2118"/>
      <c r="N968" s="2118"/>
      <c r="O968" s="485"/>
      <c r="P968" s="1137"/>
      <c r="Q968" s="1137"/>
      <c r="R968" s="1137"/>
      <c r="S968" s="1137"/>
      <c r="T968" s="1137"/>
      <c r="U968" s="1137"/>
      <c r="V968" s="1137"/>
    </row>
    <row r="969" spans="1:22" s="562" customFormat="1" ht="15" customHeight="1" thickBot="1">
      <c r="A969" s="719"/>
      <c r="C969" s="559">
        <f>C805+1</f>
        <v>4</v>
      </c>
      <c r="D969" s="2482" t="str">
        <f>CONCATENATE(EUconst_BMSubinst," ",C969, ":")</f>
        <v>Sub-installation with product benchmark 4:</v>
      </c>
      <c r="E969" s="2482"/>
      <c r="F969" s="2482"/>
      <c r="G969" s="2482"/>
      <c r="H969" s="2483"/>
      <c r="I969" s="3293" t="str">
        <f>IF(INDEX(CNTR_SubInstListIsProdBM,$C969),INDEX(CNTR_SubInstListNames,$C969),"")</f>
        <v/>
      </c>
      <c r="J969" s="3471"/>
      <c r="K969" s="3471"/>
      <c r="L969" s="3471"/>
      <c r="M969" s="3471"/>
      <c r="N969" s="3472"/>
      <c r="O969" s="485"/>
      <c r="P969" s="1137"/>
      <c r="Q969" s="2123">
        <f>C969</f>
        <v>4</v>
      </c>
      <c r="R969" s="2124" t="str">
        <f>I969</f>
        <v/>
      </c>
      <c r="S969" s="1137"/>
      <c r="T969" s="1137"/>
      <c r="U969" s="1137"/>
      <c r="V969" s="1137"/>
    </row>
    <row r="970" spans="1:22" s="562" customFormat="1" ht="5.0999999999999996" customHeight="1">
      <c r="A970" s="719"/>
      <c r="C970" s="559"/>
      <c r="D970" s="559"/>
      <c r="E970" s="559"/>
      <c r="F970" s="559"/>
      <c r="G970" s="559"/>
      <c r="H970" s="559"/>
      <c r="I970" s="559"/>
      <c r="J970" s="559"/>
      <c r="K970" s="559"/>
      <c r="L970" s="559"/>
      <c r="M970" s="559"/>
      <c r="N970" s="559"/>
      <c r="O970" s="485"/>
      <c r="P970" s="1137"/>
      <c r="Q970" s="1137"/>
      <c r="R970" s="1137"/>
      <c r="S970" s="1137"/>
      <c r="T970" s="1137"/>
      <c r="U970" s="1137"/>
      <c r="V970" s="1137"/>
    </row>
    <row r="971" spans="1:22" s="562" customFormat="1" ht="12.75" customHeight="1">
      <c r="A971" s="719"/>
      <c r="C971" s="559"/>
      <c r="D971" s="559"/>
      <c r="E971" s="559"/>
      <c r="F971" s="559"/>
      <c r="H971" s="688" t="s">
        <v>458</v>
      </c>
      <c r="I971" s="688" t="s">
        <v>1256</v>
      </c>
      <c r="J971" s="688" t="s">
        <v>1434</v>
      </c>
      <c r="K971" s="688" t="s">
        <v>1684</v>
      </c>
      <c r="L971" s="689" t="s">
        <v>156</v>
      </c>
      <c r="M971" s="2469" t="s">
        <v>302</v>
      </c>
      <c r="N971" s="2469"/>
      <c r="O971" s="485"/>
      <c r="P971" s="1137"/>
      <c r="Q971" s="1137"/>
      <c r="R971" s="1137"/>
      <c r="S971" s="1137"/>
      <c r="T971" s="2175"/>
      <c r="U971" s="1137"/>
      <c r="V971" s="1137"/>
    </row>
    <row r="972" spans="1:22" s="562" customFormat="1" ht="12.75" customHeight="1">
      <c r="A972" s="719"/>
      <c r="C972" s="559"/>
      <c r="D972" s="559"/>
      <c r="E972" s="690" t="str">
        <f>I969</f>
        <v/>
      </c>
      <c r="F972" s="691"/>
      <c r="G972" s="691"/>
      <c r="H972" s="692" t="str">
        <f>IF(L972=EUconst_NA,EUconst_NA,INDEX(EUconst_BMlistCLstatus,L972))</f>
        <v>N.A.</v>
      </c>
      <c r="I972" s="692" t="str">
        <f>IF(I969="","",INDEX(EUconst_BMlistElExchangability,L972))</f>
        <v/>
      </c>
      <c r="J972" s="566" t="str">
        <f>IF($I969="",EUconst_NA,INDEX(CNTR_SubInstStartDate,MATCH(I969,CNTR_SubInstListNames,0)))</f>
        <v>N.A.</v>
      </c>
      <c r="K972" s="566" t="str">
        <f>IF($I969="",EUconst_NA,IF(INDEX(CNTR_SubInstCessationDate,MATCH(I969,CNTR_SubInstListNames,0))=0,"",INDEX(CNTR_SubInstCessationDate,MATCH(I969,CNTR_SubInstListNames,0))))</f>
        <v>N.A.</v>
      </c>
      <c r="L972" s="693" t="str">
        <f>IF($I969="",EUconst_NA,MATCH(I969,EUconst_BMlistNames,0))</f>
        <v>N.A.</v>
      </c>
      <c r="M972" s="694" t="str">
        <f>IF(I969="",EUconst_NA,INDEX(EUconst_BMlistBMvaluesMatrix,L972,3))</f>
        <v>N.A.</v>
      </c>
      <c r="N972" s="685" t="str">
        <f>EUconst_EUA &amp; "/" &amp; F975</f>
        <v>UKA/tonnes</v>
      </c>
      <c r="O972" s="485"/>
      <c r="P972" s="1137"/>
      <c r="Q972" s="1137"/>
      <c r="R972" s="1137"/>
      <c r="S972" s="1137"/>
      <c r="T972" s="2175"/>
      <c r="U972" s="1137"/>
      <c r="V972" s="1137"/>
    </row>
    <row r="973" spans="1:22" s="562" customFormat="1" ht="5.0999999999999996" customHeight="1" thickBot="1">
      <c r="A973" s="719"/>
      <c r="C973" s="485"/>
      <c r="D973" s="485"/>
      <c r="E973" s="559"/>
      <c r="J973" s="485"/>
      <c r="K973" s="485"/>
      <c r="L973" s="485"/>
      <c r="M973" s="485"/>
      <c r="N973" s="485"/>
      <c r="O973" s="485"/>
      <c r="P973" s="1137"/>
      <c r="Q973" s="1137"/>
      <c r="R973" s="1137"/>
      <c r="S973" s="1137"/>
      <c r="T973" s="1117"/>
      <c r="U973" s="1137"/>
      <c r="V973" s="1137"/>
    </row>
    <row r="974" spans="1:22" s="562" customFormat="1" ht="12.75" customHeight="1">
      <c r="A974" s="719"/>
      <c r="C974" s="485"/>
      <c r="D974" s="485"/>
      <c r="E974" s="496"/>
      <c r="F974" s="482" t="str">
        <f>EUconst_Unit</f>
        <v>Unit</v>
      </c>
      <c r="G974" s="695" t="s">
        <v>1646</v>
      </c>
      <c r="H974" s="696">
        <f t="shared" ref="H974:N974" si="68">H$2737</f>
        <v>2024</v>
      </c>
      <c r="I974" s="697">
        <f t="shared" si="68"/>
        <v>2025</v>
      </c>
      <c r="J974" s="2125">
        <f t="shared" si="68"/>
        <v>2026</v>
      </c>
      <c r="K974" s="1637">
        <f t="shared" si="68"/>
        <v>2027</v>
      </c>
      <c r="L974" s="1637">
        <f t="shared" si="68"/>
        <v>2028</v>
      </c>
      <c r="M974" s="1637">
        <f t="shared" si="68"/>
        <v>2029</v>
      </c>
      <c r="N974" s="1637">
        <f t="shared" si="68"/>
        <v>2030</v>
      </c>
      <c r="O974" s="485"/>
      <c r="P974" s="1137"/>
      <c r="Q974" s="1137" t="s">
        <v>1803</v>
      </c>
      <c r="R974" s="2126">
        <f>J$2737</f>
        <v>2026</v>
      </c>
      <c r="S974" s="2127">
        <f>K$2737</f>
        <v>2027</v>
      </c>
      <c r="T974" s="2127">
        <f>L$2737</f>
        <v>2028</v>
      </c>
      <c r="U974" s="2127">
        <f>M$2737</f>
        <v>2029</v>
      </c>
      <c r="V974" s="2128">
        <f>N$2737</f>
        <v>2030</v>
      </c>
    </row>
    <row r="975" spans="1:22" s="562" customFormat="1" ht="12.75" customHeight="1" thickBot="1">
      <c r="A975" s="719"/>
      <c r="C975" s="485"/>
      <c r="D975" s="485"/>
      <c r="E975" s="698" t="s">
        <v>1665</v>
      </c>
      <c r="F975" s="699" t="str">
        <f>IF(ISNUMBER(L972),INDEX(EUconst_BMlistUnits,L972),EUconst_Tons)</f>
        <v>tonnes</v>
      </c>
      <c r="G975" s="700" t="str">
        <f>I1078</f>
        <v/>
      </c>
      <c r="H975" s="701" t="str">
        <f>IF($I969="","",IF(H974&gt;=CNTR_ReportingYear,"",INDEX(F_ProductBM!H:H,MATCH($P975,F_ProductBM!$Q:$Q,0))))</f>
        <v/>
      </c>
      <c r="I975" s="702" t="str">
        <f>IF($I969="","",IF(I974&gt;=CNTR_ReportingYear,"",INDEX(F_ProductBM!I:I,MATCH($P975,F_ProductBM!$Q:$Q,0))))</f>
        <v/>
      </c>
      <c r="J975" s="2129" t="str">
        <f>IF($I969="","",IF(J974&gt;=CNTR_ReportingYear,"",INDEX(F_ProductBM!J:J,MATCH($P975,F_ProductBM!$Q:$Q,0))))</f>
        <v/>
      </c>
      <c r="K975" s="2072" t="str">
        <f>IF($I969="","",IF(K974&gt;=CNTR_ReportingYear,"",INDEX(F_ProductBM!K:K,MATCH($P975,F_ProductBM!$Q:$Q,0))))</f>
        <v/>
      </c>
      <c r="L975" s="2073" t="str">
        <f>IF($I969="","",IF(L974&gt;=CNTR_ReportingYear,"",INDEX(F_ProductBM!L:L,MATCH($P975,F_ProductBM!$Q:$Q,0))))</f>
        <v/>
      </c>
      <c r="M975" s="2073" t="str">
        <f>IF($I969="","",IF(M974&gt;=CNTR_ReportingYear,"",INDEX(F_ProductBM!M:M,MATCH($P975,F_ProductBM!$Q:$Q,0))))</f>
        <v/>
      </c>
      <c r="N975" s="2073" t="str">
        <f>IF($I969="","",IF(N974&gt;=CNTR_ReportingYear,"",INDEX(F_ProductBM!N:N,MATCH($P975,F_ProductBM!$Q:$Q,0))))</f>
        <v/>
      </c>
      <c r="O975" s="485"/>
      <c r="P975" s="1158" t="str">
        <f>EUconst_CNTR_HAL&amp;I969</f>
        <v>HAL_</v>
      </c>
      <c r="Q975" s="1137"/>
      <c r="R975" s="1961" t="b">
        <f>AND($I969&lt;&gt;"",R974&lt;=CNTR_ReportingYear,IF($J972&lt;&gt;EUconst_NA,R974&gt;=YEAR($J972),TRUE))</f>
        <v>0</v>
      </c>
      <c r="S975" s="1675" t="b">
        <f>AND($I969&lt;&gt;"",S974&lt;=CNTR_ReportingYear,IF($J972&lt;&gt;EUconst_NA,S974&gt;=YEAR($J972),TRUE))</f>
        <v>0</v>
      </c>
      <c r="T975" s="1675" t="b">
        <f>AND($I969&lt;&gt;"",T974&lt;=CNTR_ReportingYear,IF($J972&lt;&gt;EUconst_NA,T974&gt;=YEAR($J972),TRUE))</f>
        <v>0</v>
      </c>
      <c r="U975" s="1675" t="b">
        <f>AND($I969&lt;&gt;"",U974&lt;=CNTR_ReportingYear,IF($J972&lt;&gt;EUconst_NA,U974&gt;=YEAR($J972),TRUE))</f>
        <v>0</v>
      </c>
      <c r="V975" s="1676" t="b">
        <f>AND($I969&lt;&gt;"",V974&lt;=CNTR_ReportingYear,IF($J972&lt;&gt;EUconst_NA,V974&gt;=YEAR($J972),TRUE))</f>
        <v>0</v>
      </c>
    </row>
    <row r="976" spans="1:22" s="562" customFormat="1" ht="5.0999999999999996" customHeight="1" thickBot="1">
      <c r="A976" s="719"/>
      <c r="C976" s="559"/>
      <c r="D976" s="559"/>
      <c r="E976" s="559"/>
      <c r="F976" s="559"/>
      <c r="G976" s="559"/>
      <c r="H976" s="559"/>
      <c r="I976" s="559"/>
      <c r="J976" s="559"/>
      <c r="K976" s="2130"/>
      <c r="L976" s="2131"/>
      <c r="M976" s="2131"/>
      <c r="N976" s="2131"/>
      <c r="O976" s="485"/>
      <c r="P976" s="1137"/>
      <c r="Q976" s="1137"/>
      <c r="R976" s="1137"/>
      <c r="S976" s="1137"/>
      <c r="T976" s="1137"/>
      <c r="U976" s="1137"/>
      <c r="V976" s="1137"/>
    </row>
    <row r="977" spans="1:22" s="562" customFormat="1" ht="5.0999999999999996" customHeight="1">
      <c r="A977" s="719"/>
      <c r="B977" s="485"/>
      <c r="C977" s="559"/>
      <c r="D977" s="703"/>
      <c r="E977" s="704"/>
      <c r="F977" s="704"/>
      <c r="G977" s="704"/>
      <c r="H977" s="704"/>
      <c r="I977" s="704"/>
      <c r="J977" s="704"/>
      <c r="K977" s="2130"/>
      <c r="L977" s="2131"/>
      <c r="M977" s="2131"/>
      <c r="N977" s="2131"/>
      <c r="O977" s="485"/>
      <c r="P977" s="1137"/>
      <c r="Q977" s="1137"/>
      <c r="R977" s="1137"/>
      <c r="S977" s="1137"/>
      <c r="T977" s="1137"/>
      <c r="U977" s="1137"/>
      <c r="V977" s="1137"/>
    </row>
    <row r="978" spans="1:22" s="562" customFormat="1" ht="12.75" customHeight="1">
      <c r="A978" s="719"/>
      <c r="B978" s="485"/>
      <c r="C978" s="559"/>
      <c r="D978" s="706"/>
      <c r="E978" s="707" t="s">
        <v>1787</v>
      </c>
      <c r="F978" s="637"/>
      <c r="G978" s="637"/>
      <c r="H978" s="663"/>
      <c r="I978" s="708"/>
      <c r="J978" s="2132">
        <f>J$2737</f>
        <v>2026</v>
      </c>
      <c r="K978" s="1489">
        <f>K$2737</f>
        <v>2027</v>
      </c>
      <c r="L978" s="1490">
        <f>L$2737</f>
        <v>2028</v>
      </c>
      <c r="M978" s="1490">
        <f>M$2737</f>
        <v>2029</v>
      </c>
      <c r="N978" s="1490">
        <f>N$2737</f>
        <v>2030</v>
      </c>
      <c r="O978" s="485"/>
      <c r="P978" s="1137"/>
      <c r="Q978" s="1137"/>
      <c r="R978" s="1137"/>
      <c r="S978" s="1137"/>
      <c r="T978" s="1137"/>
      <c r="U978" s="1137"/>
      <c r="V978" s="1137"/>
    </row>
    <row r="979" spans="1:22" s="562" customFormat="1" ht="12.75" customHeight="1">
      <c r="A979" s="719"/>
      <c r="B979" s="485"/>
      <c r="C979" s="559"/>
      <c r="D979" s="706"/>
      <c r="E979" s="711" t="s">
        <v>1783</v>
      </c>
      <c r="F979" s="712"/>
      <c r="G979" s="712"/>
      <c r="H979" s="713"/>
      <c r="I979" s="712"/>
      <c r="J979" s="2133" t="str">
        <f>IF(R975,INDEX(F_ProductBM!V:V,MATCH($P979,F_ProductBM!$Q:$Q,0))&gt;=3,"")</f>
        <v/>
      </c>
      <c r="K979" s="2134" t="str">
        <f>IF(S975,INDEX(F_ProductBM!W:W,MATCH($P979,F_ProductBM!$Q:$Q,0))&gt;=3,"")</f>
        <v/>
      </c>
      <c r="L979" s="2135" t="str">
        <f>IF(T975,INDEX(F_ProductBM!X:X,MATCH($P979,F_ProductBM!$Q:$Q,0))&gt;=3,"")</f>
        <v/>
      </c>
      <c r="M979" s="2135" t="str">
        <f>IF(U975,INDEX(F_ProductBM!Y:Y,MATCH($P979,F_ProductBM!$Q:$Q,0))&gt;=3,"")</f>
        <v/>
      </c>
      <c r="N979" s="2135" t="str">
        <f>IF(V975,INDEX(F_ProductBM!Z:Z,MATCH($P979,F_ProductBM!$Q:$Q,0))&gt;=3,"")</f>
        <v/>
      </c>
      <c r="O979" s="485"/>
      <c r="P979" s="1158" t="str">
        <f>EUconst_CNTR_HALinitial&amp;I969</f>
        <v>HALini_</v>
      </c>
      <c r="Q979" s="1137"/>
      <c r="R979" s="1137"/>
      <c r="S979" s="1137"/>
      <c r="T979" s="1137"/>
      <c r="U979" s="1137"/>
      <c r="V979" s="1137"/>
    </row>
    <row r="980" spans="1:22" s="562" customFormat="1" ht="12.75" customHeight="1">
      <c r="A980" s="719"/>
      <c r="B980" s="485"/>
      <c r="C980" s="559"/>
      <c r="D980" s="706"/>
      <c r="E980" s="714" t="s">
        <v>1784</v>
      </c>
      <c r="F980" s="715"/>
      <c r="G980" s="715"/>
      <c r="H980" s="716"/>
      <c r="I980" s="715"/>
      <c r="J980" s="2136" t="str">
        <f>IF(R975,IF($K972="",2050,YEAR($K972))&lt;&gt;(J978-1),"")</f>
        <v/>
      </c>
      <c r="K980" s="2134" t="str">
        <f>IF(S975,IF($K972="",2050,YEAR($K972))&lt;&gt;(K978-1),"")</f>
        <v/>
      </c>
      <c r="L980" s="2135" t="str">
        <f>IF(T975,IF($K972="",2050,YEAR($K972))&lt;&gt;(L978-1),"")</f>
        <v/>
      </c>
      <c r="M980" s="2135" t="str">
        <f>IF(U975,IF($K972="",2050,YEAR($K972))&lt;&gt;(M978-1),"")</f>
        <v/>
      </c>
      <c r="N980" s="2135" t="str">
        <f>IF(V975,IF($K972="",2050,YEAR($K972))&lt;&gt;(N978-1),"")</f>
        <v/>
      </c>
      <c r="O980" s="485"/>
      <c r="P980" s="1137"/>
      <c r="Q980" s="1137"/>
      <c r="R980" s="1137"/>
      <c r="S980" s="1137"/>
      <c r="T980" s="1137"/>
      <c r="U980" s="1137"/>
      <c r="V980" s="1137"/>
    </row>
    <row r="981" spans="1:22" s="562" customFormat="1" ht="5.0999999999999996" customHeight="1">
      <c r="A981" s="719"/>
      <c r="B981" s="485"/>
      <c r="C981" s="559"/>
      <c r="D981" s="706"/>
      <c r="E981" s="559"/>
      <c r="F981" s="559"/>
      <c r="G981" s="559"/>
      <c r="H981" s="559"/>
      <c r="I981" s="559"/>
      <c r="J981" s="559"/>
      <c r="K981" s="2130"/>
      <c r="L981" s="2131"/>
      <c r="M981" s="2131"/>
      <c r="N981" s="2131"/>
      <c r="O981" s="485"/>
      <c r="P981" s="1137"/>
      <c r="Q981" s="1137"/>
      <c r="R981" s="1137"/>
      <c r="S981" s="1137"/>
      <c r="T981" s="1137"/>
      <c r="U981" s="1137"/>
      <c r="V981" s="1137"/>
    </row>
    <row r="982" spans="1:22" s="562" customFormat="1" ht="12.75" customHeight="1">
      <c r="A982" s="719"/>
      <c r="B982" s="485"/>
      <c r="C982" s="559"/>
      <c r="D982" s="706"/>
      <c r="E982" s="496" t="s">
        <v>1762</v>
      </c>
      <c r="F982" s="485"/>
      <c r="G982" s="485"/>
      <c r="H982" s="663" t="str">
        <f>EUconst_Unit</f>
        <v>Unit</v>
      </c>
      <c r="I982" s="708"/>
      <c r="J982" s="2125">
        <f>J$2737</f>
        <v>2026</v>
      </c>
      <c r="K982" s="1489">
        <f>K$2737</f>
        <v>2027</v>
      </c>
      <c r="L982" s="1490">
        <f>L$2737</f>
        <v>2028</v>
      </c>
      <c r="M982" s="1490">
        <f>M$2737</f>
        <v>2029</v>
      </c>
      <c r="N982" s="1490">
        <f>N$2737</f>
        <v>2030</v>
      </c>
      <c r="O982" s="485"/>
      <c r="P982" s="1137"/>
      <c r="Q982" s="1137"/>
      <c r="R982" s="1137"/>
      <c r="S982" s="1137"/>
      <c r="T982" s="1137"/>
      <c r="U982" s="1137"/>
      <c r="V982" s="1137"/>
    </row>
    <row r="983" spans="1:22" s="562" customFormat="1" ht="12.75" hidden="1" customHeight="1">
      <c r="A983" s="719" t="s">
        <v>2289</v>
      </c>
      <c r="B983" s="485"/>
      <c r="C983" s="559"/>
      <c r="D983" s="706"/>
      <c r="E983" s="698" t="s">
        <v>1714</v>
      </c>
      <c r="F983" s="698"/>
      <c r="G983" s="698"/>
      <c r="H983" s="639" t="str">
        <f>F975</f>
        <v>tonnes</v>
      </c>
      <c r="I983" s="698"/>
      <c r="J983" s="2137" t="str">
        <f t="shared" ref="J983:J988" si="69">I1078</f>
        <v/>
      </c>
      <c r="K983" s="2072" t="str">
        <f t="shared" ref="K983:N988" si="70">J1078</f>
        <v/>
      </c>
      <c r="L983" s="2073" t="str">
        <f t="shared" si="70"/>
        <v/>
      </c>
      <c r="M983" s="2073" t="str">
        <f t="shared" si="70"/>
        <v/>
      </c>
      <c r="N983" s="2073" t="str">
        <f t="shared" si="70"/>
        <v/>
      </c>
      <c r="O983" s="485"/>
      <c r="P983" s="1137"/>
      <c r="Q983" s="1137"/>
      <c r="R983" s="1137"/>
      <c r="S983" s="1137"/>
      <c r="T983" s="1137"/>
      <c r="U983" s="1137"/>
      <c r="V983" s="1137"/>
    </row>
    <row r="984" spans="1:22" s="562" customFormat="1" ht="12.75" hidden="1" customHeight="1">
      <c r="A984" s="719" t="s">
        <v>2289</v>
      </c>
      <c r="B984" s="485"/>
      <c r="C984" s="559"/>
      <c r="D984" s="706"/>
      <c r="E984" s="720" t="s">
        <v>303</v>
      </c>
      <c r="F984" s="720"/>
      <c r="G984" s="720"/>
      <c r="H984" s="721" t="str">
        <f>EUconst_EUA</f>
        <v>UKA</v>
      </c>
      <c r="I984" s="722"/>
      <c r="J984" s="2138" t="str">
        <f t="shared" si="69"/>
        <v/>
      </c>
      <c r="K984" s="2072" t="str">
        <f t="shared" si="70"/>
        <v/>
      </c>
      <c r="L984" s="2073" t="str">
        <f t="shared" si="70"/>
        <v/>
      </c>
      <c r="M984" s="2073" t="str">
        <f t="shared" si="70"/>
        <v/>
      </c>
      <c r="N984" s="2073" t="str">
        <f t="shared" si="70"/>
        <v/>
      </c>
      <c r="O984" s="485"/>
      <c r="P984" s="1137"/>
      <c r="Q984" s="1137"/>
      <c r="R984" s="1137"/>
      <c r="S984" s="1137"/>
      <c r="T984" s="1137"/>
      <c r="U984" s="1137"/>
      <c r="V984" s="1137"/>
    </row>
    <row r="985" spans="1:22" s="562" customFormat="1" ht="12.75" hidden="1" customHeight="1">
      <c r="A985" s="719" t="s">
        <v>2289</v>
      </c>
      <c r="B985" s="485"/>
      <c r="C985" s="559"/>
      <c r="D985" s="706"/>
      <c r="E985" s="723" t="s">
        <v>1422</v>
      </c>
      <c r="F985" s="723"/>
      <c r="G985" s="723"/>
      <c r="H985" s="724" t="str">
        <f>EUconst_EUA</f>
        <v>UKA</v>
      </c>
      <c r="I985" s="725"/>
      <c r="J985" s="2139" t="str">
        <f t="shared" si="69"/>
        <v/>
      </c>
      <c r="K985" s="2072" t="str">
        <f t="shared" si="70"/>
        <v/>
      </c>
      <c r="L985" s="2073" t="str">
        <f t="shared" si="70"/>
        <v/>
      </c>
      <c r="M985" s="2073" t="str">
        <f t="shared" si="70"/>
        <v/>
      </c>
      <c r="N985" s="2073" t="str">
        <f t="shared" si="70"/>
        <v/>
      </c>
      <c r="O985" s="485"/>
      <c r="P985" s="1137"/>
      <c r="Q985" s="1137"/>
      <c r="R985" s="1137"/>
      <c r="S985" s="1137"/>
      <c r="T985" s="1137"/>
      <c r="U985" s="1137"/>
      <c r="V985" s="1137"/>
    </row>
    <row r="986" spans="1:22" s="562" customFormat="1" ht="12.75" hidden="1" customHeight="1">
      <c r="A986" s="719" t="s">
        <v>2289</v>
      </c>
      <c r="B986" s="485"/>
      <c r="C986" s="559"/>
      <c r="D986" s="706"/>
      <c r="E986" s="723" t="s">
        <v>1390</v>
      </c>
      <c r="F986" s="723"/>
      <c r="G986" s="723"/>
      <c r="H986" s="724" t="str">
        <f>EUconst_EUA</f>
        <v>UKA</v>
      </c>
      <c r="I986" s="725"/>
      <c r="J986" s="2139" t="str">
        <f t="shared" si="69"/>
        <v/>
      </c>
      <c r="K986" s="2072" t="str">
        <f t="shared" si="70"/>
        <v/>
      </c>
      <c r="L986" s="2073" t="str">
        <f t="shared" si="70"/>
        <v/>
      </c>
      <c r="M986" s="2073" t="str">
        <f t="shared" si="70"/>
        <v/>
      </c>
      <c r="N986" s="2073" t="str">
        <f t="shared" si="70"/>
        <v/>
      </c>
      <c r="O986" s="485"/>
      <c r="P986" s="1137"/>
      <c r="Q986" s="1137"/>
      <c r="R986" s="1137"/>
      <c r="S986" s="1137"/>
      <c r="T986" s="1137"/>
      <c r="U986" s="1137"/>
      <c r="V986" s="1137"/>
    </row>
    <row r="987" spans="1:22" s="562" customFormat="1" ht="12.75" hidden="1" customHeight="1">
      <c r="A987" s="719" t="s">
        <v>2289</v>
      </c>
      <c r="B987" s="485"/>
      <c r="C987" s="559"/>
      <c r="D987" s="706"/>
      <c r="E987" s="723" t="s">
        <v>1389</v>
      </c>
      <c r="F987" s="723"/>
      <c r="G987" s="723"/>
      <c r="H987" s="726" t="s">
        <v>1021</v>
      </c>
      <c r="I987" s="725"/>
      <c r="J987" s="2140" t="str">
        <f t="shared" si="69"/>
        <v/>
      </c>
      <c r="K987" s="2141" t="str">
        <f t="shared" si="70"/>
        <v/>
      </c>
      <c r="L987" s="2142" t="str">
        <f t="shared" si="70"/>
        <v/>
      </c>
      <c r="M987" s="2142" t="str">
        <f t="shared" si="70"/>
        <v/>
      </c>
      <c r="N987" s="2142" t="str">
        <f t="shared" si="70"/>
        <v/>
      </c>
      <c r="O987" s="485"/>
      <c r="P987" s="1137"/>
      <c r="Q987" s="1137"/>
      <c r="R987" s="1137"/>
      <c r="S987" s="1137"/>
      <c r="T987" s="1137"/>
      <c r="U987" s="1137"/>
      <c r="V987" s="1137"/>
    </row>
    <row r="988" spans="1:22" s="562" customFormat="1" ht="12.75" hidden="1" customHeight="1">
      <c r="A988" s="719" t="s">
        <v>2289</v>
      </c>
      <c r="B988" s="485"/>
      <c r="C988" s="559"/>
      <c r="D988" s="706"/>
      <c r="E988" s="727" t="s">
        <v>1391</v>
      </c>
      <c r="F988" s="727"/>
      <c r="G988" s="727"/>
      <c r="H988" s="728" t="s">
        <v>1021</v>
      </c>
      <c r="I988" s="729"/>
      <c r="J988" s="2143" t="str">
        <f t="shared" si="69"/>
        <v/>
      </c>
      <c r="K988" s="2141" t="str">
        <f t="shared" si="70"/>
        <v/>
      </c>
      <c r="L988" s="2142" t="str">
        <f t="shared" si="70"/>
        <v/>
      </c>
      <c r="M988" s="2142" t="str">
        <f t="shared" si="70"/>
        <v/>
      </c>
      <c r="N988" s="2142" t="str">
        <f t="shared" si="70"/>
        <v/>
      </c>
      <c r="O988" s="485"/>
      <c r="P988" s="1137"/>
      <c r="Q988" s="1137"/>
      <c r="R988" s="1137"/>
      <c r="S988" s="1137"/>
      <c r="T988" s="1137"/>
      <c r="U988" s="1137"/>
      <c r="V988" s="1137"/>
    </row>
    <row r="989" spans="1:22" s="562" customFormat="1" ht="12.75" customHeight="1">
      <c r="A989" s="719"/>
      <c r="B989" s="485"/>
      <c r="C989" s="559"/>
      <c r="D989" s="706"/>
      <c r="E989" s="698" t="s">
        <v>1671</v>
      </c>
      <c r="F989" s="698"/>
      <c r="G989" s="698"/>
      <c r="H989" s="730" t="str">
        <f>EUconst_EUA</f>
        <v>UKA</v>
      </c>
      <c r="I989" s="731"/>
      <c r="J989" s="2129" t="str">
        <f>IF($I969="","",MAX(0,ROUND((SUM($M972)*SUM(J983)*SUM(J987)*SUM(J988)-SUM(J984)-SUM(J985)+SUM(J986))*IF($H972=TRUE,1,J$2517),0)))</f>
        <v/>
      </c>
      <c r="K989" s="2072" t="str">
        <f>IF($I969="","",MAX(0,ROUND((SUM($M972)*SUM(K983)*SUM(K987)*SUM(K988)-SUM(K984)-SUM(K985)+SUM(K986))*IF($H972=TRUE,1,K$2517),0)))</f>
        <v/>
      </c>
      <c r="L989" s="2073" t="str">
        <f>IF($I969="","",MAX(0,ROUND((SUM($M972)*SUM(L983)*SUM(L987)*SUM(L988)-SUM(L984)-SUM(L985)+SUM(L986))*IF($H972=TRUE,1,L$2517),0)))</f>
        <v/>
      </c>
      <c r="M989" s="2073" t="str">
        <f>IF($I969="","",MAX(0,ROUND((SUM($M972)*SUM(M983)*SUM(M987)*SUM(M988)-SUM(M984)-SUM(M985)+SUM(M986))*IF($H972=TRUE,1,M$2517),0)))</f>
        <v/>
      </c>
      <c r="N989" s="2073" t="str">
        <f>IF($I969="","",MAX(0,ROUND((SUM($M972)*SUM(N983)*SUM(N987)*SUM(N988)-SUM(N984)-SUM(N985)+SUM(N986))*IF($H972=TRUE,1,N$2517),0)))</f>
        <v/>
      </c>
      <c r="O989" s="485"/>
      <c r="P989" s="1137"/>
      <c r="Q989" s="1137"/>
      <c r="R989" s="1137"/>
      <c r="S989" s="1137"/>
      <c r="T989" s="1137"/>
      <c r="U989" s="1137"/>
      <c r="V989" s="1137"/>
    </row>
    <row r="990" spans="1:22" s="562" customFormat="1" ht="5.0999999999999996" customHeight="1">
      <c r="A990" s="719"/>
      <c r="B990" s="485"/>
      <c r="C990" s="559"/>
      <c r="D990" s="706"/>
      <c r="E990" s="559"/>
      <c r="F990" s="559"/>
      <c r="G990" s="559"/>
      <c r="H990" s="559"/>
      <c r="I990" s="559"/>
      <c r="J990" s="559"/>
      <c r="K990" s="2130"/>
      <c r="L990" s="2131"/>
      <c r="M990" s="2131"/>
      <c r="N990" s="2131"/>
      <c r="O990" s="485"/>
      <c r="P990" s="1137"/>
      <c r="Q990" s="1137"/>
      <c r="R990" s="1137"/>
      <c r="S990" s="1137"/>
      <c r="T990" s="1137"/>
      <c r="U990" s="1137"/>
      <c r="V990" s="1137"/>
    </row>
    <row r="991" spans="1:22" s="562" customFormat="1" ht="12.75" customHeight="1">
      <c r="A991" s="719"/>
      <c r="B991" s="485"/>
      <c r="C991" s="559"/>
      <c r="D991" s="706"/>
      <c r="E991" s="707" t="s">
        <v>1752</v>
      </c>
      <c r="F991" s="637"/>
      <c r="G991" s="637"/>
      <c r="H991" s="663" t="str">
        <f>EUconst_Unit</f>
        <v>Unit</v>
      </c>
      <c r="I991" s="708"/>
      <c r="J991" s="2132">
        <f>J$2737</f>
        <v>2026</v>
      </c>
      <c r="K991" s="1489">
        <f>K$2737</f>
        <v>2027</v>
      </c>
      <c r="L991" s="1490">
        <f>L$2737</f>
        <v>2028</v>
      </c>
      <c r="M991" s="1490">
        <f>M$2737</f>
        <v>2029</v>
      </c>
      <c r="N991" s="1490">
        <f>N$2737</f>
        <v>2030</v>
      </c>
      <c r="O991" s="485"/>
      <c r="P991" s="1137"/>
      <c r="Q991" s="1137"/>
      <c r="R991" s="1137"/>
      <c r="S991" s="1137"/>
      <c r="T991" s="1137"/>
      <c r="U991" s="1137"/>
      <c r="V991" s="1137"/>
    </row>
    <row r="992" spans="1:22" s="562" customFormat="1" ht="12.75" customHeight="1">
      <c r="A992" s="719"/>
      <c r="B992" s="485"/>
      <c r="C992" s="559"/>
      <c r="D992" s="706"/>
      <c r="E992" s="720" t="s">
        <v>1691</v>
      </c>
      <c r="F992" s="720"/>
      <c r="G992" s="720"/>
      <c r="H992" s="732" t="str">
        <f>H983</f>
        <v>tonnes</v>
      </c>
      <c r="I992" s="733"/>
      <c r="J992" s="2144" t="str">
        <f>INDEX(F_ProductBM!J:J,MATCH($P992,F_ProductBM!$Q:$Q,0))</f>
        <v/>
      </c>
      <c r="K992" s="2072" t="str">
        <f>INDEX(F_ProductBM!K:K,MATCH($P992,F_ProductBM!$Q:$Q,0))</f>
        <v/>
      </c>
      <c r="L992" s="2073" t="str">
        <f>INDEX(F_ProductBM!L:L,MATCH($P992,F_ProductBM!$Q:$Q,0))</f>
        <v/>
      </c>
      <c r="M992" s="2073" t="str">
        <f>INDEX(F_ProductBM!M:M,MATCH($P992,F_ProductBM!$Q:$Q,0))</f>
        <v/>
      </c>
      <c r="N992" s="2073" t="str">
        <f>INDEX(F_ProductBM!N:N,MATCH($P992,F_ProductBM!$Q:$Q,0))</f>
        <v/>
      </c>
      <c r="O992" s="485"/>
      <c r="P992" s="1158" t="str">
        <f>EUconst_CNTR_HALinitial&amp;I969</f>
        <v>HALini_</v>
      </c>
      <c r="Q992" s="1137"/>
      <c r="R992" s="1137"/>
      <c r="S992" s="1137"/>
      <c r="T992" s="1137"/>
      <c r="U992" s="1137"/>
      <c r="V992" s="1137"/>
    </row>
    <row r="993" spans="1:22" s="562" customFormat="1" ht="12.75" customHeight="1">
      <c r="A993" s="719"/>
      <c r="B993" s="485"/>
      <c r="C993" s="559"/>
      <c r="D993" s="706"/>
      <c r="E993" s="723" t="s">
        <v>1648</v>
      </c>
      <c r="F993" s="723"/>
      <c r="G993" s="723"/>
      <c r="H993" s="734" t="s">
        <v>1021</v>
      </c>
      <c r="I993" s="735"/>
      <c r="J993" s="23" t="str">
        <f>INDEX(F_ProductBM!J:J,MATCH($P993,F_ProductBM!$Q:$Q,0))</f>
        <v/>
      </c>
      <c r="K993" s="46" t="str">
        <f>INDEX(F_ProductBM!K:K,MATCH($P993,F_ProductBM!$Q:$Q,0))</f>
        <v/>
      </c>
      <c r="L993" s="27" t="str">
        <f>INDEX(F_ProductBM!L:L,MATCH($P993,F_ProductBM!$Q:$Q,0))</f>
        <v/>
      </c>
      <c r="M993" s="27" t="str">
        <f>INDEX(F_ProductBM!M:M,MATCH($P993,F_ProductBM!$Q:$Q,0))</f>
        <v/>
      </c>
      <c r="N993" s="27" t="str">
        <f>INDEX(F_ProductBM!N:N,MATCH($P993,F_ProductBM!$Q:$Q,0))</f>
        <v/>
      </c>
      <c r="O993" s="485"/>
      <c r="P993" s="1158" t="str">
        <f>EUconst_CNTR_RelThreshold &amp; P995</f>
        <v>RelThresh_HALprelim_</v>
      </c>
      <c r="Q993" s="1137"/>
      <c r="R993" s="1137"/>
      <c r="S993" s="1137"/>
      <c r="T993" s="1137"/>
      <c r="U993" s="1137"/>
      <c r="V993" s="1137"/>
    </row>
    <row r="994" spans="1:22" s="562" customFormat="1" ht="12.75" customHeight="1">
      <c r="A994" s="719"/>
      <c r="B994" s="485"/>
      <c r="C994" s="559"/>
      <c r="D994" s="706"/>
      <c r="E994" s="736" t="s">
        <v>1850</v>
      </c>
      <c r="F994" s="736"/>
      <c r="G994" s="736"/>
      <c r="H994" s="737" t="s">
        <v>1021</v>
      </c>
      <c r="I994" s="738"/>
      <c r="J994" s="2145" t="str">
        <f>INDEX(F_ProductBM!V:V,MATCH($P994,F_ProductBM!$Q:$Q,0)+1)</f>
        <v/>
      </c>
      <c r="K994" s="2134" t="str">
        <f>INDEX(F_ProductBM!W:W,MATCH($P994,F_ProductBM!$Q:$Q,0)+1)</f>
        <v/>
      </c>
      <c r="L994" s="2135" t="str">
        <f>INDEX(F_ProductBM!X:X,MATCH($P994,F_ProductBM!$Q:$Q,0)+1)</f>
        <v/>
      </c>
      <c r="M994" s="2135" t="str">
        <f>INDEX(F_ProductBM!Y:Y,MATCH($P994,F_ProductBM!$Q:$Q,0)+1)</f>
        <v/>
      </c>
      <c r="N994" s="2135" t="str">
        <f>INDEX(F_ProductBM!Z:Z,MATCH($P994,F_ProductBM!$Q:$Q,0)+1)</f>
        <v/>
      </c>
      <c r="O994" s="485"/>
      <c r="P994" s="1158" t="str">
        <f>P993</f>
        <v>RelThresh_HALprelim_</v>
      </c>
      <c r="Q994" s="1137"/>
      <c r="R994" s="1137"/>
      <c r="S994" s="1137"/>
      <c r="T994" s="1137"/>
      <c r="U994" s="1137"/>
      <c r="V994" s="1137"/>
    </row>
    <row r="995" spans="1:22" s="562" customFormat="1" ht="12.75" customHeight="1">
      <c r="A995" s="719"/>
      <c r="B995" s="485"/>
      <c r="C995" s="559"/>
      <c r="D995" s="706"/>
      <c r="E995" s="727" t="s">
        <v>1689</v>
      </c>
      <c r="F995" s="727"/>
      <c r="G995" s="727"/>
      <c r="H995" s="739" t="str">
        <f>F975</f>
        <v>tonnes</v>
      </c>
      <c r="I995" s="727"/>
      <c r="J995" s="2146" t="str">
        <f>INDEX(F_ProductBM!J:J,MATCH($P995,F_ProductBM!$Q:$Q,0))</f>
        <v/>
      </c>
      <c r="K995" s="2072" t="str">
        <f>INDEX(F_ProductBM!K:K,MATCH($P995,F_ProductBM!$Q:$Q,0))</f>
        <v/>
      </c>
      <c r="L995" s="2073" t="str">
        <f>INDEX(F_ProductBM!L:L,MATCH($P995,F_ProductBM!$Q:$Q,0))</f>
        <v/>
      </c>
      <c r="M995" s="2073" t="str">
        <f>INDEX(F_ProductBM!M:M,MATCH($P995,F_ProductBM!$Q:$Q,0))</f>
        <v/>
      </c>
      <c r="N995" s="2073" t="str">
        <f>INDEX(F_ProductBM!N:N,MATCH($P995,F_ProductBM!$Q:$Q,0))</f>
        <v/>
      </c>
      <c r="O995" s="485"/>
      <c r="P995" s="1158" t="str">
        <f>EUconst_CNTR_HALprelim&amp;I969</f>
        <v>HALprelim_</v>
      </c>
      <c r="Q995" s="1137"/>
      <c r="R995" s="1137"/>
      <c r="S995" s="1137"/>
      <c r="T995" s="1137"/>
      <c r="U995" s="1137"/>
      <c r="V995" s="1137"/>
    </row>
    <row r="996" spans="1:22" s="562" customFormat="1" ht="12.75" hidden="1" customHeight="1">
      <c r="A996" s="719" t="s">
        <v>2289</v>
      </c>
      <c r="B996" s="485"/>
      <c r="C996" s="559"/>
      <c r="D996" s="706"/>
      <c r="E996" s="720" t="s">
        <v>303</v>
      </c>
      <c r="F996" s="720"/>
      <c r="G996" s="720"/>
      <c r="H996" s="721" t="str">
        <f>EUconst_EUA</f>
        <v>UKA</v>
      </c>
      <c r="I996" s="722"/>
      <c r="J996" s="2138" t="str">
        <f t="shared" ref="J996:N1000" si="71">I1079</f>
        <v/>
      </c>
      <c r="K996" s="2072" t="str">
        <f t="shared" si="71"/>
        <v/>
      </c>
      <c r="L996" s="2073" t="str">
        <f t="shared" si="71"/>
        <v/>
      </c>
      <c r="M996" s="2073" t="str">
        <f t="shared" si="71"/>
        <v/>
      </c>
      <c r="N996" s="2073" t="str">
        <f t="shared" si="71"/>
        <v/>
      </c>
      <c r="O996" s="485"/>
      <c r="P996" s="1137"/>
      <c r="Q996" s="1137"/>
      <c r="R996" s="1137"/>
      <c r="S996" s="1137"/>
      <c r="T996" s="1137"/>
      <c r="U996" s="1137"/>
      <c r="V996" s="1137"/>
    </row>
    <row r="997" spans="1:22" s="562" customFormat="1" ht="12.75" hidden="1" customHeight="1">
      <c r="A997" s="719" t="s">
        <v>2289</v>
      </c>
      <c r="B997" s="485"/>
      <c r="C997" s="559"/>
      <c r="D997" s="706"/>
      <c r="E997" s="723" t="s">
        <v>1422</v>
      </c>
      <c r="F997" s="723"/>
      <c r="G997" s="723"/>
      <c r="H997" s="724" t="str">
        <f>EUconst_EUA</f>
        <v>UKA</v>
      </c>
      <c r="I997" s="725"/>
      <c r="J997" s="2139" t="str">
        <f t="shared" si="71"/>
        <v/>
      </c>
      <c r="K997" s="2072" t="str">
        <f t="shared" si="71"/>
        <v/>
      </c>
      <c r="L997" s="2073" t="str">
        <f t="shared" si="71"/>
        <v/>
      </c>
      <c r="M997" s="2073" t="str">
        <f t="shared" si="71"/>
        <v/>
      </c>
      <c r="N997" s="2073" t="str">
        <f t="shared" si="71"/>
        <v/>
      </c>
      <c r="O997" s="485"/>
      <c r="P997" s="1137"/>
      <c r="Q997" s="1137"/>
      <c r="R997" s="1137"/>
      <c r="S997" s="1137"/>
      <c r="T997" s="1137"/>
      <c r="U997" s="1137"/>
      <c r="V997" s="1137"/>
    </row>
    <row r="998" spans="1:22" s="562" customFormat="1" ht="12.75" hidden="1" customHeight="1">
      <c r="A998" s="719" t="s">
        <v>2289</v>
      </c>
      <c r="B998" s="485"/>
      <c r="C998" s="559"/>
      <c r="D998" s="706"/>
      <c r="E998" s="723" t="s">
        <v>1390</v>
      </c>
      <c r="F998" s="723"/>
      <c r="G998" s="723"/>
      <c r="H998" s="724" t="str">
        <f>EUconst_EUA</f>
        <v>UKA</v>
      </c>
      <c r="I998" s="725"/>
      <c r="J998" s="2139" t="str">
        <f t="shared" si="71"/>
        <v/>
      </c>
      <c r="K998" s="2072" t="str">
        <f t="shared" si="71"/>
        <v/>
      </c>
      <c r="L998" s="2073" t="str">
        <f t="shared" si="71"/>
        <v/>
      </c>
      <c r="M998" s="2073" t="str">
        <f t="shared" si="71"/>
        <v/>
      </c>
      <c r="N998" s="2073" t="str">
        <f t="shared" si="71"/>
        <v/>
      </c>
      <c r="O998" s="485"/>
      <c r="P998" s="1137"/>
      <c r="Q998" s="1137"/>
      <c r="R998" s="1137"/>
      <c r="S998" s="1137"/>
      <c r="T998" s="1137"/>
      <c r="U998" s="1137"/>
      <c r="V998" s="1137"/>
    </row>
    <row r="999" spans="1:22" s="562" customFormat="1" ht="12.75" hidden="1" customHeight="1">
      <c r="A999" s="719" t="s">
        <v>2289</v>
      </c>
      <c r="B999" s="485"/>
      <c r="C999" s="559"/>
      <c r="D999" s="706"/>
      <c r="E999" s="723" t="s">
        <v>1389</v>
      </c>
      <c r="F999" s="723"/>
      <c r="G999" s="723"/>
      <c r="H999" s="726" t="s">
        <v>1021</v>
      </c>
      <c r="I999" s="725"/>
      <c r="J999" s="2140" t="str">
        <f t="shared" si="71"/>
        <v/>
      </c>
      <c r="K999" s="2141" t="str">
        <f t="shared" si="71"/>
        <v/>
      </c>
      <c r="L999" s="2142" t="str">
        <f t="shared" si="71"/>
        <v/>
      </c>
      <c r="M999" s="2142" t="str">
        <f t="shared" si="71"/>
        <v/>
      </c>
      <c r="N999" s="2142" t="str">
        <f t="shared" si="71"/>
        <v/>
      </c>
      <c r="O999" s="485"/>
      <c r="P999" s="1137"/>
      <c r="Q999" s="1137"/>
      <c r="R999" s="1137"/>
      <c r="S999" s="1137"/>
      <c r="T999" s="1137"/>
      <c r="U999" s="1137"/>
      <c r="V999" s="1137"/>
    </row>
    <row r="1000" spans="1:22" s="562" customFormat="1" ht="12.75" hidden="1" customHeight="1">
      <c r="A1000" s="719" t="s">
        <v>2289</v>
      </c>
      <c r="B1000" s="485"/>
      <c r="C1000" s="559"/>
      <c r="D1000" s="706"/>
      <c r="E1000" s="727" t="s">
        <v>1391</v>
      </c>
      <c r="F1000" s="727"/>
      <c r="G1000" s="727"/>
      <c r="H1000" s="728" t="s">
        <v>1021</v>
      </c>
      <c r="I1000" s="729"/>
      <c r="J1000" s="2143" t="str">
        <f t="shared" si="71"/>
        <v/>
      </c>
      <c r="K1000" s="2141" t="str">
        <f t="shared" si="71"/>
        <v/>
      </c>
      <c r="L1000" s="2142" t="str">
        <f t="shared" si="71"/>
        <v/>
      </c>
      <c r="M1000" s="2142" t="str">
        <f t="shared" si="71"/>
        <v/>
      </c>
      <c r="N1000" s="2142" t="str">
        <f t="shared" si="71"/>
        <v/>
      </c>
      <c r="O1000" s="485"/>
      <c r="P1000" s="1137"/>
      <c r="Q1000" s="1137"/>
      <c r="R1000" s="1137"/>
      <c r="S1000" s="1137"/>
      <c r="T1000" s="1137"/>
      <c r="U1000" s="1137"/>
      <c r="V1000" s="1137"/>
    </row>
    <row r="1001" spans="1:22" s="562" customFormat="1" ht="12.75" customHeight="1">
      <c r="A1001" s="719"/>
      <c r="B1001" s="485"/>
      <c r="C1001" s="559"/>
      <c r="D1001" s="706"/>
      <c r="E1001" s="698" t="s">
        <v>1671</v>
      </c>
      <c r="F1001" s="698"/>
      <c r="G1001" s="698"/>
      <c r="H1001" s="730" t="str">
        <f>EUconst_EUA</f>
        <v>UKA</v>
      </c>
      <c r="I1001" s="731"/>
      <c r="J1001" s="2129" t="str">
        <f>IF($I969="","",MAX(0,ROUND((SUM($M972)*SUM(J995)*SUM(J999)*SUM(J1000)-SUM(J996)-SUM(J997)+SUM(J998))*IF($H972=TRUE,1,J$2517),0)))</f>
        <v/>
      </c>
      <c r="K1001" s="2072" t="str">
        <f>IF($I969="","",MAX(0,ROUND((SUM($M972)*SUM(K995)*SUM(K999)*SUM(K1000)-SUM(K996)-SUM(K997)+SUM(K998))*IF($H972=TRUE,1,K$2517),0)))</f>
        <v/>
      </c>
      <c r="L1001" s="2073" t="str">
        <f>IF($I969="","",MAX(0,ROUND((SUM($M972)*SUM(L995)*SUM(L999)*SUM(L1000)-SUM(L996)-SUM(L997)+SUM(L998))*IF($H972=TRUE,1,L$2517),0)))</f>
        <v/>
      </c>
      <c r="M1001" s="2073" t="str">
        <f>IF($I969="","",MAX(0,ROUND((SUM($M972)*SUM(M995)*SUM(M999)*SUM(M1000)-SUM(M996)-SUM(M997)+SUM(M998))*IF($H972=TRUE,1,M$2517),0)))</f>
        <v/>
      </c>
      <c r="N1001" s="2073" t="str">
        <f>IF($I969="","",MAX(0,ROUND((SUM($M972)*SUM(N995)*SUM(N999)*SUM(N1000)-SUM(N996)-SUM(N997)+SUM(N998))*IF($H972=TRUE,1,N$2517),0)))</f>
        <v/>
      </c>
      <c r="O1001" s="485"/>
      <c r="P1001" s="1137"/>
      <c r="Q1001" s="1137"/>
      <c r="R1001" s="1137"/>
      <c r="S1001" s="1137"/>
      <c r="T1001" s="1137"/>
      <c r="U1001" s="1137"/>
      <c r="V1001" s="1137"/>
    </row>
    <row r="1002" spans="1:22" s="562" customFormat="1" ht="12.75" customHeight="1">
      <c r="A1002" s="719"/>
      <c r="B1002" s="485"/>
      <c r="C1002" s="559"/>
      <c r="D1002" s="706"/>
      <c r="E1002" s="698" t="s">
        <v>1670</v>
      </c>
      <c r="F1002" s="698"/>
      <c r="G1002" s="698"/>
      <c r="H1002" s="730" t="str">
        <f>EUconst_EUA</f>
        <v>UKA</v>
      </c>
      <c r="I1002" s="731"/>
      <c r="J1002" s="2129" t="str">
        <f>IF($I969="","",ABS(SUM(J1001)-SUM(J989)))</f>
        <v/>
      </c>
      <c r="K1002" s="2072" t="str">
        <f>IF($I969="","",ABS(SUM(K1001)-SUM(K989)))</f>
        <v/>
      </c>
      <c r="L1002" s="2073" t="str">
        <f>IF($I969="","",ABS(SUM(L1001)-SUM(L989)))</f>
        <v/>
      </c>
      <c r="M1002" s="2073" t="str">
        <f>IF($I969="","",ABS(SUM(M1001)-SUM(M989)))</f>
        <v/>
      </c>
      <c r="N1002" s="2073" t="str">
        <f>IF($I969="","",ABS(SUM(N1001)-SUM(N989)))</f>
        <v/>
      </c>
      <c r="O1002" s="485"/>
      <c r="P1002" s="1137"/>
      <c r="Q1002" s="1137"/>
      <c r="R1002" s="1137"/>
      <c r="S1002" s="1137"/>
      <c r="T1002" s="1137"/>
      <c r="U1002" s="1137"/>
      <c r="V1002" s="1137"/>
    </row>
    <row r="1003" spans="1:22" s="562" customFormat="1" ht="12.75" customHeight="1">
      <c r="A1003" s="719"/>
      <c r="B1003" s="485"/>
      <c r="C1003" s="559"/>
      <c r="D1003" s="706"/>
      <c r="E1003" s="740" t="s">
        <v>2130</v>
      </c>
      <c r="F1003" s="740"/>
      <c r="G1003" s="740"/>
      <c r="H1003" s="741" t="s">
        <v>1021</v>
      </c>
      <c r="I1003" s="742"/>
      <c r="J1003" s="2147" t="str">
        <f>IF($I969="","",J1002&gt;=100)</f>
        <v/>
      </c>
      <c r="K1003" s="2134" t="str">
        <f>IF($I969="","",K1002&gt;=100)</f>
        <v/>
      </c>
      <c r="L1003" s="2135" t="str">
        <f>IF($I969="","",L1002&gt;=100)</f>
        <v/>
      </c>
      <c r="M1003" s="2135" t="str">
        <f>IF($I969="","",M1002&gt;=100)</f>
        <v/>
      </c>
      <c r="N1003" s="2135" t="str">
        <f>IF($I969="","",N1002&gt;=100)</f>
        <v/>
      </c>
      <c r="O1003" s="485"/>
      <c r="P1003" s="1158" t="str">
        <f>EUconst_CNTR_100EUA_ActivityLevel&amp;I969</f>
        <v>EUA100AL_</v>
      </c>
      <c r="Q1003" s="1137"/>
      <c r="R1003" s="1137"/>
      <c r="S1003" s="1137"/>
      <c r="T1003" s="1137"/>
      <c r="U1003" s="1137"/>
      <c r="V1003" s="1137"/>
    </row>
    <row r="1004" spans="1:22" s="562" customFormat="1" ht="5.0999999999999996" customHeight="1">
      <c r="A1004" s="719"/>
      <c r="B1004" s="485"/>
      <c r="C1004" s="559"/>
      <c r="D1004" s="706"/>
      <c r="E1004" s="485"/>
      <c r="F1004" s="485"/>
      <c r="G1004" s="485"/>
      <c r="H1004" s="485"/>
      <c r="I1004" s="743"/>
      <c r="J1004" s="485"/>
      <c r="K1004" s="1790"/>
      <c r="L1004" s="1791"/>
      <c r="M1004" s="1791"/>
      <c r="N1004" s="1791"/>
      <c r="O1004" s="485"/>
      <c r="P1004" s="1137"/>
      <c r="Q1004" s="1137"/>
      <c r="R1004" s="1137"/>
      <c r="S1004" s="1137"/>
      <c r="T1004" s="1137"/>
      <c r="U1004" s="1137"/>
      <c r="V1004" s="1137"/>
    </row>
    <row r="1005" spans="1:22" s="562" customFormat="1" ht="12.75" customHeight="1">
      <c r="A1005" s="719"/>
      <c r="B1005" s="485"/>
      <c r="C1005" s="559"/>
      <c r="D1005" s="706"/>
      <c r="E1005" s="707" t="s">
        <v>1753</v>
      </c>
      <c r="F1005" s="637"/>
      <c r="G1005" s="637"/>
      <c r="H1005" s="663" t="str">
        <f>EUconst_Unit</f>
        <v>Unit</v>
      </c>
      <c r="I1005" s="708"/>
      <c r="J1005" s="2132">
        <f>J$2737</f>
        <v>2026</v>
      </c>
      <c r="K1005" s="1489">
        <f>K$2737</f>
        <v>2027</v>
      </c>
      <c r="L1005" s="1490">
        <f>L$2737</f>
        <v>2028</v>
      </c>
      <c r="M1005" s="1490">
        <f>M$2737</f>
        <v>2029</v>
      </c>
      <c r="N1005" s="1490">
        <f>N$2737</f>
        <v>2030</v>
      </c>
      <c r="O1005" s="485"/>
      <c r="P1005" s="1137"/>
      <c r="Q1005" s="1137"/>
      <c r="R1005" s="1137"/>
      <c r="S1005" s="1137"/>
      <c r="T1005" s="1137"/>
      <c r="U1005" s="1137"/>
      <c r="V1005" s="1137"/>
    </row>
    <row r="1006" spans="1:22" s="562" customFormat="1" ht="12.75" hidden="1" customHeight="1">
      <c r="A1006" s="719" t="s">
        <v>2289</v>
      </c>
      <c r="B1006" s="485"/>
      <c r="C1006" s="559"/>
      <c r="D1006" s="706"/>
      <c r="E1006" s="698" t="s">
        <v>1714</v>
      </c>
      <c r="F1006" s="698"/>
      <c r="G1006" s="698"/>
      <c r="H1006" s="639" t="str">
        <f>H995</f>
        <v>tonnes</v>
      </c>
      <c r="I1006" s="698"/>
      <c r="J1006" s="2137" t="str">
        <f t="shared" ref="J1006:N1009" si="72">I1078</f>
        <v/>
      </c>
      <c r="K1006" s="2072" t="str">
        <f t="shared" si="72"/>
        <v/>
      </c>
      <c r="L1006" s="2073" t="str">
        <f t="shared" si="72"/>
        <v/>
      </c>
      <c r="M1006" s="2073" t="str">
        <f t="shared" si="72"/>
        <v/>
      </c>
      <c r="N1006" s="2073" t="str">
        <f t="shared" si="72"/>
        <v/>
      </c>
      <c r="O1006" s="485"/>
      <c r="P1006" s="1137"/>
      <c r="Q1006" s="1137"/>
      <c r="R1006" s="1137"/>
      <c r="S1006" s="1137"/>
      <c r="T1006" s="1137"/>
      <c r="U1006" s="1137"/>
      <c r="V1006" s="1137"/>
    </row>
    <row r="1007" spans="1:22" s="562" customFormat="1" ht="12.75" hidden="1" customHeight="1">
      <c r="A1007" s="719" t="s">
        <v>2289</v>
      </c>
      <c r="B1007" s="485"/>
      <c r="C1007" s="559"/>
      <c r="D1007" s="706"/>
      <c r="E1007" s="720" t="s">
        <v>303</v>
      </c>
      <c r="F1007" s="720"/>
      <c r="G1007" s="720"/>
      <c r="H1007" s="721" t="str">
        <f>EUconst_EUA</f>
        <v>UKA</v>
      </c>
      <c r="I1007" s="722"/>
      <c r="J1007" s="2138" t="str">
        <f t="shared" si="72"/>
        <v/>
      </c>
      <c r="K1007" s="2072" t="str">
        <f t="shared" si="72"/>
        <v/>
      </c>
      <c r="L1007" s="2073" t="str">
        <f t="shared" si="72"/>
        <v/>
      </c>
      <c r="M1007" s="2073" t="str">
        <f t="shared" si="72"/>
        <v/>
      </c>
      <c r="N1007" s="2073" t="str">
        <f t="shared" si="72"/>
        <v/>
      </c>
      <c r="O1007" s="485"/>
      <c r="P1007" s="1137"/>
      <c r="Q1007" s="1137"/>
      <c r="R1007" s="1137"/>
      <c r="S1007" s="1137"/>
      <c r="T1007" s="1137"/>
      <c r="U1007" s="1137"/>
      <c r="V1007" s="1137"/>
    </row>
    <row r="1008" spans="1:22" s="562" customFormat="1" ht="12.75" hidden="1" customHeight="1">
      <c r="A1008" s="719" t="s">
        <v>2289</v>
      </c>
      <c r="B1008" s="485"/>
      <c r="C1008" s="559"/>
      <c r="D1008" s="706"/>
      <c r="E1008" s="723" t="s">
        <v>1422</v>
      </c>
      <c r="F1008" s="723"/>
      <c r="G1008" s="723"/>
      <c r="H1008" s="724" t="str">
        <f>EUconst_EUA</f>
        <v>UKA</v>
      </c>
      <c r="I1008" s="725"/>
      <c r="J1008" s="2139" t="str">
        <f t="shared" si="72"/>
        <v/>
      </c>
      <c r="K1008" s="2072" t="str">
        <f t="shared" si="72"/>
        <v/>
      </c>
      <c r="L1008" s="2073" t="str">
        <f t="shared" si="72"/>
        <v/>
      </c>
      <c r="M1008" s="2073" t="str">
        <f t="shared" si="72"/>
        <v/>
      </c>
      <c r="N1008" s="2073" t="str">
        <f t="shared" si="72"/>
        <v/>
      </c>
      <c r="O1008" s="485"/>
      <c r="P1008" s="1137"/>
      <c r="Q1008" s="1137"/>
      <c r="R1008" s="1137"/>
      <c r="S1008" s="1137"/>
      <c r="T1008" s="1137"/>
      <c r="U1008" s="1137"/>
      <c r="V1008" s="1137"/>
    </row>
    <row r="1009" spans="1:22" s="562" customFormat="1" ht="12.75" hidden="1" customHeight="1">
      <c r="A1009" s="719" t="s">
        <v>2289</v>
      </c>
      <c r="B1009" s="485"/>
      <c r="C1009" s="559"/>
      <c r="D1009" s="706"/>
      <c r="E1009" s="745" t="s">
        <v>1390</v>
      </c>
      <c r="F1009" s="745"/>
      <c r="G1009" s="745"/>
      <c r="H1009" s="746" t="str">
        <f>EUconst_EUA</f>
        <v>UKA</v>
      </c>
      <c r="I1009" s="747"/>
      <c r="J1009" s="2148" t="str">
        <f t="shared" si="72"/>
        <v/>
      </c>
      <c r="K1009" s="2072" t="str">
        <f t="shared" si="72"/>
        <v/>
      </c>
      <c r="L1009" s="2073" t="str">
        <f t="shared" si="72"/>
        <v/>
      </c>
      <c r="M1009" s="2073" t="str">
        <f t="shared" si="72"/>
        <v/>
      </c>
      <c r="N1009" s="2073" t="str">
        <f t="shared" si="72"/>
        <v/>
      </c>
      <c r="O1009" s="485"/>
      <c r="P1009" s="1137"/>
      <c r="Q1009" s="1137"/>
      <c r="R1009" s="1137"/>
      <c r="S1009" s="1137"/>
      <c r="T1009" s="1137"/>
      <c r="U1009" s="1137"/>
      <c r="V1009" s="1137"/>
    </row>
    <row r="1010" spans="1:22" s="562" customFormat="1" ht="12.75" customHeight="1">
      <c r="A1010" s="719"/>
      <c r="B1010" s="485"/>
      <c r="C1010" s="559"/>
      <c r="D1010" s="706"/>
      <c r="E1010" s="720" t="s">
        <v>1691</v>
      </c>
      <c r="F1010" s="720"/>
      <c r="G1010" s="720"/>
      <c r="H1010" s="748" t="s">
        <v>1021</v>
      </c>
      <c r="I1010" s="722"/>
      <c r="J1010" s="2149" t="str">
        <f>INDEX(F_ProductBM!J:J,MATCH($P1010,F_ProductBM!$Q:$Q,0))</f>
        <v/>
      </c>
      <c r="K1010" s="2141" t="str">
        <f>INDEX(F_ProductBM!K:K,MATCH($P1010,F_ProductBM!$Q:$Q,0))</f>
        <v/>
      </c>
      <c r="L1010" s="2142" t="str">
        <f>INDEX(F_ProductBM!L:L,MATCH($P1010,F_ProductBM!$Q:$Q,0))</f>
        <v/>
      </c>
      <c r="M1010" s="2142" t="str">
        <f>INDEX(F_ProductBM!M:M,MATCH($P1010,F_ProductBM!$Q:$Q,0))</f>
        <v/>
      </c>
      <c r="N1010" s="2142" t="str">
        <f>INDEX(F_ProductBM!N:N,MATCH($P1010,F_ProductBM!$Q:$Q,0))</f>
        <v/>
      </c>
      <c r="O1010" s="485"/>
      <c r="P1010" s="1158" t="str">
        <f>EUconst_CNTR_HAL &amp; EUconst_CNTR_ELEXCHInitial &amp; I969</f>
        <v>HAL_ELEXCHIni_</v>
      </c>
      <c r="Q1010" s="1137"/>
      <c r="R1010" s="1137"/>
      <c r="S1010" s="1137"/>
      <c r="T1010" s="1137"/>
      <c r="U1010" s="1137"/>
      <c r="V1010" s="1137"/>
    </row>
    <row r="1011" spans="1:22" s="562" customFormat="1" ht="12.75" customHeight="1">
      <c r="A1011" s="719"/>
      <c r="B1011" s="485"/>
      <c r="C1011" s="559"/>
      <c r="D1011" s="706"/>
      <c r="E1011" s="723" t="s">
        <v>2232</v>
      </c>
      <c r="F1011" s="723"/>
      <c r="G1011" s="723"/>
      <c r="H1011" s="734" t="s">
        <v>1021</v>
      </c>
      <c r="I1011" s="735"/>
      <c r="J1011" s="23" t="str">
        <f>INDEX(F_ProductBM!J:J,MATCH($P1011,F_ProductBM!$Q:$Q,0))</f>
        <v/>
      </c>
      <c r="K1011" s="46" t="str">
        <f>INDEX(F_ProductBM!K:K,MATCH($P1011,F_ProductBM!$Q:$Q,0))</f>
        <v/>
      </c>
      <c r="L1011" s="27" t="str">
        <f>INDEX(F_ProductBM!L:L,MATCH($P1011,F_ProductBM!$Q:$Q,0))</f>
        <v/>
      </c>
      <c r="M1011" s="27" t="str">
        <f>INDEX(F_ProductBM!M:M,MATCH($P1011,F_ProductBM!$Q:$Q,0))</f>
        <v/>
      </c>
      <c r="N1011" s="27" t="str">
        <f>INDEX(F_ProductBM!N:N,MATCH($P1011,F_ProductBM!$Q:$Q,0))</f>
        <v/>
      </c>
      <c r="O1011" s="485"/>
      <c r="P1011" s="1158" t="str">
        <f>EUconst_CNTR_RelThreshold &amp; P1013</f>
        <v>RelThresh_HALprelim_ELEXCH_</v>
      </c>
      <c r="Q1011" s="1137"/>
      <c r="R1011" s="1137"/>
      <c r="S1011" s="1137"/>
      <c r="T1011" s="1137"/>
      <c r="U1011" s="1137"/>
      <c r="V1011" s="1137"/>
    </row>
    <row r="1012" spans="1:22" s="562" customFormat="1" ht="12.75" customHeight="1">
      <c r="A1012" s="719"/>
      <c r="B1012" s="485"/>
      <c r="C1012" s="559"/>
      <c r="D1012" s="706"/>
      <c r="E1012" s="736" t="s">
        <v>1852</v>
      </c>
      <c r="F1012" s="736"/>
      <c r="G1012" s="736"/>
      <c r="H1012" s="737" t="s">
        <v>1021</v>
      </c>
      <c r="I1012" s="738"/>
      <c r="J1012" s="2145" t="str">
        <f>INDEX(F_ProductBM!V:V,MATCH($P1012,F_ProductBM!$Q:$Q,0))</f>
        <v/>
      </c>
      <c r="K1012" s="2134" t="str">
        <f>INDEX(F_ProductBM!W:W,MATCH($P1012,F_ProductBM!$Q:$Q,0))</f>
        <v/>
      </c>
      <c r="L1012" s="2135" t="str">
        <f>INDEX(F_ProductBM!X:X,MATCH($P1012,F_ProductBM!$Q:$Q,0))</f>
        <v/>
      </c>
      <c r="M1012" s="2135" t="str">
        <f>INDEX(F_ProductBM!Y:Y,MATCH($P1012,F_ProductBM!$Q:$Q,0))</f>
        <v/>
      </c>
      <c r="N1012" s="2135" t="str">
        <f>INDEX(F_ProductBM!Z:Z,MATCH($P1012,F_ProductBM!$Q:$Q,0))</f>
        <v/>
      </c>
      <c r="O1012" s="485"/>
      <c r="P1012" s="1158" t="str">
        <f>P1011</f>
        <v>RelThresh_HALprelim_ELEXCH_</v>
      </c>
      <c r="Q1012" s="1137"/>
      <c r="R1012" s="1137"/>
      <c r="S1012" s="1137"/>
      <c r="T1012" s="1137"/>
      <c r="U1012" s="1137"/>
      <c r="V1012" s="1137"/>
    </row>
    <row r="1013" spans="1:22" s="562" customFormat="1" ht="12.75" customHeight="1">
      <c r="A1013" s="719"/>
      <c r="B1013" s="485"/>
      <c r="C1013" s="559"/>
      <c r="D1013" s="706"/>
      <c r="E1013" s="727" t="s">
        <v>1689</v>
      </c>
      <c r="F1013" s="727"/>
      <c r="G1013" s="727"/>
      <c r="H1013" s="749" t="s">
        <v>1021</v>
      </c>
      <c r="I1013" s="727"/>
      <c r="J1013" s="2150" t="str">
        <f>IF($I972=TRUE,INDEX(F_ProductBM!J:J,MATCH($P1013,F_ProductBM!$Q:$Q,0)),"")</f>
        <v/>
      </c>
      <c r="K1013" s="2141" t="str">
        <f>IF($I972=TRUE,INDEX(F_ProductBM!K:K,MATCH($P1013,F_ProductBM!$Q:$Q,0)),"")</f>
        <v/>
      </c>
      <c r="L1013" s="2142" t="str">
        <f>IF($I972=TRUE,INDEX(F_ProductBM!L:L,MATCH($P1013,F_ProductBM!$Q:$Q,0)),"")</f>
        <v/>
      </c>
      <c r="M1013" s="2142" t="str">
        <f>IF($I972=TRUE,INDEX(F_ProductBM!M:M,MATCH($P1013,F_ProductBM!$Q:$Q,0)),"")</f>
        <v/>
      </c>
      <c r="N1013" s="2142" t="str">
        <f>IF($I972=TRUE,INDEX(F_ProductBM!N:N,MATCH($P1013,F_ProductBM!$Q:$Q,0)),"")</f>
        <v/>
      </c>
      <c r="O1013" s="485"/>
      <c r="P1013" s="1158" t="str">
        <f>EUconst_CNTR_HALprelim&amp;EUconst_CNTR_ELEXCH&amp;$I969</f>
        <v>HALprelim_ELEXCH_</v>
      </c>
      <c r="Q1013" s="1137"/>
      <c r="R1013" s="1137"/>
      <c r="S1013" s="1137"/>
      <c r="T1013" s="1137"/>
      <c r="U1013" s="1137"/>
      <c r="V1013" s="1137"/>
    </row>
    <row r="1014" spans="1:22" s="562" customFormat="1" ht="12.75" hidden="1" customHeight="1">
      <c r="A1014" s="719" t="s">
        <v>2289</v>
      </c>
      <c r="B1014" s="485"/>
      <c r="C1014" s="559"/>
      <c r="D1014" s="706"/>
      <c r="E1014" s="727" t="s">
        <v>1391</v>
      </c>
      <c r="F1014" s="727"/>
      <c r="G1014" s="727"/>
      <c r="H1014" s="750" t="s">
        <v>1021</v>
      </c>
      <c r="I1014" s="729"/>
      <c r="J1014" s="2143" t="str">
        <f>I1083</f>
        <v/>
      </c>
      <c r="K1014" s="2141" t="str">
        <f>J1083</f>
        <v/>
      </c>
      <c r="L1014" s="2142" t="str">
        <f>K1083</f>
        <v/>
      </c>
      <c r="M1014" s="2142" t="str">
        <f>L1083</f>
        <v/>
      </c>
      <c r="N1014" s="2142" t="str">
        <f>M1083</f>
        <v/>
      </c>
      <c r="O1014" s="485"/>
      <c r="P1014" s="1137"/>
      <c r="Q1014" s="1137"/>
      <c r="R1014" s="1137"/>
      <c r="S1014" s="1137"/>
      <c r="T1014" s="1137"/>
      <c r="U1014" s="1137"/>
      <c r="V1014" s="1137"/>
    </row>
    <row r="1015" spans="1:22" s="562" customFormat="1" ht="12.75" customHeight="1">
      <c r="A1015" s="719"/>
      <c r="B1015" s="485"/>
      <c r="C1015" s="559"/>
      <c r="D1015" s="706"/>
      <c r="E1015" s="698" t="s">
        <v>1671</v>
      </c>
      <c r="F1015" s="698"/>
      <c r="G1015" s="698"/>
      <c r="H1015" s="730" t="str">
        <f>EUconst_EUA</f>
        <v>UKA</v>
      </c>
      <c r="I1015" s="731"/>
      <c r="J1015" s="2129" t="str">
        <f>IF($I972=TRUE,MAX(0,ROUND((SUM($M972)*SUM(J1006)*SUM(J1013)*SUM(J1014)-SUM(J1007)-SUM(J1008)+SUM(J1009))*IF($H972=TRUE,1,J$2517),0)),"")</f>
        <v/>
      </c>
      <c r="K1015" s="2072" t="str">
        <f>IF($I972=TRUE,MAX(0,ROUND((SUM($M972)*SUM(K1006)*SUM(K1013)*SUM(K1014)-SUM(K1007)-SUM(K1008)+SUM(K1009))*IF($H972=TRUE,1,K$2517),0)),"")</f>
        <v/>
      </c>
      <c r="L1015" s="2073" t="str">
        <f>IF($I972=TRUE,MAX(0,ROUND((SUM($M972)*SUM(L1006)*SUM(L1013)*SUM(L1014)-SUM(L1007)-SUM(L1008)+SUM(L1009))*IF($H972=TRUE,1,L$2517),0)),"")</f>
        <v/>
      </c>
      <c r="M1015" s="2073" t="str">
        <f>IF($I972=TRUE,MAX(0,ROUND((SUM($M972)*SUM(M1006)*SUM(M1013)*SUM(M1014)-SUM(M1007)-SUM(M1008)+SUM(M1009))*IF($H972=TRUE,1,M$2517),0)),"")</f>
        <v/>
      </c>
      <c r="N1015" s="2073" t="str">
        <f>IF($I972=TRUE,MAX(0,ROUND((SUM($M972)*SUM(N1006)*SUM(N1013)*SUM(N1014)-SUM(N1007)-SUM(N1008)+SUM(N1009))*IF($H972=TRUE,1,N$2517),0)),"")</f>
        <v/>
      </c>
      <c r="O1015" s="485"/>
      <c r="P1015" s="1137"/>
      <c r="Q1015" s="1137"/>
      <c r="R1015" s="1137"/>
      <c r="S1015" s="1137"/>
      <c r="T1015" s="1137"/>
      <c r="U1015" s="1137"/>
      <c r="V1015" s="1137"/>
    </row>
    <row r="1016" spans="1:22" s="562" customFormat="1" ht="12.75" customHeight="1">
      <c r="A1016" s="719"/>
      <c r="B1016" s="485"/>
      <c r="C1016" s="559"/>
      <c r="D1016" s="706"/>
      <c r="E1016" s="698" t="s">
        <v>1670</v>
      </c>
      <c r="F1016" s="698"/>
      <c r="G1016" s="698"/>
      <c r="H1016" s="730" t="str">
        <f>EUconst_EUA</f>
        <v>UKA</v>
      </c>
      <c r="I1016" s="731"/>
      <c r="J1016" s="2129" t="str">
        <f>IF($I972=TRUE,ABS(SUM(J1015)-SUM(J989)),"")</f>
        <v/>
      </c>
      <c r="K1016" s="2072" t="str">
        <f>IF($I972=TRUE,ABS(SUM(K1015)-SUM(K989)),"")</f>
        <v/>
      </c>
      <c r="L1016" s="2073" t="str">
        <f>IF($I972=TRUE,ABS(SUM(L1015)-SUM(L989)),"")</f>
        <v/>
      </c>
      <c r="M1016" s="2073" t="str">
        <f>IF($I972=TRUE,ABS(SUM(M1015)-SUM(M989)),"")</f>
        <v/>
      </c>
      <c r="N1016" s="2073" t="str">
        <f>IF($I972=TRUE,ABS(SUM(N1015)-SUM(N989)),"")</f>
        <v/>
      </c>
      <c r="O1016" s="485"/>
      <c r="P1016" s="1137"/>
      <c r="Q1016" s="1137"/>
      <c r="R1016" s="1137"/>
      <c r="S1016" s="1137"/>
      <c r="T1016" s="1137"/>
      <c r="U1016" s="1137"/>
      <c r="V1016" s="1137"/>
    </row>
    <row r="1017" spans="1:22" s="562" customFormat="1" ht="12.75" customHeight="1">
      <c r="A1017" s="719"/>
      <c r="B1017" s="485"/>
      <c r="C1017" s="559"/>
      <c r="D1017" s="706"/>
      <c r="E1017" s="740" t="s">
        <v>2131</v>
      </c>
      <c r="F1017" s="740"/>
      <c r="G1017" s="740"/>
      <c r="H1017" s="741" t="s">
        <v>1021</v>
      </c>
      <c r="I1017" s="742"/>
      <c r="J1017" s="2147" t="str">
        <f>IF($I972=TRUE,J1016&gt;=100,"")</f>
        <v/>
      </c>
      <c r="K1017" s="2134" t="str">
        <f>IF($I972=TRUE,K1016&gt;=100,"")</f>
        <v/>
      </c>
      <c r="L1017" s="2135" t="str">
        <f>IF($I972=TRUE,L1016&gt;=100,"")</f>
        <v/>
      </c>
      <c r="M1017" s="2135" t="str">
        <f>IF($I972=TRUE,M1016&gt;=100,"")</f>
        <v/>
      </c>
      <c r="N1017" s="2135" t="str">
        <f>IF($I972=TRUE,N1016&gt;=100,"")</f>
        <v/>
      </c>
      <c r="O1017" s="485"/>
      <c r="P1017" s="1158" t="str">
        <f>EUconst_CNTR_100EUA_ElExch&amp;I969</f>
        <v>EUA100ElExch_</v>
      </c>
      <c r="Q1017" s="1137"/>
      <c r="R1017" s="1137"/>
      <c r="S1017" s="1137"/>
      <c r="T1017" s="1137"/>
      <c r="U1017" s="1137"/>
      <c r="V1017" s="1137"/>
    </row>
    <row r="1018" spans="1:22" s="562" customFormat="1" ht="5.0999999999999996" customHeight="1">
      <c r="A1018" s="719"/>
      <c r="B1018" s="485"/>
      <c r="C1018" s="559"/>
      <c r="D1018" s="706"/>
      <c r="E1018" s="485"/>
      <c r="F1018" s="485"/>
      <c r="G1018" s="485"/>
      <c r="H1018" s="485"/>
      <c r="I1018" s="743"/>
      <c r="J1018" s="485"/>
      <c r="K1018" s="1790"/>
      <c r="L1018" s="1791"/>
      <c r="M1018" s="1791"/>
      <c r="N1018" s="1791"/>
      <c r="O1018" s="485"/>
      <c r="P1018" s="1137"/>
      <c r="Q1018" s="1137"/>
      <c r="R1018" s="1137"/>
      <c r="S1018" s="1137"/>
      <c r="T1018" s="1137"/>
      <c r="U1018" s="1137"/>
      <c r="V1018" s="1137"/>
    </row>
    <row r="1019" spans="1:22" s="562" customFormat="1" ht="12.75" customHeight="1">
      <c r="A1019" s="719"/>
      <c r="B1019" s="485"/>
      <c r="C1019" s="559"/>
      <c r="D1019" s="706"/>
      <c r="E1019" s="707" t="s">
        <v>1754</v>
      </c>
      <c r="F1019" s="637"/>
      <c r="G1019" s="637"/>
      <c r="H1019" s="663" t="str">
        <f>EUconst_Unit</f>
        <v>Unit</v>
      </c>
      <c r="I1019" s="708"/>
      <c r="J1019" s="2132">
        <f>J$2737</f>
        <v>2026</v>
      </c>
      <c r="K1019" s="1489">
        <f>K$2737</f>
        <v>2027</v>
      </c>
      <c r="L1019" s="1490">
        <f>L$2737</f>
        <v>2028</v>
      </c>
      <c r="M1019" s="1490">
        <f>M$2737</f>
        <v>2029</v>
      </c>
      <c r="N1019" s="1490">
        <f>N$2737</f>
        <v>2030</v>
      </c>
      <c r="O1019" s="485"/>
      <c r="P1019" s="1137"/>
      <c r="Q1019" s="1137"/>
      <c r="R1019" s="1137"/>
      <c r="S1019" s="1137"/>
      <c r="T1019" s="1137"/>
      <c r="U1019" s="1137"/>
      <c r="V1019" s="1137"/>
    </row>
    <row r="1020" spans="1:22" s="562" customFormat="1" ht="12.75" hidden="1" customHeight="1">
      <c r="A1020" s="719" t="s">
        <v>2289</v>
      </c>
      <c r="B1020" s="485"/>
      <c r="C1020" s="559"/>
      <c r="D1020" s="706"/>
      <c r="E1020" s="698" t="s">
        <v>1714</v>
      </c>
      <c r="F1020" s="698"/>
      <c r="G1020" s="698"/>
      <c r="H1020" s="639" t="str">
        <f>H1006</f>
        <v>tonnes</v>
      </c>
      <c r="I1020" s="698"/>
      <c r="J1020" s="2137" t="str">
        <f>I1078</f>
        <v/>
      </c>
      <c r="K1020" s="2072" t="str">
        <f>J1078</f>
        <v/>
      </c>
      <c r="L1020" s="2073" t="str">
        <f>K1078</f>
        <v/>
      </c>
      <c r="M1020" s="2073" t="str">
        <f>L1078</f>
        <v/>
      </c>
      <c r="N1020" s="2073" t="str">
        <f>M1078</f>
        <v/>
      </c>
      <c r="O1020" s="485"/>
      <c r="P1020" s="1137"/>
      <c r="Q1020" s="1137"/>
      <c r="R1020" s="1137"/>
      <c r="S1020" s="1137"/>
      <c r="T1020" s="1137"/>
      <c r="U1020" s="1137"/>
      <c r="V1020" s="1137"/>
    </row>
    <row r="1021" spans="1:22" s="562" customFormat="1" ht="12.75" customHeight="1">
      <c r="A1021" s="719"/>
      <c r="B1021" s="485"/>
      <c r="C1021" s="559"/>
      <c r="D1021" s="706"/>
      <c r="E1021" s="720" t="s">
        <v>1691</v>
      </c>
      <c r="F1021" s="720"/>
      <c r="G1021" s="720"/>
      <c r="H1021" s="748" t="str">
        <f>EUconst_EUA</f>
        <v>UKA</v>
      </c>
      <c r="I1021" s="722"/>
      <c r="J1021" s="2144" t="str">
        <f>IF(R975,SUM(INDEX(F_ProductBM!J:J,MATCH($P1021,F_ProductBM!$Q:$Q,0))),"")</f>
        <v/>
      </c>
      <c r="K1021" s="2072" t="str">
        <f>IF(S975,SUM(INDEX(F_ProductBM!K:K,MATCH($P1021,F_ProductBM!$Q:$Q,0))),"")</f>
        <v/>
      </c>
      <c r="L1021" s="2073" t="str">
        <f>IF(T975,SUM(INDEX(F_ProductBM!L:L,MATCH($P1021,F_ProductBM!$Q:$Q,0))),"")</f>
        <v/>
      </c>
      <c r="M1021" s="2073" t="str">
        <f>IF(U975,SUM(INDEX(F_ProductBM!M:M,MATCH($P1021,F_ProductBM!$Q:$Q,0))),"")</f>
        <v/>
      </c>
      <c r="N1021" s="2073" t="str">
        <f>IF(V975,SUM(INDEX(F_ProductBM!N:N,MATCH($P1021,F_ProductBM!$Q:$Q,0))),"")</f>
        <v/>
      </c>
      <c r="O1021" s="485"/>
      <c r="P1021" s="1158" t="str">
        <f>EUconst_CNTR_HEATInitial &amp; I969</f>
        <v>HEATIni_</v>
      </c>
      <c r="Q1021" s="1137"/>
      <c r="R1021" s="1137"/>
      <c r="S1021" s="1137"/>
      <c r="T1021" s="1137"/>
      <c r="U1021" s="1137"/>
      <c r="V1021" s="1137"/>
    </row>
    <row r="1022" spans="1:22" s="562" customFormat="1" ht="12.75" customHeight="1">
      <c r="A1022" s="719"/>
      <c r="B1022" s="485"/>
      <c r="C1022" s="559"/>
      <c r="D1022" s="706"/>
      <c r="E1022" s="723" t="s">
        <v>2232</v>
      </c>
      <c r="F1022" s="723"/>
      <c r="G1022" s="723"/>
      <c r="H1022" s="734" t="s">
        <v>1021</v>
      </c>
      <c r="I1022" s="735"/>
      <c r="J1022" s="23" t="str">
        <f>INDEX(F_ProductBM!J:J,MATCH($P1022,F_ProductBM!$Q:$Q,0))</f>
        <v/>
      </c>
      <c r="K1022" s="46" t="str">
        <f>INDEX(F_ProductBM!K:K,MATCH($P1022,F_ProductBM!$Q:$Q,0))</f>
        <v/>
      </c>
      <c r="L1022" s="27" t="str">
        <f>INDEX(F_ProductBM!L:L,MATCH($P1022,F_ProductBM!$Q:$Q,0))</f>
        <v/>
      </c>
      <c r="M1022" s="27" t="str">
        <f>INDEX(F_ProductBM!M:M,MATCH($P1022,F_ProductBM!$Q:$Q,0))</f>
        <v/>
      </c>
      <c r="N1022" s="27" t="str">
        <f>INDEX(F_ProductBM!N:N,MATCH($P1022,F_ProductBM!$Q:$Q,0))</f>
        <v/>
      </c>
      <c r="O1022" s="485"/>
      <c r="P1022" s="1158" t="str">
        <f>EUconst_CNTR_RelThreshold &amp; P1024</f>
        <v>RelThresh_HEATprelim_</v>
      </c>
      <c r="Q1022" s="1137"/>
      <c r="R1022" s="1137"/>
      <c r="S1022" s="1137"/>
      <c r="T1022" s="1137"/>
      <c r="U1022" s="1137"/>
      <c r="V1022" s="1137"/>
    </row>
    <row r="1023" spans="1:22" s="562" customFormat="1" ht="12.75" customHeight="1">
      <c r="A1023" s="719"/>
      <c r="B1023" s="485"/>
      <c r="C1023" s="559"/>
      <c r="D1023" s="706"/>
      <c r="E1023" s="736" t="s">
        <v>1853</v>
      </c>
      <c r="F1023" s="736"/>
      <c r="G1023" s="736"/>
      <c r="H1023" s="737" t="s">
        <v>1021</v>
      </c>
      <c r="I1023" s="738"/>
      <c r="J1023" s="2145" t="str">
        <f>INDEX(F_ProductBM!V:V,MATCH($P1023,F_ProductBM!$Q:$Q,0))</f>
        <v/>
      </c>
      <c r="K1023" s="2134" t="str">
        <f>INDEX(F_ProductBM!W:W,MATCH($P1023,F_ProductBM!$Q:$Q,0))</f>
        <v/>
      </c>
      <c r="L1023" s="2135" t="str">
        <f>INDEX(F_ProductBM!X:X,MATCH($P1023,F_ProductBM!$Q:$Q,0))</f>
        <v/>
      </c>
      <c r="M1023" s="2135" t="str">
        <f>INDEX(F_ProductBM!Y:Y,MATCH($P1023,F_ProductBM!$Q:$Q,0))</f>
        <v/>
      </c>
      <c r="N1023" s="2135" t="str">
        <f>INDEX(F_ProductBM!Z:Z,MATCH($P1023,F_ProductBM!$Q:$Q,0))</f>
        <v/>
      </c>
      <c r="O1023" s="485"/>
      <c r="P1023" s="1158" t="str">
        <f>P1022</f>
        <v>RelThresh_HEATprelim_</v>
      </c>
      <c r="Q1023" s="1137"/>
      <c r="R1023" s="1137"/>
      <c r="S1023" s="1137"/>
      <c r="T1023" s="1137"/>
      <c r="U1023" s="1137"/>
      <c r="V1023" s="1137"/>
    </row>
    <row r="1024" spans="1:22" s="562" customFormat="1" ht="12.75" customHeight="1">
      <c r="A1024" s="719"/>
      <c r="B1024" s="485"/>
      <c r="C1024" s="559"/>
      <c r="D1024" s="706"/>
      <c r="E1024" s="727" t="s">
        <v>1689</v>
      </c>
      <c r="F1024" s="727"/>
      <c r="G1024" s="727"/>
      <c r="H1024" s="749" t="str">
        <f>EUconst_EUA</f>
        <v>UKA</v>
      </c>
      <c r="I1024" s="727"/>
      <c r="J1024" s="2146" t="str">
        <f>IF($I969="","",INDEX(F_ProductBM!J:J,MATCH($P1024,F_ProductBM!$Q:$Q,0)))</f>
        <v/>
      </c>
      <c r="K1024" s="2072" t="str">
        <f>IF($I969="","",INDEX(F_ProductBM!K:K,MATCH($P1024,F_ProductBM!$Q:$Q,0)))</f>
        <v/>
      </c>
      <c r="L1024" s="2073" t="str">
        <f>IF($I969="","",INDEX(F_ProductBM!L:L,MATCH($P1024,F_ProductBM!$Q:$Q,0)))</f>
        <v/>
      </c>
      <c r="M1024" s="2073" t="str">
        <f>IF($I969="","",INDEX(F_ProductBM!M:M,MATCH($P1024,F_ProductBM!$Q:$Q,0)))</f>
        <v/>
      </c>
      <c r="N1024" s="2073" t="str">
        <f>IF($I969="","",INDEX(F_ProductBM!N:N,MATCH($P1024,F_ProductBM!$Q:$Q,0)))</f>
        <v/>
      </c>
      <c r="O1024" s="485"/>
      <c r="P1024" s="1158" t="str">
        <f>EUconst_CNTR_HEATprelim&amp;I969</f>
        <v>HEATprelim_</v>
      </c>
      <c r="Q1024" s="1137"/>
      <c r="R1024" s="1137"/>
      <c r="S1024" s="1137"/>
      <c r="T1024" s="1137"/>
      <c r="U1024" s="1137"/>
      <c r="V1024" s="1137"/>
    </row>
    <row r="1025" spans="1:22" s="562" customFormat="1" ht="12.75" hidden="1" customHeight="1">
      <c r="A1025" s="719" t="s">
        <v>2289</v>
      </c>
      <c r="B1025" s="485"/>
      <c r="C1025" s="559"/>
      <c r="D1025" s="706"/>
      <c r="E1025" s="723" t="s">
        <v>1422</v>
      </c>
      <c r="F1025" s="723"/>
      <c r="G1025" s="723"/>
      <c r="H1025" s="724" t="str">
        <f>EUconst_EUA</f>
        <v>UKA</v>
      </c>
      <c r="I1025" s="725"/>
      <c r="J1025" s="2139" t="str">
        <f t="shared" ref="J1025:N1028" si="73">I1080</f>
        <v/>
      </c>
      <c r="K1025" s="2072" t="str">
        <f t="shared" si="73"/>
        <v/>
      </c>
      <c r="L1025" s="2073" t="str">
        <f t="shared" si="73"/>
        <v/>
      </c>
      <c r="M1025" s="2073" t="str">
        <f t="shared" si="73"/>
        <v/>
      </c>
      <c r="N1025" s="2073" t="str">
        <f t="shared" si="73"/>
        <v/>
      </c>
      <c r="O1025" s="485"/>
      <c r="P1025" s="1137"/>
      <c r="Q1025" s="1137"/>
      <c r="R1025" s="1137"/>
      <c r="S1025" s="1137"/>
      <c r="T1025" s="1137"/>
      <c r="U1025" s="1137"/>
      <c r="V1025" s="1137"/>
    </row>
    <row r="1026" spans="1:22" s="562" customFormat="1" ht="12.75" hidden="1" customHeight="1">
      <c r="A1026" s="719" t="s">
        <v>2289</v>
      </c>
      <c r="B1026" s="485"/>
      <c r="C1026" s="559"/>
      <c r="D1026" s="706"/>
      <c r="E1026" s="723" t="s">
        <v>1390</v>
      </c>
      <c r="F1026" s="723"/>
      <c r="G1026" s="723"/>
      <c r="H1026" s="724" t="str">
        <f>EUconst_EUA</f>
        <v>UKA</v>
      </c>
      <c r="I1026" s="725"/>
      <c r="J1026" s="2139" t="str">
        <f t="shared" si="73"/>
        <v/>
      </c>
      <c r="K1026" s="2072" t="str">
        <f t="shared" si="73"/>
        <v/>
      </c>
      <c r="L1026" s="2073" t="str">
        <f t="shared" si="73"/>
        <v/>
      </c>
      <c r="M1026" s="2073" t="str">
        <f t="shared" si="73"/>
        <v/>
      </c>
      <c r="N1026" s="2073" t="str">
        <f t="shared" si="73"/>
        <v/>
      </c>
      <c r="O1026" s="485"/>
      <c r="P1026" s="1137"/>
      <c r="Q1026" s="1137"/>
      <c r="R1026" s="1137"/>
      <c r="S1026" s="1137"/>
      <c r="T1026" s="1137"/>
      <c r="U1026" s="1137"/>
      <c r="V1026" s="1137"/>
    </row>
    <row r="1027" spans="1:22" s="562" customFormat="1" ht="12.75" hidden="1" customHeight="1">
      <c r="A1027" s="719" t="s">
        <v>2289</v>
      </c>
      <c r="B1027" s="485"/>
      <c r="C1027" s="559"/>
      <c r="D1027" s="706"/>
      <c r="E1027" s="723" t="s">
        <v>1389</v>
      </c>
      <c r="F1027" s="723"/>
      <c r="G1027" s="723"/>
      <c r="H1027" s="726" t="s">
        <v>1021</v>
      </c>
      <c r="I1027" s="725"/>
      <c r="J1027" s="2140" t="str">
        <f t="shared" si="73"/>
        <v/>
      </c>
      <c r="K1027" s="2141" t="str">
        <f t="shared" si="73"/>
        <v/>
      </c>
      <c r="L1027" s="2142" t="str">
        <f t="shared" si="73"/>
        <v/>
      </c>
      <c r="M1027" s="2142" t="str">
        <f t="shared" si="73"/>
        <v/>
      </c>
      <c r="N1027" s="2142" t="str">
        <f t="shared" si="73"/>
        <v/>
      </c>
      <c r="O1027" s="485"/>
      <c r="P1027" s="1137"/>
      <c r="Q1027" s="1137"/>
      <c r="R1027" s="1137"/>
      <c r="S1027" s="1137"/>
      <c r="T1027" s="1137"/>
      <c r="U1027" s="1137"/>
      <c r="V1027" s="1137"/>
    </row>
    <row r="1028" spans="1:22" s="562" customFormat="1" ht="12.75" hidden="1" customHeight="1">
      <c r="A1028" s="719" t="s">
        <v>2289</v>
      </c>
      <c r="B1028" s="485"/>
      <c r="C1028" s="559"/>
      <c r="D1028" s="706"/>
      <c r="E1028" s="727" t="s">
        <v>1391</v>
      </c>
      <c r="F1028" s="727"/>
      <c r="G1028" s="727"/>
      <c r="H1028" s="728" t="s">
        <v>1021</v>
      </c>
      <c r="I1028" s="729"/>
      <c r="J1028" s="2143" t="str">
        <f t="shared" si="73"/>
        <v/>
      </c>
      <c r="K1028" s="2141" t="str">
        <f t="shared" si="73"/>
        <v/>
      </c>
      <c r="L1028" s="2142" t="str">
        <f t="shared" si="73"/>
        <v/>
      </c>
      <c r="M1028" s="2142" t="str">
        <f t="shared" si="73"/>
        <v/>
      </c>
      <c r="N1028" s="2142" t="str">
        <f t="shared" si="73"/>
        <v/>
      </c>
      <c r="O1028" s="485"/>
      <c r="P1028" s="1137"/>
      <c r="Q1028" s="1137"/>
      <c r="R1028" s="1137"/>
      <c r="S1028" s="1137"/>
      <c r="T1028" s="1137"/>
      <c r="U1028" s="1137"/>
      <c r="V1028" s="1137"/>
    </row>
    <row r="1029" spans="1:22" s="562" customFormat="1" ht="12.75" customHeight="1">
      <c r="A1029" s="719"/>
      <c r="B1029" s="485"/>
      <c r="C1029" s="559"/>
      <c r="D1029" s="706"/>
      <c r="E1029" s="698" t="s">
        <v>1671</v>
      </c>
      <c r="F1029" s="698"/>
      <c r="G1029" s="698"/>
      <c r="H1029" s="730" t="str">
        <f>EUconst_EUA</f>
        <v>UKA</v>
      </c>
      <c r="I1029" s="731"/>
      <c r="J1029" s="2129" t="str">
        <f>IF($I969="","",MAX(0,ROUND((SUM($M972)*SUM(J1020)*SUM(J1027)*SUM(J1028)-SUM(J1024)-SUM(J1025)+SUM(J1026))*IF($H972=TRUE,1,J$2517),0)))</f>
        <v/>
      </c>
      <c r="K1029" s="2072" t="str">
        <f>IF($I969="","",MAX(0,ROUND((SUM($M972)*SUM(K1020)*SUM(K1027)*SUM(K1028)-SUM(K1024)-SUM(K1025)+SUM(K1026))*IF($H972=TRUE,1,K$2517),0)))</f>
        <v/>
      </c>
      <c r="L1029" s="2073" t="str">
        <f>IF($I969="","",MAX(0,ROUND((SUM($M972)*SUM(L1020)*SUM(L1027)*SUM(L1028)-SUM(L1024)-SUM(L1025)+SUM(L1026))*IF($H972=TRUE,1,L$2517),0)))</f>
        <v/>
      </c>
      <c r="M1029" s="2073" t="str">
        <f>IF($I969="","",MAX(0,ROUND((SUM($M972)*SUM(M1020)*SUM(M1027)*SUM(M1028)-SUM(M1024)-SUM(M1025)+SUM(M1026))*IF($H972=TRUE,1,M$2517),0)))</f>
        <v/>
      </c>
      <c r="N1029" s="2073" t="str">
        <f>IF($I969="","",MAX(0,ROUND((SUM($M972)*SUM(N1020)*SUM(N1027)*SUM(N1028)-SUM(N1024)-SUM(N1025)+SUM(N1026))*IF($H972=TRUE,1,N$2517),0)))</f>
        <v/>
      </c>
      <c r="O1029" s="485"/>
      <c r="P1029" s="1137"/>
      <c r="Q1029" s="1137"/>
      <c r="R1029" s="1137"/>
      <c r="S1029" s="1137"/>
      <c r="T1029" s="1137"/>
      <c r="U1029" s="1137"/>
      <c r="V1029" s="1137"/>
    </row>
    <row r="1030" spans="1:22" s="562" customFormat="1" ht="12.75" customHeight="1">
      <c r="A1030" s="719"/>
      <c r="B1030" s="485"/>
      <c r="C1030" s="559"/>
      <c r="D1030" s="706"/>
      <c r="E1030" s="698" t="s">
        <v>1670</v>
      </c>
      <c r="F1030" s="698"/>
      <c r="G1030" s="698"/>
      <c r="H1030" s="730" t="str">
        <f>EUconst_EUA</f>
        <v>UKA</v>
      </c>
      <c r="I1030" s="731"/>
      <c r="J1030" s="2129" t="str">
        <f>IF($I969="","",ABS(SUM(J1029)-SUM(J989)))</f>
        <v/>
      </c>
      <c r="K1030" s="2072" t="str">
        <f>IF($I969="","",ABS(SUM(K1029)-SUM(K989)))</f>
        <v/>
      </c>
      <c r="L1030" s="2073" t="str">
        <f>IF($I969="","",ABS(SUM(L1029)-SUM(L989)))</f>
        <v/>
      </c>
      <c r="M1030" s="2073" t="str">
        <f>IF($I969="","",ABS(SUM(M1029)-SUM(M989)))</f>
        <v/>
      </c>
      <c r="N1030" s="2073" t="str">
        <f>IF($I969="","",ABS(SUM(N1029)-SUM(N989)))</f>
        <v/>
      </c>
      <c r="O1030" s="485"/>
      <c r="P1030" s="1137"/>
      <c r="Q1030" s="1137"/>
      <c r="R1030" s="1137"/>
      <c r="S1030" s="1137"/>
      <c r="T1030" s="1137"/>
      <c r="U1030" s="1137"/>
      <c r="V1030" s="1137"/>
    </row>
    <row r="1031" spans="1:22" s="562" customFormat="1" ht="12.75" customHeight="1">
      <c r="A1031" s="719"/>
      <c r="B1031" s="485"/>
      <c r="C1031" s="559"/>
      <c r="D1031" s="706"/>
      <c r="E1031" s="740" t="s">
        <v>2132</v>
      </c>
      <c r="F1031" s="740"/>
      <c r="G1031" s="740"/>
      <c r="H1031" s="741" t="s">
        <v>1021</v>
      </c>
      <c r="I1031" s="742"/>
      <c r="J1031" s="2147" t="str">
        <f>IF($I969="","",J1030&gt;=100)</f>
        <v/>
      </c>
      <c r="K1031" s="2134" t="str">
        <f>IF($I969="","",K1030&gt;=100)</f>
        <v/>
      </c>
      <c r="L1031" s="2135" t="str">
        <f>IF($I969="","",L1030&gt;=100)</f>
        <v/>
      </c>
      <c r="M1031" s="2135" t="str">
        <f>IF($I969="","",M1030&gt;=100)</f>
        <v/>
      </c>
      <c r="N1031" s="2135" t="str">
        <f>IF($I969="","",N1030&gt;=100)</f>
        <v/>
      </c>
      <c r="O1031" s="485"/>
      <c r="P1031" s="1158" t="str">
        <f>EUconst_CNTR_100EUA_HEAT&amp;I969</f>
        <v>EUA100HEAT_</v>
      </c>
      <c r="Q1031" s="1137"/>
      <c r="R1031" s="1137"/>
      <c r="S1031" s="1137"/>
      <c r="T1031" s="1137"/>
      <c r="U1031" s="1137"/>
      <c r="V1031" s="1137"/>
    </row>
    <row r="1032" spans="1:22" s="562" customFormat="1" ht="5.0999999999999996" customHeight="1">
      <c r="A1032" s="719"/>
      <c r="B1032" s="485"/>
      <c r="C1032" s="559"/>
      <c r="D1032" s="706"/>
      <c r="E1032" s="485"/>
      <c r="F1032" s="485"/>
      <c r="G1032" s="485"/>
      <c r="H1032" s="485"/>
      <c r="I1032" s="743"/>
      <c r="J1032" s="485"/>
      <c r="K1032" s="1790"/>
      <c r="L1032" s="1791"/>
      <c r="M1032" s="1791"/>
      <c r="N1032" s="1791"/>
      <c r="O1032" s="485"/>
      <c r="P1032" s="1137"/>
      <c r="Q1032" s="1137"/>
      <c r="R1032" s="1137"/>
      <c r="S1032" s="1137"/>
      <c r="T1032" s="1137"/>
      <c r="U1032" s="1137"/>
      <c r="V1032" s="1137"/>
    </row>
    <row r="1033" spans="1:22" s="562" customFormat="1" ht="12.75" customHeight="1">
      <c r="A1033" s="719"/>
      <c r="B1033" s="485"/>
      <c r="C1033" s="559"/>
      <c r="D1033" s="706"/>
      <c r="E1033" s="707" t="s">
        <v>1755</v>
      </c>
      <c r="F1033" s="637"/>
      <c r="G1033" s="637"/>
      <c r="H1033" s="663" t="str">
        <f>EUconst_Unit</f>
        <v>Unit</v>
      </c>
      <c r="I1033" s="708"/>
      <c r="J1033" s="2132">
        <f>J$2737</f>
        <v>2026</v>
      </c>
      <c r="K1033" s="1489">
        <f>K$2737</f>
        <v>2027</v>
      </c>
      <c r="L1033" s="1490">
        <f>L$2737</f>
        <v>2028</v>
      </c>
      <c r="M1033" s="1490">
        <f>M$2737</f>
        <v>2029</v>
      </c>
      <c r="N1033" s="1490">
        <f>N$2737</f>
        <v>2030</v>
      </c>
      <c r="O1033" s="485"/>
      <c r="P1033" s="1137"/>
      <c r="Q1033" s="1137"/>
      <c r="R1033" s="1137"/>
      <c r="S1033" s="1137"/>
      <c r="T1033" s="1137"/>
      <c r="U1033" s="1137"/>
      <c r="V1033" s="1137"/>
    </row>
    <row r="1034" spans="1:22" s="562" customFormat="1" ht="12.75" hidden="1" customHeight="1">
      <c r="A1034" s="719" t="s">
        <v>2289</v>
      </c>
      <c r="B1034" s="485"/>
      <c r="C1034" s="559"/>
      <c r="D1034" s="706"/>
      <c r="E1034" s="698" t="s">
        <v>1714</v>
      </c>
      <c r="F1034" s="698"/>
      <c r="G1034" s="698"/>
      <c r="H1034" s="639" t="str">
        <f>H1020</f>
        <v>tonnes</v>
      </c>
      <c r="I1034" s="698"/>
      <c r="J1034" s="2137" t="str">
        <f t="shared" ref="J1034:N1036" si="74">I1078</f>
        <v/>
      </c>
      <c r="K1034" s="2072" t="str">
        <f t="shared" si="74"/>
        <v/>
      </c>
      <c r="L1034" s="2073" t="str">
        <f t="shared" si="74"/>
        <v/>
      </c>
      <c r="M1034" s="2073" t="str">
        <f t="shared" si="74"/>
        <v/>
      </c>
      <c r="N1034" s="2073" t="str">
        <f t="shared" si="74"/>
        <v/>
      </c>
      <c r="O1034" s="485"/>
      <c r="P1034" s="1137"/>
      <c r="Q1034" s="1137"/>
      <c r="R1034" s="1137"/>
      <c r="S1034" s="1137"/>
      <c r="T1034" s="1137"/>
      <c r="U1034" s="1137"/>
      <c r="V1034" s="1137"/>
    </row>
    <row r="1035" spans="1:22" s="562" customFormat="1" ht="12.75" hidden="1" customHeight="1">
      <c r="A1035" s="719" t="s">
        <v>2289</v>
      </c>
      <c r="B1035" s="485"/>
      <c r="C1035" s="559"/>
      <c r="D1035" s="706"/>
      <c r="E1035" s="720" t="s">
        <v>303</v>
      </c>
      <c r="F1035" s="720"/>
      <c r="G1035" s="720"/>
      <c r="H1035" s="721" t="str">
        <f>EUconst_EUA</f>
        <v>UKA</v>
      </c>
      <c r="I1035" s="722"/>
      <c r="J1035" s="2138" t="str">
        <f t="shared" si="74"/>
        <v/>
      </c>
      <c r="K1035" s="2072" t="str">
        <f t="shared" si="74"/>
        <v/>
      </c>
      <c r="L1035" s="2073" t="str">
        <f t="shared" si="74"/>
        <v/>
      </c>
      <c r="M1035" s="2073" t="str">
        <f t="shared" si="74"/>
        <v/>
      </c>
      <c r="N1035" s="2073" t="str">
        <f t="shared" si="74"/>
        <v/>
      </c>
      <c r="O1035" s="485"/>
      <c r="P1035" s="1137"/>
      <c r="Q1035" s="1137"/>
      <c r="R1035" s="1137"/>
      <c r="S1035" s="1137"/>
      <c r="T1035" s="1137"/>
      <c r="U1035" s="1137"/>
      <c r="V1035" s="1137"/>
    </row>
    <row r="1036" spans="1:22" s="562" customFormat="1" ht="12.75" hidden="1" customHeight="1">
      <c r="A1036" s="719" t="s">
        <v>2289</v>
      </c>
      <c r="B1036" s="485"/>
      <c r="C1036" s="559"/>
      <c r="D1036" s="706"/>
      <c r="E1036" s="745" t="s">
        <v>1422</v>
      </c>
      <c r="F1036" s="745"/>
      <c r="G1036" s="745"/>
      <c r="H1036" s="746" t="str">
        <f>EUconst_EUA</f>
        <v>UKA</v>
      </c>
      <c r="I1036" s="747"/>
      <c r="J1036" s="2148" t="str">
        <f t="shared" si="74"/>
        <v/>
      </c>
      <c r="K1036" s="2072" t="str">
        <f t="shared" si="74"/>
        <v/>
      </c>
      <c r="L1036" s="2073" t="str">
        <f t="shared" si="74"/>
        <v/>
      </c>
      <c r="M1036" s="2073" t="str">
        <f t="shared" si="74"/>
        <v/>
      </c>
      <c r="N1036" s="2073" t="str">
        <f t="shared" si="74"/>
        <v/>
      </c>
      <c r="O1036" s="485"/>
      <c r="P1036" s="1137"/>
      <c r="Q1036" s="1137"/>
      <c r="R1036" s="1137"/>
      <c r="S1036" s="1137"/>
      <c r="T1036" s="1137"/>
      <c r="U1036" s="1137"/>
      <c r="V1036" s="1137"/>
    </row>
    <row r="1037" spans="1:22" s="562" customFormat="1" ht="12.75" customHeight="1">
      <c r="A1037" s="719"/>
      <c r="B1037" s="485"/>
      <c r="C1037" s="559"/>
      <c r="D1037" s="706"/>
      <c r="E1037" s="720" t="s">
        <v>1691</v>
      </c>
      <c r="F1037" s="720"/>
      <c r="G1037" s="720"/>
      <c r="H1037" s="721" t="str">
        <f>EUconst_EUA</f>
        <v>UKA</v>
      </c>
      <c r="I1037" s="722"/>
      <c r="J1037" s="2151" t="str">
        <f>IF(L972=42,INDEX(H_SpecialBM!J:J,MATCH($P1037,H_SpecialBM!$Q:$Q,0)),"")</f>
        <v/>
      </c>
      <c r="K1037" s="2072" t="str">
        <f>IF(L972=42,INDEX(H_SpecialBM!K:K,MATCH($P1037,H_SpecialBM!$Q:$Q,0)),"")</f>
        <v/>
      </c>
      <c r="L1037" s="2073" t="str">
        <f>IF(L972=42,INDEX(H_SpecialBM!L:L,MATCH($P1037,H_SpecialBM!$Q:$Q,0)),"")</f>
        <v/>
      </c>
      <c r="M1037" s="2073" t="str">
        <f>IF(L972=42,INDEX(H_SpecialBM!M:M,MATCH($P1037,H_SpecialBM!$Q:$Q,0)),"")</f>
        <v/>
      </c>
      <c r="N1037" s="2073" t="str">
        <f>IF(L972=42,INDEX(H_SpecialBM!N:N,MATCH($P1037,H_SpecialBM!$Q:$Q,0)),"")</f>
        <v/>
      </c>
      <c r="O1037" s="485"/>
      <c r="P1037" s="1158" t="str">
        <f>EUconst_CNTR_HVCInitial &amp; INDEX(EUconst_BMlistNames,42)</f>
        <v>HVCIni_Steam cracking</v>
      </c>
      <c r="Q1037" s="1137"/>
      <c r="R1037" s="1137"/>
      <c r="S1037" s="1137"/>
      <c r="T1037" s="1137"/>
      <c r="U1037" s="1137"/>
      <c r="V1037" s="1137"/>
    </row>
    <row r="1038" spans="1:22" s="562" customFormat="1" ht="12.75" customHeight="1">
      <c r="A1038" s="719"/>
      <c r="B1038" s="485"/>
      <c r="C1038" s="559"/>
      <c r="D1038" s="706"/>
      <c r="E1038" s="723" t="s">
        <v>2232</v>
      </c>
      <c r="F1038" s="723"/>
      <c r="G1038" s="723"/>
      <c r="H1038" s="751" t="s">
        <v>1021</v>
      </c>
      <c r="I1038" s="735"/>
      <c r="J1038" s="23" t="str">
        <f>IF(L972=42,INDEX(H_SpecialBM!J:J,MATCH($P1038,H_SpecialBM!$Q:$Q,0)),"")</f>
        <v/>
      </c>
      <c r="K1038" s="46" t="str">
        <f>IF(L972=42,INDEX(H_SpecialBM!K:K,MATCH($P1038,H_SpecialBM!$Q:$Q,0)),"")</f>
        <v/>
      </c>
      <c r="L1038" s="27" t="str">
        <f>IF(L972=42,INDEX(H_SpecialBM!L:L,MATCH($P1038,H_SpecialBM!$Q:$Q,0)),"")</f>
        <v/>
      </c>
      <c r="M1038" s="27" t="str">
        <f>IF(L972=42,INDEX(H_SpecialBM!M:M,MATCH($P1038,H_SpecialBM!$Q:$Q,0)),"")</f>
        <v/>
      </c>
      <c r="N1038" s="27" t="str">
        <f>IF(L972=42,INDEX(H_SpecialBM!N:N,MATCH($P1038,H_SpecialBM!$Q:$Q,0)),"")</f>
        <v/>
      </c>
      <c r="O1038" s="485"/>
      <c r="P1038" s="1158" t="str">
        <f>EUconst_CNTR_RelThreshold &amp; P1040</f>
        <v>RelThresh_HVCprelim_</v>
      </c>
      <c r="Q1038" s="1137"/>
      <c r="R1038" s="1137"/>
      <c r="S1038" s="1137"/>
      <c r="T1038" s="1137"/>
      <c r="U1038" s="1137"/>
      <c r="V1038" s="1137"/>
    </row>
    <row r="1039" spans="1:22" s="562" customFormat="1" ht="12.75" customHeight="1">
      <c r="A1039" s="719"/>
      <c r="B1039" s="485"/>
      <c r="C1039" s="559"/>
      <c r="D1039" s="706"/>
      <c r="E1039" s="736" t="s">
        <v>1854</v>
      </c>
      <c r="F1039" s="736"/>
      <c r="G1039" s="736"/>
      <c r="H1039" s="738" t="s">
        <v>1021</v>
      </c>
      <c r="I1039" s="738"/>
      <c r="J1039" s="2145" t="str">
        <f>IF(L972=42,INDEX(H_SpecialBM!V:V,MATCH($P1039,H_SpecialBM!$Q:$Q,0)),"")</f>
        <v/>
      </c>
      <c r="K1039" s="2134" t="str">
        <f>IF(L972=42,INDEX(H_SpecialBM!W:W,MATCH($P1039,H_SpecialBM!$Q:$Q,0)),"")</f>
        <v/>
      </c>
      <c r="L1039" s="2135" t="str">
        <f>IF(L972=42,INDEX(H_SpecialBM!X:X,MATCH($P1039,H_SpecialBM!$Q:$Q,0)),"")</f>
        <v/>
      </c>
      <c r="M1039" s="2135" t="str">
        <f>IF(L972=42,INDEX(H_SpecialBM!Y:Y,MATCH($P1039,H_SpecialBM!$Q:$Q,0)),"")</f>
        <v/>
      </c>
      <c r="N1039" s="2135" t="str">
        <f>IF(L972=42,INDEX(H_SpecialBM!Z:Z,MATCH($P1039,H_SpecialBM!$Q:$Q,0)),"")</f>
        <v/>
      </c>
      <c r="O1039" s="485"/>
      <c r="P1039" s="1158" t="str">
        <f>P1038</f>
        <v>RelThresh_HVCprelim_</v>
      </c>
      <c r="Q1039" s="1137"/>
      <c r="R1039" s="1137"/>
      <c r="S1039" s="1137"/>
      <c r="T1039" s="1137"/>
      <c r="U1039" s="1137"/>
      <c r="V1039" s="1137"/>
    </row>
    <row r="1040" spans="1:22" s="562" customFormat="1" ht="12.75" customHeight="1">
      <c r="A1040" s="719"/>
      <c r="B1040" s="485"/>
      <c r="C1040" s="559"/>
      <c r="D1040" s="706"/>
      <c r="E1040" s="727" t="s">
        <v>1689</v>
      </c>
      <c r="F1040" s="727"/>
      <c r="G1040" s="727"/>
      <c r="H1040" s="728" t="str">
        <f>EUconst_EUA</f>
        <v>UKA</v>
      </c>
      <c r="I1040" s="729"/>
      <c r="J1040" s="2152" t="str">
        <f>IF($L972=42,INDEX(H_SpecialBM!J:J,MATCH($P1040,H_SpecialBM!$Q:$Q,0)),"")</f>
        <v/>
      </c>
      <c r="K1040" s="2072" t="str">
        <f>IF($L972=42,INDEX(H_SpecialBM!K:K,MATCH($P1040,H_SpecialBM!$Q:$Q,0)),"")</f>
        <v/>
      </c>
      <c r="L1040" s="2073" t="str">
        <f>IF($L972=42,INDEX(H_SpecialBM!L:L,MATCH($P1040,H_SpecialBM!$Q:$Q,0)),"")</f>
        <v/>
      </c>
      <c r="M1040" s="2073" t="str">
        <f>IF($L972=42,INDEX(H_SpecialBM!M:M,MATCH($P1040,H_SpecialBM!$Q:$Q,0)),"")</f>
        <v/>
      </c>
      <c r="N1040" s="2073" t="str">
        <f>IF($L972=42,INDEX(H_SpecialBM!N:N,MATCH($P1040,H_SpecialBM!$Q:$Q,0)),"")</f>
        <v/>
      </c>
      <c r="O1040" s="485"/>
      <c r="P1040" s="1158" t="str">
        <f>EUconst_CNTR_HVCprelim</f>
        <v>HVCprelim_</v>
      </c>
      <c r="Q1040" s="1137"/>
      <c r="R1040" s="1137"/>
      <c r="S1040" s="1137"/>
      <c r="T1040" s="1137"/>
      <c r="U1040" s="1137"/>
      <c r="V1040" s="1137"/>
    </row>
    <row r="1041" spans="1:22" s="562" customFormat="1" ht="12.75" hidden="1" customHeight="1">
      <c r="A1041" s="719" t="s">
        <v>2289</v>
      </c>
      <c r="B1041" s="485"/>
      <c r="C1041" s="559"/>
      <c r="D1041" s="706"/>
      <c r="E1041" s="645" t="s">
        <v>1389</v>
      </c>
      <c r="F1041" s="645"/>
      <c r="G1041" s="645"/>
      <c r="H1041" s="752" t="s">
        <v>1021</v>
      </c>
      <c r="I1041" s="753"/>
      <c r="J1041" s="2153" t="str">
        <f t="shared" ref="J1041:N1042" si="75">I1082</f>
        <v/>
      </c>
      <c r="K1041" s="2141" t="str">
        <f t="shared" si="75"/>
        <v/>
      </c>
      <c r="L1041" s="2142" t="str">
        <f t="shared" si="75"/>
        <v/>
      </c>
      <c r="M1041" s="2142" t="str">
        <f t="shared" si="75"/>
        <v/>
      </c>
      <c r="N1041" s="2142" t="str">
        <f t="shared" si="75"/>
        <v/>
      </c>
      <c r="O1041" s="485"/>
      <c r="P1041" s="1137"/>
      <c r="Q1041" s="1137"/>
      <c r="R1041" s="1137"/>
      <c r="S1041" s="1137"/>
      <c r="T1041" s="1137"/>
      <c r="U1041" s="1137"/>
      <c r="V1041" s="1137"/>
    </row>
    <row r="1042" spans="1:22" s="562" customFormat="1" ht="12.75" hidden="1" customHeight="1">
      <c r="A1042" s="719" t="s">
        <v>2289</v>
      </c>
      <c r="B1042" s="485"/>
      <c r="C1042" s="559"/>
      <c r="D1042" s="706"/>
      <c r="E1042" s="727" t="s">
        <v>1391</v>
      </c>
      <c r="F1042" s="727"/>
      <c r="G1042" s="727"/>
      <c r="H1042" s="728" t="s">
        <v>1021</v>
      </c>
      <c r="I1042" s="729"/>
      <c r="J1042" s="2143" t="str">
        <f t="shared" si="75"/>
        <v/>
      </c>
      <c r="K1042" s="2141" t="str">
        <f t="shared" si="75"/>
        <v/>
      </c>
      <c r="L1042" s="2142" t="str">
        <f t="shared" si="75"/>
        <v/>
      </c>
      <c r="M1042" s="2142" t="str">
        <f t="shared" si="75"/>
        <v/>
      </c>
      <c r="N1042" s="2142" t="str">
        <f t="shared" si="75"/>
        <v/>
      </c>
      <c r="O1042" s="485"/>
      <c r="P1042" s="1137"/>
      <c r="Q1042" s="1137"/>
      <c r="R1042" s="1137"/>
      <c r="S1042" s="1137"/>
      <c r="T1042" s="1137"/>
      <c r="U1042" s="1137"/>
      <c r="V1042" s="1137"/>
    </row>
    <row r="1043" spans="1:22" s="562" customFormat="1" ht="12.75" customHeight="1">
      <c r="A1043" s="719"/>
      <c r="B1043" s="485"/>
      <c r="C1043" s="559"/>
      <c r="D1043" s="706"/>
      <c r="E1043" s="698" t="s">
        <v>1671</v>
      </c>
      <c r="F1043" s="698"/>
      <c r="G1043" s="698"/>
      <c r="H1043" s="730" t="str">
        <f>EUconst_EUA</f>
        <v>UKA</v>
      </c>
      <c r="I1043" s="731"/>
      <c r="J1043" s="2129" t="str">
        <f>IF(J1040="","",MAX(0,ROUND((SUM($M972)*SUM(J1034)*SUM(J1041)*SUM(J1042)-SUM(J1035)-SUM(J1036)+SUM(J1040))*IF($H972=TRUE,1,J$2517),0)))</f>
        <v/>
      </c>
      <c r="K1043" s="2072" t="str">
        <f>IF(K1040="","",MAX(0,ROUND((SUM($M972)*SUM(K1034)*SUM(K1041)*SUM(K1042)-SUM(K1035)-SUM(K1036)+SUM(K1040))*IF($H972=TRUE,1,K$2517),0)))</f>
        <v/>
      </c>
      <c r="L1043" s="2073" t="str">
        <f>IF(L1040="","",MAX(0,ROUND((SUM($M972)*SUM(L1034)*SUM(L1041)*SUM(L1042)-SUM(L1035)-SUM(L1036)+SUM(L1040))*IF($H972=TRUE,1,L$2517),0)))</f>
        <v/>
      </c>
      <c r="M1043" s="2073" t="str">
        <f>IF(M1040="","",MAX(0,ROUND((SUM($M972)*SUM(M1034)*SUM(M1041)*SUM(M1042)-SUM(M1035)-SUM(M1036)+SUM(M1040))*IF($H972=TRUE,1,M$2517),0)))</f>
        <v/>
      </c>
      <c r="N1043" s="2073" t="str">
        <f>IF(N1040="","",MAX(0,ROUND((SUM($M972)*SUM(N1034)*SUM(N1041)*SUM(N1042)-SUM(N1035)-SUM(N1036)+SUM(N1040))*IF($H972=TRUE,1,N$2517),0)))</f>
        <v/>
      </c>
      <c r="O1043" s="485"/>
      <c r="P1043" s="1137"/>
      <c r="Q1043" s="1137"/>
      <c r="R1043" s="1137"/>
      <c r="S1043" s="1137"/>
      <c r="T1043" s="1137"/>
      <c r="U1043" s="1137"/>
      <c r="V1043" s="1137"/>
    </row>
    <row r="1044" spans="1:22" s="562" customFormat="1" ht="12.75" customHeight="1">
      <c r="A1044" s="719"/>
      <c r="B1044" s="485"/>
      <c r="C1044" s="559"/>
      <c r="D1044" s="706"/>
      <c r="E1044" s="698" t="s">
        <v>1670</v>
      </c>
      <c r="F1044" s="698"/>
      <c r="G1044" s="698"/>
      <c r="H1044" s="730" t="str">
        <f>EUconst_EUA</f>
        <v>UKA</v>
      </c>
      <c r="I1044" s="731"/>
      <c r="J1044" s="2129" t="str">
        <f>IF(J1043="","",ABS(SUM(J1043)-SUM(J989)))</f>
        <v/>
      </c>
      <c r="K1044" s="2072" t="str">
        <f>IF(K1043="","",ABS(SUM(K1043)-SUM(K989)))</f>
        <v/>
      </c>
      <c r="L1044" s="2073" t="str">
        <f>IF(L1043="","",ABS(SUM(L1043)-SUM(L989)))</f>
        <v/>
      </c>
      <c r="M1044" s="2073" t="str">
        <f>IF(M1043="","",ABS(SUM(M1043)-SUM(M989)))</f>
        <v/>
      </c>
      <c r="N1044" s="2073" t="str">
        <f>IF(N1043="","",ABS(SUM(N1043)-SUM(N989)))</f>
        <v/>
      </c>
      <c r="O1044" s="485"/>
      <c r="P1044" s="1137"/>
      <c r="Q1044" s="1137"/>
      <c r="R1044" s="1137"/>
      <c r="S1044" s="1137"/>
      <c r="T1044" s="1137"/>
      <c r="U1044" s="1137"/>
      <c r="V1044" s="1137"/>
    </row>
    <row r="1045" spans="1:22" s="562" customFormat="1" ht="12.75" customHeight="1">
      <c r="A1045" s="719"/>
      <c r="B1045" s="485"/>
      <c r="C1045" s="559"/>
      <c r="D1045" s="706"/>
      <c r="E1045" s="740" t="s">
        <v>2133</v>
      </c>
      <c r="F1045" s="698"/>
      <c r="G1045" s="698"/>
      <c r="H1045" s="741" t="s">
        <v>1021</v>
      </c>
      <c r="I1045" s="742"/>
      <c r="J1045" s="2147" t="str">
        <f>IF(J1044="","",J1044&gt;=100)</f>
        <v/>
      </c>
      <c r="K1045" s="2134" t="str">
        <f>IF(K1044="","",K1044&gt;=100)</f>
        <v/>
      </c>
      <c r="L1045" s="2135" t="str">
        <f>IF(L1044="","",L1044&gt;=100)</f>
        <v/>
      </c>
      <c r="M1045" s="2135" t="str">
        <f>IF(M1044="","",M1044&gt;=100)</f>
        <v/>
      </c>
      <c r="N1045" s="2135" t="str">
        <f>IF(N1044="","",N1044&gt;=100)</f>
        <v/>
      </c>
      <c r="O1045" s="485"/>
      <c r="P1045" s="1158" t="str">
        <f>EUconst_CNTR_100EUA_HVC&amp;I969</f>
        <v>EUA100HVC_</v>
      </c>
      <c r="Q1045" s="1137"/>
      <c r="R1045" s="1137"/>
      <c r="S1045" s="1137"/>
      <c r="T1045" s="1137"/>
      <c r="U1045" s="1137"/>
      <c r="V1045" s="1137"/>
    </row>
    <row r="1046" spans="1:22" s="562" customFormat="1" ht="5.0999999999999996" customHeight="1">
      <c r="A1046" s="719"/>
      <c r="B1046" s="485"/>
      <c r="C1046" s="559"/>
      <c r="D1046" s="706"/>
      <c r="E1046" s="485"/>
      <c r="F1046" s="485"/>
      <c r="G1046" s="485"/>
      <c r="H1046" s="485"/>
      <c r="I1046" s="743"/>
      <c r="J1046" s="485"/>
      <c r="K1046" s="1790"/>
      <c r="L1046" s="1791"/>
      <c r="M1046" s="1791"/>
      <c r="N1046" s="1791"/>
      <c r="O1046" s="485"/>
      <c r="P1046" s="1137"/>
      <c r="Q1046" s="1137"/>
      <c r="R1046" s="1137"/>
      <c r="S1046" s="1137"/>
      <c r="T1046" s="1137"/>
      <c r="U1046" s="1137"/>
      <c r="V1046" s="1137"/>
    </row>
    <row r="1047" spans="1:22" s="562" customFormat="1" ht="12.75" customHeight="1">
      <c r="A1047" s="719"/>
      <c r="B1047" s="485"/>
      <c r="C1047" s="559"/>
      <c r="D1047" s="706"/>
      <c r="E1047" s="707" t="s">
        <v>1756</v>
      </c>
      <c r="F1047" s="637"/>
      <c r="G1047" s="637"/>
      <c r="H1047" s="663" t="str">
        <f>EUconst_Unit</f>
        <v>Unit</v>
      </c>
      <c r="I1047" s="708"/>
      <c r="J1047" s="2132">
        <f>J$2737</f>
        <v>2026</v>
      </c>
      <c r="K1047" s="1489">
        <f>K$2737</f>
        <v>2027</v>
      </c>
      <c r="L1047" s="1490">
        <f>L$2737</f>
        <v>2028</v>
      </c>
      <c r="M1047" s="1490">
        <f>M$2737</f>
        <v>2029</v>
      </c>
      <c r="N1047" s="1490">
        <f>N$2737</f>
        <v>2030</v>
      </c>
      <c r="O1047" s="485"/>
      <c r="P1047" s="1137"/>
      <c r="Q1047" s="1137"/>
      <c r="R1047" s="1137"/>
      <c r="S1047" s="1137"/>
      <c r="T1047" s="1137"/>
      <c r="U1047" s="1137"/>
      <c r="V1047" s="1137"/>
    </row>
    <row r="1048" spans="1:22" s="562" customFormat="1" ht="12.75" hidden="1" customHeight="1">
      <c r="A1048" s="719" t="s">
        <v>2289</v>
      </c>
      <c r="B1048" s="485"/>
      <c r="C1048" s="559"/>
      <c r="D1048" s="706"/>
      <c r="E1048" s="698" t="s">
        <v>1714</v>
      </c>
      <c r="F1048" s="698"/>
      <c r="G1048" s="698"/>
      <c r="H1048" s="639" t="str">
        <f>H1034</f>
        <v>tonnes</v>
      </c>
      <c r="I1048" s="698"/>
      <c r="J1048" s="2137" t="str">
        <f t="shared" ref="J1048:N1052" si="76">I1078</f>
        <v/>
      </c>
      <c r="K1048" s="2072" t="str">
        <f t="shared" si="76"/>
        <v/>
      </c>
      <c r="L1048" s="2073" t="str">
        <f t="shared" si="76"/>
        <v/>
      </c>
      <c r="M1048" s="2073" t="str">
        <f t="shared" si="76"/>
        <v/>
      </c>
      <c r="N1048" s="2073" t="str">
        <f t="shared" si="76"/>
        <v/>
      </c>
      <c r="O1048" s="485"/>
      <c r="P1048" s="1137"/>
      <c r="Q1048" s="1137"/>
      <c r="R1048" s="1137"/>
      <c r="S1048" s="1137"/>
      <c r="T1048" s="1137"/>
      <c r="U1048" s="1137"/>
      <c r="V1048" s="1137"/>
    </row>
    <row r="1049" spans="1:22" s="562" customFormat="1" ht="12.75" hidden="1" customHeight="1">
      <c r="A1049" s="719" t="s">
        <v>2289</v>
      </c>
      <c r="B1049" s="485"/>
      <c r="C1049" s="559"/>
      <c r="D1049" s="706"/>
      <c r="E1049" s="720" t="s">
        <v>303</v>
      </c>
      <c r="F1049" s="720"/>
      <c r="G1049" s="720"/>
      <c r="H1049" s="721" t="str">
        <f>EUconst_EUA</f>
        <v>UKA</v>
      </c>
      <c r="I1049" s="722"/>
      <c r="J1049" s="2138" t="str">
        <f t="shared" si="76"/>
        <v/>
      </c>
      <c r="K1049" s="2072" t="str">
        <f t="shared" si="76"/>
        <v/>
      </c>
      <c r="L1049" s="2073" t="str">
        <f t="shared" si="76"/>
        <v/>
      </c>
      <c r="M1049" s="2073" t="str">
        <f t="shared" si="76"/>
        <v/>
      </c>
      <c r="N1049" s="2073" t="str">
        <f t="shared" si="76"/>
        <v/>
      </c>
      <c r="O1049" s="485"/>
      <c r="P1049" s="1137"/>
      <c r="Q1049" s="1137"/>
      <c r="R1049" s="1137"/>
      <c r="S1049" s="1137"/>
      <c r="T1049" s="1137"/>
      <c r="U1049" s="1137"/>
      <c r="V1049" s="1137"/>
    </row>
    <row r="1050" spans="1:22" s="562" customFormat="1" ht="12.75" hidden="1" customHeight="1">
      <c r="A1050" s="719" t="s">
        <v>2289</v>
      </c>
      <c r="B1050" s="485"/>
      <c r="C1050" s="559"/>
      <c r="D1050" s="706"/>
      <c r="E1050" s="723" t="s">
        <v>1422</v>
      </c>
      <c r="F1050" s="723"/>
      <c r="G1050" s="723"/>
      <c r="H1050" s="724" t="str">
        <f>EUconst_EUA</f>
        <v>UKA</v>
      </c>
      <c r="I1050" s="725"/>
      <c r="J1050" s="2139" t="str">
        <f t="shared" si="76"/>
        <v/>
      </c>
      <c r="K1050" s="2072" t="str">
        <f t="shared" si="76"/>
        <v/>
      </c>
      <c r="L1050" s="2073" t="str">
        <f t="shared" si="76"/>
        <v/>
      </c>
      <c r="M1050" s="2073" t="str">
        <f t="shared" si="76"/>
        <v/>
      </c>
      <c r="N1050" s="2073" t="str">
        <f t="shared" si="76"/>
        <v/>
      </c>
      <c r="O1050" s="485"/>
      <c r="P1050" s="1137"/>
      <c r="Q1050" s="1137"/>
      <c r="R1050" s="1137"/>
      <c r="S1050" s="1137"/>
      <c r="T1050" s="1137"/>
      <c r="U1050" s="1137"/>
      <c r="V1050" s="1137"/>
    </row>
    <row r="1051" spans="1:22" s="562" customFormat="1" ht="12.75" hidden="1" customHeight="1">
      <c r="A1051" s="719" t="s">
        <v>2289</v>
      </c>
      <c r="B1051" s="485"/>
      <c r="C1051" s="559"/>
      <c r="D1051" s="706"/>
      <c r="E1051" s="723" t="s">
        <v>1390</v>
      </c>
      <c r="F1051" s="723"/>
      <c r="G1051" s="723"/>
      <c r="H1051" s="724" t="str">
        <f>EUconst_EUA</f>
        <v>UKA</v>
      </c>
      <c r="I1051" s="725"/>
      <c r="J1051" s="2139" t="str">
        <f t="shared" si="76"/>
        <v/>
      </c>
      <c r="K1051" s="2072" t="str">
        <f t="shared" si="76"/>
        <v/>
      </c>
      <c r="L1051" s="2073" t="str">
        <f t="shared" si="76"/>
        <v/>
      </c>
      <c r="M1051" s="2073" t="str">
        <f t="shared" si="76"/>
        <v/>
      </c>
      <c r="N1051" s="2073" t="str">
        <f t="shared" si="76"/>
        <v/>
      </c>
      <c r="O1051" s="485"/>
      <c r="P1051" s="1137"/>
      <c r="Q1051" s="1137"/>
      <c r="R1051" s="1137"/>
      <c r="S1051" s="1137"/>
      <c r="T1051" s="1137"/>
      <c r="U1051" s="1137"/>
      <c r="V1051" s="1137"/>
    </row>
    <row r="1052" spans="1:22" s="562" customFormat="1" ht="12.75" hidden="1" customHeight="1">
      <c r="A1052" s="719" t="s">
        <v>2289</v>
      </c>
      <c r="B1052" s="485"/>
      <c r="C1052" s="559"/>
      <c r="D1052" s="706"/>
      <c r="E1052" s="745" t="s">
        <v>1389</v>
      </c>
      <c r="F1052" s="745"/>
      <c r="G1052" s="745"/>
      <c r="H1052" s="754" t="s">
        <v>1021</v>
      </c>
      <c r="I1052" s="747"/>
      <c r="J1052" s="2154" t="str">
        <f t="shared" si="76"/>
        <v/>
      </c>
      <c r="K1052" s="2141" t="str">
        <f t="shared" si="76"/>
        <v/>
      </c>
      <c r="L1052" s="2142" t="str">
        <f t="shared" si="76"/>
        <v/>
      </c>
      <c r="M1052" s="2142" t="str">
        <f t="shared" si="76"/>
        <v/>
      </c>
      <c r="N1052" s="2142" t="str">
        <f t="shared" si="76"/>
        <v/>
      </c>
      <c r="O1052" s="485"/>
      <c r="P1052" s="1137"/>
      <c r="Q1052" s="1137"/>
      <c r="R1052" s="1137"/>
      <c r="S1052" s="1137"/>
      <c r="T1052" s="1137"/>
      <c r="U1052" s="1137"/>
      <c r="V1052" s="1137"/>
    </row>
    <row r="1053" spans="1:22" s="562" customFormat="1" ht="12.75" customHeight="1">
      <c r="A1053" s="719"/>
      <c r="B1053" s="485"/>
      <c r="C1053" s="559"/>
      <c r="D1053" s="706"/>
      <c r="E1053" s="720" t="s">
        <v>1691</v>
      </c>
      <c r="F1053" s="720"/>
      <c r="G1053" s="720"/>
      <c r="H1053" s="748" t="s">
        <v>1021</v>
      </c>
      <c r="I1053" s="722"/>
      <c r="J1053" s="2149" t="str">
        <f>IF(L972=47,INDEX(H_SpecialBM!J:J,MATCH($P1053,H_SpecialBM!$Q:$Q,0)),"")</f>
        <v/>
      </c>
      <c r="K1053" s="2141" t="str">
        <f>IF(L972=47,INDEX(H_SpecialBM!K:K,MATCH($P1053,H_SpecialBM!$Q:$Q,0)),"")</f>
        <v/>
      </c>
      <c r="L1053" s="2142" t="str">
        <f>IF(L972=47,INDEX(H_SpecialBM!L:L,MATCH($P1053,H_SpecialBM!$Q:$Q,0)),"")</f>
        <v/>
      </c>
      <c r="M1053" s="2142" t="str">
        <f>IF(L972=47,INDEX(H_SpecialBM!M:M,MATCH($P1053,H_SpecialBM!$Q:$Q,0)),"")</f>
        <v/>
      </c>
      <c r="N1053" s="2142" t="str">
        <f>IF(L972=47,INDEX(H_SpecialBM!N:N,MATCH($P1053,H_SpecialBM!$Q:$Q,0)),"")</f>
        <v/>
      </c>
      <c r="O1053" s="485"/>
      <c r="P1053" s="1158" t="str">
        <f>EUconst_CNTR_VCMInitial &amp; INDEX(EUconst_BMlistNames,47)</f>
        <v>VCMIni_Vinyl chloride monomer</v>
      </c>
      <c r="Q1053" s="1137"/>
      <c r="R1053" s="1137"/>
      <c r="S1053" s="1137"/>
      <c r="T1053" s="1137"/>
      <c r="U1053" s="1137"/>
      <c r="V1053" s="1137"/>
    </row>
    <row r="1054" spans="1:22" s="562" customFormat="1" ht="12.75" customHeight="1">
      <c r="A1054" s="719"/>
      <c r="B1054" s="485"/>
      <c r="C1054" s="559"/>
      <c r="D1054" s="706"/>
      <c r="E1054" s="723" t="s">
        <v>2232</v>
      </c>
      <c r="F1054" s="723"/>
      <c r="G1054" s="723"/>
      <c r="H1054" s="751" t="s">
        <v>1021</v>
      </c>
      <c r="I1054" s="735"/>
      <c r="J1054" s="23" t="str">
        <f>IF(L972=47,INDEX(H_SpecialBM!J:J,MATCH($P1054,H_SpecialBM!$Q:$Q,0)),"")</f>
        <v/>
      </c>
      <c r="K1054" s="46" t="str">
        <f>IF(L972=47,INDEX(H_SpecialBM!K:K,MATCH($P1054,H_SpecialBM!$Q:$Q,0)),"")</f>
        <v/>
      </c>
      <c r="L1054" s="27" t="str">
        <f>IF(L972=47,INDEX(H_SpecialBM!L:L,MATCH($P1054,H_SpecialBM!$Q:$Q,0)),"")</f>
        <v/>
      </c>
      <c r="M1054" s="27" t="str">
        <f>IF(L972=47,INDEX(H_SpecialBM!M:M,MATCH($P1054,H_SpecialBM!$Q:$Q,0)),"")</f>
        <v/>
      </c>
      <c r="N1054" s="27" t="str">
        <f>IF(L972=47,INDEX(H_SpecialBM!N:N,MATCH($P1054,H_SpecialBM!$Q:$Q,0)),"")</f>
        <v/>
      </c>
      <c r="O1054" s="485"/>
      <c r="P1054" s="1158" t="str">
        <f>EUconst_CNTR_RelThreshold &amp; P1056</f>
        <v>RelThresh_VCMprelim_</v>
      </c>
      <c r="Q1054" s="1137"/>
      <c r="R1054" s="1137"/>
      <c r="S1054" s="1137"/>
      <c r="T1054" s="1137"/>
      <c r="U1054" s="1137"/>
      <c r="V1054" s="1137"/>
    </row>
    <row r="1055" spans="1:22" s="562" customFormat="1" ht="12.75" customHeight="1">
      <c r="A1055" s="719"/>
      <c r="B1055" s="485"/>
      <c r="C1055" s="559"/>
      <c r="D1055" s="706"/>
      <c r="E1055" s="736" t="s">
        <v>1855</v>
      </c>
      <c r="F1055" s="736"/>
      <c r="G1055" s="736"/>
      <c r="H1055" s="738" t="s">
        <v>1021</v>
      </c>
      <c r="I1055" s="738"/>
      <c r="J1055" s="2145" t="str">
        <f>IF(L972=47,INDEX(H_SpecialBM!V:V,MATCH($P1055,H_SpecialBM!$Q:$Q,0)),"")</f>
        <v/>
      </c>
      <c r="K1055" s="2134" t="str">
        <f>IF(L972=47,INDEX(H_SpecialBM!W:W,MATCH($P1055,H_SpecialBM!$Q:$Q,0)),"")</f>
        <v/>
      </c>
      <c r="L1055" s="2135" t="str">
        <f>IF(L972=47,INDEX(H_SpecialBM!X:X,MATCH($P1055,H_SpecialBM!$Q:$Q,0)),"")</f>
        <v/>
      </c>
      <c r="M1055" s="2135" t="str">
        <f>IF(L972=47,INDEX(H_SpecialBM!Y:Y,MATCH($P1055,H_SpecialBM!$Q:$Q,0)),"")</f>
        <v/>
      </c>
      <c r="N1055" s="2135" t="str">
        <f>IF(L972=47,INDEX(H_SpecialBM!Z:Z,MATCH($P1055,H_SpecialBM!$Q:$Q,0)),"")</f>
        <v/>
      </c>
      <c r="O1055" s="485"/>
      <c r="P1055" s="1158" t="str">
        <f>P1054</f>
        <v>RelThresh_VCMprelim_</v>
      </c>
      <c r="Q1055" s="1137"/>
      <c r="R1055" s="1137"/>
      <c r="S1055" s="1137"/>
      <c r="T1055" s="1137"/>
      <c r="U1055" s="1137"/>
      <c r="V1055" s="1137"/>
    </row>
    <row r="1056" spans="1:22" s="562" customFormat="1" ht="12.75" customHeight="1">
      <c r="A1056" s="719"/>
      <c r="B1056" s="485"/>
      <c r="C1056" s="559"/>
      <c r="D1056" s="706"/>
      <c r="E1056" s="727" t="s">
        <v>1689</v>
      </c>
      <c r="F1056" s="727"/>
      <c r="G1056" s="727"/>
      <c r="H1056" s="728" t="s">
        <v>1021</v>
      </c>
      <c r="I1056" s="729"/>
      <c r="J1056" s="2150" t="str">
        <f>IF($L972=47,IF(ISNUMBER(INDEX(H_SpecialBM!J:J,MATCH($P1056,H_SpecialBM!$Q:$Q,0))),INDEX(H_SpecialBM!J:J,MATCH($P1056,H_SpecialBM!$Q:$Q,0)),1),"")</f>
        <v/>
      </c>
      <c r="K1056" s="2141" t="str">
        <f>IF($L972=47,IF(ISNUMBER(INDEX(H_SpecialBM!K:K,MATCH($P1056,H_SpecialBM!$Q:$Q,0))),INDEX(H_SpecialBM!K:K,MATCH($P1056,H_SpecialBM!$Q:$Q,0)),1),"")</f>
        <v/>
      </c>
      <c r="L1056" s="2142" t="str">
        <f>IF($L972=47,IF(ISNUMBER(INDEX(H_SpecialBM!L:L,MATCH($P1056,H_SpecialBM!$Q:$Q,0))),INDEX(H_SpecialBM!L:L,MATCH($P1056,H_SpecialBM!$Q:$Q,0)),1),"")</f>
        <v/>
      </c>
      <c r="M1056" s="2142" t="str">
        <f>IF($L972=47,IF(ISNUMBER(INDEX(H_SpecialBM!M:M,MATCH($P1056,H_SpecialBM!$Q:$Q,0))),INDEX(H_SpecialBM!M:M,MATCH($P1056,H_SpecialBM!$Q:$Q,0)),1),"")</f>
        <v/>
      </c>
      <c r="N1056" s="2142" t="str">
        <f>IF($L972=47,IF(ISNUMBER(INDEX(H_SpecialBM!N:N,MATCH($P1056,H_SpecialBM!$Q:$Q,0))),INDEX(H_SpecialBM!N:N,MATCH($P1056,H_SpecialBM!$Q:$Q,0)),1),"")</f>
        <v/>
      </c>
      <c r="O1056" s="485"/>
      <c r="P1056" s="1158" t="str">
        <f>EUconst_CNTR_VCMprelim</f>
        <v>VCMprelim_</v>
      </c>
      <c r="Q1056" s="1137"/>
      <c r="R1056" s="1137"/>
      <c r="S1056" s="1137"/>
      <c r="T1056" s="1137"/>
      <c r="U1056" s="1137"/>
      <c r="V1056" s="1137"/>
    </row>
    <row r="1057" spans="1:22" s="562" customFormat="1" ht="12.75" customHeight="1">
      <c r="A1057" s="719"/>
      <c r="B1057" s="485"/>
      <c r="C1057" s="559"/>
      <c r="D1057" s="706"/>
      <c r="E1057" s="698" t="s">
        <v>1671</v>
      </c>
      <c r="F1057" s="698"/>
      <c r="G1057" s="698"/>
      <c r="H1057" s="730" t="str">
        <f>EUconst_EUA</f>
        <v>UKA</v>
      </c>
      <c r="I1057" s="731"/>
      <c r="J1057" s="2129" t="str">
        <f>IF(J1056="","",MAX(0,ROUND((SUM($M972)*SUM(J1048)*SUM(J1052)*SUM(J1056)-SUM(J1049)-SUM(J1050)+SUM(J1051))*IF($H972=TRUE,1,J$2517),0)))</f>
        <v/>
      </c>
      <c r="K1057" s="2072" t="str">
        <f>IF(K1056="","",MAX(0,ROUND((SUM($M972)*SUM(K1048)*SUM(K1052)*SUM(K1056)-SUM(K1049)-SUM(K1050)+SUM(K1051))*IF($H972=TRUE,1,K$2517),0)))</f>
        <v/>
      </c>
      <c r="L1057" s="2073" t="str">
        <f>IF(L1056="","",MAX(0,ROUND((SUM($M972)*SUM(L1048)*SUM(L1052)*SUM(L1056)-SUM(L1049)-SUM(L1050)+SUM(L1051))*IF($H972=TRUE,1,L$2517),0)))</f>
        <v/>
      </c>
      <c r="M1057" s="2073" t="str">
        <f>IF(M1056="","",MAX(0,ROUND((SUM($M972)*SUM(M1048)*SUM(M1052)*SUM(M1056)-SUM(M1049)-SUM(M1050)+SUM(M1051))*IF($H972=TRUE,1,M$2517),0)))</f>
        <v/>
      </c>
      <c r="N1057" s="2073" t="str">
        <f>IF(N1056="","",MAX(0,ROUND((SUM($M972)*SUM(N1048)*SUM(N1052)*SUM(N1056)-SUM(N1049)-SUM(N1050)+SUM(N1051))*IF($H972=TRUE,1,N$2517),0)))</f>
        <v/>
      </c>
      <c r="O1057" s="485"/>
      <c r="P1057" s="1137"/>
      <c r="Q1057" s="1137"/>
      <c r="R1057" s="1137"/>
      <c r="S1057" s="1137"/>
      <c r="T1057" s="1137"/>
      <c r="U1057" s="1137"/>
      <c r="V1057" s="1137"/>
    </row>
    <row r="1058" spans="1:22" s="562" customFormat="1" ht="12.75" customHeight="1">
      <c r="A1058" s="719"/>
      <c r="B1058" s="485"/>
      <c r="C1058" s="559"/>
      <c r="D1058" s="706"/>
      <c r="E1058" s="698" t="s">
        <v>1670</v>
      </c>
      <c r="F1058" s="698"/>
      <c r="G1058" s="698"/>
      <c r="H1058" s="730" t="str">
        <f>EUconst_EUA</f>
        <v>UKA</v>
      </c>
      <c r="I1058" s="731"/>
      <c r="J1058" s="2129" t="str">
        <f>IF(J1057="","",ABS(SUM(J1057)-SUM(J989)))</f>
        <v/>
      </c>
      <c r="K1058" s="2072" t="str">
        <f>IF(K1057="","",ABS(SUM(K1057)-SUM(K989)))</f>
        <v/>
      </c>
      <c r="L1058" s="2073" t="str">
        <f>IF(L1057="","",ABS(SUM(L1057)-SUM(L989)))</f>
        <v/>
      </c>
      <c r="M1058" s="2073" t="str">
        <f>IF(M1057="","",ABS(SUM(M1057)-SUM(M989)))</f>
        <v/>
      </c>
      <c r="N1058" s="2073" t="str">
        <f>IF(N1057="","",ABS(SUM(N1057)-SUM(N989)))</f>
        <v/>
      </c>
      <c r="O1058" s="485"/>
      <c r="P1058" s="1137"/>
      <c r="Q1058" s="1137"/>
      <c r="R1058" s="1137"/>
      <c r="S1058" s="1137"/>
      <c r="T1058" s="1137"/>
      <c r="U1058" s="1137"/>
      <c r="V1058" s="1137"/>
    </row>
    <row r="1059" spans="1:22" s="562" customFormat="1" ht="12.75" customHeight="1">
      <c r="A1059" s="719"/>
      <c r="B1059" s="485"/>
      <c r="C1059" s="559"/>
      <c r="D1059" s="706"/>
      <c r="E1059" s="740" t="s">
        <v>2134</v>
      </c>
      <c r="F1059" s="698"/>
      <c r="G1059" s="698"/>
      <c r="H1059" s="741" t="s">
        <v>1021</v>
      </c>
      <c r="I1059" s="742"/>
      <c r="J1059" s="2147" t="str">
        <f>IF(J1058="","",J1058&gt;=100)</f>
        <v/>
      </c>
      <c r="K1059" s="2134" t="str">
        <f>IF(K1058="","",K1058&gt;=100)</f>
        <v/>
      </c>
      <c r="L1059" s="2135" t="str">
        <f>IF(L1058="","",L1058&gt;=100)</f>
        <v/>
      </c>
      <c r="M1059" s="2135" t="str">
        <f>IF(M1058="","",M1058&gt;=100)</f>
        <v/>
      </c>
      <c r="N1059" s="2135" t="str">
        <f>IF(N1058="","",N1058&gt;=100)</f>
        <v/>
      </c>
      <c r="O1059" s="485"/>
      <c r="P1059" s="1158" t="str">
        <f>EUconst_CNTR_100EUA_VCM&amp;I996</f>
        <v>EUA100VCM_</v>
      </c>
      <c r="Q1059" s="1137"/>
      <c r="R1059" s="1137"/>
      <c r="S1059" s="1137"/>
      <c r="T1059" s="1137"/>
      <c r="U1059" s="1137"/>
      <c r="V1059" s="1137"/>
    </row>
    <row r="1060" spans="1:22" s="562" customFormat="1" ht="5.0999999999999996" customHeight="1">
      <c r="A1060" s="719"/>
      <c r="B1060" s="485"/>
      <c r="C1060" s="559"/>
      <c r="D1060" s="706"/>
      <c r="E1060" s="485"/>
      <c r="F1060" s="485"/>
      <c r="G1060" s="485"/>
      <c r="H1060" s="485"/>
      <c r="I1060" s="743"/>
      <c r="J1060" s="485"/>
      <c r="K1060" s="1790"/>
      <c r="L1060" s="1791"/>
      <c r="M1060" s="1791"/>
      <c r="N1060" s="1791"/>
      <c r="O1060" s="485"/>
      <c r="P1060" s="1137"/>
      <c r="Q1060" s="1137"/>
      <c r="R1060" s="1137"/>
      <c r="S1060" s="1137"/>
      <c r="T1060" s="1137"/>
      <c r="U1060" s="1137"/>
      <c r="V1060" s="1137"/>
    </row>
    <row r="1061" spans="1:22" s="562" customFormat="1" ht="12.75" customHeight="1">
      <c r="A1061" s="719"/>
      <c r="B1061" s="485"/>
      <c r="C1061" s="559"/>
      <c r="D1061" s="706"/>
      <c r="E1061" s="707" t="s">
        <v>1757</v>
      </c>
      <c r="F1061" s="637"/>
      <c r="G1061" s="637"/>
      <c r="H1061" s="663" t="str">
        <f>EUconst_Unit</f>
        <v>Unit</v>
      </c>
      <c r="I1061" s="708"/>
      <c r="J1061" s="2132">
        <f>J$2737</f>
        <v>2026</v>
      </c>
      <c r="K1061" s="1489">
        <f>K$2737</f>
        <v>2027</v>
      </c>
      <c r="L1061" s="1490">
        <f>L$2737</f>
        <v>2028</v>
      </c>
      <c r="M1061" s="1490">
        <f>M$2737</f>
        <v>2029</v>
      </c>
      <c r="N1061" s="1490">
        <f>N$2737</f>
        <v>2030</v>
      </c>
      <c r="O1061" s="485"/>
      <c r="P1061" s="1137"/>
      <c r="Q1061" s="1137"/>
      <c r="R1061" s="1137"/>
      <c r="S1061" s="1137"/>
      <c r="T1061" s="1137"/>
      <c r="U1061" s="1137"/>
      <c r="V1061" s="1137"/>
    </row>
    <row r="1062" spans="1:22" s="562" customFormat="1" ht="12.75" hidden="1" customHeight="1">
      <c r="A1062" s="719" t="s">
        <v>2289</v>
      </c>
      <c r="B1062" s="485"/>
      <c r="C1062" s="559"/>
      <c r="D1062" s="706"/>
      <c r="E1062" s="698" t="s">
        <v>1714</v>
      </c>
      <c r="F1062" s="698"/>
      <c r="G1062" s="698"/>
      <c r="H1062" s="639" t="str">
        <f>H1048</f>
        <v>tonnes</v>
      </c>
      <c r="I1062" s="698"/>
      <c r="J1062" s="2137" t="str">
        <f t="shared" ref="J1062:N1063" si="77">I1078</f>
        <v/>
      </c>
      <c r="K1062" s="2072" t="str">
        <f t="shared" si="77"/>
        <v/>
      </c>
      <c r="L1062" s="2073" t="str">
        <f t="shared" si="77"/>
        <v/>
      </c>
      <c r="M1062" s="2073" t="str">
        <f t="shared" si="77"/>
        <v/>
      </c>
      <c r="N1062" s="2073" t="str">
        <f t="shared" si="77"/>
        <v/>
      </c>
      <c r="O1062" s="485"/>
      <c r="P1062" s="1137"/>
      <c r="Q1062" s="1137"/>
      <c r="R1062" s="1137"/>
      <c r="S1062" s="1137"/>
      <c r="T1062" s="1137"/>
      <c r="U1062" s="1137"/>
      <c r="V1062" s="1137"/>
    </row>
    <row r="1063" spans="1:22" s="562" customFormat="1" ht="12.75" hidden="1" customHeight="1">
      <c r="A1063" s="719" t="s">
        <v>2289</v>
      </c>
      <c r="B1063" s="485"/>
      <c r="C1063" s="559"/>
      <c r="D1063" s="706"/>
      <c r="E1063" s="720" t="s">
        <v>303</v>
      </c>
      <c r="F1063" s="720"/>
      <c r="G1063" s="720"/>
      <c r="H1063" s="721" t="str">
        <f>EUconst_EUA</f>
        <v>UKA</v>
      </c>
      <c r="I1063" s="722"/>
      <c r="J1063" s="2138" t="str">
        <f t="shared" si="77"/>
        <v/>
      </c>
      <c r="K1063" s="2072" t="str">
        <f t="shared" si="77"/>
        <v/>
      </c>
      <c r="L1063" s="2073" t="str">
        <f t="shared" si="77"/>
        <v/>
      </c>
      <c r="M1063" s="2073" t="str">
        <f t="shared" si="77"/>
        <v/>
      </c>
      <c r="N1063" s="2073" t="str">
        <f t="shared" si="77"/>
        <v/>
      </c>
      <c r="O1063" s="485"/>
      <c r="P1063" s="1137"/>
      <c r="Q1063" s="1137"/>
      <c r="R1063" s="1137"/>
      <c r="S1063" s="1137"/>
      <c r="T1063" s="1137"/>
      <c r="U1063" s="1137"/>
      <c r="V1063" s="1137"/>
    </row>
    <row r="1064" spans="1:22" s="562" customFormat="1" ht="12.75" customHeight="1">
      <c r="A1064" s="719"/>
      <c r="B1064" s="485"/>
      <c r="C1064" s="559"/>
      <c r="D1064" s="706"/>
      <c r="E1064" s="720" t="s">
        <v>1691</v>
      </c>
      <c r="F1064" s="720"/>
      <c r="G1064" s="720"/>
      <c r="H1064" s="748" t="str">
        <f>EUconst_tCO2</f>
        <v>t CO2</v>
      </c>
      <c r="I1064" s="722"/>
      <c r="J1064" s="2144" t="str">
        <f>INDEX(F_ProductBM!J:J,MATCH($P1064,F_ProductBM!$Q:$Q,0))</f>
        <v/>
      </c>
      <c r="K1064" s="2072" t="str">
        <f>INDEX(F_ProductBM!K:K,MATCH($P1064,F_ProductBM!$Q:$Q,0))</f>
        <v/>
      </c>
      <c r="L1064" s="2073" t="str">
        <f>INDEX(F_ProductBM!L:L,MATCH($P1064,F_ProductBM!$Q:$Q,0))</f>
        <v/>
      </c>
      <c r="M1064" s="2073" t="str">
        <f>INDEX(F_ProductBM!M:M,MATCH($P1064,F_ProductBM!$Q:$Q,0))</f>
        <v/>
      </c>
      <c r="N1064" s="2073" t="str">
        <f>INDEX(F_ProductBM!N:N,MATCH($P1064,F_ProductBM!$Q:$Q,0))</f>
        <v/>
      </c>
      <c r="O1064" s="485"/>
      <c r="P1064" s="1158" t="str">
        <f>EUconst_CNTR_HALinitial &amp; EUconst_CNTR_WGFlared &amp; I969</f>
        <v>HALini_WasteGasFlare_</v>
      </c>
      <c r="Q1064" s="1137"/>
      <c r="R1064" s="1137"/>
      <c r="S1064" s="1137"/>
      <c r="T1064" s="1137"/>
      <c r="U1064" s="1137"/>
      <c r="V1064" s="1137"/>
    </row>
    <row r="1065" spans="1:22" s="562" customFormat="1" ht="12.75" customHeight="1">
      <c r="A1065" s="719"/>
      <c r="B1065" s="485"/>
      <c r="C1065" s="559"/>
      <c r="D1065" s="706"/>
      <c r="E1065" s="723" t="s">
        <v>2232</v>
      </c>
      <c r="F1065" s="723"/>
      <c r="G1065" s="723"/>
      <c r="H1065" s="734" t="s">
        <v>1021</v>
      </c>
      <c r="I1065" s="735"/>
      <c r="J1065" s="23" t="str">
        <f>INDEX(F_ProductBM!J:J,MATCH($P1065,F_ProductBM!$Q:$Q,0))</f>
        <v/>
      </c>
      <c r="K1065" s="46" t="str">
        <f>INDEX(F_ProductBM!K:K,MATCH($P1065,F_ProductBM!$Q:$Q,0))</f>
        <v/>
      </c>
      <c r="L1065" s="27" t="str">
        <f>INDEX(F_ProductBM!L:L,MATCH($P1065,F_ProductBM!$Q:$Q,0))</f>
        <v/>
      </c>
      <c r="M1065" s="27" t="str">
        <f>INDEX(F_ProductBM!M:M,MATCH($P1065,F_ProductBM!$Q:$Q,0))</f>
        <v/>
      </c>
      <c r="N1065" s="27" t="str">
        <f>INDEX(F_ProductBM!N:N,MATCH($P1065,F_ProductBM!$Q:$Q,0))</f>
        <v/>
      </c>
      <c r="O1065" s="485"/>
      <c r="P1065" s="1158" t="str">
        <f>EUconst_CNTR_RelThreshold &amp; P1067</f>
        <v>RelThresh_HALprelim_WasteGasFlare_</v>
      </c>
      <c r="Q1065" s="1137"/>
      <c r="R1065" s="1137"/>
      <c r="S1065" s="1137"/>
      <c r="T1065" s="1137"/>
      <c r="U1065" s="1137"/>
      <c r="V1065" s="1137"/>
    </row>
    <row r="1066" spans="1:22" s="562" customFormat="1" ht="12.75" customHeight="1">
      <c r="A1066" s="719"/>
      <c r="B1066" s="485"/>
      <c r="C1066" s="559"/>
      <c r="D1066" s="706"/>
      <c r="E1066" s="736" t="s">
        <v>1856</v>
      </c>
      <c r="F1066" s="736"/>
      <c r="G1066" s="736"/>
      <c r="H1066" s="737" t="s">
        <v>1021</v>
      </c>
      <c r="I1066" s="738"/>
      <c r="J1066" s="2145" t="str">
        <f>INDEX(F_ProductBM!V:V,MATCH($P1066,F_ProductBM!$Q:$Q,0))</f>
        <v/>
      </c>
      <c r="K1066" s="2134" t="str">
        <f>INDEX(F_ProductBM!W:W,MATCH($P1066,F_ProductBM!$Q:$Q,0))</f>
        <v/>
      </c>
      <c r="L1066" s="2135" t="str">
        <f>INDEX(F_ProductBM!X:X,MATCH($P1066,F_ProductBM!$Q:$Q,0))</f>
        <v/>
      </c>
      <c r="M1066" s="2135" t="str">
        <f>INDEX(F_ProductBM!Y:Y,MATCH($P1066,F_ProductBM!$Q:$Q,0))</f>
        <v/>
      </c>
      <c r="N1066" s="2135" t="str">
        <f>INDEX(F_ProductBM!Z:Z,MATCH($P1066,F_ProductBM!$Q:$Q,0))</f>
        <v/>
      </c>
      <c r="O1066" s="485"/>
      <c r="P1066" s="1158" t="str">
        <f>P1065</f>
        <v>RelThresh_HALprelim_WasteGasFlare_</v>
      </c>
      <c r="Q1066" s="1137"/>
      <c r="R1066" s="1137"/>
      <c r="S1066" s="1137"/>
      <c r="T1066" s="1137"/>
      <c r="U1066" s="1137"/>
      <c r="V1066" s="1137"/>
    </row>
    <row r="1067" spans="1:22" s="562" customFormat="1" ht="12.75" customHeight="1">
      <c r="A1067" s="719"/>
      <c r="B1067" s="485"/>
      <c r="C1067" s="559"/>
      <c r="D1067" s="706"/>
      <c r="E1067" s="727" t="s">
        <v>1689</v>
      </c>
      <c r="F1067" s="727"/>
      <c r="G1067" s="727"/>
      <c r="H1067" s="728" t="str">
        <f>EUconst_tCO2</f>
        <v>t CO2</v>
      </c>
      <c r="I1067" s="729"/>
      <c r="J1067" s="2146" t="str">
        <f>IF(OR($I969="",CNTR_SubPeriod=1),"",INDEX(F_ProductBM!J:J,MATCH($P1067,F_ProductBM!$Q:$Q,0)))</f>
        <v/>
      </c>
      <c r="K1067" s="2072" t="str">
        <f>IF(OR($I969="",CNTR_SubPeriod=1),"",INDEX(F_ProductBM!K:K,MATCH($P1067,F_ProductBM!$Q:$Q,0)))</f>
        <v/>
      </c>
      <c r="L1067" s="2073" t="str">
        <f>IF(OR($I969="",CNTR_SubPeriod=1),"",INDEX(F_ProductBM!L:L,MATCH($P1067,F_ProductBM!$Q:$Q,0)))</f>
        <v/>
      </c>
      <c r="M1067" s="2073" t="str">
        <f>IF(OR($I969="",CNTR_SubPeriod=1),"",INDEX(F_ProductBM!M:M,MATCH($P1067,F_ProductBM!$Q:$Q,0)))</f>
        <v/>
      </c>
      <c r="N1067" s="2073" t="str">
        <f>IF(OR($I969="",CNTR_SubPeriod=1),"",INDEX(F_ProductBM!N:N,MATCH($P1067,F_ProductBM!$Q:$Q,0)))</f>
        <v/>
      </c>
      <c r="O1067" s="485"/>
      <c r="P1067" s="1158" t="str">
        <f>EUconst_CNTR_HALprelim&amp;EUconst_CNTR_WGFlared&amp;$I969</f>
        <v>HALprelim_WasteGasFlare_</v>
      </c>
      <c r="Q1067" s="1137"/>
      <c r="R1067" s="1137"/>
      <c r="S1067" s="1137"/>
      <c r="T1067" s="1137"/>
      <c r="U1067" s="1137"/>
      <c r="V1067" s="1137"/>
    </row>
    <row r="1068" spans="1:22" s="562" customFormat="1" ht="12.75" hidden="1" customHeight="1">
      <c r="A1068" s="719" t="s">
        <v>2289</v>
      </c>
      <c r="B1068" s="485"/>
      <c r="C1068" s="559"/>
      <c r="D1068" s="706"/>
      <c r="E1068" s="723" t="s">
        <v>1390</v>
      </c>
      <c r="F1068" s="723"/>
      <c r="G1068" s="723"/>
      <c r="H1068" s="724" t="str">
        <f>EUconst_EUA</f>
        <v>UKA</v>
      </c>
      <c r="I1068" s="725"/>
      <c r="J1068" s="2139" t="str">
        <f t="shared" ref="J1068:N1070" si="78">I1081</f>
        <v/>
      </c>
      <c r="K1068" s="2072" t="str">
        <f t="shared" si="78"/>
        <v/>
      </c>
      <c r="L1068" s="2073" t="str">
        <f t="shared" si="78"/>
        <v/>
      </c>
      <c r="M1068" s="2073" t="str">
        <f t="shared" si="78"/>
        <v/>
      </c>
      <c r="N1068" s="2073" t="str">
        <f t="shared" si="78"/>
        <v/>
      </c>
      <c r="O1068" s="485"/>
      <c r="P1068" s="1137"/>
      <c r="Q1068" s="1137"/>
      <c r="R1068" s="1137"/>
      <c r="S1068" s="1137"/>
      <c r="T1068" s="1137"/>
      <c r="U1068" s="1137"/>
      <c r="V1068" s="1137"/>
    </row>
    <row r="1069" spans="1:22" s="562" customFormat="1" ht="12.75" hidden="1" customHeight="1">
      <c r="A1069" s="719" t="s">
        <v>2289</v>
      </c>
      <c r="B1069" s="485"/>
      <c r="C1069" s="559"/>
      <c r="D1069" s="706"/>
      <c r="E1069" s="723" t="s">
        <v>1389</v>
      </c>
      <c r="F1069" s="723"/>
      <c r="G1069" s="723"/>
      <c r="H1069" s="726" t="s">
        <v>1021</v>
      </c>
      <c r="I1069" s="725"/>
      <c r="J1069" s="2140" t="str">
        <f t="shared" si="78"/>
        <v/>
      </c>
      <c r="K1069" s="2141" t="str">
        <f t="shared" si="78"/>
        <v/>
      </c>
      <c r="L1069" s="2142" t="str">
        <f t="shared" si="78"/>
        <v/>
      </c>
      <c r="M1069" s="2142" t="str">
        <f t="shared" si="78"/>
        <v/>
      </c>
      <c r="N1069" s="2142" t="str">
        <f t="shared" si="78"/>
        <v/>
      </c>
      <c r="O1069" s="485"/>
      <c r="P1069" s="1137"/>
      <c r="Q1069" s="1137"/>
      <c r="R1069" s="1137"/>
      <c r="S1069" s="1137"/>
      <c r="T1069" s="1137"/>
      <c r="U1069" s="1137"/>
      <c r="V1069" s="1137"/>
    </row>
    <row r="1070" spans="1:22" s="562" customFormat="1" ht="12.75" hidden="1" customHeight="1">
      <c r="A1070" s="719" t="s">
        <v>2289</v>
      </c>
      <c r="B1070" s="485"/>
      <c r="C1070" s="559"/>
      <c r="D1070" s="706"/>
      <c r="E1070" s="727" t="s">
        <v>1391</v>
      </c>
      <c r="F1070" s="727"/>
      <c r="G1070" s="727"/>
      <c r="H1070" s="728" t="s">
        <v>1021</v>
      </c>
      <c r="I1070" s="729"/>
      <c r="J1070" s="2143" t="str">
        <f t="shared" si="78"/>
        <v/>
      </c>
      <c r="K1070" s="2141" t="str">
        <f t="shared" si="78"/>
        <v/>
      </c>
      <c r="L1070" s="2142" t="str">
        <f t="shared" si="78"/>
        <v/>
      </c>
      <c r="M1070" s="2142" t="str">
        <f t="shared" si="78"/>
        <v/>
      </c>
      <c r="N1070" s="2142" t="str">
        <f t="shared" si="78"/>
        <v/>
      </c>
      <c r="O1070" s="485"/>
      <c r="P1070" s="1137"/>
      <c r="Q1070" s="1137"/>
      <c r="R1070" s="1137"/>
      <c r="S1070" s="1137"/>
      <c r="T1070" s="1137"/>
      <c r="U1070" s="1137"/>
      <c r="V1070" s="1137"/>
    </row>
    <row r="1071" spans="1:22" s="562" customFormat="1" ht="12.75" customHeight="1">
      <c r="A1071" s="719"/>
      <c r="B1071" s="485"/>
      <c r="C1071" s="559"/>
      <c r="D1071" s="706"/>
      <c r="E1071" s="698" t="s">
        <v>1671</v>
      </c>
      <c r="F1071" s="698"/>
      <c r="G1071" s="698"/>
      <c r="H1071" s="730" t="str">
        <f>EUconst_EUA</f>
        <v>UKA</v>
      </c>
      <c r="I1071" s="731"/>
      <c r="J1071" s="2129" t="str">
        <f>IF(J1067="","",MAX(0,ROUND((SUM($M972)*SUM(J1062)*SUM(J1069)*SUM(J1070)-SUM(J1063)-SUM(J1067)+SUM(J1068))*IF($H972=TRUE,1,J$2517),0)))</f>
        <v/>
      </c>
      <c r="K1071" s="2072" t="str">
        <f>IF(K1067="","",MAX(0,ROUND((SUM($M972)*SUM(K1062)*SUM(K1069)*SUM(K1070)-SUM(K1063)-SUM(K1067)+SUM(K1068))*IF($H972=TRUE,1,K$2517),0)))</f>
        <v/>
      </c>
      <c r="L1071" s="2073" t="str">
        <f>IF(L1067="","",MAX(0,ROUND((SUM($M972)*SUM(L1062)*SUM(L1069)*SUM(L1070)-SUM(L1063)-SUM(L1067)+SUM(L1068))*IF($H972=TRUE,1,L$2517),0)))</f>
        <v/>
      </c>
      <c r="M1071" s="2073" t="str">
        <f>IF(M1067="","",MAX(0,ROUND((SUM($M972)*SUM(M1062)*SUM(M1069)*SUM(M1070)-SUM(M1063)-SUM(M1067)+SUM(M1068))*IF($H972=TRUE,1,M$2517),0)))</f>
        <v/>
      </c>
      <c r="N1071" s="2073" t="str">
        <f>IF(N1067="","",MAX(0,ROUND((SUM($M972)*SUM(N1062)*SUM(N1069)*SUM(N1070)-SUM(N1063)-SUM(N1067)+SUM(N1068))*IF($H972=TRUE,1,N$2517),0)))</f>
        <v/>
      </c>
      <c r="O1071" s="485"/>
      <c r="P1071" s="1137"/>
      <c r="Q1071" s="1137"/>
      <c r="R1071" s="1137"/>
      <c r="S1071" s="1137"/>
      <c r="T1071" s="1137"/>
      <c r="U1071" s="1137"/>
      <c r="V1071" s="1137"/>
    </row>
    <row r="1072" spans="1:22" s="562" customFormat="1" ht="12.75" customHeight="1">
      <c r="A1072" s="719"/>
      <c r="B1072" s="485"/>
      <c r="C1072" s="559"/>
      <c r="D1072" s="706"/>
      <c r="E1072" s="698" t="s">
        <v>1670</v>
      </c>
      <c r="F1072" s="698"/>
      <c r="G1072" s="698"/>
      <c r="H1072" s="730" t="str">
        <f>EUconst_EUA</f>
        <v>UKA</v>
      </c>
      <c r="I1072" s="731"/>
      <c r="J1072" s="2129" t="str">
        <f>IF(J1071="","",ABS(SUM(J1071)-SUM(J989)))</f>
        <v/>
      </c>
      <c r="K1072" s="2072" t="str">
        <f>IF(K1071="","",ABS(SUM(K1071)-SUM(K989)))</f>
        <v/>
      </c>
      <c r="L1072" s="2073" t="str">
        <f>IF(L1071="","",ABS(SUM(L1071)-SUM(L989)))</f>
        <v/>
      </c>
      <c r="M1072" s="2073" t="str">
        <f>IF(M1071="","",ABS(SUM(M1071)-SUM(M989)))</f>
        <v/>
      </c>
      <c r="N1072" s="2073" t="str">
        <f>IF(N1071="","",ABS(SUM(N1071)-SUM(N989)))</f>
        <v/>
      </c>
      <c r="O1072" s="485"/>
      <c r="P1072" s="1137"/>
      <c r="Q1072" s="1137"/>
      <c r="R1072" s="1137"/>
      <c r="S1072" s="1137"/>
      <c r="T1072" s="1137"/>
      <c r="U1072" s="1137"/>
      <c r="V1072" s="1137"/>
    </row>
    <row r="1073" spans="1:22" s="562" customFormat="1" ht="12.75" customHeight="1">
      <c r="A1073" s="719"/>
      <c r="C1073" s="559"/>
      <c r="D1073" s="706"/>
      <c r="E1073" s="740" t="s">
        <v>2135</v>
      </c>
      <c r="F1073" s="698"/>
      <c r="G1073" s="698"/>
      <c r="H1073" s="741" t="s">
        <v>1021</v>
      </c>
      <c r="I1073" s="742"/>
      <c r="J1073" s="2147" t="str">
        <f>IF(J1072="","",J1072&gt;=100)</f>
        <v/>
      </c>
      <c r="K1073" s="2134" t="str">
        <f>IF(K1072="","",K1072&gt;=100)</f>
        <v/>
      </c>
      <c r="L1073" s="2135" t="str">
        <f>IF(L1072="","",L1072&gt;=100)</f>
        <v/>
      </c>
      <c r="M1073" s="2135" t="str">
        <f>IF(M1072="","",M1072&gt;=100)</f>
        <v/>
      </c>
      <c r="N1073" s="2135" t="str">
        <f>IF(N1072="","",N1072&gt;=100)</f>
        <v/>
      </c>
      <c r="O1073" s="485"/>
      <c r="P1073" s="1158" t="str">
        <f>EUconst_CNTR_100EUA_WGFlare&amp;I969</f>
        <v>EUA100WGFlare_</v>
      </c>
      <c r="Q1073" s="1137"/>
      <c r="R1073" s="1137"/>
      <c r="S1073" s="1137"/>
      <c r="T1073" s="1137"/>
      <c r="U1073" s="1137"/>
      <c r="V1073" s="1137"/>
    </row>
    <row r="1074" spans="1:22" s="562" customFormat="1" ht="12.75" customHeight="1" thickBot="1">
      <c r="A1074" s="719"/>
      <c r="C1074" s="559"/>
      <c r="D1074" s="755"/>
      <c r="E1074" s="756"/>
      <c r="F1074" s="756"/>
      <c r="G1074" s="756"/>
      <c r="H1074" s="756"/>
      <c r="I1074" s="757"/>
      <c r="J1074" s="756"/>
      <c r="K1074" s="1790"/>
      <c r="L1074" s="1791"/>
      <c r="M1074" s="1791"/>
      <c r="N1074" s="1791"/>
      <c r="O1074" s="485"/>
      <c r="P1074" s="1137"/>
      <c r="Q1074" s="1137"/>
      <c r="R1074" s="1137"/>
      <c r="S1074" s="1137"/>
      <c r="T1074" s="1137"/>
      <c r="U1074" s="1137"/>
      <c r="V1074" s="1137"/>
    </row>
    <row r="1075" spans="1:22" s="562" customFormat="1" ht="5.0999999999999996" customHeight="1" thickBot="1">
      <c r="A1075" s="817"/>
      <c r="C1075" s="559"/>
      <c r="D1075" s="559"/>
      <c r="E1075" s="485"/>
      <c r="F1075" s="485"/>
      <c r="G1075" s="485"/>
      <c r="H1075" s="485"/>
      <c r="I1075" s="743"/>
      <c r="J1075" s="485"/>
      <c r="K1075" s="1790"/>
      <c r="L1075" s="1791"/>
      <c r="M1075" s="1791"/>
      <c r="N1075" s="1791"/>
      <c r="O1075" s="485"/>
      <c r="P1075" s="1137"/>
      <c r="Q1075" s="1137"/>
      <c r="R1075" s="1137"/>
      <c r="S1075" s="1137"/>
      <c r="T1075" s="1137"/>
      <c r="U1075" s="1137"/>
      <c r="V1075" s="1137"/>
    </row>
    <row r="1076" spans="1:22" s="562" customFormat="1" ht="5.0999999999999996" customHeight="1">
      <c r="A1076" s="817"/>
      <c r="C1076" s="485"/>
      <c r="D1076" s="759"/>
      <c r="E1076" s="760"/>
      <c r="F1076" s="760"/>
      <c r="G1076" s="760"/>
      <c r="H1076" s="760"/>
      <c r="I1076" s="761"/>
      <c r="J1076" s="760"/>
      <c r="K1076" s="1790"/>
      <c r="L1076" s="1791"/>
      <c r="M1076" s="1791"/>
      <c r="N1076" s="1791"/>
      <c r="O1076" s="485"/>
      <c r="P1076" s="1137"/>
      <c r="Q1076" s="1137"/>
      <c r="R1076" s="1137"/>
      <c r="S1076" s="1137"/>
      <c r="T1076" s="1117"/>
      <c r="U1076" s="1137"/>
      <c r="V1076" s="1137"/>
    </row>
    <row r="1077" spans="1:22" s="562" customFormat="1">
      <c r="A1077" s="817"/>
      <c r="C1077" s="485"/>
      <c r="D1077" s="539"/>
      <c r="E1077" s="496" t="s">
        <v>1786</v>
      </c>
      <c r="F1077" s="485"/>
      <c r="G1077" s="485"/>
      <c r="H1077" s="663" t="str">
        <f>EUconst_Unit</f>
        <v>Unit</v>
      </c>
      <c r="I1077" s="763" t="s">
        <v>1675</v>
      </c>
      <c r="J1077" s="2132">
        <f>J$2737</f>
        <v>2026</v>
      </c>
      <c r="K1077" s="1489">
        <f>K$2737</f>
        <v>2027</v>
      </c>
      <c r="L1077" s="1490">
        <f>L$2737</f>
        <v>2028</v>
      </c>
      <c r="M1077" s="1490">
        <f>M$2737</f>
        <v>2029</v>
      </c>
      <c r="N1077" s="1490">
        <f>N$2737</f>
        <v>2030</v>
      </c>
      <c r="O1077" s="485"/>
      <c r="P1077" s="1137"/>
      <c r="Q1077" s="1137"/>
      <c r="R1077" s="1137"/>
      <c r="S1077" s="2155" t="s">
        <v>1646</v>
      </c>
      <c r="T1077" s="1117"/>
      <c r="U1077" s="1137"/>
      <c r="V1077" s="1137"/>
    </row>
    <row r="1078" spans="1:22" s="562" customFormat="1">
      <c r="A1078" s="817"/>
      <c r="C1078" s="485"/>
      <c r="D1078" s="539"/>
      <c r="E1078" s="720" t="s">
        <v>1714</v>
      </c>
      <c r="F1078" s="720"/>
      <c r="G1078" s="720"/>
      <c r="H1078" s="732" t="str">
        <f>H1062</f>
        <v>tonnes</v>
      </c>
      <c r="I1078" s="764" t="str">
        <f>IF($I969="","",IF(T1084&gt;=$H$2736,0,S1078))</f>
        <v/>
      </c>
      <c r="J1078" s="2144" t="str">
        <f>IF($I969="","",INDEX(F_ProductBM!J:J,MATCH($P1078,F_ProductBM!$Q:$Q,0)))</f>
        <v/>
      </c>
      <c r="K1078" s="2072" t="str">
        <f>IF($I969="","",INDEX(F_ProductBM!K:K,MATCH($P1078,F_ProductBM!$Q:$Q,0)))</f>
        <v/>
      </c>
      <c r="L1078" s="2073" t="str">
        <f>IF($I969="","",INDEX(F_ProductBM!L:L,MATCH($P1078,F_ProductBM!$Q:$Q,0)))</f>
        <v/>
      </c>
      <c r="M1078" s="2073" t="str">
        <f>IF($I969="","",INDEX(F_ProductBM!M:M,MATCH($P1078,F_ProductBM!$Q:$Q,0)))</f>
        <v/>
      </c>
      <c r="N1078" s="2073" t="str">
        <f>IF($I969="","",INDEX(F_ProductBM!N:N,MATCH($P1078,F_ProductBM!$Q:$Q,0)))</f>
        <v/>
      </c>
      <c r="O1078" s="485"/>
      <c r="P1078" s="1158" t="str">
        <f>EUconst_CNTR_HALfinal&amp;I969</f>
        <v>HALfinal_</v>
      </c>
      <c r="Q1078" s="1137"/>
      <c r="R1078" s="1137"/>
      <c r="S1078" s="2156" t="str">
        <f>IF($I969="","",INDEX(F_ProductBM!I:I,MATCH($P1078,F_ProductBM!$Q:$Q,0)))</f>
        <v/>
      </c>
      <c r="T1078" s="1117"/>
      <c r="U1078" s="1137"/>
      <c r="V1078" s="1137"/>
    </row>
    <row r="1079" spans="1:22" s="562" customFormat="1">
      <c r="A1079" s="817"/>
      <c r="C1079" s="485"/>
      <c r="D1079" s="539"/>
      <c r="E1079" s="645" t="s">
        <v>303</v>
      </c>
      <c r="F1079" s="645"/>
      <c r="G1079" s="645"/>
      <c r="H1079" s="765" t="str">
        <f>EUconst_EUA</f>
        <v>UKA</v>
      </c>
      <c r="I1079" s="766" t="str">
        <f>IF($I969="","",IF(YEAR(J972)&gt;=$H$2736-1,0,S1079))</f>
        <v/>
      </c>
      <c r="J1079" s="2157" t="str">
        <f>IF($I969="","",INDEX(F_ProductBM!J:J,MATCH($P1079,F_ProductBM!$Q:$Q,0)))</f>
        <v/>
      </c>
      <c r="K1079" s="2072" t="str">
        <f>IF($I969="","",INDEX(F_ProductBM!K:K,MATCH($P1079,F_ProductBM!$Q:$Q,0)))</f>
        <v/>
      </c>
      <c r="L1079" s="2073" t="str">
        <f>IF($I969="","",INDEX(F_ProductBM!L:L,MATCH($P1079,F_ProductBM!$Q:$Q,0)))</f>
        <v/>
      </c>
      <c r="M1079" s="2073" t="str">
        <f>IF($I969="","",INDEX(F_ProductBM!M:M,MATCH($P1079,F_ProductBM!$Q:$Q,0)))</f>
        <v/>
      </c>
      <c r="N1079" s="2073" t="str">
        <f>IF($I969="","",INDEX(F_ProductBM!N:N,MATCH($P1079,F_ProductBM!$Q:$Q,0)))</f>
        <v/>
      </c>
      <c r="O1079" s="485"/>
      <c r="P1079" s="1158" t="str">
        <f>EUconst_CNTR_HEATfinal&amp;I969</f>
        <v>HEATfinal_</v>
      </c>
      <c r="Q1079" s="1137"/>
      <c r="R1079" s="1137"/>
      <c r="S1079" s="2158" t="str">
        <f>IF($I969="","",INDEX(F_ProductBM!I:I,MATCH($P1079,F_ProductBM!$Q:$Q,0)))</f>
        <v/>
      </c>
      <c r="T1079" s="1117"/>
      <c r="U1079" s="1137"/>
      <c r="V1079" s="1137"/>
    </row>
    <row r="1080" spans="1:22" s="562" customFormat="1">
      <c r="A1080" s="817"/>
      <c r="C1080" s="485"/>
      <c r="D1080" s="539"/>
      <c r="E1080" s="723" t="s">
        <v>1422</v>
      </c>
      <c r="F1080" s="723"/>
      <c r="G1080" s="723"/>
      <c r="H1080" s="724" t="str">
        <f>EUconst_EUA</f>
        <v>UKA</v>
      </c>
      <c r="I1080" s="767" t="str">
        <f>IF($I969="","",IF(T1084&gt;=$H$2736,0,S1080))</f>
        <v/>
      </c>
      <c r="J1080" s="2159" t="str">
        <f>IF($I969="","",INDEX(F_ProductBM!J:J,MATCH($P1080,F_ProductBM!$Q:$Q,0)))</f>
        <v/>
      </c>
      <c r="K1080" s="2072" t="str">
        <f>IF($I969="","",INDEX(F_ProductBM!K:K,MATCH($P1080,F_ProductBM!$Q:$Q,0)))</f>
        <v/>
      </c>
      <c r="L1080" s="2073" t="str">
        <f>IF($I969="","",INDEX(F_ProductBM!L:L,MATCH($P1080,F_ProductBM!$Q:$Q,0)))</f>
        <v/>
      </c>
      <c r="M1080" s="2073" t="str">
        <f>IF($I969="","",INDEX(F_ProductBM!M:M,MATCH($P1080,F_ProductBM!$Q:$Q,0)))</f>
        <v/>
      </c>
      <c r="N1080" s="2073" t="str">
        <f>IF($I969="","",INDEX(F_ProductBM!N:N,MATCH($P1080,F_ProductBM!$Q:$Q,0)))</f>
        <v/>
      </c>
      <c r="O1080" s="485"/>
      <c r="P1080" s="1158" t="str">
        <f>EUconst_CNTR_HALfinal&amp;EUconst_CNTR_WGFlared&amp;$I969</f>
        <v>HALfinal_WasteGasFlare_</v>
      </c>
      <c r="Q1080" s="1137"/>
      <c r="R1080" s="1137"/>
      <c r="S1080" s="2160" t="str">
        <f>IF($I969="","",INDEX(F_ProductBM!I:I,MATCH($P1080,F_ProductBM!$Q:$Q,0)))</f>
        <v/>
      </c>
      <c r="T1080" s="1117"/>
      <c r="U1080" s="1137"/>
      <c r="V1080" s="1137"/>
    </row>
    <row r="1081" spans="1:22" s="562" customFormat="1">
      <c r="A1081" s="817"/>
      <c r="C1081" s="485"/>
      <c r="D1081" s="539"/>
      <c r="E1081" s="723" t="s">
        <v>1390</v>
      </c>
      <c r="F1081" s="723"/>
      <c r="G1081" s="723"/>
      <c r="H1081" s="724" t="str">
        <f>EUconst_EUA</f>
        <v>UKA</v>
      </c>
      <c r="I1081" s="767" t="str">
        <f>IF($I969="","",IF(T1084&gt;=$H$2736,0,IF(L972=42,S1081,0)))</f>
        <v/>
      </c>
      <c r="J1081" s="2159" t="str">
        <f>IF($I969="","",IF($L972=42,INDEX(H_SpecialBM!J:J,MATCH($P1081,H_SpecialBM!$Q:$Q,0)),0))</f>
        <v/>
      </c>
      <c r="K1081" s="2072" t="str">
        <f>IF($I969="","",IF($L972=42,INDEX(H_SpecialBM!K:K,MATCH($P1081,H_SpecialBM!$Q:$Q,0)),0))</f>
        <v/>
      </c>
      <c r="L1081" s="2073" t="str">
        <f>IF($I969="","",IF($L972=42,INDEX(H_SpecialBM!L:L,MATCH($P1081,H_SpecialBM!$Q:$Q,0)),0))</f>
        <v/>
      </c>
      <c r="M1081" s="2073" t="str">
        <f>IF($I969="","",IF($L972=42,INDEX(H_SpecialBM!M:M,MATCH($P1081,H_SpecialBM!$Q:$Q,0)),0))</f>
        <v/>
      </c>
      <c r="N1081" s="2073" t="str">
        <f>IF($I969="","",IF($L972=42,INDEX(H_SpecialBM!N:N,MATCH($P1081,H_SpecialBM!$Q:$Q,0)),0))</f>
        <v/>
      </c>
      <c r="O1081" s="485"/>
      <c r="P1081" s="1158" t="str">
        <f>EUconst_CNTR_HVCfinal</f>
        <v>HVCfinal_</v>
      </c>
      <c r="Q1081" s="1137"/>
      <c r="R1081" s="1137"/>
      <c r="S1081" s="2160" t="str">
        <f>IF($I969="","",IF(L972=42,INDEX(H_SpecialBM!I:I,MATCH($P1081,H_SpecialBM!$Q:$Q,0)),0))</f>
        <v/>
      </c>
      <c r="T1081" s="1117"/>
      <c r="U1081" s="1137"/>
      <c r="V1081" s="1137"/>
    </row>
    <row r="1082" spans="1:22" s="562" customFormat="1">
      <c r="A1082" s="817"/>
      <c r="C1082" s="485"/>
      <c r="D1082" s="539"/>
      <c r="E1082" s="723" t="s">
        <v>1389</v>
      </c>
      <c r="F1082" s="723"/>
      <c r="G1082" s="723"/>
      <c r="H1082" s="726" t="s">
        <v>1021</v>
      </c>
      <c r="I1082" s="768" t="str">
        <f>IF(AND($I969&lt;&gt;"",$I972=TRUE),IF(T1084&gt;=$H$2736,1,S1082),IF($I969="","",1))</f>
        <v/>
      </c>
      <c r="J1082" s="2161" t="str">
        <f>IF(AND($I969&lt;&gt;"",$I972=TRUE),INDEX(F_ProductBM!J:J,MATCH($P1082,F_ProductBM!$Q:$Q,0)),IF($I969="","",1))</f>
        <v/>
      </c>
      <c r="K1082" s="2141" t="str">
        <f>IF(AND($I969&lt;&gt;"",$I972=TRUE),INDEX(F_ProductBM!K:K,MATCH($P1082,F_ProductBM!$Q:$Q,0)),IF($I969="","",1))</f>
        <v/>
      </c>
      <c r="L1082" s="2142" t="str">
        <f>IF(AND($I969&lt;&gt;"",$I972=TRUE),INDEX(F_ProductBM!L:L,MATCH($P1082,F_ProductBM!$Q:$Q,0)),IF($I969="","",1))</f>
        <v/>
      </c>
      <c r="M1082" s="2142" t="str">
        <f>IF(AND($I969&lt;&gt;"",$I972=TRUE),INDEX(F_ProductBM!M:M,MATCH($P1082,F_ProductBM!$Q:$Q,0)),IF($I969="","",1))</f>
        <v/>
      </c>
      <c r="N1082" s="2142" t="str">
        <f>IF(AND($I969&lt;&gt;"",$I972=TRUE),INDEX(F_ProductBM!N:N,MATCH($P1082,F_ProductBM!$Q:$Q,0)),IF($I969="","",1))</f>
        <v/>
      </c>
      <c r="O1082" s="485"/>
      <c r="P1082" s="1158" t="str">
        <f>EUconst_CNTR_HALfinal&amp;EUconst_CNTR_ELEXCH&amp;$I969</f>
        <v>HALfinal_ELEXCH_</v>
      </c>
      <c r="Q1082" s="1137"/>
      <c r="R1082" s="1137"/>
      <c r="S1082" s="2162" t="str">
        <f>IF(AND($I969&lt;&gt;"",$I972=TRUE),INDEX(F_ProductBM!I:I,MATCH($P1082,F_ProductBM!$Q:$Q,0)),IF($I969="","",1))</f>
        <v/>
      </c>
      <c r="T1082" s="1137"/>
      <c r="U1082" s="1137"/>
      <c r="V1082" s="1137"/>
    </row>
    <row r="1083" spans="1:22" s="562" customFormat="1">
      <c r="A1083" s="817"/>
      <c r="C1083" s="485"/>
      <c r="D1083" s="539"/>
      <c r="E1083" s="727" t="s">
        <v>1391</v>
      </c>
      <c r="F1083" s="727"/>
      <c r="G1083" s="727"/>
      <c r="H1083" s="728" t="s">
        <v>1021</v>
      </c>
      <c r="I1083" s="769" t="str">
        <f>IF($I969="","",IF($L972=47,IF(AND(ISNUMBER(S1083),YEAR(J972)&lt;2021),S1083,1),1))</f>
        <v/>
      </c>
      <c r="J1083" s="2163" t="str">
        <f>IF($I969="","",IF($L972=47,IF(ISNUMBER(INDEX(H_SpecialBM!J:J,MATCH($P1083,H_SpecialBM!$Q:$Q,0))),INDEX(H_SpecialBM!J:J,MATCH($P1083,H_SpecialBM!$Q:$Q,0)),1),1))</f>
        <v/>
      </c>
      <c r="K1083" s="2141" t="str">
        <f>IF($I969="","",IF($L972=47,IF(ISNUMBER(INDEX(H_SpecialBM!K:K,MATCH($P1083,H_SpecialBM!$Q:$Q,0))),INDEX(H_SpecialBM!K:K,MATCH($P1083,H_SpecialBM!$Q:$Q,0)),1),1))</f>
        <v/>
      </c>
      <c r="L1083" s="2142" t="str">
        <f>IF($I969="","",IF($L972=47,IF(ISNUMBER(INDEX(H_SpecialBM!L:L,MATCH($P1083,H_SpecialBM!$Q:$Q,0))),INDEX(H_SpecialBM!L:L,MATCH($P1083,H_SpecialBM!$Q:$Q,0)),1),1))</f>
        <v/>
      </c>
      <c r="M1083" s="2142" t="str">
        <f>IF($I969="","",IF($L972=47,IF(ISNUMBER(INDEX(H_SpecialBM!M:M,MATCH($P1083,H_SpecialBM!$Q:$Q,0))),INDEX(H_SpecialBM!M:M,MATCH($P1083,H_SpecialBM!$Q:$Q,0)),1),1))</f>
        <v/>
      </c>
      <c r="N1083" s="2142" t="str">
        <f>IF($I969="","",IF($L972=47,IF(ISNUMBER(INDEX(H_SpecialBM!N:N,MATCH($P1083,H_SpecialBM!$Q:$Q,0))),INDEX(H_SpecialBM!N:N,MATCH($P1083,H_SpecialBM!$Q:$Q,0)),1),1))</f>
        <v/>
      </c>
      <c r="O1083" s="485"/>
      <c r="P1083" s="1158" t="str">
        <f>EUconst_CNTR_VCMfinal</f>
        <v>VCMfinal_</v>
      </c>
      <c r="Q1083" s="1137"/>
      <c r="R1083" s="1137"/>
      <c r="S1083" s="2164" t="str">
        <f>IF($I969="","",IF($L972=47,IF(ISNUMBER(INDEX(H_SpecialBM!I:I,MATCH($P1083,H_SpecialBM!$Q:$Q,0))),INDEX(H_SpecialBM!I:I,MATCH($P1083,H_SpecialBM!$Q:$Q,0)),1),1))</f>
        <v/>
      </c>
      <c r="T1083" s="1137"/>
      <c r="U1083" s="1137"/>
      <c r="V1083" s="1137"/>
    </row>
    <row r="1084" spans="1:22" s="562" customFormat="1">
      <c r="A1084" s="817"/>
      <c r="C1084" s="485"/>
      <c r="D1084" s="539"/>
      <c r="E1084" s="698" t="s">
        <v>222</v>
      </c>
      <c r="F1084" s="698"/>
      <c r="G1084" s="698"/>
      <c r="H1084" s="730" t="str">
        <f>EUconst_EUA</f>
        <v>UKA</v>
      </c>
      <c r="I1084" s="770" t="str">
        <f>IF($I969="","",MAX(0,ROUND((SUM($M972)*SUM(I1078)*SUM(I1082)*SUM(I1083)-SUM(I1079)-SUM(I1080)+SUM(I1081))*IF($H972=TRUE,1,J$2517),0)))</f>
        <v/>
      </c>
      <c r="J1084" s="2129" t="str">
        <f>IF($I969="","",MAX(0,ROUND((SUM($M972)*SUM(J1078)*SUM(J1082)*SUM(J1083)-SUM(J1079)-SUM(J1080)+SUM(J1081))*IF($H972=TRUE,1,J$2517),0)))</f>
        <v/>
      </c>
      <c r="K1084" s="2072" t="str">
        <f>IF($I969="","",MAX(0,ROUND((SUM($M972)*SUM(K1078)*SUM(K1082)*SUM(K1083)-SUM(K1079)-SUM(K1080)+SUM(K1081))*IF($H972=TRUE,1,K$2517),0)))</f>
        <v/>
      </c>
      <c r="L1084" s="2073" t="str">
        <f>IF($I969="","",MAX(0,ROUND((SUM($M972)*SUM(L1078)*SUM(L1082)*SUM(L1083)-SUM(L1079)-SUM(L1080)+SUM(L1081))*IF($H972=TRUE,1,L$2517),0)))</f>
        <v/>
      </c>
      <c r="M1084" s="2073" t="str">
        <f>IF($I969="","",MAX(0,ROUND((SUM($M972)*SUM(M1078)*SUM(M1082)*SUM(M1083)-SUM(M1079)-SUM(M1080)+SUM(M1081))*IF($H972=TRUE,1,M$2517),0)))</f>
        <v/>
      </c>
      <c r="N1084" s="2073" t="str">
        <f>IF($I969="","",MAX(0,ROUND((SUM($M972)*SUM(N1078)*SUM(N1082)*SUM(N1083)-SUM(N1079)-SUM(N1080)+SUM(N1081))*IF($H972=TRUE,1,N$2517),0)))</f>
        <v/>
      </c>
      <c r="O1084" s="485"/>
      <c r="P1084" s="1158" t="str">
        <f>EUconst_AllocPrelim&amp;I969</f>
        <v>AllocPrelim_</v>
      </c>
      <c r="Q1084" s="1137"/>
      <c r="R1084" s="1137"/>
      <c r="S1084" s="2165" t="str">
        <f>IF($I969="","",MAX(0,ROUND((SUM($M972)*SUM(S1078)*SUM(S1082)*SUM(S1083)-SUM(S1079)-SUM(S1080)+SUM(S1081))*IF($H972=TRUE,1,J$2517),0)))</f>
        <v/>
      </c>
      <c r="T1084" s="1137">
        <f>INDEX(F_ProductBM!V:V,MATCH(C969,F_ProductBM!C:C,0))</f>
        <v>2005</v>
      </c>
      <c r="U1084" s="1137" t="e">
        <f>INDEX(I1084:N1084,CNTR_ReportingYear-$I$2736)&lt;&gt;INDEX(I1084:N1084,CNTR_ReportingYear-$H$2736)</f>
        <v>#REF!</v>
      </c>
      <c r="V1084" s="1137"/>
    </row>
    <row r="1085" spans="1:22" s="562" customFormat="1" ht="5.0999999999999996" customHeight="1" thickBot="1">
      <c r="A1085" s="817"/>
      <c r="C1085" s="485"/>
      <c r="D1085" s="771"/>
      <c r="E1085" s="756"/>
      <c r="F1085" s="756"/>
      <c r="G1085" s="756"/>
      <c r="H1085" s="756"/>
      <c r="I1085" s="756"/>
      <c r="J1085" s="756"/>
      <c r="K1085" s="1790"/>
      <c r="L1085" s="1791"/>
      <c r="M1085" s="1791"/>
      <c r="N1085" s="1791"/>
      <c r="O1085" s="485"/>
      <c r="P1085" s="1137"/>
      <c r="Q1085" s="1137"/>
      <c r="R1085" s="1137"/>
      <c r="S1085" s="1137"/>
      <c r="T1085" s="1137"/>
      <c r="U1085" s="1137"/>
      <c r="V1085" s="1137"/>
    </row>
    <row r="1086" spans="1:22" s="562" customFormat="1" ht="5.0999999999999996" customHeight="1" thickBot="1">
      <c r="A1086" s="817"/>
      <c r="C1086" s="485"/>
      <c r="E1086" s="561"/>
      <c r="F1086" s="485"/>
      <c r="G1086" s="485"/>
      <c r="H1086" s="485"/>
      <c r="I1086" s="485"/>
      <c r="J1086" s="485"/>
      <c r="K1086" s="1790"/>
      <c r="L1086" s="1791"/>
      <c r="M1086" s="1791"/>
      <c r="N1086" s="1791"/>
      <c r="O1086" s="485"/>
      <c r="P1086" s="1137"/>
      <c r="Q1086" s="1137"/>
      <c r="R1086" s="1137"/>
      <c r="S1086" s="1137"/>
      <c r="T1086" s="1137"/>
      <c r="U1086" s="1137"/>
      <c r="V1086" s="1137"/>
    </row>
    <row r="1087" spans="1:22" s="562" customFormat="1" ht="12.75" customHeight="1">
      <c r="A1087" s="817"/>
      <c r="C1087" s="485"/>
      <c r="D1087" s="772"/>
      <c r="E1087" s="773"/>
      <c r="F1087" s="773"/>
      <c r="G1087" s="774"/>
      <c r="H1087" s="774"/>
      <c r="I1087" s="774"/>
      <c r="J1087" s="774"/>
      <c r="K1087" s="1790"/>
      <c r="L1087" s="1791"/>
      <c r="M1087" s="1791"/>
      <c r="N1087" s="1791"/>
      <c r="O1087" s="485"/>
      <c r="P1087" s="1137"/>
      <c r="Q1087" s="1137"/>
      <c r="R1087" s="1137"/>
      <c r="S1087" s="1137"/>
      <c r="T1087" s="1137"/>
      <c r="U1087" s="1137"/>
      <c r="V1087" s="1137"/>
    </row>
    <row r="1088" spans="1:22" s="562" customFormat="1" ht="13.5" thickBot="1">
      <c r="A1088" s="817"/>
      <c r="C1088" s="485"/>
      <c r="D1088" s="776"/>
      <c r="E1088" s="777"/>
      <c r="F1088" s="777"/>
      <c r="G1088" s="778" t="str">
        <f>EUconst_Unit</f>
        <v>Unit</v>
      </c>
      <c r="H1088" s="779">
        <f t="shared" ref="H1088:M1088" si="79">H$2737</f>
        <v>2024</v>
      </c>
      <c r="I1088" s="780">
        <f t="shared" si="79"/>
        <v>2025</v>
      </c>
      <c r="J1088" s="2166">
        <f t="shared" si="79"/>
        <v>2026</v>
      </c>
      <c r="K1088" s="1489">
        <f t="shared" si="79"/>
        <v>2027</v>
      </c>
      <c r="L1088" s="1490">
        <f t="shared" si="79"/>
        <v>2028</v>
      </c>
      <c r="M1088" s="1490">
        <f t="shared" si="79"/>
        <v>2029</v>
      </c>
      <c r="N1088" s="1490">
        <f>N$2737</f>
        <v>2030</v>
      </c>
      <c r="O1088" s="485"/>
      <c r="P1088" s="1137"/>
      <c r="Q1088" s="1137"/>
      <c r="R1088" s="1137"/>
      <c r="S1088" s="1137"/>
      <c r="T1088" s="1117"/>
      <c r="U1088" s="1137"/>
      <c r="V1088" s="1137"/>
    </row>
    <row r="1089" spans="1:22" s="562" customFormat="1" ht="13.5" customHeight="1" thickBot="1">
      <c r="A1089" s="817"/>
      <c r="C1089" s="485"/>
      <c r="D1089" s="776"/>
      <c r="E1089" s="2470" t="s">
        <v>1504</v>
      </c>
      <c r="F1089" s="2470"/>
      <c r="G1089" s="808" t="str">
        <f>EUconst_tCO2epa</f>
        <v>t CO2e/year</v>
      </c>
      <c r="H1089" s="786" t="str">
        <f t="shared" ref="H1089:N1089" si="80">INDEX(H$92:H$108,MATCH($I969,$E$92:$E$108,0))</f>
        <v/>
      </c>
      <c r="I1089" s="787" t="str">
        <f t="shared" si="80"/>
        <v/>
      </c>
      <c r="J1089" s="2167" t="str">
        <f t="shared" si="80"/>
        <v/>
      </c>
      <c r="K1089" s="2105" t="str">
        <f t="shared" si="80"/>
        <v/>
      </c>
      <c r="L1089" s="1960" t="str">
        <f t="shared" si="80"/>
        <v/>
      </c>
      <c r="M1089" s="1960" t="str">
        <f t="shared" si="80"/>
        <v/>
      </c>
      <c r="N1089" s="1960" t="str">
        <f t="shared" si="80"/>
        <v/>
      </c>
      <c r="O1089" s="485"/>
      <c r="P1089" s="1137"/>
      <c r="Q1089" s="1137"/>
      <c r="R1089" s="1137"/>
      <c r="S1089" s="1137"/>
      <c r="T1089" s="1137"/>
      <c r="U1089" s="1137"/>
      <c r="V1089" s="1137"/>
    </row>
    <row r="1090" spans="1:22" s="562" customFormat="1" ht="5.0999999999999996" customHeight="1">
      <c r="A1090" s="817"/>
      <c r="C1090" s="485"/>
      <c r="D1090" s="776"/>
      <c r="E1090" s="809"/>
      <c r="F1090" s="809"/>
      <c r="G1090" s="777"/>
      <c r="H1090" s="2168"/>
      <c r="I1090" s="2168"/>
      <c r="J1090" s="2168"/>
      <c r="K1090" s="2169"/>
      <c r="L1090" s="2170"/>
      <c r="M1090" s="2170"/>
      <c r="N1090" s="2170"/>
      <c r="O1090" s="485"/>
      <c r="P1090" s="1137"/>
      <c r="Q1090" s="1137"/>
      <c r="R1090" s="1137"/>
      <c r="S1090" s="1137"/>
      <c r="T1090" s="1137"/>
      <c r="U1090" s="1137"/>
      <c r="V1090" s="1137"/>
    </row>
    <row r="1091" spans="1:22" s="562" customFormat="1" ht="12.75" customHeight="1">
      <c r="A1091" s="817"/>
      <c r="C1091" s="485"/>
      <c r="D1091" s="776"/>
      <c r="E1091" s="2471" t="s">
        <v>1344</v>
      </c>
      <c r="F1091" s="3467"/>
      <c r="G1091" s="811" t="str">
        <f>EUconst_TJpa</f>
        <v>TJ / year</v>
      </c>
      <c r="H1091" s="625" t="str">
        <f>IF($I969="","",IF(INDEX(F_ProductBM!H:H,MATCH($P1091,F_ProductBM!$Q:$Q,0))="","",INDEX(F_ProductBM!H:H,MATCH($P1091,F_ProductBM!$Q:$Q,0))))</f>
        <v/>
      </c>
      <c r="I1091" s="794" t="str">
        <f>IF($I969="","",IF(INDEX(F_ProductBM!I:I,MATCH($P1091,F_ProductBM!$Q:$Q,0))="","",INDEX(F_ProductBM!I:I,MATCH($P1091,F_ProductBM!$Q:$Q,0))))</f>
        <v/>
      </c>
      <c r="J1091" s="2171" t="str">
        <f>IF($I969="","",IF(INDEX(F_ProductBM!J:J,MATCH($P1091,F_ProductBM!$Q:$Q,0))="","",INDEX(F_ProductBM!J:J,MATCH($P1091,F_ProductBM!$Q:$Q,0))))</f>
        <v/>
      </c>
      <c r="K1091" s="1788" t="str">
        <f>IF($I969="","",IF(INDEX(F_ProductBM!K:K,MATCH($P1091,F_ProductBM!$Q:$Q,0))="","",INDEX(F_ProductBM!K:K,MATCH($P1091,F_ProductBM!$Q:$Q,0))))</f>
        <v/>
      </c>
      <c r="L1091" s="1789" t="str">
        <f>IF($I969="","",IF(INDEX(F_ProductBM!L:L,MATCH($P1091,F_ProductBM!$Q:$Q,0))="","",INDEX(F_ProductBM!L:L,MATCH($P1091,F_ProductBM!$Q:$Q,0))))</f>
        <v/>
      </c>
      <c r="M1091" s="1789" t="str">
        <f>IF($I969="","",IF(INDEX(F_ProductBM!M:M,MATCH($P1091,F_ProductBM!$Q:$Q,0))="","",INDEX(F_ProductBM!M:M,MATCH($P1091,F_ProductBM!$Q:$Q,0))))</f>
        <v/>
      </c>
      <c r="N1091" s="1789" t="str">
        <f>IF($I969="","",IF(INDEX(F_ProductBM!N:N,MATCH($P1091,F_ProductBM!$Q:$Q,0))="","",INDEX(F_ProductBM!N:N,MATCH($P1091,F_ProductBM!$Q:$Q,0))))</f>
        <v/>
      </c>
      <c r="O1091" s="485"/>
      <c r="P1091" s="2109" t="str">
        <f>EUconst_CNTR_FuelInput &amp; I969</f>
        <v>FuelInput_</v>
      </c>
      <c r="Q1091" s="1137"/>
      <c r="R1091" s="1137"/>
      <c r="S1091" s="1137"/>
      <c r="T1091" s="1137"/>
      <c r="U1091" s="1137"/>
      <c r="V1091" s="1137"/>
    </row>
    <row r="1092" spans="1:22" s="562" customFormat="1" ht="12.75" customHeight="1">
      <c r="A1092" s="817"/>
      <c r="C1092" s="485"/>
      <c r="D1092" s="776"/>
      <c r="E1092" s="2473" t="s">
        <v>1182</v>
      </c>
      <c r="F1092" s="3466"/>
      <c r="G1092" s="812" t="str">
        <f>EUconst_tCO2pTJ</f>
        <v>t CO2 / TJ</v>
      </c>
      <c r="H1092" s="627" t="str">
        <f>IF($I969="","",IF(INDEX(F_ProductBM!H:H,MATCH($P1092,F_ProductBM!$Q:$Q,0))="","",INDEX(F_ProductBM!H:H,MATCH($P1092,F_ProductBM!$Q:$Q,0))))</f>
        <v/>
      </c>
      <c r="I1092" s="796" t="str">
        <f>IF($I969="","",IF(INDEX(F_ProductBM!I:I,MATCH($P1092,F_ProductBM!$Q:$Q,0))="","",INDEX(F_ProductBM!I:I,MATCH($P1092,F_ProductBM!$Q:$Q,0))))</f>
        <v/>
      </c>
      <c r="J1092" s="2172" t="str">
        <f>IF($I969="","",IF(INDEX(F_ProductBM!J:J,MATCH($P1092,F_ProductBM!$Q:$Q,0))="","",INDEX(F_ProductBM!J:J,MATCH($P1092,F_ProductBM!$Q:$Q,0))))</f>
        <v/>
      </c>
      <c r="K1092" s="1788" t="str">
        <f>IF($I969="","",IF(INDEX(F_ProductBM!K:K,MATCH($P1092,F_ProductBM!$Q:$Q,0))="","",INDEX(F_ProductBM!K:K,MATCH($P1092,F_ProductBM!$Q:$Q,0))))</f>
        <v/>
      </c>
      <c r="L1092" s="1789" t="str">
        <f>IF($I969="","",IF(INDEX(F_ProductBM!L:L,MATCH($P1092,F_ProductBM!$Q:$Q,0))="","",INDEX(F_ProductBM!L:L,MATCH($P1092,F_ProductBM!$Q:$Q,0))))</f>
        <v/>
      </c>
      <c r="M1092" s="1789" t="str">
        <f>IF($I969="","",IF(INDEX(F_ProductBM!M:M,MATCH($P1092,F_ProductBM!$Q:$Q,0))="","",INDEX(F_ProductBM!M:M,MATCH($P1092,F_ProductBM!$Q:$Q,0))))</f>
        <v/>
      </c>
      <c r="N1092" s="1789" t="str">
        <f>IF($I969="","",IF(INDEX(F_ProductBM!N:N,MATCH($P1092,F_ProductBM!$Q:$Q,0))="","",INDEX(F_ProductBM!N:N,MATCH($P1092,F_ProductBM!$Q:$Q,0))))</f>
        <v/>
      </c>
      <c r="O1092" s="485"/>
      <c r="P1092" s="1970" t="str">
        <f>EUconst_CNTR_FuelEF &amp; I969</f>
        <v>FuelEF_</v>
      </c>
      <c r="Q1092" s="1137"/>
      <c r="R1092" s="1137"/>
      <c r="S1092" s="1137"/>
      <c r="T1092" s="1137"/>
      <c r="U1092" s="1137"/>
      <c r="V1092" s="1137"/>
    </row>
    <row r="1093" spans="1:22" s="562" customFormat="1" ht="5.0999999999999996" customHeight="1">
      <c r="A1093" s="817"/>
      <c r="C1093" s="485"/>
      <c r="D1093" s="776"/>
      <c r="E1093" s="809"/>
      <c r="F1093" s="809"/>
      <c r="G1093" s="813"/>
      <c r="H1093" s="2173"/>
      <c r="I1093" s="2173"/>
      <c r="J1093" s="2173"/>
      <c r="K1093" s="1788"/>
      <c r="L1093" s="1789"/>
      <c r="M1093" s="1789"/>
      <c r="N1093" s="1789"/>
      <c r="O1093" s="485"/>
      <c r="P1093" s="1137"/>
      <c r="Q1093" s="1137"/>
      <c r="R1093" s="1137"/>
      <c r="S1093" s="1137"/>
      <c r="T1093" s="1137"/>
      <c r="U1093" s="1137"/>
      <c r="V1093" s="1137"/>
    </row>
    <row r="1094" spans="1:22" s="562" customFormat="1" ht="12.75" customHeight="1">
      <c r="A1094" s="817"/>
      <c r="C1094" s="485"/>
      <c r="D1094" s="776"/>
      <c r="E1094" s="2475" t="s">
        <v>63</v>
      </c>
      <c r="F1094" s="3461"/>
      <c r="G1094" s="815" t="str">
        <f>EUconst_tCO2pa</f>
        <v>t CO2 / year</v>
      </c>
      <c r="H1094" s="623" t="str">
        <f>IF($I969="","",IF(INDEX(F_ProductBM!H:H,MATCH($P1094,F_ProductBM!$Q:$Q,0))="","",INDEX(F_ProductBM!H:H,MATCH($P1094,F_ProductBM!$Q:$Q,0))))</f>
        <v/>
      </c>
      <c r="I1094" s="800" t="str">
        <f>IF($I969="","",IF(INDEX(F_ProductBM!I:I,MATCH($P1094,F_ProductBM!$Q:$Q,0))="","",INDEX(F_ProductBM!I:I,MATCH($P1094,F_ProductBM!$Q:$Q,0))))</f>
        <v/>
      </c>
      <c r="J1094" s="2174" t="str">
        <f>IF($I969="","",IF(INDEX(F_ProductBM!J:J,MATCH($P1094,F_ProductBM!$Q:$Q,0))="","",INDEX(F_ProductBM!J:J,MATCH($P1094,F_ProductBM!$Q:$Q,0))))</f>
        <v/>
      </c>
      <c r="K1094" s="1788" t="str">
        <f>IF($I969="","",IF(INDEX(F_ProductBM!K:K,MATCH($P1094,F_ProductBM!$Q:$Q,0))="","",INDEX(F_ProductBM!K:K,MATCH($P1094,F_ProductBM!$Q:$Q,0))))</f>
        <v/>
      </c>
      <c r="L1094" s="1789" t="str">
        <f>IF($I969="","",IF(INDEX(F_ProductBM!L:L,MATCH($P1094,F_ProductBM!$Q:$Q,0))="","",INDEX(F_ProductBM!L:L,MATCH($P1094,F_ProductBM!$Q:$Q,0))))</f>
        <v/>
      </c>
      <c r="M1094" s="1789" t="str">
        <f>IF($I969="","",IF(INDEX(F_ProductBM!M:M,MATCH($P1094,F_ProductBM!$Q:$Q,0))="","",INDEX(F_ProductBM!M:M,MATCH($P1094,F_ProductBM!$Q:$Q,0))))</f>
        <v/>
      </c>
      <c r="N1094" s="1789" t="str">
        <f>IF($I969="","",IF(INDEX(F_ProductBM!N:N,MATCH($P1094,F_ProductBM!$Q:$Q,0))="","",INDEX(F_ProductBM!N:N,MATCH($P1094,F_ProductBM!$Q:$Q,0))))</f>
        <v/>
      </c>
      <c r="O1094" s="485"/>
      <c r="P1094" s="1970" t="str">
        <f>EUconst_CNTR_Emissions &amp; I969</f>
        <v>DirEmissions_</v>
      </c>
      <c r="Q1094" s="1137"/>
      <c r="R1094" s="1137"/>
      <c r="S1094" s="1137"/>
      <c r="T1094" s="1137"/>
      <c r="U1094" s="1137"/>
      <c r="V1094" s="1137"/>
    </row>
    <row r="1095" spans="1:22" s="562" customFormat="1" ht="12.75" customHeight="1">
      <c r="A1095" s="817"/>
      <c r="C1095" s="485"/>
      <c r="D1095" s="776"/>
      <c r="E1095" s="2475" t="s">
        <v>1154</v>
      </c>
      <c r="F1095" s="3461"/>
      <c r="G1095" s="815" t="str">
        <f>EUconst_tCO2pa</f>
        <v>t CO2 / year</v>
      </c>
      <c r="H1095" s="623" t="str">
        <f>IF($I969="","",IF(INDEX(F_ProductBM!H:H,MATCH($P1095,F_ProductBM!$Q:$Q,0))="","",INDEX(F_ProductBM!H:H,MATCH($P1095,F_ProductBM!$Q:$Q,0))))</f>
        <v/>
      </c>
      <c r="I1095" s="800" t="str">
        <f>IF($I969="","",IF(INDEX(F_ProductBM!I:I,MATCH($P1095,F_ProductBM!$Q:$Q,0))="","",INDEX(F_ProductBM!I:I,MATCH($P1095,F_ProductBM!$Q:$Q,0))))</f>
        <v/>
      </c>
      <c r="J1095" s="2174" t="str">
        <f>IF($I969="","",IF(INDEX(F_ProductBM!J:J,MATCH($P1095,F_ProductBM!$Q:$Q,0))="","",INDEX(F_ProductBM!J:J,MATCH($P1095,F_ProductBM!$Q:$Q,0))))</f>
        <v/>
      </c>
      <c r="K1095" s="1788" t="str">
        <f>IF($I969="","",IF(INDEX(F_ProductBM!K:K,MATCH($P1095,F_ProductBM!$Q:$Q,0))="","",INDEX(F_ProductBM!K:K,MATCH($P1095,F_ProductBM!$Q:$Q,0))))</f>
        <v/>
      </c>
      <c r="L1095" s="1789" t="str">
        <f>IF($I969="","",IF(INDEX(F_ProductBM!L:L,MATCH($P1095,F_ProductBM!$Q:$Q,0))="","",INDEX(F_ProductBM!L:L,MATCH($P1095,F_ProductBM!$Q:$Q,0))))</f>
        <v/>
      </c>
      <c r="M1095" s="1789" t="str">
        <f>IF($I969="","",IF(INDEX(F_ProductBM!M:M,MATCH($P1095,F_ProductBM!$Q:$Q,0))="","",INDEX(F_ProductBM!M:M,MATCH($P1095,F_ProductBM!$Q:$Q,0))))</f>
        <v/>
      </c>
      <c r="N1095" s="1789" t="str">
        <f>IF($I969="","",IF(INDEX(F_ProductBM!N:N,MATCH($P1095,F_ProductBM!$Q:$Q,0))="","",INDEX(F_ProductBM!N:N,MATCH($P1095,F_ProductBM!$Q:$Q,0))))</f>
        <v/>
      </c>
      <c r="O1095" s="485"/>
      <c r="P1095" s="1970" t="str">
        <f>EUconst_CNTR_EmissionsIntSource1 &amp; I969</f>
        <v>EmInternalSource1_</v>
      </c>
      <c r="Q1095" s="1137"/>
      <c r="R1095" s="1137"/>
      <c r="S1095" s="1137"/>
      <c r="T1095" s="1137"/>
      <c r="U1095" s="1137"/>
      <c r="V1095" s="1137"/>
    </row>
    <row r="1096" spans="1:22" s="562" customFormat="1" ht="12.75" customHeight="1">
      <c r="A1096" s="817"/>
      <c r="C1096" s="485"/>
      <c r="D1096" s="776"/>
      <c r="E1096" s="2475" t="s">
        <v>1155</v>
      </c>
      <c r="F1096" s="3461"/>
      <c r="G1096" s="815" t="str">
        <f>EUconst_tCO2pa</f>
        <v>t CO2 / year</v>
      </c>
      <c r="H1096" s="623" t="str">
        <f>IF($I969="","",IF(INDEX(F_ProductBM!H:H,MATCH($P1096,F_ProductBM!$Q:$Q,0))="","",INDEX(F_ProductBM!H:H,MATCH($P1096,F_ProductBM!$Q:$Q,0))))</f>
        <v/>
      </c>
      <c r="I1096" s="800" t="str">
        <f>IF($I969="","",IF(INDEX(F_ProductBM!I:I,MATCH($P1096,F_ProductBM!$Q:$Q,0))="","",INDEX(F_ProductBM!I:I,MATCH($P1096,F_ProductBM!$Q:$Q,0))))</f>
        <v/>
      </c>
      <c r="J1096" s="2174" t="str">
        <f>IF($I969="","",IF(INDEX(F_ProductBM!J:J,MATCH($P1096,F_ProductBM!$Q:$Q,0))="","",INDEX(F_ProductBM!J:J,MATCH($P1096,F_ProductBM!$Q:$Q,0))))</f>
        <v/>
      </c>
      <c r="K1096" s="1788" t="str">
        <f>IF($I969="","",IF(INDEX(F_ProductBM!K:K,MATCH($P1096,F_ProductBM!$Q:$Q,0))="","",INDEX(F_ProductBM!K:K,MATCH($P1096,F_ProductBM!$Q:$Q,0))))</f>
        <v/>
      </c>
      <c r="L1096" s="1789" t="str">
        <f>IF($I969="","",IF(INDEX(F_ProductBM!L:L,MATCH($P1096,F_ProductBM!$Q:$Q,0))="","",INDEX(F_ProductBM!L:L,MATCH($P1096,F_ProductBM!$Q:$Q,0))))</f>
        <v/>
      </c>
      <c r="M1096" s="1789" t="str">
        <f>IF($I969="","",IF(INDEX(F_ProductBM!M:M,MATCH($P1096,F_ProductBM!$Q:$Q,0))="","",INDEX(F_ProductBM!M:M,MATCH($P1096,F_ProductBM!$Q:$Q,0))))</f>
        <v/>
      </c>
      <c r="N1096" s="1789" t="str">
        <f>IF($I969="","",IF(INDEX(F_ProductBM!N:N,MATCH($P1096,F_ProductBM!$Q:$Q,0))="","",INDEX(F_ProductBM!N:N,MATCH($P1096,F_ProductBM!$Q:$Q,0))))</f>
        <v/>
      </c>
      <c r="O1096" s="485"/>
      <c r="P1096" s="1970" t="str">
        <f>EUconst_CNTR_EmissionsIntSource2 &amp; I969</f>
        <v>EmInternalSource2_</v>
      </c>
      <c r="Q1096" s="1137"/>
      <c r="R1096" s="1137"/>
      <c r="S1096" s="1137"/>
      <c r="T1096" s="1137"/>
      <c r="U1096" s="1137"/>
      <c r="V1096" s="1137"/>
    </row>
    <row r="1097" spans="1:22" s="562" customFormat="1" ht="12.75" customHeight="1">
      <c r="A1097" s="817"/>
      <c r="C1097" s="485"/>
      <c r="D1097" s="776"/>
      <c r="E1097" s="2475" t="s">
        <v>1156</v>
      </c>
      <c r="F1097" s="3461"/>
      <c r="G1097" s="815" t="str">
        <f>EUconst_tCO2epa</f>
        <v>t CO2e/year</v>
      </c>
      <c r="H1097" s="623" t="str">
        <f>IF($I969="","",IF(INDEX(F_ProductBM!H:H,MATCH($P1097,F_ProductBM!$Q:$Q,0))="","",INDEX(F_ProductBM!H:H,MATCH($P1097,F_ProductBM!$Q:$Q,0))))</f>
        <v/>
      </c>
      <c r="I1097" s="800" t="str">
        <f>IF($I969="","",IF(INDEX(F_ProductBM!I:I,MATCH($P1097,F_ProductBM!$Q:$Q,0))="","",INDEX(F_ProductBM!I:I,MATCH($P1097,F_ProductBM!$Q:$Q,0))))</f>
        <v/>
      </c>
      <c r="J1097" s="2174" t="str">
        <f>IF($I969="","",IF(INDEX(F_ProductBM!J:J,MATCH($P1097,F_ProductBM!$Q:$Q,0))="","",INDEX(F_ProductBM!J:J,MATCH($P1097,F_ProductBM!$Q:$Q,0))))</f>
        <v/>
      </c>
      <c r="K1097" s="1788" t="str">
        <f>IF($I969="","",IF(INDEX(F_ProductBM!K:K,MATCH($P1097,F_ProductBM!$Q:$Q,0))="","",INDEX(F_ProductBM!K:K,MATCH($P1097,F_ProductBM!$Q:$Q,0))))</f>
        <v/>
      </c>
      <c r="L1097" s="1789" t="str">
        <f>IF($I969="","",IF(INDEX(F_ProductBM!L:L,MATCH($P1097,F_ProductBM!$Q:$Q,0))="","",INDEX(F_ProductBM!L:L,MATCH($P1097,F_ProductBM!$Q:$Q,0))))</f>
        <v/>
      </c>
      <c r="M1097" s="1789" t="str">
        <f>IF($I969="","",IF(INDEX(F_ProductBM!M:M,MATCH($P1097,F_ProductBM!$Q:$Q,0))="","",INDEX(F_ProductBM!M:M,MATCH($P1097,F_ProductBM!$Q:$Q,0))))</f>
        <v/>
      </c>
      <c r="N1097" s="1789" t="str">
        <f>IF($I969="","",IF(INDEX(F_ProductBM!N:N,MATCH($P1097,F_ProductBM!$Q:$Q,0))="","",INDEX(F_ProductBM!N:N,MATCH($P1097,F_ProductBM!$Q:$Q,0))))</f>
        <v/>
      </c>
      <c r="O1097" s="485"/>
      <c r="P1097" s="1970" t="str">
        <f>EUconst_CNTR_CO2Feedstock &amp; I969</f>
        <v>EmCO2Feedstock_</v>
      </c>
      <c r="Q1097" s="1137"/>
      <c r="R1097" s="1137"/>
      <c r="S1097" s="1137"/>
      <c r="T1097" s="1137"/>
      <c r="U1097" s="1137"/>
      <c r="V1097" s="1137"/>
    </row>
    <row r="1098" spans="1:22" s="562" customFormat="1" ht="5.0999999999999996" customHeight="1">
      <c r="A1098" s="817"/>
      <c r="C1098" s="485"/>
      <c r="D1098" s="776"/>
      <c r="E1098" s="809"/>
      <c r="F1098" s="809"/>
      <c r="G1098" s="813"/>
      <c r="H1098" s="2173"/>
      <c r="I1098" s="2173"/>
      <c r="J1098" s="2173"/>
      <c r="K1098" s="1788"/>
      <c r="L1098" s="1789"/>
      <c r="M1098" s="1789"/>
      <c r="N1098" s="1789"/>
      <c r="O1098" s="485"/>
      <c r="P1098" s="1137"/>
      <c r="Q1098" s="1137"/>
      <c r="R1098" s="1137"/>
      <c r="S1098" s="1137"/>
      <c r="T1098" s="1137"/>
      <c r="U1098" s="1137"/>
      <c r="V1098" s="1137"/>
    </row>
    <row r="1099" spans="1:22" s="562" customFormat="1" ht="12.75" customHeight="1">
      <c r="A1099" s="817"/>
      <c r="C1099" s="485"/>
      <c r="D1099" s="776"/>
      <c r="E1099" s="2471" t="s">
        <v>1087</v>
      </c>
      <c r="F1099" s="3467"/>
      <c r="G1099" s="811" t="str">
        <f>EUconst_TJpa</f>
        <v>TJ / year</v>
      </c>
      <c r="H1099" s="625" t="str">
        <f>IF($I969="","",IF(INDEX(F_ProductBM!H:H,MATCH($P1099,F_ProductBM!$Q:$Q,0))="","",INDEX(F_ProductBM!H:H,MATCH($P1099,F_ProductBM!$Q:$Q,0))))</f>
        <v/>
      </c>
      <c r="I1099" s="794" t="str">
        <f>IF($I969="","",IF(INDEX(F_ProductBM!I:I,MATCH($P1099,F_ProductBM!$Q:$Q,0))="","",INDEX(F_ProductBM!I:I,MATCH($P1099,F_ProductBM!$Q:$Q,0))))</f>
        <v/>
      </c>
      <c r="J1099" s="2171" t="str">
        <f>IF($I969="","",IF(INDEX(F_ProductBM!J:J,MATCH($P1099,F_ProductBM!$Q:$Q,0))="","",INDEX(F_ProductBM!J:J,MATCH($P1099,F_ProductBM!$Q:$Q,0))))</f>
        <v/>
      </c>
      <c r="K1099" s="1788" t="str">
        <f>IF($I969="","",IF(INDEX(F_ProductBM!K:K,MATCH($P1099,F_ProductBM!$Q:$Q,0))="","",INDEX(F_ProductBM!K:K,MATCH($P1099,F_ProductBM!$Q:$Q,0))))</f>
        <v/>
      </c>
      <c r="L1099" s="1789" t="str">
        <f>IF($I969="","",IF(INDEX(F_ProductBM!L:L,MATCH($P1099,F_ProductBM!$Q:$Q,0))="","",INDEX(F_ProductBM!L:L,MATCH($P1099,F_ProductBM!$Q:$Q,0))))</f>
        <v/>
      </c>
      <c r="M1099" s="1789" t="str">
        <f>IF($I969="","",IF(INDEX(F_ProductBM!M:M,MATCH($P1099,F_ProductBM!$Q:$Q,0))="","",INDEX(F_ProductBM!M:M,MATCH($P1099,F_ProductBM!$Q:$Q,0))))</f>
        <v/>
      </c>
      <c r="N1099" s="1789" t="str">
        <f>IF($I969="","",IF(INDEX(F_ProductBM!N:N,MATCH($P1099,F_ProductBM!$Q:$Q,0))="","",INDEX(F_ProductBM!N:N,MATCH($P1099,F_ProductBM!$Q:$Q,0))))</f>
        <v/>
      </c>
      <c r="O1099" s="485"/>
      <c r="P1099" s="1970" t="str">
        <f>EUconst_CNTR_HeatImport &amp; I969</f>
        <v>HeatIm_</v>
      </c>
      <c r="Q1099" s="1137"/>
      <c r="R1099" s="1137"/>
      <c r="S1099" s="1137"/>
      <c r="T1099" s="1137"/>
      <c r="U1099" s="1137"/>
      <c r="V1099" s="1137"/>
    </row>
    <row r="1100" spans="1:22" s="562" customFormat="1" ht="12.75" customHeight="1">
      <c r="A1100" s="817"/>
      <c r="C1100" s="485"/>
      <c r="D1100" s="776"/>
      <c r="E1100" s="2473" t="s">
        <v>1103</v>
      </c>
      <c r="F1100" s="3466"/>
      <c r="G1100" s="812" t="str">
        <f>EUconst_tCO2pTJ</f>
        <v>t CO2 / TJ</v>
      </c>
      <c r="H1100" s="627" t="str">
        <f>IF($I969="","",IF(INDEX(F_ProductBM!H:H,MATCH($P1100,F_ProductBM!$Q:$Q,0))="","",INDEX(F_ProductBM!H:H,MATCH($P1100,F_ProductBM!$Q:$Q,0))))</f>
        <v/>
      </c>
      <c r="I1100" s="796" t="str">
        <f>IF($I969="","",IF(INDEX(F_ProductBM!I:I,MATCH($P1100,F_ProductBM!$Q:$Q,0))="","",INDEX(F_ProductBM!I:I,MATCH($P1100,F_ProductBM!$Q:$Q,0))))</f>
        <v/>
      </c>
      <c r="J1100" s="2172" t="str">
        <f>IF($I969="","",IF(INDEX(F_ProductBM!J:J,MATCH($P1100,F_ProductBM!$Q:$Q,0))="","",INDEX(F_ProductBM!J:J,MATCH($P1100,F_ProductBM!$Q:$Q,0))))</f>
        <v/>
      </c>
      <c r="K1100" s="1788" t="str">
        <f>IF($I969="","",IF(INDEX(F_ProductBM!K:K,MATCH($P1100,F_ProductBM!$Q:$Q,0))="","",INDEX(F_ProductBM!K:K,MATCH($P1100,F_ProductBM!$Q:$Q,0))))</f>
        <v/>
      </c>
      <c r="L1100" s="1789" t="str">
        <f>IF($I969="","",IF(INDEX(F_ProductBM!L:L,MATCH($P1100,F_ProductBM!$Q:$Q,0))="","",INDEX(F_ProductBM!L:L,MATCH($P1100,F_ProductBM!$Q:$Q,0))))</f>
        <v/>
      </c>
      <c r="M1100" s="1789" t="str">
        <f>IF($I969="","",IF(INDEX(F_ProductBM!M:M,MATCH($P1100,F_ProductBM!$Q:$Q,0))="","",INDEX(F_ProductBM!M:M,MATCH($P1100,F_ProductBM!$Q:$Q,0))))</f>
        <v/>
      </c>
      <c r="N1100" s="1789" t="str">
        <f>IF($I969="","",IF(INDEX(F_ProductBM!N:N,MATCH($P1100,F_ProductBM!$Q:$Q,0))="","",INDEX(F_ProductBM!N:N,MATCH($P1100,F_ProductBM!$Q:$Q,0))))</f>
        <v/>
      </c>
      <c r="O1100" s="485"/>
      <c r="P1100" s="1970" t="str">
        <f>EUconst_CNTR_HeatImportEF &amp; I969</f>
        <v>HeatImEF_</v>
      </c>
      <c r="Q1100" s="1137"/>
      <c r="R1100" s="1137"/>
      <c r="S1100" s="1137"/>
      <c r="T1100" s="1137"/>
      <c r="U1100" s="1137"/>
      <c r="V1100" s="1137"/>
    </row>
    <row r="1101" spans="1:22" s="562" customFormat="1" ht="5.0999999999999996" customHeight="1">
      <c r="A1101" s="817"/>
      <c r="C1101" s="485"/>
      <c r="D1101" s="776"/>
      <c r="E1101" s="809"/>
      <c r="F1101" s="809"/>
      <c r="G1101" s="813"/>
      <c r="H1101" s="2173"/>
      <c r="I1101" s="2173"/>
      <c r="J1101" s="2173"/>
      <c r="K1101" s="1788"/>
      <c r="L1101" s="1789"/>
      <c r="M1101" s="1789"/>
      <c r="N1101" s="1789"/>
      <c r="O1101" s="485"/>
      <c r="P1101" s="1117"/>
      <c r="Q1101" s="1137"/>
      <c r="R1101" s="1137"/>
      <c r="S1101" s="1137"/>
      <c r="T1101" s="1137"/>
      <c r="U1101" s="1137"/>
      <c r="V1101" s="1137"/>
    </row>
    <row r="1102" spans="1:22" s="562" customFormat="1" ht="12.75" customHeight="1">
      <c r="A1102" s="817"/>
      <c r="C1102" s="485"/>
      <c r="D1102" s="776"/>
      <c r="E1102" s="2475" t="s">
        <v>1150</v>
      </c>
      <c r="F1102" s="3461"/>
      <c r="G1102" s="815" t="str">
        <f>EUconst_TJpa</f>
        <v>TJ / year</v>
      </c>
      <c r="H1102" s="623" t="str">
        <f>IF($I969="","",IF(INDEX(F_ProductBM!H:H,MATCH($P1102,F_ProductBM!$Q:$Q,0))="","",INDEX(F_ProductBM!H:H,MATCH($P1102,F_ProductBM!$Q:$Q,0))))</f>
        <v/>
      </c>
      <c r="I1102" s="800" t="str">
        <f>IF($I969="","",IF(INDEX(F_ProductBM!I:I,MATCH($P1102,F_ProductBM!$Q:$Q,0))="","",INDEX(F_ProductBM!I:I,MATCH($P1102,F_ProductBM!$Q:$Q,0))))</f>
        <v/>
      </c>
      <c r="J1102" s="2174" t="str">
        <f>IF($I969="","",IF(INDEX(F_ProductBM!J:J,MATCH($P1102,F_ProductBM!$Q:$Q,0))="","",INDEX(F_ProductBM!J:J,MATCH($P1102,F_ProductBM!$Q:$Q,0))))</f>
        <v/>
      </c>
      <c r="K1102" s="1788" t="str">
        <f>IF($I969="","",IF(INDEX(F_ProductBM!K:K,MATCH($P1102,F_ProductBM!$Q:$Q,0))="","",INDEX(F_ProductBM!K:K,MATCH($P1102,F_ProductBM!$Q:$Q,0))))</f>
        <v/>
      </c>
      <c r="L1102" s="1789" t="str">
        <f>IF($I969="","",IF(INDEX(F_ProductBM!L:L,MATCH($P1102,F_ProductBM!$Q:$Q,0))="","",INDEX(F_ProductBM!L:L,MATCH($P1102,F_ProductBM!$Q:$Q,0))))</f>
        <v/>
      </c>
      <c r="M1102" s="1789" t="str">
        <f>IF($I969="","",IF(INDEX(F_ProductBM!M:M,MATCH($P1102,F_ProductBM!$Q:$Q,0))="","",INDEX(F_ProductBM!M:M,MATCH($P1102,F_ProductBM!$Q:$Q,0))))</f>
        <v/>
      </c>
      <c r="N1102" s="1789" t="str">
        <f>IF($I969="","",IF(INDEX(F_ProductBM!N:N,MATCH($P1102,F_ProductBM!$Q:$Q,0))="","",INDEX(F_ProductBM!N:N,MATCH($P1102,F_ProductBM!$Q:$Q,0))))</f>
        <v/>
      </c>
      <c r="O1102" s="485"/>
      <c r="P1102" s="1970" t="str">
        <f>EUconst_CNTR_HeatImportPulp &amp; I969</f>
        <v>HeatImPulp_</v>
      </c>
      <c r="Q1102" s="1137"/>
      <c r="R1102" s="1137"/>
      <c r="S1102" s="1137"/>
      <c r="T1102" s="1137"/>
      <c r="U1102" s="1137"/>
      <c r="V1102" s="1137"/>
    </row>
    <row r="1103" spans="1:22" s="562" customFormat="1" ht="12.75" customHeight="1">
      <c r="A1103" s="817"/>
      <c r="C1103" s="485"/>
      <c r="D1103" s="776"/>
      <c r="E1103" s="2475" t="s">
        <v>1149</v>
      </c>
      <c r="F1103" s="3461"/>
      <c r="G1103" s="815" t="str">
        <f>EUconst_TJpa</f>
        <v>TJ / year</v>
      </c>
      <c r="H1103" s="623" t="str">
        <f>IF($I969="","",IF(INDEX(F_ProductBM!H:H,MATCH($P1103,F_ProductBM!$Q:$Q,0))="","",INDEX(F_ProductBM!H:H,MATCH($P1103,F_ProductBM!$Q:$Q,0))))</f>
        <v/>
      </c>
      <c r="I1103" s="800" t="str">
        <f>IF($I969="","",IF(INDEX(F_ProductBM!I:I,MATCH($P1103,F_ProductBM!$Q:$Q,0))="","",INDEX(F_ProductBM!I:I,MATCH($P1103,F_ProductBM!$Q:$Q,0))))</f>
        <v/>
      </c>
      <c r="J1103" s="2174" t="str">
        <f>IF($I969="","",IF(INDEX(F_ProductBM!J:J,MATCH($P1103,F_ProductBM!$Q:$Q,0))="","",INDEX(F_ProductBM!J:J,MATCH($P1103,F_ProductBM!$Q:$Q,0))))</f>
        <v/>
      </c>
      <c r="K1103" s="1788" t="str">
        <f>IF($I969="","",IF(INDEX(F_ProductBM!K:K,MATCH($P1103,F_ProductBM!$Q:$Q,0))="","",INDEX(F_ProductBM!K:K,MATCH($P1103,F_ProductBM!$Q:$Q,0))))</f>
        <v/>
      </c>
      <c r="L1103" s="1789" t="str">
        <f>IF($I969="","",IF(INDEX(F_ProductBM!L:L,MATCH($P1103,F_ProductBM!$Q:$Q,0))="","",INDEX(F_ProductBM!L:L,MATCH($P1103,F_ProductBM!$Q:$Q,0))))</f>
        <v/>
      </c>
      <c r="M1103" s="1789" t="str">
        <f>IF($I969="","",IF(INDEX(F_ProductBM!M:M,MATCH($P1103,F_ProductBM!$Q:$Q,0))="","",INDEX(F_ProductBM!M:M,MATCH($P1103,F_ProductBM!$Q:$Q,0))))</f>
        <v/>
      </c>
      <c r="N1103" s="1789" t="str">
        <f>IF($I969="","",IF(INDEX(F_ProductBM!N:N,MATCH($P1103,F_ProductBM!$Q:$Q,0))="","",INDEX(F_ProductBM!N:N,MATCH($P1103,F_ProductBM!$Q:$Q,0))))</f>
        <v/>
      </c>
      <c r="O1103" s="485"/>
      <c r="P1103" s="1970" t="str">
        <f>EUconst_CNTR_HeatImportNitric &amp; I969</f>
        <v>HeatImNitric_</v>
      </c>
      <c r="Q1103" s="1137"/>
      <c r="R1103" s="1137"/>
      <c r="S1103" s="1137"/>
      <c r="T1103" s="1137"/>
      <c r="U1103" s="1137"/>
      <c r="V1103" s="1137"/>
    </row>
    <row r="1104" spans="1:22" s="562" customFormat="1" ht="5.0999999999999996" customHeight="1">
      <c r="A1104" s="817"/>
      <c r="C1104" s="485"/>
      <c r="D1104" s="776"/>
      <c r="E1104" s="809"/>
      <c r="F1104" s="809"/>
      <c r="G1104" s="777"/>
      <c r="H1104" s="2173"/>
      <c r="I1104" s="2173"/>
      <c r="J1104" s="2173"/>
      <c r="K1104" s="1788"/>
      <c r="L1104" s="1789"/>
      <c r="M1104" s="1789"/>
      <c r="N1104" s="1789"/>
      <c r="O1104" s="485"/>
      <c r="P1104" s="1117"/>
      <c r="Q1104" s="1137"/>
      <c r="R1104" s="1137"/>
      <c r="S1104" s="1137"/>
      <c r="T1104" s="1137"/>
      <c r="U1104" s="1137"/>
      <c r="V1104" s="1137"/>
    </row>
    <row r="1105" spans="1:22" s="562" customFormat="1" ht="12.75" customHeight="1">
      <c r="A1105" s="817"/>
      <c r="C1105" s="485"/>
      <c r="D1105" s="776"/>
      <c r="E1105" s="2471" t="s">
        <v>1079</v>
      </c>
      <c r="F1105" s="3467"/>
      <c r="G1105" s="811" t="str">
        <f>EUconst_TJpa</f>
        <v>TJ / year</v>
      </c>
      <c r="H1105" s="625" t="str">
        <f>IF($I969="","",IF(INDEX(F_ProductBM!H:H,MATCH($P1105,F_ProductBM!$Q:$Q,0))="","",INDEX(F_ProductBM!H:H,MATCH($P1105,F_ProductBM!$Q:$Q,0))))</f>
        <v/>
      </c>
      <c r="I1105" s="794" t="str">
        <f>IF($I969="","",IF(INDEX(F_ProductBM!I:I,MATCH($P1105,F_ProductBM!$Q:$Q,0))="","",INDEX(F_ProductBM!I:I,MATCH($P1105,F_ProductBM!$Q:$Q,0))))</f>
        <v/>
      </c>
      <c r="J1105" s="2171" t="str">
        <f>IF($I969="","",IF(INDEX(F_ProductBM!J:J,MATCH($P1105,F_ProductBM!$Q:$Q,0))="","",INDEX(F_ProductBM!J:J,MATCH($P1105,F_ProductBM!$Q:$Q,0))))</f>
        <v/>
      </c>
      <c r="K1105" s="1788" t="str">
        <f>IF($I969="","",IF(INDEX(F_ProductBM!K:K,MATCH($P1105,F_ProductBM!$Q:$Q,0))="","",INDEX(F_ProductBM!K:K,MATCH($P1105,F_ProductBM!$Q:$Q,0))))</f>
        <v/>
      </c>
      <c r="L1105" s="1789" t="str">
        <f>IF($I969="","",IF(INDEX(F_ProductBM!L:L,MATCH($P1105,F_ProductBM!$Q:$Q,0))="","",INDEX(F_ProductBM!L:L,MATCH($P1105,F_ProductBM!$Q:$Q,0))))</f>
        <v/>
      </c>
      <c r="M1105" s="1789" t="str">
        <f>IF($I969="","",IF(INDEX(F_ProductBM!M:M,MATCH($P1105,F_ProductBM!$Q:$Q,0))="","",INDEX(F_ProductBM!M:M,MATCH($P1105,F_ProductBM!$Q:$Q,0))))</f>
        <v/>
      </c>
      <c r="N1105" s="1789" t="str">
        <f>IF($I969="","",IF(INDEX(F_ProductBM!N:N,MATCH($P1105,F_ProductBM!$Q:$Q,0))="","",INDEX(F_ProductBM!N:N,MATCH($P1105,F_ProductBM!$Q:$Q,0))))</f>
        <v/>
      </c>
      <c r="O1105" s="485"/>
      <c r="P1105" s="1970" t="str">
        <f>EUconst_CNTR_HeatExport &amp; I969</f>
        <v>HeatEx_</v>
      </c>
      <c r="Q1105" s="1137"/>
      <c r="R1105" s="1137"/>
      <c r="S1105" s="1137"/>
      <c r="T1105" s="1137"/>
      <c r="U1105" s="1137"/>
      <c r="V1105" s="1137"/>
    </row>
    <row r="1106" spans="1:22" s="562" customFormat="1" ht="12.75" customHeight="1">
      <c r="A1106" s="817"/>
      <c r="C1106" s="485"/>
      <c r="D1106" s="776"/>
      <c r="E1106" s="2473" t="s">
        <v>1104</v>
      </c>
      <c r="F1106" s="3466"/>
      <c r="G1106" s="812" t="str">
        <f>EUconst_tCO2pTJ</f>
        <v>t CO2 / TJ</v>
      </c>
      <c r="H1106" s="627" t="str">
        <f>IF($I969="","",IF(INDEX(F_ProductBM!H:H,MATCH($P1106,F_ProductBM!$Q:$Q,0))="","",INDEX(F_ProductBM!H:H,MATCH($P1106,F_ProductBM!$Q:$Q,0))))</f>
        <v/>
      </c>
      <c r="I1106" s="796" t="str">
        <f>IF($I969="","",IF(INDEX(F_ProductBM!I:I,MATCH($P1106,F_ProductBM!$Q:$Q,0))="","",INDEX(F_ProductBM!I:I,MATCH($P1106,F_ProductBM!$Q:$Q,0))))</f>
        <v/>
      </c>
      <c r="J1106" s="2172" t="str">
        <f>IF($I969="","",IF(INDEX(F_ProductBM!J:J,MATCH($P1106,F_ProductBM!$Q:$Q,0))="","",INDEX(F_ProductBM!J:J,MATCH($P1106,F_ProductBM!$Q:$Q,0))))</f>
        <v/>
      </c>
      <c r="K1106" s="1788" t="str">
        <f>IF($I969="","",IF(INDEX(F_ProductBM!K:K,MATCH($P1106,F_ProductBM!$Q:$Q,0))="","",INDEX(F_ProductBM!K:K,MATCH($P1106,F_ProductBM!$Q:$Q,0))))</f>
        <v/>
      </c>
      <c r="L1106" s="1789" t="str">
        <f>IF($I969="","",IF(INDEX(F_ProductBM!L:L,MATCH($P1106,F_ProductBM!$Q:$Q,0))="","",INDEX(F_ProductBM!L:L,MATCH($P1106,F_ProductBM!$Q:$Q,0))))</f>
        <v/>
      </c>
      <c r="M1106" s="1789" t="str">
        <f>IF($I969="","",IF(INDEX(F_ProductBM!M:M,MATCH($P1106,F_ProductBM!$Q:$Q,0))="","",INDEX(F_ProductBM!M:M,MATCH($P1106,F_ProductBM!$Q:$Q,0))))</f>
        <v/>
      </c>
      <c r="N1106" s="1789" t="str">
        <f>IF($I969="","",IF(INDEX(F_ProductBM!N:N,MATCH($P1106,F_ProductBM!$Q:$Q,0))="","",INDEX(F_ProductBM!N:N,MATCH($P1106,F_ProductBM!$Q:$Q,0))))</f>
        <v/>
      </c>
      <c r="O1106" s="485"/>
      <c r="P1106" s="1970" t="str">
        <f>EUconst_CNTR_HeatExportEF &amp; I969</f>
        <v>HeatExEF_</v>
      </c>
      <c r="Q1106" s="1137"/>
      <c r="R1106" s="1137"/>
      <c r="S1106" s="1137"/>
      <c r="T1106" s="1137"/>
      <c r="U1106" s="1137"/>
      <c r="V1106" s="1137"/>
    </row>
    <row r="1107" spans="1:22" s="562" customFormat="1" ht="5.0999999999999996" customHeight="1">
      <c r="A1107" s="817"/>
      <c r="C1107" s="485"/>
      <c r="D1107" s="776"/>
      <c r="E1107" s="809"/>
      <c r="F1107" s="809"/>
      <c r="G1107" s="777"/>
      <c r="H1107" s="2173"/>
      <c r="I1107" s="2173"/>
      <c r="J1107" s="2173"/>
      <c r="K1107" s="1788"/>
      <c r="L1107" s="1789"/>
      <c r="M1107" s="1789"/>
      <c r="N1107" s="1789"/>
      <c r="O1107" s="485"/>
      <c r="P1107" s="1117"/>
      <c r="Q1107" s="1137"/>
      <c r="R1107" s="1137"/>
      <c r="S1107" s="1137"/>
      <c r="T1107" s="1137"/>
      <c r="U1107" s="1137"/>
      <c r="V1107" s="1137"/>
    </row>
    <row r="1108" spans="1:22" s="562" customFormat="1" ht="12.75" customHeight="1">
      <c r="A1108" s="817"/>
      <c r="C1108" s="485"/>
      <c r="D1108" s="776"/>
      <c r="E1108" s="2471" t="s">
        <v>1141</v>
      </c>
      <c r="F1108" s="3467"/>
      <c r="G1108" s="811" t="str">
        <f>EUconst_TJpa</f>
        <v>TJ / year</v>
      </c>
      <c r="H1108" s="625" t="str">
        <f>IF($I969="","",IF(INDEX(F_ProductBM!H:H,MATCH($P1108,F_ProductBM!$Q:$Q,0))="","",INDEX(F_ProductBM!H:H,MATCH($P1108,F_ProductBM!$Q:$Q,0))))</f>
        <v/>
      </c>
      <c r="I1108" s="794" t="str">
        <f>IF($I969="","",IF(INDEX(F_ProductBM!I:I,MATCH($P1108,F_ProductBM!$Q:$Q,0))="","",INDEX(F_ProductBM!I:I,MATCH($P1108,F_ProductBM!$Q:$Q,0))))</f>
        <v/>
      </c>
      <c r="J1108" s="2171" t="str">
        <f>IF($I969="","",IF(INDEX(F_ProductBM!J:J,MATCH($P1108,F_ProductBM!$Q:$Q,0))="","",INDEX(F_ProductBM!J:J,MATCH($P1108,F_ProductBM!$Q:$Q,0))))</f>
        <v/>
      </c>
      <c r="K1108" s="1788" t="str">
        <f>IF($I969="","",IF(INDEX(F_ProductBM!K:K,MATCH($P1108,F_ProductBM!$Q:$Q,0))="","",INDEX(F_ProductBM!K:K,MATCH($P1108,F_ProductBM!$Q:$Q,0))))</f>
        <v/>
      </c>
      <c r="L1108" s="1789" t="str">
        <f>IF($I969="","",IF(INDEX(F_ProductBM!L:L,MATCH($P1108,F_ProductBM!$Q:$Q,0))="","",INDEX(F_ProductBM!L:L,MATCH($P1108,F_ProductBM!$Q:$Q,0))))</f>
        <v/>
      </c>
      <c r="M1108" s="1789" t="str">
        <f>IF($I969="","",IF(INDEX(F_ProductBM!M:M,MATCH($P1108,F_ProductBM!$Q:$Q,0))="","",INDEX(F_ProductBM!M:M,MATCH($P1108,F_ProductBM!$Q:$Q,0))))</f>
        <v/>
      </c>
      <c r="N1108" s="1789" t="str">
        <f>IF($I969="","",IF(INDEX(F_ProductBM!N:N,MATCH($P1108,F_ProductBM!$Q:$Q,0))="","",INDEX(F_ProductBM!N:N,MATCH($P1108,F_ProductBM!$Q:$Q,0))))</f>
        <v/>
      </c>
      <c r="O1108" s="485"/>
      <c r="P1108" s="2109" t="str">
        <f>EUconst_CNTR_WGProduced &amp; I969</f>
        <v>WasteGasProd_</v>
      </c>
      <c r="Q1108" s="1137"/>
      <c r="R1108" s="1137"/>
      <c r="S1108" s="1137"/>
      <c r="T1108" s="1137"/>
      <c r="U1108" s="1137"/>
      <c r="V1108" s="1137"/>
    </row>
    <row r="1109" spans="1:22" s="562" customFormat="1" ht="12.75" customHeight="1">
      <c r="A1109" s="817"/>
      <c r="C1109" s="485"/>
      <c r="D1109" s="776"/>
      <c r="E1109" s="2473" t="s">
        <v>1258</v>
      </c>
      <c r="F1109" s="3466"/>
      <c r="G1109" s="812" t="str">
        <f>EUconst_tCO2pTJ</f>
        <v>t CO2 / TJ</v>
      </c>
      <c r="H1109" s="627" t="str">
        <f>IF($I969="","",IF(INDEX(F_ProductBM!H:H,MATCH($P1109,F_ProductBM!$Q:$Q,0))="","",INDEX(F_ProductBM!H:H,MATCH($P1109,F_ProductBM!$Q:$Q,0))))</f>
        <v/>
      </c>
      <c r="I1109" s="796" t="str">
        <f>IF($I969="","",IF(INDEX(F_ProductBM!I:I,MATCH($P1109,F_ProductBM!$Q:$Q,0))="","",INDEX(F_ProductBM!I:I,MATCH($P1109,F_ProductBM!$Q:$Q,0))))</f>
        <v/>
      </c>
      <c r="J1109" s="2172" t="str">
        <f>IF($I969="","",IF(INDEX(F_ProductBM!J:J,MATCH($P1109,F_ProductBM!$Q:$Q,0))="","",INDEX(F_ProductBM!J:J,MATCH($P1109,F_ProductBM!$Q:$Q,0))))</f>
        <v/>
      </c>
      <c r="K1109" s="1788" t="str">
        <f>IF($I969="","",IF(INDEX(F_ProductBM!K:K,MATCH($P1109,F_ProductBM!$Q:$Q,0))="","",INDEX(F_ProductBM!K:K,MATCH($P1109,F_ProductBM!$Q:$Q,0))))</f>
        <v/>
      </c>
      <c r="L1109" s="1789" t="str">
        <f>IF($I969="","",IF(INDEX(F_ProductBM!L:L,MATCH($P1109,F_ProductBM!$Q:$Q,0))="","",INDEX(F_ProductBM!L:L,MATCH($P1109,F_ProductBM!$Q:$Q,0))))</f>
        <v/>
      </c>
      <c r="M1109" s="1789" t="str">
        <f>IF($I969="","",IF(INDEX(F_ProductBM!M:M,MATCH($P1109,F_ProductBM!$Q:$Q,0))="","",INDEX(F_ProductBM!M:M,MATCH($P1109,F_ProductBM!$Q:$Q,0))))</f>
        <v/>
      </c>
      <c r="N1109" s="1789" t="str">
        <f>IF($I969="","",IF(INDEX(F_ProductBM!N:N,MATCH($P1109,F_ProductBM!$Q:$Q,0))="","",INDEX(F_ProductBM!N:N,MATCH($P1109,F_ProductBM!$Q:$Q,0))))</f>
        <v/>
      </c>
      <c r="O1109" s="485"/>
      <c r="P1109" s="1970" t="str">
        <f>EUconst_CNTR_WGProducedEF &amp; I969</f>
        <v>WasteGasProdEF_</v>
      </c>
      <c r="Q1109" s="1137"/>
      <c r="R1109" s="1137"/>
      <c r="S1109" s="1137"/>
      <c r="T1109" s="1137"/>
      <c r="U1109" s="1137"/>
      <c r="V1109" s="1137"/>
    </row>
    <row r="1110" spans="1:22" s="562" customFormat="1" ht="12.75" customHeight="1">
      <c r="A1110" s="817"/>
      <c r="C1110" s="485"/>
      <c r="D1110" s="776"/>
      <c r="E1110" s="2471" t="s">
        <v>1309</v>
      </c>
      <c r="F1110" s="3467"/>
      <c r="G1110" s="811" t="str">
        <f>EUconst_TJpa</f>
        <v>TJ / year</v>
      </c>
      <c r="H1110" s="625" t="str">
        <f>IF($I969="","",IF(INDEX(F_ProductBM!H:H,MATCH($P1110,F_ProductBM!$Q:$Q,0))="","",INDEX(F_ProductBM!H:H,MATCH($P1110,F_ProductBM!$Q:$Q,0))))</f>
        <v/>
      </c>
      <c r="I1110" s="794" t="str">
        <f>IF($I969="","",IF(INDEX(F_ProductBM!I:I,MATCH($P1110,F_ProductBM!$Q:$Q,0))="","",INDEX(F_ProductBM!I:I,MATCH($P1110,F_ProductBM!$Q:$Q,0))))</f>
        <v/>
      </c>
      <c r="J1110" s="2171" t="str">
        <f>IF($I969="","",IF(INDEX(F_ProductBM!J:J,MATCH($P1110,F_ProductBM!$Q:$Q,0))="","",INDEX(F_ProductBM!J:J,MATCH($P1110,F_ProductBM!$Q:$Q,0))))</f>
        <v/>
      </c>
      <c r="K1110" s="1788" t="str">
        <f>IF($I969="","",IF(INDEX(F_ProductBM!K:K,MATCH($P1110,F_ProductBM!$Q:$Q,0))="","",INDEX(F_ProductBM!K:K,MATCH($P1110,F_ProductBM!$Q:$Q,0))))</f>
        <v/>
      </c>
      <c r="L1110" s="1789" t="str">
        <f>IF($I969="","",IF(INDEX(F_ProductBM!L:L,MATCH($P1110,F_ProductBM!$Q:$Q,0))="","",INDEX(F_ProductBM!L:L,MATCH($P1110,F_ProductBM!$Q:$Q,0))))</f>
        <v/>
      </c>
      <c r="M1110" s="1789" t="str">
        <f>IF($I969="","",IF(INDEX(F_ProductBM!M:M,MATCH($P1110,F_ProductBM!$Q:$Q,0))="","",INDEX(F_ProductBM!M:M,MATCH($P1110,F_ProductBM!$Q:$Q,0))))</f>
        <v/>
      </c>
      <c r="N1110" s="1789" t="str">
        <f>IF($I969="","",IF(INDEX(F_ProductBM!N:N,MATCH($P1110,F_ProductBM!$Q:$Q,0))="","",INDEX(F_ProductBM!N:N,MATCH($P1110,F_ProductBM!$Q:$Q,0))))</f>
        <v/>
      </c>
      <c r="O1110" s="485"/>
      <c r="P1110" s="1970" t="str">
        <f>EUconst_CNTR_WGConsumed &amp; I969</f>
        <v>WasteGasCons_</v>
      </c>
      <c r="Q1110" s="1137"/>
      <c r="R1110" s="1137"/>
      <c r="S1110" s="1137"/>
      <c r="T1110" s="1137"/>
      <c r="U1110" s="1137"/>
      <c r="V1110" s="1137"/>
    </row>
    <row r="1111" spans="1:22" s="562" customFormat="1" ht="12.75" customHeight="1">
      <c r="A1111" s="817"/>
      <c r="C1111" s="485"/>
      <c r="D1111" s="776"/>
      <c r="E1111" s="2473" t="s">
        <v>1307</v>
      </c>
      <c r="F1111" s="3466"/>
      <c r="G1111" s="812" t="str">
        <f>EUconst_tCO2pTJ</f>
        <v>t CO2 / TJ</v>
      </c>
      <c r="H1111" s="627" t="str">
        <f>IF($I969="","",IF(INDEX(F_ProductBM!H:H,MATCH($P1111,F_ProductBM!$Q:$Q,0))="","",INDEX(F_ProductBM!H:H,MATCH($P1111,F_ProductBM!$Q:$Q,0))))</f>
        <v/>
      </c>
      <c r="I1111" s="796" t="str">
        <f>IF($I969="","",IF(INDEX(F_ProductBM!I:I,MATCH($P1111,F_ProductBM!$Q:$Q,0))="","",INDEX(F_ProductBM!I:I,MATCH($P1111,F_ProductBM!$Q:$Q,0))))</f>
        <v/>
      </c>
      <c r="J1111" s="2172" t="str">
        <f>IF($I969="","",IF(INDEX(F_ProductBM!J:J,MATCH($P1111,F_ProductBM!$Q:$Q,0))="","",INDEX(F_ProductBM!J:J,MATCH($P1111,F_ProductBM!$Q:$Q,0))))</f>
        <v/>
      </c>
      <c r="K1111" s="1788" t="str">
        <f>IF($I969="","",IF(INDEX(F_ProductBM!K:K,MATCH($P1111,F_ProductBM!$Q:$Q,0))="","",INDEX(F_ProductBM!K:K,MATCH($P1111,F_ProductBM!$Q:$Q,0))))</f>
        <v/>
      </c>
      <c r="L1111" s="1789" t="str">
        <f>IF($I969="","",IF(INDEX(F_ProductBM!L:L,MATCH($P1111,F_ProductBM!$Q:$Q,0))="","",INDEX(F_ProductBM!L:L,MATCH($P1111,F_ProductBM!$Q:$Q,0))))</f>
        <v/>
      </c>
      <c r="M1111" s="1789" t="str">
        <f>IF($I969="","",IF(INDEX(F_ProductBM!M:M,MATCH($P1111,F_ProductBM!$Q:$Q,0))="","",INDEX(F_ProductBM!M:M,MATCH($P1111,F_ProductBM!$Q:$Q,0))))</f>
        <v/>
      </c>
      <c r="N1111" s="1789" t="str">
        <f>IF($I969="","",IF(INDEX(F_ProductBM!N:N,MATCH($P1111,F_ProductBM!$Q:$Q,0))="","",INDEX(F_ProductBM!N:N,MATCH($P1111,F_ProductBM!$Q:$Q,0))))</f>
        <v/>
      </c>
      <c r="O1111" s="485"/>
      <c r="P1111" s="1970" t="str">
        <f>EUconst_CNTR_WGConsumedEF &amp; I969</f>
        <v>WasteGasConsEF_</v>
      </c>
      <c r="Q1111" s="1137"/>
      <c r="R1111" s="1137"/>
      <c r="S1111" s="1137"/>
      <c r="T1111" s="1137"/>
      <c r="U1111" s="1137"/>
      <c r="V1111" s="1137"/>
    </row>
    <row r="1112" spans="1:22" s="562" customFormat="1" ht="12.75" customHeight="1">
      <c r="A1112" s="817"/>
      <c r="C1112" s="485"/>
      <c r="D1112" s="776"/>
      <c r="E1112" s="2471" t="s">
        <v>1288</v>
      </c>
      <c r="F1112" s="3467"/>
      <c r="G1112" s="811" t="str">
        <f>EUconst_TJpa</f>
        <v>TJ / year</v>
      </c>
      <c r="H1112" s="625" t="str">
        <f>IF($I969="","",IF(INDEX(F_ProductBM!H:H,MATCH($P1112,F_ProductBM!$Q:$Q,0))="","",INDEX(F_ProductBM!H:H,MATCH($P1112,F_ProductBM!$Q:$Q,0))))</f>
        <v/>
      </c>
      <c r="I1112" s="794" t="str">
        <f>IF($I969="","",IF(INDEX(F_ProductBM!I:I,MATCH($P1112,F_ProductBM!$Q:$Q,0))="","",INDEX(F_ProductBM!I:I,MATCH($P1112,F_ProductBM!$Q:$Q,0))))</f>
        <v/>
      </c>
      <c r="J1112" s="2171" t="str">
        <f>IF($I969="","",IF(INDEX(F_ProductBM!J:J,MATCH($P1112,F_ProductBM!$Q:$Q,0))="","",INDEX(F_ProductBM!J:J,MATCH($P1112,F_ProductBM!$Q:$Q,0))))</f>
        <v/>
      </c>
      <c r="K1112" s="1788" t="str">
        <f>IF($I969="","",IF(INDEX(F_ProductBM!K:K,MATCH($P1112,F_ProductBM!$Q:$Q,0))="","",INDEX(F_ProductBM!K:K,MATCH($P1112,F_ProductBM!$Q:$Q,0))))</f>
        <v/>
      </c>
      <c r="L1112" s="1789" t="str">
        <f>IF($I969="","",IF(INDEX(F_ProductBM!L:L,MATCH($P1112,F_ProductBM!$Q:$Q,0))="","",INDEX(F_ProductBM!L:L,MATCH($P1112,F_ProductBM!$Q:$Q,0))))</f>
        <v/>
      </c>
      <c r="M1112" s="1789" t="str">
        <f>IF($I969="","",IF(INDEX(F_ProductBM!M:M,MATCH($P1112,F_ProductBM!$Q:$Q,0))="","",INDEX(F_ProductBM!M:M,MATCH($P1112,F_ProductBM!$Q:$Q,0))))</f>
        <v/>
      </c>
      <c r="N1112" s="1789" t="str">
        <f>IF($I969="","",IF(INDEX(F_ProductBM!N:N,MATCH($P1112,F_ProductBM!$Q:$Q,0))="","",INDEX(F_ProductBM!N:N,MATCH($P1112,F_ProductBM!$Q:$Q,0))))</f>
        <v/>
      </c>
      <c r="O1112" s="485"/>
      <c r="P1112" s="1970" t="str">
        <f>EUconst_CNTR_WGFlared &amp; I969</f>
        <v>WasteGasFlare_</v>
      </c>
      <c r="Q1112" s="1137"/>
      <c r="R1112" s="1137"/>
      <c r="S1112" s="1137"/>
      <c r="T1112" s="1137"/>
      <c r="U1112" s="1137"/>
      <c r="V1112" s="1137"/>
    </row>
    <row r="1113" spans="1:22" s="562" customFormat="1" ht="12.75" customHeight="1">
      <c r="A1113" s="817"/>
      <c r="C1113" s="485"/>
      <c r="D1113" s="776"/>
      <c r="E1113" s="2473" t="s">
        <v>1308</v>
      </c>
      <c r="F1113" s="3466"/>
      <c r="G1113" s="812" t="str">
        <f>EUconst_tCO2pTJ</f>
        <v>t CO2 / TJ</v>
      </c>
      <c r="H1113" s="627" t="str">
        <f>IF($I969="","",IF(INDEX(F_ProductBM!H:H,MATCH($P1113,F_ProductBM!$Q:$Q,0))="","",INDEX(F_ProductBM!H:H,MATCH($P1113,F_ProductBM!$Q:$Q,0))))</f>
        <v/>
      </c>
      <c r="I1113" s="796" t="str">
        <f>IF($I969="","",IF(INDEX(F_ProductBM!I:I,MATCH($P1113,F_ProductBM!$Q:$Q,0))="","",INDEX(F_ProductBM!I:I,MATCH($P1113,F_ProductBM!$Q:$Q,0))))</f>
        <v/>
      </c>
      <c r="J1113" s="2172" t="str">
        <f>IF($I969="","",IF(INDEX(F_ProductBM!J:J,MATCH($P1113,F_ProductBM!$Q:$Q,0))="","",INDEX(F_ProductBM!J:J,MATCH($P1113,F_ProductBM!$Q:$Q,0))))</f>
        <v/>
      </c>
      <c r="K1113" s="1788" t="str">
        <f>IF($I969="","",IF(INDEX(F_ProductBM!K:K,MATCH($P1113,F_ProductBM!$Q:$Q,0))="","",INDEX(F_ProductBM!K:K,MATCH($P1113,F_ProductBM!$Q:$Q,0))))</f>
        <v/>
      </c>
      <c r="L1113" s="1789" t="str">
        <f>IF($I969="","",IF(INDEX(F_ProductBM!L:L,MATCH($P1113,F_ProductBM!$Q:$Q,0))="","",INDEX(F_ProductBM!L:L,MATCH($P1113,F_ProductBM!$Q:$Q,0))))</f>
        <v/>
      </c>
      <c r="M1113" s="1789" t="str">
        <f>IF($I969="","",IF(INDEX(F_ProductBM!M:M,MATCH($P1113,F_ProductBM!$Q:$Q,0))="","",INDEX(F_ProductBM!M:M,MATCH($P1113,F_ProductBM!$Q:$Q,0))))</f>
        <v/>
      </c>
      <c r="N1113" s="1789" t="str">
        <f>IF($I969="","",IF(INDEX(F_ProductBM!N:N,MATCH($P1113,F_ProductBM!$Q:$Q,0))="","",INDEX(F_ProductBM!N:N,MATCH($P1113,F_ProductBM!$Q:$Q,0))))</f>
        <v/>
      </c>
      <c r="O1113" s="485"/>
      <c r="P1113" s="1970" t="str">
        <f>EUconst_CNTR_WGFlaredEF &amp; I969</f>
        <v>WasteGasFlareEF_</v>
      </c>
      <c r="Q1113" s="1137"/>
      <c r="R1113" s="1137"/>
      <c r="S1113" s="1137"/>
      <c r="T1113" s="1137"/>
      <c r="U1113" s="1137"/>
      <c r="V1113" s="1137"/>
    </row>
    <row r="1114" spans="1:22" s="562" customFormat="1" ht="12.75" customHeight="1">
      <c r="A1114" s="817"/>
      <c r="C1114" s="485"/>
      <c r="D1114" s="776"/>
      <c r="E1114" s="2471" t="s">
        <v>1102</v>
      </c>
      <c r="F1114" s="3467"/>
      <c r="G1114" s="811" t="str">
        <f>EUconst_TJpa</f>
        <v>TJ / year</v>
      </c>
      <c r="H1114" s="625" t="str">
        <f>IF($I969="","",IF(INDEX(F_ProductBM!H:H,MATCH($P1114,F_ProductBM!$Q:$Q,0))="","",INDEX(F_ProductBM!H:H,MATCH($P1114,F_ProductBM!$Q:$Q,0))))</f>
        <v/>
      </c>
      <c r="I1114" s="794" t="str">
        <f>IF($I969="","",IF(INDEX(F_ProductBM!I:I,MATCH($P1114,F_ProductBM!$Q:$Q,0))="","",INDEX(F_ProductBM!I:I,MATCH($P1114,F_ProductBM!$Q:$Q,0))))</f>
        <v/>
      </c>
      <c r="J1114" s="2171" t="str">
        <f>IF($I969="","",IF(INDEX(F_ProductBM!J:J,MATCH($P1114,F_ProductBM!$Q:$Q,0))="","",INDEX(F_ProductBM!J:J,MATCH($P1114,F_ProductBM!$Q:$Q,0))))</f>
        <v/>
      </c>
      <c r="K1114" s="1788" t="str">
        <f>IF($I969="","",IF(INDEX(F_ProductBM!K:K,MATCH($P1114,F_ProductBM!$Q:$Q,0))="","",INDEX(F_ProductBM!K:K,MATCH($P1114,F_ProductBM!$Q:$Q,0))))</f>
        <v/>
      </c>
      <c r="L1114" s="1789" t="str">
        <f>IF($I969="","",IF(INDEX(F_ProductBM!L:L,MATCH($P1114,F_ProductBM!$Q:$Q,0))="","",INDEX(F_ProductBM!L:L,MATCH($P1114,F_ProductBM!$Q:$Q,0))))</f>
        <v/>
      </c>
      <c r="M1114" s="1789" t="str">
        <f>IF($I969="","",IF(INDEX(F_ProductBM!M:M,MATCH($P1114,F_ProductBM!$Q:$Q,0))="","",INDEX(F_ProductBM!M:M,MATCH($P1114,F_ProductBM!$Q:$Q,0))))</f>
        <v/>
      </c>
      <c r="N1114" s="1789" t="str">
        <f>IF($I969="","",IF(INDEX(F_ProductBM!N:N,MATCH($P1114,F_ProductBM!$Q:$Q,0))="","",INDEX(F_ProductBM!N:N,MATCH($P1114,F_ProductBM!$Q:$Q,0))))</f>
        <v/>
      </c>
      <c r="O1114" s="485"/>
      <c r="P1114" s="1970" t="str">
        <f>EUconst_CNTR_WGImport &amp; I969</f>
        <v>WasteGasIm_</v>
      </c>
      <c r="Q1114" s="1137"/>
      <c r="R1114" s="1137"/>
      <c r="S1114" s="1137"/>
      <c r="T1114" s="1137"/>
      <c r="U1114" s="1137"/>
      <c r="V1114" s="1137"/>
    </row>
    <row r="1115" spans="1:22" s="562" customFormat="1" ht="12.75" customHeight="1">
      <c r="A1115" s="817"/>
      <c r="C1115" s="485"/>
      <c r="D1115" s="776"/>
      <c r="E1115" s="816" t="s">
        <v>1275</v>
      </c>
      <c r="F1115" s="816"/>
      <c r="G1115" s="812" t="str">
        <f>EUconst_tCO2pTJ</f>
        <v>t CO2 / TJ</v>
      </c>
      <c r="H1115" s="627" t="str">
        <f>IF($I969="","",IF(INDEX(F_ProductBM!H:H,MATCH($P1115,F_ProductBM!$Q:$Q,0))="","",INDEX(F_ProductBM!H:H,MATCH($P1115,F_ProductBM!$Q:$Q,0))))</f>
        <v/>
      </c>
      <c r="I1115" s="796" t="str">
        <f>IF($I969="","",IF(INDEX(F_ProductBM!I:I,MATCH($P1115,F_ProductBM!$Q:$Q,0))="","",INDEX(F_ProductBM!I:I,MATCH($P1115,F_ProductBM!$Q:$Q,0))))</f>
        <v/>
      </c>
      <c r="J1115" s="2172" t="str">
        <f>IF($I969="","",IF(INDEX(F_ProductBM!J:J,MATCH($P1115,F_ProductBM!$Q:$Q,0))="","",INDEX(F_ProductBM!J:J,MATCH($P1115,F_ProductBM!$Q:$Q,0))))</f>
        <v/>
      </c>
      <c r="K1115" s="1788" t="str">
        <f>IF($I969="","",IF(INDEX(F_ProductBM!K:K,MATCH($P1115,F_ProductBM!$Q:$Q,0))="","",INDEX(F_ProductBM!K:K,MATCH($P1115,F_ProductBM!$Q:$Q,0))))</f>
        <v/>
      </c>
      <c r="L1115" s="1789" t="str">
        <f>IF($I969="","",IF(INDEX(F_ProductBM!L:L,MATCH($P1115,F_ProductBM!$Q:$Q,0))="","",INDEX(F_ProductBM!L:L,MATCH($P1115,F_ProductBM!$Q:$Q,0))))</f>
        <v/>
      </c>
      <c r="M1115" s="1789" t="str">
        <f>IF($I969="","",IF(INDEX(F_ProductBM!M:M,MATCH($P1115,F_ProductBM!$Q:$Q,0))="","",INDEX(F_ProductBM!M:M,MATCH($P1115,F_ProductBM!$Q:$Q,0))))</f>
        <v/>
      </c>
      <c r="N1115" s="1789" t="str">
        <f>IF($I969="","",IF(INDEX(F_ProductBM!N:N,MATCH($P1115,F_ProductBM!$Q:$Q,0))="","",INDEX(F_ProductBM!N:N,MATCH($P1115,F_ProductBM!$Q:$Q,0))))</f>
        <v/>
      </c>
      <c r="O1115" s="485"/>
      <c r="P1115" s="1970" t="str">
        <f>EUconst_CNTR_WGImportEF &amp; I969</f>
        <v>WasteGasImEF_</v>
      </c>
      <c r="Q1115" s="1137"/>
      <c r="R1115" s="1137"/>
      <c r="S1115" s="1137"/>
      <c r="T1115" s="1137"/>
      <c r="U1115" s="1137"/>
      <c r="V1115" s="1137"/>
    </row>
    <row r="1116" spans="1:22" s="562" customFormat="1" ht="12.75" customHeight="1">
      <c r="A1116" s="817"/>
      <c r="C1116" s="485"/>
      <c r="D1116" s="776"/>
      <c r="E1116" s="2471" t="s">
        <v>1080</v>
      </c>
      <c r="F1116" s="3467"/>
      <c r="G1116" s="811" t="str">
        <f>EUconst_TJpa</f>
        <v>TJ / year</v>
      </c>
      <c r="H1116" s="625" t="str">
        <f>IF($I969="","",IF(INDEX(F_ProductBM!H:H,MATCH($P1116,F_ProductBM!$Q:$Q,0))="","",INDEX(F_ProductBM!H:H,MATCH($P1116,F_ProductBM!$Q:$Q,0))))</f>
        <v/>
      </c>
      <c r="I1116" s="794" t="str">
        <f>IF($I969="","",IF(INDEX(F_ProductBM!I:I,MATCH($P1116,F_ProductBM!$Q:$Q,0))="","",INDEX(F_ProductBM!I:I,MATCH($P1116,F_ProductBM!$Q:$Q,0))))</f>
        <v/>
      </c>
      <c r="J1116" s="2171" t="str">
        <f>IF($I969="","",IF(INDEX(F_ProductBM!J:J,MATCH($P1116,F_ProductBM!$Q:$Q,0))="","",INDEX(F_ProductBM!J:J,MATCH($P1116,F_ProductBM!$Q:$Q,0))))</f>
        <v/>
      </c>
      <c r="K1116" s="1788" t="str">
        <f>IF($I969="","",IF(INDEX(F_ProductBM!K:K,MATCH($P1116,F_ProductBM!$Q:$Q,0))="","",INDEX(F_ProductBM!K:K,MATCH($P1116,F_ProductBM!$Q:$Q,0))))</f>
        <v/>
      </c>
      <c r="L1116" s="1789" t="str">
        <f>IF($I969="","",IF(INDEX(F_ProductBM!L:L,MATCH($P1116,F_ProductBM!$Q:$Q,0))="","",INDEX(F_ProductBM!L:L,MATCH($P1116,F_ProductBM!$Q:$Q,0))))</f>
        <v/>
      </c>
      <c r="M1116" s="1789" t="str">
        <f>IF($I969="","",IF(INDEX(F_ProductBM!M:M,MATCH($P1116,F_ProductBM!$Q:$Q,0))="","",INDEX(F_ProductBM!M:M,MATCH($P1116,F_ProductBM!$Q:$Q,0))))</f>
        <v/>
      </c>
      <c r="N1116" s="1789" t="str">
        <f>IF($I969="","",IF(INDEX(F_ProductBM!N:N,MATCH($P1116,F_ProductBM!$Q:$Q,0))="","",INDEX(F_ProductBM!N:N,MATCH($P1116,F_ProductBM!$Q:$Q,0))))</f>
        <v/>
      </c>
      <c r="O1116" s="485"/>
      <c r="P1116" s="1970" t="str">
        <f>EUconst_CNTR_WGExport &amp; I969</f>
        <v>WasteGasEx_</v>
      </c>
      <c r="Q1116" s="1137"/>
      <c r="R1116" s="1137"/>
      <c r="S1116" s="1137"/>
      <c r="T1116" s="1137"/>
      <c r="U1116" s="1137"/>
      <c r="V1116" s="1137"/>
    </row>
    <row r="1117" spans="1:22" s="562" customFormat="1" ht="12.75" customHeight="1">
      <c r="A1117" s="817"/>
      <c r="C1117" s="485"/>
      <c r="D1117" s="776"/>
      <c r="E1117" s="2473" t="s">
        <v>1276</v>
      </c>
      <c r="F1117" s="3466"/>
      <c r="G1117" s="812" t="str">
        <f>EUconst_tCO2pTJ</f>
        <v>t CO2 / TJ</v>
      </c>
      <c r="H1117" s="627" t="str">
        <f>IF($I969="","",IF(INDEX(F_ProductBM!H:H,MATCH($P1117,F_ProductBM!$Q:$Q,0))="","",INDEX(F_ProductBM!H:H,MATCH($P1117,F_ProductBM!$Q:$Q,0))))</f>
        <v/>
      </c>
      <c r="I1117" s="796" t="str">
        <f>IF($I969="","",IF(INDEX(F_ProductBM!I:I,MATCH($P1117,F_ProductBM!$Q:$Q,0))="","",INDEX(F_ProductBM!I:I,MATCH($P1117,F_ProductBM!$Q:$Q,0))))</f>
        <v/>
      </c>
      <c r="J1117" s="2172" t="str">
        <f>IF($I969="","",IF(INDEX(F_ProductBM!J:J,MATCH($P1117,F_ProductBM!$Q:$Q,0))="","",INDEX(F_ProductBM!J:J,MATCH($P1117,F_ProductBM!$Q:$Q,0))))</f>
        <v/>
      </c>
      <c r="K1117" s="1788" t="str">
        <f>IF($I969="","",IF(INDEX(F_ProductBM!K:K,MATCH($P1117,F_ProductBM!$Q:$Q,0))="","",INDEX(F_ProductBM!K:K,MATCH($P1117,F_ProductBM!$Q:$Q,0))))</f>
        <v/>
      </c>
      <c r="L1117" s="1789" t="str">
        <f>IF($I969="","",IF(INDEX(F_ProductBM!L:L,MATCH($P1117,F_ProductBM!$Q:$Q,0))="","",INDEX(F_ProductBM!L:L,MATCH($P1117,F_ProductBM!$Q:$Q,0))))</f>
        <v/>
      </c>
      <c r="M1117" s="1789" t="str">
        <f>IF($I969="","",IF(INDEX(F_ProductBM!M:M,MATCH($P1117,F_ProductBM!$Q:$Q,0))="","",INDEX(F_ProductBM!M:M,MATCH($P1117,F_ProductBM!$Q:$Q,0))))</f>
        <v/>
      </c>
      <c r="N1117" s="1789" t="str">
        <f>IF($I969="","",IF(INDEX(F_ProductBM!N:N,MATCH($P1117,F_ProductBM!$Q:$Q,0))="","",INDEX(F_ProductBM!N:N,MATCH($P1117,F_ProductBM!$Q:$Q,0))))</f>
        <v/>
      </c>
      <c r="O1117" s="485"/>
      <c r="P1117" s="1970" t="str">
        <f>EUconst_CNTR_WGExportEF &amp; I969</f>
        <v>WasteGasExEF_</v>
      </c>
      <c r="Q1117" s="1137"/>
      <c r="R1117" s="1137"/>
      <c r="S1117" s="1137"/>
      <c r="T1117" s="1137"/>
      <c r="U1117" s="1137"/>
      <c r="V1117" s="1137"/>
    </row>
    <row r="1118" spans="1:22" s="562" customFormat="1" ht="5.0999999999999996" customHeight="1">
      <c r="A1118" s="817"/>
      <c r="C1118" s="485"/>
      <c r="D1118" s="776"/>
      <c r="E1118" s="809"/>
      <c r="F1118" s="809"/>
      <c r="G1118" s="777"/>
      <c r="H1118" s="2173"/>
      <c r="I1118" s="2173"/>
      <c r="J1118" s="2173"/>
      <c r="K1118" s="1788"/>
      <c r="L1118" s="1789"/>
      <c r="M1118" s="1789"/>
      <c r="N1118" s="1789"/>
      <c r="O1118" s="485"/>
      <c r="P1118" s="1117"/>
      <c r="Q1118" s="1137"/>
      <c r="R1118" s="1137"/>
      <c r="S1118" s="1137"/>
      <c r="T1118" s="1137"/>
      <c r="U1118" s="1137"/>
      <c r="V1118" s="1137"/>
    </row>
    <row r="1119" spans="1:22" s="562" customFormat="1" ht="12.75" customHeight="1">
      <c r="A1119" s="817"/>
      <c r="C1119" s="485"/>
      <c r="D1119" s="776"/>
      <c r="E1119" s="2475" t="s">
        <v>914</v>
      </c>
      <c r="F1119" s="3461"/>
      <c r="G1119" s="815" t="str">
        <f>EUconst_MWhpa</f>
        <v>MWh / year</v>
      </c>
      <c r="H1119" s="623" t="str">
        <f>IF($I969="","",IF(INDEX(F_ProductBM!H:H,MATCH($P1119,F_ProductBM!$R:$R,0))="","",INDEX(F_ProductBM!H:H,MATCH($P1119,F_ProductBM!$R:$R,0))))</f>
        <v/>
      </c>
      <c r="I1119" s="800" t="str">
        <f>IF($I969="","",IF(INDEX(F_ProductBM!I:I,MATCH($P1119,F_ProductBM!$R:$R,0))="","",INDEX(F_ProductBM!I:I,MATCH($P1119,F_ProductBM!$R:$R,0))))</f>
        <v/>
      </c>
      <c r="J1119" s="2174" t="str">
        <f>IF($I969="","",IF(INDEX(F_ProductBM!J:J,MATCH($P1119,F_ProductBM!$R:$R,0))="","",INDEX(F_ProductBM!J:J,MATCH($P1119,F_ProductBM!$R:$R,0))))</f>
        <v/>
      </c>
      <c r="K1119" s="1788" t="str">
        <f>IF($I969="","",IF(INDEX(F_ProductBM!K:K,MATCH($P1119,F_ProductBM!$R:$R,0))="","",INDEX(F_ProductBM!K:K,MATCH($P1119,F_ProductBM!$R:$R,0))))</f>
        <v/>
      </c>
      <c r="L1119" s="1789" t="str">
        <f>IF($I969="","",IF(INDEX(F_ProductBM!L:L,MATCH($P1119,F_ProductBM!$R:$R,0))="","",INDEX(F_ProductBM!L:L,MATCH($P1119,F_ProductBM!$R:$R,0))))</f>
        <v/>
      </c>
      <c r="M1119" s="1789" t="str">
        <f>IF($I969="","",IF(INDEX(F_ProductBM!M:M,MATCH($P1119,F_ProductBM!$R:$R,0))="","",INDEX(F_ProductBM!M:M,MATCH($P1119,F_ProductBM!$R:$R,0))))</f>
        <v/>
      </c>
      <c r="N1119" s="1789" t="str">
        <f>IF($I969="","",IF(INDEX(F_ProductBM!N:N,MATCH($P1119,F_ProductBM!$R:$R,0))="","",INDEX(F_ProductBM!N:N,MATCH($P1119,F_ProductBM!$R:$R,0))))</f>
        <v/>
      </c>
      <c r="O1119" s="485"/>
      <c r="P1119" s="1158" t="str">
        <f>EUconst_CNTR_HAL&amp;EUconst_CNTR_ELEXCH &amp; I969</f>
        <v>HAL_ELEXCH_</v>
      </c>
      <c r="Q1119" s="1137"/>
      <c r="R1119" s="1137"/>
      <c r="S1119" s="1137"/>
      <c r="T1119" s="1137"/>
      <c r="U1119" s="1137"/>
      <c r="V1119" s="1137"/>
    </row>
    <row r="1120" spans="1:22" s="562" customFormat="1" ht="12.75" customHeight="1">
      <c r="A1120" s="817"/>
      <c r="C1120" s="485"/>
      <c r="D1120" s="776"/>
      <c r="E1120" s="2475" t="s">
        <v>1354</v>
      </c>
      <c r="F1120" s="3461"/>
      <c r="G1120" s="815" t="str">
        <f>EUconst_MWhpa</f>
        <v>MWh / year</v>
      </c>
      <c r="H1120" s="623" t="str">
        <f>IF($I969="","",IF(INDEX(F_ProductBM!H:H,MATCH($P1120,F_ProductBM!$Q:$Q,0))="","",INDEX(F_ProductBM!H:H,MATCH($P1120,F_ProductBM!$Q:$Q,0))))</f>
        <v/>
      </c>
      <c r="I1120" s="800" t="str">
        <f>IF($I969="","",IF(INDEX(F_ProductBM!I:I,MATCH($P1120,F_ProductBM!$Q:$Q,0))="","",INDEX(F_ProductBM!I:I,MATCH($P1120,F_ProductBM!$Q:$Q,0))))</f>
        <v/>
      </c>
      <c r="J1120" s="2174" t="str">
        <f>IF($I969="","",IF(INDEX(F_ProductBM!J:J,MATCH($P1120,F_ProductBM!$Q:$Q,0))="","",INDEX(F_ProductBM!J:J,MATCH($P1120,F_ProductBM!$Q:$Q,0))))</f>
        <v/>
      </c>
      <c r="K1120" s="1788" t="str">
        <f>IF($I969="","",IF(INDEX(F_ProductBM!K:K,MATCH($P1120,F_ProductBM!$Q:$Q,0))="","",INDEX(F_ProductBM!K:K,MATCH($P1120,F_ProductBM!$Q:$Q,0))))</f>
        <v/>
      </c>
      <c r="L1120" s="1789" t="str">
        <f>IF($I969="","",IF(INDEX(F_ProductBM!L:L,MATCH($P1120,F_ProductBM!$Q:$Q,0))="","",INDEX(F_ProductBM!L:L,MATCH($P1120,F_ProductBM!$Q:$Q,0))))</f>
        <v/>
      </c>
      <c r="M1120" s="1789" t="str">
        <f>IF($I969="","",IF(INDEX(F_ProductBM!M:M,MATCH($P1120,F_ProductBM!$Q:$Q,0))="","",INDEX(F_ProductBM!M:M,MATCH($P1120,F_ProductBM!$Q:$Q,0))))</f>
        <v/>
      </c>
      <c r="N1120" s="1789" t="str">
        <f>IF($I969="","",IF(INDEX(F_ProductBM!N:N,MATCH($P1120,F_ProductBM!$Q:$Q,0))="","",INDEX(F_ProductBM!N:N,MATCH($P1120,F_ProductBM!$Q:$Q,0))))</f>
        <v/>
      </c>
      <c r="O1120" s="485"/>
      <c r="P1120" s="1970" t="str">
        <f>EUconst_CNTR_ElectricityExported &amp; I969</f>
        <v>ElecEx_</v>
      </c>
      <c r="Q1120" s="1137"/>
      <c r="R1120" s="1137"/>
      <c r="S1120" s="1137"/>
      <c r="T1120" s="1137"/>
      <c r="U1120" s="1137"/>
      <c r="V1120" s="1137"/>
    </row>
    <row r="1121" spans="1:22" s="562" customFormat="1" ht="5.0999999999999996" customHeight="1">
      <c r="A1121" s="817"/>
      <c r="C1121" s="485"/>
      <c r="D1121" s="776"/>
      <c r="E1121" s="809"/>
      <c r="F1121" s="809"/>
      <c r="G1121" s="777"/>
      <c r="H1121" s="2173"/>
      <c r="I1121" s="2173"/>
      <c r="J1121" s="2173"/>
      <c r="K1121" s="1788"/>
      <c r="L1121" s="1789"/>
      <c r="M1121" s="1789"/>
      <c r="N1121" s="1789"/>
      <c r="O1121" s="485"/>
      <c r="P1121" s="1117"/>
      <c r="Q1121" s="1137"/>
      <c r="R1121" s="1137"/>
      <c r="S1121" s="1137"/>
      <c r="T1121" s="1137"/>
      <c r="U1121" s="1137"/>
      <c r="V1121" s="1137"/>
    </row>
    <row r="1122" spans="1:22" s="562" customFormat="1" ht="12.75" customHeight="1">
      <c r="A1122" s="817"/>
      <c r="C1122" s="485"/>
      <c r="D1122" s="776"/>
      <c r="E1122" s="2475" t="s">
        <v>1157</v>
      </c>
      <c r="F1122" s="3461"/>
      <c r="G1122" s="815" t="str">
        <f>EUconst_Tons</f>
        <v>tonnes</v>
      </c>
      <c r="H1122" s="623" t="str">
        <f>IF($I969="","",IF(INDEX(F_ProductBM!H:H,MATCH($P1122,F_ProductBM!$Q:$Q,0))="","",INDEX(F_ProductBM!H:H,MATCH($P1122,F_ProductBM!$Q:$Q,0))))</f>
        <v/>
      </c>
      <c r="I1122" s="800" t="str">
        <f>IF($I969="","",IF(INDEX(F_ProductBM!I:I,MATCH($P1122,F_ProductBM!$Q:$Q,0))="","",INDEX(F_ProductBM!I:I,MATCH($P1122,F_ProductBM!$Q:$Q,0))))</f>
        <v/>
      </c>
      <c r="J1122" s="2174" t="str">
        <f>IF($I969="","",IF(INDEX(F_ProductBM!J:J,MATCH($P1122,F_ProductBM!$Q:$Q,0))="","",INDEX(F_ProductBM!J:J,MATCH($P1122,F_ProductBM!$Q:$Q,0))))</f>
        <v/>
      </c>
      <c r="K1122" s="1788" t="str">
        <f>IF($I969="","",IF(INDEX(F_ProductBM!K:K,MATCH($P1122,F_ProductBM!$Q:$Q,0))="","",INDEX(F_ProductBM!K:K,MATCH($P1122,F_ProductBM!$Q:$Q,0))))</f>
        <v/>
      </c>
      <c r="L1122" s="1789" t="str">
        <f>IF($I969="","",IF(INDEX(F_ProductBM!L:L,MATCH($P1122,F_ProductBM!$Q:$Q,0))="","",INDEX(F_ProductBM!L:L,MATCH($P1122,F_ProductBM!$Q:$Q,0))))</f>
        <v/>
      </c>
      <c r="M1122" s="1789" t="str">
        <f>IF($I969="","",IF(INDEX(F_ProductBM!M:M,MATCH($P1122,F_ProductBM!$Q:$Q,0))="","",INDEX(F_ProductBM!M:M,MATCH($P1122,F_ProductBM!$Q:$Q,0))))</f>
        <v/>
      </c>
      <c r="N1122" s="1789" t="str">
        <f>IF($I969="","",IF(INDEX(F_ProductBM!N:N,MATCH($P1122,F_ProductBM!$Q:$Q,0))="","",INDEX(F_ProductBM!N:N,MATCH($P1122,F_ProductBM!$Q:$Q,0))))</f>
        <v/>
      </c>
      <c r="O1122" s="485"/>
      <c r="P1122" s="1970" t="str">
        <f>EUconst_CNTR_HALPulpTotal &amp; I969</f>
        <v>HALPulpTotal_</v>
      </c>
      <c r="Q1122" s="1137"/>
      <c r="R1122" s="1137"/>
      <c r="S1122" s="1137"/>
      <c r="T1122" s="1137"/>
      <c r="U1122" s="1137"/>
      <c r="V1122" s="1137"/>
    </row>
    <row r="1123" spans="1:22" s="562" customFormat="1" ht="5.0999999999999996" customHeight="1">
      <c r="A1123" s="817"/>
      <c r="C1123" s="485"/>
      <c r="D1123" s="776"/>
      <c r="E1123" s="809"/>
      <c r="F1123" s="809"/>
      <c r="G1123" s="777"/>
      <c r="H1123" s="2173"/>
      <c r="I1123" s="2173"/>
      <c r="J1123" s="2173"/>
      <c r="K1123" s="1788"/>
      <c r="L1123" s="1789"/>
      <c r="M1123" s="1789"/>
      <c r="N1123" s="1789"/>
      <c r="O1123" s="485"/>
      <c r="P1123" s="1117"/>
      <c r="Q1123" s="1137"/>
      <c r="R1123" s="1137"/>
      <c r="S1123" s="1137"/>
      <c r="T1123" s="1137"/>
      <c r="U1123" s="1137"/>
      <c r="V1123" s="1137"/>
    </row>
    <row r="1124" spans="1:22" s="562" customFormat="1">
      <c r="A1124" s="817"/>
      <c r="C1124" s="485"/>
      <c r="D1124" s="776"/>
      <c r="E1124" s="2492" t="s">
        <v>1440</v>
      </c>
      <c r="F1124" s="3284"/>
      <c r="G1124" s="777"/>
      <c r="H1124" s="2173"/>
      <c r="I1124" s="2173"/>
      <c r="J1124" s="2173"/>
      <c r="K1124" s="1788"/>
      <c r="L1124" s="1789"/>
      <c r="M1124" s="1789"/>
      <c r="N1124" s="1789"/>
      <c r="O1124" s="485"/>
      <c r="P1124" s="1117"/>
      <c r="Q1124" s="1137"/>
      <c r="R1124" s="1137"/>
      <c r="S1124" s="1137"/>
      <c r="T1124" s="1137"/>
      <c r="U1124" s="1137"/>
      <c r="V1124" s="1137"/>
    </row>
    <row r="1125" spans="1:22" s="562" customFormat="1">
      <c r="A1125" s="817"/>
      <c r="C1125" s="485"/>
      <c r="D1125" s="776"/>
      <c r="E1125" s="3285" t="str">
        <f>IF(I969="","",IF(INDEX(F_ProductBM!E:E,MATCH($P1125,F_ProductBM!$Q:$Q,0))="","",INDEX(F_ProductBM!E:E,MATCH($P1125,F_ProductBM!$Q:$Q,0))))</f>
        <v/>
      </c>
      <c r="F1125" s="3461"/>
      <c r="G1125" s="815" t="str">
        <f>EUconst_Tons</f>
        <v>tonnes</v>
      </c>
      <c r="H1125" s="623" t="str">
        <f>IF($I969="","",IF(INDEX(F_ProductBM!H:H,MATCH($P1125,F_ProductBM!$Q:$Q,0))="","",INDEX(F_ProductBM!H:H,MATCH($P1125,F_ProductBM!$Q:$Q,0))))</f>
        <v/>
      </c>
      <c r="I1125" s="800" t="str">
        <f>IF($I969="","",IF(INDEX(F_ProductBM!I:I,MATCH($P1125,F_ProductBM!$Q:$Q,0))="","",INDEX(F_ProductBM!I:I,MATCH($P1125,F_ProductBM!$Q:$Q,0))))</f>
        <v/>
      </c>
      <c r="J1125" s="2174" t="str">
        <f>IF($I969="","",IF(INDEX(F_ProductBM!J:J,MATCH($P1125,F_ProductBM!$Q:$Q,0))="","",INDEX(F_ProductBM!J:J,MATCH($P1125,F_ProductBM!$Q:$Q,0))))</f>
        <v/>
      </c>
      <c r="K1125" s="1788" t="str">
        <f>IF($I969="","",IF(INDEX(F_ProductBM!K:K,MATCH($P1125,F_ProductBM!$Q:$Q,0))="","",INDEX(F_ProductBM!K:K,MATCH($P1125,F_ProductBM!$Q:$Q,0))))</f>
        <v/>
      </c>
      <c r="L1125" s="1789" t="str">
        <f>IF($I969="","",IF(INDEX(F_ProductBM!L:L,MATCH($P1125,F_ProductBM!$Q:$Q,0))="","",INDEX(F_ProductBM!L:L,MATCH($P1125,F_ProductBM!$Q:$Q,0))))</f>
        <v/>
      </c>
      <c r="M1125" s="1789" t="str">
        <f>IF($I969="","",IF(INDEX(F_ProductBM!M:M,MATCH($P1125,F_ProductBM!$Q:$Q,0))="","",INDEX(F_ProductBM!M:M,MATCH($P1125,F_ProductBM!$Q:$Q,0))))</f>
        <v/>
      </c>
      <c r="N1125" s="1789" t="str">
        <f>IF($I969="","",IF(INDEX(F_ProductBM!N:N,MATCH($P1125,F_ProductBM!$Q:$Q,0))="","",INDEX(F_ProductBM!N:N,MATCH($P1125,F_ProductBM!$Q:$Q,0))))</f>
        <v/>
      </c>
      <c r="O1125" s="485"/>
      <c r="P1125" s="1970" t="str">
        <f>EUconst_CNTR_IntermediateImport &amp; R1125 &amp; "_" &amp; I969</f>
        <v>IntImp_1_</v>
      </c>
      <c r="Q1125" s="1137"/>
      <c r="R1125" s="1312">
        <v>1</v>
      </c>
      <c r="S1125" s="1137"/>
      <c r="T1125" s="1137"/>
      <c r="U1125" s="1137"/>
      <c r="V1125" s="1137"/>
    </row>
    <row r="1126" spans="1:22" s="562" customFormat="1">
      <c r="A1126" s="817"/>
      <c r="C1126" s="485"/>
      <c r="D1126" s="776"/>
      <c r="E1126" s="3285" t="str">
        <f>IF(I969="","",IF(INDEX(F_ProductBM!E:E,MATCH($P1126,F_ProductBM!$Q:$Q,0))="","",INDEX(F_ProductBM!E:E,MATCH($P1126,F_ProductBM!$Q:$Q,0))))</f>
        <v/>
      </c>
      <c r="F1126" s="3461"/>
      <c r="G1126" s="815" t="str">
        <f>EUconst_Tons</f>
        <v>tonnes</v>
      </c>
      <c r="H1126" s="623" t="str">
        <f>IF($I969="","",IF(INDEX(F_ProductBM!H:H,MATCH($P1126,F_ProductBM!$Q:$Q,0))="","",INDEX(F_ProductBM!H:H,MATCH($P1126,F_ProductBM!$Q:$Q,0))))</f>
        <v/>
      </c>
      <c r="I1126" s="800" t="str">
        <f>IF($I969="","",IF(INDEX(F_ProductBM!I:I,MATCH($P1126,F_ProductBM!$Q:$Q,0))="","",INDEX(F_ProductBM!I:I,MATCH($P1126,F_ProductBM!$Q:$Q,0))))</f>
        <v/>
      </c>
      <c r="J1126" s="2174" t="str">
        <f>IF($I969="","",IF(INDEX(F_ProductBM!J:J,MATCH($P1126,F_ProductBM!$Q:$Q,0))="","",INDEX(F_ProductBM!J:J,MATCH($P1126,F_ProductBM!$Q:$Q,0))))</f>
        <v/>
      </c>
      <c r="K1126" s="1788" t="str">
        <f>IF($I969="","",IF(INDEX(F_ProductBM!K:K,MATCH($P1126,F_ProductBM!$Q:$Q,0))="","",INDEX(F_ProductBM!K:K,MATCH($P1126,F_ProductBM!$Q:$Q,0))))</f>
        <v/>
      </c>
      <c r="L1126" s="1789" t="str">
        <f>IF($I969="","",IF(INDEX(F_ProductBM!L:L,MATCH($P1126,F_ProductBM!$Q:$Q,0))="","",INDEX(F_ProductBM!L:L,MATCH($P1126,F_ProductBM!$Q:$Q,0))))</f>
        <v/>
      </c>
      <c r="M1126" s="1789" t="str">
        <f>IF($I969="","",IF(INDEX(F_ProductBM!M:M,MATCH($P1126,F_ProductBM!$Q:$Q,0))="","",INDEX(F_ProductBM!M:M,MATCH($P1126,F_ProductBM!$Q:$Q,0))))</f>
        <v/>
      </c>
      <c r="N1126" s="1789" t="str">
        <f>IF($I969="","",IF(INDEX(F_ProductBM!N:N,MATCH($P1126,F_ProductBM!$Q:$Q,0))="","",INDEX(F_ProductBM!N:N,MATCH($P1126,F_ProductBM!$Q:$Q,0))))</f>
        <v/>
      </c>
      <c r="O1126" s="485"/>
      <c r="P1126" s="1970" t="str">
        <f>EUconst_CNTR_IntermediateImport &amp; R1126 &amp; "_" &amp; I969</f>
        <v>IntImp_2_</v>
      </c>
      <c r="Q1126" s="1137"/>
      <c r="R1126" s="1312">
        <v>2</v>
      </c>
      <c r="S1126" s="1137"/>
      <c r="T1126" s="1137"/>
      <c r="U1126" s="1137"/>
      <c r="V1126" s="1137"/>
    </row>
    <row r="1127" spans="1:22" s="562" customFormat="1">
      <c r="A1127" s="817"/>
      <c r="C1127" s="485"/>
      <c r="D1127" s="776"/>
      <c r="E1127" s="2475" t="s">
        <v>1441</v>
      </c>
      <c r="F1127" s="3461"/>
      <c r="G1127" s="777"/>
      <c r="H1127" s="2173"/>
      <c r="I1127" s="2173"/>
      <c r="J1127" s="2173"/>
      <c r="K1127" s="1788"/>
      <c r="L1127" s="1789"/>
      <c r="M1127" s="1789"/>
      <c r="N1127" s="1789"/>
      <c r="O1127" s="485"/>
      <c r="P1127" s="1117"/>
      <c r="Q1127" s="1137"/>
      <c r="R1127" s="1137"/>
      <c r="S1127" s="1137"/>
      <c r="T1127" s="1137"/>
      <c r="U1127" s="1137"/>
      <c r="V1127" s="1137"/>
    </row>
    <row r="1128" spans="1:22" s="562" customFormat="1">
      <c r="A1128" s="817"/>
      <c r="C1128" s="485"/>
      <c r="D1128" s="776"/>
      <c r="E1128" s="3285" t="str">
        <f>IF(I969="","",IF(INDEX(F_ProductBM!E:E,MATCH($P1128,F_ProductBM!$Q:$Q,0))="","",INDEX(F_ProductBM!E:E,MATCH($P1128,F_ProductBM!$Q:$Q,0))))</f>
        <v/>
      </c>
      <c r="F1128" s="3461"/>
      <c r="G1128" s="815" t="str">
        <f>EUconst_Tons</f>
        <v>tonnes</v>
      </c>
      <c r="H1128" s="623" t="str">
        <f>IF($I969="","",IF(INDEX(F_ProductBM!H:H,MATCH($P1128,F_ProductBM!$Q:$Q,0))="","",INDEX(F_ProductBM!H:H,MATCH($P1128,F_ProductBM!$Q:$Q,0))))</f>
        <v/>
      </c>
      <c r="I1128" s="800" t="str">
        <f>IF($I969="","",IF(INDEX(F_ProductBM!I:I,MATCH($P1128,F_ProductBM!$Q:$Q,0))="","",INDEX(F_ProductBM!I:I,MATCH($P1128,F_ProductBM!$Q:$Q,0))))</f>
        <v/>
      </c>
      <c r="J1128" s="2174" t="str">
        <f>IF($I969="","",IF(INDEX(F_ProductBM!J:J,MATCH($P1128,F_ProductBM!$Q:$Q,0))="","",INDEX(F_ProductBM!J:J,MATCH($P1128,F_ProductBM!$Q:$Q,0))))</f>
        <v/>
      </c>
      <c r="K1128" s="1788" t="str">
        <f>IF($I969="","",IF(INDEX(F_ProductBM!K:K,MATCH($P1128,F_ProductBM!$Q:$Q,0))="","",INDEX(F_ProductBM!K:K,MATCH($P1128,F_ProductBM!$Q:$Q,0))))</f>
        <v/>
      </c>
      <c r="L1128" s="1789" t="str">
        <f>IF($I969="","",IF(INDEX(F_ProductBM!L:L,MATCH($P1128,F_ProductBM!$Q:$Q,0))="","",INDEX(F_ProductBM!L:L,MATCH($P1128,F_ProductBM!$Q:$Q,0))))</f>
        <v/>
      </c>
      <c r="M1128" s="1789" t="str">
        <f>IF($I969="","",IF(INDEX(F_ProductBM!M:M,MATCH($P1128,F_ProductBM!$Q:$Q,0))="","",INDEX(F_ProductBM!M:M,MATCH($P1128,F_ProductBM!$Q:$Q,0))))</f>
        <v/>
      </c>
      <c r="N1128" s="1789" t="str">
        <f>IF($I969="","",IF(INDEX(F_ProductBM!N:N,MATCH($P1128,F_ProductBM!$Q:$Q,0))="","",INDEX(F_ProductBM!N:N,MATCH($P1128,F_ProductBM!$Q:$Q,0))))</f>
        <v/>
      </c>
      <c r="O1128" s="485"/>
      <c r="P1128" s="1970" t="str">
        <f>EUconst_CNTR_IntermediateExport &amp; R1125 &amp; "_" &amp; I969</f>
        <v>IntExp_1_</v>
      </c>
      <c r="Q1128" s="1137"/>
      <c r="R1128" s="1312">
        <v>1</v>
      </c>
      <c r="S1128" s="1137"/>
      <c r="T1128" s="1137"/>
      <c r="U1128" s="1137"/>
      <c r="V1128" s="1137"/>
    </row>
    <row r="1129" spans="1:22" s="562" customFormat="1">
      <c r="A1129" s="817"/>
      <c r="C1129" s="485"/>
      <c r="D1129" s="776"/>
      <c r="E1129" s="3285" t="str">
        <f>IF(I969="","",IF(INDEX(F_ProductBM!E:E,MATCH($P1129,F_ProductBM!$Q:$Q,0))="","",INDEX(F_ProductBM!E:E,MATCH($P1129,F_ProductBM!$Q:$Q,0))))</f>
        <v/>
      </c>
      <c r="F1129" s="3461"/>
      <c r="G1129" s="815" t="str">
        <f>EUconst_Tons</f>
        <v>tonnes</v>
      </c>
      <c r="H1129" s="623" t="str">
        <f>IF($I969="","",IF(INDEX(F_ProductBM!H:H,MATCH($P1129,F_ProductBM!$Q:$Q,0))="","",INDEX(F_ProductBM!H:H,MATCH($P1129,F_ProductBM!$Q:$Q,0))))</f>
        <v/>
      </c>
      <c r="I1129" s="800" t="str">
        <f>IF($I969="","",IF(INDEX(F_ProductBM!I:I,MATCH($P1129,F_ProductBM!$Q:$Q,0))="","",INDEX(F_ProductBM!I:I,MATCH($P1129,F_ProductBM!$Q:$Q,0))))</f>
        <v/>
      </c>
      <c r="J1129" s="2174" t="str">
        <f>IF($I969="","",IF(INDEX(F_ProductBM!J:J,MATCH($P1129,F_ProductBM!$Q:$Q,0))="","",INDEX(F_ProductBM!J:J,MATCH($P1129,F_ProductBM!$Q:$Q,0))))</f>
        <v/>
      </c>
      <c r="K1129" s="1788" t="str">
        <f>IF($I969="","",IF(INDEX(F_ProductBM!K:K,MATCH($P1129,F_ProductBM!$Q:$Q,0))="","",INDEX(F_ProductBM!K:K,MATCH($P1129,F_ProductBM!$Q:$Q,0))))</f>
        <v/>
      </c>
      <c r="L1129" s="1789" t="str">
        <f>IF($I969="","",IF(INDEX(F_ProductBM!L:L,MATCH($P1129,F_ProductBM!$Q:$Q,0))="","",INDEX(F_ProductBM!L:L,MATCH($P1129,F_ProductBM!$Q:$Q,0))))</f>
        <v/>
      </c>
      <c r="M1129" s="1789" t="str">
        <f>IF($I969="","",IF(INDEX(F_ProductBM!M:M,MATCH($P1129,F_ProductBM!$Q:$Q,0))="","",INDEX(F_ProductBM!M:M,MATCH($P1129,F_ProductBM!$Q:$Q,0))))</f>
        <v/>
      </c>
      <c r="N1129" s="1789" t="str">
        <f>IF($I969="","",IF(INDEX(F_ProductBM!N:N,MATCH($P1129,F_ProductBM!$Q:$Q,0))="","",INDEX(F_ProductBM!N:N,MATCH($P1129,F_ProductBM!$Q:$Q,0))))</f>
        <v/>
      </c>
      <c r="O1129" s="485"/>
      <c r="P1129" s="1970" t="str">
        <f>EUconst_CNTR_IntermediateExport &amp; R1129 &amp; "_" &amp; I969</f>
        <v>IntExp_2_</v>
      </c>
      <c r="Q1129" s="1137"/>
      <c r="R1129" s="1312">
        <v>2</v>
      </c>
      <c r="S1129" s="1137"/>
      <c r="T1129" s="1137"/>
      <c r="U1129" s="1137"/>
      <c r="V1129" s="1137"/>
    </row>
    <row r="1130" spans="1:22" s="562" customFormat="1" ht="12.75" customHeight="1" thickBot="1">
      <c r="A1130" s="817"/>
      <c r="C1130" s="485"/>
      <c r="D1130" s="802"/>
      <c r="E1130" s="803"/>
      <c r="F1130" s="803"/>
      <c r="G1130" s="804"/>
      <c r="H1130" s="804"/>
      <c r="I1130" s="805"/>
      <c r="J1130" s="805"/>
      <c r="K1130" s="1790"/>
      <c r="L1130" s="1791"/>
      <c r="M1130" s="1791"/>
      <c r="N1130" s="1791"/>
      <c r="O1130" s="485"/>
      <c r="P1130" s="1117"/>
      <c r="Q1130" s="1137"/>
      <c r="R1130" s="1137"/>
      <c r="S1130" s="1137"/>
      <c r="T1130" s="1137"/>
      <c r="U1130" s="1137"/>
      <c r="V1130" s="1137"/>
    </row>
    <row r="1131" spans="1:22" s="562" customFormat="1" ht="5.0999999999999996" customHeight="1" thickBot="1">
      <c r="A1131" s="817"/>
      <c r="C1131" s="485"/>
      <c r="D1131" s="485"/>
      <c r="E1131" s="807"/>
      <c r="O1131" s="485"/>
      <c r="P1131" s="1137"/>
      <c r="Q1131" s="1137"/>
      <c r="R1131" s="1137"/>
      <c r="S1131" s="1137"/>
      <c r="T1131" s="1137"/>
      <c r="U1131" s="1137"/>
      <c r="V1131" s="1137"/>
    </row>
    <row r="1132" spans="1:22" s="562" customFormat="1" ht="5.0999999999999996" customHeight="1" thickBot="1">
      <c r="A1132" s="817"/>
      <c r="C1132" s="2118"/>
      <c r="D1132" s="2118"/>
      <c r="E1132" s="2118"/>
      <c r="F1132" s="2118"/>
      <c r="G1132" s="2118"/>
      <c r="H1132" s="2118"/>
      <c r="I1132" s="2118"/>
      <c r="J1132" s="2118"/>
      <c r="K1132" s="2118"/>
      <c r="L1132" s="2118"/>
      <c r="M1132" s="2118"/>
      <c r="N1132" s="2118"/>
      <c r="O1132" s="485"/>
      <c r="P1132" s="1137"/>
      <c r="Q1132" s="1137"/>
      <c r="R1132" s="1137"/>
      <c r="S1132" s="1137"/>
      <c r="T1132" s="1137"/>
      <c r="U1132" s="1137"/>
      <c r="V1132" s="1137"/>
    </row>
    <row r="1133" spans="1:22" s="562" customFormat="1" ht="15" customHeight="1" thickBot="1">
      <c r="A1133" s="719"/>
      <c r="C1133" s="559">
        <f>C969+1</f>
        <v>5</v>
      </c>
      <c r="D1133" s="2482" t="str">
        <f>CONCATENATE(EUconst_BMSubinst," ",C1133, ":")</f>
        <v>Sub-installation with product benchmark 5:</v>
      </c>
      <c r="E1133" s="2482"/>
      <c r="F1133" s="2482"/>
      <c r="G1133" s="2482"/>
      <c r="H1133" s="2483"/>
      <c r="I1133" s="3293" t="str">
        <f>IF(INDEX(CNTR_SubInstListIsProdBM,$C1133),INDEX(CNTR_SubInstListNames,$C1133),"")</f>
        <v/>
      </c>
      <c r="J1133" s="3471"/>
      <c r="K1133" s="3471"/>
      <c r="L1133" s="3471"/>
      <c r="M1133" s="3471"/>
      <c r="N1133" s="3472"/>
      <c r="O1133" s="485"/>
      <c r="P1133" s="1137"/>
      <c r="Q1133" s="2123">
        <f>C1133</f>
        <v>5</v>
      </c>
      <c r="R1133" s="2124" t="str">
        <f>I1133</f>
        <v/>
      </c>
      <c r="S1133" s="1137"/>
      <c r="T1133" s="1137"/>
      <c r="U1133" s="1137"/>
      <c r="V1133" s="1137"/>
    </row>
    <row r="1134" spans="1:22" s="562" customFormat="1" ht="5.0999999999999996" customHeight="1">
      <c r="A1134" s="719"/>
      <c r="C1134" s="559"/>
      <c r="D1134" s="559"/>
      <c r="E1134" s="559"/>
      <c r="F1134" s="559"/>
      <c r="G1134" s="559"/>
      <c r="H1134" s="559"/>
      <c r="I1134" s="559"/>
      <c r="J1134" s="559"/>
      <c r="K1134" s="559"/>
      <c r="L1134" s="559"/>
      <c r="M1134" s="559"/>
      <c r="N1134" s="559"/>
      <c r="O1134" s="485"/>
      <c r="P1134" s="1137"/>
      <c r="Q1134" s="1137"/>
      <c r="R1134" s="1137"/>
      <c r="S1134" s="1137"/>
      <c r="T1134" s="1137"/>
      <c r="U1134" s="1137"/>
      <c r="V1134" s="1137"/>
    </row>
    <row r="1135" spans="1:22" s="562" customFormat="1" ht="12.75" customHeight="1">
      <c r="A1135" s="719"/>
      <c r="C1135" s="559"/>
      <c r="D1135" s="559"/>
      <c r="E1135" s="559"/>
      <c r="F1135" s="559"/>
      <c r="H1135" s="688" t="s">
        <v>458</v>
      </c>
      <c r="I1135" s="688" t="s">
        <v>1256</v>
      </c>
      <c r="J1135" s="688" t="s">
        <v>1434</v>
      </c>
      <c r="K1135" s="688" t="s">
        <v>1684</v>
      </c>
      <c r="L1135" s="689" t="s">
        <v>156</v>
      </c>
      <c r="M1135" s="2469" t="s">
        <v>302</v>
      </c>
      <c r="N1135" s="2469"/>
      <c r="O1135" s="485"/>
      <c r="P1135" s="1137"/>
      <c r="Q1135" s="1137"/>
      <c r="R1135" s="1137"/>
      <c r="S1135" s="1137"/>
      <c r="T1135" s="1137"/>
      <c r="U1135" s="1137"/>
      <c r="V1135" s="1137"/>
    </row>
    <row r="1136" spans="1:22" s="562" customFormat="1" ht="12.75" customHeight="1">
      <c r="A1136" s="719"/>
      <c r="C1136" s="559"/>
      <c r="D1136" s="559"/>
      <c r="E1136" s="690" t="str">
        <f>I1133</f>
        <v/>
      </c>
      <c r="F1136" s="691"/>
      <c r="G1136" s="691"/>
      <c r="H1136" s="692" t="str">
        <f>IF(L1136=EUconst_NA,EUconst_NA,INDEX(EUconst_BMlistCLstatus,L1136))</f>
        <v>N.A.</v>
      </c>
      <c r="I1136" s="692" t="str">
        <f>IF(I1133="","",INDEX(EUconst_BMlistElExchangability,L1136))</f>
        <v/>
      </c>
      <c r="J1136" s="566" t="str">
        <f>IF($I1133="",EUconst_NA,INDEX(CNTR_SubInstStartDate,MATCH(I1133,CNTR_SubInstListNames,0)))</f>
        <v>N.A.</v>
      </c>
      <c r="K1136" s="566" t="str">
        <f>IF($I1133="",EUconst_NA,IF(INDEX(CNTR_SubInstCessationDate,MATCH(I1133,CNTR_SubInstListNames,0))=0,"",INDEX(CNTR_SubInstCessationDate,MATCH(I1133,CNTR_SubInstListNames,0))))</f>
        <v>N.A.</v>
      </c>
      <c r="L1136" s="693" t="str">
        <f>IF($I1133="",EUconst_NA,MATCH(I1133,EUconst_BMlistNames,0))</f>
        <v>N.A.</v>
      </c>
      <c r="M1136" s="694" t="str">
        <f>IF(I1133="",EUconst_NA,INDEX(EUconst_BMlistBMvaluesMatrix,L1136,3))</f>
        <v>N.A.</v>
      </c>
      <c r="N1136" s="685" t="str">
        <f>EUconst_EUA &amp; "/" &amp; F1139</f>
        <v>UKA/tonnes</v>
      </c>
      <c r="O1136" s="485"/>
      <c r="P1136" s="1137"/>
      <c r="Q1136" s="1137"/>
      <c r="R1136" s="1137"/>
      <c r="S1136" s="1137"/>
      <c r="T1136" s="1137"/>
      <c r="U1136" s="1137"/>
      <c r="V1136" s="1137"/>
    </row>
    <row r="1137" spans="1:22" s="562" customFormat="1" ht="5.0999999999999996" customHeight="1" thickBot="1">
      <c r="A1137" s="719"/>
      <c r="B1137" s="485"/>
      <c r="C1137" s="485"/>
      <c r="D1137" s="485"/>
      <c r="E1137" s="559"/>
      <c r="J1137" s="485"/>
      <c r="K1137" s="485"/>
      <c r="L1137" s="485"/>
      <c r="M1137" s="485"/>
      <c r="N1137" s="485"/>
      <c r="O1137" s="485"/>
      <c r="P1137" s="1137"/>
      <c r="Q1137" s="1137"/>
      <c r="R1137" s="1137"/>
      <c r="S1137" s="1137"/>
      <c r="T1137" s="1117"/>
      <c r="U1137" s="1137"/>
      <c r="V1137" s="1137"/>
    </row>
    <row r="1138" spans="1:22" s="562" customFormat="1" ht="12.75" customHeight="1">
      <c r="A1138" s="719"/>
      <c r="B1138" s="485"/>
      <c r="C1138" s="485"/>
      <c r="D1138" s="485"/>
      <c r="E1138" s="496"/>
      <c r="F1138" s="482" t="str">
        <f>EUconst_Unit</f>
        <v>Unit</v>
      </c>
      <c r="G1138" s="695" t="s">
        <v>1646</v>
      </c>
      <c r="H1138" s="696">
        <f t="shared" ref="H1138:N1138" si="81">H$2737</f>
        <v>2024</v>
      </c>
      <c r="I1138" s="697">
        <f t="shared" si="81"/>
        <v>2025</v>
      </c>
      <c r="J1138" s="2125">
        <f t="shared" si="81"/>
        <v>2026</v>
      </c>
      <c r="K1138" s="1489">
        <f t="shared" si="81"/>
        <v>2027</v>
      </c>
      <c r="L1138" s="1490">
        <f t="shared" si="81"/>
        <v>2028</v>
      </c>
      <c r="M1138" s="1490">
        <f t="shared" si="81"/>
        <v>2029</v>
      </c>
      <c r="N1138" s="1490">
        <f t="shared" si="81"/>
        <v>2030</v>
      </c>
      <c r="O1138" s="485"/>
      <c r="P1138" s="1137"/>
      <c r="Q1138" s="1137" t="s">
        <v>1803</v>
      </c>
      <c r="R1138" s="2126">
        <f>J$2737</f>
        <v>2026</v>
      </c>
      <c r="S1138" s="2127">
        <f>K$2737</f>
        <v>2027</v>
      </c>
      <c r="T1138" s="2127">
        <f>L$2737</f>
        <v>2028</v>
      </c>
      <c r="U1138" s="2127">
        <f>M$2737</f>
        <v>2029</v>
      </c>
      <c r="V1138" s="2128">
        <f>N$2737</f>
        <v>2030</v>
      </c>
    </row>
    <row r="1139" spans="1:22" s="562" customFormat="1" ht="12.75" customHeight="1" thickBot="1">
      <c r="A1139" s="719"/>
      <c r="B1139" s="485"/>
      <c r="C1139" s="485"/>
      <c r="D1139" s="485"/>
      <c r="E1139" s="698" t="s">
        <v>1665</v>
      </c>
      <c r="F1139" s="699" t="str">
        <f>IF(ISNUMBER(L1136),INDEX(EUconst_BMlistUnits,L1136),EUconst_Tons)</f>
        <v>tonnes</v>
      </c>
      <c r="G1139" s="700" t="str">
        <f>I1242</f>
        <v/>
      </c>
      <c r="H1139" s="701" t="str">
        <f>IF($I1133="","",IF(H1138&gt;=CNTR_ReportingYear,"",INDEX(F_ProductBM!H:H,MATCH($P1139,F_ProductBM!$Q:$Q,0))))</f>
        <v/>
      </c>
      <c r="I1139" s="702" t="str">
        <f>IF($I1133="","",IF(I1138&gt;=CNTR_ReportingYear,"",INDEX(F_ProductBM!I:I,MATCH($P1139,F_ProductBM!$Q:$Q,0))))</f>
        <v/>
      </c>
      <c r="J1139" s="2129" t="str">
        <f>IF($I1133="","",IF(J1138&gt;=CNTR_ReportingYear,"",INDEX(F_ProductBM!J:J,MATCH($P1139,F_ProductBM!$Q:$Q,0))))</f>
        <v/>
      </c>
      <c r="K1139" s="2072" t="str">
        <f>IF($I1133="","",IF(K1138&gt;=CNTR_ReportingYear,"",INDEX(F_ProductBM!K:K,MATCH($P1139,F_ProductBM!$Q:$Q,0))))</f>
        <v/>
      </c>
      <c r="L1139" s="2073" t="str">
        <f>IF($I1133="","",IF(L1138&gt;=CNTR_ReportingYear,"",INDEX(F_ProductBM!L:L,MATCH($P1139,F_ProductBM!$Q:$Q,0))))</f>
        <v/>
      </c>
      <c r="M1139" s="2073" t="str">
        <f>IF($I1133="","",IF(M1138&gt;=CNTR_ReportingYear,"",INDEX(F_ProductBM!M:M,MATCH($P1139,F_ProductBM!$Q:$Q,0))))</f>
        <v/>
      </c>
      <c r="N1139" s="2073" t="str">
        <f>IF($I1133="","",IF(N1138&gt;=CNTR_ReportingYear,"",INDEX(F_ProductBM!N:N,MATCH($P1139,F_ProductBM!$Q:$Q,0))))</f>
        <v/>
      </c>
      <c r="O1139" s="485"/>
      <c r="P1139" s="1158" t="str">
        <f>EUconst_CNTR_HAL&amp;I1133</f>
        <v>HAL_</v>
      </c>
      <c r="Q1139" s="1137"/>
      <c r="R1139" s="1961" t="b">
        <f>AND($I1133&lt;&gt;"",R1138&lt;=CNTR_ReportingYear,IF($J1136&lt;&gt;EUconst_NA,R1138&gt;=YEAR($J1136),TRUE))</f>
        <v>0</v>
      </c>
      <c r="S1139" s="1675" t="b">
        <f>AND($I1133&lt;&gt;"",S1138&lt;=CNTR_ReportingYear,IF($J1136&lt;&gt;EUconst_NA,S1138&gt;=YEAR($J1136),TRUE))</f>
        <v>0</v>
      </c>
      <c r="T1139" s="1675" t="b">
        <f>AND($I1133&lt;&gt;"",T1138&lt;=CNTR_ReportingYear,IF($J1136&lt;&gt;EUconst_NA,T1138&gt;=YEAR($J1136),TRUE))</f>
        <v>0</v>
      </c>
      <c r="U1139" s="1675" t="b">
        <f>AND($I1133&lt;&gt;"",U1138&lt;=CNTR_ReportingYear,IF($J1136&lt;&gt;EUconst_NA,U1138&gt;=YEAR($J1136),TRUE))</f>
        <v>0</v>
      </c>
      <c r="V1139" s="1676" t="b">
        <f>AND($I1133&lt;&gt;"",V1138&lt;=CNTR_ReportingYear,IF($J1136&lt;&gt;EUconst_NA,V1138&gt;=YEAR($J1136),TRUE))</f>
        <v>0</v>
      </c>
    </row>
    <row r="1140" spans="1:22" s="562" customFormat="1" ht="5.0999999999999996" customHeight="1" thickBot="1">
      <c r="A1140" s="719"/>
      <c r="B1140" s="485"/>
      <c r="C1140" s="559"/>
      <c r="D1140" s="559"/>
      <c r="E1140" s="559"/>
      <c r="F1140" s="559"/>
      <c r="G1140" s="559"/>
      <c r="H1140" s="559"/>
      <c r="I1140" s="559"/>
      <c r="J1140" s="559"/>
      <c r="K1140" s="2130"/>
      <c r="L1140" s="2131"/>
      <c r="M1140" s="2131"/>
      <c r="N1140" s="2131"/>
      <c r="O1140" s="485"/>
      <c r="P1140" s="1137"/>
      <c r="Q1140" s="1137"/>
      <c r="R1140" s="1137"/>
      <c r="S1140" s="1137"/>
      <c r="T1140" s="1137"/>
      <c r="U1140" s="1137"/>
      <c r="V1140" s="1137"/>
    </row>
    <row r="1141" spans="1:22" s="562" customFormat="1" ht="5.0999999999999996" customHeight="1">
      <c r="A1141" s="719"/>
      <c r="B1141" s="485"/>
      <c r="C1141" s="559"/>
      <c r="D1141" s="703"/>
      <c r="E1141" s="704"/>
      <c r="F1141" s="704"/>
      <c r="G1141" s="704"/>
      <c r="H1141" s="704"/>
      <c r="I1141" s="704"/>
      <c r="J1141" s="704"/>
      <c r="K1141" s="2130"/>
      <c r="L1141" s="2131"/>
      <c r="M1141" s="2131"/>
      <c r="N1141" s="2131"/>
      <c r="O1141" s="485"/>
      <c r="P1141" s="1137"/>
      <c r="Q1141" s="1137"/>
      <c r="R1141" s="1137"/>
      <c r="S1141" s="1137"/>
      <c r="T1141" s="1137"/>
      <c r="U1141" s="1137"/>
      <c r="V1141" s="1137"/>
    </row>
    <row r="1142" spans="1:22" s="562" customFormat="1" ht="12.75" customHeight="1">
      <c r="A1142" s="719"/>
      <c r="B1142" s="485"/>
      <c r="C1142" s="559"/>
      <c r="D1142" s="706"/>
      <c r="E1142" s="707" t="s">
        <v>1787</v>
      </c>
      <c r="F1142" s="637"/>
      <c r="G1142" s="637"/>
      <c r="H1142" s="663"/>
      <c r="I1142" s="708"/>
      <c r="J1142" s="2132">
        <f>J$2737</f>
        <v>2026</v>
      </c>
      <c r="K1142" s="1489">
        <f>K$2737</f>
        <v>2027</v>
      </c>
      <c r="L1142" s="1490">
        <f>L$2737</f>
        <v>2028</v>
      </c>
      <c r="M1142" s="1490">
        <f>M$2737</f>
        <v>2029</v>
      </c>
      <c r="N1142" s="1490">
        <f>N$2737</f>
        <v>2030</v>
      </c>
      <c r="O1142" s="485"/>
      <c r="P1142" s="1137"/>
      <c r="Q1142" s="1137"/>
      <c r="R1142" s="1137"/>
      <c r="S1142" s="1137"/>
      <c r="T1142" s="1137"/>
      <c r="U1142" s="1137"/>
      <c r="V1142" s="1137"/>
    </row>
    <row r="1143" spans="1:22" s="562" customFormat="1" ht="12.75" customHeight="1">
      <c r="A1143" s="719"/>
      <c r="B1143" s="485"/>
      <c r="C1143" s="559"/>
      <c r="D1143" s="706"/>
      <c r="E1143" s="711" t="s">
        <v>1783</v>
      </c>
      <c r="F1143" s="712"/>
      <c r="G1143" s="712"/>
      <c r="H1143" s="713"/>
      <c r="I1143" s="712"/>
      <c r="J1143" s="2133" t="str">
        <f>IF(R1139,INDEX(F_ProductBM!V:V,MATCH($P1143,F_ProductBM!$Q:$Q,0))&gt;=3,"")</f>
        <v/>
      </c>
      <c r="K1143" s="2134" t="str">
        <f>IF(S1139,INDEX(F_ProductBM!W:W,MATCH($P1143,F_ProductBM!$Q:$Q,0))&gt;=3,"")</f>
        <v/>
      </c>
      <c r="L1143" s="2135" t="str">
        <f>IF(T1139,INDEX(F_ProductBM!X:X,MATCH($P1143,F_ProductBM!$Q:$Q,0))&gt;=3,"")</f>
        <v/>
      </c>
      <c r="M1143" s="2135" t="str">
        <f>IF(U1139,INDEX(F_ProductBM!Y:Y,MATCH($P1143,F_ProductBM!$Q:$Q,0))&gt;=3,"")</f>
        <v/>
      </c>
      <c r="N1143" s="2135" t="str">
        <f>IF(V1139,INDEX(F_ProductBM!Z:Z,MATCH($P1143,F_ProductBM!$Q:$Q,0))&gt;=3,"")</f>
        <v/>
      </c>
      <c r="O1143" s="485"/>
      <c r="P1143" s="1158" t="str">
        <f>EUconst_CNTR_HALinitial&amp;I1133</f>
        <v>HALini_</v>
      </c>
      <c r="Q1143" s="1137"/>
      <c r="R1143" s="1137"/>
      <c r="S1143" s="1137"/>
      <c r="T1143" s="1137"/>
      <c r="U1143" s="1137"/>
      <c r="V1143" s="1137"/>
    </row>
    <row r="1144" spans="1:22" s="562" customFormat="1" ht="12.75" customHeight="1">
      <c r="A1144" s="719"/>
      <c r="B1144" s="485"/>
      <c r="C1144" s="559"/>
      <c r="D1144" s="706"/>
      <c r="E1144" s="714" t="s">
        <v>1784</v>
      </c>
      <c r="F1144" s="715"/>
      <c r="G1144" s="715"/>
      <c r="H1144" s="716"/>
      <c r="I1144" s="715"/>
      <c r="J1144" s="2136" t="str">
        <f>IF(R1139,IF($K1136="",2050,YEAR($K1136))&lt;&gt;(J1142-1),"")</f>
        <v/>
      </c>
      <c r="K1144" s="2134" t="str">
        <f>IF(S1139,IF($K1136="",2050,YEAR($K1136))&lt;&gt;(K1142-1),"")</f>
        <v/>
      </c>
      <c r="L1144" s="2135" t="str">
        <f>IF(T1139,IF($K1136="",2050,YEAR($K1136))&lt;&gt;(L1142-1),"")</f>
        <v/>
      </c>
      <c r="M1144" s="2135" t="str">
        <f>IF(U1139,IF($K1136="",2050,YEAR($K1136))&lt;&gt;(M1142-1),"")</f>
        <v/>
      </c>
      <c r="N1144" s="2135" t="str">
        <f>IF(V1139,IF($K1136="",2050,YEAR($K1136))&lt;&gt;(N1142-1),"")</f>
        <v/>
      </c>
      <c r="O1144" s="485"/>
      <c r="P1144" s="1137"/>
      <c r="Q1144" s="1137"/>
      <c r="R1144" s="1137"/>
      <c r="S1144" s="1137"/>
      <c r="T1144" s="1137"/>
      <c r="U1144" s="1137"/>
      <c r="V1144" s="1137"/>
    </row>
    <row r="1145" spans="1:22" s="562" customFormat="1" ht="5.0999999999999996" customHeight="1">
      <c r="A1145" s="719"/>
      <c r="B1145" s="485"/>
      <c r="C1145" s="559"/>
      <c r="D1145" s="706"/>
      <c r="E1145" s="559"/>
      <c r="F1145" s="559"/>
      <c r="G1145" s="559"/>
      <c r="H1145" s="559"/>
      <c r="I1145" s="559"/>
      <c r="J1145" s="559"/>
      <c r="K1145" s="2130"/>
      <c r="L1145" s="2131"/>
      <c r="M1145" s="2131"/>
      <c r="N1145" s="2131"/>
      <c r="O1145" s="485"/>
      <c r="P1145" s="1137"/>
      <c r="Q1145" s="1137"/>
      <c r="R1145" s="1137"/>
      <c r="S1145" s="1137"/>
      <c r="T1145" s="1137"/>
      <c r="U1145" s="1137"/>
      <c r="V1145" s="1137"/>
    </row>
    <row r="1146" spans="1:22" s="562" customFormat="1" ht="12.75" customHeight="1">
      <c r="A1146" s="719"/>
      <c r="B1146" s="485"/>
      <c r="C1146" s="559"/>
      <c r="D1146" s="706"/>
      <c r="E1146" s="496" t="s">
        <v>1762</v>
      </c>
      <c r="F1146" s="485"/>
      <c r="G1146" s="485"/>
      <c r="H1146" s="663" t="str">
        <f>EUconst_Unit</f>
        <v>Unit</v>
      </c>
      <c r="I1146" s="708"/>
      <c r="J1146" s="2125">
        <f>J$2737</f>
        <v>2026</v>
      </c>
      <c r="K1146" s="1489">
        <f>K$2737</f>
        <v>2027</v>
      </c>
      <c r="L1146" s="1490">
        <f>L$2737</f>
        <v>2028</v>
      </c>
      <c r="M1146" s="1490">
        <f>M$2737</f>
        <v>2029</v>
      </c>
      <c r="N1146" s="1490">
        <f>N$2737</f>
        <v>2030</v>
      </c>
      <c r="O1146" s="485"/>
      <c r="P1146" s="1137"/>
      <c r="Q1146" s="1137"/>
      <c r="R1146" s="1137"/>
      <c r="S1146" s="1137"/>
      <c r="T1146" s="1137"/>
      <c r="U1146" s="1137"/>
      <c r="V1146" s="1137"/>
    </row>
    <row r="1147" spans="1:22" s="562" customFormat="1" ht="12.75" hidden="1" customHeight="1">
      <c r="A1147" s="719" t="s">
        <v>2289</v>
      </c>
      <c r="B1147" s="485"/>
      <c r="C1147" s="559"/>
      <c r="D1147" s="706"/>
      <c r="E1147" s="698" t="s">
        <v>1714</v>
      </c>
      <c r="F1147" s="698"/>
      <c r="G1147" s="698"/>
      <c r="H1147" s="639" t="str">
        <f>F1139</f>
        <v>tonnes</v>
      </c>
      <c r="I1147" s="698"/>
      <c r="J1147" s="2137" t="str">
        <f t="shared" ref="J1147:J1152" si="82">I1242</f>
        <v/>
      </c>
      <c r="K1147" s="2072" t="str">
        <f t="shared" ref="K1147:N1152" si="83">J1242</f>
        <v/>
      </c>
      <c r="L1147" s="2073" t="str">
        <f t="shared" si="83"/>
        <v/>
      </c>
      <c r="M1147" s="2073" t="str">
        <f t="shared" si="83"/>
        <v/>
      </c>
      <c r="N1147" s="2073" t="str">
        <f t="shared" si="83"/>
        <v/>
      </c>
      <c r="O1147" s="485"/>
      <c r="P1147" s="1137"/>
      <c r="Q1147" s="1137"/>
      <c r="R1147" s="1137"/>
      <c r="S1147" s="1137"/>
      <c r="T1147" s="1137"/>
      <c r="U1147" s="1137"/>
      <c r="V1147" s="1137"/>
    </row>
    <row r="1148" spans="1:22" s="562" customFormat="1" ht="12.75" hidden="1" customHeight="1">
      <c r="A1148" s="719" t="s">
        <v>2289</v>
      </c>
      <c r="B1148" s="485"/>
      <c r="C1148" s="559"/>
      <c r="D1148" s="706"/>
      <c r="E1148" s="720" t="s">
        <v>303</v>
      </c>
      <c r="F1148" s="720"/>
      <c r="G1148" s="720"/>
      <c r="H1148" s="721" t="str">
        <f>EUconst_EUA</f>
        <v>UKA</v>
      </c>
      <c r="I1148" s="722"/>
      <c r="J1148" s="2138" t="str">
        <f t="shared" si="82"/>
        <v/>
      </c>
      <c r="K1148" s="2072" t="str">
        <f t="shared" si="83"/>
        <v/>
      </c>
      <c r="L1148" s="2073" t="str">
        <f t="shared" si="83"/>
        <v/>
      </c>
      <c r="M1148" s="2073" t="str">
        <f t="shared" si="83"/>
        <v/>
      </c>
      <c r="N1148" s="2073" t="str">
        <f t="shared" si="83"/>
        <v/>
      </c>
      <c r="O1148" s="485"/>
      <c r="P1148" s="1137"/>
      <c r="Q1148" s="1137"/>
      <c r="R1148" s="1137"/>
      <c r="S1148" s="1137"/>
      <c r="T1148" s="1137"/>
      <c r="U1148" s="1137"/>
      <c r="V1148" s="1137"/>
    </row>
    <row r="1149" spans="1:22" s="562" customFormat="1" ht="12.75" hidden="1" customHeight="1">
      <c r="A1149" s="719" t="s">
        <v>2289</v>
      </c>
      <c r="B1149" s="485"/>
      <c r="C1149" s="559"/>
      <c r="D1149" s="706"/>
      <c r="E1149" s="723" t="s">
        <v>1422</v>
      </c>
      <c r="F1149" s="723"/>
      <c r="G1149" s="723"/>
      <c r="H1149" s="724" t="str">
        <f>EUconst_EUA</f>
        <v>UKA</v>
      </c>
      <c r="I1149" s="725"/>
      <c r="J1149" s="2139" t="str">
        <f t="shared" si="82"/>
        <v/>
      </c>
      <c r="K1149" s="2072" t="str">
        <f t="shared" si="83"/>
        <v/>
      </c>
      <c r="L1149" s="2073" t="str">
        <f t="shared" si="83"/>
        <v/>
      </c>
      <c r="M1149" s="2073" t="str">
        <f t="shared" si="83"/>
        <v/>
      </c>
      <c r="N1149" s="2073" t="str">
        <f t="shared" si="83"/>
        <v/>
      </c>
      <c r="O1149" s="485"/>
      <c r="P1149" s="1137"/>
      <c r="Q1149" s="1137"/>
      <c r="R1149" s="1137"/>
      <c r="S1149" s="1137"/>
      <c r="T1149" s="1137"/>
      <c r="U1149" s="1137"/>
      <c r="V1149" s="1137"/>
    </row>
    <row r="1150" spans="1:22" s="562" customFormat="1" ht="12.75" hidden="1" customHeight="1">
      <c r="A1150" s="719" t="s">
        <v>2289</v>
      </c>
      <c r="B1150" s="485"/>
      <c r="C1150" s="559"/>
      <c r="D1150" s="706"/>
      <c r="E1150" s="723" t="s">
        <v>1390</v>
      </c>
      <c r="F1150" s="723"/>
      <c r="G1150" s="723"/>
      <c r="H1150" s="724" t="str">
        <f>EUconst_EUA</f>
        <v>UKA</v>
      </c>
      <c r="I1150" s="725"/>
      <c r="J1150" s="2139" t="str">
        <f t="shared" si="82"/>
        <v/>
      </c>
      <c r="K1150" s="2072" t="str">
        <f t="shared" si="83"/>
        <v/>
      </c>
      <c r="L1150" s="2073" t="str">
        <f t="shared" si="83"/>
        <v/>
      </c>
      <c r="M1150" s="2073" t="str">
        <f t="shared" si="83"/>
        <v/>
      </c>
      <c r="N1150" s="2073" t="str">
        <f t="shared" si="83"/>
        <v/>
      </c>
      <c r="O1150" s="485"/>
      <c r="P1150" s="1137"/>
      <c r="Q1150" s="1137"/>
      <c r="R1150" s="1137"/>
      <c r="S1150" s="1137"/>
      <c r="T1150" s="1137"/>
      <c r="U1150" s="1137"/>
      <c r="V1150" s="1137"/>
    </row>
    <row r="1151" spans="1:22" s="562" customFormat="1" ht="12.75" hidden="1" customHeight="1">
      <c r="A1151" s="719" t="s">
        <v>2289</v>
      </c>
      <c r="B1151" s="485"/>
      <c r="C1151" s="559"/>
      <c r="D1151" s="706"/>
      <c r="E1151" s="723" t="s">
        <v>1389</v>
      </c>
      <c r="F1151" s="723"/>
      <c r="G1151" s="723"/>
      <c r="H1151" s="726" t="s">
        <v>1021</v>
      </c>
      <c r="I1151" s="725"/>
      <c r="J1151" s="2140" t="str">
        <f t="shared" si="82"/>
        <v/>
      </c>
      <c r="K1151" s="2141" t="str">
        <f t="shared" si="83"/>
        <v/>
      </c>
      <c r="L1151" s="2142" t="str">
        <f t="shared" si="83"/>
        <v/>
      </c>
      <c r="M1151" s="2142" t="str">
        <f t="shared" si="83"/>
        <v/>
      </c>
      <c r="N1151" s="2142" t="str">
        <f t="shared" si="83"/>
        <v/>
      </c>
      <c r="O1151" s="485"/>
      <c r="P1151" s="1137"/>
      <c r="Q1151" s="1137"/>
      <c r="R1151" s="1137"/>
      <c r="S1151" s="1137"/>
      <c r="T1151" s="1137"/>
      <c r="U1151" s="1137"/>
      <c r="V1151" s="1137"/>
    </row>
    <row r="1152" spans="1:22" s="562" customFormat="1" ht="12.75" hidden="1" customHeight="1">
      <c r="A1152" s="719" t="s">
        <v>2289</v>
      </c>
      <c r="B1152" s="485"/>
      <c r="C1152" s="559"/>
      <c r="D1152" s="706"/>
      <c r="E1152" s="727" t="s">
        <v>1391</v>
      </c>
      <c r="F1152" s="727"/>
      <c r="G1152" s="727"/>
      <c r="H1152" s="728" t="s">
        <v>1021</v>
      </c>
      <c r="I1152" s="729"/>
      <c r="J1152" s="2143" t="str">
        <f t="shared" si="82"/>
        <v/>
      </c>
      <c r="K1152" s="2141" t="str">
        <f t="shared" si="83"/>
        <v/>
      </c>
      <c r="L1152" s="2142" t="str">
        <f t="shared" si="83"/>
        <v/>
      </c>
      <c r="M1152" s="2142" t="str">
        <f t="shared" si="83"/>
        <v/>
      </c>
      <c r="N1152" s="2142" t="str">
        <f t="shared" si="83"/>
        <v/>
      </c>
      <c r="O1152" s="485"/>
      <c r="P1152" s="1137"/>
      <c r="Q1152" s="1137"/>
      <c r="R1152" s="1137"/>
      <c r="S1152" s="1137"/>
      <c r="T1152" s="1137"/>
      <c r="U1152" s="1137"/>
      <c r="V1152" s="1137"/>
    </row>
    <row r="1153" spans="1:22" s="562" customFormat="1" ht="12.75" customHeight="1">
      <c r="A1153" s="719"/>
      <c r="B1153" s="485"/>
      <c r="C1153" s="559"/>
      <c r="D1153" s="706"/>
      <c r="E1153" s="698" t="s">
        <v>1671</v>
      </c>
      <c r="F1153" s="698"/>
      <c r="G1153" s="698"/>
      <c r="H1153" s="730" t="str">
        <f>EUconst_EUA</f>
        <v>UKA</v>
      </c>
      <c r="I1153" s="731"/>
      <c r="J1153" s="2129" t="str">
        <f>IF($I1133="","",MAX(0,ROUND((SUM($M1136)*SUM(J1147)*SUM(J1151)*SUM(J1152)-SUM(J1148)-SUM(J1149)+SUM(J1150))*IF($H1136=TRUE,1,J$2517),0)))</f>
        <v/>
      </c>
      <c r="K1153" s="2072" t="str">
        <f>IF($I1133="","",MAX(0,ROUND((SUM($M1136)*SUM(K1147)*SUM(K1151)*SUM(K1152)-SUM(K1148)-SUM(K1149)+SUM(K1150))*IF($H1136=TRUE,1,K$2517),0)))</f>
        <v/>
      </c>
      <c r="L1153" s="2073" t="str">
        <f>IF($I1133="","",MAX(0,ROUND((SUM($M1136)*SUM(L1147)*SUM(L1151)*SUM(L1152)-SUM(L1148)-SUM(L1149)+SUM(L1150))*IF($H1136=TRUE,1,L$2517),0)))</f>
        <v/>
      </c>
      <c r="M1153" s="2073" t="str">
        <f>IF($I1133="","",MAX(0,ROUND((SUM($M1136)*SUM(M1147)*SUM(M1151)*SUM(M1152)-SUM(M1148)-SUM(M1149)+SUM(M1150))*IF($H1136=TRUE,1,M$2517),0)))</f>
        <v/>
      </c>
      <c r="N1153" s="2073" t="str">
        <f>IF($I1133="","",MAX(0,ROUND((SUM($M1136)*SUM(N1147)*SUM(N1151)*SUM(N1152)-SUM(N1148)-SUM(N1149)+SUM(N1150))*IF($H1136=TRUE,1,N$2517),0)))</f>
        <v/>
      </c>
      <c r="O1153" s="485"/>
      <c r="P1153" s="1137"/>
      <c r="Q1153" s="1137"/>
      <c r="R1153" s="1137"/>
      <c r="S1153" s="1137"/>
      <c r="T1153" s="1137"/>
      <c r="U1153" s="1137"/>
      <c r="V1153" s="1137"/>
    </row>
    <row r="1154" spans="1:22" s="562" customFormat="1" ht="5.0999999999999996" customHeight="1">
      <c r="A1154" s="719"/>
      <c r="B1154" s="485"/>
      <c r="C1154" s="559"/>
      <c r="D1154" s="706"/>
      <c r="E1154" s="559"/>
      <c r="F1154" s="559"/>
      <c r="G1154" s="559"/>
      <c r="H1154" s="559"/>
      <c r="I1154" s="559"/>
      <c r="J1154" s="559"/>
      <c r="K1154" s="2130"/>
      <c r="L1154" s="2131"/>
      <c r="M1154" s="2131"/>
      <c r="N1154" s="2131"/>
      <c r="O1154" s="485"/>
      <c r="P1154" s="1137"/>
      <c r="Q1154" s="1137"/>
      <c r="R1154" s="1137"/>
      <c r="S1154" s="1137"/>
      <c r="T1154" s="1137"/>
      <c r="U1154" s="1137"/>
      <c r="V1154" s="1137"/>
    </row>
    <row r="1155" spans="1:22" s="562" customFormat="1" ht="12.75" customHeight="1">
      <c r="A1155" s="719"/>
      <c r="B1155" s="485"/>
      <c r="C1155" s="559"/>
      <c r="D1155" s="706"/>
      <c r="E1155" s="707" t="s">
        <v>1752</v>
      </c>
      <c r="F1155" s="637"/>
      <c r="G1155" s="637"/>
      <c r="H1155" s="663" t="str">
        <f>EUconst_Unit</f>
        <v>Unit</v>
      </c>
      <c r="I1155" s="708"/>
      <c r="J1155" s="2132">
        <f>J$2737</f>
        <v>2026</v>
      </c>
      <c r="K1155" s="1489">
        <f>K$2737</f>
        <v>2027</v>
      </c>
      <c r="L1155" s="1490">
        <f>L$2737</f>
        <v>2028</v>
      </c>
      <c r="M1155" s="1490">
        <f>M$2737</f>
        <v>2029</v>
      </c>
      <c r="N1155" s="1490">
        <f>N$2737</f>
        <v>2030</v>
      </c>
      <c r="O1155" s="485"/>
      <c r="P1155" s="1137"/>
      <c r="Q1155" s="1137"/>
      <c r="R1155" s="1137"/>
      <c r="S1155" s="1137"/>
      <c r="T1155" s="1137"/>
      <c r="U1155" s="1137"/>
      <c r="V1155" s="1137"/>
    </row>
    <row r="1156" spans="1:22" s="562" customFormat="1" ht="12.75" customHeight="1">
      <c r="A1156" s="719"/>
      <c r="B1156" s="485"/>
      <c r="C1156" s="559"/>
      <c r="D1156" s="706"/>
      <c r="E1156" s="720" t="s">
        <v>1691</v>
      </c>
      <c r="F1156" s="720"/>
      <c r="G1156" s="720"/>
      <c r="H1156" s="732" t="str">
        <f>H1147</f>
        <v>tonnes</v>
      </c>
      <c r="I1156" s="733"/>
      <c r="J1156" s="2144" t="str">
        <f>INDEX(F_ProductBM!J:J,MATCH($P1156,F_ProductBM!$Q:$Q,0))</f>
        <v/>
      </c>
      <c r="K1156" s="2072" t="str">
        <f>INDEX(F_ProductBM!K:K,MATCH($P1156,F_ProductBM!$Q:$Q,0))</f>
        <v/>
      </c>
      <c r="L1156" s="2073" t="str">
        <f>INDEX(F_ProductBM!L:L,MATCH($P1156,F_ProductBM!$Q:$Q,0))</f>
        <v/>
      </c>
      <c r="M1156" s="2073" t="str">
        <f>INDEX(F_ProductBM!M:M,MATCH($P1156,F_ProductBM!$Q:$Q,0))</f>
        <v/>
      </c>
      <c r="N1156" s="2073" t="str">
        <f>INDEX(F_ProductBM!N:N,MATCH($P1156,F_ProductBM!$Q:$Q,0))</f>
        <v/>
      </c>
      <c r="O1156" s="485"/>
      <c r="P1156" s="1158" t="str">
        <f>EUconst_CNTR_HALinitial&amp;I1133</f>
        <v>HALini_</v>
      </c>
      <c r="Q1156" s="1137"/>
      <c r="R1156" s="1137"/>
      <c r="S1156" s="1137"/>
      <c r="T1156" s="1137"/>
      <c r="U1156" s="1137"/>
      <c r="V1156" s="1137"/>
    </row>
    <row r="1157" spans="1:22" s="562" customFormat="1" ht="12.75" customHeight="1">
      <c r="A1157" s="719"/>
      <c r="B1157" s="485"/>
      <c r="C1157" s="559"/>
      <c r="D1157" s="706"/>
      <c r="E1157" s="723" t="s">
        <v>1648</v>
      </c>
      <c r="F1157" s="723"/>
      <c r="G1157" s="723"/>
      <c r="H1157" s="734" t="s">
        <v>1021</v>
      </c>
      <c r="I1157" s="735"/>
      <c r="J1157" s="23" t="str">
        <f>INDEX(F_ProductBM!J:J,MATCH($P1157,F_ProductBM!$Q:$Q,0))</f>
        <v/>
      </c>
      <c r="K1157" s="46" t="str">
        <f>INDEX(F_ProductBM!K:K,MATCH($P1157,F_ProductBM!$Q:$Q,0))</f>
        <v/>
      </c>
      <c r="L1157" s="27" t="str">
        <f>INDEX(F_ProductBM!L:L,MATCH($P1157,F_ProductBM!$Q:$Q,0))</f>
        <v/>
      </c>
      <c r="M1157" s="27" t="str">
        <f>INDEX(F_ProductBM!M:M,MATCH($P1157,F_ProductBM!$Q:$Q,0))</f>
        <v/>
      </c>
      <c r="N1157" s="27" t="str">
        <f>INDEX(F_ProductBM!N:N,MATCH($P1157,F_ProductBM!$Q:$Q,0))</f>
        <v/>
      </c>
      <c r="O1157" s="485"/>
      <c r="P1157" s="1158" t="str">
        <f>EUconst_CNTR_RelThreshold &amp; P1159</f>
        <v>RelThresh_HALprelim_</v>
      </c>
      <c r="Q1157" s="1137"/>
      <c r="R1157" s="1137"/>
      <c r="S1157" s="1137"/>
      <c r="T1157" s="1137"/>
      <c r="U1157" s="1137"/>
      <c r="V1157" s="1137"/>
    </row>
    <row r="1158" spans="1:22" s="562" customFormat="1" ht="12.75" customHeight="1">
      <c r="A1158" s="719"/>
      <c r="B1158" s="485"/>
      <c r="C1158" s="559"/>
      <c r="D1158" s="706"/>
      <c r="E1158" s="736" t="s">
        <v>1850</v>
      </c>
      <c r="F1158" s="736"/>
      <c r="G1158" s="736"/>
      <c r="H1158" s="737" t="s">
        <v>1021</v>
      </c>
      <c r="I1158" s="738"/>
      <c r="J1158" s="2145" t="str">
        <f>INDEX(F_ProductBM!V:V,MATCH($P1158,F_ProductBM!$Q:$Q,0)+1)</f>
        <v/>
      </c>
      <c r="K1158" s="2134" t="str">
        <f>INDEX(F_ProductBM!W:W,MATCH($P1158,F_ProductBM!$Q:$Q,0)+1)</f>
        <v/>
      </c>
      <c r="L1158" s="2135" t="str">
        <f>INDEX(F_ProductBM!X:X,MATCH($P1158,F_ProductBM!$Q:$Q,0)+1)</f>
        <v/>
      </c>
      <c r="M1158" s="2135" t="str">
        <f>INDEX(F_ProductBM!Y:Y,MATCH($P1158,F_ProductBM!$Q:$Q,0)+1)</f>
        <v/>
      </c>
      <c r="N1158" s="2135" t="str">
        <f>INDEX(F_ProductBM!Z:Z,MATCH($P1158,F_ProductBM!$Q:$Q,0)+1)</f>
        <v/>
      </c>
      <c r="O1158" s="485"/>
      <c r="P1158" s="1158" t="str">
        <f>P1157</f>
        <v>RelThresh_HALprelim_</v>
      </c>
      <c r="Q1158" s="1137"/>
      <c r="R1158" s="1137"/>
      <c r="S1158" s="1137"/>
      <c r="T1158" s="1137"/>
      <c r="U1158" s="1137"/>
      <c r="V1158" s="1137"/>
    </row>
    <row r="1159" spans="1:22" s="562" customFormat="1" ht="12.75" customHeight="1">
      <c r="A1159" s="719"/>
      <c r="B1159" s="485"/>
      <c r="C1159" s="559"/>
      <c r="D1159" s="706"/>
      <c r="E1159" s="727" t="s">
        <v>1689</v>
      </c>
      <c r="F1159" s="727"/>
      <c r="G1159" s="727"/>
      <c r="H1159" s="739" t="str">
        <f>F1139</f>
        <v>tonnes</v>
      </c>
      <c r="I1159" s="727"/>
      <c r="J1159" s="2146" t="str">
        <f>INDEX(F_ProductBM!J:J,MATCH($P1159,F_ProductBM!$Q:$Q,0))</f>
        <v/>
      </c>
      <c r="K1159" s="2072" t="str">
        <f>INDEX(F_ProductBM!K:K,MATCH($P1159,F_ProductBM!$Q:$Q,0))</f>
        <v/>
      </c>
      <c r="L1159" s="2073" t="str">
        <f>INDEX(F_ProductBM!L:L,MATCH($P1159,F_ProductBM!$Q:$Q,0))</f>
        <v/>
      </c>
      <c r="M1159" s="2073" t="str">
        <f>INDEX(F_ProductBM!M:M,MATCH($P1159,F_ProductBM!$Q:$Q,0))</f>
        <v/>
      </c>
      <c r="N1159" s="2073" t="str">
        <f>INDEX(F_ProductBM!N:N,MATCH($P1159,F_ProductBM!$Q:$Q,0))</f>
        <v/>
      </c>
      <c r="O1159" s="485"/>
      <c r="P1159" s="1158" t="str">
        <f>EUconst_CNTR_HALprelim&amp;I1133</f>
        <v>HALprelim_</v>
      </c>
      <c r="Q1159" s="1137"/>
      <c r="R1159" s="1137"/>
      <c r="S1159" s="1137"/>
      <c r="T1159" s="1137"/>
      <c r="U1159" s="1137"/>
      <c r="V1159" s="1137"/>
    </row>
    <row r="1160" spans="1:22" s="562" customFormat="1" ht="12.75" hidden="1" customHeight="1">
      <c r="A1160" s="719" t="s">
        <v>2289</v>
      </c>
      <c r="B1160" s="485"/>
      <c r="C1160" s="559"/>
      <c r="D1160" s="706"/>
      <c r="E1160" s="720" t="s">
        <v>303</v>
      </c>
      <c r="F1160" s="720"/>
      <c r="G1160" s="720"/>
      <c r="H1160" s="721" t="str">
        <f>EUconst_EUA</f>
        <v>UKA</v>
      </c>
      <c r="I1160" s="722"/>
      <c r="J1160" s="2138" t="str">
        <f t="shared" ref="J1160:N1164" si="84">I1243</f>
        <v/>
      </c>
      <c r="K1160" s="2072" t="str">
        <f t="shared" si="84"/>
        <v/>
      </c>
      <c r="L1160" s="2073" t="str">
        <f t="shared" si="84"/>
        <v/>
      </c>
      <c r="M1160" s="2073" t="str">
        <f t="shared" si="84"/>
        <v/>
      </c>
      <c r="N1160" s="2073" t="str">
        <f t="shared" si="84"/>
        <v/>
      </c>
      <c r="O1160" s="485"/>
      <c r="P1160" s="1137"/>
      <c r="Q1160" s="1137"/>
      <c r="R1160" s="1137"/>
      <c r="S1160" s="1137"/>
      <c r="T1160" s="1137"/>
      <c r="U1160" s="1137"/>
      <c r="V1160" s="1137"/>
    </row>
    <row r="1161" spans="1:22" s="562" customFormat="1" ht="12.75" hidden="1" customHeight="1">
      <c r="A1161" s="719" t="s">
        <v>2289</v>
      </c>
      <c r="B1161" s="485"/>
      <c r="C1161" s="559"/>
      <c r="D1161" s="706"/>
      <c r="E1161" s="723" t="s">
        <v>1422</v>
      </c>
      <c r="F1161" s="723"/>
      <c r="G1161" s="723"/>
      <c r="H1161" s="724" t="str">
        <f>EUconst_EUA</f>
        <v>UKA</v>
      </c>
      <c r="I1161" s="725"/>
      <c r="J1161" s="2139" t="str">
        <f t="shared" si="84"/>
        <v/>
      </c>
      <c r="K1161" s="2072" t="str">
        <f t="shared" si="84"/>
        <v/>
      </c>
      <c r="L1161" s="2073" t="str">
        <f t="shared" si="84"/>
        <v/>
      </c>
      <c r="M1161" s="2073" t="str">
        <f t="shared" si="84"/>
        <v/>
      </c>
      <c r="N1161" s="2073" t="str">
        <f t="shared" si="84"/>
        <v/>
      </c>
      <c r="O1161" s="485"/>
      <c r="P1161" s="1137"/>
      <c r="Q1161" s="1137"/>
      <c r="R1161" s="1137"/>
      <c r="S1161" s="1137"/>
      <c r="T1161" s="1137"/>
      <c r="U1161" s="1137"/>
      <c r="V1161" s="1137"/>
    </row>
    <row r="1162" spans="1:22" s="562" customFormat="1" ht="12.75" hidden="1" customHeight="1">
      <c r="A1162" s="719" t="s">
        <v>2289</v>
      </c>
      <c r="B1162" s="485"/>
      <c r="C1162" s="559"/>
      <c r="D1162" s="706"/>
      <c r="E1162" s="723" t="s">
        <v>1390</v>
      </c>
      <c r="F1162" s="723"/>
      <c r="G1162" s="723"/>
      <c r="H1162" s="724" t="str">
        <f>EUconst_EUA</f>
        <v>UKA</v>
      </c>
      <c r="I1162" s="725"/>
      <c r="J1162" s="2139" t="str">
        <f t="shared" si="84"/>
        <v/>
      </c>
      <c r="K1162" s="2072" t="str">
        <f t="shared" si="84"/>
        <v/>
      </c>
      <c r="L1162" s="2073" t="str">
        <f t="shared" si="84"/>
        <v/>
      </c>
      <c r="M1162" s="2073" t="str">
        <f t="shared" si="84"/>
        <v/>
      </c>
      <c r="N1162" s="2073" t="str">
        <f t="shared" si="84"/>
        <v/>
      </c>
      <c r="O1162" s="485"/>
      <c r="P1162" s="1137"/>
      <c r="Q1162" s="1137"/>
      <c r="R1162" s="1137"/>
      <c r="S1162" s="1137"/>
      <c r="T1162" s="1137"/>
      <c r="U1162" s="1137"/>
      <c r="V1162" s="1137"/>
    </row>
    <row r="1163" spans="1:22" s="562" customFormat="1" ht="12.75" hidden="1" customHeight="1">
      <c r="A1163" s="719" t="s">
        <v>2289</v>
      </c>
      <c r="B1163" s="485"/>
      <c r="C1163" s="559"/>
      <c r="D1163" s="706"/>
      <c r="E1163" s="723" t="s">
        <v>1389</v>
      </c>
      <c r="F1163" s="723"/>
      <c r="G1163" s="723"/>
      <c r="H1163" s="726" t="s">
        <v>1021</v>
      </c>
      <c r="I1163" s="725"/>
      <c r="J1163" s="2140" t="str">
        <f t="shared" si="84"/>
        <v/>
      </c>
      <c r="K1163" s="2141" t="str">
        <f t="shared" si="84"/>
        <v/>
      </c>
      <c r="L1163" s="2142" t="str">
        <f t="shared" si="84"/>
        <v/>
      </c>
      <c r="M1163" s="2142" t="str">
        <f t="shared" si="84"/>
        <v/>
      </c>
      <c r="N1163" s="2142" t="str">
        <f t="shared" si="84"/>
        <v/>
      </c>
      <c r="O1163" s="485"/>
      <c r="P1163" s="1137"/>
      <c r="Q1163" s="1137"/>
      <c r="R1163" s="1137"/>
      <c r="S1163" s="1137"/>
      <c r="T1163" s="1137"/>
      <c r="U1163" s="1137"/>
      <c r="V1163" s="1137"/>
    </row>
    <row r="1164" spans="1:22" s="562" customFormat="1" ht="12.75" hidden="1" customHeight="1">
      <c r="A1164" s="719" t="s">
        <v>2289</v>
      </c>
      <c r="B1164" s="485"/>
      <c r="C1164" s="559"/>
      <c r="D1164" s="706"/>
      <c r="E1164" s="727" t="s">
        <v>1391</v>
      </c>
      <c r="F1164" s="727"/>
      <c r="G1164" s="727"/>
      <c r="H1164" s="728" t="s">
        <v>1021</v>
      </c>
      <c r="I1164" s="729"/>
      <c r="J1164" s="2143" t="str">
        <f t="shared" si="84"/>
        <v/>
      </c>
      <c r="K1164" s="2141" t="str">
        <f t="shared" si="84"/>
        <v/>
      </c>
      <c r="L1164" s="2142" t="str">
        <f t="shared" si="84"/>
        <v/>
      </c>
      <c r="M1164" s="2142" t="str">
        <f t="shared" si="84"/>
        <v/>
      </c>
      <c r="N1164" s="2142" t="str">
        <f t="shared" si="84"/>
        <v/>
      </c>
      <c r="O1164" s="485"/>
      <c r="P1164" s="1137"/>
      <c r="Q1164" s="1137"/>
      <c r="R1164" s="1137"/>
      <c r="S1164" s="1137"/>
      <c r="T1164" s="1137"/>
      <c r="U1164" s="1137"/>
      <c r="V1164" s="1137"/>
    </row>
    <row r="1165" spans="1:22" s="562" customFormat="1" ht="12.75" customHeight="1">
      <c r="A1165" s="719"/>
      <c r="B1165" s="485"/>
      <c r="C1165" s="559"/>
      <c r="D1165" s="706"/>
      <c r="E1165" s="698" t="s">
        <v>1671</v>
      </c>
      <c r="F1165" s="698"/>
      <c r="G1165" s="698"/>
      <c r="H1165" s="730" t="str">
        <f>EUconst_EUA</f>
        <v>UKA</v>
      </c>
      <c r="I1165" s="731"/>
      <c r="J1165" s="2129" t="str">
        <f>IF($I1133="","",MAX(0,ROUND((SUM($M1136)*SUM(J1159)*SUM(J1163)*SUM(J1164)-SUM(J1160)-SUM(J1161)+SUM(J1162))*IF($H1136=TRUE,1,J$2517),0)))</f>
        <v/>
      </c>
      <c r="K1165" s="2072" t="str">
        <f>IF($I1133="","",MAX(0,ROUND((SUM($M1136)*SUM(K1159)*SUM(K1163)*SUM(K1164)-SUM(K1160)-SUM(K1161)+SUM(K1162))*IF($H1136=TRUE,1,K$2517),0)))</f>
        <v/>
      </c>
      <c r="L1165" s="2073" t="str">
        <f>IF($I1133="","",MAX(0,ROUND((SUM($M1136)*SUM(L1159)*SUM(L1163)*SUM(L1164)-SUM(L1160)-SUM(L1161)+SUM(L1162))*IF($H1136=TRUE,1,L$2517),0)))</f>
        <v/>
      </c>
      <c r="M1165" s="2073" t="str">
        <f>IF($I1133="","",MAX(0,ROUND((SUM($M1136)*SUM(M1159)*SUM(M1163)*SUM(M1164)-SUM(M1160)-SUM(M1161)+SUM(M1162))*IF($H1136=TRUE,1,M$2517),0)))</f>
        <v/>
      </c>
      <c r="N1165" s="2073" t="str">
        <f>IF($I1133="","",MAX(0,ROUND((SUM($M1136)*SUM(N1159)*SUM(N1163)*SUM(N1164)-SUM(N1160)-SUM(N1161)+SUM(N1162))*IF($H1136=TRUE,1,N$2517),0)))</f>
        <v/>
      </c>
      <c r="O1165" s="485"/>
      <c r="P1165" s="1137"/>
      <c r="Q1165" s="1137"/>
      <c r="R1165" s="1137"/>
      <c r="S1165" s="1137"/>
      <c r="T1165" s="1137"/>
      <c r="U1165" s="1137"/>
      <c r="V1165" s="1137"/>
    </row>
    <row r="1166" spans="1:22" s="562" customFormat="1" ht="12.75" customHeight="1">
      <c r="A1166" s="719"/>
      <c r="B1166" s="485"/>
      <c r="C1166" s="559"/>
      <c r="D1166" s="706"/>
      <c r="E1166" s="698" t="s">
        <v>1670</v>
      </c>
      <c r="F1166" s="698"/>
      <c r="G1166" s="698"/>
      <c r="H1166" s="730" t="str">
        <f>EUconst_EUA</f>
        <v>UKA</v>
      </c>
      <c r="I1166" s="731"/>
      <c r="J1166" s="2129" t="str">
        <f>IF($I1133="","",ABS(SUM(J1165)-SUM(J1153)))</f>
        <v/>
      </c>
      <c r="K1166" s="2072" t="str">
        <f>IF($I1133="","",ABS(SUM(K1165)-SUM(K1153)))</f>
        <v/>
      </c>
      <c r="L1166" s="2073" t="str">
        <f>IF($I1133="","",ABS(SUM(L1165)-SUM(L1153)))</f>
        <v/>
      </c>
      <c r="M1166" s="2073" t="str">
        <f>IF($I1133="","",ABS(SUM(M1165)-SUM(M1153)))</f>
        <v/>
      </c>
      <c r="N1166" s="2073" t="str">
        <f>IF($I1133="","",ABS(SUM(N1165)-SUM(N1153)))</f>
        <v/>
      </c>
      <c r="O1166" s="485"/>
      <c r="P1166" s="1137"/>
      <c r="Q1166" s="1137"/>
      <c r="R1166" s="1137"/>
      <c r="S1166" s="1137"/>
      <c r="T1166" s="1137"/>
      <c r="U1166" s="1137"/>
      <c r="V1166" s="1137"/>
    </row>
    <row r="1167" spans="1:22" s="562" customFormat="1" ht="12.75" customHeight="1">
      <c r="A1167" s="719"/>
      <c r="B1167" s="485"/>
      <c r="C1167" s="559"/>
      <c r="D1167" s="706"/>
      <c r="E1167" s="740" t="s">
        <v>2130</v>
      </c>
      <c r="F1167" s="740"/>
      <c r="G1167" s="740"/>
      <c r="H1167" s="741" t="s">
        <v>1021</v>
      </c>
      <c r="I1167" s="742"/>
      <c r="J1167" s="2147" t="str">
        <f>IF($I1133="","",J1166&gt;=100)</f>
        <v/>
      </c>
      <c r="K1167" s="2134" t="str">
        <f>IF($I1133="","",K1166&gt;=100)</f>
        <v/>
      </c>
      <c r="L1167" s="2135" t="str">
        <f>IF($I1133="","",L1166&gt;=100)</f>
        <v/>
      </c>
      <c r="M1167" s="2135" t="str">
        <f>IF($I1133="","",M1166&gt;=100)</f>
        <v/>
      </c>
      <c r="N1167" s="2135" t="str">
        <f>IF($I1133="","",N1166&gt;=100)</f>
        <v/>
      </c>
      <c r="O1167" s="485"/>
      <c r="P1167" s="1158" t="str">
        <f>EUconst_CNTR_100EUA_ActivityLevel&amp;I1133</f>
        <v>EUA100AL_</v>
      </c>
      <c r="Q1167" s="1137"/>
      <c r="R1167" s="1137"/>
      <c r="S1167" s="1137"/>
      <c r="T1167" s="1137"/>
      <c r="U1167" s="1137"/>
      <c r="V1167" s="1137"/>
    </row>
    <row r="1168" spans="1:22" s="562" customFormat="1" ht="5.0999999999999996" customHeight="1">
      <c r="A1168" s="719"/>
      <c r="B1168" s="485"/>
      <c r="C1168" s="559"/>
      <c r="D1168" s="706"/>
      <c r="E1168" s="485"/>
      <c r="F1168" s="485"/>
      <c r="G1168" s="485"/>
      <c r="H1168" s="485"/>
      <c r="I1168" s="743"/>
      <c r="J1168" s="485"/>
      <c r="K1168" s="1790"/>
      <c r="L1168" s="1791"/>
      <c r="M1168" s="1791"/>
      <c r="N1168" s="1791"/>
      <c r="O1168" s="485"/>
      <c r="P1168" s="1137"/>
      <c r="Q1168" s="1137"/>
      <c r="R1168" s="1137"/>
      <c r="S1168" s="1137"/>
      <c r="T1168" s="1137"/>
      <c r="U1168" s="1137"/>
      <c r="V1168" s="1137"/>
    </row>
    <row r="1169" spans="1:22" s="562" customFormat="1" ht="12.75" customHeight="1">
      <c r="A1169" s="719"/>
      <c r="B1169" s="485"/>
      <c r="C1169" s="559"/>
      <c r="D1169" s="706"/>
      <c r="E1169" s="707" t="s">
        <v>1753</v>
      </c>
      <c r="F1169" s="637"/>
      <c r="G1169" s="637"/>
      <c r="H1169" s="663" t="str">
        <f>EUconst_Unit</f>
        <v>Unit</v>
      </c>
      <c r="I1169" s="708"/>
      <c r="J1169" s="2132">
        <f>J$2737</f>
        <v>2026</v>
      </c>
      <c r="K1169" s="1489">
        <f>K$2737</f>
        <v>2027</v>
      </c>
      <c r="L1169" s="1490">
        <f>L$2737</f>
        <v>2028</v>
      </c>
      <c r="M1169" s="1490">
        <f>M$2737</f>
        <v>2029</v>
      </c>
      <c r="N1169" s="1490">
        <f>N$2737</f>
        <v>2030</v>
      </c>
      <c r="O1169" s="485"/>
      <c r="P1169" s="1137"/>
      <c r="Q1169" s="1137"/>
      <c r="R1169" s="1137"/>
      <c r="S1169" s="1137"/>
      <c r="T1169" s="1137"/>
      <c r="U1169" s="1137"/>
      <c r="V1169" s="1137"/>
    </row>
    <row r="1170" spans="1:22" s="562" customFormat="1" ht="12.75" hidden="1" customHeight="1">
      <c r="A1170" s="719" t="s">
        <v>2289</v>
      </c>
      <c r="B1170" s="485"/>
      <c r="C1170" s="559"/>
      <c r="D1170" s="706"/>
      <c r="E1170" s="698" t="s">
        <v>1714</v>
      </c>
      <c r="F1170" s="698"/>
      <c r="G1170" s="698"/>
      <c r="H1170" s="639" t="str">
        <f>H1159</f>
        <v>tonnes</v>
      </c>
      <c r="I1170" s="698"/>
      <c r="J1170" s="2137" t="str">
        <f t="shared" ref="J1170:N1173" si="85">I1242</f>
        <v/>
      </c>
      <c r="K1170" s="2072" t="str">
        <f t="shared" si="85"/>
        <v/>
      </c>
      <c r="L1170" s="2073" t="str">
        <f t="shared" si="85"/>
        <v/>
      </c>
      <c r="M1170" s="2073" t="str">
        <f t="shared" si="85"/>
        <v/>
      </c>
      <c r="N1170" s="2073" t="str">
        <f t="shared" si="85"/>
        <v/>
      </c>
      <c r="O1170" s="485"/>
      <c r="P1170" s="1137"/>
      <c r="Q1170" s="1137"/>
      <c r="R1170" s="1137"/>
      <c r="S1170" s="1137"/>
      <c r="T1170" s="1137"/>
      <c r="U1170" s="1137"/>
      <c r="V1170" s="1137"/>
    </row>
    <row r="1171" spans="1:22" s="562" customFormat="1" ht="12.75" hidden="1" customHeight="1">
      <c r="A1171" s="719" t="s">
        <v>2289</v>
      </c>
      <c r="B1171" s="485"/>
      <c r="C1171" s="559"/>
      <c r="D1171" s="706"/>
      <c r="E1171" s="720" t="s">
        <v>303</v>
      </c>
      <c r="F1171" s="720"/>
      <c r="G1171" s="720"/>
      <c r="H1171" s="721" t="str">
        <f>EUconst_EUA</f>
        <v>UKA</v>
      </c>
      <c r="I1171" s="722"/>
      <c r="J1171" s="2138" t="str">
        <f t="shared" si="85"/>
        <v/>
      </c>
      <c r="K1171" s="2072" t="str">
        <f t="shared" si="85"/>
        <v/>
      </c>
      <c r="L1171" s="2073" t="str">
        <f t="shared" si="85"/>
        <v/>
      </c>
      <c r="M1171" s="2073" t="str">
        <f t="shared" si="85"/>
        <v/>
      </c>
      <c r="N1171" s="2073" t="str">
        <f t="shared" si="85"/>
        <v/>
      </c>
      <c r="O1171" s="485"/>
      <c r="P1171" s="1137"/>
      <c r="Q1171" s="1137"/>
      <c r="R1171" s="1137"/>
      <c r="S1171" s="1137"/>
      <c r="T1171" s="1137"/>
      <c r="U1171" s="1137"/>
      <c r="V1171" s="1137"/>
    </row>
    <row r="1172" spans="1:22" s="562" customFormat="1" ht="12.75" hidden="1" customHeight="1">
      <c r="A1172" s="719" t="s">
        <v>2289</v>
      </c>
      <c r="B1172" s="485"/>
      <c r="C1172" s="559"/>
      <c r="D1172" s="706"/>
      <c r="E1172" s="723" t="s">
        <v>1422</v>
      </c>
      <c r="F1172" s="723"/>
      <c r="G1172" s="723"/>
      <c r="H1172" s="724" t="str">
        <f>EUconst_EUA</f>
        <v>UKA</v>
      </c>
      <c r="I1172" s="725"/>
      <c r="J1172" s="2139" t="str">
        <f t="shared" si="85"/>
        <v/>
      </c>
      <c r="K1172" s="2072" t="str">
        <f t="shared" si="85"/>
        <v/>
      </c>
      <c r="L1172" s="2073" t="str">
        <f t="shared" si="85"/>
        <v/>
      </c>
      <c r="M1172" s="2073" t="str">
        <f t="shared" si="85"/>
        <v/>
      </c>
      <c r="N1172" s="2073" t="str">
        <f t="shared" si="85"/>
        <v/>
      </c>
      <c r="O1172" s="485"/>
      <c r="P1172" s="1137"/>
      <c r="Q1172" s="1137"/>
      <c r="R1172" s="1137"/>
      <c r="S1172" s="1137"/>
      <c r="T1172" s="1137"/>
      <c r="U1172" s="1137"/>
      <c r="V1172" s="1137"/>
    </row>
    <row r="1173" spans="1:22" s="562" customFormat="1" ht="12.75" hidden="1" customHeight="1">
      <c r="A1173" s="719" t="s">
        <v>2289</v>
      </c>
      <c r="B1173" s="485"/>
      <c r="C1173" s="559"/>
      <c r="D1173" s="706"/>
      <c r="E1173" s="745" t="s">
        <v>1390</v>
      </c>
      <c r="F1173" s="745"/>
      <c r="G1173" s="745"/>
      <c r="H1173" s="746" t="str">
        <f>EUconst_EUA</f>
        <v>UKA</v>
      </c>
      <c r="I1173" s="747"/>
      <c r="J1173" s="2148" t="str">
        <f t="shared" si="85"/>
        <v/>
      </c>
      <c r="K1173" s="2072" t="str">
        <f t="shared" si="85"/>
        <v/>
      </c>
      <c r="L1173" s="2073" t="str">
        <f t="shared" si="85"/>
        <v/>
      </c>
      <c r="M1173" s="2073" t="str">
        <f t="shared" si="85"/>
        <v/>
      </c>
      <c r="N1173" s="2073" t="str">
        <f t="shared" si="85"/>
        <v/>
      </c>
      <c r="O1173" s="485"/>
      <c r="P1173" s="1137"/>
      <c r="Q1173" s="1137"/>
      <c r="R1173" s="1137"/>
      <c r="S1173" s="1137"/>
      <c r="T1173" s="1137"/>
      <c r="U1173" s="1137"/>
      <c r="V1173" s="1137"/>
    </row>
    <row r="1174" spans="1:22" s="562" customFormat="1" ht="12.75" customHeight="1">
      <c r="A1174" s="719"/>
      <c r="B1174" s="485"/>
      <c r="C1174" s="559"/>
      <c r="D1174" s="706"/>
      <c r="E1174" s="720" t="s">
        <v>1691</v>
      </c>
      <c r="F1174" s="720"/>
      <c r="G1174" s="720"/>
      <c r="H1174" s="748" t="s">
        <v>1021</v>
      </c>
      <c r="I1174" s="722"/>
      <c r="J1174" s="2149" t="str">
        <f>INDEX(F_ProductBM!J:J,MATCH($P1174,F_ProductBM!$Q:$Q,0))</f>
        <v/>
      </c>
      <c r="K1174" s="2141" t="str">
        <f>INDEX(F_ProductBM!K:K,MATCH($P1174,F_ProductBM!$Q:$Q,0))</f>
        <v/>
      </c>
      <c r="L1174" s="2142" t="str">
        <f>INDEX(F_ProductBM!L:L,MATCH($P1174,F_ProductBM!$Q:$Q,0))</f>
        <v/>
      </c>
      <c r="M1174" s="2142" t="str">
        <f>INDEX(F_ProductBM!M:M,MATCH($P1174,F_ProductBM!$Q:$Q,0))</f>
        <v/>
      </c>
      <c r="N1174" s="2142" t="str">
        <f>INDEX(F_ProductBM!N:N,MATCH($P1174,F_ProductBM!$Q:$Q,0))</f>
        <v/>
      </c>
      <c r="O1174" s="485"/>
      <c r="P1174" s="1158" t="str">
        <f>EUconst_CNTR_HAL &amp; EUconst_CNTR_ELEXCHInitial &amp; I1133</f>
        <v>HAL_ELEXCHIni_</v>
      </c>
      <c r="Q1174" s="1137"/>
      <c r="R1174" s="1137"/>
      <c r="S1174" s="1137"/>
      <c r="T1174" s="1137"/>
      <c r="U1174" s="1137"/>
      <c r="V1174" s="1137"/>
    </row>
    <row r="1175" spans="1:22" s="562" customFormat="1" ht="12.75" customHeight="1">
      <c r="A1175" s="719"/>
      <c r="B1175" s="485"/>
      <c r="C1175" s="559"/>
      <c r="D1175" s="706"/>
      <c r="E1175" s="723" t="s">
        <v>2232</v>
      </c>
      <c r="F1175" s="723"/>
      <c r="G1175" s="723"/>
      <c r="H1175" s="734" t="s">
        <v>1021</v>
      </c>
      <c r="I1175" s="735"/>
      <c r="J1175" s="23" t="str">
        <f>INDEX(F_ProductBM!J:J,MATCH($P1175,F_ProductBM!$Q:$Q,0))</f>
        <v/>
      </c>
      <c r="K1175" s="46" t="str">
        <f>INDEX(F_ProductBM!K:K,MATCH($P1175,F_ProductBM!$Q:$Q,0))</f>
        <v/>
      </c>
      <c r="L1175" s="27" t="str">
        <f>INDEX(F_ProductBM!L:L,MATCH($P1175,F_ProductBM!$Q:$Q,0))</f>
        <v/>
      </c>
      <c r="M1175" s="27" t="str">
        <f>INDEX(F_ProductBM!M:M,MATCH($P1175,F_ProductBM!$Q:$Q,0))</f>
        <v/>
      </c>
      <c r="N1175" s="27" t="str">
        <f>INDEX(F_ProductBM!N:N,MATCH($P1175,F_ProductBM!$Q:$Q,0))</f>
        <v/>
      </c>
      <c r="O1175" s="485"/>
      <c r="P1175" s="1158" t="str">
        <f>EUconst_CNTR_RelThreshold &amp; P1177</f>
        <v>RelThresh_HALprelim_ELEXCH_</v>
      </c>
      <c r="Q1175" s="1137"/>
      <c r="R1175" s="1137"/>
      <c r="S1175" s="1137"/>
      <c r="T1175" s="1137"/>
      <c r="U1175" s="1137"/>
      <c r="V1175" s="1137"/>
    </row>
    <row r="1176" spans="1:22" s="562" customFormat="1" ht="12.75" customHeight="1">
      <c r="A1176" s="719"/>
      <c r="B1176" s="485"/>
      <c r="C1176" s="559"/>
      <c r="D1176" s="706"/>
      <c r="E1176" s="736" t="s">
        <v>1852</v>
      </c>
      <c r="F1176" s="736"/>
      <c r="G1176" s="736"/>
      <c r="H1176" s="737" t="s">
        <v>1021</v>
      </c>
      <c r="I1176" s="738"/>
      <c r="J1176" s="2145" t="str">
        <f>INDEX(F_ProductBM!V:V,MATCH($P1176,F_ProductBM!$Q:$Q,0))</f>
        <v/>
      </c>
      <c r="K1176" s="2134" t="str">
        <f>INDEX(F_ProductBM!W:W,MATCH($P1176,F_ProductBM!$Q:$Q,0))</f>
        <v/>
      </c>
      <c r="L1176" s="2135" t="str">
        <f>INDEX(F_ProductBM!X:X,MATCH($P1176,F_ProductBM!$Q:$Q,0))</f>
        <v/>
      </c>
      <c r="M1176" s="2135" t="str">
        <f>INDEX(F_ProductBM!Y:Y,MATCH($P1176,F_ProductBM!$Q:$Q,0))</f>
        <v/>
      </c>
      <c r="N1176" s="2135" t="str">
        <f>INDEX(F_ProductBM!Z:Z,MATCH($P1176,F_ProductBM!$Q:$Q,0))</f>
        <v/>
      </c>
      <c r="O1176" s="485"/>
      <c r="P1176" s="1158" t="str">
        <f>P1175</f>
        <v>RelThresh_HALprelim_ELEXCH_</v>
      </c>
      <c r="Q1176" s="1137"/>
      <c r="R1176" s="1137"/>
      <c r="S1176" s="1137"/>
      <c r="T1176" s="1137"/>
      <c r="U1176" s="1137"/>
      <c r="V1176" s="1137"/>
    </row>
    <row r="1177" spans="1:22" s="562" customFormat="1" ht="12.75" customHeight="1">
      <c r="A1177" s="719"/>
      <c r="B1177" s="485"/>
      <c r="C1177" s="559"/>
      <c r="D1177" s="706"/>
      <c r="E1177" s="727" t="s">
        <v>1689</v>
      </c>
      <c r="F1177" s="727"/>
      <c r="G1177" s="727"/>
      <c r="H1177" s="749" t="s">
        <v>1021</v>
      </c>
      <c r="I1177" s="727"/>
      <c r="J1177" s="2150" t="str">
        <f>IF($I1136=TRUE,INDEX(F_ProductBM!J:J,MATCH($P1177,F_ProductBM!$Q:$Q,0)),"")</f>
        <v/>
      </c>
      <c r="K1177" s="2141" t="str">
        <f>IF($I1136=TRUE,INDEX(F_ProductBM!K:K,MATCH($P1177,F_ProductBM!$Q:$Q,0)),"")</f>
        <v/>
      </c>
      <c r="L1177" s="2142" t="str">
        <f>IF($I1136=TRUE,INDEX(F_ProductBM!L:L,MATCH($P1177,F_ProductBM!$Q:$Q,0)),"")</f>
        <v/>
      </c>
      <c r="M1177" s="2142" t="str">
        <f>IF($I1136=TRUE,INDEX(F_ProductBM!M:M,MATCH($P1177,F_ProductBM!$Q:$Q,0)),"")</f>
        <v/>
      </c>
      <c r="N1177" s="2142" t="str">
        <f>IF($I1136=TRUE,INDEX(F_ProductBM!N:N,MATCH($P1177,F_ProductBM!$Q:$Q,0)),"")</f>
        <v/>
      </c>
      <c r="O1177" s="485"/>
      <c r="P1177" s="1158" t="str">
        <f>EUconst_CNTR_HALprelim&amp;EUconst_CNTR_ELEXCH&amp;$I1133</f>
        <v>HALprelim_ELEXCH_</v>
      </c>
      <c r="Q1177" s="1137"/>
      <c r="R1177" s="1137"/>
      <c r="S1177" s="1137"/>
      <c r="T1177" s="1137"/>
      <c r="U1177" s="1137"/>
      <c r="V1177" s="1137"/>
    </row>
    <row r="1178" spans="1:22" s="562" customFormat="1" ht="12.75" hidden="1" customHeight="1">
      <c r="A1178" s="719" t="s">
        <v>2289</v>
      </c>
      <c r="B1178" s="485"/>
      <c r="C1178" s="559"/>
      <c r="D1178" s="706"/>
      <c r="E1178" s="727" t="s">
        <v>1391</v>
      </c>
      <c r="F1178" s="727"/>
      <c r="G1178" s="727"/>
      <c r="H1178" s="750" t="s">
        <v>1021</v>
      </c>
      <c r="I1178" s="729"/>
      <c r="J1178" s="2143" t="str">
        <f>I1247</f>
        <v/>
      </c>
      <c r="K1178" s="2141" t="str">
        <f>J1247</f>
        <v/>
      </c>
      <c r="L1178" s="2142" t="str">
        <f>K1247</f>
        <v/>
      </c>
      <c r="M1178" s="2142" t="str">
        <f>L1247</f>
        <v/>
      </c>
      <c r="N1178" s="2142" t="str">
        <f>M1247</f>
        <v/>
      </c>
      <c r="O1178" s="485"/>
      <c r="P1178" s="1137"/>
      <c r="Q1178" s="1137"/>
      <c r="R1178" s="1137"/>
      <c r="S1178" s="1137"/>
      <c r="T1178" s="1137"/>
      <c r="U1178" s="1137"/>
      <c r="V1178" s="1137"/>
    </row>
    <row r="1179" spans="1:22" s="562" customFormat="1" ht="12.75" customHeight="1">
      <c r="A1179" s="719"/>
      <c r="B1179" s="485"/>
      <c r="C1179" s="559"/>
      <c r="D1179" s="706"/>
      <c r="E1179" s="698" t="s">
        <v>1671</v>
      </c>
      <c r="F1179" s="698"/>
      <c r="G1179" s="698"/>
      <c r="H1179" s="730" t="str">
        <f>EUconst_EUA</f>
        <v>UKA</v>
      </c>
      <c r="I1179" s="731"/>
      <c r="J1179" s="2129" t="str">
        <f>IF($I1136=TRUE,MAX(0,ROUND((SUM($M1136)*SUM(J1170)*SUM(J1177)*SUM(J1178)-SUM(J1171)-SUM(J1172)+SUM(J1173))*IF($H1136=TRUE,1,J$2517),0)),"")</f>
        <v/>
      </c>
      <c r="K1179" s="2072" t="str">
        <f>IF($I1136=TRUE,MAX(0,ROUND((SUM($M1136)*SUM(K1170)*SUM(K1177)*SUM(K1178)-SUM(K1171)-SUM(K1172)+SUM(K1173))*IF($H1136=TRUE,1,K$2517),0)),"")</f>
        <v/>
      </c>
      <c r="L1179" s="2073" t="str">
        <f>IF($I1136=TRUE,MAX(0,ROUND((SUM($M1136)*SUM(L1170)*SUM(L1177)*SUM(L1178)-SUM(L1171)-SUM(L1172)+SUM(L1173))*IF($H1136=TRUE,1,L$2517),0)),"")</f>
        <v/>
      </c>
      <c r="M1179" s="2073" t="str">
        <f>IF($I1136=TRUE,MAX(0,ROUND((SUM($M1136)*SUM(M1170)*SUM(M1177)*SUM(M1178)-SUM(M1171)-SUM(M1172)+SUM(M1173))*IF($H1136=TRUE,1,M$2517),0)),"")</f>
        <v/>
      </c>
      <c r="N1179" s="2073" t="str">
        <f>IF($I1136=TRUE,MAX(0,ROUND((SUM($M1136)*SUM(N1170)*SUM(N1177)*SUM(N1178)-SUM(N1171)-SUM(N1172)+SUM(N1173))*IF($H1136=TRUE,1,N$2517),0)),"")</f>
        <v/>
      </c>
      <c r="O1179" s="485"/>
      <c r="P1179" s="1137"/>
      <c r="Q1179" s="1137"/>
      <c r="R1179" s="1137"/>
      <c r="S1179" s="1137"/>
      <c r="T1179" s="1137"/>
      <c r="U1179" s="1137"/>
      <c r="V1179" s="1137"/>
    </row>
    <row r="1180" spans="1:22" s="562" customFormat="1" ht="12.75" customHeight="1">
      <c r="A1180" s="719"/>
      <c r="B1180" s="485"/>
      <c r="C1180" s="559"/>
      <c r="D1180" s="706"/>
      <c r="E1180" s="698" t="s">
        <v>1670</v>
      </c>
      <c r="F1180" s="698"/>
      <c r="G1180" s="698"/>
      <c r="H1180" s="730" t="str">
        <f>EUconst_EUA</f>
        <v>UKA</v>
      </c>
      <c r="I1180" s="731"/>
      <c r="J1180" s="2129" t="str">
        <f>IF($I1136=TRUE,ABS(SUM(J1179)-SUM(J1153)),"")</f>
        <v/>
      </c>
      <c r="K1180" s="2072" t="str">
        <f>IF($I1136=TRUE,ABS(SUM(K1179)-SUM(K1153)),"")</f>
        <v/>
      </c>
      <c r="L1180" s="2073" t="str">
        <f>IF($I1136=TRUE,ABS(SUM(L1179)-SUM(L1153)),"")</f>
        <v/>
      </c>
      <c r="M1180" s="2073" t="str">
        <f>IF($I1136=TRUE,ABS(SUM(M1179)-SUM(M1153)),"")</f>
        <v/>
      </c>
      <c r="N1180" s="2073" t="str">
        <f>IF($I1136=TRUE,ABS(SUM(N1179)-SUM(N1153)),"")</f>
        <v/>
      </c>
      <c r="O1180" s="485"/>
      <c r="P1180" s="1137"/>
      <c r="Q1180" s="1137"/>
      <c r="R1180" s="1137"/>
      <c r="S1180" s="1137"/>
      <c r="T1180" s="1137"/>
      <c r="U1180" s="1137"/>
      <c r="V1180" s="1137"/>
    </row>
    <row r="1181" spans="1:22" s="562" customFormat="1" ht="12.75" customHeight="1">
      <c r="A1181" s="719"/>
      <c r="B1181" s="485"/>
      <c r="C1181" s="559"/>
      <c r="D1181" s="706"/>
      <c r="E1181" s="740" t="s">
        <v>2131</v>
      </c>
      <c r="F1181" s="740"/>
      <c r="G1181" s="740"/>
      <c r="H1181" s="741" t="s">
        <v>1021</v>
      </c>
      <c r="I1181" s="742"/>
      <c r="J1181" s="2147" t="str">
        <f>IF($I1136=TRUE,J1180&gt;=100,"")</f>
        <v/>
      </c>
      <c r="K1181" s="2134" t="str">
        <f>IF($I1136=TRUE,K1180&gt;=100,"")</f>
        <v/>
      </c>
      <c r="L1181" s="2135" t="str">
        <f>IF($I1136=TRUE,L1180&gt;=100,"")</f>
        <v/>
      </c>
      <c r="M1181" s="2135" t="str">
        <f>IF($I1136=TRUE,M1180&gt;=100,"")</f>
        <v/>
      </c>
      <c r="N1181" s="2135" t="str">
        <f>IF($I1136=TRUE,N1180&gt;=100,"")</f>
        <v/>
      </c>
      <c r="O1181" s="485"/>
      <c r="P1181" s="1158" t="str">
        <f>EUconst_CNTR_100EUA_ElExch&amp;I1133</f>
        <v>EUA100ElExch_</v>
      </c>
      <c r="Q1181" s="1137"/>
      <c r="R1181" s="1137"/>
      <c r="S1181" s="1137"/>
      <c r="T1181" s="1137"/>
      <c r="U1181" s="1137"/>
      <c r="V1181" s="1137"/>
    </row>
    <row r="1182" spans="1:22" s="562" customFormat="1" ht="5.0999999999999996" customHeight="1">
      <c r="A1182" s="719"/>
      <c r="B1182" s="485"/>
      <c r="C1182" s="559"/>
      <c r="D1182" s="706"/>
      <c r="E1182" s="485"/>
      <c r="F1182" s="485"/>
      <c r="G1182" s="485"/>
      <c r="H1182" s="485"/>
      <c r="I1182" s="743"/>
      <c r="J1182" s="485"/>
      <c r="K1182" s="1790"/>
      <c r="L1182" s="1791"/>
      <c r="M1182" s="1791"/>
      <c r="N1182" s="1791"/>
      <c r="O1182" s="485"/>
      <c r="P1182" s="1137"/>
      <c r="Q1182" s="1137"/>
      <c r="R1182" s="1137"/>
      <c r="S1182" s="1137"/>
      <c r="T1182" s="1137"/>
      <c r="U1182" s="1137"/>
      <c r="V1182" s="1137"/>
    </row>
    <row r="1183" spans="1:22" s="562" customFormat="1" ht="12.75" customHeight="1">
      <c r="A1183" s="719"/>
      <c r="B1183" s="485"/>
      <c r="C1183" s="559"/>
      <c r="D1183" s="706"/>
      <c r="E1183" s="707" t="s">
        <v>1754</v>
      </c>
      <c r="F1183" s="637"/>
      <c r="G1183" s="637"/>
      <c r="H1183" s="663" t="str">
        <f>EUconst_Unit</f>
        <v>Unit</v>
      </c>
      <c r="I1183" s="708"/>
      <c r="J1183" s="2132">
        <f>J$2737</f>
        <v>2026</v>
      </c>
      <c r="K1183" s="1489">
        <f>K$2737</f>
        <v>2027</v>
      </c>
      <c r="L1183" s="1490">
        <f>L$2737</f>
        <v>2028</v>
      </c>
      <c r="M1183" s="1490">
        <f>M$2737</f>
        <v>2029</v>
      </c>
      <c r="N1183" s="1490">
        <f>N$2737</f>
        <v>2030</v>
      </c>
      <c r="O1183" s="485"/>
      <c r="P1183" s="1137"/>
      <c r="Q1183" s="1137"/>
      <c r="R1183" s="1137"/>
      <c r="S1183" s="1137"/>
      <c r="T1183" s="1137"/>
      <c r="U1183" s="1137"/>
      <c r="V1183" s="1137"/>
    </row>
    <row r="1184" spans="1:22" s="562" customFormat="1" ht="12.75" hidden="1" customHeight="1">
      <c r="A1184" s="719" t="s">
        <v>2289</v>
      </c>
      <c r="B1184" s="485"/>
      <c r="C1184" s="559"/>
      <c r="D1184" s="706"/>
      <c r="E1184" s="698" t="s">
        <v>1714</v>
      </c>
      <c r="F1184" s="698"/>
      <c r="G1184" s="698"/>
      <c r="H1184" s="639" t="str">
        <f>H1170</f>
        <v>tonnes</v>
      </c>
      <c r="I1184" s="698"/>
      <c r="J1184" s="2137" t="str">
        <f>I1242</f>
        <v/>
      </c>
      <c r="K1184" s="2072" t="str">
        <f>J1242</f>
        <v/>
      </c>
      <c r="L1184" s="2073" t="str">
        <f>K1242</f>
        <v/>
      </c>
      <c r="M1184" s="2073" t="str">
        <f>L1242</f>
        <v/>
      </c>
      <c r="N1184" s="2073" t="str">
        <f>M1242</f>
        <v/>
      </c>
      <c r="O1184" s="485"/>
      <c r="P1184" s="1137"/>
      <c r="Q1184" s="1137"/>
      <c r="R1184" s="1137"/>
      <c r="S1184" s="1137"/>
      <c r="T1184" s="1137"/>
      <c r="U1184" s="1137"/>
      <c r="V1184" s="1137"/>
    </row>
    <row r="1185" spans="1:22" s="562" customFormat="1" ht="12.75" customHeight="1">
      <c r="A1185" s="719"/>
      <c r="B1185" s="485"/>
      <c r="C1185" s="559"/>
      <c r="D1185" s="706"/>
      <c r="E1185" s="720" t="s">
        <v>1691</v>
      </c>
      <c r="F1185" s="720"/>
      <c r="G1185" s="720"/>
      <c r="H1185" s="748" t="str">
        <f>EUconst_EUA</f>
        <v>UKA</v>
      </c>
      <c r="I1185" s="722"/>
      <c r="J1185" s="2144" t="str">
        <f>IF(R1139,SUM(INDEX(F_ProductBM!J:J,MATCH($P1185,F_ProductBM!$Q:$Q,0))),"")</f>
        <v/>
      </c>
      <c r="K1185" s="2072" t="str">
        <f>IF(S1139,SUM(INDEX(F_ProductBM!K:K,MATCH($P1185,F_ProductBM!$Q:$Q,0))),"")</f>
        <v/>
      </c>
      <c r="L1185" s="2073" t="str">
        <f>IF(T1139,SUM(INDEX(F_ProductBM!L:L,MATCH($P1185,F_ProductBM!$Q:$Q,0))),"")</f>
        <v/>
      </c>
      <c r="M1185" s="2073" t="str">
        <f>IF(U1139,SUM(INDEX(F_ProductBM!M:M,MATCH($P1185,F_ProductBM!$Q:$Q,0))),"")</f>
        <v/>
      </c>
      <c r="N1185" s="2073" t="str">
        <f>IF(V1139,SUM(INDEX(F_ProductBM!N:N,MATCH($P1185,F_ProductBM!$Q:$Q,0))),"")</f>
        <v/>
      </c>
      <c r="O1185" s="485"/>
      <c r="P1185" s="1158" t="str">
        <f>EUconst_CNTR_HEATInitial &amp; I1133</f>
        <v>HEATIni_</v>
      </c>
      <c r="Q1185" s="1137"/>
      <c r="R1185" s="1137"/>
      <c r="S1185" s="1137"/>
      <c r="T1185" s="1137"/>
      <c r="U1185" s="1137"/>
      <c r="V1185" s="1137"/>
    </row>
    <row r="1186" spans="1:22" s="562" customFormat="1" ht="12.75" customHeight="1">
      <c r="A1186" s="719"/>
      <c r="B1186" s="485"/>
      <c r="C1186" s="559"/>
      <c r="D1186" s="706"/>
      <c r="E1186" s="723" t="s">
        <v>2232</v>
      </c>
      <c r="F1186" s="723"/>
      <c r="G1186" s="723"/>
      <c r="H1186" s="734" t="s">
        <v>1021</v>
      </c>
      <c r="I1186" s="735"/>
      <c r="J1186" s="23" t="str">
        <f>INDEX(F_ProductBM!J:J,MATCH($P1186,F_ProductBM!$Q:$Q,0))</f>
        <v/>
      </c>
      <c r="K1186" s="46" t="str">
        <f>INDEX(F_ProductBM!K:K,MATCH($P1186,F_ProductBM!$Q:$Q,0))</f>
        <v/>
      </c>
      <c r="L1186" s="27" t="str">
        <f>INDEX(F_ProductBM!L:L,MATCH($P1186,F_ProductBM!$Q:$Q,0))</f>
        <v/>
      </c>
      <c r="M1186" s="27" t="str">
        <f>INDEX(F_ProductBM!M:M,MATCH($P1186,F_ProductBM!$Q:$Q,0))</f>
        <v/>
      </c>
      <c r="N1186" s="27" t="str">
        <f>INDEX(F_ProductBM!N:N,MATCH($P1186,F_ProductBM!$Q:$Q,0))</f>
        <v/>
      </c>
      <c r="O1186" s="485"/>
      <c r="P1186" s="1158" t="str">
        <f>EUconst_CNTR_RelThreshold &amp; P1188</f>
        <v>RelThresh_HEATprelim_</v>
      </c>
      <c r="Q1186" s="1137"/>
      <c r="R1186" s="1137"/>
      <c r="S1186" s="1137"/>
      <c r="T1186" s="1137"/>
      <c r="U1186" s="1137"/>
      <c r="V1186" s="1137"/>
    </row>
    <row r="1187" spans="1:22" s="562" customFormat="1" ht="12.75" customHeight="1">
      <c r="A1187" s="719"/>
      <c r="B1187" s="485"/>
      <c r="C1187" s="559"/>
      <c r="D1187" s="706"/>
      <c r="E1187" s="736" t="s">
        <v>1853</v>
      </c>
      <c r="F1187" s="736"/>
      <c r="G1187" s="736"/>
      <c r="H1187" s="737" t="s">
        <v>1021</v>
      </c>
      <c r="I1187" s="738"/>
      <c r="J1187" s="2145" t="str">
        <f>INDEX(F_ProductBM!V:V,MATCH($P1187,F_ProductBM!$Q:$Q,0))</f>
        <v/>
      </c>
      <c r="K1187" s="2134" t="str">
        <f>INDEX(F_ProductBM!W:W,MATCH($P1187,F_ProductBM!$Q:$Q,0))</f>
        <v/>
      </c>
      <c r="L1187" s="2135" t="str">
        <f>INDEX(F_ProductBM!X:X,MATCH($P1187,F_ProductBM!$Q:$Q,0))</f>
        <v/>
      </c>
      <c r="M1187" s="2135" t="str">
        <f>INDEX(F_ProductBM!Y:Y,MATCH($P1187,F_ProductBM!$Q:$Q,0))</f>
        <v/>
      </c>
      <c r="N1187" s="2135" t="str">
        <f>INDEX(F_ProductBM!Z:Z,MATCH($P1187,F_ProductBM!$Q:$Q,0))</f>
        <v/>
      </c>
      <c r="O1187" s="485"/>
      <c r="P1187" s="1158" t="str">
        <f>P1186</f>
        <v>RelThresh_HEATprelim_</v>
      </c>
      <c r="Q1187" s="1137"/>
      <c r="R1187" s="1137"/>
      <c r="S1187" s="1137"/>
      <c r="T1187" s="1137"/>
      <c r="U1187" s="1137"/>
      <c r="V1187" s="1137"/>
    </row>
    <row r="1188" spans="1:22" s="562" customFormat="1" ht="12.75" customHeight="1">
      <c r="A1188" s="719"/>
      <c r="B1188" s="485"/>
      <c r="C1188" s="559"/>
      <c r="D1188" s="706"/>
      <c r="E1188" s="727" t="s">
        <v>1689</v>
      </c>
      <c r="F1188" s="727"/>
      <c r="G1188" s="727"/>
      <c r="H1188" s="749" t="str">
        <f>EUconst_EUA</f>
        <v>UKA</v>
      </c>
      <c r="I1188" s="727"/>
      <c r="J1188" s="2146" t="str">
        <f>IF($I1133="","",INDEX(F_ProductBM!J:J,MATCH($P1188,F_ProductBM!$Q:$Q,0)))</f>
        <v/>
      </c>
      <c r="K1188" s="2072" t="str">
        <f>IF($I1133="","",INDEX(F_ProductBM!K:K,MATCH($P1188,F_ProductBM!$Q:$Q,0)))</f>
        <v/>
      </c>
      <c r="L1188" s="2073" t="str">
        <f>IF($I1133="","",INDEX(F_ProductBM!L:L,MATCH($P1188,F_ProductBM!$Q:$Q,0)))</f>
        <v/>
      </c>
      <c r="M1188" s="2073" t="str">
        <f>IF($I1133="","",INDEX(F_ProductBM!M:M,MATCH($P1188,F_ProductBM!$Q:$Q,0)))</f>
        <v/>
      </c>
      <c r="N1188" s="2073" t="str">
        <f>IF($I1133="","",INDEX(F_ProductBM!N:N,MATCH($P1188,F_ProductBM!$Q:$Q,0)))</f>
        <v/>
      </c>
      <c r="O1188" s="485"/>
      <c r="P1188" s="1158" t="str">
        <f>EUconst_CNTR_HEATprelim&amp;I1133</f>
        <v>HEATprelim_</v>
      </c>
      <c r="Q1188" s="1137"/>
      <c r="R1188" s="1137"/>
      <c r="S1188" s="1137"/>
      <c r="T1188" s="1137"/>
      <c r="U1188" s="1137"/>
      <c r="V1188" s="1137"/>
    </row>
    <row r="1189" spans="1:22" s="562" customFormat="1" ht="12.75" hidden="1" customHeight="1">
      <c r="A1189" s="719" t="s">
        <v>2289</v>
      </c>
      <c r="B1189" s="485"/>
      <c r="C1189" s="559"/>
      <c r="D1189" s="706"/>
      <c r="E1189" s="723" t="s">
        <v>1422</v>
      </c>
      <c r="F1189" s="723"/>
      <c r="G1189" s="723"/>
      <c r="H1189" s="724" t="str">
        <f>EUconst_EUA</f>
        <v>UKA</v>
      </c>
      <c r="I1189" s="725"/>
      <c r="J1189" s="2139" t="str">
        <f t="shared" ref="J1189:N1192" si="86">I1244</f>
        <v/>
      </c>
      <c r="K1189" s="2072" t="str">
        <f t="shared" si="86"/>
        <v/>
      </c>
      <c r="L1189" s="2073" t="str">
        <f t="shared" si="86"/>
        <v/>
      </c>
      <c r="M1189" s="2073" t="str">
        <f t="shared" si="86"/>
        <v/>
      </c>
      <c r="N1189" s="2073" t="str">
        <f t="shared" si="86"/>
        <v/>
      </c>
      <c r="O1189" s="485"/>
      <c r="P1189" s="1137"/>
      <c r="Q1189" s="1137"/>
      <c r="R1189" s="1137"/>
      <c r="S1189" s="1137"/>
      <c r="T1189" s="1137"/>
      <c r="U1189" s="1137"/>
      <c r="V1189" s="1137"/>
    </row>
    <row r="1190" spans="1:22" s="562" customFormat="1" ht="12.75" hidden="1" customHeight="1">
      <c r="A1190" s="719" t="s">
        <v>2289</v>
      </c>
      <c r="B1190" s="485"/>
      <c r="C1190" s="559"/>
      <c r="D1190" s="706"/>
      <c r="E1190" s="723" t="s">
        <v>1390</v>
      </c>
      <c r="F1190" s="723"/>
      <c r="G1190" s="723"/>
      <c r="H1190" s="724" t="str">
        <f>EUconst_EUA</f>
        <v>UKA</v>
      </c>
      <c r="I1190" s="725"/>
      <c r="J1190" s="2139" t="str">
        <f t="shared" si="86"/>
        <v/>
      </c>
      <c r="K1190" s="2072" t="str">
        <f t="shared" si="86"/>
        <v/>
      </c>
      <c r="L1190" s="2073" t="str">
        <f t="shared" si="86"/>
        <v/>
      </c>
      <c r="M1190" s="2073" t="str">
        <f t="shared" si="86"/>
        <v/>
      </c>
      <c r="N1190" s="2073" t="str">
        <f t="shared" si="86"/>
        <v/>
      </c>
      <c r="O1190" s="485"/>
      <c r="P1190" s="1137"/>
      <c r="Q1190" s="1137"/>
      <c r="R1190" s="1137"/>
      <c r="S1190" s="1137"/>
      <c r="T1190" s="1137"/>
      <c r="U1190" s="1137"/>
      <c r="V1190" s="1137"/>
    </row>
    <row r="1191" spans="1:22" s="562" customFormat="1" ht="12.75" hidden="1" customHeight="1">
      <c r="A1191" s="719" t="s">
        <v>2289</v>
      </c>
      <c r="B1191" s="485"/>
      <c r="C1191" s="559"/>
      <c r="D1191" s="706"/>
      <c r="E1191" s="723" t="s">
        <v>1389</v>
      </c>
      <c r="F1191" s="723"/>
      <c r="G1191" s="723"/>
      <c r="H1191" s="726" t="s">
        <v>1021</v>
      </c>
      <c r="I1191" s="725"/>
      <c r="J1191" s="2140" t="str">
        <f t="shared" si="86"/>
        <v/>
      </c>
      <c r="K1191" s="2141" t="str">
        <f t="shared" si="86"/>
        <v/>
      </c>
      <c r="L1191" s="2142" t="str">
        <f t="shared" si="86"/>
        <v/>
      </c>
      <c r="M1191" s="2142" t="str">
        <f t="shared" si="86"/>
        <v/>
      </c>
      <c r="N1191" s="2142" t="str">
        <f t="shared" si="86"/>
        <v/>
      </c>
      <c r="O1191" s="485"/>
      <c r="P1191" s="1137"/>
      <c r="Q1191" s="1137"/>
      <c r="R1191" s="1137"/>
      <c r="S1191" s="1137"/>
      <c r="T1191" s="1137"/>
      <c r="U1191" s="1137"/>
      <c r="V1191" s="1137"/>
    </row>
    <row r="1192" spans="1:22" s="562" customFormat="1" ht="12.75" hidden="1" customHeight="1">
      <c r="A1192" s="719" t="s">
        <v>2289</v>
      </c>
      <c r="B1192" s="485"/>
      <c r="C1192" s="559"/>
      <c r="D1192" s="706"/>
      <c r="E1192" s="727" t="s">
        <v>1391</v>
      </c>
      <c r="F1192" s="727"/>
      <c r="G1192" s="727"/>
      <c r="H1192" s="728" t="s">
        <v>1021</v>
      </c>
      <c r="I1192" s="729"/>
      <c r="J1192" s="2143" t="str">
        <f t="shared" si="86"/>
        <v/>
      </c>
      <c r="K1192" s="2141" t="str">
        <f t="shared" si="86"/>
        <v/>
      </c>
      <c r="L1192" s="2142" t="str">
        <f t="shared" si="86"/>
        <v/>
      </c>
      <c r="M1192" s="2142" t="str">
        <f t="shared" si="86"/>
        <v/>
      </c>
      <c r="N1192" s="2142" t="str">
        <f t="shared" si="86"/>
        <v/>
      </c>
      <c r="O1192" s="485"/>
      <c r="P1192" s="1137"/>
      <c r="Q1192" s="1137"/>
      <c r="R1192" s="1137"/>
      <c r="S1192" s="1137"/>
      <c r="T1192" s="1137"/>
      <c r="U1192" s="1137"/>
      <c r="V1192" s="1137"/>
    </row>
    <row r="1193" spans="1:22" s="562" customFormat="1" ht="12.75" customHeight="1">
      <c r="A1193" s="719"/>
      <c r="B1193" s="485"/>
      <c r="C1193" s="559"/>
      <c r="D1193" s="706"/>
      <c r="E1193" s="698" t="s">
        <v>1671</v>
      </c>
      <c r="F1193" s="698"/>
      <c r="G1193" s="698"/>
      <c r="H1193" s="730" t="str">
        <f>EUconst_EUA</f>
        <v>UKA</v>
      </c>
      <c r="I1193" s="731"/>
      <c r="J1193" s="2129" t="str">
        <f>IF($I1133="","",MAX(0,ROUND((SUM($M1136)*SUM(J1184)*SUM(J1191)*SUM(J1192)-SUM(J1188)-SUM(J1189)+SUM(J1190))*IF($H1136=TRUE,1,J$2517),0)))</f>
        <v/>
      </c>
      <c r="K1193" s="2072" t="str">
        <f>IF($I1133="","",MAX(0,ROUND((SUM($M1136)*SUM(K1184)*SUM(K1191)*SUM(K1192)-SUM(K1188)-SUM(K1189)+SUM(K1190))*IF($H1136=TRUE,1,K$2517),0)))</f>
        <v/>
      </c>
      <c r="L1193" s="2073" t="str">
        <f>IF($I1133="","",MAX(0,ROUND((SUM($M1136)*SUM(L1184)*SUM(L1191)*SUM(L1192)-SUM(L1188)-SUM(L1189)+SUM(L1190))*IF($H1136=TRUE,1,L$2517),0)))</f>
        <v/>
      </c>
      <c r="M1193" s="2073" t="str">
        <f>IF($I1133="","",MAX(0,ROUND((SUM($M1136)*SUM(M1184)*SUM(M1191)*SUM(M1192)-SUM(M1188)-SUM(M1189)+SUM(M1190))*IF($H1136=TRUE,1,M$2517),0)))</f>
        <v/>
      </c>
      <c r="N1193" s="2073" t="str">
        <f>IF($I1133="","",MAX(0,ROUND((SUM($M1136)*SUM(N1184)*SUM(N1191)*SUM(N1192)-SUM(N1188)-SUM(N1189)+SUM(N1190))*IF($H1136=TRUE,1,N$2517),0)))</f>
        <v/>
      </c>
      <c r="O1193" s="485"/>
      <c r="P1193" s="1137"/>
      <c r="Q1193" s="1137"/>
      <c r="R1193" s="1137"/>
      <c r="S1193" s="1137"/>
      <c r="T1193" s="1137"/>
      <c r="U1193" s="1137"/>
      <c r="V1193" s="1137"/>
    </row>
    <row r="1194" spans="1:22" s="562" customFormat="1" ht="12.75" customHeight="1">
      <c r="A1194" s="719"/>
      <c r="B1194" s="485"/>
      <c r="C1194" s="559"/>
      <c r="D1194" s="706"/>
      <c r="E1194" s="698" t="s">
        <v>1670</v>
      </c>
      <c r="F1194" s="698"/>
      <c r="G1194" s="698"/>
      <c r="H1194" s="730" t="str">
        <f>EUconst_EUA</f>
        <v>UKA</v>
      </c>
      <c r="I1194" s="731"/>
      <c r="J1194" s="2129" t="str">
        <f>IF($I1133="","",ABS(SUM(J1193)-SUM(J1153)))</f>
        <v/>
      </c>
      <c r="K1194" s="2072" t="str">
        <f>IF($I1133="","",ABS(SUM(K1193)-SUM(K1153)))</f>
        <v/>
      </c>
      <c r="L1194" s="2073" t="str">
        <f>IF($I1133="","",ABS(SUM(L1193)-SUM(L1153)))</f>
        <v/>
      </c>
      <c r="M1194" s="2073" t="str">
        <f>IF($I1133="","",ABS(SUM(M1193)-SUM(M1153)))</f>
        <v/>
      </c>
      <c r="N1194" s="2073" t="str">
        <f>IF($I1133="","",ABS(SUM(N1193)-SUM(N1153)))</f>
        <v/>
      </c>
      <c r="O1194" s="485"/>
      <c r="P1194" s="1137"/>
      <c r="Q1194" s="1137"/>
      <c r="R1194" s="1137"/>
      <c r="S1194" s="1137"/>
      <c r="T1194" s="1137"/>
      <c r="U1194" s="1137"/>
      <c r="V1194" s="1137"/>
    </row>
    <row r="1195" spans="1:22" s="562" customFormat="1" ht="12.75" customHeight="1">
      <c r="A1195" s="719"/>
      <c r="B1195" s="485"/>
      <c r="C1195" s="559"/>
      <c r="D1195" s="706"/>
      <c r="E1195" s="740" t="s">
        <v>2132</v>
      </c>
      <c r="F1195" s="740"/>
      <c r="G1195" s="740"/>
      <c r="H1195" s="741" t="s">
        <v>1021</v>
      </c>
      <c r="I1195" s="742"/>
      <c r="J1195" s="2147" t="str">
        <f>IF($I1133="","",J1194&gt;=100)</f>
        <v/>
      </c>
      <c r="K1195" s="2134" t="str">
        <f>IF($I1133="","",K1194&gt;=100)</f>
        <v/>
      </c>
      <c r="L1195" s="2135" t="str">
        <f>IF($I1133="","",L1194&gt;=100)</f>
        <v/>
      </c>
      <c r="M1195" s="2135" t="str">
        <f>IF($I1133="","",M1194&gt;=100)</f>
        <v/>
      </c>
      <c r="N1195" s="2135" t="str">
        <f>IF($I1133="","",N1194&gt;=100)</f>
        <v/>
      </c>
      <c r="O1195" s="485"/>
      <c r="P1195" s="1158" t="str">
        <f>EUconst_CNTR_100EUA_HEAT&amp;I1133</f>
        <v>EUA100HEAT_</v>
      </c>
      <c r="Q1195" s="1137"/>
      <c r="R1195" s="1137"/>
      <c r="S1195" s="1137"/>
      <c r="T1195" s="1137"/>
      <c r="U1195" s="1137"/>
      <c r="V1195" s="1137"/>
    </row>
    <row r="1196" spans="1:22" s="562" customFormat="1" ht="5.0999999999999996" customHeight="1">
      <c r="A1196" s="719"/>
      <c r="B1196" s="485"/>
      <c r="C1196" s="559"/>
      <c r="D1196" s="706"/>
      <c r="E1196" s="485"/>
      <c r="F1196" s="485"/>
      <c r="G1196" s="485"/>
      <c r="H1196" s="485"/>
      <c r="I1196" s="743"/>
      <c r="J1196" s="485"/>
      <c r="K1196" s="1790"/>
      <c r="L1196" s="1791"/>
      <c r="M1196" s="1791"/>
      <c r="N1196" s="1791"/>
      <c r="O1196" s="485"/>
      <c r="P1196" s="1137"/>
      <c r="Q1196" s="1137"/>
      <c r="R1196" s="1137"/>
      <c r="S1196" s="1137"/>
      <c r="T1196" s="1137"/>
      <c r="U1196" s="1137"/>
      <c r="V1196" s="1137"/>
    </row>
    <row r="1197" spans="1:22" s="562" customFormat="1" ht="12.75" customHeight="1">
      <c r="A1197" s="719"/>
      <c r="B1197" s="485"/>
      <c r="C1197" s="559"/>
      <c r="D1197" s="706"/>
      <c r="E1197" s="707" t="s">
        <v>1755</v>
      </c>
      <c r="F1197" s="637"/>
      <c r="G1197" s="637"/>
      <c r="H1197" s="663" t="str">
        <f>EUconst_Unit</f>
        <v>Unit</v>
      </c>
      <c r="I1197" s="708"/>
      <c r="J1197" s="2132">
        <f>J$2737</f>
        <v>2026</v>
      </c>
      <c r="K1197" s="1489">
        <f>K$2737</f>
        <v>2027</v>
      </c>
      <c r="L1197" s="1490">
        <f>L$2737</f>
        <v>2028</v>
      </c>
      <c r="M1197" s="1490">
        <f>M$2737</f>
        <v>2029</v>
      </c>
      <c r="N1197" s="1490">
        <f>N$2737</f>
        <v>2030</v>
      </c>
      <c r="O1197" s="485"/>
      <c r="P1197" s="1137"/>
      <c r="Q1197" s="1137"/>
      <c r="R1197" s="1137"/>
      <c r="S1197" s="1137"/>
      <c r="T1197" s="1137"/>
      <c r="U1197" s="1137"/>
      <c r="V1197" s="1137"/>
    </row>
    <row r="1198" spans="1:22" s="562" customFormat="1" ht="12.75" hidden="1" customHeight="1">
      <c r="A1198" s="719" t="s">
        <v>2289</v>
      </c>
      <c r="B1198" s="485"/>
      <c r="C1198" s="559"/>
      <c r="D1198" s="706"/>
      <c r="E1198" s="698" t="s">
        <v>1714</v>
      </c>
      <c r="F1198" s="698"/>
      <c r="G1198" s="698"/>
      <c r="H1198" s="639" t="str">
        <f>H1184</f>
        <v>tonnes</v>
      </c>
      <c r="I1198" s="698"/>
      <c r="J1198" s="2137" t="str">
        <f t="shared" ref="J1198:N1200" si="87">I1242</f>
        <v/>
      </c>
      <c r="K1198" s="2072" t="str">
        <f t="shared" si="87"/>
        <v/>
      </c>
      <c r="L1198" s="2073" t="str">
        <f t="shared" si="87"/>
        <v/>
      </c>
      <c r="M1198" s="2073" t="str">
        <f t="shared" si="87"/>
        <v/>
      </c>
      <c r="N1198" s="2073" t="str">
        <f t="shared" si="87"/>
        <v/>
      </c>
      <c r="O1198" s="485"/>
      <c r="P1198" s="1137"/>
      <c r="Q1198" s="1137"/>
      <c r="R1198" s="1137"/>
      <c r="S1198" s="1137"/>
      <c r="T1198" s="1137"/>
      <c r="U1198" s="1137"/>
      <c r="V1198" s="1137"/>
    </row>
    <row r="1199" spans="1:22" s="562" customFormat="1" ht="12.75" hidden="1" customHeight="1">
      <c r="A1199" s="719" t="s">
        <v>2289</v>
      </c>
      <c r="B1199" s="485"/>
      <c r="C1199" s="559"/>
      <c r="D1199" s="706"/>
      <c r="E1199" s="720" t="s">
        <v>303</v>
      </c>
      <c r="F1199" s="720"/>
      <c r="G1199" s="720"/>
      <c r="H1199" s="721" t="str">
        <f>EUconst_EUA</f>
        <v>UKA</v>
      </c>
      <c r="I1199" s="722"/>
      <c r="J1199" s="2138" t="str">
        <f t="shared" si="87"/>
        <v/>
      </c>
      <c r="K1199" s="2072" t="str">
        <f t="shared" si="87"/>
        <v/>
      </c>
      <c r="L1199" s="2073" t="str">
        <f t="shared" si="87"/>
        <v/>
      </c>
      <c r="M1199" s="2073" t="str">
        <f t="shared" si="87"/>
        <v/>
      </c>
      <c r="N1199" s="2073" t="str">
        <f t="shared" si="87"/>
        <v/>
      </c>
      <c r="O1199" s="485"/>
      <c r="P1199" s="1137"/>
      <c r="Q1199" s="1137"/>
      <c r="R1199" s="1137"/>
      <c r="S1199" s="1137"/>
      <c r="T1199" s="1137"/>
      <c r="U1199" s="1137"/>
      <c r="V1199" s="1137"/>
    </row>
    <row r="1200" spans="1:22" s="562" customFormat="1" ht="12.75" hidden="1" customHeight="1">
      <c r="A1200" s="719" t="s">
        <v>2289</v>
      </c>
      <c r="B1200" s="485"/>
      <c r="C1200" s="559"/>
      <c r="D1200" s="706"/>
      <c r="E1200" s="745" t="s">
        <v>1422</v>
      </c>
      <c r="F1200" s="745"/>
      <c r="G1200" s="745"/>
      <c r="H1200" s="746" t="str">
        <f>EUconst_EUA</f>
        <v>UKA</v>
      </c>
      <c r="I1200" s="747"/>
      <c r="J1200" s="2148" t="str">
        <f t="shared" si="87"/>
        <v/>
      </c>
      <c r="K1200" s="2072" t="str">
        <f t="shared" si="87"/>
        <v/>
      </c>
      <c r="L1200" s="2073" t="str">
        <f t="shared" si="87"/>
        <v/>
      </c>
      <c r="M1200" s="2073" t="str">
        <f t="shared" si="87"/>
        <v/>
      </c>
      <c r="N1200" s="2073" t="str">
        <f t="shared" si="87"/>
        <v/>
      </c>
      <c r="O1200" s="485"/>
      <c r="P1200" s="1137"/>
      <c r="Q1200" s="1137"/>
      <c r="R1200" s="1137"/>
      <c r="S1200" s="1137"/>
      <c r="T1200" s="1137"/>
      <c r="U1200" s="1137"/>
      <c r="V1200" s="1137"/>
    </row>
    <row r="1201" spans="1:22" s="562" customFormat="1" ht="12.75" customHeight="1">
      <c r="A1201" s="719"/>
      <c r="B1201" s="485"/>
      <c r="C1201" s="559"/>
      <c r="D1201" s="706"/>
      <c r="E1201" s="720" t="s">
        <v>1691</v>
      </c>
      <c r="F1201" s="720"/>
      <c r="G1201" s="720"/>
      <c r="H1201" s="721" t="str">
        <f>EUconst_EUA</f>
        <v>UKA</v>
      </c>
      <c r="I1201" s="722"/>
      <c r="J1201" s="2151" t="str">
        <f>IF(L1136=42,INDEX(H_SpecialBM!J:J,MATCH($P1201,H_SpecialBM!$Q:$Q,0)),"")</f>
        <v/>
      </c>
      <c r="K1201" s="2072" t="str">
        <f>IF(L1136=42,INDEX(H_SpecialBM!K:K,MATCH($P1201,H_SpecialBM!$Q:$Q,0)),"")</f>
        <v/>
      </c>
      <c r="L1201" s="2073" t="str">
        <f>IF(L1136=42,INDEX(H_SpecialBM!L:L,MATCH($P1201,H_SpecialBM!$Q:$Q,0)),"")</f>
        <v/>
      </c>
      <c r="M1201" s="2073" t="str">
        <f>IF(L1136=42,INDEX(H_SpecialBM!M:M,MATCH($P1201,H_SpecialBM!$Q:$Q,0)),"")</f>
        <v/>
      </c>
      <c r="N1201" s="2073" t="str">
        <f>IF(L1136=42,INDEX(H_SpecialBM!N:N,MATCH($P1201,H_SpecialBM!$Q:$Q,0)),"")</f>
        <v/>
      </c>
      <c r="O1201" s="485"/>
      <c r="P1201" s="1158" t="str">
        <f>EUconst_CNTR_HVCInitial &amp; INDEX(EUconst_BMlistNames,42)</f>
        <v>HVCIni_Steam cracking</v>
      </c>
      <c r="Q1201" s="1137"/>
      <c r="R1201" s="1137"/>
      <c r="S1201" s="1137"/>
      <c r="T1201" s="1137"/>
      <c r="U1201" s="1137"/>
      <c r="V1201" s="1137"/>
    </row>
    <row r="1202" spans="1:22" s="562" customFormat="1" ht="12.75" customHeight="1">
      <c r="A1202" s="719"/>
      <c r="B1202" s="485"/>
      <c r="C1202" s="559"/>
      <c r="D1202" s="706"/>
      <c r="E1202" s="723" t="s">
        <v>2232</v>
      </c>
      <c r="F1202" s="723"/>
      <c r="G1202" s="723"/>
      <c r="H1202" s="751" t="s">
        <v>1021</v>
      </c>
      <c r="I1202" s="735"/>
      <c r="J1202" s="23" t="str">
        <f>IF(L1136=42,INDEX(H_SpecialBM!J:J,MATCH($P1202,H_SpecialBM!$Q:$Q,0)),"")</f>
        <v/>
      </c>
      <c r="K1202" s="46" t="str">
        <f>IF(L1136=42,INDEX(H_SpecialBM!K:K,MATCH($P1202,H_SpecialBM!$Q:$Q,0)),"")</f>
        <v/>
      </c>
      <c r="L1202" s="27" t="str">
        <f>IF(L1136=42,INDEX(H_SpecialBM!L:L,MATCH($P1202,H_SpecialBM!$Q:$Q,0)),"")</f>
        <v/>
      </c>
      <c r="M1202" s="27" t="str">
        <f>IF(L1136=42,INDEX(H_SpecialBM!M:M,MATCH($P1202,H_SpecialBM!$Q:$Q,0)),"")</f>
        <v/>
      </c>
      <c r="N1202" s="27" t="str">
        <f>IF(L1136=42,INDEX(H_SpecialBM!N:N,MATCH($P1202,H_SpecialBM!$Q:$Q,0)),"")</f>
        <v/>
      </c>
      <c r="O1202" s="485"/>
      <c r="P1202" s="1158" t="str">
        <f>EUconst_CNTR_RelThreshold &amp; P1204</f>
        <v>RelThresh_HVCprelim_</v>
      </c>
      <c r="Q1202" s="1137"/>
      <c r="R1202" s="1137"/>
      <c r="S1202" s="1137"/>
      <c r="T1202" s="1137"/>
      <c r="U1202" s="1137"/>
      <c r="V1202" s="1137"/>
    </row>
    <row r="1203" spans="1:22" s="562" customFormat="1" ht="12.75" customHeight="1">
      <c r="A1203" s="719"/>
      <c r="B1203" s="485"/>
      <c r="C1203" s="559"/>
      <c r="D1203" s="706"/>
      <c r="E1203" s="736" t="s">
        <v>1854</v>
      </c>
      <c r="F1203" s="736"/>
      <c r="G1203" s="736"/>
      <c r="H1203" s="738" t="s">
        <v>1021</v>
      </c>
      <c r="I1203" s="738"/>
      <c r="J1203" s="2145" t="str">
        <f>IF(L1136=42,INDEX(H_SpecialBM!V:V,MATCH($P1203,H_SpecialBM!$Q:$Q,0)),"")</f>
        <v/>
      </c>
      <c r="K1203" s="2134" t="str">
        <f>IF(L1136=42,INDEX(H_SpecialBM!W:W,MATCH($P1203,H_SpecialBM!$Q:$Q,0)),"")</f>
        <v/>
      </c>
      <c r="L1203" s="2135" t="str">
        <f>IF(L1136=42,INDEX(H_SpecialBM!X:X,MATCH($P1203,H_SpecialBM!$Q:$Q,0)),"")</f>
        <v/>
      </c>
      <c r="M1203" s="2135" t="str">
        <f>IF(L1136=42,INDEX(H_SpecialBM!Y:Y,MATCH($P1203,H_SpecialBM!$Q:$Q,0)),"")</f>
        <v/>
      </c>
      <c r="N1203" s="2135" t="str">
        <f>IF(L1136=42,INDEX(H_SpecialBM!Z:Z,MATCH($P1203,H_SpecialBM!$Q:$Q,0)),"")</f>
        <v/>
      </c>
      <c r="O1203" s="485"/>
      <c r="P1203" s="1158" t="str">
        <f>P1202</f>
        <v>RelThresh_HVCprelim_</v>
      </c>
      <c r="Q1203" s="1137"/>
      <c r="R1203" s="1137"/>
      <c r="S1203" s="1137"/>
      <c r="T1203" s="1137"/>
      <c r="U1203" s="1137"/>
      <c r="V1203" s="1137"/>
    </row>
    <row r="1204" spans="1:22" s="562" customFormat="1" ht="12.75" customHeight="1">
      <c r="A1204" s="719"/>
      <c r="B1204" s="485"/>
      <c r="C1204" s="559"/>
      <c r="D1204" s="706"/>
      <c r="E1204" s="727" t="s">
        <v>1689</v>
      </c>
      <c r="F1204" s="727"/>
      <c r="G1204" s="727"/>
      <c r="H1204" s="728" t="str">
        <f>EUconst_EUA</f>
        <v>UKA</v>
      </c>
      <c r="I1204" s="729"/>
      <c r="J1204" s="2152" t="str">
        <f>IF($L1136=42,INDEX(H_SpecialBM!J:J,MATCH($P1204,H_SpecialBM!$Q:$Q,0)),"")</f>
        <v/>
      </c>
      <c r="K1204" s="2072" t="str">
        <f>IF($L1136=42,INDEX(H_SpecialBM!K:K,MATCH($P1204,H_SpecialBM!$Q:$Q,0)),"")</f>
        <v/>
      </c>
      <c r="L1204" s="2073" t="str">
        <f>IF($L1136=42,INDEX(H_SpecialBM!L:L,MATCH($P1204,H_SpecialBM!$Q:$Q,0)),"")</f>
        <v/>
      </c>
      <c r="M1204" s="2073" t="str">
        <f>IF($L1136=42,INDEX(H_SpecialBM!M:M,MATCH($P1204,H_SpecialBM!$Q:$Q,0)),"")</f>
        <v/>
      </c>
      <c r="N1204" s="2073" t="str">
        <f>IF($L1136=42,INDEX(H_SpecialBM!N:N,MATCH($P1204,H_SpecialBM!$Q:$Q,0)),"")</f>
        <v/>
      </c>
      <c r="O1204" s="485"/>
      <c r="P1204" s="1158" t="str">
        <f>EUconst_CNTR_HVCprelim</f>
        <v>HVCprelim_</v>
      </c>
      <c r="Q1204" s="1137"/>
      <c r="R1204" s="1137"/>
      <c r="S1204" s="1137"/>
      <c r="T1204" s="1137"/>
      <c r="U1204" s="1137"/>
      <c r="V1204" s="1137"/>
    </row>
    <row r="1205" spans="1:22" s="562" customFormat="1" ht="12.75" hidden="1" customHeight="1">
      <c r="A1205" s="719" t="s">
        <v>2289</v>
      </c>
      <c r="B1205" s="485"/>
      <c r="C1205" s="559"/>
      <c r="D1205" s="706"/>
      <c r="E1205" s="645" t="s">
        <v>1389</v>
      </c>
      <c r="F1205" s="645"/>
      <c r="G1205" s="645"/>
      <c r="H1205" s="752" t="s">
        <v>1021</v>
      </c>
      <c r="I1205" s="753"/>
      <c r="J1205" s="2153" t="str">
        <f t="shared" ref="J1205:N1206" si="88">I1246</f>
        <v/>
      </c>
      <c r="K1205" s="2141" t="str">
        <f t="shared" si="88"/>
        <v/>
      </c>
      <c r="L1205" s="2142" t="str">
        <f t="shared" si="88"/>
        <v/>
      </c>
      <c r="M1205" s="2142" t="str">
        <f t="shared" si="88"/>
        <v/>
      </c>
      <c r="N1205" s="2142" t="str">
        <f t="shared" si="88"/>
        <v/>
      </c>
      <c r="O1205" s="485"/>
      <c r="P1205" s="1137"/>
      <c r="Q1205" s="1137"/>
      <c r="R1205" s="1137"/>
      <c r="S1205" s="1137"/>
      <c r="T1205" s="1137"/>
      <c r="U1205" s="1137"/>
      <c r="V1205" s="1137"/>
    </row>
    <row r="1206" spans="1:22" s="562" customFormat="1" ht="12.75" hidden="1" customHeight="1">
      <c r="A1206" s="719" t="s">
        <v>2289</v>
      </c>
      <c r="B1206" s="485"/>
      <c r="C1206" s="559"/>
      <c r="D1206" s="706"/>
      <c r="E1206" s="727" t="s">
        <v>1391</v>
      </c>
      <c r="F1206" s="727"/>
      <c r="G1206" s="727"/>
      <c r="H1206" s="728" t="s">
        <v>1021</v>
      </c>
      <c r="I1206" s="729"/>
      <c r="J1206" s="2143" t="str">
        <f t="shared" si="88"/>
        <v/>
      </c>
      <c r="K1206" s="2141" t="str">
        <f t="shared" si="88"/>
        <v/>
      </c>
      <c r="L1206" s="2142" t="str">
        <f t="shared" si="88"/>
        <v/>
      </c>
      <c r="M1206" s="2142" t="str">
        <f t="shared" si="88"/>
        <v/>
      </c>
      <c r="N1206" s="2142" t="str">
        <f t="shared" si="88"/>
        <v/>
      </c>
      <c r="O1206" s="485"/>
      <c r="P1206" s="1137"/>
      <c r="Q1206" s="1137"/>
      <c r="R1206" s="1137"/>
      <c r="S1206" s="1137"/>
      <c r="T1206" s="1137"/>
      <c r="U1206" s="1137"/>
      <c r="V1206" s="1137"/>
    </row>
    <row r="1207" spans="1:22" s="562" customFormat="1" ht="12.75" customHeight="1">
      <c r="A1207" s="719"/>
      <c r="B1207" s="485"/>
      <c r="C1207" s="559"/>
      <c r="D1207" s="706"/>
      <c r="E1207" s="698" t="s">
        <v>1671</v>
      </c>
      <c r="F1207" s="698"/>
      <c r="G1207" s="698"/>
      <c r="H1207" s="730" t="str">
        <f>EUconst_EUA</f>
        <v>UKA</v>
      </c>
      <c r="I1207" s="731"/>
      <c r="J1207" s="2129" t="str">
        <f>IF(J1204="","",MAX(0,ROUND((SUM($M1136)*SUM(J1198)*SUM(J1205)*SUM(J1206)-SUM(J1199)-SUM(J1200)+SUM(J1204))*IF($H1136=TRUE,1,J$2517),0)))</f>
        <v/>
      </c>
      <c r="K1207" s="2072" t="str">
        <f>IF(K1204="","",MAX(0,ROUND((SUM($M1136)*SUM(K1198)*SUM(K1205)*SUM(K1206)-SUM(K1199)-SUM(K1200)+SUM(K1204))*IF($H1136=TRUE,1,K$2517),0)))</f>
        <v/>
      </c>
      <c r="L1207" s="2073" t="str">
        <f>IF(L1204="","",MAX(0,ROUND((SUM($M1136)*SUM(L1198)*SUM(L1205)*SUM(L1206)-SUM(L1199)-SUM(L1200)+SUM(L1204))*IF($H1136=TRUE,1,L$2517),0)))</f>
        <v/>
      </c>
      <c r="M1207" s="2073" t="str">
        <f>IF(M1204="","",MAX(0,ROUND((SUM($M1136)*SUM(M1198)*SUM(M1205)*SUM(M1206)-SUM(M1199)-SUM(M1200)+SUM(M1204))*IF($H1136=TRUE,1,M$2517),0)))</f>
        <v/>
      </c>
      <c r="N1207" s="2073" t="str">
        <f>IF(N1204="","",MAX(0,ROUND((SUM($M1136)*SUM(N1198)*SUM(N1205)*SUM(N1206)-SUM(N1199)-SUM(N1200)+SUM(N1204))*IF($H1136=TRUE,1,N$2517),0)))</f>
        <v/>
      </c>
      <c r="O1207" s="485"/>
      <c r="P1207" s="1137"/>
      <c r="Q1207" s="1137"/>
      <c r="R1207" s="1137"/>
      <c r="S1207" s="1137"/>
      <c r="T1207" s="1137"/>
      <c r="U1207" s="1137"/>
      <c r="V1207" s="1137"/>
    </row>
    <row r="1208" spans="1:22" s="562" customFormat="1" ht="12.75" customHeight="1">
      <c r="A1208" s="719"/>
      <c r="B1208" s="485"/>
      <c r="C1208" s="559"/>
      <c r="D1208" s="706"/>
      <c r="E1208" s="698" t="s">
        <v>1670</v>
      </c>
      <c r="F1208" s="698"/>
      <c r="G1208" s="698"/>
      <c r="H1208" s="730" t="str">
        <f>EUconst_EUA</f>
        <v>UKA</v>
      </c>
      <c r="I1208" s="731"/>
      <c r="J1208" s="2129" t="str">
        <f>IF(J1207="","",ABS(SUM(J1207)-SUM(J1153)))</f>
        <v/>
      </c>
      <c r="K1208" s="2072" t="str">
        <f>IF(K1207="","",ABS(SUM(K1207)-SUM(K1153)))</f>
        <v/>
      </c>
      <c r="L1208" s="2073" t="str">
        <f>IF(L1207="","",ABS(SUM(L1207)-SUM(L1153)))</f>
        <v/>
      </c>
      <c r="M1208" s="2073" t="str">
        <f>IF(M1207="","",ABS(SUM(M1207)-SUM(M1153)))</f>
        <v/>
      </c>
      <c r="N1208" s="2073" t="str">
        <f>IF(N1207="","",ABS(SUM(N1207)-SUM(N1153)))</f>
        <v/>
      </c>
      <c r="O1208" s="485"/>
      <c r="P1208" s="1137"/>
      <c r="Q1208" s="1137"/>
      <c r="R1208" s="1137"/>
      <c r="S1208" s="1137"/>
      <c r="T1208" s="1137"/>
      <c r="U1208" s="1137"/>
      <c r="V1208" s="1137"/>
    </row>
    <row r="1209" spans="1:22" s="562" customFormat="1" ht="12.75" customHeight="1">
      <c r="A1209" s="719"/>
      <c r="B1209" s="485"/>
      <c r="C1209" s="559"/>
      <c r="D1209" s="706"/>
      <c r="E1209" s="740" t="s">
        <v>2133</v>
      </c>
      <c r="F1209" s="698"/>
      <c r="G1209" s="698"/>
      <c r="H1209" s="741" t="s">
        <v>1021</v>
      </c>
      <c r="I1209" s="742"/>
      <c r="J1209" s="2147" t="str">
        <f>IF(J1208="","",J1208&gt;=100)</f>
        <v/>
      </c>
      <c r="K1209" s="2134" t="str">
        <f>IF(K1208="","",K1208&gt;=100)</f>
        <v/>
      </c>
      <c r="L1209" s="2135" t="str">
        <f>IF(L1208="","",L1208&gt;=100)</f>
        <v/>
      </c>
      <c r="M1209" s="2135" t="str">
        <f>IF(M1208="","",M1208&gt;=100)</f>
        <v/>
      </c>
      <c r="N1209" s="2135" t="str">
        <f>IF(N1208="","",N1208&gt;=100)</f>
        <v/>
      </c>
      <c r="O1209" s="485"/>
      <c r="P1209" s="1158" t="str">
        <f>EUconst_CNTR_100EUA_HVC&amp;I1133</f>
        <v>EUA100HVC_</v>
      </c>
      <c r="Q1209" s="1137"/>
      <c r="R1209" s="1137"/>
      <c r="S1209" s="1137"/>
      <c r="T1209" s="1137"/>
      <c r="U1209" s="1137"/>
      <c r="V1209" s="1137"/>
    </row>
    <row r="1210" spans="1:22" s="562" customFormat="1" ht="5.0999999999999996" customHeight="1">
      <c r="A1210" s="719"/>
      <c r="B1210" s="485"/>
      <c r="C1210" s="559"/>
      <c r="D1210" s="706"/>
      <c r="E1210" s="485"/>
      <c r="F1210" s="485"/>
      <c r="G1210" s="485"/>
      <c r="H1210" s="485"/>
      <c r="I1210" s="743"/>
      <c r="J1210" s="485"/>
      <c r="K1210" s="1790"/>
      <c r="L1210" s="1791"/>
      <c r="M1210" s="1791"/>
      <c r="N1210" s="1791"/>
      <c r="O1210" s="485"/>
      <c r="P1210" s="1137"/>
      <c r="Q1210" s="1137"/>
      <c r="R1210" s="1137"/>
      <c r="S1210" s="1137"/>
      <c r="T1210" s="1137"/>
      <c r="U1210" s="1137"/>
      <c r="V1210" s="1137"/>
    </row>
    <row r="1211" spans="1:22" s="562" customFormat="1" ht="12.75" customHeight="1">
      <c r="A1211" s="719"/>
      <c r="B1211" s="485"/>
      <c r="C1211" s="559"/>
      <c r="D1211" s="706"/>
      <c r="E1211" s="707" t="s">
        <v>1756</v>
      </c>
      <c r="F1211" s="637"/>
      <c r="G1211" s="637"/>
      <c r="H1211" s="663" t="str">
        <f>EUconst_Unit</f>
        <v>Unit</v>
      </c>
      <c r="I1211" s="708"/>
      <c r="J1211" s="2132">
        <f>J$2737</f>
        <v>2026</v>
      </c>
      <c r="K1211" s="1489">
        <f>K$2737</f>
        <v>2027</v>
      </c>
      <c r="L1211" s="1490">
        <f>L$2737</f>
        <v>2028</v>
      </c>
      <c r="M1211" s="1490">
        <f>M$2737</f>
        <v>2029</v>
      </c>
      <c r="N1211" s="1490">
        <f>N$2737</f>
        <v>2030</v>
      </c>
      <c r="O1211" s="485"/>
      <c r="P1211" s="1137"/>
      <c r="Q1211" s="1137"/>
      <c r="R1211" s="1137"/>
      <c r="S1211" s="1137"/>
      <c r="T1211" s="1137"/>
      <c r="U1211" s="1137"/>
      <c r="V1211" s="1137"/>
    </row>
    <row r="1212" spans="1:22" s="562" customFormat="1" ht="12.75" hidden="1" customHeight="1">
      <c r="A1212" s="719" t="s">
        <v>2289</v>
      </c>
      <c r="B1212" s="485"/>
      <c r="C1212" s="559"/>
      <c r="D1212" s="706"/>
      <c r="E1212" s="698" t="s">
        <v>1714</v>
      </c>
      <c r="F1212" s="698"/>
      <c r="G1212" s="698"/>
      <c r="H1212" s="639" t="str">
        <f>H1198</f>
        <v>tonnes</v>
      </c>
      <c r="I1212" s="698"/>
      <c r="J1212" s="2137" t="str">
        <f t="shared" ref="J1212:N1216" si="89">I1242</f>
        <v/>
      </c>
      <c r="K1212" s="2072" t="str">
        <f t="shared" si="89"/>
        <v/>
      </c>
      <c r="L1212" s="2073" t="str">
        <f t="shared" si="89"/>
        <v/>
      </c>
      <c r="M1212" s="2073" t="str">
        <f t="shared" si="89"/>
        <v/>
      </c>
      <c r="N1212" s="2073" t="str">
        <f t="shared" si="89"/>
        <v/>
      </c>
      <c r="O1212" s="485"/>
      <c r="P1212" s="1137"/>
      <c r="Q1212" s="1137"/>
      <c r="R1212" s="1137"/>
      <c r="S1212" s="1137"/>
      <c r="T1212" s="1137"/>
      <c r="U1212" s="1137"/>
      <c r="V1212" s="1137"/>
    </row>
    <row r="1213" spans="1:22" s="562" customFormat="1" ht="12.75" hidden="1" customHeight="1">
      <c r="A1213" s="719" t="s">
        <v>2289</v>
      </c>
      <c r="B1213" s="485"/>
      <c r="C1213" s="559"/>
      <c r="D1213" s="706"/>
      <c r="E1213" s="720" t="s">
        <v>303</v>
      </c>
      <c r="F1213" s="720"/>
      <c r="G1213" s="720"/>
      <c r="H1213" s="721" t="str">
        <f>EUconst_EUA</f>
        <v>UKA</v>
      </c>
      <c r="I1213" s="722"/>
      <c r="J1213" s="2138" t="str">
        <f t="shared" si="89"/>
        <v/>
      </c>
      <c r="K1213" s="2072" t="str">
        <f t="shared" si="89"/>
        <v/>
      </c>
      <c r="L1213" s="2073" t="str">
        <f t="shared" si="89"/>
        <v/>
      </c>
      <c r="M1213" s="2073" t="str">
        <f t="shared" si="89"/>
        <v/>
      </c>
      <c r="N1213" s="2073" t="str">
        <f t="shared" si="89"/>
        <v/>
      </c>
      <c r="O1213" s="485"/>
      <c r="P1213" s="1137"/>
      <c r="Q1213" s="1137"/>
      <c r="R1213" s="1137"/>
      <c r="S1213" s="1137"/>
      <c r="T1213" s="1137"/>
      <c r="U1213" s="1137"/>
      <c r="V1213" s="1137"/>
    </row>
    <row r="1214" spans="1:22" s="562" customFormat="1" ht="12.75" hidden="1" customHeight="1">
      <c r="A1214" s="719" t="s">
        <v>2289</v>
      </c>
      <c r="B1214" s="485"/>
      <c r="C1214" s="559"/>
      <c r="D1214" s="706"/>
      <c r="E1214" s="723" t="s">
        <v>1422</v>
      </c>
      <c r="F1214" s="723"/>
      <c r="G1214" s="723"/>
      <c r="H1214" s="724" t="str">
        <f>EUconst_EUA</f>
        <v>UKA</v>
      </c>
      <c r="I1214" s="725"/>
      <c r="J1214" s="2139" t="str">
        <f t="shared" si="89"/>
        <v/>
      </c>
      <c r="K1214" s="2072" t="str">
        <f t="shared" si="89"/>
        <v/>
      </c>
      <c r="L1214" s="2073" t="str">
        <f t="shared" si="89"/>
        <v/>
      </c>
      <c r="M1214" s="2073" t="str">
        <f t="shared" si="89"/>
        <v/>
      </c>
      <c r="N1214" s="2073" t="str">
        <f t="shared" si="89"/>
        <v/>
      </c>
      <c r="O1214" s="485"/>
      <c r="P1214" s="1137"/>
      <c r="Q1214" s="1137"/>
      <c r="R1214" s="1137"/>
      <c r="S1214" s="1137"/>
      <c r="T1214" s="1137"/>
      <c r="U1214" s="1137"/>
      <c r="V1214" s="1137"/>
    </row>
    <row r="1215" spans="1:22" s="562" customFormat="1" ht="12.75" hidden="1" customHeight="1">
      <c r="A1215" s="719" t="s">
        <v>2289</v>
      </c>
      <c r="B1215" s="485"/>
      <c r="C1215" s="559"/>
      <c r="D1215" s="706"/>
      <c r="E1215" s="723" t="s">
        <v>1390</v>
      </c>
      <c r="F1215" s="723"/>
      <c r="G1215" s="723"/>
      <c r="H1215" s="724" t="str">
        <f>EUconst_EUA</f>
        <v>UKA</v>
      </c>
      <c r="I1215" s="725"/>
      <c r="J1215" s="2139" t="str">
        <f t="shared" si="89"/>
        <v/>
      </c>
      <c r="K1215" s="2072" t="str">
        <f t="shared" si="89"/>
        <v/>
      </c>
      <c r="L1215" s="2073" t="str">
        <f t="shared" si="89"/>
        <v/>
      </c>
      <c r="M1215" s="2073" t="str">
        <f t="shared" si="89"/>
        <v/>
      </c>
      <c r="N1215" s="2073" t="str">
        <f t="shared" si="89"/>
        <v/>
      </c>
      <c r="O1215" s="485"/>
      <c r="P1215" s="1137"/>
      <c r="Q1215" s="1137"/>
      <c r="R1215" s="1137"/>
      <c r="S1215" s="1137"/>
      <c r="T1215" s="1137"/>
      <c r="U1215" s="1137"/>
      <c r="V1215" s="1137"/>
    </row>
    <row r="1216" spans="1:22" s="562" customFormat="1" ht="12.75" hidden="1" customHeight="1">
      <c r="A1216" s="719" t="s">
        <v>2289</v>
      </c>
      <c r="B1216" s="485"/>
      <c r="C1216" s="559"/>
      <c r="D1216" s="706"/>
      <c r="E1216" s="745" t="s">
        <v>1389</v>
      </c>
      <c r="F1216" s="745"/>
      <c r="G1216" s="745"/>
      <c r="H1216" s="754" t="s">
        <v>1021</v>
      </c>
      <c r="I1216" s="747"/>
      <c r="J1216" s="2154" t="str">
        <f t="shared" si="89"/>
        <v/>
      </c>
      <c r="K1216" s="2141" t="str">
        <f t="shared" si="89"/>
        <v/>
      </c>
      <c r="L1216" s="2142" t="str">
        <f t="shared" si="89"/>
        <v/>
      </c>
      <c r="M1216" s="2142" t="str">
        <f t="shared" si="89"/>
        <v/>
      </c>
      <c r="N1216" s="2142" t="str">
        <f t="shared" si="89"/>
        <v/>
      </c>
      <c r="O1216" s="485"/>
      <c r="P1216" s="1137"/>
      <c r="Q1216" s="1137"/>
      <c r="R1216" s="1137"/>
      <c r="S1216" s="1137"/>
      <c r="T1216" s="1137"/>
      <c r="U1216" s="1137"/>
      <c r="V1216" s="1137"/>
    </row>
    <row r="1217" spans="1:22" s="562" customFormat="1" ht="12.75" customHeight="1">
      <c r="A1217" s="719"/>
      <c r="B1217" s="485"/>
      <c r="C1217" s="559"/>
      <c r="D1217" s="706"/>
      <c r="E1217" s="720" t="s">
        <v>1691</v>
      </c>
      <c r="F1217" s="720"/>
      <c r="G1217" s="720"/>
      <c r="H1217" s="748" t="s">
        <v>1021</v>
      </c>
      <c r="I1217" s="722"/>
      <c r="J1217" s="2149" t="str">
        <f>IF(L1136=47,INDEX(H_SpecialBM!J:J,MATCH($P1217,H_SpecialBM!$Q:$Q,0)),"")</f>
        <v/>
      </c>
      <c r="K1217" s="2141" t="str">
        <f>IF(L1136=47,INDEX(H_SpecialBM!K:K,MATCH($P1217,H_SpecialBM!$Q:$Q,0)),"")</f>
        <v/>
      </c>
      <c r="L1217" s="2142" t="str">
        <f>IF(L1136=47,INDEX(H_SpecialBM!L:L,MATCH($P1217,H_SpecialBM!$Q:$Q,0)),"")</f>
        <v/>
      </c>
      <c r="M1217" s="2142" t="str">
        <f>IF(L1136=47,INDEX(H_SpecialBM!M:M,MATCH($P1217,H_SpecialBM!$Q:$Q,0)),"")</f>
        <v/>
      </c>
      <c r="N1217" s="2142" t="str">
        <f>IF(L1136=47,INDEX(H_SpecialBM!N:N,MATCH($P1217,H_SpecialBM!$Q:$Q,0)),"")</f>
        <v/>
      </c>
      <c r="O1217" s="485"/>
      <c r="P1217" s="1158" t="str">
        <f>EUconst_CNTR_VCMInitial &amp; INDEX(EUconst_BMlistNames,47)</f>
        <v>VCMIni_Vinyl chloride monomer</v>
      </c>
      <c r="Q1217" s="1137"/>
      <c r="R1217" s="1137"/>
      <c r="S1217" s="1137"/>
      <c r="T1217" s="1137"/>
      <c r="U1217" s="1137"/>
      <c r="V1217" s="1137"/>
    </row>
    <row r="1218" spans="1:22" s="562" customFormat="1" ht="12.75" customHeight="1">
      <c r="A1218" s="719"/>
      <c r="B1218" s="485"/>
      <c r="C1218" s="559"/>
      <c r="D1218" s="706"/>
      <c r="E1218" s="723" t="s">
        <v>2232</v>
      </c>
      <c r="F1218" s="723"/>
      <c r="G1218" s="723"/>
      <c r="H1218" s="751" t="s">
        <v>1021</v>
      </c>
      <c r="I1218" s="735"/>
      <c r="J1218" s="23" t="str">
        <f>IF(L1136=47,INDEX(H_SpecialBM!J:J,MATCH($P1218,H_SpecialBM!$Q:$Q,0)),"")</f>
        <v/>
      </c>
      <c r="K1218" s="46" t="str">
        <f>IF(L1136=47,INDEX(H_SpecialBM!K:K,MATCH($P1218,H_SpecialBM!$Q:$Q,0)),"")</f>
        <v/>
      </c>
      <c r="L1218" s="27" t="str">
        <f>IF(L1136=47,INDEX(H_SpecialBM!L:L,MATCH($P1218,H_SpecialBM!$Q:$Q,0)),"")</f>
        <v/>
      </c>
      <c r="M1218" s="27" t="str">
        <f>IF(L1136=47,INDEX(H_SpecialBM!M:M,MATCH($P1218,H_SpecialBM!$Q:$Q,0)),"")</f>
        <v/>
      </c>
      <c r="N1218" s="27" t="str">
        <f>IF(L1136=47,INDEX(H_SpecialBM!N:N,MATCH($P1218,H_SpecialBM!$Q:$Q,0)),"")</f>
        <v/>
      </c>
      <c r="O1218" s="485"/>
      <c r="P1218" s="1158" t="str">
        <f>EUconst_CNTR_RelThreshold &amp; P1220</f>
        <v>RelThresh_VCMprelim_</v>
      </c>
      <c r="Q1218" s="1137"/>
      <c r="R1218" s="1137"/>
      <c r="S1218" s="1137"/>
      <c r="T1218" s="1137"/>
      <c r="U1218" s="1137"/>
      <c r="V1218" s="1137"/>
    </row>
    <row r="1219" spans="1:22" s="562" customFormat="1" ht="12.75" customHeight="1">
      <c r="A1219" s="719"/>
      <c r="B1219" s="485"/>
      <c r="C1219" s="559"/>
      <c r="D1219" s="706"/>
      <c r="E1219" s="736" t="s">
        <v>1855</v>
      </c>
      <c r="F1219" s="736"/>
      <c r="G1219" s="736"/>
      <c r="H1219" s="738" t="s">
        <v>1021</v>
      </c>
      <c r="I1219" s="738"/>
      <c r="J1219" s="2145" t="str">
        <f>IF(L1136=47,INDEX(H_SpecialBM!V:V,MATCH($P1219,H_SpecialBM!$Q:$Q,0)),"")</f>
        <v/>
      </c>
      <c r="K1219" s="2134" t="str">
        <f>IF(L1136=47,INDEX(H_SpecialBM!W:W,MATCH($P1219,H_SpecialBM!$Q:$Q,0)),"")</f>
        <v/>
      </c>
      <c r="L1219" s="2135" t="str">
        <f>IF(L1136=47,INDEX(H_SpecialBM!X:X,MATCH($P1219,H_SpecialBM!$Q:$Q,0)),"")</f>
        <v/>
      </c>
      <c r="M1219" s="2135" t="str">
        <f>IF(L1136=47,INDEX(H_SpecialBM!Y:Y,MATCH($P1219,H_SpecialBM!$Q:$Q,0)),"")</f>
        <v/>
      </c>
      <c r="N1219" s="2135" t="str">
        <f>IF(L1136=47,INDEX(H_SpecialBM!Z:Z,MATCH($P1219,H_SpecialBM!$Q:$Q,0)),"")</f>
        <v/>
      </c>
      <c r="O1219" s="485"/>
      <c r="P1219" s="1158" t="str">
        <f>P1218</f>
        <v>RelThresh_VCMprelim_</v>
      </c>
      <c r="Q1219" s="1137"/>
      <c r="R1219" s="1137"/>
      <c r="S1219" s="1137"/>
      <c r="T1219" s="1137"/>
      <c r="U1219" s="1137"/>
      <c r="V1219" s="1137"/>
    </row>
    <row r="1220" spans="1:22" s="562" customFormat="1" ht="12.75" customHeight="1">
      <c r="A1220" s="719"/>
      <c r="B1220" s="485"/>
      <c r="C1220" s="559"/>
      <c r="D1220" s="706"/>
      <c r="E1220" s="727" t="s">
        <v>1689</v>
      </c>
      <c r="F1220" s="727"/>
      <c r="G1220" s="727"/>
      <c r="H1220" s="728" t="s">
        <v>1021</v>
      </c>
      <c r="I1220" s="729"/>
      <c r="J1220" s="2150" t="str">
        <f>IF($L1136=47,IF(ISNUMBER(INDEX(H_SpecialBM!J:J,MATCH($P1220,H_SpecialBM!$Q:$Q,0))),INDEX(H_SpecialBM!J:J,MATCH($P1220,H_SpecialBM!$Q:$Q,0)),1),"")</f>
        <v/>
      </c>
      <c r="K1220" s="2141" t="str">
        <f>IF($L1136=47,IF(ISNUMBER(INDEX(H_SpecialBM!K:K,MATCH($P1220,H_SpecialBM!$Q:$Q,0))),INDEX(H_SpecialBM!K:K,MATCH($P1220,H_SpecialBM!$Q:$Q,0)),1),"")</f>
        <v/>
      </c>
      <c r="L1220" s="2142" t="str">
        <f>IF($L1136=47,IF(ISNUMBER(INDEX(H_SpecialBM!L:L,MATCH($P1220,H_SpecialBM!$Q:$Q,0))),INDEX(H_SpecialBM!L:L,MATCH($P1220,H_SpecialBM!$Q:$Q,0)),1),"")</f>
        <v/>
      </c>
      <c r="M1220" s="2142" t="str">
        <f>IF($L1136=47,IF(ISNUMBER(INDEX(H_SpecialBM!M:M,MATCH($P1220,H_SpecialBM!$Q:$Q,0))),INDEX(H_SpecialBM!M:M,MATCH($P1220,H_SpecialBM!$Q:$Q,0)),1),"")</f>
        <v/>
      </c>
      <c r="N1220" s="2142" t="str">
        <f>IF($L1136=47,IF(ISNUMBER(INDEX(H_SpecialBM!N:N,MATCH($P1220,H_SpecialBM!$Q:$Q,0))),INDEX(H_SpecialBM!N:N,MATCH($P1220,H_SpecialBM!$Q:$Q,0)),1),"")</f>
        <v/>
      </c>
      <c r="O1220" s="485"/>
      <c r="P1220" s="1158" t="str">
        <f>EUconst_CNTR_VCMprelim</f>
        <v>VCMprelim_</v>
      </c>
      <c r="Q1220" s="1137"/>
      <c r="R1220" s="1137"/>
      <c r="S1220" s="1137"/>
      <c r="T1220" s="1137"/>
      <c r="U1220" s="1137"/>
      <c r="V1220" s="1137"/>
    </row>
    <row r="1221" spans="1:22" s="562" customFormat="1" ht="12.75" customHeight="1">
      <c r="A1221" s="719"/>
      <c r="B1221" s="485"/>
      <c r="C1221" s="559"/>
      <c r="D1221" s="706"/>
      <c r="E1221" s="698" t="s">
        <v>1671</v>
      </c>
      <c r="F1221" s="698"/>
      <c r="G1221" s="698"/>
      <c r="H1221" s="730" t="str">
        <f>EUconst_EUA</f>
        <v>UKA</v>
      </c>
      <c r="I1221" s="731"/>
      <c r="J1221" s="2129" t="str">
        <f>IF(J1220="","",MAX(0,ROUND((SUM($M1136)*SUM(J1212)*SUM(J1216)*SUM(J1220)-SUM(J1213)-SUM(J1214)+SUM(J1215))*IF($H1136=TRUE,1,J$2517),0)))</f>
        <v/>
      </c>
      <c r="K1221" s="2072" t="str">
        <f>IF(K1220="","",MAX(0,ROUND((SUM($M1136)*SUM(K1212)*SUM(K1216)*SUM(K1220)-SUM(K1213)-SUM(K1214)+SUM(K1215))*IF($H1136=TRUE,1,K$2517),0)))</f>
        <v/>
      </c>
      <c r="L1221" s="2073" t="str">
        <f>IF(L1220="","",MAX(0,ROUND((SUM($M1136)*SUM(L1212)*SUM(L1216)*SUM(L1220)-SUM(L1213)-SUM(L1214)+SUM(L1215))*IF($H1136=TRUE,1,L$2517),0)))</f>
        <v/>
      </c>
      <c r="M1221" s="2073" t="str">
        <f>IF(M1220="","",MAX(0,ROUND((SUM($M1136)*SUM(M1212)*SUM(M1216)*SUM(M1220)-SUM(M1213)-SUM(M1214)+SUM(M1215))*IF($H1136=TRUE,1,M$2517),0)))</f>
        <v/>
      </c>
      <c r="N1221" s="2073" t="str">
        <f>IF(N1220="","",MAX(0,ROUND((SUM($M1136)*SUM(N1212)*SUM(N1216)*SUM(N1220)-SUM(N1213)-SUM(N1214)+SUM(N1215))*IF($H1136=TRUE,1,N$2517),0)))</f>
        <v/>
      </c>
      <c r="O1221" s="485"/>
      <c r="P1221" s="1137"/>
      <c r="Q1221" s="1137"/>
      <c r="R1221" s="1137"/>
      <c r="S1221" s="1137"/>
      <c r="T1221" s="1137"/>
      <c r="U1221" s="1137"/>
      <c r="V1221" s="1137"/>
    </row>
    <row r="1222" spans="1:22" s="562" customFormat="1" ht="12.75" customHeight="1">
      <c r="A1222" s="719"/>
      <c r="B1222" s="485"/>
      <c r="C1222" s="559"/>
      <c r="D1222" s="706"/>
      <c r="E1222" s="698" t="s">
        <v>1670</v>
      </c>
      <c r="F1222" s="698"/>
      <c r="G1222" s="698"/>
      <c r="H1222" s="730" t="str">
        <f>EUconst_EUA</f>
        <v>UKA</v>
      </c>
      <c r="I1222" s="731"/>
      <c r="J1222" s="2129" t="str">
        <f>IF(J1221="","",ABS(SUM(J1221)-SUM(J1153)))</f>
        <v/>
      </c>
      <c r="K1222" s="2072" t="str">
        <f>IF(K1221="","",ABS(SUM(K1221)-SUM(K1153)))</f>
        <v/>
      </c>
      <c r="L1222" s="2073" t="str">
        <f>IF(L1221="","",ABS(SUM(L1221)-SUM(L1153)))</f>
        <v/>
      </c>
      <c r="M1222" s="2073" t="str">
        <f>IF(M1221="","",ABS(SUM(M1221)-SUM(M1153)))</f>
        <v/>
      </c>
      <c r="N1222" s="2073" t="str">
        <f>IF(N1221="","",ABS(SUM(N1221)-SUM(N1153)))</f>
        <v/>
      </c>
      <c r="O1222" s="485"/>
      <c r="P1222" s="1137"/>
      <c r="Q1222" s="1137"/>
      <c r="R1222" s="1137"/>
      <c r="S1222" s="1137"/>
      <c r="T1222" s="1137"/>
      <c r="U1222" s="1137"/>
      <c r="V1222" s="1137"/>
    </row>
    <row r="1223" spans="1:22" s="562" customFormat="1" ht="12.75" customHeight="1">
      <c r="A1223" s="719"/>
      <c r="B1223" s="485"/>
      <c r="C1223" s="559"/>
      <c r="D1223" s="706"/>
      <c r="E1223" s="740" t="s">
        <v>2134</v>
      </c>
      <c r="F1223" s="698"/>
      <c r="G1223" s="698"/>
      <c r="H1223" s="741" t="s">
        <v>1021</v>
      </c>
      <c r="I1223" s="742"/>
      <c r="J1223" s="2147" t="str">
        <f>IF(J1222="","",J1222&gt;=100)</f>
        <v/>
      </c>
      <c r="K1223" s="2134" t="str">
        <f>IF(K1222="","",K1222&gt;=100)</f>
        <v/>
      </c>
      <c r="L1223" s="2135" t="str">
        <f>IF(L1222="","",L1222&gt;=100)</f>
        <v/>
      </c>
      <c r="M1223" s="2135" t="str">
        <f>IF(M1222="","",M1222&gt;=100)</f>
        <v/>
      </c>
      <c r="N1223" s="2135" t="str">
        <f>IF(N1222="","",N1222&gt;=100)</f>
        <v/>
      </c>
      <c r="O1223" s="485"/>
      <c r="P1223" s="1158" t="str">
        <f>EUconst_CNTR_100EUA_VCM&amp;I1160</f>
        <v>EUA100VCM_</v>
      </c>
      <c r="Q1223" s="1137"/>
      <c r="R1223" s="1137"/>
      <c r="S1223" s="1137"/>
      <c r="T1223" s="1137"/>
      <c r="U1223" s="1137"/>
      <c r="V1223" s="1137"/>
    </row>
    <row r="1224" spans="1:22" s="562" customFormat="1" ht="5.0999999999999996" customHeight="1">
      <c r="A1224" s="719"/>
      <c r="B1224" s="485"/>
      <c r="C1224" s="559"/>
      <c r="D1224" s="706"/>
      <c r="E1224" s="485"/>
      <c r="F1224" s="485"/>
      <c r="G1224" s="485"/>
      <c r="H1224" s="485"/>
      <c r="I1224" s="743"/>
      <c r="J1224" s="485"/>
      <c r="K1224" s="1790"/>
      <c r="L1224" s="1791"/>
      <c r="M1224" s="1791"/>
      <c r="N1224" s="1791"/>
      <c r="O1224" s="485"/>
      <c r="P1224" s="1137"/>
      <c r="Q1224" s="1137"/>
      <c r="R1224" s="1137"/>
      <c r="S1224" s="1137"/>
      <c r="T1224" s="1137"/>
      <c r="U1224" s="1137"/>
      <c r="V1224" s="1137"/>
    </row>
    <row r="1225" spans="1:22" s="562" customFormat="1" ht="12.75" customHeight="1">
      <c r="A1225" s="719"/>
      <c r="B1225" s="485"/>
      <c r="C1225" s="559"/>
      <c r="D1225" s="706"/>
      <c r="E1225" s="707" t="s">
        <v>1757</v>
      </c>
      <c r="F1225" s="637"/>
      <c r="G1225" s="637"/>
      <c r="H1225" s="663" t="str">
        <f>EUconst_Unit</f>
        <v>Unit</v>
      </c>
      <c r="I1225" s="708"/>
      <c r="J1225" s="2132">
        <f>J$2737</f>
        <v>2026</v>
      </c>
      <c r="K1225" s="1489">
        <f>K$2737</f>
        <v>2027</v>
      </c>
      <c r="L1225" s="1490">
        <f>L$2737</f>
        <v>2028</v>
      </c>
      <c r="M1225" s="1490">
        <f>M$2737</f>
        <v>2029</v>
      </c>
      <c r="N1225" s="1490">
        <f>N$2737</f>
        <v>2030</v>
      </c>
      <c r="O1225" s="485"/>
      <c r="P1225" s="1137"/>
      <c r="Q1225" s="1137"/>
      <c r="R1225" s="1137"/>
      <c r="S1225" s="1137"/>
      <c r="T1225" s="1137"/>
      <c r="U1225" s="1137"/>
      <c r="V1225" s="1137"/>
    </row>
    <row r="1226" spans="1:22" s="562" customFormat="1" ht="12.75" hidden="1" customHeight="1">
      <c r="A1226" s="719" t="s">
        <v>2289</v>
      </c>
      <c r="B1226" s="485"/>
      <c r="C1226" s="559"/>
      <c r="D1226" s="706"/>
      <c r="E1226" s="698" t="s">
        <v>1714</v>
      </c>
      <c r="F1226" s="698"/>
      <c r="G1226" s="698"/>
      <c r="H1226" s="639" t="str">
        <f>H1212</f>
        <v>tonnes</v>
      </c>
      <c r="I1226" s="698"/>
      <c r="J1226" s="2137" t="str">
        <f t="shared" ref="J1226:N1227" si="90">I1242</f>
        <v/>
      </c>
      <c r="K1226" s="2072" t="str">
        <f t="shared" si="90"/>
        <v/>
      </c>
      <c r="L1226" s="2073" t="str">
        <f t="shared" si="90"/>
        <v/>
      </c>
      <c r="M1226" s="2073" t="str">
        <f t="shared" si="90"/>
        <v/>
      </c>
      <c r="N1226" s="2073" t="str">
        <f t="shared" si="90"/>
        <v/>
      </c>
      <c r="O1226" s="485"/>
      <c r="P1226" s="1137"/>
      <c r="Q1226" s="1137"/>
      <c r="R1226" s="1137"/>
      <c r="S1226" s="1137"/>
      <c r="T1226" s="1137"/>
      <c r="U1226" s="1137"/>
      <c r="V1226" s="1137"/>
    </row>
    <row r="1227" spans="1:22" s="562" customFormat="1" ht="12.75" hidden="1" customHeight="1">
      <c r="A1227" s="719" t="s">
        <v>2289</v>
      </c>
      <c r="B1227" s="485"/>
      <c r="C1227" s="559"/>
      <c r="D1227" s="706"/>
      <c r="E1227" s="720" t="s">
        <v>303</v>
      </c>
      <c r="F1227" s="720"/>
      <c r="G1227" s="720"/>
      <c r="H1227" s="721" t="str">
        <f>EUconst_EUA</f>
        <v>UKA</v>
      </c>
      <c r="I1227" s="722"/>
      <c r="J1227" s="2138" t="str">
        <f t="shared" si="90"/>
        <v/>
      </c>
      <c r="K1227" s="2072" t="str">
        <f t="shared" si="90"/>
        <v/>
      </c>
      <c r="L1227" s="2073" t="str">
        <f t="shared" si="90"/>
        <v/>
      </c>
      <c r="M1227" s="2073" t="str">
        <f t="shared" si="90"/>
        <v/>
      </c>
      <c r="N1227" s="2073" t="str">
        <f t="shared" si="90"/>
        <v/>
      </c>
      <c r="O1227" s="485"/>
      <c r="P1227" s="1137"/>
      <c r="Q1227" s="1137"/>
      <c r="R1227" s="1137"/>
      <c r="S1227" s="1137"/>
      <c r="T1227" s="1137"/>
      <c r="U1227" s="1137"/>
      <c r="V1227" s="1137"/>
    </row>
    <row r="1228" spans="1:22" s="562" customFormat="1" ht="12.75" customHeight="1">
      <c r="A1228" s="719"/>
      <c r="B1228" s="485"/>
      <c r="C1228" s="559"/>
      <c r="D1228" s="706"/>
      <c r="E1228" s="720" t="s">
        <v>1691</v>
      </c>
      <c r="F1228" s="720"/>
      <c r="G1228" s="720"/>
      <c r="H1228" s="748" t="str">
        <f>EUconst_tCO2</f>
        <v>t CO2</v>
      </c>
      <c r="I1228" s="722"/>
      <c r="J1228" s="2144" t="str">
        <f>INDEX(F_ProductBM!J:J,MATCH($P1228,F_ProductBM!$Q:$Q,0))</f>
        <v/>
      </c>
      <c r="K1228" s="2072" t="str">
        <f>INDEX(F_ProductBM!K:K,MATCH($P1228,F_ProductBM!$Q:$Q,0))</f>
        <v/>
      </c>
      <c r="L1228" s="2073" t="str">
        <f>INDEX(F_ProductBM!L:L,MATCH($P1228,F_ProductBM!$Q:$Q,0))</f>
        <v/>
      </c>
      <c r="M1228" s="2073" t="str">
        <f>INDEX(F_ProductBM!M:M,MATCH($P1228,F_ProductBM!$Q:$Q,0))</f>
        <v/>
      </c>
      <c r="N1228" s="2073" t="str">
        <f>INDEX(F_ProductBM!N:N,MATCH($P1228,F_ProductBM!$Q:$Q,0))</f>
        <v/>
      </c>
      <c r="O1228" s="485"/>
      <c r="P1228" s="1158" t="str">
        <f>EUconst_CNTR_HALinitial &amp; EUconst_CNTR_WGFlared &amp; I1133</f>
        <v>HALini_WasteGasFlare_</v>
      </c>
      <c r="Q1228" s="1137"/>
      <c r="R1228" s="1137"/>
      <c r="S1228" s="1137"/>
      <c r="T1228" s="1137"/>
      <c r="U1228" s="1137"/>
      <c r="V1228" s="1137"/>
    </row>
    <row r="1229" spans="1:22" s="562" customFormat="1" ht="12.75" customHeight="1">
      <c r="A1229" s="719"/>
      <c r="B1229" s="485"/>
      <c r="C1229" s="559"/>
      <c r="D1229" s="706"/>
      <c r="E1229" s="723" t="s">
        <v>2232</v>
      </c>
      <c r="F1229" s="723"/>
      <c r="G1229" s="723"/>
      <c r="H1229" s="734" t="s">
        <v>1021</v>
      </c>
      <c r="I1229" s="735"/>
      <c r="J1229" s="23" t="str">
        <f>INDEX(F_ProductBM!J:J,MATCH($P1229,F_ProductBM!$Q:$Q,0))</f>
        <v/>
      </c>
      <c r="K1229" s="46" t="str">
        <f>INDEX(F_ProductBM!K:K,MATCH($P1229,F_ProductBM!$Q:$Q,0))</f>
        <v/>
      </c>
      <c r="L1229" s="27" t="str">
        <f>INDEX(F_ProductBM!L:L,MATCH($P1229,F_ProductBM!$Q:$Q,0))</f>
        <v/>
      </c>
      <c r="M1229" s="27" t="str">
        <f>INDEX(F_ProductBM!M:M,MATCH($P1229,F_ProductBM!$Q:$Q,0))</f>
        <v/>
      </c>
      <c r="N1229" s="27" t="str">
        <f>INDEX(F_ProductBM!N:N,MATCH($P1229,F_ProductBM!$Q:$Q,0))</f>
        <v/>
      </c>
      <c r="O1229" s="485"/>
      <c r="P1229" s="1158" t="str">
        <f>EUconst_CNTR_RelThreshold &amp; P1231</f>
        <v>RelThresh_HALprelim_WasteGasFlare_</v>
      </c>
      <c r="Q1229" s="1137"/>
      <c r="R1229" s="1137"/>
      <c r="S1229" s="1137"/>
      <c r="T1229" s="1137"/>
      <c r="U1229" s="1137"/>
      <c r="V1229" s="1137"/>
    </row>
    <row r="1230" spans="1:22" s="562" customFormat="1" ht="12.75" customHeight="1">
      <c r="A1230" s="719"/>
      <c r="B1230" s="485"/>
      <c r="C1230" s="559"/>
      <c r="D1230" s="706"/>
      <c r="E1230" s="736" t="s">
        <v>1856</v>
      </c>
      <c r="F1230" s="736"/>
      <c r="G1230" s="736"/>
      <c r="H1230" s="737" t="s">
        <v>1021</v>
      </c>
      <c r="I1230" s="738"/>
      <c r="J1230" s="2145" t="str">
        <f>INDEX(F_ProductBM!V:V,MATCH($P1230,F_ProductBM!$Q:$Q,0))</f>
        <v/>
      </c>
      <c r="K1230" s="2134" t="str">
        <f>INDEX(F_ProductBM!W:W,MATCH($P1230,F_ProductBM!$Q:$Q,0))</f>
        <v/>
      </c>
      <c r="L1230" s="2135" t="str">
        <f>INDEX(F_ProductBM!X:X,MATCH($P1230,F_ProductBM!$Q:$Q,0))</f>
        <v/>
      </c>
      <c r="M1230" s="2135" t="str">
        <f>INDEX(F_ProductBM!Y:Y,MATCH($P1230,F_ProductBM!$Q:$Q,0))</f>
        <v/>
      </c>
      <c r="N1230" s="2135" t="str">
        <f>INDEX(F_ProductBM!Z:Z,MATCH($P1230,F_ProductBM!$Q:$Q,0))</f>
        <v/>
      </c>
      <c r="O1230" s="485"/>
      <c r="P1230" s="1158" t="str">
        <f>P1229</f>
        <v>RelThresh_HALprelim_WasteGasFlare_</v>
      </c>
      <c r="Q1230" s="1137"/>
      <c r="R1230" s="1137"/>
      <c r="S1230" s="1137"/>
      <c r="T1230" s="1137"/>
      <c r="U1230" s="1137"/>
      <c r="V1230" s="1137"/>
    </row>
    <row r="1231" spans="1:22" s="562" customFormat="1" ht="12.75" customHeight="1">
      <c r="A1231" s="719"/>
      <c r="B1231" s="485"/>
      <c r="C1231" s="559"/>
      <c r="D1231" s="706"/>
      <c r="E1231" s="727" t="s">
        <v>1689</v>
      </c>
      <c r="F1231" s="727"/>
      <c r="G1231" s="727"/>
      <c r="H1231" s="728" t="str">
        <f>EUconst_tCO2</f>
        <v>t CO2</v>
      </c>
      <c r="I1231" s="729"/>
      <c r="J1231" s="2146" t="str">
        <f>IF(OR($I1133="",CNTR_SubPeriod=1),"",INDEX(F_ProductBM!J:J,MATCH($P1231,F_ProductBM!$Q:$Q,0)))</f>
        <v/>
      </c>
      <c r="K1231" s="2072" t="str">
        <f>IF(OR($I1133="",CNTR_SubPeriod=1),"",INDEX(F_ProductBM!K:K,MATCH($P1231,F_ProductBM!$Q:$Q,0)))</f>
        <v/>
      </c>
      <c r="L1231" s="2073" t="str">
        <f>IF(OR($I1133="",CNTR_SubPeriod=1),"",INDEX(F_ProductBM!L:L,MATCH($P1231,F_ProductBM!$Q:$Q,0)))</f>
        <v/>
      </c>
      <c r="M1231" s="2073" t="str">
        <f>IF(OR($I1133="",CNTR_SubPeriod=1),"",INDEX(F_ProductBM!M:M,MATCH($P1231,F_ProductBM!$Q:$Q,0)))</f>
        <v/>
      </c>
      <c r="N1231" s="2073" t="str">
        <f>IF(OR($I1133="",CNTR_SubPeriod=1),"",INDEX(F_ProductBM!N:N,MATCH($P1231,F_ProductBM!$Q:$Q,0)))</f>
        <v/>
      </c>
      <c r="O1231" s="485"/>
      <c r="P1231" s="1158" t="str">
        <f>EUconst_CNTR_HALprelim&amp;EUconst_CNTR_WGFlared&amp;$I1133</f>
        <v>HALprelim_WasteGasFlare_</v>
      </c>
      <c r="Q1231" s="1137"/>
      <c r="R1231" s="1137"/>
      <c r="S1231" s="1137"/>
      <c r="T1231" s="1137"/>
      <c r="U1231" s="1137"/>
      <c r="V1231" s="1137"/>
    </row>
    <row r="1232" spans="1:22" s="562" customFormat="1" ht="12.75" hidden="1" customHeight="1">
      <c r="A1232" s="719" t="s">
        <v>2289</v>
      </c>
      <c r="B1232" s="485"/>
      <c r="C1232" s="559"/>
      <c r="D1232" s="706"/>
      <c r="E1232" s="723" t="s">
        <v>1390</v>
      </c>
      <c r="F1232" s="723"/>
      <c r="G1232" s="723"/>
      <c r="H1232" s="724" t="str">
        <f>EUconst_EUA</f>
        <v>UKA</v>
      </c>
      <c r="I1232" s="725"/>
      <c r="J1232" s="2139" t="str">
        <f t="shared" ref="J1232:N1234" si="91">I1245</f>
        <v/>
      </c>
      <c r="K1232" s="2072" t="str">
        <f t="shared" si="91"/>
        <v/>
      </c>
      <c r="L1232" s="2073" t="str">
        <f t="shared" si="91"/>
        <v/>
      </c>
      <c r="M1232" s="2073" t="str">
        <f t="shared" si="91"/>
        <v/>
      </c>
      <c r="N1232" s="2073" t="str">
        <f t="shared" si="91"/>
        <v/>
      </c>
      <c r="O1232" s="485"/>
      <c r="P1232" s="1137"/>
      <c r="Q1232" s="1137"/>
      <c r="R1232" s="1137"/>
      <c r="S1232" s="1137"/>
      <c r="T1232" s="1137"/>
      <c r="U1232" s="1137"/>
      <c r="V1232" s="1137"/>
    </row>
    <row r="1233" spans="1:22" s="562" customFormat="1" ht="12.75" hidden="1" customHeight="1">
      <c r="A1233" s="719" t="s">
        <v>2289</v>
      </c>
      <c r="B1233" s="485"/>
      <c r="C1233" s="559"/>
      <c r="D1233" s="706"/>
      <c r="E1233" s="723" t="s">
        <v>1389</v>
      </c>
      <c r="F1233" s="723"/>
      <c r="G1233" s="723"/>
      <c r="H1233" s="726" t="s">
        <v>1021</v>
      </c>
      <c r="I1233" s="725"/>
      <c r="J1233" s="2140" t="str">
        <f t="shared" si="91"/>
        <v/>
      </c>
      <c r="K1233" s="2141" t="str">
        <f t="shared" si="91"/>
        <v/>
      </c>
      <c r="L1233" s="2142" t="str">
        <f t="shared" si="91"/>
        <v/>
      </c>
      <c r="M1233" s="2142" t="str">
        <f t="shared" si="91"/>
        <v/>
      </c>
      <c r="N1233" s="2142" t="str">
        <f t="shared" si="91"/>
        <v/>
      </c>
      <c r="O1233" s="485"/>
      <c r="P1233" s="1137"/>
      <c r="Q1233" s="1137"/>
      <c r="R1233" s="1137"/>
      <c r="S1233" s="1137"/>
      <c r="T1233" s="1137"/>
      <c r="U1233" s="1137"/>
      <c r="V1233" s="1137"/>
    </row>
    <row r="1234" spans="1:22" s="562" customFormat="1" ht="12.75" hidden="1" customHeight="1">
      <c r="A1234" s="719" t="s">
        <v>2289</v>
      </c>
      <c r="B1234" s="485"/>
      <c r="C1234" s="559"/>
      <c r="D1234" s="706"/>
      <c r="E1234" s="727" t="s">
        <v>1391</v>
      </c>
      <c r="F1234" s="727"/>
      <c r="G1234" s="727"/>
      <c r="H1234" s="728" t="s">
        <v>1021</v>
      </c>
      <c r="I1234" s="729"/>
      <c r="J1234" s="2143" t="str">
        <f t="shared" si="91"/>
        <v/>
      </c>
      <c r="K1234" s="2141" t="str">
        <f t="shared" si="91"/>
        <v/>
      </c>
      <c r="L1234" s="2142" t="str">
        <f t="shared" si="91"/>
        <v/>
      </c>
      <c r="M1234" s="2142" t="str">
        <f t="shared" si="91"/>
        <v/>
      </c>
      <c r="N1234" s="2142" t="str">
        <f t="shared" si="91"/>
        <v/>
      </c>
      <c r="O1234" s="485"/>
      <c r="P1234" s="1137"/>
      <c r="Q1234" s="1137"/>
      <c r="R1234" s="1137"/>
      <c r="S1234" s="1137"/>
      <c r="T1234" s="1137"/>
      <c r="U1234" s="1137"/>
      <c r="V1234" s="1137"/>
    </row>
    <row r="1235" spans="1:22" s="562" customFormat="1" ht="12.75" customHeight="1">
      <c r="A1235" s="719"/>
      <c r="B1235" s="485"/>
      <c r="C1235" s="559"/>
      <c r="D1235" s="706"/>
      <c r="E1235" s="698" t="s">
        <v>1671</v>
      </c>
      <c r="F1235" s="698"/>
      <c r="G1235" s="698"/>
      <c r="H1235" s="730" t="str">
        <f>EUconst_EUA</f>
        <v>UKA</v>
      </c>
      <c r="I1235" s="731"/>
      <c r="J1235" s="2129" t="str">
        <f>IF(J1231="","",MAX(0,ROUND((SUM($M1136)*SUM(J1226)*SUM(J1233)*SUM(J1234)-SUM(J1227)-SUM(J1231)+SUM(J1232))*IF($H1136=TRUE,1,J$2517),0)))</f>
        <v/>
      </c>
      <c r="K1235" s="2072" t="str">
        <f>IF(K1231="","",MAX(0,ROUND((SUM($M1136)*SUM(K1226)*SUM(K1233)*SUM(K1234)-SUM(K1227)-SUM(K1231)+SUM(K1232))*IF($H1136=TRUE,1,K$2517),0)))</f>
        <v/>
      </c>
      <c r="L1235" s="2073" t="str">
        <f>IF(L1231="","",MAX(0,ROUND((SUM($M1136)*SUM(L1226)*SUM(L1233)*SUM(L1234)-SUM(L1227)-SUM(L1231)+SUM(L1232))*IF($H1136=TRUE,1,L$2517),0)))</f>
        <v/>
      </c>
      <c r="M1235" s="2073" t="str">
        <f>IF(M1231="","",MAX(0,ROUND((SUM($M1136)*SUM(M1226)*SUM(M1233)*SUM(M1234)-SUM(M1227)-SUM(M1231)+SUM(M1232))*IF($H1136=TRUE,1,M$2517),0)))</f>
        <v/>
      </c>
      <c r="N1235" s="2073" t="str">
        <f>IF(N1231="","",MAX(0,ROUND((SUM($M1136)*SUM(N1226)*SUM(N1233)*SUM(N1234)-SUM(N1227)-SUM(N1231)+SUM(N1232))*IF($H1136=TRUE,1,N$2517),0)))</f>
        <v/>
      </c>
      <c r="O1235" s="485"/>
      <c r="P1235" s="1137"/>
      <c r="Q1235" s="1137"/>
      <c r="R1235" s="1137"/>
      <c r="S1235" s="1137"/>
      <c r="T1235" s="1137"/>
      <c r="U1235" s="1137"/>
      <c r="V1235" s="1137"/>
    </row>
    <row r="1236" spans="1:22" s="562" customFormat="1" ht="12.75" customHeight="1">
      <c r="A1236" s="719"/>
      <c r="B1236" s="485"/>
      <c r="C1236" s="559"/>
      <c r="D1236" s="706"/>
      <c r="E1236" s="698" t="s">
        <v>1670</v>
      </c>
      <c r="F1236" s="698"/>
      <c r="G1236" s="698"/>
      <c r="H1236" s="730" t="str">
        <f>EUconst_EUA</f>
        <v>UKA</v>
      </c>
      <c r="I1236" s="731"/>
      <c r="J1236" s="2129" t="str">
        <f>IF(J1235="","",ABS(SUM(J1235)-SUM(J1153)))</f>
        <v/>
      </c>
      <c r="K1236" s="2072" t="str">
        <f>IF(K1235="","",ABS(SUM(K1235)-SUM(K1153)))</f>
        <v/>
      </c>
      <c r="L1236" s="2073" t="str">
        <f>IF(L1235="","",ABS(SUM(L1235)-SUM(L1153)))</f>
        <v/>
      </c>
      <c r="M1236" s="2073" t="str">
        <f>IF(M1235="","",ABS(SUM(M1235)-SUM(M1153)))</f>
        <v/>
      </c>
      <c r="N1236" s="2073" t="str">
        <f>IF(N1235="","",ABS(SUM(N1235)-SUM(N1153)))</f>
        <v/>
      </c>
      <c r="O1236" s="485"/>
      <c r="P1236" s="1137"/>
      <c r="Q1236" s="1137"/>
      <c r="R1236" s="1137"/>
      <c r="S1236" s="1137"/>
      <c r="T1236" s="1137"/>
      <c r="U1236" s="1137"/>
      <c r="V1236" s="1137"/>
    </row>
    <row r="1237" spans="1:22" s="562" customFormat="1" ht="12.75" customHeight="1">
      <c r="A1237" s="719"/>
      <c r="B1237" s="485"/>
      <c r="C1237" s="559"/>
      <c r="D1237" s="706"/>
      <c r="E1237" s="740" t="s">
        <v>2135</v>
      </c>
      <c r="F1237" s="698"/>
      <c r="G1237" s="698"/>
      <c r="H1237" s="741" t="s">
        <v>1021</v>
      </c>
      <c r="I1237" s="742"/>
      <c r="J1237" s="2147" t="str">
        <f>IF(J1236="","",J1236&gt;=100)</f>
        <v/>
      </c>
      <c r="K1237" s="2134" t="str">
        <f>IF(K1236="","",K1236&gt;=100)</f>
        <v/>
      </c>
      <c r="L1237" s="2135" t="str">
        <f>IF(L1236="","",L1236&gt;=100)</f>
        <v/>
      </c>
      <c r="M1237" s="2135" t="str">
        <f>IF(M1236="","",M1236&gt;=100)</f>
        <v/>
      </c>
      <c r="N1237" s="2135" t="str">
        <f>IF(N1236="","",N1236&gt;=100)</f>
        <v/>
      </c>
      <c r="O1237" s="485"/>
      <c r="P1237" s="1158" t="str">
        <f>EUconst_CNTR_100EUA_WGFlare&amp;I1133</f>
        <v>EUA100WGFlare_</v>
      </c>
      <c r="Q1237" s="1137"/>
      <c r="R1237" s="1137"/>
      <c r="S1237" s="1137"/>
      <c r="T1237" s="1137"/>
      <c r="U1237" s="1137"/>
      <c r="V1237" s="1137"/>
    </row>
    <row r="1238" spans="1:22" s="562" customFormat="1" ht="12.75" customHeight="1" thickBot="1">
      <c r="A1238" s="719"/>
      <c r="B1238" s="485"/>
      <c r="C1238" s="559"/>
      <c r="D1238" s="755"/>
      <c r="E1238" s="756"/>
      <c r="F1238" s="756"/>
      <c r="G1238" s="756"/>
      <c r="H1238" s="756"/>
      <c r="I1238" s="757"/>
      <c r="J1238" s="756"/>
      <c r="K1238" s="1790"/>
      <c r="L1238" s="1791"/>
      <c r="M1238" s="1791"/>
      <c r="N1238" s="1791"/>
      <c r="O1238" s="485"/>
      <c r="P1238" s="1137"/>
      <c r="Q1238" s="1137"/>
      <c r="R1238" s="1137"/>
      <c r="S1238" s="1137"/>
      <c r="T1238" s="1137"/>
      <c r="U1238" s="1137"/>
      <c r="V1238" s="1137"/>
    </row>
    <row r="1239" spans="1:22" s="562" customFormat="1" ht="5.0999999999999996" customHeight="1" thickBot="1">
      <c r="A1239" s="817"/>
      <c r="B1239" s="485"/>
      <c r="C1239" s="559"/>
      <c r="D1239" s="559"/>
      <c r="E1239" s="485"/>
      <c r="F1239" s="485"/>
      <c r="G1239" s="485"/>
      <c r="H1239" s="485"/>
      <c r="I1239" s="743"/>
      <c r="J1239" s="485"/>
      <c r="K1239" s="1790"/>
      <c r="L1239" s="1791"/>
      <c r="M1239" s="1791"/>
      <c r="N1239" s="1791"/>
      <c r="O1239" s="485"/>
      <c r="P1239" s="1137"/>
      <c r="Q1239" s="1137"/>
      <c r="R1239" s="1137"/>
      <c r="S1239" s="1137"/>
      <c r="T1239" s="1137"/>
      <c r="U1239" s="1137"/>
      <c r="V1239" s="1137"/>
    </row>
    <row r="1240" spans="1:22" s="562" customFormat="1" ht="5.0999999999999996" customHeight="1">
      <c r="A1240" s="817"/>
      <c r="B1240" s="485"/>
      <c r="C1240" s="485"/>
      <c r="D1240" s="759"/>
      <c r="E1240" s="760"/>
      <c r="F1240" s="760"/>
      <c r="G1240" s="760"/>
      <c r="H1240" s="760"/>
      <c r="I1240" s="761"/>
      <c r="J1240" s="760"/>
      <c r="K1240" s="1790"/>
      <c r="L1240" s="1791"/>
      <c r="M1240" s="1791"/>
      <c r="N1240" s="1791"/>
      <c r="O1240" s="485"/>
      <c r="P1240" s="1137"/>
      <c r="Q1240" s="1137"/>
      <c r="R1240" s="1137"/>
      <c r="S1240" s="1137"/>
      <c r="T1240" s="1117"/>
      <c r="U1240" s="1137"/>
      <c r="V1240" s="1137"/>
    </row>
    <row r="1241" spans="1:22" s="562" customFormat="1">
      <c r="A1241" s="817"/>
      <c r="B1241" s="485"/>
      <c r="C1241" s="485"/>
      <c r="D1241" s="539"/>
      <c r="E1241" s="496" t="s">
        <v>1786</v>
      </c>
      <c r="F1241" s="485"/>
      <c r="G1241" s="485"/>
      <c r="H1241" s="663" t="str">
        <f>EUconst_Unit</f>
        <v>Unit</v>
      </c>
      <c r="I1241" s="763" t="s">
        <v>1675</v>
      </c>
      <c r="J1241" s="2132">
        <f>J$2737</f>
        <v>2026</v>
      </c>
      <c r="K1241" s="1489">
        <f>K$2737</f>
        <v>2027</v>
      </c>
      <c r="L1241" s="1490">
        <f>L$2737</f>
        <v>2028</v>
      </c>
      <c r="M1241" s="1490">
        <f>M$2737</f>
        <v>2029</v>
      </c>
      <c r="N1241" s="1490">
        <f>N$2737</f>
        <v>2030</v>
      </c>
      <c r="O1241" s="485"/>
      <c r="P1241" s="1137"/>
      <c r="Q1241" s="1137"/>
      <c r="R1241" s="1137"/>
      <c r="S1241" s="2155" t="s">
        <v>1646</v>
      </c>
      <c r="T1241" s="1117"/>
      <c r="U1241" s="1137"/>
      <c r="V1241" s="1137"/>
    </row>
    <row r="1242" spans="1:22" s="562" customFormat="1">
      <c r="A1242" s="817"/>
      <c r="B1242" s="485"/>
      <c r="C1242" s="485"/>
      <c r="D1242" s="539"/>
      <c r="E1242" s="720" t="s">
        <v>1714</v>
      </c>
      <c r="F1242" s="720"/>
      <c r="G1242" s="720"/>
      <c r="H1242" s="732" t="str">
        <f>H1226</f>
        <v>tonnes</v>
      </c>
      <c r="I1242" s="764" t="str">
        <f>IF($I1133="","",IF(T1248&gt;=$H$2736,0,S1242))</f>
        <v/>
      </c>
      <c r="J1242" s="2144" t="str">
        <f>IF($I1133="","",INDEX(F_ProductBM!J:J,MATCH($P1242,F_ProductBM!$Q:$Q,0)))</f>
        <v/>
      </c>
      <c r="K1242" s="2072" t="str">
        <f>IF($I1133="","",INDEX(F_ProductBM!K:K,MATCH($P1242,F_ProductBM!$Q:$Q,0)))</f>
        <v/>
      </c>
      <c r="L1242" s="2073" t="str">
        <f>IF($I1133="","",INDEX(F_ProductBM!L:L,MATCH($P1242,F_ProductBM!$Q:$Q,0)))</f>
        <v/>
      </c>
      <c r="M1242" s="2073" t="str">
        <f>IF($I1133="","",INDEX(F_ProductBM!M:M,MATCH($P1242,F_ProductBM!$Q:$Q,0)))</f>
        <v/>
      </c>
      <c r="N1242" s="2073" t="str">
        <f>IF($I1133="","",INDEX(F_ProductBM!N:N,MATCH($P1242,F_ProductBM!$Q:$Q,0)))</f>
        <v/>
      </c>
      <c r="O1242" s="485"/>
      <c r="P1242" s="1158" t="str">
        <f>EUconst_CNTR_HALfinal&amp;I1133</f>
        <v>HALfinal_</v>
      </c>
      <c r="Q1242" s="1137"/>
      <c r="R1242" s="1137"/>
      <c r="S1242" s="2156" t="str">
        <f>IF($I1133="","",INDEX(F_ProductBM!I:I,MATCH($P1242,F_ProductBM!$Q:$Q,0)))</f>
        <v/>
      </c>
      <c r="T1242" s="1117"/>
      <c r="U1242" s="1137"/>
      <c r="V1242" s="1137"/>
    </row>
    <row r="1243" spans="1:22" s="562" customFormat="1">
      <c r="A1243" s="817"/>
      <c r="B1243" s="485"/>
      <c r="C1243" s="485"/>
      <c r="D1243" s="539"/>
      <c r="E1243" s="645" t="s">
        <v>303</v>
      </c>
      <c r="F1243" s="645"/>
      <c r="G1243" s="645"/>
      <c r="H1243" s="765" t="str">
        <f>EUconst_EUA</f>
        <v>UKA</v>
      </c>
      <c r="I1243" s="766" t="str">
        <f>IF($I1133="","",IF(YEAR(J1136)&gt;=$H$2736-1,0,S1243))</f>
        <v/>
      </c>
      <c r="J1243" s="2157" t="str">
        <f>IF($I1133="","",INDEX(F_ProductBM!J:J,MATCH($P1243,F_ProductBM!$Q:$Q,0)))</f>
        <v/>
      </c>
      <c r="K1243" s="2072" t="str">
        <f>IF($I1133="","",INDEX(F_ProductBM!K:K,MATCH($P1243,F_ProductBM!$Q:$Q,0)))</f>
        <v/>
      </c>
      <c r="L1243" s="2073" t="str">
        <f>IF($I1133="","",INDEX(F_ProductBM!L:L,MATCH($P1243,F_ProductBM!$Q:$Q,0)))</f>
        <v/>
      </c>
      <c r="M1243" s="2073" t="str">
        <f>IF($I1133="","",INDEX(F_ProductBM!M:M,MATCH($P1243,F_ProductBM!$Q:$Q,0)))</f>
        <v/>
      </c>
      <c r="N1243" s="2073" t="str">
        <f>IF($I1133="","",INDEX(F_ProductBM!N:N,MATCH($P1243,F_ProductBM!$Q:$Q,0)))</f>
        <v/>
      </c>
      <c r="O1243" s="485"/>
      <c r="P1243" s="1158" t="str">
        <f>EUconst_CNTR_HEATfinal&amp;I1133</f>
        <v>HEATfinal_</v>
      </c>
      <c r="Q1243" s="1137"/>
      <c r="R1243" s="1137"/>
      <c r="S1243" s="2158" t="str">
        <f>IF($I1133="","",INDEX(F_ProductBM!I:I,MATCH($P1243,F_ProductBM!$Q:$Q,0)))</f>
        <v/>
      </c>
      <c r="T1243" s="1117"/>
      <c r="U1243" s="1137"/>
      <c r="V1243" s="1137"/>
    </row>
    <row r="1244" spans="1:22" s="562" customFormat="1">
      <c r="A1244" s="817"/>
      <c r="B1244" s="485"/>
      <c r="C1244" s="485"/>
      <c r="D1244" s="539"/>
      <c r="E1244" s="723" t="s">
        <v>1422</v>
      </c>
      <c r="F1244" s="723"/>
      <c r="G1244" s="723"/>
      <c r="H1244" s="724" t="str">
        <f>EUconst_EUA</f>
        <v>UKA</v>
      </c>
      <c r="I1244" s="767" t="str">
        <f>IF($I1133="","",IF(T1248&gt;=$H$2736,0,S1244))</f>
        <v/>
      </c>
      <c r="J1244" s="2159" t="str">
        <f>IF($I1133="","",INDEX(F_ProductBM!J:J,MATCH($P1244,F_ProductBM!$Q:$Q,0)))</f>
        <v/>
      </c>
      <c r="K1244" s="2072" t="str">
        <f>IF($I1133="","",INDEX(F_ProductBM!K:K,MATCH($P1244,F_ProductBM!$Q:$Q,0)))</f>
        <v/>
      </c>
      <c r="L1244" s="2073" t="str">
        <f>IF($I1133="","",INDEX(F_ProductBM!L:L,MATCH($P1244,F_ProductBM!$Q:$Q,0)))</f>
        <v/>
      </c>
      <c r="M1244" s="2073" t="str">
        <f>IF($I1133="","",INDEX(F_ProductBM!M:M,MATCH($P1244,F_ProductBM!$Q:$Q,0)))</f>
        <v/>
      </c>
      <c r="N1244" s="2073" t="str">
        <f>IF($I1133="","",INDEX(F_ProductBM!N:N,MATCH($P1244,F_ProductBM!$Q:$Q,0)))</f>
        <v/>
      </c>
      <c r="O1244" s="485"/>
      <c r="P1244" s="1158" t="str">
        <f>EUconst_CNTR_HALfinal&amp;EUconst_CNTR_WGFlared&amp;$I1133</f>
        <v>HALfinal_WasteGasFlare_</v>
      </c>
      <c r="Q1244" s="1137"/>
      <c r="R1244" s="1137"/>
      <c r="S1244" s="2160" t="str">
        <f>IF($I1133="","",INDEX(F_ProductBM!I:I,MATCH($P1244,F_ProductBM!$Q:$Q,0)))</f>
        <v/>
      </c>
      <c r="T1244" s="1117"/>
      <c r="U1244" s="1137"/>
      <c r="V1244" s="1137"/>
    </row>
    <row r="1245" spans="1:22" s="562" customFormat="1">
      <c r="A1245" s="817"/>
      <c r="B1245" s="485"/>
      <c r="C1245" s="485"/>
      <c r="D1245" s="539"/>
      <c r="E1245" s="723" t="s">
        <v>1390</v>
      </c>
      <c r="F1245" s="723"/>
      <c r="G1245" s="723"/>
      <c r="H1245" s="724" t="str">
        <f>EUconst_EUA</f>
        <v>UKA</v>
      </c>
      <c r="I1245" s="767" t="str">
        <f>IF($I1133="","",IF(T1248&gt;=$H$2736,0,IF(L1136=42,S1245,0)))</f>
        <v/>
      </c>
      <c r="J1245" s="2159" t="str">
        <f>IF($I1133="","",IF($L1136=42,INDEX(H_SpecialBM!J:J,MATCH($P1245,H_SpecialBM!$Q:$Q,0)),0))</f>
        <v/>
      </c>
      <c r="K1245" s="2072" t="str">
        <f>IF($I1133="","",IF($L1136=42,INDEX(H_SpecialBM!K:K,MATCH($P1245,H_SpecialBM!$Q:$Q,0)),0))</f>
        <v/>
      </c>
      <c r="L1245" s="2073" t="str">
        <f>IF($I1133="","",IF($L1136=42,INDEX(H_SpecialBM!L:L,MATCH($P1245,H_SpecialBM!$Q:$Q,0)),0))</f>
        <v/>
      </c>
      <c r="M1245" s="2073" t="str">
        <f>IF($I1133="","",IF($L1136=42,INDEX(H_SpecialBM!M:M,MATCH($P1245,H_SpecialBM!$Q:$Q,0)),0))</f>
        <v/>
      </c>
      <c r="N1245" s="2073" t="str">
        <f>IF($I1133="","",IF($L1136=42,INDEX(H_SpecialBM!N:N,MATCH($P1245,H_SpecialBM!$Q:$Q,0)),0))</f>
        <v/>
      </c>
      <c r="O1245" s="485"/>
      <c r="P1245" s="1158" t="str">
        <f>EUconst_CNTR_HVCfinal</f>
        <v>HVCfinal_</v>
      </c>
      <c r="Q1245" s="1137"/>
      <c r="R1245" s="1137"/>
      <c r="S1245" s="2160" t="str">
        <f>IF($I1133="","",IF(L1136=42,INDEX(H_SpecialBM!I:I,MATCH($P1245,H_SpecialBM!$Q:$Q,0)),0))</f>
        <v/>
      </c>
      <c r="T1245" s="1117"/>
      <c r="U1245" s="1137"/>
      <c r="V1245" s="1137"/>
    </row>
    <row r="1246" spans="1:22" s="562" customFormat="1">
      <c r="A1246" s="817"/>
      <c r="B1246" s="485"/>
      <c r="C1246" s="485"/>
      <c r="D1246" s="539"/>
      <c r="E1246" s="723" t="s">
        <v>1389</v>
      </c>
      <c r="F1246" s="723"/>
      <c r="G1246" s="723"/>
      <c r="H1246" s="726" t="s">
        <v>1021</v>
      </c>
      <c r="I1246" s="768" t="str">
        <f>IF(AND($I1133&lt;&gt;"",$I1136=TRUE),IF(T1248&gt;=$H$2736,1,S1246),IF($I1133="","",1))</f>
        <v/>
      </c>
      <c r="J1246" s="2161" t="str">
        <f>IF(AND($I1133&lt;&gt;"",$I1136=TRUE),INDEX(F_ProductBM!J:J,MATCH($P1246,F_ProductBM!$Q:$Q,0)),IF($I1133="","",1))</f>
        <v/>
      </c>
      <c r="K1246" s="2141" t="str">
        <f>IF(AND($I1133&lt;&gt;"",$I1136=TRUE),INDEX(F_ProductBM!K:K,MATCH($P1246,F_ProductBM!$Q:$Q,0)),IF($I1133="","",1))</f>
        <v/>
      </c>
      <c r="L1246" s="2142" t="str">
        <f>IF(AND($I1133&lt;&gt;"",$I1136=TRUE),INDEX(F_ProductBM!L:L,MATCH($P1246,F_ProductBM!$Q:$Q,0)),IF($I1133="","",1))</f>
        <v/>
      </c>
      <c r="M1246" s="2142" t="str">
        <f>IF(AND($I1133&lt;&gt;"",$I1136=TRUE),INDEX(F_ProductBM!M:M,MATCH($P1246,F_ProductBM!$Q:$Q,0)),IF($I1133="","",1))</f>
        <v/>
      </c>
      <c r="N1246" s="2142" t="str">
        <f>IF(AND($I1133&lt;&gt;"",$I1136=TRUE),INDEX(F_ProductBM!N:N,MATCH($P1246,F_ProductBM!$Q:$Q,0)),IF($I1133="","",1))</f>
        <v/>
      </c>
      <c r="O1246" s="485"/>
      <c r="P1246" s="1158" t="str">
        <f>EUconst_CNTR_HALfinal&amp;EUconst_CNTR_ELEXCH&amp;$I1133</f>
        <v>HALfinal_ELEXCH_</v>
      </c>
      <c r="Q1246" s="1137"/>
      <c r="R1246" s="1137"/>
      <c r="S1246" s="2162" t="str">
        <f>IF(AND($I1133&lt;&gt;"",$I1136=TRUE),INDEX(F_ProductBM!I:I,MATCH($P1246,F_ProductBM!$Q:$Q,0)),IF($I1133="","",1))</f>
        <v/>
      </c>
      <c r="T1246" s="1137"/>
      <c r="U1246" s="1137"/>
      <c r="V1246" s="1137"/>
    </row>
    <row r="1247" spans="1:22" s="562" customFormat="1">
      <c r="A1247" s="817"/>
      <c r="B1247" s="485"/>
      <c r="C1247" s="485"/>
      <c r="D1247" s="539"/>
      <c r="E1247" s="727" t="s">
        <v>1391</v>
      </c>
      <c r="F1247" s="727"/>
      <c r="G1247" s="727"/>
      <c r="H1247" s="728" t="s">
        <v>1021</v>
      </c>
      <c r="I1247" s="769" t="str">
        <f>IF($I1133="","",IF($L1136=47,IF(AND(ISNUMBER(S1247),YEAR(J1136)&lt;2021),S1247,1),1))</f>
        <v/>
      </c>
      <c r="J1247" s="2163" t="str">
        <f>IF($I1133="","",IF($L1136=47,IF(ISNUMBER(INDEX(H_SpecialBM!J:J,MATCH($P1247,H_SpecialBM!$Q:$Q,0))),INDEX(H_SpecialBM!J:J,MATCH($P1247,H_SpecialBM!$Q:$Q,0)),1),1))</f>
        <v/>
      </c>
      <c r="K1247" s="2141" t="str">
        <f>IF($I1133="","",IF($L1136=47,IF(ISNUMBER(INDEX(H_SpecialBM!K:K,MATCH($P1247,H_SpecialBM!$Q:$Q,0))),INDEX(H_SpecialBM!K:K,MATCH($P1247,H_SpecialBM!$Q:$Q,0)),1),1))</f>
        <v/>
      </c>
      <c r="L1247" s="2142" t="str">
        <f>IF($I1133="","",IF($L1136=47,IF(ISNUMBER(INDEX(H_SpecialBM!L:L,MATCH($P1247,H_SpecialBM!$Q:$Q,0))),INDEX(H_SpecialBM!L:L,MATCH($P1247,H_SpecialBM!$Q:$Q,0)),1),1))</f>
        <v/>
      </c>
      <c r="M1247" s="2142" t="str">
        <f>IF($I1133="","",IF($L1136=47,IF(ISNUMBER(INDEX(H_SpecialBM!M:M,MATCH($P1247,H_SpecialBM!$Q:$Q,0))),INDEX(H_SpecialBM!M:M,MATCH($P1247,H_SpecialBM!$Q:$Q,0)),1),1))</f>
        <v/>
      </c>
      <c r="N1247" s="2142" t="str">
        <f>IF($I1133="","",IF($L1136=47,IF(ISNUMBER(INDEX(H_SpecialBM!N:N,MATCH($P1247,H_SpecialBM!$Q:$Q,0))),INDEX(H_SpecialBM!N:N,MATCH($P1247,H_SpecialBM!$Q:$Q,0)),1),1))</f>
        <v/>
      </c>
      <c r="O1247" s="485"/>
      <c r="P1247" s="1158" t="str">
        <f>EUconst_CNTR_VCMfinal</f>
        <v>VCMfinal_</v>
      </c>
      <c r="Q1247" s="1137"/>
      <c r="R1247" s="1137"/>
      <c r="S1247" s="2164" t="str">
        <f>IF($I1133="","",IF($L1136=47,IF(ISNUMBER(INDEX(H_SpecialBM!I:I,MATCH($P1247,H_SpecialBM!$Q:$Q,0))),INDEX(H_SpecialBM!I:I,MATCH($P1247,H_SpecialBM!$Q:$Q,0)),1),1))</f>
        <v/>
      </c>
      <c r="T1247" s="1137"/>
      <c r="U1247" s="1137"/>
      <c r="V1247" s="1137"/>
    </row>
    <row r="1248" spans="1:22" s="562" customFormat="1">
      <c r="A1248" s="817"/>
      <c r="B1248" s="485"/>
      <c r="C1248" s="485"/>
      <c r="D1248" s="539"/>
      <c r="E1248" s="698" t="s">
        <v>222</v>
      </c>
      <c r="F1248" s="698"/>
      <c r="G1248" s="698"/>
      <c r="H1248" s="730" t="str">
        <f>EUconst_EUA</f>
        <v>UKA</v>
      </c>
      <c r="I1248" s="770" t="str">
        <f>IF($I1133="","",MAX(0,ROUND((SUM($M1136)*SUM(I1242)*SUM(I1246)*SUM(I1247)-SUM(I1243)-SUM(I1244)+SUM(I1245))*IF($H1136=TRUE,1,J$2517),0)))</f>
        <v/>
      </c>
      <c r="J1248" s="2129" t="str">
        <f>IF($I1133="","",MAX(0,ROUND((SUM($M1136)*SUM(J1242)*SUM(J1246)*SUM(J1247)-SUM(J1243)-SUM(J1244)+SUM(J1245))*IF($H1136=TRUE,1,J$2517),0)))</f>
        <v/>
      </c>
      <c r="K1248" s="2072" t="str">
        <f>IF($I1133="","",MAX(0,ROUND((SUM($M1136)*SUM(K1242)*SUM(K1246)*SUM(K1247)-SUM(K1243)-SUM(K1244)+SUM(K1245))*IF($H1136=TRUE,1,K$2517),0)))</f>
        <v/>
      </c>
      <c r="L1248" s="2073" t="str">
        <f>IF($I1133="","",MAX(0,ROUND((SUM($M1136)*SUM(L1242)*SUM(L1246)*SUM(L1247)-SUM(L1243)-SUM(L1244)+SUM(L1245))*IF($H1136=TRUE,1,L$2517),0)))</f>
        <v/>
      </c>
      <c r="M1248" s="2073" t="str">
        <f>IF($I1133="","",MAX(0,ROUND((SUM($M1136)*SUM(M1242)*SUM(M1246)*SUM(M1247)-SUM(M1243)-SUM(M1244)+SUM(M1245))*IF($H1136=TRUE,1,M$2517),0)))</f>
        <v/>
      </c>
      <c r="N1248" s="2073" t="str">
        <f>IF($I1133="","",MAX(0,ROUND((SUM($M1136)*SUM(N1242)*SUM(N1246)*SUM(N1247)-SUM(N1243)-SUM(N1244)+SUM(N1245))*IF($H1136=TRUE,1,N$2517),0)))</f>
        <v/>
      </c>
      <c r="O1248" s="485"/>
      <c r="P1248" s="1158" t="str">
        <f>EUconst_AllocPrelim&amp;I1133</f>
        <v>AllocPrelim_</v>
      </c>
      <c r="Q1248" s="1137"/>
      <c r="R1248" s="1137"/>
      <c r="S1248" s="2165" t="str">
        <f>IF($I1133="","",MAX(0,ROUND((SUM($M1136)*SUM(S1242)*SUM(S1246)*SUM(S1247)-SUM(S1243)-SUM(S1244)+SUM(S1245))*IF($H1136=TRUE,1,J$2517),0)))</f>
        <v/>
      </c>
      <c r="T1248" s="1137">
        <f>INDEX(F_ProductBM!V:V,MATCH(C1133,F_ProductBM!C:C,0))</f>
        <v>2005</v>
      </c>
      <c r="U1248" s="1137" t="e">
        <f>INDEX(I1248:N1248,CNTR_ReportingYear-$I$2736)&lt;&gt;INDEX(I1248:N1248,CNTR_ReportingYear-$H$2736)</f>
        <v>#REF!</v>
      </c>
      <c r="V1248" s="1137"/>
    </row>
    <row r="1249" spans="1:22" s="562" customFormat="1" ht="5.0999999999999996" customHeight="1" thickBot="1">
      <c r="A1249" s="817"/>
      <c r="C1249" s="485"/>
      <c r="D1249" s="771"/>
      <c r="E1249" s="756"/>
      <c r="F1249" s="756"/>
      <c r="G1249" s="756"/>
      <c r="H1249" s="756"/>
      <c r="I1249" s="756"/>
      <c r="J1249" s="756"/>
      <c r="K1249" s="1790"/>
      <c r="L1249" s="1791"/>
      <c r="M1249" s="1791"/>
      <c r="N1249" s="1791"/>
      <c r="O1249" s="485"/>
      <c r="P1249" s="1137"/>
      <c r="Q1249" s="1137"/>
      <c r="R1249" s="1137"/>
      <c r="S1249" s="1137"/>
      <c r="T1249" s="1137"/>
      <c r="U1249" s="1137"/>
      <c r="V1249" s="1137"/>
    </row>
    <row r="1250" spans="1:22" s="562" customFormat="1" ht="5.0999999999999996" customHeight="1" thickBot="1">
      <c r="A1250" s="817"/>
      <c r="C1250" s="485"/>
      <c r="E1250" s="561"/>
      <c r="F1250" s="485"/>
      <c r="G1250" s="485"/>
      <c r="H1250" s="485"/>
      <c r="I1250" s="485"/>
      <c r="J1250" s="485"/>
      <c r="K1250" s="1790"/>
      <c r="L1250" s="1791"/>
      <c r="M1250" s="1791"/>
      <c r="N1250" s="1791"/>
      <c r="O1250" s="485"/>
      <c r="P1250" s="1137"/>
      <c r="Q1250" s="1137"/>
      <c r="R1250" s="1137"/>
      <c r="S1250" s="1137"/>
      <c r="T1250" s="1137"/>
      <c r="U1250" s="1137"/>
      <c r="V1250" s="1137"/>
    </row>
    <row r="1251" spans="1:22" s="562" customFormat="1" ht="12.75" customHeight="1">
      <c r="A1251" s="817"/>
      <c r="C1251" s="485"/>
      <c r="D1251" s="772"/>
      <c r="E1251" s="773"/>
      <c r="F1251" s="773"/>
      <c r="G1251" s="774"/>
      <c r="H1251" s="774"/>
      <c r="I1251" s="774"/>
      <c r="J1251" s="774"/>
      <c r="K1251" s="1790"/>
      <c r="L1251" s="1791"/>
      <c r="M1251" s="1791"/>
      <c r="N1251" s="1791"/>
      <c r="O1251" s="485"/>
      <c r="P1251" s="1137"/>
      <c r="Q1251" s="1137"/>
      <c r="R1251" s="1137"/>
      <c r="S1251" s="1137"/>
      <c r="T1251" s="1137"/>
      <c r="U1251" s="1137"/>
      <c r="V1251" s="1137"/>
    </row>
    <row r="1252" spans="1:22" s="562" customFormat="1" ht="13.5" thickBot="1">
      <c r="A1252" s="817"/>
      <c r="C1252" s="485"/>
      <c r="D1252" s="776"/>
      <c r="E1252" s="777"/>
      <c r="F1252" s="777"/>
      <c r="G1252" s="778" t="str">
        <f>EUconst_Unit</f>
        <v>Unit</v>
      </c>
      <c r="H1252" s="779">
        <f t="shared" ref="H1252:M1252" si="92">H$2737</f>
        <v>2024</v>
      </c>
      <c r="I1252" s="780">
        <f t="shared" si="92"/>
        <v>2025</v>
      </c>
      <c r="J1252" s="2166">
        <f t="shared" si="92"/>
        <v>2026</v>
      </c>
      <c r="K1252" s="1489">
        <f t="shared" si="92"/>
        <v>2027</v>
      </c>
      <c r="L1252" s="1490">
        <f t="shared" si="92"/>
        <v>2028</v>
      </c>
      <c r="M1252" s="1490">
        <f t="shared" si="92"/>
        <v>2029</v>
      </c>
      <c r="N1252" s="1490">
        <f>N$2737</f>
        <v>2030</v>
      </c>
      <c r="O1252" s="485"/>
      <c r="P1252" s="1137"/>
      <c r="Q1252" s="1137"/>
      <c r="R1252" s="1137"/>
      <c r="S1252" s="1137"/>
      <c r="T1252" s="1137"/>
      <c r="U1252" s="1137"/>
      <c r="V1252" s="1137"/>
    </row>
    <row r="1253" spans="1:22" s="562" customFormat="1" ht="13.5" customHeight="1" thickBot="1">
      <c r="A1253" s="817"/>
      <c r="C1253" s="485"/>
      <c r="D1253" s="776"/>
      <c r="E1253" s="2470" t="s">
        <v>1504</v>
      </c>
      <c r="F1253" s="2470"/>
      <c r="G1253" s="808" t="str">
        <f>EUconst_tCO2epa</f>
        <v>t CO2e/year</v>
      </c>
      <c r="H1253" s="786" t="str">
        <f t="shared" ref="H1253:N1253" si="93">INDEX(H$92:H$108,MATCH($I1133,$E$92:$E$108,0))</f>
        <v/>
      </c>
      <c r="I1253" s="787" t="str">
        <f t="shared" si="93"/>
        <v/>
      </c>
      <c r="J1253" s="2167" t="str">
        <f t="shared" si="93"/>
        <v/>
      </c>
      <c r="K1253" s="2105" t="str">
        <f t="shared" si="93"/>
        <v/>
      </c>
      <c r="L1253" s="1960" t="str">
        <f t="shared" si="93"/>
        <v/>
      </c>
      <c r="M1253" s="1960" t="str">
        <f t="shared" si="93"/>
        <v/>
      </c>
      <c r="N1253" s="1960" t="str">
        <f t="shared" si="93"/>
        <v/>
      </c>
      <c r="O1253" s="485"/>
      <c r="P1253" s="1137"/>
      <c r="Q1253" s="1137"/>
      <c r="R1253" s="1137"/>
      <c r="S1253" s="1137"/>
      <c r="T1253" s="1137"/>
      <c r="U1253" s="1137"/>
      <c r="V1253" s="1137"/>
    </row>
    <row r="1254" spans="1:22" s="562" customFormat="1" ht="5.0999999999999996" customHeight="1">
      <c r="A1254" s="817"/>
      <c r="C1254" s="485"/>
      <c r="D1254" s="776"/>
      <c r="E1254" s="809"/>
      <c r="F1254" s="809"/>
      <c r="G1254" s="777"/>
      <c r="H1254" s="2168"/>
      <c r="I1254" s="2168"/>
      <c r="J1254" s="2168"/>
      <c r="K1254" s="2169"/>
      <c r="L1254" s="2170"/>
      <c r="M1254" s="2170"/>
      <c r="N1254" s="2170"/>
      <c r="O1254" s="485"/>
      <c r="P1254" s="1137"/>
      <c r="Q1254" s="1137"/>
      <c r="R1254" s="1137"/>
      <c r="S1254" s="1137"/>
      <c r="T1254" s="1137"/>
      <c r="U1254" s="1137"/>
      <c r="V1254" s="1137"/>
    </row>
    <row r="1255" spans="1:22" s="562" customFormat="1" ht="12.75" customHeight="1">
      <c r="A1255" s="817"/>
      <c r="C1255" s="485"/>
      <c r="D1255" s="776"/>
      <c r="E1255" s="2471" t="s">
        <v>1344</v>
      </c>
      <c r="F1255" s="3467"/>
      <c r="G1255" s="811" t="str">
        <f>EUconst_TJpa</f>
        <v>TJ / year</v>
      </c>
      <c r="H1255" s="625" t="str">
        <f>IF($I1133="","",IF(INDEX(F_ProductBM!H:H,MATCH($P1255,F_ProductBM!$Q:$Q,0))="","",INDEX(F_ProductBM!H:H,MATCH($P1255,F_ProductBM!$Q:$Q,0))))</f>
        <v/>
      </c>
      <c r="I1255" s="794" t="str">
        <f>IF($I1133="","",IF(INDEX(F_ProductBM!I:I,MATCH($P1255,F_ProductBM!$Q:$Q,0))="","",INDEX(F_ProductBM!I:I,MATCH($P1255,F_ProductBM!$Q:$Q,0))))</f>
        <v/>
      </c>
      <c r="J1255" s="2171" t="str">
        <f>IF($I1133="","",IF(INDEX(F_ProductBM!J:J,MATCH($P1255,F_ProductBM!$Q:$Q,0))="","",INDEX(F_ProductBM!J:J,MATCH($P1255,F_ProductBM!$Q:$Q,0))))</f>
        <v/>
      </c>
      <c r="K1255" s="1788" t="str">
        <f>IF($I1133="","",IF(INDEX(F_ProductBM!K:K,MATCH($P1255,F_ProductBM!$Q:$Q,0))="","",INDEX(F_ProductBM!K:K,MATCH($P1255,F_ProductBM!$Q:$Q,0))))</f>
        <v/>
      </c>
      <c r="L1255" s="1789" t="str">
        <f>IF($I1133="","",IF(INDEX(F_ProductBM!L:L,MATCH($P1255,F_ProductBM!$Q:$Q,0))="","",INDEX(F_ProductBM!L:L,MATCH($P1255,F_ProductBM!$Q:$Q,0))))</f>
        <v/>
      </c>
      <c r="M1255" s="1789" t="str">
        <f>IF($I1133="","",IF(INDEX(F_ProductBM!M:M,MATCH($P1255,F_ProductBM!$Q:$Q,0))="","",INDEX(F_ProductBM!M:M,MATCH($P1255,F_ProductBM!$Q:$Q,0))))</f>
        <v/>
      </c>
      <c r="N1255" s="1789" t="str">
        <f>IF($I1133="","",IF(INDEX(F_ProductBM!N:N,MATCH($P1255,F_ProductBM!$Q:$Q,0))="","",INDEX(F_ProductBM!N:N,MATCH($P1255,F_ProductBM!$Q:$Q,0))))</f>
        <v/>
      </c>
      <c r="O1255" s="485"/>
      <c r="P1255" s="2109" t="str">
        <f>EUconst_CNTR_FuelInput &amp; I1133</f>
        <v>FuelInput_</v>
      </c>
      <c r="Q1255" s="1137"/>
      <c r="R1255" s="1137"/>
      <c r="S1255" s="1137"/>
      <c r="T1255" s="1137"/>
      <c r="U1255" s="1137"/>
      <c r="V1255" s="1137"/>
    </row>
    <row r="1256" spans="1:22" s="562" customFormat="1" ht="12.75" customHeight="1">
      <c r="A1256" s="817"/>
      <c r="C1256" s="485"/>
      <c r="D1256" s="776"/>
      <c r="E1256" s="2473" t="s">
        <v>1182</v>
      </c>
      <c r="F1256" s="3466"/>
      <c r="G1256" s="812" t="str">
        <f>EUconst_tCO2pTJ</f>
        <v>t CO2 / TJ</v>
      </c>
      <c r="H1256" s="627" t="str">
        <f>IF($I1133="","",IF(INDEX(F_ProductBM!H:H,MATCH($P1256,F_ProductBM!$Q:$Q,0))="","",INDEX(F_ProductBM!H:H,MATCH($P1256,F_ProductBM!$Q:$Q,0))))</f>
        <v/>
      </c>
      <c r="I1256" s="796" t="str">
        <f>IF($I1133="","",IF(INDEX(F_ProductBM!I:I,MATCH($P1256,F_ProductBM!$Q:$Q,0))="","",INDEX(F_ProductBM!I:I,MATCH($P1256,F_ProductBM!$Q:$Q,0))))</f>
        <v/>
      </c>
      <c r="J1256" s="2172" t="str">
        <f>IF($I1133="","",IF(INDEX(F_ProductBM!J:J,MATCH($P1256,F_ProductBM!$Q:$Q,0))="","",INDEX(F_ProductBM!J:J,MATCH($P1256,F_ProductBM!$Q:$Q,0))))</f>
        <v/>
      </c>
      <c r="K1256" s="1788" t="str">
        <f>IF($I1133="","",IF(INDEX(F_ProductBM!K:K,MATCH($P1256,F_ProductBM!$Q:$Q,0))="","",INDEX(F_ProductBM!K:K,MATCH($P1256,F_ProductBM!$Q:$Q,0))))</f>
        <v/>
      </c>
      <c r="L1256" s="1789" t="str">
        <f>IF($I1133="","",IF(INDEX(F_ProductBM!L:L,MATCH($P1256,F_ProductBM!$Q:$Q,0))="","",INDEX(F_ProductBM!L:L,MATCH($P1256,F_ProductBM!$Q:$Q,0))))</f>
        <v/>
      </c>
      <c r="M1256" s="1789" t="str">
        <f>IF($I1133="","",IF(INDEX(F_ProductBM!M:M,MATCH($P1256,F_ProductBM!$Q:$Q,0))="","",INDEX(F_ProductBM!M:M,MATCH($P1256,F_ProductBM!$Q:$Q,0))))</f>
        <v/>
      </c>
      <c r="N1256" s="1789" t="str">
        <f>IF($I1133="","",IF(INDEX(F_ProductBM!N:N,MATCH($P1256,F_ProductBM!$Q:$Q,0))="","",INDEX(F_ProductBM!N:N,MATCH($P1256,F_ProductBM!$Q:$Q,0))))</f>
        <v/>
      </c>
      <c r="O1256" s="485"/>
      <c r="P1256" s="1970" t="str">
        <f>EUconst_CNTR_FuelEF &amp; I1133</f>
        <v>FuelEF_</v>
      </c>
      <c r="Q1256" s="1137"/>
      <c r="R1256" s="1137"/>
      <c r="S1256" s="1137"/>
      <c r="T1256" s="1137"/>
      <c r="U1256" s="1137"/>
      <c r="V1256" s="1137"/>
    </row>
    <row r="1257" spans="1:22" s="562" customFormat="1" ht="5.0999999999999996" customHeight="1">
      <c r="A1257" s="817"/>
      <c r="C1257" s="485"/>
      <c r="D1257" s="776"/>
      <c r="E1257" s="809"/>
      <c r="F1257" s="809"/>
      <c r="G1257" s="813"/>
      <c r="H1257" s="2173"/>
      <c r="I1257" s="2173"/>
      <c r="J1257" s="2173"/>
      <c r="K1257" s="1788"/>
      <c r="L1257" s="1789"/>
      <c r="M1257" s="1789"/>
      <c r="N1257" s="1789"/>
      <c r="O1257" s="485"/>
      <c r="P1257" s="1137"/>
      <c r="Q1257" s="1137"/>
      <c r="R1257" s="1137"/>
      <c r="S1257" s="1137"/>
      <c r="T1257" s="1137"/>
      <c r="U1257" s="1137"/>
      <c r="V1257" s="1137"/>
    </row>
    <row r="1258" spans="1:22" s="562" customFormat="1" ht="12.75" customHeight="1">
      <c r="A1258" s="817"/>
      <c r="C1258" s="485"/>
      <c r="D1258" s="776"/>
      <c r="E1258" s="2475" t="s">
        <v>63</v>
      </c>
      <c r="F1258" s="3461"/>
      <c r="G1258" s="815" t="str">
        <f>EUconst_tCO2pa</f>
        <v>t CO2 / year</v>
      </c>
      <c r="H1258" s="623" t="str">
        <f>IF($I1133="","",IF(INDEX(F_ProductBM!H:H,MATCH($P1258,F_ProductBM!$Q:$Q,0))="","",INDEX(F_ProductBM!H:H,MATCH($P1258,F_ProductBM!$Q:$Q,0))))</f>
        <v/>
      </c>
      <c r="I1258" s="800" t="str">
        <f>IF($I1133="","",IF(INDEX(F_ProductBM!I:I,MATCH($P1258,F_ProductBM!$Q:$Q,0))="","",INDEX(F_ProductBM!I:I,MATCH($P1258,F_ProductBM!$Q:$Q,0))))</f>
        <v/>
      </c>
      <c r="J1258" s="2174" t="str">
        <f>IF($I1133="","",IF(INDEX(F_ProductBM!J:J,MATCH($P1258,F_ProductBM!$Q:$Q,0))="","",INDEX(F_ProductBM!J:J,MATCH($P1258,F_ProductBM!$Q:$Q,0))))</f>
        <v/>
      </c>
      <c r="K1258" s="1788" t="str">
        <f>IF($I1133="","",IF(INDEX(F_ProductBM!K:K,MATCH($P1258,F_ProductBM!$Q:$Q,0))="","",INDEX(F_ProductBM!K:K,MATCH($P1258,F_ProductBM!$Q:$Q,0))))</f>
        <v/>
      </c>
      <c r="L1258" s="1789" t="str">
        <f>IF($I1133="","",IF(INDEX(F_ProductBM!L:L,MATCH($P1258,F_ProductBM!$Q:$Q,0))="","",INDEX(F_ProductBM!L:L,MATCH($P1258,F_ProductBM!$Q:$Q,0))))</f>
        <v/>
      </c>
      <c r="M1258" s="1789" t="str">
        <f>IF($I1133="","",IF(INDEX(F_ProductBM!M:M,MATCH($P1258,F_ProductBM!$Q:$Q,0))="","",INDEX(F_ProductBM!M:M,MATCH($P1258,F_ProductBM!$Q:$Q,0))))</f>
        <v/>
      </c>
      <c r="N1258" s="1789" t="str">
        <f>IF($I1133="","",IF(INDEX(F_ProductBM!N:N,MATCH($P1258,F_ProductBM!$Q:$Q,0))="","",INDEX(F_ProductBM!N:N,MATCH($P1258,F_ProductBM!$Q:$Q,0))))</f>
        <v/>
      </c>
      <c r="O1258" s="485"/>
      <c r="P1258" s="1970" t="str">
        <f>EUconst_CNTR_Emissions &amp; I1133</f>
        <v>DirEmissions_</v>
      </c>
      <c r="Q1258" s="1137"/>
      <c r="R1258" s="1137"/>
      <c r="S1258" s="1137"/>
      <c r="T1258" s="1137"/>
      <c r="U1258" s="1137"/>
      <c r="V1258" s="1137"/>
    </row>
    <row r="1259" spans="1:22" s="562" customFormat="1" ht="12.75" customHeight="1">
      <c r="A1259" s="817"/>
      <c r="C1259" s="485"/>
      <c r="D1259" s="776"/>
      <c r="E1259" s="2475" t="s">
        <v>1154</v>
      </c>
      <c r="F1259" s="3461"/>
      <c r="G1259" s="815" t="str">
        <f>EUconst_tCO2pa</f>
        <v>t CO2 / year</v>
      </c>
      <c r="H1259" s="623" t="str">
        <f>IF($I1133="","",IF(INDEX(F_ProductBM!H:H,MATCH($P1259,F_ProductBM!$Q:$Q,0))="","",INDEX(F_ProductBM!H:H,MATCH($P1259,F_ProductBM!$Q:$Q,0))))</f>
        <v/>
      </c>
      <c r="I1259" s="800" t="str">
        <f>IF($I1133="","",IF(INDEX(F_ProductBM!I:I,MATCH($P1259,F_ProductBM!$Q:$Q,0))="","",INDEX(F_ProductBM!I:I,MATCH($P1259,F_ProductBM!$Q:$Q,0))))</f>
        <v/>
      </c>
      <c r="J1259" s="2174" t="str">
        <f>IF($I1133="","",IF(INDEX(F_ProductBM!J:J,MATCH($P1259,F_ProductBM!$Q:$Q,0))="","",INDEX(F_ProductBM!J:J,MATCH($P1259,F_ProductBM!$Q:$Q,0))))</f>
        <v/>
      </c>
      <c r="K1259" s="1788" t="str">
        <f>IF($I1133="","",IF(INDEX(F_ProductBM!K:K,MATCH($P1259,F_ProductBM!$Q:$Q,0))="","",INDEX(F_ProductBM!K:K,MATCH($P1259,F_ProductBM!$Q:$Q,0))))</f>
        <v/>
      </c>
      <c r="L1259" s="1789" t="str">
        <f>IF($I1133="","",IF(INDEX(F_ProductBM!L:L,MATCH($P1259,F_ProductBM!$Q:$Q,0))="","",INDEX(F_ProductBM!L:L,MATCH($P1259,F_ProductBM!$Q:$Q,0))))</f>
        <v/>
      </c>
      <c r="M1259" s="1789" t="str">
        <f>IF($I1133="","",IF(INDEX(F_ProductBM!M:M,MATCH($P1259,F_ProductBM!$Q:$Q,0))="","",INDEX(F_ProductBM!M:M,MATCH($P1259,F_ProductBM!$Q:$Q,0))))</f>
        <v/>
      </c>
      <c r="N1259" s="1789" t="str">
        <f>IF($I1133="","",IF(INDEX(F_ProductBM!N:N,MATCH($P1259,F_ProductBM!$Q:$Q,0))="","",INDEX(F_ProductBM!N:N,MATCH($P1259,F_ProductBM!$Q:$Q,0))))</f>
        <v/>
      </c>
      <c r="O1259" s="485"/>
      <c r="P1259" s="1970" t="str">
        <f>EUconst_CNTR_EmissionsIntSource1 &amp; I1133</f>
        <v>EmInternalSource1_</v>
      </c>
      <c r="Q1259" s="1137"/>
      <c r="R1259" s="1137"/>
      <c r="S1259" s="1137"/>
      <c r="T1259" s="1137"/>
      <c r="U1259" s="1137"/>
      <c r="V1259" s="1137"/>
    </row>
    <row r="1260" spans="1:22" s="562" customFormat="1" ht="12.75" customHeight="1">
      <c r="A1260" s="817"/>
      <c r="C1260" s="485"/>
      <c r="D1260" s="776"/>
      <c r="E1260" s="2475" t="s">
        <v>1155</v>
      </c>
      <c r="F1260" s="3461"/>
      <c r="G1260" s="815" t="str">
        <f>EUconst_tCO2pa</f>
        <v>t CO2 / year</v>
      </c>
      <c r="H1260" s="623" t="str">
        <f>IF($I1133="","",IF(INDEX(F_ProductBM!H:H,MATCH($P1260,F_ProductBM!$Q:$Q,0))="","",INDEX(F_ProductBM!H:H,MATCH($P1260,F_ProductBM!$Q:$Q,0))))</f>
        <v/>
      </c>
      <c r="I1260" s="800" t="str">
        <f>IF($I1133="","",IF(INDEX(F_ProductBM!I:I,MATCH($P1260,F_ProductBM!$Q:$Q,0))="","",INDEX(F_ProductBM!I:I,MATCH($P1260,F_ProductBM!$Q:$Q,0))))</f>
        <v/>
      </c>
      <c r="J1260" s="2174" t="str">
        <f>IF($I1133="","",IF(INDEX(F_ProductBM!J:J,MATCH($P1260,F_ProductBM!$Q:$Q,0))="","",INDEX(F_ProductBM!J:J,MATCH($P1260,F_ProductBM!$Q:$Q,0))))</f>
        <v/>
      </c>
      <c r="K1260" s="1788" t="str">
        <f>IF($I1133="","",IF(INDEX(F_ProductBM!K:K,MATCH($P1260,F_ProductBM!$Q:$Q,0))="","",INDEX(F_ProductBM!K:K,MATCH($P1260,F_ProductBM!$Q:$Q,0))))</f>
        <v/>
      </c>
      <c r="L1260" s="1789" t="str">
        <f>IF($I1133="","",IF(INDEX(F_ProductBM!L:L,MATCH($P1260,F_ProductBM!$Q:$Q,0))="","",INDEX(F_ProductBM!L:L,MATCH($P1260,F_ProductBM!$Q:$Q,0))))</f>
        <v/>
      </c>
      <c r="M1260" s="1789" t="str">
        <f>IF($I1133="","",IF(INDEX(F_ProductBM!M:M,MATCH($P1260,F_ProductBM!$Q:$Q,0))="","",INDEX(F_ProductBM!M:M,MATCH($P1260,F_ProductBM!$Q:$Q,0))))</f>
        <v/>
      </c>
      <c r="N1260" s="1789" t="str">
        <f>IF($I1133="","",IF(INDEX(F_ProductBM!N:N,MATCH($P1260,F_ProductBM!$Q:$Q,0))="","",INDEX(F_ProductBM!N:N,MATCH($P1260,F_ProductBM!$Q:$Q,0))))</f>
        <v/>
      </c>
      <c r="O1260" s="485"/>
      <c r="P1260" s="1970" t="str">
        <f>EUconst_CNTR_EmissionsIntSource2 &amp; I1133</f>
        <v>EmInternalSource2_</v>
      </c>
      <c r="Q1260" s="1137"/>
      <c r="R1260" s="1137"/>
      <c r="S1260" s="1137"/>
      <c r="T1260" s="1137"/>
      <c r="U1260" s="1137"/>
      <c r="V1260" s="1137"/>
    </row>
    <row r="1261" spans="1:22" s="562" customFormat="1" ht="12.75" customHeight="1">
      <c r="A1261" s="817"/>
      <c r="C1261" s="485"/>
      <c r="D1261" s="776"/>
      <c r="E1261" s="2475" t="s">
        <v>1156</v>
      </c>
      <c r="F1261" s="3461"/>
      <c r="G1261" s="815" t="str">
        <f>EUconst_tCO2epa</f>
        <v>t CO2e/year</v>
      </c>
      <c r="H1261" s="623" t="str">
        <f>IF($I1133="","",IF(INDEX(F_ProductBM!H:H,MATCH($P1261,F_ProductBM!$Q:$Q,0))="","",INDEX(F_ProductBM!H:H,MATCH($P1261,F_ProductBM!$Q:$Q,0))))</f>
        <v/>
      </c>
      <c r="I1261" s="800" t="str">
        <f>IF($I1133="","",IF(INDEX(F_ProductBM!I:I,MATCH($P1261,F_ProductBM!$Q:$Q,0))="","",INDEX(F_ProductBM!I:I,MATCH($P1261,F_ProductBM!$Q:$Q,0))))</f>
        <v/>
      </c>
      <c r="J1261" s="2174" t="str">
        <f>IF($I1133="","",IF(INDEX(F_ProductBM!J:J,MATCH($P1261,F_ProductBM!$Q:$Q,0))="","",INDEX(F_ProductBM!J:J,MATCH($P1261,F_ProductBM!$Q:$Q,0))))</f>
        <v/>
      </c>
      <c r="K1261" s="1788" t="str">
        <f>IF($I1133="","",IF(INDEX(F_ProductBM!K:K,MATCH($P1261,F_ProductBM!$Q:$Q,0))="","",INDEX(F_ProductBM!K:K,MATCH($P1261,F_ProductBM!$Q:$Q,0))))</f>
        <v/>
      </c>
      <c r="L1261" s="1789" t="str">
        <f>IF($I1133="","",IF(INDEX(F_ProductBM!L:L,MATCH($P1261,F_ProductBM!$Q:$Q,0))="","",INDEX(F_ProductBM!L:L,MATCH($P1261,F_ProductBM!$Q:$Q,0))))</f>
        <v/>
      </c>
      <c r="M1261" s="1789" t="str">
        <f>IF($I1133="","",IF(INDEX(F_ProductBM!M:M,MATCH($P1261,F_ProductBM!$Q:$Q,0))="","",INDEX(F_ProductBM!M:M,MATCH($P1261,F_ProductBM!$Q:$Q,0))))</f>
        <v/>
      </c>
      <c r="N1261" s="1789" t="str">
        <f>IF($I1133="","",IF(INDEX(F_ProductBM!N:N,MATCH($P1261,F_ProductBM!$Q:$Q,0))="","",INDEX(F_ProductBM!N:N,MATCH($P1261,F_ProductBM!$Q:$Q,0))))</f>
        <v/>
      </c>
      <c r="O1261" s="485"/>
      <c r="P1261" s="1970" t="str">
        <f>EUconst_CNTR_CO2Feedstock &amp; I1133</f>
        <v>EmCO2Feedstock_</v>
      </c>
      <c r="Q1261" s="1137"/>
      <c r="R1261" s="1137"/>
      <c r="S1261" s="1137"/>
      <c r="T1261" s="1137"/>
      <c r="U1261" s="1137"/>
      <c r="V1261" s="1137"/>
    </row>
    <row r="1262" spans="1:22" s="562" customFormat="1" ht="5.0999999999999996" customHeight="1">
      <c r="A1262" s="817"/>
      <c r="C1262" s="485"/>
      <c r="D1262" s="776"/>
      <c r="E1262" s="809"/>
      <c r="F1262" s="809"/>
      <c r="G1262" s="813"/>
      <c r="H1262" s="2173"/>
      <c r="I1262" s="2173"/>
      <c r="J1262" s="2173"/>
      <c r="K1262" s="1788"/>
      <c r="L1262" s="1789"/>
      <c r="M1262" s="1789"/>
      <c r="N1262" s="1789"/>
      <c r="O1262" s="485"/>
      <c r="P1262" s="1137"/>
      <c r="Q1262" s="1137"/>
      <c r="R1262" s="1137"/>
      <c r="S1262" s="1137"/>
      <c r="T1262" s="1137"/>
      <c r="U1262" s="1137"/>
      <c r="V1262" s="1137"/>
    </row>
    <row r="1263" spans="1:22" s="562" customFormat="1" ht="12.75" customHeight="1">
      <c r="A1263" s="817"/>
      <c r="C1263" s="485"/>
      <c r="D1263" s="776"/>
      <c r="E1263" s="2471" t="s">
        <v>1087</v>
      </c>
      <c r="F1263" s="3467"/>
      <c r="G1263" s="811" t="str">
        <f>EUconst_TJpa</f>
        <v>TJ / year</v>
      </c>
      <c r="H1263" s="625" t="str">
        <f>IF($I1133="","",IF(INDEX(F_ProductBM!H:H,MATCH($P1263,F_ProductBM!$Q:$Q,0))="","",INDEX(F_ProductBM!H:H,MATCH($P1263,F_ProductBM!$Q:$Q,0))))</f>
        <v/>
      </c>
      <c r="I1263" s="794" t="str">
        <f>IF($I1133="","",IF(INDEX(F_ProductBM!I:I,MATCH($P1263,F_ProductBM!$Q:$Q,0))="","",INDEX(F_ProductBM!I:I,MATCH($P1263,F_ProductBM!$Q:$Q,0))))</f>
        <v/>
      </c>
      <c r="J1263" s="2171" t="str">
        <f>IF($I1133="","",IF(INDEX(F_ProductBM!J:J,MATCH($P1263,F_ProductBM!$Q:$Q,0))="","",INDEX(F_ProductBM!J:J,MATCH($P1263,F_ProductBM!$Q:$Q,0))))</f>
        <v/>
      </c>
      <c r="K1263" s="1788" t="str">
        <f>IF($I1133="","",IF(INDEX(F_ProductBM!K:K,MATCH($P1263,F_ProductBM!$Q:$Q,0))="","",INDEX(F_ProductBM!K:K,MATCH($P1263,F_ProductBM!$Q:$Q,0))))</f>
        <v/>
      </c>
      <c r="L1263" s="1789" t="str">
        <f>IF($I1133="","",IF(INDEX(F_ProductBM!L:L,MATCH($P1263,F_ProductBM!$Q:$Q,0))="","",INDEX(F_ProductBM!L:L,MATCH($P1263,F_ProductBM!$Q:$Q,0))))</f>
        <v/>
      </c>
      <c r="M1263" s="1789" t="str">
        <f>IF($I1133="","",IF(INDEX(F_ProductBM!M:M,MATCH($P1263,F_ProductBM!$Q:$Q,0))="","",INDEX(F_ProductBM!M:M,MATCH($P1263,F_ProductBM!$Q:$Q,0))))</f>
        <v/>
      </c>
      <c r="N1263" s="1789" t="str">
        <f>IF($I1133="","",IF(INDEX(F_ProductBM!N:N,MATCH($P1263,F_ProductBM!$Q:$Q,0))="","",INDEX(F_ProductBM!N:N,MATCH($P1263,F_ProductBM!$Q:$Q,0))))</f>
        <v/>
      </c>
      <c r="O1263" s="485"/>
      <c r="P1263" s="1970" t="str">
        <f>EUconst_CNTR_HeatImport &amp; I1133</f>
        <v>HeatIm_</v>
      </c>
      <c r="Q1263" s="1137"/>
      <c r="R1263" s="1137"/>
      <c r="S1263" s="1137"/>
      <c r="T1263" s="1137"/>
      <c r="U1263" s="1137"/>
      <c r="V1263" s="1137"/>
    </row>
    <row r="1264" spans="1:22" s="562" customFormat="1" ht="12.75" customHeight="1">
      <c r="A1264" s="817"/>
      <c r="C1264" s="485"/>
      <c r="D1264" s="776"/>
      <c r="E1264" s="2473" t="s">
        <v>1103</v>
      </c>
      <c r="F1264" s="3466"/>
      <c r="G1264" s="812" t="str">
        <f>EUconst_tCO2pTJ</f>
        <v>t CO2 / TJ</v>
      </c>
      <c r="H1264" s="627" t="str">
        <f>IF($I1133="","",IF(INDEX(F_ProductBM!H:H,MATCH($P1264,F_ProductBM!$Q:$Q,0))="","",INDEX(F_ProductBM!H:H,MATCH($P1264,F_ProductBM!$Q:$Q,0))))</f>
        <v/>
      </c>
      <c r="I1264" s="796" t="str">
        <f>IF($I1133="","",IF(INDEX(F_ProductBM!I:I,MATCH($P1264,F_ProductBM!$Q:$Q,0))="","",INDEX(F_ProductBM!I:I,MATCH($P1264,F_ProductBM!$Q:$Q,0))))</f>
        <v/>
      </c>
      <c r="J1264" s="2172" t="str">
        <f>IF($I1133="","",IF(INDEX(F_ProductBM!J:J,MATCH($P1264,F_ProductBM!$Q:$Q,0))="","",INDEX(F_ProductBM!J:J,MATCH($P1264,F_ProductBM!$Q:$Q,0))))</f>
        <v/>
      </c>
      <c r="K1264" s="1788" t="str">
        <f>IF($I1133="","",IF(INDEX(F_ProductBM!K:K,MATCH($P1264,F_ProductBM!$Q:$Q,0))="","",INDEX(F_ProductBM!K:K,MATCH($P1264,F_ProductBM!$Q:$Q,0))))</f>
        <v/>
      </c>
      <c r="L1264" s="1789" t="str">
        <f>IF($I1133="","",IF(INDEX(F_ProductBM!L:L,MATCH($P1264,F_ProductBM!$Q:$Q,0))="","",INDEX(F_ProductBM!L:L,MATCH($P1264,F_ProductBM!$Q:$Q,0))))</f>
        <v/>
      </c>
      <c r="M1264" s="1789" t="str">
        <f>IF($I1133="","",IF(INDEX(F_ProductBM!M:M,MATCH($P1264,F_ProductBM!$Q:$Q,0))="","",INDEX(F_ProductBM!M:M,MATCH($P1264,F_ProductBM!$Q:$Q,0))))</f>
        <v/>
      </c>
      <c r="N1264" s="1789" t="str">
        <f>IF($I1133="","",IF(INDEX(F_ProductBM!N:N,MATCH($P1264,F_ProductBM!$Q:$Q,0))="","",INDEX(F_ProductBM!N:N,MATCH($P1264,F_ProductBM!$Q:$Q,0))))</f>
        <v/>
      </c>
      <c r="O1264" s="485"/>
      <c r="P1264" s="1970" t="str">
        <f>EUconst_CNTR_HeatImportEF &amp; I1133</f>
        <v>HeatImEF_</v>
      </c>
      <c r="Q1264" s="1137"/>
      <c r="R1264" s="1137"/>
      <c r="S1264" s="1137"/>
      <c r="T1264" s="1137"/>
      <c r="U1264" s="1137"/>
      <c r="V1264" s="1137"/>
    </row>
    <row r="1265" spans="1:22" s="562" customFormat="1" ht="5.0999999999999996" customHeight="1">
      <c r="A1265" s="817"/>
      <c r="C1265" s="485"/>
      <c r="D1265" s="776"/>
      <c r="E1265" s="809"/>
      <c r="F1265" s="809"/>
      <c r="G1265" s="813"/>
      <c r="H1265" s="2173"/>
      <c r="I1265" s="2173"/>
      <c r="J1265" s="2173"/>
      <c r="K1265" s="1788"/>
      <c r="L1265" s="1789"/>
      <c r="M1265" s="1789"/>
      <c r="N1265" s="1789"/>
      <c r="O1265" s="485"/>
      <c r="P1265" s="1117"/>
      <c r="Q1265" s="1137"/>
      <c r="R1265" s="1137"/>
      <c r="S1265" s="1137"/>
      <c r="T1265" s="1137"/>
      <c r="U1265" s="1137"/>
      <c r="V1265" s="1137"/>
    </row>
    <row r="1266" spans="1:22" s="562" customFormat="1" ht="12.75" customHeight="1">
      <c r="A1266" s="817"/>
      <c r="C1266" s="485"/>
      <c r="D1266" s="776"/>
      <c r="E1266" s="2475" t="s">
        <v>1150</v>
      </c>
      <c r="F1266" s="3461"/>
      <c r="G1266" s="815" t="str">
        <f>EUconst_TJpa</f>
        <v>TJ / year</v>
      </c>
      <c r="H1266" s="623" t="str">
        <f>IF($I1133="","",IF(INDEX(F_ProductBM!H:H,MATCH($P1266,F_ProductBM!$Q:$Q,0))="","",INDEX(F_ProductBM!H:H,MATCH($P1266,F_ProductBM!$Q:$Q,0))))</f>
        <v/>
      </c>
      <c r="I1266" s="800" t="str">
        <f>IF($I1133="","",IF(INDEX(F_ProductBM!I:I,MATCH($P1266,F_ProductBM!$Q:$Q,0))="","",INDEX(F_ProductBM!I:I,MATCH($P1266,F_ProductBM!$Q:$Q,0))))</f>
        <v/>
      </c>
      <c r="J1266" s="2174" t="str">
        <f>IF($I1133="","",IF(INDEX(F_ProductBM!J:J,MATCH($P1266,F_ProductBM!$Q:$Q,0))="","",INDEX(F_ProductBM!J:J,MATCH($P1266,F_ProductBM!$Q:$Q,0))))</f>
        <v/>
      </c>
      <c r="K1266" s="1788" t="str">
        <f>IF($I1133="","",IF(INDEX(F_ProductBM!K:K,MATCH($P1266,F_ProductBM!$Q:$Q,0))="","",INDEX(F_ProductBM!K:K,MATCH($P1266,F_ProductBM!$Q:$Q,0))))</f>
        <v/>
      </c>
      <c r="L1266" s="1789" t="str">
        <f>IF($I1133="","",IF(INDEX(F_ProductBM!L:L,MATCH($P1266,F_ProductBM!$Q:$Q,0))="","",INDEX(F_ProductBM!L:L,MATCH($P1266,F_ProductBM!$Q:$Q,0))))</f>
        <v/>
      </c>
      <c r="M1266" s="1789" t="str">
        <f>IF($I1133="","",IF(INDEX(F_ProductBM!M:M,MATCH($P1266,F_ProductBM!$Q:$Q,0))="","",INDEX(F_ProductBM!M:M,MATCH($P1266,F_ProductBM!$Q:$Q,0))))</f>
        <v/>
      </c>
      <c r="N1266" s="1789" t="str">
        <f>IF($I1133="","",IF(INDEX(F_ProductBM!N:N,MATCH($P1266,F_ProductBM!$Q:$Q,0))="","",INDEX(F_ProductBM!N:N,MATCH($P1266,F_ProductBM!$Q:$Q,0))))</f>
        <v/>
      </c>
      <c r="O1266" s="485"/>
      <c r="P1266" s="1970" t="str">
        <f>EUconst_CNTR_HeatImportPulp &amp; I1133</f>
        <v>HeatImPulp_</v>
      </c>
      <c r="Q1266" s="1137"/>
      <c r="R1266" s="1137"/>
      <c r="S1266" s="1137"/>
      <c r="T1266" s="1137"/>
      <c r="U1266" s="1137"/>
      <c r="V1266" s="1137"/>
    </row>
    <row r="1267" spans="1:22" s="562" customFormat="1" ht="12.75" customHeight="1">
      <c r="A1267" s="817"/>
      <c r="C1267" s="485"/>
      <c r="D1267" s="776"/>
      <c r="E1267" s="2475" t="s">
        <v>1149</v>
      </c>
      <c r="F1267" s="3461"/>
      <c r="G1267" s="815" t="str">
        <f>EUconst_TJpa</f>
        <v>TJ / year</v>
      </c>
      <c r="H1267" s="623" t="str">
        <f>IF($I1133="","",IF(INDEX(F_ProductBM!H:H,MATCH($P1267,F_ProductBM!$Q:$Q,0))="","",INDEX(F_ProductBM!H:H,MATCH($P1267,F_ProductBM!$Q:$Q,0))))</f>
        <v/>
      </c>
      <c r="I1267" s="800" t="str">
        <f>IF($I1133="","",IF(INDEX(F_ProductBM!I:I,MATCH($P1267,F_ProductBM!$Q:$Q,0))="","",INDEX(F_ProductBM!I:I,MATCH($P1267,F_ProductBM!$Q:$Q,0))))</f>
        <v/>
      </c>
      <c r="J1267" s="2174" t="str">
        <f>IF($I1133="","",IF(INDEX(F_ProductBM!J:J,MATCH($P1267,F_ProductBM!$Q:$Q,0))="","",INDEX(F_ProductBM!J:J,MATCH($P1267,F_ProductBM!$Q:$Q,0))))</f>
        <v/>
      </c>
      <c r="K1267" s="1788" t="str">
        <f>IF($I1133="","",IF(INDEX(F_ProductBM!K:K,MATCH($P1267,F_ProductBM!$Q:$Q,0))="","",INDEX(F_ProductBM!K:K,MATCH($P1267,F_ProductBM!$Q:$Q,0))))</f>
        <v/>
      </c>
      <c r="L1267" s="1789" t="str">
        <f>IF($I1133="","",IF(INDEX(F_ProductBM!L:L,MATCH($P1267,F_ProductBM!$Q:$Q,0))="","",INDEX(F_ProductBM!L:L,MATCH($P1267,F_ProductBM!$Q:$Q,0))))</f>
        <v/>
      </c>
      <c r="M1267" s="1789" t="str">
        <f>IF($I1133="","",IF(INDEX(F_ProductBM!M:M,MATCH($P1267,F_ProductBM!$Q:$Q,0))="","",INDEX(F_ProductBM!M:M,MATCH($P1267,F_ProductBM!$Q:$Q,0))))</f>
        <v/>
      </c>
      <c r="N1267" s="1789" t="str">
        <f>IF($I1133="","",IF(INDEX(F_ProductBM!N:N,MATCH($P1267,F_ProductBM!$Q:$Q,0))="","",INDEX(F_ProductBM!N:N,MATCH($P1267,F_ProductBM!$Q:$Q,0))))</f>
        <v/>
      </c>
      <c r="O1267" s="485"/>
      <c r="P1267" s="1970" t="str">
        <f>EUconst_CNTR_HeatImportNitric &amp; I1133</f>
        <v>HeatImNitric_</v>
      </c>
      <c r="Q1267" s="1137"/>
      <c r="R1267" s="1137"/>
      <c r="S1267" s="1137"/>
      <c r="T1267" s="1137"/>
      <c r="U1267" s="1137"/>
      <c r="V1267" s="1137"/>
    </row>
    <row r="1268" spans="1:22" s="562" customFormat="1" ht="5.0999999999999996" customHeight="1">
      <c r="A1268" s="817"/>
      <c r="C1268" s="485"/>
      <c r="D1268" s="776"/>
      <c r="E1268" s="809"/>
      <c r="F1268" s="809"/>
      <c r="G1268" s="777"/>
      <c r="H1268" s="2173"/>
      <c r="I1268" s="2173"/>
      <c r="J1268" s="2173"/>
      <c r="K1268" s="1788"/>
      <c r="L1268" s="1789"/>
      <c r="M1268" s="1789"/>
      <c r="N1268" s="1789"/>
      <c r="O1268" s="485"/>
      <c r="P1268" s="1117"/>
      <c r="Q1268" s="1137"/>
      <c r="R1268" s="1137"/>
      <c r="S1268" s="1137"/>
      <c r="T1268" s="1137"/>
      <c r="U1268" s="1137"/>
      <c r="V1268" s="1137"/>
    </row>
    <row r="1269" spans="1:22" s="562" customFormat="1" ht="12.75" customHeight="1">
      <c r="A1269" s="817"/>
      <c r="C1269" s="485"/>
      <c r="D1269" s="776"/>
      <c r="E1269" s="2471" t="s">
        <v>1079</v>
      </c>
      <c r="F1269" s="3467"/>
      <c r="G1269" s="811" t="str">
        <f>EUconst_TJpa</f>
        <v>TJ / year</v>
      </c>
      <c r="H1269" s="625" t="str">
        <f>IF($I1133="","",IF(INDEX(F_ProductBM!H:H,MATCH($P1269,F_ProductBM!$Q:$Q,0))="","",INDEX(F_ProductBM!H:H,MATCH($P1269,F_ProductBM!$Q:$Q,0))))</f>
        <v/>
      </c>
      <c r="I1269" s="794" t="str">
        <f>IF($I1133="","",IF(INDEX(F_ProductBM!I:I,MATCH($P1269,F_ProductBM!$Q:$Q,0))="","",INDEX(F_ProductBM!I:I,MATCH($P1269,F_ProductBM!$Q:$Q,0))))</f>
        <v/>
      </c>
      <c r="J1269" s="2171" t="str">
        <f>IF($I1133="","",IF(INDEX(F_ProductBM!J:J,MATCH($P1269,F_ProductBM!$Q:$Q,0))="","",INDEX(F_ProductBM!J:J,MATCH($P1269,F_ProductBM!$Q:$Q,0))))</f>
        <v/>
      </c>
      <c r="K1269" s="1788" t="str">
        <f>IF($I1133="","",IF(INDEX(F_ProductBM!K:K,MATCH($P1269,F_ProductBM!$Q:$Q,0))="","",INDEX(F_ProductBM!K:K,MATCH($P1269,F_ProductBM!$Q:$Q,0))))</f>
        <v/>
      </c>
      <c r="L1269" s="1789" t="str">
        <f>IF($I1133="","",IF(INDEX(F_ProductBM!L:L,MATCH($P1269,F_ProductBM!$Q:$Q,0))="","",INDEX(F_ProductBM!L:L,MATCH($P1269,F_ProductBM!$Q:$Q,0))))</f>
        <v/>
      </c>
      <c r="M1269" s="1789" t="str">
        <f>IF($I1133="","",IF(INDEX(F_ProductBM!M:M,MATCH($P1269,F_ProductBM!$Q:$Q,0))="","",INDEX(F_ProductBM!M:M,MATCH($P1269,F_ProductBM!$Q:$Q,0))))</f>
        <v/>
      </c>
      <c r="N1269" s="1789" t="str">
        <f>IF($I1133="","",IF(INDEX(F_ProductBM!N:N,MATCH($P1269,F_ProductBM!$Q:$Q,0))="","",INDEX(F_ProductBM!N:N,MATCH($P1269,F_ProductBM!$Q:$Q,0))))</f>
        <v/>
      </c>
      <c r="O1269" s="485"/>
      <c r="P1269" s="1970" t="str">
        <f>EUconst_CNTR_HeatExport &amp; I1133</f>
        <v>HeatEx_</v>
      </c>
      <c r="Q1269" s="1137"/>
      <c r="R1269" s="1137"/>
      <c r="S1269" s="1137"/>
      <c r="T1269" s="1137"/>
      <c r="U1269" s="1137"/>
      <c r="V1269" s="1137"/>
    </row>
    <row r="1270" spans="1:22" s="562" customFormat="1" ht="12.75" customHeight="1">
      <c r="A1270" s="817"/>
      <c r="C1270" s="485"/>
      <c r="D1270" s="776"/>
      <c r="E1270" s="2473" t="s">
        <v>1104</v>
      </c>
      <c r="F1270" s="3466"/>
      <c r="G1270" s="812" t="str">
        <f>EUconst_tCO2pTJ</f>
        <v>t CO2 / TJ</v>
      </c>
      <c r="H1270" s="627" t="str">
        <f>IF($I1133="","",IF(INDEX(F_ProductBM!H:H,MATCH($P1270,F_ProductBM!$Q:$Q,0))="","",INDEX(F_ProductBM!H:H,MATCH($P1270,F_ProductBM!$Q:$Q,0))))</f>
        <v/>
      </c>
      <c r="I1270" s="796" t="str">
        <f>IF($I1133="","",IF(INDEX(F_ProductBM!I:I,MATCH($P1270,F_ProductBM!$Q:$Q,0))="","",INDEX(F_ProductBM!I:I,MATCH($P1270,F_ProductBM!$Q:$Q,0))))</f>
        <v/>
      </c>
      <c r="J1270" s="2172" t="str">
        <f>IF($I1133="","",IF(INDEX(F_ProductBM!J:J,MATCH($P1270,F_ProductBM!$Q:$Q,0))="","",INDEX(F_ProductBM!J:J,MATCH($P1270,F_ProductBM!$Q:$Q,0))))</f>
        <v/>
      </c>
      <c r="K1270" s="1788" t="str">
        <f>IF($I1133="","",IF(INDEX(F_ProductBM!K:K,MATCH($P1270,F_ProductBM!$Q:$Q,0))="","",INDEX(F_ProductBM!K:K,MATCH($P1270,F_ProductBM!$Q:$Q,0))))</f>
        <v/>
      </c>
      <c r="L1270" s="1789" t="str">
        <f>IF($I1133="","",IF(INDEX(F_ProductBM!L:L,MATCH($P1270,F_ProductBM!$Q:$Q,0))="","",INDEX(F_ProductBM!L:L,MATCH($P1270,F_ProductBM!$Q:$Q,0))))</f>
        <v/>
      </c>
      <c r="M1270" s="1789" t="str">
        <f>IF($I1133="","",IF(INDEX(F_ProductBM!M:M,MATCH($P1270,F_ProductBM!$Q:$Q,0))="","",INDEX(F_ProductBM!M:M,MATCH($P1270,F_ProductBM!$Q:$Q,0))))</f>
        <v/>
      </c>
      <c r="N1270" s="1789" t="str">
        <f>IF($I1133="","",IF(INDEX(F_ProductBM!N:N,MATCH($P1270,F_ProductBM!$Q:$Q,0))="","",INDEX(F_ProductBM!N:N,MATCH($P1270,F_ProductBM!$Q:$Q,0))))</f>
        <v/>
      </c>
      <c r="O1270" s="485"/>
      <c r="P1270" s="1970" t="str">
        <f>EUconst_CNTR_HeatExportEF &amp; I1133</f>
        <v>HeatExEF_</v>
      </c>
      <c r="Q1270" s="1137"/>
      <c r="R1270" s="1137"/>
      <c r="S1270" s="1137"/>
      <c r="T1270" s="1137"/>
      <c r="U1270" s="1137"/>
      <c r="V1270" s="1137"/>
    </row>
    <row r="1271" spans="1:22" s="562" customFormat="1" ht="5.0999999999999996" customHeight="1">
      <c r="A1271" s="817"/>
      <c r="C1271" s="485"/>
      <c r="D1271" s="776"/>
      <c r="E1271" s="809"/>
      <c r="F1271" s="809"/>
      <c r="G1271" s="777"/>
      <c r="H1271" s="2173"/>
      <c r="I1271" s="2173"/>
      <c r="J1271" s="2173"/>
      <c r="K1271" s="1788"/>
      <c r="L1271" s="1789"/>
      <c r="M1271" s="1789"/>
      <c r="N1271" s="1789"/>
      <c r="O1271" s="485"/>
      <c r="P1271" s="1117"/>
      <c r="Q1271" s="1137"/>
      <c r="R1271" s="1137"/>
      <c r="S1271" s="1137"/>
      <c r="T1271" s="1137"/>
      <c r="U1271" s="1137"/>
      <c r="V1271" s="1137"/>
    </row>
    <row r="1272" spans="1:22" s="562" customFormat="1" ht="12.75" customHeight="1">
      <c r="A1272" s="817"/>
      <c r="C1272" s="485"/>
      <c r="D1272" s="776"/>
      <c r="E1272" s="2471" t="s">
        <v>1141</v>
      </c>
      <c r="F1272" s="3467"/>
      <c r="G1272" s="811" t="str">
        <f>EUconst_TJpa</f>
        <v>TJ / year</v>
      </c>
      <c r="H1272" s="625" t="str">
        <f>IF($I1133="","",IF(INDEX(F_ProductBM!H:H,MATCH($P1272,F_ProductBM!$Q:$Q,0))="","",INDEX(F_ProductBM!H:H,MATCH($P1272,F_ProductBM!$Q:$Q,0))))</f>
        <v/>
      </c>
      <c r="I1272" s="794" t="str">
        <f>IF($I1133="","",IF(INDEX(F_ProductBM!I:I,MATCH($P1272,F_ProductBM!$Q:$Q,0))="","",INDEX(F_ProductBM!I:I,MATCH($P1272,F_ProductBM!$Q:$Q,0))))</f>
        <v/>
      </c>
      <c r="J1272" s="2171" t="str">
        <f>IF($I1133="","",IF(INDEX(F_ProductBM!J:J,MATCH($P1272,F_ProductBM!$Q:$Q,0))="","",INDEX(F_ProductBM!J:J,MATCH($P1272,F_ProductBM!$Q:$Q,0))))</f>
        <v/>
      </c>
      <c r="K1272" s="1788" t="str">
        <f>IF($I1133="","",IF(INDEX(F_ProductBM!K:K,MATCH($P1272,F_ProductBM!$Q:$Q,0))="","",INDEX(F_ProductBM!K:K,MATCH($P1272,F_ProductBM!$Q:$Q,0))))</f>
        <v/>
      </c>
      <c r="L1272" s="1789" t="str">
        <f>IF($I1133="","",IF(INDEX(F_ProductBM!L:L,MATCH($P1272,F_ProductBM!$Q:$Q,0))="","",INDEX(F_ProductBM!L:L,MATCH($P1272,F_ProductBM!$Q:$Q,0))))</f>
        <v/>
      </c>
      <c r="M1272" s="1789" t="str">
        <f>IF($I1133="","",IF(INDEX(F_ProductBM!M:M,MATCH($P1272,F_ProductBM!$Q:$Q,0))="","",INDEX(F_ProductBM!M:M,MATCH($P1272,F_ProductBM!$Q:$Q,0))))</f>
        <v/>
      </c>
      <c r="N1272" s="1789" t="str">
        <f>IF($I1133="","",IF(INDEX(F_ProductBM!N:N,MATCH($P1272,F_ProductBM!$Q:$Q,0))="","",INDEX(F_ProductBM!N:N,MATCH($P1272,F_ProductBM!$Q:$Q,0))))</f>
        <v/>
      </c>
      <c r="O1272" s="485"/>
      <c r="P1272" s="2109" t="str">
        <f>EUconst_CNTR_WGProduced &amp; I1133</f>
        <v>WasteGasProd_</v>
      </c>
      <c r="Q1272" s="1137"/>
      <c r="R1272" s="1137"/>
      <c r="S1272" s="1137"/>
      <c r="T1272" s="1137"/>
      <c r="U1272" s="1137"/>
      <c r="V1272" s="1137"/>
    </row>
    <row r="1273" spans="1:22" s="562" customFormat="1" ht="12.75" customHeight="1">
      <c r="A1273" s="817"/>
      <c r="C1273" s="485"/>
      <c r="D1273" s="776"/>
      <c r="E1273" s="2473" t="s">
        <v>1258</v>
      </c>
      <c r="F1273" s="3466"/>
      <c r="G1273" s="812" t="str">
        <f>EUconst_tCO2pTJ</f>
        <v>t CO2 / TJ</v>
      </c>
      <c r="H1273" s="627" t="str">
        <f>IF($I1133="","",IF(INDEX(F_ProductBM!H:H,MATCH($P1273,F_ProductBM!$Q:$Q,0))="","",INDEX(F_ProductBM!H:H,MATCH($P1273,F_ProductBM!$Q:$Q,0))))</f>
        <v/>
      </c>
      <c r="I1273" s="796" t="str">
        <f>IF($I1133="","",IF(INDEX(F_ProductBM!I:I,MATCH($P1273,F_ProductBM!$Q:$Q,0))="","",INDEX(F_ProductBM!I:I,MATCH($P1273,F_ProductBM!$Q:$Q,0))))</f>
        <v/>
      </c>
      <c r="J1273" s="2172" t="str">
        <f>IF($I1133="","",IF(INDEX(F_ProductBM!J:J,MATCH($P1273,F_ProductBM!$Q:$Q,0))="","",INDEX(F_ProductBM!J:J,MATCH($P1273,F_ProductBM!$Q:$Q,0))))</f>
        <v/>
      </c>
      <c r="K1273" s="1788" t="str">
        <f>IF($I1133="","",IF(INDEX(F_ProductBM!K:K,MATCH($P1273,F_ProductBM!$Q:$Q,0))="","",INDEX(F_ProductBM!K:K,MATCH($P1273,F_ProductBM!$Q:$Q,0))))</f>
        <v/>
      </c>
      <c r="L1273" s="1789" t="str">
        <f>IF($I1133="","",IF(INDEX(F_ProductBM!L:L,MATCH($P1273,F_ProductBM!$Q:$Q,0))="","",INDEX(F_ProductBM!L:L,MATCH($P1273,F_ProductBM!$Q:$Q,0))))</f>
        <v/>
      </c>
      <c r="M1273" s="1789" t="str">
        <f>IF($I1133="","",IF(INDEX(F_ProductBM!M:M,MATCH($P1273,F_ProductBM!$Q:$Q,0))="","",INDEX(F_ProductBM!M:M,MATCH($P1273,F_ProductBM!$Q:$Q,0))))</f>
        <v/>
      </c>
      <c r="N1273" s="1789" t="str">
        <f>IF($I1133="","",IF(INDEX(F_ProductBM!N:N,MATCH($P1273,F_ProductBM!$Q:$Q,0))="","",INDEX(F_ProductBM!N:N,MATCH($P1273,F_ProductBM!$Q:$Q,0))))</f>
        <v/>
      </c>
      <c r="O1273" s="485"/>
      <c r="P1273" s="1970" t="str">
        <f>EUconst_CNTR_WGProducedEF &amp; I1133</f>
        <v>WasteGasProdEF_</v>
      </c>
      <c r="Q1273" s="1137"/>
      <c r="R1273" s="1137"/>
      <c r="S1273" s="1137"/>
      <c r="T1273" s="1137"/>
      <c r="U1273" s="1137"/>
      <c r="V1273" s="1137"/>
    </row>
    <row r="1274" spans="1:22" s="562" customFormat="1" ht="12.75" customHeight="1">
      <c r="A1274" s="817"/>
      <c r="C1274" s="485"/>
      <c r="D1274" s="776"/>
      <c r="E1274" s="2471" t="s">
        <v>1309</v>
      </c>
      <c r="F1274" s="3467"/>
      <c r="G1274" s="811" t="str">
        <f>EUconst_TJpa</f>
        <v>TJ / year</v>
      </c>
      <c r="H1274" s="625" t="str">
        <f>IF($I1133="","",IF(INDEX(F_ProductBM!H:H,MATCH($P1274,F_ProductBM!$Q:$Q,0))="","",INDEX(F_ProductBM!H:H,MATCH($P1274,F_ProductBM!$Q:$Q,0))))</f>
        <v/>
      </c>
      <c r="I1274" s="794" t="str">
        <f>IF($I1133="","",IF(INDEX(F_ProductBM!I:I,MATCH($P1274,F_ProductBM!$Q:$Q,0))="","",INDEX(F_ProductBM!I:I,MATCH($P1274,F_ProductBM!$Q:$Q,0))))</f>
        <v/>
      </c>
      <c r="J1274" s="2171" t="str">
        <f>IF($I1133="","",IF(INDEX(F_ProductBM!J:J,MATCH($P1274,F_ProductBM!$Q:$Q,0))="","",INDEX(F_ProductBM!J:J,MATCH($P1274,F_ProductBM!$Q:$Q,0))))</f>
        <v/>
      </c>
      <c r="K1274" s="1788" t="str">
        <f>IF($I1133="","",IF(INDEX(F_ProductBM!K:K,MATCH($P1274,F_ProductBM!$Q:$Q,0))="","",INDEX(F_ProductBM!K:K,MATCH($P1274,F_ProductBM!$Q:$Q,0))))</f>
        <v/>
      </c>
      <c r="L1274" s="1789" t="str">
        <f>IF($I1133="","",IF(INDEX(F_ProductBM!L:L,MATCH($P1274,F_ProductBM!$Q:$Q,0))="","",INDEX(F_ProductBM!L:L,MATCH($P1274,F_ProductBM!$Q:$Q,0))))</f>
        <v/>
      </c>
      <c r="M1274" s="1789" t="str">
        <f>IF($I1133="","",IF(INDEX(F_ProductBM!M:M,MATCH($P1274,F_ProductBM!$Q:$Q,0))="","",INDEX(F_ProductBM!M:M,MATCH($P1274,F_ProductBM!$Q:$Q,0))))</f>
        <v/>
      </c>
      <c r="N1274" s="1789" t="str">
        <f>IF($I1133="","",IF(INDEX(F_ProductBM!N:N,MATCH($P1274,F_ProductBM!$Q:$Q,0))="","",INDEX(F_ProductBM!N:N,MATCH($P1274,F_ProductBM!$Q:$Q,0))))</f>
        <v/>
      </c>
      <c r="O1274" s="485"/>
      <c r="P1274" s="1970" t="str">
        <f>EUconst_CNTR_WGConsumed &amp; I1133</f>
        <v>WasteGasCons_</v>
      </c>
      <c r="Q1274" s="1137"/>
      <c r="R1274" s="1137"/>
      <c r="S1274" s="1137"/>
      <c r="T1274" s="1137"/>
      <c r="U1274" s="1137"/>
      <c r="V1274" s="1137"/>
    </row>
    <row r="1275" spans="1:22" s="562" customFormat="1" ht="12.75" customHeight="1">
      <c r="A1275" s="817"/>
      <c r="C1275" s="485"/>
      <c r="D1275" s="776"/>
      <c r="E1275" s="2473" t="s">
        <v>1307</v>
      </c>
      <c r="F1275" s="3466"/>
      <c r="G1275" s="812" t="str">
        <f>EUconst_tCO2pTJ</f>
        <v>t CO2 / TJ</v>
      </c>
      <c r="H1275" s="627" t="str">
        <f>IF($I1133="","",IF(INDEX(F_ProductBM!H:H,MATCH($P1275,F_ProductBM!$Q:$Q,0))="","",INDEX(F_ProductBM!H:H,MATCH($P1275,F_ProductBM!$Q:$Q,0))))</f>
        <v/>
      </c>
      <c r="I1275" s="796" t="str">
        <f>IF($I1133="","",IF(INDEX(F_ProductBM!I:I,MATCH($P1275,F_ProductBM!$Q:$Q,0))="","",INDEX(F_ProductBM!I:I,MATCH($P1275,F_ProductBM!$Q:$Q,0))))</f>
        <v/>
      </c>
      <c r="J1275" s="2172" t="str">
        <f>IF($I1133="","",IF(INDEX(F_ProductBM!J:J,MATCH($P1275,F_ProductBM!$Q:$Q,0))="","",INDEX(F_ProductBM!J:J,MATCH($P1275,F_ProductBM!$Q:$Q,0))))</f>
        <v/>
      </c>
      <c r="K1275" s="1788" t="str">
        <f>IF($I1133="","",IF(INDEX(F_ProductBM!K:K,MATCH($P1275,F_ProductBM!$Q:$Q,0))="","",INDEX(F_ProductBM!K:K,MATCH($P1275,F_ProductBM!$Q:$Q,0))))</f>
        <v/>
      </c>
      <c r="L1275" s="1789" t="str">
        <f>IF($I1133="","",IF(INDEX(F_ProductBM!L:L,MATCH($P1275,F_ProductBM!$Q:$Q,0))="","",INDEX(F_ProductBM!L:L,MATCH($P1275,F_ProductBM!$Q:$Q,0))))</f>
        <v/>
      </c>
      <c r="M1275" s="1789" t="str">
        <f>IF($I1133="","",IF(INDEX(F_ProductBM!M:M,MATCH($P1275,F_ProductBM!$Q:$Q,0))="","",INDEX(F_ProductBM!M:M,MATCH($P1275,F_ProductBM!$Q:$Q,0))))</f>
        <v/>
      </c>
      <c r="N1275" s="1789" t="str">
        <f>IF($I1133="","",IF(INDEX(F_ProductBM!N:N,MATCH($P1275,F_ProductBM!$Q:$Q,0))="","",INDEX(F_ProductBM!N:N,MATCH($P1275,F_ProductBM!$Q:$Q,0))))</f>
        <v/>
      </c>
      <c r="O1275" s="485"/>
      <c r="P1275" s="1970" t="str">
        <f>EUconst_CNTR_WGConsumedEF &amp; I1133</f>
        <v>WasteGasConsEF_</v>
      </c>
      <c r="Q1275" s="1137"/>
      <c r="R1275" s="1137"/>
      <c r="S1275" s="1137"/>
      <c r="T1275" s="1137"/>
      <c r="U1275" s="1137"/>
      <c r="V1275" s="1137"/>
    </row>
    <row r="1276" spans="1:22" s="562" customFormat="1" ht="12.75" customHeight="1">
      <c r="A1276" s="817"/>
      <c r="C1276" s="485"/>
      <c r="D1276" s="776"/>
      <c r="E1276" s="2471" t="s">
        <v>1288</v>
      </c>
      <c r="F1276" s="3467"/>
      <c r="G1276" s="811" t="str">
        <f>EUconst_TJpa</f>
        <v>TJ / year</v>
      </c>
      <c r="H1276" s="625" t="str">
        <f>IF($I1133="","",IF(INDEX(F_ProductBM!H:H,MATCH($P1276,F_ProductBM!$Q:$Q,0))="","",INDEX(F_ProductBM!H:H,MATCH($P1276,F_ProductBM!$Q:$Q,0))))</f>
        <v/>
      </c>
      <c r="I1276" s="794" t="str">
        <f>IF($I1133="","",IF(INDEX(F_ProductBM!I:I,MATCH($P1276,F_ProductBM!$Q:$Q,0))="","",INDEX(F_ProductBM!I:I,MATCH($P1276,F_ProductBM!$Q:$Q,0))))</f>
        <v/>
      </c>
      <c r="J1276" s="2171" t="str">
        <f>IF($I1133="","",IF(INDEX(F_ProductBM!J:J,MATCH($P1276,F_ProductBM!$Q:$Q,0))="","",INDEX(F_ProductBM!J:J,MATCH($P1276,F_ProductBM!$Q:$Q,0))))</f>
        <v/>
      </c>
      <c r="K1276" s="1788" t="str">
        <f>IF($I1133="","",IF(INDEX(F_ProductBM!K:K,MATCH($P1276,F_ProductBM!$Q:$Q,0))="","",INDEX(F_ProductBM!K:K,MATCH($P1276,F_ProductBM!$Q:$Q,0))))</f>
        <v/>
      </c>
      <c r="L1276" s="1789" t="str">
        <f>IF($I1133="","",IF(INDEX(F_ProductBM!L:L,MATCH($P1276,F_ProductBM!$Q:$Q,0))="","",INDEX(F_ProductBM!L:L,MATCH($P1276,F_ProductBM!$Q:$Q,0))))</f>
        <v/>
      </c>
      <c r="M1276" s="1789" t="str">
        <f>IF($I1133="","",IF(INDEX(F_ProductBM!M:M,MATCH($P1276,F_ProductBM!$Q:$Q,0))="","",INDEX(F_ProductBM!M:M,MATCH($P1276,F_ProductBM!$Q:$Q,0))))</f>
        <v/>
      </c>
      <c r="N1276" s="1789" t="str">
        <f>IF($I1133="","",IF(INDEX(F_ProductBM!N:N,MATCH($P1276,F_ProductBM!$Q:$Q,0))="","",INDEX(F_ProductBM!N:N,MATCH($P1276,F_ProductBM!$Q:$Q,0))))</f>
        <v/>
      </c>
      <c r="O1276" s="485"/>
      <c r="P1276" s="1970" t="str">
        <f>EUconst_CNTR_WGFlared &amp; I1133</f>
        <v>WasteGasFlare_</v>
      </c>
      <c r="Q1276" s="1137"/>
      <c r="R1276" s="1137"/>
      <c r="S1276" s="1137"/>
      <c r="T1276" s="1137"/>
      <c r="U1276" s="1137"/>
      <c r="V1276" s="1137"/>
    </row>
    <row r="1277" spans="1:22" s="562" customFormat="1" ht="12.75" customHeight="1">
      <c r="A1277" s="817"/>
      <c r="C1277" s="485"/>
      <c r="D1277" s="776"/>
      <c r="E1277" s="2473" t="s">
        <v>1308</v>
      </c>
      <c r="F1277" s="3466"/>
      <c r="G1277" s="812" t="str">
        <f>EUconst_tCO2pTJ</f>
        <v>t CO2 / TJ</v>
      </c>
      <c r="H1277" s="627" t="str">
        <f>IF($I1133="","",IF(INDEX(F_ProductBM!H:H,MATCH($P1277,F_ProductBM!$Q:$Q,0))="","",INDEX(F_ProductBM!H:H,MATCH($P1277,F_ProductBM!$Q:$Q,0))))</f>
        <v/>
      </c>
      <c r="I1277" s="796" t="str">
        <f>IF($I1133="","",IF(INDEX(F_ProductBM!I:I,MATCH($P1277,F_ProductBM!$Q:$Q,0))="","",INDEX(F_ProductBM!I:I,MATCH($P1277,F_ProductBM!$Q:$Q,0))))</f>
        <v/>
      </c>
      <c r="J1277" s="2172" t="str">
        <f>IF($I1133="","",IF(INDEX(F_ProductBM!J:J,MATCH($P1277,F_ProductBM!$Q:$Q,0))="","",INDEX(F_ProductBM!J:J,MATCH($P1277,F_ProductBM!$Q:$Q,0))))</f>
        <v/>
      </c>
      <c r="K1277" s="1788" t="str">
        <f>IF($I1133="","",IF(INDEX(F_ProductBM!K:K,MATCH($P1277,F_ProductBM!$Q:$Q,0))="","",INDEX(F_ProductBM!K:K,MATCH($P1277,F_ProductBM!$Q:$Q,0))))</f>
        <v/>
      </c>
      <c r="L1277" s="1789" t="str">
        <f>IF($I1133="","",IF(INDEX(F_ProductBM!L:L,MATCH($P1277,F_ProductBM!$Q:$Q,0))="","",INDEX(F_ProductBM!L:L,MATCH($P1277,F_ProductBM!$Q:$Q,0))))</f>
        <v/>
      </c>
      <c r="M1277" s="1789" t="str">
        <f>IF($I1133="","",IF(INDEX(F_ProductBM!M:M,MATCH($P1277,F_ProductBM!$Q:$Q,0))="","",INDEX(F_ProductBM!M:M,MATCH($P1277,F_ProductBM!$Q:$Q,0))))</f>
        <v/>
      </c>
      <c r="N1277" s="1789" t="str">
        <f>IF($I1133="","",IF(INDEX(F_ProductBM!N:N,MATCH($P1277,F_ProductBM!$Q:$Q,0))="","",INDEX(F_ProductBM!N:N,MATCH($P1277,F_ProductBM!$Q:$Q,0))))</f>
        <v/>
      </c>
      <c r="O1277" s="485"/>
      <c r="P1277" s="1970" t="str">
        <f>EUconst_CNTR_WGFlaredEF &amp; I1133</f>
        <v>WasteGasFlareEF_</v>
      </c>
      <c r="Q1277" s="1137"/>
      <c r="R1277" s="1137"/>
      <c r="S1277" s="1137"/>
      <c r="T1277" s="1137"/>
      <c r="U1277" s="1137"/>
      <c r="V1277" s="1137"/>
    </row>
    <row r="1278" spans="1:22" s="562" customFormat="1" ht="12.75" customHeight="1">
      <c r="A1278" s="817"/>
      <c r="C1278" s="485"/>
      <c r="D1278" s="776"/>
      <c r="E1278" s="2471" t="s">
        <v>1102</v>
      </c>
      <c r="F1278" s="3467"/>
      <c r="G1278" s="811" t="str">
        <f>EUconst_TJpa</f>
        <v>TJ / year</v>
      </c>
      <c r="H1278" s="625" t="str">
        <f>IF($I1133="","",IF(INDEX(F_ProductBM!H:H,MATCH($P1278,F_ProductBM!$Q:$Q,0))="","",INDEX(F_ProductBM!H:H,MATCH($P1278,F_ProductBM!$Q:$Q,0))))</f>
        <v/>
      </c>
      <c r="I1278" s="794" t="str">
        <f>IF($I1133="","",IF(INDEX(F_ProductBM!I:I,MATCH($P1278,F_ProductBM!$Q:$Q,0))="","",INDEX(F_ProductBM!I:I,MATCH($P1278,F_ProductBM!$Q:$Q,0))))</f>
        <v/>
      </c>
      <c r="J1278" s="2171" t="str">
        <f>IF($I1133="","",IF(INDEX(F_ProductBM!J:J,MATCH($P1278,F_ProductBM!$Q:$Q,0))="","",INDEX(F_ProductBM!J:J,MATCH($P1278,F_ProductBM!$Q:$Q,0))))</f>
        <v/>
      </c>
      <c r="K1278" s="1788" t="str">
        <f>IF($I1133="","",IF(INDEX(F_ProductBM!K:K,MATCH($P1278,F_ProductBM!$Q:$Q,0))="","",INDEX(F_ProductBM!K:K,MATCH($P1278,F_ProductBM!$Q:$Q,0))))</f>
        <v/>
      </c>
      <c r="L1278" s="1789" t="str">
        <f>IF($I1133="","",IF(INDEX(F_ProductBM!L:L,MATCH($P1278,F_ProductBM!$Q:$Q,0))="","",INDEX(F_ProductBM!L:L,MATCH($P1278,F_ProductBM!$Q:$Q,0))))</f>
        <v/>
      </c>
      <c r="M1278" s="1789" t="str">
        <f>IF($I1133="","",IF(INDEX(F_ProductBM!M:M,MATCH($P1278,F_ProductBM!$Q:$Q,0))="","",INDEX(F_ProductBM!M:M,MATCH($P1278,F_ProductBM!$Q:$Q,0))))</f>
        <v/>
      </c>
      <c r="N1278" s="1789" t="str">
        <f>IF($I1133="","",IF(INDEX(F_ProductBM!N:N,MATCH($P1278,F_ProductBM!$Q:$Q,0))="","",INDEX(F_ProductBM!N:N,MATCH($P1278,F_ProductBM!$Q:$Q,0))))</f>
        <v/>
      </c>
      <c r="O1278" s="485"/>
      <c r="P1278" s="1970" t="str">
        <f>EUconst_CNTR_WGImport &amp; I1133</f>
        <v>WasteGasIm_</v>
      </c>
      <c r="Q1278" s="1137"/>
      <c r="R1278" s="1137"/>
      <c r="S1278" s="1137"/>
      <c r="T1278" s="1137"/>
      <c r="U1278" s="1137"/>
      <c r="V1278" s="1137"/>
    </row>
    <row r="1279" spans="1:22" s="562" customFormat="1" ht="12.75" customHeight="1">
      <c r="A1279" s="817"/>
      <c r="C1279" s="485"/>
      <c r="D1279" s="776"/>
      <c r="E1279" s="816" t="s">
        <v>1275</v>
      </c>
      <c r="F1279" s="816"/>
      <c r="G1279" s="812" t="str">
        <f>EUconst_tCO2pTJ</f>
        <v>t CO2 / TJ</v>
      </c>
      <c r="H1279" s="627" t="str">
        <f>IF($I1133="","",IF(INDEX(F_ProductBM!H:H,MATCH($P1279,F_ProductBM!$Q:$Q,0))="","",INDEX(F_ProductBM!H:H,MATCH($P1279,F_ProductBM!$Q:$Q,0))))</f>
        <v/>
      </c>
      <c r="I1279" s="796" t="str">
        <f>IF($I1133="","",IF(INDEX(F_ProductBM!I:I,MATCH($P1279,F_ProductBM!$Q:$Q,0))="","",INDEX(F_ProductBM!I:I,MATCH($P1279,F_ProductBM!$Q:$Q,0))))</f>
        <v/>
      </c>
      <c r="J1279" s="2172" t="str">
        <f>IF($I1133="","",IF(INDEX(F_ProductBM!J:J,MATCH($P1279,F_ProductBM!$Q:$Q,0))="","",INDEX(F_ProductBM!J:J,MATCH($P1279,F_ProductBM!$Q:$Q,0))))</f>
        <v/>
      </c>
      <c r="K1279" s="1788" t="str">
        <f>IF($I1133="","",IF(INDEX(F_ProductBM!K:K,MATCH($P1279,F_ProductBM!$Q:$Q,0))="","",INDEX(F_ProductBM!K:K,MATCH($P1279,F_ProductBM!$Q:$Q,0))))</f>
        <v/>
      </c>
      <c r="L1279" s="1789" t="str">
        <f>IF($I1133="","",IF(INDEX(F_ProductBM!L:L,MATCH($P1279,F_ProductBM!$Q:$Q,0))="","",INDEX(F_ProductBM!L:L,MATCH($P1279,F_ProductBM!$Q:$Q,0))))</f>
        <v/>
      </c>
      <c r="M1279" s="1789" t="str">
        <f>IF($I1133="","",IF(INDEX(F_ProductBM!M:M,MATCH($P1279,F_ProductBM!$Q:$Q,0))="","",INDEX(F_ProductBM!M:M,MATCH($P1279,F_ProductBM!$Q:$Q,0))))</f>
        <v/>
      </c>
      <c r="N1279" s="1789" t="str">
        <f>IF($I1133="","",IF(INDEX(F_ProductBM!N:N,MATCH($P1279,F_ProductBM!$Q:$Q,0))="","",INDEX(F_ProductBM!N:N,MATCH($P1279,F_ProductBM!$Q:$Q,0))))</f>
        <v/>
      </c>
      <c r="O1279" s="485"/>
      <c r="P1279" s="1970" t="str">
        <f>EUconst_CNTR_WGImportEF &amp; I1133</f>
        <v>WasteGasImEF_</v>
      </c>
      <c r="Q1279" s="1137"/>
      <c r="R1279" s="1137"/>
      <c r="S1279" s="1137"/>
      <c r="T1279" s="1137"/>
      <c r="U1279" s="1137"/>
      <c r="V1279" s="1137"/>
    </row>
    <row r="1280" spans="1:22" s="562" customFormat="1" ht="12.75" customHeight="1">
      <c r="A1280" s="817"/>
      <c r="C1280" s="485"/>
      <c r="D1280" s="776"/>
      <c r="E1280" s="2471" t="s">
        <v>1080</v>
      </c>
      <c r="F1280" s="3467"/>
      <c r="G1280" s="811" t="str">
        <f>EUconst_TJpa</f>
        <v>TJ / year</v>
      </c>
      <c r="H1280" s="625" t="str">
        <f>IF($I1133="","",IF(INDEX(F_ProductBM!H:H,MATCH($P1280,F_ProductBM!$Q:$Q,0))="","",INDEX(F_ProductBM!H:H,MATCH($P1280,F_ProductBM!$Q:$Q,0))))</f>
        <v/>
      </c>
      <c r="I1280" s="794" t="str">
        <f>IF($I1133="","",IF(INDEX(F_ProductBM!I:I,MATCH($P1280,F_ProductBM!$Q:$Q,0))="","",INDEX(F_ProductBM!I:I,MATCH($P1280,F_ProductBM!$Q:$Q,0))))</f>
        <v/>
      </c>
      <c r="J1280" s="2171" t="str">
        <f>IF($I1133="","",IF(INDEX(F_ProductBM!J:J,MATCH($P1280,F_ProductBM!$Q:$Q,0))="","",INDEX(F_ProductBM!J:J,MATCH($P1280,F_ProductBM!$Q:$Q,0))))</f>
        <v/>
      </c>
      <c r="K1280" s="1788" t="str">
        <f>IF($I1133="","",IF(INDEX(F_ProductBM!K:K,MATCH($P1280,F_ProductBM!$Q:$Q,0))="","",INDEX(F_ProductBM!K:K,MATCH($P1280,F_ProductBM!$Q:$Q,0))))</f>
        <v/>
      </c>
      <c r="L1280" s="1789" t="str">
        <f>IF($I1133="","",IF(INDEX(F_ProductBM!L:L,MATCH($P1280,F_ProductBM!$Q:$Q,0))="","",INDEX(F_ProductBM!L:L,MATCH($P1280,F_ProductBM!$Q:$Q,0))))</f>
        <v/>
      </c>
      <c r="M1280" s="1789" t="str">
        <f>IF($I1133="","",IF(INDEX(F_ProductBM!M:M,MATCH($P1280,F_ProductBM!$Q:$Q,0))="","",INDEX(F_ProductBM!M:M,MATCH($P1280,F_ProductBM!$Q:$Q,0))))</f>
        <v/>
      </c>
      <c r="N1280" s="1789" t="str">
        <f>IF($I1133="","",IF(INDEX(F_ProductBM!N:N,MATCH($P1280,F_ProductBM!$Q:$Q,0))="","",INDEX(F_ProductBM!N:N,MATCH($P1280,F_ProductBM!$Q:$Q,0))))</f>
        <v/>
      </c>
      <c r="O1280" s="485"/>
      <c r="P1280" s="1970" t="str">
        <f>EUconst_CNTR_WGExport &amp; I1133</f>
        <v>WasteGasEx_</v>
      </c>
      <c r="Q1280" s="1137"/>
      <c r="R1280" s="1137"/>
      <c r="S1280" s="1137"/>
      <c r="T1280" s="1137"/>
      <c r="U1280" s="1137"/>
      <c r="V1280" s="1137"/>
    </row>
    <row r="1281" spans="1:22" s="562" customFormat="1" ht="12.75" customHeight="1">
      <c r="A1281" s="817"/>
      <c r="C1281" s="485"/>
      <c r="D1281" s="776"/>
      <c r="E1281" s="2473" t="s">
        <v>1276</v>
      </c>
      <c r="F1281" s="3466"/>
      <c r="G1281" s="812" t="str">
        <f>EUconst_tCO2pTJ</f>
        <v>t CO2 / TJ</v>
      </c>
      <c r="H1281" s="627" t="str">
        <f>IF($I1133="","",IF(INDEX(F_ProductBM!H:H,MATCH($P1281,F_ProductBM!$Q:$Q,0))="","",INDEX(F_ProductBM!H:H,MATCH($P1281,F_ProductBM!$Q:$Q,0))))</f>
        <v/>
      </c>
      <c r="I1281" s="796" t="str">
        <f>IF($I1133="","",IF(INDEX(F_ProductBM!I:I,MATCH($P1281,F_ProductBM!$Q:$Q,0))="","",INDEX(F_ProductBM!I:I,MATCH($P1281,F_ProductBM!$Q:$Q,0))))</f>
        <v/>
      </c>
      <c r="J1281" s="2172" t="str">
        <f>IF($I1133="","",IF(INDEX(F_ProductBM!J:J,MATCH($P1281,F_ProductBM!$Q:$Q,0))="","",INDEX(F_ProductBM!J:J,MATCH($P1281,F_ProductBM!$Q:$Q,0))))</f>
        <v/>
      </c>
      <c r="K1281" s="1788" t="str">
        <f>IF($I1133="","",IF(INDEX(F_ProductBM!K:K,MATCH($P1281,F_ProductBM!$Q:$Q,0))="","",INDEX(F_ProductBM!K:K,MATCH($P1281,F_ProductBM!$Q:$Q,0))))</f>
        <v/>
      </c>
      <c r="L1281" s="1789" t="str">
        <f>IF($I1133="","",IF(INDEX(F_ProductBM!L:L,MATCH($P1281,F_ProductBM!$Q:$Q,0))="","",INDEX(F_ProductBM!L:L,MATCH($P1281,F_ProductBM!$Q:$Q,0))))</f>
        <v/>
      </c>
      <c r="M1281" s="1789" t="str">
        <f>IF($I1133="","",IF(INDEX(F_ProductBM!M:M,MATCH($P1281,F_ProductBM!$Q:$Q,0))="","",INDEX(F_ProductBM!M:M,MATCH($P1281,F_ProductBM!$Q:$Q,0))))</f>
        <v/>
      </c>
      <c r="N1281" s="1789" t="str">
        <f>IF($I1133="","",IF(INDEX(F_ProductBM!N:N,MATCH($P1281,F_ProductBM!$Q:$Q,0))="","",INDEX(F_ProductBM!N:N,MATCH($P1281,F_ProductBM!$Q:$Q,0))))</f>
        <v/>
      </c>
      <c r="O1281" s="485"/>
      <c r="P1281" s="1970" t="str">
        <f>EUconst_CNTR_WGExportEF &amp; I1133</f>
        <v>WasteGasExEF_</v>
      </c>
      <c r="Q1281" s="1137"/>
      <c r="R1281" s="1137"/>
      <c r="S1281" s="1137"/>
      <c r="T1281" s="1137"/>
      <c r="U1281" s="1137"/>
      <c r="V1281" s="1137"/>
    </row>
    <row r="1282" spans="1:22" s="562" customFormat="1" ht="5.0999999999999996" customHeight="1">
      <c r="A1282" s="817"/>
      <c r="C1282" s="485"/>
      <c r="D1282" s="776"/>
      <c r="E1282" s="809"/>
      <c r="F1282" s="809"/>
      <c r="G1282" s="777"/>
      <c r="H1282" s="2173"/>
      <c r="I1282" s="2173"/>
      <c r="J1282" s="2173"/>
      <c r="K1282" s="1788"/>
      <c r="L1282" s="1789"/>
      <c r="M1282" s="1789"/>
      <c r="N1282" s="1789"/>
      <c r="O1282" s="485"/>
      <c r="P1282" s="1117"/>
      <c r="Q1282" s="1137"/>
      <c r="R1282" s="1137"/>
      <c r="S1282" s="1137"/>
      <c r="T1282" s="1137"/>
      <c r="U1282" s="1137"/>
      <c r="V1282" s="1137"/>
    </row>
    <row r="1283" spans="1:22" s="562" customFormat="1" ht="12.75" customHeight="1">
      <c r="A1283" s="817"/>
      <c r="C1283" s="485"/>
      <c r="D1283" s="776"/>
      <c r="E1283" s="2475" t="s">
        <v>914</v>
      </c>
      <c r="F1283" s="3461"/>
      <c r="G1283" s="815" t="str">
        <f>EUconst_MWhpa</f>
        <v>MWh / year</v>
      </c>
      <c r="H1283" s="623" t="str">
        <f>IF($I1133="","",IF(INDEX(F_ProductBM!H:H,MATCH($P1283,F_ProductBM!$R:$R,0))="","",INDEX(F_ProductBM!H:H,MATCH($P1283,F_ProductBM!$R:$R,0))))</f>
        <v/>
      </c>
      <c r="I1283" s="800" t="str">
        <f>IF($I1133="","",IF(INDEX(F_ProductBM!I:I,MATCH($P1283,F_ProductBM!$R:$R,0))="","",INDEX(F_ProductBM!I:I,MATCH($P1283,F_ProductBM!$R:$R,0))))</f>
        <v/>
      </c>
      <c r="J1283" s="2174" t="str">
        <f>IF($I1133="","",IF(INDEX(F_ProductBM!J:J,MATCH($P1283,F_ProductBM!$R:$R,0))="","",INDEX(F_ProductBM!J:J,MATCH($P1283,F_ProductBM!$R:$R,0))))</f>
        <v/>
      </c>
      <c r="K1283" s="1788" t="str">
        <f>IF($I1133="","",IF(INDEX(F_ProductBM!K:K,MATCH($P1283,F_ProductBM!$R:$R,0))="","",INDEX(F_ProductBM!K:K,MATCH($P1283,F_ProductBM!$R:$R,0))))</f>
        <v/>
      </c>
      <c r="L1283" s="1789" t="str">
        <f>IF($I1133="","",IF(INDEX(F_ProductBM!L:L,MATCH($P1283,F_ProductBM!$R:$R,0))="","",INDEX(F_ProductBM!L:L,MATCH($P1283,F_ProductBM!$R:$R,0))))</f>
        <v/>
      </c>
      <c r="M1283" s="1789" t="str">
        <f>IF($I1133="","",IF(INDEX(F_ProductBM!M:M,MATCH($P1283,F_ProductBM!$R:$R,0))="","",INDEX(F_ProductBM!M:M,MATCH($P1283,F_ProductBM!$R:$R,0))))</f>
        <v/>
      </c>
      <c r="N1283" s="1789" t="str">
        <f>IF($I1133="","",IF(INDEX(F_ProductBM!N:N,MATCH($P1283,F_ProductBM!$R:$R,0))="","",INDEX(F_ProductBM!N:N,MATCH($P1283,F_ProductBM!$R:$R,0))))</f>
        <v/>
      </c>
      <c r="O1283" s="485"/>
      <c r="P1283" s="1158" t="str">
        <f>EUconst_CNTR_HAL&amp;EUconst_CNTR_ELEXCH &amp; I1133</f>
        <v>HAL_ELEXCH_</v>
      </c>
      <c r="Q1283" s="1137"/>
      <c r="R1283" s="1137"/>
      <c r="S1283" s="1137"/>
      <c r="T1283" s="1137"/>
      <c r="U1283" s="1137"/>
      <c r="V1283" s="1137"/>
    </row>
    <row r="1284" spans="1:22" s="562" customFormat="1" ht="12.75" customHeight="1">
      <c r="A1284" s="817"/>
      <c r="C1284" s="485"/>
      <c r="D1284" s="776"/>
      <c r="E1284" s="2475" t="s">
        <v>1354</v>
      </c>
      <c r="F1284" s="3461"/>
      <c r="G1284" s="815" t="str">
        <f>EUconst_MWhpa</f>
        <v>MWh / year</v>
      </c>
      <c r="H1284" s="623" t="str">
        <f>IF($I1133="","",IF(INDEX(F_ProductBM!H:H,MATCH($P1284,F_ProductBM!$Q:$Q,0))="","",INDEX(F_ProductBM!H:H,MATCH($P1284,F_ProductBM!$Q:$Q,0))))</f>
        <v/>
      </c>
      <c r="I1284" s="800" t="str">
        <f>IF($I1133="","",IF(INDEX(F_ProductBM!I:I,MATCH($P1284,F_ProductBM!$Q:$Q,0))="","",INDEX(F_ProductBM!I:I,MATCH($P1284,F_ProductBM!$Q:$Q,0))))</f>
        <v/>
      </c>
      <c r="J1284" s="2174" t="str">
        <f>IF($I1133="","",IF(INDEX(F_ProductBM!J:J,MATCH($P1284,F_ProductBM!$Q:$Q,0))="","",INDEX(F_ProductBM!J:J,MATCH($P1284,F_ProductBM!$Q:$Q,0))))</f>
        <v/>
      </c>
      <c r="K1284" s="1788" t="str">
        <f>IF($I1133="","",IF(INDEX(F_ProductBM!K:K,MATCH($P1284,F_ProductBM!$Q:$Q,0))="","",INDEX(F_ProductBM!K:K,MATCH($P1284,F_ProductBM!$Q:$Q,0))))</f>
        <v/>
      </c>
      <c r="L1284" s="1789" t="str">
        <f>IF($I1133="","",IF(INDEX(F_ProductBM!L:L,MATCH($P1284,F_ProductBM!$Q:$Q,0))="","",INDEX(F_ProductBM!L:L,MATCH($P1284,F_ProductBM!$Q:$Q,0))))</f>
        <v/>
      </c>
      <c r="M1284" s="1789" t="str">
        <f>IF($I1133="","",IF(INDEX(F_ProductBM!M:M,MATCH($P1284,F_ProductBM!$Q:$Q,0))="","",INDEX(F_ProductBM!M:M,MATCH($P1284,F_ProductBM!$Q:$Q,0))))</f>
        <v/>
      </c>
      <c r="N1284" s="1789" t="str">
        <f>IF($I1133="","",IF(INDEX(F_ProductBM!N:N,MATCH($P1284,F_ProductBM!$Q:$Q,0))="","",INDEX(F_ProductBM!N:N,MATCH($P1284,F_ProductBM!$Q:$Q,0))))</f>
        <v/>
      </c>
      <c r="O1284" s="485"/>
      <c r="P1284" s="1970" t="str">
        <f>EUconst_CNTR_ElectricityExported &amp; I1133</f>
        <v>ElecEx_</v>
      </c>
      <c r="Q1284" s="1137"/>
      <c r="R1284" s="1137"/>
      <c r="S1284" s="1137"/>
      <c r="T1284" s="1137"/>
      <c r="U1284" s="1137"/>
      <c r="V1284" s="1137"/>
    </row>
    <row r="1285" spans="1:22" s="562" customFormat="1" ht="5.0999999999999996" customHeight="1">
      <c r="A1285" s="817"/>
      <c r="C1285" s="485"/>
      <c r="D1285" s="776"/>
      <c r="E1285" s="809"/>
      <c r="F1285" s="809"/>
      <c r="G1285" s="777"/>
      <c r="H1285" s="2173"/>
      <c r="I1285" s="2173"/>
      <c r="J1285" s="2173"/>
      <c r="K1285" s="1788"/>
      <c r="L1285" s="1789"/>
      <c r="M1285" s="1789"/>
      <c r="N1285" s="1789"/>
      <c r="O1285" s="485"/>
      <c r="P1285" s="1117"/>
      <c r="Q1285" s="1137"/>
      <c r="R1285" s="1137"/>
      <c r="S1285" s="1137"/>
      <c r="T1285" s="1137"/>
      <c r="U1285" s="1137"/>
      <c r="V1285" s="1137"/>
    </row>
    <row r="1286" spans="1:22" s="562" customFormat="1" ht="12.75" customHeight="1">
      <c r="A1286" s="817"/>
      <c r="C1286" s="485"/>
      <c r="D1286" s="776"/>
      <c r="E1286" s="2475" t="s">
        <v>1157</v>
      </c>
      <c r="F1286" s="3461"/>
      <c r="G1286" s="815" t="str">
        <f>EUconst_Tons</f>
        <v>tonnes</v>
      </c>
      <c r="H1286" s="623" t="str">
        <f>IF($I1133="","",IF(INDEX(F_ProductBM!H:H,MATCH($P1286,F_ProductBM!$Q:$Q,0))="","",INDEX(F_ProductBM!H:H,MATCH($P1286,F_ProductBM!$Q:$Q,0))))</f>
        <v/>
      </c>
      <c r="I1286" s="800" t="str">
        <f>IF($I1133="","",IF(INDEX(F_ProductBM!I:I,MATCH($P1286,F_ProductBM!$Q:$Q,0))="","",INDEX(F_ProductBM!I:I,MATCH($P1286,F_ProductBM!$Q:$Q,0))))</f>
        <v/>
      </c>
      <c r="J1286" s="2174" t="str">
        <f>IF($I1133="","",IF(INDEX(F_ProductBM!J:J,MATCH($P1286,F_ProductBM!$Q:$Q,0))="","",INDEX(F_ProductBM!J:J,MATCH($P1286,F_ProductBM!$Q:$Q,0))))</f>
        <v/>
      </c>
      <c r="K1286" s="1788" t="str">
        <f>IF($I1133="","",IF(INDEX(F_ProductBM!K:K,MATCH($P1286,F_ProductBM!$Q:$Q,0))="","",INDEX(F_ProductBM!K:K,MATCH($P1286,F_ProductBM!$Q:$Q,0))))</f>
        <v/>
      </c>
      <c r="L1286" s="1789" t="str">
        <f>IF($I1133="","",IF(INDEX(F_ProductBM!L:L,MATCH($P1286,F_ProductBM!$Q:$Q,0))="","",INDEX(F_ProductBM!L:L,MATCH($P1286,F_ProductBM!$Q:$Q,0))))</f>
        <v/>
      </c>
      <c r="M1286" s="1789" t="str">
        <f>IF($I1133="","",IF(INDEX(F_ProductBM!M:M,MATCH($P1286,F_ProductBM!$Q:$Q,0))="","",INDEX(F_ProductBM!M:M,MATCH($P1286,F_ProductBM!$Q:$Q,0))))</f>
        <v/>
      </c>
      <c r="N1286" s="1789" t="str">
        <f>IF($I1133="","",IF(INDEX(F_ProductBM!N:N,MATCH($P1286,F_ProductBM!$Q:$Q,0))="","",INDEX(F_ProductBM!N:N,MATCH($P1286,F_ProductBM!$Q:$Q,0))))</f>
        <v/>
      </c>
      <c r="O1286" s="485"/>
      <c r="P1286" s="1970" t="str">
        <f>EUconst_CNTR_HALPulpTotal &amp; I1133</f>
        <v>HALPulpTotal_</v>
      </c>
      <c r="Q1286" s="1137"/>
      <c r="R1286" s="1137"/>
      <c r="S1286" s="1137"/>
      <c r="T1286" s="1137"/>
      <c r="U1286" s="1137"/>
      <c r="V1286" s="1137"/>
    </row>
    <row r="1287" spans="1:22" s="562" customFormat="1" ht="5.0999999999999996" customHeight="1">
      <c r="A1287" s="817"/>
      <c r="C1287" s="485"/>
      <c r="D1287" s="776"/>
      <c r="E1287" s="809"/>
      <c r="F1287" s="809"/>
      <c r="G1287" s="777"/>
      <c r="H1287" s="2173"/>
      <c r="I1287" s="2173"/>
      <c r="J1287" s="2173"/>
      <c r="K1287" s="1788"/>
      <c r="L1287" s="1789"/>
      <c r="M1287" s="1789"/>
      <c r="N1287" s="1789"/>
      <c r="O1287" s="485"/>
      <c r="P1287" s="1117"/>
      <c r="Q1287" s="1137"/>
      <c r="R1287" s="1137"/>
      <c r="S1287" s="1137"/>
      <c r="T1287" s="1137"/>
      <c r="U1287" s="1137"/>
      <c r="V1287" s="1137"/>
    </row>
    <row r="1288" spans="1:22" s="562" customFormat="1">
      <c r="A1288" s="817"/>
      <c r="C1288" s="485"/>
      <c r="D1288" s="776"/>
      <c r="E1288" s="2492" t="s">
        <v>1440</v>
      </c>
      <c r="F1288" s="3284"/>
      <c r="G1288" s="777"/>
      <c r="H1288" s="2173"/>
      <c r="I1288" s="2173"/>
      <c r="J1288" s="2173"/>
      <c r="K1288" s="1788"/>
      <c r="L1288" s="1789"/>
      <c r="M1288" s="1789"/>
      <c r="N1288" s="1789"/>
      <c r="O1288" s="485"/>
      <c r="P1288" s="1117"/>
      <c r="Q1288" s="1137"/>
      <c r="R1288" s="1137"/>
      <c r="S1288" s="1137"/>
      <c r="T1288" s="1137"/>
      <c r="U1288" s="1137"/>
      <c r="V1288" s="1137"/>
    </row>
    <row r="1289" spans="1:22" s="562" customFormat="1">
      <c r="A1289" s="817"/>
      <c r="C1289" s="485"/>
      <c r="D1289" s="776"/>
      <c r="E1289" s="3285" t="str">
        <f>IF(I1133="","",IF(INDEX(F_ProductBM!E:E,MATCH($P1289,F_ProductBM!$Q:$Q,0))="","",INDEX(F_ProductBM!E:E,MATCH($P1289,F_ProductBM!$Q:$Q,0))))</f>
        <v/>
      </c>
      <c r="F1289" s="3461"/>
      <c r="G1289" s="815" t="str">
        <f>EUconst_Tons</f>
        <v>tonnes</v>
      </c>
      <c r="H1289" s="623" t="str">
        <f>IF($I1133="","",IF(INDEX(F_ProductBM!H:H,MATCH($P1289,F_ProductBM!$Q:$Q,0))="","",INDEX(F_ProductBM!H:H,MATCH($P1289,F_ProductBM!$Q:$Q,0))))</f>
        <v/>
      </c>
      <c r="I1289" s="800" t="str">
        <f>IF($I1133="","",IF(INDEX(F_ProductBM!I:I,MATCH($P1289,F_ProductBM!$Q:$Q,0))="","",INDEX(F_ProductBM!I:I,MATCH($P1289,F_ProductBM!$Q:$Q,0))))</f>
        <v/>
      </c>
      <c r="J1289" s="2174" t="str">
        <f>IF($I1133="","",IF(INDEX(F_ProductBM!J:J,MATCH($P1289,F_ProductBM!$Q:$Q,0))="","",INDEX(F_ProductBM!J:J,MATCH($P1289,F_ProductBM!$Q:$Q,0))))</f>
        <v/>
      </c>
      <c r="K1289" s="1788" t="str">
        <f>IF($I1133="","",IF(INDEX(F_ProductBM!K:K,MATCH($P1289,F_ProductBM!$Q:$Q,0))="","",INDEX(F_ProductBM!K:K,MATCH($P1289,F_ProductBM!$Q:$Q,0))))</f>
        <v/>
      </c>
      <c r="L1289" s="1789" t="str">
        <f>IF($I1133="","",IF(INDEX(F_ProductBM!L:L,MATCH($P1289,F_ProductBM!$Q:$Q,0))="","",INDEX(F_ProductBM!L:L,MATCH($P1289,F_ProductBM!$Q:$Q,0))))</f>
        <v/>
      </c>
      <c r="M1289" s="1789" t="str">
        <f>IF($I1133="","",IF(INDEX(F_ProductBM!M:M,MATCH($P1289,F_ProductBM!$Q:$Q,0))="","",INDEX(F_ProductBM!M:M,MATCH($P1289,F_ProductBM!$Q:$Q,0))))</f>
        <v/>
      </c>
      <c r="N1289" s="1789" t="str">
        <f>IF($I1133="","",IF(INDEX(F_ProductBM!N:N,MATCH($P1289,F_ProductBM!$Q:$Q,0))="","",INDEX(F_ProductBM!N:N,MATCH($P1289,F_ProductBM!$Q:$Q,0))))</f>
        <v/>
      </c>
      <c r="O1289" s="485"/>
      <c r="P1289" s="1970" t="str">
        <f>EUconst_CNTR_IntermediateImport &amp; R1289 &amp; "_" &amp; I1133</f>
        <v>IntImp_1_</v>
      </c>
      <c r="Q1289" s="1137"/>
      <c r="R1289" s="1312">
        <v>1</v>
      </c>
      <c r="S1289" s="1137"/>
      <c r="T1289" s="1137"/>
      <c r="U1289" s="1137"/>
      <c r="V1289" s="1137"/>
    </row>
    <row r="1290" spans="1:22" s="562" customFormat="1">
      <c r="A1290" s="817"/>
      <c r="C1290" s="485"/>
      <c r="D1290" s="776"/>
      <c r="E1290" s="3285" t="str">
        <f>IF(I1133="","",IF(INDEX(F_ProductBM!E:E,MATCH($P1290,F_ProductBM!$Q:$Q,0))="","",INDEX(F_ProductBM!E:E,MATCH($P1290,F_ProductBM!$Q:$Q,0))))</f>
        <v/>
      </c>
      <c r="F1290" s="3461"/>
      <c r="G1290" s="815" t="str">
        <f>EUconst_Tons</f>
        <v>tonnes</v>
      </c>
      <c r="H1290" s="623" t="str">
        <f>IF($I1133="","",IF(INDEX(F_ProductBM!H:H,MATCH($P1290,F_ProductBM!$Q:$Q,0))="","",INDEX(F_ProductBM!H:H,MATCH($P1290,F_ProductBM!$Q:$Q,0))))</f>
        <v/>
      </c>
      <c r="I1290" s="800" t="str">
        <f>IF($I1133="","",IF(INDEX(F_ProductBM!I:I,MATCH($P1290,F_ProductBM!$Q:$Q,0))="","",INDEX(F_ProductBM!I:I,MATCH($P1290,F_ProductBM!$Q:$Q,0))))</f>
        <v/>
      </c>
      <c r="J1290" s="2174" t="str">
        <f>IF($I1133="","",IF(INDEX(F_ProductBM!J:J,MATCH($P1290,F_ProductBM!$Q:$Q,0))="","",INDEX(F_ProductBM!J:J,MATCH($P1290,F_ProductBM!$Q:$Q,0))))</f>
        <v/>
      </c>
      <c r="K1290" s="1788" t="str">
        <f>IF($I1133="","",IF(INDEX(F_ProductBM!K:K,MATCH($P1290,F_ProductBM!$Q:$Q,0))="","",INDEX(F_ProductBM!K:K,MATCH($P1290,F_ProductBM!$Q:$Q,0))))</f>
        <v/>
      </c>
      <c r="L1290" s="1789" t="str">
        <f>IF($I1133="","",IF(INDEX(F_ProductBM!L:L,MATCH($P1290,F_ProductBM!$Q:$Q,0))="","",INDEX(F_ProductBM!L:L,MATCH($P1290,F_ProductBM!$Q:$Q,0))))</f>
        <v/>
      </c>
      <c r="M1290" s="1789" t="str">
        <f>IF($I1133="","",IF(INDEX(F_ProductBM!M:M,MATCH($P1290,F_ProductBM!$Q:$Q,0))="","",INDEX(F_ProductBM!M:M,MATCH($P1290,F_ProductBM!$Q:$Q,0))))</f>
        <v/>
      </c>
      <c r="N1290" s="1789" t="str">
        <f>IF($I1133="","",IF(INDEX(F_ProductBM!N:N,MATCH($P1290,F_ProductBM!$Q:$Q,0))="","",INDEX(F_ProductBM!N:N,MATCH($P1290,F_ProductBM!$Q:$Q,0))))</f>
        <v/>
      </c>
      <c r="O1290" s="485"/>
      <c r="P1290" s="1970" t="str">
        <f>EUconst_CNTR_IntermediateImport &amp; R1290 &amp; "_" &amp; I1133</f>
        <v>IntImp_2_</v>
      </c>
      <c r="Q1290" s="1137"/>
      <c r="R1290" s="1312">
        <v>2</v>
      </c>
      <c r="S1290" s="1137"/>
      <c r="T1290" s="1137"/>
      <c r="U1290" s="1137"/>
      <c r="V1290" s="1137"/>
    </row>
    <row r="1291" spans="1:22" s="562" customFormat="1">
      <c r="A1291" s="817"/>
      <c r="C1291" s="485"/>
      <c r="D1291" s="776"/>
      <c r="E1291" s="2475" t="s">
        <v>1441</v>
      </c>
      <c r="F1291" s="3461"/>
      <c r="G1291" s="777"/>
      <c r="H1291" s="2173"/>
      <c r="I1291" s="2173"/>
      <c r="J1291" s="2173"/>
      <c r="K1291" s="1788"/>
      <c r="L1291" s="1789"/>
      <c r="M1291" s="1789"/>
      <c r="N1291" s="1789"/>
      <c r="O1291" s="485"/>
      <c r="P1291" s="1117"/>
      <c r="Q1291" s="1137"/>
      <c r="R1291" s="1137"/>
      <c r="S1291" s="1137"/>
      <c r="T1291" s="1137"/>
      <c r="U1291" s="1137"/>
      <c r="V1291" s="1137"/>
    </row>
    <row r="1292" spans="1:22" s="562" customFormat="1">
      <c r="A1292" s="817"/>
      <c r="C1292" s="485"/>
      <c r="D1292" s="776"/>
      <c r="E1292" s="3285" t="str">
        <f>IF(I1133="","",IF(INDEX(F_ProductBM!E:E,MATCH($P1292,F_ProductBM!$Q:$Q,0))="","",INDEX(F_ProductBM!E:E,MATCH($P1292,F_ProductBM!$Q:$Q,0))))</f>
        <v/>
      </c>
      <c r="F1292" s="3461"/>
      <c r="G1292" s="815" t="str">
        <f>EUconst_Tons</f>
        <v>tonnes</v>
      </c>
      <c r="H1292" s="623" t="str">
        <f>IF($I1133="","",IF(INDEX(F_ProductBM!H:H,MATCH($P1292,F_ProductBM!$Q:$Q,0))="","",INDEX(F_ProductBM!H:H,MATCH($P1292,F_ProductBM!$Q:$Q,0))))</f>
        <v/>
      </c>
      <c r="I1292" s="800" t="str">
        <f>IF($I1133="","",IF(INDEX(F_ProductBM!I:I,MATCH($P1292,F_ProductBM!$Q:$Q,0))="","",INDEX(F_ProductBM!I:I,MATCH($P1292,F_ProductBM!$Q:$Q,0))))</f>
        <v/>
      </c>
      <c r="J1292" s="2174" t="str">
        <f>IF($I1133="","",IF(INDEX(F_ProductBM!J:J,MATCH($P1292,F_ProductBM!$Q:$Q,0))="","",INDEX(F_ProductBM!J:J,MATCH($P1292,F_ProductBM!$Q:$Q,0))))</f>
        <v/>
      </c>
      <c r="K1292" s="1788" t="str">
        <f>IF($I1133="","",IF(INDEX(F_ProductBM!K:K,MATCH($P1292,F_ProductBM!$Q:$Q,0))="","",INDEX(F_ProductBM!K:K,MATCH($P1292,F_ProductBM!$Q:$Q,0))))</f>
        <v/>
      </c>
      <c r="L1292" s="1789" t="str">
        <f>IF($I1133="","",IF(INDEX(F_ProductBM!L:L,MATCH($P1292,F_ProductBM!$Q:$Q,0))="","",INDEX(F_ProductBM!L:L,MATCH($P1292,F_ProductBM!$Q:$Q,0))))</f>
        <v/>
      </c>
      <c r="M1292" s="1789" t="str">
        <f>IF($I1133="","",IF(INDEX(F_ProductBM!M:M,MATCH($P1292,F_ProductBM!$Q:$Q,0))="","",INDEX(F_ProductBM!M:M,MATCH($P1292,F_ProductBM!$Q:$Q,0))))</f>
        <v/>
      </c>
      <c r="N1292" s="1789" t="str">
        <f>IF($I1133="","",IF(INDEX(F_ProductBM!N:N,MATCH($P1292,F_ProductBM!$Q:$Q,0))="","",INDEX(F_ProductBM!N:N,MATCH($P1292,F_ProductBM!$Q:$Q,0))))</f>
        <v/>
      </c>
      <c r="O1292" s="485"/>
      <c r="P1292" s="1970" t="str">
        <f>EUconst_CNTR_IntermediateExport &amp; R1289 &amp; "_" &amp; I1133</f>
        <v>IntExp_1_</v>
      </c>
      <c r="Q1292" s="1137"/>
      <c r="R1292" s="1312">
        <v>1</v>
      </c>
      <c r="S1292" s="1137"/>
      <c r="T1292" s="1137"/>
      <c r="U1292" s="1137"/>
      <c r="V1292" s="1137"/>
    </row>
    <row r="1293" spans="1:22" s="562" customFormat="1">
      <c r="A1293" s="817"/>
      <c r="C1293" s="485"/>
      <c r="D1293" s="776"/>
      <c r="E1293" s="3285" t="str">
        <f>IF(I1133="","",IF(INDEX(F_ProductBM!E:E,MATCH($P1293,F_ProductBM!$Q:$Q,0))="","",INDEX(F_ProductBM!E:E,MATCH($P1293,F_ProductBM!$Q:$Q,0))))</f>
        <v/>
      </c>
      <c r="F1293" s="3461"/>
      <c r="G1293" s="815" t="str">
        <f>EUconst_Tons</f>
        <v>tonnes</v>
      </c>
      <c r="H1293" s="623" t="str">
        <f>IF($I1133="","",IF(INDEX(F_ProductBM!H:H,MATCH($P1293,F_ProductBM!$Q:$Q,0))="","",INDEX(F_ProductBM!H:H,MATCH($P1293,F_ProductBM!$Q:$Q,0))))</f>
        <v/>
      </c>
      <c r="I1293" s="800" t="str">
        <f>IF($I1133="","",IF(INDEX(F_ProductBM!I:I,MATCH($P1293,F_ProductBM!$Q:$Q,0))="","",INDEX(F_ProductBM!I:I,MATCH($P1293,F_ProductBM!$Q:$Q,0))))</f>
        <v/>
      </c>
      <c r="J1293" s="2174" t="str">
        <f>IF($I1133="","",IF(INDEX(F_ProductBM!J:J,MATCH($P1293,F_ProductBM!$Q:$Q,0))="","",INDEX(F_ProductBM!J:J,MATCH($P1293,F_ProductBM!$Q:$Q,0))))</f>
        <v/>
      </c>
      <c r="K1293" s="1788" t="str">
        <f>IF($I1133="","",IF(INDEX(F_ProductBM!K:K,MATCH($P1293,F_ProductBM!$Q:$Q,0))="","",INDEX(F_ProductBM!K:K,MATCH($P1293,F_ProductBM!$Q:$Q,0))))</f>
        <v/>
      </c>
      <c r="L1293" s="1789" t="str">
        <f>IF($I1133="","",IF(INDEX(F_ProductBM!L:L,MATCH($P1293,F_ProductBM!$Q:$Q,0))="","",INDEX(F_ProductBM!L:L,MATCH($P1293,F_ProductBM!$Q:$Q,0))))</f>
        <v/>
      </c>
      <c r="M1293" s="1789" t="str">
        <f>IF($I1133="","",IF(INDEX(F_ProductBM!M:M,MATCH($P1293,F_ProductBM!$Q:$Q,0))="","",INDEX(F_ProductBM!M:M,MATCH($P1293,F_ProductBM!$Q:$Q,0))))</f>
        <v/>
      </c>
      <c r="N1293" s="1789" t="str">
        <f>IF($I1133="","",IF(INDEX(F_ProductBM!N:N,MATCH($P1293,F_ProductBM!$Q:$Q,0))="","",INDEX(F_ProductBM!N:N,MATCH($P1293,F_ProductBM!$Q:$Q,0))))</f>
        <v/>
      </c>
      <c r="O1293" s="485"/>
      <c r="P1293" s="1970" t="str">
        <f>EUconst_CNTR_IntermediateExport &amp; R1293 &amp; "_" &amp; I1133</f>
        <v>IntExp_2_</v>
      </c>
      <c r="Q1293" s="1137"/>
      <c r="R1293" s="1312">
        <v>2</v>
      </c>
      <c r="S1293" s="1137"/>
      <c r="T1293" s="1137"/>
      <c r="U1293" s="1137"/>
      <c r="V1293" s="1137"/>
    </row>
    <row r="1294" spans="1:22" s="562" customFormat="1" ht="12.75" customHeight="1" thickBot="1">
      <c r="A1294" s="817"/>
      <c r="C1294" s="485"/>
      <c r="D1294" s="802"/>
      <c r="E1294" s="803"/>
      <c r="F1294" s="803"/>
      <c r="G1294" s="804"/>
      <c r="H1294" s="804"/>
      <c r="I1294" s="805"/>
      <c r="J1294" s="805"/>
      <c r="K1294" s="1790"/>
      <c r="L1294" s="1791"/>
      <c r="M1294" s="1791"/>
      <c r="N1294" s="1791"/>
      <c r="O1294" s="485"/>
      <c r="P1294" s="1117"/>
      <c r="Q1294" s="1137"/>
      <c r="R1294" s="1137"/>
      <c r="S1294" s="1137"/>
      <c r="T1294" s="1137"/>
      <c r="U1294" s="1137"/>
      <c r="V1294" s="1137"/>
    </row>
    <row r="1295" spans="1:22" s="562" customFormat="1" ht="5.0999999999999996" customHeight="1" thickBot="1">
      <c r="A1295" s="817"/>
      <c r="C1295" s="485"/>
      <c r="D1295" s="485"/>
      <c r="E1295" s="807"/>
      <c r="O1295" s="485"/>
      <c r="P1295" s="1137"/>
      <c r="Q1295" s="1137"/>
      <c r="R1295" s="1137"/>
      <c r="S1295" s="1137"/>
      <c r="T1295" s="1137"/>
      <c r="U1295" s="1137"/>
      <c r="V1295" s="1137"/>
    </row>
    <row r="1296" spans="1:22" s="562" customFormat="1" ht="5.0999999999999996" customHeight="1" thickBot="1">
      <c r="A1296" s="817"/>
      <c r="C1296" s="2118"/>
      <c r="D1296" s="2118"/>
      <c r="E1296" s="2118"/>
      <c r="F1296" s="2118"/>
      <c r="G1296" s="2118"/>
      <c r="H1296" s="2118"/>
      <c r="I1296" s="2118"/>
      <c r="J1296" s="2118"/>
      <c r="K1296" s="2118"/>
      <c r="L1296" s="2118"/>
      <c r="M1296" s="2118"/>
      <c r="N1296" s="2118"/>
      <c r="O1296" s="485"/>
      <c r="P1296" s="1137"/>
      <c r="Q1296" s="1137"/>
      <c r="R1296" s="1137"/>
      <c r="S1296" s="1137"/>
      <c r="T1296" s="1137"/>
      <c r="U1296" s="1137"/>
      <c r="V1296" s="1137"/>
    </row>
    <row r="1297" spans="1:22" s="562" customFormat="1" ht="15" customHeight="1" thickBot="1">
      <c r="A1297" s="719"/>
      <c r="B1297" s="485"/>
      <c r="C1297" s="559">
        <f>C1133+1</f>
        <v>6</v>
      </c>
      <c r="D1297" s="2482" t="str">
        <f>CONCATENATE(EUconst_BMSubinst," ",C1297, ":")</f>
        <v>Sub-installation with product benchmark 6:</v>
      </c>
      <c r="E1297" s="2482"/>
      <c r="F1297" s="2482"/>
      <c r="G1297" s="2482"/>
      <c r="H1297" s="2483"/>
      <c r="I1297" s="3293" t="str">
        <f>IF(INDEX(CNTR_SubInstListIsProdBM,$C1297),INDEX(CNTR_SubInstListNames,$C1297),"")</f>
        <v/>
      </c>
      <c r="J1297" s="3471"/>
      <c r="K1297" s="3471"/>
      <c r="L1297" s="3471"/>
      <c r="M1297" s="3471"/>
      <c r="N1297" s="3472"/>
      <c r="O1297" s="485"/>
      <c r="P1297" s="1137"/>
      <c r="Q1297" s="2123">
        <f>C1297</f>
        <v>6</v>
      </c>
      <c r="R1297" s="2124" t="str">
        <f>I1297</f>
        <v/>
      </c>
      <c r="S1297" s="1137"/>
      <c r="T1297" s="1137"/>
      <c r="U1297" s="1137"/>
      <c r="V1297" s="1137"/>
    </row>
    <row r="1298" spans="1:22" s="562" customFormat="1" ht="5.0999999999999996" customHeight="1">
      <c r="A1298" s="719"/>
      <c r="B1298" s="485"/>
      <c r="C1298" s="559"/>
      <c r="D1298" s="559"/>
      <c r="E1298" s="559"/>
      <c r="F1298" s="559"/>
      <c r="G1298" s="559"/>
      <c r="H1298" s="559"/>
      <c r="I1298" s="559"/>
      <c r="J1298" s="559"/>
      <c r="K1298" s="559"/>
      <c r="L1298" s="559"/>
      <c r="M1298" s="559"/>
      <c r="N1298" s="559"/>
      <c r="O1298" s="485"/>
      <c r="P1298" s="1137"/>
      <c r="Q1298" s="1137"/>
      <c r="R1298" s="1137"/>
      <c r="S1298" s="1137"/>
      <c r="T1298" s="1137"/>
      <c r="U1298" s="1137"/>
      <c r="V1298" s="1137"/>
    </row>
    <row r="1299" spans="1:22" s="562" customFormat="1" ht="12.75" customHeight="1">
      <c r="A1299" s="719"/>
      <c r="B1299" s="485"/>
      <c r="C1299" s="559"/>
      <c r="D1299" s="559"/>
      <c r="E1299" s="559"/>
      <c r="F1299" s="559"/>
      <c r="H1299" s="688" t="s">
        <v>458</v>
      </c>
      <c r="I1299" s="688" t="s">
        <v>1256</v>
      </c>
      <c r="J1299" s="688" t="s">
        <v>1434</v>
      </c>
      <c r="K1299" s="688" t="s">
        <v>1684</v>
      </c>
      <c r="L1299" s="689" t="s">
        <v>156</v>
      </c>
      <c r="M1299" s="2469" t="s">
        <v>302</v>
      </c>
      <c r="N1299" s="2469"/>
      <c r="O1299" s="485"/>
      <c r="P1299" s="1137"/>
      <c r="Q1299" s="1137"/>
      <c r="R1299" s="1137"/>
      <c r="S1299" s="1137"/>
      <c r="T1299" s="2175"/>
      <c r="U1299" s="1137"/>
      <c r="V1299" s="1137"/>
    </row>
    <row r="1300" spans="1:22" s="562" customFormat="1" ht="12.75" customHeight="1">
      <c r="A1300" s="719"/>
      <c r="B1300" s="485"/>
      <c r="C1300" s="559"/>
      <c r="D1300" s="559"/>
      <c r="E1300" s="690" t="str">
        <f>I1297</f>
        <v/>
      </c>
      <c r="F1300" s="691"/>
      <c r="G1300" s="691"/>
      <c r="H1300" s="692" t="str">
        <f>IF(L1300=EUconst_NA,EUconst_NA,INDEX(EUconst_BMlistCLstatus,L1300))</f>
        <v>N.A.</v>
      </c>
      <c r="I1300" s="692" t="str">
        <f>IF(I1297="","",INDEX(EUconst_BMlistElExchangability,L1300))</f>
        <v/>
      </c>
      <c r="J1300" s="566" t="str">
        <f>IF($I1297="",EUconst_NA,INDEX(CNTR_SubInstStartDate,MATCH(I1297,CNTR_SubInstListNames,0)))</f>
        <v>N.A.</v>
      </c>
      <c r="K1300" s="566" t="str">
        <f>IF($I1297="",EUconst_NA,IF(INDEX(CNTR_SubInstCessationDate,MATCH(I1297,CNTR_SubInstListNames,0))=0,"",INDEX(CNTR_SubInstCessationDate,MATCH(I1297,CNTR_SubInstListNames,0))))</f>
        <v>N.A.</v>
      </c>
      <c r="L1300" s="693" t="str">
        <f>IF($I1297="",EUconst_NA,MATCH(I1297,EUconst_BMlistNames,0))</f>
        <v>N.A.</v>
      </c>
      <c r="M1300" s="694" t="str">
        <f>IF(I1297="",EUconst_NA,INDEX(EUconst_BMlistBMvaluesMatrix,L1300,3))</f>
        <v>N.A.</v>
      </c>
      <c r="N1300" s="685" t="str">
        <f>EUconst_EUA &amp; "/" &amp; F1303</f>
        <v>UKA/tonnes</v>
      </c>
      <c r="O1300" s="485"/>
      <c r="P1300" s="1137"/>
      <c r="Q1300" s="1137"/>
      <c r="R1300" s="1137"/>
      <c r="S1300" s="1137"/>
      <c r="T1300" s="2175"/>
      <c r="U1300" s="1137"/>
      <c r="V1300" s="1137"/>
    </row>
    <row r="1301" spans="1:22" s="562" customFormat="1" ht="5.0999999999999996" customHeight="1" thickBot="1">
      <c r="A1301" s="719"/>
      <c r="B1301" s="485"/>
      <c r="C1301" s="485"/>
      <c r="D1301" s="485"/>
      <c r="E1301" s="559"/>
      <c r="J1301" s="485"/>
      <c r="K1301" s="485"/>
      <c r="L1301" s="485"/>
      <c r="M1301" s="485"/>
      <c r="N1301" s="485"/>
      <c r="O1301" s="485"/>
      <c r="P1301" s="1137"/>
      <c r="Q1301" s="1137"/>
      <c r="R1301" s="1137"/>
      <c r="S1301" s="1137"/>
      <c r="T1301" s="1117"/>
      <c r="U1301" s="1137"/>
      <c r="V1301" s="1137"/>
    </row>
    <row r="1302" spans="1:22" s="562" customFormat="1" ht="12.75" customHeight="1">
      <c r="A1302" s="719"/>
      <c r="B1302" s="485"/>
      <c r="C1302" s="485"/>
      <c r="D1302" s="485"/>
      <c r="E1302" s="496"/>
      <c r="F1302" s="482" t="str">
        <f>EUconst_Unit</f>
        <v>Unit</v>
      </c>
      <c r="G1302" s="695" t="s">
        <v>1646</v>
      </c>
      <c r="H1302" s="696">
        <f t="shared" ref="H1302:N1302" si="94">H$2737</f>
        <v>2024</v>
      </c>
      <c r="I1302" s="697">
        <f t="shared" si="94"/>
        <v>2025</v>
      </c>
      <c r="J1302" s="2125">
        <f t="shared" si="94"/>
        <v>2026</v>
      </c>
      <c r="K1302" s="1489">
        <f t="shared" si="94"/>
        <v>2027</v>
      </c>
      <c r="L1302" s="1490">
        <f t="shared" si="94"/>
        <v>2028</v>
      </c>
      <c r="M1302" s="1490">
        <f t="shared" si="94"/>
        <v>2029</v>
      </c>
      <c r="N1302" s="1490">
        <f t="shared" si="94"/>
        <v>2030</v>
      </c>
      <c r="O1302" s="485"/>
      <c r="P1302" s="1137"/>
      <c r="Q1302" s="1137" t="s">
        <v>1803</v>
      </c>
      <c r="R1302" s="2126">
        <f>J$2737</f>
        <v>2026</v>
      </c>
      <c r="S1302" s="2127">
        <f>K$2737</f>
        <v>2027</v>
      </c>
      <c r="T1302" s="2127">
        <f>L$2737</f>
        <v>2028</v>
      </c>
      <c r="U1302" s="2127">
        <f>M$2737</f>
        <v>2029</v>
      </c>
      <c r="V1302" s="2128">
        <f>N$2737</f>
        <v>2030</v>
      </c>
    </row>
    <row r="1303" spans="1:22" s="562" customFormat="1" ht="12.75" customHeight="1" thickBot="1">
      <c r="A1303" s="719"/>
      <c r="B1303" s="485"/>
      <c r="C1303" s="485"/>
      <c r="D1303" s="485"/>
      <c r="E1303" s="698" t="s">
        <v>1665</v>
      </c>
      <c r="F1303" s="699" t="str">
        <f>IF(ISNUMBER(L1300),INDEX(EUconst_BMlistUnits,L1300),EUconst_Tons)</f>
        <v>tonnes</v>
      </c>
      <c r="G1303" s="700" t="str">
        <f>I1406</f>
        <v/>
      </c>
      <c r="H1303" s="701" t="str">
        <f>IF($I1297="","",IF(H1302&gt;=CNTR_ReportingYear,"",INDEX(F_ProductBM!H:H,MATCH($P1303,F_ProductBM!$Q:$Q,0))))</f>
        <v/>
      </c>
      <c r="I1303" s="702" t="str">
        <f>IF($I1297="","",IF(I1302&gt;=CNTR_ReportingYear,"",INDEX(F_ProductBM!I:I,MATCH($P1303,F_ProductBM!$Q:$Q,0))))</f>
        <v/>
      </c>
      <c r="J1303" s="2129" t="str">
        <f>IF($I1297="","",IF(J1302&gt;=CNTR_ReportingYear,"",INDEX(F_ProductBM!J:J,MATCH($P1303,F_ProductBM!$Q:$Q,0))))</f>
        <v/>
      </c>
      <c r="K1303" s="2072" t="str">
        <f>IF($I1297="","",IF(K1302&gt;=CNTR_ReportingYear,"",INDEX(F_ProductBM!K:K,MATCH($P1303,F_ProductBM!$Q:$Q,0))))</f>
        <v/>
      </c>
      <c r="L1303" s="2073" t="str">
        <f>IF($I1297="","",IF(L1302&gt;=CNTR_ReportingYear,"",INDEX(F_ProductBM!L:L,MATCH($P1303,F_ProductBM!$Q:$Q,0))))</f>
        <v/>
      </c>
      <c r="M1303" s="2073" t="str">
        <f>IF($I1297="","",IF(M1302&gt;=CNTR_ReportingYear,"",INDEX(F_ProductBM!M:M,MATCH($P1303,F_ProductBM!$Q:$Q,0))))</f>
        <v/>
      </c>
      <c r="N1303" s="2073" t="str">
        <f>IF($I1297="","",IF(N1302&gt;=CNTR_ReportingYear,"",INDEX(F_ProductBM!N:N,MATCH($P1303,F_ProductBM!$Q:$Q,0))))</f>
        <v/>
      </c>
      <c r="O1303" s="485"/>
      <c r="P1303" s="1158" t="str">
        <f>EUconst_CNTR_HAL&amp;I1297</f>
        <v>HAL_</v>
      </c>
      <c r="Q1303" s="1137"/>
      <c r="R1303" s="1961" t="b">
        <f>AND($I1297&lt;&gt;"",R1302&lt;=CNTR_ReportingYear,IF($J1300&lt;&gt;EUconst_NA,R1302&gt;=YEAR($J1300),TRUE))</f>
        <v>0</v>
      </c>
      <c r="S1303" s="1675" t="b">
        <f>AND($I1297&lt;&gt;"",S1302&lt;=CNTR_ReportingYear,IF($J1300&lt;&gt;EUconst_NA,S1302&gt;=YEAR($J1300),TRUE))</f>
        <v>0</v>
      </c>
      <c r="T1303" s="1675" t="b">
        <f>AND($I1297&lt;&gt;"",T1302&lt;=CNTR_ReportingYear,IF($J1300&lt;&gt;EUconst_NA,T1302&gt;=YEAR($J1300),TRUE))</f>
        <v>0</v>
      </c>
      <c r="U1303" s="1675" t="b">
        <f>AND($I1297&lt;&gt;"",U1302&lt;=CNTR_ReportingYear,IF($J1300&lt;&gt;EUconst_NA,U1302&gt;=YEAR($J1300),TRUE))</f>
        <v>0</v>
      </c>
      <c r="V1303" s="1676" t="b">
        <f>AND($I1297&lt;&gt;"",V1302&lt;=CNTR_ReportingYear,IF($J1300&lt;&gt;EUconst_NA,V1302&gt;=YEAR($J1300),TRUE))</f>
        <v>0</v>
      </c>
    </row>
    <row r="1304" spans="1:22" s="562" customFormat="1" ht="5.0999999999999996" customHeight="1" thickBot="1">
      <c r="A1304" s="719"/>
      <c r="B1304" s="485"/>
      <c r="C1304" s="559"/>
      <c r="D1304" s="559"/>
      <c r="E1304" s="559"/>
      <c r="F1304" s="559"/>
      <c r="G1304" s="559"/>
      <c r="H1304" s="559"/>
      <c r="I1304" s="559"/>
      <c r="J1304" s="559"/>
      <c r="K1304" s="2130"/>
      <c r="L1304" s="2131"/>
      <c r="M1304" s="2131"/>
      <c r="N1304" s="2131"/>
      <c r="O1304" s="485"/>
      <c r="P1304" s="1137"/>
      <c r="Q1304" s="1137"/>
      <c r="R1304" s="1137"/>
      <c r="S1304" s="1137"/>
      <c r="T1304" s="1137"/>
      <c r="U1304" s="1137"/>
      <c r="V1304" s="1137"/>
    </row>
    <row r="1305" spans="1:22" s="562" customFormat="1" ht="5.0999999999999996" customHeight="1">
      <c r="A1305" s="719"/>
      <c r="B1305" s="485"/>
      <c r="C1305" s="559"/>
      <c r="D1305" s="703"/>
      <c r="E1305" s="704"/>
      <c r="F1305" s="704"/>
      <c r="G1305" s="704"/>
      <c r="H1305" s="704"/>
      <c r="I1305" s="704"/>
      <c r="J1305" s="704"/>
      <c r="K1305" s="2130"/>
      <c r="L1305" s="2131"/>
      <c r="M1305" s="2131"/>
      <c r="N1305" s="2131"/>
      <c r="O1305" s="485"/>
      <c r="P1305" s="1137"/>
      <c r="Q1305" s="1137"/>
      <c r="R1305" s="1137"/>
      <c r="S1305" s="1137"/>
      <c r="T1305" s="1137"/>
      <c r="U1305" s="1137"/>
      <c r="V1305" s="1137"/>
    </row>
    <row r="1306" spans="1:22" s="562" customFormat="1" ht="12.75" customHeight="1">
      <c r="A1306" s="719"/>
      <c r="B1306" s="485"/>
      <c r="C1306" s="559"/>
      <c r="D1306" s="706"/>
      <c r="E1306" s="707" t="s">
        <v>1787</v>
      </c>
      <c r="F1306" s="637"/>
      <c r="G1306" s="637"/>
      <c r="H1306" s="663"/>
      <c r="I1306" s="708"/>
      <c r="J1306" s="2132">
        <f>J$2737</f>
        <v>2026</v>
      </c>
      <c r="K1306" s="1489">
        <f>K$2737</f>
        <v>2027</v>
      </c>
      <c r="L1306" s="1490">
        <f>L$2737</f>
        <v>2028</v>
      </c>
      <c r="M1306" s="1490">
        <f>M$2737</f>
        <v>2029</v>
      </c>
      <c r="N1306" s="1490">
        <f>N$2737</f>
        <v>2030</v>
      </c>
      <c r="O1306" s="485"/>
      <c r="P1306" s="1137"/>
      <c r="Q1306" s="1137"/>
      <c r="R1306" s="1137"/>
      <c r="S1306" s="1137"/>
      <c r="T1306" s="1137"/>
      <c r="U1306" s="1137"/>
      <c r="V1306" s="1137"/>
    </row>
    <row r="1307" spans="1:22" s="562" customFormat="1" ht="12.75" customHeight="1">
      <c r="A1307" s="719"/>
      <c r="B1307" s="485"/>
      <c r="C1307" s="559"/>
      <c r="D1307" s="706"/>
      <c r="E1307" s="711" t="s">
        <v>1783</v>
      </c>
      <c r="F1307" s="712"/>
      <c r="G1307" s="712"/>
      <c r="H1307" s="713"/>
      <c r="I1307" s="712"/>
      <c r="J1307" s="2133" t="str">
        <f>IF(R1303,INDEX(F_ProductBM!V:V,MATCH($P1307,F_ProductBM!$Q:$Q,0))&gt;=3,"")</f>
        <v/>
      </c>
      <c r="K1307" s="2134" t="str">
        <f>IF(S1303,INDEX(F_ProductBM!W:W,MATCH($P1307,F_ProductBM!$Q:$Q,0))&gt;=3,"")</f>
        <v/>
      </c>
      <c r="L1307" s="2135" t="str">
        <f>IF(T1303,INDEX(F_ProductBM!X:X,MATCH($P1307,F_ProductBM!$Q:$Q,0))&gt;=3,"")</f>
        <v/>
      </c>
      <c r="M1307" s="2135" t="str">
        <f>IF(U1303,INDEX(F_ProductBM!Y:Y,MATCH($P1307,F_ProductBM!$Q:$Q,0))&gt;=3,"")</f>
        <v/>
      </c>
      <c r="N1307" s="2135" t="str">
        <f>IF(V1303,INDEX(F_ProductBM!Z:Z,MATCH($P1307,F_ProductBM!$Q:$Q,0))&gt;=3,"")</f>
        <v/>
      </c>
      <c r="O1307" s="485"/>
      <c r="P1307" s="1158" t="str">
        <f>EUconst_CNTR_HALinitial&amp;I1297</f>
        <v>HALini_</v>
      </c>
      <c r="Q1307" s="1137"/>
      <c r="R1307" s="1137"/>
      <c r="S1307" s="1137"/>
      <c r="T1307" s="1137"/>
      <c r="U1307" s="1137"/>
      <c r="V1307" s="1137"/>
    </row>
    <row r="1308" spans="1:22" s="562" customFormat="1" ht="12.75" customHeight="1">
      <c r="A1308" s="719"/>
      <c r="B1308" s="485"/>
      <c r="C1308" s="559"/>
      <c r="D1308" s="706"/>
      <c r="E1308" s="714" t="s">
        <v>1784</v>
      </c>
      <c r="F1308" s="715"/>
      <c r="G1308" s="715"/>
      <c r="H1308" s="716"/>
      <c r="I1308" s="715"/>
      <c r="J1308" s="2136" t="str">
        <f>IF(R1303,IF($K1300="",2050,YEAR($K1300))&lt;&gt;(J1306-1),"")</f>
        <v/>
      </c>
      <c r="K1308" s="2134" t="str">
        <f>IF(S1303,IF($K1300="",2050,YEAR($K1300))&lt;&gt;(K1306-1),"")</f>
        <v/>
      </c>
      <c r="L1308" s="2135" t="str">
        <f>IF(T1303,IF($K1300="",2050,YEAR($K1300))&lt;&gt;(L1306-1),"")</f>
        <v/>
      </c>
      <c r="M1308" s="2135" t="str">
        <f>IF(U1303,IF($K1300="",2050,YEAR($K1300))&lt;&gt;(M1306-1),"")</f>
        <v/>
      </c>
      <c r="N1308" s="2135" t="str">
        <f>IF(V1303,IF($K1300="",2050,YEAR($K1300))&lt;&gt;(N1306-1),"")</f>
        <v/>
      </c>
      <c r="O1308" s="485"/>
      <c r="P1308" s="1137"/>
      <c r="Q1308" s="1137"/>
      <c r="R1308" s="1137"/>
      <c r="S1308" s="1137"/>
      <c r="T1308" s="1137"/>
      <c r="U1308" s="1137"/>
      <c r="V1308" s="1137"/>
    </row>
    <row r="1309" spans="1:22" s="562" customFormat="1" ht="5.0999999999999996" customHeight="1">
      <c r="A1309" s="719"/>
      <c r="B1309" s="485"/>
      <c r="C1309" s="559"/>
      <c r="D1309" s="706"/>
      <c r="E1309" s="559"/>
      <c r="F1309" s="559"/>
      <c r="G1309" s="559"/>
      <c r="H1309" s="559"/>
      <c r="I1309" s="559"/>
      <c r="J1309" s="559"/>
      <c r="K1309" s="2130"/>
      <c r="L1309" s="2131"/>
      <c r="M1309" s="2131"/>
      <c r="N1309" s="2131"/>
      <c r="O1309" s="485"/>
      <c r="P1309" s="1137"/>
      <c r="Q1309" s="1137"/>
      <c r="R1309" s="1137"/>
      <c r="S1309" s="1137"/>
      <c r="T1309" s="1137"/>
      <c r="U1309" s="1137"/>
      <c r="V1309" s="1137"/>
    </row>
    <row r="1310" spans="1:22" s="562" customFormat="1" ht="12.75" customHeight="1">
      <c r="A1310" s="719"/>
      <c r="B1310" s="485"/>
      <c r="C1310" s="559"/>
      <c r="D1310" s="706"/>
      <c r="E1310" s="496" t="s">
        <v>1762</v>
      </c>
      <c r="F1310" s="485"/>
      <c r="G1310" s="485"/>
      <c r="H1310" s="663" t="str">
        <f>EUconst_Unit</f>
        <v>Unit</v>
      </c>
      <c r="I1310" s="708"/>
      <c r="J1310" s="2125">
        <f>J$2737</f>
        <v>2026</v>
      </c>
      <c r="K1310" s="1489">
        <f>K$2737</f>
        <v>2027</v>
      </c>
      <c r="L1310" s="1490">
        <f>L$2737</f>
        <v>2028</v>
      </c>
      <c r="M1310" s="1490">
        <f>M$2737</f>
        <v>2029</v>
      </c>
      <c r="N1310" s="1490">
        <f>N$2737</f>
        <v>2030</v>
      </c>
      <c r="O1310" s="485"/>
      <c r="P1310" s="1137"/>
      <c r="Q1310" s="1137"/>
      <c r="R1310" s="1137"/>
      <c r="S1310" s="1137"/>
      <c r="T1310" s="1137"/>
      <c r="U1310" s="1137"/>
      <c r="V1310" s="1137"/>
    </row>
    <row r="1311" spans="1:22" s="562" customFormat="1" ht="12.75" hidden="1" customHeight="1">
      <c r="A1311" s="719" t="s">
        <v>2289</v>
      </c>
      <c r="B1311" s="485"/>
      <c r="C1311" s="559"/>
      <c r="D1311" s="706"/>
      <c r="E1311" s="698" t="s">
        <v>1714</v>
      </c>
      <c r="F1311" s="698"/>
      <c r="G1311" s="698"/>
      <c r="H1311" s="639" t="str">
        <f>F1303</f>
        <v>tonnes</v>
      </c>
      <c r="I1311" s="698"/>
      <c r="J1311" s="2137" t="str">
        <f t="shared" ref="J1311:J1316" si="95">I1406</f>
        <v/>
      </c>
      <c r="K1311" s="2072" t="str">
        <f t="shared" ref="K1311:N1316" si="96">J1406</f>
        <v/>
      </c>
      <c r="L1311" s="2073" t="str">
        <f t="shared" si="96"/>
        <v/>
      </c>
      <c r="M1311" s="2073" t="str">
        <f t="shared" si="96"/>
        <v/>
      </c>
      <c r="N1311" s="2073" t="str">
        <f t="shared" si="96"/>
        <v/>
      </c>
      <c r="O1311" s="485"/>
      <c r="P1311" s="1137"/>
      <c r="Q1311" s="1137"/>
      <c r="R1311" s="1137"/>
      <c r="S1311" s="1137"/>
      <c r="T1311" s="1137"/>
      <c r="U1311" s="1137"/>
      <c r="V1311" s="1137"/>
    </row>
    <row r="1312" spans="1:22" s="562" customFormat="1" ht="12.75" hidden="1" customHeight="1">
      <c r="A1312" s="719" t="s">
        <v>2289</v>
      </c>
      <c r="B1312" s="485"/>
      <c r="C1312" s="559"/>
      <c r="D1312" s="706"/>
      <c r="E1312" s="720" t="s">
        <v>303</v>
      </c>
      <c r="F1312" s="720"/>
      <c r="G1312" s="720"/>
      <c r="H1312" s="721" t="str">
        <f>EUconst_EUA</f>
        <v>UKA</v>
      </c>
      <c r="I1312" s="722"/>
      <c r="J1312" s="2138" t="str">
        <f t="shared" si="95"/>
        <v/>
      </c>
      <c r="K1312" s="2072" t="str">
        <f t="shared" si="96"/>
        <v/>
      </c>
      <c r="L1312" s="2073" t="str">
        <f t="shared" si="96"/>
        <v/>
      </c>
      <c r="M1312" s="2073" t="str">
        <f t="shared" si="96"/>
        <v/>
      </c>
      <c r="N1312" s="2073" t="str">
        <f t="shared" si="96"/>
        <v/>
      </c>
      <c r="O1312" s="485"/>
      <c r="P1312" s="1137"/>
      <c r="Q1312" s="1137"/>
      <c r="R1312" s="1137"/>
      <c r="S1312" s="1137"/>
      <c r="T1312" s="1137"/>
      <c r="U1312" s="1137"/>
      <c r="V1312" s="1137"/>
    </row>
    <row r="1313" spans="1:22" s="562" customFormat="1" ht="12.75" hidden="1" customHeight="1">
      <c r="A1313" s="719" t="s">
        <v>2289</v>
      </c>
      <c r="B1313" s="485"/>
      <c r="C1313" s="559"/>
      <c r="D1313" s="706"/>
      <c r="E1313" s="723" t="s">
        <v>1422</v>
      </c>
      <c r="F1313" s="723"/>
      <c r="G1313" s="723"/>
      <c r="H1313" s="724" t="str">
        <f>EUconst_EUA</f>
        <v>UKA</v>
      </c>
      <c r="I1313" s="725"/>
      <c r="J1313" s="2139" t="str">
        <f t="shared" si="95"/>
        <v/>
      </c>
      <c r="K1313" s="2072" t="str">
        <f t="shared" si="96"/>
        <v/>
      </c>
      <c r="L1313" s="2073" t="str">
        <f t="shared" si="96"/>
        <v/>
      </c>
      <c r="M1313" s="2073" t="str">
        <f t="shared" si="96"/>
        <v/>
      </c>
      <c r="N1313" s="2073" t="str">
        <f t="shared" si="96"/>
        <v/>
      </c>
      <c r="O1313" s="485"/>
      <c r="P1313" s="1137"/>
      <c r="Q1313" s="1137"/>
      <c r="R1313" s="1137"/>
      <c r="S1313" s="1137"/>
      <c r="T1313" s="1137"/>
      <c r="U1313" s="1137"/>
      <c r="V1313" s="1137"/>
    </row>
    <row r="1314" spans="1:22" s="562" customFormat="1" ht="12.75" hidden="1" customHeight="1">
      <c r="A1314" s="719" t="s">
        <v>2289</v>
      </c>
      <c r="B1314" s="485"/>
      <c r="C1314" s="559"/>
      <c r="D1314" s="706"/>
      <c r="E1314" s="723" t="s">
        <v>1390</v>
      </c>
      <c r="F1314" s="723"/>
      <c r="G1314" s="723"/>
      <c r="H1314" s="724" t="str">
        <f>EUconst_EUA</f>
        <v>UKA</v>
      </c>
      <c r="I1314" s="725"/>
      <c r="J1314" s="2139" t="str">
        <f t="shared" si="95"/>
        <v/>
      </c>
      <c r="K1314" s="2072" t="str">
        <f t="shared" si="96"/>
        <v/>
      </c>
      <c r="L1314" s="2073" t="str">
        <f t="shared" si="96"/>
        <v/>
      </c>
      <c r="M1314" s="2073" t="str">
        <f t="shared" si="96"/>
        <v/>
      </c>
      <c r="N1314" s="2073" t="str">
        <f t="shared" si="96"/>
        <v/>
      </c>
      <c r="O1314" s="485"/>
      <c r="P1314" s="1137"/>
      <c r="Q1314" s="1137"/>
      <c r="R1314" s="1137"/>
      <c r="S1314" s="1137"/>
      <c r="T1314" s="1137"/>
      <c r="U1314" s="1137"/>
      <c r="V1314" s="1137"/>
    </row>
    <row r="1315" spans="1:22" s="562" customFormat="1" ht="12.75" hidden="1" customHeight="1">
      <c r="A1315" s="719" t="s">
        <v>2289</v>
      </c>
      <c r="B1315" s="485"/>
      <c r="C1315" s="559"/>
      <c r="D1315" s="706"/>
      <c r="E1315" s="723" t="s">
        <v>1389</v>
      </c>
      <c r="F1315" s="723"/>
      <c r="G1315" s="723"/>
      <c r="H1315" s="726" t="s">
        <v>1021</v>
      </c>
      <c r="I1315" s="725"/>
      <c r="J1315" s="2140" t="str">
        <f t="shared" si="95"/>
        <v/>
      </c>
      <c r="K1315" s="2141" t="str">
        <f t="shared" si="96"/>
        <v/>
      </c>
      <c r="L1315" s="2142" t="str">
        <f t="shared" si="96"/>
        <v/>
      </c>
      <c r="M1315" s="2142" t="str">
        <f t="shared" si="96"/>
        <v/>
      </c>
      <c r="N1315" s="2142" t="str">
        <f t="shared" si="96"/>
        <v/>
      </c>
      <c r="O1315" s="485"/>
      <c r="P1315" s="1137"/>
      <c r="Q1315" s="1137"/>
      <c r="R1315" s="1137"/>
      <c r="S1315" s="1137"/>
      <c r="T1315" s="1137"/>
      <c r="U1315" s="1137"/>
      <c r="V1315" s="1137"/>
    </row>
    <row r="1316" spans="1:22" s="562" customFormat="1" ht="12.75" hidden="1" customHeight="1">
      <c r="A1316" s="719" t="s">
        <v>2289</v>
      </c>
      <c r="B1316" s="485"/>
      <c r="C1316" s="559"/>
      <c r="D1316" s="706"/>
      <c r="E1316" s="727" t="s">
        <v>1391</v>
      </c>
      <c r="F1316" s="727"/>
      <c r="G1316" s="727"/>
      <c r="H1316" s="728" t="s">
        <v>1021</v>
      </c>
      <c r="I1316" s="729"/>
      <c r="J1316" s="2143" t="str">
        <f t="shared" si="95"/>
        <v/>
      </c>
      <c r="K1316" s="2141" t="str">
        <f t="shared" si="96"/>
        <v/>
      </c>
      <c r="L1316" s="2142" t="str">
        <f t="shared" si="96"/>
        <v/>
      </c>
      <c r="M1316" s="2142" t="str">
        <f t="shared" si="96"/>
        <v/>
      </c>
      <c r="N1316" s="2142" t="str">
        <f t="shared" si="96"/>
        <v/>
      </c>
      <c r="O1316" s="485"/>
      <c r="P1316" s="1137"/>
      <c r="Q1316" s="1137"/>
      <c r="R1316" s="1137"/>
      <c r="S1316" s="1137"/>
      <c r="T1316" s="1137"/>
      <c r="U1316" s="1137"/>
      <c r="V1316" s="1137"/>
    </row>
    <row r="1317" spans="1:22" s="562" customFormat="1" ht="12.75" customHeight="1">
      <c r="A1317" s="719"/>
      <c r="B1317" s="485"/>
      <c r="C1317" s="559"/>
      <c r="D1317" s="706"/>
      <c r="E1317" s="698" t="s">
        <v>1671</v>
      </c>
      <c r="F1317" s="698"/>
      <c r="G1317" s="698"/>
      <c r="H1317" s="730" t="str">
        <f>EUconst_EUA</f>
        <v>UKA</v>
      </c>
      <c r="I1317" s="731"/>
      <c r="J1317" s="2129" t="str">
        <f>IF($I1297="","",MAX(0,ROUND((SUM($M1300)*SUM(J1311)*SUM(J1315)*SUM(J1316)-SUM(J1312)-SUM(J1313)+SUM(J1314))*IF($H1300=TRUE,1,J$2517),0)))</f>
        <v/>
      </c>
      <c r="K1317" s="2072" t="str">
        <f>IF($I1297="","",MAX(0,ROUND((SUM($M1300)*SUM(K1311)*SUM(K1315)*SUM(K1316)-SUM(K1312)-SUM(K1313)+SUM(K1314))*IF($H1300=TRUE,1,K$2517),0)))</f>
        <v/>
      </c>
      <c r="L1317" s="2073" t="str">
        <f>IF($I1297="","",MAX(0,ROUND((SUM($M1300)*SUM(L1311)*SUM(L1315)*SUM(L1316)-SUM(L1312)-SUM(L1313)+SUM(L1314))*IF($H1300=TRUE,1,L$2517),0)))</f>
        <v/>
      </c>
      <c r="M1317" s="2073" t="str">
        <f>IF($I1297="","",MAX(0,ROUND((SUM($M1300)*SUM(M1311)*SUM(M1315)*SUM(M1316)-SUM(M1312)-SUM(M1313)+SUM(M1314))*IF($H1300=TRUE,1,M$2517),0)))</f>
        <v/>
      </c>
      <c r="N1317" s="2073" t="str">
        <f>IF($I1297="","",MAX(0,ROUND((SUM($M1300)*SUM(N1311)*SUM(N1315)*SUM(N1316)-SUM(N1312)-SUM(N1313)+SUM(N1314))*IF($H1300=TRUE,1,N$2517),0)))</f>
        <v/>
      </c>
      <c r="O1317" s="485"/>
      <c r="P1317" s="1137"/>
      <c r="Q1317" s="1137"/>
      <c r="R1317" s="1137"/>
      <c r="S1317" s="1137"/>
      <c r="T1317" s="1137"/>
      <c r="U1317" s="1137"/>
      <c r="V1317" s="1137"/>
    </row>
    <row r="1318" spans="1:22" s="562" customFormat="1" ht="5.0999999999999996" customHeight="1">
      <c r="A1318" s="719"/>
      <c r="B1318" s="485"/>
      <c r="C1318" s="559"/>
      <c r="D1318" s="706"/>
      <c r="E1318" s="559"/>
      <c r="F1318" s="559"/>
      <c r="G1318" s="559"/>
      <c r="H1318" s="559"/>
      <c r="I1318" s="559"/>
      <c r="J1318" s="559"/>
      <c r="K1318" s="2130"/>
      <c r="L1318" s="2131"/>
      <c r="M1318" s="2131"/>
      <c r="N1318" s="2131"/>
      <c r="O1318" s="485"/>
      <c r="P1318" s="1137"/>
      <c r="Q1318" s="1137"/>
      <c r="R1318" s="1137"/>
      <c r="S1318" s="1137"/>
      <c r="T1318" s="1137"/>
      <c r="U1318" s="1137"/>
      <c r="V1318" s="1137"/>
    </row>
    <row r="1319" spans="1:22" s="562" customFormat="1" ht="12.75" customHeight="1">
      <c r="A1319" s="719"/>
      <c r="B1319" s="485"/>
      <c r="C1319" s="559"/>
      <c r="D1319" s="706"/>
      <c r="E1319" s="707" t="s">
        <v>1752</v>
      </c>
      <c r="F1319" s="637"/>
      <c r="G1319" s="637"/>
      <c r="H1319" s="663" t="str">
        <f>EUconst_Unit</f>
        <v>Unit</v>
      </c>
      <c r="I1319" s="708"/>
      <c r="J1319" s="2132">
        <f>J$2737</f>
        <v>2026</v>
      </c>
      <c r="K1319" s="1489">
        <f>K$2737</f>
        <v>2027</v>
      </c>
      <c r="L1319" s="1490">
        <f>L$2737</f>
        <v>2028</v>
      </c>
      <c r="M1319" s="1490">
        <f>M$2737</f>
        <v>2029</v>
      </c>
      <c r="N1319" s="1490">
        <f>N$2737</f>
        <v>2030</v>
      </c>
      <c r="O1319" s="485"/>
      <c r="P1319" s="1137"/>
      <c r="Q1319" s="1137"/>
      <c r="R1319" s="1137"/>
      <c r="S1319" s="1137"/>
      <c r="T1319" s="1137"/>
      <c r="U1319" s="1137"/>
      <c r="V1319" s="1137"/>
    </row>
    <row r="1320" spans="1:22" s="562" customFormat="1" ht="12.75" customHeight="1">
      <c r="A1320" s="719"/>
      <c r="B1320" s="485"/>
      <c r="C1320" s="559"/>
      <c r="D1320" s="706"/>
      <c r="E1320" s="720" t="s">
        <v>1691</v>
      </c>
      <c r="F1320" s="720"/>
      <c r="G1320" s="720"/>
      <c r="H1320" s="732" t="str">
        <f>H1311</f>
        <v>tonnes</v>
      </c>
      <c r="I1320" s="733"/>
      <c r="J1320" s="2144" t="str">
        <f>INDEX(F_ProductBM!J:J,MATCH($P1320,F_ProductBM!$Q:$Q,0))</f>
        <v/>
      </c>
      <c r="K1320" s="2072" t="str">
        <f>INDEX(F_ProductBM!K:K,MATCH($P1320,F_ProductBM!$Q:$Q,0))</f>
        <v/>
      </c>
      <c r="L1320" s="2073" t="str">
        <f>INDEX(F_ProductBM!L:L,MATCH($P1320,F_ProductBM!$Q:$Q,0))</f>
        <v/>
      </c>
      <c r="M1320" s="2073" t="str">
        <f>INDEX(F_ProductBM!M:M,MATCH($P1320,F_ProductBM!$Q:$Q,0))</f>
        <v/>
      </c>
      <c r="N1320" s="2073" t="str">
        <f>INDEX(F_ProductBM!N:N,MATCH($P1320,F_ProductBM!$Q:$Q,0))</f>
        <v/>
      </c>
      <c r="O1320" s="485"/>
      <c r="P1320" s="1158" t="str">
        <f>EUconst_CNTR_HALinitial&amp;I1297</f>
        <v>HALini_</v>
      </c>
      <c r="Q1320" s="1137"/>
      <c r="R1320" s="1137"/>
      <c r="S1320" s="1137"/>
      <c r="T1320" s="1137"/>
      <c r="U1320" s="1137"/>
      <c r="V1320" s="1137"/>
    </row>
    <row r="1321" spans="1:22" s="562" customFormat="1" ht="12.75" customHeight="1">
      <c r="A1321" s="719"/>
      <c r="B1321" s="485"/>
      <c r="C1321" s="559"/>
      <c r="D1321" s="706"/>
      <c r="E1321" s="723" t="s">
        <v>1648</v>
      </c>
      <c r="F1321" s="723"/>
      <c r="G1321" s="723"/>
      <c r="H1321" s="734" t="s">
        <v>1021</v>
      </c>
      <c r="I1321" s="735"/>
      <c r="J1321" s="23" t="str">
        <f>INDEX(F_ProductBM!J:J,MATCH($P1321,F_ProductBM!$Q:$Q,0))</f>
        <v/>
      </c>
      <c r="K1321" s="46" t="str">
        <f>INDEX(F_ProductBM!K:K,MATCH($P1321,F_ProductBM!$Q:$Q,0))</f>
        <v/>
      </c>
      <c r="L1321" s="27" t="str">
        <f>INDEX(F_ProductBM!L:L,MATCH($P1321,F_ProductBM!$Q:$Q,0))</f>
        <v/>
      </c>
      <c r="M1321" s="27" t="str">
        <f>INDEX(F_ProductBM!M:M,MATCH($P1321,F_ProductBM!$Q:$Q,0))</f>
        <v/>
      </c>
      <c r="N1321" s="27" t="str">
        <f>INDEX(F_ProductBM!N:N,MATCH($P1321,F_ProductBM!$Q:$Q,0))</f>
        <v/>
      </c>
      <c r="O1321" s="485"/>
      <c r="P1321" s="1158" t="str">
        <f>EUconst_CNTR_RelThreshold &amp; P1323</f>
        <v>RelThresh_HALprelim_</v>
      </c>
      <c r="Q1321" s="1137"/>
      <c r="R1321" s="1137"/>
      <c r="S1321" s="1137"/>
      <c r="T1321" s="1137"/>
      <c r="U1321" s="1137"/>
      <c r="V1321" s="1137"/>
    </row>
    <row r="1322" spans="1:22" s="562" customFormat="1" ht="12.75" customHeight="1">
      <c r="A1322" s="719"/>
      <c r="B1322" s="485"/>
      <c r="C1322" s="559"/>
      <c r="D1322" s="706"/>
      <c r="E1322" s="736" t="s">
        <v>1850</v>
      </c>
      <c r="F1322" s="736"/>
      <c r="G1322" s="736"/>
      <c r="H1322" s="737" t="s">
        <v>1021</v>
      </c>
      <c r="I1322" s="738"/>
      <c r="J1322" s="2145" t="str">
        <f>INDEX(F_ProductBM!V:V,MATCH($P1322,F_ProductBM!$Q:$Q,0)+1)</f>
        <v/>
      </c>
      <c r="K1322" s="2134" t="str">
        <f>INDEX(F_ProductBM!W:W,MATCH($P1322,F_ProductBM!$Q:$Q,0)+1)</f>
        <v/>
      </c>
      <c r="L1322" s="2135" t="str">
        <f>INDEX(F_ProductBM!X:X,MATCH($P1322,F_ProductBM!$Q:$Q,0)+1)</f>
        <v/>
      </c>
      <c r="M1322" s="2135" t="str">
        <f>INDEX(F_ProductBM!Y:Y,MATCH($P1322,F_ProductBM!$Q:$Q,0)+1)</f>
        <v/>
      </c>
      <c r="N1322" s="2135" t="str">
        <f>INDEX(F_ProductBM!Z:Z,MATCH($P1322,F_ProductBM!$Q:$Q,0)+1)</f>
        <v/>
      </c>
      <c r="O1322" s="485"/>
      <c r="P1322" s="1158" t="str">
        <f>P1321</f>
        <v>RelThresh_HALprelim_</v>
      </c>
      <c r="Q1322" s="1137"/>
      <c r="R1322" s="1137"/>
      <c r="S1322" s="1137"/>
      <c r="T1322" s="1137"/>
      <c r="U1322" s="1137"/>
      <c r="V1322" s="1137"/>
    </row>
    <row r="1323" spans="1:22" s="562" customFormat="1" ht="12.75" customHeight="1">
      <c r="A1323" s="719"/>
      <c r="B1323" s="485"/>
      <c r="C1323" s="559"/>
      <c r="D1323" s="706"/>
      <c r="E1323" s="727" t="s">
        <v>1689</v>
      </c>
      <c r="F1323" s="727"/>
      <c r="G1323" s="727"/>
      <c r="H1323" s="739" t="str">
        <f>F1303</f>
        <v>tonnes</v>
      </c>
      <c r="I1323" s="727"/>
      <c r="J1323" s="2146" t="str">
        <f>INDEX(F_ProductBM!J:J,MATCH($P1323,F_ProductBM!$Q:$Q,0))</f>
        <v/>
      </c>
      <c r="K1323" s="2072" t="str">
        <f>INDEX(F_ProductBM!K:K,MATCH($P1323,F_ProductBM!$Q:$Q,0))</f>
        <v/>
      </c>
      <c r="L1323" s="2073" t="str">
        <f>INDEX(F_ProductBM!L:L,MATCH($P1323,F_ProductBM!$Q:$Q,0))</f>
        <v/>
      </c>
      <c r="M1323" s="2073" t="str">
        <f>INDEX(F_ProductBM!M:M,MATCH($P1323,F_ProductBM!$Q:$Q,0))</f>
        <v/>
      </c>
      <c r="N1323" s="2073" t="str">
        <f>INDEX(F_ProductBM!N:N,MATCH($P1323,F_ProductBM!$Q:$Q,0))</f>
        <v/>
      </c>
      <c r="O1323" s="485"/>
      <c r="P1323" s="1158" t="str">
        <f>EUconst_CNTR_HALprelim&amp;I1297</f>
        <v>HALprelim_</v>
      </c>
      <c r="Q1323" s="1137"/>
      <c r="R1323" s="1137"/>
      <c r="S1323" s="1137"/>
      <c r="T1323" s="1137"/>
      <c r="U1323" s="1137"/>
      <c r="V1323" s="1137"/>
    </row>
    <row r="1324" spans="1:22" s="562" customFormat="1" ht="12.75" hidden="1" customHeight="1">
      <c r="A1324" s="719" t="s">
        <v>2289</v>
      </c>
      <c r="B1324" s="485"/>
      <c r="C1324" s="559"/>
      <c r="D1324" s="706"/>
      <c r="E1324" s="720" t="s">
        <v>303</v>
      </c>
      <c r="F1324" s="720"/>
      <c r="G1324" s="720"/>
      <c r="H1324" s="721" t="str">
        <f>EUconst_EUA</f>
        <v>UKA</v>
      </c>
      <c r="I1324" s="722"/>
      <c r="J1324" s="2138" t="str">
        <f t="shared" ref="J1324:N1328" si="97">I1407</f>
        <v/>
      </c>
      <c r="K1324" s="2072" t="str">
        <f t="shared" si="97"/>
        <v/>
      </c>
      <c r="L1324" s="2073" t="str">
        <f t="shared" si="97"/>
        <v/>
      </c>
      <c r="M1324" s="2073" t="str">
        <f t="shared" si="97"/>
        <v/>
      </c>
      <c r="N1324" s="2073" t="str">
        <f t="shared" si="97"/>
        <v/>
      </c>
      <c r="O1324" s="485"/>
      <c r="P1324" s="1137"/>
      <c r="Q1324" s="1137"/>
      <c r="R1324" s="1137"/>
      <c r="S1324" s="1137"/>
      <c r="T1324" s="1137"/>
      <c r="U1324" s="1137"/>
      <c r="V1324" s="1137"/>
    </row>
    <row r="1325" spans="1:22" s="562" customFormat="1" ht="12.75" hidden="1" customHeight="1">
      <c r="A1325" s="719" t="s">
        <v>2289</v>
      </c>
      <c r="B1325" s="485"/>
      <c r="C1325" s="559"/>
      <c r="D1325" s="706"/>
      <c r="E1325" s="723" t="s">
        <v>1422</v>
      </c>
      <c r="F1325" s="723"/>
      <c r="G1325" s="723"/>
      <c r="H1325" s="724" t="str">
        <f>EUconst_EUA</f>
        <v>UKA</v>
      </c>
      <c r="I1325" s="725"/>
      <c r="J1325" s="2139" t="str">
        <f t="shared" si="97"/>
        <v/>
      </c>
      <c r="K1325" s="2072" t="str">
        <f t="shared" si="97"/>
        <v/>
      </c>
      <c r="L1325" s="2073" t="str">
        <f t="shared" si="97"/>
        <v/>
      </c>
      <c r="M1325" s="2073" t="str">
        <f t="shared" si="97"/>
        <v/>
      </c>
      <c r="N1325" s="2073" t="str">
        <f t="shared" si="97"/>
        <v/>
      </c>
      <c r="O1325" s="485"/>
      <c r="P1325" s="1137"/>
      <c r="Q1325" s="1137"/>
      <c r="R1325" s="1137"/>
      <c r="S1325" s="1137"/>
      <c r="T1325" s="1137"/>
      <c r="U1325" s="1137"/>
      <c r="V1325" s="1137"/>
    </row>
    <row r="1326" spans="1:22" s="562" customFormat="1" ht="12.75" hidden="1" customHeight="1">
      <c r="A1326" s="719" t="s">
        <v>2289</v>
      </c>
      <c r="B1326" s="485"/>
      <c r="C1326" s="559"/>
      <c r="D1326" s="706"/>
      <c r="E1326" s="723" t="s">
        <v>1390</v>
      </c>
      <c r="F1326" s="723"/>
      <c r="G1326" s="723"/>
      <c r="H1326" s="724" t="str">
        <f>EUconst_EUA</f>
        <v>UKA</v>
      </c>
      <c r="I1326" s="725"/>
      <c r="J1326" s="2139" t="str">
        <f t="shared" si="97"/>
        <v/>
      </c>
      <c r="K1326" s="2072" t="str">
        <f t="shared" si="97"/>
        <v/>
      </c>
      <c r="L1326" s="2073" t="str">
        <f t="shared" si="97"/>
        <v/>
      </c>
      <c r="M1326" s="2073" t="str">
        <f t="shared" si="97"/>
        <v/>
      </c>
      <c r="N1326" s="2073" t="str">
        <f t="shared" si="97"/>
        <v/>
      </c>
      <c r="O1326" s="485"/>
      <c r="P1326" s="1137"/>
      <c r="Q1326" s="1137"/>
      <c r="R1326" s="1137"/>
      <c r="S1326" s="1137"/>
      <c r="T1326" s="1137"/>
      <c r="U1326" s="1137"/>
      <c r="V1326" s="1137"/>
    </row>
    <row r="1327" spans="1:22" s="562" customFormat="1" ht="12.75" hidden="1" customHeight="1">
      <c r="A1327" s="719" t="s">
        <v>2289</v>
      </c>
      <c r="B1327" s="485"/>
      <c r="C1327" s="559"/>
      <c r="D1327" s="706"/>
      <c r="E1327" s="723" t="s">
        <v>1389</v>
      </c>
      <c r="F1327" s="723"/>
      <c r="G1327" s="723"/>
      <c r="H1327" s="726" t="s">
        <v>1021</v>
      </c>
      <c r="I1327" s="725"/>
      <c r="J1327" s="2140" t="str">
        <f t="shared" si="97"/>
        <v/>
      </c>
      <c r="K1327" s="2141" t="str">
        <f t="shared" si="97"/>
        <v/>
      </c>
      <c r="L1327" s="2142" t="str">
        <f t="shared" si="97"/>
        <v/>
      </c>
      <c r="M1327" s="2142" t="str">
        <f t="shared" si="97"/>
        <v/>
      </c>
      <c r="N1327" s="2142" t="str">
        <f t="shared" si="97"/>
        <v/>
      </c>
      <c r="O1327" s="485"/>
      <c r="P1327" s="1137"/>
      <c r="Q1327" s="1137"/>
      <c r="R1327" s="1137"/>
      <c r="S1327" s="1137"/>
      <c r="T1327" s="1137"/>
      <c r="U1327" s="1137"/>
      <c r="V1327" s="1137"/>
    </row>
    <row r="1328" spans="1:22" s="562" customFormat="1" ht="12.75" hidden="1" customHeight="1">
      <c r="A1328" s="719" t="s">
        <v>2289</v>
      </c>
      <c r="B1328" s="485"/>
      <c r="C1328" s="559"/>
      <c r="D1328" s="706"/>
      <c r="E1328" s="727" t="s">
        <v>1391</v>
      </c>
      <c r="F1328" s="727"/>
      <c r="G1328" s="727"/>
      <c r="H1328" s="728" t="s">
        <v>1021</v>
      </c>
      <c r="I1328" s="729"/>
      <c r="J1328" s="2143" t="str">
        <f t="shared" si="97"/>
        <v/>
      </c>
      <c r="K1328" s="2141" t="str">
        <f t="shared" si="97"/>
        <v/>
      </c>
      <c r="L1328" s="2142" t="str">
        <f t="shared" si="97"/>
        <v/>
      </c>
      <c r="M1328" s="2142" t="str">
        <f t="shared" si="97"/>
        <v/>
      </c>
      <c r="N1328" s="2142" t="str">
        <f t="shared" si="97"/>
        <v/>
      </c>
      <c r="O1328" s="485"/>
      <c r="P1328" s="1137"/>
      <c r="Q1328" s="1137"/>
      <c r="R1328" s="1137"/>
      <c r="S1328" s="1137"/>
      <c r="T1328" s="1137"/>
      <c r="U1328" s="1137"/>
      <c r="V1328" s="1137"/>
    </row>
    <row r="1329" spans="1:22" s="562" customFormat="1" ht="12.75" customHeight="1">
      <c r="A1329" s="719"/>
      <c r="B1329" s="485"/>
      <c r="C1329" s="559"/>
      <c r="D1329" s="706"/>
      <c r="E1329" s="698" t="s">
        <v>1671</v>
      </c>
      <c r="F1329" s="698"/>
      <c r="G1329" s="698"/>
      <c r="H1329" s="730" t="str">
        <f>EUconst_EUA</f>
        <v>UKA</v>
      </c>
      <c r="I1329" s="731"/>
      <c r="J1329" s="2129" t="str">
        <f>IF($I1297="","",MAX(0,ROUND((SUM($M1300)*SUM(J1323)*SUM(J1327)*SUM(J1328)-SUM(J1324)-SUM(J1325)+SUM(J1326))*IF($H1300=TRUE,1,J$2517),0)))</f>
        <v/>
      </c>
      <c r="K1329" s="2072" t="str">
        <f>IF($I1297="","",MAX(0,ROUND((SUM($M1300)*SUM(K1323)*SUM(K1327)*SUM(K1328)-SUM(K1324)-SUM(K1325)+SUM(K1326))*IF($H1300=TRUE,1,K$2517),0)))</f>
        <v/>
      </c>
      <c r="L1329" s="2073" t="str">
        <f>IF($I1297="","",MAX(0,ROUND((SUM($M1300)*SUM(L1323)*SUM(L1327)*SUM(L1328)-SUM(L1324)-SUM(L1325)+SUM(L1326))*IF($H1300=TRUE,1,L$2517),0)))</f>
        <v/>
      </c>
      <c r="M1329" s="2073" t="str">
        <f>IF($I1297="","",MAX(0,ROUND((SUM($M1300)*SUM(M1323)*SUM(M1327)*SUM(M1328)-SUM(M1324)-SUM(M1325)+SUM(M1326))*IF($H1300=TRUE,1,M$2517),0)))</f>
        <v/>
      </c>
      <c r="N1329" s="2073" t="str">
        <f>IF($I1297="","",MAX(0,ROUND((SUM($M1300)*SUM(N1323)*SUM(N1327)*SUM(N1328)-SUM(N1324)-SUM(N1325)+SUM(N1326))*IF($H1300=TRUE,1,N$2517),0)))</f>
        <v/>
      </c>
      <c r="O1329" s="485"/>
      <c r="P1329" s="1137"/>
      <c r="Q1329" s="1137"/>
      <c r="R1329" s="1137"/>
      <c r="S1329" s="1137"/>
      <c r="T1329" s="1137"/>
      <c r="U1329" s="1137"/>
      <c r="V1329" s="1137"/>
    </row>
    <row r="1330" spans="1:22" s="562" customFormat="1" ht="12.75" customHeight="1">
      <c r="A1330" s="719"/>
      <c r="B1330" s="485"/>
      <c r="C1330" s="559"/>
      <c r="D1330" s="706"/>
      <c r="E1330" s="698" t="s">
        <v>1670</v>
      </c>
      <c r="F1330" s="698"/>
      <c r="G1330" s="698"/>
      <c r="H1330" s="730" t="str">
        <f>EUconst_EUA</f>
        <v>UKA</v>
      </c>
      <c r="I1330" s="731"/>
      <c r="J1330" s="2129" t="str">
        <f>IF($I1297="","",ABS(SUM(J1329)-SUM(J1317)))</f>
        <v/>
      </c>
      <c r="K1330" s="2072" t="str">
        <f>IF($I1297="","",ABS(SUM(K1329)-SUM(K1317)))</f>
        <v/>
      </c>
      <c r="L1330" s="2073" t="str">
        <f>IF($I1297="","",ABS(SUM(L1329)-SUM(L1317)))</f>
        <v/>
      </c>
      <c r="M1330" s="2073" t="str">
        <f>IF($I1297="","",ABS(SUM(M1329)-SUM(M1317)))</f>
        <v/>
      </c>
      <c r="N1330" s="2073" t="str">
        <f>IF($I1297="","",ABS(SUM(N1329)-SUM(N1317)))</f>
        <v/>
      </c>
      <c r="O1330" s="485"/>
      <c r="P1330" s="1137"/>
      <c r="Q1330" s="1137"/>
      <c r="R1330" s="1137"/>
      <c r="S1330" s="1137"/>
      <c r="T1330" s="1137"/>
      <c r="U1330" s="1137"/>
      <c r="V1330" s="1137"/>
    </row>
    <row r="1331" spans="1:22" s="562" customFormat="1" ht="12.75" customHeight="1">
      <c r="A1331" s="719"/>
      <c r="B1331" s="485"/>
      <c r="C1331" s="559"/>
      <c r="D1331" s="706"/>
      <c r="E1331" s="740" t="s">
        <v>2130</v>
      </c>
      <c r="F1331" s="740"/>
      <c r="G1331" s="740"/>
      <c r="H1331" s="741" t="s">
        <v>1021</v>
      </c>
      <c r="I1331" s="742"/>
      <c r="J1331" s="2147" t="str">
        <f>IF($I1297="","",J1330&gt;=100)</f>
        <v/>
      </c>
      <c r="K1331" s="2134" t="str">
        <f>IF($I1297="","",K1330&gt;=100)</f>
        <v/>
      </c>
      <c r="L1331" s="2135" t="str">
        <f>IF($I1297="","",L1330&gt;=100)</f>
        <v/>
      </c>
      <c r="M1331" s="2135" t="str">
        <f>IF($I1297="","",M1330&gt;=100)</f>
        <v/>
      </c>
      <c r="N1331" s="2135" t="str">
        <f>IF($I1297="","",N1330&gt;=100)</f>
        <v/>
      </c>
      <c r="O1331" s="485"/>
      <c r="P1331" s="1158" t="str">
        <f>EUconst_CNTR_100EUA_ActivityLevel&amp;I1297</f>
        <v>EUA100AL_</v>
      </c>
      <c r="Q1331" s="1137"/>
      <c r="R1331" s="1137"/>
      <c r="S1331" s="1137"/>
      <c r="T1331" s="1137"/>
      <c r="U1331" s="1137"/>
      <c r="V1331" s="1137"/>
    </row>
    <row r="1332" spans="1:22" s="562" customFormat="1" ht="5.0999999999999996" customHeight="1">
      <c r="A1332" s="719"/>
      <c r="B1332" s="485"/>
      <c r="C1332" s="559"/>
      <c r="D1332" s="706"/>
      <c r="E1332" s="485"/>
      <c r="F1332" s="485"/>
      <c r="G1332" s="485"/>
      <c r="H1332" s="485"/>
      <c r="I1332" s="743"/>
      <c r="J1332" s="485"/>
      <c r="K1332" s="1790"/>
      <c r="L1332" s="1791"/>
      <c r="M1332" s="1791"/>
      <c r="N1332" s="1791"/>
      <c r="O1332" s="485"/>
      <c r="P1332" s="1137"/>
      <c r="Q1332" s="1137"/>
      <c r="R1332" s="1137"/>
      <c r="S1332" s="1137"/>
      <c r="T1332" s="1137"/>
      <c r="U1332" s="1137"/>
      <c r="V1332" s="1137"/>
    </row>
    <row r="1333" spans="1:22" s="562" customFormat="1" ht="12.75" customHeight="1">
      <c r="A1333" s="719"/>
      <c r="B1333" s="485"/>
      <c r="C1333" s="559"/>
      <c r="D1333" s="706"/>
      <c r="E1333" s="707" t="s">
        <v>1753</v>
      </c>
      <c r="F1333" s="637"/>
      <c r="G1333" s="637"/>
      <c r="H1333" s="663" t="str">
        <f>EUconst_Unit</f>
        <v>Unit</v>
      </c>
      <c r="I1333" s="708"/>
      <c r="J1333" s="2132">
        <f>J$2737</f>
        <v>2026</v>
      </c>
      <c r="K1333" s="1489">
        <f>K$2737</f>
        <v>2027</v>
      </c>
      <c r="L1333" s="1490">
        <f>L$2737</f>
        <v>2028</v>
      </c>
      <c r="M1333" s="1490">
        <f>M$2737</f>
        <v>2029</v>
      </c>
      <c r="N1333" s="1490">
        <f>N$2737</f>
        <v>2030</v>
      </c>
      <c r="O1333" s="485"/>
      <c r="P1333" s="1137"/>
      <c r="Q1333" s="1137"/>
      <c r="R1333" s="1137"/>
      <c r="S1333" s="1137"/>
      <c r="T1333" s="1137"/>
      <c r="U1333" s="1137"/>
      <c r="V1333" s="1137"/>
    </row>
    <row r="1334" spans="1:22" s="562" customFormat="1" ht="12.75" hidden="1" customHeight="1">
      <c r="A1334" s="719" t="s">
        <v>2289</v>
      </c>
      <c r="B1334" s="485"/>
      <c r="C1334" s="559"/>
      <c r="D1334" s="706"/>
      <c r="E1334" s="698" t="s">
        <v>1714</v>
      </c>
      <c r="F1334" s="698"/>
      <c r="G1334" s="698"/>
      <c r="H1334" s="639" t="str">
        <f>H1323</f>
        <v>tonnes</v>
      </c>
      <c r="I1334" s="698"/>
      <c r="J1334" s="2137" t="str">
        <f t="shared" ref="J1334:N1337" si="98">I1406</f>
        <v/>
      </c>
      <c r="K1334" s="2072" t="str">
        <f t="shared" si="98"/>
        <v/>
      </c>
      <c r="L1334" s="2073" t="str">
        <f t="shared" si="98"/>
        <v/>
      </c>
      <c r="M1334" s="2073" t="str">
        <f t="shared" si="98"/>
        <v/>
      </c>
      <c r="N1334" s="2073" t="str">
        <f t="shared" si="98"/>
        <v/>
      </c>
      <c r="O1334" s="485"/>
      <c r="P1334" s="1137"/>
      <c r="Q1334" s="1137"/>
      <c r="R1334" s="1137"/>
      <c r="S1334" s="1137"/>
      <c r="T1334" s="1137"/>
      <c r="U1334" s="1137"/>
      <c r="V1334" s="1137"/>
    </row>
    <row r="1335" spans="1:22" s="562" customFormat="1" ht="12.75" hidden="1" customHeight="1">
      <c r="A1335" s="719" t="s">
        <v>2289</v>
      </c>
      <c r="B1335" s="485"/>
      <c r="C1335" s="559"/>
      <c r="D1335" s="706"/>
      <c r="E1335" s="720" t="s">
        <v>303</v>
      </c>
      <c r="F1335" s="720"/>
      <c r="G1335" s="720"/>
      <c r="H1335" s="721" t="str">
        <f>EUconst_EUA</f>
        <v>UKA</v>
      </c>
      <c r="I1335" s="722"/>
      <c r="J1335" s="2138" t="str">
        <f t="shared" si="98"/>
        <v/>
      </c>
      <c r="K1335" s="2072" t="str">
        <f t="shared" si="98"/>
        <v/>
      </c>
      <c r="L1335" s="2073" t="str">
        <f t="shared" si="98"/>
        <v/>
      </c>
      <c r="M1335" s="2073" t="str">
        <f t="shared" si="98"/>
        <v/>
      </c>
      <c r="N1335" s="2073" t="str">
        <f t="shared" si="98"/>
        <v/>
      </c>
      <c r="O1335" s="485"/>
      <c r="P1335" s="1137"/>
      <c r="Q1335" s="1137"/>
      <c r="R1335" s="1137"/>
      <c r="S1335" s="1137"/>
      <c r="T1335" s="1137"/>
      <c r="U1335" s="1137"/>
      <c r="V1335" s="1137"/>
    </row>
    <row r="1336" spans="1:22" s="562" customFormat="1" ht="12.75" hidden="1" customHeight="1">
      <c r="A1336" s="719" t="s">
        <v>2289</v>
      </c>
      <c r="B1336" s="485"/>
      <c r="C1336" s="559"/>
      <c r="D1336" s="706"/>
      <c r="E1336" s="723" t="s">
        <v>1422</v>
      </c>
      <c r="F1336" s="723"/>
      <c r="G1336" s="723"/>
      <c r="H1336" s="724" t="str">
        <f>EUconst_EUA</f>
        <v>UKA</v>
      </c>
      <c r="I1336" s="725"/>
      <c r="J1336" s="2139" t="str">
        <f t="shared" si="98"/>
        <v/>
      </c>
      <c r="K1336" s="2072" t="str">
        <f t="shared" si="98"/>
        <v/>
      </c>
      <c r="L1336" s="2073" t="str">
        <f t="shared" si="98"/>
        <v/>
      </c>
      <c r="M1336" s="2073" t="str">
        <f t="shared" si="98"/>
        <v/>
      </c>
      <c r="N1336" s="2073" t="str">
        <f t="shared" si="98"/>
        <v/>
      </c>
      <c r="O1336" s="485"/>
      <c r="P1336" s="1137"/>
      <c r="Q1336" s="1137"/>
      <c r="R1336" s="1137"/>
      <c r="S1336" s="1137"/>
      <c r="T1336" s="1137"/>
      <c r="U1336" s="1137"/>
      <c r="V1336" s="1137"/>
    </row>
    <row r="1337" spans="1:22" s="562" customFormat="1" ht="12.75" hidden="1" customHeight="1">
      <c r="A1337" s="719" t="s">
        <v>2289</v>
      </c>
      <c r="B1337" s="485"/>
      <c r="C1337" s="559"/>
      <c r="D1337" s="706"/>
      <c r="E1337" s="745" t="s">
        <v>1390</v>
      </c>
      <c r="F1337" s="745"/>
      <c r="G1337" s="745"/>
      <c r="H1337" s="746" t="str">
        <f>EUconst_EUA</f>
        <v>UKA</v>
      </c>
      <c r="I1337" s="747"/>
      <c r="J1337" s="2148" t="str">
        <f t="shared" si="98"/>
        <v/>
      </c>
      <c r="K1337" s="2072" t="str">
        <f t="shared" si="98"/>
        <v/>
      </c>
      <c r="L1337" s="2073" t="str">
        <f t="shared" si="98"/>
        <v/>
      </c>
      <c r="M1337" s="2073" t="str">
        <f t="shared" si="98"/>
        <v/>
      </c>
      <c r="N1337" s="2073" t="str">
        <f t="shared" si="98"/>
        <v/>
      </c>
      <c r="O1337" s="485"/>
      <c r="P1337" s="1137"/>
      <c r="Q1337" s="1137"/>
      <c r="R1337" s="1137"/>
      <c r="S1337" s="1137"/>
      <c r="T1337" s="1137"/>
      <c r="U1337" s="1137"/>
      <c r="V1337" s="1137"/>
    </row>
    <row r="1338" spans="1:22" s="562" customFormat="1" ht="12.75" customHeight="1">
      <c r="A1338" s="719"/>
      <c r="B1338" s="485"/>
      <c r="C1338" s="559"/>
      <c r="D1338" s="706"/>
      <c r="E1338" s="720" t="s">
        <v>1691</v>
      </c>
      <c r="F1338" s="720"/>
      <c r="G1338" s="720"/>
      <c r="H1338" s="748" t="s">
        <v>1021</v>
      </c>
      <c r="I1338" s="722"/>
      <c r="J1338" s="2149" t="str">
        <f>INDEX(F_ProductBM!J:J,MATCH($P1338,F_ProductBM!$Q:$Q,0))</f>
        <v/>
      </c>
      <c r="K1338" s="2141" t="str">
        <f>INDEX(F_ProductBM!K:K,MATCH($P1338,F_ProductBM!$Q:$Q,0))</f>
        <v/>
      </c>
      <c r="L1338" s="2142" t="str">
        <f>INDEX(F_ProductBM!L:L,MATCH($P1338,F_ProductBM!$Q:$Q,0))</f>
        <v/>
      </c>
      <c r="M1338" s="2142" t="str">
        <f>INDEX(F_ProductBM!M:M,MATCH($P1338,F_ProductBM!$Q:$Q,0))</f>
        <v/>
      </c>
      <c r="N1338" s="2142" t="str">
        <f>INDEX(F_ProductBM!N:N,MATCH($P1338,F_ProductBM!$Q:$Q,0))</f>
        <v/>
      </c>
      <c r="O1338" s="485"/>
      <c r="P1338" s="1158" t="str">
        <f>EUconst_CNTR_HAL &amp; EUconst_CNTR_ELEXCHInitial &amp; I1297</f>
        <v>HAL_ELEXCHIni_</v>
      </c>
      <c r="Q1338" s="1137"/>
      <c r="R1338" s="1137"/>
      <c r="S1338" s="1137"/>
      <c r="T1338" s="1137"/>
      <c r="U1338" s="1137"/>
      <c r="V1338" s="1137"/>
    </row>
    <row r="1339" spans="1:22" s="562" customFormat="1" ht="12.75" customHeight="1">
      <c r="A1339" s="719"/>
      <c r="B1339" s="485"/>
      <c r="C1339" s="559"/>
      <c r="D1339" s="706"/>
      <c r="E1339" s="723" t="s">
        <v>2232</v>
      </c>
      <c r="F1339" s="723"/>
      <c r="G1339" s="723"/>
      <c r="H1339" s="734" t="s">
        <v>1021</v>
      </c>
      <c r="I1339" s="735"/>
      <c r="J1339" s="23" t="str">
        <f>INDEX(F_ProductBM!J:J,MATCH($P1339,F_ProductBM!$Q:$Q,0))</f>
        <v/>
      </c>
      <c r="K1339" s="46" t="str">
        <f>INDEX(F_ProductBM!K:K,MATCH($P1339,F_ProductBM!$Q:$Q,0))</f>
        <v/>
      </c>
      <c r="L1339" s="27" t="str">
        <f>INDEX(F_ProductBM!L:L,MATCH($P1339,F_ProductBM!$Q:$Q,0))</f>
        <v/>
      </c>
      <c r="M1339" s="27" t="str">
        <f>INDEX(F_ProductBM!M:M,MATCH($P1339,F_ProductBM!$Q:$Q,0))</f>
        <v/>
      </c>
      <c r="N1339" s="27" t="str">
        <f>INDEX(F_ProductBM!N:N,MATCH($P1339,F_ProductBM!$Q:$Q,0))</f>
        <v/>
      </c>
      <c r="O1339" s="485"/>
      <c r="P1339" s="1158" t="str">
        <f>EUconst_CNTR_RelThreshold &amp; P1341</f>
        <v>RelThresh_HALprelim_ELEXCH_</v>
      </c>
      <c r="Q1339" s="1137"/>
      <c r="R1339" s="1137"/>
      <c r="S1339" s="1137"/>
      <c r="T1339" s="1137"/>
      <c r="U1339" s="1137"/>
      <c r="V1339" s="1137"/>
    </row>
    <row r="1340" spans="1:22" s="562" customFormat="1" ht="12.75" customHeight="1">
      <c r="A1340" s="719"/>
      <c r="B1340" s="485"/>
      <c r="C1340" s="559"/>
      <c r="D1340" s="706"/>
      <c r="E1340" s="736" t="s">
        <v>1852</v>
      </c>
      <c r="F1340" s="736"/>
      <c r="G1340" s="736"/>
      <c r="H1340" s="737" t="s">
        <v>1021</v>
      </c>
      <c r="I1340" s="738"/>
      <c r="J1340" s="2145" t="str">
        <f>INDEX(F_ProductBM!V:V,MATCH($P1340,F_ProductBM!$Q:$Q,0))</f>
        <v/>
      </c>
      <c r="K1340" s="2134" t="str">
        <f>INDEX(F_ProductBM!W:W,MATCH($P1340,F_ProductBM!$Q:$Q,0))</f>
        <v/>
      </c>
      <c r="L1340" s="2135" t="str">
        <f>INDEX(F_ProductBM!X:X,MATCH($P1340,F_ProductBM!$Q:$Q,0))</f>
        <v/>
      </c>
      <c r="M1340" s="2135" t="str">
        <f>INDEX(F_ProductBM!Y:Y,MATCH($P1340,F_ProductBM!$Q:$Q,0))</f>
        <v/>
      </c>
      <c r="N1340" s="2135" t="str">
        <f>INDEX(F_ProductBM!Z:Z,MATCH($P1340,F_ProductBM!$Q:$Q,0))</f>
        <v/>
      </c>
      <c r="O1340" s="485"/>
      <c r="P1340" s="1158" t="str">
        <f>P1339</f>
        <v>RelThresh_HALprelim_ELEXCH_</v>
      </c>
      <c r="Q1340" s="1137"/>
      <c r="R1340" s="1137"/>
      <c r="S1340" s="1137"/>
      <c r="T1340" s="1137"/>
      <c r="U1340" s="1137"/>
      <c r="V1340" s="1137"/>
    </row>
    <row r="1341" spans="1:22" s="562" customFormat="1" ht="12.75" customHeight="1">
      <c r="A1341" s="719"/>
      <c r="B1341" s="485"/>
      <c r="C1341" s="559"/>
      <c r="D1341" s="706"/>
      <c r="E1341" s="727" t="s">
        <v>1689</v>
      </c>
      <c r="F1341" s="727"/>
      <c r="G1341" s="727"/>
      <c r="H1341" s="749" t="s">
        <v>1021</v>
      </c>
      <c r="I1341" s="727"/>
      <c r="J1341" s="2150" t="str">
        <f>IF($I1300=TRUE,INDEX(F_ProductBM!J:J,MATCH($P1341,F_ProductBM!$Q:$Q,0)),"")</f>
        <v/>
      </c>
      <c r="K1341" s="2141" t="str">
        <f>IF($I1300=TRUE,INDEX(F_ProductBM!K:K,MATCH($P1341,F_ProductBM!$Q:$Q,0)),"")</f>
        <v/>
      </c>
      <c r="L1341" s="2142" t="str">
        <f>IF($I1300=TRUE,INDEX(F_ProductBM!L:L,MATCH($P1341,F_ProductBM!$Q:$Q,0)),"")</f>
        <v/>
      </c>
      <c r="M1341" s="2142" t="str">
        <f>IF($I1300=TRUE,INDEX(F_ProductBM!M:M,MATCH($P1341,F_ProductBM!$Q:$Q,0)),"")</f>
        <v/>
      </c>
      <c r="N1341" s="2142" t="str">
        <f>IF($I1300=TRUE,INDEX(F_ProductBM!N:N,MATCH($P1341,F_ProductBM!$Q:$Q,0)),"")</f>
        <v/>
      </c>
      <c r="O1341" s="485"/>
      <c r="P1341" s="1158" t="str">
        <f>EUconst_CNTR_HALprelim&amp;EUconst_CNTR_ELEXCH&amp;$I1297</f>
        <v>HALprelim_ELEXCH_</v>
      </c>
      <c r="Q1341" s="1137"/>
      <c r="R1341" s="1137"/>
      <c r="S1341" s="1137"/>
      <c r="T1341" s="1137"/>
      <c r="U1341" s="1137"/>
      <c r="V1341" s="1137"/>
    </row>
    <row r="1342" spans="1:22" s="562" customFormat="1" ht="12.75" hidden="1" customHeight="1">
      <c r="A1342" s="719" t="s">
        <v>2289</v>
      </c>
      <c r="B1342" s="485"/>
      <c r="C1342" s="559"/>
      <c r="D1342" s="706"/>
      <c r="E1342" s="727" t="s">
        <v>1391</v>
      </c>
      <c r="F1342" s="727"/>
      <c r="G1342" s="727"/>
      <c r="H1342" s="750" t="s">
        <v>1021</v>
      </c>
      <c r="I1342" s="729"/>
      <c r="J1342" s="2143" t="str">
        <f>I1411</f>
        <v/>
      </c>
      <c r="K1342" s="2141" t="str">
        <f>J1411</f>
        <v/>
      </c>
      <c r="L1342" s="2142" t="str">
        <f>K1411</f>
        <v/>
      </c>
      <c r="M1342" s="2142" t="str">
        <f>L1411</f>
        <v/>
      </c>
      <c r="N1342" s="2142" t="str">
        <f>M1411</f>
        <v/>
      </c>
      <c r="O1342" s="485"/>
      <c r="P1342" s="1137"/>
      <c r="Q1342" s="1137"/>
      <c r="R1342" s="1137"/>
      <c r="S1342" s="1137"/>
      <c r="T1342" s="1137"/>
      <c r="U1342" s="1137"/>
      <c r="V1342" s="1137"/>
    </row>
    <row r="1343" spans="1:22" s="562" customFormat="1" ht="12.75" customHeight="1">
      <c r="A1343" s="719"/>
      <c r="B1343" s="485"/>
      <c r="C1343" s="559"/>
      <c r="D1343" s="706"/>
      <c r="E1343" s="698" t="s">
        <v>1671</v>
      </c>
      <c r="F1343" s="698"/>
      <c r="G1343" s="698"/>
      <c r="H1343" s="730" t="str">
        <f>EUconst_EUA</f>
        <v>UKA</v>
      </c>
      <c r="I1343" s="731"/>
      <c r="J1343" s="2129" t="str">
        <f>IF($I1300=TRUE,MAX(0,ROUND((SUM($M1300)*SUM(J1334)*SUM(J1341)*SUM(J1342)-SUM(J1335)-SUM(J1336)+SUM(J1337))*IF($H1300=TRUE,1,J$2517),0)),"")</f>
        <v/>
      </c>
      <c r="K1343" s="2072" t="str">
        <f>IF($I1300=TRUE,MAX(0,ROUND((SUM($M1300)*SUM(K1334)*SUM(K1341)*SUM(K1342)-SUM(K1335)-SUM(K1336)+SUM(K1337))*IF($H1300=TRUE,1,K$2517),0)),"")</f>
        <v/>
      </c>
      <c r="L1343" s="2073" t="str">
        <f>IF($I1300=TRUE,MAX(0,ROUND((SUM($M1300)*SUM(L1334)*SUM(L1341)*SUM(L1342)-SUM(L1335)-SUM(L1336)+SUM(L1337))*IF($H1300=TRUE,1,L$2517),0)),"")</f>
        <v/>
      </c>
      <c r="M1343" s="2073" t="str">
        <f>IF($I1300=TRUE,MAX(0,ROUND((SUM($M1300)*SUM(M1334)*SUM(M1341)*SUM(M1342)-SUM(M1335)-SUM(M1336)+SUM(M1337))*IF($H1300=TRUE,1,M$2517),0)),"")</f>
        <v/>
      </c>
      <c r="N1343" s="2073" t="str">
        <f>IF($I1300=TRUE,MAX(0,ROUND((SUM($M1300)*SUM(N1334)*SUM(N1341)*SUM(N1342)-SUM(N1335)-SUM(N1336)+SUM(N1337))*IF($H1300=TRUE,1,N$2517),0)),"")</f>
        <v/>
      </c>
      <c r="O1343" s="485"/>
      <c r="P1343" s="1137"/>
      <c r="Q1343" s="1137"/>
      <c r="R1343" s="1137"/>
      <c r="S1343" s="1137"/>
      <c r="T1343" s="1137"/>
      <c r="U1343" s="1137"/>
      <c r="V1343" s="1137"/>
    </row>
    <row r="1344" spans="1:22" s="562" customFormat="1" ht="12.75" customHeight="1">
      <c r="A1344" s="719"/>
      <c r="B1344" s="485"/>
      <c r="C1344" s="559"/>
      <c r="D1344" s="706"/>
      <c r="E1344" s="698" t="s">
        <v>1670</v>
      </c>
      <c r="F1344" s="698"/>
      <c r="G1344" s="698"/>
      <c r="H1344" s="730" t="str">
        <f>EUconst_EUA</f>
        <v>UKA</v>
      </c>
      <c r="I1344" s="731"/>
      <c r="J1344" s="2129" t="str">
        <f>IF($I1300=TRUE,ABS(SUM(J1343)-SUM(J1317)),"")</f>
        <v/>
      </c>
      <c r="K1344" s="2072" t="str">
        <f>IF($I1300=TRUE,ABS(SUM(K1343)-SUM(K1317)),"")</f>
        <v/>
      </c>
      <c r="L1344" s="2073" t="str">
        <f>IF($I1300=TRUE,ABS(SUM(L1343)-SUM(L1317)),"")</f>
        <v/>
      </c>
      <c r="M1344" s="2073" t="str">
        <f>IF($I1300=TRUE,ABS(SUM(M1343)-SUM(M1317)),"")</f>
        <v/>
      </c>
      <c r="N1344" s="2073" t="str">
        <f>IF($I1300=TRUE,ABS(SUM(N1343)-SUM(N1317)),"")</f>
        <v/>
      </c>
      <c r="O1344" s="485"/>
      <c r="P1344" s="1137"/>
      <c r="Q1344" s="1137"/>
      <c r="R1344" s="1137"/>
      <c r="S1344" s="1137"/>
      <c r="T1344" s="1137"/>
      <c r="U1344" s="1137"/>
      <c r="V1344" s="1137"/>
    </row>
    <row r="1345" spans="1:22" s="562" customFormat="1" ht="12.75" customHeight="1">
      <c r="A1345" s="719"/>
      <c r="B1345" s="485"/>
      <c r="C1345" s="559"/>
      <c r="D1345" s="706"/>
      <c r="E1345" s="740" t="s">
        <v>2131</v>
      </c>
      <c r="F1345" s="740"/>
      <c r="G1345" s="740"/>
      <c r="H1345" s="741" t="s">
        <v>1021</v>
      </c>
      <c r="I1345" s="742"/>
      <c r="J1345" s="2147" t="str">
        <f>IF($I1300=TRUE,J1344&gt;=100,"")</f>
        <v/>
      </c>
      <c r="K1345" s="2134" t="str">
        <f>IF($I1300=TRUE,K1344&gt;=100,"")</f>
        <v/>
      </c>
      <c r="L1345" s="2135" t="str">
        <f>IF($I1300=TRUE,L1344&gt;=100,"")</f>
        <v/>
      </c>
      <c r="M1345" s="2135" t="str">
        <f>IF($I1300=TRUE,M1344&gt;=100,"")</f>
        <v/>
      </c>
      <c r="N1345" s="2135" t="str">
        <f>IF($I1300=TRUE,N1344&gt;=100,"")</f>
        <v/>
      </c>
      <c r="O1345" s="485"/>
      <c r="P1345" s="1158" t="str">
        <f>EUconst_CNTR_100EUA_ElExch&amp;I1297</f>
        <v>EUA100ElExch_</v>
      </c>
      <c r="Q1345" s="1137"/>
      <c r="R1345" s="1137"/>
      <c r="S1345" s="1137"/>
      <c r="T1345" s="1137"/>
      <c r="U1345" s="1137"/>
      <c r="V1345" s="1137"/>
    </row>
    <row r="1346" spans="1:22" s="562" customFormat="1" ht="5.0999999999999996" customHeight="1">
      <c r="A1346" s="719"/>
      <c r="B1346" s="485"/>
      <c r="C1346" s="559"/>
      <c r="D1346" s="706"/>
      <c r="E1346" s="485"/>
      <c r="F1346" s="485"/>
      <c r="G1346" s="485"/>
      <c r="H1346" s="485"/>
      <c r="I1346" s="743"/>
      <c r="J1346" s="485"/>
      <c r="K1346" s="1790"/>
      <c r="L1346" s="1791"/>
      <c r="M1346" s="1791"/>
      <c r="N1346" s="1791"/>
      <c r="O1346" s="485"/>
      <c r="P1346" s="1137"/>
      <c r="Q1346" s="1137"/>
      <c r="R1346" s="1137"/>
      <c r="S1346" s="1137"/>
      <c r="T1346" s="1137"/>
      <c r="U1346" s="1137"/>
      <c r="V1346" s="1137"/>
    </row>
    <row r="1347" spans="1:22" s="562" customFormat="1" ht="12.75" customHeight="1">
      <c r="A1347" s="719"/>
      <c r="B1347" s="485"/>
      <c r="C1347" s="559"/>
      <c r="D1347" s="706"/>
      <c r="E1347" s="707" t="s">
        <v>1754</v>
      </c>
      <c r="F1347" s="637"/>
      <c r="G1347" s="637"/>
      <c r="H1347" s="663" t="str">
        <f>EUconst_Unit</f>
        <v>Unit</v>
      </c>
      <c r="I1347" s="708"/>
      <c r="J1347" s="2132">
        <f>J$2737</f>
        <v>2026</v>
      </c>
      <c r="K1347" s="1489">
        <f>K$2737</f>
        <v>2027</v>
      </c>
      <c r="L1347" s="1490">
        <f>L$2737</f>
        <v>2028</v>
      </c>
      <c r="M1347" s="1490">
        <f>M$2737</f>
        <v>2029</v>
      </c>
      <c r="N1347" s="1490">
        <f>N$2737</f>
        <v>2030</v>
      </c>
      <c r="O1347" s="485"/>
      <c r="P1347" s="1137"/>
      <c r="Q1347" s="1137"/>
      <c r="R1347" s="1137"/>
      <c r="S1347" s="1137"/>
      <c r="T1347" s="1137"/>
      <c r="U1347" s="1137"/>
      <c r="V1347" s="1137"/>
    </row>
    <row r="1348" spans="1:22" s="562" customFormat="1" ht="12.75" hidden="1" customHeight="1">
      <c r="A1348" s="719" t="s">
        <v>2289</v>
      </c>
      <c r="B1348" s="485"/>
      <c r="C1348" s="559"/>
      <c r="D1348" s="706"/>
      <c r="E1348" s="698" t="s">
        <v>1714</v>
      </c>
      <c r="F1348" s="698"/>
      <c r="G1348" s="698"/>
      <c r="H1348" s="639" t="str">
        <f>H1334</f>
        <v>tonnes</v>
      </c>
      <c r="I1348" s="698"/>
      <c r="J1348" s="2137" t="str">
        <f>I1406</f>
        <v/>
      </c>
      <c r="K1348" s="2072" t="str">
        <f>J1406</f>
        <v/>
      </c>
      <c r="L1348" s="2073" t="str">
        <f>K1406</f>
        <v/>
      </c>
      <c r="M1348" s="2073" t="str">
        <f>L1406</f>
        <v/>
      </c>
      <c r="N1348" s="2073" t="str">
        <f>M1406</f>
        <v/>
      </c>
      <c r="O1348" s="485"/>
      <c r="P1348" s="1137"/>
      <c r="Q1348" s="1137"/>
      <c r="R1348" s="1137"/>
      <c r="S1348" s="1137"/>
      <c r="T1348" s="1137"/>
      <c r="U1348" s="1137"/>
      <c r="V1348" s="1137"/>
    </row>
    <row r="1349" spans="1:22" s="562" customFormat="1" ht="12.75" customHeight="1">
      <c r="A1349" s="719"/>
      <c r="B1349" s="485"/>
      <c r="C1349" s="559"/>
      <c r="D1349" s="706"/>
      <c r="E1349" s="720" t="s">
        <v>1691</v>
      </c>
      <c r="F1349" s="720"/>
      <c r="G1349" s="720"/>
      <c r="H1349" s="748" t="str">
        <f>EUconst_EUA</f>
        <v>UKA</v>
      </c>
      <c r="I1349" s="722"/>
      <c r="J1349" s="2144" t="str">
        <f>IF(R1303,SUM(INDEX(F_ProductBM!J:J,MATCH($P1349,F_ProductBM!$Q:$Q,0))),"")</f>
        <v/>
      </c>
      <c r="K1349" s="2072" t="str">
        <f>IF(S1303,SUM(INDEX(F_ProductBM!K:K,MATCH($P1349,F_ProductBM!$Q:$Q,0))),"")</f>
        <v/>
      </c>
      <c r="L1349" s="2073" t="str">
        <f>IF(T1303,SUM(INDEX(F_ProductBM!L:L,MATCH($P1349,F_ProductBM!$Q:$Q,0))),"")</f>
        <v/>
      </c>
      <c r="M1349" s="2073" t="str">
        <f>IF(U1303,SUM(INDEX(F_ProductBM!M:M,MATCH($P1349,F_ProductBM!$Q:$Q,0))),"")</f>
        <v/>
      </c>
      <c r="N1349" s="2073" t="str">
        <f>IF(V1303,SUM(INDEX(F_ProductBM!N:N,MATCH($P1349,F_ProductBM!$Q:$Q,0))),"")</f>
        <v/>
      </c>
      <c r="O1349" s="485"/>
      <c r="P1349" s="1158" t="str">
        <f>EUconst_CNTR_HEATInitial &amp; I1297</f>
        <v>HEATIni_</v>
      </c>
      <c r="Q1349" s="1137"/>
      <c r="R1349" s="1137"/>
      <c r="S1349" s="1137"/>
      <c r="T1349" s="1137"/>
      <c r="U1349" s="1137"/>
      <c r="V1349" s="1137"/>
    </row>
    <row r="1350" spans="1:22" s="562" customFormat="1" ht="12.75" customHeight="1">
      <c r="A1350" s="719"/>
      <c r="B1350" s="485"/>
      <c r="C1350" s="559"/>
      <c r="D1350" s="706"/>
      <c r="E1350" s="723" t="s">
        <v>2232</v>
      </c>
      <c r="F1350" s="723"/>
      <c r="G1350" s="723"/>
      <c r="H1350" s="734" t="s">
        <v>1021</v>
      </c>
      <c r="I1350" s="735"/>
      <c r="J1350" s="23" t="str">
        <f>INDEX(F_ProductBM!J:J,MATCH($P1350,F_ProductBM!$Q:$Q,0))</f>
        <v/>
      </c>
      <c r="K1350" s="46" t="str">
        <f>INDEX(F_ProductBM!K:K,MATCH($P1350,F_ProductBM!$Q:$Q,0))</f>
        <v/>
      </c>
      <c r="L1350" s="27" t="str">
        <f>INDEX(F_ProductBM!L:L,MATCH($P1350,F_ProductBM!$Q:$Q,0))</f>
        <v/>
      </c>
      <c r="M1350" s="27" t="str">
        <f>INDEX(F_ProductBM!M:M,MATCH($P1350,F_ProductBM!$Q:$Q,0))</f>
        <v/>
      </c>
      <c r="N1350" s="27" t="str">
        <f>INDEX(F_ProductBM!N:N,MATCH($P1350,F_ProductBM!$Q:$Q,0))</f>
        <v/>
      </c>
      <c r="O1350" s="485"/>
      <c r="P1350" s="1158" t="str">
        <f>EUconst_CNTR_RelThreshold &amp; P1352</f>
        <v>RelThresh_HEATprelim_</v>
      </c>
      <c r="Q1350" s="1137"/>
      <c r="R1350" s="1137"/>
      <c r="S1350" s="1137"/>
      <c r="T1350" s="1137"/>
      <c r="U1350" s="1137"/>
      <c r="V1350" s="1137"/>
    </row>
    <row r="1351" spans="1:22" s="562" customFormat="1" ht="12.75" customHeight="1">
      <c r="A1351" s="719"/>
      <c r="B1351" s="485"/>
      <c r="C1351" s="559"/>
      <c r="D1351" s="706"/>
      <c r="E1351" s="736" t="s">
        <v>1853</v>
      </c>
      <c r="F1351" s="736"/>
      <c r="G1351" s="736"/>
      <c r="H1351" s="737" t="s">
        <v>1021</v>
      </c>
      <c r="I1351" s="738"/>
      <c r="J1351" s="2145" t="str">
        <f>INDEX(F_ProductBM!V:V,MATCH($P1351,F_ProductBM!$Q:$Q,0))</f>
        <v/>
      </c>
      <c r="K1351" s="2134" t="str">
        <f>INDEX(F_ProductBM!W:W,MATCH($P1351,F_ProductBM!$Q:$Q,0))</f>
        <v/>
      </c>
      <c r="L1351" s="2135" t="str">
        <f>INDEX(F_ProductBM!X:X,MATCH($P1351,F_ProductBM!$Q:$Q,0))</f>
        <v/>
      </c>
      <c r="M1351" s="2135" t="str">
        <f>INDEX(F_ProductBM!Y:Y,MATCH($P1351,F_ProductBM!$Q:$Q,0))</f>
        <v/>
      </c>
      <c r="N1351" s="2135" t="str">
        <f>INDEX(F_ProductBM!Z:Z,MATCH($P1351,F_ProductBM!$Q:$Q,0))</f>
        <v/>
      </c>
      <c r="O1351" s="485"/>
      <c r="P1351" s="1158" t="str">
        <f>P1350</f>
        <v>RelThresh_HEATprelim_</v>
      </c>
      <c r="Q1351" s="1137"/>
      <c r="R1351" s="1137"/>
      <c r="S1351" s="1137"/>
      <c r="T1351" s="1137"/>
      <c r="U1351" s="1137"/>
      <c r="V1351" s="1137"/>
    </row>
    <row r="1352" spans="1:22" s="562" customFormat="1" ht="12.75" customHeight="1">
      <c r="A1352" s="719"/>
      <c r="B1352" s="485"/>
      <c r="C1352" s="559"/>
      <c r="D1352" s="706"/>
      <c r="E1352" s="727" t="s">
        <v>1689</v>
      </c>
      <c r="F1352" s="727"/>
      <c r="G1352" s="727"/>
      <c r="H1352" s="749" t="str">
        <f>EUconst_EUA</f>
        <v>UKA</v>
      </c>
      <c r="I1352" s="727"/>
      <c r="J1352" s="2146" t="str">
        <f>IF($I1297="","",INDEX(F_ProductBM!J:J,MATCH($P1352,F_ProductBM!$Q:$Q,0)))</f>
        <v/>
      </c>
      <c r="K1352" s="2072" t="str">
        <f>IF($I1297="","",INDEX(F_ProductBM!K:K,MATCH($P1352,F_ProductBM!$Q:$Q,0)))</f>
        <v/>
      </c>
      <c r="L1352" s="2073" t="str">
        <f>IF($I1297="","",INDEX(F_ProductBM!L:L,MATCH($P1352,F_ProductBM!$Q:$Q,0)))</f>
        <v/>
      </c>
      <c r="M1352" s="2073" t="str">
        <f>IF($I1297="","",INDEX(F_ProductBM!M:M,MATCH($P1352,F_ProductBM!$Q:$Q,0)))</f>
        <v/>
      </c>
      <c r="N1352" s="2073" t="str">
        <f>IF($I1297="","",INDEX(F_ProductBM!N:N,MATCH($P1352,F_ProductBM!$Q:$Q,0)))</f>
        <v/>
      </c>
      <c r="O1352" s="485"/>
      <c r="P1352" s="1158" t="str">
        <f>EUconst_CNTR_HEATprelim&amp;I1297</f>
        <v>HEATprelim_</v>
      </c>
      <c r="Q1352" s="1137"/>
      <c r="R1352" s="1137"/>
      <c r="S1352" s="1137"/>
      <c r="T1352" s="1137"/>
      <c r="U1352" s="1137"/>
      <c r="V1352" s="1137"/>
    </row>
    <row r="1353" spans="1:22" s="562" customFormat="1" ht="12.75" hidden="1" customHeight="1">
      <c r="A1353" s="719" t="s">
        <v>2289</v>
      </c>
      <c r="B1353" s="485"/>
      <c r="C1353" s="559"/>
      <c r="D1353" s="706"/>
      <c r="E1353" s="723" t="s">
        <v>1422</v>
      </c>
      <c r="F1353" s="723"/>
      <c r="G1353" s="723"/>
      <c r="H1353" s="724" t="str">
        <f>EUconst_EUA</f>
        <v>UKA</v>
      </c>
      <c r="I1353" s="725"/>
      <c r="J1353" s="2139" t="str">
        <f t="shared" ref="J1353:N1356" si="99">I1408</f>
        <v/>
      </c>
      <c r="K1353" s="2072" t="str">
        <f t="shared" si="99"/>
        <v/>
      </c>
      <c r="L1353" s="2073" t="str">
        <f t="shared" si="99"/>
        <v/>
      </c>
      <c r="M1353" s="2073" t="str">
        <f t="shared" si="99"/>
        <v/>
      </c>
      <c r="N1353" s="2073" t="str">
        <f t="shared" si="99"/>
        <v/>
      </c>
      <c r="O1353" s="485"/>
      <c r="P1353" s="1137"/>
      <c r="Q1353" s="1137"/>
      <c r="R1353" s="1137"/>
      <c r="S1353" s="1137"/>
      <c r="T1353" s="1137"/>
      <c r="U1353" s="1137"/>
      <c r="V1353" s="1137"/>
    </row>
    <row r="1354" spans="1:22" s="562" customFormat="1" ht="12.75" hidden="1" customHeight="1">
      <c r="A1354" s="719" t="s">
        <v>2289</v>
      </c>
      <c r="B1354" s="485"/>
      <c r="C1354" s="559"/>
      <c r="D1354" s="706"/>
      <c r="E1354" s="723" t="s">
        <v>1390</v>
      </c>
      <c r="F1354" s="723"/>
      <c r="G1354" s="723"/>
      <c r="H1354" s="724" t="str">
        <f>EUconst_EUA</f>
        <v>UKA</v>
      </c>
      <c r="I1354" s="725"/>
      <c r="J1354" s="2139" t="str">
        <f t="shared" si="99"/>
        <v/>
      </c>
      <c r="K1354" s="2072" t="str">
        <f t="shared" si="99"/>
        <v/>
      </c>
      <c r="L1354" s="2073" t="str">
        <f t="shared" si="99"/>
        <v/>
      </c>
      <c r="M1354" s="2073" t="str">
        <f t="shared" si="99"/>
        <v/>
      </c>
      <c r="N1354" s="2073" t="str">
        <f t="shared" si="99"/>
        <v/>
      </c>
      <c r="O1354" s="485"/>
      <c r="P1354" s="1137"/>
      <c r="Q1354" s="1137"/>
      <c r="R1354" s="1137"/>
      <c r="S1354" s="1137"/>
      <c r="T1354" s="1137"/>
      <c r="U1354" s="1137"/>
      <c r="V1354" s="1137"/>
    </row>
    <row r="1355" spans="1:22" s="562" customFormat="1" ht="12.75" hidden="1" customHeight="1">
      <c r="A1355" s="719" t="s">
        <v>2289</v>
      </c>
      <c r="B1355" s="485"/>
      <c r="C1355" s="559"/>
      <c r="D1355" s="706"/>
      <c r="E1355" s="723" t="s">
        <v>1389</v>
      </c>
      <c r="F1355" s="723"/>
      <c r="G1355" s="723"/>
      <c r="H1355" s="726" t="s">
        <v>1021</v>
      </c>
      <c r="I1355" s="725"/>
      <c r="J1355" s="2140" t="str">
        <f t="shared" si="99"/>
        <v/>
      </c>
      <c r="K1355" s="2141" t="str">
        <f t="shared" si="99"/>
        <v/>
      </c>
      <c r="L1355" s="2142" t="str">
        <f t="shared" si="99"/>
        <v/>
      </c>
      <c r="M1355" s="2142" t="str">
        <f t="shared" si="99"/>
        <v/>
      </c>
      <c r="N1355" s="2142" t="str">
        <f t="shared" si="99"/>
        <v/>
      </c>
      <c r="O1355" s="485"/>
      <c r="P1355" s="1137"/>
      <c r="Q1355" s="1137"/>
      <c r="R1355" s="1137"/>
      <c r="S1355" s="1137"/>
      <c r="T1355" s="1137"/>
      <c r="U1355" s="1137"/>
      <c r="V1355" s="1137"/>
    </row>
    <row r="1356" spans="1:22" s="562" customFormat="1" ht="12.75" hidden="1" customHeight="1">
      <c r="A1356" s="719" t="s">
        <v>2289</v>
      </c>
      <c r="B1356" s="485"/>
      <c r="C1356" s="559"/>
      <c r="D1356" s="706"/>
      <c r="E1356" s="727" t="s">
        <v>1391</v>
      </c>
      <c r="F1356" s="727"/>
      <c r="G1356" s="727"/>
      <c r="H1356" s="728" t="s">
        <v>1021</v>
      </c>
      <c r="I1356" s="729"/>
      <c r="J1356" s="2143" t="str">
        <f t="shared" si="99"/>
        <v/>
      </c>
      <c r="K1356" s="2141" t="str">
        <f t="shared" si="99"/>
        <v/>
      </c>
      <c r="L1356" s="2142" t="str">
        <f t="shared" si="99"/>
        <v/>
      </c>
      <c r="M1356" s="2142" t="str">
        <f t="shared" si="99"/>
        <v/>
      </c>
      <c r="N1356" s="2142" t="str">
        <f t="shared" si="99"/>
        <v/>
      </c>
      <c r="O1356" s="485"/>
      <c r="P1356" s="1137"/>
      <c r="Q1356" s="1137"/>
      <c r="R1356" s="1137"/>
      <c r="S1356" s="1137"/>
      <c r="T1356" s="1137"/>
      <c r="U1356" s="1137"/>
      <c r="V1356" s="1137"/>
    </row>
    <row r="1357" spans="1:22" s="562" customFormat="1" ht="12.75" customHeight="1">
      <c r="A1357" s="719"/>
      <c r="B1357" s="485"/>
      <c r="C1357" s="559"/>
      <c r="D1357" s="706"/>
      <c r="E1357" s="698" t="s">
        <v>1671</v>
      </c>
      <c r="F1357" s="698"/>
      <c r="G1357" s="698"/>
      <c r="H1357" s="730" t="str">
        <f>EUconst_EUA</f>
        <v>UKA</v>
      </c>
      <c r="I1357" s="731"/>
      <c r="J1357" s="2129" t="str">
        <f>IF($I1297="","",MAX(0,ROUND((SUM($M1300)*SUM(J1348)*SUM(J1355)*SUM(J1356)-SUM(J1352)-SUM(J1353)+SUM(J1354))*IF($H1300=TRUE,1,J$2517),0)))</f>
        <v/>
      </c>
      <c r="K1357" s="2072" t="str">
        <f>IF($I1297="","",MAX(0,ROUND((SUM($M1300)*SUM(K1348)*SUM(K1355)*SUM(K1356)-SUM(K1352)-SUM(K1353)+SUM(K1354))*IF($H1300=TRUE,1,K$2517),0)))</f>
        <v/>
      </c>
      <c r="L1357" s="2073" t="str">
        <f>IF($I1297="","",MAX(0,ROUND((SUM($M1300)*SUM(L1348)*SUM(L1355)*SUM(L1356)-SUM(L1352)-SUM(L1353)+SUM(L1354))*IF($H1300=TRUE,1,L$2517),0)))</f>
        <v/>
      </c>
      <c r="M1357" s="2073" t="str">
        <f>IF($I1297="","",MAX(0,ROUND((SUM($M1300)*SUM(M1348)*SUM(M1355)*SUM(M1356)-SUM(M1352)-SUM(M1353)+SUM(M1354))*IF($H1300=TRUE,1,M$2517),0)))</f>
        <v/>
      </c>
      <c r="N1357" s="2073" t="str">
        <f>IF($I1297="","",MAX(0,ROUND((SUM($M1300)*SUM(N1348)*SUM(N1355)*SUM(N1356)-SUM(N1352)-SUM(N1353)+SUM(N1354))*IF($H1300=TRUE,1,N$2517),0)))</f>
        <v/>
      </c>
      <c r="O1357" s="485"/>
      <c r="P1357" s="1137"/>
      <c r="Q1357" s="1137"/>
      <c r="R1357" s="1137"/>
      <c r="S1357" s="1137"/>
      <c r="T1357" s="1137"/>
      <c r="U1357" s="1137"/>
      <c r="V1357" s="1137"/>
    </row>
    <row r="1358" spans="1:22" s="562" customFormat="1" ht="12.75" customHeight="1">
      <c r="A1358" s="719"/>
      <c r="B1358" s="485"/>
      <c r="C1358" s="559"/>
      <c r="D1358" s="706"/>
      <c r="E1358" s="698" t="s">
        <v>1670</v>
      </c>
      <c r="F1358" s="698"/>
      <c r="G1358" s="698"/>
      <c r="H1358" s="730" t="str">
        <f>EUconst_EUA</f>
        <v>UKA</v>
      </c>
      <c r="I1358" s="731"/>
      <c r="J1358" s="2129" t="str">
        <f>IF($I1297="","",ABS(SUM(J1357)-SUM(J1317)))</f>
        <v/>
      </c>
      <c r="K1358" s="2072" t="str">
        <f>IF($I1297="","",ABS(SUM(K1357)-SUM(K1317)))</f>
        <v/>
      </c>
      <c r="L1358" s="2073" t="str">
        <f>IF($I1297="","",ABS(SUM(L1357)-SUM(L1317)))</f>
        <v/>
      </c>
      <c r="M1358" s="2073" t="str">
        <f>IF($I1297="","",ABS(SUM(M1357)-SUM(M1317)))</f>
        <v/>
      </c>
      <c r="N1358" s="2073" t="str">
        <f>IF($I1297="","",ABS(SUM(N1357)-SUM(N1317)))</f>
        <v/>
      </c>
      <c r="O1358" s="485"/>
      <c r="P1358" s="1137"/>
      <c r="Q1358" s="1137"/>
      <c r="R1358" s="1137"/>
      <c r="S1358" s="1137"/>
      <c r="T1358" s="1137"/>
      <c r="U1358" s="1137"/>
      <c r="V1358" s="1137"/>
    </row>
    <row r="1359" spans="1:22" s="562" customFormat="1" ht="12.75" customHeight="1">
      <c r="A1359" s="719"/>
      <c r="B1359" s="485"/>
      <c r="C1359" s="559"/>
      <c r="D1359" s="706"/>
      <c r="E1359" s="740" t="s">
        <v>2132</v>
      </c>
      <c r="F1359" s="740"/>
      <c r="G1359" s="740"/>
      <c r="H1359" s="741" t="s">
        <v>1021</v>
      </c>
      <c r="I1359" s="742"/>
      <c r="J1359" s="2147" t="str">
        <f>IF($I1297="","",J1358&gt;=100)</f>
        <v/>
      </c>
      <c r="K1359" s="2134" t="str">
        <f>IF($I1297="","",K1358&gt;=100)</f>
        <v/>
      </c>
      <c r="L1359" s="2135" t="str">
        <f>IF($I1297="","",L1358&gt;=100)</f>
        <v/>
      </c>
      <c r="M1359" s="2135" t="str">
        <f>IF($I1297="","",M1358&gt;=100)</f>
        <v/>
      </c>
      <c r="N1359" s="2135" t="str">
        <f>IF($I1297="","",N1358&gt;=100)</f>
        <v/>
      </c>
      <c r="O1359" s="485"/>
      <c r="P1359" s="1158" t="str">
        <f>EUconst_CNTR_100EUA_HEAT&amp;I1297</f>
        <v>EUA100HEAT_</v>
      </c>
      <c r="Q1359" s="1137"/>
      <c r="R1359" s="1137"/>
      <c r="S1359" s="1137"/>
      <c r="T1359" s="1137"/>
      <c r="U1359" s="1137"/>
      <c r="V1359" s="1137"/>
    </row>
    <row r="1360" spans="1:22" s="562" customFormat="1" ht="5.0999999999999996" customHeight="1">
      <c r="A1360" s="719"/>
      <c r="B1360" s="485"/>
      <c r="C1360" s="559"/>
      <c r="D1360" s="706"/>
      <c r="E1360" s="485"/>
      <c r="F1360" s="485"/>
      <c r="G1360" s="485"/>
      <c r="H1360" s="485"/>
      <c r="I1360" s="743"/>
      <c r="J1360" s="485"/>
      <c r="K1360" s="1790"/>
      <c r="L1360" s="1791"/>
      <c r="M1360" s="1791"/>
      <c r="N1360" s="1791"/>
      <c r="O1360" s="485"/>
      <c r="P1360" s="1137"/>
      <c r="Q1360" s="1137"/>
      <c r="R1360" s="1137"/>
      <c r="S1360" s="1137"/>
      <c r="T1360" s="1137"/>
      <c r="U1360" s="1137"/>
      <c r="V1360" s="1137"/>
    </row>
    <row r="1361" spans="1:22" s="562" customFormat="1" ht="12.75" customHeight="1">
      <c r="A1361" s="719"/>
      <c r="B1361" s="485"/>
      <c r="C1361" s="559"/>
      <c r="D1361" s="706"/>
      <c r="E1361" s="707" t="s">
        <v>1755</v>
      </c>
      <c r="F1361" s="637"/>
      <c r="G1361" s="637"/>
      <c r="H1361" s="663" t="str">
        <f>EUconst_Unit</f>
        <v>Unit</v>
      </c>
      <c r="I1361" s="708"/>
      <c r="J1361" s="2132">
        <f>J$2737</f>
        <v>2026</v>
      </c>
      <c r="K1361" s="1489">
        <f>K$2737</f>
        <v>2027</v>
      </c>
      <c r="L1361" s="1490">
        <f>L$2737</f>
        <v>2028</v>
      </c>
      <c r="M1361" s="1490">
        <f>M$2737</f>
        <v>2029</v>
      </c>
      <c r="N1361" s="1490">
        <f>N$2737</f>
        <v>2030</v>
      </c>
      <c r="O1361" s="485"/>
      <c r="P1361" s="1137"/>
      <c r="Q1361" s="1137"/>
      <c r="R1361" s="1137"/>
      <c r="S1361" s="1137"/>
      <c r="T1361" s="1137"/>
      <c r="U1361" s="1137"/>
      <c r="V1361" s="1137"/>
    </row>
    <row r="1362" spans="1:22" s="562" customFormat="1" ht="12.75" hidden="1" customHeight="1">
      <c r="A1362" s="719" t="s">
        <v>2289</v>
      </c>
      <c r="B1362" s="485"/>
      <c r="C1362" s="559"/>
      <c r="D1362" s="706"/>
      <c r="E1362" s="698" t="s">
        <v>1714</v>
      </c>
      <c r="F1362" s="698"/>
      <c r="G1362" s="698"/>
      <c r="H1362" s="639" t="str">
        <f>H1348</f>
        <v>tonnes</v>
      </c>
      <c r="I1362" s="698"/>
      <c r="J1362" s="2137" t="str">
        <f t="shared" ref="J1362:N1364" si="100">I1406</f>
        <v/>
      </c>
      <c r="K1362" s="2072" t="str">
        <f t="shared" si="100"/>
        <v/>
      </c>
      <c r="L1362" s="2073" t="str">
        <f t="shared" si="100"/>
        <v/>
      </c>
      <c r="M1362" s="2073" t="str">
        <f t="shared" si="100"/>
        <v/>
      </c>
      <c r="N1362" s="2073" t="str">
        <f t="shared" si="100"/>
        <v/>
      </c>
      <c r="O1362" s="485"/>
      <c r="P1362" s="1137"/>
      <c r="Q1362" s="1137"/>
      <c r="R1362" s="1137"/>
      <c r="S1362" s="1137"/>
      <c r="T1362" s="1137"/>
      <c r="U1362" s="1137"/>
      <c r="V1362" s="1137"/>
    </row>
    <row r="1363" spans="1:22" s="562" customFormat="1" ht="12.75" hidden="1" customHeight="1">
      <c r="A1363" s="719" t="s">
        <v>2289</v>
      </c>
      <c r="B1363" s="485"/>
      <c r="C1363" s="559"/>
      <c r="D1363" s="706"/>
      <c r="E1363" s="720" t="s">
        <v>303</v>
      </c>
      <c r="F1363" s="720"/>
      <c r="G1363" s="720"/>
      <c r="H1363" s="721" t="str">
        <f>EUconst_EUA</f>
        <v>UKA</v>
      </c>
      <c r="I1363" s="722"/>
      <c r="J1363" s="2138" t="str">
        <f t="shared" si="100"/>
        <v/>
      </c>
      <c r="K1363" s="2072" t="str">
        <f t="shared" si="100"/>
        <v/>
      </c>
      <c r="L1363" s="2073" t="str">
        <f t="shared" si="100"/>
        <v/>
      </c>
      <c r="M1363" s="2073" t="str">
        <f t="shared" si="100"/>
        <v/>
      </c>
      <c r="N1363" s="2073" t="str">
        <f t="shared" si="100"/>
        <v/>
      </c>
      <c r="O1363" s="485"/>
      <c r="P1363" s="1137"/>
      <c r="Q1363" s="1137"/>
      <c r="R1363" s="1137"/>
      <c r="S1363" s="1137"/>
      <c r="T1363" s="1137"/>
      <c r="U1363" s="1137"/>
      <c r="V1363" s="1137"/>
    </row>
    <row r="1364" spans="1:22" s="562" customFormat="1" ht="12.75" hidden="1" customHeight="1">
      <c r="A1364" s="719" t="s">
        <v>2289</v>
      </c>
      <c r="B1364" s="485"/>
      <c r="C1364" s="559"/>
      <c r="D1364" s="706"/>
      <c r="E1364" s="745" t="s">
        <v>1422</v>
      </c>
      <c r="F1364" s="745"/>
      <c r="G1364" s="745"/>
      <c r="H1364" s="746" t="str">
        <f>EUconst_EUA</f>
        <v>UKA</v>
      </c>
      <c r="I1364" s="747"/>
      <c r="J1364" s="2148" t="str">
        <f t="shared" si="100"/>
        <v/>
      </c>
      <c r="K1364" s="2072" t="str">
        <f t="shared" si="100"/>
        <v/>
      </c>
      <c r="L1364" s="2073" t="str">
        <f t="shared" si="100"/>
        <v/>
      </c>
      <c r="M1364" s="2073" t="str">
        <f t="shared" si="100"/>
        <v/>
      </c>
      <c r="N1364" s="2073" t="str">
        <f t="shared" si="100"/>
        <v/>
      </c>
      <c r="O1364" s="485"/>
      <c r="P1364" s="1137"/>
      <c r="Q1364" s="1137"/>
      <c r="R1364" s="1137"/>
      <c r="S1364" s="1137"/>
      <c r="T1364" s="1137"/>
      <c r="U1364" s="1137"/>
      <c r="V1364" s="1137"/>
    </row>
    <row r="1365" spans="1:22" s="562" customFormat="1" ht="12.75" customHeight="1">
      <c r="A1365" s="719"/>
      <c r="B1365" s="485"/>
      <c r="C1365" s="559"/>
      <c r="D1365" s="706"/>
      <c r="E1365" s="720" t="s">
        <v>1691</v>
      </c>
      <c r="F1365" s="720"/>
      <c r="G1365" s="720"/>
      <c r="H1365" s="721" t="str">
        <f>EUconst_EUA</f>
        <v>UKA</v>
      </c>
      <c r="I1365" s="722"/>
      <c r="J1365" s="2151" t="str">
        <f>IF(L1300=42,INDEX(H_SpecialBM!J:J,MATCH($P1365,H_SpecialBM!$Q:$Q,0)),"")</f>
        <v/>
      </c>
      <c r="K1365" s="2072" t="str">
        <f>IF(L1300=42,INDEX(H_SpecialBM!K:K,MATCH($P1365,H_SpecialBM!$Q:$Q,0)),"")</f>
        <v/>
      </c>
      <c r="L1365" s="2073" t="str">
        <f>IF(L1300=42,INDEX(H_SpecialBM!L:L,MATCH($P1365,H_SpecialBM!$Q:$Q,0)),"")</f>
        <v/>
      </c>
      <c r="M1365" s="2073" t="str">
        <f>IF(L1300=42,INDEX(H_SpecialBM!M:M,MATCH($P1365,H_SpecialBM!$Q:$Q,0)),"")</f>
        <v/>
      </c>
      <c r="N1365" s="2073" t="str">
        <f>IF(L1300=42,INDEX(H_SpecialBM!N:N,MATCH($P1365,H_SpecialBM!$Q:$Q,0)),"")</f>
        <v/>
      </c>
      <c r="O1365" s="485"/>
      <c r="P1365" s="1158" t="str">
        <f>EUconst_CNTR_HVCInitial &amp; INDEX(EUconst_BMlistNames,42)</f>
        <v>HVCIni_Steam cracking</v>
      </c>
      <c r="Q1365" s="1137"/>
      <c r="R1365" s="1137"/>
      <c r="S1365" s="1137"/>
      <c r="T1365" s="1137"/>
      <c r="U1365" s="1137"/>
      <c r="V1365" s="1137"/>
    </row>
    <row r="1366" spans="1:22" s="562" customFormat="1" ht="12.75" customHeight="1">
      <c r="A1366" s="719"/>
      <c r="B1366" s="485"/>
      <c r="C1366" s="559"/>
      <c r="D1366" s="706"/>
      <c r="E1366" s="723" t="s">
        <v>2232</v>
      </c>
      <c r="F1366" s="723"/>
      <c r="G1366" s="723"/>
      <c r="H1366" s="751" t="s">
        <v>1021</v>
      </c>
      <c r="I1366" s="735"/>
      <c r="J1366" s="23" t="str">
        <f>IF(L1300=42,INDEX(H_SpecialBM!J:J,MATCH($P1366,H_SpecialBM!$Q:$Q,0)),"")</f>
        <v/>
      </c>
      <c r="K1366" s="46" t="str">
        <f>IF(L1300=42,INDEX(H_SpecialBM!K:K,MATCH($P1366,H_SpecialBM!$Q:$Q,0)),"")</f>
        <v/>
      </c>
      <c r="L1366" s="27" t="str">
        <f>IF(L1300=42,INDEX(H_SpecialBM!L:L,MATCH($P1366,H_SpecialBM!$Q:$Q,0)),"")</f>
        <v/>
      </c>
      <c r="M1366" s="27" t="str">
        <f>IF(L1300=42,INDEX(H_SpecialBM!M:M,MATCH($P1366,H_SpecialBM!$Q:$Q,0)),"")</f>
        <v/>
      </c>
      <c r="N1366" s="27" t="str">
        <f>IF(L1300=42,INDEX(H_SpecialBM!N:N,MATCH($P1366,H_SpecialBM!$Q:$Q,0)),"")</f>
        <v/>
      </c>
      <c r="O1366" s="485"/>
      <c r="P1366" s="1158" t="str">
        <f>EUconst_CNTR_RelThreshold &amp; P1368</f>
        <v>RelThresh_HVCprelim_</v>
      </c>
      <c r="Q1366" s="1137"/>
      <c r="R1366" s="1137"/>
      <c r="S1366" s="1137"/>
      <c r="T1366" s="1137"/>
      <c r="U1366" s="1137"/>
      <c r="V1366" s="1137"/>
    </row>
    <row r="1367" spans="1:22" s="562" customFormat="1" ht="12.75" customHeight="1">
      <c r="A1367" s="719"/>
      <c r="B1367" s="485"/>
      <c r="C1367" s="559"/>
      <c r="D1367" s="706"/>
      <c r="E1367" s="736" t="s">
        <v>1854</v>
      </c>
      <c r="F1367" s="736"/>
      <c r="G1367" s="736"/>
      <c r="H1367" s="738" t="s">
        <v>1021</v>
      </c>
      <c r="I1367" s="738"/>
      <c r="J1367" s="2145" t="str">
        <f>IF(L1300=42,INDEX(H_SpecialBM!V:V,MATCH($P1367,H_SpecialBM!$Q:$Q,0)),"")</f>
        <v/>
      </c>
      <c r="K1367" s="2134" t="str">
        <f>IF(L1300=42,INDEX(H_SpecialBM!W:W,MATCH($P1367,H_SpecialBM!$Q:$Q,0)),"")</f>
        <v/>
      </c>
      <c r="L1367" s="2135" t="str">
        <f>IF(L1300=42,INDEX(H_SpecialBM!X:X,MATCH($P1367,H_SpecialBM!$Q:$Q,0)),"")</f>
        <v/>
      </c>
      <c r="M1367" s="2135" t="str">
        <f>IF(L1300=42,INDEX(H_SpecialBM!Y:Y,MATCH($P1367,H_SpecialBM!$Q:$Q,0)),"")</f>
        <v/>
      </c>
      <c r="N1367" s="2135" t="str">
        <f>IF(L1300=42,INDEX(H_SpecialBM!Z:Z,MATCH($P1367,H_SpecialBM!$Q:$Q,0)),"")</f>
        <v/>
      </c>
      <c r="O1367" s="485"/>
      <c r="P1367" s="1158" t="str">
        <f>P1366</f>
        <v>RelThresh_HVCprelim_</v>
      </c>
      <c r="Q1367" s="1137"/>
      <c r="R1367" s="1137"/>
      <c r="S1367" s="1137"/>
      <c r="T1367" s="1137"/>
      <c r="U1367" s="1137"/>
      <c r="V1367" s="1137"/>
    </row>
    <row r="1368" spans="1:22" s="562" customFormat="1" ht="12.75" customHeight="1">
      <c r="A1368" s="719"/>
      <c r="B1368" s="485"/>
      <c r="C1368" s="559"/>
      <c r="D1368" s="706"/>
      <c r="E1368" s="727" t="s">
        <v>1689</v>
      </c>
      <c r="F1368" s="727"/>
      <c r="G1368" s="727"/>
      <c r="H1368" s="728" t="str">
        <f>EUconst_EUA</f>
        <v>UKA</v>
      </c>
      <c r="I1368" s="729"/>
      <c r="J1368" s="2152" t="str">
        <f>IF($L1300=42,INDEX(H_SpecialBM!J:J,MATCH($P1368,H_SpecialBM!$Q:$Q,0)),"")</f>
        <v/>
      </c>
      <c r="K1368" s="2072" t="str">
        <f>IF($L1300=42,INDEX(H_SpecialBM!K:K,MATCH($P1368,H_SpecialBM!$Q:$Q,0)),"")</f>
        <v/>
      </c>
      <c r="L1368" s="2073" t="str">
        <f>IF($L1300=42,INDEX(H_SpecialBM!L:L,MATCH($P1368,H_SpecialBM!$Q:$Q,0)),"")</f>
        <v/>
      </c>
      <c r="M1368" s="2073" t="str">
        <f>IF($L1300=42,INDEX(H_SpecialBM!M:M,MATCH($P1368,H_SpecialBM!$Q:$Q,0)),"")</f>
        <v/>
      </c>
      <c r="N1368" s="2073" t="str">
        <f>IF($L1300=42,INDEX(H_SpecialBM!N:N,MATCH($P1368,H_SpecialBM!$Q:$Q,0)),"")</f>
        <v/>
      </c>
      <c r="O1368" s="485"/>
      <c r="P1368" s="1158" t="str">
        <f>EUconst_CNTR_HVCprelim</f>
        <v>HVCprelim_</v>
      </c>
      <c r="Q1368" s="1137"/>
      <c r="R1368" s="1137"/>
      <c r="S1368" s="1137"/>
      <c r="T1368" s="1137"/>
      <c r="U1368" s="1137"/>
      <c r="V1368" s="1137"/>
    </row>
    <row r="1369" spans="1:22" s="562" customFormat="1" ht="12.75" hidden="1" customHeight="1">
      <c r="A1369" s="719" t="s">
        <v>2289</v>
      </c>
      <c r="B1369" s="485"/>
      <c r="C1369" s="559"/>
      <c r="D1369" s="706"/>
      <c r="E1369" s="645" t="s">
        <v>1389</v>
      </c>
      <c r="F1369" s="645"/>
      <c r="G1369" s="645"/>
      <c r="H1369" s="752" t="s">
        <v>1021</v>
      </c>
      <c r="I1369" s="753"/>
      <c r="J1369" s="2153" t="str">
        <f t="shared" ref="J1369:N1370" si="101">I1410</f>
        <v/>
      </c>
      <c r="K1369" s="2141" t="str">
        <f t="shared" si="101"/>
        <v/>
      </c>
      <c r="L1369" s="2142" t="str">
        <f t="shared" si="101"/>
        <v/>
      </c>
      <c r="M1369" s="2142" t="str">
        <f t="shared" si="101"/>
        <v/>
      </c>
      <c r="N1369" s="2142" t="str">
        <f t="shared" si="101"/>
        <v/>
      </c>
      <c r="O1369" s="485"/>
      <c r="P1369" s="1137"/>
      <c r="Q1369" s="1137"/>
      <c r="R1369" s="1137"/>
      <c r="S1369" s="1137"/>
      <c r="T1369" s="1137"/>
      <c r="U1369" s="1137"/>
      <c r="V1369" s="1137"/>
    </row>
    <row r="1370" spans="1:22" s="562" customFormat="1" ht="12.75" hidden="1" customHeight="1">
      <c r="A1370" s="719" t="s">
        <v>2289</v>
      </c>
      <c r="B1370" s="485"/>
      <c r="C1370" s="559"/>
      <c r="D1370" s="706"/>
      <c r="E1370" s="727" t="s">
        <v>1391</v>
      </c>
      <c r="F1370" s="727"/>
      <c r="G1370" s="727"/>
      <c r="H1370" s="728" t="s">
        <v>1021</v>
      </c>
      <c r="I1370" s="729"/>
      <c r="J1370" s="2143" t="str">
        <f t="shared" si="101"/>
        <v/>
      </c>
      <c r="K1370" s="2141" t="str">
        <f t="shared" si="101"/>
        <v/>
      </c>
      <c r="L1370" s="2142" t="str">
        <f t="shared" si="101"/>
        <v/>
      </c>
      <c r="M1370" s="2142" t="str">
        <f t="shared" si="101"/>
        <v/>
      </c>
      <c r="N1370" s="2142" t="str">
        <f t="shared" si="101"/>
        <v/>
      </c>
      <c r="O1370" s="485"/>
      <c r="P1370" s="1137"/>
      <c r="Q1370" s="1137"/>
      <c r="R1370" s="1137"/>
      <c r="S1370" s="1137"/>
      <c r="T1370" s="1137"/>
      <c r="U1370" s="1137"/>
      <c r="V1370" s="1137"/>
    </row>
    <row r="1371" spans="1:22" s="562" customFormat="1" ht="12.75" customHeight="1">
      <c r="A1371" s="719"/>
      <c r="B1371" s="485"/>
      <c r="C1371" s="559"/>
      <c r="D1371" s="706"/>
      <c r="E1371" s="698" t="s">
        <v>1671</v>
      </c>
      <c r="F1371" s="698"/>
      <c r="G1371" s="698"/>
      <c r="H1371" s="730" t="str">
        <f>EUconst_EUA</f>
        <v>UKA</v>
      </c>
      <c r="I1371" s="731"/>
      <c r="J1371" s="2129" t="str">
        <f>IF(J1368="","",MAX(0,ROUND((SUM($M1300)*SUM(J1362)*SUM(J1369)*SUM(J1370)-SUM(J1363)-SUM(J1364)+SUM(J1368))*IF($H1300=TRUE,1,J$2517),0)))</f>
        <v/>
      </c>
      <c r="K1371" s="2072" t="str">
        <f>IF(K1368="","",MAX(0,ROUND((SUM($M1300)*SUM(K1362)*SUM(K1369)*SUM(K1370)-SUM(K1363)-SUM(K1364)+SUM(K1368))*IF($H1300=TRUE,1,K$2517),0)))</f>
        <v/>
      </c>
      <c r="L1371" s="2073" t="str">
        <f>IF(L1368="","",MAX(0,ROUND((SUM($M1300)*SUM(L1362)*SUM(L1369)*SUM(L1370)-SUM(L1363)-SUM(L1364)+SUM(L1368))*IF($H1300=TRUE,1,L$2517),0)))</f>
        <v/>
      </c>
      <c r="M1371" s="2073" t="str">
        <f>IF(M1368="","",MAX(0,ROUND((SUM($M1300)*SUM(M1362)*SUM(M1369)*SUM(M1370)-SUM(M1363)-SUM(M1364)+SUM(M1368))*IF($H1300=TRUE,1,M$2517),0)))</f>
        <v/>
      </c>
      <c r="N1371" s="2073" t="str">
        <f>IF(N1368="","",MAX(0,ROUND((SUM($M1300)*SUM(N1362)*SUM(N1369)*SUM(N1370)-SUM(N1363)-SUM(N1364)+SUM(N1368))*IF($H1300=TRUE,1,N$2517),0)))</f>
        <v/>
      </c>
      <c r="O1371" s="485"/>
      <c r="P1371" s="1137"/>
      <c r="Q1371" s="1137"/>
      <c r="R1371" s="1137"/>
      <c r="S1371" s="1137"/>
      <c r="T1371" s="1137"/>
      <c r="U1371" s="1137"/>
      <c r="V1371" s="1137"/>
    </row>
    <row r="1372" spans="1:22" s="562" customFormat="1" ht="12.75" customHeight="1">
      <c r="A1372" s="719"/>
      <c r="B1372" s="485"/>
      <c r="C1372" s="559"/>
      <c r="D1372" s="706"/>
      <c r="E1372" s="698" t="s">
        <v>1670</v>
      </c>
      <c r="F1372" s="698"/>
      <c r="G1372" s="698"/>
      <c r="H1372" s="730" t="str">
        <f>EUconst_EUA</f>
        <v>UKA</v>
      </c>
      <c r="I1372" s="731"/>
      <c r="J1372" s="2129" t="str">
        <f>IF(J1371="","",ABS(SUM(J1371)-SUM(J1317)))</f>
        <v/>
      </c>
      <c r="K1372" s="2072" t="str">
        <f>IF(K1371="","",ABS(SUM(K1371)-SUM(K1317)))</f>
        <v/>
      </c>
      <c r="L1372" s="2073" t="str">
        <f>IF(L1371="","",ABS(SUM(L1371)-SUM(L1317)))</f>
        <v/>
      </c>
      <c r="M1372" s="2073" t="str">
        <f>IF(M1371="","",ABS(SUM(M1371)-SUM(M1317)))</f>
        <v/>
      </c>
      <c r="N1372" s="2073" t="str">
        <f>IF(N1371="","",ABS(SUM(N1371)-SUM(N1317)))</f>
        <v/>
      </c>
      <c r="O1372" s="485"/>
      <c r="P1372" s="1137"/>
      <c r="Q1372" s="1137"/>
      <c r="R1372" s="1137"/>
      <c r="S1372" s="1137"/>
      <c r="T1372" s="1137"/>
      <c r="U1372" s="1137"/>
      <c r="V1372" s="1137"/>
    </row>
    <row r="1373" spans="1:22" s="562" customFormat="1" ht="12.75" customHeight="1">
      <c r="A1373" s="719"/>
      <c r="B1373" s="485"/>
      <c r="C1373" s="559"/>
      <c r="D1373" s="706"/>
      <c r="E1373" s="740" t="s">
        <v>2133</v>
      </c>
      <c r="F1373" s="698"/>
      <c r="G1373" s="698"/>
      <c r="H1373" s="741" t="s">
        <v>1021</v>
      </c>
      <c r="I1373" s="742"/>
      <c r="J1373" s="2147" t="str">
        <f>IF(J1372="","",J1372&gt;=100)</f>
        <v/>
      </c>
      <c r="K1373" s="2134" t="str">
        <f>IF(K1372="","",K1372&gt;=100)</f>
        <v/>
      </c>
      <c r="L1373" s="2135" t="str">
        <f>IF(L1372="","",L1372&gt;=100)</f>
        <v/>
      </c>
      <c r="M1373" s="2135" t="str">
        <f>IF(M1372="","",M1372&gt;=100)</f>
        <v/>
      </c>
      <c r="N1373" s="2135" t="str">
        <f>IF(N1372="","",N1372&gt;=100)</f>
        <v/>
      </c>
      <c r="O1373" s="485"/>
      <c r="P1373" s="1158" t="str">
        <f>EUconst_CNTR_100EUA_HVC&amp;I1297</f>
        <v>EUA100HVC_</v>
      </c>
      <c r="Q1373" s="1137"/>
      <c r="R1373" s="1137"/>
      <c r="S1373" s="1137"/>
      <c r="T1373" s="1137"/>
      <c r="U1373" s="1137"/>
      <c r="V1373" s="1137"/>
    </row>
    <row r="1374" spans="1:22" s="562" customFormat="1" ht="5.0999999999999996" customHeight="1">
      <c r="A1374" s="719"/>
      <c r="B1374" s="485"/>
      <c r="C1374" s="559"/>
      <c r="D1374" s="706"/>
      <c r="E1374" s="485"/>
      <c r="F1374" s="485"/>
      <c r="G1374" s="485"/>
      <c r="H1374" s="485"/>
      <c r="I1374" s="743"/>
      <c r="J1374" s="485"/>
      <c r="K1374" s="1790"/>
      <c r="L1374" s="1791"/>
      <c r="M1374" s="1791"/>
      <c r="N1374" s="1791"/>
      <c r="O1374" s="485"/>
      <c r="P1374" s="1137"/>
      <c r="Q1374" s="1137"/>
      <c r="R1374" s="1137"/>
      <c r="S1374" s="1137"/>
      <c r="T1374" s="1137"/>
      <c r="U1374" s="1137"/>
      <c r="V1374" s="1137"/>
    </row>
    <row r="1375" spans="1:22" s="562" customFormat="1" ht="12.75" customHeight="1">
      <c r="A1375" s="719"/>
      <c r="B1375" s="485"/>
      <c r="C1375" s="559"/>
      <c r="D1375" s="706"/>
      <c r="E1375" s="707" t="s">
        <v>1756</v>
      </c>
      <c r="F1375" s="637"/>
      <c r="G1375" s="637"/>
      <c r="H1375" s="663" t="str">
        <f>EUconst_Unit</f>
        <v>Unit</v>
      </c>
      <c r="I1375" s="708"/>
      <c r="J1375" s="2132">
        <f>J$2737</f>
        <v>2026</v>
      </c>
      <c r="K1375" s="1489">
        <f>K$2737</f>
        <v>2027</v>
      </c>
      <c r="L1375" s="1490">
        <f>L$2737</f>
        <v>2028</v>
      </c>
      <c r="M1375" s="1490">
        <f>M$2737</f>
        <v>2029</v>
      </c>
      <c r="N1375" s="1490">
        <f>N$2737</f>
        <v>2030</v>
      </c>
      <c r="O1375" s="485"/>
      <c r="P1375" s="1137"/>
      <c r="Q1375" s="1137"/>
      <c r="R1375" s="1137"/>
      <c r="S1375" s="1137"/>
      <c r="T1375" s="1137"/>
      <c r="U1375" s="1137"/>
      <c r="V1375" s="1137"/>
    </row>
    <row r="1376" spans="1:22" s="562" customFormat="1" ht="12.75" hidden="1" customHeight="1">
      <c r="A1376" s="719" t="s">
        <v>2289</v>
      </c>
      <c r="B1376" s="485"/>
      <c r="C1376" s="559"/>
      <c r="D1376" s="706"/>
      <c r="E1376" s="698" t="s">
        <v>1714</v>
      </c>
      <c r="F1376" s="698"/>
      <c r="G1376" s="698"/>
      <c r="H1376" s="639" t="str">
        <f>H1362</f>
        <v>tonnes</v>
      </c>
      <c r="I1376" s="698"/>
      <c r="J1376" s="2137" t="str">
        <f t="shared" ref="J1376:N1380" si="102">I1406</f>
        <v/>
      </c>
      <c r="K1376" s="2072" t="str">
        <f t="shared" si="102"/>
        <v/>
      </c>
      <c r="L1376" s="2073" t="str">
        <f t="shared" si="102"/>
        <v/>
      </c>
      <c r="M1376" s="2073" t="str">
        <f t="shared" si="102"/>
        <v/>
      </c>
      <c r="N1376" s="2073" t="str">
        <f t="shared" si="102"/>
        <v/>
      </c>
      <c r="O1376" s="485"/>
      <c r="P1376" s="1137"/>
      <c r="Q1376" s="1137"/>
      <c r="R1376" s="1137"/>
      <c r="S1376" s="1137"/>
      <c r="T1376" s="1137"/>
      <c r="U1376" s="1137"/>
      <c r="V1376" s="1137"/>
    </row>
    <row r="1377" spans="1:22" s="562" customFormat="1" ht="12.75" hidden="1" customHeight="1">
      <c r="A1377" s="719" t="s">
        <v>2289</v>
      </c>
      <c r="B1377" s="485"/>
      <c r="C1377" s="559"/>
      <c r="D1377" s="706"/>
      <c r="E1377" s="720" t="s">
        <v>303</v>
      </c>
      <c r="F1377" s="720"/>
      <c r="G1377" s="720"/>
      <c r="H1377" s="721" t="str">
        <f>EUconst_EUA</f>
        <v>UKA</v>
      </c>
      <c r="I1377" s="722"/>
      <c r="J1377" s="2138" t="str">
        <f t="shared" si="102"/>
        <v/>
      </c>
      <c r="K1377" s="2072" t="str">
        <f t="shared" si="102"/>
        <v/>
      </c>
      <c r="L1377" s="2073" t="str">
        <f t="shared" si="102"/>
        <v/>
      </c>
      <c r="M1377" s="2073" t="str">
        <f t="shared" si="102"/>
        <v/>
      </c>
      <c r="N1377" s="2073" t="str">
        <f t="shared" si="102"/>
        <v/>
      </c>
      <c r="O1377" s="485"/>
      <c r="P1377" s="1137"/>
      <c r="Q1377" s="1137"/>
      <c r="R1377" s="1137"/>
      <c r="S1377" s="1137"/>
      <c r="T1377" s="1137"/>
      <c r="U1377" s="1137"/>
      <c r="V1377" s="1137"/>
    </row>
    <row r="1378" spans="1:22" s="562" customFormat="1" ht="12.75" hidden="1" customHeight="1">
      <c r="A1378" s="719" t="s">
        <v>2289</v>
      </c>
      <c r="B1378" s="485"/>
      <c r="C1378" s="559"/>
      <c r="D1378" s="706"/>
      <c r="E1378" s="723" t="s">
        <v>1422</v>
      </c>
      <c r="F1378" s="723"/>
      <c r="G1378" s="723"/>
      <c r="H1378" s="724" t="str">
        <f>EUconst_EUA</f>
        <v>UKA</v>
      </c>
      <c r="I1378" s="725"/>
      <c r="J1378" s="2139" t="str">
        <f t="shared" si="102"/>
        <v/>
      </c>
      <c r="K1378" s="2072" t="str">
        <f t="shared" si="102"/>
        <v/>
      </c>
      <c r="L1378" s="2073" t="str">
        <f t="shared" si="102"/>
        <v/>
      </c>
      <c r="M1378" s="2073" t="str">
        <f t="shared" si="102"/>
        <v/>
      </c>
      <c r="N1378" s="2073" t="str">
        <f t="shared" si="102"/>
        <v/>
      </c>
      <c r="O1378" s="485"/>
      <c r="P1378" s="1137"/>
      <c r="Q1378" s="1137"/>
      <c r="R1378" s="1137"/>
      <c r="S1378" s="1137"/>
      <c r="T1378" s="1137"/>
      <c r="U1378" s="1137"/>
      <c r="V1378" s="1137"/>
    </row>
    <row r="1379" spans="1:22" s="562" customFormat="1" ht="12.75" hidden="1" customHeight="1">
      <c r="A1379" s="719" t="s">
        <v>2289</v>
      </c>
      <c r="B1379" s="485"/>
      <c r="C1379" s="559"/>
      <c r="D1379" s="706"/>
      <c r="E1379" s="723" t="s">
        <v>1390</v>
      </c>
      <c r="F1379" s="723"/>
      <c r="G1379" s="723"/>
      <c r="H1379" s="724" t="str">
        <f>EUconst_EUA</f>
        <v>UKA</v>
      </c>
      <c r="I1379" s="725"/>
      <c r="J1379" s="2139" t="str">
        <f t="shared" si="102"/>
        <v/>
      </c>
      <c r="K1379" s="2072" t="str">
        <f t="shared" si="102"/>
        <v/>
      </c>
      <c r="L1379" s="2073" t="str">
        <f t="shared" si="102"/>
        <v/>
      </c>
      <c r="M1379" s="2073" t="str">
        <f t="shared" si="102"/>
        <v/>
      </c>
      <c r="N1379" s="2073" t="str">
        <f t="shared" si="102"/>
        <v/>
      </c>
      <c r="O1379" s="485"/>
      <c r="P1379" s="1137"/>
      <c r="Q1379" s="1137"/>
      <c r="R1379" s="1137"/>
      <c r="S1379" s="1137"/>
      <c r="T1379" s="1137"/>
      <c r="U1379" s="1137"/>
      <c r="V1379" s="1137"/>
    </row>
    <row r="1380" spans="1:22" s="562" customFormat="1" ht="12.75" hidden="1" customHeight="1">
      <c r="A1380" s="719" t="s">
        <v>2289</v>
      </c>
      <c r="B1380" s="485"/>
      <c r="C1380" s="559"/>
      <c r="D1380" s="706"/>
      <c r="E1380" s="745" t="s">
        <v>1389</v>
      </c>
      <c r="F1380" s="745"/>
      <c r="G1380" s="745"/>
      <c r="H1380" s="754" t="s">
        <v>1021</v>
      </c>
      <c r="I1380" s="747"/>
      <c r="J1380" s="2154" t="str">
        <f t="shared" si="102"/>
        <v/>
      </c>
      <c r="K1380" s="2141" t="str">
        <f t="shared" si="102"/>
        <v/>
      </c>
      <c r="L1380" s="2142" t="str">
        <f t="shared" si="102"/>
        <v/>
      </c>
      <c r="M1380" s="2142" t="str">
        <f t="shared" si="102"/>
        <v/>
      </c>
      <c r="N1380" s="2142" t="str">
        <f t="shared" si="102"/>
        <v/>
      </c>
      <c r="O1380" s="485"/>
      <c r="P1380" s="1137"/>
      <c r="Q1380" s="1137"/>
      <c r="R1380" s="1137"/>
      <c r="S1380" s="1137"/>
      <c r="T1380" s="1137"/>
      <c r="U1380" s="1137"/>
      <c r="V1380" s="1137"/>
    </row>
    <row r="1381" spans="1:22" s="562" customFormat="1" ht="12.75" customHeight="1">
      <c r="A1381" s="719"/>
      <c r="B1381" s="485"/>
      <c r="C1381" s="559"/>
      <c r="D1381" s="706"/>
      <c r="E1381" s="720" t="s">
        <v>1691</v>
      </c>
      <c r="F1381" s="720"/>
      <c r="G1381" s="720"/>
      <c r="H1381" s="748" t="s">
        <v>1021</v>
      </c>
      <c r="I1381" s="722"/>
      <c r="J1381" s="2149" t="str">
        <f>IF(L1300=47,INDEX(H_SpecialBM!J:J,MATCH($P1381,H_SpecialBM!$Q:$Q,0)),"")</f>
        <v/>
      </c>
      <c r="K1381" s="2141" t="str">
        <f>IF(L1300=47,INDEX(H_SpecialBM!K:K,MATCH($P1381,H_SpecialBM!$Q:$Q,0)),"")</f>
        <v/>
      </c>
      <c r="L1381" s="2142" t="str">
        <f>IF(L1300=47,INDEX(H_SpecialBM!L:L,MATCH($P1381,H_SpecialBM!$Q:$Q,0)),"")</f>
        <v/>
      </c>
      <c r="M1381" s="2142" t="str">
        <f>IF(L1300=47,INDEX(H_SpecialBM!M:M,MATCH($P1381,H_SpecialBM!$Q:$Q,0)),"")</f>
        <v/>
      </c>
      <c r="N1381" s="2142" t="str">
        <f>IF(L1300=47,INDEX(H_SpecialBM!N:N,MATCH($P1381,H_SpecialBM!$Q:$Q,0)),"")</f>
        <v/>
      </c>
      <c r="O1381" s="485"/>
      <c r="P1381" s="1158" t="str">
        <f>EUconst_CNTR_VCMInitial &amp; INDEX(EUconst_BMlistNames,47)</f>
        <v>VCMIni_Vinyl chloride monomer</v>
      </c>
      <c r="Q1381" s="1137"/>
      <c r="R1381" s="1137"/>
      <c r="S1381" s="1137"/>
      <c r="T1381" s="1137"/>
      <c r="U1381" s="1137"/>
      <c r="V1381" s="1137"/>
    </row>
    <row r="1382" spans="1:22" s="562" customFormat="1" ht="12.75" customHeight="1">
      <c r="A1382" s="719"/>
      <c r="B1382" s="485"/>
      <c r="C1382" s="559"/>
      <c r="D1382" s="706"/>
      <c r="E1382" s="723" t="s">
        <v>2232</v>
      </c>
      <c r="F1382" s="723"/>
      <c r="G1382" s="723"/>
      <c r="H1382" s="751" t="s">
        <v>1021</v>
      </c>
      <c r="I1382" s="735"/>
      <c r="J1382" s="23" t="str">
        <f>IF(L1300=47,INDEX(H_SpecialBM!J:J,MATCH($P1382,H_SpecialBM!$Q:$Q,0)),"")</f>
        <v/>
      </c>
      <c r="K1382" s="46" t="str">
        <f>IF(L1300=47,INDEX(H_SpecialBM!K:K,MATCH($P1382,H_SpecialBM!$Q:$Q,0)),"")</f>
        <v/>
      </c>
      <c r="L1382" s="27" t="str">
        <f>IF(L1300=47,INDEX(H_SpecialBM!L:L,MATCH($P1382,H_SpecialBM!$Q:$Q,0)),"")</f>
        <v/>
      </c>
      <c r="M1382" s="27" t="str">
        <f>IF(L1300=47,INDEX(H_SpecialBM!M:M,MATCH($P1382,H_SpecialBM!$Q:$Q,0)),"")</f>
        <v/>
      </c>
      <c r="N1382" s="27" t="str">
        <f>IF(L1300=47,INDEX(H_SpecialBM!N:N,MATCH($P1382,H_SpecialBM!$Q:$Q,0)),"")</f>
        <v/>
      </c>
      <c r="O1382" s="485"/>
      <c r="P1382" s="1158" t="str">
        <f>EUconst_CNTR_RelThreshold &amp; P1384</f>
        <v>RelThresh_VCMprelim_</v>
      </c>
      <c r="Q1382" s="1137"/>
      <c r="R1382" s="1137"/>
      <c r="S1382" s="1137"/>
      <c r="T1382" s="1137"/>
      <c r="U1382" s="1137"/>
      <c r="V1382" s="1137"/>
    </row>
    <row r="1383" spans="1:22" s="562" customFormat="1" ht="12.75" customHeight="1">
      <c r="A1383" s="719"/>
      <c r="B1383" s="485"/>
      <c r="C1383" s="559"/>
      <c r="D1383" s="706"/>
      <c r="E1383" s="736" t="s">
        <v>1855</v>
      </c>
      <c r="F1383" s="736"/>
      <c r="G1383" s="736"/>
      <c r="H1383" s="738" t="s">
        <v>1021</v>
      </c>
      <c r="I1383" s="738"/>
      <c r="J1383" s="2145" t="str">
        <f>IF(L1300=47,INDEX(H_SpecialBM!V:V,MATCH($P1383,H_SpecialBM!$Q:$Q,0)),"")</f>
        <v/>
      </c>
      <c r="K1383" s="2134" t="str">
        <f>IF(L1300=47,INDEX(H_SpecialBM!W:W,MATCH($P1383,H_SpecialBM!$Q:$Q,0)),"")</f>
        <v/>
      </c>
      <c r="L1383" s="2135" t="str">
        <f>IF(L1300=47,INDEX(H_SpecialBM!X:X,MATCH($P1383,H_SpecialBM!$Q:$Q,0)),"")</f>
        <v/>
      </c>
      <c r="M1383" s="2135" t="str">
        <f>IF(L1300=47,INDEX(H_SpecialBM!Y:Y,MATCH($P1383,H_SpecialBM!$Q:$Q,0)),"")</f>
        <v/>
      </c>
      <c r="N1383" s="2135" t="str">
        <f>IF(L1300=47,INDEX(H_SpecialBM!Z:Z,MATCH($P1383,H_SpecialBM!$Q:$Q,0)),"")</f>
        <v/>
      </c>
      <c r="O1383" s="485"/>
      <c r="P1383" s="1158" t="str">
        <f>P1382</f>
        <v>RelThresh_VCMprelim_</v>
      </c>
      <c r="Q1383" s="1137"/>
      <c r="R1383" s="1137"/>
      <c r="S1383" s="1137"/>
      <c r="T1383" s="1137"/>
      <c r="U1383" s="1137"/>
      <c r="V1383" s="1137"/>
    </row>
    <row r="1384" spans="1:22" s="562" customFormat="1" ht="12.75" customHeight="1">
      <c r="A1384" s="719"/>
      <c r="B1384" s="485"/>
      <c r="C1384" s="559"/>
      <c r="D1384" s="706"/>
      <c r="E1384" s="727" t="s">
        <v>1689</v>
      </c>
      <c r="F1384" s="727"/>
      <c r="G1384" s="727"/>
      <c r="H1384" s="728" t="s">
        <v>1021</v>
      </c>
      <c r="I1384" s="729"/>
      <c r="J1384" s="2150" t="str">
        <f>IF($L1300=47,IF(ISNUMBER(INDEX(H_SpecialBM!J:J,MATCH($P1384,H_SpecialBM!$Q:$Q,0))),INDEX(H_SpecialBM!J:J,MATCH($P1384,H_SpecialBM!$Q:$Q,0)),1),"")</f>
        <v/>
      </c>
      <c r="K1384" s="2141" t="str">
        <f>IF($L1300=47,IF(ISNUMBER(INDEX(H_SpecialBM!K:K,MATCH($P1384,H_SpecialBM!$Q:$Q,0))),INDEX(H_SpecialBM!K:K,MATCH($P1384,H_SpecialBM!$Q:$Q,0)),1),"")</f>
        <v/>
      </c>
      <c r="L1384" s="2142" t="str">
        <f>IF($L1300=47,IF(ISNUMBER(INDEX(H_SpecialBM!L:L,MATCH($P1384,H_SpecialBM!$Q:$Q,0))),INDEX(H_SpecialBM!L:L,MATCH($P1384,H_SpecialBM!$Q:$Q,0)),1),"")</f>
        <v/>
      </c>
      <c r="M1384" s="2142" t="str">
        <f>IF($L1300=47,IF(ISNUMBER(INDEX(H_SpecialBM!M:M,MATCH($P1384,H_SpecialBM!$Q:$Q,0))),INDEX(H_SpecialBM!M:M,MATCH($P1384,H_SpecialBM!$Q:$Q,0)),1),"")</f>
        <v/>
      </c>
      <c r="N1384" s="2142" t="str">
        <f>IF($L1300=47,IF(ISNUMBER(INDEX(H_SpecialBM!N:N,MATCH($P1384,H_SpecialBM!$Q:$Q,0))),INDEX(H_SpecialBM!N:N,MATCH($P1384,H_SpecialBM!$Q:$Q,0)),1),"")</f>
        <v/>
      </c>
      <c r="O1384" s="485"/>
      <c r="P1384" s="1158" t="str">
        <f>EUconst_CNTR_VCMprelim</f>
        <v>VCMprelim_</v>
      </c>
      <c r="Q1384" s="1137"/>
      <c r="R1384" s="1137"/>
      <c r="S1384" s="1137"/>
      <c r="T1384" s="1137"/>
      <c r="U1384" s="1137"/>
      <c r="V1384" s="1137"/>
    </row>
    <row r="1385" spans="1:22" s="562" customFormat="1" ht="12.75" customHeight="1">
      <c r="A1385" s="719"/>
      <c r="B1385" s="485"/>
      <c r="C1385" s="559"/>
      <c r="D1385" s="706"/>
      <c r="E1385" s="698" t="s">
        <v>1671</v>
      </c>
      <c r="F1385" s="698"/>
      <c r="G1385" s="698"/>
      <c r="H1385" s="730" t="str">
        <f>EUconst_EUA</f>
        <v>UKA</v>
      </c>
      <c r="I1385" s="731"/>
      <c r="J1385" s="2129" t="str">
        <f>IF(J1384="","",MAX(0,ROUND((SUM($M1300)*SUM(J1376)*SUM(J1380)*SUM(J1384)-SUM(J1377)-SUM(J1378)+SUM(J1379))*IF($H1300=TRUE,1,J$2517),0)))</f>
        <v/>
      </c>
      <c r="K1385" s="2072" t="str">
        <f>IF(K1384="","",MAX(0,ROUND((SUM($M1300)*SUM(K1376)*SUM(K1380)*SUM(K1384)-SUM(K1377)-SUM(K1378)+SUM(K1379))*IF($H1300=TRUE,1,K$2517),0)))</f>
        <v/>
      </c>
      <c r="L1385" s="2073" t="str">
        <f>IF(L1384="","",MAX(0,ROUND((SUM($M1300)*SUM(L1376)*SUM(L1380)*SUM(L1384)-SUM(L1377)-SUM(L1378)+SUM(L1379))*IF($H1300=TRUE,1,L$2517),0)))</f>
        <v/>
      </c>
      <c r="M1385" s="2073" t="str">
        <f>IF(M1384="","",MAX(0,ROUND((SUM($M1300)*SUM(M1376)*SUM(M1380)*SUM(M1384)-SUM(M1377)-SUM(M1378)+SUM(M1379))*IF($H1300=TRUE,1,M$2517),0)))</f>
        <v/>
      </c>
      <c r="N1385" s="2073" t="str">
        <f>IF(N1384="","",MAX(0,ROUND((SUM($M1300)*SUM(N1376)*SUM(N1380)*SUM(N1384)-SUM(N1377)-SUM(N1378)+SUM(N1379))*IF($H1300=TRUE,1,N$2517),0)))</f>
        <v/>
      </c>
      <c r="O1385" s="485"/>
      <c r="P1385" s="1137"/>
      <c r="Q1385" s="1137"/>
      <c r="R1385" s="1137"/>
      <c r="S1385" s="1137"/>
      <c r="T1385" s="1137"/>
      <c r="U1385" s="1137"/>
      <c r="V1385" s="1137"/>
    </row>
    <row r="1386" spans="1:22" s="562" customFormat="1" ht="12.75" customHeight="1">
      <c r="A1386" s="719"/>
      <c r="B1386" s="485"/>
      <c r="C1386" s="559"/>
      <c r="D1386" s="706"/>
      <c r="E1386" s="698" t="s">
        <v>1670</v>
      </c>
      <c r="F1386" s="698"/>
      <c r="G1386" s="698"/>
      <c r="H1386" s="730" t="str">
        <f>EUconst_EUA</f>
        <v>UKA</v>
      </c>
      <c r="I1386" s="731"/>
      <c r="J1386" s="2129" t="str">
        <f>IF(J1385="","",ABS(SUM(J1385)-SUM(J1317)))</f>
        <v/>
      </c>
      <c r="K1386" s="2072" t="str">
        <f>IF(K1385="","",ABS(SUM(K1385)-SUM(K1317)))</f>
        <v/>
      </c>
      <c r="L1386" s="2073" t="str">
        <f>IF(L1385="","",ABS(SUM(L1385)-SUM(L1317)))</f>
        <v/>
      </c>
      <c r="M1386" s="2073" t="str">
        <f>IF(M1385="","",ABS(SUM(M1385)-SUM(M1317)))</f>
        <v/>
      </c>
      <c r="N1386" s="2073" t="str">
        <f>IF(N1385="","",ABS(SUM(N1385)-SUM(N1317)))</f>
        <v/>
      </c>
      <c r="O1386" s="485"/>
      <c r="P1386" s="1137"/>
      <c r="Q1386" s="1137"/>
      <c r="R1386" s="1137"/>
      <c r="S1386" s="1137"/>
      <c r="T1386" s="1137"/>
      <c r="U1386" s="1137"/>
      <c r="V1386" s="1137"/>
    </row>
    <row r="1387" spans="1:22" s="562" customFormat="1" ht="12.75" customHeight="1">
      <c r="A1387" s="719"/>
      <c r="B1387" s="485"/>
      <c r="C1387" s="559"/>
      <c r="D1387" s="706"/>
      <c r="E1387" s="740" t="s">
        <v>2134</v>
      </c>
      <c r="F1387" s="698"/>
      <c r="G1387" s="698"/>
      <c r="H1387" s="741" t="s">
        <v>1021</v>
      </c>
      <c r="I1387" s="742"/>
      <c r="J1387" s="2147" t="str">
        <f>IF(J1386="","",J1386&gt;=100)</f>
        <v/>
      </c>
      <c r="K1387" s="2134" t="str">
        <f>IF(K1386="","",K1386&gt;=100)</f>
        <v/>
      </c>
      <c r="L1387" s="2135" t="str">
        <f>IF(L1386="","",L1386&gt;=100)</f>
        <v/>
      </c>
      <c r="M1387" s="2135" t="str">
        <f>IF(M1386="","",M1386&gt;=100)</f>
        <v/>
      </c>
      <c r="N1387" s="2135" t="str">
        <f>IF(N1386="","",N1386&gt;=100)</f>
        <v/>
      </c>
      <c r="O1387" s="485"/>
      <c r="P1387" s="1158" t="str">
        <f>EUconst_CNTR_100EUA_VCM&amp;I1324</f>
        <v>EUA100VCM_</v>
      </c>
      <c r="Q1387" s="1137"/>
      <c r="R1387" s="1137"/>
      <c r="S1387" s="1137"/>
      <c r="T1387" s="1137"/>
      <c r="U1387" s="1137"/>
      <c r="V1387" s="1137"/>
    </row>
    <row r="1388" spans="1:22" s="562" customFormat="1" ht="5.0999999999999996" customHeight="1">
      <c r="A1388" s="719"/>
      <c r="B1388" s="485"/>
      <c r="C1388" s="559"/>
      <c r="D1388" s="706"/>
      <c r="E1388" s="485"/>
      <c r="F1388" s="485"/>
      <c r="G1388" s="485"/>
      <c r="H1388" s="485"/>
      <c r="I1388" s="743"/>
      <c r="J1388" s="485"/>
      <c r="K1388" s="1790"/>
      <c r="L1388" s="1791"/>
      <c r="M1388" s="1791"/>
      <c r="N1388" s="1791"/>
      <c r="O1388" s="485"/>
      <c r="P1388" s="1137"/>
      <c r="Q1388" s="1137"/>
      <c r="R1388" s="1137"/>
      <c r="S1388" s="1137"/>
      <c r="T1388" s="1137"/>
      <c r="U1388" s="1137"/>
      <c r="V1388" s="1137"/>
    </row>
    <row r="1389" spans="1:22" s="562" customFormat="1" ht="12.75" customHeight="1">
      <c r="A1389" s="719"/>
      <c r="B1389" s="485"/>
      <c r="C1389" s="559"/>
      <c r="D1389" s="706"/>
      <c r="E1389" s="707" t="s">
        <v>1757</v>
      </c>
      <c r="F1389" s="637"/>
      <c r="G1389" s="637"/>
      <c r="H1389" s="663" t="str">
        <f>EUconst_Unit</f>
        <v>Unit</v>
      </c>
      <c r="I1389" s="708"/>
      <c r="J1389" s="2132">
        <f>J$2737</f>
        <v>2026</v>
      </c>
      <c r="K1389" s="1489">
        <f>K$2737</f>
        <v>2027</v>
      </c>
      <c r="L1389" s="1490">
        <f>L$2737</f>
        <v>2028</v>
      </c>
      <c r="M1389" s="1490">
        <f>M$2737</f>
        <v>2029</v>
      </c>
      <c r="N1389" s="1490">
        <f>N$2737</f>
        <v>2030</v>
      </c>
      <c r="O1389" s="485"/>
      <c r="P1389" s="1137"/>
      <c r="Q1389" s="1137"/>
      <c r="R1389" s="1137"/>
      <c r="S1389" s="1137"/>
      <c r="T1389" s="1137"/>
      <c r="U1389" s="1137"/>
      <c r="V1389" s="1137"/>
    </row>
    <row r="1390" spans="1:22" s="562" customFormat="1" ht="12.75" hidden="1" customHeight="1">
      <c r="A1390" s="719" t="s">
        <v>2289</v>
      </c>
      <c r="B1390" s="485"/>
      <c r="C1390" s="559"/>
      <c r="D1390" s="706"/>
      <c r="E1390" s="698" t="s">
        <v>1714</v>
      </c>
      <c r="F1390" s="698"/>
      <c r="G1390" s="698"/>
      <c r="H1390" s="639" t="str">
        <f>H1376</f>
        <v>tonnes</v>
      </c>
      <c r="I1390" s="698"/>
      <c r="J1390" s="2137" t="str">
        <f t="shared" ref="J1390:N1391" si="103">I1406</f>
        <v/>
      </c>
      <c r="K1390" s="2072" t="str">
        <f t="shared" si="103"/>
        <v/>
      </c>
      <c r="L1390" s="2073" t="str">
        <f t="shared" si="103"/>
        <v/>
      </c>
      <c r="M1390" s="2073" t="str">
        <f t="shared" si="103"/>
        <v/>
      </c>
      <c r="N1390" s="2073" t="str">
        <f t="shared" si="103"/>
        <v/>
      </c>
      <c r="O1390" s="485"/>
      <c r="P1390" s="1137"/>
      <c r="Q1390" s="1137"/>
      <c r="R1390" s="1137"/>
      <c r="S1390" s="1137"/>
      <c r="T1390" s="1137"/>
      <c r="U1390" s="1137"/>
      <c r="V1390" s="1137"/>
    </row>
    <row r="1391" spans="1:22" s="562" customFormat="1" ht="12.75" hidden="1" customHeight="1">
      <c r="A1391" s="719" t="s">
        <v>2289</v>
      </c>
      <c r="B1391" s="485"/>
      <c r="C1391" s="559"/>
      <c r="D1391" s="706"/>
      <c r="E1391" s="720" t="s">
        <v>303</v>
      </c>
      <c r="F1391" s="720"/>
      <c r="G1391" s="720"/>
      <c r="H1391" s="721" t="str">
        <f>EUconst_EUA</f>
        <v>UKA</v>
      </c>
      <c r="I1391" s="722"/>
      <c r="J1391" s="2138" t="str">
        <f t="shared" si="103"/>
        <v/>
      </c>
      <c r="K1391" s="2072" t="str">
        <f t="shared" si="103"/>
        <v/>
      </c>
      <c r="L1391" s="2073" t="str">
        <f t="shared" si="103"/>
        <v/>
      </c>
      <c r="M1391" s="2073" t="str">
        <f t="shared" si="103"/>
        <v/>
      </c>
      <c r="N1391" s="2073" t="str">
        <f t="shared" si="103"/>
        <v/>
      </c>
      <c r="O1391" s="485"/>
      <c r="P1391" s="1137"/>
      <c r="Q1391" s="1137"/>
      <c r="R1391" s="1137"/>
      <c r="S1391" s="1137"/>
      <c r="T1391" s="1137"/>
      <c r="U1391" s="1137"/>
      <c r="V1391" s="1137"/>
    </row>
    <row r="1392" spans="1:22" s="562" customFormat="1" ht="12.75" customHeight="1">
      <c r="A1392" s="719"/>
      <c r="B1392" s="485"/>
      <c r="C1392" s="559"/>
      <c r="D1392" s="706"/>
      <c r="E1392" s="720" t="s">
        <v>1691</v>
      </c>
      <c r="F1392" s="720"/>
      <c r="G1392" s="720"/>
      <c r="H1392" s="748" t="str">
        <f>EUconst_tCO2</f>
        <v>t CO2</v>
      </c>
      <c r="I1392" s="722"/>
      <c r="J1392" s="2144" t="str">
        <f>INDEX(F_ProductBM!J:J,MATCH($P1392,F_ProductBM!$Q:$Q,0))</f>
        <v/>
      </c>
      <c r="K1392" s="2072" t="str">
        <f>INDEX(F_ProductBM!K:K,MATCH($P1392,F_ProductBM!$Q:$Q,0))</f>
        <v/>
      </c>
      <c r="L1392" s="2073" t="str">
        <f>INDEX(F_ProductBM!L:L,MATCH($P1392,F_ProductBM!$Q:$Q,0))</f>
        <v/>
      </c>
      <c r="M1392" s="2073" t="str">
        <f>INDEX(F_ProductBM!M:M,MATCH($P1392,F_ProductBM!$Q:$Q,0))</f>
        <v/>
      </c>
      <c r="N1392" s="2073" t="str">
        <f>INDEX(F_ProductBM!N:N,MATCH($P1392,F_ProductBM!$Q:$Q,0))</f>
        <v/>
      </c>
      <c r="O1392" s="485"/>
      <c r="P1392" s="1158" t="str">
        <f>EUconst_CNTR_HALinitial &amp; EUconst_CNTR_WGFlared &amp; I1297</f>
        <v>HALini_WasteGasFlare_</v>
      </c>
      <c r="Q1392" s="1137"/>
      <c r="R1392" s="1137"/>
      <c r="S1392" s="1137"/>
      <c r="T1392" s="1137"/>
      <c r="U1392" s="1137"/>
      <c r="V1392" s="1137"/>
    </row>
    <row r="1393" spans="1:22" s="562" customFormat="1" ht="12.75" customHeight="1">
      <c r="A1393" s="719"/>
      <c r="B1393" s="485"/>
      <c r="C1393" s="559"/>
      <c r="D1393" s="706"/>
      <c r="E1393" s="723" t="s">
        <v>2232</v>
      </c>
      <c r="F1393" s="723"/>
      <c r="G1393" s="723"/>
      <c r="H1393" s="734" t="s">
        <v>1021</v>
      </c>
      <c r="I1393" s="735"/>
      <c r="J1393" s="23" t="str">
        <f>INDEX(F_ProductBM!J:J,MATCH($P1393,F_ProductBM!$Q:$Q,0))</f>
        <v/>
      </c>
      <c r="K1393" s="46" t="str">
        <f>INDEX(F_ProductBM!K:K,MATCH($P1393,F_ProductBM!$Q:$Q,0))</f>
        <v/>
      </c>
      <c r="L1393" s="27" t="str">
        <f>INDEX(F_ProductBM!L:L,MATCH($P1393,F_ProductBM!$Q:$Q,0))</f>
        <v/>
      </c>
      <c r="M1393" s="27" t="str">
        <f>INDEX(F_ProductBM!M:M,MATCH($P1393,F_ProductBM!$Q:$Q,0))</f>
        <v/>
      </c>
      <c r="N1393" s="27" t="str">
        <f>INDEX(F_ProductBM!N:N,MATCH($P1393,F_ProductBM!$Q:$Q,0))</f>
        <v/>
      </c>
      <c r="O1393" s="485"/>
      <c r="P1393" s="1158" t="str">
        <f>EUconst_CNTR_RelThreshold &amp; P1395</f>
        <v>RelThresh_HALprelim_WasteGasFlare_</v>
      </c>
      <c r="Q1393" s="1137"/>
      <c r="R1393" s="1137"/>
      <c r="S1393" s="1137"/>
      <c r="T1393" s="1137"/>
      <c r="U1393" s="1137"/>
      <c r="V1393" s="1137"/>
    </row>
    <row r="1394" spans="1:22" s="562" customFormat="1" ht="12.75" customHeight="1">
      <c r="A1394" s="719"/>
      <c r="B1394" s="485"/>
      <c r="C1394" s="559"/>
      <c r="D1394" s="706"/>
      <c r="E1394" s="736" t="s">
        <v>1856</v>
      </c>
      <c r="F1394" s="736"/>
      <c r="G1394" s="736"/>
      <c r="H1394" s="737" t="s">
        <v>1021</v>
      </c>
      <c r="I1394" s="738"/>
      <c r="J1394" s="2145" t="str">
        <f>INDEX(F_ProductBM!V:V,MATCH($P1394,F_ProductBM!$Q:$Q,0))</f>
        <v/>
      </c>
      <c r="K1394" s="2134" t="str">
        <f>INDEX(F_ProductBM!W:W,MATCH($P1394,F_ProductBM!$Q:$Q,0))</f>
        <v/>
      </c>
      <c r="L1394" s="2135" t="str">
        <f>INDEX(F_ProductBM!X:X,MATCH($P1394,F_ProductBM!$Q:$Q,0))</f>
        <v/>
      </c>
      <c r="M1394" s="2135" t="str">
        <f>INDEX(F_ProductBM!Y:Y,MATCH($P1394,F_ProductBM!$Q:$Q,0))</f>
        <v/>
      </c>
      <c r="N1394" s="2135" t="str">
        <f>INDEX(F_ProductBM!Z:Z,MATCH($P1394,F_ProductBM!$Q:$Q,0))</f>
        <v/>
      </c>
      <c r="O1394" s="485"/>
      <c r="P1394" s="1158" t="str">
        <f>P1393</f>
        <v>RelThresh_HALprelim_WasteGasFlare_</v>
      </c>
      <c r="Q1394" s="1137"/>
      <c r="R1394" s="1137"/>
      <c r="S1394" s="1137"/>
      <c r="T1394" s="1137"/>
      <c r="U1394" s="1137"/>
      <c r="V1394" s="1137"/>
    </row>
    <row r="1395" spans="1:22" s="562" customFormat="1" ht="12.75" customHeight="1">
      <c r="A1395" s="719"/>
      <c r="B1395" s="485"/>
      <c r="C1395" s="559"/>
      <c r="D1395" s="706"/>
      <c r="E1395" s="727" t="s">
        <v>1689</v>
      </c>
      <c r="F1395" s="727"/>
      <c r="G1395" s="727"/>
      <c r="H1395" s="728" t="str">
        <f>EUconst_tCO2</f>
        <v>t CO2</v>
      </c>
      <c r="I1395" s="729"/>
      <c r="J1395" s="2146" t="str">
        <f>IF(OR($I1297="",CNTR_SubPeriod=1),"",INDEX(F_ProductBM!J:J,MATCH($P1395,F_ProductBM!$Q:$Q,0)))</f>
        <v/>
      </c>
      <c r="K1395" s="2072" t="str">
        <f>IF(OR($I1297="",CNTR_SubPeriod=1),"",INDEX(F_ProductBM!K:K,MATCH($P1395,F_ProductBM!$Q:$Q,0)))</f>
        <v/>
      </c>
      <c r="L1395" s="2073" t="str">
        <f>IF(OR($I1297="",CNTR_SubPeriod=1),"",INDEX(F_ProductBM!L:L,MATCH($P1395,F_ProductBM!$Q:$Q,0)))</f>
        <v/>
      </c>
      <c r="M1395" s="2073" t="str">
        <f>IF(OR($I1297="",CNTR_SubPeriod=1),"",INDEX(F_ProductBM!M:M,MATCH($P1395,F_ProductBM!$Q:$Q,0)))</f>
        <v/>
      </c>
      <c r="N1395" s="2073" t="str">
        <f>IF(OR($I1297="",CNTR_SubPeriod=1),"",INDEX(F_ProductBM!N:N,MATCH($P1395,F_ProductBM!$Q:$Q,0)))</f>
        <v/>
      </c>
      <c r="O1395" s="485"/>
      <c r="P1395" s="1158" t="str">
        <f>EUconst_CNTR_HALprelim&amp;EUconst_CNTR_WGFlared&amp;$I1297</f>
        <v>HALprelim_WasteGasFlare_</v>
      </c>
      <c r="Q1395" s="1137"/>
      <c r="R1395" s="1137"/>
      <c r="S1395" s="1137"/>
      <c r="T1395" s="1137"/>
      <c r="U1395" s="1137"/>
      <c r="V1395" s="1137"/>
    </row>
    <row r="1396" spans="1:22" s="562" customFormat="1" ht="12.75" hidden="1" customHeight="1">
      <c r="A1396" s="719" t="s">
        <v>2289</v>
      </c>
      <c r="B1396" s="485"/>
      <c r="C1396" s="559"/>
      <c r="D1396" s="706"/>
      <c r="E1396" s="723" t="s">
        <v>1390</v>
      </c>
      <c r="F1396" s="723"/>
      <c r="G1396" s="723"/>
      <c r="H1396" s="724" t="str">
        <f>EUconst_EUA</f>
        <v>UKA</v>
      </c>
      <c r="I1396" s="725"/>
      <c r="J1396" s="2139" t="str">
        <f t="shared" ref="J1396:N1398" si="104">I1409</f>
        <v/>
      </c>
      <c r="K1396" s="2072" t="str">
        <f t="shared" si="104"/>
        <v/>
      </c>
      <c r="L1396" s="2073" t="str">
        <f t="shared" si="104"/>
        <v/>
      </c>
      <c r="M1396" s="2073" t="str">
        <f t="shared" si="104"/>
        <v/>
      </c>
      <c r="N1396" s="2073" t="str">
        <f t="shared" si="104"/>
        <v/>
      </c>
      <c r="O1396" s="485"/>
      <c r="P1396" s="1137"/>
      <c r="Q1396" s="1137"/>
      <c r="R1396" s="1137"/>
      <c r="S1396" s="1137"/>
      <c r="T1396" s="1137"/>
      <c r="U1396" s="1137"/>
      <c r="V1396" s="1137"/>
    </row>
    <row r="1397" spans="1:22" s="562" customFormat="1" ht="12.75" hidden="1" customHeight="1">
      <c r="A1397" s="719" t="s">
        <v>2289</v>
      </c>
      <c r="B1397" s="485"/>
      <c r="C1397" s="559"/>
      <c r="D1397" s="706"/>
      <c r="E1397" s="723" t="s">
        <v>1389</v>
      </c>
      <c r="F1397" s="723"/>
      <c r="G1397" s="723"/>
      <c r="H1397" s="726" t="s">
        <v>1021</v>
      </c>
      <c r="I1397" s="725"/>
      <c r="J1397" s="2140" t="str">
        <f t="shared" si="104"/>
        <v/>
      </c>
      <c r="K1397" s="2141" t="str">
        <f t="shared" si="104"/>
        <v/>
      </c>
      <c r="L1397" s="2142" t="str">
        <f t="shared" si="104"/>
        <v/>
      </c>
      <c r="M1397" s="2142" t="str">
        <f t="shared" si="104"/>
        <v/>
      </c>
      <c r="N1397" s="2142" t="str">
        <f t="shared" si="104"/>
        <v/>
      </c>
      <c r="O1397" s="485"/>
      <c r="P1397" s="1137"/>
      <c r="Q1397" s="1137"/>
      <c r="R1397" s="1137"/>
      <c r="S1397" s="1137"/>
      <c r="T1397" s="1137"/>
      <c r="U1397" s="1137"/>
      <c r="V1397" s="1137"/>
    </row>
    <row r="1398" spans="1:22" s="562" customFormat="1" ht="12.75" hidden="1" customHeight="1">
      <c r="A1398" s="719" t="s">
        <v>2289</v>
      </c>
      <c r="B1398" s="485"/>
      <c r="C1398" s="559"/>
      <c r="D1398" s="706"/>
      <c r="E1398" s="727" t="s">
        <v>1391</v>
      </c>
      <c r="F1398" s="727"/>
      <c r="G1398" s="727"/>
      <c r="H1398" s="728" t="s">
        <v>1021</v>
      </c>
      <c r="I1398" s="729"/>
      <c r="J1398" s="2143" t="str">
        <f t="shared" si="104"/>
        <v/>
      </c>
      <c r="K1398" s="2141" t="str">
        <f t="shared" si="104"/>
        <v/>
      </c>
      <c r="L1398" s="2142" t="str">
        <f t="shared" si="104"/>
        <v/>
      </c>
      <c r="M1398" s="2142" t="str">
        <f t="shared" si="104"/>
        <v/>
      </c>
      <c r="N1398" s="2142" t="str">
        <f t="shared" si="104"/>
        <v/>
      </c>
      <c r="O1398" s="485"/>
      <c r="P1398" s="1137"/>
      <c r="Q1398" s="1137"/>
      <c r="R1398" s="1137"/>
      <c r="S1398" s="1137"/>
      <c r="T1398" s="1137"/>
      <c r="U1398" s="1137"/>
      <c r="V1398" s="1137"/>
    </row>
    <row r="1399" spans="1:22" s="562" customFormat="1" ht="12.75" customHeight="1">
      <c r="A1399" s="719"/>
      <c r="B1399" s="485"/>
      <c r="C1399" s="559"/>
      <c r="D1399" s="706"/>
      <c r="E1399" s="698" t="s">
        <v>1671</v>
      </c>
      <c r="F1399" s="698"/>
      <c r="G1399" s="698"/>
      <c r="H1399" s="730" t="str">
        <f>EUconst_EUA</f>
        <v>UKA</v>
      </c>
      <c r="I1399" s="731"/>
      <c r="J1399" s="2129" t="str">
        <f>IF(J1395="","",MAX(0,ROUND((SUM($M1300)*SUM(J1390)*SUM(J1397)*SUM(J1398)-SUM(J1391)-SUM(J1395)+SUM(J1396))*IF($H1300=TRUE,1,J$2517),0)))</f>
        <v/>
      </c>
      <c r="K1399" s="2072" t="str">
        <f>IF(K1395="","",MAX(0,ROUND((SUM($M1300)*SUM(K1390)*SUM(K1397)*SUM(K1398)-SUM(K1391)-SUM(K1395)+SUM(K1396))*IF($H1300=TRUE,1,K$2517),0)))</f>
        <v/>
      </c>
      <c r="L1399" s="2073" t="str">
        <f>IF(L1395="","",MAX(0,ROUND((SUM($M1300)*SUM(L1390)*SUM(L1397)*SUM(L1398)-SUM(L1391)-SUM(L1395)+SUM(L1396))*IF($H1300=TRUE,1,L$2517),0)))</f>
        <v/>
      </c>
      <c r="M1399" s="2073" t="str">
        <f>IF(M1395="","",MAX(0,ROUND((SUM($M1300)*SUM(M1390)*SUM(M1397)*SUM(M1398)-SUM(M1391)-SUM(M1395)+SUM(M1396))*IF($H1300=TRUE,1,M$2517),0)))</f>
        <v/>
      </c>
      <c r="N1399" s="2073" t="str">
        <f>IF(N1395="","",MAX(0,ROUND((SUM($M1300)*SUM(N1390)*SUM(N1397)*SUM(N1398)-SUM(N1391)-SUM(N1395)+SUM(N1396))*IF($H1300=TRUE,1,N$2517),0)))</f>
        <v/>
      </c>
      <c r="O1399" s="485"/>
      <c r="P1399" s="1137"/>
      <c r="Q1399" s="1137"/>
      <c r="R1399" s="1137"/>
      <c r="S1399" s="1137"/>
      <c r="T1399" s="1137"/>
      <c r="U1399" s="1137"/>
      <c r="V1399" s="1137"/>
    </row>
    <row r="1400" spans="1:22" s="562" customFormat="1" ht="12.75" customHeight="1">
      <c r="A1400" s="719"/>
      <c r="B1400" s="485"/>
      <c r="C1400" s="559"/>
      <c r="D1400" s="706"/>
      <c r="E1400" s="698" t="s">
        <v>1670</v>
      </c>
      <c r="F1400" s="698"/>
      <c r="G1400" s="698"/>
      <c r="H1400" s="730" t="str">
        <f>EUconst_EUA</f>
        <v>UKA</v>
      </c>
      <c r="I1400" s="731"/>
      <c r="J1400" s="2129" t="str">
        <f>IF(J1399="","",ABS(SUM(J1399)-SUM(J1317)))</f>
        <v/>
      </c>
      <c r="K1400" s="2072" t="str">
        <f>IF(K1399="","",ABS(SUM(K1399)-SUM(K1317)))</f>
        <v/>
      </c>
      <c r="L1400" s="2073" t="str">
        <f>IF(L1399="","",ABS(SUM(L1399)-SUM(L1317)))</f>
        <v/>
      </c>
      <c r="M1400" s="2073" t="str">
        <f>IF(M1399="","",ABS(SUM(M1399)-SUM(M1317)))</f>
        <v/>
      </c>
      <c r="N1400" s="2073" t="str">
        <f>IF(N1399="","",ABS(SUM(N1399)-SUM(N1317)))</f>
        <v/>
      </c>
      <c r="O1400" s="485"/>
      <c r="P1400" s="1137"/>
      <c r="Q1400" s="1137"/>
      <c r="R1400" s="1137"/>
      <c r="S1400" s="1137"/>
      <c r="T1400" s="1137"/>
      <c r="U1400" s="1137"/>
      <c r="V1400" s="1137"/>
    </row>
    <row r="1401" spans="1:22" s="562" customFormat="1" ht="12.75" customHeight="1">
      <c r="A1401" s="719"/>
      <c r="B1401" s="485"/>
      <c r="C1401" s="559"/>
      <c r="D1401" s="706"/>
      <c r="E1401" s="740" t="s">
        <v>2135</v>
      </c>
      <c r="F1401" s="698"/>
      <c r="G1401" s="698"/>
      <c r="H1401" s="741" t="s">
        <v>1021</v>
      </c>
      <c r="I1401" s="742"/>
      <c r="J1401" s="2147" t="str">
        <f>IF(J1400="","",J1400&gt;=100)</f>
        <v/>
      </c>
      <c r="K1401" s="2134" t="str">
        <f>IF(K1400="","",K1400&gt;=100)</f>
        <v/>
      </c>
      <c r="L1401" s="2135" t="str">
        <f>IF(L1400="","",L1400&gt;=100)</f>
        <v/>
      </c>
      <c r="M1401" s="2135" t="str">
        <f>IF(M1400="","",M1400&gt;=100)</f>
        <v/>
      </c>
      <c r="N1401" s="2135" t="str">
        <f>IF(N1400="","",N1400&gt;=100)</f>
        <v/>
      </c>
      <c r="O1401" s="485"/>
      <c r="P1401" s="1158" t="str">
        <f>EUconst_CNTR_100EUA_WGFlare&amp;I1297</f>
        <v>EUA100WGFlare_</v>
      </c>
      <c r="Q1401" s="1137"/>
      <c r="R1401" s="1137"/>
      <c r="S1401" s="1137"/>
      <c r="T1401" s="1137"/>
      <c r="U1401" s="1137"/>
      <c r="V1401" s="1137"/>
    </row>
    <row r="1402" spans="1:22" s="562" customFormat="1" ht="12.75" customHeight="1" thickBot="1">
      <c r="A1402" s="719"/>
      <c r="B1402" s="485"/>
      <c r="C1402" s="559"/>
      <c r="D1402" s="755"/>
      <c r="E1402" s="756"/>
      <c r="F1402" s="756"/>
      <c r="G1402" s="756"/>
      <c r="H1402" s="756"/>
      <c r="I1402" s="757"/>
      <c r="J1402" s="756"/>
      <c r="K1402" s="1790"/>
      <c r="L1402" s="1791"/>
      <c r="M1402" s="1791"/>
      <c r="N1402" s="1791"/>
      <c r="O1402" s="485"/>
      <c r="P1402" s="1137"/>
      <c r="Q1402" s="1137"/>
      <c r="R1402" s="1137"/>
      <c r="S1402" s="1137"/>
      <c r="T1402" s="1137"/>
      <c r="U1402" s="1137"/>
      <c r="V1402" s="1137"/>
    </row>
    <row r="1403" spans="1:22" s="562" customFormat="1" ht="5.0999999999999996" customHeight="1" thickBot="1">
      <c r="A1403" s="817"/>
      <c r="B1403" s="485"/>
      <c r="C1403" s="559"/>
      <c r="D1403" s="559"/>
      <c r="E1403" s="485"/>
      <c r="F1403" s="485"/>
      <c r="G1403" s="485"/>
      <c r="H1403" s="485"/>
      <c r="I1403" s="743"/>
      <c r="J1403" s="485"/>
      <c r="K1403" s="1790"/>
      <c r="L1403" s="1791"/>
      <c r="M1403" s="1791"/>
      <c r="N1403" s="1791"/>
      <c r="O1403" s="485"/>
      <c r="P1403" s="1137"/>
      <c r="Q1403" s="1137"/>
      <c r="R1403" s="1137"/>
      <c r="S1403" s="1137"/>
      <c r="T1403" s="1137"/>
      <c r="U1403" s="1137"/>
      <c r="V1403" s="1137"/>
    </row>
    <row r="1404" spans="1:22" s="562" customFormat="1" ht="5.0999999999999996" customHeight="1">
      <c r="A1404" s="817"/>
      <c r="B1404" s="485"/>
      <c r="C1404" s="485"/>
      <c r="D1404" s="759"/>
      <c r="E1404" s="760"/>
      <c r="F1404" s="760"/>
      <c r="G1404" s="760"/>
      <c r="H1404" s="760"/>
      <c r="I1404" s="761"/>
      <c r="J1404" s="760"/>
      <c r="K1404" s="1790"/>
      <c r="L1404" s="1791"/>
      <c r="M1404" s="1791"/>
      <c r="N1404" s="1791"/>
      <c r="O1404" s="485"/>
      <c r="P1404" s="1137"/>
      <c r="Q1404" s="1137"/>
      <c r="R1404" s="1137"/>
      <c r="S1404" s="1137"/>
      <c r="T1404" s="1117"/>
      <c r="U1404" s="1137"/>
      <c r="V1404" s="1137"/>
    </row>
    <row r="1405" spans="1:22" s="562" customFormat="1">
      <c r="A1405" s="817"/>
      <c r="B1405" s="485"/>
      <c r="C1405" s="485"/>
      <c r="D1405" s="539"/>
      <c r="E1405" s="496" t="s">
        <v>1786</v>
      </c>
      <c r="F1405" s="485"/>
      <c r="G1405" s="485"/>
      <c r="H1405" s="663" t="str">
        <f>EUconst_Unit</f>
        <v>Unit</v>
      </c>
      <c r="I1405" s="763" t="s">
        <v>1675</v>
      </c>
      <c r="J1405" s="2132">
        <f>J$2737</f>
        <v>2026</v>
      </c>
      <c r="K1405" s="1489">
        <f>K$2737</f>
        <v>2027</v>
      </c>
      <c r="L1405" s="1490">
        <f>L$2737</f>
        <v>2028</v>
      </c>
      <c r="M1405" s="1490">
        <f>M$2737</f>
        <v>2029</v>
      </c>
      <c r="N1405" s="1490">
        <f>N$2737</f>
        <v>2030</v>
      </c>
      <c r="O1405" s="485"/>
      <c r="P1405" s="1137"/>
      <c r="Q1405" s="1137"/>
      <c r="R1405" s="1137"/>
      <c r="S1405" s="2155" t="s">
        <v>1646</v>
      </c>
      <c r="T1405" s="1117"/>
      <c r="U1405" s="1137"/>
      <c r="V1405" s="1137"/>
    </row>
    <row r="1406" spans="1:22" s="562" customFormat="1">
      <c r="A1406" s="817"/>
      <c r="B1406" s="485"/>
      <c r="C1406" s="485"/>
      <c r="D1406" s="539"/>
      <c r="E1406" s="720" t="s">
        <v>1714</v>
      </c>
      <c r="F1406" s="720"/>
      <c r="G1406" s="720"/>
      <c r="H1406" s="732" t="str">
        <f>H1390</f>
        <v>tonnes</v>
      </c>
      <c r="I1406" s="764" t="str">
        <f>IF($I1297="","",IF(T1412&gt;=$H$2736,0,S1406))</f>
        <v/>
      </c>
      <c r="J1406" s="2144" t="str">
        <f>IF($I1297="","",INDEX(F_ProductBM!J:J,MATCH($P1406,F_ProductBM!$Q:$Q,0)))</f>
        <v/>
      </c>
      <c r="K1406" s="2072" t="str">
        <f>IF($I1297="","",INDEX(F_ProductBM!K:K,MATCH($P1406,F_ProductBM!$Q:$Q,0)))</f>
        <v/>
      </c>
      <c r="L1406" s="2073" t="str">
        <f>IF($I1297="","",INDEX(F_ProductBM!L:L,MATCH($P1406,F_ProductBM!$Q:$Q,0)))</f>
        <v/>
      </c>
      <c r="M1406" s="2073" t="str">
        <f>IF($I1297="","",INDEX(F_ProductBM!M:M,MATCH($P1406,F_ProductBM!$Q:$Q,0)))</f>
        <v/>
      </c>
      <c r="N1406" s="2073" t="str">
        <f>IF($I1297="","",INDEX(F_ProductBM!N:N,MATCH($P1406,F_ProductBM!$Q:$Q,0)))</f>
        <v/>
      </c>
      <c r="O1406" s="485"/>
      <c r="P1406" s="1158" t="str">
        <f>EUconst_CNTR_HALfinal&amp;I1297</f>
        <v>HALfinal_</v>
      </c>
      <c r="Q1406" s="1137"/>
      <c r="R1406" s="1137"/>
      <c r="S1406" s="2156" t="str">
        <f>IF($I1297="","",INDEX(F_ProductBM!I:I,MATCH($P1406,F_ProductBM!$Q:$Q,0)))</f>
        <v/>
      </c>
      <c r="T1406" s="1117"/>
      <c r="U1406" s="1137"/>
      <c r="V1406" s="1137"/>
    </row>
    <row r="1407" spans="1:22" s="562" customFormat="1">
      <c r="A1407" s="817"/>
      <c r="B1407" s="485"/>
      <c r="C1407" s="485"/>
      <c r="D1407" s="539"/>
      <c r="E1407" s="645" t="s">
        <v>303</v>
      </c>
      <c r="F1407" s="645"/>
      <c r="G1407" s="645"/>
      <c r="H1407" s="765" t="str">
        <f>EUconst_EUA</f>
        <v>UKA</v>
      </c>
      <c r="I1407" s="766" t="str">
        <f>IF($I1297="","",IF(YEAR(J1300)&gt;=$H$2736-1,0,S1407))</f>
        <v/>
      </c>
      <c r="J1407" s="2157" t="str">
        <f>IF($I1297="","",INDEX(F_ProductBM!J:J,MATCH($P1407,F_ProductBM!$Q:$Q,0)))</f>
        <v/>
      </c>
      <c r="K1407" s="2072" t="str">
        <f>IF($I1297="","",INDEX(F_ProductBM!K:K,MATCH($P1407,F_ProductBM!$Q:$Q,0)))</f>
        <v/>
      </c>
      <c r="L1407" s="2073" t="str">
        <f>IF($I1297="","",INDEX(F_ProductBM!L:L,MATCH($P1407,F_ProductBM!$Q:$Q,0)))</f>
        <v/>
      </c>
      <c r="M1407" s="2073" t="str">
        <f>IF($I1297="","",INDEX(F_ProductBM!M:M,MATCH($P1407,F_ProductBM!$Q:$Q,0)))</f>
        <v/>
      </c>
      <c r="N1407" s="2073" t="str">
        <f>IF($I1297="","",INDEX(F_ProductBM!N:N,MATCH($P1407,F_ProductBM!$Q:$Q,0)))</f>
        <v/>
      </c>
      <c r="O1407" s="485"/>
      <c r="P1407" s="1158" t="str">
        <f>EUconst_CNTR_HEATfinal&amp;I1297</f>
        <v>HEATfinal_</v>
      </c>
      <c r="Q1407" s="1137"/>
      <c r="R1407" s="1137"/>
      <c r="S1407" s="2158" t="str">
        <f>IF($I1297="","",INDEX(F_ProductBM!I:I,MATCH($P1407,F_ProductBM!$Q:$Q,0)))</f>
        <v/>
      </c>
      <c r="T1407" s="1117"/>
      <c r="U1407" s="1137"/>
      <c r="V1407" s="1137"/>
    </row>
    <row r="1408" spans="1:22" s="562" customFormat="1">
      <c r="A1408" s="817"/>
      <c r="B1408" s="485"/>
      <c r="C1408" s="485"/>
      <c r="D1408" s="539"/>
      <c r="E1408" s="723" t="s">
        <v>1422</v>
      </c>
      <c r="F1408" s="723"/>
      <c r="G1408" s="723"/>
      <c r="H1408" s="724" t="str">
        <f>EUconst_EUA</f>
        <v>UKA</v>
      </c>
      <c r="I1408" s="767" t="str">
        <f>IF($I1297="","",IF(T1412&gt;=$H$2736,0,S1408))</f>
        <v/>
      </c>
      <c r="J1408" s="2159" t="str">
        <f>IF($I1297="","",INDEX(F_ProductBM!J:J,MATCH($P1408,F_ProductBM!$Q:$Q,0)))</f>
        <v/>
      </c>
      <c r="K1408" s="2072" t="str">
        <f>IF($I1297="","",INDEX(F_ProductBM!K:K,MATCH($P1408,F_ProductBM!$Q:$Q,0)))</f>
        <v/>
      </c>
      <c r="L1408" s="2073" t="str">
        <f>IF($I1297="","",INDEX(F_ProductBM!L:L,MATCH($P1408,F_ProductBM!$Q:$Q,0)))</f>
        <v/>
      </c>
      <c r="M1408" s="2073" t="str">
        <f>IF($I1297="","",INDEX(F_ProductBM!M:M,MATCH($P1408,F_ProductBM!$Q:$Q,0)))</f>
        <v/>
      </c>
      <c r="N1408" s="2073" t="str">
        <f>IF($I1297="","",INDEX(F_ProductBM!N:N,MATCH($P1408,F_ProductBM!$Q:$Q,0)))</f>
        <v/>
      </c>
      <c r="O1408" s="485"/>
      <c r="P1408" s="1158" t="str">
        <f>EUconst_CNTR_HALfinal&amp;EUconst_CNTR_WGFlared&amp;$I1297</f>
        <v>HALfinal_WasteGasFlare_</v>
      </c>
      <c r="Q1408" s="1137"/>
      <c r="R1408" s="1137"/>
      <c r="S1408" s="2160" t="str">
        <f>IF($I1297="","",INDEX(F_ProductBM!I:I,MATCH($P1408,F_ProductBM!$Q:$Q,0)))</f>
        <v/>
      </c>
      <c r="T1408" s="1117"/>
      <c r="U1408" s="1137"/>
      <c r="V1408" s="1137"/>
    </row>
    <row r="1409" spans="1:22" s="562" customFormat="1">
      <c r="A1409" s="817"/>
      <c r="C1409" s="485"/>
      <c r="D1409" s="539"/>
      <c r="E1409" s="723" t="s">
        <v>1390</v>
      </c>
      <c r="F1409" s="723"/>
      <c r="G1409" s="723"/>
      <c r="H1409" s="724" t="str">
        <f>EUconst_EUA</f>
        <v>UKA</v>
      </c>
      <c r="I1409" s="767" t="str">
        <f>IF($I1297="","",IF(T1412&gt;=$H$2736,0,IF(L1300=42,S1409,0)))</f>
        <v/>
      </c>
      <c r="J1409" s="2159" t="str">
        <f>IF($I1297="","",IF($L1300=42,INDEX(H_SpecialBM!J:J,MATCH($P1409,H_SpecialBM!$Q:$Q,0)),0))</f>
        <v/>
      </c>
      <c r="K1409" s="2072" t="str">
        <f>IF($I1297="","",IF($L1300=42,INDEX(H_SpecialBM!K:K,MATCH($P1409,H_SpecialBM!$Q:$Q,0)),0))</f>
        <v/>
      </c>
      <c r="L1409" s="2073" t="str">
        <f>IF($I1297="","",IF($L1300=42,INDEX(H_SpecialBM!L:L,MATCH($P1409,H_SpecialBM!$Q:$Q,0)),0))</f>
        <v/>
      </c>
      <c r="M1409" s="2073" t="str">
        <f>IF($I1297="","",IF($L1300=42,INDEX(H_SpecialBM!M:M,MATCH($P1409,H_SpecialBM!$Q:$Q,0)),0))</f>
        <v/>
      </c>
      <c r="N1409" s="2073" t="str">
        <f>IF($I1297="","",IF($L1300=42,INDEX(H_SpecialBM!N:N,MATCH($P1409,H_SpecialBM!$Q:$Q,0)),0))</f>
        <v/>
      </c>
      <c r="O1409" s="485"/>
      <c r="P1409" s="1158" t="str">
        <f>EUconst_CNTR_HVCfinal</f>
        <v>HVCfinal_</v>
      </c>
      <c r="Q1409" s="1137"/>
      <c r="R1409" s="1137"/>
      <c r="S1409" s="2160" t="str">
        <f>IF($I1297="","",IF(L1300=42,INDEX(H_SpecialBM!I:I,MATCH($P1409,H_SpecialBM!$Q:$Q,0)),0))</f>
        <v/>
      </c>
      <c r="T1409" s="1117"/>
      <c r="U1409" s="1137"/>
      <c r="V1409" s="1137"/>
    </row>
    <row r="1410" spans="1:22" s="562" customFormat="1">
      <c r="A1410" s="817"/>
      <c r="C1410" s="485"/>
      <c r="D1410" s="539"/>
      <c r="E1410" s="723" t="s">
        <v>1389</v>
      </c>
      <c r="F1410" s="723"/>
      <c r="G1410" s="723"/>
      <c r="H1410" s="726" t="s">
        <v>1021</v>
      </c>
      <c r="I1410" s="768" t="str">
        <f>IF(AND($I1297&lt;&gt;"",$I1300=TRUE),IF(T1412&gt;=$H$2736,1,S1410),IF($I1297="","",1))</f>
        <v/>
      </c>
      <c r="J1410" s="2161" t="str">
        <f>IF(AND($I1297&lt;&gt;"",$I1300=TRUE),INDEX(F_ProductBM!J:J,MATCH($P1410,F_ProductBM!$Q:$Q,0)),IF($I1297="","",1))</f>
        <v/>
      </c>
      <c r="K1410" s="2141" t="str">
        <f>IF(AND($I1297&lt;&gt;"",$I1300=TRUE),INDEX(F_ProductBM!K:K,MATCH($P1410,F_ProductBM!$Q:$Q,0)),IF($I1297="","",1))</f>
        <v/>
      </c>
      <c r="L1410" s="2142" t="str">
        <f>IF(AND($I1297&lt;&gt;"",$I1300=TRUE),INDEX(F_ProductBM!L:L,MATCH($P1410,F_ProductBM!$Q:$Q,0)),IF($I1297="","",1))</f>
        <v/>
      </c>
      <c r="M1410" s="2142" t="str">
        <f>IF(AND($I1297&lt;&gt;"",$I1300=TRUE),INDEX(F_ProductBM!M:M,MATCH($P1410,F_ProductBM!$Q:$Q,0)),IF($I1297="","",1))</f>
        <v/>
      </c>
      <c r="N1410" s="2142" t="str">
        <f>IF(AND($I1297&lt;&gt;"",$I1300=TRUE),INDEX(F_ProductBM!N:N,MATCH($P1410,F_ProductBM!$Q:$Q,0)),IF($I1297="","",1))</f>
        <v/>
      </c>
      <c r="O1410" s="485"/>
      <c r="P1410" s="1158" t="str">
        <f>EUconst_CNTR_HALfinal&amp;EUconst_CNTR_ELEXCH&amp;$I1297</f>
        <v>HALfinal_ELEXCH_</v>
      </c>
      <c r="Q1410" s="1137"/>
      <c r="R1410" s="1137"/>
      <c r="S1410" s="2162" t="str">
        <f>IF(AND($I1297&lt;&gt;"",$I1300=TRUE),INDEX(F_ProductBM!I:I,MATCH($P1410,F_ProductBM!$Q:$Q,0)),IF($I1297="","",1))</f>
        <v/>
      </c>
      <c r="T1410" s="1137"/>
      <c r="U1410" s="1137"/>
      <c r="V1410" s="1137"/>
    </row>
    <row r="1411" spans="1:22" s="562" customFormat="1">
      <c r="A1411" s="817"/>
      <c r="C1411" s="485"/>
      <c r="D1411" s="539"/>
      <c r="E1411" s="727" t="s">
        <v>1391</v>
      </c>
      <c r="F1411" s="727"/>
      <c r="G1411" s="727"/>
      <c r="H1411" s="728" t="s">
        <v>1021</v>
      </c>
      <c r="I1411" s="769" t="str">
        <f>IF($I1297="","",IF($L1300=47,IF(AND(ISNUMBER(S1411),YEAR(J1300)&lt;2021),S1411,1),1))</f>
        <v/>
      </c>
      <c r="J1411" s="2163" t="str">
        <f>IF($I1297="","",IF($L1300=47,IF(ISNUMBER(INDEX(H_SpecialBM!J:J,MATCH($P1411,H_SpecialBM!$Q:$Q,0))),INDEX(H_SpecialBM!J:J,MATCH($P1411,H_SpecialBM!$Q:$Q,0)),1),1))</f>
        <v/>
      </c>
      <c r="K1411" s="2141" t="str">
        <f>IF($I1297="","",IF($L1300=47,IF(ISNUMBER(INDEX(H_SpecialBM!K:K,MATCH($P1411,H_SpecialBM!$Q:$Q,0))),INDEX(H_SpecialBM!K:K,MATCH($P1411,H_SpecialBM!$Q:$Q,0)),1),1))</f>
        <v/>
      </c>
      <c r="L1411" s="2142" t="str">
        <f>IF($I1297="","",IF($L1300=47,IF(ISNUMBER(INDEX(H_SpecialBM!L:L,MATCH($P1411,H_SpecialBM!$Q:$Q,0))),INDEX(H_SpecialBM!L:L,MATCH($P1411,H_SpecialBM!$Q:$Q,0)),1),1))</f>
        <v/>
      </c>
      <c r="M1411" s="2142" t="str">
        <f>IF($I1297="","",IF($L1300=47,IF(ISNUMBER(INDEX(H_SpecialBM!M:M,MATCH($P1411,H_SpecialBM!$Q:$Q,0))),INDEX(H_SpecialBM!M:M,MATCH($P1411,H_SpecialBM!$Q:$Q,0)),1),1))</f>
        <v/>
      </c>
      <c r="N1411" s="2142" t="str">
        <f>IF($I1297="","",IF($L1300=47,IF(ISNUMBER(INDEX(H_SpecialBM!N:N,MATCH($P1411,H_SpecialBM!$Q:$Q,0))),INDEX(H_SpecialBM!N:N,MATCH($P1411,H_SpecialBM!$Q:$Q,0)),1),1))</f>
        <v/>
      </c>
      <c r="O1411" s="485"/>
      <c r="P1411" s="1158" t="str">
        <f>EUconst_CNTR_VCMfinal</f>
        <v>VCMfinal_</v>
      </c>
      <c r="Q1411" s="1137"/>
      <c r="R1411" s="1137"/>
      <c r="S1411" s="2164" t="str">
        <f>IF($I1297="","",IF($L1300=47,IF(ISNUMBER(INDEX(H_SpecialBM!I:I,MATCH($P1411,H_SpecialBM!$Q:$Q,0))),INDEX(H_SpecialBM!I:I,MATCH($P1411,H_SpecialBM!$Q:$Q,0)),1),1))</f>
        <v/>
      </c>
      <c r="T1411" s="1137"/>
      <c r="U1411" s="1137"/>
      <c r="V1411" s="1137"/>
    </row>
    <row r="1412" spans="1:22" s="562" customFormat="1">
      <c r="A1412" s="817"/>
      <c r="C1412" s="485"/>
      <c r="D1412" s="539"/>
      <c r="E1412" s="698" t="s">
        <v>222</v>
      </c>
      <c r="F1412" s="698"/>
      <c r="G1412" s="698"/>
      <c r="H1412" s="730" t="str">
        <f>EUconst_EUA</f>
        <v>UKA</v>
      </c>
      <c r="I1412" s="770" t="str">
        <f>IF($I1297="","",MAX(0,ROUND((SUM($M1300)*SUM(I1406)*SUM(I1410)*SUM(I1411)-SUM(I1407)-SUM(I1408)+SUM(I1409))*IF($H1300=TRUE,1,J$2517),0)))</f>
        <v/>
      </c>
      <c r="J1412" s="2129" t="str">
        <f>IF($I1297="","",MAX(0,ROUND((SUM($M1300)*SUM(J1406)*SUM(J1410)*SUM(J1411)-SUM(J1407)-SUM(J1408)+SUM(J1409))*IF($H1300=TRUE,1,J$2517),0)))</f>
        <v/>
      </c>
      <c r="K1412" s="2072" t="str">
        <f>IF($I1297="","",MAX(0,ROUND((SUM($M1300)*SUM(K1406)*SUM(K1410)*SUM(K1411)-SUM(K1407)-SUM(K1408)+SUM(K1409))*IF($H1300=TRUE,1,K$2517),0)))</f>
        <v/>
      </c>
      <c r="L1412" s="2073" t="str">
        <f>IF($I1297="","",MAX(0,ROUND((SUM($M1300)*SUM(L1406)*SUM(L1410)*SUM(L1411)-SUM(L1407)-SUM(L1408)+SUM(L1409))*IF($H1300=TRUE,1,L$2517),0)))</f>
        <v/>
      </c>
      <c r="M1412" s="2073" t="str">
        <f>IF($I1297="","",MAX(0,ROUND((SUM($M1300)*SUM(M1406)*SUM(M1410)*SUM(M1411)-SUM(M1407)-SUM(M1408)+SUM(M1409))*IF($H1300=TRUE,1,M$2517),0)))</f>
        <v/>
      </c>
      <c r="N1412" s="2073" t="str">
        <f>IF($I1297="","",MAX(0,ROUND((SUM($M1300)*SUM(N1406)*SUM(N1410)*SUM(N1411)-SUM(N1407)-SUM(N1408)+SUM(N1409))*IF($H1300=TRUE,1,N$2517),0)))</f>
        <v/>
      </c>
      <c r="O1412" s="485"/>
      <c r="P1412" s="1158" t="str">
        <f>EUconst_AllocPrelim&amp;I1297</f>
        <v>AllocPrelim_</v>
      </c>
      <c r="Q1412" s="1137"/>
      <c r="R1412" s="1137"/>
      <c r="S1412" s="2165" t="str">
        <f>IF($I1297="","",MAX(0,ROUND((SUM($M1300)*SUM(S1406)*SUM(S1410)*SUM(S1411)-SUM(S1407)-SUM(S1408)+SUM(S1409))*IF($H1300=TRUE,1,J$2517),0)))</f>
        <v/>
      </c>
      <c r="T1412" s="1137">
        <f>INDEX(F_ProductBM!V:V,MATCH(C1297,F_ProductBM!C:C,0))</f>
        <v>2005</v>
      </c>
      <c r="U1412" s="1137" t="e">
        <f>INDEX(I1412:N1412,CNTR_ReportingYear-$I$2736)&lt;&gt;INDEX(I1412:N1412,CNTR_ReportingYear-$H$2736)</f>
        <v>#REF!</v>
      </c>
      <c r="V1412" s="1137"/>
    </row>
    <row r="1413" spans="1:22" s="562" customFormat="1" ht="5.0999999999999996" customHeight="1" thickBot="1">
      <c r="A1413" s="817"/>
      <c r="C1413" s="485"/>
      <c r="D1413" s="771"/>
      <c r="E1413" s="756"/>
      <c r="F1413" s="756"/>
      <c r="G1413" s="756"/>
      <c r="H1413" s="756"/>
      <c r="I1413" s="756"/>
      <c r="J1413" s="756"/>
      <c r="K1413" s="1790"/>
      <c r="L1413" s="1791"/>
      <c r="M1413" s="1791"/>
      <c r="N1413" s="1791"/>
      <c r="O1413" s="485"/>
      <c r="P1413" s="1137"/>
      <c r="Q1413" s="1137"/>
      <c r="R1413" s="1137"/>
      <c r="S1413" s="1137"/>
      <c r="T1413" s="1137"/>
      <c r="U1413" s="1137"/>
      <c r="V1413" s="1137"/>
    </row>
    <row r="1414" spans="1:22" s="562" customFormat="1" ht="5.0999999999999996" customHeight="1" thickBot="1">
      <c r="A1414" s="817"/>
      <c r="C1414" s="485"/>
      <c r="E1414" s="561"/>
      <c r="F1414" s="485"/>
      <c r="G1414" s="485"/>
      <c r="H1414" s="485"/>
      <c r="I1414" s="485"/>
      <c r="J1414" s="485"/>
      <c r="K1414" s="1790"/>
      <c r="L1414" s="1791"/>
      <c r="M1414" s="1791"/>
      <c r="N1414" s="1791"/>
      <c r="O1414" s="485"/>
      <c r="P1414" s="1137"/>
      <c r="Q1414" s="1137"/>
      <c r="R1414" s="1137"/>
      <c r="S1414" s="1137"/>
      <c r="T1414" s="1137"/>
      <c r="U1414" s="1137"/>
      <c r="V1414" s="1137"/>
    </row>
    <row r="1415" spans="1:22" s="562" customFormat="1" ht="12.75" customHeight="1">
      <c r="A1415" s="817"/>
      <c r="C1415" s="485"/>
      <c r="D1415" s="772"/>
      <c r="E1415" s="773"/>
      <c r="F1415" s="773"/>
      <c r="G1415" s="774"/>
      <c r="H1415" s="774"/>
      <c r="I1415" s="774"/>
      <c r="J1415" s="774"/>
      <c r="K1415" s="1790"/>
      <c r="L1415" s="1791"/>
      <c r="M1415" s="1791"/>
      <c r="N1415" s="1791"/>
      <c r="O1415" s="485"/>
      <c r="P1415" s="1137"/>
      <c r="Q1415" s="1137"/>
      <c r="R1415" s="1137"/>
      <c r="S1415" s="1137"/>
      <c r="T1415" s="1137"/>
      <c r="U1415" s="1137"/>
      <c r="V1415" s="1137"/>
    </row>
    <row r="1416" spans="1:22" s="562" customFormat="1" ht="13.5" thickBot="1">
      <c r="A1416" s="817"/>
      <c r="C1416" s="485"/>
      <c r="D1416" s="776"/>
      <c r="E1416" s="777"/>
      <c r="F1416" s="777"/>
      <c r="G1416" s="778" t="str">
        <f>EUconst_Unit</f>
        <v>Unit</v>
      </c>
      <c r="H1416" s="779">
        <f t="shared" ref="H1416:M1416" si="105">H$2737</f>
        <v>2024</v>
      </c>
      <c r="I1416" s="780">
        <f t="shared" si="105"/>
        <v>2025</v>
      </c>
      <c r="J1416" s="2166">
        <f t="shared" si="105"/>
        <v>2026</v>
      </c>
      <c r="K1416" s="1489">
        <f t="shared" si="105"/>
        <v>2027</v>
      </c>
      <c r="L1416" s="1490">
        <f t="shared" si="105"/>
        <v>2028</v>
      </c>
      <c r="M1416" s="1490">
        <f t="shared" si="105"/>
        <v>2029</v>
      </c>
      <c r="N1416" s="1490">
        <f>N$2737</f>
        <v>2030</v>
      </c>
      <c r="O1416" s="485"/>
      <c r="P1416" s="1137"/>
      <c r="Q1416" s="1137"/>
      <c r="R1416" s="1137"/>
      <c r="S1416" s="1137"/>
      <c r="T1416" s="1117"/>
      <c r="U1416" s="1137"/>
      <c r="V1416" s="1137"/>
    </row>
    <row r="1417" spans="1:22" s="562" customFormat="1" ht="13.5" customHeight="1" thickBot="1">
      <c r="A1417" s="817"/>
      <c r="C1417" s="485"/>
      <c r="D1417" s="776"/>
      <c r="E1417" s="2470" t="s">
        <v>1504</v>
      </c>
      <c r="F1417" s="2470"/>
      <c r="G1417" s="808" t="str">
        <f>EUconst_tCO2epa</f>
        <v>t CO2e/year</v>
      </c>
      <c r="H1417" s="786" t="str">
        <f t="shared" ref="H1417:N1417" si="106">INDEX(H$92:H$108,MATCH($I1297,$E$92:$E$108,0))</f>
        <v/>
      </c>
      <c r="I1417" s="787" t="str">
        <f t="shared" si="106"/>
        <v/>
      </c>
      <c r="J1417" s="2167" t="str">
        <f t="shared" si="106"/>
        <v/>
      </c>
      <c r="K1417" s="2105" t="str">
        <f t="shared" si="106"/>
        <v/>
      </c>
      <c r="L1417" s="1960" t="str">
        <f t="shared" si="106"/>
        <v/>
      </c>
      <c r="M1417" s="1960" t="str">
        <f t="shared" si="106"/>
        <v/>
      </c>
      <c r="N1417" s="1960" t="str">
        <f t="shared" si="106"/>
        <v/>
      </c>
      <c r="O1417" s="485"/>
      <c r="P1417" s="1137"/>
      <c r="Q1417" s="1137"/>
      <c r="R1417" s="1137"/>
      <c r="S1417" s="1137"/>
      <c r="T1417" s="1117"/>
      <c r="U1417" s="1137"/>
      <c r="V1417" s="1137"/>
    </row>
    <row r="1418" spans="1:22" s="562" customFormat="1" ht="5.0999999999999996" customHeight="1">
      <c r="A1418" s="817"/>
      <c r="C1418" s="485"/>
      <c r="D1418" s="776"/>
      <c r="E1418" s="809"/>
      <c r="F1418" s="809"/>
      <c r="G1418" s="777"/>
      <c r="H1418" s="2168"/>
      <c r="I1418" s="2168"/>
      <c r="J1418" s="2168"/>
      <c r="K1418" s="2169"/>
      <c r="L1418" s="2170"/>
      <c r="M1418" s="2170"/>
      <c r="N1418" s="2170"/>
      <c r="O1418" s="485"/>
      <c r="P1418" s="1137"/>
      <c r="Q1418" s="1137"/>
      <c r="R1418" s="1137"/>
      <c r="S1418" s="1137"/>
      <c r="T1418" s="1117"/>
      <c r="U1418" s="1137"/>
      <c r="V1418" s="1137"/>
    </row>
    <row r="1419" spans="1:22" s="562" customFormat="1" ht="12.75" customHeight="1">
      <c r="A1419" s="817"/>
      <c r="C1419" s="485"/>
      <c r="D1419" s="776"/>
      <c r="E1419" s="2471" t="s">
        <v>1344</v>
      </c>
      <c r="F1419" s="3467"/>
      <c r="G1419" s="811" t="str">
        <f>EUconst_TJpa</f>
        <v>TJ / year</v>
      </c>
      <c r="H1419" s="625" t="str">
        <f>IF($I1297="","",IF(INDEX(F_ProductBM!H:H,MATCH($P1419,F_ProductBM!$Q:$Q,0))="","",INDEX(F_ProductBM!H:H,MATCH($P1419,F_ProductBM!$Q:$Q,0))))</f>
        <v/>
      </c>
      <c r="I1419" s="794" t="str">
        <f>IF($I1297="","",IF(INDEX(F_ProductBM!I:I,MATCH($P1419,F_ProductBM!$Q:$Q,0))="","",INDEX(F_ProductBM!I:I,MATCH($P1419,F_ProductBM!$Q:$Q,0))))</f>
        <v/>
      </c>
      <c r="J1419" s="2171" t="str">
        <f>IF($I1297="","",IF(INDEX(F_ProductBM!J:J,MATCH($P1419,F_ProductBM!$Q:$Q,0))="","",INDEX(F_ProductBM!J:J,MATCH($P1419,F_ProductBM!$Q:$Q,0))))</f>
        <v/>
      </c>
      <c r="K1419" s="1788" t="str">
        <f>IF($I1297="","",IF(INDEX(F_ProductBM!K:K,MATCH($P1419,F_ProductBM!$Q:$Q,0))="","",INDEX(F_ProductBM!K:K,MATCH($P1419,F_ProductBM!$Q:$Q,0))))</f>
        <v/>
      </c>
      <c r="L1419" s="1789" t="str">
        <f>IF($I1297="","",IF(INDEX(F_ProductBM!L:L,MATCH($P1419,F_ProductBM!$Q:$Q,0))="","",INDEX(F_ProductBM!L:L,MATCH($P1419,F_ProductBM!$Q:$Q,0))))</f>
        <v/>
      </c>
      <c r="M1419" s="1789" t="str">
        <f>IF($I1297="","",IF(INDEX(F_ProductBM!M:M,MATCH($P1419,F_ProductBM!$Q:$Q,0))="","",INDEX(F_ProductBM!M:M,MATCH($P1419,F_ProductBM!$Q:$Q,0))))</f>
        <v/>
      </c>
      <c r="N1419" s="1789" t="str">
        <f>IF($I1297="","",IF(INDEX(F_ProductBM!N:N,MATCH($P1419,F_ProductBM!$Q:$Q,0))="","",INDEX(F_ProductBM!N:N,MATCH($P1419,F_ProductBM!$Q:$Q,0))))</f>
        <v/>
      </c>
      <c r="O1419" s="485"/>
      <c r="P1419" s="2109" t="str">
        <f>EUconst_CNTR_FuelInput &amp; I1297</f>
        <v>FuelInput_</v>
      </c>
      <c r="Q1419" s="1137"/>
      <c r="R1419" s="1137"/>
      <c r="S1419" s="1137"/>
      <c r="T1419" s="1117"/>
      <c r="U1419" s="1137"/>
      <c r="V1419" s="1137"/>
    </row>
    <row r="1420" spans="1:22" s="562" customFormat="1" ht="12.75" customHeight="1">
      <c r="A1420" s="817"/>
      <c r="C1420" s="485"/>
      <c r="D1420" s="776"/>
      <c r="E1420" s="2473" t="s">
        <v>1182</v>
      </c>
      <c r="F1420" s="3466"/>
      <c r="G1420" s="812" t="str">
        <f>EUconst_tCO2pTJ</f>
        <v>t CO2 / TJ</v>
      </c>
      <c r="H1420" s="627" t="str">
        <f>IF($I1297="","",IF(INDEX(F_ProductBM!H:H,MATCH($P1420,F_ProductBM!$Q:$Q,0))="","",INDEX(F_ProductBM!H:H,MATCH($P1420,F_ProductBM!$Q:$Q,0))))</f>
        <v/>
      </c>
      <c r="I1420" s="796" t="str">
        <f>IF($I1297="","",IF(INDEX(F_ProductBM!I:I,MATCH($P1420,F_ProductBM!$Q:$Q,0))="","",INDEX(F_ProductBM!I:I,MATCH($P1420,F_ProductBM!$Q:$Q,0))))</f>
        <v/>
      </c>
      <c r="J1420" s="2172" t="str">
        <f>IF($I1297="","",IF(INDEX(F_ProductBM!J:J,MATCH($P1420,F_ProductBM!$Q:$Q,0))="","",INDEX(F_ProductBM!J:J,MATCH($P1420,F_ProductBM!$Q:$Q,0))))</f>
        <v/>
      </c>
      <c r="K1420" s="1788" t="str">
        <f>IF($I1297="","",IF(INDEX(F_ProductBM!K:K,MATCH($P1420,F_ProductBM!$Q:$Q,0))="","",INDEX(F_ProductBM!K:K,MATCH($P1420,F_ProductBM!$Q:$Q,0))))</f>
        <v/>
      </c>
      <c r="L1420" s="1789" t="str">
        <f>IF($I1297="","",IF(INDEX(F_ProductBM!L:L,MATCH($P1420,F_ProductBM!$Q:$Q,0))="","",INDEX(F_ProductBM!L:L,MATCH($P1420,F_ProductBM!$Q:$Q,0))))</f>
        <v/>
      </c>
      <c r="M1420" s="1789" t="str">
        <f>IF($I1297="","",IF(INDEX(F_ProductBM!M:M,MATCH($P1420,F_ProductBM!$Q:$Q,0))="","",INDEX(F_ProductBM!M:M,MATCH($P1420,F_ProductBM!$Q:$Q,0))))</f>
        <v/>
      </c>
      <c r="N1420" s="1789" t="str">
        <f>IF($I1297="","",IF(INDEX(F_ProductBM!N:N,MATCH($P1420,F_ProductBM!$Q:$Q,0))="","",INDEX(F_ProductBM!N:N,MATCH($P1420,F_ProductBM!$Q:$Q,0))))</f>
        <v/>
      </c>
      <c r="O1420" s="485"/>
      <c r="P1420" s="1970" t="str">
        <f>EUconst_CNTR_FuelEF &amp; I1297</f>
        <v>FuelEF_</v>
      </c>
      <c r="Q1420" s="1137"/>
      <c r="R1420" s="1137"/>
      <c r="S1420" s="1137"/>
      <c r="T1420" s="1117"/>
      <c r="U1420" s="1137"/>
      <c r="V1420" s="1137"/>
    </row>
    <row r="1421" spans="1:22" s="562" customFormat="1" ht="5.0999999999999996" customHeight="1">
      <c r="A1421" s="817"/>
      <c r="C1421" s="485"/>
      <c r="D1421" s="776"/>
      <c r="E1421" s="809"/>
      <c r="F1421" s="809"/>
      <c r="G1421" s="813"/>
      <c r="H1421" s="2173"/>
      <c r="I1421" s="2173"/>
      <c r="J1421" s="2173"/>
      <c r="K1421" s="1788"/>
      <c r="L1421" s="1789"/>
      <c r="M1421" s="1789"/>
      <c r="N1421" s="1789"/>
      <c r="O1421" s="485"/>
      <c r="P1421" s="1137"/>
      <c r="Q1421" s="1137"/>
      <c r="R1421" s="1137"/>
      <c r="S1421" s="1137"/>
      <c r="T1421" s="1117"/>
      <c r="U1421" s="1137"/>
      <c r="V1421" s="1137"/>
    </row>
    <row r="1422" spans="1:22" s="562" customFormat="1" ht="12.75" customHeight="1">
      <c r="A1422" s="817"/>
      <c r="C1422" s="485"/>
      <c r="D1422" s="776"/>
      <c r="E1422" s="2475" t="s">
        <v>63</v>
      </c>
      <c r="F1422" s="3461"/>
      <c r="G1422" s="815" t="str">
        <f>EUconst_tCO2pa</f>
        <v>t CO2 / year</v>
      </c>
      <c r="H1422" s="623" t="str">
        <f>IF($I1297="","",IF(INDEX(F_ProductBM!H:H,MATCH($P1422,F_ProductBM!$Q:$Q,0))="","",INDEX(F_ProductBM!H:H,MATCH($P1422,F_ProductBM!$Q:$Q,0))))</f>
        <v/>
      </c>
      <c r="I1422" s="800" t="str">
        <f>IF($I1297="","",IF(INDEX(F_ProductBM!I:I,MATCH($P1422,F_ProductBM!$Q:$Q,0))="","",INDEX(F_ProductBM!I:I,MATCH($P1422,F_ProductBM!$Q:$Q,0))))</f>
        <v/>
      </c>
      <c r="J1422" s="2174" t="str">
        <f>IF($I1297="","",IF(INDEX(F_ProductBM!J:J,MATCH($P1422,F_ProductBM!$Q:$Q,0))="","",INDEX(F_ProductBM!J:J,MATCH($P1422,F_ProductBM!$Q:$Q,0))))</f>
        <v/>
      </c>
      <c r="K1422" s="1788" t="str">
        <f>IF($I1297="","",IF(INDEX(F_ProductBM!K:K,MATCH($P1422,F_ProductBM!$Q:$Q,0))="","",INDEX(F_ProductBM!K:K,MATCH($P1422,F_ProductBM!$Q:$Q,0))))</f>
        <v/>
      </c>
      <c r="L1422" s="1789" t="str">
        <f>IF($I1297="","",IF(INDEX(F_ProductBM!L:L,MATCH($P1422,F_ProductBM!$Q:$Q,0))="","",INDEX(F_ProductBM!L:L,MATCH($P1422,F_ProductBM!$Q:$Q,0))))</f>
        <v/>
      </c>
      <c r="M1422" s="1789" t="str">
        <f>IF($I1297="","",IF(INDEX(F_ProductBM!M:M,MATCH($P1422,F_ProductBM!$Q:$Q,0))="","",INDEX(F_ProductBM!M:M,MATCH($P1422,F_ProductBM!$Q:$Q,0))))</f>
        <v/>
      </c>
      <c r="N1422" s="1789" t="str">
        <f>IF($I1297="","",IF(INDEX(F_ProductBM!N:N,MATCH($P1422,F_ProductBM!$Q:$Q,0))="","",INDEX(F_ProductBM!N:N,MATCH($P1422,F_ProductBM!$Q:$Q,0))))</f>
        <v/>
      </c>
      <c r="O1422" s="485"/>
      <c r="P1422" s="1970" t="str">
        <f>EUconst_CNTR_Emissions &amp; I1297</f>
        <v>DirEmissions_</v>
      </c>
      <c r="Q1422" s="1137"/>
      <c r="R1422" s="1137"/>
      <c r="S1422" s="1137"/>
      <c r="T1422" s="1117"/>
      <c r="U1422" s="1137"/>
      <c r="V1422" s="1137"/>
    </row>
    <row r="1423" spans="1:22" s="562" customFormat="1" ht="12.75" customHeight="1">
      <c r="A1423" s="817"/>
      <c r="C1423" s="485"/>
      <c r="D1423" s="776"/>
      <c r="E1423" s="2475" t="s">
        <v>1154</v>
      </c>
      <c r="F1423" s="3461"/>
      <c r="G1423" s="815" t="str">
        <f>EUconst_tCO2pa</f>
        <v>t CO2 / year</v>
      </c>
      <c r="H1423" s="623" t="str">
        <f>IF($I1297="","",IF(INDEX(F_ProductBM!H:H,MATCH($P1423,F_ProductBM!$Q:$Q,0))="","",INDEX(F_ProductBM!H:H,MATCH($P1423,F_ProductBM!$Q:$Q,0))))</f>
        <v/>
      </c>
      <c r="I1423" s="800" t="str">
        <f>IF($I1297="","",IF(INDEX(F_ProductBM!I:I,MATCH($P1423,F_ProductBM!$Q:$Q,0))="","",INDEX(F_ProductBM!I:I,MATCH($P1423,F_ProductBM!$Q:$Q,0))))</f>
        <v/>
      </c>
      <c r="J1423" s="2174" t="str">
        <f>IF($I1297="","",IF(INDEX(F_ProductBM!J:J,MATCH($P1423,F_ProductBM!$Q:$Q,0))="","",INDEX(F_ProductBM!J:J,MATCH($P1423,F_ProductBM!$Q:$Q,0))))</f>
        <v/>
      </c>
      <c r="K1423" s="1788" t="str">
        <f>IF($I1297="","",IF(INDEX(F_ProductBM!K:K,MATCH($P1423,F_ProductBM!$Q:$Q,0))="","",INDEX(F_ProductBM!K:K,MATCH($P1423,F_ProductBM!$Q:$Q,0))))</f>
        <v/>
      </c>
      <c r="L1423" s="1789" t="str">
        <f>IF($I1297="","",IF(INDEX(F_ProductBM!L:L,MATCH($P1423,F_ProductBM!$Q:$Q,0))="","",INDEX(F_ProductBM!L:L,MATCH($P1423,F_ProductBM!$Q:$Q,0))))</f>
        <v/>
      </c>
      <c r="M1423" s="1789" t="str">
        <f>IF($I1297="","",IF(INDEX(F_ProductBM!M:M,MATCH($P1423,F_ProductBM!$Q:$Q,0))="","",INDEX(F_ProductBM!M:M,MATCH($P1423,F_ProductBM!$Q:$Q,0))))</f>
        <v/>
      </c>
      <c r="N1423" s="1789" t="str">
        <f>IF($I1297="","",IF(INDEX(F_ProductBM!N:N,MATCH($P1423,F_ProductBM!$Q:$Q,0))="","",INDEX(F_ProductBM!N:N,MATCH($P1423,F_ProductBM!$Q:$Q,0))))</f>
        <v/>
      </c>
      <c r="O1423" s="485"/>
      <c r="P1423" s="1970" t="str">
        <f>EUconst_CNTR_EmissionsIntSource1 &amp; I1297</f>
        <v>EmInternalSource1_</v>
      </c>
      <c r="Q1423" s="1137"/>
      <c r="R1423" s="1137"/>
      <c r="S1423" s="1137"/>
      <c r="T1423" s="1117"/>
      <c r="U1423" s="1137"/>
      <c r="V1423" s="1137"/>
    </row>
    <row r="1424" spans="1:22" s="562" customFormat="1" ht="12.75" customHeight="1">
      <c r="A1424" s="817"/>
      <c r="C1424" s="485"/>
      <c r="D1424" s="776"/>
      <c r="E1424" s="2475" t="s">
        <v>1155</v>
      </c>
      <c r="F1424" s="3461"/>
      <c r="G1424" s="815" t="str">
        <f>EUconst_tCO2pa</f>
        <v>t CO2 / year</v>
      </c>
      <c r="H1424" s="623" t="str">
        <f>IF($I1297="","",IF(INDEX(F_ProductBM!H:H,MATCH($P1424,F_ProductBM!$Q:$Q,0))="","",INDEX(F_ProductBM!H:H,MATCH($P1424,F_ProductBM!$Q:$Q,0))))</f>
        <v/>
      </c>
      <c r="I1424" s="800" t="str">
        <f>IF($I1297="","",IF(INDEX(F_ProductBM!I:I,MATCH($P1424,F_ProductBM!$Q:$Q,0))="","",INDEX(F_ProductBM!I:I,MATCH($P1424,F_ProductBM!$Q:$Q,0))))</f>
        <v/>
      </c>
      <c r="J1424" s="2174" t="str">
        <f>IF($I1297="","",IF(INDEX(F_ProductBM!J:J,MATCH($P1424,F_ProductBM!$Q:$Q,0))="","",INDEX(F_ProductBM!J:J,MATCH($P1424,F_ProductBM!$Q:$Q,0))))</f>
        <v/>
      </c>
      <c r="K1424" s="1788" t="str">
        <f>IF($I1297="","",IF(INDEX(F_ProductBM!K:K,MATCH($P1424,F_ProductBM!$Q:$Q,0))="","",INDEX(F_ProductBM!K:K,MATCH($P1424,F_ProductBM!$Q:$Q,0))))</f>
        <v/>
      </c>
      <c r="L1424" s="1789" t="str">
        <f>IF($I1297="","",IF(INDEX(F_ProductBM!L:L,MATCH($P1424,F_ProductBM!$Q:$Q,0))="","",INDEX(F_ProductBM!L:L,MATCH($P1424,F_ProductBM!$Q:$Q,0))))</f>
        <v/>
      </c>
      <c r="M1424" s="1789" t="str">
        <f>IF($I1297="","",IF(INDEX(F_ProductBM!M:M,MATCH($P1424,F_ProductBM!$Q:$Q,0))="","",INDEX(F_ProductBM!M:M,MATCH($P1424,F_ProductBM!$Q:$Q,0))))</f>
        <v/>
      </c>
      <c r="N1424" s="1789" t="str">
        <f>IF($I1297="","",IF(INDEX(F_ProductBM!N:N,MATCH($P1424,F_ProductBM!$Q:$Q,0))="","",INDEX(F_ProductBM!N:N,MATCH($P1424,F_ProductBM!$Q:$Q,0))))</f>
        <v/>
      </c>
      <c r="O1424" s="485"/>
      <c r="P1424" s="1970" t="str">
        <f>EUconst_CNTR_EmissionsIntSource2 &amp; I1297</f>
        <v>EmInternalSource2_</v>
      </c>
      <c r="Q1424" s="1137"/>
      <c r="R1424" s="1137"/>
      <c r="S1424" s="1137"/>
      <c r="T1424" s="1117"/>
      <c r="U1424" s="1137"/>
      <c r="V1424" s="1137"/>
    </row>
    <row r="1425" spans="1:22" s="562" customFormat="1" ht="12.75" customHeight="1">
      <c r="A1425" s="817"/>
      <c r="C1425" s="485"/>
      <c r="D1425" s="776"/>
      <c r="E1425" s="2475" t="s">
        <v>1156</v>
      </c>
      <c r="F1425" s="3461"/>
      <c r="G1425" s="815" t="str">
        <f>EUconst_tCO2epa</f>
        <v>t CO2e/year</v>
      </c>
      <c r="H1425" s="623" t="str">
        <f>IF($I1297="","",IF(INDEX(F_ProductBM!H:H,MATCH($P1425,F_ProductBM!$Q:$Q,0))="","",INDEX(F_ProductBM!H:H,MATCH($P1425,F_ProductBM!$Q:$Q,0))))</f>
        <v/>
      </c>
      <c r="I1425" s="800" t="str">
        <f>IF($I1297="","",IF(INDEX(F_ProductBM!I:I,MATCH($P1425,F_ProductBM!$Q:$Q,0))="","",INDEX(F_ProductBM!I:I,MATCH($P1425,F_ProductBM!$Q:$Q,0))))</f>
        <v/>
      </c>
      <c r="J1425" s="2174" t="str">
        <f>IF($I1297="","",IF(INDEX(F_ProductBM!J:J,MATCH($P1425,F_ProductBM!$Q:$Q,0))="","",INDEX(F_ProductBM!J:J,MATCH($P1425,F_ProductBM!$Q:$Q,0))))</f>
        <v/>
      </c>
      <c r="K1425" s="1788" t="str">
        <f>IF($I1297="","",IF(INDEX(F_ProductBM!K:K,MATCH($P1425,F_ProductBM!$Q:$Q,0))="","",INDEX(F_ProductBM!K:K,MATCH($P1425,F_ProductBM!$Q:$Q,0))))</f>
        <v/>
      </c>
      <c r="L1425" s="1789" t="str">
        <f>IF($I1297="","",IF(INDEX(F_ProductBM!L:L,MATCH($P1425,F_ProductBM!$Q:$Q,0))="","",INDEX(F_ProductBM!L:L,MATCH($P1425,F_ProductBM!$Q:$Q,0))))</f>
        <v/>
      </c>
      <c r="M1425" s="1789" t="str">
        <f>IF($I1297="","",IF(INDEX(F_ProductBM!M:M,MATCH($P1425,F_ProductBM!$Q:$Q,0))="","",INDEX(F_ProductBM!M:M,MATCH($P1425,F_ProductBM!$Q:$Q,0))))</f>
        <v/>
      </c>
      <c r="N1425" s="1789" t="str">
        <f>IF($I1297="","",IF(INDEX(F_ProductBM!N:N,MATCH($P1425,F_ProductBM!$Q:$Q,0))="","",INDEX(F_ProductBM!N:N,MATCH($P1425,F_ProductBM!$Q:$Q,0))))</f>
        <v/>
      </c>
      <c r="O1425" s="485"/>
      <c r="P1425" s="1970" t="str">
        <f>EUconst_CNTR_CO2Feedstock &amp; I1297</f>
        <v>EmCO2Feedstock_</v>
      </c>
      <c r="Q1425" s="1137"/>
      <c r="R1425" s="1137"/>
      <c r="S1425" s="1137"/>
      <c r="T1425" s="1137"/>
      <c r="U1425" s="1137"/>
      <c r="V1425" s="1137"/>
    </row>
    <row r="1426" spans="1:22" s="562" customFormat="1" ht="5.0999999999999996" customHeight="1">
      <c r="A1426" s="817"/>
      <c r="C1426" s="485"/>
      <c r="D1426" s="776"/>
      <c r="E1426" s="809"/>
      <c r="F1426" s="809"/>
      <c r="G1426" s="813"/>
      <c r="H1426" s="2173"/>
      <c r="I1426" s="2173"/>
      <c r="J1426" s="2173"/>
      <c r="K1426" s="1788"/>
      <c r="L1426" s="1789"/>
      <c r="M1426" s="1789"/>
      <c r="N1426" s="1789"/>
      <c r="O1426" s="485"/>
      <c r="P1426" s="1137"/>
      <c r="Q1426" s="1137"/>
      <c r="R1426" s="1137"/>
      <c r="S1426" s="1137"/>
      <c r="T1426" s="1137"/>
      <c r="U1426" s="1137"/>
      <c r="V1426" s="1137"/>
    </row>
    <row r="1427" spans="1:22" s="562" customFormat="1" ht="12.75" customHeight="1">
      <c r="A1427" s="817"/>
      <c r="C1427" s="485"/>
      <c r="D1427" s="776"/>
      <c r="E1427" s="2471" t="s">
        <v>1087</v>
      </c>
      <c r="F1427" s="3467"/>
      <c r="G1427" s="811" t="str">
        <f>EUconst_TJpa</f>
        <v>TJ / year</v>
      </c>
      <c r="H1427" s="625" t="str">
        <f>IF($I1297="","",IF(INDEX(F_ProductBM!H:H,MATCH($P1427,F_ProductBM!$Q:$Q,0))="","",INDEX(F_ProductBM!H:H,MATCH($P1427,F_ProductBM!$Q:$Q,0))))</f>
        <v/>
      </c>
      <c r="I1427" s="794" t="str">
        <f>IF($I1297="","",IF(INDEX(F_ProductBM!I:I,MATCH($P1427,F_ProductBM!$Q:$Q,0))="","",INDEX(F_ProductBM!I:I,MATCH($P1427,F_ProductBM!$Q:$Q,0))))</f>
        <v/>
      </c>
      <c r="J1427" s="2171" t="str">
        <f>IF($I1297="","",IF(INDEX(F_ProductBM!J:J,MATCH($P1427,F_ProductBM!$Q:$Q,0))="","",INDEX(F_ProductBM!J:J,MATCH($P1427,F_ProductBM!$Q:$Q,0))))</f>
        <v/>
      </c>
      <c r="K1427" s="1788" t="str">
        <f>IF($I1297="","",IF(INDEX(F_ProductBM!K:K,MATCH($P1427,F_ProductBM!$Q:$Q,0))="","",INDEX(F_ProductBM!K:K,MATCH($P1427,F_ProductBM!$Q:$Q,0))))</f>
        <v/>
      </c>
      <c r="L1427" s="1789" t="str">
        <f>IF($I1297="","",IF(INDEX(F_ProductBM!L:L,MATCH($P1427,F_ProductBM!$Q:$Q,0))="","",INDEX(F_ProductBM!L:L,MATCH($P1427,F_ProductBM!$Q:$Q,0))))</f>
        <v/>
      </c>
      <c r="M1427" s="1789" t="str">
        <f>IF($I1297="","",IF(INDEX(F_ProductBM!M:M,MATCH($P1427,F_ProductBM!$Q:$Q,0))="","",INDEX(F_ProductBM!M:M,MATCH($P1427,F_ProductBM!$Q:$Q,0))))</f>
        <v/>
      </c>
      <c r="N1427" s="1789" t="str">
        <f>IF($I1297="","",IF(INDEX(F_ProductBM!N:N,MATCH($P1427,F_ProductBM!$Q:$Q,0))="","",INDEX(F_ProductBM!N:N,MATCH($P1427,F_ProductBM!$Q:$Q,0))))</f>
        <v/>
      </c>
      <c r="O1427" s="485"/>
      <c r="P1427" s="1970" t="str">
        <f>EUconst_CNTR_HeatImport &amp; I1297</f>
        <v>HeatIm_</v>
      </c>
      <c r="Q1427" s="1137"/>
      <c r="R1427" s="1137"/>
      <c r="S1427" s="1137"/>
      <c r="T1427" s="1137"/>
      <c r="U1427" s="1137"/>
      <c r="V1427" s="1137"/>
    </row>
    <row r="1428" spans="1:22" s="562" customFormat="1" ht="12.75" customHeight="1">
      <c r="A1428" s="817"/>
      <c r="C1428" s="485"/>
      <c r="D1428" s="776"/>
      <c r="E1428" s="2473" t="s">
        <v>1103</v>
      </c>
      <c r="F1428" s="3466"/>
      <c r="G1428" s="812" t="str">
        <f>EUconst_tCO2pTJ</f>
        <v>t CO2 / TJ</v>
      </c>
      <c r="H1428" s="627" t="str">
        <f>IF($I1297="","",IF(INDEX(F_ProductBM!H:H,MATCH($P1428,F_ProductBM!$Q:$Q,0))="","",INDEX(F_ProductBM!H:H,MATCH($P1428,F_ProductBM!$Q:$Q,0))))</f>
        <v/>
      </c>
      <c r="I1428" s="796" t="str">
        <f>IF($I1297="","",IF(INDEX(F_ProductBM!I:I,MATCH($P1428,F_ProductBM!$Q:$Q,0))="","",INDEX(F_ProductBM!I:I,MATCH($P1428,F_ProductBM!$Q:$Q,0))))</f>
        <v/>
      </c>
      <c r="J1428" s="2172" t="str">
        <f>IF($I1297="","",IF(INDEX(F_ProductBM!J:J,MATCH($P1428,F_ProductBM!$Q:$Q,0))="","",INDEX(F_ProductBM!J:J,MATCH($P1428,F_ProductBM!$Q:$Q,0))))</f>
        <v/>
      </c>
      <c r="K1428" s="1788" t="str">
        <f>IF($I1297="","",IF(INDEX(F_ProductBM!K:K,MATCH($P1428,F_ProductBM!$Q:$Q,0))="","",INDEX(F_ProductBM!K:K,MATCH($P1428,F_ProductBM!$Q:$Q,0))))</f>
        <v/>
      </c>
      <c r="L1428" s="1789" t="str">
        <f>IF($I1297="","",IF(INDEX(F_ProductBM!L:L,MATCH($P1428,F_ProductBM!$Q:$Q,0))="","",INDEX(F_ProductBM!L:L,MATCH($P1428,F_ProductBM!$Q:$Q,0))))</f>
        <v/>
      </c>
      <c r="M1428" s="1789" t="str">
        <f>IF($I1297="","",IF(INDEX(F_ProductBM!M:M,MATCH($P1428,F_ProductBM!$Q:$Q,0))="","",INDEX(F_ProductBM!M:M,MATCH($P1428,F_ProductBM!$Q:$Q,0))))</f>
        <v/>
      </c>
      <c r="N1428" s="1789" t="str">
        <f>IF($I1297="","",IF(INDEX(F_ProductBM!N:N,MATCH($P1428,F_ProductBM!$Q:$Q,0))="","",INDEX(F_ProductBM!N:N,MATCH($P1428,F_ProductBM!$Q:$Q,0))))</f>
        <v/>
      </c>
      <c r="O1428" s="485"/>
      <c r="P1428" s="1970" t="str">
        <f>EUconst_CNTR_HeatImportEF &amp; I1297</f>
        <v>HeatImEF_</v>
      </c>
      <c r="Q1428" s="1137"/>
      <c r="R1428" s="1137"/>
      <c r="S1428" s="1137"/>
      <c r="T1428" s="1137"/>
      <c r="U1428" s="1137"/>
      <c r="V1428" s="1137"/>
    </row>
    <row r="1429" spans="1:22" s="562" customFormat="1" ht="5.0999999999999996" customHeight="1">
      <c r="A1429" s="817"/>
      <c r="C1429" s="485"/>
      <c r="D1429" s="776"/>
      <c r="E1429" s="809"/>
      <c r="F1429" s="809"/>
      <c r="G1429" s="813"/>
      <c r="H1429" s="2173"/>
      <c r="I1429" s="2173"/>
      <c r="J1429" s="2173"/>
      <c r="K1429" s="1788"/>
      <c r="L1429" s="1789"/>
      <c r="M1429" s="1789"/>
      <c r="N1429" s="1789"/>
      <c r="O1429" s="485"/>
      <c r="P1429" s="1117"/>
      <c r="Q1429" s="1137"/>
      <c r="R1429" s="1137"/>
      <c r="S1429" s="1137"/>
      <c r="T1429" s="1137"/>
      <c r="U1429" s="1137"/>
      <c r="V1429" s="1137"/>
    </row>
    <row r="1430" spans="1:22" s="562" customFormat="1" ht="12.75" customHeight="1">
      <c r="A1430" s="817"/>
      <c r="C1430" s="485"/>
      <c r="D1430" s="776"/>
      <c r="E1430" s="2475" t="s">
        <v>1150</v>
      </c>
      <c r="F1430" s="3461"/>
      <c r="G1430" s="815" t="str">
        <f>EUconst_TJpa</f>
        <v>TJ / year</v>
      </c>
      <c r="H1430" s="623" t="str">
        <f>IF($I1297="","",IF(INDEX(F_ProductBM!H:H,MATCH($P1430,F_ProductBM!$Q:$Q,0))="","",INDEX(F_ProductBM!H:H,MATCH($P1430,F_ProductBM!$Q:$Q,0))))</f>
        <v/>
      </c>
      <c r="I1430" s="800" t="str">
        <f>IF($I1297="","",IF(INDEX(F_ProductBM!I:I,MATCH($P1430,F_ProductBM!$Q:$Q,0))="","",INDEX(F_ProductBM!I:I,MATCH($P1430,F_ProductBM!$Q:$Q,0))))</f>
        <v/>
      </c>
      <c r="J1430" s="2174" t="str">
        <f>IF($I1297="","",IF(INDEX(F_ProductBM!J:J,MATCH($P1430,F_ProductBM!$Q:$Q,0))="","",INDEX(F_ProductBM!J:J,MATCH($P1430,F_ProductBM!$Q:$Q,0))))</f>
        <v/>
      </c>
      <c r="K1430" s="1788" t="str">
        <f>IF($I1297="","",IF(INDEX(F_ProductBM!K:K,MATCH($P1430,F_ProductBM!$Q:$Q,0))="","",INDEX(F_ProductBM!K:K,MATCH($P1430,F_ProductBM!$Q:$Q,0))))</f>
        <v/>
      </c>
      <c r="L1430" s="1789" t="str">
        <f>IF($I1297="","",IF(INDEX(F_ProductBM!L:L,MATCH($P1430,F_ProductBM!$Q:$Q,0))="","",INDEX(F_ProductBM!L:L,MATCH($P1430,F_ProductBM!$Q:$Q,0))))</f>
        <v/>
      </c>
      <c r="M1430" s="1789" t="str">
        <f>IF($I1297="","",IF(INDEX(F_ProductBM!M:M,MATCH($P1430,F_ProductBM!$Q:$Q,0))="","",INDEX(F_ProductBM!M:M,MATCH($P1430,F_ProductBM!$Q:$Q,0))))</f>
        <v/>
      </c>
      <c r="N1430" s="1789" t="str">
        <f>IF($I1297="","",IF(INDEX(F_ProductBM!N:N,MATCH($P1430,F_ProductBM!$Q:$Q,0))="","",INDEX(F_ProductBM!N:N,MATCH($P1430,F_ProductBM!$Q:$Q,0))))</f>
        <v/>
      </c>
      <c r="O1430" s="485"/>
      <c r="P1430" s="1970" t="str">
        <f>EUconst_CNTR_HeatImportPulp &amp; I1297</f>
        <v>HeatImPulp_</v>
      </c>
      <c r="Q1430" s="1137"/>
      <c r="R1430" s="1137"/>
      <c r="S1430" s="1137"/>
      <c r="T1430" s="1137"/>
      <c r="U1430" s="1137"/>
      <c r="V1430" s="1137"/>
    </row>
    <row r="1431" spans="1:22" s="562" customFormat="1" ht="12.75" customHeight="1">
      <c r="A1431" s="817"/>
      <c r="C1431" s="485"/>
      <c r="D1431" s="776"/>
      <c r="E1431" s="2475" t="s">
        <v>1149</v>
      </c>
      <c r="F1431" s="3461"/>
      <c r="G1431" s="815" t="str">
        <f>EUconst_TJpa</f>
        <v>TJ / year</v>
      </c>
      <c r="H1431" s="623" t="str">
        <f>IF($I1297="","",IF(INDEX(F_ProductBM!H:H,MATCH($P1431,F_ProductBM!$Q:$Q,0))="","",INDEX(F_ProductBM!H:H,MATCH($P1431,F_ProductBM!$Q:$Q,0))))</f>
        <v/>
      </c>
      <c r="I1431" s="800" t="str">
        <f>IF($I1297="","",IF(INDEX(F_ProductBM!I:I,MATCH($P1431,F_ProductBM!$Q:$Q,0))="","",INDEX(F_ProductBM!I:I,MATCH($P1431,F_ProductBM!$Q:$Q,0))))</f>
        <v/>
      </c>
      <c r="J1431" s="2174" t="str">
        <f>IF($I1297="","",IF(INDEX(F_ProductBM!J:J,MATCH($P1431,F_ProductBM!$Q:$Q,0))="","",INDEX(F_ProductBM!J:J,MATCH($P1431,F_ProductBM!$Q:$Q,0))))</f>
        <v/>
      </c>
      <c r="K1431" s="1788" t="str">
        <f>IF($I1297="","",IF(INDEX(F_ProductBM!K:K,MATCH($P1431,F_ProductBM!$Q:$Q,0))="","",INDEX(F_ProductBM!K:K,MATCH($P1431,F_ProductBM!$Q:$Q,0))))</f>
        <v/>
      </c>
      <c r="L1431" s="1789" t="str">
        <f>IF($I1297="","",IF(INDEX(F_ProductBM!L:L,MATCH($P1431,F_ProductBM!$Q:$Q,0))="","",INDEX(F_ProductBM!L:L,MATCH($P1431,F_ProductBM!$Q:$Q,0))))</f>
        <v/>
      </c>
      <c r="M1431" s="1789" t="str">
        <f>IF($I1297="","",IF(INDEX(F_ProductBM!M:M,MATCH($P1431,F_ProductBM!$Q:$Q,0))="","",INDEX(F_ProductBM!M:M,MATCH($P1431,F_ProductBM!$Q:$Q,0))))</f>
        <v/>
      </c>
      <c r="N1431" s="1789" t="str">
        <f>IF($I1297="","",IF(INDEX(F_ProductBM!N:N,MATCH($P1431,F_ProductBM!$Q:$Q,0))="","",INDEX(F_ProductBM!N:N,MATCH($P1431,F_ProductBM!$Q:$Q,0))))</f>
        <v/>
      </c>
      <c r="O1431" s="485"/>
      <c r="P1431" s="1970" t="str">
        <f>EUconst_CNTR_HeatImportNitric &amp; I1297</f>
        <v>HeatImNitric_</v>
      </c>
      <c r="Q1431" s="1137"/>
      <c r="R1431" s="1137"/>
      <c r="S1431" s="1137"/>
      <c r="T1431" s="1137"/>
      <c r="U1431" s="1137"/>
      <c r="V1431" s="1137"/>
    </row>
    <row r="1432" spans="1:22" s="562" customFormat="1" ht="5.0999999999999996" customHeight="1">
      <c r="A1432" s="817"/>
      <c r="C1432" s="485"/>
      <c r="D1432" s="776"/>
      <c r="E1432" s="809"/>
      <c r="F1432" s="809"/>
      <c r="G1432" s="777"/>
      <c r="H1432" s="2173"/>
      <c r="I1432" s="2173"/>
      <c r="J1432" s="2173"/>
      <c r="K1432" s="1788"/>
      <c r="L1432" s="1789"/>
      <c r="M1432" s="1789"/>
      <c r="N1432" s="1789"/>
      <c r="O1432" s="485"/>
      <c r="P1432" s="1117"/>
      <c r="Q1432" s="1137"/>
      <c r="R1432" s="1137"/>
      <c r="S1432" s="1137"/>
      <c r="T1432" s="1137"/>
      <c r="U1432" s="1137"/>
      <c r="V1432" s="1137"/>
    </row>
    <row r="1433" spans="1:22" s="562" customFormat="1" ht="12.75" customHeight="1">
      <c r="A1433" s="817"/>
      <c r="C1433" s="485"/>
      <c r="D1433" s="776"/>
      <c r="E1433" s="2471" t="s">
        <v>1079</v>
      </c>
      <c r="F1433" s="3467"/>
      <c r="G1433" s="811" t="str">
        <f>EUconst_TJpa</f>
        <v>TJ / year</v>
      </c>
      <c r="H1433" s="625" t="str">
        <f>IF($I1297="","",IF(INDEX(F_ProductBM!H:H,MATCH($P1433,F_ProductBM!$Q:$Q,0))="","",INDEX(F_ProductBM!H:H,MATCH($P1433,F_ProductBM!$Q:$Q,0))))</f>
        <v/>
      </c>
      <c r="I1433" s="794" t="str">
        <f>IF($I1297="","",IF(INDEX(F_ProductBM!I:I,MATCH($P1433,F_ProductBM!$Q:$Q,0))="","",INDEX(F_ProductBM!I:I,MATCH($P1433,F_ProductBM!$Q:$Q,0))))</f>
        <v/>
      </c>
      <c r="J1433" s="2171" t="str">
        <f>IF($I1297="","",IF(INDEX(F_ProductBM!J:J,MATCH($P1433,F_ProductBM!$Q:$Q,0))="","",INDEX(F_ProductBM!J:J,MATCH($P1433,F_ProductBM!$Q:$Q,0))))</f>
        <v/>
      </c>
      <c r="K1433" s="1788" t="str">
        <f>IF($I1297="","",IF(INDEX(F_ProductBM!K:K,MATCH($P1433,F_ProductBM!$Q:$Q,0))="","",INDEX(F_ProductBM!K:K,MATCH($P1433,F_ProductBM!$Q:$Q,0))))</f>
        <v/>
      </c>
      <c r="L1433" s="1789" t="str">
        <f>IF($I1297="","",IF(INDEX(F_ProductBM!L:L,MATCH($P1433,F_ProductBM!$Q:$Q,0))="","",INDEX(F_ProductBM!L:L,MATCH($P1433,F_ProductBM!$Q:$Q,0))))</f>
        <v/>
      </c>
      <c r="M1433" s="1789" t="str">
        <f>IF($I1297="","",IF(INDEX(F_ProductBM!M:M,MATCH($P1433,F_ProductBM!$Q:$Q,0))="","",INDEX(F_ProductBM!M:M,MATCH($P1433,F_ProductBM!$Q:$Q,0))))</f>
        <v/>
      </c>
      <c r="N1433" s="1789" t="str">
        <f>IF($I1297="","",IF(INDEX(F_ProductBM!N:N,MATCH($P1433,F_ProductBM!$Q:$Q,0))="","",INDEX(F_ProductBM!N:N,MATCH($P1433,F_ProductBM!$Q:$Q,0))))</f>
        <v/>
      </c>
      <c r="O1433" s="485"/>
      <c r="P1433" s="1970" t="str">
        <f>EUconst_CNTR_HeatExport &amp; I1297</f>
        <v>HeatEx_</v>
      </c>
      <c r="Q1433" s="1137"/>
      <c r="R1433" s="1137"/>
      <c r="S1433" s="1137"/>
      <c r="T1433" s="1137"/>
      <c r="U1433" s="1137"/>
      <c r="V1433" s="1137"/>
    </row>
    <row r="1434" spans="1:22" s="562" customFormat="1" ht="12.75" customHeight="1">
      <c r="A1434" s="817"/>
      <c r="C1434" s="485"/>
      <c r="D1434" s="776"/>
      <c r="E1434" s="2473" t="s">
        <v>1104</v>
      </c>
      <c r="F1434" s="3466"/>
      <c r="G1434" s="812" t="str">
        <f>EUconst_tCO2pTJ</f>
        <v>t CO2 / TJ</v>
      </c>
      <c r="H1434" s="627" t="str">
        <f>IF($I1297="","",IF(INDEX(F_ProductBM!H:H,MATCH($P1434,F_ProductBM!$Q:$Q,0))="","",INDEX(F_ProductBM!H:H,MATCH($P1434,F_ProductBM!$Q:$Q,0))))</f>
        <v/>
      </c>
      <c r="I1434" s="796" t="str">
        <f>IF($I1297="","",IF(INDEX(F_ProductBM!I:I,MATCH($P1434,F_ProductBM!$Q:$Q,0))="","",INDEX(F_ProductBM!I:I,MATCH($P1434,F_ProductBM!$Q:$Q,0))))</f>
        <v/>
      </c>
      <c r="J1434" s="2172" t="str">
        <f>IF($I1297="","",IF(INDEX(F_ProductBM!J:J,MATCH($P1434,F_ProductBM!$Q:$Q,0))="","",INDEX(F_ProductBM!J:J,MATCH($P1434,F_ProductBM!$Q:$Q,0))))</f>
        <v/>
      </c>
      <c r="K1434" s="1788" t="str">
        <f>IF($I1297="","",IF(INDEX(F_ProductBM!K:K,MATCH($P1434,F_ProductBM!$Q:$Q,0))="","",INDEX(F_ProductBM!K:K,MATCH($P1434,F_ProductBM!$Q:$Q,0))))</f>
        <v/>
      </c>
      <c r="L1434" s="1789" t="str">
        <f>IF($I1297="","",IF(INDEX(F_ProductBM!L:L,MATCH($P1434,F_ProductBM!$Q:$Q,0))="","",INDEX(F_ProductBM!L:L,MATCH($P1434,F_ProductBM!$Q:$Q,0))))</f>
        <v/>
      </c>
      <c r="M1434" s="1789" t="str">
        <f>IF($I1297="","",IF(INDEX(F_ProductBM!M:M,MATCH($P1434,F_ProductBM!$Q:$Q,0))="","",INDEX(F_ProductBM!M:M,MATCH($P1434,F_ProductBM!$Q:$Q,0))))</f>
        <v/>
      </c>
      <c r="N1434" s="1789" t="str">
        <f>IF($I1297="","",IF(INDEX(F_ProductBM!N:N,MATCH($P1434,F_ProductBM!$Q:$Q,0))="","",INDEX(F_ProductBM!N:N,MATCH($P1434,F_ProductBM!$Q:$Q,0))))</f>
        <v/>
      </c>
      <c r="O1434" s="485"/>
      <c r="P1434" s="1970" t="str">
        <f>EUconst_CNTR_HeatExportEF &amp; I1297</f>
        <v>HeatExEF_</v>
      </c>
      <c r="Q1434" s="1137"/>
      <c r="R1434" s="1137"/>
      <c r="S1434" s="1137"/>
      <c r="T1434" s="1137"/>
      <c r="U1434" s="1137"/>
      <c r="V1434" s="1137"/>
    </row>
    <row r="1435" spans="1:22" s="562" customFormat="1" ht="5.0999999999999996" customHeight="1">
      <c r="A1435" s="817"/>
      <c r="C1435" s="485"/>
      <c r="D1435" s="776"/>
      <c r="E1435" s="809"/>
      <c r="F1435" s="809"/>
      <c r="G1435" s="777"/>
      <c r="H1435" s="2173"/>
      <c r="I1435" s="2173"/>
      <c r="J1435" s="2173"/>
      <c r="K1435" s="1788"/>
      <c r="L1435" s="1789"/>
      <c r="M1435" s="1789"/>
      <c r="N1435" s="1789"/>
      <c r="O1435" s="485"/>
      <c r="P1435" s="1117"/>
      <c r="Q1435" s="1137"/>
      <c r="R1435" s="1137"/>
      <c r="S1435" s="1137"/>
      <c r="T1435" s="1137"/>
      <c r="U1435" s="1137"/>
      <c r="V1435" s="1137"/>
    </row>
    <row r="1436" spans="1:22" s="562" customFormat="1" ht="12.75" customHeight="1">
      <c r="A1436" s="817"/>
      <c r="C1436" s="485"/>
      <c r="D1436" s="776"/>
      <c r="E1436" s="2471" t="s">
        <v>1141</v>
      </c>
      <c r="F1436" s="3467"/>
      <c r="G1436" s="811" t="str">
        <f>EUconst_TJpa</f>
        <v>TJ / year</v>
      </c>
      <c r="H1436" s="625" t="str">
        <f>IF($I1297="","",IF(INDEX(F_ProductBM!H:H,MATCH($P1436,F_ProductBM!$Q:$Q,0))="","",INDEX(F_ProductBM!H:H,MATCH($P1436,F_ProductBM!$Q:$Q,0))))</f>
        <v/>
      </c>
      <c r="I1436" s="794" t="str">
        <f>IF($I1297="","",IF(INDEX(F_ProductBM!I:I,MATCH($P1436,F_ProductBM!$Q:$Q,0))="","",INDEX(F_ProductBM!I:I,MATCH($P1436,F_ProductBM!$Q:$Q,0))))</f>
        <v/>
      </c>
      <c r="J1436" s="2171" t="str">
        <f>IF($I1297="","",IF(INDEX(F_ProductBM!J:J,MATCH($P1436,F_ProductBM!$Q:$Q,0))="","",INDEX(F_ProductBM!J:J,MATCH($P1436,F_ProductBM!$Q:$Q,0))))</f>
        <v/>
      </c>
      <c r="K1436" s="1788" t="str">
        <f>IF($I1297="","",IF(INDEX(F_ProductBM!K:K,MATCH($P1436,F_ProductBM!$Q:$Q,0))="","",INDEX(F_ProductBM!K:K,MATCH($P1436,F_ProductBM!$Q:$Q,0))))</f>
        <v/>
      </c>
      <c r="L1436" s="1789" t="str">
        <f>IF($I1297="","",IF(INDEX(F_ProductBM!L:L,MATCH($P1436,F_ProductBM!$Q:$Q,0))="","",INDEX(F_ProductBM!L:L,MATCH($P1436,F_ProductBM!$Q:$Q,0))))</f>
        <v/>
      </c>
      <c r="M1436" s="1789" t="str">
        <f>IF($I1297="","",IF(INDEX(F_ProductBM!M:M,MATCH($P1436,F_ProductBM!$Q:$Q,0))="","",INDEX(F_ProductBM!M:M,MATCH($P1436,F_ProductBM!$Q:$Q,0))))</f>
        <v/>
      </c>
      <c r="N1436" s="1789" t="str">
        <f>IF($I1297="","",IF(INDEX(F_ProductBM!N:N,MATCH($P1436,F_ProductBM!$Q:$Q,0))="","",INDEX(F_ProductBM!N:N,MATCH($P1436,F_ProductBM!$Q:$Q,0))))</f>
        <v/>
      </c>
      <c r="O1436" s="485"/>
      <c r="P1436" s="2109" t="str">
        <f>EUconst_CNTR_WGProduced &amp; I1297</f>
        <v>WasteGasProd_</v>
      </c>
      <c r="Q1436" s="1137"/>
      <c r="R1436" s="1137"/>
      <c r="S1436" s="1137"/>
      <c r="T1436" s="1137"/>
      <c r="U1436" s="1137"/>
      <c r="V1436" s="1137"/>
    </row>
    <row r="1437" spans="1:22" s="562" customFormat="1" ht="12.75" customHeight="1">
      <c r="A1437" s="817"/>
      <c r="C1437" s="485"/>
      <c r="D1437" s="776"/>
      <c r="E1437" s="2473" t="s">
        <v>1258</v>
      </c>
      <c r="F1437" s="3466"/>
      <c r="G1437" s="812" t="str">
        <f>EUconst_tCO2pTJ</f>
        <v>t CO2 / TJ</v>
      </c>
      <c r="H1437" s="627" t="str">
        <f>IF($I1297="","",IF(INDEX(F_ProductBM!H:H,MATCH($P1437,F_ProductBM!$Q:$Q,0))="","",INDEX(F_ProductBM!H:H,MATCH($P1437,F_ProductBM!$Q:$Q,0))))</f>
        <v/>
      </c>
      <c r="I1437" s="796" t="str">
        <f>IF($I1297="","",IF(INDEX(F_ProductBM!I:I,MATCH($P1437,F_ProductBM!$Q:$Q,0))="","",INDEX(F_ProductBM!I:I,MATCH($P1437,F_ProductBM!$Q:$Q,0))))</f>
        <v/>
      </c>
      <c r="J1437" s="2172" t="str">
        <f>IF($I1297="","",IF(INDEX(F_ProductBM!J:J,MATCH($P1437,F_ProductBM!$Q:$Q,0))="","",INDEX(F_ProductBM!J:J,MATCH($P1437,F_ProductBM!$Q:$Q,0))))</f>
        <v/>
      </c>
      <c r="K1437" s="1788" t="str">
        <f>IF($I1297="","",IF(INDEX(F_ProductBM!K:K,MATCH($P1437,F_ProductBM!$Q:$Q,0))="","",INDEX(F_ProductBM!K:K,MATCH($P1437,F_ProductBM!$Q:$Q,0))))</f>
        <v/>
      </c>
      <c r="L1437" s="1789" t="str">
        <f>IF($I1297="","",IF(INDEX(F_ProductBM!L:L,MATCH($P1437,F_ProductBM!$Q:$Q,0))="","",INDEX(F_ProductBM!L:L,MATCH($P1437,F_ProductBM!$Q:$Q,0))))</f>
        <v/>
      </c>
      <c r="M1437" s="1789" t="str">
        <f>IF($I1297="","",IF(INDEX(F_ProductBM!M:M,MATCH($P1437,F_ProductBM!$Q:$Q,0))="","",INDEX(F_ProductBM!M:M,MATCH($P1437,F_ProductBM!$Q:$Q,0))))</f>
        <v/>
      </c>
      <c r="N1437" s="1789" t="str">
        <f>IF($I1297="","",IF(INDEX(F_ProductBM!N:N,MATCH($P1437,F_ProductBM!$Q:$Q,0))="","",INDEX(F_ProductBM!N:N,MATCH($P1437,F_ProductBM!$Q:$Q,0))))</f>
        <v/>
      </c>
      <c r="O1437" s="485"/>
      <c r="P1437" s="1970" t="str">
        <f>EUconst_CNTR_WGProducedEF &amp; I1297</f>
        <v>WasteGasProdEF_</v>
      </c>
      <c r="Q1437" s="1137"/>
      <c r="R1437" s="1137"/>
      <c r="S1437" s="1137"/>
      <c r="T1437" s="1137"/>
      <c r="U1437" s="1137"/>
      <c r="V1437" s="1137"/>
    </row>
    <row r="1438" spans="1:22" s="562" customFormat="1" ht="12.75" customHeight="1">
      <c r="A1438" s="817"/>
      <c r="C1438" s="485"/>
      <c r="D1438" s="776"/>
      <c r="E1438" s="2471" t="s">
        <v>1309</v>
      </c>
      <c r="F1438" s="3467"/>
      <c r="G1438" s="811" t="str">
        <f>EUconst_TJpa</f>
        <v>TJ / year</v>
      </c>
      <c r="H1438" s="625" t="str">
        <f>IF($I1297="","",IF(INDEX(F_ProductBM!H:H,MATCH($P1438,F_ProductBM!$Q:$Q,0))="","",INDEX(F_ProductBM!H:H,MATCH($P1438,F_ProductBM!$Q:$Q,0))))</f>
        <v/>
      </c>
      <c r="I1438" s="794" t="str">
        <f>IF($I1297="","",IF(INDEX(F_ProductBM!I:I,MATCH($P1438,F_ProductBM!$Q:$Q,0))="","",INDEX(F_ProductBM!I:I,MATCH($P1438,F_ProductBM!$Q:$Q,0))))</f>
        <v/>
      </c>
      <c r="J1438" s="2171" t="str">
        <f>IF($I1297="","",IF(INDEX(F_ProductBM!J:J,MATCH($P1438,F_ProductBM!$Q:$Q,0))="","",INDEX(F_ProductBM!J:J,MATCH($P1438,F_ProductBM!$Q:$Q,0))))</f>
        <v/>
      </c>
      <c r="K1438" s="1788" t="str">
        <f>IF($I1297="","",IF(INDEX(F_ProductBM!K:K,MATCH($P1438,F_ProductBM!$Q:$Q,0))="","",INDEX(F_ProductBM!K:K,MATCH($P1438,F_ProductBM!$Q:$Q,0))))</f>
        <v/>
      </c>
      <c r="L1438" s="1789" t="str">
        <f>IF($I1297="","",IF(INDEX(F_ProductBM!L:L,MATCH($P1438,F_ProductBM!$Q:$Q,0))="","",INDEX(F_ProductBM!L:L,MATCH($P1438,F_ProductBM!$Q:$Q,0))))</f>
        <v/>
      </c>
      <c r="M1438" s="1789" t="str">
        <f>IF($I1297="","",IF(INDEX(F_ProductBM!M:M,MATCH($P1438,F_ProductBM!$Q:$Q,0))="","",INDEX(F_ProductBM!M:M,MATCH($P1438,F_ProductBM!$Q:$Q,0))))</f>
        <v/>
      </c>
      <c r="N1438" s="1789" t="str">
        <f>IF($I1297="","",IF(INDEX(F_ProductBM!N:N,MATCH($P1438,F_ProductBM!$Q:$Q,0))="","",INDEX(F_ProductBM!N:N,MATCH($P1438,F_ProductBM!$Q:$Q,0))))</f>
        <v/>
      </c>
      <c r="O1438" s="485"/>
      <c r="P1438" s="1970" t="str">
        <f>EUconst_CNTR_WGConsumed &amp; I1297</f>
        <v>WasteGasCons_</v>
      </c>
      <c r="Q1438" s="1137"/>
      <c r="R1438" s="1137"/>
      <c r="S1438" s="1137"/>
      <c r="T1438" s="1137"/>
      <c r="U1438" s="1137"/>
      <c r="V1438" s="1137"/>
    </row>
    <row r="1439" spans="1:22" s="562" customFormat="1" ht="12.75" customHeight="1">
      <c r="A1439" s="817"/>
      <c r="C1439" s="485"/>
      <c r="D1439" s="776"/>
      <c r="E1439" s="2473" t="s">
        <v>1307</v>
      </c>
      <c r="F1439" s="3466"/>
      <c r="G1439" s="812" t="str">
        <f>EUconst_tCO2pTJ</f>
        <v>t CO2 / TJ</v>
      </c>
      <c r="H1439" s="627" t="str">
        <f>IF($I1297="","",IF(INDEX(F_ProductBM!H:H,MATCH($P1439,F_ProductBM!$Q:$Q,0))="","",INDEX(F_ProductBM!H:H,MATCH($P1439,F_ProductBM!$Q:$Q,0))))</f>
        <v/>
      </c>
      <c r="I1439" s="796" t="str">
        <f>IF($I1297="","",IF(INDEX(F_ProductBM!I:I,MATCH($P1439,F_ProductBM!$Q:$Q,0))="","",INDEX(F_ProductBM!I:I,MATCH($P1439,F_ProductBM!$Q:$Q,0))))</f>
        <v/>
      </c>
      <c r="J1439" s="2172" t="str">
        <f>IF($I1297="","",IF(INDEX(F_ProductBM!J:J,MATCH($P1439,F_ProductBM!$Q:$Q,0))="","",INDEX(F_ProductBM!J:J,MATCH($P1439,F_ProductBM!$Q:$Q,0))))</f>
        <v/>
      </c>
      <c r="K1439" s="1788" t="str">
        <f>IF($I1297="","",IF(INDEX(F_ProductBM!K:K,MATCH($P1439,F_ProductBM!$Q:$Q,0))="","",INDEX(F_ProductBM!K:K,MATCH($P1439,F_ProductBM!$Q:$Q,0))))</f>
        <v/>
      </c>
      <c r="L1439" s="1789" t="str">
        <f>IF($I1297="","",IF(INDEX(F_ProductBM!L:L,MATCH($P1439,F_ProductBM!$Q:$Q,0))="","",INDEX(F_ProductBM!L:L,MATCH($P1439,F_ProductBM!$Q:$Q,0))))</f>
        <v/>
      </c>
      <c r="M1439" s="1789" t="str">
        <f>IF($I1297="","",IF(INDEX(F_ProductBM!M:M,MATCH($P1439,F_ProductBM!$Q:$Q,0))="","",INDEX(F_ProductBM!M:M,MATCH($P1439,F_ProductBM!$Q:$Q,0))))</f>
        <v/>
      </c>
      <c r="N1439" s="1789" t="str">
        <f>IF($I1297="","",IF(INDEX(F_ProductBM!N:N,MATCH($P1439,F_ProductBM!$Q:$Q,0))="","",INDEX(F_ProductBM!N:N,MATCH($P1439,F_ProductBM!$Q:$Q,0))))</f>
        <v/>
      </c>
      <c r="O1439" s="485"/>
      <c r="P1439" s="1970" t="str">
        <f>EUconst_CNTR_WGConsumedEF &amp; I1297</f>
        <v>WasteGasConsEF_</v>
      </c>
      <c r="Q1439" s="1137"/>
      <c r="R1439" s="1137"/>
      <c r="S1439" s="1137"/>
      <c r="T1439" s="1137"/>
      <c r="U1439" s="1137"/>
      <c r="V1439" s="1137"/>
    </row>
    <row r="1440" spans="1:22" s="562" customFormat="1" ht="12.75" customHeight="1">
      <c r="A1440" s="817"/>
      <c r="C1440" s="485"/>
      <c r="D1440" s="776"/>
      <c r="E1440" s="2471" t="s">
        <v>1288</v>
      </c>
      <c r="F1440" s="3467"/>
      <c r="G1440" s="811" t="str">
        <f>EUconst_TJpa</f>
        <v>TJ / year</v>
      </c>
      <c r="H1440" s="625" t="str">
        <f>IF($I1297="","",IF(INDEX(F_ProductBM!H:H,MATCH($P1440,F_ProductBM!$Q:$Q,0))="","",INDEX(F_ProductBM!H:H,MATCH($P1440,F_ProductBM!$Q:$Q,0))))</f>
        <v/>
      </c>
      <c r="I1440" s="794" t="str">
        <f>IF($I1297="","",IF(INDEX(F_ProductBM!I:I,MATCH($P1440,F_ProductBM!$Q:$Q,0))="","",INDEX(F_ProductBM!I:I,MATCH($P1440,F_ProductBM!$Q:$Q,0))))</f>
        <v/>
      </c>
      <c r="J1440" s="2171" t="str">
        <f>IF($I1297="","",IF(INDEX(F_ProductBM!J:J,MATCH($P1440,F_ProductBM!$Q:$Q,0))="","",INDEX(F_ProductBM!J:J,MATCH($P1440,F_ProductBM!$Q:$Q,0))))</f>
        <v/>
      </c>
      <c r="K1440" s="1788" t="str">
        <f>IF($I1297="","",IF(INDEX(F_ProductBM!K:K,MATCH($P1440,F_ProductBM!$Q:$Q,0))="","",INDEX(F_ProductBM!K:K,MATCH($P1440,F_ProductBM!$Q:$Q,0))))</f>
        <v/>
      </c>
      <c r="L1440" s="1789" t="str">
        <f>IF($I1297="","",IF(INDEX(F_ProductBM!L:L,MATCH($P1440,F_ProductBM!$Q:$Q,0))="","",INDEX(F_ProductBM!L:L,MATCH($P1440,F_ProductBM!$Q:$Q,0))))</f>
        <v/>
      </c>
      <c r="M1440" s="1789" t="str">
        <f>IF($I1297="","",IF(INDEX(F_ProductBM!M:M,MATCH($P1440,F_ProductBM!$Q:$Q,0))="","",INDEX(F_ProductBM!M:M,MATCH($P1440,F_ProductBM!$Q:$Q,0))))</f>
        <v/>
      </c>
      <c r="N1440" s="1789" t="str">
        <f>IF($I1297="","",IF(INDEX(F_ProductBM!N:N,MATCH($P1440,F_ProductBM!$Q:$Q,0))="","",INDEX(F_ProductBM!N:N,MATCH($P1440,F_ProductBM!$Q:$Q,0))))</f>
        <v/>
      </c>
      <c r="O1440" s="485"/>
      <c r="P1440" s="1970" t="str">
        <f>EUconst_CNTR_WGFlared &amp; I1297</f>
        <v>WasteGasFlare_</v>
      </c>
      <c r="Q1440" s="1137"/>
      <c r="R1440" s="1137"/>
      <c r="S1440" s="1137"/>
      <c r="T1440" s="1137"/>
      <c r="U1440" s="1137"/>
      <c r="V1440" s="1137"/>
    </row>
    <row r="1441" spans="1:22" s="562" customFormat="1" ht="12.75" customHeight="1">
      <c r="A1441" s="817"/>
      <c r="C1441" s="485"/>
      <c r="D1441" s="776"/>
      <c r="E1441" s="2473" t="s">
        <v>1308</v>
      </c>
      <c r="F1441" s="3466"/>
      <c r="G1441" s="812" t="str">
        <f>EUconst_tCO2pTJ</f>
        <v>t CO2 / TJ</v>
      </c>
      <c r="H1441" s="627" t="str">
        <f>IF($I1297="","",IF(INDEX(F_ProductBM!H:H,MATCH($P1441,F_ProductBM!$Q:$Q,0))="","",INDEX(F_ProductBM!H:H,MATCH($P1441,F_ProductBM!$Q:$Q,0))))</f>
        <v/>
      </c>
      <c r="I1441" s="796" t="str">
        <f>IF($I1297="","",IF(INDEX(F_ProductBM!I:I,MATCH($P1441,F_ProductBM!$Q:$Q,0))="","",INDEX(F_ProductBM!I:I,MATCH($P1441,F_ProductBM!$Q:$Q,0))))</f>
        <v/>
      </c>
      <c r="J1441" s="2172" t="str">
        <f>IF($I1297="","",IF(INDEX(F_ProductBM!J:J,MATCH($P1441,F_ProductBM!$Q:$Q,0))="","",INDEX(F_ProductBM!J:J,MATCH($P1441,F_ProductBM!$Q:$Q,0))))</f>
        <v/>
      </c>
      <c r="K1441" s="1788" t="str">
        <f>IF($I1297="","",IF(INDEX(F_ProductBM!K:K,MATCH($P1441,F_ProductBM!$Q:$Q,0))="","",INDEX(F_ProductBM!K:K,MATCH($P1441,F_ProductBM!$Q:$Q,0))))</f>
        <v/>
      </c>
      <c r="L1441" s="1789" t="str">
        <f>IF($I1297="","",IF(INDEX(F_ProductBM!L:L,MATCH($P1441,F_ProductBM!$Q:$Q,0))="","",INDEX(F_ProductBM!L:L,MATCH($P1441,F_ProductBM!$Q:$Q,0))))</f>
        <v/>
      </c>
      <c r="M1441" s="1789" t="str">
        <f>IF($I1297="","",IF(INDEX(F_ProductBM!M:M,MATCH($P1441,F_ProductBM!$Q:$Q,0))="","",INDEX(F_ProductBM!M:M,MATCH($P1441,F_ProductBM!$Q:$Q,0))))</f>
        <v/>
      </c>
      <c r="N1441" s="1789" t="str">
        <f>IF($I1297="","",IF(INDEX(F_ProductBM!N:N,MATCH($P1441,F_ProductBM!$Q:$Q,0))="","",INDEX(F_ProductBM!N:N,MATCH($P1441,F_ProductBM!$Q:$Q,0))))</f>
        <v/>
      </c>
      <c r="O1441" s="485"/>
      <c r="P1441" s="1970" t="str">
        <f>EUconst_CNTR_WGFlaredEF &amp; I1297</f>
        <v>WasteGasFlareEF_</v>
      </c>
      <c r="Q1441" s="1137"/>
      <c r="R1441" s="1137"/>
      <c r="S1441" s="1137"/>
      <c r="T1441" s="1137"/>
      <c r="U1441" s="1137"/>
      <c r="V1441" s="1137"/>
    </row>
    <row r="1442" spans="1:22" s="562" customFormat="1" ht="12.75" customHeight="1">
      <c r="A1442" s="817"/>
      <c r="C1442" s="485"/>
      <c r="D1442" s="776"/>
      <c r="E1442" s="2471" t="s">
        <v>1102</v>
      </c>
      <c r="F1442" s="3467"/>
      <c r="G1442" s="811" t="str">
        <f>EUconst_TJpa</f>
        <v>TJ / year</v>
      </c>
      <c r="H1442" s="625" t="str">
        <f>IF($I1297="","",IF(INDEX(F_ProductBM!H:H,MATCH($P1442,F_ProductBM!$Q:$Q,0))="","",INDEX(F_ProductBM!H:H,MATCH($P1442,F_ProductBM!$Q:$Q,0))))</f>
        <v/>
      </c>
      <c r="I1442" s="794" t="str">
        <f>IF($I1297="","",IF(INDEX(F_ProductBM!I:I,MATCH($P1442,F_ProductBM!$Q:$Q,0))="","",INDEX(F_ProductBM!I:I,MATCH($P1442,F_ProductBM!$Q:$Q,0))))</f>
        <v/>
      </c>
      <c r="J1442" s="2171" t="str">
        <f>IF($I1297="","",IF(INDEX(F_ProductBM!J:J,MATCH($P1442,F_ProductBM!$Q:$Q,0))="","",INDEX(F_ProductBM!J:J,MATCH($P1442,F_ProductBM!$Q:$Q,0))))</f>
        <v/>
      </c>
      <c r="K1442" s="1788" t="str">
        <f>IF($I1297="","",IF(INDEX(F_ProductBM!K:K,MATCH($P1442,F_ProductBM!$Q:$Q,0))="","",INDEX(F_ProductBM!K:K,MATCH($P1442,F_ProductBM!$Q:$Q,0))))</f>
        <v/>
      </c>
      <c r="L1442" s="1789" t="str">
        <f>IF($I1297="","",IF(INDEX(F_ProductBM!L:L,MATCH($P1442,F_ProductBM!$Q:$Q,0))="","",INDEX(F_ProductBM!L:L,MATCH($P1442,F_ProductBM!$Q:$Q,0))))</f>
        <v/>
      </c>
      <c r="M1442" s="1789" t="str">
        <f>IF($I1297="","",IF(INDEX(F_ProductBM!M:M,MATCH($P1442,F_ProductBM!$Q:$Q,0))="","",INDEX(F_ProductBM!M:M,MATCH($P1442,F_ProductBM!$Q:$Q,0))))</f>
        <v/>
      </c>
      <c r="N1442" s="1789" t="str">
        <f>IF($I1297="","",IF(INDEX(F_ProductBM!N:N,MATCH($P1442,F_ProductBM!$Q:$Q,0))="","",INDEX(F_ProductBM!N:N,MATCH($P1442,F_ProductBM!$Q:$Q,0))))</f>
        <v/>
      </c>
      <c r="O1442" s="485"/>
      <c r="P1442" s="1970" t="str">
        <f>EUconst_CNTR_WGImport &amp; I1297</f>
        <v>WasteGasIm_</v>
      </c>
      <c r="Q1442" s="1137"/>
      <c r="R1442" s="1137"/>
      <c r="S1442" s="1137"/>
      <c r="T1442" s="1137"/>
      <c r="U1442" s="1137"/>
      <c r="V1442" s="1137"/>
    </row>
    <row r="1443" spans="1:22" s="562" customFormat="1" ht="12.75" customHeight="1">
      <c r="A1443" s="817"/>
      <c r="C1443" s="485"/>
      <c r="D1443" s="776"/>
      <c r="E1443" s="816" t="s">
        <v>1275</v>
      </c>
      <c r="F1443" s="816"/>
      <c r="G1443" s="812" t="str">
        <f>EUconst_tCO2pTJ</f>
        <v>t CO2 / TJ</v>
      </c>
      <c r="H1443" s="627" t="str">
        <f>IF($I1297="","",IF(INDEX(F_ProductBM!H:H,MATCH($P1443,F_ProductBM!$Q:$Q,0))="","",INDEX(F_ProductBM!H:H,MATCH($P1443,F_ProductBM!$Q:$Q,0))))</f>
        <v/>
      </c>
      <c r="I1443" s="796" t="str">
        <f>IF($I1297="","",IF(INDEX(F_ProductBM!I:I,MATCH($P1443,F_ProductBM!$Q:$Q,0))="","",INDEX(F_ProductBM!I:I,MATCH($P1443,F_ProductBM!$Q:$Q,0))))</f>
        <v/>
      </c>
      <c r="J1443" s="2172" t="str">
        <f>IF($I1297="","",IF(INDEX(F_ProductBM!J:J,MATCH($P1443,F_ProductBM!$Q:$Q,0))="","",INDEX(F_ProductBM!J:J,MATCH($P1443,F_ProductBM!$Q:$Q,0))))</f>
        <v/>
      </c>
      <c r="K1443" s="1788" t="str">
        <f>IF($I1297="","",IF(INDEX(F_ProductBM!K:K,MATCH($P1443,F_ProductBM!$Q:$Q,0))="","",INDEX(F_ProductBM!K:K,MATCH($P1443,F_ProductBM!$Q:$Q,0))))</f>
        <v/>
      </c>
      <c r="L1443" s="1789" t="str">
        <f>IF($I1297="","",IF(INDEX(F_ProductBM!L:L,MATCH($P1443,F_ProductBM!$Q:$Q,0))="","",INDEX(F_ProductBM!L:L,MATCH($P1443,F_ProductBM!$Q:$Q,0))))</f>
        <v/>
      </c>
      <c r="M1443" s="1789" t="str">
        <f>IF($I1297="","",IF(INDEX(F_ProductBM!M:M,MATCH($P1443,F_ProductBM!$Q:$Q,0))="","",INDEX(F_ProductBM!M:M,MATCH($P1443,F_ProductBM!$Q:$Q,0))))</f>
        <v/>
      </c>
      <c r="N1443" s="1789" t="str">
        <f>IF($I1297="","",IF(INDEX(F_ProductBM!N:N,MATCH($P1443,F_ProductBM!$Q:$Q,0))="","",INDEX(F_ProductBM!N:N,MATCH($P1443,F_ProductBM!$Q:$Q,0))))</f>
        <v/>
      </c>
      <c r="O1443" s="485"/>
      <c r="P1443" s="1970" t="str">
        <f>EUconst_CNTR_WGImportEF &amp; I1297</f>
        <v>WasteGasImEF_</v>
      </c>
      <c r="Q1443" s="1137"/>
      <c r="R1443" s="1137"/>
      <c r="S1443" s="1137"/>
      <c r="T1443" s="1137"/>
      <c r="U1443" s="1137"/>
      <c r="V1443" s="1137"/>
    </row>
    <row r="1444" spans="1:22" s="562" customFormat="1" ht="12.75" customHeight="1">
      <c r="A1444" s="817"/>
      <c r="C1444" s="485"/>
      <c r="D1444" s="776"/>
      <c r="E1444" s="2471" t="s">
        <v>1080</v>
      </c>
      <c r="F1444" s="3467"/>
      <c r="G1444" s="811" t="str">
        <f>EUconst_TJpa</f>
        <v>TJ / year</v>
      </c>
      <c r="H1444" s="625" t="str">
        <f>IF($I1297="","",IF(INDEX(F_ProductBM!H:H,MATCH($P1444,F_ProductBM!$Q:$Q,0))="","",INDEX(F_ProductBM!H:H,MATCH($P1444,F_ProductBM!$Q:$Q,0))))</f>
        <v/>
      </c>
      <c r="I1444" s="794" t="str">
        <f>IF($I1297="","",IF(INDEX(F_ProductBM!I:I,MATCH($P1444,F_ProductBM!$Q:$Q,0))="","",INDEX(F_ProductBM!I:I,MATCH($P1444,F_ProductBM!$Q:$Q,0))))</f>
        <v/>
      </c>
      <c r="J1444" s="2171" t="str">
        <f>IF($I1297="","",IF(INDEX(F_ProductBM!J:J,MATCH($P1444,F_ProductBM!$Q:$Q,0))="","",INDEX(F_ProductBM!J:J,MATCH($P1444,F_ProductBM!$Q:$Q,0))))</f>
        <v/>
      </c>
      <c r="K1444" s="1788" t="str">
        <f>IF($I1297="","",IF(INDEX(F_ProductBM!K:K,MATCH($P1444,F_ProductBM!$Q:$Q,0))="","",INDEX(F_ProductBM!K:K,MATCH($P1444,F_ProductBM!$Q:$Q,0))))</f>
        <v/>
      </c>
      <c r="L1444" s="1789" t="str">
        <f>IF($I1297="","",IF(INDEX(F_ProductBM!L:L,MATCH($P1444,F_ProductBM!$Q:$Q,0))="","",INDEX(F_ProductBM!L:L,MATCH($P1444,F_ProductBM!$Q:$Q,0))))</f>
        <v/>
      </c>
      <c r="M1444" s="1789" t="str">
        <f>IF($I1297="","",IF(INDEX(F_ProductBM!M:M,MATCH($P1444,F_ProductBM!$Q:$Q,0))="","",INDEX(F_ProductBM!M:M,MATCH($P1444,F_ProductBM!$Q:$Q,0))))</f>
        <v/>
      </c>
      <c r="N1444" s="1789" t="str">
        <f>IF($I1297="","",IF(INDEX(F_ProductBM!N:N,MATCH($P1444,F_ProductBM!$Q:$Q,0))="","",INDEX(F_ProductBM!N:N,MATCH($P1444,F_ProductBM!$Q:$Q,0))))</f>
        <v/>
      </c>
      <c r="O1444" s="485"/>
      <c r="P1444" s="1970" t="str">
        <f>EUconst_CNTR_WGExport &amp; I1297</f>
        <v>WasteGasEx_</v>
      </c>
      <c r="Q1444" s="1137"/>
      <c r="R1444" s="1137"/>
      <c r="S1444" s="1137"/>
      <c r="T1444" s="1137"/>
      <c r="U1444" s="1137"/>
      <c r="V1444" s="1137"/>
    </row>
    <row r="1445" spans="1:22" s="562" customFormat="1" ht="12.75" customHeight="1">
      <c r="A1445" s="817"/>
      <c r="C1445" s="485"/>
      <c r="D1445" s="776"/>
      <c r="E1445" s="2473" t="s">
        <v>1276</v>
      </c>
      <c r="F1445" s="3466"/>
      <c r="G1445" s="812" t="str">
        <f>EUconst_tCO2pTJ</f>
        <v>t CO2 / TJ</v>
      </c>
      <c r="H1445" s="627" t="str">
        <f>IF($I1297="","",IF(INDEX(F_ProductBM!H:H,MATCH($P1445,F_ProductBM!$Q:$Q,0))="","",INDEX(F_ProductBM!H:H,MATCH($P1445,F_ProductBM!$Q:$Q,0))))</f>
        <v/>
      </c>
      <c r="I1445" s="796" t="str">
        <f>IF($I1297="","",IF(INDEX(F_ProductBM!I:I,MATCH($P1445,F_ProductBM!$Q:$Q,0))="","",INDEX(F_ProductBM!I:I,MATCH($P1445,F_ProductBM!$Q:$Q,0))))</f>
        <v/>
      </c>
      <c r="J1445" s="2172" t="str">
        <f>IF($I1297="","",IF(INDEX(F_ProductBM!J:J,MATCH($P1445,F_ProductBM!$Q:$Q,0))="","",INDEX(F_ProductBM!J:J,MATCH($P1445,F_ProductBM!$Q:$Q,0))))</f>
        <v/>
      </c>
      <c r="K1445" s="1788" t="str">
        <f>IF($I1297="","",IF(INDEX(F_ProductBM!K:K,MATCH($P1445,F_ProductBM!$Q:$Q,0))="","",INDEX(F_ProductBM!K:K,MATCH($P1445,F_ProductBM!$Q:$Q,0))))</f>
        <v/>
      </c>
      <c r="L1445" s="1789" t="str">
        <f>IF($I1297="","",IF(INDEX(F_ProductBM!L:L,MATCH($P1445,F_ProductBM!$Q:$Q,0))="","",INDEX(F_ProductBM!L:L,MATCH($P1445,F_ProductBM!$Q:$Q,0))))</f>
        <v/>
      </c>
      <c r="M1445" s="1789" t="str">
        <f>IF($I1297="","",IF(INDEX(F_ProductBM!M:M,MATCH($P1445,F_ProductBM!$Q:$Q,0))="","",INDEX(F_ProductBM!M:M,MATCH($P1445,F_ProductBM!$Q:$Q,0))))</f>
        <v/>
      </c>
      <c r="N1445" s="1789" t="str">
        <f>IF($I1297="","",IF(INDEX(F_ProductBM!N:N,MATCH($P1445,F_ProductBM!$Q:$Q,0))="","",INDEX(F_ProductBM!N:N,MATCH($P1445,F_ProductBM!$Q:$Q,0))))</f>
        <v/>
      </c>
      <c r="O1445" s="485"/>
      <c r="P1445" s="1970" t="str">
        <f>EUconst_CNTR_WGExportEF &amp; I1297</f>
        <v>WasteGasExEF_</v>
      </c>
      <c r="Q1445" s="1137"/>
      <c r="R1445" s="1137"/>
      <c r="S1445" s="1137"/>
      <c r="T1445" s="1137"/>
      <c r="U1445" s="1137"/>
      <c r="V1445" s="1137"/>
    </row>
    <row r="1446" spans="1:22" s="562" customFormat="1" ht="5.0999999999999996" customHeight="1">
      <c r="A1446" s="817"/>
      <c r="C1446" s="485"/>
      <c r="D1446" s="776"/>
      <c r="E1446" s="809"/>
      <c r="F1446" s="809"/>
      <c r="G1446" s="777"/>
      <c r="H1446" s="2173"/>
      <c r="I1446" s="2173"/>
      <c r="J1446" s="2173"/>
      <c r="K1446" s="1788"/>
      <c r="L1446" s="1789"/>
      <c r="M1446" s="1789"/>
      <c r="N1446" s="1789"/>
      <c r="O1446" s="485"/>
      <c r="P1446" s="1117"/>
      <c r="Q1446" s="1137"/>
      <c r="R1446" s="1137"/>
      <c r="S1446" s="1137"/>
      <c r="T1446" s="1137"/>
      <c r="U1446" s="1137"/>
      <c r="V1446" s="1137"/>
    </row>
    <row r="1447" spans="1:22" s="562" customFormat="1" ht="12.75" customHeight="1">
      <c r="A1447" s="817"/>
      <c r="C1447" s="485"/>
      <c r="D1447" s="776"/>
      <c r="E1447" s="2475" t="s">
        <v>914</v>
      </c>
      <c r="F1447" s="3461"/>
      <c r="G1447" s="815" t="str">
        <f>EUconst_MWhpa</f>
        <v>MWh / year</v>
      </c>
      <c r="H1447" s="623" t="str">
        <f>IF($I1297="","",IF(INDEX(F_ProductBM!H:H,MATCH($P1447,F_ProductBM!$R:$R,0))="","",INDEX(F_ProductBM!H:H,MATCH($P1447,F_ProductBM!$R:$R,0))))</f>
        <v/>
      </c>
      <c r="I1447" s="800" t="str">
        <f>IF($I1297="","",IF(INDEX(F_ProductBM!I:I,MATCH($P1447,F_ProductBM!$R:$R,0))="","",INDEX(F_ProductBM!I:I,MATCH($P1447,F_ProductBM!$R:$R,0))))</f>
        <v/>
      </c>
      <c r="J1447" s="2174" t="str">
        <f>IF($I1297="","",IF(INDEX(F_ProductBM!J:J,MATCH($P1447,F_ProductBM!$R:$R,0))="","",INDEX(F_ProductBM!J:J,MATCH($P1447,F_ProductBM!$R:$R,0))))</f>
        <v/>
      </c>
      <c r="K1447" s="1788" t="str">
        <f>IF($I1297="","",IF(INDEX(F_ProductBM!K:K,MATCH($P1447,F_ProductBM!$R:$R,0))="","",INDEX(F_ProductBM!K:K,MATCH($P1447,F_ProductBM!$R:$R,0))))</f>
        <v/>
      </c>
      <c r="L1447" s="1789" t="str">
        <f>IF($I1297="","",IF(INDEX(F_ProductBM!L:L,MATCH($P1447,F_ProductBM!$R:$R,0))="","",INDEX(F_ProductBM!L:L,MATCH($P1447,F_ProductBM!$R:$R,0))))</f>
        <v/>
      </c>
      <c r="M1447" s="1789" t="str">
        <f>IF($I1297="","",IF(INDEX(F_ProductBM!M:M,MATCH($P1447,F_ProductBM!$R:$R,0))="","",INDEX(F_ProductBM!M:M,MATCH($P1447,F_ProductBM!$R:$R,0))))</f>
        <v/>
      </c>
      <c r="N1447" s="1789" t="str">
        <f>IF($I1297="","",IF(INDEX(F_ProductBM!N:N,MATCH($P1447,F_ProductBM!$R:$R,0))="","",INDEX(F_ProductBM!N:N,MATCH($P1447,F_ProductBM!$R:$R,0))))</f>
        <v/>
      </c>
      <c r="O1447" s="485"/>
      <c r="P1447" s="1158" t="str">
        <f>EUconst_CNTR_HAL&amp;EUconst_CNTR_ELEXCH &amp; I1297</f>
        <v>HAL_ELEXCH_</v>
      </c>
      <c r="Q1447" s="1137"/>
      <c r="R1447" s="1137"/>
      <c r="S1447" s="1137"/>
      <c r="T1447" s="1137"/>
      <c r="U1447" s="1137"/>
      <c r="V1447" s="1137"/>
    </row>
    <row r="1448" spans="1:22" s="562" customFormat="1" ht="12.75" customHeight="1">
      <c r="A1448" s="817"/>
      <c r="C1448" s="485"/>
      <c r="D1448" s="776"/>
      <c r="E1448" s="2475" t="s">
        <v>1354</v>
      </c>
      <c r="F1448" s="3461"/>
      <c r="G1448" s="815" t="str">
        <f>EUconst_MWhpa</f>
        <v>MWh / year</v>
      </c>
      <c r="H1448" s="623" t="str">
        <f>IF($I1297="","",IF(INDEX(F_ProductBM!H:H,MATCH($P1448,F_ProductBM!$Q:$Q,0))="","",INDEX(F_ProductBM!H:H,MATCH($P1448,F_ProductBM!$Q:$Q,0))))</f>
        <v/>
      </c>
      <c r="I1448" s="800" t="str">
        <f>IF($I1297="","",IF(INDEX(F_ProductBM!I:I,MATCH($P1448,F_ProductBM!$Q:$Q,0))="","",INDEX(F_ProductBM!I:I,MATCH($P1448,F_ProductBM!$Q:$Q,0))))</f>
        <v/>
      </c>
      <c r="J1448" s="2174" t="str">
        <f>IF($I1297="","",IF(INDEX(F_ProductBM!J:J,MATCH($P1448,F_ProductBM!$Q:$Q,0))="","",INDEX(F_ProductBM!J:J,MATCH($P1448,F_ProductBM!$Q:$Q,0))))</f>
        <v/>
      </c>
      <c r="K1448" s="1788" t="str">
        <f>IF($I1297="","",IF(INDEX(F_ProductBM!K:K,MATCH($P1448,F_ProductBM!$Q:$Q,0))="","",INDEX(F_ProductBM!K:K,MATCH($P1448,F_ProductBM!$Q:$Q,0))))</f>
        <v/>
      </c>
      <c r="L1448" s="1789" t="str">
        <f>IF($I1297="","",IF(INDEX(F_ProductBM!L:L,MATCH($P1448,F_ProductBM!$Q:$Q,0))="","",INDEX(F_ProductBM!L:L,MATCH($P1448,F_ProductBM!$Q:$Q,0))))</f>
        <v/>
      </c>
      <c r="M1448" s="1789" t="str">
        <f>IF($I1297="","",IF(INDEX(F_ProductBM!M:M,MATCH($P1448,F_ProductBM!$Q:$Q,0))="","",INDEX(F_ProductBM!M:M,MATCH($P1448,F_ProductBM!$Q:$Q,0))))</f>
        <v/>
      </c>
      <c r="N1448" s="1789" t="str">
        <f>IF($I1297="","",IF(INDEX(F_ProductBM!N:N,MATCH($P1448,F_ProductBM!$Q:$Q,0))="","",INDEX(F_ProductBM!N:N,MATCH($P1448,F_ProductBM!$Q:$Q,0))))</f>
        <v/>
      </c>
      <c r="O1448" s="485"/>
      <c r="P1448" s="1970" t="str">
        <f>EUconst_CNTR_ElectricityExported &amp; I1297</f>
        <v>ElecEx_</v>
      </c>
      <c r="Q1448" s="1137"/>
      <c r="R1448" s="1137"/>
      <c r="S1448" s="1137"/>
      <c r="T1448" s="1137"/>
      <c r="U1448" s="1137"/>
      <c r="V1448" s="1137"/>
    </row>
    <row r="1449" spans="1:22" s="562" customFormat="1" ht="5.0999999999999996" customHeight="1">
      <c r="A1449" s="817"/>
      <c r="C1449" s="485"/>
      <c r="D1449" s="776"/>
      <c r="E1449" s="809"/>
      <c r="F1449" s="809"/>
      <c r="G1449" s="777"/>
      <c r="H1449" s="2173"/>
      <c r="I1449" s="2173"/>
      <c r="J1449" s="2173"/>
      <c r="K1449" s="1788"/>
      <c r="L1449" s="1789"/>
      <c r="M1449" s="1789"/>
      <c r="N1449" s="1789"/>
      <c r="O1449" s="485"/>
      <c r="P1449" s="1117"/>
      <c r="Q1449" s="1137"/>
      <c r="R1449" s="1137"/>
      <c r="S1449" s="1137"/>
      <c r="T1449" s="1137"/>
      <c r="U1449" s="1137"/>
      <c r="V1449" s="1137"/>
    </row>
    <row r="1450" spans="1:22" s="562" customFormat="1" ht="12.75" customHeight="1">
      <c r="A1450" s="817"/>
      <c r="C1450" s="485"/>
      <c r="D1450" s="776"/>
      <c r="E1450" s="2475" t="s">
        <v>1157</v>
      </c>
      <c r="F1450" s="3461"/>
      <c r="G1450" s="815" t="str">
        <f>EUconst_Tons</f>
        <v>tonnes</v>
      </c>
      <c r="H1450" s="623" t="str">
        <f>IF($I1297="","",IF(INDEX(F_ProductBM!H:H,MATCH($P1450,F_ProductBM!$Q:$Q,0))="","",INDEX(F_ProductBM!H:H,MATCH($P1450,F_ProductBM!$Q:$Q,0))))</f>
        <v/>
      </c>
      <c r="I1450" s="800" t="str">
        <f>IF($I1297="","",IF(INDEX(F_ProductBM!I:I,MATCH($P1450,F_ProductBM!$Q:$Q,0))="","",INDEX(F_ProductBM!I:I,MATCH($P1450,F_ProductBM!$Q:$Q,0))))</f>
        <v/>
      </c>
      <c r="J1450" s="2174" t="str">
        <f>IF($I1297="","",IF(INDEX(F_ProductBM!J:J,MATCH($P1450,F_ProductBM!$Q:$Q,0))="","",INDEX(F_ProductBM!J:J,MATCH($P1450,F_ProductBM!$Q:$Q,0))))</f>
        <v/>
      </c>
      <c r="K1450" s="1788" t="str">
        <f>IF($I1297="","",IF(INDEX(F_ProductBM!K:K,MATCH($P1450,F_ProductBM!$Q:$Q,0))="","",INDEX(F_ProductBM!K:K,MATCH($P1450,F_ProductBM!$Q:$Q,0))))</f>
        <v/>
      </c>
      <c r="L1450" s="1789" t="str">
        <f>IF($I1297="","",IF(INDEX(F_ProductBM!L:L,MATCH($P1450,F_ProductBM!$Q:$Q,0))="","",INDEX(F_ProductBM!L:L,MATCH($P1450,F_ProductBM!$Q:$Q,0))))</f>
        <v/>
      </c>
      <c r="M1450" s="1789" t="str">
        <f>IF($I1297="","",IF(INDEX(F_ProductBM!M:M,MATCH($P1450,F_ProductBM!$Q:$Q,0))="","",INDEX(F_ProductBM!M:M,MATCH($P1450,F_ProductBM!$Q:$Q,0))))</f>
        <v/>
      </c>
      <c r="N1450" s="1789" t="str">
        <f>IF($I1297="","",IF(INDEX(F_ProductBM!N:N,MATCH($P1450,F_ProductBM!$Q:$Q,0))="","",INDEX(F_ProductBM!N:N,MATCH($P1450,F_ProductBM!$Q:$Q,0))))</f>
        <v/>
      </c>
      <c r="O1450" s="485"/>
      <c r="P1450" s="1970" t="str">
        <f>EUconst_CNTR_HALPulpTotal &amp; I1297</f>
        <v>HALPulpTotal_</v>
      </c>
      <c r="Q1450" s="1137"/>
      <c r="R1450" s="1137"/>
      <c r="S1450" s="1137"/>
      <c r="T1450" s="1137"/>
      <c r="U1450" s="1137"/>
      <c r="V1450" s="1137"/>
    </row>
    <row r="1451" spans="1:22" s="562" customFormat="1" ht="5.0999999999999996" customHeight="1">
      <c r="A1451" s="817"/>
      <c r="C1451" s="485"/>
      <c r="D1451" s="776"/>
      <c r="E1451" s="809"/>
      <c r="F1451" s="809"/>
      <c r="G1451" s="777"/>
      <c r="H1451" s="2173"/>
      <c r="I1451" s="2173"/>
      <c r="J1451" s="2173"/>
      <c r="K1451" s="1788"/>
      <c r="L1451" s="1789"/>
      <c r="M1451" s="1789"/>
      <c r="N1451" s="1789"/>
      <c r="O1451" s="485"/>
      <c r="P1451" s="1117"/>
      <c r="Q1451" s="1137"/>
      <c r="R1451" s="1137"/>
      <c r="S1451" s="1137"/>
      <c r="T1451" s="1137"/>
      <c r="U1451" s="1137"/>
      <c r="V1451" s="1137"/>
    </row>
    <row r="1452" spans="1:22" s="562" customFormat="1">
      <c r="A1452" s="817"/>
      <c r="C1452" s="485"/>
      <c r="D1452" s="776"/>
      <c r="E1452" s="2492" t="s">
        <v>1440</v>
      </c>
      <c r="F1452" s="3284"/>
      <c r="G1452" s="777"/>
      <c r="H1452" s="2173"/>
      <c r="I1452" s="2173"/>
      <c r="J1452" s="2173"/>
      <c r="K1452" s="1788"/>
      <c r="L1452" s="1789"/>
      <c r="M1452" s="1789"/>
      <c r="N1452" s="1789"/>
      <c r="O1452" s="485"/>
      <c r="P1452" s="1117"/>
      <c r="Q1452" s="1137"/>
      <c r="R1452" s="1137"/>
      <c r="S1452" s="1137"/>
      <c r="T1452" s="1137"/>
      <c r="U1452" s="1137"/>
      <c r="V1452" s="1137"/>
    </row>
    <row r="1453" spans="1:22" s="562" customFormat="1">
      <c r="A1453" s="817"/>
      <c r="C1453" s="485"/>
      <c r="D1453" s="776"/>
      <c r="E1453" s="3285" t="str">
        <f>IF(I1297="","",IF(INDEX(F_ProductBM!E:E,MATCH($P1453,F_ProductBM!$Q:$Q,0))="","",INDEX(F_ProductBM!E:E,MATCH($P1453,F_ProductBM!$Q:$Q,0))))</f>
        <v/>
      </c>
      <c r="F1453" s="3461"/>
      <c r="G1453" s="815" t="str">
        <f>EUconst_Tons</f>
        <v>tonnes</v>
      </c>
      <c r="H1453" s="623" t="str">
        <f>IF($I1297="","",IF(INDEX(F_ProductBM!H:H,MATCH($P1453,F_ProductBM!$Q:$Q,0))="","",INDEX(F_ProductBM!H:H,MATCH($P1453,F_ProductBM!$Q:$Q,0))))</f>
        <v/>
      </c>
      <c r="I1453" s="800" t="str">
        <f>IF($I1297="","",IF(INDEX(F_ProductBM!I:I,MATCH($P1453,F_ProductBM!$Q:$Q,0))="","",INDEX(F_ProductBM!I:I,MATCH($P1453,F_ProductBM!$Q:$Q,0))))</f>
        <v/>
      </c>
      <c r="J1453" s="2174" t="str">
        <f>IF($I1297="","",IF(INDEX(F_ProductBM!J:J,MATCH($P1453,F_ProductBM!$Q:$Q,0))="","",INDEX(F_ProductBM!J:J,MATCH($P1453,F_ProductBM!$Q:$Q,0))))</f>
        <v/>
      </c>
      <c r="K1453" s="1788" t="str">
        <f>IF($I1297="","",IF(INDEX(F_ProductBM!K:K,MATCH($P1453,F_ProductBM!$Q:$Q,0))="","",INDEX(F_ProductBM!K:K,MATCH($P1453,F_ProductBM!$Q:$Q,0))))</f>
        <v/>
      </c>
      <c r="L1453" s="1789" t="str">
        <f>IF($I1297="","",IF(INDEX(F_ProductBM!L:L,MATCH($P1453,F_ProductBM!$Q:$Q,0))="","",INDEX(F_ProductBM!L:L,MATCH($P1453,F_ProductBM!$Q:$Q,0))))</f>
        <v/>
      </c>
      <c r="M1453" s="1789" t="str">
        <f>IF($I1297="","",IF(INDEX(F_ProductBM!M:M,MATCH($P1453,F_ProductBM!$Q:$Q,0))="","",INDEX(F_ProductBM!M:M,MATCH($P1453,F_ProductBM!$Q:$Q,0))))</f>
        <v/>
      </c>
      <c r="N1453" s="1789" t="str">
        <f>IF($I1297="","",IF(INDEX(F_ProductBM!N:N,MATCH($P1453,F_ProductBM!$Q:$Q,0))="","",INDEX(F_ProductBM!N:N,MATCH($P1453,F_ProductBM!$Q:$Q,0))))</f>
        <v/>
      </c>
      <c r="O1453" s="485"/>
      <c r="P1453" s="1970" t="str">
        <f>EUconst_CNTR_IntermediateImport &amp; R1453 &amp; "_" &amp; I1297</f>
        <v>IntImp_1_</v>
      </c>
      <c r="Q1453" s="1137"/>
      <c r="R1453" s="1312">
        <v>1</v>
      </c>
      <c r="S1453" s="1137"/>
      <c r="T1453" s="1137"/>
      <c r="U1453" s="1137"/>
      <c r="V1453" s="1137"/>
    </row>
    <row r="1454" spans="1:22" s="562" customFormat="1">
      <c r="A1454" s="817"/>
      <c r="C1454" s="485"/>
      <c r="D1454" s="776"/>
      <c r="E1454" s="3285" t="str">
        <f>IF(I1297="","",IF(INDEX(F_ProductBM!E:E,MATCH($P1454,F_ProductBM!$Q:$Q,0))="","",INDEX(F_ProductBM!E:E,MATCH($P1454,F_ProductBM!$Q:$Q,0))))</f>
        <v/>
      </c>
      <c r="F1454" s="3461"/>
      <c r="G1454" s="815" t="str">
        <f>EUconst_Tons</f>
        <v>tonnes</v>
      </c>
      <c r="H1454" s="623" t="str">
        <f>IF($I1297="","",IF(INDEX(F_ProductBM!H:H,MATCH($P1454,F_ProductBM!$Q:$Q,0))="","",INDEX(F_ProductBM!H:H,MATCH($P1454,F_ProductBM!$Q:$Q,0))))</f>
        <v/>
      </c>
      <c r="I1454" s="800" t="str">
        <f>IF($I1297="","",IF(INDEX(F_ProductBM!I:I,MATCH($P1454,F_ProductBM!$Q:$Q,0))="","",INDEX(F_ProductBM!I:I,MATCH($P1454,F_ProductBM!$Q:$Q,0))))</f>
        <v/>
      </c>
      <c r="J1454" s="2174" t="str">
        <f>IF($I1297="","",IF(INDEX(F_ProductBM!J:J,MATCH($P1454,F_ProductBM!$Q:$Q,0))="","",INDEX(F_ProductBM!J:J,MATCH($P1454,F_ProductBM!$Q:$Q,0))))</f>
        <v/>
      </c>
      <c r="K1454" s="1788" t="str">
        <f>IF($I1297="","",IF(INDEX(F_ProductBM!K:K,MATCH($P1454,F_ProductBM!$Q:$Q,0))="","",INDEX(F_ProductBM!K:K,MATCH($P1454,F_ProductBM!$Q:$Q,0))))</f>
        <v/>
      </c>
      <c r="L1454" s="1789" t="str">
        <f>IF($I1297="","",IF(INDEX(F_ProductBM!L:L,MATCH($P1454,F_ProductBM!$Q:$Q,0))="","",INDEX(F_ProductBM!L:L,MATCH($P1454,F_ProductBM!$Q:$Q,0))))</f>
        <v/>
      </c>
      <c r="M1454" s="1789" t="str">
        <f>IF($I1297="","",IF(INDEX(F_ProductBM!M:M,MATCH($P1454,F_ProductBM!$Q:$Q,0))="","",INDEX(F_ProductBM!M:M,MATCH($P1454,F_ProductBM!$Q:$Q,0))))</f>
        <v/>
      </c>
      <c r="N1454" s="1789" t="str">
        <f>IF($I1297="","",IF(INDEX(F_ProductBM!N:N,MATCH($P1454,F_ProductBM!$Q:$Q,0))="","",INDEX(F_ProductBM!N:N,MATCH($P1454,F_ProductBM!$Q:$Q,0))))</f>
        <v/>
      </c>
      <c r="O1454" s="485"/>
      <c r="P1454" s="1970" t="str">
        <f>EUconst_CNTR_IntermediateImport &amp; R1454 &amp; "_" &amp; I1297</f>
        <v>IntImp_2_</v>
      </c>
      <c r="Q1454" s="1137"/>
      <c r="R1454" s="1312">
        <v>2</v>
      </c>
      <c r="S1454" s="1137"/>
      <c r="T1454" s="1137"/>
      <c r="U1454" s="1137"/>
      <c r="V1454" s="1137"/>
    </row>
    <row r="1455" spans="1:22" s="562" customFormat="1">
      <c r="A1455" s="817"/>
      <c r="C1455" s="485"/>
      <c r="D1455" s="776"/>
      <c r="E1455" s="2475" t="s">
        <v>1441</v>
      </c>
      <c r="F1455" s="3461"/>
      <c r="G1455" s="777"/>
      <c r="H1455" s="2173"/>
      <c r="I1455" s="2173"/>
      <c r="J1455" s="2173"/>
      <c r="K1455" s="1788"/>
      <c r="L1455" s="1789"/>
      <c r="M1455" s="1789"/>
      <c r="N1455" s="1789"/>
      <c r="O1455" s="485"/>
      <c r="P1455" s="1117"/>
      <c r="Q1455" s="1137"/>
      <c r="R1455" s="1137"/>
      <c r="S1455" s="1137"/>
      <c r="T1455" s="1137"/>
      <c r="U1455" s="1137"/>
      <c r="V1455" s="1137"/>
    </row>
    <row r="1456" spans="1:22" s="562" customFormat="1">
      <c r="A1456" s="817"/>
      <c r="C1456" s="485"/>
      <c r="D1456" s="776"/>
      <c r="E1456" s="3285" t="str">
        <f>IF(I1297="","",IF(INDEX(F_ProductBM!E:E,MATCH($P1456,F_ProductBM!$Q:$Q,0))="","",INDEX(F_ProductBM!E:E,MATCH($P1456,F_ProductBM!$Q:$Q,0))))</f>
        <v/>
      </c>
      <c r="F1456" s="3461"/>
      <c r="G1456" s="815" t="str">
        <f>EUconst_Tons</f>
        <v>tonnes</v>
      </c>
      <c r="H1456" s="623" t="str">
        <f>IF($I1297="","",IF(INDEX(F_ProductBM!H:H,MATCH($P1456,F_ProductBM!$Q:$Q,0))="","",INDEX(F_ProductBM!H:H,MATCH($P1456,F_ProductBM!$Q:$Q,0))))</f>
        <v/>
      </c>
      <c r="I1456" s="800" t="str">
        <f>IF($I1297="","",IF(INDEX(F_ProductBM!I:I,MATCH($P1456,F_ProductBM!$Q:$Q,0))="","",INDEX(F_ProductBM!I:I,MATCH($P1456,F_ProductBM!$Q:$Q,0))))</f>
        <v/>
      </c>
      <c r="J1456" s="2174" t="str">
        <f>IF($I1297="","",IF(INDEX(F_ProductBM!J:J,MATCH($P1456,F_ProductBM!$Q:$Q,0))="","",INDEX(F_ProductBM!J:J,MATCH($P1456,F_ProductBM!$Q:$Q,0))))</f>
        <v/>
      </c>
      <c r="K1456" s="1788" t="str">
        <f>IF($I1297="","",IF(INDEX(F_ProductBM!K:K,MATCH($P1456,F_ProductBM!$Q:$Q,0))="","",INDEX(F_ProductBM!K:K,MATCH($P1456,F_ProductBM!$Q:$Q,0))))</f>
        <v/>
      </c>
      <c r="L1456" s="1789" t="str">
        <f>IF($I1297="","",IF(INDEX(F_ProductBM!L:L,MATCH($P1456,F_ProductBM!$Q:$Q,0))="","",INDEX(F_ProductBM!L:L,MATCH($P1456,F_ProductBM!$Q:$Q,0))))</f>
        <v/>
      </c>
      <c r="M1456" s="1789" t="str">
        <f>IF($I1297="","",IF(INDEX(F_ProductBM!M:M,MATCH($P1456,F_ProductBM!$Q:$Q,0))="","",INDEX(F_ProductBM!M:M,MATCH($P1456,F_ProductBM!$Q:$Q,0))))</f>
        <v/>
      </c>
      <c r="N1456" s="1789" t="str">
        <f>IF($I1297="","",IF(INDEX(F_ProductBM!N:N,MATCH($P1456,F_ProductBM!$Q:$Q,0))="","",INDEX(F_ProductBM!N:N,MATCH($P1456,F_ProductBM!$Q:$Q,0))))</f>
        <v/>
      </c>
      <c r="O1456" s="485"/>
      <c r="P1456" s="1970" t="str">
        <f>EUconst_CNTR_IntermediateExport &amp; R1453 &amp; "_" &amp; I1297</f>
        <v>IntExp_1_</v>
      </c>
      <c r="Q1456" s="1137"/>
      <c r="R1456" s="1312">
        <v>1</v>
      </c>
      <c r="S1456" s="1137"/>
      <c r="T1456" s="1137"/>
      <c r="U1456" s="1137"/>
      <c r="V1456" s="1137"/>
    </row>
    <row r="1457" spans="1:22" s="562" customFormat="1">
      <c r="A1457" s="817"/>
      <c r="C1457" s="485"/>
      <c r="D1457" s="776"/>
      <c r="E1457" s="3285" t="str">
        <f>IF(I1297="","",IF(INDEX(F_ProductBM!E:E,MATCH($P1457,F_ProductBM!$Q:$Q,0))="","",INDEX(F_ProductBM!E:E,MATCH($P1457,F_ProductBM!$Q:$Q,0))))</f>
        <v/>
      </c>
      <c r="F1457" s="3461"/>
      <c r="G1457" s="815" t="str">
        <f>EUconst_Tons</f>
        <v>tonnes</v>
      </c>
      <c r="H1457" s="623" t="str">
        <f>IF($I1297="","",IF(INDEX(F_ProductBM!H:H,MATCH($P1457,F_ProductBM!$Q:$Q,0))="","",INDEX(F_ProductBM!H:H,MATCH($P1457,F_ProductBM!$Q:$Q,0))))</f>
        <v/>
      </c>
      <c r="I1457" s="800" t="str">
        <f>IF($I1297="","",IF(INDEX(F_ProductBM!I:I,MATCH($P1457,F_ProductBM!$Q:$Q,0))="","",INDEX(F_ProductBM!I:I,MATCH($P1457,F_ProductBM!$Q:$Q,0))))</f>
        <v/>
      </c>
      <c r="J1457" s="2174" t="str">
        <f>IF($I1297="","",IF(INDEX(F_ProductBM!J:J,MATCH($P1457,F_ProductBM!$Q:$Q,0))="","",INDEX(F_ProductBM!J:J,MATCH($P1457,F_ProductBM!$Q:$Q,0))))</f>
        <v/>
      </c>
      <c r="K1457" s="1788" t="str">
        <f>IF($I1297="","",IF(INDEX(F_ProductBM!K:K,MATCH($P1457,F_ProductBM!$Q:$Q,0))="","",INDEX(F_ProductBM!K:K,MATCH($P1457,F_ProductBM!$Q:$Q,0))))</f>
        <v/>
      </c>
      <c r="L1457" s="1789" t="str">
        <f>IF($I1297="","",IF(INDEX(F_ProductBM!L:L,MATCH($P1457,F_ProductBM!$Q:$Q,0))="","",INDEX(F_ProductBM!L:L,MATCH($P1457,F_ProductBM!$Q:$Q,0))))</f>
        <v/>
      </c>
      <c r="M1457" s="1789" t="str">
        <f>IF($I1297="","",IF(INDEX(F_ProductBM!M:M,MATCH($P1457,F_ProductBM!$Q:$Q,0))="","",INDEX(F_ProductBM!M:M,MATCH($P1457,F_ProductBM!$Q:$Q,0))))</f>
        <v/>
      </c>
      <c r="N1457" s="1789" t="str">
        <f>IF($I1297="","",IF(INDEX(F_ProductBM!N:N,MATCH($P1457,F_ProductBM!$Q:$Q,0))="","",INDEX(F_ProductBM!N:N,MATCH($P1457,F_ProductBM!$Q:$Q,0))))</f>
        <v/>
      </c>
      <c r="O1457" s="485"/>
      <c r="P1457" s="1970" t="str">
        <f>EUconst_CNTR_IntermediateExport &amp; R1457 &amp; "_" &amp; I1297</f>
        <v>IntExp_2_</v>
      </c>
      <c r="Q1457" s="1137"/>
      <c r="R1457" s="1312">
        <v>2</v>
      </c>
      <c r="S1457" s="1137"/>
      <c r="T1457" s="1117"/>
      <c r="U1457" s="1137"/>
      <c r="V1457" s="1137"/>
    </row>
    <row r="1458" spans="1:22" s="562" customFormat="1" ht="12.75" customHeight="1" thickBot="1">
      <c r="A1458" s="817"/>
      <c r="C1458" s="485"/>
      <c r="D1458" s="802"/>
      <c r="E1458" s="803"/>
      <c r="F1458" s="803"/>
      <c r="G1458" s="804"/>
      <c r="H1458" s="804"/>
      <c r="I1458" s="805"/>
      <c r="J1458" s="805"/>
      <c r="K1458" s="1790"/>
      <c r="L1458" s="1791"/>
      <c r="M1458" s="1791"/>
      <c r="N1458" s="1791"/>
      <c r="O1458" s="485"/>
      <c r="P1458" s="1117"/>
      <c r="Q1458" s="1137"/>
      <c r="R1458" s="1137"/>
      <c r="S1458" s="1137"/>
      <c r="T1458" s="1117"/>
      <c r="U1458" s="1137"/>
      <c r="V1458" s="1137"/>
    </row>
    <row r="1459" spans="1:22" s="562" customFormat="1" ht="5.0999999999999996" customHeight="1" thickBot="1">
      <c r="A1459" s="817"/>
      <c r="C1459" s="485"/>
      <c r="D1459" s="485"/>
      <c r="E1459" s="807"/>
      <c r="O1459" s="485"/>
      <c r="P1459" s="1137"/>
      <c r="Q1459" s="1137"/>
      <c r="R1459" s="1137"/>
      <c r="S1459" s="1137"/>
      <c r="T1459" s="1137"/>
      <c r="U1459" s="1137"/>
      <c r="V1459" s="1137"/>
    </row>
    <row r="1460" spans="1:22" s="562" customFormat="1" ht="5.0999999999999996" customHeight="1" thickBot="1">
      <c r="A1460" s="817"/>
      <c r="C1460" s="2118"/>
      <c r="D1460" s="2118"/>
      <c r="E1460" s="2118"/>
      <c r="F1460" s="2118"/>
      <c r="G1460" s="2118"/>
      <c r="H1460" s="2118"/>
      <c r="I1460" s="2118"/>
      <c r="J1460" s="2118"/>
      <c r="K1460" s="2118"/>
      <c r="L1460" s="2118"/>
      <c r="M1460" s="2118"/>
      <c r="N1460" s="2118"/>
      <c r="O1460" s="485"/>
      <c r="P1460" s="1137"/>
      <c r="Q1460" s="1137"/>
      <c r="R1460" s="1137"/>
      <c r="S1460" s="1137"/>
      <c r="T1460" s="1137"/>
      <c r="U1460" s="1137"/>
      <c r="V1460" s="1137"/>
    </row>
    <row r="1461" spans="1:22" s="562" customFormat="1" ht="15" customHeight="1" thickBot="1">
      <c r="A1461" s="719"/>
      <c r="C1461" s="559">
        <f>C1297+1</f>
        <v>7</v>
      </c>
      <c r="D1461" s="2482" t="str">
        <f>CONCATENATE(EUconst_BMSubinst," ",C1461, ":")</f>
        <v>Sub-installation with product benchmark 7:</v>
      </c>
      <c r="E1461" s="2482"/>
      <c r="F1461" s="2482"/>
      <c r="G1461" s="2482"/>
      <c r="H1461" s="2483"/>
      <c r="I1461" s="3293" t="str">
        <f>IF(INDEX(CNTR_SubInstListIsProdBM,$C1461),INDEX(CNTR_SubInstListNames,$C1461),"")</f>
        <v/>
      </c>
      <c r="J1461" s="3471"/>
      <c r="K1461" s="3471"/>
      <c r="L1461" s="3471"/>
      <c r="M1461" s="3471"/>
      <c r="N1461" s="3472"/>
      <c r="O1461" s="485"/>
      <c r="P1461" s="1137"/>
      <c r="Q1461" s="2123">
        <f>C1461</f>
        <v>7</v>
      </c>
      <c r="R1461" s="2124" t="str">
        <f>I1461</f>
        <v/>
      </c>
      <c r="S1461" s="1137"/>
      <c r="T1461" s="1137"/>
      <c r="U1461" s="1137"/>
      <c r="V1461" s="1137"/>
    </row>
    <row r="1462" spans="1:22" s="562" customFormat="1" ht="5.0999999999999996" customHeight="1">
      <c r="A1462" s="719"/>
      <c r="C1462" s="559"/>
      <c r="D1462" s="559"/>
      <c r="E1462" s="559"/>
      <c r="F1462" s="559"/>
      <c r="G1462" s="559"/>
      <c r="H1462" s="559"/>
      <c r="I1462" s="559"/>
      <c r="J1462" s="559"/>
      <c r="K1462" s="559"/>
      <c r="L1462" s="559"/>
      <c r="M1462" s="559"/>
      <c r="N1462" s="559"/>
      <c r="O1462" s="485"/>
      <c r="P1462" s="1137"/>
      <c r="Q1462" s="1137"/>
      <c r="R1462" s="1137"/>
      <c r="S1462" s="1137"/>
      <c r="T1462" s="1137"/>
      <c r="U1462" s="1137"/>
      <c r="V1462" s="1137"/>
    </row>
    <row r="1463" spans="1:22" s="562" customFormat="1" ht="12.75" customHeight="1">
      <c r="A1463" s="719"/>
      <c r="C1463" s="559"/>
      <c r="D1463" s="559"/>
      <c r="E1463" s="559"/>
      <c r="F1463" s="559"/>
      <c r="H1463" s="688" t="s">
        <v>458</v>
      </c>
      <c r="I1463" s="688" t="s">
        <v>1256</v>
      </c>
      <c r="J1463" s="688" t="s">
        <v>1434</v>
      </c>
      <c r="K1463" s="688" t="s">
        <v>1684</v>
      </c>
      <c r="L1463" s="689" t="s">
        <v>156</v>
      </c>
      <c r="M1463" s="2469" t="s">
        <v>302</v>
      </c>
      <c r="N1463" s="2469"/>
      <c r="O1463" s="485"/>
      <c r="P1463" s="1137"/>
      <c r="Q1463" s="1137"/>
      <c r="R1463" s="1137"/>
      <c r="S1463" s="1137"/>
      <c r="T1463" s="2175"/>
      <c r="U1463" s="1137"/>
      <c r="V1463" s="1137"/>
    </row>
    <row r="1464" spans="1:22" s="562" customFormat="1" ht="12.75" customHeight="1">
      <c r="A1464" s="719"/>
      <c r="C1464" s="559"/>
      <c r="D1464" s="559"/>
      <c r="E1464" s="690" t="str">
        <f>I1461</f>
        <v/>
      </c>
      <c r="F1464" s="691"/>
      <c r="G1464" s="691"/>
      <c r="H1464" s="692" t="str">
        <f>IF(L1464=EUconst_NA,EUconst_NA,INDEX(EUconst_BMlistCLstatus,L1464))</f>
        <v>N.A.</v>
      </c>
      <c r="I1464" s="692" t="str">
        <f>IF(I1461="","",INDEX(EUconst_BMlistElExchangability,L1464))</f>
        <v/>
      </c>
      <c r="J1464" s="566" t="str">
        <f>IF($I1461="",EUconst_NA,INDEX(CNTR_SubInstStartDate,MATCH(I1461,CNTR_SubInstListNames,0)))</f>
        <v>N.A.</v>
      </c>
      <c r="K1464" s="566" t="str">
        <f>IF($I1461="",EUconst_NA,IF(INDEX(CNTR_SubInstCessationDate,MATCH(I1461,CNTR_SubInstListNames,0))=0,"",INDEX(CNTR_SubInstCessationDate,MATCH(I1461,CNTR_SubInstListNames,0))))</f>
        <v>N.A.</v>
      </c>
      <c r="L1464" s="693" t="str">
        <f>IF($I1461="",EUconst_NA,MATCH(I1461,EUconst_BMlistNames,0))</f>
        <v>N.A.</v>
      </c>
      <c r="M1464" s="694" t="str">
        <f>IF(I1461="",EUconst_NA,INDEX(EUconst_BMlistBMvaluesMatrix,L1464,3))</f>
        <v>N.A.</v>
      </c>
      <c r="N1464" s="685" t="str">
        <f>EUconst_EUA &amp; "/" &amp; F1467</f>
        <v>UKA/tonnes</v>
      </c>
      <c r="O1464" s="485"/>
      <c r="P1464" s="1137"/>
      <c r="Q1464" s="1137"/>
      <c r="R1464" s="1137"/>
      <c r="S1464" s="1137"/>
      <c r="T1464" s="2175"/>
      <c r="U1464" s="1137"/>
      <c r="V1464" s="1137"/>
    </row>
    <row r="1465" spans="1:22" s="562" customFormat="1" ht="5.0999999999999996" customHeight="1" thickBot="1">
      <c r="A1465" s="719"/>
      <c r="C1465" s="485"/>
      <c r="D1465" s="485"/>
      <c r="E1465" s="559"/>
      <c r="J1465" s="485"/>
      <c r="K1465" s="485"/>
      <c r="L1465" s="485"/>
      <c r="M1465" s="485"/>
      <c r="N1465" s="485"/>
      <c r="O1465" s="485"/>
      <c r="P1465" s="1137"/>
      <c r="Q1465" s="1137"/>
      <c r="R1465" s="1137"/>
      <c r="S1465" s="1137"/>
      <c r="T1465" s="1117"/>
      <c r="U1465" s="1137"/>
      <c r="V1465" s="1137"/>
    </row>
    <row r="1466" spans="1:22" s="562" customFormat="1" ht="12.75" customHeight="1">
      <c r="A1466" s="719"/>
      <c r="C1466" s="485"/>
      <c r="D1466" s="485"/>
      <c r="E1466" s="496"/>
      <c r="F1466" s="482" t="str">
        <f>EUconst_Unit</f>
        <v>Unit</v>
      </c>
      <c r="G1466" s="695" t="s">
        <v>1646</v>
      </c>
      <c r="H1466" s="696">
        <f t="shared" ref="H1466:N1466" si="107">H$2737</f>
        <v>2024</v>
      </c>
      <c r="I1466" s="697">
        <f t="shared" si="107"/>
        <v>2025</v>
      </c>
      <c r="J1466" s="2125">
        <f t="shared" si="107"/>
        <v>2026</v>
      </c>
      <c r="K1466" s="1489">
        <f t="shared" si="107"/>
        <v>2027</v>
      </c>
      <c r="L1466" s="1490">
        <f t="shared" si="107"/>
        <v>2028</v>
      </c>
      <c r="M1466" s="1490">
        <f t="shared" si="107"/>
        <v>2029</v>
      </c>
      <c r="N1466" s="1490">
        <f t="shared" si="107"/>
        <v>2030</v>
      </c>
      <c r="O1466" s="485"/>
      <c r="P1466" s="1137"/>
      <c r="Q1466" s="1137" t="s">
        <v>1803</v>
      </c>
      <c r="R1466" s="2126">
        <f>J$2737</f>
        <v>2026</v>
      </c>
      <c r="S1466" s="2127">
        <f>K$2737</f>
        <v>2027</v>
      </c>
      <c r="T1466" s="2127">
        <f>L$2737</f>
        <v>2028</v>
      </c>
      <c r="U1466" s="2127">
        <f>M$2737</f>
        <v>2029</v>
      </c>
      <c r="V1466" s="2128">
        <f>N$2737</f>
        <v>2030</v>
      </c>
    </row>
    <row r="1467" spans="1:22" s="562" customFormat="1" ht="12.75" customHeight="1" thickBot="1">
      <c r="A1467" s="719"/>
      <c r="C1467" s="485"/>
      <c r="D1467" s="485"/>
      <c r="E1467" s="698" t="s">
        <v>1665</v>
      </c>
      <c r="F1467" s="699" t="str">
        <f>IF(ISNUMBER(L1464),INDEX(EUconst_BMlistUnits,L1464),EUconst_Tons)</f>
        <v>tonnes</v>
      </c>
      <c r="G1467" s="700" t="str">
        <f>I1570</f>
        <v/>
      </c>
      <c r="H1467" s="701" t="str">
        <f>IF($I1461="","",IF(H1466&gt;=CNTR_ReportingYear,"",INDEX(F_ProductBM!H:H,MATCH($P1467,F_ProductBM!$Q:$Q,0))))</f>
        <v/>
      </c>
      <c r="I1467" s="702" t="str">
        <f>IF($I1461="","",IF(I1466&gt;=CNTR_ReportingYear,"",INDEX(F_ProductBM!I:I,MATCH($P1467,F_ProductBM!$Q:$Q,0))))</f>
        <v/>
      </c>
      <c r="J1467" s="2129" t="str">
        <f>IF($I1461="","",IF(J1466&gt;=CNTR_ReportingYear,"",INDEX(F_ProductBM!J:J,MATCH($P1467,F_ProductBM!$Q:$Q,0))))</f>
        <v/>
      </c>
      <c r="K1467" s="2072" t="str">
        <f>IF($I1461="","",IF(K1466&gt;=CNTR_ReportingYear,"",INDEX(F_ProductBM!K:K,MATCH($P1467,F_ProductBM!$Q:$Q,0))))</f>
        <v/>
      </c>
      <c r="L1467" s="2073" t="str">
        <f>IF($I1461="","",IF(L1466&gt;=CNTR_ReportingYear,"",INDEX(F_ProductBM!L:L,MATCH($P1467,F_ProductBM!$Q:$Q,0))))</f>
        <v/>
      </c>
      <c r="M1467" s="2073" t="str">
        <f>IF($I1461="","",IF(M1466&gt;=CNTR_ReportingYear,"",INDEX(F_ProductBM!M:M,MATCH($P1467,F_ProductBM!$Q:$Q,0))))</f>
        <v/>
      </c>
      <c r="N1467" s="2073" t="str">
        <f>IF($I1461="","",IF(N1466&gt;=CNTR_ReportingYear,"",INDEX(F_ProductBM!N:N,MATCH($P1467,F_ProductBM!$Q:$Q,0))))</f>
        <v/>
      </c>
      <c r="O1467" s="485"/>
      <c r="P1467" s="1158" t="str">
        <f>EUconst_CNTR_HAL&amp;I1461</f>
        <v>HAL_</v>
      </c>
      <c r="Q1467" s="1137"/>
      <c r="R1467" s="1961" t="b">
        <f>AND($I1461&lt;&gt;"",R1466&lt;=CNTR_ReportingYear,IF($J1464&lt;&gt;EUconst_NA,R1466&gt;=YEAR($J1464),TRUE))</f>
        <v>0</v>
      </c>
      <c r="S1467" s="1675" t="b">
        <f>AND($I1461&lt;&gt;"",S1466&lt;=CNTR_ReportingYear,IF($J1464&lt;&gt;EUconst_NA,S1466&gt;=YEAR($J1464),TRUE))</f>
        <v>0</v>
      </c>
      <c r="T1467" s="1675" t="b">
        <f>AND($I1461&lt;&gt;"",T1466&lt;=CNTR_ReportingYear,IF($J1464&lt;&gt;EUconst_NA,T1466&gt;=YEAR($J1464),TRUE))</f>
        <v>0</v>
      </c>
      <c r="U1467" s="1675" t="b">
        <f>AND($I1461&lt;&gt;"",U1466&lt;=CNTR_ReportingYear,IF($J1464&lt;&gt;EUconst_NA,U1466&gt;=YEAR($J1464),TRUE))</f>
        <v>0</v>
      </c>
      <c r="V1467" s="1676" t="b">
        <f>AND($I1461&lt;&gt;"",V1466&lt;=CNTR_ReportingYear,IF($J1464&lt;&gt;EUconst_NA,V1466&gt;=YEAR($J1464),TRUE))</f>
        <v>0</v>
      </c>
    </row>
    <row r="1468" spans="1:22" s="562" customFormat="1" ht="5.0999999999999996" customHeight="1" thickBot="1">
      <c r="A1468" s="719"/>
      <c r="C1468" s="559"/>
      <c r="D1468" s="559"/>
      <c r="E1468" s="559"/>
      <c r="F1468" s="559"/>
      <c r="G1468" s="559"/>
      <c r="H1468" s="559"/>
      <c r="I1468" s="559"/>
      <c r="J1468" s="559"/>
      <c r="K1468" s="2130"/>
      <c r="L1468" s="2131"/>
      <c r="M1468" s="2131"/>
      <c r="N1468" s="2131"/>
      <c r="O1468" s="485"/>
      <c r="P1468" s="1137"/>
      <c r="Q1468" s="1137"/>
      <c r="R1468" s="1137"/>
      <c r="S1468" s="1137"/>
      <c r="T1468" s="1137"/>
      <c r="U1468" s="1137"/>
      <c r="V1468" s="1137"/>
    </row>
    <row r="1469" spans="1:22" s="562" customFormat="1" ht="5.0999999999999996" customHeight="1">
      <c r="A1469" s="719"/>
      <c r="C1469" s="559"/>
      <c r="D1469" s="703"/>
      <c r="E1469" s="704"/>
      <c r="F1469" s="704"/>
      <c r="G1469" s="704"/>
      <c r="H1469" s="704"/>
      <c r="I1469" s="704"/>
      <c r="J1469" s="704"/>
      <c r="K1469" s="2130"/>
      <c r="L1469" s="2131"/>
      <c r="M1469" s="2131"/>
      <c r="N1469" s="2131"/>
      <c r="O1469" s="485"/>
      <c r="P1469" s="1137"/>
      <c r="Q1469" s="1137"/>
      <c r="R1469" s="1137"/>
      <c r="S1469" s="1137"/>
      <c r="T1469" s="1137"/>
      <c r="U1469" s="1137"/>
      <c r="V1469" s="1137"/>
    </row>
    <row r="1470" spans="1:22" s="562" customFormat="1" ht="12.75" customHeight="1">
      <c r="A1470" s="719"/>
      <c r="C1470" s="559"/>
      <c r="D1470" s="706"/>
      <c r="E1470" s="707" t="s">
        <v>1787</v>
      </c>
      <c r="F1470" s="637"/>
      <c r="G1470" s="637"/>
      <c r="H1470" s="663"/>
      <c r="I1470" s="708"/>
      <c r="J1470" s="2132">
        <f>J$2737</f>
        <v>2026</v>
      </c>
      <c r="K1470" s="1489">
        <f>K$2737</f>
        <v>2027</v>
      </c>
      <c r="L1470" s="1490">
        <f>L$2737</f>
        <v>2028</v>
      </c>
      <c r="M1470" s="1490">
        <f>M$2737</f>
        <v>2029</v>
      </c>
      <c r="N1470" s="1490">
        <f>N$2737</f>
        <v>2030</v>
      </c>
      <c r="O1470" s="485"/>
      <c r="P1470" s="1137"/>
      <c r="Q1470" s="1137"/>
      <c r="R1470" s="1137"/>
      <c r="S1470" s="1137"/>
      <c r="T1470" s="1137"/>
      <c r="U1470" s="1137"/>
      <c r="V1470" s="1137"/>
    </row>
    <row r="1471" spans="1:22" s="562" customFormat="1" ht="12.75" customHeight="1">
      <c r="A1471" s="719"/>
      <c r="C1471" s="559"/>
      <c r="D1471" s="706"/>
      <c r="E1471" s="711" t="s">
        <v>1783</v>
      </c>
      <c r="F1471" s="712"/>
      <c r="G1471" s="712"/>
      <c r="H1471" s="713"/>
      <c r="I1471" s="712"/>
      <c r="J1471" s="2133" t="str">
        <f>IF(R1467,INDEX(F_ProductBM!V:V,MATCH($P1471,F_ProductBM!$Q:$Q,0))&gt;=3,"")</f>
        <v/>
      </c>
      <c r="K1471" s="2134" t="str">
        <f>IF(S1467,INDEX(F_ProductBM!W:W,MATCH($P1471,F_ProductBM!$Q:$Q,0))&gt;=3,"")</f>
        <v/>
      </c>
      <c r="L1471" s="2135" t="str">
        <f>IF(T1467,INDEX(F_ProductBM!X:X,MATCH($P1471,F_ProductBM!$Q:$Q,0))&gt;=3,"")</f>
        <v/>
      </c>
      <c r="M1471" s="2135" t="str">
        <f>IF(U1467,INDEX(F_ProductBM!Y:Y,MATCH($P1471,F_ProductBM!$Q:$Q,0))&gt;=3,"")</f>
        <v/>
      </c>
      <c r="N1471" s="2135" t="str">
        <f>IF(V1467,INDEX(F_ProductBM!Z:Z,MATCH($P1471,F_ProductBM!$Q:$Q,0))&gt;=3,"")</f>
        <v/>
      </c>
      <c r="O1471" s="485"/>
      <c r="P1471" s="1158" t="str">
        <f>EUconst_CNTR_HALinitial&amp;I1461</f>
        <v>HALini_</v>
      </c>
      <c r="Q1471" s="1137"/>
      <c r="R1471" s="1137"/>
      <c r="S1471" s="1137"/>
      <c r="T1471" s="1137"/>
      <c r="U1471" s="1137"/>
      <c r="V1471" s="1137"/>
    </row>
    <row r="1472" spans="1:22" s="562" customFormat="1" ht="12.75" customHeight="1">
      <c r="A1472" s="719"/>
      <c r="C1472" s="559"/>
      <c r="D1472" s="706"/>
      <c r="E1472" s="714" t="s">
        <v>1784</v>
      </c>
      <c r="F1472" s="715"/>
      <c r="G1472" s="715"/>
      <c r="H1472" s="716"/>
      <c r="I1472" s="715"/>
      <c r="J1472" s="2136" t="str">
        <f>IF(R1467,IF($K1464="",2050,YEAR($K1464))&lt;&gt;(J1470-1),"")</f>
        <v/>
      </c>
      <c r="K1472" s="2134" t="str">
        <f>IF(S1467,IF($K1464="",2050,YEAR($K1464))&lt;&gt;(K1470-1),"")</f>
        <v/>
      </c>
      <c r="L1472" s="2135" t="str">
        <f>IF(T1467,IF($K1464="",2050,YEAR($K1464))&lt;&gt;(L1470-1),"")</f>
        <v/>
      </c>
      <c r="M1472" s="2135" t="str">
        <f>IF(U1467,IF($K1464="",2050,YEAR($K1464))&lt;&gt;(M1470-1),"")</f>
        <v/>
      </c>
      <c r="N1472" s="2135" t="str">
        <f>IF(V1467,IF($K1464="",2050,YEAR($K1464))&lt;&gt;(N1470-1),"")</f>
        <v/>
      </c>
      <c r="O1472" s="485"/>
      <c r="P1472" s="1137"/>
      <c r="Q1472" s="1137"/>
      <c r="R1472" s="1137"/>
      <c r="S1472" s="1137"/>
      <c r="T1472" s="1137"/>
      <c r="U1472" s="1137"/>
      <c r="V1472" s="1137"/>
    </row>
    <row r="1473" spans="1:22" s="562" customFormat="1" ht="5.0999999999999996" customHeight="1">
      <c r="A1473" s="719"/>
      <c r="B1473" s="485"/>
      <c r="C1473" s="559"/>
      <c r="D1473" s="706"/>
      <c r="E1473" s="559"/>
      <c r="F1473" s="559"/>
      <c r="G1473" s="559"/>
      <c r="H1473" s="559"/>
      <c r="I1473" s="559"/>
      <c r="J1473" s="559"/>
      <c r="K1473" s="2130"/>
      <c r="L1473" s="2131"/>
      <c r="M1473" s="2131"/>
      <c r="N1473" s="2131"/>
      <c r="O1473" s="485"/>
      <c r="P1473" s="1137"/>
      <c r="Q1473" s="1137"/>
      <c r="R1473" s="1137"/>
      <c r="S1473" s="1137"/>
      <c r="T1473" s="1137"/>
      <c r="U1473" s="1137"/>
      <c r="V1473" s="1137"/>
    </row>
    <row r="1474" spans="1:22" s="562" customFormat="1" ht="12.75" customHeight="1">
      <c r="A1474" s="719"/>
      <c r="B1474" s="485"/>
      <c r="C1474" s="559"/>
      <c r="D1474" s="706"/>
      <c r="E1474" s="496" t="s">
        <v>1762</v>
      </c>
      <c r="F1474" s="485"/>
      <c r="G1474" s="485"/>
      <c r="H1474" s="663" t="str">
        <f>EUconst_Unit</f>
        <v>Unit</v>
      </c>
      <c r="I1474" s="708"/>
      <c r="J1474" s="2125">
        <f>J$2737</f>
        <v>2026</v>
      </c>
      <c r="K1474" s="1489">
        <f>K$2737</f>
        <v>2027</v>
      </c>
      <c r="L1474" s="1490">
        <f>L$2737</f>
        <v>2028</v>
      </c>
      <c r="M1474" s="1490">
        <f>M$2737</f>
        <v>2029</v>
      </c>
      <c r="N1474" s="1490">
        <f>N$2737</f>
        <v>2030</v>
      </c>
      <c r="O1474" s="485"/>
      <c r="P1474" s="1137"/>
      <c r="Q1474" s="1137"/>
      <c r="R1474" s="1137"/>
      <c r="S1474" s="1137"/>
      <c r="T1474" s="1137"/>
      <c r="U1474" s="1137"/>
      <c r="V1474" s="1137"/>
    </row>
    <row r="1475" spans="1:22" s="562" customFormat="1" ht="12.75" hidden="1" customHeight="1">
      <c r="A1475" s="719" t="s">
        <v>2289</v>
      </c>
      <c r="B1475" s="485"/>
      <c r="C1475" s="559"/>
      <c r="D1475" s="706"/>
      <c r="E1475" s="698" t="s">
        <v>1714</v>
      </c>
      <c r="F1475" s="698"/>
      <c r="G1475" s="698"/>
      <c r="H1475" s="639" t="str">
        <f>F1467</f>
        <v>tonnes</v>
      </c>
      <c r="I1475" s="698"/>
      <c r="J1475" s="2137" t="str">
        <f t="shared" ref="J1475:J1480" si="108">I1570</f>
        <v/>
      </c>
      <c r="K1475" s="2072" t="str">
        <f t="shared" ref="K1475:N1480" si="109">J1570</f>
        <v/>
      </c>
      <c r="L1475" s="2073" t="str">
        <f t="shared" si="109"/>
        <v/>
      </c>
      <c r="M1475" s="2073" t="str">
        <f t="shared" si="109"/>
        <v/>
      </c>
      <c r="N1475" s="2073" t="str">
        <f t="shared" si="109"/>
        <v/>
      </c>
      <c r="O1475" s="485"/>
      <c r="P1475" s="1137"/>
      <c r="Q1475" s="1137"/>
      <c r="R1475" s="1137"/>
      <c r="S1475" s="1137"/>
      <c r="T1475" s="1137"/>
      <c r="U1475" s="1137"/>
      <c r="V1475" s="1137"/>
    </row>
    <row r="1476" spans="1:22" s="562" customFormat="1" ht="12.75" hidden="1" customHeight="1">
      <c r="A1476" s="719" t="s">
        <v>2289</v>
      </c>
      <c r="B1476" s="485"/>
      <c r="C1476" s="559"/>
      <c r="D1476" s="706"/>
      <c r="E1476" s="720" t="s">
        <v>303</v>
      </c>
      <c r="F1476" s="720"/>
      <c r="G1476" s="720"/>
      <c r="H1476" s="721" t="str">
        <f>EUconst_EUA</f>
        <v>UKA</v>
      </c>
      <c r="I1476" s="722"/>
      <c r="J1476" s="2138" t="str">
        <f t="shared" si="108"/>
        <v/>
      </c>
      <c r="K1476" s="2072" t="str">
        <f t="shared" si="109"/>
        <v/>
      </c>
      <c r="L1476" s="2073" t="str">
        <f t="shared" si="109"/>
        <v/>
      </c>
      <c r="M1476" s="2073" t="str">
        <f t="shared" si="109"/>
        <v/>
      </c>
      <c r="N1476" s="2073" t="str">
        <f t="shared" si="109"/>
        <v/>
      </c>
      <c r="O1476" s="485"/>
      <c r="P1476" s="1137"/>
      <c r="Q1476" s="1137"/>
      <c r="R1476" s="1137"/>
      <c r="S1476" s="1137"/>
      <c r="T1476" s="1137"/>
      <c r="U1476" s="1137"/>
      <c r="V1476" s="1137"/>
    </row>
    <row r="1477" spans="1:22" s="562" customFormat="1" ht="12.75" hidden="1" customHeight="1">
      <c r="A1477" s="719" t="s">
        <v>2289</v>
      </c>
      <c r="B1477" s="485"/>
      <c r="C1477" s="559"/>
      <c r="D1477" s="706"/>
      <c r="E1477" s="723" t="s">
        <v>1422</v>
      </c>
      <c r="F1477" s="723"/>
      <c r="G1477" s="723"/>
      <c r="H1477" s="724" t="str">
        <f>EUconst_EUA</f>
        <v>UKA</v>
      </c>
      <c r="I1477" s="725"/>
      <c r="J1477" s="2139" t="str">
        <f t="shared" si="108"/>
        <v/>
      </c>
      <c r="K1477" s="2072" t="str">
        <f t="shared" si="109"/>
        <v/>
      </c>
      <c r="L1477" s="2073" t="str">
        <f t="shared" si="109"/>
        <v/>
      </c>
      <c r="M1477" s="2073" t="str">
        <f t="shared" si="109"/>
        <v/>
      </c>
      <c r="N1477" s="2073" t="str">
        <f t="shared" si="109"/>
        <v/>
      </c>
      <c r="O1477" s="485"/>
      <c r="P1477" s="1137"/>
      <c r="Q1477" s="1137"/>
      <c r="R1477" s="1137"/>
      <c r="S1477" s="1137"/>
      <c r="T1477" s="1137"/>
      <c r="U1477" s="1137"/>
      <c r="V1477" s="1137"/>
    </row>
    <row r="1478" spans="1:22" s="562" customFormat="1" ht="12.75" hidden="1" customHeight="1">
      <c r="A1478" s="719" t="s">
        <v>2289</v>
      </c>
      <c r="B1478" s="485"/>
      <c r="C1478" s="559"/>
      <c r="D1478" s="706"/>
      <c r="E1478" s="723" t="s">
        <v>1390</v>
      </c>
      <c r="F1478" s="723"/>
      <c r="G1478" s="723"/>
      <c r="H1478" s="724" t="str">
        <f>EUconst_EUA</f>
        <v>UKA</v>
      </c>
      <c r="I1478" s="725"/>
      <c r="J1478" s="2139" t="str">
        <f t="shared" si="108"/>
        <v/>
      </c>
      <c r="K1478" s="2072" t="str">
        <f t="shared" si="109"/>
        <v/>
      </c>
      <c r="L1478" s="2073" t="str">
        <f t="shared" si="109"/>
        <v/>
      </c>
      <c r="M1478" s="2073" t="str">
        <f t="shared" si="109"/>
        <v/>
      </c>
      <c r="N1478" s="2073" t="str">
        <f t="shared" si="109"/>
        <v/>
      </c>
      <c r="O1478" s="485"/>
      <c r="P1478" s="1137"/>
      <c r="Q1478" s="1137"/>
      <c r="R1478" s="1137"/>
      <c r="S1478" s="1137"/>
      <c r="T1478" s="1137"/>
      <c r="U1478" s="1137"/>
      <c r="V1478" s="1137"/>
    </row>
    <row r="1479" spans="1:22" s="562" customFormat="1" ht="12.75" hidden="1" customHeight="1">
      <c r="A1479" s="719" t="s">
        <v>2289</v>
      </c>
      <c r="B1479" s="485"/>
      <c r="C1479" s="559"/>
      <c r="D1479" s="706"/>
      <c r="E1479" s="723" t="s">
        <v>1389</v>
      </c>
      <c r="F1479" s="723"/>
      <c r="G1479" s="723"/>
      <c r="H1479" s="726" t="s">
        <v>1021</v>
      </c>
      <c r="I1479" s="725"/>
      <c r="J1479" s="2140" t="str">
        <f t="shared" si="108"/>
        <v/>
      </c>
      <c r="K1479" s="2141" t="str">
        <f t="shared" si="109"/>
        <v/>
      </c>
      <c r="L1479" s="2142" t="str">
        <f t="shared" si="109"/>
        <v/>
      </c>
      <c r="M1479" s="2142" t="str">
        <f t="shared" si="109"/>
        <v/>
      </c>
      <c r="N1479" s="2142" t="str">
        <f t="shared" si="109"/>
        <v/>
      </c>
      <c r="O1479" s="485"/>
      <c r="P1479" s="1137"/>
      <c r="Q1479" s="1137"/>
      <c r="R1479" s="1137"/>
      <c r="S1479" s="1137"/>
      <c r="T1479" s="1137"/>
      <c r="U1479" s="1137"/>
      <c r="V1479" s="1137"/>
    </row>
    <row r="1480" spans="1:22" s="562" customFormat="1" ht="12.75" hidden="1" customHeight="1">
      <c r="A1480" s="719" t="s">
        <v>2289</v>
      </c>
      <c r="B1480" s="485"/>
      <c r="C1480" s="559"/>
      <c r="D1480" s="706"/>
      <c r="E1480" s="727" t="s">
        <v>1391</v>
      </c>
      <c r="F1480" s="727"/>
      <c r="G1480" s="727"/>
      <c r="H1480" s="728" t="s">
        <v>1021</v>
      </c>
      <c r="I1480" s="729"/>
      <c r="J1480" s="2143" t="str">
        <f t="shared" si="108"/>
        <v/>
      </c>
      <c r="K1480" s="2141" t="str">
        <f t="shared" si="109"/>
        <v/>
      </c>
      <c r="L1480" s="2142" t="str">
        <f t="shared" si="109"/>
        <v/>
      </c>
      <c r="M1480" s="2142" t="str">
        <f t="shared" si="109"/>
        <v/>
      </c>
      <c r="N1480" s="2142" t="str">
        <f t="shared" si="109"/>
        <v/>
      </c>
      <c r="O1480" s="485"/>
      <c r="P1480" s="1137"/>
      <c r="Q1480" s="1137"/>
      <c r="R1480" s="1137"/>
      <c r="S1480" s="1137"/>
      <c r="T1480" s="1137"/>
      <c r="U1480" s="1137"/>
      <c r="V1480" s="1137"/>
    </row>
    <row r="1481" spans="1:22" s="562" customFormat="1" ht="12.75" customHeight="1">
      <c r="A1481" s="719"/>
      <c r="B1481" s="485"/>
      <c r="C1481" s="559"/>
      <c r="D1481" s="706"/>
      <c r="E1481" s="698" t="s">
        <v>1671</v>
      </c>
      <c r="F1481" s="698"/>
      <c r="G1481" s="698"/>
      <c r="H1481" s="730" t="str">
        <f>EUconst_EUA</f>
        <v>UKA</v>
      </c>
      <c r="I1481" s="731"/>
      <c r="J1481" s="2129" t="str">
        <f>IF($I1461="","",MAX(0,ROUND((SUM($M1464)*SUM(J1475)*SUM(J1479)*SUM(J1480)-SUM(J1476)-SUM(J1477)+SUM(J1478))*IF($H1464=TRUE,1,J$2517),0)))</f>
        <v/>
      </c>
      <c r="K1481" s="2072" t="str">
        <f>IF($I1461="","",MAX(0,ROUND((SUM($M1464)*SUM(K1475)*SUM(K1479)*SUM(K1480)-SUM(K1476)-SUM(K1477)+SUM(K1478))*IF($H1464=TRUE,1,K$2517),0)))</f>
        <v/>
      </c>
      <c r="L1481" s="2073" t="str">
        <f>IF($I1461="","",MAX(0,ROUND((SUM($M1464)*SUM(L1475)*SUM(L1479)*SUM(L1480)-SUM(L1476)-SUM(L1477)+SUM(L1478))*IF($H1464=TRUE,1,L$2517),0)))</f>
        <v/>
      </c>
      <c r="M1481" s="2073" t="str">
        <f>IF($I1461="","",MAX(0,ROUND((SUM($M1464)*SUM(M1475)*SUM(M1479)*SUM(M1480)-SUM(M1476)-SUM(M1477)+SUM(M1478))*IF($H1464=TRUE,1,M$2517),0)))</f>
        <v/>
      </c>
      <c r="N1481" s="2073" t="str">
        <f>IF($I1461="","",MAX(0,ROUND((SUM($M1464)*SUM(N1475)*SUM(N1479)*SUM(N1480)-SUM(N1476)-SUM(N1477)+SUM(N1478))*IF($H1464=TRUE,1,N$2517),0)))</f>
        <v/>
      </c>
      <c r="O1481" s="485"/>
      <c r="P1481" s="1137"/>
      <c r="Q1481" s="1137"/>
      <c r="R1481" s="1137"/>
      <c r="S1481" s="1137"/>
      <c r="T1481" s="1137"/>
      <c r="U1481" s="1137"/>
      <c r="V1481" s="1137"/>
    </row>
    <row r="1482" spans="1:22" s="562" customFormat="1" ht="5.0999999999999996" customHeight="1">
      <c r="A1482" s="719"/>
      <c r="B1482" s="485"/>
      <c r="C1482" s="559"/>
      <c r="D1482" s="706"/>
      <c r="E1482" s="559"/>
      <c r="F1482" s="559"/>
      <c r="G1482" s="559"/>
      <c r="H1482" s="559"/>
      <c r="I1482" s="559"/>
      <c r="J1482" s="559"/>
      <c r="K1482" s="2130"/>
      <c r="L1482" s="2131"/>
      <c r="M1482" s="2131"/>
      <c r="N1482" s="2131"/>
      <c r="O1482" s="485"/>
      <c r="P1482" s="1137"/>
      <c r="Q1482" s="1137"/>
      <c r="R1482" s="1137"/>
      <c r="S1482" s="1137"/>
      <c r="T1482" s="1137"/>
      <c r="U1482" s="1137"/>
      <c r="V1482" s="1137"/>
    </row>
    <row r="1483" spans="1:22" s="562" customFormat="1" ht="12.75" customHeight="1">
      <c r="A1483" s="719"/>
      <c r="B1483" s="485"/>
      <c r="C1483" s="559"/>
      <c r="D1483" s="706"/>
      <c r="E1483" s="707" t="s">
        <v>1752</v>
      </c>
      <c r="F1483" s="637"/>
      <c r="G1483" s="637"/>
      <c r="H1483" s="663" t="str">
        <f>EUconst_Unit</f>
        <v>Unit</v>
      </c>
      <c r="I1483" s="708"/>
      <c r="J1483" s="2132">
        <f>J$2737</f>
        <v>2026</v>
      </c>
      <c r="K1483" s="1489">
        <f>K$2737</f>
        <v>2027</v>
      </c>
      <c r="L1483" s="1490">
        <f>L$2737</f>
        <v>2028</v>
      </c>
      <c r="M1483" s="1490">
        <f>M$2737</f>
        <v>2029</v>
      </c>
      <c r="N1483" s="1490">
        <f>N$2737</f>
        <v>2030</v>
      </c>
      <c r="O1483" s="485"/>
      <c r="P1483" s="1137"/>
      <c r="Q1483" s="1137"/>
      <c r="R1483" s="1137"/>
      <c r="S1483" s="1137"/>
      <c r="T1483" s="1137"/>
      <c r="U1483" s="1137"/>
      <c r="V1483" s="1137"/>
    </row>
    <row r="1484" spans="1:22" s="562" customFormat="1" ht="12.75" customHeight="1">
      <c r="A1484" s="719"/>
      <c r="B1484" s="485"/>
      <c r="C1484" s="559"/>
      <c r="D1484" s="706"/>
      <c r="E1484" s="720" t="s">
        <v>1691</v>
      </c>
      <c r="F1484" s="720"/>
      <c r="G1484" s="720"/>
      <c r="H1484" s="732" t="str">
        <f>H1475</f>
        <v>tonnes</v>
      </c>
      <c r="I1484" s="733"/>
      <c r="J1484" s="2144" t="str">
        <f>INDEX(F_ProductBM!J:J,MATCH($P1484,F_ProductBM!$Q:$Q,0))</f>
        <v/>
      </c>
      <c r="K1484" s="2072" t="str">
        <f>INDEX(F_ProductBM!K:K,MATCH($P1484,F_ProductBM!$Q:$Q,0))</f>
        <v/>
      </c>
      <c r="L1484" s="2073" t="str">
        <f>INDEX(F_ProductBM!L:L,MATCH($P1484,F_ProductBM!$Q:$Q,0))</f>
        <v/>
      </c>
      <c r="M1484" s="2073" t="str">
        <f>INDEX(F_ProductBM!M:M,MATCH($P1484,F_ProductBM!$Q:$Q,0))</f>
        <v/>
      </c>
      <c r="N1484" s="2073" t="str">
        <f>INDEX(F_ProductBM!N:N,MATCH($P1484,F_ProductBM!$Q:$Q,0))</f>
        <v/>
      </c>
      <c r="O1484" s="485"/>
      <c r="P1484" s="1158" t="str">
        <f>EUconst_CNTR_HALinitial&amp;I1461</f>
        <v>HALini_</v>
      </c>
      <c r="Q1484" s="1137"/>
      <c r="R1484" s="1137"/>
      <c r="S1484" s="1137"/>
      <c r="T1484" s="1137"/>
      <c r="U1484" s="1137"/>
      <c r="V1484" s="1137"/>
    </row>
    <row r="1485" spans="1:22" s="562" customFormat="1" ht="12.75" customHeight="1">
      <c r="A1485" s="719"/>
      <c r="B1485" s="485"/>
      <c r="C1485" s="559"/>
      <c r="D1485" s="706"/>
      <c r="E1485" s="723" t="s">
        <v>1648</v>
      </c>
      <c r="F1485" s="723"/>
      <c r="G1485" s="723"/>
      <c r="H1485" s="734" t="s">
        <v>1021</v>
      </c>
      <c r="I1485" s="735"/>
      <c r="J1485" s="23" t="str">
        <f>INDEX(F_ProductBM!J:J,MATCH($P1485,F_ProductBM!$Q:$Q,0))</f>
        <v/>
      </c>
      <c r="K1485" s="46" t="str">
        <f>INDEX(F_ProductBM!K:K,MATCH($P1485,F_ProductBM!$Q:$Q,0))</f>
        <v/>
      </c>
      <c r="L1485" s="27" t="str">
        <f>INDEX(F_ProductBM!L:L,MATCH($P1485,F_ProductBM!$Q:$Q,0))</f>
        <v/>
      </c>
      <c r="M1485" s="27" t="str">
        <f>INDEX(F_ProductBM!M:M,MATCH($P1485,F_ProductBM!$Q:$Q,0))</f>
        <v/>
      </c>
      <c r="N1485" s="27" t="str">
        <f>INDEX(F_ProductBM!N:N,MATCH($P1485,F_ProductBM!$Q:$Q,0))</f>
        <v/>
      </c>
      <c r="O1485" s="485"/>
      <c r="P1485" s="1158" t="str">
        <f>EUconst_CNTR_RelThreshold &amp; P1487</f>
        <v>RelThresh_HALprelim_</v>
      </c>
      <c r="Q1485" s="1137"/>
      <c r="R1485" s="1137"/>
      <c r="S1485" s="1137"/>
      <c r="T1485" s="1137"/>
      <c r="U1485" s="1137"/>
      <c r="V1485" s="1137"/>
    </row>
    <row r="1486" spans="1:22" s="562" customFormat="1" ht="12.75" customHeight="1">
      <c r="A1486" s="719"/>
      <c r="B1486" s="485"/>
      <c r="C1486" s="559"/>
      <c r="D1486" s="706"/>
      <c r="E1486" s="736" t="s">
        <v>1850</v>
      </c>
      <c r="F1486" s="736"/>
      <c r="G1486" s="736"/>
      <c r="H1486" s="737" t="s">
        <v>1021</v>
      </c>
      <c r="I1486" s="738"/>
      <c r="J1486" s="2145" t="str">
        <f>INDEX(F_ProductBM!V:V,MATCH($P1486,F_ProductBM!$Q:$Q,0)+1)</f>
        <v/>
      </c>
      <c r="K1486" s="2134" t="str">
        <f>INDEX(F_ProductBM!W:W,MATCH($P1486,F_ProductBM!$Q:$Q,0)+1)</f>
        <v/>
      </c>
      <c r="L1486" s="2135" t="str">
        <f>INDEX(F_ProductBM!X:X,MATCH($P1486,F_ProductBM!$Q:$Q,0)+1)</f>
        <v/>
      </c>
      <c r="M1486" s="2135" t="str">
        <f>INDEX(F_ProductBM!Y:Y,MATCH($P1486,F_ProductBM!$Q:$Q,0)+1)</f>
        <v/>
      </c>
      <c r="N1486" s="2135" t="str">
        <f>INDEX(F_ProductBM!Z:Z,MATCH($P1486,F_ProductBM!$Q:$Q,0)+1)</f>
        <v/>
      </c>
      <c r="O1486" s="485"/>
      <c r="P1486" s="1158" t="str">
        <f>P1485</f>
        <v>RelThresh_HALprelim_</v>
      </c>
      <c r="Q1486" s="1137"/>
      <c r="R1486" s="1137"/>
      <c r="S1486" s="1137"/>
      <c r="T1486" s="1137"/>
      <c r="U1486" s="1137"/>
      <c r="V1486" s="1137"/>
    </row>
    <row r="1487" spans="1:22" s="562" customFormat="1" ht="12.75" customHeight="1">
      <c r="A1487" s="719"/>
      <c r="B1487" s="485"/>
      <c r="C1487" s="559"/>
      <c r="D1487" s="706"/>
      <c r="E1487" s="727" t="s">
        <v>1689</v>
      </c>
      <c r="F1487" s="727"/>
      <c r="G1487" s="727"/>
      <c r="H1487" s="739" t="str">
        <f>F1467</f>
        <v>tonnes</v>
      </c>
      <c r="I1487" s="727"/>
      <c r="J1487" s="2146" t="str">
        <f>INDEX(F_ProductBM!J:J,MATCH($P1487,F_ProductBM!$Q:$Q,0))</f>
        <v/>
      </c>
      <c r="K1487" s="2072" t="str">
        <f>INDEX(F_ProductBM!K:K,MATCH($P1487,F_ProductBM!$Q:$Q,0))</f>
        <v/>
      </c>
      <c r="L1487" s="2073" t="str">
        <f>INDEX(F_ProductBM!L:L,MATCH($P1487,F_ProductBM!$Q:$Q,0))</f>
        <v/>
      </c>
      <c r="M1487" s="2073" t="str">
        <f>INDEX(F_ProductBM!M:M,MATCH($P1487,F_ProductBM!$Q:$Q,0))</f>
        <v/>
      </c>
      <c r="N1487" s="2073" t="str">
        <f>INDEX(F_ProductBM!N:N,MATCH($P1487,F_ProductBM!$Q:$Q,0))</f>
        <v/>
      </c>
      <c r="O1487" s="485"/>
      <c r="P1487" s="1158" t="str">
        <f>EUconst_CNTR_HALprelim&amp;I1461</f>
        <v>HALprelim_</v>
      </c>
      <c r="Q1487" s="1137"/>
      <c r="R1487" s="1137"/>
      <c r="S1487" s="1137"/>
      <c r="T1487" s="1137"/>
      <c r="U1487" s="1137"/>
      <c r="V1487" s="1137"/>
    </row>
    <row r="1488" spans="1:22" s="562" customFormat="1" ht="12.75" hidden="1" customHeight="1">
      <c r="A1488" s="719" t="s">
        <v>2289</v>
      </c>
      <c r="B1488" s="485"/>
      <c r="C1488" s="559"/>
      <c r="D1488" s="706"/>
      <c r="E1488" s="720" t="s">
        <v>303</v>
      </c>
      <c r="F1488" s="720"/>
      <c r="G1488" s="720"/>
      <c r="H1488" s="721" t="str">
        <f>EUconst_EUA</f>
        <v>UKA</v>
      </c>
      <c r="I1488" s="722"/>
      <c r="J1488" s="2138" t="str">
        <f t="shared" ref="J1488:N1492" si="110">I1571</f>
        <v/>
      </c>
      <c r="K1488" s="2072" t="str">
        <f t="shared" si="110"/>
        <v/>
      </c>
      <c r="L1488" s="2073" t="str">
        <f t="shared" si="110"/>
        <v/>
      </c>
      <c r="M1488" s="2073" t="str">
        <f t="shared" si="110"/>
        <v/>
      </c>
      <c r="N1488" s="2073" t="str">
        <f t="shared" si="110"/>
        <v/>
      </c>
      <c r="O1488" s="485"/>
      <c r="P1488" s="1137"/>
      <c r="Q1488" s="1137"/>
      <c r="R1488" s="1137"/>
      <c r="S1488" s="1137"/>
      <c r="T1488" s="1137"/>
      <c r="U1488" s="1137"/>
      <c r="V1488" s="1137"/>
    </row>
    <row r="1489" spans="1:22" s="562" customFormat="1" ht="12.75" hidden="1" customHeight="1">
      <c r="A1489" s="719" t="s">
        <v>2289</v>
      </c>
      <c r="B1489" s="485"/>
      <c r="C1489" s="559"/>
      <c r="D1489" s="706"/>
      <c r="E1489" s="723" t="s">
        <v>1422</v>
      </c>
      <c r="F1489" s="723"/>
      <c r="G1489" s="723"/>
      <c r="H1489" s="724" t="str">
        <f>EUconst_EUA</f>
        <v>UKA</v>
      </c>
      <c r="I1489" s="725"/>
      <c r="J1489" s="2139" t="str">
        <f t="shared" si="110"/>
        <v/>
      </c>
      <c r="K1489" s="2072" t="str">
        <f t="shared" si="110"/>
        <v/>
      </c>
      <c r="L1489" s="2073" t="str">
        <f t="shared" si="110"/>
        <v/>
      </c>
      <c r="M1489" s="2073" t="str">
        <f t="shared" si="110"/>
        <v/>
      </c>
      <c r="N1489" s="2073" t="str">
        <f t="shared" si="110"/>
        <v/>
      </c>
      <c r="O1489" s="485"/>
      <c r="P1489" s="1137"/>
      <c r="Q1489" s="1137"/>
      <c r="R1489" s="1137"/>
      <c r="S1489" s="1137"/>
      <c r="T1489" s="1137"/>
      <c r="U1489" s="1137"/>
      <c r="V1489" s="1137"/>
    </row>
    <row r="1490" spans="1:22" s="562" customFormat="1" ht="12.75" hidden="1" customHeight="1">
      <c r="A1490" s="719" t="s">
        <v>2289</v>
      </c>
      <c r="B1490" s="485"/>
      <c r="C1490" s="559"/>
      <c r="D1490" s="706"/>
      <c r="E1490" s="723" t="s">
        <v>1390</v>
      </c>
      <c r="F1490" s="723"/>
      <c r="G1490" s="723"/>
      <c r="H1490" s="724" t="str">
        <f>EUconst_EUA</f>
        <v>UKA</v>
      </c>
      <c r="I1490" s="725"/>
      <c r="J1490" s="2139" t="str">
        <f t="shared" si="110"/>
        <v/>
      </c>
      <c r="K1490" s="2072" t="str">
        <f t="shared" si="110"/>
        <v/>
      </c>
      <c r="L1490" s="2073" t="str">
        <f t="shared" si="110"/>
        <v/>
      </c>
      <c r="M1490" s="2073" t="str">
        <f t="shared" si="110"/>
        <v/>
      </c>
      <c r="N1490" s="2073" t="str">
        <f t="shared" si="110"/>
        <v/>
      </c>
      <c r="O1490" s="485"/>
      <c r="P1490" s="1137"/>
      <c r="Q1490" s="1137"/>
      <c r="R1490" s="1137"/>
      <c r="S1490" s="1137"/>
      <c r="T1490" s="1137"/>
      <c r="U1490" s="1137"/>
      <c r="V1490" s="1137"/>
    </row>
    <row r="1491" spans="1:22" s="562" customFormat="1" ht="12.75" hidden="1" customHeight="1">
      <c r="A1491" s="719" t="s">
        <v>2289</v>
      </c>
      <c r="B1491" s="485"/>
      <c r="C1491" s="559"/>
      <c r="D1491" s="706"/>
      <c r="E1491" s="723" t="s">
        <v>1389</v>
      </c>
      <c r="F1491" s="723"/>
      <c r="G1491" s="723"/>
      <c r="H1491" s="726" t="s">
        <v>1021</v>
      </c>
      <c r="I1491" s="725"/>
      <c r="J1491" s="2140" t="str">
        <f t="shared" si="110"/>
        <v/>
      </c>
      <c r="K1491" s="2141" t="str">
        <f t="shared" si="110"/>
        <v/>
      </c>
      <c r="L1491" s="2142" t="str">
        <f t="shared" si="110"/>
        <v/>
      </c>
      <c r="M1491" s="2142" t="str">
        <f t="shared" si="110"/>
        <v/>
      </c>
      <c r="N1491" s="2142" t="str">
        <f t="shared" si="110"/>
        <v/>
      </c>
      <c r="O1491" s="485"/>
      <c r="P1491" s="1137"/>
      <c r="Q1491" s="1137"/>
      <c r="R1491" s="1137"/>
      <c r="S1491" s="1137"/>
      <c r="T1491" s="1137"/>
      <c r="U1491" s="1137"/>
      <c r="V1491" s="1137"/>
    </row>
    <row r="1492" spans="1:22" s="562" customFormat="1" ht="12.75" hidden="1" customHeight="1">
      <c r="A1492" s="719" t="s">
        <v>2289</v>
      </c>
      <c r="B1492" s="485"/>
      <c r="C1492" s="559"/>
      <c r="D1492" s="706"/>
      <c r="E1492" s="727" t="s">
        <v>1391</v>
      </c>
      <c r="F1492" s="727"/>
      <c r="G1492" s="727"/>
      <c r="H1492" s="728" t="s">
        <v>1021</v>
      </c>
      <c r="I1492" s="729"/>
      <c r="J1492" s="2143" t="str">
        <f t="shared" si="110"/>
        <v/>
      </c>
      <c r="K1492" s="2141" t="str">
        <f t="shared" si="110"/>
        <v/>
      </c>
      <c r="L1492" s="2142" t="str">
        <f t="shared" si="110"/>
        <v/>
      </c>
      <c r="M1492" s="2142" t="str">
        <f t="shared" si="110"/>
        <v/>
      </c>
      <c r="N1492" s="2142" t="str">
        <f t="shared" si="110"/>
        <v/>
      </c>
      <c r="O1492" s="485"/>
      <c r="P1492" s="1137"/>
      <c r="Q1492" s="1137"/>
      <c r="R1492" s="1137"/>
      <c r="S1492" s="1137"/>
      <c r="T1492" s="1137"/>
      <c r="U1492" s="1137"/>
      <c r="V1492" s="1137"/>
    </row>
    <row r="1493" spans="1:22" s="562" customFormat="1" ht="12.75" customHeight="1">
      <c r="A1493" s="719"/>
      <c r="B1493" s="485"/>
      <c r="C1493" s="559"/>
      <c r="D1493" s="706"/>
      <c r="E1493" s="698" t="s">
        <v>1671</v>
      </c>
      <c r="F1493" s="698"/>
      <c r="G1493" s="698"/>
      <c r="H1493" s="730" t="str">
        <f>EUconst_EUA</f>
        <v>UKA</v>
      </c>
      <c r="I1493" s="731"/>
      <c r="J1493" s="2129" t="str">
        <f>IF($I1461="","",MAX(0,ROUND((SUM($M1464)*SUM(J1487)*SUM(J1491)*SUM(J1492)-SUM(J1488)-SUM(J1489)+SUM(J1490))*IF($H1464=TRUE,1,J$2517),0)))</f>
        <v/>
      </c>
      <c r="K1493" s="2072" t="str">
        <f>IF($I1461="","",MAX(0,ROUND((SUM($M1464)*SUM(K1487)*SUM(K1491)*SUM(K1492)-SUM(K1488)-SUM(K1489)+SUM(K1490))*IF($H1464=TRUE,1,K$2517),0)))</f>
        <v/>
      </c>
      <c r="L1493" s="2073" t="str">
        <f>IF($I1461="","",MAX(0,ROUND((SUM($M1464)*SUM(L1487)*SUM(L1491)*SUM(L1492)-SUM(L1488)-SUM(L1489)+SUM(L1490))*IF($H1464=TRUE,1,L$2517),0)))</f>
        <v/>
      </c>
      <c r="M1493" s="2073" t="str">
        <f>IF($I1461="","",MAX(0,ROUND((SUM($M1464)*SUM(M1487)*SUM(M1491)*SUM(M1492)-SUM(M1488)-SUM(M1489)+SUM(M1490))*IF($H1464=TRUE,1,M$2517),0)))</f>
        <v/>
      </c>
      <c r="N1493" s="2073" t="str">
        <f>IF($I1461="","",MAX(0,ROUND((SUM($M1464)*SUM(N1487)*SUM(N1491)*SUM(N1492)-SUM(N1488)-SUM(N1489)+SUM(N1490))*IF($H1464=TRUE,1,N$2517),0)))</f>
        <v/>
      </c>
      <c r="O1493" s="485"/>
      <c r="P1493" s="1137"/>
      <c r="Q1493" s="1137"/>
      <c r="R1493" s="1137"/>
      <c r="S1493" s="1137"/>
      <c r="T1493" s="1137"/>
      <c r="U1493" s="1137"/>
      <c r="V1493" s="1137"/>
    </row>
    <row r="1494" spans="1:22" s="562" customFormat="1" ht="12.75" customHeight="1">
      <c r="A1494" s="719"/>
      <c r="B1494" s="485"/>
      <c r="C1494" s="559"/>
      <c r="D1494" s="706"/>
      <c r="E1494" s="698" t="s">
        <v>1670</v>
      </c>
      <c r="F1494" s="698"/>
      <c r="G1494" s="698"/>
      <c r="H1494" s="730" t="str">
        <f>EUconst_EUA</f>
        <v>UKA</v>
      </c>
      <c r="I1494" s="731"/>
      <c r="J1494" s="2129" t="str">
        <f>IF($I1461="","",ABS(SUM(J1493)-SUM(J1481)))</f>
        <v/>
      </c>
      <c r="K1494" s="2072" t="str">
        <f>IF($I1461="","",ABS(SUM(K1493)-SUM(K1481)))</f>
        <v/>
      </c>
      <c r="L1494" s="2073" t="str">
        <f>IF($I1461="","",ABS(SUM(L1493)-SUM(L1481)))</f>
        <v/>
      </c>
      <c r="M1494" s="2073" t="str">
        <f>IF($I1461="","",ABS(SUM(M1493)-SUM(M1481)))</f>
        <v/>
      </c>
      <c r="N1494" s="2073" t="str">
        <f>IF($I1461="","",ABS(SUM(N1493)-SUM(N1481)))</f>
        <v/>
      </c>
      <c r="O1494" s="485"/>
      <c r="P1494" s="1137"/>
      <c r="Q1494" s="1137"/>
      <c r="R1494" s="1137"/>
      <c r="S1494" s="1137"/>
      <c r="T1494" s="1137"/>
      <c r="U1494" s="1137"/>
      <c r="V1494" s="1137"/>
    </row>
    <row r="1495" spans="1:22" s="562" customFormat="1" ht="12.75" customHeight="1">
      <c r="A1495" s="719"/>
      <c r="B1495" s="485"/>
      <c r="C1495" s="559"/>
      <c r="D1495" s="706"/>
      <c r="E1495" s="740" t="s">
        <v>2130</v>
      </c>
      <c r="F1495" s="740"/>
      <c r="G1495" s="740"/>
      <c r="H1495" s="741" t="s">
        <v>1021</v>
      </c>
      <c r="I1495" s="742"/>
      <c r="J1495" s="2147" t="str">
        <f>IF($I1461="","",J1494&gt;=100)</f>
        <v/>
      </c>
      <c r="K1495" s="2134" t="str">
        <f>IF($I1461="","",K1494&gt;=100)</f>
        <v/>
      </c>
      <c r="L1495" s="2135" t="str">
        <f>IF($I1461="","",L1494&gt;=100)</f>
        <v/>
      </c>
      <c r="M1495" s="2135" t="str">
        <f>IF($I1461="","",M1494&gt;=100)</f>
        <v/>
      </c>
      <c r="N1495" s="2135" t="str">
        <f>IF($I1461="","",N1494&gt;=100)</f>
        <v/>
      </c>
      <c r="O1495" s="485"/>
      <c r="P1495" s="1158" t="str">
        <f>EUconst_CNTR_100EUA_ActivityLevel&amp;I1461</f>
        <v>EUA100AL_</v>
      </c>
      <c r="Q1495" s="1137"/>
      <c r="R1495" s="1137"/>
      <c r="S1495" s="1137"/>
      <c r="T1495" s="1137"/>
      <c r="U1495" s="1137"/>
      <c r="V1495" s="1137"/>
    </row>
    <row r="1496" spans="1:22" s="562" customFormat="1" ht="5.0999999999999996" customHeight="1">
      <c r="A1496" s="719"/>
      <c r="B1496" s="485"/>
      <c r="C1496" s="559"/>
      <c r="D1496" s="706"/>
      <c r="E1496" s="485"/>
      <c r="F1496" s="485"/>
      <c r="G1496" s="485"/>
      <c r="H1496" s="485"/>
      <c r="I1496" s="743"/>
      <c r="J1496" s="485"/>
      <c r="K1496" s="1790"/>
      <c r="L1496" s="1791"/>
      <c r="M1496" s="1791"/>
      <c r="N1496" s="1791"/>
      <c r="O1496" s="485"/>
      <c r="P1496" s="1137"/>
      <c r="Q1496" s="1137"/>
      <c r="R1496" s="1137"/>
      <c r="S1496" s="1137"/>
      <c r="T1496" s="1137"/>
      <c r="U1496" s="1137"/>
      <c r="V1496" s="1137"/>
    </row>
    <row r="1497" spans="1:22" s="562" customFormat="1" ht="12.75" customHeight="1">
      <c r="A1497" s="719"/>
      <c r="B1497" s="485"/>
      <c r="C1497" s="559"/>
      <c r="D1497" s="706"/>
      <c r="E1497" s="707" t="s">
        <v>1753</v>
      </c>
      <c r="F1497" s="637"/>
      <c r="G1497" s="637"/>
      <c r="H1497" s="663" t="str">
        <f>EUconst_Unit</f>
        <v>Unit</v>
      </c>
      <c r="I1497" s="708"/>
      <c r="J1497" s="2132">
        <f>J$2737</f>
        <v>2026</v>
      </c>
      <c r="K1497" s="1489">
        <f>K$2737</f>
        <v>2027</v>
      </c>
      <c r="L1497" s="1490">
        <f>L$2737</f>
        <v>2028</v>
      </c>
      <c r="M1497" s="1490">
        <f>M$2737</f>
        <v>2029</v>
      </c>
      <c r="N1497" s="1490">
        <f>N$2737</f>
        <v>2030</v>
      </c>
      <c r="O1497" s="485"/>
      <c r="P1497" s="1137"/>
      <c r="Q1497" s="1137"/>
      <c r="R1497" s="1137"/>
      <c r="S1497" s="1137"/>
      <c r="T1497" s="1137"/>
      <c r="U1497" s="1137"/>
      <c r="V1497" s="1137"/>
    </row>
    <row r="1498" spans="1:22" s="562" customFormat="1" ht="12.75" hidden="1" customHeight="1">
      <c r="A1498" s="719" t="s">
        <v>2289</v>
      </c>
      <c r="B1498" s="485"/>
      <c r="C1498" s="559"/>
      <c r="D1498" s="706"/>
      <c r="E1498" s="698" t="s">
        <v>1714</v>
      </c>
      <c r="F1498" s="698"/>
      <c r="G1498" s="698"/>
      <c r="H1498" s="639" t="str">
        <f>H1487</f>
        <v>tonnes</v>
      </c>
      <c r="I1498" s="698"/>
      <c r="J1498" s="2137" t="str">
        <f t="shared" ref="J1498:N1501" si="111">I1570</f>
        <v/>
      </c>
      <c r="K1498" s="2072" t="str">
        <f t="shared" si="111"/>
        <v/>
      </c>
      <c r="L1498" s="2073" t="str">
        <f t="shared" si="111"/>
        <v/>
      </c>
      <c r="M1498" s="2073" t="str">
        <f t="shared" si="111"/>
        <v/>
      </c>
      <c r="N1498" s="2073" t="str">
        <f t="shared" si="111"/>
        <v/>
      </c>
      <c r="O1498" s="485"/>
      <c r="P1498" s="1137"/>
      <c r="Q1498" s="1137"/>
      <c r="R1498" s="1137"/>
      <c r="S1498" s="1137"/>
      <c r="T1498" s="1137"/>
      <c r="U1498" s="1137"/>
      <c r="V1498" s="1137"/>
    </row>
    <row r="1499" spans="1:22" s="562" customFormat="1" ht="12.75" hidden="1" customHeight="1">
      <c r="A1499" s="719" t="s">
        <v>2289</v>
      </c>
      <c r="B1499" s="485"/>
      <c r="C1499" s="559"/>
      <c r="D1499" s="706"/>
      <c r="E1499" s="720" t="s">
        <v>303</v>
      </c>
      <c r="F1499" s="720"/>
      <c r="G1499" s="720"/>
      <c r="H1499" s="721" t="str">
        <f>EUconst_EUA</f>
        <v>UKA</v>
      </c>
      <c r="I1499" s="722"/>
      <c r="J1499" s="2138" t="str">
        <f t="shared" si="111"/>
        <v/>
      </c>
      <c r="K1499" s="2072" t="str">
        <f t="shared" si="111"/>
        <v/>
      </c>
      <c r="L1499" s="2073" t="str">
        <f t="shared" si="111"/>
        <v/>
      </c>
      <c r="M1499" s="2073" t="str">
        <f t="shared" si="111"/>
        <v/>
      </c>
      <c r="N1499" s="2073" t="str">
        <f t="shared" si="111"/>
        <v/>
      </c>
      <c r="O1499" s="485"/>
      <c r="P1499" s="1137"/>
      <c r="Q1499" s="1137"/>
      <c r="R1499" s="1137"/>
      <c r="S1499" s="1137"/>
      <c r="T1499" s="1137"/>
      <c r="U1499" s="1137"/>
      <c r="V1499" s="1137"/>
    </row>
    <row r="1500" spans="1:22" s="562" customFormat="1" ht="12.75" hidden="1" customHeight="1">
      <c r="A1500" s="719" t="s">
        <v>2289</v>
      </c>
      <c r="B1500" s="485"/>
      <c r="C1500" s="559"/>
      <c r="D1500" s="706"/>
      <c r="E1500" s="723" t="s">
        <v>1422</v>
      </c>
      <c r="F1500" s="723"/>
      <c r="G1500" s="723"/>
      <c r="H1500" s="724" t="str">
        <f>EUconst_EUA</f>
        <v>UKA</v>
      </c>
      <c r="I1500" s="725"/>
      <c r="J1500" s="2139" t="str">
        <f t="shared" si="111"/>
        <v/>
      </c>
      <c r="K1500" s="2072" t="str">
        <f t="shared" si="111"/>
        <v/>
      </c>
      <c r="L1500" s="2073" t="str">
        <f t="shared" si="111"/>
        <v/>
      </c>
      <c r="M1500" s="2073" t="str">
        <f t="shared" si="111"/>
        <v/>
      </c>
      <c r="N1500" s="2073" t="str">
        <f t="shared" si="111"/>
        <v/>
      </c>
      <c r="O1500" s="485"/>
      <c r="P1500" s="1137"/>
      <c r="Q1500" s="1137"/>
      <c r="R1500" s="1137"/>
      <c r="S1500" s="1137"/>
      <c r="T1500" s="1137"/>
      <c r="U1500" s="1137"/>
      <c r="V1500" s="1137"/>
    </row>
    <row r="1501" spans="1:22" s="562" customFormat="1" ht="12.75" hidden="1" customHeight="1">
      <c r="A1501" s="719" t="s">
        <v>2289</v>
      </c>
      <c r="B1501" s="485"/>
      <c r="C1501" s="559"/>
      <c r="D1501" s="706"/>
      <c r="E1501" s="745" t="s">
        <v>1390</v>
      </c>
      <c r="F1501" s="745"/>
      <c r="G1501" s="745"/>
      <c r="H1501" s="746" t="str">
        <f>EUconst_EUA</f>
        <v>UKA</v>
      </c>
      <c r="I1501" s="747"/>
      <c r="J1501" s="2148" t="str">
        <f t="shared" si="111"/>
        <v/>
      </c>
      <c r="K1501" s="2072" t="str">
        <f t="shared" si="111"/>
        <v/>
      </c>
      <c r="L1501" s="2073" t="str">
        <f t="shared" si="111"/>
        <v/>
      </c>
      <c r="M1501" s="2073" t="str">
        <f t="shared" si="111"/>
        <v/>
      </c>
      <c r="N1501" s="2073" t="str">
        <f t="shared" si="111"/>
        <v/>
      </c>
      <c r="O1501" s="485"/>
      <c r="P1501" s="1137"/>
      <c r="Q1501" s="1137"/>
      <c r="R1501" s="1137"/>
      <c r="S1501" s="1137"/>
      <c r="T1501" s="1137"/>
      <c r="U1501" s="1137"/>
      <c r="V1501" s="1137"/>
    </row>
    <row r="1502" spans="1:22" s="562" customFormat="1" ht="12.75" customHeight="1">
      <c r="A1502" s="719"/>
      <c r="B1502" s="485"/>
      <c r="C1502" s="559"/>
      <c r="D1502" s="706"/>
      <c r="E1502" s="720" t="s">
        <v>1691</v>
      </c>
      <c r="F1502" s="720"/>
      <c r="G1502" s="720"/>
      <c r="H1502" s="748" t="s">
        <v>1021</v>
      </c>
      <c r="I1502" s="722"/>
      <c r="J1502" s="2149" t="str">
        <f>INDEX(F_ProductBM!J:J,MATCH($P1502,F_ProductBM!$Q:$Q,0))</f>
        <v/>
      </c>
      <c r="K1502" s="2141" t="str">
        <f>INDEX(F_ProductBM!K:K,MATCH($P1502,F_ProductBM!$Q:$Q,0))</f>
        <v/>
      </c>
      <c r="L1502" s="2142" t="str">
        <f>INDEX(F_ProductBM!L:L,MATCH($P1502,F_ProductBM!$Q:$Q,0))</f>
        <v/>
      </c>
      <c r="M1502" s="2142" t="str">
        <f>INDEX(F_ProductBM!M:M,MATCH($P1502,F_ProductBM!$Q:$Q,0))</f>
        <v/>
      </c>
      <c r="N1502" s="2142" t="str">
        <f>INDEX(F_ProductBM!N:N,MATCH($P1502,F_ProductBM!$Q:$Q,0))</f>
        <v/>
      </c>
      <c r="O1502" s="485"/>
      <c r="P1502" s="1158" t="str">
        <f>EUconst_CNTR_HAL &amp; EUconst_CNTR_ELEXCHInitial &amp; I1461</f>
        <v>HAL_ELEXCHIni_</v>
      </c>
      <c r="Q1502" s="1137"/>
      <c r="R1502" s="1137"/>
      <c r="S1502" s="1137"/>
      <c r="T1502" s="1137"/>
      <c r="U1502" s="1137"/>
      <c r="V1502" s="1137"/>
    </row>
    <row r="1503" spans="1:22" s="562" customFormat="1" ht="12.75" customHeight="1">
      <c r="A1503" s="719"/>
      <c r="B1503" s="485"/>
      <c r="C1503" s="559"/>
      <c r="D1503" s="706"/>
      <c r="E1503" s="723" t="s">
        <v>2232</v>
      </c>
      <c r="F1503" s="723"/>
      <c r="G1503" s="723"/>
      <c r="H1503" s="734" t="s">
        <v>1021</v>
      </c>
      <c r="I1503" s="735"/>
      <c r="J1503" s="23" t="str">
        <f>INDEX(F_ProductBM!J:J,MATCH($P1503,F_ProductBM!$Q:$Q,0))</f>
        <v/>
      </c>
      <c r="K1503" s="46" t="str">
        <f>INDEX(F_ProductBM!K:K,MATCH($P1503,F_ProductBM!$Q:$Q,0))</f>
        <v/>
      </c>
      <c r="L1503" s="27" t="str">
        <f>INDEX(F_ProductBM!L:L,MATCH($P1503,F_ProductBM!$Q:$Q,0))</f>
        <v/>
      </c>
      <c r="M1503" s="27" t="str">
        <f>INDEX(F_ProductBM!M:M,MATCH($P1503,F_ProductBM!$Q:$Q,0))</f>
        <v/>
      </c>
      <c r="N1503" s="27" t="str">
        <f>INDEX(F_ProductBM!N:N,MATCH($P1503,F_ProductBM!$Q:$Q,0))</f>
        <v/>
      </c>
      <c r="O1503" s="485"/>
      <c r="P1503" s="1158" t="str">
        <f>EUconst_CNTR_RelThreshold &amp; P1505</f>
        <v>RelThresh_HALprelim_ELEXCH_</v>
      </c>
      <c r="Q1503" s="1137"/>
      <c r="R1503" s="1137"/>
      <c r="S1503" s="1137"/>
      <c r="T1503" s="1137"/>
      <c r="U1503" s="1137"/>
      <c r="V1503" s="1137"/>
    </row>
    <row r="1504" spans="1:22" s="562" customFormat="1" ht="12.75" customHeight="1">
      <c r="A1504" s="719"/>
      <c r="B1504" s="485"/>
      <c r="C1504" s="559"/>
      <c r="D1504" s="706"/>
      <c r="E1504" s="736" t="s">
        <v>1852</v>
      </c>
      <c r="F1504" s="736"/>
      <c r="G1504" s="736"/>
      <c r="H1504" s="737" t="s">
        <v>1021</v>
      </c>
      <c r="I1504" s="738"/>
      <c r="J1504" s="2145" t="str">
        <f>INDEX(F_ProductBM!V:V,MATCH($P1504,F_ProductBM!$Q:$Q,0))</f>
        <v/>
      </c>
      <c r="K1504" s="2134" t="str">
        <f>INDEX(F_ProductBM!W:W,MATCH($P1504,F_ProductBM!$Q:$Q,0))</f>
        <v/>
      </c>
      <c r="L1504" s="2135" t="str">
        <f>INDEX(F_ProductBM!X:X,MATCH($P1504,F_ProductBM!$Q:$Q,0))</f>
        <v/>
      </c>
      <c r="M1504" s="2135" t="str">
        <f>INDEX(F_ProductBM!Y:Y,MATCH($P1504,F_ProductBM!$Q:$Q,0))</f>
        <v/>
      </c>
      <c r="N1504" s="2135" t="str">
        <f>INDEX(F_ProductBM!Z:Z,MATCH($P1504,F_ProductBM!$Q:$Q,0))</f>
        <v/>
      </c>
      <c r="O1504" s="485"/>
      <c r="P1504" s="1158" t="str">
        <f>P1503</f>
        <v>RelThresh_HALprelim_ELEXCH_</v>
      </c>
      <c r="Q1504" s="1137"/>
      <c r="R1504" s="1137"/>
      <c r="S1504" s="1137"/>
      <c r="T1504" s="1137"/>
      <c r="U1504" s="1137"/>
      <c r="V1504" s="1137"/>
    </row>
    <row r="1505" spans="1:22" s="562" customFormat="1" ht="12.75" customHeight="1">
      <c r="A1505" s="719"/>
      <c r="B1505" s="485"/>
      <c r="C1505" s="559"/>
      <c r="D1505" s="706"/>
      <c r="E1505" s="727" t="s">
        <v>1689</v>
      </c>
      <c r="F1505" s="727"/>
      <c r="G1505" s="727"/>
      <c r="H1505" s="749" t="s">
        <v>1021</v>
      </c>
      <c r="I1505" s="727"/>
      <c r="J1505" s="2150" t="str">
        <f>IF($I1464=TRUE,INDEX(F_ProductBM!J:J,MATCH($P1505,F_ProductBM!$Q:$Q,0)),"")</f>
        <v/>
      </c>
      <c r="K1505" s="2141" t="str">
        <f>IF($I1464=TRUE,INDEX(F_ProductBM!K:K,MATCH($P1505,F_ProductBM!$Q:$Q,0)),"")</f>
        <v/>
      </c>
      <c r="L1505" s="2142" t="str">
        <f>IF($I1464=TRUE,INDEX(F_ProductBM!L:L,MATCH($P1505,F_ProductBM!$Q:$Q,0)),"")</f>
        <v/>
      </c>
      <c r="M1505" s="2142" t="str">
        <f>IF($I1464=TRUE,INDEX(F_ProductBM!M:M,MATCH($P1505,F_ProductBM!$Q:$Q,0)),"")</f>
        <v/>
      </c>
      <c r="N1505" s="2142" t="str">
        <f>IF($I1464=TRUE,INDEX(F_ProductBM!N:N,MATCH($P1505,F_ProductBM!$Q:$Q,0)),"")</f>
        <v/>
      </c>
      <c r="O1505" s="485"/>
      <c r="P1505" s="1158" t="str">
        <f>EUconst_CNTR_HALprelim&amp;EUconst_CNTR_ELEXCH&amp;$I1461</f>
        <v>HALprelim_ELEXCH_</v>
      </c>
      <c r="Q1505" s="1137"/>
      <c r="R1505" s="1137"/>
      <c r="S1505" s="1137"/>
      <c r="T1505" s="1137"/>
      <c r="U1505" s="1137"/>
      <c r="V1505" s="1137"/>
    </row>
    <row r="1506" spans="1:22" s="562" customFormat="1" ht="12.75" hidden="1" customHeight="1">
      <c r="A1506" s="719" t="s">
        <v>2289</v>
      </c>
      <c r="B1506" s="485"/>
      <c r="C1506" s="559"/>
      <c r="D1506" s="706"/>
      <c r="E1506" s="727" t="s">
        <v>1391</v>
      </c>
      <c r="F1506" s="727"/>
      <c r="G1506" s="727"/>
      <c r="H1506" s="750" t="s">
        <v>1021</v>
      </c>
      <c r="I1506" s="729"/>
      <c r="J1506" s="2143" t="str">
        <f>I1575</f>
        <v/>
      </c>
      <c r="K1506" s="2141" t="str">
        <f>J1575</f>
        <v/>
      </c>
      <c r="L1506" s="2142" t="str">
        <f>K1575</f>
        <v/>
      </c>
      <c r="M1506" s="2142" t="str">
        <f>L1575</f>
        <v/>
      </c>
      <c r="N1506" s="2142" t="str">
        <f>M1575</f>
        <v/>
      </c>
      <c r="O1506" s="485"/>
      <c r="P1506" s="1137"/>
      <c r="Q1506" s="1137"/>
      <c r="R1506" s="1137"/>
      <c r="S1506" s="1137"/>
      <c r="T1506" s="1137"/>
      <c r="U1506" s="1137"/>
      <c r="V1506" s="1137"/>
    </row>
    <row r="1507" spans="1:22" s="562" customFormat="1" ht="12.75" customHeight="1">
      <c r="A1507" s="719"/>
      <c r="B1507" s="485"/>
      <c r="C1507" s="559"/>
      <c r="D1507" s="706"/>
      <c r="E1507" s="698" t="s">
        <v>1671</v>
      </c>
      <c r="F1507" s="698"/>
      <c r="G1507" s="698"/>
      <c r="H1507" s="730" t="str">
        <f>EUconst_EUA</f>
        <v>UKA</v>
      </c>
      <c r="I1507" s="731"/>
      <c r="J1507" s="2129" t="str">
        <f>IF($I1464=TRUE,MAX(0,ROUND((SUM($M1464)*SUM(J1498)*SUM(J1505)*SUM(J1506)-SUM(J1499)-SUM(J1500)+SUM(J1501))*IF($H1464=TRUE,1,J$2517),0)),"")</f>
        <v/>
      </c>
      <c r="K1507" s="2072" t="str">
        <f>IF($I1464=TRUE,MAX(0,ROUND((SUM($M1464)*SUM(K1498)*SUM(K1505)*SUM(K1506)-SUM(K1499)-SUM(K1500)+SUM(K1501))*IF($H1464=TRUE,1,K$2517),0)),"")</f>
        <v/>
      </c>
      <c r="L1507" s="2073" t="str">
        <f>IF($I1464=TRUE,MAX(0,ROUND((SUM($M1464)*SUM(L1498)*SUM(L1505)*SUM(L1506)-SUM(L1499)-SUM(L1500)+SUM(L1501))*IF($H1464=TRUE,1,L$2517),0)),"")</f>
        <v/>
      </c>
      <c r="M1507" s="2073" t="str">
        <f>IF($I1464=TRUE,MAX(0,ROUND((SUM($M1464)*SUM(M1498)*SUM(M1505)*SUM(M1506)-SUM(M1499)-SUM(M1500)+SUM(M1501))*IF($H1464=TRUE,1,M$2517),0)),"")</f>
        <v/>
      </c>
      <c r="N1507" s="2073" t="str">
        <f>IF($I1464=TRUE,MAX(0,ROUND((SUM($M1464)*SUM(N1498)*SUM(N1505)*SUM(N1506)-SUM(N1499)-SUM(N1500)+SUM(N1501))*IF($H1464=TRUE,1,N$2517),0)),"")</f>
        <v/>
      </c>
      <c r="O1507" s="485"/>
      <c r="P1507" s="1137"/>
      <c r="Q1507" s="1137"/>
      <c r="R1507" s="1137"/>
      <c r="S1507" s="1137"/>
      <c r="T1507" s="1137"/>
      <c r="U1507" s="1137"/>
      <c r="V1507" s="1137"/>
    </row>
    <row r="1508" spans="1:22" s="562" customFormat="1" ht="12.75" customHeight="1">
      <c r="A1508" s="719"/>
      <c r="B1508" s="485"/>
      <c r="C1508" s="559"/>
      <c r="D1508" s="706"/>
      <c r="E1508" s="698" t="s">
        <v>1670</v>
      </c>
      <c r="F1508" s="698"/>
      <c r="G1508" s="698"/>
      <c r="H1508" s="730" t="str">
        <f>EUconst_EUA</f>
        <v>UKA</v>
      </c>
      <c r="I1508" s="731"/>
      <c r="J1508" s="2129" t="str">
        <f>IF($I1464=TRUE,ABS(SUM(J1507)-SUM(J1481)),"")</f>
        <v/>
      </c>
      <c r="K1508" s="2072" t="str">
        <f>IF($I1464=TRUE,ABS(SUM(K1507)-SUM(K1481)),"")</f>
        <v/>
      </c>
      <c r="L1508" s="2073" t="str">
        <f>IF($I1464=TRUE,ABS(SUM(L1507)-SUM(L1481)),"")</f>
        <v/>
      </c>
      <c r="M1508" s="2073" t="str">
        <f>IF($I1464=TRUE,ABS(SUM(M1507)-SUM(M1481)),"")</f>
        <v/>
      </c>
      <c r="N1508" s="2073" t="str">
        <f>IF($I1464=TRUE,ABS(SUM(N1507)-SUM(N1481)),"")</f>
        <v/>
      </c>
      <c r="O1508" s="485"/>
      <c r="P1508" s="1137"/>
      <c r="Q1508" s="1137"/>
      <c r="R1508" s="1137"/>
      <c r="S1508" s="1137"/>
      <c r="T1508" s="1137"/>
      <c r="U1508" s="1137"/>
      <c r="V1508" s="1137"/>
    </row>
    <row r="1509" spans="1:22" s="562" customFormat="1" ht="12.75" customHeight="1">
      <c r="A1509" s="719"/>
      <c r="B1509" s="485"/>
      <c r="C1509" s="559"/>
      <c r="D1509" s="706"/>
      <c r="E1509" s="740" t="s">
        <v>2131</v>
      </c>
      <c r="F1509" s="740"/>
      <c r="G1509" s="740"/>
      <c r="H1509" s="741" t="s">
        <v>1021</v>
      </c>
      <c r="I1509" s="742"/>
      <c r="J1509" s="2147" t="str">
        <f>IF($I1464=TRUE,J1508&gt;=100,"")</f>
        <v/>
      </c>
      <c r="K1509" s="2134" t="str">
        <f>IF($I1464=TRUE,K1508&gt;=100,"")</f>
        <v/>
      </c>
      <c r="L1509" s="2135" t="str">
        <f>IF($I1464=TRUE,L1508&gt;=100,"")</f>
        <v/>
      </c>
      <c r="M1509" s="2135" t="str">
        <f>IF($I1464=TRUE,M1508&gt;=100,"")</f>
        <v/>
      </c>
      <c r="N1509" s="2135" t="str">
        <f>IF($I1464=TRUE,N1508&gt;=100,"")</f>
        <v/>
      </c>
      <c r="O1509" s="485"/>
      <c r="P1509" s="1158" t="str">
        <f>EUconst_CNTR_100EUA_ElExch&amp;I1461</f>
        <v>EUA100ElExch_</v>
      </c>
      <c r="Q1509" s="1137"/>
      <c r="R1509" s="1137"/>
      <c r="S1509" s="1137"/>
      <c r="T1509" s="1137"/>
      <c r="U1509" s="1137"/>
      <c r="V1509" s="1137"/>
    </row>
    <row r="1510" spans="1:22" s="562" customFormat="1" ht="5.0999999999999996" customHeight="1">
      <c r="A1510" s="719"/>
      <c r="B1510" s="485"/>
      <c r="C1510" s="559"/>
      <c r="D1510" s="706"/>
      <c r="E1510" s="485"/>
      <c r="F1510" s="485"/>
      <c r="G1510" s="485"/>
      <c r="H1510" s="485"/>
      <c r="I1510" s="743"/>
      <c r="J1510" s="485"/>
      <c r="K1510" s="1790"/>
      <c r="L1510" s="1791"/>
      <c r="M1510" s="1791"/>
      <c r="N1510" s="1791"/>
      <c r="O1510" s="485"/>
      <c r="P1510" s="1137"/>
      <c r="Q1510" s="1137"/>
      <c r="R1510" s="1137"/>
      <c r="S1510" s="1137"/>
      <c r="T1510" s="1137"/>
      <c r="U1510" s="1137"/>
      <c r="V1510" s="1137"/>
    </row>
    <row r="1511" spans="1:22" s="562" customFormat="1" ht="12.75" customHeight="1">
      <c r="A1511" s="719"/>
      <c r="B1511" s="485"/>
      <c r="C1511" s="559"/>
      <c r="D1511" s="706"/>
      <c r="E1511" s="707" t="s">
        <v>1754</v>
      </c>
      <c r="F1511" s="637"/>
      <c r="G1511" s="637"/>
      <c r="H1511" s="663" t="str">
        <f>EUconst_Unit</f>
        <v>Unit</v>
      </c>
      <c r="I1511" s="708"/>
      <c r="J1511" s="2132">
        <f>J$2737</f>
        <v>2026</v>
      </c>
      <c r="K1511" s="1489">
        <f>K$2737</f>
        <v>2027</v>
      </c>
      <c r="L1511" s="1490">
        <f>L$2737</f>
        <v>2028</v>
      </c>
      <c r="M1511" s="1490">
        <f>M$2737</f>
        <v>2029</v>
      </c>
      <c r="N1511" s="1490">
        <f>N$2737</f>
        <v>2030</v>
      </c>
      <c r="O1511" s="485"/>
      <c r="P1511" s="1137"/>
      <c r="Q1511" s="1137"/>
      <c r="R1511" s="1137"/>
      <c r="S1511" s="1137"/>
      <c r="T1511" s="1137"/>
      <c r="U1511" s="1137"/>
      <c r="V1511" s="1137"/>
    </row>
    <row r="1512" spans="1:22" s="562" customFormat="1" ht="12.75" hidden="1" customHeight="1">
      <c r="A1512" s="719" t="s">
        <v>2289</v>
      </c>
      <c r="B1512" s="485"/>
      <c r="C1512" s="559"/>
      <c r="D1512" s="706"/>
      <c r="E1512" s="698" t="s">
        <v>1714</v>
      </c>
      <c r="F1512" s="698"/>
      <c r="G1512" s="698"/>
      <c r="H1512" s="639" t="str">
        <f>H1498</f>
        <v>tonnes</v>
      </c>
      <c r="I1512" s="698"/>
      <c r="J1512" s="2137" t="str">
        <f>I1570</f>
        <v/>
      </c>
      <c r="K1512" s="2072" t="str">
        <f>J1570</f>
        <v/>
      </c>
      <c r="L1512" s="2073" t="str">
        <f>K1570</f>
        <v/>
      </c>
      <c r="M1512" s="2073" t="str">
        <f>L1570</f>
        <v/>
      </c>
      <c r="N1512" s="2073" t="str">
        <f>M1570</f>
        <v/>
      </c>
      <c r="O1512" s="485"/>
      <c r="P1512" s="1137"/>
      <c r="Q1512" s="1137"/>
      <c r="R1512" s="1137"/>
      <c r="S1512" s="1137"/>
      <c r="T1512" s="1137"/>
      <c r="U1512" s="1137"/>
      <c r="V1512" s="1137"/>
    </row>
    <row r="1513" spans="1:22" s="562" customFormat="1" ht="12.75" customHeight="1">
      <c r="A1513" s="719"/>
      <c r="B1513" s="485"/>
      <c r="C1513" s="559"/>
      <c r="D1513" s="706"/>
      <c r="E1513" s="720" t="s">
        <v>1691</v>
      </c>
      <c r="F1513" s="720"/>
      <c r="G1513" s="720"/>
      <c r="H1513" s="748" t="str">
        <f>EUconst_EUA</f>
        <v>UKA</v>
      </c>
      <c r="I1513" s="722"/>
      <c r="J1513" s="2144" t="str">
        <f>IF(R1467,SUM(INDEX(F_ProductBM!J:J,MATCH($P1513,F_ProductBM!$Q:$Q,0))),"")</f>
        <v/>
      </c>
      <c r="K1513" s="2072" t="str">
        <f>IF(S1467,SUM(INDEX(F_ProductBM!K:K,MATCH($P1513,F_ProductBM!$Q:$Q,0))),"")</f>
        <v/>
      </c>
      <c r="L1513" s="2073" t="str">
        <f>IF(T1467,SUM(INDEX(F_ProductBM!L:L,MATCH($P1513,F_ProductBM!$Q:$Q,0))),"")</f>
        <v/>
      </c>
      <c r="M1513" s="2073" t="str">
        <f>IF(U1467,SUM(INDEX(F_ProductBM!M:M,MATCH($P1513,F_ProductBM!$Q:$Q,0))),"")</f>
        <v/>
      </c>
      <c r="N1513" s="2073" t="str">
        <f>IF(V1467,SUM(INDEX(F_ProductBM!N:N,MATCH($P1513,F_ProductBM!$Q:$Q,0))),"")</f>
        <v/>
      </c>
      <c r="O1513" s="485"/>
      <c r="P1513" s="1158" t="str">
        <f>EUconst_CNTR_HEATInitial &amp; I1461</f>
        <v>HEATIni_</v>
      </c>
      <c r="Q1513" s="1137"/>
      <c r="R1513" s="1137"/>
      <c r="S1513" s="1137"/>
      <c r="T1513" s="1137"/>
      <c r="U1513" s="1137"/>
      <c r="V1513" s="1137"/>
    </row>
    <row r="1514" spans="1:22" s="562" customFormat="1" ht="12.75" customHeight="1">
      <c r="A1514" s="719"/>
      <c r="B1514" s="485"/>
      <c r="C1514" s="559"/>
      <c r="D1514" s="706"/>
      <c r="E1514" s="723" t="s">
        <v>2232</v>
      </c>
      <c r="F1514" s="723"/>
      <c r="G1514" s="723"/>
      <c r="H1514" s="734" t="s">
        <v>1021</v>
      </c>
      <c r="I1514" s="735"/>
      <c r="J1514" s="23" t="str">
        <f>INDEX(F_ProductBM!J:J,MATCH($P1514,F_ProductBM!$Q:$Q,0))</f>
        <v/>
      </c>
      <c r="K1514" s="46" t="str">
        <f>INDEX(F_ProductBM!K:K,MATCH($P1514,F_ProductBM!$Q:$Q,0))</f>
        <v/>
      </c>
      <c r="L1514" s="27" t="str">
        <f>INDEX(F_ProductBM!L:L,MATCH($P1514,F_ProductBM!$Q:$Q,0))</f>
        <v/>
      </c>
      <c r="M1514" s="27" t="str">
        <f>INDEX(F_ProductBM!M:M,MATCH($P1514,F_ProductBM!$Q:$Q,0))</f>
        <v/>
      </c>
      <c r="N1514" s="27" t="str">
        <f>INDEX(F_ProductBM!N:N,MATCH($P1514,F_ProductBM!$Q:$Q,0))</f>
        <v/>
      </c>
      <c r="O1514" s="485"/>
      <c r="P1514" s="1158" t="str">
        <f>EUconst_CNTR_RelThreshold &amp; P1516</f>
        <v>RelThresh_HEATprelim_</v>
      </c>
      <c r="Q1514" s="1137"/>
      <c r="R1514" s="1137"/>
      <c r="S1514" s="1137"/>
      <c r="T1514" s="1137"/>
      <c r="U1514" s="1137"/>
      <c r="V1514" s="1137"/>
    </row>
    <row r="1515" spans="1:22" s="562" customFormat="1" ht="12.75" customHeight="1">
      <c r="A1515" s="719"/>
      <c r="B1515" s="485"/>
      <c r="C1515" s="559"/>
      <c r="D1515" s="706"/>
      <c r="E1515" s="736" t="s">
        <v>1853</v>
      </c>
      <c r="F1515" s="736"/>
      <c r="G1515" s="736"/>
      <c r="H1515" s="737" t="s">
        <v>1021</v>
      </c>
      <c r="I1515" s="738"/>
      <c r="J1515" s="2145" t="str">
        <f>INDEX(F_ProductBM!V:V,MATCH($P1515,F_ProductBM!$Q:$Q,0))</f>
        <v/>
      </c>
      <c r="K1515" s="2134" t="str">
        <f>INDEX(F_ProductBM!W:W,MATCH($P1515,F_ProductBM!$Q:$Q,0))</f>
        <v/>
      </c>
      <c r="L1515" s="2135" t="str">
        <f>INDEX(F_ProductBM!X:X,MATCH($P1515,F_ProductBM!$Q:$Q,0))</f>
        <v/>
      </c>
      <c r="M1515" s="2135" t="str">
        <f>INDEX(F_ProductBM!Y:Y,MATCH($P1515,F_ProductBM!$Q:$Q,0))</f>
        <v/>
      </c>
      <c r="N1515" s="2135" t="str">
        <f>INDEX(F_ProductBM!Z:Z,MATCH($P1515,F_ProductBM!$Q:$Q,0))</f>
        <v/>
      </c>
      <c r="O1515" s="485"/>
      <c r="P1515" s="1158" t="str">
        <f>P1514</f>
        <v>RelThresh_HEATprelim_</v>
      </c>
      <c r="Q1515" s="1137"/>
      <c r="R1515" s="1137"/>
      <c r="S1515" s="1137"/>
      <c r="T1515" s="1137"/>
      <c r="U1515" s="1137"/>
      <c r="V1515" s="1137"/>
    </row>
    <row r="1516" spans="1:22" s="562" customFormat="1" ht="12.75" customHeight="1">
      <c r="A1516" s="719"/>
      <c r="B1516" s="485"/>
      <c r="C1516" s="559"/>
      <c r="D1516" s="706"/>
      <c r="E1516" s="727" t="s">
        <v>1689</v>
      </c>
      <c r="F1516" s="727"/>
      <c r="G1516" s="727"/>
      <c r="H1516" s="749" t="str">
        <f>EUconst_EUA</f>
        <v>UKA</v>
      </c>
      <c r="I1516" s="727"/>
      <c r="J1516" s="2146" t="str">
        <f>IF($I1461="","",INDEX(F_ProductBM!J:J,MATCH($P1516,F_ProductBM!$Q:$Q,0)))</f>
        <v/>
      </c>
      <c r="K1516" s="2072" t="str">
        <f>IF($I1461="","",INDEX(F_ProductBM!K:K,MATCH($P1516,F_ProductBM!$Q:$Q,0)))</f>
        <v/>
      </c>
      <c r="L1516" s="2073" t="str">
        <f>IF($I1461="","",INDEX(F_ProductBM!L:L,MATCH($P1516,F_ProductBM!$Q:$Q,0)))</f>
        <v/>
      </c>
      <c r="M1516" s="2073" t="str">
        <f>IF($I1461="","",INDEX(F_ProductBM!M:M,MATCH($P1516,F_ProductBM!$Q:$Q,0)))</f>
        <v/>
      </c>
      <c r="N1516" s="2073" t="str">
        <f>IF($I1461="","",INDEX(F_ProductBM!N:N,MATCH($P1516,F_ProductBM!$Q:$Q,0)))</f>
        <v/>
      </c>
      <c r="O1516" s="485"/>
      <c r="P1516" s="1158" t="str">
        <f>EUconst_CNTR_HEATprelim&amp;I1461</f>
        <v>HEATprelim_</v>
      </c>
      <c r="Q1516" s="1137"/>
      <c r="R1516" s="1137"/>
      <c r="S1516" s="1137"/>
      <c r="T1516" s="1137"/>
      <c r="U1516" s="1137"/>
      <c r="V1516" s="1137"/>
    </row>
    <row r="1517" spans="1:22" s="562" customFormat="1" ht="12.75" hidden="1" customHeight="1">
      <c r="A1517" s="719" t="s">
        <v>2289</v>
      </c>
      <c r="B1517" s="485"/>
      <c r="C1517" s="559"/>
      <c r="D1517" s="706"/>
      <c r="E1517" s="723" t="s">
        <v>1422</v>
      </c>
      <c r="F1517" s="723"/>
      <c r="G1517" s="723"/>
      <c r="H1517" s="724" t="str">
        <f>EUconst_EUA</f>
        <v>UKA</v>
      </c>
      <c r="I1517" s="725"/>
      <c r="J1517" s="2139" t="str">
        <f t="shared" ref="J1517:N1520" si="112">I1572</f>
        <v/>
      </c>
      <c r="K1517" s="2072" t="str">
        <f t="shared" si="112"/>
        <v/>
      </c>
      <c r="L1517" s="2073" t="str">
        <f t="shared" si="112"/>
        <v/>
      </c>
      <c r="M1517" s="2073" t="str">
        <f t="shared" si="112"/>
        <v/>
      </c>
      <c r="N1517" s="2073" t="str">
        <f t="shared" si="112"/>
        <v/>
      </c>
      <c r="O1517" s="485"/>
      <c r="P1517" s="1137"/>
      <c r="Q1517" s="1137"/>
      <c r="R1517" s="1137"/>
      <c r="S1517" s="1137"/>
      <c r="T1517" s="1137"/>
      <c r="U1517" s="1137"/>
      <c r="V1517" s="1137"/>
    </row>
    <row r="1518" spans="1:22" s="562" customFormat="1" ht="12.75" hidden="1" customHeight="1">
      <c r="A1518" s="719" t="s">
        <v>2289</v>
      </c>
      <c r="B1518" s="485"/>
      <c r="C1518" s="559"/>
      <c r="D1518" s="706"/>
      <c r="E1518" s="723" t="s">
        <v>1390</v>
      </c>
      <c r="F1518" s="723"/>
      <c r="G1518" s="723"/>
      <c r="H1518" s="724" t="str">
        <f>EUconst_EUA</f>
        <v>UKA</v>
      </c>
      <c r="I1518" s="725"/>
      <c r="J1518" s="2139" t="str">
        <f t="shared" si="112"/>
        <v/>
      </c>
      <c r="K1518" s="2072" t="str">
        <f t="shared" si="112"/>
        <v/>
      </c>
      <c r="L1518" s="2073" t="str">
        <f t="shared" si="112"/>
        <v/>
      </c>
      <c r="M1518" s="2073" t="str">
        <f t="shared" si="112"/>
        <v/>
      </c>
      <c r="N1518" s="2073" t="str">
        <f t="shared" si="112"/>
        <v/>
      </c>
      <c r="O1518" s="485"/>
      <c r="P1518" s="1137"/>
      <c r="Q1518" s="1137"/>
      <c r="R1518" s="1137"/>
      <c r="S1518" s="1137"/>
      <c r="T1518" s="1137"/>
      <c r="U1518" s="1137"/>
      <c r="V1518" s="1137"/>
    </row>
    <row r="1519" spans="1:22" s="562" customFormat="1" ht="12.75" hidden="1" customHeight="1">
      <c r="A1519" s="719" t="s">
        <v>2289</v>
      </c>
      <c r="B1519" s="485"/>
      <c r="C1519" s="559"/>
      <c r="D1519" s="706"/>
      <c r="E1519" s="723" t="s">
        <v>1389</v>
      </c>
      <c r="F1519" s="723"/>
      <c r="G1519" s="723"/>
      <c r="H1519" s="726" t="s">
        <v>1021</v>
      </c>
      <c r="I1519" s="725"/>
      <c r="J1519" s="2140" t="str">
        <f t="shared" si="112"/>
        <v/>
      </c>
      <c r="K1519" s="2141" t="str">
        <f t="shared" si="112"/>
        <v/>
      </c>
      <c r="L1519" s="2142" t="str">
        <f t="shared" si="112"/>
        <v/>
      </c>
      <c r="M1519" s="2142" t="str">
        <f t="shared" si="112"/>
        <v/>
      </c>
      <c r="N1519" s="2142" t="str">
        <f t="shared" si="112"/>
        <v/>
      </c>
      <c r="O1519" s="485"/>
      <c r="P1519" s="1137"/>
      <c r="Q1519" s="1137"/>
      <c r="R1519" s="1137"/>
      <c r="S1519" s="1137"/>
      <c r="T1519" s="1137"/>
      <c r="U1519" s="1137"/>
      <c r="V1519" s="1137"/>
    </row>
    <row r="1520" spans="1:22" s="562" customFormat="1" ht="12.75" hidden="1" customHeight="1">
      <c r="A1520" s="719" t="s">
        <v>2289</v>
      </c>
      <c r="B1520" s="485"/>
      <c r="C1520" s="559"/>
      <c r="D1520" s="706"/>
      <c r="E1520" s="727" t="s">
        <v>1391</v>
      </c>
      <c r="F1520" s="727"/>
      <c r="G1520" s="727"/>
      <c r="H1520" s="728" t="s">
        <v>1021</v>
      </c>
      <c r="I1520" s="729"/>
      <c r="J1520" s="2143" t="str">
        <f t="shared" si="112"/>
        <v/>
      </c>
      <c r="K1520" s="2141" t="str">
        <f t="shared" si="112"/>
        <v/>
      </c>
      <c r="L1520" s="2142" t="str">
        <f t="shared" si="112"/>
        <v/>
      </c>
      <c r="M1520" s="2142" t="str">
        <f t="shared" si="112"/>
        <v/>
      </c>
      <c r="N1520" s="2142" t="str">
        <f t="shared" si="112"/>
        <v/>
      </c>
      <c r="O1520" s="485"/>
      <c r="P1520" s="1137"/>
      <c r="Q1520" s="1137"/>
      <c r="R1520" s="1137"/>
      <c r="S1520" s="1137"/>
      <c r="T1520" s="1137"/>
      <c r="U1520" s="1137"/>
      <c r="V1520" s="1137"/>
    </row>
    <row r="1521" spans="1:22" s="562" customFormat="1" ht="12.75" customHeight="1">
      <c r="A1521" s="719"/>
      <c r="B1521" s="485"/>
      <c r="C1521" s="559"/>
      <c r="D1521" s="706"/>
      <c r="E1521" s="698" t="s">
        <v>1671</v>
      </c>
      <c r="F1521" s="698"/>
      <c r="G1521" s="698"/>
      <c r="H1521" s="730" t="str">
        <f>EUconst_EUA</f>
        <v>UKA</v>
      </c>
      <c r="I1521" s="731"/>
      <c r="J1521" s="2129" t="str">
        <f>IF($I1461="","",MAX(0,ROUND((SUM($M1464)*SUM(J1512)*SUM(J1519)*SUM(J1520)-SUM(J1516)-SUM(J1517)+SUM(J1518))*IF($H1464=TRUE,1,J$2517),0)))</f>
        <v/>
      </c>
      <c r="K1521" s="2072" t="str">
        <f>IF($I1461="","",MAX(0,ROUND((SUM($M1464)*SUM(K1512)*SUM(K1519)*SUM(K1520)-SUM(K1516)-SUM(K1517)+SUM(K1518))*IF($H1464=TRUE,1,K$2517),0)))</f>
        <v/>
      </c>
      <c r="L1521" s="2073" t="str">
        <f>IF($I1461="","",MAX(0,ROUND((SUM($M1464)*SUM(L1512)*SUM(L1519)*SUM(L1520)-SUM(L1516)-SUM(L1517)+SUM(L1518))*IF($H1464=TRUE,1,L$2517),0)))</f>
        <v/>
      </c>
      <c r="M1521" s="2073" t="str">
        <f>IF($I1461="","",MAX(0,ROUND((SUM($M1464)*SUM(M1512)*SUM(M1519)*SUM(M1520)-SUM(M1516)-SUM(M1517)+SUM(M1518))*IF($H1464=TRUE,1,M$2517),0)))</f>
        <v/>
      </c>
      <c r="N1521" s="2073" t="str">
        <f>IF($I1461="","",MAX(0,ROUND((SUM($M1464)*SUM(N1512)*SUM(N1519)*SUM(N1520)-SUM(N1516)-SUM(N1517)+SUM(N1518))*IF($H1464=TRUE,1,N$2517),0)))</f>
        <v/>
      </c>
      <c r="O1521" s="485"/>
      <c r="P1521" s="1137"/>
      <c r="Q1521" s="1137"/>
      <c r="R1521" s="1137"/>
      <c r="S1521" s="1137"/>
      <c r="T1521" s="1137"/>
      <c r="U1521" s="1137"/>
      <c r="V1521" s="1137"/>
    </row>
    <row r="1522" spans="1:22" s="562" customFormat="1" ht="12.75" customHeight="1">
      <c r="A1522" s="719"/>
      <c r="B1522" s="485"/>
      <c r="C1522" s="559"/>
      <c r="D1522" s="706"/>
      <c r="E1522" s="698" t="s">
        <v>1670</v>
      </c>
      <c r="F1522" s="698"/>
      <c r="G1522" s="698"/>
      <c r="H1522" s="730" t="str">
        <f>EUconst_EUA</f>
        <v>UKA</v>
      </c>
      <c r="I1522" s="731"/>
      <c r="J1522" s="2129" t="str">
        <f>IF($I1461="","",ABS(SUM(J1521)-SUM(J1481)))</f>
        <v/>
      </c>
      <c r="K1522" s="2072" t="str">
        <f>IF($I1461="","",ABS(SUM(K1521)-SUM(K1481)))</f>
        <v/>
      </c>
      <c r="L1522" s="2073" t="str">
        <f>IF($I1461="","",ABS(SUM(L1521)-SUM(L1481)))</f>
        <v/>
      </c>
      <c r="M1522" s="2073" t="str">
        <f>IF($I1461="","",ABS(SUM(M1521)-SUM(M1481)))</f>
        <v/>
      </c>
      <c r="N1522" s="2073" t="str">
        <f>IF($I1461="","",ABS(SUM(N1521)-SUM(N1481)))</f>
        <v/>
      </c>
      <c r="O1522" s="485"/>
      <c r="P1522" s="1137"/>
      <c r="Q1522" s="1137"/>
      <c r="R1522" s="1137"/>
      <c r="S1522" s="1137"/>
      <c r="T1522" s="1137"/>
      <c r="U1522" s="1137"/>
      <c r="V1522" s="1137"/>
    </row>
    <row r="1523" spans="1:22" s="562" customFormat="1" ht="12.75" customHeight="1">
      <c r="A1523" s="719"/>
      <c r="B1523" s="485"/>
      <c r="C1523" s="559"/>
      <c r="D1523" s="706"/>
      <c r="E1523" s="740" t="s">
        <v>2132</v>
      </c>
      <c r="F1523" s="740"/>
      <c r="G1523" s="740"/>
      <c r="H1523" s="741" t="s">
        <v>1021</v>
      </c>
      <c r="I1523" s="742"/>
      <c r="J1523" s="2147" t="str">
        <f>IF($I1461="","",J1522&gt;=100)</f>
        <v/>
      </c>
      <c r="K1523" s="2134" t="str">
        <f>IF($I1461="","",K1522&gt;=100)</f>
        <v/>
      </c>
      <c r="L1523" s="2135" t="str">
        <f>IF($I1461="","",L1522&gt;=100)</f>
        <v/>
      </c>
      <c r="M1523" s="2135" t="str">
        <f>IF($I1461="","",M1522&gt;=100)</f>
        <v/>
      </c>
      <c r="N1523" s="2135" t="str">
        <f>IF($I1461="","",N1522&gt;=100)</f>
        <v/>
      </c>
      <c r="O1523" s="485"/>
      <c r="P1523" s="1158" t="str">
        <f>EUconst_CNTR_100EUA_HEAT&amp;I1461</f>
        <v>EUA100HEAT_</v>
      </c>
      <c r="Q1523" s="1137"/>
      <c r="R1523" s="1137"/>
      <c r="S1523" s="1137"/>
      <c r="T1523" s="1137"/>
      <c r="U1523" s="1137"/>
      <c r="V1523" s="1137"/>
    </row>
    <row r="1524" spans="1:22" s="562" customFormat="1" ht="5.0999999999999996" customHeight="1">
      <c r="A1524" s="719"/>
      <c r="B1524" s="485"/>
      <c r="C1524" s="559"/>
      <c r="D1524" s="706"/>
      <c r="E1524" s="485"/>
      <c r="F1524" s="485"/>
      <c r="G1524" s="485"/>
      <c r="H1524" s="485"/>
      <c r="I1524" s="743"/>
      <c r="J1524" s="485"/>
      <c r="K1524" s="1790"/>
      <c r="L1524" s="1791"/>
      <c r="M1524" s="1791"/>
      <c r="N1524" s="1791"/>
      <c r="O1524" s="485"/>
      <c r="P1524" s="1137"/>
      <c r="Q1524" s="1137"/>
      <c r="R1524" s="1137"/>
      <c r="S1524" s="1137"/>
      <c r="T1524" s="1137"/>
      <c r="U1524" s="1137"/>
      <c r="V1524" s="1137"/>
    </row>
    <row r="1525" spans="1:22" s="562" customFormat="1" ht="12.75" customHeight="1">
      <c r="A1525" s="719"/>
      <c r="B1525" s="485"/>
      <c r="C1525" s="559"/>
      <c r="D1525" s="706"/>
      <c r="E1525" s="707" t="s">
        <v>1755</v>
      </c>
      <c r="F1525" s="637"/>
      <c r="G1525" s="637"/>
      <c r="H1525" s="663" t="str">
        <f>EUconst_Unit</f>
        <v>Unit</v>
      </c>
      <c r="I1525" s="708"/>
      <c r="J1525" s="2132">
        <f>J$2737</f>
        <v>2026</v>
      </c>
      <c r="K1525" s="1489">
        <f>K$2737</f>
        <v>2027</v>
      </c>
      <c r="L1525" s="1490">
        <f>L$2737</f>
        <v>2028</v>
      </c>
      <c r="M1525" s="1490">
        <f>M$2737</f>
        <v>2029</v>
      </c>
      <c r="N1525" s="1490">
        <f>N$2737</f>
        <v>2030</v>
      </c>
      <c r="O1525" s="485"/>
      <c r="P1525" s="1137"/>
      <c r="Q1525" s="1137"/>
      <c r="R1525" s="1137"/>
      <c r="S1525" s="1137"/>
      <c r="T1525" s="1137"/>
      <c r="U1525" s="1137"/>
      <c r="V1525" s="1137"/>
    </row>
    <row r="1526" spans="1:22" s="562" customFormat="1" ht="12.75" hidden="1" customHeight="1">
      <c r="A1526" s="719" t="s">
        <v>2289</v>
      </c>
      <c r="B1526" s="485"/>
      <c r="C1526" s="559"/>
      <c r="D1526" s="706"/>
      <c r="E1526" s="698" t="s">
        <v>1714</v>
      </c>
      <c r="F1526" s="698"/>
      <c r="G1526" s="698"/>
      <c r="H1526" s="639" t="str">
        <f>H1512</f>
        <v>tonnes</v>
      </c>
      <c r="I1526" s="698"/>
      <c r="J1526" s="2137" t="str">
        <f t="shared" ref="J1526:N1528" si="113">I1570</f>
        <v/>
      </c>
      <c r="K1526" s="2072" t="str">
        <f t="shared" si="113"/>
        <v/>
      </c>
      <c r="L1526" s="2073" t="str">
        <f t="shared" si="113"/>
        <v/>
      </c>
      <c r="M1526" s="2073" t="str">
        <f t="shared" si="113"/>
        <v/>
      </c>
      <c r="N1526" s="2073" t="str">
        <f t="shared" si="113"/>
        <v/>
      </c>
      <c r="O1526" s="485"/>
      <c r="P1526" s="1137"/>
      <c r="Q1526" s="1137"/>
      <c r="R1526" s="1137"/>
      <c r="S1526" s="1137"/>
      <c r="T1526" s="1137"/>
      <c r="U1526" s="1137"/>
      <c r="V1526" s="1137"/>
    </row>
    <row r="1527" spans="1:22" s="562" customFormat="1" ht="12.75" hidden="1" customHeight="1">
      <c r="A1527" s="719" t="s">
        <v>2289</v>
      </c>
      <c r="B1527" s="485"/>
      <c r="C1527" s="559"/>
      <c r="D1527" s="706"/>
      <c r="E1527" s="720" t="s">
        <v>303</v>
      </c>
      <c r="F1527" s="720"/>
      <c r="G1527" s="720"/>
      <c r="H1527" s="721" t="str">
        <f>EUconst_EUA</f>
        <v>UKA</v>
      </c>
      <c r="I1527" s="722"/>
      <c r="J1527" s="2138" t="str">
        <f t="shared" si="113"/>
        <v/>
      </c>
      <c r="K1527" s="2072" t="str">
        <f t="shared" si="113"/>
        <v/>
      </c>
      <c r="L1527" s="2073" t="str">
        <f t="shared" si="113"/>
        <v/>
      </c>
      <c r="M1527" s="2073" t="str">
        <f t="shared" si="113"/>
        <v/>
      </c>
      <c r="N1527" s="2073" t="str">
        <f t="shared" si="113"/>
        <v/>
      </c>
      <c r="O1527" s="485"/>
      <c r="P1527" s="1137"/>
      <c r="Q1527" s="1137"/>
      <c r="R1527" s="1137"/>
      <c r="S1527" s="1137"/>
      <c r="T1527" s="1137"/>
      <c r="U1527" s="1137"/>
      <c r="V1527" s="1137"/>
    </row>
    <row r="1528" spans="1:22" s="562" customFormat="1" ht="12.75" hidden="1" customHeight="1">
      <c r="A1528" s="719" t="s">
        <v>2289</v>
      </c>
      <c r="B1528" s="485"/>
      <c r="C1528" s="559"/>
      <c r="D1528" s="706"/>
      <c r="E1528" s="745" t="s">
        <v>1422</v>
      </c>
      <c r="F1528" s="745"/>
      <c r="G1528" s="745"/>
      <c r="H1528" s="746" t="str">
        <f>EUconst_EUA</f>
        <v>UKA</v>
      </c>
      <c r="I1528" s="747"/>
      <c r="J1528" s="2148" t="str">
        <f t="shared" si="113"/>
        <v/>
      </c>
      <c r="K1528" s="2072" t="str">
        <f t="shared" si="113"/>
        <v/>
      </c>
      <c r="L1528" s="2073" t="str">
        <f t="shared" si="113"/>
        <v/>
      </c>
      <c r="M1528" s="2073" t="str">
        <f t="shared" si="113"/>
        <v/>
      </c>
      <c r="N1528" s="2073" t="str">
        <f t="shared" si="113"/>
        <v/>
      </c>
      <c r="O1528" s="485"/>
      <c r="P1528" s="1137"/>
      <c r="Q1528" s="1137"/>
      <c r="R1528" s="1137"/>
      <c r="S1528" s="1137"/>
      <c r="T1528" s="1137"/>
      <c r="U1528" s="1137"/>
      <c r="V1528" s="1137"/>
    </row>
    <row r="1529" spans="1:22" s="562" customFormat="1" ht="12.75" customHeight="1">
      <c r="A1529" s="719"/>
      <c r="B1529" s="485"/>
      <c r="C1529" s="559"/>
      <c r="D1529" s="706"/>
      <c r="E1529" s="720" t="s">
        <v>1691</v>
      </c>
      <c r="F1529" s="720"/>
      <c r="G1529" s="720"/>
      <c r="H1529" s="721" t="str">
        <f>EUconst_EUA</f>
        <v>UKA</v>
      </c>
      <c r="I1529" s="722"/>
      <c r="J1529" s="2151" t="str">
        <f>IF(L1464=42,INDEX(H_SpecialBM!J:J,MATCH($P1529,H_SpecialBM!$Q:$Q,0)),"")</f>
        <v/>
      </c>
      <c r="K1529" s="2072" t="str">
        <f>IF(L1464=42,INDEX(H_SpecialBM!K:K,MATCH($P1529,H_SpecialBM!$Q:$Q,0)),"")</f>
        <v/>
      </c>
      <c r="L1529" s="2073" t="str">
        <f>IF(L1464=42,INDEX(H_SpecialBM!L:L,MATCH($P1529,H_SpecialBM!$Q:$Q,0)),"")</f>
        <v/>
      </c>
      <c r="M1529" s="2073" t="str">
        <f>IF(L1464=42,INDEX(H_SpecialBM!M:M,MATCH($P1529,H_SpecialBM!$Q:$Q,0)),"")</f>
        <v/>
      </c>
      <c r="N1529" s="2073" t="str">
        <f>IF(L1464=42,INDEX(H_SpecialBM!N:N,MATCH($P1529,H_SpecialBM!$Q:$Q,0)),"")</f>
        <v/>
      </c>
      <c r="O1529" s="485"/>
      <c r="P1529" s="1158" t="str">
        <f>EUconst_CNTR_HVCInitial &amp; INDEX(EUconst_BMlistNames,42)</f>
        <v>HVCIni_Steam cracking</v>
      </c>
      <c r="Q1529" s="1137"/>
      <c r="R1529" s="1137"/>
      <c r="S1529" s="1137"/>
      <c r="T1529" s="1137"/>
      <c r="U1529" s="1137"/>
      <c r="V1529" s="1137"/>
    </row>
    <row r="1530" spans="1:22" s="562" customFormat="1" ht="12.75" customHeight="1">
      <c r="A1530" s="719"/>
      <c r="B1530" s="485"/>
      <c r="C1530" s="559"/>
      <c r="D1530" s="706"/>
      <c r="E1530" s="723" t="s">
        <v>1776</v>
      </c>
      <c r="F1530" s="723"/>
      <c r="G1530" s="723"/>
      <c r="H1530" s="751" t="s">
        <v>1021</v>
      </c>
      <c r="I1530" s="735"/>
      <c r="J1530" s="23" t="str">
        <f>IF(L1464=42,INDEX(H_SpecialBM!J:J,MATCH($P1530,H_SpecialBM!$Q:$Q,0)),"")</f>
        <v/>
      </c>
      <c r="K1530" s="46" t="str">
        <f>IF(L1464=42,INDEX(H_SpecialBM!K:K,MATCH($P1530,H_SpecialBM!$Q:$Q,0)),"")</f>
        <v/>
      </c>
      <c r="L1530" s="27" t="str">
        <f>IF(L1464=42,INDEX(H_SpecialBM!L:L,MATCH($P1530,H_SpecialBM!$Q:$Q,0)),"")</f>
        <v/>
      </c>
      <c r="M1530" s="27" t="str">
        <f>IF(L1464=42,INDEX(H_SpecialBM!M:M,MATCH($P1530,H_SpecialBM!$Q:$Q,0)),"")</f>
        <v/>
      </c>
      <c r="N1530" s="27" t="str">
        <f>IF(L1464=42,INDEX(H_SpecialBM!N:N,MATCH($P1530,H_SpecialBM!$Q:$Q,0)),"")</f>
        <v/>
      </c>
      <c r="O1530" s="485"/>
      <c r="P1530" s="1158" t="str">
        <f>EUconst_CNTR_RelThreshold &amp; P1532</f>
        <v>RelThresh_HVCprelim_</v>
      </c>
      <c r="Q1530" s="1137"/>
      <c r="R1530" s="1137"/>
      <c r="S1530" s="1137"/>
      <c r="T1530" s="1137"/>
      <c r="U1530" s="1137"/>
      <c r="V1530" s="1137"/>
    </row>
    <row r="1531" spans="1:22" s="562" customFormat="1" ht="12.75" customHeight="1">
      <c r="A1531" s="719"/>
      <c r="B1531" s="485"/>
      <c r="C1531" s="559"/>
      <c r="D1531" s="706"/>
      <c r="E1531" s="736" t="s">
        <v>1854</v>
      </c>
      <c r="F1531" s="736"/>
      <c r="G1531" s="736"/>
      <c r="H1531" s="738" t="s">
        <v>1021</v>
      </c>
      <c r="I1531" s="738"/>
      <c r="J1531" s="2145" t="str">
        <f>IF(L1464=42,INDEX(H_SpecialBM!V:V,MATCH($P1531,H_SpecialBM!$Q:$Q,0)),"")</f>
        <v/>
      </c>
      <c r="K1531" s="2134" t="str">
        <f>IF(L1464=42,INDEX(H_SpecialBM!W:W,MATCH($P1531,H_SpecialBM!$Q:$Q,0)),"")</f>
        <v/>
      </c>
      <c r="L1531" s="2135" t="str">
        <f>IF(L1464=42,INDEX(H_SpecialBM!X:X,MATCH($P1531,H_SpecialBM!$Q:$Q,0)),"")</f>
        <v/>
      </c>
      <c r="M1531" s="2135" t="str">
        <f>IF(L1464=42,INDEX(H_SpecialBM!Y:Y,MATCH($P1531,H_SpecialBM!$Q:$Q,0)),"")</f>
        <v/>
      </c>
      <c r="N1531" s="2135" t="str">
        <f>IF(L1464=42,INDEX(H_SpecialBM!Z:Z,MATCH($P1531,H_SpecialBM!$Q:$Q,0)),"")</f>
        <v/>
      </c>
      <c r="O1531" s="485"/>
      <c r="P1531" s="1158" t="str">
        <f>P1530</f>
        <v>RelThresh_HVCprelim_</v>
      </c>
      <c r="Q1531" s="1137"/>
      <c r="R1531" s="1137"/>
      <c r="S1531" s="1137"/>
      <c r="T1531" s="1137"/>
      <c r="U1531" s="1137"/>
      <c r="V1531" s="1137"/>
    </row>
    <row r="1532" spans="1:22" s="562" customFormat="1" ht="12.75" customHeight="1">
      <c r="A1532" s="719"/>
      <c r="B1532" s="485"/>
      <c r="C1532" s="559"/>
      <c r="D1532" s="706"/>
      <c r="E1532" s="727" t="s">
        <v>1689</v>
      </c>
      <c r="F1532" s="727"/>
      <c r="G1532" s="727"/>
      <c r="H1532" s="728" t="str">
        <f>EUconst_EUA</f>
        <v>UKA</v>
      </c>
      <c r="I1532" s="729"/>
      <c r="J1532" s="2152" t="str">
        <f>IF($L1464=42,INDEX(H_SpecialBM!J:J,MATCH($P1532,H_SpecialBM!$Q:$Q,0)),"")</f>
        <v/>
      </c>
      <c r="K1532" s="2072" t="str">
        <f>IF($L1464=42,INDEX(H_SpecialBM!K:K,MATCH($P1532,H_SpecialBM!$Q:$Q,0)),"")</f>
        <v/>
      </c>
      <c r="L1532" s="2073" t="str">
        <f>IF($L1464=42,INDEX(H_SpecialBM!L:L,MATCH($P1532,H_SpecialBM!$Q:$Q,0)),"")</f>
        <v/>
      </c>
      <c r="M1532" s="2073" t="str">
        <f>IF($L1464=42,INDEX(H_SpecialBM!M:M,MATCH($P1532,H_SpecialBM!$Q:$Q,0)),"")</f>
        <v/>
      </c>
      <c r="N1532" s="2073" t="str">
        <f>IF($L1464=42,INDEX(H_SpecialBM!N:N,MATCH($P1532,H_SpecialBM!$Q:$Q,0)),"")</f>
        <v/>
      </c>
      <c r="O1532" s="485"/>
      <c r="P1532" s="1158" t="str">
        <f>EUconst_CNTR_HVCprelim</f>
        <v>HVCprelim_</v>
      </c>
      <c r="Q1532" s="1137"/>
      <c r="R1532" s="1137"/>
      <c r="S1532" s="1137"/>
      <c r="T1532" s="1137"/>
      <c r="U1532" s="1137"/>
      <c r="V1532" s="1137"/>
    </row>
    <row r="1533" spans="1:22" s="562" customFormat="1" ht="12.75" hidden="1" customHeight="1">
      <c r="A1533" s="719" t="s">
        <v>2289</v>
      </c>
      <c r="B1533" s="485"/>
      <c r="C1533" s="559"/>
      <c r="D1533" s="706"/>
      <c r="E1533" s="645" t="s">
        <v>1389</v>
      </c>
      <c r="F1533" s="645"/>
      <c r="G1533" s="645"/>
      <c r="H1533" s="752" t="s">
        <v>1021</v>
      </c>
      <c r="I1533" s="753"/>
      <c r="J1533" s="2153" t="str">
        <f t="shared" ref="J1533:N1534" si="114">I1574</f>
        <v/>
      </c>
      <c r="K1533" s="2141" t="str">
        <f t="shared" si="114"/>
        <v/>
      </c>
      <c r="L1533" s="2142" t="str">
        <f t="shared" si="114"/>
        <v/>
      </c>
      <c r="M1533" s="2142" t="str">
        <f t="shared" si="114"/>
        <v/>
      </c>
      <c r="N1533" s="2142" t="str">
        <f t="shared" si="114"/>
        <v/>
      </c>
      <c r="O1533" s="485"/>
      <c r="P1533" s="1137"/>
      <c r="Q1533" s="1137"/>
      <c r="R1533" s="1137"/>
      <c r="S1533" s="1137"/>
      <c r="T1533" s="1137"/>
      <c r="U1533" s="1137"/>
      <c r="V1533" s="1137"/>
    </row>
    <row r="1534" spans="1:22" s="562" customFormat="1" ht="12.75" hidden="1" customHeight="1">
      <c r="A1534" s="719" t="s">
        <v>2289</v>
      </c>
      <c r="B1534" s="485"/>
      <c r="C1534" s="559"/>
      <c r="D1534" s="706"/>
      <c r="E1534" s="727" t="s">
        <v>1391</v>
      </c>
      <c r="F1534" s="727"/>
      <c r="G1534" s="727"/>
      <c r="H1534" s="728" t="s">
        <v>1021</v>
      </c>
      <c r="I1534" s="729"/>
      <c r="J1534" s="2143" t="str">
        <f t="shared" si="114"/>
        <v/>
      </c>
      <c r="K1534" s="2141" t="str">
        <f t="shared" si="114"/>
        <v/>
      </c>
      <c r="L1534" s="2142" t="str">
        <f t="shared" si="114"/>
        <v/>
      </c>
      <c r="M1534" s="2142" t="str">
        <f t="shared" si="114"/>
        <v/>
      </c>
      <c r="N1534" s="2142" t="str">
        <f t="shared" si="114"/>
        <v/>
      </c>
      <c r="O1534" s="485"/>
      <c r="P1534" s="1137"/>
      <c r="Q1534" s="1137"/>
      <c r="R1534" s="1137"/>
      <c r="S1534" s="1137"/>
      <c r="T1534" s="1137"/>
      <c r="U1534" s="1137"/>
      <c r="V1534" s="1137"/>
    </row>
    <row r="1535" spans="1:22" s="562" customFormat="1" ht="12.75" customHeight="1">
      <c r="A1535" s="719"/>
      <c r="B1535" s="485"/>
      <c r="C1535" s="559"/>
      <c r="D1535" s="706"/>
      <c r="E1535" s="698" t="s">
        <v>1671</v>
      </c>
      <c r="F1535" s="698"/>
      <c r="G1535" s="698"/>
      <c r="H1535" s="730" t="str">
        <f>EUconst_EUA</f>
        <v>UKA</v>
      </c>
      <c r="I1535" s="731"/>
      <c r="J1535" s="2129" t="str">
        <f>IF(J1532="","",MAX(0,ROUND((SUM($M1464)*SUM(J1526)*SUM(J1533)*SUM(J1534)-SUM(J1527)-SUM(J1528)+SUM(J1532))*IF($H1464=TRUE,1,J$2517),0)))</f>
        <v/>
      </c>
      <c r="K1535" s="2072" t="str">
        <f>IF(K1532="","",MAX(0,ROUND((SUM($M1464)*SUM(K1526)*SUM(K1533)*SUM(K1534)-SUM(K1527)-SUM(K1528)+SUM(K1532))*IF($H1464=TRUE,1,K$2517),0)))</f>
        <v/>
      </c>
      <c r="L1535" s="2073" t="str">
        <f>IF(L1532="","",MAX(0,ROUND((SUM($M1464)*SUM(L1526)*SUM(L1533)*SUM(L1534)-SUM(L1527)-SUM(L1528)+SUM(L1532))*IF($H1464=TRUE,1,L$2517),0)))</f>
        <v/>
      </c>
      <c r="M1535" s="2073" t="str">
        <f>IF(M1532="","",MAX(0,ROUND((SUM($M1464)*SUM(M1526)*SUM(M1533)*SUM(M1534)-SUM(M1527)-SUM(M1528)+SUM(M1532))*IF($H1464=TRUE,1,M$2517),0)))</f>
        <v/>
      </c>
      <c r="N1535" s="2073" t="str">
        <f>IF(N1532="","",MAX(0,ROUND((SUM($M1464)*SUM(N1526)*SUM(N1533)*SUM(N1534)-SUM(N1527)-SUM(N1528)+SUM(N1532))*IF($H1464=TRUE,1,N$2517),0)))</f>
        <v/>
      </c>
      <c r="O1535" s="485"/>
      <c r="P1535" s="1137"/>
      <c r="Q1535" s="1137"/>
      <c r="R1535" s="1137"/>
      <c r="S1535" s="1137"/>
      <c r="T1535" s="1137"/>
      <c r="U1535" s="1137"/>
      <c r="V1535" s="1137"/>
    </row>
    <row r="1536" spans="1:22" s="562" customFormat="1" ht="12.75" customHeight="1">
      <c r="A1536" s="719"/>
      <c r="B1536" s="485"/>
      <c r="C1536" s="559"/>
      <c r="D1536" s="706"/>
      <c r="E1536" s="698" t="s">
        <v>1670</v>
      </c>
      <c r="F1536" s="698"/>
      <c r="G1536" s="698"/>
      <c r="H1536" s="730" t="str">
        <f>EUconst_EUA</f>
        <v>UKA</v>
      </c>
      <c r="I1536" s="731"/>
      <c r="J1536" s="2129" t="str">
        <f>IF(J1535="","",ABS(SUM(J1535)-SUM(J1481)))</f>
        <v/>
      </c>
      <c r="K1536" s="2072" t="str">
        <f>IF(K1535="","",ABS(SUM(K1535)-SUM(K1481)))</f>
        <v/>
      </c>
      <c r="L1536" s="2073" t="str">
        <f>IF(L1535="","",ABS(SUM(L1535)-SUM(L1481)))</f>
        <v/>
      </c>
      <c r="M1536" s="2073" t="str">
        <f>IF(M1535="","",ABS(SUM(M1535)-SUM(M1481)))</f>
        <v/>
      </c>
      <c r="N1536" s="2073" t="str">
        <f>IF(N1535="","",ABS(SUM(N1535)-SUM(N1481)))</f>
        <v/>
      </c>
      <c r="O1536" s="485"/>
      <c r="P1536" s="1137"/>
      <c r="Q1536" s="1137"/>
      <c r="R1536" s="1137"/>
      <c r="S1536" s="1137"/>
      <c r="T1536" s="1137"/>
      <c r="U1536" s="1137"/>
      <c r="V1536" s="1137"/>
    </row>
    <row r="1537" spans="1:22" s="562" customFormat="1" ht="12.75" customHeight="1">
      <c r="A1537" s="719"/>
      <c r="B1537" s="485"/>
      <c r="C1537" s="559"/>
      <c r="D1537" s="706"/>
      <c r="E1537" s="740" t="s">
        <v>2133</v>
      </c>
      <c r="F1537" s="698"/>
      <c r="G1537" s="698"/>
      <c r="H1537" s="741" t="s">
        <v>1021</v>
      </c>
      <c r="I1537" s="742"/>
      <c r="J1537" s="2147" t="str">
        <f>IF(J1536="","",J1536&gt;=100)</f>
        <v/>
      </c>
      <c r="K1537" s="2134" t="str">
        <f>IF(K1536="","",K1536&gt;=100)</f>
        <v/>
      </c>
      <c r="L1537" s="2135" t="str">
        <f>IF(L1536="","",L1536&gt;=100)</f>
        <v/>
      </c>
      <c r="M1537" s="2135" t="str">
        <f>IF(M1536="","",M1536&gt;=100)</f>
        <v/>
      </c>
      <c r="N1537" s="2135" t="str">
        <f>IF(N1536="","",N1536&gt;=100)</f>
        <v/>
      </c>
      <c r="O1537" s="485"/>
      <c r="P1537" s="1158" t="str">
        <f>EUconst_CNTR_100EUA_HVC&amp;I1461</f>
        <v>EUA100HVC_</v>
      </c>
      <c r="Q1537" s="1137"/>
      <c r="R1537" s="1137"/>
      <c r="S1537" s="1137"/>
      <c r="T1537" s="1137"/>
      <c r="U1537" s="1137"/>
      <c r="V1537" s="1137"/>
    </row>
    <row r="1538" spans="1:22" s="562" customFormat="1" ht="5.0999999999999996" customHeight="1">
      <c r="A1538" s="719"/>
      <c r="B1538" s="485"/>
      <c r="C1538" s="559"/>
      <c r="D1538" s="706"/>
      <c r="E1538" s="485"/>
      <c r="F1538" s="485"/>
      <c r="G1538" s="485"/>
      <c r="H1538" s="485"/>
      <c r="I1538" s="743"/>
      <c r="J1538" s="485"/>
      <c r="K1538" s="1790"/>
      <c r="L1538" s="1791"/>
      <c r="M1538" s="1791"/>
      <c r="N1538" s="1791"/>
      <c r="O1538" s="485"/>
      <c r="P1538" s="1137"/>
      <c r="Q1538" s="1137"/>
      <c r="R1538" s="1137"/>
      <c r="S1538" s="1137"/>
      <c r="T1538" s="1137"/>
      <c r="U1538" s="1137"/>
      <c r="V1538" s="1137"/>
    </row>
    <row r="1539" spans="1:22" s="562" customFormat="1" ht="12.75" customHeight="1">
      <c r="A1539" s="719"/>
      <c r="B1539" s="485"/>
      <c r="C1539" s="559"/>
      <c r="D1539" s="706"/>
      <c r="E1539" s="707" t="s">
        <v>1756</v>
      </c>
      <c r="F1539" s="637"/>
      <c r="G1539" s="637"/>
      <c r="H1539" s="663" t="str">
        <f>EUconst_Unit</f>
        <v>Unit</v>
      </c>
      <c r="I1539" s="708"/>
      <c r="J1539" s="2132">
        <f>J$2737</f>
        <v>2026</v>
      </c>
      <c r="K1539" s="1489">
        <f>K$2737</f>
        <v>2027</v>
      </c>
      <c r="L1539" s="1490">
        <f>L$2737</f>
        <v>2028</v>
      </c>
      <c r="M1539" s="1490">
        <f>M$2737</f>
        <v>2029</v>
      </c>
      <c r="N1539" s="1490">
        <f>N$2737</f>
        <v>2030</v>
      </c>
      <c r="O1539" s="485"/>
      <c r="P1539" s="1137"/>
      <c r="Q1539" s="1137"/>
      <c r="R1539" s="1137"/>
      <c r="S1539" s="1137"/>
      <c r="T1539" s="1137"/>
      <c r="U1539" s="1137"/>
      <c r="V1539" s="1137"/>
    </row>
    <row r="1540" spans="1:22" s="562" customFormat="1" ht="12.75" hidden="1" customHeight="1">
      <c r="A1540" s="719" t="s">
        <v>2289</v>
      </c>
      <c r="B1540" s="485"/>
      <c r="C1540" s="559"/>
      <c r="D1540" s="706"/>
      <c r="E1540" s="698" t="s">
        <v>1714</v>
      </c>
      <c r="F1540" s="698"/>
      <c r="G1540" s="698"/>
      <c r="H1540" s="639" t="str">
        <f>H1526</f>
        <v>tonnes</v>
      </c>
      <c r="I1540" s="698"/>
      <c r="J1540" s="2137" t="str">
        <f t="shared" ref="J1540:N1544" si="115">I1570</f>
        <v/>
      </c>
      <c r="K1540" s="2072" t="str">
        <f t="shared" si="115"/>
        <v/>
      </c>
      <c r="L1540" s="2073" t="str">
        <f t="shared" si="115"/>
        <v/>
      </c>
      <c r="M1540" s="2073" t="str">
        <f t="shared" si="115"/>
        <v/>
      </c>
      <c r="N1540" s="2073" t="str">
        <f t="shared" si="115"/>
        <v/>
      </c>
      <c r="O1540" s="485"/>
      <c r="P1540" s="1137"/>
      <c r="Q1540" s="1137"/>
      <c r="R1540" s="1137"/>
      <c r="S1540" s="1137"/>
      <c r="T1540" s="1137"/>
      <c r="U1540" s="1137"/>
      <c r="V1540" s="1137"/>
    </row>
    <row r="1541" spans="1:22" s="562" customFormat="1" ht="12.75" hidden="1" customHeight="1">
      <c r="A1541" s="719" t="s">
        <v>2289</v>
      </c>
      <c r="B1541" s="485"/>
      <c r="C1541" s="559"/>
      <c r="D1541" s="706"/>
      <c r="E1541" s="720" t="s">
        <v>303</v>
      </c>
      <c r="F1541" s="720"/>
      <c r="G1541" s="720"/>
      <c r="H1541" s="721" t="str">
        <f>EUconst_EUA</f>
        <v>UKA</v>
      </c>
      <c r="I1541" s="722"/>
      <c r="J1541" s="2138" t="str">
        <f t="shared" si="115"/>
        <v/>
      </c>
      <c r="K1541" s="2072" t="str">
        <f t="shared" si="115"/>
        <v/>
      </c>
      <c r="L1541" s="2073" t="str">
        <f t="shared" si="115"/>
        <v/>
      </c>
      <c r="M1541" s="2073" t="str">
        <f t="shared" si="115"/>
        <v/>
      </c>
      <c r="N1541" s="2073" t="str">
        <f t="shared" si="115"/>
        <v/>
      </c>
      <c r="O1541" s="485"/>
      <c r="P1541" s="1137"/>
      <c r="Q1541" s="1137"/>
      <c r="R1541" s="1137"/>
      <c r="S1541" s="1137"/>
      <c r="T1541" s="1137"/>
      <c r="U1541" s="1137"/>
      <c r="V1541" s="1137"/>
    </row>
    <row r="1542" spans="1:22" s="562" customFormat="1" ht="12.75" hidden="1" customHeight="1">
      <c r="A1542" s="719" t="s">
        <v>2289</v>
      </c>
      <c r="B1542" s="485"/>
      <c r="C1542" s="559"/>
      <c r="D1542" s="706"/>
      <c r="E1542" s="723" t="s">
        <v>1422</v>
      </c>
      <c r="F1542" s="723"/>
      <c r="G1542" s="723"/>
      <c r="H1542" s="724" t="str">
        <f>EUconst_EUA</f>
        <v>UKA</v>
      </c>
      <c r="I1542" s="725"/>
      <c r="J1542" s="2139" t="str">
        <f t="shared" si="115"/>
        <v/>
      </c>
      <c r="K1542" s="2072" t="str">
        <f t="shared" si="115"/>
        <v/>
      </c>
      <c r="L1542" s="2073" t="str">
        <f t="shared" si="115"/>
        <v/>
      </c>
      <c r="M1542" s="2073" t="str">
        <f t="shared" si="115"/>
        <v/>
      </c>
      <c r="N1542" s="2073" t="str">
        <f t="shared" si="115"/>
        <v/>
      </c>
      <c r="O1542" s="485"/>
      <c r="P1542" s="1137"/>
      <c r="Q1542" s="1137"/>
      <c r="R1542" s="1137"/>
      <c r="S1542" s="1137"/>
      <c r="T1542" s="1137"/>
      <c r="U1542" s="1137"/>
      <c r="V1542" s="1137"/>
    </row>
    <row r="1543" spans="1:22" s="562" customFormat="1" ht="12.75" hidden="1" customHeight="1">
      <c r="A1543" s="719" t="s">
        <v>2289</v>
      </c>
      <c r="B1543" s="485"/>
      <c r="C1543" s="559"/>
      <c r="D1543" s="706"/>
      <c r="E1543" s="723" t="s">
        <v>1390</v>
      </c>
      <c r="F1543" s="723"/>
      <c r="G1543" s="723"/>
      <c r="H1543" s="724" t="str">
        <f>EUconst_EUA</f>
        <v>UKA</v>
      </c>
      <c r="I1543" s="725"/>
      <c r="J1543" s="2139" t="str">
        <f t="shared" si="115"/>
        <v/>
      </c>
      <c r="K1543" s="2072" t="str">
        <f t="shared" si="115"/>
        <v/>
      </c>
      <c r="L1543" s="2073" t="str">
        <f t="shared" si="115"/>
        <v/>
      </c>
      <c r="M1543" s="2073" t="str">
        <f t="shared" si="115"/>
        <v/>
      </c>
      <c r="N1543" s="2073" t="str">
        <f t="shared" si="115"/>
        <v/>
      </c>
      <c r="O1543" s="485"/>
      <c r="P1543" s="1137"/>
      <c r="Q1543" s="1137"/>
      <c r="R1543" s="1137"/>
      <c r="S1543" s="1137"/>
      <c r="T1543" s="1137"/>
      <c r="U1543" s="1137"/>
      <c r="V1543" s="1137"/>
    </row>
    <row r="1544" spans="1:22" s="562" customFormat="1" ht="12.75" hidden="1" customHeight="1">
      <c r="A1544" s="719" t="s">
        <v>2289</v>
      </c>
      <c r="B1544" s="485"/>
      <c r="C1544" s="559"/>
      <c r="D1544" s="706"/>
      <c r="E1544" s="745" t="s">
        <v>1389</v>
      </c>
      <c r="F1544" s="745"/>
      <c r="G1544" s="745"/>
      <c r="H1544" s="754" t="s">
        <v>1021</v>
      </c>
      <c r="I1544" s="747"/>
      <c r="J1544" s="2154" t="str">
        <f t="shared" si="115"/>
        <v/>
      </c>
      <c r="K1544" s="2141" t="str">
        <f t="shared" si="115"/>
        <v/>
      </c>
      <c r="L1544" s="2142" t="str">
        <f t="shared" si="115"/>
        <v/>
      </c>
      <c r="M1544" s="2142" t="str">
        <f t="shared" si="115"/>
        <v/>
      </c>
      <c r="N1544" s="2142" t="str">
        <f t="shared" si="115"/>
        <v/>
      </c>
      <c r="O1544" s="485"/>
      <c r="P1544" s="1137"/>
      <c r="Q1544" s="1137"/>
      <c r="R1544" s="1137"/>
      <c r="S1544" s="1137"/>
      <c r="T1544" s="1137"/>
      <c r="U1544" s="1137"/>
      <c r="V1544" s="1137"/>
    </row>
    <row r="1545" spans="1:22" s="562" customFormat="1" ht="12.75" customHeight="1">
      <c r="A1545" s="719"/>
      <c r="B1545" s="485"/>
      <c r="C1545" s="559"/>
      <c r="D1545" s="706"/>
      <c r="E1545" s="720" t="s">
        <v>1691</v>
      </c>
      <c r="F1545" s="720"/>
      <c r="G1545" s="720"/>
      <c r="H1545" s="748" t="s">
        <v>1021</v>
      </c>
      <c r="I1545" s="722"/>
      <c r="J1545" s="2149" t="str">
        <f>IF(L1464=47,INDEX(H_SpecialBM!J:J,MATCH($P1545,H_SpecialBM!$Q:$Q,0)),"")</f>
        <v/>
      </c>
      <c r="K1545" s="2141" t="str">
        <f>IF(L1464=47,INDEX(H_SpecialBM!K:K,MATCH($P1545,H_SpecialBM!$Q:$Q,0)),"")</f>
        <v/>
      </c>
      <c r="L1545" s="2142" t="str">
        <f>IF(L1464=47,INDEX(H_SpecialBM!L:L,MATCH($P1545,H_SpecialBM!$Q:$Q,0)),"")</f>
        <v/>
      </c>
      <c r="M1545" s="2142" t="str">
        <f>IF(L1464=47,INDEX(H_SpecialBM!M:M,MATCH($P1545,H_SpecialBM!$Q:$Q,0)),"")</f>
        <v/>
      </c>
      <c r="N1545" s="2142" t="str">
        <f>IF(L1464=47,INDEX(H_SpecialBM!N:N,MATCH($P1545,H_SpecialBM!$Q:$Q,0)),"")</f>
        <v/>
      </c>
      <c r="O1545" s="485"/>
      <c r="P1545" s="1158" t="str">
        <f>EUconst_CNTR_VCMInitial &amp; INDEX(EUconst_BMlistNames,47)</f>
        <v>VCMIni_Vinyl chloride monomer</v>
      </c>
      <c r="Q1545" s="1137"/>
      <c r="R1545" s="1137"/>
      <c r="S1545" s="1137"/>
      <c r="T1545" s="1137"/>
      <c r="U1545" s="1137"/>
      <c r="V1545" s="1137"/>
    </row>
    <row r="1546" spans="1:22" s="562" customFormat="1" ht="12.75" customHeight="1">
      <c r="A1546" s="719"/>
      <c r="B1546" s="485"/>
      <c r="C1546" s="559"/>
      <c r="D1546" s="706"/>
      <c r="E1546" s="723" t="s">
        <v>2232</v>
      </c>
      <c r="F1546" s="723"/>
      <c r="G1546" s="723"/>
      <c r="H1546" s="751" t="s">
        <v>1021</v>
      </c>
      <c r="I1546" s="735"/>
      <c r="J1546" s="23" t="str">
        <f>IF(L1464=47,INDEX(H_SpecialBM!J:J,MATCH($P1546,H_SpecialBM!$Q:$Q,0)),"")</f>
        <v/>
      </c>
      <c r="K1546" s="46" t="str">
        <f>IF(L1464=47,INDEX(H_SpecialBM!K:K,MATCH($P1546,H_SpecialBM!$Q:$Q,0)),"")</f>
        <v/>
      </c>
      <c r="L1546" s="27" t="str">
        <f>IF(L1464=47,INDEX(H_SpecialBM!L:L,MATCH($P1546,H_SpecialBM!$Q:$Q,0)),"")</f>
        <v/>
      </c>
      <c r="M1546" s="27" t="str">
        <f>IF(L1464=47,INDEX(H_SpecialBM!M:M,MATCH($P1546,H_SpecialBM!$Q:$Q,0)),"")</f>
        <v/>
      </c>
      <c r="N1546" s="27" t="str">
        <f>IF(L1464=47,INDEX(H_SpecialBM!N:N,MATCH($P1546,H_SpecialBM!$Q:$Q,0)),"")</f>
        <v/>
      </c>
      <c r="O1546" s="485"/>
      <c r="P1546" s="1158" t="str">
        <f>EUconst_CNTR_RelThreshold &amp; P1548</f>
        <v>RelThresh_VCMprelim_</v>
      </c>
      <c r="Q1546" s="1137"/>
      <c r="R1546" s="1137"/>
      <c r="S1546" s="1137"/>
      <c r="T1546" s="1137"/>
      <c r="U1546" s="1137"/>
      <c r="V1546" s="1137"/>
    </row>
    <row r="1547" spans="1:22" s="562" customFormat="1" ht="12.75" customHeight="1">
      <c r="A1547" s="719"/>
      <c r="B1547" s="485"/>
      <c r="C1547" s="559"/>
      <c r="D1547" s="706"/>
      <c r="E1547" s="736" t="s">
        <v>1855</v>
      </c>
      <c r="F1547" s="736"/>
      <c r="G1547" s="736"/>
      <c r="H1547" s="738" t="s">
        <v>1021</v>
      </c>
      <c r="I1547" s="738"/>
      <c r="J1547" s="2145" t="str">
        <f>IF(L1464=47,INDEX(H_SpecialBM!V:V,MATCH($P1547,H_SpecialBM!$Q:$Q,0)),"")</f>
        <v/>
      </c>
      <c r="K1547" s="2134" t="str">
        <f>IF(L1464=47,INDEX(H_SpecialBM!W:W,MATCH($P1547,H_SpecialBM!$Q:$Q,0)),"")</f>
        <v/>
      </c>
      <c r="L1547" s="2135" t="str">
        <f>IF(L1464=47,INDEX(H_SpecialBM!X:X,MATCH($P1547,H_SpecialBM!$Q:$Q,0)),"")</f>
        <v/>
      </c>
      <c r="M1547" s="2135" t="str">
        <f>IF(L1464=47,INDEX(H_SpecialBM!Y:Y,MATCH($P1547,H_SpecialBM!$Q:$Q,0)),"")</f>
        <v/>
      </c>
      <c r="N1547" s="2135" t="str">
        <f>IF(L1464=47,INDEX(H_SpecialBM!Z:Z,MATCH($P1547,H_SpecialBM!$Q:$Q,0)),"")</f>
        <v/>
      </c>
      <c r="O1547" s="485"/>
      <c r="P1547" s="1158" t="str">
        <f>P1546</f>
        <v>RelThresh_VCMprelim_</v>
      </c>
      <c r="Q1547" s="1137"/>
      <c r="R1547" s="1137"/>
      <c r="S1547" s="1137"/>
      <c r="T1547" s="1137"/>
      <c r="U1547" s="1137"/>
      <c r="V1547" s="1137"/>
    </row>
    <row r="1548" spans="1:22" s="562" customFormat="1" ht="12.75" customHeight="1">
      <c r="A1548" s="719"/>
      <c r="B1548" s="485"/>
      <c r="C1548" s="559"/>
      <c r="D1548" s="706"/>
      <c r="E1548" s="727" t="s">
        <v>1689</v>
      </c>
      <c r="F1548" s="727"/>
      <c r="G1548" s="727"/>
      <c r="H1548" s="728" t="s">
        <v>1021</v>
      </c>
      <c r="I1548" s="729"/>
      <c r="J1548" s="2150" t="str">
        <f>IF($L1464=47,IF(ISNUMBER(INDEX(H_SpecialBM!J:J,MATCH($P1548,H_SpecialBM!$Q:$Q,0))),INDEX(H_SpecialBM!J:J,MATCH($P1548,H_SpecialBM!$Q:$Q,0)),1),"")</f>
        <v/>
      </c>
      <c r="K1548" s="2141" t="str">
        <f>IF($L1464=47,IF(ISNUMBER(INDEX(H_SpecialBM!K:K,MATCH($P1548,H_SpecialBM!$Q:$Q,0))),INDEX(H_SpecialBM!K:K,MATCH($P1548,H_SpecialBM!$Q:$Q,0)),1),"")</f>
        <v/>
      </c>
      <c r="L1548" s="2142" t="str">
        <f>IF($L1464=47,IF(ISNUMBER(INDEX(H_SpecialBM!L:L,MATCH($P1548,H_SpecialBM!$Q:$Q,0))),INDEX(H_SpecialBM!L:L,MATCH($P1548,H_SpecialBM!$Q:$Q,0)),1),"")</f>
        <v/>
      </c>
      <c r="M1548" s="2142" t="str">
        <f>IF($L1464=47,IF(ISNUMBER(INDEX(H_SpecialBM!M:M,MATCH($P1548,H_SpecialBM!$Q:$Q,0))),INDEX(H_SpecialBM!M:M,MATCH($P1548,H_SpecialBM!$Q:$Q,0)),1),"")</f>
        <v/>
      </c>
      <c r="N1548" s="2142" t="str">
        <f>IF($L1464=47,IF(ISNUMBER(INDEX(H_SpecialBM!N:N,MATCH($P1548,H_SpecialBM!$Q:$Q,0))),INDEX(H_SpecialBM!N:N,MATCH($P1548,H_SpecialBM!$Q:$Q,0)),1),"")</f>
        <v/>
      </c>
      <c r="O1548" s="485"/>
      <c r="P1548" s="1158" t="str">
        <f>EUconst_CNTR_VCMprelim</f>
        <v>VCMprelim_</v>
      </c>
      <c r="Q1548" s="1137"/>
      <c r="R1548" s="1137"/>
      <c r="S1548" s="1137"/>
      <c r="T1548" s="1137"/>
      <c r="U1548" s="1137"/>
      <c r="V1548" s="1137"/>
    </row>
    <row r="1549" spans="1:22" s="562" customFormat="1" ht="12.75" customHeight="1">
      <c r="A1549" s="719"/>
      <c r="B1549" s="485"/>
      <c r="C1549" s="559"/>
      <c r="D1549" s="706"/>
      <c r="E1549" s="698" t="s">
        <v>1671</v>
      </c>
      <c r="F1549" s="698"/>
      <c r="G1549" s="698"/>
      <c r="H1549" s="730" t="str">
        <f>EUconst_EUA</f>
        <v>UKA</v>
      </c>
      <c r="I1549" s="731"/>
      <c r="J1549" s="2129" t="str">
        <f>IF(J1548="","",MAX(0,ROUND((SUM($M1464)*SUM(J1540)*SUM(J1544)*SUM(J1548)-SUM(J1541)-SUM(J1542)+SUM(J1543))*IF($H1464=TRUE,1,J$2517),0)))</f>
        <v/>
      </c>
      <c r="K1549" s="2072" t="str">
        <f>IF(K1548="","",MAX(0,ROUND((SUM($M1464)*SUM(K1540)*SUM(K1544)*SUM(K1548)-SUM(K1541)-SUM(K1542)+SUM(K1543))*IF($H1464=TRUE,1,K$2517),0)))</f>
        <v/>
      </c>
      <c r="L1549" s="2073" t="str">
        <f>IF(L1548="","",MAX(0,ROUND((SUM($M1464)*SUM(L1540)*SUM(L1544)*SUM(L1548)-SUM(L1541)-SUM(L1542)+SUM(L1543))*IF($H1464=TRUE,1,L$2517),0)))</f>
        <v/>
      </c>
      <c r="M1549" s="2073" t="str">
        <f>IF(M1548="","",MAX(0,ROUND((SUM($M1464)*SUM(M1540)*SUM(M1544)*SUM(M1548)-SUM(M1541)-SUM(M1542)+SUM(M1543))*IF($H1464=TRUE,1,M$2517),0)))</f>
        <v/>
      </c>
      <c r="N1549" s="2073" t="str">
        <f>IF(N1548="","",MAX(0,ROUND((SUM($M1464)*SUM(N1540)*SUM(N1544)*SUM(N1548)-SUM(N1541)-SUM(N1542)+SUM(N1543))*IF($H1464=TRUE,1,N$2517),0)))</f>
        <v/>
      </c>
      <c r="O1549" s="485"/>
      <c r="P1549" s="1137"/>
      <c r="Q1549" s="1137"/>
      <c r="R1549" s="1137"/>
      <c r="S1549" s="1137"/>
      <c r="T1549" s="1137"/>
      <c r="U1549" s="1137"/>
      <c r="V1549" s="1137"/>
    </row>
    <row r="1550" spans="1:22" s="562" customFormat="1" ht="12.75" customHeight="1">
      <c r="A1550" s="719"/>
      <c r="B1550" s="485"/>
      <c r="C1550" s="559"/>
      <c r="D1550" s="706"/>
      <c r="E1550" s="698" t="s">
        <v>1670</v>
      </c>
      <c r="F1550" s="698"/>
      <c r="G1550" s="698"/>
      <c r="H1550" s="730" t="str">
        <f>EUconst_EUA</f>
        <v>UKA</v>
      </c>
      <c r="I1550" s="731"/>
      <c r="J1550" s="2129" t="str">
        <f>IF(J1549="","",ABS(SUM(J1549)-SUM(J1481)))</f>
        <v/>
      </c>
      <c r="K1550" s="2072" t="str">
        <f>IF(K1549="","",ABS(SUM(K1549)-SUM(K1481)))</f>
        <v/>
      </c>
      <c r="L1550" s="2073" t="str">
        <f>IF(L1549="","",ABS(SUM(L1549)-SUM(L1481)))</f>
        <v/>
      </c>
      <c r="M1550" s="2073" t="str">
        <f>IF(M1549="","",ABS(SUM(M1549)-SUM(M1481)))</f>
        <v/>
      </c>
      <c r="N1550" s="2073" t="str">
        <f>IF(N1549="","",ABS(SUM(N1549)-SUM(N1481)))</f>
        <v/>
      </c>
      <c r="O1550" s="485"/>
      <c r="P1550" s="1137"/>
      <c r="Q1550" s="1137"/>
      <c r="R1550" s="1137"/>
      <c r="S1550" s="1137"/>
      <c r="T1550" s="1137"/>
      <c r="U1550" s="1137"/>
      <c r="V1550" s="1137"/>
    </row>
    <row r="1551" spans="1:22" s="562" customFormat="1" ht="12.75" customHeight="1">
      <c r="A1551" s="719"/>
      <c r="B1551" s="485"/>
      <c r="C1551" s="559"/>
      <c r="D1551" s="706"/>
      <c r="E1551" s="740" t="s">
        <v>2134</v>
      </c>
      <c r="F1551" s="698"/>
      <c r="G1551" s="698"/>
      <c r="H1551" s="741" t="s">
        <v>1021</v>
      </c>
      <c r="I1551" s="742"/>
      <c r="J1551" s="2147" t="str">
        <f>IF(J1550="","",J1550&gt;=100)</f>
        <v/>
      </c>
      <c r="K1551" s="2134" t="str">
        <f>IF(K1550="","",K1550&gt;=100)</f>
        <v/>
      </c>
      <c r="L1551" s="2135" t="str">
        <f>IF(L1550="","",L1550&gt;=100)</f>
        <v/>
      </c>
      <c r="M1551" s="2135" t="str">
        <f>IF(M1550="","",M1550&gt;=100)</f>
        <v/>
      </c>
      <c r="N1551" s="2135" t="str">
        <f>IF(N1550="","",N1550&gt;=100)</f>
        <v/>
      </c>
      <c r="O1551" s="485"/>
      <c r="P1551" s="1158" t="str">
        <f>EUconst_CNTR_100EUA_VCM&amp;I1488</f>
        <v>EUA100VCM_</v>
      </c>
      <c r="Q1551" s="1137"/>
      <c r="R1551" s="1137"/>
      <c r="S1551" s="1137"/>
      <c r="T1551" s="1137"/>
      <c r="U1551" s="1137"/>
      <c r="V1551" s="1137"/>
    </row>
    <row r="1552" spans="1:22" s="562" customFormat="1" ht="5.0999999999999996" customHeight="1">
      <c r="A1552" s="719"/>
      <c r="B1552" s="485"/>
      <c r="C1552" s="559"/>
      <c r="D1552" s="706"/>
      <c r="E1552" s="485"/>
      <c r="F1552" s="485"/>
      <c r="G1552" s="485"/>
      <c r="H1552" s="485"/>
      <c r="I1552" s="743"/>
      <c r="J1552" s="485"/>
      <c r="K1552" s="1790"/>
      <c r="L1552" s="1791"/>
      <c r="M1552" s="1791"/>
      <c r="N1552" s="1791"/>
      <c r="O1552" s="485"/>
      <c r="P1552" s="1137"/>
      <c r="Q1552" s="1137"/>
      <c r="R1552" s="1137"/>
      <c r="S1552" s="1137"/>
      <c r="T1552" s="1137"/>
      <c r="U1552" s="1137"/>
      <c r="V1552" s="1137"/>
    </row>
    <row r="1553" spans="1:22" s="562" customFormat="1" ht="12.75" customHeight="1">
      <c r="A1553" s="719"/>
      <c r="B1553" s="485"/>
      <c r="C1553" s="559"/>
      <c r="D1553" s="706"/>
      <c r="E1553" s="707" t="s">
        <v>1757</v>
      </c>
      <c r="F1553" s="637"/>
      <c r="G1553" s="637"/>
      <c r="H1553" s="663" t="str">
        <f>EUconst_Unit</f>
        <v>Unit</v>
      </c>
      <c r="I1553" s="708"/>
      <c r="J1553" s="2132">
        <f>J$2737</f>
        <v>2026</v>
      </c>
      <c r="K1553" s="1489">
        <f>K$2737</f>
        <v>2027</v>
      </c>
      <c r="L1553" s="1490">
        <f>L$2737</f>
        <v>2028</v>
      </c>
      <c r="M1553" s="1490">
        <f>M$2737</f>
        <v>2029</v>
      </c>
      <c r="N1553" s="1490">
        <f>N$2737</f>
        <v>2030</v>
      </c>
      <c r="O1553" s="485"/>
      <c r="P1553" s="1137"/>
      <c r="Q1553" s="1137"/>
      <c r="R1553" s="1137"/>
      <c r="S1553" s="1137"/>
      <c r="T1553" s="1137"/>
      <c r="U1553" s="1137"/>
      <c r="V1553" s="1137"/>
    </row>
    <row r="1554" spans="1:22" s="562" customFormat="1" ht="12.75" hidden="1" customHeight="1">
      <c r="A1554" s="719" t="s">
        <v>2289</v>
      </c>
      <c r="B1554" s="485"/>
      <c r="C1554" s="559"/>
      <c r="D1554" s="706"/>
      <c r="E1554" s="698" t="s">
        <v>1714</v>
      </c>
      <c r="F1554" s="698"/>
      <c r="G1554" s="698"/>
      <c r="H1554" s="639" t="str">
        <f>H1540</f>
        <v>tonnes</v>
      </c>
      <c r="I1554" s="698"/>
      <c r="J1554" s="2137" t="str">
        <f t="shared" ref="J1554:N1555" si="116">I1570</f>
        <v/>
      </c>
      <c r="K1554" s="2072" t="str">
        <f t="shared" si="116"/>
        <v/>
      </c>
      <c r="L1554" s="2073" t="str">
        <f t="shared" si="116"/>
        <v/>
      </c>
      <c r="M1554" s="2073" t="str">
        <f t="shared" si="116"/>
        <v/>
      </c>
      <c r="N1554" s="2073" t="str">
        <f t="shared" si="116"/>
        <v/>
      </c>
      <c r="O1554" s="485"/>
      <c r="P1554" s="1137"/>
      <c r="Q1554" s="1137"/>
      <c r="R1554" s="1137"/>
      <c r="S1554" s="1137"/>
      <c r="T1554" s="1137"/>
      <c r="U1554" s="1137"/>
      <c r="V1554" s="1137"/>
    </row>
    <row r="1555" spans="1:22" s="562" customFormat="1" ht="12.75" hidden="1" customHeight="1">
      <c r="A1555" s="719" t="s">
        <v>2289</v>
      </c>
      <c r="B1555" s="485"/>
      <c r="C1555" s="559"/>
      <c r="D1555" s="706"/>
      <c r="E1555" s="720" t="s">
        <v>303</v>
      </c>
      <c r="F1555" s="720"/>
      <c r="G1555" s="720"/>
      <c r="H1555" s="721" t="str">
        <f>EUconst_EUA</f>
        <v>UKA</v>
      </c>
      <c r="I1555" s="722"/>
      <c r="J1555" s="2138" t="str">
        <f t="shared" si="116"/>
        <v/>
      </c>
      <c r="K1555" s="2072" t="str">
        <f t="shared" si="116"/>
        <v/>
      </c>
      <c r="L1555" s="2073" t="str">
        <f t="shared" si="116"/>
        <v/>
      </c>
      <c r="M1555" s="2073" t="str">
        <f t="shared" si="116"/>
        <v/>
      </c>
      <c r="N1555" s="2073" t="str">
        <f t="shared" si="116"/>
        <v/>
      </c>
      <c r="O1555" s="485"/>
      <c r="P1555" s="1137"/>
      <c r="Q1555" s="1137"/>
      <c r="R1555" s="1137"/>
      <c r="S1555" s="1137"/>
      <c r="T1555" s="1137"/>
      <c r="U1555" s="1137"/>
      <c r="V1555" s="1137"/>
    </row>
    <row r="1556" spans="1:22" s="562" customFormat="1" ht="12.75" customHeight="1">
      <c r="A1556" s="719"/>
      <c r="B1556" s="485"/>
      <c r="C1556" s="559"/>
      <c r="D1556" s="706"/>
      <c r="E1556" s="720" t="s">
        <v>1691</v>
      </c>
      <c r="F1556" s="720"/>
      <c r="G1556" s="720"/>
      <c r="H1556" s="748" t="str">
        <f>EUconst_tCO2</f>
        <v>t CO2</v>
      </c>
      <c r="I1556" s="722"/>
      <c r="J1556" s="2144" t="str">
        <f>INDEX(F_ProductBM!J:J,MATCH($P1556,F_ProductBM!$Q:$Q,0))</f>
        <v/>
      </c>
      <c r="K1556" s="2072" t="str">
        <f>INDEX(F_ProductBM!K:K,MATCH($P1556,F_ProductBM!$Q:$Q,0))</f>
        <v/>
      </c>
      <c r="L1556" s="2073" t="str">
        <f>INDEX(F_ProductBM!L:L,MATCH($P1556,F_ProductBM!$Q:$Q,0))</f>
        <v/>
      </c>
      <c r="M1556" s="2073" t="str">
        <f>INDEX(F_ProductBM!M:M,MATCH($P1556,F_ProductBM!$Q:$Q,0))</f>
        <v/>
      </c>
      <c r="N1556" s="2073" t="str">
        <f>INDEX(F_ProductBM!N:N,MATCH($P1556,F_ProductBM!$Q:$Q,0))</f>
        <v/>
      </c>
      <c r="O1556" s="485"/>
      <c r="P1556" s="1158" t="str">
        <f>EUconst_CNTR_HALinitial &amp; EUconst_CNTR_WGFlared &amp; I1461</f>
        <v>HALini_WasteGasFlare_</v>
      </c>
      <c r="Q1556" s="1137"/>
      <c r="R1556" s="1137"/>
      <c r="S1556" s="1137"/>
      <c r="T1556" s="1137"/>
      <c r="U1556" s="1137"/>
      <c r="V1556" s="1137"/>
    </row>
    <row r="1557" spans="1:22" s="562" customFormat="1" ht="12.75" customHeight="1">
      <c r="A1557" s="719"/>
      <c r="B1557" s="485"/>
      <c r="C1557" s="559"/>
      <c r="D1557" s="706"/>
      <c r="E1557" s="723" t="s">
        <v>2232</v>
      </c>
      <c r="F1557" s="723"/>
      <c r="G1557" s="723"/>
      <c r="H1557" s="734" t="s">
        <v>1021</v>
      </c>
      <c r="I1557" s="735"/>
      <c r="J1557" s="23" t="str">
        <f>INDEX(F_ProductBM!J:J,MATCH($P1557,F_ProductBM!$Q:$Q,0))</f>
        <v/>
      </c>
      <c r="K1557" s="46" t="str">
        <f>INDEX(F_ProductBM!K:K,MATCH($P1557,F_ProductBM!$Q:$Q,0))</f>
        <v/>
      </c>
      <c r="L1557" s="27" t="str">
        <f>INDEX(F_ProductBM!L:L,MATCH($P1557,F_ProductBM!$Q:$Q,0))</f>
        <v/>
      </c>
      <c r="M1557" s="27" t="str">
        <f>INDEX(F_ProductBM!M:M,MATCH($P1557,F_ProductBM!$Q:$Q,0))</f>
        <v/>
      </c>
      <c r="N1557" s="27" t="str">
        <f>INDEX(F_ProductBM!N:N,MATCH($P1557,F_ProductBM!$Q:$Q,0))</f>
        <v/>
      </c>
      <c r="O1557" s="485"/>
      <c r="P1557" s="1158" t="str">
        <f>EUconst_CNTR_RelThreshold &amp; P1559</f>
        <v>RelThresh_HALprelim_WasteGasFlare_</v>
      </c>
      <c r="Q1557" s="1137"/>
      <c r="R1557" s="1137"/>
      <c r="S1557" s="1137"/>
      <c r="T1557" s="1137"/>
      <c r="U1557" s="1137"/>
      <c r="V1557" s="1137"/>
    </row>
    <row r="1558" spans="1:22" s="562" customFormat="1" ht="12.75" customHeight="1">
      <c r="A1558" s="719"/>
      <c r="B1558" s="485"/>
      <c r="C1558" s="559"/>
      <c r="D1558" s="706"/>
      <c r="E1558" s="736" t="s">
        <v>1856</v>
      </c>
      <c r="F1558" s="736"/>
      <c r="G1558" s="736"/>
      <c r="H1558" s="737" t="s">
        <v>1021</v>
      </c>
      <c r="I1558" s="738"/>
      <c r="J1558" s="2145" t="str">
        <f>INDEX(F_ProductBM!V:V,MATCH($P1558,F_ProductBM!$Q:$Q,0))</f>
        <v/>
      </c>
      <c r="K1558" s="2134" t="str">
        <f>INDEX(F_ProductBM!W:W,MATCH($P1558,F_ProductBM!$Q:$Q,0))</f>
        <v/>
      </c>
      <c r="L1558" s="2135" t="str">
        <f>INDEX(F_ProductBM!X:X,MATCH($P1558,F_ProductBM!$Q:$Q,0))</f>
        <v/>
      </c>
      <c r="M1558" s="2135" t="str">
        <f>INDEX(F_ProductBM!Y:Y,MATCH($P1558,F_ProductBM!$Q:$Q,0))</f>
        <v/>
      </c>
      <c r="N1558" s="2135" t="str">
        <f>INDEX(F_ProductBM!Z:Z,MATCH($P1558,F_ProductBM!$Q:$Q,0))</f>
        <v/>
      </c>
      <c r="O1558" s="485"/>
      <c r="P1558" s="1158" t="str">
        <f>P1557</f>
        <v>RelThresh_HALprelim_WasteGasFlare_</v>
      </c>
      <c r="Q1558" s="1137"/>
      <c r="R1558" s="1137"/>
      <c r="S1558" s="1137"/>
      <c r="T1558" s="1137"/>
      <c r="U1558" s="1137"/>
      <c r="V1558" s="1137"/>
    </row>
    <row r="1559" spans="1:22" s="562" customFormat="1" ht="12.75" customHeight="1">
      <c r="A1559" s="719"/>
      <c r="B1559" s="485"/>
      <c r="C1559" s="559"/>
      <c r="D1559" s="706"/>
      <c r="E1559" s="727" t="s">
        <v>1689</v>
      </c>
      <c r="F1559" s="727"/>
      <c r="G1559" s="727"/>
      <c r="H1559" s="728" t="str">
        <f>EUconst_tCO2</f>
        <v>t CO2</v>
      </c>
      <c r="I1559" s="729"/>
      <c r="J1559" s="2146" t="str">
        <f>IF(OR($I1461="",CNTR_SubPeriod=1),"",INDEX(F_ProductBM!J:J,MATCH($P1559,F_ProductBM!$Q:$Q,0)))</f>
        <v/>
      </c>
      <c r="K1559" s="2072" t="str">
        <f>IF(OR($I1461="",CNTR_SubPeriod=1),"",INDEX(F_ProductBM!K:K,MATCH($P1559,F_ProductBM!$Q:$Q,0)))</f>
        <v/>
      </c>
      <c r="L1559" s="2073" t="str">
        <f>IF(OR($I1461="",CNTR_SubPeriod=1),"",INDEX(F_ProductBM!L:L,MATCH($P1559,F_ProductBM!$Q:$Q,0)))</f>
        <v/>
      </c>
      <c r="M1559" s="2073" t="str">
        <f>IF(OR($I1461="",CNTR_SubPeriod=1),"",INDEX(F_ProductBM!M:M,MATCH($P1559,F_ProductBM!$Q:$Q,0)))</f>
        <v/>
      </c>
      <c r="N1559" s="2073" t="str">
        <f>IF(OR($I1461="",CNTR_SubPeriod=1),"",INDEX(F_ProductBM!N:N,MATCH($P1559,F_ProductBM!$Q:$Q,0)))</f>
        <v/>
      </c>
      <c r="O1559" s="485"/>
      <c r="P1559" s="1158" t="str">
        <f>EUconst_CNTR_HALprelim&amp;EUconst_CNTR_WGFlared&amp;$I1461</f>
        <v>HALprelim_WasteGasFlare_</v>
      </c>
      <c r="Q1559" s="1137"/>
      <c r="R1559" s="1137"/>
      <c r="S1559" s="1137"/>
      <c r="T1559" s="1137"/>
      <c r="U1559" s="1137"/>
      <c r="V1559" s="1137"/>
    </row>
    <row r="1560" spans="1:22" s="562" customFormat="1" ht="12.75" hidden="1" customHeight="1">
      <c r="A1560" s="719" t="s">
        <v>2289</v>
      </c>
      <c r="B1560" s="485"/>
      <c r="C1560" s="559"/>
      <c r="D1560" s="706"/>
      <c r="E1560" s="723" t="s">
        <v>1390</v>
      </c>
      <c r="F1560" s="723"/>
      <c r="G1560" s="723"/>
      <c r="H1560" s="724" t="str">
        <f>EUconst_EUA</f>
        <v>UKA</v>
      </c>
      <c r="I1560" s="725"/>
      <c r="J1560" s="2139" t="str">
        <f t="shared" ref="J1560:N1562" si="117">I1573</f>
        <v/>
      </c>
      <c r="K1560" s="2072" t="str">
        <f t="shared" si="117"/>
        <v/>
      </c>
      <c r="L1560" s="2073" t="str">
        <f t="shared" si="117"/>
        <v/>
      </c>
      <c r="M1560" s="2073" t="str">
        <f t="shared" si="117"/>
        <v/>
      </c>
      <c r="N1560" s="2073" t="str">
        <f t="shared" si="117"/>
        <v/>
      </c>
      <c r="O1560" s="485"/>
      <c r="P1560" s="1137"/>
      <c r="Q1560" s="1137"/>
      <c r="R1560" s="1137"/>
      <c r="S1560" s="1137"/>
      <c r="T1560" s="1137"/>
      <c r="U1560" s="1137"/>
      <c r="V1560" s="1137"/>
    </row>
    <row r="1561" spans="1:22" s="562" customFormat="1" ht="12.75" hidden="1" customHeight="1">
      <c r="A1561" s="719" t="s">
        <v>2289</v>
      </c>
      <c r="B1561" s="485"/>
      <c r="C1561" s="559"/>
      <c r="D1561" s="706"/>
      <c r="E1561" s="723" t="s">
        <v>1389</v>
      </c>
      <c r="F1561" s="723"/>
      <c r="G1561" s="723"/>
      <c r="H1561" s="726" t="s">
        <v>1021</v>
      </c>
      <c r="I1561" s="725"/>
      <c r="J1561" s="2140" t="str">
        <f t="shared" si="117"/>
        <v/>
      </c>
      <c r="K1561" s="2141" t="str">
        <f t="shared" si="117"/>
        <v/>
      </c>
      <c r="L1561" s="2142" t="str">
        <f t="shared" si="117"/>
        <v/>
      </c>
      <c r="M1561" s="2142" t="str">
        <f t="shared" si="117"/>
        <v/>
      </c>
      <c r="N1561" s="2142" t="str">
        <f t="shared" si="117"/>
        <v/>
      </c>
      <c r="O1561" s="485"/>
      <c r="P1561" s="1137"/>
      <c r="Q1561" s="1137"/>
      <c r="R1561" s="1137"/>
      <c r="S1561" s="1137"/>
      <c r="T1561" s="1137"/>
      <c r="U1561" s="1137"/>
      <c r="V1561" s="1137"/>
    </row>
    <row r="1562" spans="1:22" s="562" customFormat="1" ht="12.75" hidden="1" customHeight="1">
      <c r="A1562" s="719" t="s">
        <v>2289</v>
      </c>
      <c r="B1562" s="485"/>
      <c r="C1562" s="559"/>
      <c r="D1562" s="706"/>
      <c r="E1562" s="727" t="s">
        <v>1391</v>
      </c>
      <c r="F1562" s="727"/>
      <c r="G1562" s="727"/>
      <c r="H1562" s="728" t="s">
        <v>1021</v>
      </c>
      <c r="I1562" s="729"/>
      <c r="J1562" s="2143" t="str">
        <f t="shared" si="117"/>
        <v/>
      </c>
      <c r="K1562" s="2141" t="str">
        <f t="shared" si="117"/>
        <v/>
      </c>
      <c r="L1562" s="2142" t="str">
        <f t="shared" si="117"/>
        <v/>
      </c>
      <c r="M1562" s="2142" t="str">
        <f t="shared" si="117"/>
        <v/>
      </c>
      <c r="N1562" s="2142" t="str">
        <f t="shared" si="117"/>
        <v/>
      </c>
      <c r="O1562" s="485"/>
      <c r="P1562" s="1137"/>
      <c r="Q1562" s="1137"/>
      <c r="R1562" s="1137"/>
      <c r="S1562" s="1137"/>
      <c r="T1562" s="1137"/>
      <c r="U1562" s="1137"/>
      <c r="V1562" s="1137"/>
    </row>
    <row r="1563" spans="1:22" s="562" customFormat="1" ht="12.75" customHeight="1">
      <c r="A1563" s="719"/>
      <c r="B1563" s="485"/>
      <c r="C1563" s="559"/>
      <c r="D1563" s="706"/>
      <c r="E1563" s="698" t="s">
        <v>1671</v>
      </c>
      <c r="F1563" s="698"/>
      <c r="G1563" s="698"/>
      <c r="H1563" s="730" t="str">
        <f>EUconst_EUA</f>
        <v>UKA</v>
      </c>
      <c r="I1563" s="731"/>
      <c r="J1563" s="2129" t="str">
        <f>IF(J1559="","",MAX(0,ROUND((SUM($M1464)*SUM(J1554)*SUM(J1561)*SUM(J1562)-SUM(J1555)-SUM(J1559)+SUM(J1560))*IF($H1464=TRUE,1,J$2517),0)))</f>
        <v/>
      </c>
      <c r="K1563" s="2072" t="str">
        <f>IF(K1559="","",MAX(0,ROUND((SUM($M1464)*SUM(K1554)*SUM(K1561)*SUM(K1562)-SUM(K1555)-SUM(K1559)+SUM(K1560))*IF($H1464=TRUE,1,K$2517),0)))</f>
        <v/>
      </c>
      <c r="L1563" s="2073" t="str">
        <f>IF(L1559="","",MAX(0,ROUND((SUM($M1464)*SUM(L1554)*SUM(L1561)*SUM(L1562)-SUM(L1555)-SUM(L1559)+SUM(L1560))*IF($H1464=TRUE,1,L$2517),0)))</f>
        <v/>
      </c>
      <c r="M1563" s="2073" t="str">
        <f>IF(M1559="","",MAX(0,ROUND((SUM($M1464)*SUM(M1554)*SUM(M1561)*SUM(M1562)-SUM(M1555)-SUM(M1559)+SUM(M1560))*IF($H1464=TRUE,1,M$2517),0)))</f>
        <v/>
      </c>
      <c r="N1563" s="2073" t="str">
        <f>IF(N1559="","",MAX(0,ROUND((SUM($M1464)*SUM(N1554)*SUM(N1561)*SUM(N1562)-SUM(N1555)-SUM(N1559)+SUM(N1560))*IF($H1464=TRUE,1,N$2517),0)))</f>
        <v/>
      </c>
      <c r="O1563" s="485"/>
      <c r="P1563" s="1137"/>
      <c r="Q1563" s="1137"/>
      <c r="R1563" s="1137"/>
      <c r="S1563" s="1137"/>
      <c r="T1563" s="1137"/>
      <c r="U1563" s="1137"/>
      <c r="V1563" s="1137"/>
    </row>
    <row r="1564" spans="1:22" s="562" customFormat="1" ht="12.75" customHeight="1">
      <c r="A1564" s="719"/>
      <c r="B1564" s="485"/>
      <c r="C1564" s="559"/>
      <c r="D1564" s="706"/>
      <c r="E1564" s="698" t="s">
        <v>1670</v>
      </c>
      <c r="F1564" s="698"/>
      <c r="G1564" s="698"/>
      <c r="H1564" s="730" t="str">
        <f>EUconst_EUA</f>
        <v>UKA</v>
      </c>
      <c r="I1564" s="731"/>
      <c r="J1564" s="2129" t="str">
        <f>IF(J1563="","",ABS(SUM(J1563)-SUM(J1481)))</f>
        <v/>
      </c>
      <c r="K1564" s="2072" t="str">
        <f>IF(K1563="","",ABS(SUM(K1563)-SUM(K1481)))</f>
        <v/>
      </c>
      <c r="L1564" s="2073" t="str">
        <f>IF(L1563="","",ABS(SUM(L1563)-SUM(L1481)))</f>
        <v/>
      </c>
      <c r="M1564" s="2073" t="str">
        <f>IF(M1563="","",ABS(SUM(M1563)-SUM(M1481)))</f>
        <v/>
      </c>
      <c r="N1564" s="2073" t="str">
        <f>IF(N1563="","",ABS(SUM(N1563)-SUM(N1481)))</f>
        <v/>
      </c>
      <c r="O1564" s="485"/>
      <c r="P1564" s="1137"/>
      <c r="Q1564" s="1137"/>
      <c r="R1564" s="1137"/>
      <c r="S1564" s="1137"/>
      <c r="T1564" s="1137"/>
      <c r="U1564" s="1137"/>
      <c r="V1564" s="1137"/>
    </row>
    <row r="1565" spans="1:22" s="562" customFormat="1" ht="12.75" customHeight="1">
      <c r="A1565" s="719"/>
      <c r="B1565" s="485"/>
      <c r="C1565" s="559"/>
      <c r="D1565" s="706"/>
      <c r="E1565" s="740" t="s">
        <v>2135</v>
      </c>
      <c r="F1565" s="698"/>
      <c r="G1565" s="698"/>
      <c r="H1565" s="741" t="s">
        <v>1021</v>
      </c>
      <c r="I1565" s="742"/>
      <c r="J1565" s="2147" t="str">
        <f>IF(J1564="","",J1564&gt;=100)</f>
        <v/>
      </c>
      <c r="K1565" s="2134" t="str">
        <f>IF(K1564="","",K1564&gt;=100)</f>
        <v/>
      </c>
      <c r="L1565" s="2135" t="str">
        <f>IF(L1564="","",L1564&gt;=100)</f>
        <v/>
      </c>
      <c r="M1565" s="2135" t="str">
        <f>IF(M1564="","",M1564&gt;=100)</f>
        <v/>
      </c>
      <c r="N1565" s="2135" t="str">
        <f>IF(N1564="","",N1564&gt;=100)</f>
        <v/>
      </c>
      <c r="O1565" s="485"/>
      <c r="P1565" s="1158" t="str">
        <f>EUconst_CNTR_100EUA_WGFlare&amp;I1461</f>
        <v>EUA100WGFlare_</v>
      </c>
      <c r="Q1565" s="1137"/>
      <c r="R1565" s="1137"/>
      <c r="S1565" s="1137"/>
      <c r="T1565" s="1137"/>
      <c r="U1565" s="1137"/>
      <c r="V1565" s="1137"/>
    </row>
    <row r="1566" spans="1:22" s="562" customFormat="1" ht="12.75" customHeight="1" thickBot="1">
      <c r="A1566" s="719"/>
      <c r="B1566" s="485"/>
      <c r="C1566" s="559"/>
      <c r="D1566" s="755"/>
      <c r="E1566" s="756"/>
      <c r="F1566" s="756"/>
      <c r="G1566" s="756"/>
      <c r="H1566" s="756"/>
      <c r="I1566" s="757"/>
      <c r="J1566" s="756"/>
      <c r="K1566" s="1790"/>
      <c r="L1566" s="1791"/>
      <c r="M1566" s="1791"/>
      <c r="N1566" s="1791"/>
      <c r="O1566" s="485"/>
      <c r="P1566" s="1137"/>
      <c r="Q1566" s="1137"/>
      <c r="R1566" s="1137"/>
      <c r="S1566" s="1137"/>
      <c r="T1566" s="1137"/>
      <c r="U1566" s="1137"/>
      <c r="V1566" s="1137"/>
    </row>
    <row r="1567" spans="1:22" s="562" customFormat="1" ht="5.0999999999999996" customHeight="1" thickBot="1">
      <c r="A1567" s="817"/>
      <c r="B1567" s="485"/>
      <c r="C1567" s="559"/>
      <c r="D1567" s="559"/>
      <c r="E1567" s="485"/>
      <c r="F1567" s="485"/>
      <c r="G1567" s="485"/>
      <c r="H1567" s="485"/>
      <c r="I1567" s="743"/>
      <c r="J1567" s="485"/>
      <c r="K1567" s="1790"/>
      <c r="L1567" s="1791"/>
      <c r="M1567" s="1791"/>
      <c r="N1567" s="1791"/>
      <c r="O1567" s="485"/>
      <c r="P1567" s="1137"/>
      <c r="Q1567" s="1137"/>
      <c r="R1567" s="1137"/>
      <c r="S1567" s="1137"/>
      <c r="T1567" s="1137"/>
      <c r="U1567" s="1137"/>
      <c r="V1567" s="1137"/>
    </row>
    <row r="1568" spans="1:22" s="562" customFormat="1" ht="5.0999999999999996" customHeight="1">
      <c r="A1568" s="817"/>
      <c r="B1568" s="485"/>
      <c r="C1568" s="485"/>
      <c r="D1568" s="759"/>
      <c r="E1568" s="760"/>
      <c r="F1568" s="760"/>
      <c r="G1568" s="760"/>
      <c r="H1568" s="760"/>
      <c r="I1568" s="761"/>
      <c r="J1568" s="760"/>
      <c r="K1568" s="1790"/>
      <c r="L1568" s="1791"/>
      <c r="M1568" s="1791"/>
      <c r="N1568" s="1791"/>
      <c r="O1568" s="485"/>
      <c r="P1568" s="1137"/>
      <c r="Q1568" s="1137"/>
      <c r="R1568" s="1137"/>
      <c r="S1568" s="1137"/>
      <c r="T1568" s="1137"/>
      <c r="U1568" s="1137"/>
      <c r="V1568" s="1137"/>
    </row>
    <row r="1569" spans="1:22" s="562" customFormat="1">
      <c r="A1569" s="817"/>
      <c r="C1569" s="485"/>
      <c r="D1569" s="539"/>
      <c r="E1569" s="496" t="s">
        <v>1786</v>
      </c>
      <c r="F1569" s="485"/>
      <c r="G1569" s="485"/>
      <c r="H1569" s="663" t="str">
        <f>EUconst_Unit</f>
        <v>Unit</v>
      </c>
      <c r="I1569" s="763" t="s">
        <v>1675</v>
      </c>
      <c r="J1569" s="2132">
        <f>J$2737</f>
        <v>2026</v>
      </c>
      <c r="K1569" s="1489">
        <f>K$2737</f>
        <v>2027</v>
      </c>
      <c r="L1569" s="1490">
        <f>L$2737</f>
        <v>2028</v>
      </c>
      <c r="M1569" s="1490">
        <f>M$2737</f>
        <v>2029</v>
      </c>
      <c r="N1569" s="1490">
        <f>N$2737</f>
        <v>2030</v>
      </c>
      <c r="O1569" s="485"/>
      <c r="P1569" s="1137"/>
      <c r="Q1569" s="1137"/>
      <c r="R1569" s="1137"/>
      <c r="S1569" s="2155" t="s">
        <v>1646</v>
      </c>
      <c r="T1569" s="1117"/>
      <c r="U1569" s="1137"/>
      <c r="V1569" s="1137"/>
    </row>
    <row r="1570" spans="1:22" s="562" customFormat="1">
      <c r="A1570" s="817"/>
      <c r="C1570" s="485"/>
      <c r="D1570" s="539"/>
      <c r="E1570" s="720" t="s">
        <v>1714</v>
      </c>
      <c r="F1570" s="720"/>
      <c r="G1570" s="720"/>
      <c r="H1570" s="732" t="str">
        <f>H1554</f>
        <v>tonnes</v>
      </c>
      <c r="I1570" s="764" t="str">
        <f>IF($I1461="","",IF(T1576&gt;=$H$2736,0,S1570))</f>
        <v/>
      </c>
      <c r="J1570" s="2144" t="str">
        <f>IF($I1461="","",INDEX(F_ProductBM!J:J,MATCH($P1570,F_ProductBM!$Q:$Q,0)))</f>
        <v/>
      </c>
      <c r="K1570" s="2072" t="str">
        <f>IF($I1461="","",INDEX(F_ProductBM!K:K,MATCH($P1570,F_ProductBM!$Q:$Q,0)))</f>
        <v/>
      </c>
      <c r="L1570" s="2073" t="str">
        <f>IF($I1461="","",INDEX(F_ProductBM!L:L,MATCH($P1570,F_ProductBM!$Q:$Q,0)))</f>
        <v/>
      </c>
      <c r="M1570" s="2073" t="str">
        <f>IF($I1461="","",INDEX(F_ProductBM!M:M,MATCH($P1570,F_ProductBM!$Q:$Q,0)))</f>
        <v/>
      </c>
      <c r="N1570" s="2073" t="str">
        <f>IF($I1461="","",INDEX(F_ProductBM!N:N,MATCH($P1570,F_ProductBM!$Q:$Q,0)))</f>
        <v/>
      </c>
      <c r="O1570" s="485"/>
      <c r="P1570" s="1158" t="str">
        <f>EUconst_CNTR_HALfinal&amp;I1461</f>
        <v>HALfinal_</v>
      </c>
      <c r="Q1570" s="1137"/>
      <c r="R1570" s="1137"/>
      <c r="S1570" s="2156" t="str">
        <f>IF($I1461="","",INDEX(F_ProductBM!I:I,MATCH($P1570,F_ProductBM!$Q:$Q,0)))</f>
        <v/>
      </c>
      <c r="T1570" s="1117"/>
      <c r="U1570" s="1137"/>
      <c r="V1570" s="1137"/>
    </row>
    <row r="1571" spans="1:22" s="562" customFormat="1">
      <c r="A1571" s="817"/>
      <c r="C1571" s="485"/>
      <c r="D1571" s="539"/>
      <c r="E1571" s="645" t="s">
        <v>303</v>
      </c>
      <c r="F1571" s="645"/>
      <c r="G1571" s="645"/>
      <c r="H1571" s="765" t="str">
        <f>EUconst_EUA</f>
        <v>UKA</v>
      </c>
      <c r="I1571" s="766" t="str">
        <f>IF($I1461="","",IF(YEAR(J1464)&gt;=$H$2736-1,0,S1571))</f>
        <v/>
      </c>
      <c r="J1571" s="2157" t="str">
        <f>IF($I1461="","",INDEX(F_ProductBM!J:J,MATCH($P1571,F_ProductBM!$Q:$Q,0)))</f>
        <v/>
      </c>
      <c r="K1571" s="2072" t="str">
        <f>IF($I1461="","",INDEX(F_ProductBM!K:K,MATCH($P1571,F_ProductBM!$Q:$Q,0)))</f>
        <v/>
      </c>
      <c r="L1571" s="2073" t="str">
        <f>IF($I1461="","",INDEX(F_ProductBM!L:L,MATCH($P1571,F_ProductBM!$Q:$Q,0)))</f>
        <v/>
      </c>
      <c r="M1571" s="2073" t="str">
        <f>IF($I1461="","",INDEX(F_ProductBM!M:M,MATCH($P1571,F_ProductBM!$Q:$Q,0)))</f>
        <v/>
      </c>
      <c r="N1571" s="2073" t="str">
        <f>IF($I1461="","",INDEX(F_ProductBM!N:N,MATCH($P1571,F_ProductBM!$Q:$Q,0)))</f>
        <v/>
      </c>
      <c r="O1571" s="485"/>
      <c r="P1571" s="1158" t="str">
        <f>EUconst_CNTR_HEATfinal&amp;I1461</f>
        <v>HEATfinal_</v>
      </c>
      <c r="Q1571" s="1137"/>
      <c r="R1571" s="1137"/>
      <c r="S1571" s="2158" t="str">
        <f>IF($I1461="","",INDEX(F_ProductBM!I:I,MATCH($P1571,F_ProductBM!$Q:$Q,0)))</f>
        <v/>
      </c>
      <c r="T1571" s="1117"/>
      <c r="U1571" s="1137"/>
      <c r="V1571" s="1137"/>
    </row>
    <row r="1572" spans="1:22" s="562" customFormat="1">
      <c r="A1572" s="817"/>
      <c r="C1572" s="485"/>
      <c r="D1572" s="539"/>
      <c r="E1572" s="723" t="s">
        <v>1422</v>
      </c>
      <c r="F1572" s="723"/>
      <c r="G1572" s="723"/>
      <c r="H1572" s="724" t="str">
        <f>EUconst_EUA</f>
        <v>UKA</v>
      </c>
      <c r="I1572" s="767" t="str">
        <f>IF($I1461="","",IF(T1576&gt;=$H$2736,0,S1572))</f>
        <v/>
      </c>
      <c r="J1572" s="2159" t="str">
        <f>IF($I1461="","",INDEX(F_ProductBM!J:J,MATCH($P1572,F_ProductBM!$Q:$Q,0)))</f>
        <v/>
      </c>
      <c r="K1572" s="2072" t="str">
        <f>IF($I1461="","",INDEX(F_ProductBM!K:K,MATCH($P1572,F_ProductBM!$Q:$Q,0)))</f>
        <v/>
      </c>
      <c r="L1572" s="2073" t="str">
        <f>IF($I1461="","",INDEX(F_ProductBM!L:L,MATCH($P1572,F_ProductBM!$Q:$Q,0)))</f>
        <v/>
      </c>
      <c r="M1572" s="2073" t="str">
        <f>IF($I1461="","",INDEX(F_ProductBM!M:M,MATCH($P1572,F_ProductBM!$Q:$Q,0)))</f>
        <v/>
      </c>
      <c r="N1572" s="2073" t="str">
        <f>IF($I1461="","",INDEX(F_ProductBM!N:N,MATCH($P1572,F_ProductBM!$Q:$Q,0)))</f>
        <v/>
      </c>
      <c r="O1572" s="485"/>
      <c r="P1572" s="1158" t="str">
        <f>EUconst_CNTR_HALfinal&amp;EUconst_CNTR_WGFlared&amp;$I1461</f>
        <v>HALfinal_WasteGasFlare_</v>
      </c>
      <c r="Q1572" s="1137"/>
      <c r="R1572" s="1137"/>
      <c r="S1572" s="2160" t="str">
        <f>IF($I1461="","",INDEX(F_ProductBM!I:I,MATCH($P1572,F_ProductBM!$Q:$Q,0)))</f>
        <v/>
      </c>
      <c r="T1572" s="1117"/>
      <c r="U1572" s="1137"/>
      <c r="V1572" s="1137"/>
    </row>
    <row r="1573" spans="1:22" s="562" customFormat="1">
      <c r="A1573" s="817"/>
      <c r="C1573" s="485"/>
      <c r="D1573" s="539"/>
      <c r="E1573" s="723" t="s">
        <v>1390</v>
      </c>
      <c r="F1573" s="723"/>
      <c r="G1573" s="723"/>
      <c r="H1573" s="724" t="str">
        <f>EUconst_EUA</f>
        <v>UKA</v>
      </c>
      <c r="I1573" s="767" t="str">
        <f>IF($I1461="","",IF(T1576&gt;=$H$2736,0,IF(L1464=42,S1573,0)))</f>
        <v/>
      </c>
      <c r="J1573" s="2159" t="str">
        <f>IF($I1461="","",IF($L1464=42,INDEX(H_SpecialBM!J:J,MATCH($P1573,H_SpecialBM!$Q:$Q,0)),0))</f>
        <v/>
      </c>
      <c r="K1573" s="2072" t="str">
        <f>IF($I1461="","",IF($L1464=42,INDEX(H_SpecialBM!K:K,MATCH($P1573,H_SpecialBM!$Q:$Q,0)),0))</f>
        <v/>
      </c>
      <c r="L1573" s="2073" t="str">
        <f>IF($I1461="","",IF($L1464=42,INDEX(H_SpecialBM!L:L,MATCH($P1573,H_SpecialBM!$Q:$Q,0)),0))</f>
        <v/>
      </c>
      <c r="M1573" s="2073" t="str">
        <f>IF($I1461="","",IF($L1464=42,INDEX(H_SpecialBM!M:M,MATCH($P1573,H_SpecialBM!$Q:$Q,0)),0))</f>
        <v/>
      </c>
      <c r="N1573" s="2073" t="str">
        <f>IF($I1461="","",IF($L1464=42,INDEX(H_SpecialBM!N:N,MATCH($P1573,H_SpecialBM!$Q:$Q,0)),0))</f>
        <v/>
      </c>
      <c r="O1573" s="485"/>
      <c r="P1573" s="1158" t="str">
        <f>EUconst_CNTR_HVCfinal</f>
        <v>HVCfinal_</v>
      </c>
      <c r="Q1573" s="1137"/>
      <c r="R1573" s="1137"/>
      <c r="S1573" s="2160" t="str">
        <f>IF($I1461="","",IF(L1464=42,INDEX(H_SpecialBM!I:I,MATCH($P1573,H_SpecialBM!$Q:$Q,0)),0))</f>
        <v/>
      </c>
      <c r="T1573" s="1117"/>
      <c r="U1573" s="1137"/>
      <c r="V1573" s="1137"/>
    </row>
    <row r="1574" spans="1:22" s="562" customFormat="1">
      <c r="A1574" s="817"/>
      <c r="C1574" s="485"/>
      <c r="D1574" s="539"/>
      <c r="E1574" s="723" t="s">
        <v>1389</v>
      </c>
      <c r="F1574" s="723"/>
      <c r="G1574" s="723"/>
      <c r="H1574" s="726" t="s">
        <v>1021</v>
      </c>
      <c r="I1574" s="768" t="str">
        <f>IF(AND($I1461&lt;&gt;"",$I1464=TRUE),IF(T1576&gt;=$H$2736,1,S1574),IF($I1461="","",1))</f>
        <v/>
      </c>
      <c r="J1574" s="2161" t="str">
        <f>IF(AND($I1461&lt;&gt;"",$I1464=TRUE),INDEX(F_ProductBM!J:J,MATCH($P1574,F_ProductBM!$Q:$Q,0)),IF($I1461="","",1))</f>
        <v/>
      </c>
      <c r="K1574" s="2141" t="str">
        <f>IF(AND($I1461&lt;&gt;"",$I1464=TRUE),INDEX(F_ProductBM!K:K,MATCH($P1574,F_ProductBM!$Q:$Q,0)),IF($I1461="","",1))</f>
        <v/>
      </c>
      <c r="L1574" s="2142" t="str">
        <f>IF(AND($I1461&lt;&gt;"",$I1464=TRUE),INDEX(F_ProductBM!L:L,MATCH($P1574,F_ProductBM!$Q:$Q,0)),IF($I1461="","",1))</f>
        <v/>
      </c>
      <c r="M1574" s="2142" t="str">
        <f>IF(AND($I1461&lt;&gt;"",$I1464=TRUE),INDEX(F_ProductBM!M:M,MATCH($P1574,F_ProductBM!$Q:$Q,0)),IF($I1461="","",1))</f>
        <v/>
      </c>
      <c r="N1574" s="2142" t="str">
        <f>IF(AND($I1461&lt;&gt;"",$I1464=TRUE),INDEX(F_ProductBM!N:N,MATCH($P1574,F_ProductBM!$Q:$Q,0)),IF($I1461="","",1))</f>
        <v/>
      </c>
      <c r="O1574" s="485"/>
      <c r="P1574" s="1158" t="str">
        <f>EUconst_CNTR_HALfinal&amp;EUconst_CNTR_ELEXCH&amp;$I1461</f>
        <v>HALfinal_ELEXCH_</v>
      </c>
      <c r="Q1574" s="1137"/>
      <c r="R1574" s="1137"/>
      <c r="S1574" s="2162" t="str">
        <f>IF(AND($I1461&lt;&gt;"",$I1464=TRUE),INDEX(F_ProductBM!I:I,MATCH($P1574,F_ProductBM!$Q:$Q,0)),IF($I1461="","",1))</f>
        <v/>
      </c>
      <c r="T1574" s="1137"/>
      <c r="U1574" s="1137"/>
      <c r="V1574" s="1137"/>
    </row>
    <row r="1575" spans="1:22" s="562" customFormat="1">
      <c r="A1575" s="817"/>
      <c r="C1575" s="485"/>
      <c r="D1575" s="539"/>
      <c r="E1575" s="727" t="s">
        <v>1391</v>
      </c>
      <c r="F1575" s="727"/>
      <c r="G1575" s="727"/>
      <c r="H1575" s="728" t="s">
        <v>1021</v>
      </c>
      <c r="I1575" s="769" t="str">
        <f>IF($I1461="","",IF($L1464=47,IF(AND(ISNUMBER(S1575),YEAR(J1464)&lt;2021),S1575,1),1))</f>
        <v/>
      </c>
      <c r="J1575" s="2163" t="str">
        <f>IF($I1461="","",IF($L1464=47,IF(ISNUMBER(INDEX(H_SpecialBM!J:J,MATCH($P1575,H_SpecialBM!$Q:$Q,0))),INDEX(H_SpecialBM!J:J,MATCH($P1575,H_SpecialBM!$Q:$Q,0)),1),1))</f>
        <v/>
      </c>
      <c r="K1575" s="2141" t="str">
        <f>IF($I1461="","",IF($L1464=47,IF(ISNUMBER(INDEX(H_SpecialBM!K:K,MATCH($P1575,H_SpecialBM!$Q:$Q,0))),INDEX(H_SpecialBM!K:K,MATCH($P1575,H_SpecialBM!$Q:$Q,0)),1),1))</f>
        <v/>
      </c>
      <c r="L1575" s="2142" t="str">
        <f>IF($I1461="","",IF($L1464=47,IF(ISNUMBER(INDEX(H_SpecialBM!L:L,MATCH($P1575,H_SpecialBM!$Q:$Q,0))),INDEX(H_SpecialBM!L:L,MATCH($P1575,H_SpecialBM!$Q:$Q,0)),1),1))</f>
        <v/>
      </c>
      <c r="M1575" s="2142" t="str">
        <f>IF($I1461="","",IF($L1464=47,IF(ISNUMBER(INDEX(H_SpecialBM!M:M,MATCH($P1575,H_SpecialBM!$Q:$Q,0))),INDEX(H_SpecialBM!M:M,MATCH($P1575,H_SpecialBM!$Q:$Q,0)),1),1))</f>
        <v/>
      </c>
      <c r="N1575" s="2142" t="str">
        <f>IF($I1461="","",IF($L1464=47,IF(ISNUMBER(INDEX(H_SpecialBM!N:N,MATCH($P1575,H_SpecialBM!$Q:$Q,0))),INDEX(H_SpecialBM!N:N,MATCH($P1575,H_SpecialBM!$Q:$Q,0)),1),1))</f>
        <v/>
      </c>
      <c r="O1575" s="485"/>
      <c r="P1575" s="1158" t="str">
        <f>EUconst_CNTR_VCMfinal</f>
        <v>VCMfinal_</v>
      </c>
      <c r="Q1575" s="1137"/>
      <c r="R1575" s="1137"/>
      <c r="S1575" s="2164" t="str">
        <f>IF($I1461="","",IF($L1464=47,IF(ISNUMBER(INDEX(H_SpecialBM!I:I,MATCH($P1575,H_SpecialBM!$Q:$Q,0))),INDEX(H_SpecialBM!I:I,MATCH($P1575,H_SpecialBM!$Q:$Q,0)),1),1))</f>
        <v/>
      </c>
      <c r="T1575" s="1137"/>
      <c r="U1575" s="1137"/>
      <c r="V1575" s="1137"/>
    </row>
    <row r="1576" spans="1:22" s="562" customFormat="1">
      <c r="A1576" s="817"/>
      <c r="C1576" s="485"/>
      <c r="D1576" s="539"/>
      <c r="E1576" s="698" t="s">
        <v>222</v>
      </c>
      <c r="F1576" s="698"/>
      <c r="G1576" s="698"/>
      <c r="H1576" s="730" t="str">
        <f>EUconst_EUA</f>
        <v>UKA</v>
      </c>
      <c r="I1576" s="770" t="str">
        <f>IF($I1461="","",MAX(0,ROUND((SUM($M1464)*SUM(I1570)*SUM(I1574)*SUM(I1575)-SUM(I1571)-SUM(I1572)+SUM(I1573))*IF($H1464=TRUE,1,J$2517),0)))</f>
        <v/>
      </c>
      <c r="J1576" s="2129" t="str">
        <f>IF($I1461="","",MAX(0,ROUND((SUM($M1464)*SUM(J1570)*SUM(J1574)*SUM(J1575)-SUM(J1571)-SUM(J1572)+SUM(J1573))*IF($H1464=TRUE,1,J$2517),0)))</f>
        <v/>
      </c>
      <c r="K1576" s="2072" t="str">
        <f>IF($I1461="","",MAX(0,ROUND((SUM($M1464)*SUM(K1570)*SUM(K1574)*SUM(K1575)-SUM(K1571)-SUM(K1572)+SUM(K1573))*IF($H1464=TRUE,1,K$2517),0)))</f>
        <v/>
      </c>
      <c r="L1576" s="2073" t="str">
        <f>IF($I1461="","",MAX(0,ROUND((SUM($M1464)*SUM(L1570)*SUM(L1574)*SUM(L1575)-SUM(L1571)-SUM(L1572)+SUM(L1573))*IF($H1464=TRUE,1,L$2517),0)))</f>
        <v/>
      </c>
      <c r="M1576" s="2073" t="str">
        <f>IF($I1461="","",MAX(0,ROUND((SUM($M1464)*SUM(M1570)*SUM(M1574)*SUM(M1575)-SUM(M1571)-SUM(M1572)+SUM(M1573))*IF($H1464=TRUE,1,M$2517),0)))</f>
        <v/>
      </c>
      <c r="N1576" s="2073" t="str">
        <f>IF($I1461="","",MAX(0,ROUND((SUM($M1464)*SUM(N1570)*SUM(N1574)*SUM(N1575)-SUM(N1571)-SUM(N1572)+SUM(N1573))*IF($H1464=TRUE,1,N$2517),0)))</f>
        <v/>
      </c>
      <c r="O1576" s="485"/>
      <c r="P1576" s="1158" t="str">
        <f>EUconst_AllocPrelim&amp;I1461</f>
        <v>AllocPrelim_</v>
      </c>
      <c r="Q1576" s="1137"/>
      <c r="R1576" s="1137"/>
      <c r="S1576" s="2165" t="str">
        <f>IF($I1461="","",MAX(0,ROUND((SUM($M1464)*SUM(S1570)*SUM(S1574)*SUM(S1575)-SUM(S1571)-SUM(S1572)+SUM(S1573))*IF($H1464=TRUE,1,J$2517),0)))</f>
        <v/>
      </c>
      <c r="T1576" s="1137">
        <f>INDEX(F_ProductBM!V:V,MATCH(C1461,F_ProductBM!C:C,0))</f>
        <v>2005</v>
      </c>
      <c r="U1576" s="1137" t="e">
        <f>INDEX(I1576:N1576,CNTR_ReportingYear-$I$2736)&lt;&gt;INDEX(I1576:N1576,CNTR_ReportingYear-$H$2736)</f>
        <v>#REF!</v>
      </c>
      <c r="V1576" s="1137"/>
    </row>
    <row r="1577" spans="1:22" s="562" customFormat="1" ht="5.0999999999999996" customHeight="1" thickBot="1">
      <c r="A1577" s="817"/>
      <c r="C1577" s="485"/>
      <c r="D1577" s="771"/>
      <c r="E1577" s="756"/>
      <c r="F1577" s="756"/>
      <c r="G1577" s="756"/>
      <c r="H1577" s="756"/>
      <c r="I1577" s="756"/>
      <c r="J1577" s="756"/>
      <c r="K1577" s="1790"/>
      <c r="L1577" s="1791"/>
      <c r="M1577" s="1791"/>
      <c r="N1577" s="1791"/>
      <c r="O1577" s="485"/>
      <c r="P1577" s="1137"/>
      <c r="Q1577" s="1137"/>
      <c r="R1577" s="1137"/>
      <c r="S1577" s="1137"/>
      <c r="T1577" s="1137"/>
      <c r="U1577" s="1137"/>
      <c r="V1577" s="1137"/>
    </row>
    <row r="1578" spans="1:22" s="562" customFormat="1" ht="5.0999999999999996" customHeight="1" thickBot="1">
      <c r="A1578" s="817"/>
      <c r="C1578" s="485"/>
      <c r="E1578" s="561"/>
      <c r="F1578" s="485"/>
      <c r="G1578" s="485"/>
      <c r="H1578" s="485"/>
      <c r="I1578" s="485"/>
      <c r="J1578" s="485"/>
      <c r="K1578" s="1790"/>
      <c r="L1578" s="1791"/>
      <c r="M1578" s="1791"/>
      <c r="N1578" s="1791"/>
      <c r="O1578" s="485"/>
      <c r="P1578" s="1137"/>
      <c r="Q1578" s="1137"/>
      <c r="R1578" s="1137"/>
      <c r="S1578" s="1137"/>
      <c r="T1578" s="1137"/>
      <c r="U1578" s="1137"/>
      <c r="V1578" s="1137"/>
    </row>
    <row r="1579" spans="1:22" s="562" customFormat="1" ht="12.75" customHeight="1">
      <c r="A1579" s="817"/>
      <c r="C1579" s="485"/>
      <c r="D1579" s="772"/>
      <c r="E1579" s="773"/>
      <c r="F1579" s="773"/>
      <c r="G1579" s="774"/>
      <c r="H1579" s="774"/>
      <c r="I1579" s="774"/>
      <c r="J1579" s="774"/>
      <c r="K1579" s="1790"/>
      <c r="L1579" s="1791"/>
      <c r="M1579" s="1791"/>
      <c r="N1579" s="1791"/>
      <c r="O1579" s="485"/>
      <c r="P1579" s="1137"/>
      <c r="Q1579" s="1137"/>
      <c r="R1579" s="1137"/>
      <c r="S1579" s="1137"/>
      <c r="T1579" s="1137"/>
      <c r="U1579" s="1137"/>
      <c r="V1579" s="1137"/>
    </row>
    <row r="1580" spans="1:22" s="562" customFormat="1" ht="13.5" thickBot="1">
      <c r="A1580" s="817"/>
      <c r="C1580" s="485"/>
      <c r="D1580" s="776"/>
      <c r="E1580" s="777"/>
      <c r="F1580" s="777"/>
      <c r="G1580" s="778" t="str">
        <f>EUconst_Unit</f>
        <v>Unit</v>
      </c>
      <c r="H1580" s="779">
        <f t="shared" ref="H1580:M1580" si="118">H$2737</f>
        <v>2024</v>
      </c>
      <c r="I1580" s="780">
        <f t="shared" si="118"/>
        <v>2025</v>
      </c>
      <c r="J1580" s="2166">
        <f t="shared" si="118"/>
        <v>2026</v>
      </c>
      <c r="K1580" s="1489">
        <f t="shared" si="118"/>
        <v>2027</v>
      </c>
      <c r="L1580" s="1490">
        <f t="shared" si="118"/>
        <v>2028</v>
      </c>
      <c r="M1580" s="1490">
        <f t="shared" si="118"/>
        <v>2029</v>
      </c>
      <c r="N1580" s="1490">
        <f>N$2737</f>
        <v>2030</v>
      </c>
      <c r="O1580" s="485"/>
      <c r="P1580" s="1137"/>
      <c r="Q1580" s="1137"/>
      <c r="R1580" s="1137"/>
      <c r="S1580" s="1137"/>
      <c r="T1580" s="1117"/>
      <c r="U1580" s="1137"/>
      <c r="V1580" s="1137"/>
    </row>
    <row r="1581" spans="1:22" s="562" customFormat="1" ht="13.5" customHeight="1" thickBot="1">
      <c r="A1581" s="817"/>
      <c r="C1581" s="485"/>
      <c r="D1581" s="776"/>
      <c r="E1581" s="2470" t="s">
        <v>1504</v>
      </c>
      <c r="F1581" s="2470"/>
      <c r="G1581" s="808" t="str">
        <f>EUconst_tCO2epa</f>
        <v>t CO2e/year</v>
      </c>
      <c r="H1581" s="786" t="str">
        <f t="shared" ref="H1581:N1581" si="119">INDEX(H$92:H$108,MATCH($I1461,$E$92:$E$108,0))</f>
        <v/>
      </c>
      <c r="I1581" s="787" t="str">
        <f t="shared" si="119"/>
        <v/>
      </c>
      <c r="J1581" s="2167" t="str">
        <f t="shared" si="119"/>
        <v/>
      </c>
      <c r="K1581" s="2105" t="str">
        <f t="shared" si="119"/>
        <v/>
      </c>
      <c r="L1581" s="1960" t="str">
        <f t="shared" si="119"/>
        <v/>
      </c>
      <c r="M1581" s="1960" t="str">
        <f t="shared" si="119"/>
        <v/>
      </c>
      <c r="N1581" s="1960" t="str">
        <f t="shared" si="119"/>
        <v/>
      </c>
      <c r="O1581" s="485"/>
      <c r="P1581" s="1137"/>
      <c r="Q1581" s="1137"/>
      <c r="R1581" s="1137"/>
      <c r="S1581" s="1137"/>
      <c r="T1581" s="1117"/>
      <c r="U1581" s="1137"/>
      <c r="V1581" s="1137"/>
    </row>
    <row r="1582" spans="1:22" s="562" customFormat="1" ht="5.0999999999999996" customHeight="1">
      <c r="A1582" s="817"/>
      <c r="C1582" s="485"/>
      <c r="D1582" s="776"/>
      <c r="E1582" s="809"/>
      <c r="F1582" s="809"/>
      <c r="G1582" s="777"/>
      <c r="H1582" s="2168"/>
      <c r="I1582" s="2168"/>
      <c r="J1582" s="2168"/>
      <c r="K1582" s="2169"/>
      <c r="L1582" s="2170"/>
      <c r="M1582" s="2170"/>
      <c r="N1582" s="2170"/>
      <c r="O1582" s="485"/>
      <c r="P1582" s="1137"/>
      <c r="Q1582" s="1137"/>
      <c r="R1582" s="1137"/>
      <c r="S1582" s="1137"/>
      <c r="T1582" s="1117"/>
      <c r="U1582" s="1137"/>
      <c r="V1582" s="1137"/>
    </row>
    <row r="1583" spans="1:22" s="562" customFormat="1" ht="12.75" customHeight="1">
      <c r="A1583" s="817"/>
      <c r="C1583" s="485"/>
      <c r="D1583" s="776"/>
      <c r="E1583" s="2471" t="s">
        <v>1344</v>
      </c>
      <c r="F1583" s="3467"/>
      <c r="G1583" s="811" t="str">
        <f>EUconst_TJpa</f>
        <v>TJ / year</v>
      </c>
      <c r="H1583" s="625" t="str">
        <f>IF($I1461="","",IF(INDEX(F_ProductBM!H:H,MATCH($P1583,F_ProductBM!$Q:$Q,0))="","",INDEX(F_ProductBM!H:H,MATCH($P1583,F_ProductBM!$Q:$Q,0))))</f>
        <v/>
      </c>
      <c r="I1583" s="794" t="str">
        <f>IF($I1461="","",IF(INDEX(F_ProductBM!I:I,MATCH($P1583,F_ProductBM!$Q:$Q,0))="","",INDEX(F_ProductBM!I:I,MATCH($P1583,F_ProductBM!$Q:$Q,0))))</f>
        <v/>
      </c>
      <c r="J1583" s="2171" t="str">
        <f>IF($I1461="","",IF(INDEX(F_ProductBM!J:J,MATCH($P1583,F_ProductBM!$Q:$Q,0))="","",INDEX(F_ProductBM!J:J,MATCH($P1583,F_ProductBM!$Q:$Q,0))))</f>
        <v/>
      </c>
      <c r="K1583" s="1788" t="str">
        <f>IF($I1461="","",IF(INDEX(F_ProductBM!K:K,MATCH($P1583,F_ProductBM!$Q:$Q,0))="","",INDEX(F_ProductBM!K:K,MATCH($P1583,F_ProductBM!$Q:$Q,0))))</f>
        <v/>
      </c>
      <c r="L1583" s="1789" t="str">
        <f>IF($I1461="","",IF(INDEX(F_ProductBM!L:L,MATCH($P1583,F_ProductBM!$Q:$Q,0))="","",INDEX(F_ProductBM!L:L,MATCH($P1583,F_ProductBM!$Q:$Q,0))))</f>
        <v/>
      </c>
      <c r="M1583" s="1789" t="str">
        <f>IF($I1461="","",IF(INDEX(F_ProductBM!M:M,MATCH($P1583,F_ProductBM!$Q:$Q,0))="","",INDEX(F_ProductBM!M:M,MATCH($P1583,F_ProductBM!$Q:$Q,0))))</f>
        <v/>
      </c>
      <c r="N1583" s="1789" t="str">
        <f>IF($I1461="","",IF(INDEX(F_ProductBM!N:N,MATCH($P1583,F_ProductBM!$Q:$Q,0))="","",INDEX(F_ProductBM!N:N,MATCH($P1583,F_ProductBM!$Q:$Q,0))))</f>
        <v/>
      </c>
      <c r="O1583" s="485"/>
      <c r="P1583" s="2109" t="str">
        <f>EUconst_CNTR_FuelInput &amp; I1461</f>
        <v>FuelInput_</v>
      </c>
      <c r="Q1583" s="1137"/>
      <c r="R1583" s="1137"/>
      <c r="S1583" s="1137"/>
      <c r="T1583" s="1117"/>
      <c r="U1583" s="1137"/>
      <c r="V1583" s="1137"/>
    </row>
    <row r="1584" spans="1:22" s="562" customFormat="1" ht="12.75" customHeight="1">
      <c r="A1584" s="817"/>
      <c r="C1584" s="485"/>
      <c r="D1584" s="776"/>
      <c r="E1584" s="2473" t="s">
        <v>1182</v>
      </c>
      <c r="F1584" s="3466"/>
      <c r="G1584" s="812" t="str">
        <f>EUconst_tCO2pTJ</f>
        <v>t CO2 / TJ</v>
      </c>
      <c r="H1584" s="627" t="str">
        <f>IF($I1461="","",IF(INDEX(F_ProductBM!H:H,MATCH($P1584,F_ProductBM!$Q:$Q,0))="","",INDEX(F_ProductBM!H:H,MATCH($P1584,F_ProductBM!$Q:$Q,0))))</f>
        <v/>
      </c>
      <c r="I1584" s="796" t="str">
        <f>IF($I1461="","",IF(INDEX(F_ProductBM!I:I,MATCH($P1584,F_ProductBM!$Q:$Q,0))="","",INDEX(F_ProductBM!I:I,MATCH($P1584,F_ProductBM!$Q:$Q,0))))</f>
        <v/>
      </c>
      <c r="J1584" s="2172" t="str">
        <f>IF($I1461="","",IF(INDEX(F_ProductBM!J:J,MATCH($P1584,F_ProductBM!$Q:$Q,0))="","",INDEX(F_ProductBM!J:J,MATCH($P1584,F_ProductBM!$Q:$Q,0))))</f>
        <v/>
      </c>
      <c r="K1584" s="1788" t="str">
        <f>IF($I1461="","",IF(INDEX(F_ProductBM!K:K,MATCH($P1584,F_ProductBM!$Q:$Q,0))="","",INDEX(F_ProductBM!K:K,MATCH($P1584,F_ProductBM!$Q:$Q,0))))</f>
        <v/>
      </c>
      <c r="L1584" s="1789" t="str">
        <f>IF($I1461="","",IF(INDEX(F_ProductBM!L:L,MATCH($P1584,F_ProductBM!$Q:$Q,0))="","",INDEX(F_ProductBM!L:L,MATCH($P1584,F_ProductBM!$Q:$Q,0))))</f>
        <v/>
      </c>
      <c r="M1584" s="1789" t="str">
        <f>IF($I1461="","",IF(INDEX(F_ProductBM!M:M,MATCH($P1584,F_ProductBM!$Q:$Q,0))="","",INDEX(F_ProductBM!M:M,MATCH($P1584,F_ProductBM!$Q:$Q,0))))</f>
        <v/>
      </c>
      <c r="N1584" s="1789" t="str">
        <f>IF($I1461="","",IF(INDEX(F_ProductBM!N:N,MATCH($P1584,F_ProductBM!$Q:$Q,0))="","",INDEX(F_ProductBM!N:N,MATCH($P1584,F_ProductBM!$Q:$Q,0))))</f>
        <v/>
      </c>
      <c r="O1584" s="485"/>
      <c r="P1584" s="1970" t="str">
        <f>EUconst_CNTR_FuelEF &amp; I1461</f>
        <v>FuelEF_</v>
      </c>
      <c r="Q1584" s="1137"/>
      <c r="R1584" s="1137"/>
      <c r="S1584" s="1137"/>
      <c r="T1584" s="1117"/>
      <c r="U1584" s="1137"/>
      <c r="V1584" s="1137"/>
    </row>
    <row r="1585" spans="1:22" s="562" customFormat="1" ht="5.0999999999999996" customHeight="1">
      <c r="A1585" s="817"/>
      <c r="C1585" s="485"/>
      <c r="D1585" s="776"/>
      <c r="E1585" s="809"/>
      <c r="F1585" s="809"/>
      <c r="G1585" s="813"/>
      <c r="H1585" s="2173"/>
      <c r="I1585" s="2173"/>
      <c r="J1585" s="2173"/>
      <c r="K1585" s="1788"/>
      <c r="L1585" s="1789"/>
      <c r="M1585" s="1789"/>
      <c r="N1585" s="1789"/>
      <c r="O1585" s="485"/>
      <c r="P1585" s="1137"/>
      <c r="Q1585" s="1137"/>
      <c r="R1585" s="1137"/>
      <c r="S1585" s="1137"/>
      <c r="T1585" s="1137"/>
      <c r="U1585" s="1137"/>
      <c r="V1585" s="1137"/>
    </row>
    <row r="1586" spans="1:22" s="562" customFormat="1" ht="12.75" customHeight="1">
      <c r="A1586" s="817"/>
      <c r="C1586" s="485"/>
      <c r="D1586" s="776"/>
      <c r="E1586" s="2475" t="s">
        <v>63</v>
      </c>
      <c r="F1586" s="3461"/>
      <c r="G1586" s="815" t="str">
        <f>EUconst_tCO2pa</f>
        <v>t CO2 / year</v>
      </c>
      <c r="H1586" s="623" t="str">
        <f>IF($I1461="","",IF(INDEX(F_ProductBM!H:H,MATCH($P1586,F_ProductBM!$Q:$Q,0))="","",INDEX(F_ProductBM!H:H,MATCH($P1586,F_ProductBM!$Q:$Q,0))))</f>
        <v/>
      </c>
      <c r="I1586" s="800" t="str">
        <f>IF($I1461="","",IF(INDEX(F_ProductBM!I:I,MATCH($P1586,F_ProductBM!$Q:$Q,0))="","",INDEX(F_ProductBM!I:I,MATCH($P1586,F_ProductBM!$Q:$Q,0))))</f>
        <v/>
      </c>
      <c r="J1586" s="2174" t="str">
        <f>IF($I1461="","",IF(INDEX(F_ProductBM!J:J,MATCH($P1586,F_ProductBM!$Q:$Q,0))="","",INDEX(F_ProductBM!J:J,MATCH($P1586,F_ProductBM!$Q:$Q,0))))</f>
        <v/>
      </c>
      <c r="K1586" s="1788" t="str">
        <f>IF($I1461="","",IF(INDEX(F_ProductBM!K:K,MATCH($P1586,F_ProductBM!$Q:$Q,0))="","",INDEX(F_ProductBM!K:K,MATCH($P1586,F_ProductBM!$Q:$Q,0))))</f>
        <v/>
      </c>
      <c r="L1586" s="1789" t="str">
        <f>IF($I1461="","",IF(INDEX(F_ProductBM!L:L,MATCH($P1586,F_ProductBM!$Q:$Q,0))="","",INDEX(F_ProductBM!L:L,MATCH($P1586,F_ProductBM!$Q:$Q,0))))</f>
        <v/>
      </c>
      <c r="M1586" s="1789" t="str">
        <f>IF($I1461="","",IF(INDEX(F_ProductBM!M:M,MATCH($P1586,F_ProductBM!$Q:$Q,0))="","",INDEX(F_ProductBM!M:M,MATCH($P1586,F_ProductBM!$Q:$Q,0))))</f>
        <v/>
      </c>
      <c r="N1586" s="1789" t="str">
        <f>IF($I1461="","",IF(INDEX(F_ProductBM!N:N,MATCH($P1586,F_ProductBM!$Q:$Q,0))="","",INDEX(F_ProductBM!N:N,MATCH($P1586,F_ProductBM!$Q:$Q,0))))</f>
        <v/>
      </c>
      <c r="O1586" s="485"/>
      <c r="P1586" s="1970" t="str">
        <f>EUconst_CNTR_Emissions &amp; I1461</f>
        <v>DirEmissions_</v>
      </c>
      <c r="Q1586" s="1137"/>
      <c r="R1586" s="1137"/>
      <c r="S1586" s="1137"/>
      <c r="T1586" s="1137"/>
      <c r="U1586" s="1137"/>
      <c r="V1586" s="1137"/>
    </row>
    <row r="1587" spans="1:22" s="562" customFormat="1" ht="12.75" customHeight="1">
      <c r="A1587" s="817"/>
      <c r="C1587" s="485"/>
      <c r="D1587" s="776"/>
      <c r="E1587" s="2475" t="s">
        <v>1154</v>
      </c>
      <c r="F1587" s="3461"/>
      <c r="G1587" s="815" t="str">
        <f>EUconst_tCO2pa</f>
        <v>t CO2 / year</v>
      </c>
      <c r="H1587" s="623" t="str">
        <f>IF($I1461="","",IF(INDEX(F_ProductBM!H:H,MATCH($P1587,F_ProductBM!$Q:$Q,0))="","",INDEX(F_ProductBM!H:H,MATCH($P1587,F_ProductBM!$Q:$Q,0))))</f>
        <v/>
      </c>
      <c r="I1587" s="800" t="str">
        <f>IF($I1461="","",IF(INDEX(F_ProductBM!I:I,MATCH($P1587,F_ProductBM!$Q:$Q,0))="","",INDEX(F_ProductBM!I:I,MATCH($P1587,F_ProductBM!$Q:$Q,0))))</f>
        <v/>
      </c>
      <c r="J1587" s="2174" t="str">
        <f>IF($I1461="","",IF(INDEX(F_ProductBM!J:J,MATCH($P1587,F_ProductBM!$Q:$Q,0))="","",INDEX(F_ProductBM!J:J,MATCH($P1587,F_ProductBM!$Q:$Q,0))))</f>
        <v/>
      </c>
      <c r="K1587" s="1788" t="str">
        <f>IF($I1461="","",IF(INDEX(F_ProductBM!K:K,MATCH($P1587,F_ProductBM!$Q:$Q,0))="","",INDEX(F_ProductBM!K:K,MATCH($P1587,F_ProductBM!$Q:$Q,0))))</f>
        <v/>
      </c>
      <c r="L1587" s="1789" t="str">
        <f>IF($I1461="","",IF(INDEX(F_ProductBM!L:L,MATCH($P1587,F_ProductBM!$Q:$Q,0))="","",INDEX(F_ProductBM!L:L,MATCH($P1587,F_ProductBM!$Q:$Q,0))))</f>
        <v/>
      </c>
      <c r="M1587" s="1789" t="str">
        <f>IF($I1461="","",IF(INDEX(F_ProductBM!M:M,MATCH($P1587,F_ProductBM!$Q:$Q,0))="","",INDEX(F_ProductBM!M:M,MATCH($P1587,F_ProductBM!$Q:$Q,0))))</f>
        <v/>
      </c>
      <c r="N1587" s="1789" t="str">
        <f>IF($I1461="","",IF(INDEX(F_ProductBM!N:N,MATCH($P1587,F_ProductBM!$Q:$Q,0))="","",INDEX(F_ProductBM!N:N,MATCH($P1587,F_ProductBM!$Q:$Q,0))))</f>
        <v/>
      </c>
      <c r="O1587" s="485"/>
      <c r="P1587" s="1970" t="str">
        <f>EUconst_CNTR_EmissionsIntSource1 &amp; I1461</f>
        <v>EmInternalSource1_</v>
      </c>
      <c r="Q1587" s="1137"/>
      <c r="R1587" s="1137"/>
      <c r="S1587" s="1137"/>
      <c r="T1587" s="1137"/>
      <c r="U1587" s="1137"/>
      <c r="V1587" s="1137"/>
    </row>
    <row r="1588" spans="1:22" s="562" customFormat="1" ht="12.75" customHeight="1">
      <c r="A1588" s="817"/>
      <c r="C1588" s="485"/>
      <c r="D1588" s="776"/>
      <c r="E1588" s="2475" t="s">
        <v>1155</v>
      </c>
      <c r="F1588" s="3461"/>
      <c r="G1588" s="815" t="str">
        <f>EUconst_tCO2pa</f>
        <v>t CO2 / year</v>
      </c>
      <c r="H1588" s="623" t="str">
        <f>IF($I1461="","",IF(INDEX(F_ProductBM!H:H,MATCH($P1588,F_ProductBM!$Q:$Q,0))="","",INDEX(F_ProductBM!H:H,MATCH($P1588,F_ProductBM!$Q:$Q,0))))</f>
        <v/>
      </c>
      <c r="I1588" s="800" t="str">
        <f>IF($I1461="","",IF(INDEX(F_ProductBM!I:I,MATCH($P1588,F_ProductBM!$Q:$Q,0))="","",INDEX(F_ProductBM!I:I,MATCH($P1588,F_ProductBM!$Q:$Q,0))))</f>
        <v/>
      </c>
      <c r="J1588" s="2174" t="str">
        <f>IF($I1461="","",IF(INDEX(F_ProductBM!J:J,MATCH($P1588,F_ProductBM!$Q:$Q,0))="","",INDEX(F_ProductBM!J:J,MATCH($P1588,F_ProductBM!$Q:$Q,0))))</f>
        <v/>
      </c>
      <c r="K1588" s="1788" t="str">
        <f>IF($I1461="","",IF(INDEX(F_ProductBM!K:K,MATCH($P1588,F_ProductBM!$Q:$Q,0))="","",INDEX(F_ProductBM!K:K,MATCH($P1588,F_ProductBM!$Q:$Q,0))))</f>
        <v/>
      </c>
      <c r="L1588" s="1789" t="str">
        <f>IF($I1461="","",IF(INDEX(F_ProductBM!L:L,MATCH($P1588,F_ProductBM!$Q:$Q,0))="","",INDEX(F_ProductBM!L:L,MATCH($P1588,F_ProductBM!$Q:$Q,0))))</f>
        <v/>
      </c>
      <c r="M1588" s="1789" t="str">
        <f>IF($I1461="","",IF(INDEX(F_ProductBM!M:M,MATCH($P1588,F_ProductBM!$Q:$Q,0))="","",INDEX(F_ProductBM!M:M,MATCH($P1588,F_ProductBM!$Q:$Q,0))))</f>
        <v/>
      </c>
      <c r="N1588" s="1789" t="str">
        <f>IF($I1461="","",IF(INDEX(F_ProductBM!N:N,MATCH($P1588,F_ProductBM!$Q:$Q,0))="","",INDEX(F_ProductBM!N:N,MATCH($P1588,F_ProductBM!$Q:$Q,0))))</f>
        <v/>
      </c>
      <c r="O1588" s="485"/>
      <c r="P1588" s="1970" t="str">
        <f>EUconst_CNTR_EmissionsIntSource2 &amp; I1461</f>
        <v>EmInternalSource2_</v>
      </c>
      <c r="Q1588" s="1137"/>
      <c r="R1588" s="1137"/>
      <c r="S1588" s="1137"/>
      <c r="T1588" s="1137"/>
      <c r="U1588" s="1137"/>
      <c r="V1588" s="1137"/>
    </row>
    <row r="1589" spans="1:22" s="562" customFormat="1" ht="12.75" customHeight="1">
      <c r="A1589" s="817"/>
      <c r="C1589" s="485"/>
      <c r="D1589" s="776"/>
      <c r="E1589" s="2475" t="s">
        <v>1156</v>
      </c>
      <c r="F1589" s="3461"/>
      <c r="G1589" s="815" t="str">
        <f>EUconst_tCO2epa</f>
        <v>t CO2e/year</v>
      </c>
      <c r="H1589" s="623" t="str">
        <f>IF($I1461="","",IF(INDEX(F_ProductBM!H:H,MATCH($P1589,F_ProductBM!$Q:$Q,0))="","",INDEX(F_ProductBM!H:H,MATCH($P1589,F_ProductBM!$Q:$Q,0))))</f>
        <v/>
      </c>
      <c r="I1589" s="800" t="str">
        <f>IF($I1461="","",IF(INDEX(F_ProductBM!I:I,MATCH($P1589,F_ProductBM!$Q:$Q,0))="","",INDEX(F_ProductBM!I:I,MATCH($P1589,F_ProductBM!$Q:$Q,0))))</f>
        <v/>
      </c>
      <c r="J1589" s="2174" t="str">
        <f>IF($I1461="","",IF(INDEX(F_ProductBM!J:J,MATCH($P1589,F_ProductBM!$Q:$Q,0))="","",INDEX(F_ProductBM!J:J,MATCH($P1589,F_ProductBM!$Q:$Q,0))))</f>
        <v/>
      </c>
      <c r="K1589" s="1788" t="str">
        <f>IF($I1461="","",IF(INDEX(F_ProductBM!K:K,MATCH($P1589,F_ProductBM!$Q:$Q,0))="","",INDEX(F_ProductBM!K:K,MATCH($P1589,F_ProductBM!$Q:$Q,0))))</f>
        <v/>
      </c>
      <c r="L1589" s="1789" t="str">
        <f>IF($I1461="","",IF(INDEX(F_ProductBM!L:L,MATCH($P1589,F_ProductBM!$Q:$Q,0))="","",INDEX(F_ProductBM!L:L,MATCH($P1589,F_ProductBM!$Q:$Q,0))))</f>
        <v/>
      </c>
      <c r="M1589" s="1789" t="str">
        <f>IF($I1461="","",IF(INDEX(F_ProductBM!M:M,MATCH($P1589,F_ProductBM!$Q:$Q,0))="","",INDEX(F_ProductBM!M:M,MATCH($P1589,F_ProductBM!$Q:$Q,0))))</f>
        <v/>
      </c>
      <c r="N1589" s="1789" t="str">
        <f>IF($I1461="","",IF(INDEX(F_ProductBM!N:N,MATCH($P1589,F_ProductBM!$Q:$Q,0))="","",INDEX(F_ProductBM!N:N,MATCH($P1589,F_ProductBM!$Q:$Q,0))))</f>
        <v/>
      </c>
      <c r="O1589" s="485"/>
      <c r="P1589" s="1970" t="str">
        <f>EUconst_CNTR_CO2Feedstock &amp; I1461</f>
        <v>EmCO2Feedstock_</v>
      </c>
      <c r="Q1589" s="1137"/>
      <c r="R1589" s="1137"/>
      <c r="S1589" s="1137"/>
      <c r="T1589" s="1137"/>
      <c r="U1589" s="1137"/>
      <c r="V1589" s="1137"/>
    </row>
    <row r="1590" spans="1:22" s="562" customFormat="1" ht="5.0999999999999996" customHeight="1">
      <c r="A1590" s="817"/>
      <c r="C1590" s="485"/>
      <c r="D1590" s="776"/>
      <c r="E1590" s="809"/>
      <c r="F1590" s="809"/>
      <c r="G1590" s="813"/>
      <c r="H1590" s="2173"/>
      <c r="I1590" s="2173"/>
      <c r="J1590" s="2173"/>
      <c r="K1590" s="1788"/>
      <c r="L1590" s="1789"/>
      <c r="M1590" s="1789"/>
      <c r="N1590" s="1789"/>
      <c r="O1590" s="485"/>
      <c r="P1590" s="1137"/>
      <c r="Q1590" s="1137"/>
      <c r="R1590" s="1137"/>
      <c r="S1590" s="1137"/>
      <c r="T1590" s="1137"/>
      <c r="U1590" s="1137"/>
      <c r="V1590" s="1137"/>
    </row>
    <row r="1591" spans="1:22" s="562" customFormat="1" ht="12.75" customHeight="1">
      <c r="A1591" s="817"/>
      <c r="C1591" s="485"/>
      <c r="D1591" s="776"/>
      <c r="E1591" s="2471" t="s">
        <v>1087</v>
      </c>
      <c r="F1591" s="3467"/>
      <c r="G1591" s="811" t="str">
        <f>EUconst_TJpa</f>
        <v>TJ / year</v>
      </c>
      <c r="H1591" s="625" t="str">
        <f>IF($I1461="","",IF(INDEX(F_ProductBM!H:H,MATCH($P1591,F_ProductBM!$Q:$Q,0))="","",INDEX(F_ProductBM!H:H,MATCH($P1591,F_ProductBM!$Q:$Q,0))))</f>
        <v/>
      </c>
      <c r="I1591" s="794" t="str">
        <f>IF($I1461="","",IF(INDEX(F_ProductBM!I:I,MATCH($P1591,F_ProductBM!$Q:$Q,0))="","",INDEX(F_ProductBM!I:I,MATCH($P1591,F_ProductBM!$Q:$Q,0))))</f>
        <v/>
      </c>
      <c r="J1591" s="2171" t="str">
        <f>IF($I1461="","",IF(INDEX(F_ProductBM!J:J,MATCH($P1591,F_ProductBM!$Q:$Q,0))="","",INDEX(F_ProductBM!J:J,MATCH($P1591,F_ProductBM!$Q:$Q,0))))</f>
        <v/>
      </c>
      <c r="K1591" s="1788" t="str">
        <f>IF($I1461="","",IF(INDEX(F_ProductBM!K:K,MATCH($P1591,F_ProductBM!$Q:$Q,0))="","",INDEX(F_ProductBM!K:K,MATCH($P1591,F_ProductBM!$Q:$Q,0))))</f>
        <v/>
      </c>
      <c r="L1591" s="1789" t="str">
        <f>IF($I1461="","",IF(INDEX(F_ProductBM!L:L,MATCH($P1591,F_ProductBM!$Q:$Q,0))="","",INDEX(F_ProductBM!L:L,MATCH($P1591,F_ProductBM!$Q:$Q,0))))</f>
        <v/>
      </c>
      <c r="M1591" s="1789" t="str">
        <f>IF($I1461="","",IF(INDEX(F_ProductBM!M:M,MATCH($P1591,F_ProductBM!$Q:$Q,0))="","",INDEX(F_ProductBM!M:M,MATCH($P1591,F_ProductBM!$Q:$Q,0))))</f>
        <v/>
      </c>
      <c r="N1591" s="1789" t="str">
        <f>IF($I1461="","",IF(INDEX(F_ProductBM!N:N,MATCH($P1591,F_ProductBM!$Q:$Q,0))="","",INDEX(F_ProductBM!N:N,MATCH($P1591,F_ProductBM!$Q:$Q,0))))</f>
        <v/>
      </c>
      <c r="O1591" s="485"/>
      <c r="P1591" s="1970" t="str">
        <f>EUconst_CNTR_HeatImport &amp; I1461</f>
        <v>HeatIm_</v>
      </c>
      <c r="Q1591" s="1137"/>
      <c r="R1591" s="1137"/>
      <c r="S1591" s="1137"/>
      <c r="T1591" s="1137"/>
      <c r="U1591" s="1137"/>
      <c r="V1591" s="1137"/>
    </row>
    <row r="1592" spans="1:22" s="562" customFormat="1" ht="12.75" customHeight="1">
      <c r="A1592" s="817"/>
      <c r="C1592" s="485"/>
      <c r="D1592" s="776"/>
      <c r="E1592" s="2473" t="s">
        <v>1103</v>
      </c>
      <c r="F1592" s="3466"/>
      <c r="G1592" s="812" t="str">
        <f>EUconst_tCO2pTJ</f>
        <v>t CO2 / TJ</v>
      </c>
      <c r="H1592" s="627" t="str">
        <f>IF($I1461="","",IF(INDEX(F_ProductBM!H:H,MATCH($P1592,F_ProductBM!$Q:$Q,0))="","",INDEX(F_ProductBM!H:H,MATCH($P1592,F_ProductBM!$Q:$Q,0))))</f>
        <v/>
      </c>
      <c r="I1592" s="796" t="str">
        <f>IF($I1461="","",IF(INDEX(F_ProductBM!I:I,MATCH($P1592,F_ProductBM!$Q:$Q,0))="","",INDEX(F_ProductBM!I:I,MATCH($P1592,F_ProductBM!$Q:$Q,0))))</f>
        <v/>
      </c>
      <c r="J1592" s="2172" t="str">
        <f>IF($I1461="","",IF(INDEX(F_ProductBM!J:J,MATCH($P1592,F_ProductBM!$Q:$Q,0))="","",INDEX(F_ProductBM!J:J,MATCH($P1592,F_ProductBM!$Q:$Q,0))))</f>
        <v/>
      </c>
      <c r="K1592" s="1788" t="str">
        <f>IF($I1461="","",IF(INDEX(F_ProductBM!K:K,MATCH($P1592,F_ProductBM!$Q:$Q,0))="","",INDEX(F_ProductBM!K:K,MATCH($P1592,F_ProductBM!$Q:$Q,0))))</f>
        <v/>
      </c>
      <c r="L1592" s="1789" t="str">
        <f>IF($I1461="","",IF(INDEX(F_ProductBM!L:L,MATCH($P1592,F_ProductBM!$Q:$Q,0))="","",INDEX(F_ProductBM!L:L,MATCH($P1592,F_ProductBM!$Q:$Q,0))))</f>
        <v/>
      </c>
      <c r="M1592" s="1789" t="str">
        <f>IF($I1461="","",IF(INDEX(F_ProductBM!M:M,MATCH($P1592,F_ProductBM!$Q:$Q,0))="","",INDEX(F_ProductBM!M:M,MATCH($P1592,F_ProductBM!$Q:$Q,0))))</f>
        <v/>
      </c>
      <c r="N1592" s="1789" t="str">
        <f>IF($I1461="","",IF(INDEX(F_ProductBM!N:N,MATCH($P1592,F_ProductBM!$Q:$Q,0))="","",INDEX(F_ProductBM!N:N,MATCH($P1592,F_ProductBM!$Q:$Q,0))))</f>
        <v/>
      </c>
      <c r="O1592" s="485"/>
      <c r="P1592" s="1970" t="str">
        <f>EUconst_CNTR_HeatImportEF &amp; I1461</f>
        <v>HeatImEF_</v>
      </c>
      <c r="Q1592" s="1137"/>
      <c r="R1592" s="1137"/>
      <c r="S1592" s="1137"/>
      <c r="T1592" s="1137"/>
      <c r="U1592" s="1137"/>
      <c r="V1592" s="1137"/>
    </row>
    <row r="1593" spans="1:22" s="562" customFormat="1" ht="5.0999999999999996" customHeight="1">
      <c r="A1593" s="817"/>
      <c r="C1593" s="485"/>
      <c r="D1593" s="776"/>
      <c r="E1593" s="809"/>
      <c r="F1593" s="809"/>
      <c r="G1593" s="813"/>
      <c r="H1593" s="2173"/>
      <c r="I1593" s="2173"/>
      <c r="J1593" s="2173"/>
      <c r="K1593" s="1788"/>
      <c r="L1593" s="1789"/>
      <c r="M1593" s="1789"/>
      <c r="N1593" s="1789"/>
      <c r="O1593" s="485"/>
      <c r="P1593" s="1117"/>
      <c r="Q1593" s="1137"/>
      <c r="R1593" s="1137"/>
      <c r="S1593" s="1137"/>
      <c r="T1593" s="1137"/>
      <c r="U1593" s="1137"/>
      <c r="V1593" s="1137"/>
    </row>
    <row r="1594" spans="1:22" s="562" customFormat="1" ht="12.75" customHeight="1">
      <c r="A1594" s="817"/>
      <c r="C1594" s="485"/>
      <c r="D1594" s="776"/>
      <c r="E1594" s="2475" t="s">
        <v>1150</v>
      </c>
      <c r="F1594" s="3461"/>
      <c r="G1594" s="815" t="str">
        <f>EUconst_TJpa</f>
        <v>TJ / year</v>
      </c>
      <c r="H1594" s="623" t="str">
        <f>IF($I1461="","",IF(INDEX(F_ProductBM!H:H,MATCH($P1594,F_ProductBM!$Q:$Q,0))="","",INDEX(F_ProductBM!H:H,MATCH($P1594,F_ProductBM!$Q:$Q,0))))</f>
        <v/>
      </c>
      <c r="I1594" s="800" t="str">
        <f>IF($I1461="","",IF(INDEX(F_ProductBM!I:I,MATCH($P1594,F_ProductBM!$Q:$Q,0))="","",INDEX(F_ProductBM!I:I,MATCH($P1594,F_ProductBM!$Q:$Q,0))))</f>
        <v/>
      </c>
      <c r="J1594" s="2174" t="str">
        <f>IF($I1461="","",IF(INDEX(F_ProductBM!J:J,MATCH($P1594,F_ProductBM!$Q:$Q,0))="","",INDEX(F_ProductBM!J:J,MATCH($P1594,F_ProductBM!$Q:$Q,0))))</f>
        <v/>
      </c>
      <c r="K1594" s="1788" t="str">
        <f>IF($I1461="","",IF(INDEX(F_ProductBM!K:K,MATCH($P1594,F_ProductBM!$Q:$Q,0))="","",INDEX(F_ProductBM!K:K,MATCH($P1594,F_ProductBM!$Q:$Q,0))))</f>
        <v/>
      </c>
      <c r="L1594" s="1789" t="str">
        <f>IF($I1461="","",IF(INDEX(F_ProductBM!L:L,MATCH($P1594,F_ProductBM!$Q:$Q,0))="","",INDEX(F_ProductBM!L:L,MATCH($P1594,F_ProductBM!$Q:$Q,0))))</f>
        <v/>
      </c>
      <c r="M1594" s="1789" t="str">
        <f>IF($I1461="","",IF(INDEX(F_ProductBM!M:M,MATCH($P1594,F_ProductBM!$Q:$Q,0))="","",INDEX(F_ProductBM!M:M,MATCH($P1594,F_ProductBM!$Q:$Q,0))))</f>
        <v/>
      </c>
      <c r="N1594" s="1789" t="str">
        <f>IF($I1461="","",IF(INDEX(F_ProductBM!N:N,MATCH($P1594,F_ProductBM!$Q:$Q,0))="","",INDEX(F_ProductBM!N:N,MATCH($P1594,F_ProductBM!$Q:$Q,0))))</f>
        <v/>
      </c>
      <c r="O1594" s="485"/>
      <c r="P1594" s="1970" t="str">
        <f>EUconst_CNTR_HeatImportPulp &amp; I1461</f>
        <v>HeatImPulp_</v>
      </c>
      <c r="Q1594" s="1137"/>
      <c r="R1594" s="1137"/>
      <c r="S1594" s="1137"/>
      <c r="T1594" s="1137"/>
      <c r="U1594" s="1137"/>
      <c r="V1594" s="1137"/>
    </row>
    <row r="1595" spans="1:22" s="562" customFormat="1" ht="12.75" customHeight="1">
      <c r="A1595" s="817"/>
      <c r="C1595" s="485"/>
      <c r="D1595" s="776"/>
      <c r="E1595" s="2475" t="s">
        <v>1149</v>
      </c>
      <c r="F1595" s="3461"/>
      <c r="G1595" s="815" t="str">
        <f>EUconst_TJpa</f>
        <v>TJ / year</v>
      </c>
      <c r="H1595" s="623" t="str">
        <f>IF($I1461="","",IF(INDEX(F_ProductBM!H:H,MATCH($P1595,F_ProductBM!$Q:$Q,0))="","",INDEX(F_ProductBM!H:H,MATCH($P1595,F_ProductBM!$Q:$Q,0))))</f>
        <v/>
      </c>
      <c r="I1595" s="800" t="str">
        <f>IF($I1461="","",IF(INDEX(F_ProductBM!I:I,MATCH($P1595,F_ProductBM!$Q:$Q,0))="","",INDEX(F_ProductBM!I:I,MATCH($P1595,F_ProductBM!$Q:$Q,0))))</f>
        <v/>
      </c>
      <c r="J1595" s="2174" t="str">
        <f>IF($I1461="","",IF(INDEX(F_ProductBM!J:J,MATCH($P1595,F_ProductBM!$Q:$Q,0))="","",INDEX(F_ProductBM!J:J,MATCH($P1595,F_ProductBM!$Q:$Q,0))))</f>
        <v/>
      </c>
      <c r="K1595" s="1788" t="str">
        <f>IF($I1461="","",IF(INDEX(F_ProductBM!K:K,MATCH($P1595,F_ProductBM!$Q:$Q,0))="","",INDEX(F_ProductBM!K:K,MATCH($P1595,F_ProductBM!$Q:$Q,0))))</f>
        <v/>
      </c>
      <c r="L1595" s="1789" t="str">
        <f>IF($I1461="","",IF(INDEX(F_ProductBM!L:L,MATCH($P1595,F_ProductBM!$Q:$Q,0))="","",INDEX(F_ProductBM!L:L,MATCH($P1595,F_ProductBM!$Q:$Q,0))))</f>
        <v/>
      </c>
      <c r="M1595" s="1789" t="str">
        <f>IF($I1461="","",IF(INDEX(F_ProductBM!M:M,MATCH($P1595,F_ProductBM!$Q:$Q,0))="","",INDEX(F_ProductBM!M:M,MATCH($P1595,F_ProductBM!$Q:$Q,0))))</f>
        <v/>
      </c>
      <c r="N1595" s="1789" t="str">
        <f>IF($I1461="","",IF(INDEX(F_ProductBM!N:N,MATCH($P1595,F_ProductBM!$Q:$Q,0))="","",INDEX(F_ProductBM!N:N,MATCH($P1595,F_ProductBM!$Q:$Q,0))))</f>
        <v/>
      </c>
      <c r="O1595" s="485"/>
      <c r="P1595" s="1970" t="str">
        <f>EUconst_CNTR_HeatImportNitric &amp; I1461</f>
        <v>HeatImNitric_</v>
      </c>
      <c r="Q1595" s="1137"/>
      <c r="R1595" s="1137"/>
      <c r="S1595" s="1137"/>
      <c r="T1595" s="1137"/>
      <c r="U1595" s="1137"/>
      <c r="V1595" s="1137"/>
    </row>
    <row r="1596" spans="1:22" s="562" customFormat="1" ht="5.0999999999999996" customHeight="1">
      <c r="A1596" s="817"/>
      <c r="C1596" s="485"/>
      <c r="D1596" s="776"/>
      <c r="E1596" s="809"/>
      <c r="F1596" s="809"/>
      <c r="G1596" s="777"/>
      <c r="H1596" s="2173"/>
      <c r="I1596" s="2173"/>
      <c r="J1596" s="2173"/>
      <c r="K1596" s="1788"/>
      <c r="L1596" s="1789"/>
      <c r="M1596" s="1789"/>
      <c r="N1596" s="1789"/>
      <c r="O1596" s="485"/>
      <c r="P1596" s="1117"/>
      <c r="Q1596" s="1137"/>
      <c r="R1596" s="1137"/>
      <c r="S1596" s="1137"/>
      <c r="T1596" s="1137"/>
      <c r="U1596" s="1137"/>
      <c r="V1596" s="1137"/>
    </row>
    <row r="1597" spans="1:22" s="562" customFormat="1" ht="12.75" customHeight="1">
      <c r="A1597" s="817"/>
      <c r="C1597" s="485"/>
      <c r="D1597" s="776"/>
      <c r="E1597" s="2471" t="s">
        <v>1079</v>
      </c>
      <c r="F1597" s="3467"/>
      <c r="G1597" s="811" t="str">
        <f>EUconst_TJpa</f>
        <v>TJ / year</v>
      </c>
      <c r="H1597" s="625" t="str">
        <f>IF($I1461="","",IF(INDEX(F_ProductBM!H:H,MATCH($P1597,F_ProductBM!$Q:$Q,0))="","",INDEX(F_ProductBM!H:H,MATCH($P1597,F_ProductBM!$Q:$Q,0))))</f>
        <v/>
      </c>
      <c r="I1597" s="794" t="str">
        <f>IF($I1461="","",IF(INDEX(F_ProductBM!I:I,MATCH($P1597,F_ProductBM!$Q:$Q,0))="","",INDEX(F_ProductBM!I:I,MATCH($P1597,F_ProductBM!$Q:$Q,0))))</f>
        <v/>
      </c>
      <c r="J1597" s="2171" t="str">
        <f>IF($I1461="","",IF(INDEX(F_ProductBM!J:J,MATCH($P1597,F_ProductBM!$Q:$Q,0))="","",INDEX(F_ProductBM!J:J,MATCH($P1597,F_ProductBM!$Q:$Q,0))))</f>
        <v/>
      </c>
      <c r="K1597" s="1788" t="str">
        <f>IF($I1461="","",IF(INDEX(F_ProductBM!K:K,MATCH($P1597,F_ProductBM!$Q:$Q,0))="","",INDEX(F_ProductBM!K:K,MATCH($P1597,F_ProductBM!$Q:$Q,0))))</f>
        <v/>
      </c>
      <c r="L1597" s="1789" t="str">
        <f>IF($I1461="","",IF(INDEX(F_ProductBM!L:L,MATCH($P1597,F_ProductBM!$Q:$Q,0))="","",INDEX(F_ProductBM!L:L,MATCH($P1597,F_ProductBM!$Q:$Q,0))))</f>
        <v/>
      </c>
      <c r="M1597" s="1789" t="str">
        <f>IF($I1461="","",IF(INDEX(F_ProductBM!M:M,MATCH($P1597,F_ProductBM!$Q:$Q,0))="","",INDEX(F_ProductBM!M:M,MATCH($P1597,F_ProductBM!$Q:$Q,0))))</f>
        <v/>
      </c>
      <c r="N1597" s="1789" t="str">
        <f>IF($I1461="","",IF(INDEX(F_ProductBM!N:N,MATCH($P1597,F_ProductBM!$Q:$Q,0))="","",INDEX(F_ProductBM!N:N,MATCH($P1597,F_ProductBM!$Q:$Q,0))))</f>
        <v/>
      </c>
      <c r="O1597" s="485"/>
      <c r="P1597" s="1970" t="str">
        <f>EUconst_CNTR_HeatExport &amp; I1461</f>
        <v>HeatEx_</v>
      </c>
      <c r="Q1597" s="1137"/>
      <c r="R1597" s="1137"/>
      <c r="S1597" s="1137"/>
      <c r="T1597" s="1137"/>
      <c r="U1597" s="1137"/>
      <c r="V1597" s="1137"/>
    </row>
    <row r="1598" spans="1:22" s="562" customFormat="1" ht="12.75" customHeight="1">
      <c r="A1598" s="817"/>
      <c r="C1598" s="485"/>
      <c r="D1598" s="776"/>
      <c r="E1598" s="2473" t="s">
        <v>1104</v>
      </c>
      <c r="F1598" s="3466"/>
      <c r="G1598" s="812" t="str">
        <f>EUconst_tCO2pTJ</f>
        <v>t CO2 / TJ</v>
      </c>
      <c r="H1598" s="627" t="str">
        <f>IF($I1461="","",IF(INDEX(F_ProductBM!H:H,MATCH($P1598,F_ProductBM!$Q:$Q,0))="","",INDEX(F_ProductBM!H:H,MATCH($P1598,F_ProductBM!$Q:$Q,0))))</f>
        <v/>
      </c>
      <c r="I1598" s="796" t="str">
        <f>IF($I1461="","",IF(INDEX(F_ProductBM!I:I,MATCH($P1598,F_ProductBM!$Q:$Q,0))="","",INDEX(F_ProductBM!I:I,MATCH($P1598,F_ProductBM!$Q:$Q,0))))</f>
        <v/>
      </c>
      <c r="J1598" s="2172" t="str">
        <f>IF($I1461="","",IF(INDEX(F_ProductBM!J:J,MATCH($P1598,F_ProductBM!$Q:$Q,0))="","",INDEX(F_ProductBM!J:J,MATCH($P1598,F_ProductBM!$Q:$Q,0))))</f>
        <v/>
      </c>
      <c r="K1598" s="1788" t="str">
        <f>IF($I1461="","",IF(INDEX(F_ProductBM!K:K,MATCH($P1598,F_ProductBM!$Q:$Q,0))="","",INDEX(F_ProductBM!K:K,MATCH($P1598,F_ProductBM!$Q:$Q,0))))</f>
        <v/>
      </c>
      <c r="L1598" s="1789" t="str">
        <f>IF($I1461="","",IF(INDEX(F_ProductBM!L:L,MATCH($P1598,F_ProductBM!$Q:$Q,0))="","",INDEX(F_ProductBM!L:L,MATCH($P1598,F_ProductBM!$Q:$Q,0))))</f>
        <v/>
      </c>
      <c r="M1598" s="1789" t="str">
        <f>IF($I1461="","",IF(INDEX(F_ProductBM!M:M,MATCH($P1598,F_ProductBM!$Q:$Q,0))="","",INDEX(F_ProductBM!M:M,MATCH($P1598,F_ProductBM!$Q:$Q,0))))</f>
        <v/>
      </c>
      <c r="N1598" s="1789" t="str">
        <f>IF($I1461="","",IF(INDEX(F_ProductBM!N:N,MATCH($P1598,F_ProductBM!$Q:$Q,0))="","",INDEX(F_ProductBM!N:N,MATCH($P1598,F_ProductBM!$Q:$Q,0))))</f>
        <v/>
      </c>
      <c r="O1598" s="485"/>
      <c r="P1598" s="1970" t="str">
        <f>EUconst_CNTR_HeatExportEF &amp; I1461</f>
        <v>HeatExEF_</v>
      </c>
      <c r="Q1598" s="1137"/>
      <c r="R1598" s="1137"/>
      <c r="S1598" s="1137"/>
      <c r="T1598" s="1137"/>
      <c r="U1598" s="1137"/>
      <c r="V1598" s="1137"/>
    </row>
    <row r="1599" spans="1:22" s="562" customFormat="1" ht="5.0999999999999996" customHeight="1">
      <c r="A1599" s="817"/>
      <c r="C1599" s="485"/>
      <c r="D1599" s="776"/>
      <c r="E1599" s="809"/>
      <c r="F1599" s="809"/>
      <c r="G1599" s="777"/>
      <c r="H1599" s="2173"/>
      <c r="I1599" s="2173"/>
      <c r="J1599" s="2173"/>
      <c r="K1599" s="1788"/>
      <c r="L1599" s="1789"/>
      <c r="M1599" s="1789"/>
      <c r="N1599" s="1789"/>
      <c r="O1599" s="485"/>
      <c r="P1599" s="1117"/>
      <c r="Q1599" s="1137"/>
      <c r="R1599" s="1137"/>
      <c r="S1599" s="1137"/>
      <c r="T1599" s="1137"/>
      <c r="U1599" s="1137"/>
      <c r="V1599" s="1137"/>
    </row>
    <row r="1600" spans="1:22" s="562" customFormat="1" ht="12.75" customHeight="1">
      <c r="A1600" s="817"/>
      <c r="C1600" s="485"/>
      <c r="D1600" s="776"/>
      <c r="E1600" s="2471" t="s">
        <v>1141</v>
      </c>
      <c r="F1600" s="3467"/>
      <c r="G1600" s="811" t="str">
        <f>EUconst_TJpa</f>
        <v>TJ / year</v>
      </c>
      <c r="H1600" s="625" t="str">
        <f>IF($I1461="","",IF(INDEX(F_ProductBM!H:H,MATCH($P1600,F_ProductBM!$Q:$Q,0))="","",INDEX(F_ProductBM!H:H,MATCH($P1600,F_ProductBM!$Q:$Q,0))))</f>
        <v/>
      </c>
      <c r="I1600" s="794" t="str">
        <f>IF($I1461="","",IF(INDEX(F_ProductBM!I:I,MATCH($P1600,F_ProductBM!$Q:$Q,0))="","",INDEX(F_ProductBM!I:I,MATCH($P1600,F_ProductBM!$Q:$Q,0))))</f>
        <v/>
      </c>
      <c r="J1600" s="2171" t="str">
        <f>IF($I1461="","",IF(INDEX(F_ProductBM!J:J,MATCH($P1600,F_ProductBM!$Q:$Q,0))="","",INDEX(F_ProductBM!J:J,MATCH($P1600,F_ProductBM!$Q:$Q,0))))</f>
        <v/>
      </c>
      <c r="K1600" s="1788" t="str">
        <f>IF($I1461="","",IF(INDEX(F_ProductBM!K:K,MATCH($P1600,F_ProductBM!$Q:$Q,0))="","",INDEX(F_ProductBM!K:K,MATCH($P1600,F_ProductBM!$Q:$Q,0))))</f>
        <v/>
      </c>
      <c r="L1600" s="1789" t="str">
        <f>IF($I1461="","",IF(INDEX(F_ProductBM!L:L,MATCH($P1600,F_ProductBM!$Q:$Q,0))="","",INDEX(F_ProductBM!L:L,MATCH($P1600,F_ProductBM!$Q:$Q,0))))</f>
        <v/>
      </c>
      <c r="M1600" s="1789" t="str">
        <f>IF($I1461="","",IF(INDEX(F_ProductBM!M:M,MATCH($P1600,F_ProductBM!$Q:$Q,0))="","",INDEX(F_ProductBM!M:M,MATCH($P1600,F_ProductBM!$Q:$Q,0))))</f>
        <v/>
      </c>
      <c r="N1600" s="1789" t="str">
        <f>IF($I1461="","",IF(INDEX(F_ProductBM!N:N,MATCH($P1600,F_ProductBM!$Q:$Q,0))="","",INDEX(F_ProductBM!N:N,MATCH($P1600,F_ProductBM!$Q:$Q,0))))</f>
        <v/>
      </c>
      <c r="O1600" s="485"/>
      <c r="P1600" s="2109" t="str">
        <f>EUconst_CNTR_WGProduced &amp; I1461</f>
        <v>WasteGasProd_</v>
      </c>
      <c r="Q1600" s="1137"/>
      <c r="R1600" s="1137"/>
      <c r="S1600" s="1137"/>
      <c r="T1600" s="1137"/>
      <c r="U1600" s="1137"/>
      <c r="V1600" s="1137"/>
    </row>
    <row r="1601" spans="1:22" s="562" customFormat="1" ht="12.75" customHeight="1">
      <c r="A1601" s="817"/>
      <c r="C1601" s="485"/>
      <c r="D1601" s="776"/>
      <c r="E1601" s="2473" t="s">
        <v>1258</v>
      </c>
      <c r="F1601" s="3466"/>
      <c r="G1601" s="812" t="str">
        <f>EUconst_tCO2pTJ</f>
        <v>t CO2 / TJ</v>
      </c>
      <c r="H1601" s="627" t="str">
        <f>IF($I1461="","",IF(INDEX(F_ProductBM!H:H,MATCH($P1601,F_ProductBM!$Q:$Q,0))="","",INDEX(F_ProductBM!H:H,MATCH($P1601,F_ProductBM!$Q:$Q,0))))</f>
        <v/>
      </c>
      <c r="I1601" s="796" t="str">
        <f>IF($I1461="","",IF(INDEX(F_ProductBM!I:I,MATCH($P1601,F_ProductBM!$Q:$Q,0))="","",INDEX(F_ProductBM!I:I,MATCH($P1601,F_ProductBM!$Q:$Q,0))))</f>
        <v/>
      </c>
      <c r="J1601" s="2172" t="str">
        <f>IF($I1461="","",IF(INDEX(F_ProductBM!J:J,MATCH($P1601,F_ProductBM!$Q:$Q,0))="","",INDEX(F_ProductBM!J:J,MATCH($P1601,F_ProductBM!$Q:$Q,0))))</f>
        <v/>
      </c>
      <c r="K1601" s="1788" t="str">
        <f>IF($I1461="","",IF(INDEX(F_ProductBM!K:K,MATCH($P1601,F_ProductBM!$Q:$Q,0))="","",INDEX(F_ProductBM!K:K,MATCH($P1601,F_ProductBM!$Q:$Q,0))))</f>
        <v/>
      </c>
      <c r="L1601" s="1789" t="str">
        <f>IF($I1461="","",IF(INDEX(F_ProductBM!L:L,MATCH($P1601,F_ProductBM!$Q:$Q,0))="","",INDEX(F_ProductBM!L:L,MATCH($P1601,F_ProductBM!$Q:$Q,0))))</f>
        <v/>
      </c>
      <c r="M1601" s="1789" t="str">
        <f>IF($I1461="","",IF(INDEX(F_ProductBM!M:M,MATCH($P1601,F_ProductBM!$Q:$Q,0))="","",INDEX(F_ProductBM!M:M,MATCH($P1601,F_ProductBM!$Q:$Q,0))))</f>
        <v/>
      </c>
      <c r="N1601" s="1789" t="str">
        <f>IF($I1461="","",IF(INDEX(F_ProductBM!N:N,MATCH($P1601,F_ProductBM!$Q:$Q,0))="","",INDEX(F_ProductBM!N:N,MATCH($P1601,F_ProductBM!$Q:$Q,0))))</f>
        <v/>
      </c>
      <c r="O1601" s="485"/>
      <c r="P1601" s="1970" t="str">
        <f>EUconst_CNTR_WGProducedEF &amp; I1461</f>
        <v>WasteGasProdEF_</v>
      </c>
      <c r="Q1601" s="1137"/>
      <c r="R1601" s="1137"/>
      <c r="S1601" s="1137"/>
      <c r="T1601" s="1137"/>
      <c r="U1601" s="1137"/>
      <c r="V1601" s="1137"/>
    </row>
    <row r="1602" spans="1:22" s="562" customFormat="1" ht="12.75" customHeight="1">
      <c r="A1602" s="817"/>
      <c r="C1602" s="485"/>
      <c r="D1602" s="776"/>
      <c r="E1602" s="2471" t="s">
        <v>1309</v>
      </c>
      <c r="F1602" s="3467"/>
      <c r="G1602" s="811" t="str">
        <f>EUconst_TJpa</f>
        <v>TJ / year</v>
      </c>
      <c r="H1602" s="625" t="str">
        <f>IF($I1461="","",IF(INDEX(F_ProductBM!H:H,MATCH($P1602,F_ProductBM!$Q:$Q,0))="","",INDEX(F_ProductBM!H:H,MATCH($P1602,F_ProductBM!$Q:$Q,0))))</f>
        <v/>
      </c>
      <c r="I1602" s="794" t="str">
        <f>IF($I1461="","",IF(INDEX(F_ProductBM!I:I,MATCH($P1602,F_ProductBM!$Q:$Q,0))="","",INDEX(F_ProductBM!I:I,MATCH($P1602,F_ProductBM!$Q:$Q,0))))</f>
        <v/>
      </c>
      <c r="J1602" s="2171" t="str">
        <f>IF($I1461="","",IF(INDEX(F_ProductBM!J:J,MATCH($P1602,F_ProductBM!$Q:$Q,0))="","",INDEX(F_ProductBM!J:J,MATCH($P1602,F_ProductBM!$Q:$Q,0))))</f>
        <v/>
      </c>
      <c r="K1602" s="1788" t="str">
        <f>IF($I1461="","",IF(INDEX(F_ProductBM!K:K,MATCH($P1602,F_ProductBM!$Q:$Q,0))="","",INDEX(F_ProductBM!K:K,MATCH($P1602,F_ProductBM!$Q:$Q,0))))</f>
        <v/>
      </c>
      <c r="L1602" s="1789" t="str">
        <f>IF($I1461="","",IF(INDEX(F_ProductBM!L:L,MATCH($P1602,F_ProductBM!$Q:$Q,0))="","",INDEX(F_ProductBM!L:L,MATCH($P1602,F_ProductBM!$Q:$Q,0))))</f>
        <v/>
      </c>
      <c r="M1602" s="1789" t="str">
        <f>IF($I1461="","",IF(INDEX(F_ProductBM!M:M,MATCH($P1602,F_ProductBM!$Q:$Q,0))="","",INDEX(F_ProductBM!M:M,MATCH($P1602,F_ProductBM!$Q:$Q,0))))</f>
        <v/>
      </c>
      <c r="N1602" s="1789" t="str">
        <f>IF($I1461="","",IF(INDEX(F_ProductBM!N:N,MATCH($P1602,F_ProductBM!$Q:$Q,0))="","",INDEX(F_ProductBM!N:N,MATCH($P1602,F_ProductBM!$Q:$Q,0))))</f>
        <v/>
      </c>
      <c r="O1602" s="485"/>
      <c r="P1602" s="1970" t="str">
        <f>EUconst_CNTR_WGConsumed &amp; I1461</f>
        <v>WasteGasCons_</v>
      </c>
      <c r="Q1602" s="1137"/>
      <c r="R1602" s="1137"/>
      <c r="S1602" s="1137"/>
      <c r="T1602" s="1137"/>
      <c r="U1602" s="1137"/>
      <c r="V1602" s="1137"/>
    </row>
    <row r="1603" spans="1:22" s="562" customFormat="1" ht="12.75" customHeight="1">
      <c r="A1603" s="817"/>
      <c r="C1603" s="485"/>
      <c r="D1603" s="776"/>
      <c r="E1603" s="2473" t="s">
        <v>1307</v>
      </c>
      <c r="F1603" s="3466"/>
      <c r="G1603" s="812" t="str">
        <f>EUconst_tCO2pTJ</f>
        <v>t CO2 / TJ</v>
      </c>
      <c r="H1603" s="627" t="str">
        <f>IF($I1461="","",IF(INDEX(F_ProductBM!H:H,MATCH($P1603,F_ProductBM!$Q:$Q,0))="","",INDEX(F_ProductBM!H:H,MATCH($P1603,F_ProductBM!$Q:$Q,0))))</f>
        <v/>
      </c>
      <c r="I1603" s="796" t="str">
        <f>IF($I1461="","",IF(INDEX(F_ProductBM!I:I,MATCH($P1603,F_ProductBM!$Q:$Q,0))="","",INDEX(F_ProductBM!I:I,MATCH($P1603,F_ProductBM!$Q:$Q,0))))</f>
        <v/>
      </c>
      <c r="J1603" s="2172" t="str">
        <f>IF($I1461="","",IF(INDEX(F_ProductBM!J:J,MATCH($P1603,F_ProductBM!$Q:$Q,0))="","",INDEX(F_ProductBM!J:J,MATCH($P1603,F_ProductBM!$Q:$Q,0))))</f>
        <v/>
      </c>
      <c r="K1603" s="1788" t="str">
        <f>IF($I1461="","",IF(INDEX(F_ProductBM!K:K,MATCH($P1603,F_ProductBM!$Q:$Q,0))="","",INDEX(F_ProductBM!K:K,MATCH($P1603,F_ProductBM!$Q:$Q,0))))</f>
        <v/>
      </c>
      <c r="L1603" s="1789" t="str">
        <f>IF($I1461="","",IF(INDEX(F_ProductBM!L:L,MATCH($P1603,F_ProductBM!$Q:$Q,0))="","",INDEX(F_ProductBM!L:L,MATCH($P1603,F_ProductBM!$Q:$Q,0))))</f>
        <v/>
      </c>
      <c r="M1603" s="1789" t="str">
        <f>IF($I1461="","",IF(INDEX(F_ProductBM!M:M,MATCH($P1603,F_ProductBM!$Q:$Q,0))="","",INDEX(F_ProductBM!M:M,MATCH($P1603,F_ProductBM!$Q:$Q,0))))</f>
        <v/>
      </c>
      <c r="N1603" s="1789" t="str">
        <f>IF($I1461="","",IF(INDEX(F_ProductBM!N:N,MATCH($P1603,F_ProductBM!$Q:$Q,0))="","",INDEX(F_ProductBM!N:N,MATCH($P1603,F_ProductBM!$Q:$Q,0))))</f>
        <v/>
      </c>
      <c r="O1603" s="485"/>
      <c r="P1603" s="1970" t="str">
        <f>EUconst_CNTR_WGConsumedEF &amp; I1461</f>
        <v>WasteGasConsEF_</v>
      </c>
      <c r="Q1603" s="1137"/>
      <c r="R1603" s="1137"/>
      <c r="S1603" s="1137"/>
      <c r="T1603" s="1137"/>
      <c r="U1603" s="1137"/>
      <c r="V1603" s="1137"/>
    </row>
    <row r="1604" spans="1:22" s="562" customFormat="1" ht="12.75" customHeight="1">
      <c r="A1604" s="817"/>
      <c r="C1604" s="485"/>
      <c r="D1604" s="776"/>
      <c r="E1604" s="2471" t="s">
        <v>1288</v>
      </c>
      <c r="F1604" s="3467"/>
      <c r="G1604" s="811" t="str">
        <f>EUconst_TJpa</f>
        <v>TJ / year</v>
      </c>
      <c r="H1604" s="625" t="str">
        <f>IF($I1461="","",IF(INDEX(F_ProductBM!H:H,MATCH($P1604,F_ProductBM!$Q:$Q,0))="","",INDEX(F_ProductBM!H:H,MATCH($P1604,F_ProductBM!$Q:$Q,0))))</f>
        <v/>
      </c>
      <c r="I1604" s="794" t="str">
        <f>IF($I1461="","",IF(INDEX(F_ProductBM!I:I,MATCH($P1604,F_ProductBM!$Q:$Q,0))="","",INDEX(F_ProductBM!I:I,MATCH($P1604,F_ProductBM!$Q:$Q,0))))</f>
        <v/>
      </c>
      <c r="J1604" s="2171" t="str">
        <f>IF($I1461="","",IF(INDEX(F_ProductBM!J:J,MATCH($P1604,F_ProductBM!$Q:$Q,0))="","",INDEX(F_ProductBM!J:J,MATCH($P1604,F_ProductBM!$Q:$Q,0))))</f>
        <v/>
      </c>
      <c r="K1604" s="1788" t="str">
        <f>IF($I1461="","",IF(INDEX(F_ProductBM!K:K,MATCH($P1604,F_ProductBM!$Q:$Q,0))="","",INDEX(F_ProductBM!K:K,MATCH($P1604,F_ProductBM!$Q:$Q,0))))</f>
        <v/>
      </c>
      <c r="L1604" s="1789" t="str">
        <f>IF($I1461="","",IF(INDEX(F_ProductBM!L:L,MATCH($P1604,F_ProductBM!$Q:$Q,0))="","",INDEX(F_ProductBM!L:L,MATCH($P1604,F_ProductBM!$Q:$Q,0))))</f>
        <v/>
      </c>
      <c r="M1604" s="1789" t="str">
        <f>IF($I1461="","",IF(INDEX(F_ProductBM!M:M,MATCH($P1604,F_ProductBM!$Q:$Q,0))="","",INDEX(F_ProductBM!M:M,MATCH($P1604,F_ProductBM!$Q:$Q,0))))</f>
        <v/>
      </c>
      <c r="N1604" s="1789" t="str">
        <f>IF($I1461="","",IF(INDEX(F_ProductBM!N:N,MATCH($P1604,F_ProductBM!$Q:$Q,0))="","",INDEX(F_ProductBM!N:N,MATCH($P1604,F_ProductBM!$Q:$Q,0))))</f>
        <v/>
      </c>
      <c r="O1604" s="485"/>
      <c r="P1604" s="1970" t="str">
        <f>EUconst_CNTR_WGFlared &amp; I1461</f>
        <v>WasteGasFlare_</v>
      </c>
      <c r="Q1604" s="1137"/>
      <c r="R1604" s="1137"/>
      <c r="S1604" s="1137"/>
      <c r="T1604" s="1137"/>
      <c r="U1604" s="1137"/>
      <c r="V1604" s="1137"/>
    </row>
    <row r="1605" spans="1:22" s="562" customFormat="1" ht="12.75" customHeight="1">
      <c r="A1605" s="817"/>
      <c r="C1605" s="485"/>
      <c r="D1605" s="776"/>
      <c r="E1605" s="2473" t="s">
        <v>1308</v>
      </c>
      <c r="F1605" s="3466"/>
      <c r="G1605" s="812" t="str">
        <f>EUconst_tCO2pTJ</f>
        <v>t CO2 / TJ</v>
      </c>
      <c r="H1605" s="627" t="str">
        <f>IF($I1461="","",IF(INDEX(F_ProductBM!H:H,MATCH($P1605,F_ProductBM!$Q:$Q,0))="","",INDEX(F_ProductBM!H:H,MATCH($P1605,F_ProductBM!$Q:$Q,0))))</f>
        <v/>
      </c>
      <c r="I1605" s="796" t="str">
        <f>IF($I1461="","",IF(INDEX(F_ProductBM!I:I,MATCH($P1605,F_ProductBM!$Q:$Q,0))="","",INDEX(F_ProductBM!I:I,MATCH($P1605,F_ProductBM!$Q:$Q,0))))</f>
        <v/>
      </c>
      <c r="J1605" s="2172" t="str">
        <f>IF($I1461="","",IF(INDEX(F_ProductBM!J:J,MATCH($P1605,F_ProductBM!$Q:$Q,0))="","",INDEX(F_ProductBM!J:J,MATCH($P1605,F_ProductBM!$Q:$Q,0))))</f>
        <v/>
      </c>
      <c r="K1605" s="1788" t="str">
        <f>IF($I1461="","",IF(INDEX(F_ProductBM!K:K,MATCH($P1605,F_ProductBM!$Q:$Q,0))="","",INDEX(F_ProductBM!K:K,MATCH($P1605,F_ProductBM!$Q:$Q,0))))</f>
        <v/>
      </c>
      <c r="L1605" s="1789" t="str">
        <f>IF($I1461="","",IF(INDEX(F_ProductBM!L:L,MATCH($P1605,F_ProductBM!$Q:$Q,0))="","",INDEX(F_ProductBM!L:L,MATCH($P1605,F_ProductBM!$Q:$Q,0))))</f>
        <v/>
      </c>
      <c r="M1605" s="1789" t="str">
        <f>IF($I1461="","",IF(INDEX(F_ProductBM!M:M,MATCH($P1605,F_ProductBM!$Q:$Q,0))="","",INDEX(F_ProductBM!M:M,MATCH($P1605,F_ProductBM!$Q:$Q,0))))</f>
        <v/>
      </c>
      <c r="N1605" s="1789" t="str">
        <f>IF($I1461="","",IF(INDEX(F_ProductBM!N:N,MATCH($P1605,F_ProductBM!$Q:$Q,0))="","",INDEX(F_ProductBM!N:N,MATCH($P1605,F_ProductBM!$Q:$Q,0))))</f>
        <v/>
      </c>
      <c r="O1605" s="485"/>
      <c r="P1605" s="1970" t="str">
        <f>EUconst_CNTR_WGFlaredEF &amp; I1461</f>
        <v>WasteGasFlareEF_</v>
      </c>
      <c r="Q1605" s="1137"/>
      <c r="R1605" s="1137"/>
      <c r="S1605" s="1137"/>
      <c r="T1605" s="1137"/>
      <c r="U1605" s="1137"/>
      <c r="V1605" s="1137"/>
    </row>
    <row r="1606" spans="1:22" s="562" customFormat="1" ht="12.75" customHeight="1">
      <c r="A1606" s="817"/>
      <c r="C1606" s="485"/>
      <c r="D1606" s="776"/>
      <c r="E1606" s="2471" t="s">
        <v>1102</v>
      </c>
      <c r="F1606" s="3467"/>
      <c r="G1606" s="811" t="str">
        <f>EUconst_TJpa</f>
        <v>TJ / year</v>
      </c>
      <c r="H1606" s="625" t="str">
        <f>IF($I1461="","",IF(INDEX(F_ProductBM!H:H,MATCH($P1606,F_ProductBM!$Q:$Q,0))="","",INDEX(F_ProductBM!H:H,MATCH($P1606,F_ProductBM!$Q:$Q,0))))</f>
        <v/>
      </c>
      <c r="I1606" s="794" t="str">
        <f>IF($I1461="","",IF(INDEX(F_ProductBM!I:I,MATCH($P1606,F_ProductBM!$Q:$Q,0))="","",INDEX(F_ProductBM!I:I,MATCH($P1606,F_ProductBM!$Q:$Q,0))))</f>
        <v/>
      </c>
      <c r="J1606" s="2171" t="str">
        <f>IF($I1461="","",IF(INDEX(F_ProductBM!J:J,MATCH($P1606,F_ProductBM!$Q:$Q,0))="","",INDEX(F_ProductBM!J:J,MATCH($P1606,F_ProductBM!$Q:$Q,0))))</f>
        <v/>
      </c>
      <c r="K1606" s="1788" t="str">
        <f>IF($I1461="","",IF(INDEX(F_ProductBM!K:K,MATCH($P1606,F_ProductBM!$Q:$Q,0))="","",INDEX(F_ProductBM!K:K,MATCH($P1606,F_ProductBM!$Q:$Q,0))))</f>
        <v/>
      </c>
      <c r="L1606" s="1789" t="str">
        <f>IF($I1461="","",IF(INDEX(F_ProductBM!L:L,MATCH($P1606,F_ProductBM!$Q:$Q,0))="","",INDEX(F_ProductBM!L:L,MATCH($P1606,F_ProductBM!$Q:$Q,0))))</f>
        <v/>
      </c>
      <c r="M1606" s="1789" t="str">
        <f>IF($I1461="","",IF(INDEX(F_ProductBM!M:M,MATCH($P1606,F_ProductBM!$Q:$Q,0))="","",INDEX(F_ProductBM!M:M,MATCH($P1606,F_ProductBM!$Q:$Q,0))))</f>
        <v/>
      </c>
      <c r="N1606" s="1789" t="str">
        <f>IF($I1461="","",IF(INDEX(F_ProductBM!N:N,MATCH($P1606,F_ProductBM!$Q:$Q,0))="","",INDEX(F_ProductBM!N:N,MATCH($P1606,F_ProductBM!$Q:$Q,0))))</f>
        <v/>
      </c>
      <c r="O1606" s="485"/>
      <c r="P1606" s="1970" t="str">
        <f>EUconst_CNTR_WGImport &amp; I1461</f>
        <v>WasteGasIm_</v>
      </c>
      <c r="Q1606" s="1137"/>
      <c r="R1606" s="1137"/>
      <c r="S1606" s="1137"/>
      <c r="T1606" s="1137"/>
      <c r="U1606" s="1137"/>
      <c r="V1606" s="1137"/>
    </row>
    <row r="1607" spans="1:22" s="562" customFormat="1" ht="12.75" customHeight="1">
      <c r="A1607" s="817"/>
      <c r="C1607" s="485"/>
      <c r="D1607" s="776"/>
      <c r="E1607" s="816" t="s">
        <v>1275</v>
      </c>
      <c r="F1607" s="816"/>
      <c r="G1607" s="812" t="str">
        <f>EUconst_tCO2pTJ</f>
        <v>t CO2 / TJ</v>
      </c>
      <c r="H1607" s="627" t="str">
        <f>IF($I1461="","",IF(INDEX(F_ProductBM!H:H,MATCH($P1607,F_ProductBM!$Q:$Q,0))="","",INDEX(F_ProductBM!H:H,MATCH($P1607,F_ProductBM!$Q:$Q,0))))</f>
        <v/>
      </c>
      <c r="I1607" s="796" t="str">
        <f>IF($I1461="","",IF(INDEX(F_ProductBM!I:I,MATCH($P1607,F_ProductBM!$Q:$Q,0))="","",INDEX(F_ProductBM!I:I,MATCH($P1607,F_ProductBM!$Q:$Q,0))))</f>
        <v/>
      </c>
      <c r="J1607" s="2172" t="str">
        <f>IF($I1461="","",IF(INDEX(F_ProductBM!J:J,MATCH($P1607,F_ProductBM!$Q:$Q,0))="","",INDEX(F_ProductBM!J:J,MATCH($P1607,F_ProductBM!$Q:$Q,0))))</f>
        <v/>
      </c>
      <c r="K1607" s="1788" t="str">
        <f>IF($I1461="","",IF(INDEX(F_ProductBM!K:K,MATCH($P1607,F_ProductBM!$Q:$Q,0))="","",INDEX(F_ProductBM!K:K,MATCH($P1607,F_ProductBM!$Q:$Q,0))))</f>
        <v/>
      </c>
      <c r="L1607" s="1789" t="str">
        <f>IF($I1461="","",IF(INDEX(F_ProductBM!L:L,MATCH($P1607,F_ProductBM!$Q:$Q,0))="","",INDEX(F_ProductBM!L:L,MATCH($P1607,F_ProductBM!$Q:$Q,0))))</f>
        <v/>
      </c>
      <c r="M1607" s="1789" t="str">
        <f>IF($I1461="","",IF(INDEX(F_ProductBM!M:M,MATCH($P1607,F_ProductBM!$Q:$Q,0))="","",INDEX(F_ProductBM!M:M,MATCH($P1607,F_ProductBM!$Q:$Q,0))))</f>
        <v/>
      </c>
      <c r="N1607" s="1789" t="str">
        <f>IF($I1461="","",IF(INDEX(F_ProductBM!N:N,MATCH($P1607,F_ProductBM!$Q:$Q,0))="","",INDEX(F_ProductBM!N:N,MATCH($P1607,F_ProductBM!$Q:$Q,0))))</f>
        <v/>
      </c>
      <c r="O1607" s="485"/>
      <c r="P1607" s="1970" t="str">
        <f>EUconst_CNTR_WGImportEF &amp; I1461</f>
        <v>WasteGasImEF_</v>
      </c>
      <c r="Q1607" s="1137"/>
      <c r="R1607" s="1137"/>
      <c r="S1607" s="1137"/>
      <c r="T1607" s="1137"/>
      <c r="U1607" s="1137"/>
      <c r="V1607" s="1137"/>
    </row>
    <row r="1608" spans="1:22" s="562" customFormat="1" ht="12.75" customHeight="1">
      <c r="A1608" s="817"/>
      <c r="C1608" s="485"/>
      <c r="D1608" s="776"/>
      <c r="E1608" s="2471" t="s">
        <v>1080</v>
      </c>
      <c r="F1608" s="3467"/>
      <c r="G1608" s="811" t="str">
        <f>EUconst_TJpa</f>
        <v>TJ / year</v>
      </c>
      <c r="H1608" s="625" t="str">
        <f>IF($I1461="","",IF(INDEX(F_ProductBM!H:H,MATCH($P1608,F_ProductBM!$Q:$Q,0))="","",INDEX(F_ProductBM!H:H,MATCH($P1608,F_ProductBM!$Q:$Q,0))))</f>
        <v/>
      </c>
      <c r="I1608" s="794" t="str">
        <f>IF($I1461="","",IF(INDEX(F_ProductBM!I:I,MATCH($P1608,F_ProductBM!$Q:$Q,0))="","",INDEX(F_ProductBM!I:I,MATCH($P1608,F_ProductBM!$Q:$Q,0))))</f>
        <v/>
      </c>
      <c r="J1608" s="2171" t="str">
        <f>IF($I1461="","",IF(INDEX(F_ProductBM!J:J,MATCH($P1608,F_ProductBM!$Q:$Q,0))="","",INDEX(F_ProductBM!J:J,MATCH($P1608,F_ProductBM!$Q:$Q,0))))</f>
        <v/>
      </c>
      <c r="K1608" s="1788" t="str">
        <f>IF($I1461="","",IF(INDEX(F_ProductBM!K:K,MATCH($P1608,F_ProductBM!$Q:$Q,0))="","",INDEX(F_ProductBM!K:K,MATCH($P1608,F_ProductBM!$Q:$Q,0))))</f>
        <v/>
      </c>
      <c r="L1608" s="1789" t="str">
        <f>IF($I1461="","",IF(INDEX(F_ProductBM!L:L,MATCH($P1608,F_ProductBM!$Q:$Q,0))="","",INDEX(F_ProductBM!L:L,MATCH($P1608,F_ProductBM!$Q:$Q,0))))</f>
        <v/>
      </c>
      <c r="M1608" s="1789" t="str">
        <f>IF($I1461="","",IF(INDEX(F_ProductBM!M:M,MATCH($P1608,F_ProductBM!$Q:$Q,0))="","",INDEX(F_ProductBM!M:M,MATCH($P1608,F_ProductBM!$Q:$Q,0))))</f>
        <v/>
      </c>
      <c r="N1608" s="1789" t="str">
        <f>IF($I1461="","",IF(INDEX(F_ProductBM!N:N,MATCH($P1608,F_ProductBM!$Q:$Q,0))="","",INDEX(F_ProductBM!N:N,MATCH($P1608,F_ProductBM!$Q:$Q,0))))</f>
        <v/>
      </c>
      <c r="O1608" s="485"/>
      <c r="P1608" s="1970" t="str">
        <f>EUconst_CNTR_WGExport &amp; I1461</f>
        <v>WasteGasEx_</v>
      </c>
      <c r="Q1608" s="1137"/>
      <c r="R1608" s="1137"/>
      <c r="S1608" s="1137"/>
      <c r="T1608" s="1137"/>
      <c r="U1608" s="1137"/>
      <c r="V1608" s="1137"/>
    </row>
    <row r="1609" spans="1:22" s="562" customFormat="1" ht="12.75" customHeight="1">
      <c r="A1609" s="817"/>
      <c r="C1609" s="485"/>
      <c r="D1609" s="776"/>
      <c r="E1609" s="2473" t="s">
        <v>1276</v>
      </c>
      <c r="F1609" s="3466"/>
      <c r="G1609" s="812" t="str">
        <f>EUconst_tCO2pTJ</f>
        <v>t CO2 / TJ</v>
      </c>
      <c r="H1609" s="627" t="str">
        <f>IF($I1461="","",IF(INDEX(F_ProductBM!H:H,MATCH($P1609,F_ProductBM!$Q:$Q,0))="","",INDEX(F_ProductBM!H:H,MATCH($P1609,F_ProductBM!$Q:$Q,0))))</f>
        <v/>
      </c>
      <c r="I1609" s="796" t="str">
        <f>IF($I1461="","",IF(INDEX(F_ProductBM!I:I,MATCH($P1609,F_ProductBM!$Q:$Q,0))="","",INDEX(F_ProductBM!I:I,MATCH($P1609,F_ProductBM!$Q:$Q,0))))</f>
        <v/>
      </c>
      <c r="J1609" s="2172" t="str">
        <f>IF($I1461="","",IF(INDEX(F_ProductBM!J:J,MATCH($P1609,F_ProductBM!$Q:$Q,0))="","",INDEX(F_ProductBM!J:J,MATCH($P1609,F_ProductBM!$Q:$Q,0))))</f>
        <v/>
      </c>
      <c r="K1609" s="1788" t="str">
        <f>IF($I1461="","",IF(INDEX(F_ProductBM!K:K,MATCH($P1609,F_ProductBM!$Q:$Q,0))="","",INDEX(F_ProductBM!K:K,MATCH($P1609,F_ProductBM!$Q:$Q,0))))</f>
        <v/>
      </c>
      <c r="L1609" s="1789" t="str">
        <f>IF($I1461="","",IF(INDEX(F_ProductBM!L:L,MATCH($P1609,F_ProductBM!$Q:$Q,0))="","",INDEX(F_ProductBM!L:L,MATCH($P1609,F_ProductBM!$Q:$Q,0))))</f>
        <v/>
      </c>
      <c r="M1609" s="1789" t="str">
        <f>IF($I1461="","",IF(INDEX(F_ProductBM!M:M,MATCH($P1609,F_ProductBM!$Q:$Q,0))="","",INDEX(F_ProductBM!M:M,MATCH($P1609,F_ProductBM!$Q:$Q,0))))</f>
        <v/>
      </c>
      <c r="N1609" s="1789" t="str">
        <f>IF($I1461="","",IF(INDEX(F_ProductBM!N:N,MATCH($P1609,F_ProductBM!$Q:$Q,0))="","",INDEX(F_ProductBM!N:N,MATCH($P1609,F_ProductBM!$Q:$Q,0))))</f>
        <v/>
      </c>
      <c r="O1609" s="485"/>
      <c r="P1609" s="1970" t="str">
        <f>EUconst_CNTR_WGExportEF &amp; I1461</f>
        <v>WasteGasExEF_</v>
      </c>
      <c r="Q1609" s="1137"/>
      <c r="R1609" s="1137"/>
      <c r="S1609" s="1137"/>
      <c r="T1609" s="1137"/>
      <c r="U1609" s="1137"/>
      <c r="V1609" s="1137"/>
    </row>
    <row r="1610" spans="1:22" s="562" customFormat="1" ht="5.0999999999999996" customHeight="1">
      <c r="A1610" s="817"/>
      <c r="C1610" s="485"/>
      <c r="D1610" s="776"/>
      <c r="E1610" s="809"/>
      <c r="F1610" s="809"/>
      <c r="G1610" s="777"/>
      <c r="H1610" s="2173"/>
      <c r="I1610" s="2173"/>
      <c r="J1610" s="2173"/>
      <c r="K1610" s="1788"/>
      <c r="L1610" s="1789"/>
      <c r="M1610" s="1789"/>
      <c r="N1610" s="1789"/>
      <c r="O1610" s="485"/>
      <c r="P1610" s="1117"/>
      <c r="Q1610" s="1137"/>
      <c r="R1610" s="1137"/>
      <c r="S1610" s="1137"/>
      <c r="T1610" s="1137"/>
      <c r="U1610" s="1137"/>
      <c r="V1610" s="1137"/>
    </row>
    <row r="1611" spans="1:22" s="562" customFormat="1" ht="12.75" customHeight="1">
      <c r="A1611" s="817"/>
      <c r="C1611" s="485"/>
      <c r="D1611" s="776"/>
      <c r="E1611" s="2475" t="s">
        <v>914</v>
      </c>
      <c r="F1611" s="3461"/>
      <c r="G1611" s="815" t="str">
        <f>EUconst_MWhpa</f>
        <v>MWh / year</v>
      </c>
      <c r="H1611" s="623" t="str">
        <f>IF($I1461="","",IF(INDEX(F_ProductBM!H:H,MATCH($P1611,F_ProductBM!$R:$R,0))="","",INDEX(F_ProductBM!H:H,MATCH($P1611,F_ProductBM!$R:$R,0))))</f>
        <v/>
      </c>
      <c r="I1611" s="800" t="str">
        <f>IF($I1461="","",IF(INDEX(F_ProductBM!I:I,MATCH($P1611,F_ProductBM!$R:$R,0))="","",INDEX(F_ProductBM!I:I,MATCH($P1611,F_ProductBM!$R:$R,0))))</f>
        <v/>
      </c>
      <c r="J1611" s="2174" t="str">
        <f>IF($I1461="","",IF(INDEX(F_ProductBM!J:J,MATCH($P1611,F_ProductBM!$R:$R,0))="","",INDEX(F_ProductBM!J:J,MATCH($P1611,F_ProductBM!$R:$R,0))))</f>
        <v/>
      </c>
      <c r="K1611" s="1788" t="str">
        <f>IF($I1461="","",IF(INDEX(F_ProductBM!K:K,MATCH($P1611,F_ProductBM!$R:$R,0))="","",INDEX(F_ProductBM!K:K,MATCH($P1611,F_ProductBM!$R:$R,0))))</f>
        <v/>
      </c>
      <c r="L1611" s="1789" t="str">
        <f>IF($I1461="","",IF(INDEX(F_ProductBM!L:L,MATCH($P1611,F_ProductBM!$R:$R,0))="","",INDEX(F_ProductBM!L:L,MATCH($P1611,F_ProductBM!$R:$R,0))))</f>
        <v/>
      </c>
      <c r="M1611" s="1789" t="str">
        <f>IF($I1461="","",IF(INDEX(F_ProductBM!M:M,MATCH($P1611,F_ProductBM!$R:$R,0))="","",INDEX(F_ProductBM!M:M,MATCH($P1611,F_ProductBM!$R:$R,0))))</f>
        <v/>
      </c>
      <c r="N1611" s="1789" t="str">
        <f>IF($I1461="","",IF(INDEX(F_ProductBM!N:N,MATCH($P1611,F_ProductBM!$R:$R,0))="","",INDEX(F_ProductBM!N:N,MATCH($P1611,F_ProductBM!$R:$R,0))))</f>
        <v/>
      </c>
      <c r="O1611" s="485"/>
      <c r="P1611" s="1158" t="str">
        <f>EUconst_CNTR_HAL&amp;EUconst_CNTR_ELEXCH &amp; I1461</f>
        <v>HAL_ELEXCH_</v>
      </c>
      <c r="Q1611" s="1137"/>
      <c r="R1611" s="1137"/>
      <c r="S1611" s="1137"/>
      <c r="T1611" s="1137"/>
      <c r="U1611" s="1137"/>
      <c r="V1611" s="1137"/>
    </row>
    <row r="1612" spans="1:22" s="562" customFormat="1" ht="12.75" customHeight="1">
      <c r="A1612" s="817"/>
      <c r="C1612" s="485"/>
      <c r="D1612" s="776"/>
      <c r="E1612" s="2475" t="s">
        <v>1354</v>
      </c>
      <c r="F1612" s="3461"/>
      <c r="G1612" s="815" t="str">
        <f>EUconst_MWhpa</f>
        <v>MWh / year</v>
      </c>
      <c r="H1612" s="623" t="str">
        <f>IF($I1461="","",IF(INDEX(F_ProductBM!H:H,MATCH($P1612,F_ProductBM!$Q:$Q,0))="","",INDEX(F_ProductBM!H:H,MATCH($P1612,F_ProductBM!$Q:$Q,0))))</f>
        <v/>
      </c>
      <c r="I1612" s="800" t="str">
        <f>IF($I1461="","",IF(INDEX(F_ProductBM!I:I,MATCH($P1612,F_ProductBM!$Q:$Q,0))="","",INDEX(F_ProductBM!I:I,MATCH($P1612,F_ProductBM!$Q:$Q,0))))</f>
        <v/>
      </c>
      <c r="J1612" s="2174" t="str">
        <f>IF($I1461="","",IF(INDEX(F_ProductBM!J:J,MATCH($P1612,F_ProductBM!$Q:$Q,0))="","",INDEX(F_ProductBM!J:J,MATCH($P1612,F_ProductBM!$Q:$Q,0))))</f>
        <v/>
      </c>
      <c r="K1612" s="1788" t="str">
        <f>IF($I1461="","",IF(INDEX(F_ProductBM!K:K,MATCH($P1612,F_ProductBM!$Q:$Q,0))="","",INDEX(F_ProductBM!K:K,MATCH($P1612,F_ProductBM!$Q:$Q,0))))</f>
        <v/>
      </c>
      <c r="L1612" s="1789" t="str">
        <f>IF($I1461="","",IF(INDEX(F_ProductBM!L:L,MATCH($P1612,F_ProductBM!$Q:$Q,0))="","",INDEX(F_ProductBM!L:L,MATCH($P1612,F_ProductBM!$Q:$Q,0))))</f>
        <v/>
      </c>
      <c r="M1612" s="1789" t="str">
        <f>IF($I1461="","",IF(INDEX(F_ProductBM!M:M,MATCH($P1612,F_ProductBM!$Q:$Q,0))="","",INDEX(F_ProductBM!M:M,MATCH($P1612,F_ProductBM!$Q:$Q,0))))</f>
        <v/>
      </c>
      <c r="N1612" s="1789" t="str">
        <f>IF($I1461="","",IF(INDEX(F_ProductBM!N:N,MATCH($P1612,F_ProductBM!$Q:$Q,0))="","",INDEX(F_ProductBM!N:N,MATCH($P1612,F_ProductBM!$Q:$Q,0))))</f>
        <v/>
      </c>
      <c r="O1612" s="485"/>
      <c r="P1612" s="1970" t="str">
        <f>EUconst_CNTR_ElectricityExported &amp; I1461</f>
        <v>ElecEx_</v>
      </c>
      <c r="Q1612" s="1137"/>
      <c r="R1612" s="1137"/>
      <c r="S1612" s="1137"/>
      <c r="T1612" s="1137"/>
      <c r="U1612" s="1137"/>
      <c r="V1612" s="1137"/>
    </row>
    <row r="1613" spans="1:22" s="562" customFormat="1" ht="5.0999999999999996" customHeight="1">
      <c r="A1613" s="817"/>
      <c r="C1613" s="485"/>
      <c r="D1613" s="776"/>
      <c r="E1613" s="809"/>
      <c r="F1613" s="809"/>
      <c r="G1613" s="777"/>
      <c r="H1613" s="2173"/>
      <c r="I1613" s="2173"/>
      <c r="J1613" s="2173"/>
      <c r="K1613" s="1788"/>
      <c r="L1613" s="1789"/>
      <c r="M1613" s="1789"/>
      <c r="N1613" s="1789"/>
      <c r="O1613" s="485"/>
      <c r="P1613" s="1117"/>
      <c r="Q1613" s="1137"/>
      <c r="R1613" s="1137"/>
      <c r="S1613" s="1137"/>
      <c r="T1613" s="1137"/>
      <c r="U1613" s="1137"/>
      <c r="V1613" s="1137"/>
    </row>
    <row r="1614" spans="1:22" s="562" customFormat="1" ht="12.75" customHeight="1">
      <c r="A1614" s="817"/>
      <c r="C1614" s="485"/>
      <c r="D1614" s="776"/>
      <c r="E1614" s="2475" t="s">
        <v>1157</v>
      </c>
      <c r="F1614" s="3461"/>
      <c r="G1614" s="815" t="str">
        <f>EUconst_Tons</f>
        <v>tonnes</v>
      </c>
      <c r="H1614" s="623" t="str">
        <f>IF($I1461="","",IF(INDEX(F_ProductBM!H:H,MATCH($P1614,F_ProductBM!$Q:$Q,0))="","",INDEX(F_ProductBM!H:H,MATCH($P1614,F_ProductBM!$Q:$Q,0))))</f>
        <v/>
      </c>
      <c r="I1614" s="800" t="str">
        <f>IF($I1461="","",IF(INDEX(F_ProductBM!I:I,MATCH($P1614,F_ProductBM!$Q:$Q,0))="","",INDEX(F_ProductBM!I:I,MATCH($P1614,F_ProductBM!$Q:$Q,0))))</f>
        <v/>
      </c>
      <c r="J1614" s="2174" t="str">
        <f>IF($I1461="","",IF(INDEX(F_ProductBM!J:J,MATCH($P1614,F_ProductBM!$Q:$Q,0))="","",INDEX(F_ProductBM!J:J,MATCH($P1614,F_ProductBM!$Q:$Q,0))))</f>
        <v/>
      </c>
      <c r="K1614" s="1788" t="str">
        <f>IF($I1461="","",IF(INDEX(F_ProductBM!K:K,MATCH($P1614,F_ProductBM!$Q:$Q,0))="","",INDEX(F_ProductBM!K:K,MATCH($P1614,F_ProductBM!$Q:$Q,0))))</f>
        <v/>
      </c>
      <c r="L1614" s="1789" t="str">
        <f>IF($I1461="","",IF(INDEX(F_ProductBM!L:L,MATCH($P1614,F_ProductBM!$Q:$Q,0))="","",INDEX(F_ProductBM!L:L,MATCH($P1614,F_ProductBM!$Q:$Q,0))))</f>
        <v/>
      </c>
      <c r="M1614" s="1789" t="str">
        <f>IF($I1461="","",IF(INDEX(F_ProductBM!M:M,MATCH($P1614,F_ProductBM!$Q:$Q,0))="","",INDEX(F_ProductBM!M:M,MATCH($P1614,F_ProductBM!$Q:$Q,0))))</f>
        <v/>
      </c>
      <c r="N1614" s="1789" t="str">
        <f>IF($I1461="","",IF(INDEX(F_ProductBM!N:N,MATCH($P1614,F_ProductBM!$Q:$Q,0))="","",INDEX(F_ProductBM!N:N,MATCH($P1614,F_ProductBM!$Q:$Q,0))))</f>
        <v/>
      </c>
      <c r="O1614" s="485"/>
      <c r="P1614" s="1970" t="str">
        <f>EUconst_CNTR_HALPulpTotal &amp; I1461</f>
        <v>HALPulpTotal_</v>
      </c>
      <c r="Q1614" s="1137"/>
      <c r="R1614" s="1137"/>
      <c r="S1614" s="1137"/>
      <c r="T1614" s="1137"/>
      <c r="U1614" s="1137"/>
      <c r="V1614" s="1137"/>
    </row>
    <row r="1615" spans="1:22" s="562" customFormat="1" ht="5.0999999999999996" customHeight="1">
      <c r="A1615" s="817"/>
      <c r="C1615" s="485"/>
      <c r="D1615" s="776"/>
      <c r="E1615" s="809"/>
      <c r="F1615" s="809"/>
      <c r="G1615" s="777"/>
      <c r="H1615" s="2173"/>
      <c r="I1615" s="2173"/>
      <c r="J1615" s="2173"/>
      <c r="K1615" s="1788"/>
      <c r="L1615" s="1789"/>
      <c r="M1615" s="1789"/>
      <c r="N1615" s="1789"/>
      <c r="O1615" s="485"/>
      <c r="P1615" s="1117"/>
      <c r="Q1615" s="1137"/>
      <c r="R1615" s="1137"/>
      <c r="S1615" s="1137"/>
      <c r="T1615" s="1137"/>
      <c r="U1615" s="1137"/>
      <c r="V1615" s="1137"/>
    </row>
    <row r="1616" spans="1:22" s="562" customFormat="1">
      <c r="A1616" s="817"/>
      <c r="C1616" s="485"/>
      <c r="D1616" s="776"/>
      <c r="E1616" s="2492" t="s">
        <v>1440</v>
      </c>
      <c r="F1616" s="3284"/>
      <c r="G1616" s="777"/>
      <c r="H1616" s="2173"/>
      <c r="I1616" s="2173"/>
      <c r="J1616" s="2173"/>
      <c r="K1616" s="1788"/>
      <c r="L1616" s="1789"/>
      <c r="M1616" s="1789"/>
      <c r="N1616" s="1789"/>
      <c r="O1616" s="485"/>
      <c r="P1616" s="1117"/>
      <c r="Q1616" s="1137"/>
      <c r="R1616" s="1137"/>
      <c r="S1616" s="1137"/>
      <c r="T1616" s="1137"/>
      <c r="U1616" s="1137"/>
      <c r="V1616" s="1137"/>
    </row>
    <row r="1617" spans="1:22" s="562" customFormat="1">
      <c r="A1617" s="817"/>
      <c r="C1617" s="485"/>
      <c r="D1617" s="776"/>
      <c r="E1617" s="3285" t="str">
        <f>IF(I1461="","",IF(INDEX(F_ProductBM!E:E,MATCH($P1617,F_ProductBM!$Q:$Q,0))="","",INDEX(F_ProductBM!E:E,MATCH($P1617,F_ProductBM!$Q:$Q,0))))</f>
        <v/>
      </c>
      <c r="F1617" s="3461"/>
      <c r="G1617" s="815" t="str">
        <f>EUconst_Tons</f>
        <v>tonnes</v>
      </c>
      <c r="H1617" s="623" t="str">
        <f>IF($I1461="","",IF(INDEX(F_ProductBM!H:H,MATCH($P1617,F_ProductBM!$Q:$Q,0))="","",INDEX(F_ProductBM!H:H,MATCH($P1617,F_ProductBM!$Q:$Q,0))))</f>
        <v/>
      </c>
      <c r="I1617" s="800" t="str">
        <f>IF($I1461="","",IF(INDEX(F_ProductBM!I:I,MATCH($P1617,F_ProductBM!$Q:$Q,0))="","",INDEX(F_ProductBM!I:I,MATCH($P1617,F_ProductBM!$Q:$Q,0))))</f>
        <v/>
      </c>
      <c r="J1617" s="2174" t="str">
        <f>IF($I1461="","",IF(INDEX(F_ProductBM!J:J,MATCH($P1617,F_ProductBM!$Q:$Q,0))="","",INDEX(F_ProductBM!J:J,MATCH($P1617,F_ProductBM!$Q:$Q,0))))</f>
        <v/>
      </c>
      <c r="K1617" s="1788" t="str">
        <f>IF($I1461="","",IF(INDEX(F_ProductBM!K:K,MATCH($P1617,F_ProductBM!$Q:$Q,0))="","",INDEX(F_ProductBM!K:K,MATCH($P1617,F_ProductBM!$Q:$Q,0))))</f>
        <v/>
      </c>
      <c r="L1617" s="1789" t="str">
        <f>IF($I1461="","",IF(INDEX(F_ProductBM!L:L,MATCH($P1617,F_ProductBM!$Q:$Q,0))="","",INDEX(F_ProductBM!L:L,MATCH($P1617,F_ProductBM!$Q:$Q,0))))</f>
        <v/>
      </c>
      <c r="M1617" s="1789" t="str">
        <f>IF($I1461="","",IF(INDEX(F_ProductBM!M:M,MATCH($P1617,F_ProductBM!$Q:$Q,0))="","",INDEX(F_ProductBM!M:M,MATCH($P1617,F_ProductBM!$Q:$Q,0))))</f>
        <v/>
      </c>
      <c r="N1617" s="1789" t="str">
        <f>IF($I1461="","",IF(INDEX(F_ProductBM!N:N,MATCH($P1617,F_ProductBM!$Q:$Q,0))="","",INDEX(F_ProductBM!N:N,MATCH($P1617,F_ProductBM!$Q:$Q,0))))</f>
        <v/>
      </c>
      <c r="O1617" s="485"/>
      <c r="P1617" s="1970" t="str">
        <f>EUconst_CNTR_IntermediateImport &amp; R1617 &amp; "_" &amp; I1461</f>
        <v>IntImp_1_</v>
      </c>
      <c r="Q1617" s="1137"/>
      <c r="R1617" s="1312">
        <v>1</v>
      </c>
      <c r="S1617" s="1137"/>
      <c r="T1617" s="1117"/>
      <c r="U1617" s="1137"/>
      <c r="V1617" s="1137"/>
    </row>
    <row r="1618" spans="1:22" s="562" customFormat="1">
      <c r="A1618" s="817"/>
      <c r="C1618" s="485"/>
      <c r="D1618" s="776"/>
      <c r="E1618" s="3285" t="str">
        <f>IF(I1461="","",IF(INDEX(F_ProductBM!E:E,MATCH($P1618,F_ProductBM!$Q:$Q,0))="","",INDEX(F_ProductBM!E:E,MATCH($P1618,F_ProductBM!$Q:$Q,0))))</f>
        <v/>
      </c>
      <c r="F1618" s="3461"/>
      <c r="G1618" s="815" t="str">
        <f>EUconst_Tons</f>
        <v>tonnes</v>
      </c>
      <c r="H1618" s="623" t="str">
        <f>IF($I1461="","",IF(INDEX(F_ProductBM!H:H,MATCH($P1618,F_ProductBM!$Q:$Q,0))="","",INDEX(F_ProductBM!H:H,MATCH($P1618,F_ProductBM!$Q:$Q,0))))</f>
        <v/>
      </c>
      <c r="I1618" s="800" t="str">
        <f>IF($I1461="","",IF(INDEX(F_ProductBM!I:I,MATCH($P1618,F_ProductBM!$Q:$Q,0))="","",INDEX(F_ProductBM!I:I,MATCH($P1618,F_ProductBM!$Q:$Q,0))))</f>
        <v/>
      </c>
      <c r="J1618" s="2174" t="str">
        <f>IF($I1461="","",IF(INDEX(F_ProductBM!J:J,MATCH($P1618,F_ProductBM!$Q:$Q,0))="","",INDEX(F_ProductBM!J:J,MATCH($P1618,F_ProductBM!$Q:$Q,0))))</f>
        <v/>
      </c>
      <c r="K1618" s="1788" t="str">
        <f>IF($I1461="","",IF(INDEX(F_ProductBM!K:K,MATCH($P1618,F_ProductBM!$Q:$Q,0))="","",INDEX(F_ProductBM!K:K,MATCH($P1618,F_ProductBM!$Q:$Q,0))))</f>
        <v/>
      </c>
      <c r="L1618" s="1789" t="str">
        <f>IF($I1461="","",IF(INDEX(F_ProductBM!L:L,MATCH($P1618,F_ProductBM!$Q:$Q,0))="","",INDEX(F_ProductBM!L:L,MATCH($P1618,F_ProductBM!$Q:$Q,0))))</f>
        <v/>
      </c>
      <c r="M1618" s="1789" t="str">
        <f>IF($I1461="","",IF(INDEX(F_ProductBM!M:M,MATCH($P1618,F_ProductBM!$Q:$Q,0))="","",INDEX(F_ProductBM!M:M,MATCH($P1618,F_ProductBM!$Q:$Q,0))))</f>
        <v/>
      </c>
      <c r="N1618" s="1789" t="str">
        <f>IF($I1461="","",IF(INDEX(F_ProductBM!N:N,MATCH($P1618,F_ProductBM!$Q:$Q,0))="","",INDEX(F_ProductBM!N:N,MATCH($P1618,F_ProductBM!$Q:$Q,0))))</f>
        <v/>
      </c>
      <c r="O1618" s="485"/>
      <c r="P1618" s="1970" t="str">
        <f>EUconst_CNTR_IntermediateImport &amp; R1618 &amp; "_" &amp; I1461</f>
        <v>IntImp_2_</v>
      </c>
      <c r="Q1618" s="1137"/>
      <c r="R1618" s="1312">
        <v>2</v>
      </c>
      <c r="S1618" s="1137"/>
      <c r="T1618" s="1117"/>
      <c r="U1618" s="1137"/>
      <c r="V1618" s="1137"/>
    </row>
    <row r="1619" spans="1:22" s="562" customFormat="1">
      <c r="A1619" s="817"/>
      <c r="C1619" s="485"/>
      <c r="D1619" s="776"/>
      <c r="E1619" s="2475" t="s">
        <v>1441</v>
      </c>
      <c r="F1619" s="3461"/>
      <c r="G1619" s="777"/>
      <c r="H1619" s="2173"/>
      <c r="I1619" s="2173"/>
      <c r="J1619" s="2173"/>
      <c r="K1619" s="1788"/>
      <c r="L1619" s="1789"/>
      <c r="M1619" s="1789"/>
      <c r="N1619" s="1789"/>
      <c r="O1619" s="485"/>
      <c r="P1619" s="1117"/>
      <c r="Q1619" s="1137"/>
      <c r="R1619" s="1137"/>
      <c r="S1619" s="1137"/>
      <c r="T1619" s="1117"/>
      <c r="U1619" s="1137"/>
      <c r="V1619" s="1137"/>
    </row>
    <row r="1620" spans="1:22" s="562" customFormat="1">
      <c r="A1620" s="817"/>
      <c r="C1620" s="485"/>
      <c r="D1620" s="776"/>
      <c r="E1620" s="3285" t="str">
        <f>IF(I1461="","",IF(INDEX(F_ProductBM!E:E,MATCH($P1620,F_ProductBM!$Q:$Q,0))="","",INDEX(F_ProductBM!E:E,MATCH($P1620,F_ProductBM!$Q:$Q,0))))</f>
        <v/>
      </c>
      <c r="F1620" s="3461"/>
      <c r="G1620" s="815" t="str">
        <f>EUconst_Tons</f>
        <v>tonnes</v>
      </c>
      <c r="H1620" s="623" t="str">
        <f>IF($I1461="","",IF(INDEX(F_ProductBM!H:H,MATCH($P1620,F_ProductBM!$Q:$Q,0))="","",INDEX(F_ProductBM!H:H,MATCH($P1620,F_ProductBM!$Q:$Q,0))))</f>
        <v/>
      </c>
      <c r="I1620" s="800" t="str">
        <f>IF($I1461="","",IF(INDEX(F_ProductBM!I:I,MATCH($P1620,F_ProductBM!$Q:$Q,0))="","",INDEX(F_ProductBM!I:I,MATCH($P1620,F_ProductBM!$Q:$Q,0))))</f>
        <v/>
      </c>
      <c r="J1620" s="2174" t="str">
        <f>IF($I1461="","",IF(INDEX(F_ProductBM!J:J,MATCH($P1620,F_ProductBM!$Q:$Q,0))="","",INDEX(F_ProductBM!J:J,MATCH($P1620,F_ProductBM!$Q:$Q,0))))</f>
        <v/>
      </c>
      <c r="K1620" s="1788" t="str">
        <f>IF($I1461="","",IF(INDEX(F_ProductBM!K:K,MATCH($P1620,F_ProductBM!$Q:$Q,0))="","",INDEX(F_ProductBM!K:K,MATCH($P1620,F_ProductBM!$Q:$Q,0))))</f>
        <v/>
      </c>
      <c r="L1620" s="1789" t="str">
        <f>IF($I1461="","",IF(INDEX(F_ProductBM!L:L,MATCH($P1620,F_ProductBM!$Q:$Q,0))="","",INDEX(F_ProductBM!L:L,MATCH($P1620,F_ProductBM!$Q:$Q,0))))</f>
        <v/>
      </c>
      <c r="M1620" s="1789" t="str">
        <f>IF($I1461="","",IF(INDEX(F_ProductBM!M:M,MATCH($P1620,F_ProductBM!$Q:$Q,0))="","",INDEX(F_ProductBM!M:M,MATCH($P1620,F_ProductBM!$Q:$Q,0))))</f>
        <v/>
      </c>
      <c r="N1620" s="1789" t="str">
        <f>IF($I1461="","",IF(INDEX(F_ProductBM!N:N,MATCH($P1620,F_ProductBM!$Q:$Q,0))="","",INDEX(F_ProductBM!N:N,MATCH($P1620,F_ProductBM!$Q:$Q,0))))</f>
        <v/>
      </c>
      <c r="O1620" s="485"/>
      <c r="P1620" s="1970" t="str">
        <f>EUconst_CNTR_IntermediateExport &amp; R1617 &amp; "_" &amp; I1461</f>
        <v>IntExp_1_</v>
      </c>
      <c r="Q1620" s="1137"/>
      <c r="R1620" s="1312">
        <v>1</v>
      </c>
      <c r="S1620" s="1137"/>
      <c r="T1620" s="1117"/>
      <c r="U1620" s="1137"/>
      <c r="V1620" s="1137"/>
    </row>
    <row r="1621" spans="1:22" s="562" customFormat="1">
      <c r="A1621" s="817"/>
      <c r="C1621" s="485"/>
      <c r="D1621" s="776"/>
      <c r="E1621" s="3285" t="str">
        <f>IF(I1461="","",IF(INDEX(F_ProductBM!E:E,MATCH($P1621,F_ProductBM!$Q:$Q,0))="","",INDEX(F_ProductBM!E:E,MATCH($P1621,F_ProductBM!$Q:$Q,0))))</f>
        <v/>
      </c>
      <c r="F1621" s="3461"/>
      <c r="G1621" s="815" t="str">
        <f>EUconst_Tons</f>
        <v>tonnes</v>
      </c>
      <c r="H1621" s="623" t="str">
        <f>IF($I1461="","",IF(INDEX(F_ProductBM!H:H,MATCH($P1621,F_ProductBM!$Q:$Q,0))="","",INDEX(F_ProductBM!H:H,MATCH($P1621,F_ProductBM!$Q:$Q,0))))</f>
        <v/>
      </c>
      <c r="I1621" s="800" t="str">
        <f>IF($I1461="","",IF(INDEX(F_ProductBM!I:I,MATCH($P1621,F_ProductBM!$Q:$Q,0))="","",INDEX(F_ProductBM!I:I,MATCH($P1621,F_ProductBM!$Q:$Q,0))))</f>
        <v/>
      </c>
      <c r="J1621" s="2174" t="str">
        <f>IF($I1461="","",IF(INDEX(F_ProductBM!J:J,MATCH($P1621,F_ProductBM!$Q:$Q,0))="","",INDEX(F_ProductBM!J:J,MATCH($P1621,F_ProductBM!$Q:$Q,0))))</f>
        <v/>
      </c>
      <c r="K1621" s="1788" t="str">
        <f>IF($I1461="","",IF(INDEX(F_ProductBM!K:K,MATCH($P1621,F_ProductBM!$Q:$Q,0))="","",INDEX(F_ProductBM!K:K,MATCH($P1621,F_ProductBM!$Q:$Q,0))))</f>
        <v/>
      </c>
      <c r="L1621" s="1789" t="str">
        <f>IF($I1461="","",IF(INDEX(F_ProductBM!L:L,MATCH($P1621,F_ProductBM!$Q:$Q,0))="","",INDEX(F_ProductBM!L:L,MATCH($P1621,F_ProductBM!$Q:$Q,0))))</f>
        <v/>
      </c>
      <c r="M1621" s="1789" t="str">
        <f>IF($I1461="","",IF(INDEX(F_ProductBM!M:M,MATCH($P1621,F_ProductBM!$Q:$Q,0))="","",INDEX(F_ProductBM!M:M,MATCH($P1621,F_ProductBM!$Q:$Q,0))))</f>
        <v/>
      </c>
      <c r="N1621" s="1789" t="str">
        <f>IF($I1461="","",IF(INDEX(F_ProductBM!N:N,MATCH($P1621,F_ProductBM!$Q:$Q,0))="","",INDEX(F_ProductBM!N:N,MATCH($P1621,F_ProductBM!$Q:$Q,0))))</f>
        <v/>
      </c>
      <c r="O1621" s="485"/>
      <c r="P1621" s="1970" t="str">
        <f>EUconst_CNTR_IntermediateExport &amp; R1621 &amp; "_" &amp; I1461</f>
        <v>IntExp_2_</v>
      </c>
      <c r="Q1621" s="1137"/>
      <c r="R1621" s="1312">
        <v>2</v>
      </c>
      <c r="S1621" s="1137"/>
      <c r="T1621" s="1117"/>
      <c r="U1621" s="1137"/>
      <c r="V1621" s="1137"/>
    </row>
    <row r="1622" spans="1:22" s="562" customFormat="1" ht="12.75" customHeight="1" thickBot="1">
      <c r="A1622" s="817"/>
      <c r="C1622" s="485"/>
      <c r="D1622" s="802"/>
      <c r="E1622" s="803"/>
      <c r="F1622" s="803"/>
      <c r="G1622" s="804"/>
      <c r="H1622" s="804"/>
      <c r="I1622" s="805"/>
      <c r="J1622" s="805"/>
      <c r="K1622" s="1790"/>
      <c r="L1622" s="1791"/>
      <c r="M1622" s="1791"/>
      <c r="N1622" s="1791"/>
      <c r="O1622" s="485"/>
      <c r="P1622" s="1117"/>
      <c r="Q1622" s="1137"/>
      <c r="R1622" s="1137"/>
      <c r="S1622" s="1137"/>
      <c r="T1622" s="1117"/>
      <c r="U1622" s="1137"/>
      <c r="V1622" s="1137"/>
    </row>
    <row r="1623" spans="1:22" s="562" customFormat="1" ht="5.0999999999999996" customHeight="1" thickBot="1">
      <c r="A1623" s="817"/>
      <c r="C1623" s="485"/>
      <c r="D1623" s="485"/>
      <c r="E1623" s="807"/>
      <c r="O1623" s="485"/>
      <c r="P1623" s="1137"/>
      <c r="Q1623" s="1137"/>
      <c r="R1623" s="1137"/>
      <c r="S1623" s="1137"/>
      <c r="T1623" s="1137"/>
      <c r="U1623" s="1137"/>
      <c r="V1623" s="1137"/>
    </row>
    <row r="1624" spans="1:22" s="562" customFormat="1" ht="5.0999999999999996" customHeight="1" thickBot="1">
      <c r="A1624" s="817"/>
      <c r="C1624" s="2118"/>
      <c r="D1624" s="2118"/>
      <c r="E1624" s="2118"/>
      <c r="F1624" s="2118"/>
      <c r="G1624" s="2118"/>
      <c r="H1624" s="2118"/>
      <c r="I1624" s="2118"/>
      <c r="J1624" s="2118"/>
      <c r="K1624" s="2118"/>
      <c r="L1624" s="2118"/>
      <c r="M1624" s="2118"/>
      <c r="N1624" s="2118"/>
      <c r="O1624" s="485"/>
      <c r="P1624" s="1137"/>
      <c r="Q1624" s="1137"/>
      <c r="R1624" s="1137"/>
      <c r="S1624" s="1137"/>
      <c r="T1624" s="1137"/>
      <c r="U1624" s="1137"/>
      <c r="V1624" s="1137"/>
    </row>
    <row r="1625" spans="1:22" s="562" customFormat="1" ht="15" customHeight="1" thickBot="1">
      <c r="A1625" s="719"/>
      <c r="C1625" s="559">
        <f>C1461+1</f>
        <v>8</v>
      </c>
      <c r="D1625" s="2482" t="str">
        <f>CONCATENATE(EUconst_BMSubinst," ",C1625, ":")</f>
        <v>Sub-installation with product benchmark 8:</v>
      </c>
      <c r="E1625" s="2482"/>
      <c r="F1625" s="2482"/>
      <c r="G1625" s="2482"/>
      <c r="H1625" s="2483"/>
      <c r="I1625" s="3293" t="str">
        <f>IF(INDEX(CNTR_SubInstListIsProdBM,$C1625),INDEX(CNTR_SubInstListNames,$C1625),"")</f>
        <v/>
      </c>
      <c r="J1625" s="3471"/>
      <c r="K1625" s="3471"/>
      <c r="L1625" s="3471"/>
      <c r="M1625" s="3471"/>
      <c r="N1625" s="3472"/>
      <c r="O1625" s="485"/>
      <c r="P1625" s="1137"/>
      <c r="Q1625" s="2123">
        <f>C1625</f>
        <v>8</v>
      </c>
      <c r="R1625" s="2124" t="str">
        <f>I1625</f>
        <v/>
      </c>
      <c r="S1625" s="1137"/>
      <c r="T1625" s="1137"/>
      <c r="U1625" s="1137"/>
      <c r="V1625" s="1137"/>
    </row>
    <row r="1626" spans="1:22" s="562" customFormat="1" ht="5.0999999999999996" customHeight="1">
      <c r="A1626" s="719"/>
      <c r="C1626" s="559"/>
      <c r="D1626" s="559"/>
      <c r="E1626" s="559"/>
      <c r="F1626" s="559"/>
      <c r="G1626" s="559"/>
      <c r="H1626" s="559"/>
      <c r="I1626" s="559"/>
      <c r="J1626" s="559"/>
      <c r="K1626" s="559"/>
      <c r="L1626" s="559"/>
      <c r="M1626" s="559"/>
      <c r="N1626" s="559"/>
      <c r="O1626" s="485"/>
      <c r="P1626" s="1137"/>
      <c r="Q1626" s="1137"/>
      <c r="R1626" s="1137"/>
      <c r="S1626" s="1137"/>
      <c r="T1626" s="1137"/>
      <c r="U1626" s="1137"/>
      <c r="V1626" s="1137"/>
    </row>
    <row r="1627" spans="1:22" s="562" customFormat="1" ht="12.75" customHeight="1">
      <c r="A1627" s="719"/>
      <c r="C1627" s="559"/>
      <c r="D1627" s="559"/>
      <c r="E1627" s="559"/>
      <c r="F1627" s="559"/>
      <c r="H1627" s="688" t="s">
        <v>458</v>
      </c>
      <c r="I1627" s="688" t="s">
        <v>1256</v>
      </c>
      <c r="J1627" s="688" t="s">
        <v>1434</v>
      </c>
      <c r="K1627" s="688" t="s">
        <v>1684</v>
      </c>
      <c r="L1627" s="689" t="s">
        <v>156</v>
      </c>
      <c r="M1627" s="2469" t="s">
        <v>302</v>
      </c>
      <c r="N1627" s="2469"/>
      <c r="O1627" s="485"/>
      <c r="P1627" s="1137"/>
      <c r="Q1627" s="1137"/>
      <c r="R1627" s="1137"/>
      <c r="S1627" s="1137"/>
      <c r="T1627" s="2175"/>
      <c r="U1627" s="1137"/>
      <c r="V1627" s="1137"/>
    </row>
    <row r="1628" spans="1:22" s="562" customFormat="1" ht="12.75" customHeight="1">
      <c r="A1628" s="719"/>
      <c r="C1628" s="559"/>
      <c r="D1628" s="559"/>
      <c r="E1628" s="690" t="str">
        <f>I1625</f>
        <v/>
      </c>
      <c r="F1628" s="691"/>
      <c r="G1628" s="691"/>
      <c r="H1628" s="692" t="str">
        <f>IF(L1628=EUconst_NA,EUconst_NA,INDEX(EUconst_BMlistCLstatus,L1628))</f>
        <v>N.A.</v>
      </c>
      <c r="I1628" s="692" t="str">
        <f>IF(I1625="","",INDEX(EUconst_BMlistElExchangability,L1628))</f>
        <v/>
      </c>
      <c r="J1628" s="566" t="str">
        <f>IF($I1625="",EUconst_NA,INDEX(CNTR_SubInstStartDate,MATCH(I1625,CNTR_SubInstListNames,0)))</f>
        <v>N.A.</v>
      </c>
      <c r="K1628" s="566" t="str">
        <f>IF($I1625="",EUconst_NA,IF(INDEX(CNTR_SubInstCessationDate,MATCH(I1625,CNTR_SubInstListNames,0))=0,"",INDEX(CNTR_SubInstCessationDate,MATCH(I1625,CNTR_SubInstListNames,0))))</f>
        <v>N.A.</v>
      </c>
      <c r="L1628" s="693" t="str">
        <f>IF($I1625="",EUconst_NA,MATCH(I1625,EUconst_BMlistNames,0))</f>
        <v>N.A.</v>
      </c>
      <c r="M1628" s="694" t="str">
        <f>IF(I1625="",EUconst_NA,INDEX(EUconst_BMlistBMvaluesMatrix,L1628,3))</f>
        <v>N.A.</v>
      </c>
      <c r="N1628" s="685" t="str">
        <f>EUconst_EUA &amp; "/" &amp; F1631</f>
        <v>UKA/tonnes</v>
      </c>
      <c r="O1628" s="485"/>
      <c r="P1628" s="1137"/>
      <c r="Q1628" s="1137"/>
      <c r="R1628" s="1137"/>
      <c r="S1628" s="1137"/>
      <c r="T1628" s="2175"/>
      <c r="U1628" s="1137"/>
      <c r="V1628" s="1137"/>
    </row>
    <row r="1629" spans="1:22" s="562" customFormat="1" ht="5.0999999999999996" customHeight="1" thickBot="1">
      <c r="A1629" s="719"/>
      <c r="C1629" s="485"/>
      <c r="D1629" s="485"/>
      <c r="E1629" s="559"/>
      <c r="J1629" s="485"/>
      <c r="K1629" s="485"/>
      <c r="L1629" s="485"/>
      <c r="M1629" s="485"/>
      <c r="N1629" s="485"/>
      <c r="O1629" s="485"/>
      <c r="P1629" s="1137"/>
      <c r="Q1629" s="1137"/>
      <c r="R1629" s="1137"/>
      <c r="S1629" s="1137"/>
      <c r="T1629" s="1117"/>
      <c r="U1629" s="1137"/>
      <c r="V1629" s="1137"/>
    </row>
    <row r="1630" spans="1:22" s="562" customFormat="1" ht="12.75" customHeight="1">
      <c r="A1630" s="719"/>
      <c r="C1630" s="485"/>
      <c r="D1630" s="485"/>
      <c r="E1630" s="496"/>
      <c r="F1630" s="482" t="str">
        <f>EUconst_Unit</f>
        <v>Unit</v>
      </c>
      <c r="G1630" s="695" t="s">
        <v>1646</v>
      </c>
      <c r="H1630" s="696">
        <f t="shared" ref="H1630:N1630" si="120">H$2737</f>
        <v>2024</v>
      </c>
      <c r="I1630" s="697">
        <f t="shared" si="120"/>
        <v>2025</v>
      </c>
      <c r="J1630" s="2125">
        <f t="shared" si="120"/>
        <v>2026</v>
      </c>
      <c r="K1630" s="1489">
        <f t="shared" si="120"/>
        <v>2027</v>
      </c>
      <c r="L1630" s="1490">
        <f t="shared" si="120"/>
        <v>2028</v>
      </c>
      <c r="M1630" s="1490">
        <f t="shared" si="120"/>
        <v>2029</v>
      </c>
      <c r="N1630" s="1490">
        <f t="shared" si="120"/>
        <v>2030</v>
      </c>
      <c r="O1630" s="485"/>
      <c r="P1630" s="1137"/>
      <c r="Q1630" s="1137" t="s">
        <v>1803</v>
      </c>
      <c r="R1630" s="2126">
        <f>J$2737</f>
        <v>2026</v>
      </c>
      <c r="S1630" s="2127">
        <f>K$2737</f>
        <v>2027</v>
      </c>
      <c r="T1630" s="2127">
        <f>L$2737</f>
        <v>2028</v>
      </c>
      <c r="U1630" s="2127">
        <f>M$2737</f>
        <v>2029</v>
      </c>
      <c r="V1630" s="2128">
        <f>N$2737</f>
        <v>2030</v>
      </c>
    </row>
    <row r="1631" spans="1:22" s="562" customFormat="1" ht="12.75" customHeight="1" thickBot="1">
      <c r="A1631" s="719"/>
      <c r="C1631" s="485"/>
      <c r="D1631" s="485"/>
      <c r="E1631" s="698" t="s">
        <v>1665</v>
      </c>
      <c r="F1631" s="699" t="str">
        <f>IF(ISNUMBER(L1628),INDEX(EUconst_BMlistUnits,L1628),EUconst_Tons)</f>
        <v>tonnes</v>
      </c>
      <c r="G1631" s="700" t="str">
        <f>I1734</f>
        <v/>
      </c>
      <c r="H1631" s="701" t="str">
        <f>IF($I1625="","",IF(H1630&gt;=CNTR_ReportingYear,"",INDEX(F_ProductBM!H:H,MATCH($P1631,F_ProductBM!$Q:$Q,0))))</f>
        <v/>
      </c>
      <c r="I1631" s="702" t="str">
        <f>IF($I1625="","",IF(I1630&gt;=CNTR_ReportingYear,"",INDEX(F_ProductBM!I:I,MATCH($P1631,F_ProductBM!$Q:$Q,0))))</f>
        <v/>
      </c>
      <c r="J1631" s="2129" t="str">
        <f>IF($I1625="","",IF(J1630&gt;=CNTR_ReportingYear,"",INDEX(F_ProductBM!J:J,MATCH($P1631,F_ProductBM!$Q:$Q,0))))</f>
        <v/>
      </c>
      <c r="K1631" s="2072" t="str">
        <f>IF($I1625="","",IF(K1630&gt;=CNTR_ReportingYear,"",INDEX(F_ProductBM!K:K,MATCH($P1631,F_ProductBM!$Q:$Q,0))))</f>
        <v/>
      </c>
      <c r="L1631" s="2073" t="str">
        <f>IF($I1625="","",IF(L1630&gt;=CNTR_ReportingYear,"",INDEX(F_ProductBM!L:L,MATCH($P1631,F_ProductBM!$Q:$Q,0))))</f>
        <v/>
      </c>
      <c r="M1631" s="2073" t="str">
        <f>IF($I1625="","",IF(M1630&gt;=CNTR_ReportingYear,"",INDEX(F_ProductBM!M:M,MATCH($P1631,F_ProductBM!$Q:$Q,0))))</f>
        <v/>
      </c>
      <c r="N1631" s="2073" t="str">
        <f>IF($I1625="","",IF(N1630&gt;=CNTR_ReportingYear,"",INDEX(F_ProductBM!N:N,MATCH($P1631,F_ProductBM!$Q:$Q,0))))</f>
        <v/>
      </c>
      <c r="O1631" s="485"/>
      <c r="P1631" s="1158" t="str">
        <f>EUconst_CNTR_HAL&amp;I1625</f>
        <v>HAL_</v>
      </c>
      <c r="Q1631" s="1137"/>
      <c r="R1631" s="1961" t="b">
        <f>AND($I1625&lt;&gt;"",R1630&lt;=CNTR_ReportingYear,IF($J1628&lt;&gt;EUconst_NA,R1630&gt;=YEAR($J1628),TRUE))</f>
        <v>0</v>
      </c>
      <c r="S1631" s="1675" t="b">
        <f>AND($I1625&lt;&gt;"",S1630&lt;=CNTR_ReportingYear,IF($J1628&lt;&gt;EUconst_NA,S1630&gt;=YEAR($J1628),TRUE))</f>
        <v>0</v>
      </c>
      <c r="T1631" s="1675" t="b">
        <f>AND($I1625&lt;&gt;"",T1630&lt;=CNTR_ReportingYear,IF($J1628&lt;&gt;EUconst_NA,T1630&gt;=YEAR($J1628),TRUE))</f>
        <v>0</v>
      </c>
      <c r="U1631" s="1675" t="b">
        <f>AND($I1625&lt;&gt;"",U1630&lt;=CNTR_ReportingYear,IF($J1628&lt;&gt;EUconst_NA,U1630&gt;=YEAR($J1628),TRUE))</f>
        <v>0</v>
      </c>
      <c r="V1631" s="1676" t="b">
        <f>AND($I1625&lt;&gt;"",V1630&lt;=CNTR_ReportingYear,IF($J1628&lt;&gt;EUconst_NA,V1630&gt;=YEAR($J1628),TRUE))</f>
        <v>0</v>
      </c>
    </row>
    <row r="1632" spans="1:22" s="562" customFormat="1" ht="5.0999999999999996" customHeight="1" thickBot="1">
      <c r="A1632" s="719"/>
      <c r="C1632" s="559"/>
      <c r="D1632" s="559"/>
      <c r="E1632" s="559"/>
      <c r="F1632" s="559"/>
      <c r="G1632" s="559"/>
      <c r="H1632" s="559"/>
      <c r="I1632" s="559"/>
      <c r="J1632" s="559"/>
      <c r="K1632" s="2130"/>
      <c r="L1632" s="2131"/>
      <c r="M1632" s="2131"/>
      <c r="N1632" s="2131"/>
      <c r="O1632" s="485"/>
      <c r="P1632" s="1137"/>
      <c r="Q1632" s="1137"/>
      <c r="R1632" s="1137"/>
      <c r="S1632" s="1137"/>
      <c r="T1632" s="1137"/>
      <c r="U1632" s="1137"/>
      <c r="V1632" s="1137"/>
    </row>
    <row r="1633" spans="1:22" s="562" customFormat="1" ht="5.0999999999999996" customHeight="1">
      <c r="A1633" s="719"/>
      <c r="B1633" s="485"/>
      <c r="C1633" s="559"/>
      <c r="D1633" s="703"/>
      <c r="E1633" s="704"/>
      <c r="F1633" s="704"/>
      <c r="G1633" s="704"/>
      <c r="H1633" s="704"/>
      <c r="I1633" s="704"/>
      <c r="J1633" s="704"/>
      <c r="K1633" s="2130"/>
      <c r="L1633" s="2131"/>
      <c r="M1633" s="2131"/>
      <c r="N1633" s="2131"/>
      <c r="O1633" s="485"/>
      <c r="P1633" s="1137"/>
      <c r="Q1633" s="1137"/>
      <c r="R1633" s="1137"/>
      <c r="S1633" s="1137"/>
      <c r="T1633" s="1137"/>
      <c r="U1633" s="1137"/>
      <c r="V1633" s="1137"/>
    </row>
    <row r="1634" spans="1:22" s="562" customFormat="1" ht="12.75" customHeight="1">
      <c r="A1634" s="719"/>
      <c r="B1634" s="485"/>
      <c r="C1634" s="559"/>
      <c r="D1634" s="706"/>
      <c r="E1634" s="707" t="s">
        <v>1787</v>
      </c>
      <c r="F1634" s="637"/>
      <c r="G1634" s="637"/>
      <c r="H1634" s="663"/>
      <c r="I1634" s="708"/>
      <c r="J1634" s="2132">
        <f>J$2737</f>
        <v>2026</v>
      </c>
      <c r="K1634" s="1489">
        <f>K$2737</f>
        <v>2027</v>
      </c>
      <c r="L1634" s="1490">
        <f>L$2737</f>
        <v>2028</v>
      </c>
      <c r="M1634" s="1490">
        <f>M$2737</f>
        <v>2029</v>
      </c>
      <c r="N1634" s="1490">
        <f>N$2737</f>
        <v>2030</v>
      </c>
      <c r="O1634" s="485"/>
      <c r="P1634" s="1137"/>
      <c r="Q1634" s="1137"/>
      <c r="R1634" s="1137"/>
      <c r="S1634" s="1137"/>
      <c r="T1634" s="1137"/>
      <c r="U1634" s="1137"/>
      <c r="V1634" s="1137"/>
    </row>
    <row r="1635" spans="1:22" s="562" customFormat="1" ht="12.75" customHeight="1">
      <c r="A1635" s="719"/>
      <c r="B1635" s="485"/>
      <c r="C1635" s="559"/>
      <c r="D1635" s="706"/>
      <c r="E1635" s="711" t="s">
        <v>1783</v>
      </c>
      <c r="F1635" s="712"/>
      <c r="G1635" s="712"/>
      <c r="H1635" s="713"/>
      <c r="I1635" s="712"/>
      <c r="J1635" s="2133" t="str">
        <f>IF(R1631,INDEX(F_ProductBM!V:V,MATCH($P1635,F_ProductBM!$Q:$Q,0))&gt;=3,"")</f>
        <v/>
      </c>
      <c r="K1635" s="2134" t="str">
        <f>IF(S1631,INDEX(F_ProductBM!W:W,MATCH($P1635,F_ProductBM!$Q:$Q,0))&gt;=3,"")</f>
        <v/>
      </c>
      <c r="L1635" s="2135" t="str">
        <f>IF(T1631,INDEX(F_ProductBM!X:X,MATCH($P1635,F_ProductBM!$Q:$Q,0))&gt;=3,"")</f>
        <v/>
      </c>
      <c r="M1635" s="2135" t="str">
        <f>IF(U1631,INDEX(F_ProductBM!Y:Y,MATCH($P1635,F_ProductBM!$Q:$Q,0))&gt;=3,"")</f>
        <v/>
      </c>
      <c r="N1635" s="2135" t="str">
        <f>IF(V1631,INDEX(F_ProductBM!Z:Z,MATCH($P1635,F_ProductBM!$Q:$Q,0))&gt;=3,"")</f>
        <v/>
      </c>
      <c r="O1635" s="485"/>
      <c r="P1635" s="1158" t="str">
        <f>EUconst_CNTR_HALinitial&amp;I1625</f>
        <v>HALini_</v>
      </c>
      <c r="Q1635" s="1137"/>
      <c r="R1635" s="1137"/>
      <c r="S1635" s="1137"/>
      <c r="T1635" s="1137"/>
      <c r="U1635" s="1137"/>
      <c r="V1635" s="1137"/>
    </row>
    <row r="1636" spans="1:22" s="562" customFormat="1" ht="12.75" customHeight="1">
      <c r="A1636" s="719"/>
      <c r="B1636" s="485"/>
      <c r="C1636" s="559"/>
      <c r="D1636" s="706"/>
      <c r="E1636" s="714" t="s">
        <v>1784</v>
      </c>
      <c r="F1636" s="715"/>
      <c r="G1636" s="715"/>
      <c r="H1636" s="716"/>
      <c r="I1636" s="715"/>
      <c r="J1636" s="2136" t="str">
        <f>IF(R1631,IF($K1628="",2050,YEAR($K1628))&lt;&gt;(J1634-1),"")</f>
        <v/>
      </c>
      <c r="K1636" s="2134" t="str">
        <f>IF(S1631,IF($K1628="",2050,YEAR($K1628))&lt;&gt;(K1634-1),"")</f>
        <v/>
      </c>
      <c r="L1636" s="2135" t="str">
        <f>IF(T1631,IF($K1628="",2050,YEAR($K1628))&lt;&gt;(L1634-1),"")</f>
        <v/>
      </c>
      <c r="M1636" s="2135" t="str">
        <f>IF(U1631,IF($K1628="",2050,YEAR($K1628))&lt;&gt;(M1634-1),"")</f>
        <v/>
      </c>
      <c r="N1636" s="2135" t="str">
        <f>IF(V1631,IF($K1628="",2050,YEAR($K1628))&lt;&gt;(N1634-1),"")</f>
        <v/>
      </c>
      <c r="O1636" s="485"/>
      <c r="P1636" s="1137"/>
      <c r="Q1636" s="1137"/>
      <c r="R1636" s="1137"/>
      <c r="S1636" s="1137"/>
      <c r="T1636" s="1137"/>
      <c r="U1636" s="1137"/>
      <c r="V1636" s="1137"/>
    </row>
    <row r="1637" spans="1:22" s="562" customFormat="1" ht="5.0999999999999996" customHeight="1">
      <c r="A1637" s="719"/>
      <c r="B1637" s="485"/>
      <c r="C1637" s="559"/>
      <c r="D1637" s="706"/>
      <c r="E1637" s="559"/>
      <c r="F1637" s="559"/>
      <c r="G1637" s="559"/>
      <c r="H1637" s="559"/>
      <c r="I1637" s="559"/>
      <c r="J1637" s="559"/>
      <c r="K1637" s="2130"/>
      <c r="L1637" s="2131"/>
      <c r="M1637" s="2131"/>
      <c r="N1637" s="2131"/>
      <c r="O1637" s="485"/>
      <c r="P1637" s="1137"/>
      <c r="Q1637" s="1137"/>
      <c r="R1637" s="1137"/>
      <c r="S1637" s="1137"/>
      <c r="T1637" s="1137"/>
      <c r="U1637" s="1137"/>
      <c r="V1637" s="1137"/>
    </row>
    <row r="1638" spans="1:22" s="562" customFormat="1" ht="12.75" customHeight="1">
      <c r="A1638" s="719"/>
      <c r="B1638" s="485"/>
      <c r="C1638" s="559"/>
      <c r="D1638" s="706"/>
      <c r="E1638" s="496" t="s">
        <v>1762</v>
      </c>
      <c r="F1638" s="485"/>
      <c r="G1638" s="485"/>
      <c r="H1638" s="663" t="str">
        <f>EUconst_Unit</f>
        <v>Unit</v>
      </c>
      <c r="I1638" s="708"/>
      <c r="J1638" s="2125">
        <f>J$2737</f>
        <v>2026</v>
      </c>
      <c r="K1638" s="1489">
        <f>K$2737</f>
        <v>2027</v>
      </c>
      <c r="L1638" s="1490">
        <f>L$2737</f>
        <v>2028</v>
      </c>
      <c r="M1638" s="1490">
        <f>M$2737</f>
        <v>2029</v>
      </c>
      <c r="N1638" s="1490">
        <f>N$2737</f>
        <v>2030</v>
      </c>
      <c r="O1638" s="485"/>
      <c r="P1638" s="1137"/>
      <c r="Q1638" s="1137"/>
      <c r="R1638" s="1137"/>
      <c r="S1638" s="1137"/>
      <c r="T1638" s="1137"/>
      <c r="U1638" s="1137"/>
      <c r="V1638" s="1137"/>
    </row>
    <row r="1639" spans="1:22" s="562" customFormat="1" ht="12.75" hidden="1" customHeight="1">
      <c r="A1639" s="719" t="s">
        <v>2289</v>
      </c>
      <c r="B1639" s="485"/>
      <c r="C1639" s="559"/>
      <c r="D1639" s="706"/>
      <c r="E1639" s="698" t="s">
        <v>1714</v>
      </c>
      <c r="F1639" s="698"/>
      <c r="G1639" s="698"/>
      <c r="H1639" s="639" t="str">
        <f>F1631</f>
        <v>tonnes</v>
      </c>
      <c r="I1639" s="698"/>
      <c r="J1639" s="2137" t="str">
        <f t="shared" ref="J1639:J1644" si="121">I1734</f>
        <v/>
      </c>
      <c r="K1639" s="2072" t="str">
        <f t="shared" ref="K1639:N1644" si="122">J1734</f>
        <v/>
      </c>
      <c r="L1639" s="2073" t="str">
        <f t="shared" si="122"/>
        <v/>
      </c>
      <c r="M1639" s="2073" t="str">
        <f t="shared" si="122"/>
        <v/>
      </c>
      <c r="N1639" s="2073" t="str">
        <f t="shared" si="122"/>
        <v/>
      </c>
      <c r="O1639" s="485"/>
      <c r="P1639" s="1137"/>
      <c r="Q1639" s="1137"/>
      <c r="R1639" s="1137"/>
      <c r="S1639" s="1137"/>
      <c r="T1639" s="1137"/>
      <c r="U1639" s="1137"/>
      <c r="V1639" s="1137"/>
    </row>
    <row r="1640" spans="1:22" s="562" customFormat="1" ht="12.75" hidden="1" customHeight="1">
      <c r="A1640" s="719" t="s">
        <v>2289</v>
      </c>
      <c r="B1640" s="485"/>
      <c r="C1640" s="559"/>
      <c r="D1640" s="706"/>
      <c r="E1640" s="720" t="s">
        <v>303</v>
      </c>
      <c r="F1640" s="720"/>
      <c r="G1640" s="720"/>
      <c r="H1640" s="721" t="str">
        <f>EUconst_EUA</f>
        <v>UKA</v>
      </c>
      <c r="I1640" s="722"/>
      <c r="J1640" s="2138" t="str">
        <f t="shared" si="121"/>
        <v/>
      </c>
      <c r="K1640" s="2072" t="str">
        <f t="shared" si="122"/>
        <v/>
      </c>
      <c r="L1640" s="2073" t="str">
        <f t="shared" si="122"/>
        <v/>
      </c>
      <c r="M1640" s="2073" t="str">
        <f t="shared" si="122"/>
        <v/>
      </c>
      <c r="N1640" s="2073" t="str">
        <f t="shared" si="122"/>
        <v/>
      </c>
      <c r="O1640" s="485"/>
      <c r="P1640" s="1137"/>
      <c r="Q1640" s="1137"/>
      <c r="R1640" s="1137"/>
      <c r="S1640" s="1137"/>
      <c r="T1640" s="1137"/>
      <c r="U1640" s="1137"/>
      <c r="V1640" s="1137"/>
    </row>
    <row r="1641" spans="1:22" s="562" customFormat="1" ht="12.75" hidden="1" customHeight="1">
      <c r="A1641" s="719" t="s">
        <v>2289</v>
      </c>
      <c r="B1641" s="485"/>
      <c r="C1641" s="559"/>
      <c r="D1641" s="706"/>
      <c r="E1641" s="723" t="s">
        <v>1422</v>
      </c>
      <c r="F1641" s="723"/>
      <c r="G1641" s="723"/>
      <c r="H1641" s="724" t="str">
        <f>EUconst_EUA</f>
        <v>UKA</v>
      </c>
      <c r="I1641" s="725"/>
      <c r="J1641" s="2139" t="str">
        <f t="shared" si="121"/>
        <v/>
      </c>
      <c r="K1641" s="2072" t="str">
        <f t="shared" si="122"/>
        <v/>
      </c>
      <c r="L1641" s="2073" t="str">
        <f t="shared" si="122"/>
        <v/>
      </c>
      <c r="M1641" s="2073" t="str">
        <f t="shared" si="122"/>
        <v/>
      </c>
      <c r="N1641" s="2073" t="str">
        <f t="shared" si="122"/>
        <v/>
      </c>
      <c r="O1641" s="485"/>
      <c r="P1641" s="1137"/>
      <c r="Q1641" s="1137"/>
      <c r="R1641" s="1137"/>
      <c r="S1641" s="1137"/>
      <c r="T1641" s="1137"/>
      <c r="U1641" s="1137"/>
      <c r="V1641" s="1137"/>
    </row>
    <row r="1642" spans="1:22" s="562" customFormat="1" ht="12.75" hidden="1" customHeight="1">
      <c r="A1642" s="719" t="s">
        <v>2289</v>
      </c>
      <c r="B1642" s="485"/>
      <c r="C1642" s="559"/>
      <c r="D1642" s="706"/>
      <c r="E1642" s="723" t="s">
        <v>1390</v>
      </c>
      <c r="F1642" s="723"/>
      <c r="G1642" s="723"/>
      <c r="H1642" s="724" t="str">
        <f>EUconst_EUA</f>
        <v>UKA</v>
      </c>
      <c r="I1642" s="725"/>
      <c r="J1642" s="2139" t="str">
        <f t="shared" si="121"/>
        <v/>
      </c>
      <c r="K1642" s="2072" t="str">
        <f t="shared" si="122"/>
        <v/>
      </c>
      <c r="L1642" s="2073" t="str">
        <f t="shared" si="122"/>
        <v/>
      </c>
      <c r="M1642" s="2073" t="str">
        <f t="shared" si="122"/>
        <v/>
      </c>
      <c r="N1642" s="2073" t="str">
        <f t="shared" si="122"/>
        <v/>
      </c>
      <c r="O1642" s="485"/>
      <c r="P1642" s="1137"/>
      <c r="Q1642" s="1137"/>
      <c r="R1642" s="1137"/>
      <c r="S1642" s="1137"/>
      <c r="T1642" s="1137"/>
      <c r="U1642" s="1137"/>
      <c r="V1642" s="1137"/>
    </row>
    <row r="1643" spans="1:22" s="562" customFormat="1" ht="12.75" hidden="1" customHeight="1">
      <c r="A1643" s="719" t="s">
        <v>2289</v>
      </c>
      <c r="B1643" s="485"/>
      <c r="C1643" s="559"/>
      <c r="D1643" s="706"/>
      <c r="E1643" s="723" t="s">
        <v>1389</v>
      </c>
      <c r="F1643" s="723"/>
      <c r="G1643" s="723"/>
      <c r="H1643" s="726" t="s">
        <v>1021</v>
      </c>
      <c r="I1643" s="725"/>
      <c r="J1643" s="2140" t="str">
        <f t="shared" si="121"/>
        <v/>
      </c>
      <c r="K1643" s="2141" t="str">
        <f t="shared" si="122"/>
        <v/>
      </c>
      <c r="L1643" s="2142" t="str">
        <f t="shared" si="122"/>
        <v/>
      </c>
      <c r="M1643" s="2142" t="str">
        <f t="shared" si="122"/>
        <v/>
      </c>
      <c r="N1643" s="2142" t="str">
        <f t="shared" si="122"/>
        <v/>
      </c>
      <c r="O1643" s="485"/>
      <c r="P1643" s="1137"/>
      <c r="Q1643" s="1137"/>
      <c r="R1643" s="1137"/>
      <c r="S1643" s="1137"/>
      <c r="T1643" s="1137"/>
      <c r="U1643" s="1137"/>
      <c r="V1643" s="1137"/>
    </row>
    <row r="1644" spans="1:22" s="562" customFormat="1" ht="12.75" hidden="1" customHeight="1">
      <c r="A1644" s="719" t="s">
        <v>2289</v>
      </c>
      <c r="B1644" s="485"/>
      <c r="C1644" s="559"/>
      <c r="D1644" s="706"/>
      <c r="E1644" s="727" t="s">
        <v>1391</v>
      </c>
      <c r="F1644" s="727"/>
      <c r="G1644" s="727"/>
      <c r="H1644" s="728" t="s">
        <v>1021</v>
      </c>
      <c r="I1644" s="729"/>
      <c r="J1644" s="2143" t="str">
        <f t="shared" si="121"/>
        <v/>
      </c>
      <c r="K1644" s="2141" t="str">
        <f t="shared" si="122"/>
        <v/>
      </c>
      <c r="L1644" s="2142" t="str">
        <f t="shared" si="122"/>
        <v/>
      </c>
      <c r="M1644" s="2142" t="str">
        <f t="shared" si="122"/>
        <v/>
      </c>
      <c r="N1644" s="2142" t="str">
        <f t="shared" si="122"/>
        <v/>
      </c>
      <c r="O1644" s="485"/>
      <c r="P1644" s="1137"/>
      <c r="Q1644" s="1137"/>
      <c r="R1644" s="1137"/>
      <c r="S1644" s="1137"/>
      <c r="T1644" s="1137"/>
      <c r="U1644" s="1137"/>
      <c r="V1644" s="1137"/>
    </row>
    <row r="1645" spans="1:22" s="562" customFormat="1" ht="12.75" customHeight="1">
      <c r="A1645" s="719"/>
      <c r="B1645" s="485"/>
      <c r="C1645" s="559"/>
      <c r="D1645" s="706"/>
      <c r="E1645" s="698" t="s">
        <v>1671</v>
      </c>
      <c r="F1645" s="698"/>
      <c r="G1645" s="698"/>
      <c r="H1645" s="730" t="str">
        <f>EUconst_EUA</f>
        <v>UKA</v>
      </c>
      <c r="I1645" s="731"/>
      <c r="J1645" s="2129" t="str">
        <f>IF($I1625="","",MAX(0,ROUND((SUM($M1628)*SUM(J1639)*SUM(J1643)*SUM(J1644)-SUM(J1640)-SUM(J1641)+SUM(J1642))*IF($H1628=TRUE,1,J$2517),0)))</f>
        <v/>
      </c>
      <c r="K1645" s="2072" t="str">
        <f>IF($I1625="","",MAX(0,ROUND((SUM($M1628)*SUM(K1639)*SUM(K1643)*SUM(K1644)-SUM(K1640)-SUM(K1641)+SUM(K1642))*IF($H1628=TRUE,1,K$2517),0)))</f>
        <v/>
      </c>
      <c r="L1645" s="2073" t="str">
        <f>IF($I1625="","",MAX(0,ROUND((SUM($M1628)*SUM(L1639)*SUM(L1643)*SUM(L1644)-SUM(L1640)-SUM(L1641)+SUM(L1642))*IF($H1628=TRUE,1,L$2517),0)))</f>
        <v/>
      </c>
      <c r="M1645" s="2073" t="str">
        <f>IF($I1625="","",MAX(0,ROUND((SUM($M1628)*SUM(M1639)*SUM(M1643)*SUM(M1644)-SUM(M1640)-SUM(M1641)+SUM(M1642))*IF($H1628=TRUE,1,M$2517),0)))</f>
        <v/>
      </c>
      <c r="N1645" s="2073" t="str">
        <f>IF($I1625="","",MAX(0,ROUND((SUM($M1628)*SUM(N1639)*SUM(N1643)*SUM(N1644)-SUM(N1640)-SUM(N1641)+SUM(N1642))*IF($H1628=TRUE,1,N$2517),0)))</f>
        <v/>
      </c>
      <c r="O1645" s="485"/>
      <c r="P1645" s="1137"/>
      <c r="Q1645" s="1137"/>
      <c r="R1645" s="1137"/>
      <c r="S1645" s="1137"/>
      <c r="T1645" s="1137"/>
      <c r="U1645" s="1137"/>
      <c r="V1645" s="1137"/>
    </row>
    <row r="1646" spans="1:22" s="562" customFormat="1" ht="5.0999999999999996" customHeight="1">
      <c r="A1646" s="719"/>
      <c r="B1646" s="485"/>
      <c r="C1646" s="559"/>
      <c r="D1646" s="706"/>
      <c r="E1646" s="559"/>
      <c r="F1646" s="559"/>
      <c r="G1646" s="559"/>
      <c r="H1646" s="559"/>
      <c r="I1646" s="559"/>
      <c r="J1646" s="559"/>
      <c r="K1646" s="2130"/>
      <c r="L1646" s="2131"/>
      <c r="M1646" s="2131"/>
      <c r="N1646" s="2131"/>
      <c r="O1646" s="485"/>
      <c r="P1646" s="1137"/>
      <c r="Q1646" s="1137"/>
      <c r="R1646" s="1137"/>
      <c r="S1646" s="1137"/>
      <c r="T1646" s="1137"/>
      <c r="U1646" s="1137"/>
      <c r="V1646" s="1137"/>
    </row>
    <row r="1647" spans="1:22" s="562" customFormat="1" ht="12.75" customHeight="1">
      <c r="A1647" s="719"/>
      <c r="B1647" s="485"/>
      <c r="C1647" s="559"/>
      <c r="D1647" s="706"/>
      <c r="E1647" s="707" t="s">
        <v>1752</v>
      </c>
      <c r="F1647" s="637"/>
      <c r="G1647" s="637"/>
      <c r="H1647" s="663" t="str">
        <f>EUconst_Unit</f>
        <v>Unit</v>
      </c>
      <c r="I1647" s="708"/>
      <c r="J1647" s="2132">
        <f>J$2737</f>
        <v>2026</v>
      </c>
      <c r="K1647" s="1489">
        <f>K$2737</f>
        <v>2027</v>
      </c>
      <c r="L1647" s="1490">
        <f>L$2737</f>
        <v>2028</v>
      </c>
      <c r="M1647" s="1490">
        <f>M$2737</f>
        <v>2029</v>
      </c>
      <c r="N1647" s="1490">
        <f>N$2737</f>
        <v>2030</v>
      </c>
      <c r="O1647" s="485"/>
      <c r="P1647" s="1137"/>
      <c r="Q1647" s="1137"/>
      <c r="R1647" s="1137"/>
      <c r="S1647" s="1137"/>
      <c r="T1647" s="1137"/>
      <c r="U1647" s="1137"/>
      <c r="V1647" s="1137"/>
    </row>
    <row r="1648" spans="1:22" s="562" customFormat="1" ht="12.75" customHeight="1">
      <c r="A1648" s="719"/>
      <c r="B1648" s="485"/>
      <c r="C1648" s="559"/>
      <c r="D1648" s="706"/>
      <c r="E1648" s="720" t="s">
        <v>1691</v>
      </c>
      <c r="F1648" s="720"/>
      <c r="G1648" s="720"/>
      <c r="H1648" s="732" t="str">
        <f>H1639</f>
        <v>tonnes</v>
      </c>
      <c r="I1648" s="733"/>
      <c r="J1648" s="2144" t="str">
        <f>INDEX(F_ProductBM!J:J,MATCH($P1648,F_ProductBM!$Q:$Q,0))</f>
        <v/>
      </c>
      <c r="K1648" s="2072" t="str">
        <f>INDEX(F_ProductBM!K:K,MATCH($P1648,F_ProductBM!$Q:$Q,0))</f>
        <v/>
      </c>
      <c r="L1648" s="2073" t="str">
        <f>INDEX(F_ProductBM!L:L,MATCH($P1648,F_ProductBM!$Q:$Q,0))</f>
        <v/>
      </c>
      <c r="M1648" s="2073" t="str">
        <f>INDEX(F_ProductBM!M:M,MATCH($P1648,F_ProductBM!$Q:$Q,0))</f>
        <v/>
      </c>
      <c r="N1648" s="2073" t="str">
        <f>INDEX(F_ProductBM!N:N,MATCH($P1648,F_ProductBM!$Q:$Q,0))</f>
        <v/>
      </c>
      <c r="O1648" s="485"/>
      <c r="P1648" s="1158" t="str">
        <f>EUconst_CNTR_HALinitial&amp;I1625</f>
        <v>HALini_</v>
      </c>
      <c r="Q1648" s="1137"/>
      <c r="R1648" s="1137"/>
      <c r="S1648" s="1137"/>
      <c r="T1648" s="1137"/>
      <c r="U1648" s="1137"/>
      <c r="V1648" s="1137"/>
    </row>
    <row r="1649" spans="1:22" s="562" customFormat="1" ht="12.75" customHeight="1">
      <c r="A1649" s="719"/>
      <c r="B1649" s="485"/>
      <c r="C1649" s="559"/>
      <c r="D1649" s="706"/>
      <c r="E1649" s="723" t="s">
        <v>1648</v>
      </c>
      <c r="F1649" s="723"/>
      <c r="G1649" s="723"/>
      <c r="H1649" s="734" t="s">
        <v>1021</v>
      </c>
      <c r="I1649" s="735"/>
      <c r="J1649" s="23" t="str">
        <f>INDEX(F_ProductBM!J:J,MATCH($P1649,F_ProductBM!$Q:$Q,0))</f>
        <v/>
      </c>
      <c r="K1649" s="46" t="str">
        <f>INDEX(F_ProductBM!K:K,MATCH($P1649,F_ProductBM!$Q:$Q,0))</f>
        <v/>
      </c>
      <c r="L1649" s="27" t="str">
        <f>INDEX(F_ProductBM!L:L,MATCH($P1649,F_ProductBM!$Q:$Q,0))</f>
        <v/>
      </c>
      <c r="M1649" s="27" t="str">
        <f>INDEX(F_ProductBM!M:M,MATCH($P1649,F_ProductBM!$Q:$Q,0))</f>
        <v/>
      </c>
      <c r="N1649" s="27" t="str">
        <f>INDEX(F_ProductBM!N:N,MATCH($P1649,F_ProductBM!$Q:$Q,0))</f>
        <v/>
      </c>
      <c r="O1649" s="485"/>
      <c r="P1649" s="1158" t="str">
        <f>EUconst_CNTR_RelThreshold &amp; P1651</f>
        <v>RelThresh_HALprelim_</v>
      </c>
      <c r="Q1649" s="1137"/>
      <c r="R1649" s="1137"/>
      <c r="S1649" s="1137"/>
      <c r="T1649" s="1137"/>
      <c r="U1649" s="1137"/>
      <c r="V1649" s="1137"/>
    </row>
    <row r="1650" spans="1:22" s="562" customFormat="1" ht="12.75" customHeight="1">
      <c r="A1650" s="719"/>
      <c r="B1650" s="485"/>
      <c r="C1650" s="559"/>
      <c r="D1650" s="706"/>
      <c r="E1650" s="736" t="s">
        <v>1850</v>
      </c>
      <c r="F1650" s="736"/>
      <c r="G1650" s="736"/>
      <c r="H1650" s="737" t="s">
        <v>1021</v>
      </c>
      <c r="I1650" s="738"/>
      <c r="J1650" s="2145" t="str">
        <f>INDEX(F_ProductBM!V:V,MATCH($P1650,F_ProductBM!$Q:$Q,0)+1)</f>
        <v/>
      </c>
      <c r="K1650" s="2134" t="str">
        <f>INDEX(F_ProductBM!W:W,MATCH($P1650,F_ProductBM!$Q:$Q,0)+1)</f>
        <v/>
      </c>
      <c r="L1650" s="2135" t="str">
        <f>INDEX(F_ProductBM!X:X,MATCH($P1650,F_ProductBM!$Q:$Q,0)+1)</f>
        <v/>
      </c>
      <c r="M1650" s="2135" t="str">
        <f>INDEX(F_ProductBM!Y:Y,MATCH($P1650,F_ProductBM!$Q:$Q,0)+1)</f>
        <v/>
      </c>
      <c r="N1650" s="2135" t="str">
        <f>INDEX(F_ProductBM!Z:Z,MATCH($P1650,F_ProductBM!$Q:$Q,0)+1)</f>
        <v/>
      </c>
      <c r="O1650" s="485"/>
      <c r="P1650" s="1158" t="str">
        <f>P1649</f>
        <v>RelThresh_HALprelim_</v>
      </c>
      <c r="Q1650" s="1137"/>
      <c r="R1650" s="1137"/>
      <c r="S1650" s="1137"/>
      <c r="T1650" s="1137"/>
      <c r="U1650" s="1137"/>
      <c r="V1650" s="1137"/>
    </row>
    <row r="1651" spans="1:22" s="562" customFormat="1" ht="12.75" customHeight="1">
      <c r="A1651" s="719"/>
      <c r="B1651" s="485"/>
      <c r="C1651" s="559"/>
      <c r="D1651" s="706"/>
      <c r="E1651" s="727" t="s">
        <v>1689</v>
      </c>
      <c r="F1651" s="727"/>
      <c r="G1651" s="727"/>
      <c r="H1651" s="739" t="str">
        <f>F1631</f>
        <v>tonnes</v>
      </c>
      <c r="I1651" s="727"/>
      <c r="J1651" s="2146" t="str">
        <f>INDEX(F_ProductBM!J:J,MATCH($P1651,F_ProductBM!$Q:$Q,0))</f>
        <v/>
      </c>
      <c r="K1651" s="2072" t="str">
        <f>INDEX(F_ProductBM!K:K,MATCH($P1651,F_ProductBM!$Q:$Q,0))</f>
        <v/>
      </c>
      <c r="L1651" s="2073" t="str">
        <f>INDEX(F_ProductBM!L:L,MATCH($P1651,F_ProductBM!$Q:$Q,0))</f>
        <v/>
      </c>
      <c r="M1651" s="2073" t="str">
        <f>INDEX(F_ProductBM!M:M,MATCH($P1651,F_ProductBM!$Q:$Q,0))</f>
        <v/>
      </c>
      <c r="N1651" s="2073" t="str">
        <f>INDEX(F_ProductBM!N:N,MATCH($P1651,F_ProductBM!$Q:$Q,0))</f>
        <v/>
      </c>
      <c r="O1651" s="485"/>
      <c r="P1651" s="1158" t="str">
        <f>EUconst_CNTR_HALprelim&amp;I1625</f>
        <v>HALprelim_</v>
      </c>
      <c r="Q1651" s="1137"/>
      <c r="R1651" s="1137"/>
      <c r="S1651" s="1137"/>
      <c r="T1651" s="1137"/>
      <c r="U1651" s="1137"/>
      <c r="V1651" s="1137"/>
    </row>
    <row r="1652" spans="1:22" s="562" customFormat="1" ht="12.75" hidden="1" customHeight="1">
      <c r="A1652" s="719" t="s">
        <v>2289</v>
      </c>
      <c r="B1652" s="485"/>
      <c r="C1652" s="559"/>
      <c r="D1652" s="706"/>
      <c r="E1652" s="720" t="s">
        <v>303</v>
      </c>
      <c r="F1652" s="720"/>
      <c r="G1652" s="720"/>
      <c r="H1652" s="721" t="str">
        <f>EUconst_EUA</f>
        <v>UKA</v>
      </c>
      <c r="I1652" s="722"/>
      <c r="J1652" s="2138" t="str">
        <f t="shared" ref="J1652:N1656" si="123">I1735</f>
        <v/>
      </c>
      <c r="K1652" s="2072" t="str">
        <f t="shared" si="123"/>
        <v/>
      </c>
      <c r="L1652" s="2073" t="str">
        <f t="shared" si="123"/>
        <v/>
      </c>
      <c r="M1652" s="2073" t="str">
        <f t="shared" si="123"/>
        <v/>
      </c>
      <c r="N1652" s="2073" t="str">
        <f t="shared" si="123"/>
        <v/>
      </c>
      <c r="O1652" s="485"/>
      <c r="P1652" s="1137"/>
      <c r="Q1652" s="1137"/>
      <c r="R1652" s="1137"/>
      <c r="S1652" s="1137"/>
      <c r="T1652" s="1137"/>
      <c r="U1652" s="1137"/>
      <c r="V1652" s="1137"/>
    </row>
    <row r="1653" spans="1:22" s="562" customFormat="1" ht="12.75" hidden="1" customHeight="1">
      <c r="A1653" s="719" t="s">
        <v>2289</v>
      </c>
      <c r="B1653" s="485"/>
      <c r="C1653" s="559"/>
      <c r="D1653" s="706"/>
      <c r="E1653" s="723" t="s">
        <v>1422</v>
      </c>
      <c r="F1653" s="723"/>
      <c r="G1653" s="723"/>
      <c r="H1653" s="724" t="str">
        <f>EUconst_EUA</f>
        <v>UKA</v>
      </c>
      <c r="I1653" s="725"/>
      <c r="J1653" s="2139" t="str">
        <f t="shared" si="123"/>
        <v/>
      </c>
      <c r="K1653" s="2072" t="str">
        <f t="shared" si="123"/>
        <v/>
      </c>
      <c r="L1653" s="2073" t="str">
        <f t="shared" si="123"/>
        <v/>
      </c>
      <c r="M1653" s="2073" t="str">
        <f t="shared" si="123"/>
        <v/>
      </c>
      <c r="N1653" s="2073" t="str">
        <f t="shared" si="123"/>
        <v/>
      </c>
      <c r="O1653" s="485"/>
      <c r="P1653" s="1137"/>
      <c r="Q1653" s="1137"/>
      <c r="R1653" s="1137"/>
      <c r="S1653" s="1137"/>
      <c r="T1653" s="1137"/>
      <c r="U1653" s="1137"/>
      <c r="V1653" s="1137"/>
    </row>
    <row r="1654" spans="1:22" s="562" customFormat="1" ht="12.75" hidden="1" customHeight="1">
      <c r="A1654" s="719" t="s">
        <v>2289</v>
      </c>
      <c r="B1654" s="485"/>
      <c r="C1654" s="559"/>
      <c r="D1654" s="706"/>
      <c r="E1654" s="723" t="s">
        <v>1390</v>
      </c>
      <c r="F1654" s="723"/>
      <c r="G1654" s="723"/>
      <c r="H1654" s="724" t="str">
        <f>EUconst_EUA</f>
        <v>UKA</v>
      </c>
      <c r="I1654" s="725"/>
      <c r="J1654" s="2139" t="str">
        <f t="shared" si="123"/>
        <v/>
      </c>
      <c r="K1654" s="2072" t="str">
        <f t="shared" si="123"/>
        <v/>
      </c>
      <c r="L1654" s="2073" t="str">
        <f t="shared" si="123"/>
        <v/>
      </c>
      <c r="M1654" s="2073" t="str">
        <f t="shared" si="123"/>
        <v/>
      </c>
      <c r="N1654" s="2073" t="str">
        <f t="shared" si="123"/>
        <v/>
      </c>
      <c r="O1654" s="485"/>
      <c r="P1654" s="1137"/>
      <c r="Q1654" s="1137"/>
      <c r="R1654" s="1137"/>
      <c r="S1654" s="1137"/>
      <c r="T1654" s="1137"/>
      <c r="U1654" s="1137"/>
      <c r="V1654" s="1137"/>
    </row>
    <row r="1655" spans="1:22" s="562" customFormat="1" ht="12.75" hidden="1" customHeight="1">
      <c r="A1655" s="719" t="s">
        <v>2289</v>
      </c>
      <c r="B1655" s="485"/>
      <c r="C1655" s="559"/>
      <c r="D1655" s="706"/>
      <c r="E1655" s="723" t="s">
        <v>1389</v>
      </c>
      <c r="F1655" s="723"/>
      <c r="G1655" s="723"/>
      <c r="H1655" s="726" t="s">
        <v>1021</v>
      </c>
      <c r="I1655" s="725"/>
      <c r="J1655" s="2140" t="str">
        <f t="shared" si="123"/>
        <v/>
      </c>
      <c r="K1655" s="2141" t="str">
        <f t="shared" si="123"/>
        <v/>
      </c>
      <c r="L1655" s="2142" t="str">
        <f t="shared" si="123"/>
        <v/>
      </c>
      <c r="M1655" s="2142" t="str">
        <f t="shared" si="123"/>
        <v/>
      </c>
      <c r="N1655" s="2142" t="str">
        <f t="shared" si="123"/>
        <v/>
      </c>
      <c r="O1655" s="485"/>
      <c r="P1655" s="1137"/>
      <c r="Q1655" s="1137"/>
      <c r="R1655" s="1137"/>
      <c r="S1655" s="1137"/>
      <c r="T1655" s="1137"/>
      <c r="U1655" s="1137"/>
      <c r="V1655" s="1137"/>
    </row>
    <row r="1656" spans="1:22" s="562" customFormat="1" ht="12.75" hidden="1" customHeight="1">
      <c r="A1656" s="719" t="s">
        <v>2289</v>
      </c>
      <c r="B1656" s="485"/>
      <c r="C1656" s="559"/>
      <c r="D1656" s="706"/>
      <c r="E1656" s="727" t="s">
        <v>1391</v>
      </c>
      <c r="F1656" s="727"/>
      <c r="G1656" s="727"/>
      <c r="H1656" s="728" t="s">
        <v>1021</v>
      </c>
      <c r="I1656" s="729"/>
      <c r="J1656" s="2143" t="str">
        <f t="shared" si="123"/>
        <v/>
      </c>
      <c r="K1656" s="2141" t="str">
        <f t="shared" si="123"/>
        <v/>
      </c>
      <c r="L1656" s="2142" t="str">
        <f t="shared" si="123"/>
        <v/>
      </c>
      <c r="M1656" s="2142" t="str">
        <f t="shared" si="123"/>
        <v/>
      </c>
      <c r="N1656" s="2142" t="str">
        <f t="shared" si="123"/>
        <v/>
      </c>
      <c r="O1656" s="485"/>
      <c r="P1656" s="1137"/>
      <c r="Q1656" s="1137"/>
      <c r="R1656" s="1137"/>
      <c r="S1656" s="1137"/>
      <c r="T1656" s="1137"/>
      <c r="U1656" s="1137"/>
      <c r="V1656" s="1137"/>
    </row>
    <row r="1657" spans="1:22" s="562" customFormat="1" ht="12.75" customHeight="1">
      <c r="A1657" s="719"/>
      <c r="B1657" s="485"/>
      <c r="C1657" s="559"/>
      <c r="D1657" s="706"/>
      <c r="E1657" s="698" t="s">
        <v>1671</v>
      </c>
      <c r="F1657" s="698"/>
      <c r="G1657" s="698"/>
      <c r="H1657" s="730" t="str">
        <f>EUconst_EUA</f>
        <v>UKA</v>
      </c>
      <c r="I1657" s="731"/>
      <c r="J1657" s="2129" t="str">
        <f>IF($I1625="","",MAX(0,ROUND((SUM($M1628)*SUM(J1651)*SUM(J1655)*SUM(J1656)-SUM(J1652)-SUM(J1653)+SUM(J1654))*IF($H1628=TRUE,1,J$2517),0)))</f>
        <v/>
      </c>
      <c r="K1657" s="2072" t="str">
        <f>IF($I1625="","",MAX(0,ROUND((SUM($M1628)*SUM(K1651)*SUM(K1655)*SUM(K1656)-SUM(K1652)-SUM(K1653)+SUM(K1654))*IF($H1628=TRUE,1,K$2517),0)))</f>
        <v/>
      </c>
      <c r="L1657" s="2073" t="str">
        <f>IF($I1625="","",MAX(0,ROUND((SUM($M1628)*SUM(L1651)*SUM(L1655)*SUM(L1656)-SUM(L1652)-SUM(L1653)+SUM(L1654))*IF($H1628=TRUE,1,L$2517),0)))</f>
        <v/>
      </c>
      <c r="M1657" s="2073" t="str">
        <f>IF($I1625="","",MAX(0,ROUND((SUM($M1628)*SUM(M1651)*SUM(M1655)*SUM(M1656)-SUM(M1652)-SUM(M1653)+SUM(M1654))*IF($H1628=TRUE,1,M$2517),0)))</f>
        <v/>
      </c>
      <c r="N1657" s="2073" t="str">
        <f>IF($I1625="","",MAX(0,ROUND((SUM($M1628)*SUM(N1651)*SUM(N1655)*SUM(N1656)-SUM(N1652)-SUM(N1653)+SUM(N1654))*IF($H1628=TRUE,1,N$2517),0)))</f>
        <v/>
      </c>
      <c r="O1657" s="485"/>
      <c r="P1657" s="1137"/>
      <c r="Q1657" s="1137"/>
      <c r="R1657" s="1137"/>
      <c r="S1657" s="1137"/>
      <c r="T1657" s="1137"/>
      <c r="U1657" s="1137"/>
      <c r="V1657" s="1137"/>
    </row>
    <row r="1658" spans="1:22" s="562" customFormat="1" ht="12.75" customHeight="1">
      <c r="A1658" s="719"/>
      <c r="B1658" s="485"/>
      <c r="C1658" s="559"/>
      <c r="D1658" s="706"/>
      <c r="E1658" s="698" t="s">
        <v>1670</v>
      </c>
      <c r="F1658" s="698"/>
      <c r="G1658" s="698"/>
      <c r="H1658" s="730" t="str">
        <f>EUconst_EUA</f>
        <v>UKA</v>
      </c>
      <c r="I1658" s="731"/>
      <c r="J1658" s="2129" t="str">
        <f>IF($I1625="","",ABS(SUM(J1657)-SUM(J1645)))</f>
        <v/>
      </c>
      <c r="K1658" s="2072" t="str">
        <f>IF($I1625="","",ABS(SUM(K1657)-SUM(K1645)))</f>
        <v/>
      </c>
      <c r="L1658" s="2073" t="str">
        <f>IF($I1625="","",ABS(SUM(L1657)-SUM(L1645)))</f>
        <v/>
      </c>
      <c r="M1658" s="2073" t="str">
        <f>IF($I1625="","",ABS(SUM(M1657)-SUM(M1645)))</f>
        <v/>
      </c>
      <c r="N1658" s="2073" t="str">
        <f>IF($I1625="","",ABS(SUM(N1657)-SUM(N1645)))</f>
        <v/>
      </c>
      <c r="O1658" s="485"/>
      <c r="P1658" s="1137"/>
      <c r="Q1658" s="1137"/>
      <c r="R1658" s="1137"/>
      <c r="S1658" s="1137"/>
      <c r="T1658" s="1137"/>
      <c r="U1658" s="1137"/>
      <c r="V1658" s="1137"/>
    </row>
    <row r="1659" spans="1:22" s="562" customFormat="1" ht="12.75" customHeight="1">
      <c r="A1659" s="719"/>
      <c r="B1659" s="485"/>
      <c r="C1659" s="559"/>
      <c r="D1659" s="706"/>
      <c r="E1659" s="740" t="s">
        <v>2130</v>
      </c>
      <c r="F1659" s="740"/>
      <c r="G1659" s="740"/>
      <c r="H1659" s="741" t="s">
        <v>1021</v>
      </c>
      <c r="I1659" s="742"/>
      <c r="J1659" s="2147" t="str">
        <f>IF($I1625="","",J1658&gt;=100)</f>
        <v/>
      </c>
      <c r="K1659" s="2134" t="str">
        <f>IF($I1625="","",K1658&gt;=100)</f>
        <v/>
      </c>
      <c r="L1659" s="2135" t="str">
        <f>IF($I1625="","",L1658&gt;=100)</f>
        <v/>
      </c>
      <c r="M1659" s="2135" t="str">
        <f>IF($I1625="","",M1658&gt;=100)</f>
        <v/>
      </c>
      <c r="N1659" s="2135" t="str">
        <f>IF($I1625="","",N1658&gt;=100)</f>
        <v/>
      </c>
      <c r="O1659" s="485"/>
      <c r="P1659" s="1158" t="str">
        <f>EUconst_CNTR_100EUA_ActivityLevel&amp;I1625</f>
        <v>EUA100AL_</v>
      </c>
      <c r="Q1659" s="1137"/>
      <c r="R1659" s="1137"/>
      <c r="S1659" s="1137"/>
      <c r="T1659" s="1137"/>
      <c r="U1659" s="1137"/>
      <c r="V1659" s="1137"/>
    </row>
    <row r="1660" spans="1:22" s="562" customFormat="1" ht="5.0999999999999996" customHeight="1">
      <c r="A1660" s="719"/>
      <c r="B1660" s="485"/>
      <c r="C1660" s="559"/>
      <c r="D1660" s="706"/>
      <c r="E1660" s="485"/>
      <c r="F1660" s="485"/>
      <c r="G1660" s="485"/>
      <c r="H1660" s="485"/>
      <c r="I1660" s="743"/>
      <c r="J1660" s="485"/>
      <c r="K1660" s="1790"/>
      <c r="L1660" s="1791"/>
      <c r="M1660" s="1791"/>
      <c r="N1660" s="1791"/>
      <c r="O1660" s="485"/>
      <c r="P1660" s="1137"/>
      <c r="Q1660" s="1137"/>
      <c r="R1660" s="1137"/>
      <c r="S1660" s="1137"/>
      <c r="T1660" s="1137"/>
      <c r="U1660" s="1137"/>
      <c r="V1660" s="1137"/>
    </row>
    <row r="1661" spans="1:22" s="562" customFormat="1" ht="12.75" customHeight="1">
      <c r="A1661" s="719"/>
      <c r="B1661" s="485"/>
      <c r="C1661" s="559"/>
      <c r="D1661" s="706"/>
      <c r="E1661" s="707" t="s">
        <v>1753</v>
      </c>
      <c r="F1661" s="637"/>
      <c r="G1661" s="637"/>
      <c r="H1661" s="663" t="str">
        <f>EUconst_Unit</f>
        <v>Unit</v>
      </c>
      <c r="I1661" s="708"/>
      <c r="J1661" s="2132">
        <f>J$2737</f>
        <v>2026</v>
      </c>
      <c r="K1661" s="1489">
        <f>K$2737</f>
        <v>2027</v>
      </c>
      <c r="L1661" s="1490">
        <f>L$2737</f>
        <v>2028</v>
      </c>
      <c r="M1661" s="1490">
        <f>M$2737</f>
        <v>2029</v>
      </c>
      <c r="N1661" s="1490">
        <f>N$2737</f>
        <v>2030</v>
      </c>
      <c r="O1661" s="485"/>
      <c r="P1661" s="1137"/>
      <c r="Q1661" s="1137"/>
      <c r="R1661" s="1137"/>
      <c r="S1661" s="1137"/>
      <c r="T1661" s="1137"/>
      <c r="U1661" s="1137"/>
      <c r="V1661" s="1137"/>
    </row>
    <row r="1662" spans="1:22" s="562" customFormat="1" ht="12.75" hidden="1" customHeight="1">
      <c r="A1662" s="719" t="s">
        <v>2289</v>
      </c>
      <c r="B1662" s="485"/>
      <c r="C1662" s="559"/>
      <c r="D1662" s="706"/>
      <c r="E1662" s="698" t="s">
        <v>1714</v>
      </c>
      <c r="F1662" s="698"/>
      <c r="G1662" s="698"/>
      <c r="H1662" s="639" t="str">
        <f>H1651</f>
        <v>tonnes</v>
      </c>
      <c r="I1662" s="698"/>
      <c r="J1662" s="2137" t="str">
        <f t="shared" ref="J1662:N1665" si="124">I1734</f>
        <v/>
      </c>
      <c r="K1662" s="2072" t="str">
        <f t="shared" si="124"/>
        <v/>
      </c>
      <c r="L1662" s="2073" t="str">
        <f t="shared" si="124"/>
        <v/>
      </c>
      <c r="M1662" s="2073" t="str">
        <f t="shared" si="124"/>
        <v/>
      </c>
      <c r="N1662" s="2073" t="str">
        <f t="shared" si="124"/>
        <v/>
      </c>
      <c r="O1662" s="485"/>
      <c r="P1662" s="1137"/>
      <c r="Q1662" s="1137"/>
      <c r="R1662" s="1137"/>
      <c r="S1662" s="1137"/>
      <c r="T1662" s="1137"/>
      <c r="U1662" s="1137"/>
      <c r="V1662" s="1137"/>
    </row>
    <row r="1663" spans="1:22" s="562" customFormat="1" ht="12.75" hidden="1" customHeight="1">
      <c r="A1663" s="719" t="s">
        <v>2289</v>
      </c>
      <c r="B1663" s="485"/>
      <c r="C1663" s="559"/>
      <c r="D1663" s="706"/>
      <c r="E1663" s="720" t="s">
        <v>303</v>
      </c>
      <c r="F1663" s="720"/>
      <c r="G1663" s="720"/>
      <c r="H1663" s="721" t="str">
        <f>EUconst_EUA</f>
        <v>UKA</v>
      </c>
      <c r="I1663" s="722"/>
      <c r="J1663" s="2138" t="str">
        <f t="shared" si="124"/>
        <v/>
      </c>
      <c r="K1663" s="2072" t="str">
        <f t="shared" si="124"/>
        <v/>
      </c>
      <c r="L1663" s="2073" t="str">
        <f t="shared" si="124"/>
        <v/>
      </c>
      <c r="M1663" s="2073" t="str">
        <f t="shared" si="124"/>
        <v/>
      </c>
      <c r="N1663" s="2073" t="str">
        <f t="shared" si="124"/>
        <v/>
      </c>
      <c r="O1663" s="485"/>
      <c r="P1663" s="1137"/>
      <c r="Q1663" s="1137"/>
      <c r="R1663" s="1137"/>
      <c r="S1663" s="1137"/>
      <c r="T1663" s="1137"/>
      <c r="U1663" s="1137"/>
      <c r="V1663" s="1137"/>
    </row>
    <row r="1664" spans="1:22" s="562" customFormat="1" ht="12.75" hidden="1" customHeight="1">
      <c r="A1664" s="719" t="s">
        <v>2289</v>
      </c>
      <c r="B1664" s="485"/>
      <c r="C1664" s="559"/>
      <c r="D1664" s="706"/>
      <c r="E1664" s="723" t="s">
        <v>1422</v>
      </c>
      <c r="F1664" s="723"/>
      <c r="G1664" s="723"/>
      <c r="H1664" s="724" t="str">
        <f>EUconst_EUA</f>
        <v>UKA</v>
      </c>
      <c r="I1664" s="725"/>
      <c r="J1664" s="2139" t="str">
        <f t="shared" si="124"/>
        <v/>
      </c>
      <c r="K1664" s="2072" t="str">
        <f t="shared" si="124"/>
        <v/>
      </c>
      <c r="L1664" s="2073" t="str">
        <f t="shared" si="124"/>
        <v/>
      </c>
      <c r="M1664" s="2073" t="str">
        <f t="shared" si="124"/>
        <v/>
      </c>
      <c r="N1664" s="2073" t="str">
        <f t="shared" si="124"/>
        <v/>
      </c>
      <c r="O1664" s="485"/>
      <c r="P1664" s="1137"/>
      <c r="Q1664" s="1137"/>
      <c r="R1664" s="1137"/>
      <c r="S1664" s="1137"/>
      <c r="T1664" s="1137"/>
      <c r="U1664" s="1137"/>
      <c r="V1664" s="1137"/>
    </row>
    <row r="1665" spans="1:22" s="562" customFormat="1" ht="12.75" hidden="1" customHeight="1">
      <c r="A1665" s="719" t="s">
        <v>2289</v>
      </c>
      <c r="B1665" s="485"/>
      <c r="C1665" s="559"/>
      <c r="D1665" s="706"/>
      <c r="E1665" s="745" t="s">
        <v>1390</v>
      </c>
      <c r="F1665" s="745"/>
      <c r="G1665" s="745"/>
      <c r="H1665" s="746" t="str">
        <f>EUconst_EUA</f>
        <v>UKA</v>
      </c>
      <c r="I1665" s="747"/>
      <c r="J1665" s="2148" t="str">
        <f t="shared" si="124"/>
        <v/>
      </c>
      <c r="K1665" s="2072" t="str">
        <f t="shared" si="124"/>
        <v/>
      </c>
      <c r="L1665" s="2073" t="str">
        <f t="shared" si="124"/>
        <v/>
      </c>
      <c r="M1665" s="2073" t="str">
        <f t="shared" si="124"/>
        <v/>
      </c>
      <c r="N1665" s="2073" t="str">
        <f t="shared" si="124"/>
        <v/>
      </c>
      <c r="O1665" s="485"/>
      <c r="P1665" s="1137"/>
      <c r="Q1665" s="1137"/>
      <c r="R1665" s="1137"/>
      <c r="S1665" s="1137"/>
      <c r="T1665" s="1137"/>
      <c r="U1665" s="1137"/>
      <c r="V1665" s="1137"/>
    </row>
    <row r="1666" spans="1:22" s="562" customFormat="1" ht="12.75" customHeight="1">
      <c r="A1666" s="719"/>
      <c r="B1666" s="485"/>
      <c r="C1666" s="559"/>
      <c r="D1666" s="706"/>
      <c r="E1666" s="720" t="s">
        <v>1691</v>
      </c>
      <c r="F1666" s="720"/>
      <c r="G1666" s="720"/>
      <c r="H1666" s="748" t="s">
        <v>1021</v>
      </c>
      <c r="I1666" s="722"/>
      <c r="J1666" s="2149" t="str">
        <f>INDEX(F_ProductBM!J:J,MATCH($P1666,F_ProductBM!$Q:$Q,0))</f>
        <v/>
      </c>
      <c r="K1666" s="2141" t="str">
        <f>INDEX(F_ProductBM!K:K,MATCH($P1666,F_ProductBM!$Q:$Q,0))</f>
        <v/>
      </c>
      <c r="L1666" s="2142" t="str">
        <f>INDEX(F_ProductBM!L:L,MATCH($P1666,F_ProductBM!$Q:$Q,0))</f>
        <v/>
      </c>
      <c r="M1666" s="2142" t="str">
        <f>INDEX(F_ProductBM!M:M,MATCH($P1666,F_ProductBM!$Q:$Q,0))</f>
        <v/>
      </c>
      <c r="N1666" s="2142" t="str">
        <f>INDEX(F_ProductBM!N:N,MATCH($P1666,F_ProductBM!$Q:$Q,0))</f>
        <v/>
      </c>
      <c r="O1666" s="485"/>
      <c r="P1666" s="1158" t="str">
        <f>EUconst_CNTR_HAL &amp; EUconst_CNTR_ELEXCHInitial &amp; I1625</f>
        <v>HAL_ELEXCHIni_</v>
      </c>
      <c r="Q1666" s="1137"/>
      <c r="R1666" s="1137"/>
      <c r="S1666" s="1137"/>
      <c r="T1666" s="1137"/>
      <c r="U1666" s="1137"/>
      <c r="V1666" s="1137"/>
    </row>
    <row r="1667" spans="1:22" s="562" customFormat="1" ht="12.75" customHeight="1">
      <c r="A1667" s="719"/>
      <c r="B1667" s="485"/>
      <c r="C1667" s="559"/>
      <c r="D1667" s="706"/>
      <c r="E1667" s="723" t="s">
        <v>2232</v>
      </c>
      <c r="F1667" s="723"/>
      <c r="G1667" s="723"/>
      <c r="H1667" s="734" t="s">
        <v>1021</v>
      </c>
      <c r="I1667" s="735"/>
      <c r="J1667" s="23" t="str">
        <f>INDEX(F_ProductBM!J:J,MATCH($P1667,F_ProductBM!$Q:$Q,0))</f>
        <v/>
      </c>
      <c r="K1667" s="46" t="str">
        <f>INDEX(F_ProductBM!K:K,MATCH($P1667,F_ProductBM!$Q:$Q,0))</f>
        <v/>
      </c>
      <c r="L1667" s="27" t="str">
        <f>INDEX(F_ProductBM!L:L,MATCH($P1667,F_ProductBM!$Q:$Q,0))</f>
        <v/>
      </c>
      <c r="M1667" s="27" t="str">
        <f>INDEX(F_ProductBM!M:M,MATCH($P1667,F_ProductBM!$Q:$Q,0))</f>
        <v/>
      </c>
      <c r="N1667" s="27" t="str">
        <f>INDEX(F_ProductBM!N:N,MATCH($P1667,F_ProductBM!$Q:$Q,0))</f>
        <v/>
      </c>
      <c r="O1667" s="485"/>
      <c r="P1667" s="1158" t="str">
        <f>EUconst_CNTR_RelThreshold &amp; P1669</f>
        <v>RelThresh_HALprelim_ELEXCH_</v>
      </c>
      <c r="Q1667" s="1137"/>
      <c r="R1667" s="1137"/>
      <c r="S1667" s="1137"/>
      <c r="T1667" s="1137"/>
      <c r="U1667" s="1137"/>
      <c r="V1667" s="1137"/>
    </row>
    <row r="1668" spans="1:22" s="562" customFormat="1" ht="12.75" customHeight="1">
      <c r="A1668" s="719"/>
      <c r="B1668" s="485"/>
      <c r="C1668" s="559"/>
      <c r="D1668" s="706"/>
      <c r="E1668" s="736" t="s">
        <v>1852</v>
      </c>
      <c r="F1668" s="736"/>
      <c r="G1668" s="736"/>
      <c r="H1668" s="737" t="s">
        <v>1021</v>
      </c>
      <c r="I1668" s="738"/>
      <c r="J1668" s="2145" t="str">
        <f>INDEX(F_ProductBM!V:V,MATCH($P1668,F_ProductBM!$Q:$Q,0))</f>
        <v/>
      </c>
      <c r="K1668" s="2134" t="str">
        <f>INDEX(F_ProductBM!W:W,MATCH($P1668,F_ProductBM!$Q:$Q,0))</f>
        <v/>
      </c>
      <c r="L1668" s="2135" t="str">
        <f>INDEX(F_ProductBM!X:X,MATCH($P1668,F_ProductBM!$Q:$Q,0))</f>
        <v/>
      </c>
      <c r="M1668" s="2135" t="str">
        <f>INDEX(F_ProductBM!Y:Y,MATCH($P1668,F_ProductBM!$Q:$Q,0))</f>
        <v/>
      </c>
      <c r="N1668" s="2135" t="str">
        <f>INDEX(F_ProductBM!Z:Z,MATCH($P1668,F_ProductBM!$Q:$Q,0))</f>
        <v/>
      </c>
      <c r="O1668" s="485"/>
      <c r="P1668" s="1158" t="str">
        <f>P1667</f>
        <v>RelThresh_HALprelim_ELEXCH_</v>
      </c>
      <c r="Q1668" s="1137"/>
      <c r="R1668" s="1137"/>
      <c r="S1668" s="1137"/>
      <c r="T1668" s="1137"/>
      <c r="U1668" s="1137"/>
      <c r="V1668" s="1137"/>
    </row>
    <row r="1669" spans="1:22" s="562" customFormat="1" ht="12.75" customHeight="1">
      <c r="A1669" s="719"/>
      <c r="B1669" s="485"/>
      <c r="C1669" s="559"/>
      <c r="D1669" s="706"/>
      <c r="E1669" s="727" t="s">
        <v>1689</v>
      </c>
      <c r="F1669" s="727"/>
      <c r="G1669" s="727"/>
      <c r="H1669" s="749" t="s">
        <v>1021</v>
      </c>
      <c r="I1669" s="727"/>
      <c r="J1669" s="2150" t="str">
        <f>IF($I1628=TRUE,INDEX(F_ProductBM!J:J,MATCH($P1669,F_ProductBM!$Q:$Q,0)),"")</f>
        <v/>
      </c>
      <c r="K1669" s="2141" t="str">
        <f>IF($I1628=TRUE,INDEX(F_ProductBM!K:K,MATCH($P1669,F_ProductBM!$Q:$Q,0)),"")</f>
        <v/>
      </c>
      <c r="L1669" s="2142" t="str">
        <f>IF($I1628=TRUE,INDEX(F_ProductBM!L:L,MATCH($P1669,F_ProductBM!$Q:$Q,0)),"")</f>
        <v/>
      </c>
      <c r="M1669" s="2142" t="str">
        <f>IF($I1628=TRUE,INDEX(F_ProductBM!M:M,MATCH($P1669,F_ProductBM!$Q:$Q,0)),"")</f>
        <v/>
      </c>
      <c r="N1669" s="2142" t="str">
        <f>IF($I1628=TRUE,INDEX(F_ProductBM!N:N,MATCH($P1669,F_ProductBM!$Q:$Q,0)),"")</f>
        <v/>
      </c>
      <c r="O1669" s="485"/>
      <c r="P1669" s="1158" t="str">
        <f>EUconst_CNTR_HALprelim&amp;EUconst_CNTR_ELEXCH&amp;$I1625</f>
        <v>HALprelim_ELEXCH_</v>
      </c>
      <c r="Q1669" s="1137"/>
      <c r="R1669" s="1137"/>
      <c r="S1669" s="1137"/>
      <c r="T1669" s="1137"/>
      <c r="U1669" s="1137"/>
      <c r="V1669" s="1137"/>
    </row>
    <row r="1670" spans="1:22" s="562" customFormat="1" ht="12.75" hidden="1" customHeight="1">
      <c r="A1670" s="719" t="s">
        <v>2289</v>
      </c>
      <c r="B1670" s="485"/>
      <c r="C1670" s="559"/>
      <c r="D1670" s="706"/>
      <c r="E1670" s="727" t="s">
        <v>1391</v>
      </c>
      <c r="F1670" s="727"/>
      <c r="G1670" s="727"/>
      <c r="H1670" s="750" t="s">
        <v>1021</v>
      </c>
      <c r="I1670" s="729"/>
      <c r="J1670" s="2143" t="str">
        <f>I1739</f>
        <v/>
      </c>
      <c r="K1670" s="2141" t="str">
        <f>J1739</f>
        <v/>
      </c>
      <c r="L1670" s="2142" t="str">
        <f>K1739</f>
        <v/>
      </c>
      <c r="M1670" s="2142" t="str">
        <f>L1739</f>
        <v/>
      </c>
      <c r="N1670" s="2142" t="str">
        <f>M1739</f>
        <v/>
      </c>
      <c r="O1670" s="485"/>
      <c r="P1670" s="1137"/>
      <c r="Q1670" s="1137"/>
      <c r="R1670" s="1137"/>
      <c r="S1670" s="1137"/>
      <c r="T1670" s="1137"/>
      <c r="U1670" s="1137"/>
      <c r="V1670" s="1137"/>
    </row>
    <row r="1671" spans="1:22" s="562" customFormat="1" ht="12.75" customHeight="1">
      <c r="A1671" s="719"/>
      <c r="B1671" s="485"/>
      <c r="C1671" s="559"/>
      <c r="D1671" s="706"/>
      <c r="E1671" s="698" t="s">
        <v>1671</v>
      </c>
      <c r="F1671" s="698"/>
      <c r="G1671" s="698"/>
      <c r="H1671" s="730" t="str">
        <f>EUconst_EUA</f>
        <v>UKA</v>
      </c>
      <c r="I1671" s="731"/>
      <c r="J1671" s="2129" t="str">
        <f>IF($I1628=TRUE,MAX(0,ROUND((SUM($M1628)*SUM(J1662)*SUM(J1669)*SUM(J1670)-SUM(J1663)-SUM(J1664)+SUM(J1665))*IF($H1628=TRUE,1,J$2517),0)),"")</f>
        <v/>
      </c>
      <c r="K1671" s="2072" t="str">
        <f>IF($I1628=TRUE,MAX(0,ROUND((SUM($M1628)*SUM(K1662)*SUM(K1669)*SUM(K1670)-SUM(K1663)-SUM(K1664)+SUM(K1665))*IF($H1628=TRUE,1,K$2517),0)),"")</f>
        <v/>
      </c>
      <c r="L1671" s="2073" t="str">
        <f>IF($I1628=TRUE,MAX(0,ROUND((SUM($M1628)*SUM(L1662)*SUM(L1669)*SUM(L1670)-SUM(L1663)-SUM(L1664)+SUM(L1665))*IF($H1628=TRUE,1,L$2517),0)),"")</f>
        <v/>
      </c>
      <c r="M1671" s="2073" t="str">
        <f>IF($I1628=TRUE,MAX(0,ROUND((SUM($M1628)*SUM(M1662)*SUM(M1669)*SUM(M1670)-SUM(M1663)-SUM(M1664)+SUM(M1665))*IF($H1628=TRUE,1,M$2517),0)),"")</f>
        <v/>
      </c>
      <c r="N1671" s="2073" t="str">
        <f>IF($I1628=TRUE,MAX(0,ROUND((SUM($M1628)*SUM(N1662)*SUM(N1669)*SUM(N1670)-SUM(N1663)-SUM(N1664)+SUM(N1665))*IF($H1628=TRUE,1,N$2517),0)),"")</f>
        <v/>
      </c>
      <c r="O1671" s="485"/>
      <c r="P1671" s="1137"/>
      <c r="Q1671" s="1137"/>
      <c r="R1671" s="1137"/>
      <c r="S1671" s="1137"/>
      <c r="T1671" s="1137"/>
      <c r="U1671" s="1137"/>
      <c r="V1671" s="1137"/>
    </row>
    <row r="1672" spans="1:22" s="562" customFormat="1" ht="12.75" customHeight="1">
      <c r="A1672" s="719"/>
      <c r="B1672" s="485"/>
      <c r="C1672" s="559"/>
      <c r="D1672" s="706"/>
      <c r="E1672" s="698" t="s">
        <v>1670</v>
      </c>
      <c r="F1672" s="698"/>
      <c r="G1672" s="698"/>
      <c r="H1672" s="730" t="str">
        <f>EUconst_EUA</f>
        <v>UKA</v>
      </c>
      <c r="I1672" s="731"/>
      <c r="J1672" s="2129" t="str">
        <f>IF($I1628=TRUE,ABS(SUM(J1671)-SUM(J1645)),"")</f>
        <v/>
      </c>
      <c r="K1672" s="2072" t="str">
        <f>IF($I1628=TRUE,ABS(SUM(K1671)-SUM(K1645)),"")</f>
        <v/>
      </c>
      <c r="L1672" s="2073" t="str">
        <f>IF($I1628=TRUE,ABS(SUM(L1671)-SUM(L1645)),"")</f>
        <v/>
      </c>
      <c r="M1672" s="2073" t="str">
        <f>IF($I1628=TRUE,ABS(SUM(M1671)-SUM(M1645)),"")</f>
        <v/>
      </c>
      <c r="N1672" s="2073" t="str">
        <f>IF($I1628=TRUE,ABS(SUM(N1671)-SUM(N1645)),"")</f>
        <v/>
      </c>
      <c r="O1672" s="485"/>
      <c r="P1672" s="1137"/>
      <c r="Q1672" s="1137"/>
      <c r="R1672" s="1137"/>
      <c r="S1672" s="1137"/>
      <c r="T1672" s="1137"/>
      <c r="U1672" s="1137"/>
      <c r="V1672" s="1137"/>
    </row>
    <row r="1673" spans="1:22" s="562" customFormat="1" ht="12.75" customHeight="1">
      <c r="A1673" s="719"/>
      <c r="B1673" s="485"/>
      <c r="C1673" s="559"/>
      <c r="D1673" s="706"/>
      <c r="E1673" s="740" t="s">
        <v>2131</v>
      </c>
      <c r="F1673" s="740"/>
      <c r="G1673" s="740"/>
      <c r="H1673" s="741" t="s">
        <v>1021</v>
      </c>
      <c r="I1673" s="742"/>
      <c r="J1673" s="2147" t="str">
        <f>IF($I1628=TRUE,J1672&gt;=100,"")</f>
        <v/>
      </c>
      <c r="K1673" s="2134" t="str">
        <f>IF($I1628=TRUE,K1672&gt;=100,"")</f>
        <v/>
      </c>
      <c r="L1673" s="2135" t="str">
        <f>IF($I1628=TRUE,L1672&gt;=100,"")</f>
        <v/>
      </c>
      <c r="M1673" s="2135" t="str">
        <f>IF($I1628=TRUE,M1672&gt;=100,"")</f>
        <v/>
      </c>
      <c r="N1673" s="2135" t="str">
        <f>IF($I1628=TRUE,N1672&gt;=100,"")</f>
        <v/>
      </c>
      <c r="O1673" s="485"/>
      <c r="P1673" s="1158" t="str">
        <f>EUconst_CNTR_100EUA_ElExch&amp;I1625</f>
        <v>EUA100ElExch_</v>
      </c>
      <c r="Q1673" s="1137"/>
      <c r="R1673" s="1137"/>
      <c r="S1673" s="1137"/>
      <c r="T1673" s="1137"/>
      <c r="U1673" s="1137"/>
      <c r="V1673" s="1137"/>
    </row>
    <row r="1674" spans="1:22" s="562" customFormat="1" ht="5.0999999999999996" customHeight="1">
      <c r="A1674" s="719"/>
      <c r="B1674" s="485"/>
      <c r="C1674" s="559"/>
      <c r="D1674" s="706"/>
      <c r="E1674" s="485"/>
      <c r="F1674" s="485"/>
      <c r="G1674" s="485"/>
      <c r="H1674" s="485"/>
      <c r="I1674" s="743"/>
      <c r="J1674" s="485"/>
      <c r="K1674" s="1790"/>
      <c r="L1674" s="1791"/>
      <c r="M1674" s="1791"/>
      <c r="N1674" s="1791"/>
      <c r="O1674" s="485"/>
      <c r="P1674" s="1137"/>
      <c r="Q1674" s="1137"/>
      <c r="R1674" s="1137"/>
      <c r="S1674" s="1137"/>
      <c r="T1674" s="1137"/>
      <c r="U1674" s="1137"/>
      <c r="V1674" s="1137"/>
    </row>
    <row r="1675" spans="1:22" s="562" customFormat="1" ht="12.75" customHeight="1">
      <c r="A1675" s="719"/>
      <c r="B1675" s="485"/>
      <c r="C1675" s="559"/>
      <c r="D1675" s="706"/>
      <c r="E1675" s="707" t="s">
        <v>1754</v>
      </c>
      <c r="F1675" s="637"/>
      <c r="G1675" s="637"/>
      <c r="H1675" s="663" t="str">
        <f>EUconst_Unit</f>
        <v>Unit</v>
      </c>
      <c r="I1675" s="708"/>
      <c r="J1675" s="2132">
        <f>J$2737</f>
        <v>2026</v>
      </c>
      <c r="K1675" s="1489">
        <f>K$2737</f>
        <v>2027</v>
      </c>
      <c r="L1675" s="1490">
        <f>L$2737</f>
        <v>2028</v>
      </c>
      <c r="M1675" s="1490">
        <f>M$2737</f>
        <v>2029</v>
      </c>
      <c r="N1675" s="1490">
        <f>N$2737</f>
        <v>2030</v>
      </c>
      <c r="O1675" s="485"/>
      <c r="P1675" s="1137"/>
      <c r="Q1675" s="1137"/>
      <c r="R1675" s="1137"/>
      <c r="S1675" s="1137"/>
      <c r="T1675" s="1137"/>
      <c r="U1675" s="1137"/>
      <c r="V1675" s="1137"/>
    </row>
    <row r="1676" spans="1:22" s="562" customFormat="1" ht="12.75" hidden="1" customHeight="1">
      <c r="A1676" s="719" t="s">
        <v>2289</v>
      </c>
      <c r="B1676" s="485"/>
      <c r="C1676" s="559"/>
      <c r="D1676" s="706"/>
      <c r="E1676" s="698" t="s">
        <v>1714</v>
      </c>
      <c r="F1676" s="698"/>
      <c r="G1676" s="698"/>
      <c r="H1676" s="639" t="str">
        <f>H1662</f>
        <v>tonnes</v>
      </c>
      <c r="I1676" s="698"/>
      <c r="J1676" s="2137" t="str">
        <f>I1734</f>
        <v/>
      </c>
      <c r="K1676" s="2072" t="str">
        <f>J1734</f>
        <v/>
      </c>
      <c r="L1676" s="2073" t="str">
        <f>K1734</f>
        <v/>
      </c>
      <c r="M1676" s="2073" t="str">
        <f>L1734</f>
        <v/>
      </c>
      <c r="N1676" s="2073" t="str">
        <f>M1734</f>
        <v/>
      </c>
      <c r="O1676" s="485"/>
      <c r="P1676" s="1137"/>
      <c r="Q1676" s="1137"/>
      <c r="R1676" s="1137"/>
      <c r="S1676" s="1137"/>
      <c r="T1676" s="1137"/>
      <c r="U1676" s="1137"/>
      <c r="V1676" s="1137"/>
    </row>
    <row r="1677" spans="1:22" s="562" customFormat="1" ht="12.75" customHeight="1">
      <c r="A1677" s="719"/>
      <c r="B1677" s="485"/>
      <c r="C1677" s="559"/>
      <c r="D1677" s="706"/>
      <c r="E1677" s="720" t="s">
        <v>1691</v>
      </c>
      <c r="F1677" s="720"/>
      <c r="G1677" s="720"/>
      <c r="H1677" s="748" t="str">
        <f>EUconst_EUA</f>
        <v>UKA</v>
      </c>
      <c r="I1677" s="722"/>
      <c r="J1677" s="2144" t="str">
        <f>IF(R1631,SUM(INDEX(F_ProductBM!J:J,MATCH($P1677,F_ProductBM!$Q:$Q,0))),"")</f>
        <v/>
      </c>
      <c r="K1677" s="2072" t="str">
        <f>IF(S1631,SUM(INDEX(F_ProductBM!K:K,MATCH($P1677,F_ProductBM!$Q:$Q,0))),"")</f>
        <v/>
      </c>
      <c r="L1677" s="2073" t="str">
        <f>IF(T1631,SUM(INDEX(F_ProductBM!L:L,MATCH($P1677,F_ProductBM!$Q:$Q,0))),"")</f>
        <v/>
      </c>
      <c r="M1677" s="2073" t="str">
        <f>IF(U1631,SUM(INDEX(F_ProductBM!M:M,MATCH($P1677,F_ProductBM!$Q:$Q,0))),"")</f>
        <v/>
      </c>
      <c r="N1677" s="2073" t="str">
        <f>IF(V1631,SUM(INDEX(F_ProductBM!N:N,MATCH($P1677,F_ProductBM!$Q:$Q,0))),"")</f>
        <v/>
      </c>
      <c r="O1677" s="485"/>
      <c r="P1677" s="1158" t="str">
        <f>EUconst_CNTR_HEATInitial &amp; I1625</f>
        <v>HEATIni_</v>
      </c>
      <c r="Q1677" s="1137"/>
      <c r="R1677" s="1137"/>
      <c r="S1677" s="1137"/>
      <c r="T1677" s="1137"/>
      <c r="U1677" s="1137"/>
      <c r="V1677" s="1137"/>
    </row>
    <row r="1678" spans="1:22" s="562" customFormat="1" ht="12.75" customHeight="1">
      <c r="A1678" s="719"/>
      <c r="B1678" s="485"/>
      <c r="C1678" s="559"/>
      <c r="D1678" s="706"/>
      <c r="E1678" s="723" t="s">
        <v>2232</v>
      </c>
      <c r="F1678" s="723"/>
      <c r="G1678" s="723"/>
      <c r="H1678" s="734" t="s">
        <v>1021</v>
      </c>
      <c r="I1678" s="735"/>
      <c r="J1678" s="23" t="str">
        <f>INDEX(F_ProductBM!J:J,MATCH($P1678,F_ProductBM!$Q:$Q,0))</f>
        <v/>
      </c>
      <c r="K1678" s="46" t="str">
        <f>INDEX(F_ProductBM!K:K,MATCH($P1678,F_ProductBM!$Q:$Q,0))</f>
        <v/>
      </c>
      <c r="L1678" s="27" t="str">
        <f>INDEX(F_ProductBM!L:L,MATCH($P1678,F_ProductBM!$Q:$Q,0))</f>
        <v/>
      </c>
      <c r="M1678" s="27" t="str">
        <f>INDEX(F_ProductBM!M:M,MATCH($P1678,F_ProductBM!$Q:$Q,0))</f>
        <v/>
      </c>
      <c r="N1678" s="27" t="str">
        <f>INDEX(F_ProductBM!N:N,MATCH($P1678,F_ProductBM!$Q:$Q,0))</f>
        <v/>
      </c>
      <c r="O1678" s="485"/>
      <c r="P1678" s="1158" t="str">
        <f>EUconst_CNTR_RelThreshold &amp; P1680</f>
        <v>RelThresh_HEATprelim_</v>
      </c>
      <c r="Q1678" s="1137"/>
      <c r="R1678" s="1137"/>
      <c r="S1678" s="1137"/>
      <c r="T1678" s="1137"/>
      <c r="U1678" s="1137"/>
      <c r="V1678" s="1137"/>
    </row>
    <row r="1679" spans="1:22" s="562" customFormat="1" ht="12.75" customHeight="1">
      <c r="A1679" s="719"/>
      <c r="B1679" s="485"/>
      <c r="C1679" s="559"/>
      <c r="D1679" s="706"/>
      <c r="E1679" s="736" t="s">
        <v>1853</v>
      </c>
      <c r="F1679" s="736"/>
      <c r="G1679" s="736"/>
      <c r="H1679" s="737" t="s">
        <v>1021</v>
      </c>
      <c r="I1679" s="738"/>
      <c r="J1679" s="2145" t="str">
        <f>INDEX(F_ProductBM!V:V,MATCH($P1679,F_ProductBM!$Q:$Q,0))</f>
        <v/>
      </c>
      <c r="K1679" s="2134" t="str">
        <f>INDEX(F_ProductBM!W:W,MATCH($P1679,F_ProductBM!$Q:$Q,0))</f>
        <v/>
      </c>
      <c r="L1679" s="2135" t="str">
        <f>INDEX(F_ProductBM!X:X,MATCH($P1679,F_ProductBM!$Q:$Q,0))</f>
        <v/>
      </c>
      <c r="M1679" s="2135" t="str">
        <f>INDEX(F_ProductBM!Y:Y,MATCH($P1679,F_ProductBM!$Q:$Q,0))</f>
        <v/>
      </c>
      <c r="N1679" s="2135" t="str">
        <f>INDEX(F_ProductBM!Z:Z,MATCH($P1679,F_ProductBM!$Q:$Q,0))</f>
        <v/>
      </c>
      <c r="O1679" s="485"/>
      <c r="P1679" s="1158" t="str">
        <f>P1678</f>
        <v>RelThresh_HEATprelim_</v>
      </c>
      <c r="Q1679" s="1137"/>
      <c r="R1679" s="1137"/>
      <c r="S1679" s="1137"/>
      <c r="T1679" s="1137"/>
      <c r="U1679" s="1137"/>
      <c r="V1679" s="1137"/>
    </row>
    <row r="1680" spans="1:22" s="562" customFormat="1" ht="12.75" customHeight="1">
      <c r="A1680" s="719"/>
      <c r="B1680" s="485"/>
      <c r="C1680" s="559"/>
      <c r="D1680" s="706"/>
      <c r="E1680" s="727" t="s">
        <v>1689</v>
      </c>
      <c r="F1680" s="727"/>
      <c r="G1680" s="727"/>
      <c r="H1680" s="749" t="str">
        <f>EUconst_EUA</f>
        <v>UKA</v>
      </c>
      <c r="I1680" s="727"/>
      <c r="J1680" s="2146" t="str">
        <f>IF($I1625="","",INDEX(F_ProductBM!J:J,MATCH($P1680,F_ProductBM!$Q:$Q,0)))</f>
        <v/>
      </c>
      <c r="K1680" s="2072" t="str">
        <f>IF($I1625="","",INDEX(F_ProductBM!K:K,MATCH($P1680,F_ProductBM!$Q:$Q,0)))</f>
        <v/>
      </c>
      <c r="L1680" s="2073" t="str">
        <f>IF($I1625="","",INDEX(F_ProductBM!L:L,MATCH($P1680,F_ProductBM!$Q:$Q,0)))</f>
        <v/>
      </c>
      <c r="M1680" s="2073" t="str">
        <f>IF($I1625="","",INDEX(F_ProductBM!M:M,MATCH($P1680,F_ProductBM!$Q:$Q,0)))</f>
        <v/>
      </c>
      <c r="N1680" s="2073" t="str">
        <f>IF($I1625="","",INDEX(F_ProductBM!N:N,MATCH($P1680,F_ProductBM!$Q:$Q,0)))</f>
        <v/>
      </c>
      <c r="O1680" s="485"/>
      <c r="P1680" s="1158" t="str">
        <f>EUconst_CNTR_HEATprelim&amp;I1625</f>
        <v>HEATprelim_</v>
      </c>
      <c r="Q1680" s="1137"/>
      <c r="R1680" s="1137"/>
      <c r="S1680" s="1137"/>
      <c r="T1680" s="1137"/>
      <c r="U1680" s="1137"/>
      <c r="V1680" s="1137"/>
    </row>
    <row r="1681" spans="1:22" s="562" customFormat="1" ht="12.75" hidden="1" customHeight="1">
      <c r="A1681" s="719" t="s">
        <v>2289</v>
      </c>
      <c r="B1681" s="485"/>
      <c r="C1681" s="559"/>
      <c r="D1681" s="706"/>
      <c r="E1681" s="723" t="s">
        <v>1422</v>
      </c>
      <c r="F1681" s="723"/>
      <c r="G1681" s="723"/>
      <c r="H1681" s="724" t="str">
        <f>EUconst_EUA</f>
        <v>UKA</v>
      </c>
      <c r="I1681" s="725"/>
      <c r="J1681" s="2139" t="str">
        <f t="shared" ref="J1681:N1684" si="125">I1736</f>
        <v/>
      </c>
      <c r="K1681" s="2072" t="str">
        <f t="shared" si="125"/>
        <v/>
      </c>
      <c r="L1681" s="2073" t="str">
        <f t="shared" si="125"/>
        <v/>
      </c>
      <c r="M1681" s="2073" t="str">
        <f t="shared" si="125"/>
        <v/>
      </c>
      <c r="N1681" s="2073" t="str">
        <f t="shared" si="125"/>
        <v/>
      </c>
      <c r="O1681" s="485"/>
      <c r="P1681" s="1137"/>
      <c r="Q1681" s="1137"/>
      <c r="R1681" s="1137"/>
      <c r="S1681" s="1137"/>
      <c r="T1681" s="1137"/>
      <c r="U1681" s="1137"/>
      <c r="V1681" s="1137"/>
    </row>
    <row r="1682" spans="1:22" s="562" customFormat="1" ht="12.75" hidden="1" customHeight="1">
      <c r="A1682" s="719" t="s">
        <v>2289</v>
      </c>
      <c r="B1682" s="485"/>
      <c r="C1682" s="559"/>
      <c r="D1682" s="706"/>
      <c r="E1682" s="723" t="s">
        <v>1390</v>
      </c>
      <c r="F1682" s="723"/>
      <c r="G1682" s="723"/>
      <c r="H1682" s="724" t="str">
        <f>EUconst_EUA</f>
        <v>UKA</v>
      </c>
      <c r="I1682" s="725"/>
      <c r="J1682" s="2139" t="str">
        <f t="shared" si="125"/>
        <v/>
      </c>
      <c r="K1682" s="2072" t="str">
        <f t="shared" si="125"/>
        <v/>
      </c>
      <c r="L1682" s="2073" t="str">
        <f t="shared" si="125"/>
        <v/>
      </c>
      <c r="M1682" s="2073" t="str">
        <f t="shared" si="125"/>
        <v/>
      </c>
      <c r="N1682" s="2073" t="str">
        <f t="shared" si="125"/>
        <v/>
      </c>
      <c r="O1682" s="485"/>
      <c r="P1682" s="1137"/>
      <c r="Q1682" s="1137"/>
      <c r="R1682" s="1137"/>
      <c r="S1682" s="1137"/>
      <c r="T1682" s="1137"/>
      <c r="U1682" s="1137"/>
      <c r="V1682" s="1137"/>
    </row>
    <row r="1683" spans="1:22" s="562" customFormat="1" ht="12.75" hidden="1" customHeight="1">
      <c r="A1683" s="719" t="s">
        <v>2289</v>
      </c>
      <c r="B1683" s="485"/>
      <c r="C1683" s="559"/>
      <c r="D1683" s="706"/>
      <c r="E1683" s="723" t="s">
        <v>1389</v>
      </c>
      <c r="F1683" s="723"/>
      <c r="G1683" s="723"/>
      <c r="H1683" s="726" t="s">
        <v>1021</v>
      </c>
      <c r="I1683" s="725"/>
      <c r="J1683" s="2140" t="str">
        <f t="shared" si="125"/>
        <v/>
      </c>
      <c r="K1683" s="2141" t="str">
        <f t="shared" si="125"/>
        <v/>
      </c>
      <c r="L1683" s="2142" t="str">
        <f t="shared" si="125"/>
        <v/>
      </c>
      <c r="M1683" s="2142" t="str">
        <f t="shared" si="125"/>
        <v/>
      </c>
      <c r="N1683" s="2142" t="str">
        <f t="shared" si="125"/>
        <v/>
      </c>
      <c r="O1683" s="485"/>
      <c r="P1683" s="1137"/>
      <c r="Q1683" s="1137"/>
      <c r="R1683" s="1137"/>
      <c r="S1683" s="1137"/>
      <c r="T1683" s="1137"/>
      <c r="U1683" s="1137"/>
      <c r="V1683" s="1137"/>
    </row>
    <row r="1684" spans="1:22" s="562" customFormat="1" ht="12.75" hidden="1" customHeight="1">
      <c r="A1684" s="719" t="s">
        <v>2289</v>
      </c>
      <c r="B1684" s="485"/>
      <c r="C1684" s="559"/>
      <c r="D1684" s="706"/>
      <c r="E1684" s="727" t="s">
        <v>1391</v>
      </c>
      <c r="F1684" s="727"/>
      <c r="G1684" s="727"/>
      <c r="H1684" s="728" t="s">
        <v>1021</v>
      </c>
      <c r="I1684" s="729"/>
      <c r="J1684" s="2143" t="str">
        <f t="shared" si="125"/>
        <v/>
      </c>
      <c r="K1684" s="2141" t="str">
        <f t="shared" si="125"/>
        <v/>
      </c>
      <c r="L1684" s="2142" t="str">
        <f t="shared" si="125"/>
        <v/>
      </c>
      <c r="M1684" s="2142" t="str">
        <f t="shared" si="125"/>
        <v/>
      </c>
      <c r="N1684" s="2142" t="str">
        <f t="shared" si="125"/>
        <v/>
      </c>
      <c r="O1684" s="485"/>
      <c r="P1684" s="1137"/>
      <c r="Q1684" s="1137"/>
      <c r="R1684" s="1137"/>
      <c r="S1684" s="1137"/>
      <c r="T1684" s="1137"/>
      <c r="U1684" s="1137"/>
      <c r="V1684" s="1137"/>
    </row>
    <row r="1685" spans="1:22" s="562" customFormat="1" ht="12.75" customHeight="1">
      <c r="A1685" s="719"/>
      <c r="B1685" s="485"/>
      <c r="C1685" s="559"/>
      <c r="D1685" s="706"/>
      <c r="E1685" s="698" t="s">
        <v>1671</v>
      </c>
      <c r="F1685" s="698"/>
      <c r="G1685" s="698"/>
      <c r="H1685" s="730" t="str">
        <f>EUconst_EUA</f>
        <v>UKA</v>
      </c>
      <c r="I1685" s="731"/>
      <c r="J1685" s="2129" t="str">
        <f>IF($I1625="","",MAX(0,ROUND((SUM($M1628)*SUM(J1676)*SUM(J1683)*SUM(J1684)-SUM(J1680)-SUM(J1681)+SUM(J1682))*IF($H1628=TRUE,1,J$2517),0)))</f>
        <v/>
      </c>
      <c r="K1685" s="2072" t="str">
        <f>IF($I1625="","",MAX(0,ROUND((SUM($M1628)*SUM(K1676)*SUM(K1683)*SUM(K1684)-SUM(K1680)-SUM(K1681)+SUM(K1682))*IF($H1628=TRUE,1,K$2517),0)))</f>
        <v/>
      </c>
      <c r="L1685" s="2073" t="str">
        <f>IF($I1625="","",MAX(0,ROUND((SUM($M1628)*SUM(L1676)*SUM(L1683)*SUM(L1684)-SUM(L1680)-SUM(L1681)+SUM(L1682))*IF($H1628=TRUE,1,L$2517),0)))</f>
        <v/>
      </c>
      <c r="M1685" s="2073" t="str">
        <f>IF($I1625="","",MAX(0,ROUND((SUM($M1628)*SUM(M1676)*SUM(M1683)*SUM(M1684)-SUM(M1680)-SUM(M1681)+SUM(M1682))*IF($H1628=TRUE,1,M$2517),0)))</f>
        <v/>
      </c>
      <c r="N1685" s="2073" t="str">
        <f>IF($I1625="","",MAX(0,ROUND((SUM($M1628)*SUM(N1676)*SUM(N1683)*SUM(N1684)-SUM(N1680)-SUM(N1681)+SUM(N1682))*IF($H1628=TRUE,1,N$2517),0)))</f>
        <v/>
      </c>
      <c r="O1685" s="485"/>
      <c r="P1685" s="1137"/>
      <c r="Q1685" s="1137"/>
      <c r="R1685" s="1137"/>
      <c r="S1685" s="1137"/>
      <c r="T1685" s="1137"/>
      <c r="U1685" s="1137"/>
      <c r="V1685" s="1137"/>
    </row>
    <row r="1686" spans="1:22" s="562" customFormat="1" ht="12.75" customHeight="1">
      <c r="A1686" s="719"/>
      <c r="B1686" s="485"/>
      <c r="C1686" s="559"/>
      <c r="D1686" s="706"/>
      <c r="E1686" s="698" t="s">
        <v>1670</v>
      </c>
      <c r="F1686" s="698"/>
      <c r="G1686" s="698"/>
      <c r="H1686" s="730" t="str">
        <f>EUconst_EUA</f>
        <v>UKA</v>
      </c>
      <c r="I1686" s="731"/>
      <c r="J1686" s="2129" t="str">
        <f>IF($I1625="","",ABS(SUM(J1685)-SUM(J1645)))</f>
        <v/>
      </c>
      <c r="K1686" s="2072" t="str">
        <f>IF($I1625="","",ABS(SUM(K1685)-SUM(K1645)))</f>
        <v/>
      </c>
      <c r="L1686" s="2073" t="str">
        <f>IF($I1625="","",ABS(SUM(L1685)-SUM(L1645)))</f>
        <v/>
      </c>
      <c r="M1686" s="2073" t="str">
        <f>IF($I1625="","",ABS(SUM(M1685)-SUM(M1645)))</f>
        <v/>
      </c>
      <c r="N1686" s="2073" t="str">
        <f>IF($I1625="","",ABS(SUM(N1685)-SUM(N1645)))</f>
        <v/>
      </c>
      <c r="O1686" s="485"/>
      <c r="P1686" s="1137"/>
      <c r="Q1686" s="1137"/>
      <c r="R1686" s="1137"/>
      <c r="S1686" s="1137"/>
      <c r="T1686" s="1137"/>
      <c r="U1686" s="1137"/>
      <c r="V1686" s="1137"/>
    </row>
    <row r="1687" spans="1:22" s="562" customFormat="1" ht="12.75" customHeight="1">
      <c r="A1687" s="719"/>
      <c r="B1687" s="485"/>
      <c r="C1687" s="559"/>
      <c r="D1687" s="706"/>
      <c r="E1687" s="740" t="s">
        <v>2132</v>
      </c>
      <c r="F1687" s="740"/>
      <c r="G1687" s="740"/>
      <c r="H1687" s="741" t="s">
        <v>1021</v>
      </c>
      <c r="I1687" s="742"/>
      <c r="J1687" s="2147" t="str">
        <f>IF($I1625="","",J1686&gt;=100)</f>
        <v/>
      </c>
      <c r="K1687" s="2134" t="str">
        <f>IF($I1625="","",K1686&gt;=100)</f>
        <v/>
      </c>
      <c r="L1687" s="2135" t="str">
        <f>IF($I1625="","",L1686&gt;=100)</f>
        <v/>
      </c>
      <c r="M1687" s="2135" t="str">
        <f>IF($I1625="","",M1686&gt;=100)</f>
        <v/>
      </c>
      <c r="N1687" s="2135" t="str">
        <f>IF($I1625="","",N1686&gt;=100)</f>
        <v/>
      </c>
      <c r="O1687" s="485"/>
      <c r="P1687" s="1158" t="str">
        <f>EUconst_CNTR_100EUA_HEAT&amp;I1625</f>
        <v>EUA100HEAT_</v>
      </c>
      <c r="Q1687" s="1137"/>
      <c r="R1687" s="1137"/>
      <c r="S1687" s="1137"/>
      <c r="T1687" s="1137"/>
      <c r="U1687" s="1137"/>
      <c r="V1687" s="1137"/>
    </row>
    <row r="1688" spans="1:22" s="562" customFormat="1" ht="5.0999999999999996" customHeight="1">
      <c r="A1688" s="719"/>
      <c r="B1688" s="485"/>
      <c r="C1688" s="559"/>
      <c r="D1688" s="706"/>
      <c r="E1688" s="485"/>
      <c r="F1688" s="485"/>
      <c r="G1688" s="485"/>
      <c r="H1688" s="485"/>
      <c r="I1688" s="743"/>
      <c r="J1688" s="485"/>
      <c r="K1688" s="1790"/>
      <c r="L1688" s="1791"/>
      <c r="M1688" s="1791"/>
      <c r="N1688" s="1791"/>
      <c r="O1688" s="485"/>
      <c r="P1688" s="1137"/>
      <c r="Q1688" s="1137"/>
      <c r="R1688" s="1137"/>
      <c r="S1688" s="1137"/>
      <c r="T1688" s="1137"/>
      <c r="U1688" s="1137"/>
      <c r="V1688" s="1137"/>
    </row>
    <row r="1689" spans="1:22" s="562" customFormat="1" ht="12.75" customHeight="1">
      <c r="A1689" s="719"/>
      <c r="B1689" s="485"/>
      <c r="C1689" s="559"/>
      <c r="D1689" s="706"/>
      <c r="E1689" s="707" t="s">
        <v>1755</v>
      </c>
      <c r="F1689" s="637"/>
      <c r="G1689" s="637"/>
      <c r="H1689" s="663" t="str">
        <f>EUconst_Unit</f>
        <v>Unit</v>
      </c>
      <c r="I1689" s="708"/>
      <c r="J1689" s="2132">
        <f>J$2737</f>
        <v>2026</v>
      </c>
      <c r="K1689" s="1489">
        <f>K$2737</f>
        <v>2027</v>
      </c>
      <c r="L1689" s="1490">
        <f>L$2737</f>
        <v>2028</v>
      </c>
      <c r="M1689" s="1490">
        <f>M$2737</f>
        <v>2029</v>
      </c>
      <c r="N1689" s="1490">
        <f>N$2737</f>
        <v>2030</v>
      </c>
      <c r="O1689" s="485"/>
      <c r="P1689" s="1137"/>
      <c r="Q1689" s="1137"/>
      <c r="R1689" s="1137"/>
      <c r="S1689" s="1137"/>
      <c r="T1689" s="1137"/>
      <c r="U1689" s="1137"/>
      <c r="V1689" s="1137"/>
    </row>
    <row r="1690" spans="1:22" s="562" customFormat="1" ht="12.75" hidden="1" customHeight="1">
      <c r="A1690" s="719" t="s">
        <v>2289</v>
      </c>
      <c r="B1690" s="485"/>
      <c r="C1690" s="559"/>
      <c r="D1690" s="706"/>
      <c r="E1690" s="698" t="s">
        <v>1714</v>
      </c>
      <c r="F1690" s="698"/>
      <c r="G1690" s="698"/>
      <c r="H1690" s="639" t="str">
        <f>H1676</f>
        <v>tonnes</v>
      </c>
      <c r="I1690" s="698"/>
      <c r="J1690" s="2137" t="str">
        <f t="shared" ref="J1690:N1692" si="126">I1734</f>
        <v/>
      </c>
      <c r="K1690" s="2072" t="str">
        <f t="shared" si="126"/>
        <v/>
      </c>
      <c r="L1690" s="2073" t="str">
        <f t="shared" si="126"/>
        <v/>
      </c>
      <c r="M1690" s="2073" t="str">
        <f t="shared" si="126"/>
        <v/>
      </c>
      <c r="N1690" s="2073" t="str">
        <f t="shared" si="126"/>
        <v/>
      </c>
      <c r="O1690" s="485"/>
      <c r="P1690" s="1137"/>
      <c r="Q1690" s="1137"/>
      <c r="R1690" s="1137"/>
      <c r="S1690" s="1137"/>
      <c r="T1690" s="1137"/>
      <c r="U1690" s="1137"/>
      <c r="V1690" s="1137"/>
    </row>
    <row r="1691" spans="1:22" s="562" customFormat="1" ht="12.75" hidden="1" customHeight="1">
      <c r="A1691" s="719" t="s">
        <v>2289</v>
      </c>
      <c r="B1691" s="485"/>
      <c r="C1691" s="559"/>
      <c r="D1691" s="706"/>
      <c r="E1691" s="720" t="s">
        <v>303</v>
      </c>
      <c r="F1691" s="720"/>
      <c r="G1691" s="720"/>
      <c r="H1691" s="721" t="str">
        <f>EUconst_EUA</f>
        <v>UKA</v>
      </c>
      <c r="I1691" s="722"/>
      <c r="J1691" s="2138" t="str">
        <f t="shared" si="126"/>
        <v/>
      </c>
      <c r="K1691" s="2072" t="str">
        <f t="shared" si="126"/>
        <v/>
      </c>
      <c r="L1691" s="2073" t="str">
        <f t="shared" si="126"/>
        <v/>
      </c>
      <c r="M1691" s="2073" t="str">
        <f t="shared" si="126"/>
        <v/>
      </c>
      <c r="N1691" s="2073" t="str">
        <f t="shared" si="126"/>
        <v/>
      </c>
      <c r="O1691" s="485"/>
      <c r="P1691" s="1137"/>
      <c r="Q1691" s="1137"/>
      <c r="R1691" s="1137"/>
      <c r="S1691" s="1137"/>
      <c r="T1691" s="1137"/>
      <c r="U1691" s="1137"/>
      <c r="V1691" s="1137"/>
    </row>
    <row r="1692" spans="1:22" s="562" customFormat="1" ht="12.75" hidden="1" customHeight="1">
      <c r="A1692" s="719" t="s">
        <v>2289</v>
      </c>
      <c r="B1692" s="485"/>
      <c r="C1692" s="559"/>
      <c r="D1692" s="706"/>
      <c r="E1692" s="745" t="s">
        <v>1422</v>
      </c>
      <c r="F1692" s="745"/>
      <c r="G1692" s="745"/>
      <c r="H1692" s="746" t="str">
        <f>EUconst_EUA</f>
        <v>UKA</v>
      </c>
      <c r="I1692" s="747"/>
      <c r="J1692" s="2148" t="str">
        <f t="shared" si="126"/>
        <v/>
      </c>
      <c r="K1692" s="2072" t="str">
        <f t="shared" si="126"/>
        <v/>
      </c>
      <c r="L1692" s="2073" t="str">
        <f t="shared" si="126"/>
        <v/>
      </c>
      <c r="M1692" s="2073" t="str">
        <f t="shared" si="126"/>
        <v/>
      </c>
      <c r="N1692" s="2073" t="str">
        <f t="shared" si="126"/>
        <v/>
      </c>
      <c r="O1692" s="485"/>
      <c r="P1692" s="1137"/>
      <c r="Q1692" s="1137"/>
      <c r="R1692" s="1137"/>
      <c r="S1692" s="1137"/>
      <c r="T1692" s="1137"/>
      <c r="U1692" s="1137"/>
      <c r="V1692" s="1137"/>
    </row>
    <row r="1693" spans="1:22" s="562" customFormat="1" ht="12.75" customHeight="1">
      <c r="A1693" s="719"/>
      <c r="B1693" s="485"/>
      <c r="C1693" s="559"/>
      <c r="D1693" s="706"/>
      <c r="E1693" s="720" t="s">
        <v>1691</v>
      </c>
      <c r="F1693" s="720"/>
      <c r="G1693" s="720"/>
      <c r="H1693" s="721" t="str">
        <f>EUconst_EUA</f>
        <v>UKA</v>
      </c>
      <c r="I1693" s="722"/>
      <c r="J1693" s="2151" t="str">
        <f>IF(L1628=42,INDEX(H_SpecialBM!J:J,MATCH($P1693,H_SpecialBM!$Q:$Q,0)),"")</f>
        <v/>
      </c>
      <c r="K1693" s="2072" t="str">
        <f>IF(L1628=42,INDEX(H_SpecialBM!K:K,MATCH($P1693,H_SpecialBM!$Q:$Q,0)),"")</f>
        <v/>
      </c>
      <c r="L1693" s="2073" t="str">
        <f>IF(L1628=42,INDEX(H_SpecialBM!L:L,MATCH($P1693,H_SpecialBM!$Q:$Q,0)),"")</f>
        <v/>
      </c>
      <c r="M1693" s="2073" t="str">
        <f>IF(L1628=42,INDEX(H_SpecialBM!M:M,MATCH($P1693,H_SpecialBM!$Q:$Q,0)),"")</f>
        <v/>
      </c>
      <c r="N1693" s="2073" t="str">
        <f>IF(L1628=42,INDEX(H_SpecialBM!N:N,MATCH($P1693,H_SpecialBM!$Q:$Q,0)),"")</f>
        <v/>
      </c>
      <c r="O1693" s="485"/>
      <c r="P1693" s="1158" t="str">
        <f>EUconst_CNTR_HVCInitial &amp; INDEX(EUconst_BMlistNames,42)</f>
        <v>HVCIni_Steam cracking</v>
      </c>
      <c r="Q1693" s="1137"/>
      <c r="R1693" s="1137"/>
      <c r="S1693" s="1137"/>
      <c r="T1693" s="1137"/>
      <c r="U1693" s="1137"/>
      <c r="V1693" s="1137"/>
    </row>
    <row r="1694" spans="1:22" s="562" customFormat="1" ht="12.75" customHeight="1">
      <c r="A1694" s="719"/>
      <c r="B1694" s="485"/>
      <c r="C1694" s="559"/>
      <c r="D1694" s="706"/>
      <c r="E1694" s="723" t="s">
        <v>2232</v>
      </c>
      <c r="F1694" s="723"/>
      <c r="G1694" s="723"/>
      <c r="H1694" s="751" t="s">
        <v>1021</v>
      </c>
      <c r="I1694" s="735"/>
      <c r="J1694" s="23" t="str">
        <f>IF(L1628=42,INDEX(H_SpecialBM!J:J,MATCH($P1694,H_SpecialBM!$Q:$Q,0)),"")</f>
        <v/>
      </c>
      <c r="K1694" s="46" t="str">
        <f>IF(L1628=42,INDEX(H_SpecialBM!K:K,MATCH($P1694,H_SpecialBM!$Q:$Q,0)),"")</f>
        <v/>
      </c>
      <c r="L1694" s="27" t="str">
        <f>IF(L1628=42,INDEX(H_SpecialBM!L:L,MATCH($P1694,H_SpecialBM!$Q:$Q,0)),"")</f>
        <v/>
      </c>
      <c r="M1694" s="27" t="str">
        <f>IF(L1628=42,INDEX(H_SpecialBM!M:M,MATCH($P1694,H_SpecialBM!$Q:$Q,0)),"")</f>
        <v/>
      </c>
      <c r="N1694" s="27" t="str">
        <f>IF(L1628=42,INDEX(H_SpecialBM!N:N,MATCH($P1694,H_SpecialBM!$Q:$Q,0)),"")</f>
        <v/>
      </c>
      <c r="O1694" s="485"/>
      <c r="P1694" s="1158" t="str">
        <f>EUconst_CNTR_RelThreshold &amp; P1696</f>
        <v>RelThresh_HVCprelim_</v>
      </c>
      <c r="Q1694" s="1137"/>
      <c r="R1694" s="1137"/>
      <c r="S1694" s="1137"/>
      <c r="T1694" s="1137"/>
      <c r="U1694" s="1137"/>
      <c r="V1694" s="1137"/>
    </row>
    <row r="1695" spans="1:22" s="562" customFormat="1" ht="12.75" customHeight="1">
      <c r="A1695" s="719"/>
      <c r="B1695" s="485"/>
      <c r="C1695" s="559"/>
      <c r="D1695" s="706"/>
      <c r="E1695" s="736" t="s">
        <v>1854</v>
      </c>
      <c r="F1695" s="736"/>
      <c r="G1695" s="736"/>
      <c r="H1695" s="738" t="s">
        <v>1021</v>
      </c>
      <c r="I1695" s="738"/>
      <c r="J1695" s="2145" t="str">
        <f>IF(L1628=42,INDEX(H_SpecialBM!V:V,MATCH($P1695,H_SpecialBM!$Q:$Q,0)),"")</f>
        <v/>
      </c>
      <c r="K1695" s="2134" t="str">
        <f>IF(L1628=42,INDEX(H_SpecialBM!W:W,MATCH($P1695,H_SpecialBM!$Q:$Q,0)),"")</f>
        <v/>
      </c>
      <c r="L1695" s="2135" t="str">
        <f>IF(L1628=42,INDEX(H_SpecialBM!X:X,MATCH($P1695,H_SpecialBM!$Q:$Q,0)),"")</f>
        <v/>
      </c>
      <c r="M1695" s="2135" t="str">
        <f>IF(L1628=42,INDEX(H_SpecialBM!Y:Y,MATCH($P1695,H_SpecialBM!$Q:$Q,0)),"")</f>
        <v/>
      </c>
      <c r="N1695" s="2135" t="str">
        <f>IF(L1628=42,INDEX(H_SpecialBM!Z:Z,MATCH($P1695,H_SpecialBM!$Q:$Q,0)),"")</f>
        <v/>
      </c>
      <c r="O1695" s="485"/>
      <c r="P1695" s="1158" t="str">
        <f>P1694</f>
        <v>RelThresh_HVCprelim_</v>
      </c>
      <c r="Q1695" s="1137"/>
      <c r="R1695" s="1137"/>
      <c r="S1695" s="1137"/>
      <c r="T1695" s="1137"/>
      <c r="U1695" s="1137"/>
      <c r="V1695" s="1137"/>
    </row>
    <row r="1696" spans="1:22" s="562" customFormat="1" ht="12.75" customHeight="1">
      <c r="A1696" s="719"/>
      <c r="B1696" s="485"/>
      <c r="C1696" s="559"/>
      <c r="D1696" s="706"/>
      <c r="E1696" s="727" t="s">
        <v>1689</v>
      </c>
      <c r="F1696" s="727"/>
      <c r="G1696" s="727"/>
      <c r="H1696" s="728" t="str">
        <f>EUconst_EUA</f>
        <v>UKA</v>
      </c>
      <c r="I1696" s="729"/>
      <c r="J1696" s="2152" t="str">
        <f>IF($L1628=42,INDEX(H_SpecialBM!J:J,MATCH($P1696,H_SpecialBM!$Q:$Q,0)),"")</f>
        <v/>
      </c>
      <c r="K1696" s="2072" t="str">
        <f>IF($L1628=42,INDEX(H_SpecialBM!K:K,MATCH($P1696,H_SpecialBM!$Q:$Q,0)),"")</f>
        <v/>
      </c>
      <c r="L1696" s="2073" t="str">
        <f>IF($L1628=42,INDEX(H_SpecialBM!L:L,MATCH($P1696,H_SpecialBM!$Q:$Q,0)),"")</f>
        <v/>
      </c>
      <c r="M1696" s="2073" t="str">
        <f>IF($L1628=42,INDEX(H_SpecialBM!M:M,MATCH($P1696,H_SpecialBM!$Q:$Q,0)),"")</f>
        <v/>
      </c>
      <c r="N1696" s="2073" t="str">
        <f>IF($L1628=42,INDEX(H_SpecialBM!N:N,MATCH($P1696,H_SpecialBM!$Q:$Q,0)),"")</f>
        <v/>
      </c>
      <c r="O1696" s="485"/>
      <c r="P1696" s="1158" t="str">
        <f>EUconst_CNTR_HVCprelim</f>
        <v>HVCprelim_</v>
      </c>
      <c r="Q1696" s="1137"/>
      <c r="R1696" s="1137"/>
      <c r="S1696" s="1137"/>
      <c r="T1696" s="1137"/>
      <c r="U1696" s="1137"/>
      <c r="V1696" s="1137"/>
    </row>
    <row r="1697" spans="1:22" s="562" customFormat="1" ht="12.75" hidden="1" customHeight="1">
      <c r="A1697" s="719" t="s">
        <v>2289</v>
      </c>
      <c r="B1697" s="485"/>
      <c r="C1697" s="559"/>
      <c r="D1697" s="706"/>
      <c r="E1697" s="645" t="s">
        <v>1389</v>
      </c>
      <c r="F1697" s="645"/>
      <c r="G1697" s="645"/>
      <c r="H1697" s="752" t="s">
        <v>1021</v>
      </c>
      <c r="I1697" s="753"/>
      <c r="J1697" s="2153" t="str">
        <f t="shared" ref="J1697:N1698" si="127">I1738</f>
        <v/>
      </c>
      <c r="K1697" s="2141" t="str">
        <f t="shared" si="127"/>
        <v/>
      </c>
      <c r="L1697" s="2142" t="str">
        <f t="shared" si="127"/>
        <v/>
      </c>
      <c r="M1697" s="2142" t="str">
        <f t="shared" si="127"/>
        <v/>
      </c>
      <c r="N1697" s="2142" t="str">
        <f t="shared" si="127"/>
        <v/>
      </c>
      <c r="O1697" s="485"/>
      <c r="P1697" s="1137"/>
      <c r="Q1697" s="1137"/>
      <c r="R1697" s="1137"/>
      <c r="S1697" s="1137"/>
      <c r="T1697" s="1137"/>
      <c r="U1697" s="1137"/>
      <c r="V1697" s="1137"/>
    </row>
    <row r="1698" spans="1:22" s="562" customFormat="1" ht="12.75" hidden="1" customHeight="1">
      <c r="A1698" s="719" t="s">
        <v>2289</v>
      </c>
      <c r="B1698" s="485"/>
      <c r="C1698" s="559"/>
      <c r="D1698" s="706"/>
      <c r="E1698" s="727" t="s">
        <v>1391</v>
      </c>
      <c r="F1698" s="727"/>
      <c r="G1698" s="727"/>
      <c r="H1698" s="728" t="s">
        <v>1021</v>
      </c>
      <c r="I1698" s="729"/>
      <c r="J1698" s="2143" t="str">
        <f t="shared" si="127"/>
        <v/>
      </c>
      <c r="K1698" s="2141" t="str">
        <f t="shared" si="127"/>
        <v/>
      </c>
      <c r="L1698" s="2142" t="str">
        <f t="shared" si="127"/>
        <v/>
      </c>
      <c r="M1698" s="2142" t="str">
        <f t="shared" si="127"/>
        <v/>
      </c>
      <c r="N1698" s="2142" t="str">
        <f t="shared" si="127"/>
        <v/>
      </c>
      <c r="O1698" s="485"/>
      <c r="P1698" s="1137"/>
      <c r="Q1698" s="1137"/>
      <c r="R1698" s="1137"/>
      <c r="S1698" s="1137"/>
      <c r="T1698" s="1137"/>
      <c r="U1698" s="1137"/>
      <c r="V1698" s="1137"/>
    </row>
    <row r="1699" spans="1:22" s="562" customFormat="1" ht="12.75" customHeight="1">
      <c r="A1699" s="719"/>
      <c r="B1699" s="485"/>
      <c r="C1699" s="559"/>
      <c r="D1699" s="706"/>
      <c r="E1699" s="698" t="s">
        <v>1671</v>
      </c>
      <c r="F1699" s="698"/>
      <c r="G1699" s="698"/>
      <c r="H1699" s="730" t="str">
        <f>EUconst_EUA</f>
        <v>UKA</v>
      </c>
      <c r="I1699" s="731"/>
      <c r="J1699" s="2129" t="str">
        <f>IF(J1696="","",MAX(0,ROUND((SUM($M1628)*SUM(J1690)*SUM(J1697)*SUM(J1698)-SUM(J1691)-SUM(J1692)+SUM(J1696))*IF($H1628=TRUE,1,J$2517),0)))</f>
        <v/>
      </c>
      <c r="K1699" s="2072" t="str">
        <f>IF(K1696="","",MAX(0,ROUND((SUM($M1628)*SUM(K1690)*SUM(K1697)*SUM(K1698)-SUM(K1691)-SUM(K1692)+SUM(K1696))*IF($H1628=TRUE,1,K$2517),0)))</f>
        <v/>
      </c>
      <c r="L1699" s="2073" t="str">
        <f>IF(L1696="","",MAX(0,ROUND((SUM($M1628)*SUM(L1690)*SUM(L1697)*SUM(L1698)-SUM(L1691)-SUM(L1692)+SUM(L1696))*IF($H1628=TRUE,1,L$2517),0)))</f>
        <v/>
      </c>
      <c r="M1699" s="2073" t="str">
        <f>IF(M1696="","",MAX(0,ROUND((SUM($M1628)*SUM(M1690)*SUM(M1697)*SUM(M1698)-SUM(M1691)-SUM(M1692)+SUM(M1696))*IF($H1628=TRUE,1,M$2517),0)))</f>
        <v/>
      </c>
      <c r="N1699" s="2073" t="str">
        <f>IF(N1696="","",MAX(0,ROUND((SUM($M1628)*SUM(N1690)*SUM(N1697)*SUM(N1698)-SUM(N1691)-SUM(N1692)+SUM(N1696))*IF($H1628=TRUE,1,N$2517),0)))</f>
        <v/>
      </c>
      <c r="O1699" s="485"/>
      <c r="P1699" s="1137"/>
      <c r="Q1699" s="1137"/>
      <c r="R1699" s="1137"/>
      <c r="S1699" s="1137"/>
      <c r="T1699" s="1137"/>
      <c r="U1699" s="1137"/>
      <c r="V1699" s="1137"/>
    </row>
    <row r="1700" spans="1:22" s="562" customFormat="1" ht="12.75" customHeight="1">
      <c r="A1700" s="719"/>
      <c r="B1700" s="485"/>
      <c r="C1700" s="559"/>
      <c r="D1700" s="706"/>
      <c r="E1700" s="698" t="s">
        <v>1670</v>
      </c>
      <c r="F1700" s="698"/>
      <c r="G1700" s="698"/>
      <c r="H1700" s="730" t="str">
        <f>EUconst_EUA</f>
        <v>UKA</v>
      </c>
      <c r="I1700" s="731"/>
      <c r="J1700" s="2129" t="str">
        <f>IF(J1699="","",ABS(SUM(J1699)-SUM(J1645)))</f>
        <v/>
      </c>
      <c r="K1700" s="2072" t="str">
        <f>IF(K1699="","",ABS(SUM(K1699)-SUM(K1645)))</f>
        <v/>
      </c>
      <c r="L1700" s="2073" t="str">
        <f>IF(L1699="","",ABS(SUM(L1699)-SUM(L1645)))</f>
        <v/>
      </c>
      <c r="M1700" s="2073" t="str">
        <f>IF(M1699="","",ABS(SUM(M1699)-SUM(M1645)))</f>
        <v/>
      </c>
      <c r="N1700" s="2073" t="str">
        <f>IF(N1699="","",ABS(SUM(N1699)-SUM(N1645)))</f>
        <v/>
      </c>
      <c r="O1700" s="485"/>
      <c r="P1700" s="1137"/>
      <c r="Q1700" s="1137"/>
      <c r="R1700" s="1137"/>
      <c r="S1700" s="1137"/>
      <c r="T1700" s="1137"/>
      <c r="U1700" s="1137"/>
      <c r="V1700" s="1137"/>
    </row>
    <row r="1701" spans="1:22" s="562" customFormat="1" ht="12.75" customHeight="1">
      <c r="A1701" s="719"/>
      <c r="B1701" s="485"/>
      <c r="C1701" s="559"/>
      <c r="D1701" s="706"/>
      <c r="E1701" s="740" t="s">
        <v>2133</v>
      </c>
      <c r="F1701" s="698"/>
      <c r="G1701" s="698"/>
      <c r="H1701" s="741" t="s">
        <v>1021</v>
      </c>
      <c r="I1701" s="742"/>
      <c r="J1701" s="2147" t="str">
        <f>IF(J1700="","",J1700&gt;=100)</f>
        <v/>
      </c>
      <c r="K1701" s="2134" t="str">
        <f>IF(K1700="","",K1700&gt;=100)</f>
        <v/>
      </c>
      <c r="L1701" s="2135" t="str">
        <f>IF(L1700="","",L1700&gt;=100)</f>
        <v/>
      </c>
      <c r="M1701" s="2135" t="str">
        <f>IF(M1700="","",M1700&gt;=100)</f>
        <v/>
      </c>
      <c r="N1701" s="2135" t="str">
        <f>IF(N1700="","",N1700&gt;=100)</f>
        <v/>
      </c>
      <c r="O1701" s="485"/>
      <c r="P1701" s="1158" t="str">
        <f>EUconst_CNTR_100EUA_HVC&amp;I1625</f>
        <v>EUA100HVC_</v>
      </c>
      <c r="Q1701" s="1137"/>
      <c r="R1701" s="1137"/>
      <c r="S1701" s="1137"/>
      <c r="T1701" s="1137"/>
      <c r="U1701" s="1137"/>
      <c r="V1701" s="1137"/>
    </row>
    <row r="1702" spans="1:22" s="562" customFormat="1" ht="5.0999999999999996" customHeight="1">
      <c r="A1702" s="719"/>
      <c r="B1702" s="485"/>
      <c r="C1702" s="559"/>
      <c r="D1702" s="706"/>
      <c r="E1702" s="485"/>
      <c r="F1702" s="485"/>
      <c r="G1702" s="485"/>
      <c r="H1702" s="485"/>
      <c r="I1702" s="743"/>
      <c r="J1702" s="485"/>
      <c r="K1702" s="1790"/>
      <c r="L1702" s="1791"/>
      <c r="M1702" s="1791"/>
      <c r="N1702" s="1791"/>
      <c r="O1702" s="485"/>
      <c r="P1702" s="1137"/>
      <c r="Q1702" s="1137"/>
      <c r="R1702" s="1137"/>
      <c r="S1702" s="1137"/>
      <c r="T1702" s="1137"/>
      <c r="U1702" s="1137"/>
      <c r="V1702" s="1137"/>
    </row>
    <row r="1703" spans="1:22" s="562" customFormat="1" ht="12.75" customHeight="1">
      <c r="A1703" s="719"/>
      <c r="B1703" s="485"/>
      <c r="C1703" s="559"/>
      <c r="D1703" s="706"/>
      <c r="E1703" s="707" t="s">
        <v>1756</v>
      </c>
      <c r="F1703" s="637"/>
      <c r="G1703" s="637"/>
      <c r="H1703" s="663" t="str">
        <f>EUconst_Unit</f>
        <v>Unit</v>
      </c>
      <c r="I1703" s="708"/>
      <c r="J1703" s="2132">
        <f>J$2737</f>
        <v>2026</v>
      </c>
      <c r="K1703" s="1489">
        <f>K$2737</f>
        <v>2027</v>
      </c>
      <c r="L1703" s="1490">
        <f>L$2737</f>
        <v>2028</v>
      </c>
      <c r="M1703" s="1490">
        <f>M$2737</f>
        <v>2029</v>
      </c>
      <c r="N1703" s="1490">
        <f>N$2737</f>
        <v>2030</v>
      </c>
      <c r="O1703" s="485"/>
      <c r="P1703" s="1137"/>
      <c r="Q1703" s="1137"/>
      <c r="R1703" s="1137"/>
      <c r="S1703" s="1137"/>
      <c r="T1703" s="1137"/>
      <c r="U1703" s="1137"/>
      <c r="V1703" s="1137"/>
    </row>
    <row r="1704" spans="1:22" s="562" customFormat="1" ht="12.75" hidden="1" customHeight="1">
      <c r="A1704" s="719" t="s">
        <v>2289</v>
      </c>
      <c r="B1704" s="485"/>
      <c r="C1704" s="559"/>
      <c r="D1704" s="706"/>
      <c r="E1704" s="698" t="s">
        <v>1714</v>
      </c>
      <c r="F1704" s="698"/>
      <c r="G1704" s="698"/>
      <c r="H1704" s="639" t="str">
        <f>H1690</f>
        <v>tonnes</v>
      </c>
      <c r="I1704" s="698"/>
      <c r="J1704" s="2137" t="str">
        <f t="shared" ref="J1704:N1708" si="128">I1734</f>
        <v/>
      </c>
      <c r="K1704" s="2072" t="str">
        <f t="shared" si="128"/>
        <v/>
      </c>
      <c r="L1704" s="2073" t="str">
        <f t="shared" si="128"/>
        <v/>
      </c>
      <c r="M1704" s="2073" t="str">
        <f t="shared" si="128"/>
        <v/>
      </c>
      <c r="N1704" s="2073" t="str">
        <f t="shared" si="128"/>
        <v/>
      </c>
      <c r="O1704" s="485"/>
      <c r="P1704" s="1137"/>
      <c r="Q1704" s="1137"/>
      <c r="R1704" s="1137"/>
      <c r="S1704" s="1137"/>
      <c r="T1704" s="1137"/>
      <c r="U1704" s="1137"/>
      <c r="V1704" s="1137"/>
    </row>
    <row r="1705" spans="1:22" s="562" customFormat="1" ht="12.75" hidden="1" customHeight="1">
      <c r="A1705" s="719" t="s">
        <v>2289</v>
      </c>
      <c r="B1705" s="485"/>
      <c r="C1705" s="559"/>
      <c r="D1705" s="706"/>
      <c r="E1705" s="720" t="s">
        <v>303</v>
      </c>
      <c r="F1705" s="720"/>
      <c r="G1705" s="720"/>
      <c r="H1705" s="721" t="str">
        <f>EUconst_EUA</f>
        <v>UKA</v>
      </c>
      <c r="I1705" s="722"/>
      <c r="J1705" s="2138" t="str">
        <f t="shared" si="128"/>
        <v/>
      </c>
      <c r="K1705" s="2072" t="str">
        <f t="shared" si="128"/>
        <v/>
      </c>
      <c r="L1705" s="2073" t="str">
        <f t="shared" si="128"/>
        <v/>
      </c>
      <c r="M1705" s="2073" t="str">
        <f t="shared" si="128"/>
        <v/>
      </c>
      <c r="N1705" s="2073" t="str">
        <f t="shared" si="128"/>
        <v/>
      </c>
      <c r="O1705" s="485"/>
      <c r="P1705" s="1137"/>
      <c r="Q1705" s="1137"/>
      <c r="R1705" s="1137"/>
      <c r="S1705" s="1137"/>
      <c r="T1705" s="1137"/>
      <c r="U1705" s="1137"/>
      <c r="V1705" s="1137"/>
    </row>
    <row r="1706" spans="1:22" s="562" customFormat="1" ht="12.75" hidden="1" customHeight="1">
      <c r="A1706" s="719" t="s">
        <v>2289</v>
      </c>
      <c r="B1706" s="485"/>
      <c r="C1706" s="559"/>
      <c r="D1706" s="706"/>
      <c r="E1706" s="723" t="s">
        <v>1422</v>
      </c>
      <c r="F1706" s="723"/>
      <c r="G1706" s="723"/>
      <c r="H1706" s="724" t="str">
        <f>EUconst_EUA</f>
        <v>UKA</v>
      </c>
      <c r="I1706" s="725"/>
      <c r="J1706" s="2139" t="str">
        <f t="shared" si="128"/>
        <v/>
      </c>
      <c r="K1706" s="2072" t="str">
        <f t="shared" si="128"/>
        <v/>
      </c>
      <c r="L1706" s="2073" t="str">
        <f t="shared" si="128"/>
        <v/>
      </c>
      <c r="M1706" s="2073" t="str">
        <f t="shared" si="128"/>
        <v/>
      </c>
      <c r="N1706" s="2073" t="str">
        <f t="shared" si="128"/>
        <v/>
      </c>
      <c r="O1706" s="485"/>
      <c r="P1706" s="1137"/>
      <c r="Q1706" s="1137"/>
      <c r="R1706" s="1137"/>
      <c r="S1706" s="1137"/>
      <c r="T1706" s="1137"/>
      <c r="U1706" s="1137"/>
      <c r="V1706" s="1137"/>
    </row>
    <row r="1707" spans="1:22" s="562" customFormat="1" ht="12.75" hidden="1" customHeight="1">
      <c r="A1707" s="719" t="s">
        <v>2289</v>
      </c>
      <c r="B1707" s="485"/>
      <c r="C1707" s="559"/>
      <c r="D1707" s="706"/>
      <c r="E1707" s="723" t="s">
        <v>1390</v>
      </c>
      <c r="F1707" s="723"/>
      <c r="G1707" s="723"/>
      <c r="H1707" s="724" t="str">
        <f>EUconst_EUA</f>
        <v>UKA</v>
      </c>
      <c r="I1707" s="725"/>
      <c r="J1707" s="2139" t="str">
        <f t="shared" si="128"/>
        <v/>
      </c>
      <c r="K1707" s="2072" t="str">
        <f t="shared" si="128"/>
        <v/>
      </c>
      <c r="L1707" s="2073" t="str">
        <f t="shared" si="128"/>
        <v/>
      </c>
      <c r="M1707" s="2073" t="str">
        <f t="shared" si="128"/>
        <v/>
      </c>
      <c r="N1707" s="2073" t="str">
        <f t="shared" si="128"/>
        <v/>
      </c>
      <c r="O1707" s="485"/>
      <c r="P1707" s="1137"/>
      <c r="Q1707" s="1137"/>
      <c r="R1707" s="1137"/>
      <c r="S1707" s="1137"/>
      <c r="T1707" s="1137"/>
      <c r="U1707" s="1137"/>
      <c r="V1707" s="1137"/>
    </row>
    <row r="1708" spans="1:22" s="562" customFormat="1" ht="12.75" hidden="1" customHeight="1">
      <c r="A1708" s="719" t="s">
        <v>2289</v>
      </c>
      <c r="B1708" s="485"/>
      <c r="C1708" s="559"/>
      <c r="D1708" s="706"/>
      <c r="E1708" s="745" t="s">
        <v>1389</v>
      </c>
      <c r="F1708" s="745"/>
      <c r="G1708" s="745"/>
      <c r="H1708" s="754" t="s">
        <v>1021</v>
      </c>
      <c r="I1708" s="747"/>
      <c r="J1708" s="2154" t="str">
        <f t="shared" si="128"/>
        <v/>
      </c>
      <c r="K1708" s="2141" t="str">
        <f t="shared" si="128"/>
        <v/>
      </c>
      <c r="L1708" s="2142" t="str">
        <f t="shared" si="128"/>
        <v/>
      </c>
      <c r="M1708" s="2142" t="str">
        <f t="shared" si="128"/>
        <v/>
      </c>
      <c r="N1708" s="2142" t="str">
        <f t="shared" si="128"/>
        <v/>
      </c>
      <c r="O1708" s="485"/>
      <c r="P1708" s="1137"/>
      <c r="Q1708" s="1137"/>
      <c r="R1708" s="1137"/>
      <c r="S1708" s="1137"/>
      <c r="T1708" s="1137"/>
      <c r="U1708" s="1137"/>
      <c r="V1708" s="1137"/>
    </row>
    <row r="1709" spans="1:22" s="562" customFormat="1" ht="12.75" customHeight="1">
      <c r="A1709" s="719"/>
      <c r="B1709" s="485"/>
      <c r="C1709" s="559"/>
      <c r="D1709" s="706"/>
      <c r="E1709" s="720" t="s">
        <v>1691</v>
      </c>
      <c r="F1709" s="720"/>
      <c r="G1709" s="720"/>
      <c r="H1709" s="748" t="s">
        <v>1021</v>
      </c>
      <c r="I1709" s="722"/>
      <c r="J1709" s="2149" t="str">
        <f>IF(L1628=47,INDEX(H_SpecialBM!J:J,MATCH($P1709,H_SpecialBM!$Q:$Q,0)),"")</f>
        <v/>
      </c>
      <c r="K1709" s="2141" t="str">
        <f>IF(L1628=47,INDEX(H_SpecialBM!K:K,MATCH($P1709,H_SpecialBM!$Q:$Q,0)),"")</f>
        <v/>
      </c>
      <c r="L1709" s="2142" t="str">
        <f>IF(L1628=47,INDEX(H_SpecialBM!L:L,MATCH($P1709,H_SpecialBM!$Q:$Q,0)),"")</f>
        <v/>
      </c>
      <c r="M1709" s="2142" t="str">
        <f>IF(L1628=47,INDEX(H_SpecialBM!M:M,MATCH($P1709,H_SpecialBM!$Q:$Q,0)),"")</f>
        <v/>
      </c>
      <c r="N1709" s="2142" t="str">
        <f>IF(L1628=47,INDEX(H_SpecialBM!N:N,MATCH($P1709,H_SpecialBM!$Q:$Q,0)),"")</f>
        <v/>
      </c>
      <c r="O1709" s="485"/>
      <c r="P1709" s="1158" t="str">
        <f>EUconst_CNTR_VCMInitial &amp; INDEX(EUconst_BMlistNames,47)</f>
        <v>VCMIni_Vinyl chloride monomer</v>
      </c>
      <c r="Q1709" s="1137"/>
      <c r="R1709" s="1137"/>
      <c r="S1709" s="1137"/>
      <c r="T1709" s="1137"/>
      <c r="U1709" s="1137"/>
      <c r="V1709" s="1137"/>
    </row>
    <row r="1710" spans="1:22" s="562" customFormat="1" ht="12.75" customHeight="1">
      <c r="A1710" s="719"/>
      <c r="B1710" s="485"/>
      <c r="C1710" s="559"/>
      <c r="D1710" s="706"/>
      <c r="E1710" s="723" t="s">
        <v>2232</v>
      </c>
      <c r="F1710" s="723"/>
      <c r="G1710" s="723"/>
      <c r="H1710" s="751" t="s">
        <v>1021</v>
      </c>
      <c r="I1710" s="735"/>
      <c r="J1710" s="23" t="str">
        <f>IF(L1628=47,INDEX(H_SpecialBM!J:J,MATCH($P1710,H_SpecialBM!$Q:$Q,0)),"")</f>
        <v/>
      </c>
      <c r="K1710" s="46" t="str">
        <f>IF(L1628=47,INDEX(H_SpecialBM!K:K,MATCH($P1710,H_SpecialBM!$Q:$Q,0)),"")</f>
        <v/>
      </c>
      <c r="L1710" s="27" t="str">
        <f>IF(L1628=47,INDEX(H_SpecialBM!L:L,MATCH($P1710,H_SpecialBM!$Q:$Q,0)),"")</f>
        <v/>
      </c>
      <c r="M1710" s="27" t="str">
        <f>IF(L1628=47,INDEX(H_SpecialBM!M:M,MATCH($P1710,H_SpecialBM!$Q:$Q,0)),"")</f>
        <v/>
      </c>
      <c r="N1710" s="27" t="str">
        <f>IF(L1628=47,INDEX(H_SpecialBM!N:N,MATCH($P1710,H_SpecialBM!$Q:$Q,0)),"")</f>
        <v/>
      </c>
      <c r="O1710" s="485"/>
      <c r="P1710" s="1158" t="str">
        <f>EUconst_CNTR_RelThreshold &amp; P1712</f>
        <v>RelThresh_VCMprelim_</v>
      </c>
      <c r="Q1710" s="1137"/>
      <c r="R1710" s="1137"/>
      <c r="S1710" s="1137"/>
      <c r="T1710" s="1137"/>
      <c r="U1710" s="1137"/>
      <c r="V1710" s="1137"/>
    </row>
    <row r="1711" spans="1:22" s="562" customFormat="1" ht="12.75" customHeight="1">
      <c r="A1711" s="719"/>
      <c r="B1711" s="485"/>
      <c r="C1711" s="559"/>
      <c r="D1711" s="706"/>
      <c r="E1711" s="736" t="s">
        <v>1855</v>
      </c>
      <c r="F1711" s="736"/>
      <c r="G1711" s="736"/>
      <c r="H1711" s="738" t="s">
        <v>1021</v>
      </c>
      <c r="I1711" s="738"/>
      <c r="J1711" s="2145" t="str">
        <f>IF(L1628=47,INDEX(H_SpecialBM!V:V,MATCH($P1711,H_SpecialBM!$Q:$Q,0)),"")</f>
        <v/>
      </c>
      <c r="K1711" s="2134" t="str">
        <f>IF(L1628=47,INDEX(H_SpecialBM!W:W,MATCH($P1711,H_SpecialBM!$Q:$Q,0)),"")</f>
        <v/>
      </c>
      <c r="L1711" s="2135" t="str">
        <f>IF(L1628=47,INDEX(H_SpecialBM!X:X,MATCH($P1711,H_SpecialBM!$Q:$Q,0)),"")</f>
        <v/>
      </c>
      <c r="M1711" s="2135" t="str">
        <f>IF(L1628=47,INDEX(H_SpecialBM!Y:Y,MATCH($P1711,H_SpecialBM!$Q:$Q,0)),"")</f>
        <v/>
      </c>
      <c r="N1711" s="2135" t="str">
        <f>IF(L1628=47,INDEX(H_SpecialBM!Z:Z,MATCH($P1711,H_SpecialBM!$Q:$Q,0)),"")</f>
        <v/>
      </c>
      <c r="O1711" s="485"/>
      <c r="P1711" s="1158" t="str">
        <f>P1710</f>
        <v>RelThresh_VCMprelim_</v>
      </c>
      <c r="Q1711" s="1137"/>
      <c r="R1711" s="1137"/>
      <c r="S1711" s="1137"/>
      <c r="T1711" s="1137"/>
      <c r="U1711" s="1137"/>
      <c r="V1711" s="1137"/>
    </row>
    <row r="1712" spans="1:22" s="562" customFormat="1" ht="12.75" customHeight="1">
      <c r="A1712" s="719"/>
      <c r="B1712" s="485"/>
      <c r="C1712" s="559"/>
      <c r="D1712" s="706"/>
      <c r="E1712" s="727" t="s">
        <v>1689</v>
      </c>
      <c r="F1712" s="727"/>
      <c r="G1712" s="727"/>
      <c r="H1712" s="728" t="s">
        <v>1021</v>
      </c>
      <c r="I1712" s="729"/>
      <c r="J1712" s="2150" t="str">
        <f>IF($L1628=47,IF(ISNUMBER(INDEX(H_SpecialBM!J:J,MATCH($P1712,H_SpecialBM!$Q:$Q,0))),INDEX(H_SpecialBM!J:J,MATCH($P1712,H_SpecialBM!$Q:$Q,0)),1),"")</f>
        <v/>
      </c>
      <c r="K1712" s="2141" t="str">
        <f>IF($L1628=47,IF(ISNUMBER(INDEX(H_SpecialBM!K:K,MATCH($P1712,H_SpecialBM!$Q:$Q,0))),INDEX(H_SpecialBM!K:K,MATCH($P1712,H_SpecialBM!$Q:$Q,0)),1),"")</f>
        <v/>
      </c>
      <c r="L1712" s="2142" t="str">
        <f>IF($L1628=47,IF(ISNUMBER(INDEX(H_SpecialBM!L:L,MATCH($P1712,H_SpecialBM!$Q:$Q,0))),INDEX(H_SpecialBM!L:L,MATCH($P1712,H_SpecialBM!$Q:$Q,0)),1),"")</f>
        <v/>
      </c>
      <c r="M1712" s="2142" t="str">
        <f>IF($L1628=47,IF(ISNUMBER(INDEX(H_SpecialBM!M:M,MATCH($P1712,H_SpecialBM!$Q:$Q,0))),INDEX(H_SpecialBM!M:M,MATCH($P1712,H_SpecialBM!$Q:$Q,0)),1),"")</f>
        <v/>
      </c>
      <c r="N1712" s="2142" t="str">
        <f>IF($L1628=47,IF(ISNUMBER(INDEX(H_SpecialBM!N:N,MATCH($P1712,H_SpecialBM!$Q:$Q,0))),INDEX(H_SpecialBM!N:N,MATCH($P1712,H_SpecialBM!$Q:$Q,0)),1),"")</f>
        <v/>
      </c>
      <c r="O1712" s="485"/>
      <c r="P1712" s="1158" t="str">
        <f>EUconst_CNTR_VCMprelim</f>
        <v>VCMprelim_</v>
      </c>
      <c r="Q1712" s="1137"/>
      <c r="R1712" s="1137"/>
      <c r="S1712" s="1137"/>
      <c r="T1712" s="1137"/>
      <c r="U1712" s="1137"/>
      <c r="V1712" s="1137"/>
    </row>
    <row r="1713" spans="1:22" s="562" customFormat="1" ht="12.75" customHeight="1">
      <c r="A1713" s="719"/>
      <c r="B1713" s="485"/>
      <c r="C1713" s="559"/>
      <c r="D1713" s="706"/>
      <c r="E1713" s="698" t="s">
        <v>1671</v>
      </c>
      <c r="F1713" s="698"/>
      <c r="G1713" s="698"/>
      <c r="H1713" s="730" t="str">
        <f>EUconst_EUA</f>
        <v>UKA</v>
      </c>
      <c r="I1713" s="731"/>
      <c r="J1713" s="2129" t="str">
        <f>IF(J1712="","",MAX(0,ROUND((SUM($M1628)*SUM(J1704)*SUM(J1708)*SUM(J1712)-SUM(J1705)-SUM(J1706)+SUM(J1707))*IF($H1628=TRUE,1,J$2517),0)))</f>
        <v/>
      </c>
      <c r="K1713" s="2072" t="str">
        <f>IF(K1712="","",MAX(0,ROUND((SUM($M1628)*SUM(K1704)*SUM(K1708)*SUM(K1712)-SUM(K1705)-SUM(K1706)+SUM(K1707))*IF($H1628=TRUE,1,K$2517),0)))</f>
        <v/>
      </c>
      <c r="L1713" s="2073" t="str">
        <f>IF(L1712="","",MAX(0,ROUND((SUM($M1628)*SUM(L1704)*SUM(L1708)*SUM(L1712)-SUM(L1705)-SUM(L1706)+SUM(L1707))*IF($H1628=TRUE,1,L$2517),0)))</f>
        <v/>
      </c>
      <c r="M1713" s="2073" t="str">
        <f>IF(M1712="","",MAX(0,ROUND((SUM($M1628)*SUM(M1704)*SUM(M1708)*SUM(M1712)-SUM(M1705)-SUM(M1706)+SUM(M1707))*IF($H1628=TRUE,1,M$2517),0)))</f>
        <v/>
      </c>
      <c r="N1713" s="2073" t="str">
        <f>IF(N1712="","",MAX(0,ROUND((SUM($M1628)*SUM(N1704)*SUM(N1708)*SUM(N1712)-SUM(N1705)-SUM(N1706)+SUM(N1707))*IF($H1628=TRUE,1,N$2517),0)))</f>
        <v/>
      </c>
      <c r="O1713" s="485"/>
      <c r="P1713" s="1137"/>
      <c r="Q1713" s="1137"/>
      <c r="R1713" s="1137"/>
      <c r="S1713" s="1137"/>
      <c r="T1713" s="1137"/>
      <c r="U1713" s="1137"/>
      <c r="V1713" s="1137"/>
    </row>
    <row r="1714" spans="1:22" s="562" customFormat="1" ht="12.75" customHeight="1">
      <c r="A1714" s="719"/>
      <c r="B1714" s="485"/>
      <c r="C1714" s="559"/>
      <c r="D1714" s="706"/>
      <c r="E1714" s="698" t="s">
        <v>1670</v>
      </c>
      <c r="F1714" s="698"/>
      <c r="G1714" s="698"/>
      <c r="H1714" s="730" t="str">
        <f>EUconst_EUA</f>
        <v>UKA</v>
      </c>
      <c r="I1714" s="731"/>
      <c r="J1714" s="2129" t="str">
        <f>IF(J1713="","",ABS(SUM(J1713)-SUM(J1645)))</f>
        <v/>
      </c>
      <c r="K1714" s="2072" t="str">
        <f>IF(K1713="","",ABS(SUM(K1713)-SUM(K1645)))</f>
        <v/>
      </c>
      <c r="L1714" s="2073" t="str">
        <f>IF(L1713="","",ABS(SUM(L1713)-SUM(L1645)))</f>
        <v/>
      </c>
      <c r="M1714" s="2073" t="str">
        <f>IF(M1713="","",ABS(SUM(M1713)-SUM(M1645)))</f>
        <v/>
      </c>
      <c r="N1714" s="2073" t="str">
        <f>IF(N1713="","",ABS(SUM(N1713)-SUM(N1645)))</f>
        <v/>
      </c>
      <c r="O1714" s="485"/>
      <c r="P1714" s="1137"/>
      <c r="Q1714" s="1137"/>
      <c r="R1714" s="1137"/>
      <c r="S1714" s="1137"/>
      <c r="T1714" s="1137"/>
      <c r="U1714" s="1137"/>
      <c r="V1714" s="1137"/>
    </row>
    <row r="1715" spans="1:22" s="562" customFormat="1" ht="12.75" customHeight="1">
      <c r="A1715" s="719"/>
      <c r="B1715" s="485"/>
      <c r="C1715" s="559"/>
      <c r="D1715" s="706"/>
      <c r="E1715" s="740" t="s">
        <v>2134</v>
      </c>
      <c r="F1715" s="698"/>
      <c r="G1715" s="698"/>
      <c r="H1715" s="741" t="s">
        <v>1021</v>
      </c>
      <c r="I1715" s="742"/>
      <c r="J1715" s="2147" t="str">
        <f>IF(J1714="","",J1714&gt;=100)</f>
        <v/>
      </c>
      <c r="K1715" s="2134" t="str">
        <f>IF(K1714="","",K1714&gt;=100)</f>
        <v/>
      </c>
      <c r="L1715" s="2135" t="str">
        <f>IF(L1714="","",L1714&gt;=100)</f>
        <v/>
      </c>
      <c r="M1715" s="2135" t="str">
        <f>IF(M1714="","",M1714&gt;=100)</f>
        <v/>
      </c>
      <c r="N1715" s="2135" t="str">
        <f>IF(N1714="","",N1714&gt;=100)</f>
        <v/>
      </c>
      <c r="O1715" s="485"/>
      <c r="P1715" s="1158" t="str">
        <f>EUconst_CNTR_100EUA_VCM&amp;I1652</f>
        <v>EUA100VCM_</v>
      </c>
      <c r="Q1715" s="1137"/>
      <c r="R1715" s="1137"/>
      <c r="S1715" s="1137"/>
      <c r="T1715" s="1137"/>
      <c r="U1715" s="1137"/>
      <c r="V1715" s="1137"/>
    </row>
    <row r="1716" spans="1:22" s="562" customFormat="1" ht="5.0999999999999996" customHeight="1">
      <c r="A1716" s="719"/>
      <c r="B1716" s="485"/>
      <c r="C1716" s="559"/>
      <c r="D1716" s="706"/>
      <c r="E1716" s="485"/>
      <c r="F1716" s="485"/>
      <c r="G1716" s="485"/>
      <c r="H1716" s="485"/>
      <c r="I1716" s="743"/>
      <c r="J1716" s="485"/>
      <c r="K1716" s="1790"/>
      <c r="L1716" s="1791"/>
      <c r="M1716" s="1791"/>
      <c r="N1716" s="1791"/>
      <c r="O1716" s="485"/>
      <c r="P1716" s="1137"/>
      <c r="Q1716" s="1137"/>
      <c r="R1716" s="1137"/>
      <c r="S1716" s="1137"/>
      <c r="T1716" s="1137"/>
      <c r="U1716" s="1137"/>
      <c r="V1716" s="1137"/>
    </row>
    <row r="1717" spans="1:22" s="562" customFormat="1" ht="12.75" customHeight="1">
      <c r="A1717" s="719"/>
      <c r="B1717" s="485"/>
      <c r="C1717" s="559"/>
      <c r="D1717" s="706"/>
      <c r="E1717" s="707" t="s">
        <v>1757</v>
      </c>
      <c r="F1717" s="637"/>
      <c r="G1717" s="637"/>
      <c r="H1717" s="663" t="str">
        <f>EUconst_Unit</f>
        <v>Unit</v>
      </c>
      <c r="I1717" s="708"/>
      <c r="J1717" s="2132">
        <f>J$2737</f>
        <v>2026</v>
      </c>
      <c r="K1717" s="1489">
        <f>K$2737</f>
        <v>2027</v>
      </c>
      <c r="L1717" s="1490">
        <f>L$2737</f>
        <v>2028</v>
      </c>
      <c r="M1717" s="1490">
        <f>M$2737</f>
        <v>2029</v>
      </c>
      <c r="N1717" s="1490">
        <f>N$2737</f>
        <v>2030</v>
      </c>
      <c r="O1717" s="485"/>
      <c r="P1717" s="1137"/>
      <c r="Q1717" s="1137"/>
      <c r="R1717" s="1137"/>
      <c r="S1717" s="1137"/>
      <c r="T1717" s="1137"/>
      <c r="U1717" s="1137"/>
      <c r="V1717" s="1137"/>
    </row>
    <row r="1718" spans="1:22" s="562" customFormat="1" ht="12.75" hidden="1" customHeight="1">
      <c r="A1718" s="719" t="s">
        <v>2289</v>
      </c>
      <c r="B1718" s="485"/>
      <c r="C1718" s="559"/>
      <c r="D1718" s="706"/>
      <c r="E1718" s="698" t="s">
        <v>1714</v>
      </c>
      <c r="F1718" s="698"/>
      <c r="G1718" s="698"/>
      <c r="H1718" s="639" t="str">
        <f>H1704</f>
        <v>tonnes</v>
      </c>
      <c r="I1718" s="698"/>
      <c r="J1718" s="2137" t="str">
        <f t="shared" ref="J1718:N1719" si="129">I1734</f>
        <v/>
      </c>
      <c r="K1718" s="2072" t="str">
        <f t="shared" si="129"/>
        <v/>
      </c>
      <c r="L1718" s="2073" t="str">
        <f t="shared" si="129"/>
        <v/>
      </c>
      <c r="M1718" s="2073" t="str">
        <f t="shared" si="129"/>
        <v/>
      </c>
      <c r="N1718" s="2073" t="str">
        <f t="shared" si="129"/>
        <v/>
      </c>
      <c r="O1718" s="485"/>
      <c r="P1718" s="1137"/>
      <c r="Q1718" s="1137"/>
      <c r="R1718" s="1137"/>
      <c r="S1718" s="1137"/>
      <c r="T1718" s="1137"/>
      <c r="U1718" s="1137"/>
      <c r="V1718" s="1137"/>
    </row>
    <row r="1719" spans="1:22" s="562" customFormat="1" ht="12.75" hidden="1" customHeight="1">
      <c r="A1719" s="719" t="s">
        <v>2289</v>
      </c>
      <c r="B1719" s="485"/>
      <c r="C1719" s="559"/>
      <c r="D1719" s="706"/>
      <c r="E1719" s="720" t="s">
        <v>303</v>
      </c>
      <c r="F1719" s="720"/>
      <c r="G1719" s="720"/>
      <c r="H1719" s="721" t="str">
        <f>EUconst_EUA</f>
        <v>UKA</v>
      </c>
      <c r="I1719" s="722"/>
      <c r="J1719" s="2138" t="str">
        <f t="shared" si="129"/>
        <v/>
      </c>
      <c r="K1719" s="2072" t="str">
        <f t="shared" si="129"/>
        <v/>
      </c>
      <c r="L1719" s="2073" t="str">
        <f t="shared" si="129"/>
        <v/>
      </c>
      <c r="M1719" s="2073" t="str">
        <f t="shared" si="129"/>
        <v/>
      </c>
      <c r="N1719" s="2073" t="str">
        <f t="shared" si="129"/>
        <v/>
      </c>
      <c r="O1719" s="485"/>
      <c r="P1719" s="1137"/>
      <c r="Q1719" s="1137"/>
      <c r="R1719" s="1137"/>
      <c r="S1719" s="1137"/>
      <c r="T1719" s="1137"/>
      <c r="U1719" s="1137"/>
      <c r="V1719" s="1137"/>
    </row>
    <row r="1720" spans="1:22" s="562" customFormat="1" ht="12.75" customHeight="1">
      <c r="A1720" s="719"/>
      <c r="B1720" s="485"/>
      <c r="C1720" s="559"/>
      <c r="D1720" s="706"/>
      <c r="E1720" s="720" t="s">
        <v>1691</v>
      </c>
      <c r="F1720" s="720"/>
      <c r="G1720" s="720"/>
      <c r="H1720" s="748" t="str">
        <f>EUconst_tCO2</f>
        <v>t CO2</v>
      </c>
      <c r="I1720" s="722"/>
      <c r="J1720" s="2144" t="str">
        <f>INDEX(F_ProductBM!J:J,MATCH($P1720,F_ProductBM!$Q:$Q,0))</f>
        <v/>
      </c>
      <c r="K1720" s="2072" t="str">
        <f>INDEX(F_ProductBM!K:K,MATCH($P1720,F_ProductBM!$Q:$Q,0))</f>
        <v/>
      </c>
      <c r="L1720" s="2073" t="str">
        <f>INDEX(F_ProductBM!L:L,MATCH($P1720,F_ProductBM!$Q:$Q,0))</f>
        <v/>
      </c>
      <c r="M1720" s="2073" t="str">
        <f>INDEX(F_ProductBM!M:M,MATCH($P1720,F_ProductBM!$Q:$Q,0))</f>
        <v/>
      </c>
      <c r="N1720" s="2073" t="str">
        <f>INDEX(F_ProductBM!N:N,MATCH($P1720,F_ProductBM!$Q:$Q,0))</f>
        <v/>
      </c>
      <c r="O1720" s="485"/>
      <c r="P1720" s="1158" t="str">
        <f>EUconst_CNTR_HALinitial &amp; EUconst_CNTR_WGFlared &amp; I1625</f>
        <v>HALini_WasteGasFlare_</v>
      </c>
      <c r="Q1720" s="1137"/>
      <c r="R1720" s="1137"/>
      <c r="S1720" s="1137"/>
      <c r="T1720" s="1137"/>
      <c r="U1720" s="1137"/>
      <c r="V1720" s="1137"/>
    </row>
    <row r="1721" spans="1:22" s="562" customFormat="1" ht="12.75" customHeight="1">
      <c r="A1721" s="719"/>
      <c r="B1721" s="485"/>
      <c r="C1721" s="559"/>
      <c r="D1721" s="706"/>
      <c r="E1721" s="723" t="s">
        <v>2232</v>
      </c>
      <c r="F1721" s="723"/>
      <c r="G1721" s="723"/>
      <c r="H1721" s="734" t="s">
        <v>1021</v>
      </c>
      <c r="I1721" s="735"/>
      <c r="J1721" s="23" t="str">
        <f>INDEX(F_ProductBM!J:J,MATCH($P1721,F_ProductBM!$Q:$Q,0))</f>
        <v/>
      </c>
      <c r="K1721" s="46" t="str">
        <f>INDEX(F_ProductBM!K:K,MATCH($P1721,F_ProductBM!$Q:$Q,0))</f>
        <v/>
      </c>
      <c r="L1721" s="27" t="str">
        <f>INDEX(F_ProductBM!L:L,MATCH($P1721,F_ProductBM!$Q:$Q,0))</f>
        <v/>
      </c>
      <c r="M1721" s="27" t="str">
        <f>INDEX(F_ProductBM!M:M,MATCH($P1721,F_ProductBM!$Q:$Q,0))</f>
        <v/>
      </c>
      <c r="N1721" s="27" t="str">
        <f>INDEX(F_ProductBM!N:N,MATCH($P1721,F_ProductBM!$Q:$Q,0))</f>
        <v/>
      </c>
      <c r="O1721" s="485"/>
      <c r="P1721" s="1158" t="str">
        <f>EUconst_CNTR_RelThreshold &amp; P1723</f>
        <v>RelThresh_HALprelim_WasteGasFlare_</v>
      </c>
      <c r="Q1721" s="1137"/>
      <c r="R1721" s="1137"/>
      <c r="S1721" s="1137"/>
      <c r="T1721" s="1137"/>
      <c r="U1721" s="1137"/>
      <c r="V1721" s="1137"/>
    </row>
    <row r="1722" spans="1:22" s="562" customFormat="1" ht="12.75" customHeight="1">
      <c r="A1722" s="719"/>
      <c r="B1722" s="485"/>
      <c r="C1722" s="559"/>
      <c r="D1722" s="706"/>
      <c r="E1722" s="736" t="s">
        <v>1856</v>
      </c>
      <c r="F1722" s="736"/>
      <c r="G1722" s="736"/>
      <c r="H1722" s="737" t="s">
        <v>1021</v>
      </c>
      <c r="I1722" s="738"/>
      <c r="J1722" s="2145" t="str">
        <f>INDEX(F_ProductBM!V:V,MATCH($P1722,F_ProductBM!$Q:$Q,0))</f>
        <v/>
      </c>
      <c r="K1722" s="2134" t="str">
        <f>INDEX(F_ProductBM!W:W,MATCH($P1722,F_ProductBM!$Q:$Q,0))</f>
        <v/>
      </c>
      <c r="L1722" s="2135" t="str">
        <f>INDEX(F_ProductBM!X:X,MATCH($P1722,F_ProductBM!$Q:$Q,0))</f>
        <v/>
      </c>
      <c r="M1722" s="2135" t="str">
        <f>INDEX(F_ProductBM!Y:Y,MATCH($P1722,F_ProductBM!$Q:$Q,0))</f>
        <v/>
      </c>
      <c r="N1722" s="2135" t="str">
        <f>INDEX(F_ProductBM!Z:Z,MATCH($P1722,F_ProductBM!$Q:$Q,0))</f>
        <v/>
      </c>
      <c r="O1722" s="485"/>
      <c r="P1722" s="1158" t="str">
        <f>P1721</f>
        <v>RelThresh_HALprelim_WasteGasFlare_</v>
      </c>
      <c r="Q1722" s="1137"/>
      <c r="R1722" s="1137"/>
      <c r="S1722" s="1137"/>
      <c r="T1722" s="1137"/>
      <c r="U1722" s="1137"/>
      <c r="V1722" s="1137"/>
    </row>
    <row r="1723" spans="1:22" s="562" customFormat="1" ht="12.75" customHeight="1">
      <c r="A1723" s="719"/>
      <c r="B1723" s="485"/>
      <c r="C1723" s="559"/>
      <c r="D1723" s="706"/>
      <c r="E1723" s="727" t="s">
        <v>1689</v>
      </c>
      <c r="F1723" s="727"/>
      <c r="G1723" s="727"/>
      <c r="H1723" s="728" t="str">
        <f>EUconst_tCO2</f>
        <v>t CO2</v>
      </c>
      <c r="I1723" s="729"/>
      <c r="J1723" s="2146" t="str">
        <f>IF(OR($I1625="",CNTR_SubPeriod=1),"",INDEX(F_ProductBM!J:J,MATCH($P1723,F_ProductBM!$Q:$Q,0)))</f>
        <v/>
      </c>
      <c r="K1723" s="2072" t="str">
        <f>IF(OR($I1625="",CNTR_SubPeriod=1),"",INDEX(F_ProductBM!K:K,MATCH($P1723,F_ProductBM!$Q:$Q,0)))</f>
        <v/>
      </c>
      <c r="L1723" s="2073" t="str">
        <f>IF(OR($I1625="",CNTR_SubPeriod=1),"",INDEX(F_ProductBM!L:L,MATCH($P1723,F_ProductBM!$Q:$Q,0)))</f>
        <v/>
      </c>
      <c r="M1723" s="2073" t="str">
        <f>IF(OR($I1625="",CNTR_SubPeriod=1),"",INDEX(F_ProductBM!M:M,MATCH($P1723,F_ProductBM!$Q:$Q,0)))</f>
        <v/>
      </c>
      <c r="N1723" s="2073" t="str">
        <f>IF(OR($I1625="",CNTR_SubPeriod=1),"",INDEX(F_ProductBM!N:N,MATCH($P1723,F_ProductBM!$Q:$Q,0)))</f>
        <v/>
      </c>
      <c r="O1723" s="485"/>
      <c r="P1723" s="1158" t="str">
        <f>EUconst_CNTR_HALprelim&amp;EUconst_CNTR_WGFlared&amp;$I1625</f>
        <v>HALprelim_WasteGasFlare_</v>
      </c>
      <c r="Q1723" s="1137"/>
      <c r="R1723" s="1137"/>
      <c r="S1723" s="1137"/>
      <c r="T1723" s="1137"/>
      <c r="U1723" s="1137"/>
      <c r="V1723" s="1137"/>
    </row>
    <row r="1724" spans="1:22" s="562" customFormat="1" ht="12.75" hidden="1" customHeight="1">
      <c r="A1724" s="719" t="s">
        <v>2289</v>
      </c>
      <c r="B1724" s="485"/>
      <c r="C1724" s="559"/>
      <c r="D1724" s="706"/>
      <c r="E1724" s="723" t="s">
        <v>1390</v>
      </c>
      <c r="F1724" s="723"/>
      <c r="G1724" s="723"/>
      <c r="H1724" s="724" t="str">
        <f>EUconst_EUA</f>
        <v>UKA</v>
      </c>
      <c r="I1724" s="725"/>
      <c r="J1724" s="2139" t="str">
        <f t="shared" ref="J1724:N1726" si="130">I1737</f>
        <v/>
      </c>
      <c r="K1724" s="2072" t="str">
        <f t="shared" si="130"/>
        <v/>
      </c>
      <c r="L1724" s="2073" t="str">
        <f t="shared" si="130"/>
        <v/>
      </c>
      <c r="M1724" s="2073" t="str">
        <f t="shared" si="130"/>
        <v/>
      </c>
      <c r="N1724" s="2073" t="str">
        <f t="shared" si="130"/>
        <v/>
      </c>
      <c r="O1724" s="485"/>
      <c r="P1724" s="1137"/>
      <c r="Q1724" s="1137"/>
      <c r="R1724" s="1137"/>
      <c r="S1724" s="1137"/>
      <c r="T1724" s="1137"/>
      <c r="U1724" s="1137"/>
      <c r="V1724" s="1137"/>
    </row>
    <row r="1725" spans="1:22" s="562" customFormat="1" ht="12.75" hidden="1" customHeight="1">
      <c r="A1725" s="719" t="s">
        <v>2289</v>
      </c>
      <c r="B1725" s="485"/>
      <c r="C1725" s="559"/>
      <c r="D1725" s="706"/>
      <c r="E1725" s="723" t="s">
        <v>1389</v>
      </c>
      <c r="F1725" s="723"/>
      <c r="G1725" s="723"/>
      <c r="H1725" s="726" t="s">
        <v>1021</v>
      </c>
      <c r="I1725" s="725"/>
      <c r="J1725" s="2140" t="str">
        <f t="shared" si="130"/>
        <v/>
      </c>
      <c r="K1725" s="2141" t="str">
        <f t="shared" si="130"/>
        <v/>
      </c>
      <c r="L1725" s="2142" t="str">
        <f t="shared" si="130"/>
        <v/>
      </c>
      <c r="M1725" s="2142" t="str">
        <f t="shared" si="130"/>
        <v/>
      </c>
      <c r="N1725" s="2142" t="str">
        <f t="shared" si="130"/>
        <v/>
      </c>
      <c r="O1725" s="485"/>
      <c r="P1725" s="1137"/>
      <c r="Q1725" s="1137"/>
      <c r="R1725" s="1137"/>
      <c r="S1725" s="1137"/>
      <c r="T1725" s="1137"/>
      <c r="U1725" s="1137"/>
      <c r="V1725" s="1137"/>
    </row>
    <row r="1726" spans="1:22" s="562" customFormat="1" ht="12.75" hidden="1" customHeight="1">
      <c r="A1726" s="719" t="s">
        <v>2289</v>
      </c>
      <c r="B1726" s="485"/>
      <c r="C1726" s="559"/>
      <c r="D1726" s="706"/>
      <c r="E1726" s="727" t="s">
        <v>1391</v>
      </c>
      <c r="F1726" s="727"/>
      <c r="G1726" s="727"/>
      <c r="H1726" s="728" t="s">
        <v>1021</v>
      </c>
      <c r="I1726" s="729"/>
      <c r="J1726" s="2143" t="str">
        <f t="shared" si="130"/>
        <v/>
      </c>
      <c r="K1726" s="2141" t="str">
        <f t="shared" si="130"/>
        <v/>
      </c>
      <c r="L1726" s="2142" t="str">
        <f t="shared" si="130"/>
        <v/>
      </c>
      <c r="M1726" s="2142" t="str">
        <f t="shared" si="130"/>
        <v/>
      </c>
      <c r="N1726" s="2142" t="str">
        <f t="shared" si="130"/>
        <v/>
      </c>
      <c r="O1726" s="485"/>
      <c r="P1726" s="1137"/>
      <c r="Q1726" s="1137"/>
      <c r="R1726" s="1137"/>
      <c r="S1726" s="1137"/>
      <c r="T1726" s="1137"/>
      <c r="U1726" s="1137"/>
      <c r="V1726" s="1137"/>
    </row>
    <row r="1727" spans="1:22" s="562" customFormat="1" ht="12.75" customHeight="1">
      <c r="A1727" s="719"/>
      <c r="B1727" s="485"/>
      <c r="C1727" s="559"/>
      <c r="D1727" s="706"/>
      <c r="E1727" s="698" t="s">
        <v>1671</v>
      </c>
      <c r="F1727" s="698"/>
      <c r="G1727" s="698"/>
      <c r="H1727" s="730" t="str">
        <f>EUconst_EUA</f>
        <v>UKA</v>
      </c>
      <c r="I1727" s="731"/>
      <c r="J1727" s="2129" t="str">
        <f>IF(J1723="","",MAX(0,ROUND((SUM($M1628)*SUM(J1718)*SUM(J1725)*SUM(J1726)-SUM(J1719)-SUM(J1723)+SUM(J1724))*IF($H1628=TRUE,1,J$2517),0)))</f>
        <v/>
      </c>
      <c r="K1727" s="2072" t="str">
        <f>IF(K1723="","",MAX(0,ROUND((SUM($M1628)*SUM(K1718)*SUM(K1725)*SUM(K1726)-SUM(K1719)-SUM(K1723)+SUM(K1724))*IF($H1628=TRUE,1,K$2517),0)))</f>
        <v/>
      </c>
      <c r="L1727" s="2073" t="str">
        <f>IF(L1723="","",MAX(0,ROUND((SUM($M1628)*SUM(L1718)*SUM(L1725)*SUM(L1726)-SUM(L1719)-SUM(L1723)+SUM(L1724))*IF($H1628=TRUE,1,L$2517),0)))</f>
        <v/>
      </c>
      <c r="M1727" s="2073" t="str">
        <f>IF(M1723="","",MAX(0,ROUND((SUM($M1628)*SUM(M1718)*SUM(M1725)*SUM(M1726)-SUM(M1719)-SUM(M1723)+SUM(M1724))*IF($H1628=TRUE,1,M$2517),0)))</f>
        <v/>
      </c>
      <c r="N1727" s="2073" t="str">
        <f>IF(N1723="","",MAX(0,ROUND((SUM($M1628)*SUM(N1718)*SUM(N1725)*SUM(N1726)-SUM(N1719)-SUM(N1723)+SUM(N1724))*IF($H1628=TRUE,1,N$2517),0)))</f>
        <v/>
      </c>
      <c r="O1727" s="485"/>
      <c r="P1727" s="1137"/>
      <c r="Q1727" s="1137"/>
      <c r="R1727" s="1137"/>
      <c r="S1727" s="1137"/>
      <c r="T1727" s="1137"/>
      <c r="U1727" s="1137"/>
      <c r="V1727" s="1137"/>
    </row>
    <row r="1728" spans="1:22" s="562" customFormat="1" ht="12.75" customHeight="1">
      <c r="A1728" s="719"/>
      <c r="B1728" s="485"/>
      <c r="C1728" s="559"/>
      <c r="D1728" s="706"/>
      <c r="E1728" s="698" t="s">
        <v>1670</v>
      </c>
      <c r="F1728" s="698"/>
      <c r="G1728" s="698"/>
      <c r="H1728" s="730" t="str">
        <f>EUconst_EUA</f>
        <v>UKA</v>
      </c>
      <c r="I1728" s="731"/>
      <c r="J1728" s="2129" t="str">
        <f>IF(J1727="","",ABS(SUM(J1727)-SUM(J1645)))</f>
        <v/>
      </c>
      <c r="K1728" s="2072" t="str">
        <f>IF(K1727="","",ABS(SUM(K1727)-SUM(K1645)))</f>
        <v/>
      </c>
      <c r="L1728" s="2073" t="str">
        <f>IF(L1727="","",ABS(SUM(L1727)-SUM(L1645)))</f>
        <v/>
      </c>
      <c r="M1728" s="2073" t="str">
        <f>IF(M1727="","",ABS(SUM(M1727)-SUM(M1645)))</f>
        <v/>
      </c>
      <c r="N1728" s="2073" t="str">
        <f>IF(N1727="","",ABS(SUM(N1727)-SUM(N1645)))</f>
        <v/>
      </c>
      <c r="O1728" s="485"/>
      <c r="P1728" s="1137"/>
      <c r="Q1728" s="1137"/>
      <c r="R1728" s="1137"/>
      <c r="S1728" s="1137"/>
      <c r="T1728" s="1137"/>
      <c r="U1728" s="1137"/>
      <c r="V1728" s="1137"/>
    </row>
    <row r="1729" spans="1:22" s="562" customFormat="1" ht="12.75" customHeight="1">
      <c r="A1729" s="719"/>
      <c r="C1729" s="559"/>
      <c r="D1729" s="706"/>
      <c r="E1729" s="740" t="s">
        <v>2135</v>
      </c>
      <c r="F1729" s="698"/>
      <c r="G1729" s="698"/>
      <c r="H1729" s="741" t="s">
        <v>1021</v>
      </c>
      <c r="I1729" s="742"/>
      <c r="J1729" s="2147" t="str">
        <f>IF(J1728="","",J1728&gt;=100)</f>
        <v/>
      </c>
      <c r="K1729" s="2134" t="str">
        <f>IF(K1728="","",K1728&gt;=100)</f>
        <v/>
      </c>
      <c r="L1729" s="2135" t="str">
        <f>IF(L1728="","",L1728&gt;=100)</f>
        <v/>
      </c>
      <c r="M1729" s="2135" t="str">
        <f>IF(M1728="","",M1728&gt;=100)</f>
        <v/>
      </c>
      <c r="N1729" s="2135" t="str">
        <f>IF(N1728="","",N1728&gt;=100)</f>
        <v/>
      </c>
      <c r="O1729" s="485"/>
      <c r="P1729" s="1158" t="str">
        <f>EUconst_CNTR_100EUA_WGFlare&amp;I1625</f>
        <v>EUA100WGFlare_</v>
      </c>
      <c r="Q1729" s="1137"/>
      <c r="R1729" s="1137"/>
      <c r="S1729" s="1137"/>
      <c r="T1729" s="1137"/>
      <c r="U1729" s="1137"/>
      <c r="V1729" s="1137"/>
    </row>
    <row r="1730" spans="1:22" s="562" customFormat="1" ht="12.75" customHeight="1" thickBot="1">
      <c r="A1730" s="719"/>
      <c r="C1730" s="559"/>
      <c r="D1730" s="755"/>
      <c r="E1730" s="756"/>
      <c r="F1730" s="756"/>
      <c r="G1730" s="756"/>
      <c r="H1730" s="756"/>
      <c r="I1730" s="757"/>
      <c r="J1730" s="756"/>
      <c r="K1730" s="1790"/>
      <c r="L1730" s="1791"/>
      <c r="M1730" s="1791"/>
      <c r="N1730" s="1791"/>
      <c r="O1730" s="485"/>
      <c r="P1730" s="1137"/>
      <c r="Q1730" s="1137"/>
      <c r="R1730" s="1137"/>
      <c r="S1730" s="1137"/>
      <c r="T1730" s="1137"/>
      <c r="U1730" s="1137"/>
      <c r="V1730" s="1137"/>
    </row>
    <row r="1731" spans="1:22" s="562" customFormat="1" ht="5.0999999999999996" customHeight="1" thickBot="1">
      <c r="A1731" s="817"/>
      <c r="C1731" s="559"/>
      <c r="D1731" s="559"/>
      <c r="E1731" s="485"/>
      <c r="F1731" s="485"/>
      <c r="G1731" s="485"/>
      <c r="H1731" s="485"/>
      <c r="I1731" s="743"/>
      <c r="J1731" s="485"/>
      <c r="K1731" s="1790"/>
      <c r="L1731" s="1791"/>
      <c r="M1731" s="1791"/>
      <c r="N1731" s="1791"/>
      <c r="O1731" s="485"/>
      <c r="P1731" s="1137"/>
      <c r="Q1731" s="1137"/>
      <c r="R1731" s="1137"/>
      <c r="S1731" s="1137"/>
      <c r="T1731" s="1137"/>
      <c r="U1731" s="1137"/>
      <c r="V1731" s="1137"/>
    </row>
    <row r="1732" spans="1:22" s="562" customFormat="1" ht="5.0999999999999996" customHeight="1">
      <c r="A1732" s="817"/>
      <c r="C1732" s="485"/>
      <c r="D1732" s="759"/>
      <c r="E1732" s="760"/>
      <c r="F1732" s="760"/>
      <c r="G1732" s="760"/>
      <c r="H1732" s="760"/>
      <c r="I1732" s="761"/>
      <c r="J1732" s="760"/>
      <c r="K1732" s="1790"/>
      <c r="L1732" s="1791"/>
      <c r="M1732" s="1791"/>
      <c r="N1732" s="1791"/>
      <c r="O1732" s="485"/>
      <c r="P1732" s="1137"/>
      <c r="Q1732" s="1137"/>
      <c r="R1732" s="1137"/>
      <c r="S1732" s="1137"/>
      <c r="T1732" s="1117"/>
      <c r="U1732" s="1137"/>
      <c r="V1732" s="1137"/>
    </row>
    <row r="1733" spans="1:22" s="562" customFormat="1">
      <c r="A1733" s="817"/>
      <c r="C1733" s="485"/>
      <c r="D1733" s="539"/>
      <c r="E1733" s="496" t="s">
        <v>1786</v>
      </c>
      <c r="F1733" s="485"/>
      <c r="G1733" s="485"/>
      <c r="H1733" s="663" t="str">
        <f>EUconst_Unit</f>
        <v>Unit</v>
      </c>
      <c r="I1733" s="763" t="s">
        <v>1675</v>
      </c>
      <c r="J1733" s="2132">
        <f>J$2737</f>
        <v>2026</v>
      </c>
      <c r="K1733" s="1489">
        <f>K$2737</f>
        <v>2027</v>
      </c>
      <c r="L1733" s="1490">
        <f>L$2737</f>
        <v>2028</v>
      </c>
      <c r="M1733" s="1490">
        <f>M$2737</f>
        <v>2029</v>
      </c>
      <c r="N1733" s="1490">
        <f>N$2737</f>
        <v>2030</v>
      </c>
      <c r="O1733" s="485"/>
      <c r="P1733" s="1137"/>
      <c r="Q1733" s="1137"/>
      <c r="R1733" s="1137"/>
      <c r="S1733" s="2155" t="s">
        <v>1646</v>
      </c>
      <c r="T1733" s="1117"/>
      <c r="U1733" s="1137"/>
      <c r="V1733" s="1137"/>
    </row>
    <row r="1734" spans="1:22" s="562" customFormat="1">
      <c r="A1734" s="817"/>
      <c r="C1734" s="485"/>
      <c r="D1734" s="539"/>
      <c r="E1734" s="720" t="s">
        <v>1714</v>
      </c>
      <c r="F1734" s="720"/>
      <c r="G1734" s="720"/>
      <c r="H1734" s="732" t="str">
        <f>H1718</f>
        <v>tonnes</v>
      </c>
      <c r="I1734" s="764" t="str">
        <f>IF($I1625="","",IF(T1740&gt;=$H$2736,0,S1734))</f>
        <v/>
      </c>
      <c r="J1734" s="2144" t="str">
        <f>IF($I1625="","",INDEX(F_ProductBM!J:J,MATCH($P1734,F_ProductBM!$Q:$Q,0)))</f>
        <v/>
      </c>
      <c r="K1734" s="2072" t="str">
        <f>IF($I1625="","",INDEX(F_ProductBM!K:K,MATCH($P1734,F_ProductBM!$Q:$Q,0)))</f>
        <v/>
      </c>
      <c r="L1734" s="2073" t="str">
        <f>IF($I1625="","",INDEX(F_ProductBM!L:L,MATCH($P1734,F_ProductBM!$Q:$Q,0)))</f>
        <v/>
      </c>
      <c r="M1734" s="2073" t="str">
        <f>IF($I1625="","",INDEX(F_ProductBM!M:M,MATCH($P1734,F_ProductBM!$Q:$Q,0)))</f>
        <v/>
      </c>
      <c r="N1734" s="2073" t="str">
        <f>IF($I1625="","",INDEX(F_ProductBM!N:N,MATCH($P1734,F_ProductBM!$Q:$Q,0)))</f>
        <v/>
      </c>
      <c r="O1734" s="485"/>
      <c r="P1734" s="1158" t="str">
        <f>EUconst_CNTR_HALfinal&amp;I1625</f>
        <v>HALfinal_</v>
      </c>
      <c r="Q1734" s="1137"/>
      <c r="R1734" s="1137"/>
      <c r="S1734" s="2156" t="str">
        <f>IF($I1625="","",INDEX(F_ProductBM!I:I,MATCH($P1734,F_ProductBM!$Q:$Q,0)))</f>
        <v/>
      </c>
      <c r="T1734" s="1117"/>
      <c r="U1734" s="1137"/>
      <c r="V1734" s="1137"/>
    </row>
    <row r="1735" spans="1:22" s="562" customFormat="1">
      <c r="A1735" s="817"/>
      <c r="C1735" s="485"/>
      <c r="D1735" s="539"/>
      <c r="E1735" s="645" t="s">
        <v>303</v>
      </c>
      <c r="F1735" s="645"/>
      <c r="G1735" s="645"/>
      <c r="H1735" s="765" t="str">
        <f>EUconst_EUA</f>
        <v>UKA</v>
      </c>
      <c r="I1735" s="766" t="str">
        <f>IF($I1625="","",IF(YEAR(J1628)&gt;=$H$2736-1,0,S1735))</f>
        <v/>
      </c>
      <c r="J1735" s="2157" t="str">
        <f>IF($I1625="","",INDEX(F_ProductBM!J:J,MATCH($P1735,F_ProductBM!$Q:$Q,0)))</f>
        <v/>
      </c>
      <c r="K1735" s="2072" t="str">
        <f>IF($I1625="","",INDEX(F_ProductBM!K:K,MATCH($P1735,F_ProductBM!$Q:$Q,0)))</f>
        <v/>
      </c>
      <c r="L1735" s="2073" t="str">
        <f>IF($I1625="","",INDEX(F_ProductBM!L:L,MATCH($P1735,F_ProductBM!$Q:$Q,0)))</f>
        <v/>
      </c>
      <c r="M1735" s="2073" t="str">
        <f>IF($I1625="","",INDEX(F_ProductBM!M:M,MATCH($P1735,F_ProductBM!$Q:$Q,0)))</f>
        <v/>
      </c>
      <c r="N1735" s="2073" t="str">
        <f>IF($I1625="","",INDEX(F_ProductBM!N:N,MATCH($P1735,F_ProductBM!$Q:$Q,0)))</f>
        <v/>
      </c>
      <c r="O1735" s="485"/>
      <c r="P1735" s="1158" t="str">
        <f>EUconst_CNTR_HEATfinal&amp;I1625</f>
        <v>HEATfinal_</v>
      </c>
      <c r="Q1735" s="1137"/>
      <c r="R1735" s="1137"/>
      <c r="S1735" s="2158" t="str">
        <f>IF($I1625="","",INDEX(F_ProductBM!I:I,MATCH($P1735,F_ProductBM!$Q:$Q,0)))</f>
        <v/>
      </c>
      <c r="T1735" s="1117"/>
      <c r="U1735" s="1137"/>
      <c r="V1735" s="1137"/>
    </row>
    <row r="1736" spans="1:22" s="562" customFormat="1">
      <c r="A1736" s="817"/>
      <c r="C1736" s="485"/>
      <c r="D1736" s="539"/>
      <c r="E1736" s="723" t="s">
        <v>1422</v>
      </c>
      <c r="F1736" s="723"/>
      <c r="G1736" s="723"/>
      <c r="H1736" s="724" t="str">
        <f>EUconst_EUA</f>
        <v>UKA</v>
      </c>
      <c r="I1736" s="767" t="str">
        <f>IF($I1625="","",IF(T1740&gt;=$H$2736,0,S1736))</f>
        <v/>
      </c>
      <c r="J1736" s="2159" t="str">
        <f>IF($I1625="","",INDEX(F_ProductBM!J:J,MATCH($P1736,F_ProductBM!$Q:$Q,0)))</f>
        <v/>
      </c>
      <c r="K1736" s="2072" t="str">
        <f>IF($I1625="","",INDEX(F_ProductBM!K:K,MATCH($P1736,F_ProductBM!$Q:$Q,0)))</f>
        <v/>
      </c>
      <c r="L1736" s="2073" t="str">
        <f>IF($I1625="","",INDEX(F_ProductBM!L:L,MATCH($P1736,F_ProductBM!$Q:$Q,0)))</f>
        <v/>
      </c>
      <c r="M1736" s="2073" t="str">
        <f>IF($I1625="","",INDEX(F_ProductBM!M:M,MATCH($P1736,F_ProductBM!$Q:$Q,0)))</f>
        <v/>
      </c>
      <c r="N1736" s="2073" t="str">
        <f>IF($I1625="","",INDEX(F_ProductBM!N:N,MATCH($P1736,F_ProductBM!$Q:$Q,0)))</f>
        <v/>
      </c>
      <c r="O1736" s="485"/>
      <c r="P1736" s="1158" t="str">
        <f>EUconst_CNTR_HALfinal&amp;EUconst_CNTR_WGFlared&amp;$I1625</f>
        <v>HALfinal_WasteGasFlare_</v>
      </c>
      <c r="Q1736" s="1137"/>
      <c r="R1736" s="1137"/>
      <c r="S1736" s="2160" t="str">
        <f>IF($I1625="","",INDEX(F_ProductBM!I:I,MATCH($P1736,F_ProductBM!$Q:$Q,0)))</f>
        <v/>
      </c>
      <c r="T1736" s="1117"/>
      <c r="U1736" s="1137"/>
      <c r="V1736" s="1137"/>
    </row>
    <row r="1737" spans="1:22" s="562" customFormat="1">
      <c r="A1737" s="817"/>
      <c r="C1737" s="485"/>
      <c r="D1737" s="539"/>
      <c r="E1737" s="723" t="s">
        <v>1390</v>
      </c>
      <c r="F1737" s="723"/>
      <c r="G1737" s="723"/>
      <c r="H1737" s="724" t="str">
        <f>EUconst_EUA</f>
        <v>UKA</v>
      </c>
      <c r="I1737" s="767" t="str">
        <f>IF($I1625="","",IF(T1740&gt;=$H$2736,0,IF(L1628=42,S1737,0)))</f>
        <v/>
      </c>
      <c r="J1737" s="2159" t="str">
        <f>IF($I1625="","",IF($L1628=42,INDEX(H_SpecialBM!J:J,MATCH($P1737,H_SpecialBM!$Q:$Q,0)),0))</f>
        <v/>
      </c>
      <c r="K1737" s="2072" t="str">
        <f>IF($I1625="","",IF($L1628=42,INDEX(H_SpecialBM!K:K,MATCH($P1737,H_SpecialBM!$Q:$Q,0)),0))</f>
        <v/>
      </c>
      <c r="L1737" s="2073" t="str">
        <f>IF($I1625="","",IF($L1628=42,INDEX(H_SpecialBM!L:L,MATCH($P1737,H_SpecialBM!$Q:$Q,0)),0))</f>
        <v/>
      </c>
      <c r="M1737" s="2073" t="str">
        <f>IF($I1625="","",IF($L1628=42,INDEX(H_SpecialBM!M:M,MATCH($P1737,H_SpecialBM!$Q:$Q,0)),0))</f>
        <v/>
      </c>
      <c r="N1737" s="2073" t="str">
        <f>IF($I1625="","",IF($L1628=42,INDEX(H_SpecialBM!N:N,MATCH($P1737,H_SpecialBM!$Q:$Q,0)),0))</f>
        <v/>
      </c>
      <c r="O1737" s="485"/>
      <c r="P1737" s="1158" t="str">
        <f>EUconst_CNTR_HVCfinal</f>
        <v>HVCfinal_</v>
      </c>
      <c r="Q1737" s="1137"/>
      <c r="R1737" s="1137"/>
      <c r="S1737" s="2160" t="str">
        <f>IF($I1625="","",IF(L1628=42,INDEX(H_SpecialBM!I:I,MATCH($P1737,H_SpecialBM!$Q:$Q,0)),0))</f>
        <v/>
      </c>
      <c r="T1737" s="1117"/>
      <c r="U1737" s="1137"/>
      <c r="V1737" s="1137"/>
    </row>
    <row r="1738" spans="1:22" s="562" customFormat="1">
      <c r="A1738" s="817"/>
      <c r="C1738" s="485"/>
      <c r="D1738" s="539"/>
      <c r="E1738" s="723" t="s">
        <v>1389</v>
      </c>
      <c r="F1738" s="723"/>
      <c r="G1738" s="723"/>
      <c r="H1738" s="726" t="s">
        <v>1021</v>
      </c>
      <c r="I1738" s="768" t="str">
        <f>IF(AND($I1625&lt;&gt;"",$I1628=TRUE),IF(T1740&gt;=$H$2736,1,S1738),IF($I1625="","",1))</f>
        <v/>
      </c>
      <c r="J1738" s="2161" t="str">
        <f>IF(AND($I1625&lt;&gt;"",$I1628=TRUE),INDEX(F_ProductBM!J:J,MATCH($P1738,F_ProductBM!$Q:$Q,0)),IF($I1625="","",1))</f>
        <v/>
      </c>
      <c r="K1738" s="2141" t="str">
        <f>IF(AND($I1625&lt;&gt;"",$I1628=TRUE),INDEX(F_ProductBM!K:K,MATCH($P1738,F_ProductBM!$Q:$Q,0)),IF($I1625="","",1))</f>
        <v/>
      </c>
      <c r="L1738" s="2142" t="str">
        <f>IF(AND($I1625&lt;&gt;"",$I1628=TRUE),INDEX(F_ProductBM!L:L,MATCH($P1738,F_ProductBM!$Q:$Q,0)),IF($I1625="","",1))</f>
        <v/>
      </c>
      <c r="M1738" s="2142" t="str">
        <f>IF(AND($I1625&lt;&gt;"",$I1628=TRUE),INDEX(F_ProductBM!M:M,MATCH($P1738,F_ProductBM!$Q:$Q,0)),IF($I1625="","",1))</f>
        <v/>
      </c>
      <c r="N1738" s="2142" t="str">
        <f>IF(AND($I1625&lt;&gt;"",$I1628=TRUE),INDEX(F_ProductBM!N:N,MATCH($P1738,F_ProductBM!$Q:$Q,0)),IF($I1625="","",1))</f>
        <v/>
      </c>
      <c r="O1738" s="485"/>
      <c r="P1738" s="1158" t="str">
        <f>EUconst_CNTR_HALfinal&amp;EUconst_CNTR_ELEXCH&amp;$I1625</f>
        <v>HALfinal_ELEXCH_</v>
      </c>
      <c r="Q1738" s="1137"/>
      <c r="R1738" s="1137"/>
      <c r="S1738" s="2162" t="str">
        <f>IF(AND($I1625&lt;&gt;"",$I1628=TRUE),INDEX(F_ProductBM!I:I,MATCH($P1738,F_ProductBM!$Q:$Q,0)),IF($I1625="","",1))</f>
        <v/>
      </c>
      <c r="T1738" s="1137"/>
      <c r="U1738" s="1137"/>
      <c r="V1738" s="1137"/>
    </row>
    <row r="1739" spans="1:22" s="562" customFormat="1">
      <c r="A1739" s="817"/>
      <c r="C1739" s="485"/>
      <c r="D1739" s="539"/>
      <c r="E1739" s="727" t="s">
        <v>1391</v>
      </c>
      <c r="F1739" s="727"/>
      <c r="G1739" s="727"/>
      <c r="H1739" s="728" t="s">
        <v>1021</v>
      </c>
      <c r="I1739" s="769" t="str">
        <f>IF($I1625="","",IF($L1628=47,IF(AND(ISNUMBER(S1739),YEAR(J1628)&lt;2021),S1739,1),1))</f>
        <v/>
      </c>
      <c r="J1739" s="2163" t="str">
        <f>IF($I1625="","",IF($L1628=47,IF(ISNUMBER(INDEX(H_SpecialBM!J:J,MATCH($P1739,H_SpecialBM!$Q:$Q,0))),INDEX(H_SpecialBM!J:J,MATCH($P1739,H_SpecialBM!$Q:$Q,0)),1),1))</f>
        <v/>
      </c>
      <c r="K1739" s="2141" t="str">
        <f>IF($I1625="","",IF($L1628=47,IF(ISNUMBER(INDEX(H_SpecialBM!K:K,MATCH($P1739,H_SpecialBM!$Q:$Q,0))),INDEX(H_SpecialBM!K:K,MATCH($P1739,H_SpecialBM!$Q:$Q,0)),1),1))</f>
        <v/>
      </c>
      <c r="L1739" s="2142" t="str">
        <f>IF($I1625="","",IF($L1628=47,IF(ISNUMBER(INDEX(H_SpecialBM!L:L,MATCH($P1739,H_SpecialBM!$Q:$Q,0))),INDEX(H_SpecialBM!L:L,MATCH($P1739,H_SpecialBM!$Q:$Q,0)),1),1))</f>
        <v/>
      </c>
      <c r="M1739" s="2142" t="str">
        <f>IF($I1625="","",IF($L1628=47,IF(ISNUMBER(INDEX(H_SpecialBM!M:M,MATCH($P1739,H_SpecialBM!$Q:$Q,0))),INDEX(H_SpecialBM!M:M,MATCH($P1739,H_SpecialBM!$Q:$Q,0)),1),1))</f>
        <v/>
      </c>
      <c r="N1739" s="2142" t="str">
        <f>IF($I1625="","",IF($L1628=47,IF(ISNUMBER(INDEX(H_SpecialBM!N:N,MATCH($P1739,H_SpecialBM!$Q:$Q,0))),INDEX(H_SpecialBM!N:N,MATCH($P1739,H_SpecialBM!$Q:$Q,0)),1),1))</f>
        <v/>
      </c>
      <c r="O1739" s="485"/>
      <c r="P1739" s="1158" t="str">
        <f>EUconst_CNTR_VCMfinal</f>
        <v>VCMfinal_</v>
      </c>
      <c r="Q1739" s="1137"/>
      <c r="R1739" s="1137"/>
      <c r="S1739" s="2164" t="str">
        <f>IF($I1625="","",IF($L1628=47,IF(ISNUMBER(INDEX(H_SpecialBM!I:I,MATCH($P1739,H_SpecialBM!$Q:$Q,0))),INDEX(H_SpecialBM!I:I,MATCH($P1739,H_SpecialBM!$Q:$Q,0)),1),1))</f>
        <v/>
      </c>
      <c r="T1739" s="1137"/>
      <c r="U1739" s="1137"/>
      <c r="V1739" s="1137"/>
    </row>
    <row r="1740" spans="1:22" s="562" customFormat="1">
      <c r="A1740" s="817"/>
      <c r="C1740" s="485"/>
      <c r="D1740" s="539"/>
      <c r="E1740" s="698" t="s">
        <v>222</v>
      </c>
      <c r="F1740" s="698"/>
      <c r="G1740" s="698"/>
      <c r="H1740" s="730" t="str">
        <f>EUconst_EUA</f>
        <v>UKA</v>
      </c>
      <c r="I1740" s="770" t="str">
        <f>IF($I1625="","",MAX(0,ROUND((SUM($M1628)*SUM(I1734)*SUM(I1738)*SUM(I1739)-SUM(I1735)-SUM(I1736)+SUM(I1737))*IF($H1628=TRUE,1,J$2517),0)))</f>
        <v/>
      </c>
      <c r="J1740" s="2129" t="str">
        <f>IF($I1625="","",MAX(0,ROUND((SUM($M1628)*SUM(J1734)*SUM(J1738)*SUM(J1739)-SUM(J1735)-SUM(J1736)+SUM(J1737))*IF($H1628=TRUE,1,J$2517),0)))</f>
        <v/>
      </c>
      <c r="K1740" s="2072" t="str">
        <f>IF($I1625="","",MAX(0,ROUND((SUM($M1628)*SUM(K1734)*SUM(K1738)*SUM(K1739)-SUM(K1735)-SUM(K1736)+SUM(K1737))*IF($H1628=TRUE,1,K$2517),0)))</f>
        <v/>
      </c>
      <c r="L1740" s="2073" t="str">
        <f>IF($I1625="","",MAX(0,ROUND((SUM($M1628)*SUM(L1734)*SUM(L1738)*SUM(L1739)-SUM(L1735)-SUM(L1736)+SUM(L1737))*IF($H1628=TRUE,1,L$2517),0)))</f>
        <v/>
      </c>
      <c r="M1740" s="2073" t="str">
        <f>IF($I1625="","",MAX(0,ROUND((SUM($M1628)*SUM(M1734)*SUM(M1738)*SUM(M1739)-SUM(M1735)-SUM(M1736)+SUM(M1737))*IF($H1628=TRUE,1,M$2517),0)))</f>
        <v/>
      </c>
      <c r="N1740" s="2073" t="str">
        <f>IF($I1625="","",MAX(0,ROUND((SUM($M1628)*SUM(N1734)*SUM(N1738)*SUM(N1739)-SUM(N1735)-SUM(N1736)+SUM(N1737))*IF($H1628=TRUE,1,N$2517),0)))</f>
        <v/>
      </c>
      <c r="O1740" s="485"/>
      <c r="P1740" s="1158" t="str">
        <f>EUconst_AllocPrelim&amp;I1625</f>
        <v>AllocPrelim_</v>
      </c>
      <c r="Q1740" s="1137"/>
      <c r="R1740" s="1137"/>
      <c r="S1740" s="2165" t="str">
        <f>IF($I1625="","",MAX(0,ROUND((SUM($M1628)*SUM(S1734)*SUM(S1738)*SUM(S1739)-SUM(S1735)-SUM(S1736)+SUM(S1737))*IF($H1628=TRUE,1,J$2517),0)))</f>
        <v/>
      </c>
      <c r="T1740" s="1137">
        <f>INDEX(F_ProductBM!V:V,MATCH(C1625,F_ProductBM!C:C,0))</f>
        <v>2005</v>
      </c>
      <c r="U1740" s="1137" t="e">
        <f>INDEX(I1740:N1740,CNTR_ReportingYear-$I$2736)&lt;&gt;INDEX(I1740:N1740,CNTR_ReportingYear-$H$2736)</f>
        <v>#REF!</v>
      </c>
      <c r="V1740" s="1137"/>
    </row>
    <row r="1741" spans="1:22" s="562" customFormat="1" ht="5.0999999999999996" customHeight="1" thickBot="1">
      <c r="A1741" s="817"/>
      <c r="C1741" s="485"/>
      <c r="D1741" s="771"/>
      <c r="E1741" s="756"/>
      <c r="F1741" s="756"/>
      <c r="G1741" s="756"/>
      <c r="H1741" s="756"/>
      <c r="I1741" s="756"/>
      <c r="J1741" s="756"/>
      <c r="K1741" s="1790"/>
      <c r="L1741" s="1791"/>
      <c r="M1741" s="1791"/>
      <c r="N1741" s="1791"/>
      <c r="O1741" s="485"/>
      <c r="P1741" s="1137"/>
      <c r="Q1741" s="1137"/>
      <c r="R1741" s="1137"/>
      <c r="S1741" s="1137"/>
      <c r="T1741" s="1137"/>
      <c r="U1741" s="1137"/>
      <c r="V1741" s="1137"/>
    </row>
    <row r="1742" spans="1:22" s="562" customFormat="1" ht="5.0999999999999996" customHeight="1" thickBot="1">
      <c r="A1742" s="817"/>
      <c r="C1742" s="485"/>
      <c r="E1742" s="561"/>
      <c r="F1742" s="485"/>
      <c r="G1742" s="485"/>
      <c r="H1742" s="485"/>
      <c r="I1742" s="485"/>
      <c r="J1742" s="485"/>
      <c r="K1742" s="1790"/>
      <c r="L1742" s="1791"/>
      <c r="M1742" s="1791"/>
      <c r="N1742" s="1791"/>
      <c r="O1742" s="485"/>
      <c r="P1742" s="1137"/>
      <c r="Q1742" s="1137"/>
      <c r="R1742" s="1137"/>
      <c r="S1742" s="1137"/>
      <c r="T1742" s="1137"/>
      <c r="U1742" s="1137"/>
      <c r="V1742" s="1137"/>
    </row>
    <row r="1743" spans="1:22" s="562" customFormat="1" ht="12.75" customHeight="1">
      <c r="A1743" s="817"/>
      <c r="C1743" s="485"/>
      <c r="D1743" s="772"/>
      <c r="E1743" s="773"/>
      <c r="F1743" s="773"/>
      <c r="G1743" s="774"/>
      <c r="H1743" s="774"/>
      <c r="I1743" s="774"/>
      <c r="J1743" s="774"/>
      <c r="K1743" s="1790"/>
      <c r="L1743" s="1791"/>
      <c r="M1743" s="1791"/>
      <c r="N1743" s="1791"/>
      <c r="O1743" s="485"/>
      <c r="P1743" s="1137"/>
      <c r="Q1743" s="1137"/>
      <c r="R1743" s="1137"/>
      <c r="S1743" s="1137"/>
      <c r="T1743" s="1137"/>
      <c r="U1743" s="1137"/>
      <c r="V1743" s="1137"/>
    </row>
    <row r="1744" spans="1:22" s="562" customFormat="1" ht="13.5" thickBot="1">
      <c r="A1744" s="817"/>
      <c r="C1744" s="485"/>
      <c r="D1744" s="776"/>
      <c r="E1744" s="777"/>
      <c r="F1744" s="777"/>
      <c r="G1744" s="778" t="str">
        <f>EUconst_Unit</f>
        <v>Unit</v>
      </c>
      <c r="H1744" s="779">
        <f t="shared" ref="H1744:M1744" si="131">H$2737</f>
        <v>2024</v>
      </c>
      <c r="I1744" s="780">
        <f t="shared" si="131"/>
        <v>2025</v>
      </c>
      <c r="J1744" s="2166">
        <f t="shared" si="131"/>
        <v>2026</v>
      </c>
      <c r="K1744" s="1489">
        <f t="shared" si="131"/>
        <v>2027</v>
      </c>
      <c r="L1744" s="1490">
        <f t="shared" si="131"/>
        <v>2028</v>
      </c>
      <c r="M1744" s="1490">
        <f t="shared" si="131"/>
        <v>2029</v>
      </c>
      <c r="N1744" s="1490">
        <f>N$2737</f>
        <v>2030</v>
      </c>
      <c r="O1744" s="485"/>
      <c r="P1744" s="1137"/>
      <c r="Q1744" s="1137"/>
      <c r="R1744" s="1137"/>
      <c r="S1744" s="1137"/>
      <c r="T1744" s="1117"/>
      <c r="U1744" s="1137"/>
      <c r="V1744" s="1137"/>
    </row>
    <row r="1745" spans="1:22" s="562" customFormat="1" ht="13.5" customHeight="1" thickBot="1">
      <c r="A1745" s="817"/>
      <c r="C1745" s="485"/>
      <c r="D1745" s="776"/>
      <c r="E1745" s="2470" t="s">
        <v>1504</v>
      </c>
      <c r="F1745" s="2470"/>
      <c r="G1745" s="808" t="str">
        <f>EUconst_tCO2epa</f>
        <v>t CO2e/year</v>
      </c>
      <c r="H1745" s="786" t="str">
        <f t="shared" ref="H1745:N1745" si="132">INDEX(H$92:H$108,MATCH($I1625,$E$92:$E$108,0))</f>
        <v/>
      </c>
      <c r="I1745" s="787" t="str">
        <f t="shared" si="132"/>
        <v/>
      </c>
      <c r="J1745" s="2167" t="str">
        <f t="shared" si="132"/>
        <v/>
      </c>
      <c r="K1745" s="2105" t="str">
        <f t="shared" si="132"/>
        <v/>
      </c>
      <c r="L1745" s="1960" t="str">
        <f t="shared" si="132"/>
        <v/>
      </c>
      <c r="M1745" s="1960" t="str">
        <f t="shared" si="132"/>
        <v/>
      </c>
      <c r="N1745" s="1960" t="str">
        <f t="shared" si="132"/>
        <v/>
      </c>
      <c r="O1745" s="485"/>
      <c r="P1745" s="1137"/>
      <c r="Q1745" s="1137"/>
      <c r="R1745" s="1137"/>
      <c r="S1745" s="1137"/>
      <c r="T1745" s="1137"/>
      <c r="U1745" s="1137"/>
      <c r="V1745" s="1137"/>
    </row>
    <row r="1746" spans="1:22" s="562" customFormat="1" ht="5.0999999999999996" customHeight="1">
      <c r="A1746" s="817"/>
      <c r="C1746" s="485"/>
      <c r="D1746" s="776"/>
      <c r="E1746" s="809"/>
      <c r="F1746" s="809"/>
      <c r="G1746" s="777"/>
      <c r="H1746" s="2168"/>
      <c r="I1746" s="2168"/>
      <c r="J1746" s="2168"/>
      <c r="K1746" s="2169"/>
      <c r="L1746" s="2170"/>
      <c r="M1746" s="2170"/>
      <c r="N1746" s="2170"/>
      <c r="O1746" s="485"/>
      <c r="P1746" s="1137"/>
      <c r="Q1746" s="1137"/>
      <c r="R1746" s="1137"/>
      <c r="S1746" s="1137"/>
      <c r="T1746" s="1137"/>
      <c r="U1746" s="1137"/>
      <c r="V1746" s="1137"/>
    </row>
    <row r="1747" spans="1:22" s="562" customFormat="1" ht="12.75" customHeight="1">
      <c r="A1747" s="817"/>
      <c r="C1747" s="485"/>
      <c r="D1747" s="776"/>
      <c r="E1747" s="2471" t="s">
        <v>1344</v>
      </c>
      <c r="F1747" s="3467"/>
      <c r="G1747" s="811" t="str">
        <f>EUconst_TJpa</f>
        <v>TJ / year</v>
      </c>
      <c r="H1747" s="625" t="str">
        <f>IF($I1625="","",IF(INDEX(F_ProductBM!H:H,MATCH($P1747,F_ProductBM!$Q:$Q,0))="","",INDEX(F_ProductBM!H:H,MATCH($P1747,F_ProductBM!$Q:$Q,0))))</f>
        <v/>
      </c>
      <c r="I1747" s="794" t="str">
        <f>IF($I1625="","",IF(INDEX(F_ProductBM!I:I,MATCH($P1747,F_ProductBM!$Q:$Q,0))="","",INDEX(F_ProductBM!I:I,MATCH($P1747,F_ProductBM!$Q:$Q,0))))</f>
        <v/>
      </c>
      <c r="J1747" s="2171" t="str">
        <f>IF($I1625="","",IF(INDEX(F_ProductBM!J:J,MATCH($P1747,F_ProductBM!$Q:$Q,0))="","",INDEX(F_ProductBM!J:J,MATCH($P1747,F_ProductBM!$Q:$Q,0))))</f>
        <v/>
      </c>
      <c r="K1747" s="1788" t="str">
        <f>IF($I1625="","",IF(INDEX(F_ProductBM!K:K,MATCH($P1747,F_ProductBM!$Q:$Q,0))="","",INDEX(F_ProductBM!K:K,MATCH($P1747,F_ProductBM!$Q:$Q,0))))</f>
        <v/>
      </c>
      <c r="L1747" s="1789" t="str">
        <f>IF($I1625="","",IF(INDEX(F_ProductBM!L:L,MATCH($P1747,F_ProductBM!$Q:$Q,0))="","",INDEX(F_ProductBM!L:L,MATCH($P1747,F_ProductBM!$Q:$Q,0))))</f>
        <v/>
      </c>
      <c r="M1747" s="1789" t="str">
        <f>IF($I1625="","",IF(INDEX(F_ProductBM!M:M,MATCH($P1747,F_ProductBM!$Q:$Q,0))="","",INDEX(F_ProductBM!M:M,MATCH($P1747,F_ProductBM!$Q:$Q,0))))</f>
        <v/>
      </c>
      <c r="N1747" s="1789" t="str">
        <f>IF($I1625="","",IF(INDEX(F_ProductBM!N:N,MATCH($P1747,F_ProductBM!$Q:$Q,0))="","",INDEX(F_ProductBM!N:N,MATCH($P1747,F_ProductBM!$Q:$Q,0))))</f>
        <v/>
      </c>
      <c r="O1747" s="485"/>
      <c r="P1747" s="2109" t="str">
        <f>EUconst_CNTR_FuelInput &amp; I1625</f>
        <v>FuelInput_</v>
      </c>
      <c r="Q1747" s="1137"/>
      <c r="R1747" s="1137"/>
      <c r="S1747" s="1137"/>
      <c r="T1747" s="1137"/>
      <c r="U1747" s="1137"/>
      <c r="V1747" s="1137"/>
    </row>
    <row r="1748" spans="1:22" s="562" customFormat="1" ht="12.75" customHeight="1">
      <c r="A1748" s="817"/>
      <c r="C1748" s="485"/>
      <c r="D1748" s="776"/>
      <c r="E1748" s="2473" t="s">
        <v>1182</v>
      </c>
      <c r="F1748" s="3466"/>
      <c r="G1748" s="812" t="str">
        <f>EUconst_tCO2pTJ</f>
        <v>t CO2 / TJ</v>
      </c>
      <c r="H1748" s="627" t="str">
        <f>IF($I1625="","",IF(INDEX(F_ProductBM!H:H,MATCH($P1748,F_ProductBM!$Q:$Q,0))="","",INDEX(F_ProductBM!H:H,MATCH($P1748,F_ProductBM!$Q:$Q,0))))</f>
        <v/>
      </c>
      <c r="I1748" s="796" t="str">
        <f>IF($I1625="","",IF(INDEX(F_ProductBM!I:I,MATCH($P1748,F_ProductBM!$Q:$Q,0))="","",INDEX(F_ProductBM!I:I,MATCH($P1748,F_ProductBM!$Q:$Q,0))))</f>
        <v/>
      </c>
      <c r="J1748" s="2172" t="str">
        <f>IF($I1625="","",IF(INDEX(F_ProductBM!J:J,MATCH($P1748,F_ProductBM!$Q:$Q,0))="","",INDEX(F_ProductBM!J:J,MATCH($P1748,F_ProductBM!$Q:$Q,0))))</f>
        <v/>
      </c>
      <c r="K1748" s="1788" t="str">
        <f>IF($I1625="","",IF(INDEX(F_ProductBM!K:K,MATCH($P1748,F_ProductBM!$Q:$Q,0))="","",INDEX(F_ProductBM!K:K,MATCH($P1748,F_ProductBM!$Q:$Q,0))))</f>
        <v/>
      </c>
      <c r="L1748" s="1789" t="str">
        <f>IF($I1625="","",IF(INDEX(F_ProductBM!L:L,MATCH($P1748,F_ProductBM!$Q:$Q,0))="","",INDEX(F_ProductBM!L:L,MATCH($P1748,F_ProductBM!$Q:$Q,0))))</f>
        <v/>
      </c>
      <c r="M1748" s="1789" t="str">
        <f>IF($I1625="","",IF(INDEX(F_ProductBM!M:M,MATCH($P1748,F_ProductBM!$Q:$Q,0))="","",INDEX(F_ProductBM!M:M,MATCH($P1748,F_ProductBM!$Q:$Q,0))))</f>
        <v/>
      </c>
      <c r="N1748" s="1789" t="str">
        <f>IF($I1625="","",IF(INDEX(F_ProductBM!N:N,MATCH($P1748,F_ProductBM!$Q:$Q,0))="","",INDEX(F_ProductBM!N:N,MATCH($P1748,F_ProductBM!$Q:$Q,0))))</f>
        <v/>
      </c>
      <c r="O1748" s="485"/>
      <c r="P1748" s="1970" t="str">
        <f>EUconst_CNTR_FuelEF &amp; I1625</f>
        <v>FuelEF_</v>
      </c>
      <c r="Q1748" s="1137"/>
      <c r="R1748" s="1137"/>
      <c r="S1748" s="1137"/>
      <c r="T1748" s="1137"/>
      <c r="U1748" s="1137"/>
      <c r="V1748" s="1137"/>
    </row>
    <row r="1749" spans="1:22" s="562" customFormat="1" ht="5.0999999999999996" customHeight="1">
      <c r="A1749" s="817"/>
      <c r="C1749" s="485"/>
      <c r="D1749" s="776"/>
      <c r="E1749" s="809"/>
      <c r="F1749" s="809"/>
      <c r="G1749" s="813"/>
      <c r="H1749" s="2173"/>
      <c r="I1749" s="2173"/>
      <c r="J1749" s="2173"/>
      <c r="K1749" s="1788"/>
      <c r="L1749" s="1789"/>
      <c r="M1749" s="1789"/>
      <c r="N1749" s="1789"/>
      <c r="O1749" s="485"/>
      <c r="P1749" s="1137"/>
      <c r="Q1749" s="1137"/>
      <c r="R1749" s="1137"/>
      <c r="S1749" s="1137"/>
      <c r="T1749" s="1137"/>
      <c r="U1749" s="1137"/>
      <c r="V1749" s="1137"/>
    </row>
    <row r="1750" spans="1:22" s="562" customFormat="1" ht="12.75" customHeight="1">
      <c r="A1750" s="817"/>
      <c r="C1750" s="485"/>
      <c r="D1750" s="776"/>
      <c r="E1750" s="2475" t="s">
        <v>63</v>
      </c>
      <c r="F1750" s="3461"/>
      <c r="G1750" s="815" t="str">
        <f>EUconst_tCO2pa</f>
        <v>t CO2 / year</v>
      </c>
      <c r="H1750" s="623" t="str">
        <f>IF($I1625="","",IF(INDEX(F_ProductBM!H:H,MATCH($P1750,F_ProductBM!$Q:$Q,0))="","",INDEX(F_ProductBM!H:H,MATCH($P1750,F_ProductBM!$Q:$Q,0))))</f>
        <v/>
      </c>
      <c r="I1750" s="800" t="str">
        <f>IF($I1625="","",IF(INDEX(F_ProductBM!I:I,MATCH($P1750,F_ProductBM!$Q:$Q,0))="","",INDEX(F_ProductBM!I:I,MATCH($P1750,F_ProductBM!$Q:$Q,0))))</f>
        <v/>
      </c>
      <c r="J1750" s="2174" t="str">
        <f>IF($I1625="","",IF(INDEX(F_ProductBM!J:J,MATCH($P1750,F_ProductBM!$Q:$Q,0))="","",INDEX(F_ProductBM!J:J,MATCH($P1750,F_ProductBM!$Q:$Q,0))))</f>
        <v/>
      </c>
      <c r="K1750" s="1788" t="str">
        <f>IF($I1625="","",IF(INDEX(F_ProductBM!K:K,MATCH($P1750,F_ProductBM!$Q:$Q,0))="","",INDEX(F_ProductBM!K:K,MATCH($P1750,F_ProductBM!$Q:$Q,0))))</f>
        <v/>
      </c>
      <c r="L1750" s="1789" t="str">
        <f>IF($I1625="","",IF(INDEX(F_ProductBM!L:L,MATCH($P1750,F_ProductBM!$Q:$Q,0))="","",INDEX(F_ProductBM!L:L,MATCH($P1750,F_ProductBM!$Q:$Q,0))))</f>
        <v/>
      </c>
      <c r="M1750" s="1789" t="str">
        <f>IF($I1625="","",IF(INDEX(F_ProductBM!M:M,MATCH($P1750,F_ProductBM!$Q:$Q,0))="","",INDEX(F_ProductBM!M:M,MATCH($P1750,F_ProductBM!$Q:$Q,0))))</f>
        <v/>
      </c>
      <c r="N1750" s="1789" t="str">
        <f>IF($I1625="","",IF(INDEX(F_ProductBM!N:N,MATCH($P1750,F_ProductBM!$Q:$Q,0))="","",INDEX(F_ProductBM!N:N,MATCH($P1750,F_ProductBM!$Q:$Q,0))))</f>
        <v/>
      </c>
      <c r="O1750" s="485"/>
      <c r="P1750" s="1970" t="str">
        <f>EUconst_CNTR_Emissions &amp; I1625</f>
        <v>DirEmissions_</v>
      </c>
      <c r="Q1750" s="1137"/>
      <c r="R1750" s="1137"/>
      <c r="S1750" s="1137"/>
      <c r="T1750" s="1137"/>
      <c r="U1750" s="1137"/>
      <c r="V1750" s="1137"/>
    </row>
    <row r="1751" spans="1:22" s="562" customFormat="1" ht="12.75" customHeight="1">
      <c r="A1751" s="817"/>
      <c r="C1751" s="485"/>
      <c r="D1751" s="776"/>
      <c r="E1751" s="2475" t="s">
        <v>1154</v>
      </c>
      <c r="F1751" s="3461"/>
      <c r="G1751" s="815" t="str">
        <f>EUconst_tCO2pa</f>
        <v>t CO2 / year</v>
      </c>
      <c r="H1751" s="623" t="str">
        <f>IF($I1625="","",IF(INDEX(F_ProductBM!H:H,MATCH($P1751,F_ProductBM!$Q:$Q,0))="","",INDEX(F_ProductBM!H:H,MATCH($P1751,F_ProductBM!$Q:$Q,0))))</f>
        <v/>
      </c>
      <c r="I1751" s="800" t="str">
        <f>IF($I1625="","",IF(INDEX(F_ProductBM!I:I,MATCH($P1751,F_ProductBM!$Q:$Q,0))="","",INDEX(F_ProductBM!I:I,MATCH($P1751,F_ProductBM!$Q:$Q,0))))</f>
        <v/>
      </c>
      <c r="J1751" s="2174" t="str">
        <f>IF($I1625="","",IF(INDEX(F_ProductBM!J:J,MATCH($P1751,F_ProductBM!$Q:$Q,0))="","",INDEX(F_ProductBM!J:J,MATCH($P1751,F_ProductBM!$Q:$Q,0))))</f>
        <v/>
      </c>
      <c r="K1751" s="1788" t="str">
        <f>IF($I1625="","",IF(INDEX(F_ProductBM!K:K,MATCH($P1751,F_ProductBM!$Q:$Q,0))="","",INDEX(F_ProductBM!K:K,MATCH($P1751,F_ProductBM!$Q:$Q,0))))</f>
        <v/>
      </c>
      <c r="L1751" s="1789" t="str">
        <f>IF($I1625="","",IF(INDEX(F_ProductBM!L:L,MATCH($P1751,F_ProductBM!$Q:$Q,0))="","",INDEX(F_ProductBM!L:L,MATCH($P1751,F_ProductBM!$Q:$Q,0))))</f>
        <v/>
      </c>
      <c r="M1751" s="1789" t="str">
        <f>IF($I1625="","",IF(INDEX(F_ProductBM!M:M,MATCH($P1751,F_ProductBM!$Q:$Q,0))="","",INDEX(F_ProductBM!M:M,MATCH($P1751,F_ProductBM!$Q:$Q,0))))</f>
        <v/>
      </c>
      <c r="N1751" s="1789" t="str">
        <f>IF($I1625="","",IF(INDEX(F_ProductBM!N:N,MATCH($P1751,F_ProductBM!$Q:$Q,0))="","",INDEX(F_ProductBM!N:N,MATCH($P1751,F_ProductBM!$Q:$Q,0))))</f>
        <v/>
      </c>
      <c r="O1751" s="485"/>
      <c r="P1751" s="1970" t="str">
        <f>EUconst_CNTR_EmissionsIntSource1 &amp; I1625</f>
        <v>EmInternalSource1_</v>
      </c>
      <c r="Q1751" s="1137"/>
      <c r="R1751" s="1137"/>
      <c r="S1751" s="1137"/>
      <c r="T1751" s="1137"/>
      <c r="U1751" s="1137"/>
      <c r="V1751" s="1137"/>
    </row>
    <row r="1752" spans="1:22" s="562" customFormat="1" ht="12.75" customHeight="1">
      <c r="A1752" s="817"/>
      <c r="C1752" s="485"/>
      <c r="D1752" s="776"/>
      <c r="E1752" s="2475" t="s">
        <v>1155</v>
      </c>
      <c r="F1752" s="3461"/>
      <c r="G1752" s="815" t="str">
        <f>EUconst_tCO2pa</f>
        <v>t CO2 / year</v>
      </c>
      <c r="H1752" s="623" t="str">
        <f>IF($I1625="","",IF(INDEX(F_ProductBM!H:H,MATCH($P1752,F_ProductBM!$Q:$Q,0))="","",INDEX(F_ProductBM!H:H,MATCH($P1752,F_ProductBM!$Q:$Q,0))))</f>
        <v/>
      </c>
      <c r="I1752" s="800" t="str">
        <f>IF($I1625="","",IF(INDEX(F_ProductBM!I:I,MATCH($P1752,F_ProductBM!$Q:$Q,0))="","",INDEX(F_ProductBM!I:I,MATCH($P1752,F_ProductBM!$Q:$Q,0))))</f>
        <v/>
      </c>
      <c r="J1752" s="2174" t="str">
        <f>IF($I1625="","",IF(INDEX(F_ProductBM!J:J,MATCH($P1752,F_ProductBM!$Q:$Q,0))="","",INDEX(F_ProductBM!J:J,MATCH($P1752,F_ProductBM!$Q:$Q,0))))</f>
        <v/>
      </c>
      <c r="K1752" s="1788" t="str">
        <f>IF($I1625="","",IF(INDEX(F_ProductBM!K:K,MATCH($P1752,F_ProductBM!$Q:$Q,0))="","",INDEX(F_ProductBM!K:K,MATCH($P1752,F_ProductBM!$Q:$Q,0))))</f>
        <v/>
      </c>
      <c r="L1752" s="1789" t="str">
        <f>IF($I1625="","",IF(INDEX(F_ProductBM!L:L,MATCH($P1752,F_ProductBM!$Q:$Q,0))="","",INDEX(F_ProductBM!L:L,MATCH($P1752,F_ProductBM!$Q:$Q,0))))</f>
        <v/>
      </c>
      <c r="M1752" s="1789" t="str">
        <f>IF($I1625="","",IF(INDEX(F_ProductBM!M:M,MATCH($P1752,F_ProductBM!$Q:$Q,0))="","",INDEX(F_ProductBM!M:M,MATCH($P1752,F_ProductBM!$Q:$Q,0))))</f>
        <v/>
      </c>
      <c r="N1752" s="1789" t="str">
        <f>IF($I1625="","",IF(INDEX(F_ProductBM!N:N,MATCH($P1752,F_ProductBM!$Q:$Q,0))="","",INDEX(F_ProductBM!N:N,MATCH($P1752,F_ProductBM!$Q:$Q,0))))</f>
        <v/>
      </c>
      <c r="O1752" s="485"/>
      <c r="P1752" s="1970" t="str">
        <f>EUconst_CNTR_EmissionsIntSource2 &amp; I1625</f>
        <v>EmInternalSource2_</v>
      </c>
      <c r="Q1752" s="1137"/>
      <c r="R1752" s="1137"/>
      <c r="S1752" s="1137"/>
      <c r="T1752" s="1137"/>
      <c r="U1752" s="1137"/>
      <c r="V1752" s="1137"/>
    </row>
    <row r="1753" spans="1:22" s="562" customFormat="1" ht="12.75" customHeight="1">
      <c r="A1753" s="817"/>
      <c r="C1753" s="485"/>
      <c r="D1753" s="776"/>
      <c r="E1753" s="2475" t="s">
        <v>1156</v>
      </c>
      <c r="F1753" s="3461"/>
      <c r="G1753" s="815" t="str">
        <f>EUconst_tCO2epa</f>
        <v>t CO2e/year</v>
      </c>
      <c r="H1753" s="623" t="str">
        <f>IF($I1625="","",IF(INDEX(F_ProductBM!H:H,MATCH($P1753,F_ProductBM!$Q:$Q,0))="","",INDEX(F_ProductBM!H:H,MATCH($P1753,F_ProductBM!$Q:$Q,0))))</f>
        <v/>
      </c>
      <c r="I1753" s="800" t="str">
        <f>IF($I1625="","",IF(INDEX(F_ProductBM!I:I,MATCH($P1753,F_ProductBM!$Q:$Q,0))="","",INDEX(F_ProductBM!I:I,MATCH($P1753,F_ProductBM!$Q:$Q,0))))</f>
        <v/>
      </c>
      <c r="J1753" s="2174" t="str">
        <f>IF($I1625="","",IF(INDEX(F_ProductBM!J:J,MATCH($P1753,F_ProductBM!$Q:$Q,0))="","",INDEX(F_ProductBM!J:J,MATCH($P1753,F_ProductBM!$Q:$Q,0))))</f>
        <v/>
      </c>
      <c r="K1753" s="1788" t="str">
        <f>IF($I1625="","",IF(INDEX(F_ProductBM!K:K,MATCH($P1753,F_ProductBM!$Q:$Q,0))="","",INDEX(F_ProductBM!K:K,MATCH($P1753,F_ProductBM!$Q:$Q,0))))</f>
        <v/>
      </c>
      <c r="L1753" s="1789" t="str">
        <f>IF($I1625="","",IF(INDEX(F_ProductBM!L:L,MATCH($P1753,F_ProductBM!$Q:$Q,0))="","",INDEX(F_ProductBM!L:L,MATCH($P1753,F_ProductBM!$Q:$Q,0))))</f>
        <v/>
      </c>
      <c r="M1753" s="1789" t="str">
        <f>IF($I1625="","",IF(INDEX(F_ProductBM!M:M,MATCH($P1753,F_ProductBM!$Q:$Q,0))="","",INDEX(F_ProductBM!M:M,MATCH($P1753,F_ProductBM!$Q:$Q,0))))</f>
        <v/>
      </c>
      <c r="N1753" s="1789" t="str">
        <f>IF($I1625="","",IF(INDEX(F_ProductBM!N:N,MATCH($P1753,F_ProductBM!$Q:$Q,0))="","",INDEX(F_ProductBM!N:N,MATCH($P1753,F_ProductBM!$Q:$Q,0))))</f>
        <v/>
      </c>
      <c r="O1753" s="485"/>
      <c r="P1753" s="1970" t="str">
        <f>EUconst_CNTR_CO2Feedstock &amp; I1625</f>
        <v>EmCO2Feedstock_</v>
      </c>
      <c r="Q1753" s="1137"/>
      <c r="R1753" s="1137"/>
      <c r="S1753" s="1137"/>
      <c r="T1753" s="1137"/>
      <c r="U1753" s="1137"/>
      <c r="V1753" s="1137"/>
    </row>
    <row r="1754" spans="1:22" s="562" customFormat="1" ht="5.0999999999999996" customHeight="1">
      <c r="A1754" s="817"/>
      <c r="C1754" s="485"/>
      <c r="D1754" s="776"/>
      <c r="E1754" s="809"/>
      <c r="F1754" s="809"/>
      <c r="G1754" s="813"/>
      <c r="H1754" s="2173"/>
      <c r="I1754" s="2173"/>
      <c r="J1754" s="2173"/>
      <c r="K1754" s="1788"/>
      <c r="L1754" s="1789"/>
      <c r="M1754" s="1789"/>
      <c r="N1754" s="1789"/>
      <c r="O1754" s="485"/>
      <c r="P1754" s="1137"/>
      <c r="Q1754" s="1137"/>
      <c r="R1754" s="1137"/>
      <c r="S1754" s="1137"/>
      <c r="T1754" s="1137"/>
      <c r="U1754" s="1137"/>
      <c r="V1754" s="1137"/>
    </row>
    <row r="1755" spans="1:22" s="562" customFormat="1" ht="12.75" customHeight="1">
      <c r="A1755" s="817"/>
      <c r="C1755" s="485"/>
      <c r="D1755" s="776"/>
      <c r="E1755" s="2471" t="s">
        <v>1087</v>
      </c>
      <c r="F1755" s="3467"/>
      <c r="G1755" s="811" t="str">
        <f>EUconst_TJpa</f>
        <v>TJ / year</v>
      </c>
      <c r="H1755" s="625" t="str">
        <f>IF($I1625="","",IF(INDEX(F_ProductBM!H:H,MATCH($P1755,F_ProductBM!$Q:$Q,0))="","",INDEX(F_ProductBM!H:H,MATCH($P1755,F_ProductBM!$Q:$Q,0))))</f>
        <v/>
      </c>
      <c r="I1755" s="794" t="str">
        <f>IF($I1625="","",IF(INDEX(F_ProductBM!I:I,MATCH($P1755,F_ProductBM!$Q:$Q,0))="","",INDEX(F_ProductBM!I:I,MATCH($P1755,F_ProductBM!$Q:$Q,0))))</f>
        <v/>
      </c>
      <c r="J1755" s="2171" t="str">
        <f>IF($I1625="","",IF(INDEX(F_ProductBM!J:J,MATCH($P1755,F_ProductBM!$Q:$Q,0))="","",INDEX(F_ProductBM!J:J,MATCH($P1755,F_ProductBM!$Q:$Q,0))))</f>
        <v/>
      </c>
      <c r="K1755" s="1788" t="str">
        <f>IF($I1625="","",IF(INDEX(F_ProductBM!K:K,MATCH($P1755,F_ProductBM!$Q:$Q,0))="","",INDEX(F_ProductBM!K:K,MATCH($P1755,F_ProductBM!$Q:$Q,0))))</f>
        <v/>
      </c>
      <c r="L1755" s="1789" t="str">
        <f>IF($I1625="","",IF(INDEX(F_ProductBM!L:L,MATCH($P1755,F_ProductBM!$Q:$Q,0))="","",INDEX(F_ProductBM!L:L,MATCH($P1755,F_ProductBM!$Q:$Q,0))))</f>
        <v/>
      </c>
      <c r="M1755" s="1789" t="str">
        <f>IF($I1625="","",IF(INDEX(F_ProductBM!M:M,MATCH($P1755,F_ProductBM!$Q:$Q,0))="","",INDEX(F_ProductBM!M:M,MATCH($P1755,F_ProductBM!$Q:$Q,0))))</f>
        <v/>
      </c>
      <c r="N1755" s="1789" t="str">
        <f>IF($I1625="","",IF(INDEX(F_ProductBM!N:N,MATCH($P1755,F_ProductBM!$Q:$Q,0))="","",INDEX(F_ProductBM!N:N,MATCH($P1755,F_ProductBM!$Q:$Q,0))))</f>
        <v/>
      </c>
      <c r="O1755" s="485"/>
      <c r="P1755" s="1970" t="str">
        <f>EUconst_CNTR_HeatImport &amp; I1625</f>
        <v>HeatIm_</v>
      </c>
      <c r="Q1755" s="1137"/>
      <c r="R1755" s="1137"/>
      <c r="S1755" s="1137"/>
      <c r="T1755" s="1137"/>
      <c r="U1755" s="1137"/>
      <c r="V1755" s="1137"/>
    </row>
    <row r="1756" spans="1:22" s="562" customFormat="1" ht="12.75" customHeight="1">
      <c r="A1756" s="817"/>
      <c r="C1756" s="485"/>
      <c r="D1756" s="776"/>
      <c r="E1756" s="2473" t="s">
        <v>1103</v>
      </c>
      <c r="F1756" s="3466"/>
      <c r="G1756" s="812" t="str">
        <f>EUconst_tCO2pTJ</f>
        <v>t CO2 / TJ</v>
      </c>
      <c r="H1756" s="627" t="str">
        <f>IF($I1625="","",IF(INDEX(F_ProductBM!H:H,MATCH($P1756,F_ProductBM!$Q:$Q,0))="","",INDEX(F_ProductBM!H:H,MATCH($P1756,F_ProductBM!$Q:$Q,0))))</f>
        <v/>
      </c>
      <c r="I1756" s="796" t="str">
        <f>IF($I1625="","",IF(INDEX(F_ProductBM!I:I,MATCH($P1756,F_ProductBM!$Q:$Q,0))="","",INDEX(F_ProductBM!I:I,MATCH($P1756,F_ProductBM!$Q:$Q,0))))</f>
        <v/>
      </c>
      <c r="J1756" s="2172" t="str">
        <f>IF($I1625="","",IF(INDEX(F_ProductBM!J:J,MATCH($P1756,F_ProductBM!$Q:$Q,0))="","",INDEX(F_ProductBM!J:J,MATCH($P1756,F_ProductBM!$Q:$Q,0))))</f>
        <v/>
      </c>
      <c r="K1756" s="1788" t="str">
        <f>IF($I1625="","",IF(INDEX(F_ProductBM!K:K,MATCH($P1756,F_ProductBM!$Q:$Q,0))="","",INDEX(F_ProductBM!K:K,MATCH($P1756,F_ProductBM!$Q:$Q,0))))</f>
        <v/>
      </c>
      <c r="L1756" s="1789" t="str">
        <f>IF($I1625="","",IF(INDEX(F_ProductBM!L:L,MATCH($P1756,F_ProductBM!$Q:$Q,0))="","",INDEX(F_ProductBM!L:L,MATCH($P1756,F_ProductBM!$Q:$Q,0))))</f>
        <v/>
      </c>
      <c r="M1756" s="1789" t="str">
        <f>IF($I1625="","",IF(INDEX(F_ProductBM!M:M,MATCH($P1756,F_ProductBM!$Q:$Q,0))="","",INDEX(F_ProductBM!M:M,MATCH($P1756,F_ProductBM!$Q:$Q,0))))</f>
        <v/>
      </c>
      <c r="N1756" s="1789" t="str">
        <f>IF($I1625="","",IF(INDEX(F_ProductBM!N:N,MATCH($P1756,F_ProductBM!$Q:$Q,0))="","",INDEX(F_ProductBM!N:N,MATCH($P1756,F_ProductBM!$Q:$Q,0))))</f>
        <v/>
      </c>
      <c r="O1756" s="485"/>
      <c r="P1756" s="1970" t="str">
        <f>EUconst_CNTR_HeatImportEF &amp; I1625</f>
        <v>HeatImEF_</v>
      </c>
      <c r="Q1756" s="1137"/>
      <c r="R1756" s="1137"/>
      <c r="S1756" s="1137"/>
      <c r="T1756" s="1137"/>
      <c r="U1756" s="1137"/>
      <c r="V1756" s="1137"/>
    </row>
    <row r="1757" spans="1:22" s="562" customFormat="1" ht="5.0999999999999996" customHeight="1">
      <c r="A1757" s="817"/>
      <c r="C1757" s="485"/>
      <c r="D1757" s="776"/>
      <c r="E1757" s="809"/>
      <c r="F1757" s="809"/>
      <c r="G1757" s="813"/>
      <c r="H1757" s="2173"/>
      <c r="I1757" s="2173"/>
      <c r="J1757" s="2173"/>
      <c r="K1757" s="1788"/>
      <c r="L1757" s="1789"/>
      <c r="M1757" s="1789"/>
      <c r="N1757" s="1789"/>
      <c r="O1757" s="485"/>
      <c r="P1757" s="1117"/>
      <c r="Q1757" s="1137"/>
      <c r="R1757" s="1137"/>
      <c r="S1757" s="1137"/>
      <c r="T1757" s="1137"/>
      <c r="U1757" s="1137"/>
      <c r="V1757" s="1137"/>
    </row>
    <row r="1758" spans="1:22" s="562" customFormat="1" ht="12.75" customHeight="1">
      <c r="A1758" s="817"/>
      <c r="C1758" s="485"/>
      <c r="D1758" s="776"/>
      <c r="E1758" s="2475" t="s">
        <v>1150</v>
      </c>
      <c r="F1758" s="3461"/>
      <c r="G1758" s="815" t="str">
        <f>EUconst_TJpa</f>
        <v>TJ / year</v>
      </c>
      <c r="H1758" s="623" t="str">
        <f>IF($I1625="","",IF(INDEX(F_ProductBM!H:H,MATCH($P1758,F_ProductBM!$Q:$Q,0))="","",INDEX(F_ProductBM!H:H,MATCH($P1758,F_ProductBM!$Q:$Q,0))))</f>
        <v/>
      </c>
      <c r="I1758" s="800" t="str">
        <f>IF($I1625="","",IF(INDEX(F_ProductBM!I:I,MATCH($P1758,F_ProductBM!$Q:$Q,0))="","",INDEX(F_ProductBM!I:I,MATCH($P1758,F_ProductBM!$Q:$Q,0))))</f>
        <v/>
      </c>
      <c r="J1758" s="2174" t="str">
        <f>IF($I1625="","",IF(INDEX(F_ProductBM!J:J,MATCH($P1758,F_ProductBM!$Q:$Q,0))="","",INDEX(F_ProductBM!J:J,MATCH($P1758,F_ProductBM!$Q:$Q,0))))</f>
        <v/>
      </c>
      <c r="K1758" s="1788" t="str">
        <f>IF($I1625="","",IF(INDEX(F_ProductBM!K:K,MATCH($P1758,F_ProductBM!$Q:$Q,0))="","",INDEX(F_ProductBM!K:K,MATCH($P1758,F_ProductBM!$Q:$Q,0))))</f>
        <v/>
      </c>
      <c r="L1758" s="1789" t="str">
        <f>IF($I1625="","",IF(INDEX(F_ProductBM!L:L,MATCH($P1758,F_ProductBM!$Q:$Q,0))="","",INDEX(F_ProductBM!L:L,MATCH($P1758,F_ProductBM!$Q:$Q,0))))</f>
        <v/>
      </c>
      <c r="M1758" s="1789" t="str">
        <f>IF($I1625="","",IF(INDEX(F_ProductBM!M:M,MATCH($P1758,F_ProductBM!$Q:$Q,0))="","",INDEX(F_ProductBM!M:M,MATCH($P1758,F_ProductBM!$Q:$Q,0))))</f>
        <v/>
      </c>
      <c r="N1758" s="1789" t="str">
        <f>IF($I1625="","",IF(INDEX(F_ProductBM!N:N,MATCH($P1758,F_ProductBM!$Q:$Q,0))="","",INDEX(F_ProductBM!N:N,MATCH($P1758,F_ProductBM!$Q:$Q,0))))</f>
        <v/>
      </c>
      <c r="O1758" s="485"/>
      <c r="P1758" s="1970" t="str">
        <f>EUconst_CNTR_HeatImportPulp &amp; I1625</f>
        <v>HeatImPulp_</v>
      </c>
      <c r="Q1758" s="1137"/>
      <c r="R1758" s="1137"/>
      <c r="S1758" s="1137"/>
      <c r="T1758" s="1137"/>
      <c r="U1758" s="1137"/>
      <c r="V1758" s="1137"/>
    </row>
    <row r="1759" spans="1:22" s="562" customFormat="1" ht="12.75" customHeight="1">
      <c r="A1759" s="817"/>
      <c r="C1759" s="485"/>
      <c r="D1759" s="776"/>
      <c r="E1759" s="2475" t="s">
        <v>1149</v>
      </c>
      <c r="F1759" s="3461"/>
      <c r="G1759" s="815" t="str">
        <f>EUconst_TJpa</f>
        <v>TJ / year</v>
      </c>
      <c r="H1759" s="623" t="str">
        <f>IF($I1625="","",IF(INDEX(F_ProductBM!H:H,MATCH($P1759,F_ProductBM!$Q:$Q,0))="","",INDEX(F_ProductBM!H:H,MATCH($P1759,F_ProductBM!$Q:$Q,0))))</f>
        <v/>
      </c>
      <c r="I1759" s="800" t="str">
        <f>IF($I1625="","",IF(INDEX(F_ProductBM!I:I,MATCH($P1759,F_ProductBM!$Q:$Q,0))="","",INDEX(F_ProductBM!I:I,MATCH($P1759,F_ProductBM!$Q:$Q,0))))</f>
        <v/>
      </c>
      <c r="J1759" s="2174" t="str">
        <f>IF($I1625="","",IF(INDEX(F_ProductBM!J:J,MATCH($P1759,F_ProductBM!$Q:$Q,0))="","",INDEX(F_ProductBM!J:J,MATCH($P1759,F_ProductBM!$Q:$Q,0))))</f>
        <v/>
      </c>
      <c r="K1759" s="1788" t="str">
        <f>IF($I1625="","",IF(INDEX(F_ProductBM!K:K,MATCH($P1759,F_ProductBM!$Q:$Q,0))="","",INDEX(F_ProductBM!K:K,MATCH($P1759,F_ProductBM!$Q:$Q,0))))</f>
        <v/>
      </c>
      <c r="L1759" s="1789" t="str">
        <f>IF($I1625="","",IF(INDEX(F_ProductBM!L:L,MATCH($P1759,F_ProductBM!$Q:$Q,0))="","",INDEX(F_ProductBM!L:L,MATCH($P1759,F_ProductBM!$Q:$Q,0))))</f>
        <v/>
      </c>
      <c r="M1759" s="1789" t="str">
        <f>IF($I1625="","",IF(INDEX(F_ProductBM!M:M,MATCH($P1759,F_ProductBM!$Q:$Q,0))="","",INDEX(F_ProductBM!M:M,MATCH($P1759,F_ProductBM!$Q:$Q,0))))</f>
        <v/>
      </c>
      <c r="N1759" s="1789" t="str">
        <f>IF($I1625="","",IF(INDEX(F_ProductBM!N:N,MATCH($P1759,F_ProductBM!$Q:$Q,0))="","",INDEX(F_ProductBM!N:N,MATCH($P1759,F_ProductBM!$Q:$Q,0))))</f>
        <v/>
      </c>
      <c r="O1759" s="485"/>
      <c r="P1759" s="1970" t="str">
        <f>EUconst_CNTR_HeatImportNitric &amp; I1625</f>
        <v>HeatImNitric_</v>
      </c>
      <c r="Q1759" s="1137"/>
      <c r="R1759" s="1137"/>
      <c r="S1759" s="1137"/>
      <c r="T1759" s="1137"/>
      <c r="U1759" s="1137"/>
      <c r="V1759" s="1137"/>
    </row>
    <row r="1760" spans="1:22" s="562" customFormat="1" ht="5.0999999999999996" customHeight="1">
      <c r="A1760" s="817"/>
      <c r="C1760" s="485"/>
      <c r="D1760" s="776"/>
      <c r="E1760" s="809"/>
      <c r="F1760" s="809"/>
      <c r="G1760" s="777"/>
      <c r="H1760" s="2173"/>
      <c r="I1760" s="2173"/>
      <c r="J1760" s="2173"/>
      <c r="K1760" s="1788"/>
      <c r="L1760" s="1789"/>
      <c r="M1760" s="1789"/>
      <c r="N1760" s="1789"/>
      <c r="O1760" s="485"/>
      <c r="P1760" s="1117"/>
      <c r="Q1760" s="1137"/>
      <c r="R1760" s="1137"/>
      <c r="S1760" s="1137"/>
      <c r="T1760" s="1137"/>
      <c r="U1760" s="1137"/>
      <c r="V1760" s="1137"/>
    </row>
    <row r="1761" spans="1:22" s="562" customFormat="1" ht="12.75" customHeight="1">
      <c r="A1761" s="817"/>
      <c r="C1761" s="485"/>
      <c r="D1761" s="776"/>
      <c r="E1761" s="2471" t="s">
        <v>1079</v>
      </c>
      <c r="F1761" s="3467"/>
      <c r="G1761" s="811" t="str">
        <f>EUconst_TJpa</f>
        <v>TJ / year</v>
      </c>
      <c r="H1761" s="625" t="str">
        <f>IF($I1625="","",IF(INDEX(F_ProductBM!H:H,MATCH($P1761,F_ProductBM!$Q:$Q,0))="","",INDEX(F_ProductBM!H:H,MATCH($P1761,F_ProductBM!$Q:$Q,0))))</f>
        <v/>
      </c>
      <c r="I1761" s="794" t="str">
        <f>IF($I1625="","",IF(INDEX(F_ProductBM!I:I,MATCH($P1761,F_ProductBM!$Q:$Q,0))="","",INDEX(F_ProductBM!I:I,MATCH($P1761,F_ProductBM!$Q:$Q,0))))</f>
        <v/>
      </c>
      <c r="J1761" s="2171" t="str">
        <f>IF($I1625="","",IF(INDEX(F_ProductBM!J:J,MATCH($P1761,F_ProductBM!$Q:$Q,0))="","",INDEX(F_ProductBM!J:J,MATCH($P1761,F_ProductBM!$Q:$Q,0))))</f>
        <v/>
      </c>
      <c r="K1761" s="1788" t="str">
        <f>IF($I1625="","",IF(INDEX(F_ProductBM!K:K,MATCH($P1761,F_ProductBM!$Q:$Q,0))="","",INDEX(F_ProductBM!K:K,MATCH($P1761,F_ProductBM!$Q:$Q,0))))</f>
        <v/>
      </c>
      <c r="L1761" s="1789" t="str">
        <f>IF($I1625="","",IF(INDEX(F_ProductBM!L:L,MATCH($P1761,F_ProductBM!$Q:$Q,0))="","",INDEX(F_ProductBM!L:L,MATCH($P1761,F_ProductBM!$Q:$Q,0))))</f>
        <v/>
      </c>
      <c r="M1761" s="1789" t="str">
        <f>IF($I1625="","",IF(INDEX(F_ProductBM!M:M,MATCH($P1761,F_ProductBM!$Q:$Q,0))="","",INDEX(F_ProductBM!M:M,MATCH($P1761,F_ProductBM!$Q:$Q,0))))</f>
        <v/>
      </c>
      <c r="N1761" s="1789" t="str">
        <f>IF($I1625="","",IF(INDEX(F_ProductBM!N:N,MATCH($P1761,F_ProductBM!$Q:$Q,0))="","",INDEX(F_ProductBM!N:N,MATCH($P1761,F_ProductBM!$Q:$Q,0))))</f>
        <v/>
      </c>
      <c r="O1761" s="485"/>
      <c r="P1761" s="1970" t="str">
        <f>EUconst_CNTR_HeatExport &amp; I1625</f>
        <v>HeatEx_</v>
      </c>
      <c r="Q1761" s="1137"/>
      <c r="R1761" s="1137"/>
      <c r="S1761" s="1137"/>
      <c r="T1761" s="1137"/>
      <c r="U1761" s="1137"/>
      <c r="V1761" s="1137"/>
    </row>
    <row r="1762" spans="1:22" s="562" customFormat="1" ht="12.75" customHeight="1">
      <c r="A1762" s="817"/>
      <c r="C1762" s="485"/>
      <c r="D1762" s="776"/>
      <c r="E1762" s="2473" t="s">
        <v>1104</v>
      </c>
      <c r="F1762" s="3466"/>
      <c r="G1762" s="812" t="str">
        <f>EUconst_tCO2pTJ</f>
        <v>t CO2 / TJ</v>
      </c>
      <c r="H1762" s="627" t="str">
        <f>IF($I1625="","",IF(INDEX(F_ProductBM!H:H,MATCH($P1762,F_ProductBM!$Q:$Q,0))="","",INDEX(F_ProductBM!H:H,MATCH($P1762,F_ProductBM!$Q:$Q,0))))</f>
        <v/>
      </c>
      <c r="I1762" s="796" t="str">
        <f>IF($I1625="","",IF(INDEX(F_ProductBM!I:I,MATCH($P1762,F_ProductBM!$Q:$Q,0))="","",INDEX(F_ProductBM!I:I,MATCH($P1762,F_ProductBM!$Q:$Q,0))))</f>
        <v/>
      </c>
      <c r="J1762" s="2172" t="str">
        <f>IF($I1625="","",IF(INDEX(F_ProductBM!J:J,MATCH($P1762,F_ProductBM!$Q:$Q,0))="","",INDEX(F_ProductBM!J:J,MATCH($P1762,F_ProductBM!$Q:$Q,0))))</f>
        <v/>
      </c>
      <c r="K1762" s="1788" t="str">
        <f>IF($I1625="","",IF(INDEX(F_ProductBM!K:K,MATCH($P1762,F_ProductBM!$Q:$Q,0))="","",INDEX(F_ProductBM!K:K,MATCH($P1762,F_ProductBM!$Q:$Q,0))))</f>
        <v/>
      </c>
      <c r="L1762" s="1789" t="str">
        <f>IF($I1625="","",IF(INDEX(F_ProductBM!L:L,MATCH($P1762,F_ProductBM!$Q:$Q,0))="","",INDEX(F_ProductBM!L:L,MATCH($P1762,F_ProductBM!$Q:$Q,0))))</f>
        <v/>
      </c>
      <c r="M1762" s="1789" t="str">
        <f>IF($I1625="","",IF(INDEX(F_ProductBM!M:M,MATCH($P1762,F_ProductBM!$Q:$Q,0))="","",INDEX(F_ProductBM!M:M,MATCH($P1762,F_ProductBM!$Q:$Q,0))))</f>
        <v/>
      </c>
      <c r="N1762" s="1789" t="str">
        <f>IF($I1625="","",IF(INDEX(F_ProductBM!N:N,MATCH($P1762,F_ProductBM!$Q:$Q,0))="","",INDEX(F_ProductBM!N:N,MATCH($P1762,F_ProductBM!$Q:$Q,0))))</f>
        <v/>
      </c>
      <c r="O1762" s="485"/>
      <c r="P1762" s="1970" t="str">
        <f>EUconst_CNTR_HeatExportEF &amp; I1625</f>
        <v>HeatExEF_</v>
      </c>
      <c r="Q1762" s="1137"/>
      <c r="R1762" s="1137"/>
      <c r="S1762" s="1137"/>
      <c r="T1762" s="1137"/>
      <c r="U1762" s="1137"/>
      <c r="V1762" s="1137"/>
    </row>
    <row r="1763" spans="1:22" s="562" customFormat="1" ht="5.0999999999999996" customHeight="1">
      <c r="A1763" s="817"/>
      <c r="C1763" s="485"/>
      <c r="D1763" s="776"/>
      <c r="E1763" s="809"/>
      <c r="F1763" s="809"/>
      <c r="G1763" s="777"/>
      <c r="H1763" s="2173"/>
      <c r="I1763" s="2173"/>
      <c r="J1763" s="2173"/>
      <c r="K1763" s="1788"/>
      <c r="L1763" s="1789"/>
      <c r="M1763" s="1789"/>
      <c r="N1763" s="1789"/>
      <c r="O1763" s="485"/>
      <c r="P1763" s="1117"/>
      <c r="Q1763" s="1137"/>
      <c r="R1763" s="1137"/>
      <c r="S1763" s="1137"/>
      <c r="T1763" s="1137"/>
      <c r="U1763" s="1137"/>
      <c r="V1763" s="1137"/>
    </row>
    <row r="1764" spans="1:22" s="562" customFormat="1" ht="12.75" customHeight="1">
      <c r="A1764" s="817"/>
      <c r="C1764" s="485"/>
      <c r="D1764" s="776"/>
      <c r="E1764" s="2471" t="s">
        <v>1141</v>
      </c>
      <c r="F1764" s="3467"/>
      <c r="G1764" s="811" t="str">
        <f>EUconst_TJpa</f>
        <v>TJ / year</v>
      </c>
      <c r="H1764" s="625" t="str">
        <f>IF($I1625="","",IF(INDEX(F_ProductBM!H:H,MATCH($P1764,F_ProductBM!$Q:$Q,0))="","",INDEX(F_ProductBM!H:H,MATCH($P1764,F_ProductBM!$Q:$Q,0))))</f>
        <v/>
      </c>
      <c r="I1764" s="794" t="str">
        <f>IF($I1625="","",IF(INDEX(F_ProductBM!I:I,MATCH($P1764,F_ProductBM!$Q:$Q,0))="","",INDEX(F_ProductBM!I:I,MATCH($P1764,F_ProductBM!$Q:$Q,0))))</f>
        <v/>
      </c>
      <c r="J1764" s="2171" t="str">
        <f>IF($I1625="","",IF(INDEX(F_ProductBM!J:J,MATCH($P1764,F_ProductBM!$Q:$Q,0))="","",INDEX(F_ProductBM!J:J,MATCH($P1764,F_ProductBM!$Q:$Q,0))))</f>
        <v/>
      </c>
      <c r="K1764" s="1788" t="str">
        <f>IF($I1625="","",IF(INDEX(F_ProductBM!K:K,MATCH($P1764,F_ProductBM!$Q:$Q,0))="","",INDEX(F_ProductBM!K:K,MATCH($P1764,F_ProductBM!$Q:$Q,0))))</f>
        <v/>
      </c>
      <c r="L1764" s="1789" t="str">
        <f>IF($I1625="","",IF(INDEX(F_ProductBM!L:L,MATCH($P1764,F_ProductBM!$Q:$Q,0))="","",INDEX(F_ProductBM!L:L,MATCH($P1764,F_ProductBM!$Q:$Q,0))))</f>
        <v/>
      </c>
      <c r="M1764" s="1789" t="str">
        <f>IF($I1625="","",IF(INDEX(F_ProductBM!M:M,MATCH($P1764,F_ProductBM!$Q:$Q,0))="","",INDEX(F_ProductBM!M:M,MATCH($P1764,F_ProductBM!$Q:$Q,0))))</f>
        <v/>
      </c>
      <c r="N1764" s="1789" t="str">
        <f>IF($I1625="","",IF(INDEX(F_ProductBM!N:N,MATCH($P1764,F_ProductBM!$Q:$Q,0))="","",INDEX(F_ProductBM!N:N,MATCH($P1764,F_ProductBM!$Q:$Q,0))))</f>
        <v/>
      </c>
      <c r="O1764" s="485"/>
      <c r="P1764" s="2109" t="str">
        <f>EUconst_CNTR_WGProduced &amp; I1625</f>
        <v>WasteGasProd_</v>
      </c>
      <c r="Q1764" s="1137"/>
      <c r="R1764" s="1137"/>
      <c r="S1764" s="1137"/>
      <c r="T1764" s="1137"/>
      <c r="U1764" s="1137"/>
      <c r="V1764" s="1137"/>
    </row>
    <row r="1765" spans="1:22" s="562" customFormat="1" ht="12.75" customHeight="1">
      <c r="A1765" s="817"/>
      <c r="C1765" s="485"/>
      <c r="D1765" s="776"/>
      <c r="E1765" s="2473" t="s">
        <v>1258</v>
      </c>
      <c r="F1765" s="3466"/>
      <c r="G1765" s="812" t="str">
        <f>EUconst_tCO2pTJ</f>
        <v>t CO2 / TJ</v>
      </c>
      <c r="H1765" s="627" t="str">
        <f>IF($I1625="","",IF(INDEX(F_ProductBM!H:H,MATCH($P1765,F_ProductBM!$Q:$Q,0))="","",INDEX(F_ProductBM!H:H,MATCH($P1765,F_ProductBM!$Q:$Q,0))))</f>
        <v/>
      </c>
      <c r="I1765" s="796" t="str">
        <f>IF($I1625="","",IF(INDEX(F_ProductBM!I:I,MATCH($P1765,F_ProductBM!$Q:$Q,0))="","",INDEX(F_ProductBM!I:I,MATCH($P1765,F_ProductBM!$Q:$Q,0))))</f>
        <v/>
      </c>
      <c r="J1765" s="2172" t="str">
        <f>IF($I1625="","",IF(INDEX(F_ProductBM!J:J,MATCH($P1765,F_ProductBM!$Q:$Q,0))="","",INDEX(F_ProductBM!J:J,MATCH($P1765,F_ProductBM!$Q:$Q,0))))</f>
        <v/>
      </c>
      <c r="K1765" s="1788" t="str">
        <f>IF($I1625="","",IF(INDEX(F_ProductBM!K:K,MATCH($P1765,F_ProductBM!$Q:$Q,0))="","",INDEX(F_ProductBM!K:K,MATCH($P1765,F_ProductBM!$Q:$Q,0))))</f>
        <v/>
      </c>
      <c r="L1765" s="1789" t="str">
        <f>IF($I1625="","",IF(INDEX(F_ProductBM!L:L,MATCH($P1765,F_ProductBM!$Q:$Q,0))="","",INDEX(F_ProductBM!L:L,MATCH($P1765,F_ProductBM!$Q:$Q,0))))</f>
        <v/>
      </c>
      <c r="M1765" s="1789" t="str">
        <f>IF($I1625="","",IF(INDEX(F_ProductBM!M:M,MATCH($P1765,F_ProductBM!$Q:$Q,0))="","",INDEX(F_ProductBM!M:M,MATCH($P1765,F_ProductBM!$Q:$Q,0))))</f>
        <v/>
      </c>
      <c r="N1765" s="1789" t="str">
        <f>IF($I1625="","",IF(INDEX(F_ProductBM!N:N,MATCH($P1765,F_ProductBM!$Q:$Q,0))="","",INDEX(F_ProductBM!N:N,MATCH($P1765,F_ProductBM!$Q:$Q,0))))</f>
        <v/>
      </c>
      <c r="O1765" s="485"/>
      <c r="P1765" s="1970" t="str">
        <f>EUconst_CNTR_WGProducedEF &amp; I1625</f>
        <v>WasteGasProdEF_</v>
      </c>
      <c r="Q1765" s="1137"/>
      <c r="R1765" s="1137"/>
      <c r="S1765" s="1137"/>
      <c r="T1765" s="1137"/>
      <c r="U1765" s="1137"/>
      <c r="V1765" s="1137"/>
    </row>
    <row r="1766" spans="1:22" s="562" customFormat="1" ht="12.75" customHeight="1">
      <c r="A1766" s="817"/>
      <c r="C1766" s="485"/>
      <c r="D1766" s="776"/>
      <c r="E1766" s="2471" t="s">
        <v>1309</v>
      </c>
      <c r="F1766" s="3467"/>
      <c r="G1766" s="811" t="str">
        <f>EUconst_TJpa</f>
        <v>TJ / year</v>
      </c>
      <c r="H1766" s="625" t="str">
        <f>IF($I1625="","",IF(INDEX(F_ProductBM!H:H,MATCH($P1766,F_ProductBM!$Q:$Q,0))="","",INDEX(F_ProductBM!H:H,MATCH($P1766,F_ProductBM!$Q:$Q,0))))</f>
        <v/>
      </c>
      <c r="I1766" s="794" t="str">
        <f>IF($I1625="","",IF(INDEX(F_ProductBM!I:I,MATCH($P1766,F_ProductBM!$Q:$Q,0))="","",INDEX(F_ProductBM!I:I,MATCH($P1766,F_ProductBM!$Q:$Q,0))))</f>
        <v/>
      </c>
      <c r="J1766" s="2171" t="str">
        <f>IF($I1625="","",IF(INDEX(F_ProductBM!J:J,MATCH($P1766,F_ProductBM!$Q:$Q,0))="","",INDEX(F_ProductBM!J:J,MATCH($P1766,F_ProductBM!$Q:$Q,0))))</f>
        <v/>
      </c>
      <c r="K1766" s="1788" t="str">
        <f>IF($I1625="","",IF(INDEX(F_ProductBM!K:K,MATCH($P1766,F_ProductBM!$Q:$Q,0))="","",INDEX(F_ProductBM!K:K,MATCH($P1766,F_ProductBM!$Q:$Q,0))))</f>
        <v/>
      </c>
      <c r="L1766" s="1789" t="str">
        <f>IF($I1625="","",IF(INDEX(F_ProductBM!L:L,MATCH($P1766,F_ProductBM!$Q:$Q,0))="","",INDEX(F_ProductBM!L:L,MATCH($P1766,F_ProductBM!$Q:$Q,0))))</f>
        <v/>
      </c>
      <c r="M1766" s="1789" t="str">
        <f>IF($I1625="","",IF(INDEX(F_ProductBM!M:M,MATCH($P1766,F_ProductBM!$Q:$Q,0))="","",INDEX(F_ProductBM!M:M,MATCH($P1766,F_ProductBM!$Q:$Q,0))))</f>
        <v/>
      </c>
      <c r="N1766" s="1789" t="str">
        <f>IF($I1625="","",IF(INDEX(F_ProductBM!N:N,MATCH($P1766,F_ProductBM!$Q:$Q,0))="","",INDEX(F_ProductBM!N:N,MATCH($P1766,F_ProductBM!$Q:$Q,0))))</f>
        <v/>
      </c>
      <c r="O1766" s="485"/>
      <c r="P1766" s="1970" t="str">
        <f>EUconst_CNTR_WGConsumed &amp; I1625</f>
        <v>WasteGasCons_</v>
      </c>
      <c r="Q1766" s="1137"/>
      <c r="R1766" s="1137"/>
      <c r="S1766" s="1137"/>
      <c r="T1766" s="1137"/>
      <c r="U1766" s="1137"/>
      <c r="V1766" s="1137"/>
    </row>
    <row r="1767" spans="1:22" s="562" customFormat="1" ht="12.75" customHeight="1">
      <c r="A1767" s="817"/>
      <c r="C1767" s="485"/>
      <c r="D1767" s="776"/>
      <c r="E1767" s="2473" t="s">
        <v>1307</v>
      </c>
      <c r="F1767" s="3466"/>
      <c r="G1767" s="812" t="str">
        <f>EUconst_tCO2pTJ</f>
        <v>t CO2 / TJ</v>
      </c>
      <c r="H1767" s="627" t="str">
        <f>IF($I1625="","",IF(INDEX(F_ProductBM!H:H,MATCH($P1767,F_ProductBM!$Q:$Q,0))="","",INDEX(F_ProductBM!H:H,MATCH($P1767,F_ProductBM!$Q:$Q,0))))</f>
        <v/>
      </c>
      <c r="I1767" s="796" t="str">
        <f>IF($I1625="","",IF(INDEX(F_ProductBM!I:I,MATCH($P1767,F_ProductBM!$Q:$Q,0))="","",INDEX(F_ProductBM!I:I,MATCH($P1767,F_ProductBM!$Q:$Q,0))))</f>
        <v/>
      </c>
      <c r="J1767" s="2172" t="str">
        <f>IF($I1625="","",IF(INDEX(F_ProductBM!J:J,MATCH($P1767,F_ProductBM!$Q:$Q,0))="","",INDEX(F_ProductBM!J:J,MATCH($P1767,F_ProductBM!$Q:$Q,0))))</f>
        <v/>
      </c>
      <c r="K1767" s="1788" t="str">
        <f>IF($I1625="","",IF(INDEX(F_ProductBM!K:K,MATCH($P1767,F_ProductBM!$Q:$Q,0))="","",INDEX(F_ProductBM!K:K,MATCH($P1767,F_ProductBM!$Q:$Q,0))))</f>
        <v/>
      </c>
      <c r="L1767" s="1789" t="str">
        <f>IF($I1625="","",IF(INDEX(F_ProductBM!L:L,MATCH($P1767,F_ProductBM!$Q:$Q,0))="","",INDEX(F_ProductBM!L:L,MATCH($P1767,F_ProductBM!$Q:$Q,0))))</f>
        <v/>
      </c>
      <c r="M1767" s="1789" t="str">
        <f>IF($I1625="","",IF(INDEX(F_ProductBM!M:M,MATCH($P1767,F_ProductBM!$Q:$Q,0))="","",INDEX(F_ProductBM!M:M,MATCH($P1767,F_ProductBM!$Q:$Q,0))))</f>
        <v/>
      </c>
      <c r="N1767" s="1789" t="str">
        <f>IF($I1625="","",IF(INDEX(F_ProductBM!N:N,MATCH($P1767,F_ProductBM!$Q:$Q,0))="","",INDEX(F_ProductBM!N:N,MATCH($P1767,F_ProductBM!$Q:$Q,0))))</f>
        <v/>
      </c>
      <c r="O1767" s="485"/>
      <c r="P1767" s="1970" t="str">
        <f>EUconst_CNTR_WGConsumedEF &amp; I1625</f>
        <v>WasteGasConsEF_</v>
      </c>
      <c r="Q1767" s="1137"/>
      <c r="R1767" s="1137"/>
      <c r="S1767" s="1137"/>
      <c r="T1767" s="1137"/>
      <c r="U1767" s="1137"/>
      <c r="V1767" s="1137"/>
    </row>
    <row r="1768" spans="1:22" s="562" customFormat="1" ht="12.75" customHeight="1">
      <c r="A1768" s="817"/>
      <c r="C1768" s="485"/>
      <c r="D1768" s="776"/>
      <c r="E1768" s="2471" t="s">
        <v>1288</v>
      </c>
      <c r="F1768" s="3467"/>
      <c r="G1768" s="811" t="str">
        <f>EUconst_TJpa</f>
        <v>TJ / year</v>
      </c>
      <c r="H1768" s="625" t="str">
        <f>IF($I1625="","",IF(INDEX(F_ProductBM!H:H,MATCH($P1768,F_ProductBM!$Q:$Q,0))="","",INDEX(F_ProductBM!H:H,MATCH($P1768,F_ProductBM!$Q:$Q,0))))</f>
        <v/>
      </c>
      <c r="I1768" s="794" t="str">
        <f>IF($I1625="","",IF(INDEX(F_ProductBM!I:I,MATCH($P1768,F_ProductBM!$Q:$Q,0))="","",INDEX(F_ProductBM!I:I,MATCH($P1768,F_ProductBM!$Q:$Q,0))))</f>
        <v/>
      </c>
      <c r="J1768" s="2171" t="str">
        <f>IF($I1625="","",IF(INDEX(F_ProductBM!J:J,MATCH($P1768,F_ProductBM!$Q:$Q,0))="","",INDEX(F_ProductBM!J:J,MATCH($P1768,F_ProductBM!$Q:$Q,0))))</f>
        <v/>
      </c>
      <c r="K1768" s="1788" t="str">
        <f>IF($I1625="","",IF(INDEX(F_ProductBM!K:K,MATCH($P1768,F_ProductBM!$Q:$Q,0))="","",INDEX(F_ProductBM!K:K,MATCH($P1768,F_ProductBM!$Q:$Q,0))))</f>
        <v/>
      </c>
      <c r="L1768" s="1789" t="str">
        <f>IF($I1625="","",IF(INDEX(F_ProductBM!L:L,MATCH($P1768,F_ProductBM!$Q:$Q,0))="","",INDEX(F_ProductBM!L:L,MATCH($P1768,F_ProductBM!$Q:$Q,0))))</f>
        <v/>
      </c>
      <c r="M1768" s="1789" t="str">
        <f>IF($I1625="","",IF(INDEX(F_ProductBM!M:M,MATCH($P1768,F_ProductBM!$Q:$Q,0))="","",INDEX(F_ProductBM!M:M,MATCH($P1768,F_ProductBM!$Q:$Q,0))))</f>
        <v/>
      </c>
      <c r="N1768" s="1789" t="str">
        <f>IF($I1625="","",IF(INDEX(F_ProductBM!N:N,MATCH($P1768,F_ProductBM!$Q:$Q,0))="","",INDEX(F_ProductBM!N:N,MATCH($P1768,F_ProductBM!$Q:$Q,0))))</f>
        <v/>
      </c>
      <c r="O1768" s="485"/>
      <c r="P1768" s="1970" t="str">
        <f>EUconst_CNTR_WGFlared &amp; I1625</f>
        <v>WasteGasFlare_</v>
      </c>
      <c r="Q1768" s="1137"/>
      <c r="R1768" s="1137"/>
      <c r="S1768" s="1137"/>
      <c r="T1768" s="1137"/>
      <c r="U1768" s="1137"/>
      <c r="V1768" s="1137"/>
    </row>
    <row r="1769" spans="1:22" s="562" customFormat="1" ht="12.75" customHeight="1">
      <c r="A1769" s="817"/>
      <c r="C1769" s="485"/>
      <c r="D1769" s="776"/>
      <c r="E1769" s="2473" t="s">
        <v>1308</v>
      </c>
      <c r="F1769" s="3466"/>
      <c r="G1769" s="812" t="str">
        <f>EUconst_tCO2pTJ</f>
        <v>t CO2 / TJ</v>
      </c>
      <c r="H1769" s="627" t="str">
        <f>IF($I1625="","",IF(INDEX(F_ProductBM!H:H,MATCH($P1769,F_ProductBM!$Q:$Q,0))="","",INDEX(F_ProductBM!H:H,MATCH($P1769,F_ProductBM!$Q:$Q,0))))</f>
        <v/>
      </c>
      <c r="I1769" s="796" t="str">
        <f>IF($I1625="","",IF(INDEX(F_ProductBM!I:I,MATCH($P1769,F_ProductBM!$Q:$Q,0))="","",INDEX(F_ProductBM!I:I,MATCH($P1769,F_ProductBM!$Q:$Q,0))))</f>
        <v/>
      </c>
      <c r="J1769" s="2172" t="str">
        <f>IF($I1625="","",IF(INDEX(F_ProductBM!J:J,MATCH($P1769,F_ProductBM!$Q:$Q,0))="","",INDEX(F_ProductBM!J:J,MATCH($P1769,F_ProductBM!$Q:$Q,0))))</f>
        <v/>
      </c>
      <c r="K1769" s="1788" t="str">
        <f>IF($I1625="","",IF(INDEX(F_ProductBM!K:K,MATCH($P1769,F_ProductBM!$Q:$Q,0))="","",INDEX(F_ProductBM!K:K,MATCH($P1769,F_ProductBM!$Q:$Q,0))))</f>
        <v/>
      </c>
      <c r="L1769" s="1789" t="str">
        <f>IF($I1625="","",IF(INDEX(F_ProductBM!L:L,MATCH($P1769,F_ProductBM!$Q:$Q,0))="","",INDEX(F_ProductBM!L:L,MATCH($P1769,F_ProductBM!$Q:$Q,0))))</f>
        <v/>
      </c>
      <c r="M1769" s="1789" t="str">
        <f>IF($I1625="","",IF(INDEX(F_ProductBM!M:M,MATCH($P1769,F_ProductBM!$Q:$Q,0))="","",INDEX(F_ProductBM!M:M,MATCH($P1769,F_ProductBM!$Q:$Q,0))))</f>
        <v/>
      </c>
      <c r="N1769" s="1789" t="str">
        <f>IF($I1625="","",IF(INDEX(F_ProductBM!N:N,MATCH($P1769,F_ProductBM!$Q:$Q,0))="","",INDEX(F_ProductBM!N:N,MATCH($P1769,F_ProductBM!$Q:$Q,0))))</f>
        <v/>
      </c>
      <c r="O1769" s="485"/>
      <c r="P1769" s="1970" t="str">
        <f>EUconst_CNTR_WGFlaredEF &amp; I1625</f>
        <v>WasteGasFlareEF_</v>
      </c>
      <c r="Q1769" s="1137"/>
      <c r="R1769" s="1137"/>
      <c r="S1769" s="1137"/>
      <c r="T1769" s="1137"/>
      <c r="U1769" s="1137"/>
      <c r="V1769" s="1137"/>
    </row>
    <row r="1770" spans="1:22" s="562" customFormat="1" ht="12.75" customHeight="1">
      <c r="A1770" s="817"/>
      <c r="C1770" s="485"/>
      <c r="D1770" s="776"/>
      <c r="E1770" s="2471" t="s">
        <v>1102</v>
      </c>
      <c r="F1770" s="3467"/>
      <c r="G1770" s="811" t="str">
        <f>EUconst_TJpa</f>
        <v>TJ / year</v>
      </c>
      <c r="H1770" s="625" t="str">
        <f>IF($I1625="","",IF(INDEX(F_ProductBM!H:H,MATCH($P1770,F_ProductBM!$Q:$Q,0))="","",INDEX(F_ProductBM!H:H,MATCH($P1770,F_ProductBM!$Q:$Q,0))))</f>
        <v/>
      </c>
      <c r="I1770" s="794" t="str">
        <f>IF($I1625="","",IF(INDEX(F_ProductBM!I:I,MATCH($P1770,F_ProductBM!$Q:$Q,0))="","",INDEX(F_ProductBM!I:I,MATCH($P1770,F_ProductBM!$Q:$Q,0))))</f>
        <v/>
      </c>
      <c r="J1770" s="2171" t="str">
        <f>IF($I1625="","",IF(INDEX(F_ProductBM!J:J,MATCH($P1770,F_ProductBM!$Q:$Q,0))="","",INDEX(F_ProductBM!J:J,MATCH($P1770,F_ProductBM!$Q:$Q,0))))</f>
        <v/>
      </c>
      <c r="K1770" s="1788" t="str">
        <f>IF($I1625="","",IF(INDEX(F_ProductBM!K:K,MATCH($P1770,F_ProductBM!$Q:$Q,0))="","",INDEX(F_ProductBM!K:K,MATCH($P1770,F_ProductBM!$Q:$Q,0))))</f>
        <v/>
      </c>
      <c r="L1770" s="1789" t="str">
        <f>IF($I1625="","",IF(INDEX(F_ProductBM!L:L,MATCH($P1770,F_ProductBM!$Q:$Q,0))="","",INDEX(F_ProductBM!L:L,MATCH($P1770,F_ProductBM!$Q:$Q,0))))</f>
        <v/>
      </c>
      <c r="M1770" s="1789" t="str">
        <f>IF($I1625="","",IF(INDEX(F_ProductBM!M:M,MATCH($P1770,F_ProductBM!$Q:$Q,0))="","",INDEX(F_ProductBM!M:M,MATCH($P1770,F_ProductBM!$Q:$Q,0))))</f>
        <v/>
      </c>
      <c r="N1770" s="1789" t="str">
        <f>IF($I1625="","",IF(INDEX(F_ProductBM!N:N,MATCH($P1770,F_ProductBM!$Q:$Q,0))="","",INDEX(F_ProductBM!N:N,MATCH($P1770,F_ProductBM!$Q:$Q,0))))</f>
        <v/>
      </c>
      <c r="O1770" s="485"/>
      <c r="P1770" s="1970" t="str">
        <f>EUconst_CNTR_WGImport &amp; I1625</f>
        <v>WasteGasIm_</v>
      </c>
      <c r="Q1770" s="1137"/>
      <c r="R1770" s="1137"/>
      <c r="S1770" s="1137"/>
      <c r="T1770" s="1137"/>
      <c r="U1770" s="1137"/>
      <c r="V1770" s="1137"/>
    </row>
    <row r="1771" spans="1:22" s="562" customFormat="1" ht="12.75" customHeight="1">
      <c r="A1771" s="817"/>
      <c r="C1771" s="485"/>
      <c r="D1771" s="776"/>
      <c r="E1771" s="816" t="s">
        <v>1275</v>
      </c>
      <c r="F1771" s="816"/>
      <c r="G1771" s="812" t="str">
        <f>EUconst_tCO2pTJ</f>
        <v>t CO2 / TJ</v>
      </c>
      <c r="H1771" s="627" t="str">
        <f>IF($I1625="","",IF(INDEX(F_ProductBM!H:H,MATCH($P1771,F_ProductBM!$Q:$Q,0))="","",INDEX(F_ProductBM!H:H,MATCH($P1771,F_ProductBM!$Q:$Q,0))))</f>
        <v/>
      </c>
      <c r="I1771" s="796" t="str">
        <f>IF($I1625="","",IF(INDEX(F_ProductBM!I:I,MATCH($P1771,F_ProductBM!$Q:$Q,0))="","",INDEX(F_ProductBM!I:I,MATCH($P1771,F_ProductBM!$Q:$Q,0))))</f>
        <v/>
      </c>
      <c r="J1771" s="2172" t="str">
        <f>IF($I1625="","",IF(INDEX(F_ProductBM!J:J,MATCH($P1771,F_ProductBM!$Q:$Q,0))="","",INDEX(F_ProductBM!J:J,MATCH($P1771,F_ProductBM!$Q:$Q,0))))</f>
        <v/>
      </c>
      <c r="K1771" s="1788" t="str">
        <f>IF($I1625="","",IF(INDEX(F_ProductBM!K:K,MATCH($P1771,F_ProductBM!$Q:$Q,0))="","",INDEX(F_ProductBM!K:K,MATCH($P1771,F_ProductBM!$Q:$Q,0))))</f>
        <v/>
      </c>
      <c r="L1771" s="1789" t="str">
        <f>IF($I1625="","",IF(INDEX(F_ProductBM!L:L,MATCH($P1771,F_ProductBM!$Q:$Q,0))="","",INDEX(F_ProductBM!L:L,MATCH($P1771,F_ProductBM!$Q:$Q,0))))</f>
        <v/>
      </c>
      <c r="M1771" s="1789" t="str">
        <f>IF($I1625="","",IF(INDEX(F_ProductBM!M:M,MATCH($P1771,F_ProductBM!$Q:$Q,0))="","",INDEX(F_ProductBM!M:M,MATCH($P1771,F_ProductBM!$Q:$Q,0))))</f>
        <v/>
      </c>
      <c r="N1771" s="1789" t="str">
        <f>IF($I1625="","",IF(INDEX(F_ProductBM!N:N,MATCH($P1771,F_ProductBM!$Q:$Q,0))="","",INDEX(F_ProductBM!N:N,MATCH($P1771,F_ProductBM!$Q:$Q,0))))</f>
        <v/>
      </c>
      <c r="O1771" s="485"/>
      <c r="P1771" s="1970" t="str">
        <f>EUconst_CNTR_WGImportEF &amp; I1625</f>
        <v>WasteGasImEF_</v>
      </c>
      <c r="Q1771" s="1137"/>
      <c r="R1771" s="1137"/>
      <c r="S1771" s="1137"/>
      <c r="T1771" s="1137"/>
      <c r="U1771" s="1137"/>
      <c r="V1771" s="1137"/>
    </row>
    <row r="1772" spans="1:22" s="562" customFormat="1" ht="12.75" customHeight="1">
      <c r="A1772" s="817"/>
      <c r="C1772" s="485"/>
      <c r="D1772" s="776"/>
      <c r="E1772" s="2471" t="s">
        <v>1080</v>
      </c>
      <c r="F1772" s="3467"/>
      <c r="G1772" s="811" t="str">
        <f>EUconst_TJpa</f>
        <v>TJ / year</v>
      </c>
      <c r="H1772" s="625" t="str">
        <f>IF($I1625="","",IF(INDEX(F_ProductBM!H:H,MATCH($P1772,F_ProductBM!$Q:$Q,0))="","",INDEX(F_ProductBM!H:H,MATCH($P1772,F_ProductBM!$Q:$Q,0))))</f>
        <v/>
      </c>
      <c r="I1772" s="794" t="str">
        <f>IF($I1625="","",IF(INDEX(F_ProductBM!I:I,MATCH($P1772,F_ProductBM!$Q:$Q,0))="","",INDEX(F_ProductBM!I:I,MATCH($P1772,F_ProductBM!$Q:$Q,0))))</f>
        <v/>
      </c>
      <c r="J1772" s="2171" t="str">
        <f>IF($I1625="","",IF(INDEX(F_ProductBM!J:J,MATCH($P1772,F_ProductBM!$Q:$Q,0))="","",INDEX(F_ProductBM!J:J,MATCH($P1772,F_ProductBM!$Q:$Q,0))))</f>
        <v/>
      </c>
      <c r="K1772" s="1788" t="str">
        <f>IF($I1625="","",IF(INDEX(F_ProductBM!K:K,MATCH($P1772,F_ProductBM!$Q:$Q,0))="","",INDEX(F_ProductBM!K:K,MATCH($P1772,F_ProductBM!$Q:$Q,0))))</f>
        <v/>
      </c>
      <c r="L1772" s="1789" t="str">
        <f>IF($I1625="","",IF(INDEX(F_ProductBM!L:L,MATCH($P1772,F_ProductBM!$Q:$Q,0))="","",INDEX(F_ProductBM!L:L,MATCH($P1772,F_ProductBM!$Q:$Q,0))))</f>
        <v/>
      </c>
      <c r="M1772" s="1789" t="str">
        <f>IF($I1625="","",IF(INDEX(F_ProductBM!M:M,MATCH($P1772,F_ProductBM!$Q:$Q,0))="","",INDEX(F_ProductBM!M:M,MATCH($P1772,F_ProductBM!$Q:$Q,0))))</f>
        <v/>
      </c>
      <c r="N1772" s="1789" t="str">
        <f>IF($I1625="","",IF(INDEX(F_ProductBM!N:N,MATCH($P1772,F_ProductBM!$Q:$Q,0))="","",INDEX(F_ProductBM!N:N,MATCH($P1772,F_ProductBM!$Q:$Q,0))))</f>
        <v/>
      </c>
      <c r="O1772" s="485"/>
      <c r="P1772" s="1970" t="str">
        <f>EUconst_CNTR_WGExport &amp; I1625</f>
        <v>WasteGasEx_</v>
      </c>
      <c r="Q1772" s="1137"/>
      <c r="R1772" s="1137"/>
      <c r="S1772" s="1137"/>
      <c r="T1772" s="1137"/>
      <c r="U1772" s="1137"/>
      <c r="V1772" s="1137"/>
    </row>
    <row r="1773" spans="1:22" s="562" customFormat="1" ht="12.75" customHeight="1">
      <c r="A1773" s="817"/>
      <c r="C1773" s="485"/>
      <c r="D1773" s="776"/>
      <c r="E1773" s="2473" t="s">
        <v>1276</v>
      </c>
      <c r="F1773" s="3466"/>
      <c r="G1773" s="812" t="str">
        <f>EUconst_tCO2pTJ</f>
        <v>t CO2 / TJ</v>
      </c>
      <c r="H1773" s="627" t="str">
        <f>IF($I1625="","",IF(INDEX(F_ProductBM!H:H,MATCH($P1773,F_ProductBM!$Q:$Q,0))="","",INDEX(F_ProductBM!H:H,MATCH($P1773,F_ProductBM!$Q:$Q,0))))</f>
        <v/>
      </c>
      <c r="I1773" s="796" t="str">
        <f>IF($I1625="","",IF(INDEX(F_ProductBM!I:I,MATCH($P1773,F_ProductBM!$Q:$Q,0))="","",INDEX(F_ProductBM!I:I,MATCH($P1773,F_ProductBM!$Q:$Q,0))))</f>
        <v/>
      </c>
      <c r="J1773" s="2172" t="str">
        <f>IF($I1625="","",IF(INDEX(F_ProductBM!J:J,MATCH($P1773,F_ProductBM!$Q:$Q,0))="","",INDEX(F_ProductBM!J:J,MATCH($P1773,F_ProductBM!$Q:$Q,0))))</f>
        <v/>
      </c>
      <c r="K1773" s="1788" t="str">
        <f>IF($I1625="","",IF(INDEX(F_ProductBM!K:K,MATCH($P1773,F_ProductBM!$Q:$Q,0))="","",INDEX(F_ProductBM!K:K,MATCH($P1773,F_ProductBM!$Q:$Q,0))))</f>
        <v/>
      </c>
      <c r="L1773" s="1789" t="str">
        <f>IF($I1625="","",IF(INDEX(F_ProductBM!L:L,MATCH($P1773,F_ProductBM!$Q:$Q,0))="","",INDEX(F_ProductBM!L:L,MATCH($P1773,F_ProductBM!$Q:$Q,0))))</f>
        <v/>
      </c>
      <c r="M1773" s="1789" t="str">
        <f>IF($I1625="","",IF(INDEX(F_ProductBM!M:M,MATCH($P1773,F_ProductBM!$Q:$Q,0))="","",INDEX(F_ProductBM!M:M,MATCH($P1773,F_ProductBM!$Q:$Q,0))))</f>
        <v/>
      </c>
      <c r="N1773" s="1789" t="str">
        <f>IF($I1625="","",IF(INDEX(F_ProductBM!N:N,MATCH($P1773,F_ProductBM!$Q:$Q,0))="","",INDEX(F_ProductBM!N:N,MATCH($P1773,F_ProductBM!$Q:$Q,0))))</f>
        <v/>
      </c>
      <c r="O1773" s="485"/>
      <c r="P1773" s="1970" t="str">
        <f>EUconst_CNTR_WGExportEF &amp; I1625</f>
        <v>WasteGasExEF_</v>
      </c>
      <c r="Q1773" s="1137"/>
      <c r="R1773" s="1137"/>
      <c r="S1773" s="1137"/>
      <c r="T1773" s="1137"/>
      <c r="U1773" s="1137"/>
      <c r="V1773" s="1137"/>
    </row>
    <row r="1774" spans="1:22" s="562" customFormat="1" ht="5.0999999999999996" customHeight="1">
      <c r="A1774" s="817"/>
      <c r="C1774" s="485"/>
      <c r="D1774" s="776"/>
      <c r="E1774" s="809"/>
      <c r="F1774" s="809"/>
      <c r="G1774" s="777"/>
      <c r="H1774" s="2173"/>
      <c r="I1774" s="2173"/>
      <c r="J1774" s="2173"/>
      <c r="K1774" s="1788"/>
      <c r="L1774" s="1789"/>
      <c r="M1774" s="1789"/>
      <c r="N1774" s="1789"/>
      <c r="O1774" s="485"/>
      <c r="P1774" s="1117"/>
      <c r="Q1774" s="1137"/>
      <c r="R1774" s="1137"/>
      <c r="S1774" s="1137"/>
      <c r="T1774" s="1137"/>
      <c r="U1774" s="1137"/>
      <c r="V1774" s="1137"/>
    </row>
    <row r="1775" spans="1:22" s="562" customFormat="1" ht="12.75" customHeight="1">
      <c r="A1775" s="817"/>
      <c r="C1775" s="485"/>
      <c r="D1775" s="776"/>
      <c r="E1775" s="2475" t="s">
        <v>914</v>
      </c>
      <c r="F1775" s="3461"/>
      <c r="G1775" s="815" t="str">
        <f>EUconst_MWhpa</f>
        <v>MWh / year</v>
      </c>
      <c r="H1775" s="623" t="str">
        <f>IF($I1625="","",IF(INDEX(F_ProductBM!H:H,MATCH($P1775,F_ProductBM!$R:$R,0))="","",INDEX(F_ProductBM!H:H,MATCH($P1775,F_ProductBM!$R:$R,0))))</f>
        <v/>
      </c>
      <c r="I1775" s="800" t="str">
        <f>IF($I1625="","",IF(INDEX(F_ProductBM!I:I,MATCH($P1775,F_ProductBM!$R:$R,0))="","",INDEX(F_ProductBM!I:I,MATCH($P1775,F_ProductBM!$R:$R,0))))</f>
        <v/>
      </c>
      <c r="J1775" s="2174" t="str">
        <f>IF($I1625="","",IF(INDEX(F_ProductBM!J:J,MATCH($P1775,F_ProductBM!$R:$R,0))="","",INDEX(F_ProductBM!J:J,MATCH($P1775,F_ProductBM!$R:$R,0))))</f>
        <v/>
      </c>
      <c r="K1775" s="1788" t="str">
        <f>IF($I1625="","",IF(INDEX(F_ProductBM!K:K,MATCH($P1775,F_ProductBM!$R:$R,0))="","",INDEX(F_ProductBM!K:K,MATCH($P1775,F_ProductBM!$R:$R,0))))</f>
        <v/>
      </c>
      <c r="L1775" s="1789" t="str">
        <f>IF($I1625="","",IF(INDEX(F_ProductBM!L:L,MATCH($P1775,F_ProductBM!$R:$R,0))="","",INDEX(F_ProductBM!L:L,MATCH($P1775,F_ProductBM!$R:$R,0))))</f>
        <v/>
      </c>
      <c r="M1775" s="1789" t="str">
        <f>IF($I1625="","",IF(INDEX(F_ProductBM!M:M,MATCH($P1775,F_ProductBM!$R:$R,0))="","",INDEX(F_ProductBM!M:M,MATCH($P1775,F_ProductBM!$R:$R,0))))</f>
        <v/>
      </c>
      <c r="N1775" s="1789" t="str">
        <f>IF($I1625="","",IF(INDEX(F_ProductBM!N:N,MATCH($P1775,F_ProductBM!$R:$R,0))="","",INDEX(F_ProductBM!N:N,MATCH($P1775,F_ProductBM!$R:$R,0))))</f>
        <v/>
      </c>
      <c r="O1775" s="485"/>
      <c r="P1775" s="1158" t="str">
        <f>EUconst_CNTR_HAL&amp;EUconst_CNTR_ELEXCH &amp; I1625</f>
        <v>HAL_ELEXCH_</v>
      </c>
      <c r="Q1775" s="1137"/>
      <c r="R1775" s="1137"/>
      <c r="S1775" s="1137"/>
      <c r="T1775" s="1137"/>
      <c r="U1775" s="1137"/>
      <c r="V1775" s="1137"/>
    </row>
    <row r="1776" spans="1:22" s="562" customFormat="1" ht="12.75" customHeight="1">
      <c r="A1776" s="817"/>
      <c r="C1776" s="485"/>
      <c r="D1776" s="776"/>
      <c r="E1776" s="2475" t="s">
        <v>1354</v>
      </c>
      <c r="F1776" s="3461"/>
      <c r="G1776" s="815" t="str">
        <f>EUconst_MWhpa</f>
        <v>MWh / year</v>
      </c>
      <c r="H1776" s="623" t="str">
        <f>IF($I1625="","",IF(INDEX(F_ProductBM!H:H,MATCH($P1776,F_ProductBM!$Q:$Q,0))="","",INDEX(F_ProductBM!H:H,MATCH($P1776,F_ProductBM!$Q:$Q,0))))</f>
        <v/>
      </c>
      <c r="I1776" s="800" t="str">
        <f>IF($I1625="","",IF(INDEX(F_ProductBM!I:I,MATCH($P1776,F_ProductBM!$Q:$Q,0))="","",INDEX(F_ProductBM!I:I,MATCH($P1776,F_ProductBM!$Q:$Q,0))))</f>
        <v/>
      </c>
      <c r="J1776" s="2174" t="str">
        <f>IF($I1625="","",IF(INDEX(F_ProductBM!J:J,MATCH($P1776,F_ProductBM!$Q:$Q,0))="","",INDEX(F_ProductBM!J:J,MATCH($P1776,F_ProductBM!$Q:$Q,0))))</f>
        <v/>
      </c>
      <c r="K1776" s="1788" t="str">
        <f>IF($I1625="","",IF(INDEX(F_ProductBM!K:K,MATCH($P1776,F_ProductBM!$Q:$Q,0))="","",INDEX(F_ProductBM!K:K,MATCH($P1776,F_ProductBM!$Q:$Q,0))))</f>
        <v/>
      </c>
      <c r="L1776" s="1789" t="str">
        <f>IF($I1625="","",IF(INDEX(F_ProductBM!L:L,MATCH($P1776,F_ProductBM!$Q:$Q,0))="","",INDEX(F_ProductBM!L:L,MATCH($P1776,F_ProductBM!$Q:$Q,0))))</f>
        <v/>
      </c>
      <c r="M1776" s="1789" t="str">
        <f>IF($I1625="","",IF(INDEX(F_ProductBM!M:M,MATCH($P1776,F_ProductBM!$Q:$Q,0))="","",INDEX(F_ProductBM!M:M,MATCH($P1776,F_ProductBM!$Q:$Q,0))))</f>
        <v/>
      </c>
      <c r="N1776" s="1789" t="str">
        <f>IF($I1625="","",IF(INDEX(F_ProductBM!N:N,MATCH($P1776,F_ProductBM!$Q:$Q,0))="","",INDEX(F_ProductBM!N:N,MATCH($P1776,F_ProductBM!$Q:$Q,0))))</f>
        <v/>
      </c>
      <c r="O1776" s="485"/>
      <c r="P1776" s="1970" t="str">
        <f>EUconst_CNTR_ElectricityExported &amp; I1625</f>
        <v>ElecEx_</v>
      </c>
      <c r="Q1776" s="1137"/>
      <c r="R1776" s="1137"/>
      <c r="S1776" s="1137"/>
      <c r="T1776" s="1137"/>
      <c r="U1776" s="1137"/>
      <c r="V1776" s="1137"/>
    </row>
    <row r="1777" spans="1:22" s="562" customFormat="1" ht="5.0999999999999996" customHeight="1">
      <c r="A1777" s="817"/>
      <c r="C1777" s="485"/>
      <c r="D1777" s="776"/>
      <c r="E1777" s="809"/>
      <c r="F1777" s="809"/>
      <c r="G1777" s="777"/>
      <c r="H1777" s="2173"/>
      <c r="I1777" s="2173"/>
      <c r="J1777" s="2173"/>
      <c r="K1777" s="1788"/>
      <c r="L1777" s="1789"/>
      <c r="M1777" s="1789"/>
      <c r="N1777" s="1789"/>
      <c r="O1777" s="485"/>
      <c r="P1777" s="1117"/>
      <c r="Q1777" s="1137"/>
      <c r="R1777" s="1137"/>
      <c r="S1777" s="1137"/>
      <c r="T1777" s="1137"/>
      <c r="U1777" s="1137"/>
      <c r="V1777" s="1137"/>
    </row>
    <row r="1778" spans="1:22" s="562" customFormat="1" ht="12.75" customHeight="1">
      <c r="A1778" s="817"/>
      <c r="C1778" s="485"/>
      <c r="D1778" s="776"/>
      <c r="E1778" s="2475" t="s">
        <v>1157</v>
      </c>
      <c r="F1778" s="3461"/>
      <c r="G1778" s="815" t="str">
        <f>EUconst_Tons</f>
        <v>tonnes</v>
      </c>
      <c r="H1778" s="623" t="str">
        <f>IF($I1625="","",IF(INDEX(F_ProductBM!H:H,MATCH($P1778,F_ProductBM!$Q:$Q,0))="","",INDEX(F_ProductBM!H:H,MATCH($P1778,F_ProductBM!$Q:$Q,0))))</f>
        <v/>
      </c>
      <c r="I1778" s="800" t="str">
        <f>IF($I1625="","",IF(INDEX(F_ProductBM!I:I,MATCH($P1778,F_ProductBM!$Q:$Q,0))="","",INDEX(F_ProductBM!I:I,MATCH($P1778,F_ProductBM!$Q:$Q,0))))</f>
        <v/>
      </c>
      <c r="J1778" s="2174" t="str">
        <f>IF($I1625="","",IF(INDEX(F_ProductBM!J:J,MATCH($P1778,F_ProductBM!$Q:$Q,0))="","",INDEX(F_ProductBM!J:J,MATCH($P1778,F_ProductBM!$Q:$Q,0))))</f>
        <v/>
      </c>
      <c r="K1778" s="1788" t="str">
        <f>IF($I1625="","",IF(INDEX(F_ProductBM!K:K,MATCH($P1778,F_ProductBM!$Q:$Q,0))="","",INDEX(F_ProductBM!K:K,MATCH($P1778,F_ProductBM!$Q:$Q,0))))</f>
        <v/>
      </c>
      <c r="L1778" s="1789" t="str">
        <f>IF($I1625="","",IF(INDEX(F_ProductBM!L:L,MATCH($P1778,F_ProductBM!$Q:$Q,0))="","",INDEX(F_ProductBM!L:L,MATCH($P1778,F_ProductBM!$Q:$Q,0))))</f>
        <v/>
      </c>
      <c r="M1778" s="1789" t="str">
        <f>IF($I1625="","",IF(INDEX(F_ProductBM!M:M,MATCH($P1778,F_ProductBM!$Q:$Q,0))="","",INDEX(F_ProductBM!M:M,MATCH($P1778,F_ProductBM!$Q:$Q,0))))</f>
        <v/>
      </c>
      <c r="N1778" s="1789" t="str">
        <f>IF($I1625="","",IF(INDEX(F_ProductBM!N:N,MATCH($P1778,F_ProductBM!$Q:$Q,0))="","",INDEX(F_ProductBM!N:N,MATCH($P1778,F_ProductBM!$Q:$Q,0))))</f>
        <v/>
      </c>
      <c r="O1778" s="485"/>
      <c r="P1778" s="1970" t="str">
        <f>EUconst_CNTR_HALPulpTotal &amp; I1625</f>
        <v>HALPulpTotal_</v>
      </c>
      <c r="Q1778" s="1137"/>
      <c r="R1778" s="1137"/>
      <c r="S1778" s="1137"/>
      <c r="T1778" s="1137"/>
      <c r="U1778" s="1137"/>
      <c r="V1778" s="1137"/>
    </row>
    <row r="1779" spans="1:22" s="562" customFormat="1" ht="5.0999999999999996" customHeight="1">
      <c r="A1779" s="817"/>
      <c r="C1779" s="485"/>
      <c r="D1779" s="776"/>
      <c r="E1779" s="809"/>
      <c r="F1779" s="809"/>
      <c r="G1779" s="777"/>
      <c r="H1779" s="2173"/>
      <c r="I1779" s="2173"/>
      <c r="J1779" s="2173"/>
      <c r="K1779" s="1788"/>
      <c r="L1779" s="1789"/>
      <c r="M1779" s="1789"/>
      <c r="N1779" s="1789"/>
      <c r="O1779" s="485"/>
      <c r="P1779" s="1117"/>
      <c r="Q1779" s="1137"/>
      <c r="R1779" s="1137"/>
      <c r="S1779" s="1137"/>
      <c r="T1779" s="1137"/>
      <c r="U1779" s="1137"/>
      <c r="V1779" s="1137"/>
    </row>
    <row r="1780" spans="1:22" s="562" customFormat="1">
      <c r="A1780" s="817"/>
      <c r="C1780" s="485"/>
      <c r="D1780" s="776"/>
      <c r="E1780" s="2492" t="s">
        <v>1440</v>
      </c>
      <c r="F1780" s="3284"/>
      <c r="G1780" s="777"/>
      <c r="H1780" s="2173"/>
      <c r="I1780" s="2173"/>
      <c r="J1780" s="2173"/>
      <c r="K1780" s="1788"/>
      <c r="L1780" s="1789"/>
      <c r="M1780" s="1789"/>
      <c r="N1780" s="1789"/>
      <c r="O1780" s="485"/>
      <c r="P1780" s="1117"/>
      <c r="Q1780" s="1137"/>
      <c r="R1780" s="1137"/>
      <c r="S1780" s="1137"/>
      <c r="T1780" s="1137"/>
      <c r="U1780" s="1137"/>
      <c r="V1780" s="1137"/>
    </row>
    <row r="1781" spans="1:22" s="562" customFormat="1">
      <c r="A1781" s="817"/>
      <c r="C1781" s="485"/>
      <c r="D1781" s="776"/>
      <c r="E1781" s="3285" t="str">
        <f>IF(I1625="","",IF(INDEX(F_ProductBM!E:E,MATCH($P1781,F_ProductBM!$Q:$Q,0))="","",INDEX(F_ProductBM!E:E,MATCH($P1781,F_ProductBM!$Q:$Q,0))))</f>
        <v/>
      </c>
      <c r="F1781" s="3461"/>
      <c r="G1781" s="815" t="str">
        <f>EUconst_Tons</f>
        <v>tonnes</v>
      </c>
      <c r="H1781" s="623" t="str">
        <f>IF($I1625="","",IF(INDEX(F_ProductBM!H:H,MATCH($P1781,F_ProductBM!$Q:$Q,0))="","",INDEX(F_ProductBM!H:H,MATCH($P1781,F_ProductBM!$Q:$Q,0))))</f>
        <v/>
      </c>
      <c r="I1781" s="800" t="str">
        <f>IF($I1625="","",IF(INDEX(F_ProductBM!I:I,MATCH($P1781,F_ProductBM!$Q:$Q,0))="","",INDEX(F_ProductBM!I:I,MATCH($P1781,F_ProductBM!$Q:$Q,0))))</f>
        <v/>
      </c>
      <c r="J1781" s="2174" t="str">
        <f>IF($I1625="","",IF(INDEX(F_ProductBM!J:J,MATCH($P1781,F_ProductBM!$Q:$Q,0))="","",INDEX(F_ProductBM!J:J,MATCH($P1781,F_ProductBM!$Q:$Q,0))))</f>
        <v/>
      </c>
      <c r="K1781" s="1788" t="str">
        <f>IF($I1625="","",IF(INDEX(F_ProductBM!K:K,MATCH($P1781,F_ProductBM!$Q:$Q,0))="","",INDEX(F_ProductBM!K:K,MATCH($P1781,F_ProductBM!$Q:$Q,0))))</f>
        <v/>
      </c>
      <c r="L1781" s="1789" t="str">
        <f>IF($I1625="","",IF(INDEX(F_ProductBM!L:L,MATCH($P1781,F_ProductBM!$Q:$Q,0))="","",INDEX(F_ProductBM!L:L,MATCH($P1781,F_ProductBM!$Q:$Q,0))))</f>
        <v/>
      </c>
      <c r="M1781" s="1789" t="str">
        <f>IF($I1625="","",IF(INDEX(F_ProductBM!M:M,MATCH($P1781,F_ProductBM!$Q:$Q,0))="","",INDEX(F_ProductBM!M:M,MATCH($P1781,F_ProductBM!$Q:$Q,0))))</f>
        <v/>
      </c>
      <c r="N1781" s="1789" t="str">
        <f>IF($I1625="","",IF(INDEX(F_ProductBM!N:N,MATCH($P1781,F_ProductBM!$Q:$Q,0))="","",INDEX(F_ProductBM!N:N,MATCH($P1781,F_ProductBM!$Q:$Q,0))))</f>
        <v/>
      </c>
      <c r="O1781" s="485"/>
      <c r="P1781" s="1970" t="str">
        <f>EUconst_CNTR_IntermediateImport &amp; R1781 &amp; "_" &amp; I1625</f>
        <v>IntImp_1_</v>
      </c>
      <c r="Q1781" s="1137"/>
      <c r="R1781" s="1312">
        <v>1</v>
      </c>
      <c r="S1781" s="1137"/>
      <c r="T1781" s="1137"/>
      <c r="U1781" s="1137"/>
      <c r="V1781" s="1137"/>
    </row>
    <row r="1782" spans="1:22" s="562" customFormat="1">
      <c r="A1782" s="817"/>
      <c r="C1782" s="485"/>
      <c r="D1782" s="776"/>
      <c r="E1782" s="3285" t="str">
        <f>IF(I1625="","",IF(INDEX(F_ProductBM!E:E,MATCH($P1782,F_ProductBM!$Q:$Q,0))="","",INDEX(F_ProductBM!E:E,MATCH($P1782,F_ProductBM!$Q:$Q,0))))</f>
        <v/>
      </c>
      <c r="F1782" s="3461"/>
      <c r="G1782" s="815" t="str">
        <f>EUconst_Tons</f>
        <v>tonnes</v>
      </c>
      <c r="H1782" s="623" t="str">
        <f>IF($I1625="","",IF(INDEX(F_ProductBM!H:H,MATCH($P1782,F_ProductBM!$Q:$Q,0))="","",INDEX(F_ProductBM!H:H,MATCH($P1782,F_ProductBM!$Q:$Q,0))))</f>
        <v/>
      </c>
      <c r="I1782" s="800" t="str">
        <f>IF($I1625="","",IF(INDEX(F_ProductBM!I:I,MATCH($P1782,F_ProductBM!$Q:$Q,0))="","",INDEX(F_ProductBM!I:I,MATCH($P1782,F_ProductBM!$Q:$Q,0))))</f>
        <v/>
      </c>
      <c r="J1782" s="2174" t="str">
        <f>IF($I1625="","",IF(INDEX(F_ProductBM!J:J,MATCH($P1782,F_ProductBM!$Q:$Q,0))="","",INDEX(F_ProductBM!J:J,MATCH($P1782,F_ProductBM!$Q:$Q,0))))</f>
        <v/>
      </c>
      <c r="K1782" s="1788" t="str">
        <f>IF($I1625="","",IF(INDEX(F_ProductBM!K:K,MATCH($P1782,F_ProductBM!$Q:$Q,0))="","",INDEX(F_ProductBM!K:K,MATCH($P1782,F_ProductBM!$Q:$Q,0))))</f>
        <v/>
      </c>
      <c r="L1782" s="1789" t="str">
        <f>IF($I1625="","",IF(INDEX(F_ProductBM!L:L,MATCH($P1782,F_ProductBM!$Q:$Q,0))="","",INDEX(F_ProductBM!L:L,MATCH($P1782,F_ProductBM!$Q:$Q,0))))</f>
        <v/>
      </c>
      <c r="M1782" s="1789" t="str">
        <f>IF($I1625="","",IF(INDEX(F_ProductBM!M:M,MATCH($P1782,F_ProductBM!$Q:$Q,0))="","",INDEX(F_ProductBM!M:M,MATCH($P1782,F_ProductBM!$Q:$Q,0))))</f>
        <v/>
      </c>
      <c r="N1782" s="1789" t="str">
        <f>IF($I1625="","",IF(INDEX(F_ProductBM!N:N,MATCH($P1782,F_ProductBM!$Q:$Q,0))="","",INDEX(F_ProductBM!N:N,MATCH($P1782,F_ProductBM!$Q:$Q,0))))</f>
        <v/>
      </c>
      <c r="O1782" s="485"/>
      <c r="P1782" s="1970" t="str">
        <f>EUconst_CNTR_IntermediateImport &amp; R1782 &amp; "_" &amp; I1625</f>
        <v>IntImp_2_</v>
      </c>
      <c r="Q1782" s="1137"/>
      <c r="R1782" s="1312">
        <v>2</v>
      </c>
      <c r="S1782" s="1137"/>
      <c r="T1782" s="1137"/>
      <c r="U1782" s="1137"/>
      <c r="V1782" s="1137"/>
    </row>
    <row r="1783" spans="1:22" s="562" customFormat="1">
      <c r="A1783" s="817"/>
      <c r="C1783" s="485"/>
      <c r="D1783" s="776"/>
      <c r="E1783" s="2475" t="s">
        <v>1441</v>
      </c>
      <c r="F1783" s="3461"/>
      <c r="G1783" s="777"/>
      <c r="H1783" s="2173"/>
      <c r="I1783" s="2173"/>
      <c r="J1783" s="2173"/>
      <c r="K1783" s="1788"/>
      <c r="L1783" s="1789"/>
      <c r="M1783" s="1789"/>
      <c r="N1783" s="1789"/>
      <c r="O1783" s="485"/>
      <c r="P1783" s="1117"/>
      <c r="Q1783" s="1137"/>
      <c r="R1783" s="1137"/>
      <c r="S1783" s="1137"/>
      <c r="T1783" s="1137"/>
      <c r="U1783" s="1137"/>
      <c r="V1783" s="1137"/>
    </row>
    <row r="1784" spans="1:22" s="562" customFormat="1">
      <c r="A1784" s="817"/>
      <c r="C1784" s="485"/>
      <c r="D1784" s="776"/>
      <c r="E1784" s="3285" t="str">
        <f>IF(I1625="","",IF(INDEX(F_ProductBM!E:E,MATCH($P1784,F_ProductBM!$Q:$Q,0))="","",INDEX(F_ProductBM!E:E,MATCH($P1784,F_ProductBM!$Q:$Q,0))))</f>
        <v/>
      </c>
      <c r="F1784" s="3461"/>
      <c r="G1784" s="815" t="str">
        <f>EUconst_Tons</f>
        <v>tonnes</v>
      </c>
      <c r="H1784" s="623" t="str">
        <f>IF($I1625="","",IF(INDEX(F_ProductBM!H:H,MATCH($P1784,F_ProductBM!$Q:$Q,0))="","",INDEX(F_ProductBM!H:H,MATCH($P1784,F_ProductBM!$Q:$Q,0))))</f>
        <v/>
      </c>
      <c r="I1784" s="800" t="str">
        <f>IF($I1625="","",IF(INDEX(F_ProductBM!I:I,MATCH($P1784,F_ProductBM!$Q:$Q,0))="","",INDEX(F_ProductBM!I:I,MATCH($P1784,F_ProductBM!$Q:$Q,0))))</f>
        <v/>
      </c>
      <c r="J1784" s="2174" t="str">
        <f>IF($I1625="","",IF(INDEX(F_ProductBM!J:J,MATCH($P1784,F_ProductBM!$Q:$Q,0))="","",INDEX(F_ProductBM!J:J,MATCH($P1784,F_ProductBM!$Q:$Q,0))))</f>
        <v/>
      </c>
      <c r="K1784" s="1788" t="str">
        <f>IF($I1625="","",IF(INDEX(F_ProductBM!K:K,MATCH($P1784,F_ProductBM!$Q:$Q,0))="","",INDEX(F_ProductBM!K:K,MATCH($P1784,F_ProductBM!$Q:$Q,0))))</f>
        <v/>
      </c>
      <c r="L1784" s="1789" t="str">
        <f>IF($I1625="","",IF(INDEX(F_ProductBM!L:L,MATCH($P1784,F_ProductBM!$Q:$Q,0))="","",INDEX(F_ProductBM!L:L,MATCH($P1784,F_ProductBM!$Q:$Q,0))))</f>
        <v/>
      </c>
      <c r="M1784" s="1789" t="str">
        <f>IF($I1625="","",IF(INDEX(F_ProductBM!M:M,MATCH($P1784,F_ProductBM!$Q:$Q,0))="","",INDEX(F_ProductBM!M:M,MATCH($P1784,F_ProductBM!$Q:$Q,0))))</f>
        <v/>
      </c>
      <c r="N1784" s="1789" t="str">
        <f>IF($I1625="","",IF(INDEX(F_ProductBM!N:N,MATCH($P1784,F_ProductBM!$Q:$Q,0))="","",INDEX(F_ProductBM!N:N,MATCH($P1784,F_ProductBM!$Q:$Q,0))))</f>
        <v/>
      </c>
      <c r="O1784" s="485"/>
      <c r="P1784" s="1970" t="str">
        <f>EUconst_CNTR_IntermediateExport &amp; R1781 &amp; "_" &amp; I1625</f>
        <v>IntExp_1_</v>
      </c>
      <c r="Q1784" s="1137"/>
      <c r="R1784" s="1312">
        <v>1</v>
      </c>
      <c r="S1784" s="1137"/>
      <c r="T1784" s="1137"/>
      <c r="U1784" s="1137"/>
      <c r="V1784" s="1137"/>
    </row>
    <row r="1785" spans="1:22" s="562" customFormat="1">
      <c r="A1785" s="817"/>
      <c r="C1785" s="485"/>
      <c r="D1785" s="776"/>
      <c r="E1785" s="3285" t="str">
        <f>IF(I1625="","",IF(INDEX(F_ProductBM!E:E,MATCH($P1785,F_ProductBM!$Q:$Q,0))="","",INDEX(F_ProductBM!E:E,MATCH($P1785,F_ProductBM!$Q:$Q,0))))</f>
        <v/>
      </c>
      <c r="F1785" s="3285"/>
      <c r="G1785" s="815" t="str">
        <f>EUconst_Tons</f>
        <v>tonnes</v>
      </c>
      <c r="H1785" s="623" t="str">
        <f>IF($I1625="","",IF(INDEX(F_ProductBM!H:H,MATCH($P1785,F_ProductBM!$Q:$Q,0))="","",INDEX(F_ProductBM!H:H,MATCH($P1785,F_ProductBM!$Q:$Q,0))))</f>
        <v/>
      </c>
      <c r="I1785" s="800" t="str">
        <f>IF($I1625="","",IF(INDEX(F_ProductBM!I:I,MATCH($P1785,F_ProductBM!$Q:$Q,0))="","",INDEX(F_ProductBM!I:I,MATCH($P1785,F_ProductBM!$Q:$Q,0))))</f>
        <v/>
      </c>
      <c r="J1785" s="2174" t="str">
        <f>IF($I1625="","",IF(INDEX(F_ProductBM!J:J,MATCH($P1785,F_ProductBM!$Q:$Q,0))="","",INDEX(F_ProductBM!J:J,MATCH($P1785,F_ProductBM!$Q:$Q,0))))</f>
        <v/>
      </c>
      <c r="K1785" s="1788" t="str">
        <f>IF($I1625="","",IF(INDEX(F_ProductBM!K:K,MATCH($P1785,F_ProductBM!$Q:$Q,0))="","",INDEX(F_ProductBM!K:K,MATCH($P1785,F_ProductBM!$Q:$Q,0))))</f>
        <v/>
      </c>
      <c r="L1785" s="1789" t="str">
        <f>IF($I1625="","",IF(INDEX(F_ProductBM!L:L,MATCH($P1785,F_ProductBM!$Q:$Q,0))="","",INDEX(F_ProductBM!L:L,MATCH($P1785,F_ProductBM!$Q:$Q,0))))</f>
        <v/>
      </c>
      <c r="M1785" s="1789" t="str">
        <f>IF($I1625="","",IF(INDEX(F_ProductBM!M:M,MATCH($P1785,F_ProductBM!$Q:$Q,0))="","",INDEX(F_ProductBM!M:M,MATCH($P1785,F_ProductBM!$Q:$Q,0))))</f>
        <v/>
      </c>
      <c r="N1785" s="1789" t="str">
        <f>IF($I1625="","",IF(INDEX(F_ProductBM!N:N,MATCH($P1785,F_ProductBM!$Q:$Q,0))="","",INDEX(F_ProductBM!N:N,MATCH($P1785,F_ProductBM!$Q:$Q,0))))</f>
        <v/>
      </c>
      <c r="O1785" s="485"/>
      <c r="P1785" s="1970" t="str">
        <f>EUconst_CNTR_IntermediateExport &amp; R1785 &amp; "_" &amp; I1625</f>
        <v>IntExp_2_</v>
      </c>
      <c r="Q1785" s="1137"/>
      <c r="R1785" s="1312">
        <v>2</v>
      </c>
      <c r="S1785" s="1137"/>
      <c r="T1785" s="1137"/>
      <c r="U1785" s="1137"/>
      <c r="V1785" s="1137"/>
    </row>
    <row r="1786" spans="1:22" s="562" customFormat="1" ht="12.75" customHeight="1" thickBot="1">
      <c r="A1786" s="817"/>
      <c r="C1786" s="485"/>
      <c r="D1786" s="802"/>
      <c r="E1786" s="803"/>
      <c r="F1786" s="803"/>
      <c r="G1786" s="804"/>
      <c r="H1786" s="804"/>
      <c r="I1786" s="805"/>
      <c r="J1786" s="805"/>
      <c r="K1786" s="1790"/>
      <c r="L1786" s="1791"/>
      <c r="M1786" s="1791"/>
      <c r="N1786" s="1791"/>
      <c r="O1786" s="485"/>
      <c r="P1786" s="1117"/>
      <c r="Q1786" s="1137"/>
      <c r="R1786" s="1137"/>
      <c r="S1786" s="1137"/>
      <c r="T1786" s="1137"/>
      <c r="U1786" s="1137"/>
      <c r="V1786" s="1137"/>
    </row>
    <row r="1787" spans="1:22" s="562" customFormat="1" ht="5.0999999999999996" customHeight="1" thickBot="1">
      <c r="A1787" s="817"/>
      <c r="C1787" s="485"/>
      <c r="D1787" s="485"/>
      <c r="E1787" s="807"/>
      <c r="O1787" s="485"/>
      <c r="P1787" s="1137"/>
      <c r="Q1787" s="1137"/>
      <c r="R1787" s="1137"/>
      <c r="S1787" s="1137"/>
      <c r="T1787" s="1137"/>
      <c r="U1787" s="1137"/>
      <c r="V1787" s="1137"/>
    </row>
    <row r="1788" spans="1:22" s="562" customFormat="1" ht="5.0999999999999996" customHeight="1" thickBot="1">
      <c r="A1788" s="817"/>
      <c r="C1788" s="2118"/>
      <c r="D1788" s="2118"/>
      <c r="E1788" s="2118"/>
      <c r="F1788" s="2118"/>
      <c r="G1788" s="2118"/>
      <c r="H1788" s="2118"/>
      <c r="I1788" s="2118"/>
      <c r="J1788" s="2118"/>
      <c r="K1788" s="2118"/>
      <c r="L1788" s="2118"/>
      <c r="M1788" s="2118"/>
      <c r="N1788" s="2118"/>
      <c r="O1788" s="485"/>
      <c r="P1788" s="1137"/>
      <c r="Q1788" s="1137"/>
      <c r="R1788" s="1137"/>
      <c r="S1788" s="1137"/>
      <c r="T1788" s="1137"/>
      <c r="U1788" s="1137"/>
      <c r="V1788" s="1137"/>
    </row>
    <row r="1789" spans="1:22" s="562" customFormat="1" ht="15" customHeight="1" thickBot="1">
      <c r="A1789" s="719"/>
      <c r="C1789" s="559">
        <f>C1625+1</f>
        <v>9</v>
      </c>
      <c r="D1789" s="2482" t="str">
        <f>CONCATENATE(EUconst_BMSubinst," ",C1789, ":")</f>
        <v>Sub-installation with product benchmark 9:</v>
      </c>
      <c r="E1789" s="2482"/>
      <c r="F1789" s="2482"/>
      <c r="G1789" s="2482"/>
      <c r="H1789" s="2483"/>
      <c r="I1789" s="3293" t="str">
        <f>IF(INDEX(CNTR_SubInstListIsProdBM,$C1789),INDEX(CNTR_SubInstListNames,$C1789),"")</f>
        <v/>
      </c>
      <c r="J1789" s="3471"/>
      <c r="K1789" s="3471"/>
      <c r="L1789" s="3471"/>
      <c r="M1789" s="3471"/>
      <c r="N1789" s="3472"/>
      <c r="O1789" s="485"/>
      <c r="P1789" s="1137"/>
      <c r="Q1789" s="2123">
        <f>C1789</f>
        <v>9</v>
      </c>
      <c r="R1789" s="2124" t="str">
        <f>I1789</f>
        <v/>
      </c>
      <c r="S1789" s="1137"/>
      <c r="T1789" s="1137"/>
      <c r="U1789" s="1137"/>
      <c r="V1789" s="1137"/>
    </row>
    <row r="1790" spans="1:22" s="562" customFormat="1" ht="5.0999999999999996" customHeight="1">
      <c r="A1790" s="719"/>
      <c r="C1790" s="559"/>
      <c r="D1790" s="559"/>
      <c r="E1790" s="559"/>
      <c r="F1790" s="559"/>
      <c r="G1790" s="559"/>
      <c r="H1790" s="559"/>
      <c r="I1790" s="559"/>
      <c r="J1790" s="559"/>
      <c r="K1790" s="559"/>
      <c r="L1790" s="559"/>
      <c r="M1790" s="559"/>
      <c r="N1790" s="559"/>
      <c r="O1790" s="485"/>
      <c r="P1790" s="1137"/>
      <c r="Q1790" s="1137"/>
      <c r="R1790" s="1137"/>
      <c r="S1790" s="1137"/>
      <c r="T1790" s="1137"/>
      <c r="U1790" s="1137"/>
      <c r="V1790" s="1137"/>
    </row>
    <row r="1791" spans="1:22" s="562" customFormat="1" ht="12.75" customHeight="1">
      <c r="A1791" s="719"/>
      <c r="C1791" s="559"/>
      <c r="D1791" s="559"/>
      <c r="E1791" s="559"/>
      <c r="F1791" s="559"/>
      <c r="H1791" s="688" t="s">
        <v>458</v>
      </c>
      <c r="I1791" s="688" t="s">
        <v>1256</v>
      </c>
      <c r="J1791" s="688" t="s">
        <v>1434</v>
      </c>
      <c r="K1791" s="688" t="s">
        <v>1684</v>
      </c>
      <c r="L1791" s="689" t="s">
        <v>156</v>
      </c>
      <c r="M1791" s="2469" t="s">
        <v>302</v>
      </c>
      <c r="N1791" s="2469"/>
      <c r="O1791" s="485"/>
      <c r="P1791" s="1137"/>
      <c r="Q1791" s="1137"/>
      <c r="R1791" s="1137"/>
      <c r="S1791" s="1137"/>
      <c r="T1791" s="1137"/>
      <c r="U1791" s="1137"/>
      <c r="V1791" s="1137"/>
    </row>
    <row r="1792" spans="1:22" s="562" customFormat="1" ht="12.75" customHeight="1">
      <c r="A1792" s="719"/>
      <c r="C1792" s="559"/>
      <c r="D1792" s="559"/>
      <c r="E1792" s="690" t="str">
        <f>I1789</f>
        <v/>
      </c>
      <c r="F1792" s="691"/>
      <c r="G1792" s="691"/>
      <c r="H1792" s="692" t="str">
        <f>IF(L1792=EUconst_NA,EUconst_NA,INDEX(EUconst_BMlistCLstatus,L1792))</f>
        <v>N.A.</v>
      </c>
      <c r="I1792" s="692" t="str">
        <f>IF(I1789="","",INDEX(EUconst_BMlistElExchangability,L1792))</f>
        <v/>
      </c>
      <c r="J1792" s="566" t="str">
        <f>IF($I1789="",EUconst_NA,INDEX(CNTR_SubInstStartDate,MATCH(I1789,CNTR_SubInstListNames,0)))</f>
        <v>N.A.</v>
      </c>
      <c r="K1792" s="566" t="str">
        <f>IF($I1789="",EUconst_NA,IF(INDEX(CNTR_SubInstCessationDate,MATCH(I1789,CNTR_SubInstListNames,0))=0,"",INDEX(CNTR_SubInstCessationDate,MATCH(I1789,CNTR_SubInstListNames,0))))</f>
        <v>N.A.</v>
      </c>
      <c r="L1792" s="693" t="str">
        <f>IF($I1789="",EUconst_NA,MATCH(I1789,EUconst_BMlistNames,0))</f>
        <v>N.A.</v>
      </c>
      <c r="M1792" s="694" t="str">
        <f>IF(I1789="",EUconst_NA,INDEX(EUconst_BMlistBMvaluesMatrix,L1792,3))</f>
        <v>N.A.</v>
      </c>
      <c r="N1792" s="685" t="str">
        <f>EUconst_EUA &amp; "/" &amp; F1795</f>
        <v>UKA/tonnes</v>
      </c>
      <c r="O1792" s="485"/>
      <c r="P1792" s="1137"/>
      <c r="Q1792" s="1137"/>
      <c r="R1792" s="1137"/>
      <c r="S1792" s="1137"/>
      <c r="T1792" s="1137"/>
      <c r="U1792" s="1137"/>
      <c r="V1792" s="1137"/>
    </row>
    <row r="1793" spans="1:22" s="562" customFormat="1" ht="5.0999999999999996" customHeight="1" thickBot="1">
      <c r="A1793" s="719"/>
      <c r="B1793" s="485"/>
      <c r="C1793" s="485"/>
      <c r="D1793" s="485"/>
      <c r="E1793" s="559"/>
      <c r="J1793" s="485"/>
      <c r="K1793" s="485"/>
      <c r="L1793" s="485"/>
      <c r="M1793" s="485"/>
      <c r="N1793" s="485"/>
      <c r="O1793" s="485"/>
      <c r="P1793" s="1137"/>
      <c r="Q1793" s="1137"/>
      <c r="R1793" s="1137"/>
      <c r="S1793" s="1137"/>
      <c r="T1793" s="1117"/>
      <c r="U1793" s="1137"/>
      <c r="V1793" s="1137"/>
    </row>
    <row r="1794" spans="1:22" s="562" customFormat="1" ht="12.75" customHeight="1">
      <c r="A1794" s="719"/>
      <c r="B1794" s="485"/>
      <c r="C1794" s="485"/>
      <c r="D1794" s="485"/>
      <c r="E1794" s="496"/>
      <c r="F1794" s="482" t="str">
        <f>EUconst_Unit</f>
        <v>Unit</v>
      </c>
      <c r="G1794" s="695" t="s">
        <v>1646</v>
      </c>
      <c r="H1794" s="696">
        <f t="shared" ref="H1794:N1794" si="133">H$2737</f>
        <v>2024</v>
      </c>
      <c r="I1794" s="697">
        <f t="shared" si="133"/>
        <v>2025</v>
      </c>
      <c r="J1794" s="2125">
        <f t="shared" si="133"/>
        <v>2026</v>
      </c>
      <c r="K1794" s="1489">
        <f t="shared" si="133"/>
        <v>2027</v>
      </c>
      <c r="L1794" s="1490">
        <f t="shared" si="133"/>
        <v>2028</v>
      </c>
      <c r="M1794" s="1490">
        <f t="shared" si="133"/>
        <v>2029</v>
      </c>
      <c r="N1794" s="1490">
        <f t="shared" si="133"/>
        <v>2030</v>
      </c>
      <c r="O1794" s="485"/>
      <c r="P1794" s="1137"/>
      <c r="Q1794" s="1137" t="s">
        <v>1803</v>
      </c>
      <c r="R1794" s="2126">
        <f>J$2737</f>
        <v>2026</v>
      </c>
      <c r="S1794" s="2127">
        <f>K$2737</f>
        <v>2027</v>
      </c>
      <c r="T1794" s="2127">
        <f>L$2737</f>
        <v>2028</v>
      </c>
      <c r="U1794" s="2127">
        <f>M$2737</f>
        <v>2029</v>
      </c>
      <c r="V1794" s="2128">
        <f>N$2737</f>
        <v>2030</v>
      </c>
    </row>
    <row r="1795" spans="1:22" s="562" customFormat="1" ht="12.75" customHeight="1" thickBot="1">
      <c r="A1795" s="719"/>
      <c r="B1795" s="485"/>
      <c r="C1795" s="485"/>
      <c r="D1795" s="485"/>
      <c r="E1795" s="698" t="s">
        <v>1665</v>
      </c>
      <c r="F1795" s="699" t="str">
        <f>IF(ISNUMBER(L1792),INDEX(EUconst_BMlistUnits,L1792),EUconst_Tons)</f>
        <v>tonnes</v>
      </c>
      <c r="G1795" s="700" t="str">
        <f>I1898</f>
        <v/>
      </c>
      <c r="H1795" s="701" t="str">
        <f>IF($I1789="","",IF(H1794&gt;=CNTR_ReportingYear,"",INDEX(F_ProductBM!H:H,MATCH($P1795,F_ProductBM!$Q:$Q,0))))</f>
        <v/>
      </c>
      <c r="I1795" s="702" t="str">
        <f>IF($I1789="","",IF(I1794&gt;=CNTR_ReportingYear,"",INDEX(F_ProductBM!I:I,MATCH($P1795,F_ProductBM!$Q:$Q,0))))</f>
        <v/>
      </c>
      <c r="J1795" s="2129" t="str">
        <f>IF($I1789="","",IF(J1794&gt;=CNTR_ReportingYear,"",INDEX(F_ProductBM!J:J,MATCH($P1795,F_ProductBM!$Q:$Q,0))))</f>
        <v/>
      </c>
      <c r="K1795" s="2072" t="str">
        <f>IF($I1789="","",IF(K1794&gt;=CNTR_ReportingYear,"",INDEX(F_ProductBM!K:K,MATCH($P1795,F_ProductBM!$Q:$Q,0))))</f>
        <v/>
      </c>
      <c r="L1795" s="2073" t="str">
        <f>IF($I1789="","",IF(L1794&gt;=CNTR_ReportingYear,"",INDEX(F_ProductBM!L:L,MATCH($P1795,F_ProductBM!$Q:$Q,0))))</f>
        <v/>
      </c>
      <c r="M1795" s="2073" t="str">
        <f>IF($I1789="","",IF(M1794&gt;=CNTR_ReportingYear,"",INDEX(F_ProductBM!M:M,MATCH($P1795,F_ProductBM!$Q:$Q,0))))</f>
        <v/>
      </c>
      <c r="N1795" s="2073" t="str">
        <f>IF($I1789="","",IF(N1794&gt;=CNTR_ReportingYear,"",INDEX(F_ProductBM!N:N,MATCH($P1795,F_ProductBM!$Q:$Q,0))))</f>
        <v/>
      </c>
      <c r="O1795" s="485"/>
      <c r="P1795" s="1158" t="str">
        <f>EUconst_CNTR_HAL&amp;I1789</f>
        <v>HAL_</v>
      </c>
      <c r="Q1795" s="1137"/>
      <c r="R1795" s="1961" t="b">
        <f>AND($I1789&lt;&gt;"",R1794&lt;=CNTR_ReportingYear,IF($J1792&lt;&gt;EUconst_NA,R1794&gt;=YEAR($J1792),TRUE))</f>
        <v>0</v>
      </c>
      <c r="S1795" s="1675" t="b">
        <f>AND($I1789&lt;&gt;"",S1794&lt;=CNTR_ReportingYear,IF($J1792&lt;&gt;EUconst_NA,S1794&gt;=YEAR($J1792),TRUE))</f>
        <v>0</v>
      </c>
      <c r="T1795" s="1675" t="b">
        <f>AND($I1789&lt;&gt;"",T1794&lt;=CNTR_ReportingYear,IF($J1792&lt;&gt;EUconst_NA,T1794&gt;=YEAR($J1792),TRUE))</f>
        <v>0</v>
      </c>
      <c r="U1795" s="1675" t="b">
        <f>AND($I1789&lt;&gt;"",U1794&lt;=CNTR_ReportingYear,IF($J1792&lt;&gt;EUconst_NA,U1794&gt;=YEAR($J1792),TRUE))</f>
        <v>0</v>
      </c>
      <c r="V1795" s="1676" t="b">
        <f>AND($I1789&lt;&gt;"",V1794&lt;=CNTR_ReportingYear,IF($J1792&lt;&gt;EUconst_NA,V1794&gt;=YEAR($J1792),TRUE))</f>
        <v>0</v>
      </c>
    </row>
    <row r="1796" spans="1:22" s="562" customFormat="1" ht="5.0999999999999996" customHeight="1" thickBot="1">
      <c r="A1796" s="719"/>
      <c r="B1796" s="485"/>
      <c r="C1796" s="559"/>
      <c r="D1796" s="559"/>
      <c r="E1796" s="559"/>
      <c r="F1796" s="559"/>
      <c r="G1796" s="559"/>
      <c r="H1796" s="559"/>
      <c r="I1796" s="559"/>
      <c r="J1796" s="559"/>
      <c r="K1796" s="2130"/>
      <c r="L1796" s="2131"/>
      <c r="M1796" s="2131"/>
      <c r="N1796" s="2131"/>
      <c r="O1796" s="485"/>
      <c r="P1796" s="1137"/>
      <c r="Q1796" s="1137"/>
      <c r="R1796" s="1137"/>
      <c r="S1796" s="1137"/>
      <c r="T1796" s="1137"/>
      <c r="U1796" s="1137"/>
      <c r="V1796" s="1137"/>
    </row>
    <row r="1797" spans="1:22" s="562" customFormat="1" ht="5.0999999999999996" customHeight="1">
      <c r="A1797" s="719"/>
      <c r="B1797" s="485"/>
      <c r="C1797" s="559"/>
      <c r="D1797" s="703"/>
      <c r="E1797" s="704"/>
      <c r="F1797" s="704"/>
      <c r="G1797" s="704"/>
      <c r="H1797" s="704"/>
      <c r="I1797" s="704"/>
      <c r="J1797" s="704"/>
      <c r="K1797" s="2130"/>
      <c r="L1797" s="2131"/>
      <c r="M1797" s="2131"/>
      <c r="N1797" s="2131"/>
      <c r="O1797" s="485"/>
      <c r="P1797" s="1137"/>
      <c r="Q1797" s="1137"/>
      <c r="R1797" s="1137"/>
      <c r="S1797" s="1137"/>
      <c r="T1797" s="1137"/>
      <c r="U1797" s="1137"/>
      <c r="V1797" s="1137"/>
    </row>
    <row r="1798" spans="1:22" s="562" customFormat="1" ht="12.75" customHeight="1">
      <c r="A1798" s="719"/>
      <c r="B1798" s="485"/>
      <c r="C1798" s="559"/>
      <c r="D1798" s="706"/>
      <c r="E1798" s="707" t="s">
        <v>1787</v>
      </c>
      <c r="F1798" s="637"/>
      <c r="G1798" s="637"/>
      <c r="H1798" s="663"/>
      <c r="I1798" s="708"/>
      <c r="J1798" s="2132">
        <f>J$2737</f>
        <v>2026</v>
      </c>
      <c r="K1798" s="1489">
        <f>K$2737</f>
        <v>2027</v>
      </c>
      <c r="L1798" s="1490">
        <f>L$2737</f>
        <v>2028</v>
      </c>
      <c r="M1798" s="1490">
        <f>M$2737</f>
        <v>2029</v>
      </c>
      <c r="N1798" s="1490">
        <f>N$2737</f>
        <v>2030</v>
      </c>
      <c r="O1798" s="485"/>
      <c r="P1798" s="1137"/>
      <c r="Q1798" s="1137"/>
      <c r="R1798" s="1137"/>
      <c r="S1798" s="1137"/>
      <c r="T1798" s="1137"/>
      <c r="U1798" s="1137"/>
      <c r="V1798" s="1137"/>
    </row>
    <row r="1799" spans="1:22" s="562" customFormat="1" ht="12.75" customHeight="1">
      <c r="A1799" s="719"/>
      <c r="B1799" s="485"/>
      <c r="C1799" s="559"/>
      <c r="D1799" s="706"/>
      <c r="E1799" s="711" t="s">
        <v>1783</v>
      </c>
      <c r="F1799" s="712"/>
      <c r="G1799" s="712"/>
      <c r="H1799" s="713"/>
      <c r="I1799" s="712"/>
      <c r="J1799" s="2133" t="str">
        <f>IF(R1795,INDEX(F_ProductBM!V:V,MATCH($P1799,F_ProductBM!$Q:$Q,0))&gt;=3,"")</f>
        <v/>
      </c>
      <c r="K1799" s="2134" t="str">
        <f>IF(S1795,INDEX(F_ProductBM!W:W,MATCH($P1799,F_ProductBM!$Q:$Q,0))&gt;=3,"")</f>
        <v/>
      </c>
      <c r="L1799" s="2135" t="str">
        <f>IF(T1795,INDEX(F_ProductBM!X:X,MATCH($P1799,F_ProductBM!$Q:$Q,0))&gt;=3,"")</f>
        <v/>
      </c>
      <c r="M1799" s="2135" t="str">
        <f>IF(U1795,INDEX(F_ProductBM!Y:Y,MATCH($P1799,F_ProductBM!$Q:$Q,0))&gt;=3,"")</f>
        <v/>
      </c>
      <c r="N1799" s="2135" t="str">
        <f>IF(V1795,INDEX(F_ProductBM!Z:Z,MATCH($P1799,F_ProductBM!$Q:$Q,0))&gt;=3,"")</f>
        <v/>
      </c>
      <c r="O1799" s="485"/>
      <c r="P1799" s="1158" t="str">
        <f>EUconst_CNTR_HALinitial&amp;I1789</f>
        <v>HALini_</v>
      </c>
      <c r="Q1799" s="1137"/>
      <c r="R1799" s="1137"/>
      <c r="S1799" s="1137"/>
      <c r="T1799" s="1137"/>
      <c r="U1799" s="1137"/>
      <c r="V1799" s="1137"/>
    </row>
    <row r="1800" spans="1:22" s="562" customFormat="1" ht="12.75" customHeight="1">
      <c r="A1800" s="719"/>
      <c r="B1800" s="485"/>
      <c r="C1800" s="559"/>
      <c r="D1800" s="706"/>
      <c r="E1800" s="714" t="s">
        <v>1784</v>
      </c>
      <c r="F1800" s="715"/>
      <c r="G1800" s="715"/>
      <c r="H1800" s="716"/>
      <c r="I1800" s="715"/>
      <c r="J1800" s="2136" t="str">
        <f>IF(R1795,IF($K1792="",2050,YEAR($K1792))&lt;&gt;(J1798-1),"")</f>
        <v/>
      </c>
      <c r="K1800" s="2134" t="str">
        <f>IF(S1795,IF($K1792="",2050,YEAR($K1792))&lt;&gt;(K1798-1),"")</f>
        <v/>
      </c>
      <c r="L1800" s="2135" t="str">
        <f>IF(T1795,IF($K1792="",2050,YEAR($K1792))&lt;&gt;(L1798-1),"")</f>
        <v/>
      </c>
      <c r="M1800" s="2135" t="str">
        <f>IF(U1795,IF($K1792="",2050,YEAR($K1792))&lt;&gt;(M1798-1),"")</f>
        <v/>
      </c>
      <c r="N1800" s="2135" t="str">
        <f>IF(V1795,IF($K1792="",2050,YEAR($K1792))&lt;&gt;(N1798-1),"")</f>
        <v/>
      </c>
      <c r="O1800" s="485"/>
      <c r="P1800" s="1137"/>
      <c r="Q1800" s="1137"/>
      <c r="R1800" s="1137"/>
      <c r="S1800" s="1137"/>
      <c r="T1800" s="1137"/>
      <c r="U1800" s="1137"/>
      <c r="V1800" s="1137"/>
    </row>
    <row r="1801" spans="1:22" s="562" customFormat="1" ht="5.0999999999999996" customHeight="1">
      <c r="A1801" s="719"/>
      <c r="B1801" s="485"/>
      <c r="C1801" s="559"/>
      <c r="D1801" s="706"/>
      <c r="E1801" s="559"/>
      <c r="F1801" s="559"/>
      <c r="G1801" s="559"/>
      <c r="H1801" s="559"/>
      <c r="I1801" s="559"/>
      <c r="J1801" s="559"/>
      <c r="K1801" s="2130"/>
      <c r="L1801" s="2131"/>
      <c r="M1801" s="2131"/>
      <c r="N1801" s="2131"/>
      <c r="O1801" s="485"/>
      <c r="P1801" s="1137"/>
      <c r="Q1801" s="1137"/>
      <c r="R1801" s="1137"/>
      <c r="S1801" s="1137"/>
      <c r="T1801" s="1137"/>
      <c r="U1801" s="1137"/>
      <c r="V1801" s="1137"/>
    </row>
    <row r="1802" spans="1:22" s="562" customFormat="1" ht="12.75" customHeight="1">
      <c r="A1802" s="719"/>
      <c r="B1802" s="485"/>
      <c r="C1802" s="559"/>
      <c r="D1802" s="706"/>
      <c r="E1802" s="496" t="s">
        <v>1762</v>
      </c>
      <c r="F1802" s="485"/>
      <c r="G1802" s="485"/>
      <c r="H1802" s="663" t="str">
        <f>EUconst_Unit</f>
        <v>Unit</v>
      </c>
      <c r="I1802" s="708"/>
      <c r="J1802" s="2125">
        <f>J$2737</f>
        <v>2026</v>
      </c>
      <c r="K1802" s="1489">
        <f>K$2737</f>
        <v>2027</v>
      </c>
      <c r="L1802" s="1490">
        <f>L$2737</f>
        <v>2028</v>
      </c>
      <c r="M1802" s="1490">
        <f>M$2737</f>
        <v>2029</v>
      </c>
      <c r="N1802" s="1490">
        <f>N$2737</f>
        <v>2030</v>
      </c>
      <c r="O1802" s="485"/>
      <c r="P1802" s="1137"/>
      <c r="Q1802" s="1137"/>
      <c r="R1802" s="1137"/>
      <c r="S1802" s="1137"/>
      <c r="T1802" s="1137"/>
      <c r="U1802" s="1137"/>
      <c r="V1802" s="1137"/>
    </row>
    <row r="1803" spans="1:22" s="562" customFormat="1" ht="12.75" hidden="1" customHeight="1">
      <c r="A1803" s="719" t="s">
        <v>2289</v>
      </c>
      <c r="B1803" s="485"/>
      <c r="C1803" s="559"/>
      <c r="D1803" s="706"/>
      <c r="E1803" s="698" t="s">
        <v>1714</v>
      </c>
      <c r="F1803" s="698"/>
      <c r="G1803" s="698"/>
      <c r="H1803" s="639" t="str">
        <f>F1795</f>
        <v>tonnes</v>
      </c>
      <c r="I1803" s="698"/>
      <c r="J1803" s="2137" t="str">
        <f t="shared" ref="J1803:J1808" si="134">I1898</f>
        <v/>
      </c>
      <c r="K1803" s="2072" t="str">
        <f t="shared" ref="K1803:N1808" si="135">J1898</f>
        <v/>
      </c>
      <c r="L1803" s="2073" t="str">
        <f t="shared" si="135"/>
        <v/>
      </c>
      <c r="M1803" s="2073" t="str">
        <f t="shared" si="135"/>
        <v/>
      </c>
      <c r="N1803" s="2073" t="str">
        <f t="shared" si="135"/>
        <v/>
      </c>
      <c r="O1803" s="485"/>
      <c r="P1803" s="1137"/>
      <c r="Q1803" s="1137"/>
      <c r="R1803" s="1137"/>
      <c r="S1803" s="1137"/>
      <c r="T1803" s="1137"/>
      <c r="U1803" s="1137"/>
      <c r="V1803" s="1137"/>
    </row>
    <row r="1804" spans="1:22" s="562" customFormat="1" ht="12.75" hidden="1" customHeight="1">
      <c r="A1804" s="719" t="s">
        <v>2289</v>
      </c>
      <c r="B1804" s="485"/>
      <c r="C1804" s="559"/>
      <c r="D1804" s="706"/>
      <c r="E1804" s="720" t="s">
        <v>303</v>
      </c>
      <c r="F1804" s="720"/>
      <c r="G1804" s="720"/>
      <c r="H1804" s="721" t="str">
        <f>EUconst_EUA</f>
        <v>UKA</v>
      </c>
      <c r="I1804" s="722"/>
      <c r="J1804" s="2138" t="str">
        <f t="shared" si="134"/>
        <v/>
      </c>
      <c r="K1804" s="2072" t="str">
        <f t="shared" si="135"/>
        <v/>
      </c>
      <c r="L1804" s="2073" t="str">
        <f t="shared" si="135"/>
        <v/>
      </c>
      <c r="M1804" s="2073" t="str">
        <f t="shared" si="135"/>
        <v/>
      </c>
      <c r="N1804" s="2073" t="str">
        <f t="shared" si="135"/>
        <v/>
      </c>
      <c r="O1804" s="485"/>
      <c r="P1804" s="1137"/>
      <c r="Q1804" s="1137"/>
      <c r="R1804" s="1137"/>
      <c r="S1804" s="1137"/>
      <c r="T1804" s="1137"/>
      <c r="U1804" s="1137"/>
      <c r="V1804" s="1137"/>
    </row>
    <row r="1805" spans="1:22" s="562" customFormat="1" ht="12.75" hidden="1" customHeight="1">
      <c r="A1805" s="719" t="s">
        <v>2289</v>
      </c>
      <c r="B1805" s="485"/>
      <c r="C1805" s="559"/>
      <c r="D1805" s="706"/>
      <c r="E1805" s="723" t="s">
        <v>1422</v>
      </c>
      <c r="F1805" s="723"/>
      <c r="G1805" s="723"/>
      <c r="H1805" s="724" t="str">
        <f>EUconst_EUA</f>
        <v>UKA</v>
      </c>
      <c r="I1805" s="725"/>
      <c r="J1805" s="2139" t="str">
        <f t="shared" si="134"/>
        <v/>
      </c>
      <c r="K1805" s="2072" t="str">
        <f t="shared" si="135"/>
        <v/>
      </c>
      <c r="L1805" s="2073" t="str">
        <f t="shared" si="135"/>
        <v/>
      </c>
      <c r="M1805" s="2073" t="str">
        <f t="shared" si="135"/>
        <v/>
      </c>
      <c r="N1805" s="2073" t="str">
        <f t="shared" si="135"/>
        <v/>
      </c>
      <c r="O1805" s="485"/>
      <c r="P1805" s="1137"/>
      <c r="Q1805" s="1137"/>
      <c r="R1805" s="1137"/>
      <c r="S1805" s="1137"/>
      <c r="T1805" s="1137"/>
      <c r="U1805" s="1137"/>
      <c r="V1805" s="1137"/>
    </row>
    <row r="1806" spans="1:22" s="562" customFormat="1" ht="12.75" hidden="1" customHeight="1">
      <c r="A1806" s="719" t="s">
        <v>2289</v>
      </c>
      <c r="B1806" s="485"/>
      <c r="C1806" s="559"/>
      <c r="D1806" s="706"/>
      <c r="E1806" s="723" t="s">
        <v>1390</v>
      </c>
      <c r="F1806" s="723"/>
      <c r="G1806" s="723"/>
      <c r="H1806" s="724" t="str">
        <f>EUconst_EUA</f>
        <v>UKA</v>
      </c>
      <c r="I1806" s="725"/>
      <c r="J1806" s="2139" t="str">
        <f t="shared" si="134"/>
        <v/>
      </c>
      <c r="K1806" s="2072" t="str">
        <f t="shared" si="135"/>
        <v/>
      </c>
      <c r="L1806" s="2073" t="str">
        <f t="shared" si="135"/>
        <v/>
      </c>
      <c r="M1806" s="2073" t="str">
        <f t="shared" si="135"/>
        <v/>
      </c>
      <c r="N1806" s="2073" t="str">
        <f t="shared" si="135"/>
        <v/>
      </c>
      <c r="O1806" s="485"/>
      <c r="P1806" s="1137"/>
      <c r="Q1806" s="1137"/>
      <c r="R1806" s="1137"/>
      <c r="S1806" s="1137"/>
      <c r="T1806" s="1137"/>
      <c r="U1806" s="1137"/>
      <c r="V1806" s="1137"/>
    </row>
    <row r="1807" spans="1:22" s="562" customFormat="1" ht="12.75" hidden="1" customHeight="1">
      <c r="A1807" s="719" t="s">
        <v>2289</v>
      </c>
      <c r="B1807" s="485"/>
      <c r="C1807" s="559"/>
      <c r="D1807" s="706"/>
      <c r="E1807" s="723" t="s">
        <v>1389</v>
      </c>
      <c r="F1807" s="723"/>
      <c r="G1807" s="723"/>
      <c r="H1807" s="726" t="s">
        <v>1021</v>
      </c>
      <c r="I1807" s="725"/>
      <c r="J1807" s="2140" t="str">
        <f t="shared" si="134"/>
        <v/>
      </c>
      <c r="K1807" s="2141" t="str">
        <f t="shared" si="135"/>
        <v/>
      </c>
      <c r="L1807" s="2142" t="str">
        <f t="shared" si="135"/>
        <v/>
      </c>
      <c r="M1807" s="2142" t="str">
        <f t="shared" si="135"/>
        <v/>
      </c>
      <c r="N1807" s="2142" t="str">
        <f t="shared" si="135"/>
        <v/>
      </c>
      <c r="O1807" s="485"/>
      <c r="P1807" s="1137"/>
      <c r="Q1807" s="1137"/>
      <c r="R1807" s="1137"/>
      <c r="S1807" s="1137"/>
      <c r="T1807" s="1137"/>
      <c r="U1807" s="1137"/>
      <c r="V1807" s="1137"/>
    </row>
    <row r="1808" spans="1:22" s="562" customFormat="1" ht="12.75" hidden="1" customHeight="1">
      <c r="A1808" s="719" t="s">
        <v>2289</v>
      </c>
      <c r="B1808" s="485"/>
      <c r="C1808" s="559"/>
      <c r="D1808" s="706"/>
      <c r="E1808" s="727" t="s">
        <v>1391</v>
      </c>
      <c r="F1808" s="727"/>
      <c r="G1808" s="727"/>
      <c r="H1808" s="728" t="s">
        <v>1021</v>
      </c>
      <c r="I1808" s="729"/>
      <c r="J1808" s="2143" t="str">
        <f t="shared" si="134"/>
        <v/>
      </c>
      <c r="K1808" s="2141" t="str">
        <f t="shared" si="135"/>
        <v/>
      </c>
      <c r="L1808" s="2142" t="str">
        <f t="shared" si="135"/>
        <v/>
      </c>
      <c r="M1808" s="2142" t="str">
        <f t="shared" si="135"/>
        <v/>
      </c>
      <c r="N1808" s="2142" t="str">
        <f t="shared" si="135"/>
        <v/>
      </c>
      <c r="O1808" s="485"/>
      <c r="P1808" s="1137"/>
      <c r="Q1808" s="1137"/>
      <c r="R1808" s="1137"/>
      <c r="S1808" s="1137"/>
      <c r="T1808" s="1137"/>
      <c r="U1808" s="1137"/>
      <c r="V1808" s="1137"/>
    </row>
    <row r="1809" spans="1:22" s="562" customFormat="1" ht="12.75" customHeight="1">
      <c r="A1809" s="719"/>
      <c r="B1809" s="485"/>
      <c r="C1809" s="559"/>
      <c r="D1809" s="706"/>
      <c r="E1809" s="698" t="s">
        <v>1671</v>
      </c>
      <c r="F1809" s="698"/>
      <c r="G1809" s="698"/>
      <c r="H1809" s="730" t="str">
        <f>EUconst_EUA</f>
        <v>UKA</v>
      </c>
      <c r="I1809" s="731"/>
      <c r="J1809" s="2129" t="str">
        <f>IF($I1789="","",MAX(0,ROUND((SUM($M1792)*SUM(J1803)*SUM(J1807)*SUM(J1808)-SUM(J1804)-SUM(J1805)+SUM(J1806))*IF($H1792=TRUE,1,J$2517),0)))</f>
        <v/>
      </c>
      <c r="K1809" s="2072" t="str">
        <f>IF($I1789="","",MAX(0,ROUND((SUM($M1792)*SUM(K1803)*SUM(K1807)*SUM(K1808)-SUM(K1804)-SUM(K1805)+SUM(K1806))*IF($H1792=TRUE,1,K$2517),0)))</f>
        <v/>
      </c>
      <c r="L1809" s="2073" t="str">
        <f>IF($I1789="","",MAX(0,ROUND((SUM($M1792)*SUM(L1803)*SUM(L1807)*SUM(L1808)-SUM(L1804)-SUM(L1805)+SUM(L1806))*IF($H1792=TRUE,1,L$2517),0)))</f>
        <v/>
      </c>
      <c r="M1809" s="2073" t="str">
        <f>IF($I1789="","",MAX(0,ROUND((SUM($M1792)*SUM(M1803)*SUM(M1807)*SUM(M1808)-SUM(M1804)-SUM(M1805)+SUM(M1806))*IF($H1792=TRUE,1,M$2517),0)))</f>
        <v/>
      </c>
      <c r="N1809" s="2073" t="str">
        <f>IF($I1789="","",MAX(0,ROUND((SUM($M1792)*SUM(N1803)*SUM(N1807)*SUM(N1808)-SUM(N1804)-SUM(N1805)+SUM(N1806))*IF($H1792=TRUE,1,N$2517),0)))</f>
        <v/>
      </c>
      <c r="O1809" s="485"/>
      <c r="P1809" s="1137"/>
      <c r="Q1809" s="1137"/>
      <c r="R1809" s="1137"/>
      <c r="S1809" s="1137"/>
      <c r="T1809" s="1137"/>
      <c r="U1809" s="1137"/>
      <c r="V1809" s="1137"/>
    </row>
    <row r="1810" spans="1:22" s="562" customFormat="1" ht="5.0999999999999996" customHeight="1">
      <c r="A1810" s="719"/>
      <c r="B1810" s="485"/>
      <c r="C1810" s="559"/>
      <c r="D1810" s="706"/>
      <c r="E1810" s="559"/>
      <c r="F1810" s="559"/>
      <c r="G1810" s="559"/>
      <c r="H1810" s="559"/>
      <c r="I1810" s="559"/>
      <c r="J1810" s="559"/>
      <c r="K1810" s="2130"/>
      <c r="L1810" s="2131"/>
      <c r="M1810" s="2131"/>
      <c r="N1810" s="2131"/>
      <c r="O1810" s="485"/>
      <c r="P1810" s="1137"/>
      <c r="Q1810" s="1137"/>
      <c r="R1810" s="1137"/>
      <c r="S1810" s="1137"/>
      <c r="T1810" s="1137"/>
      <c r="U1810" s="1137"/>
      <c r="V1810" s="1137"/>
    </row>
    <row r="1811" spans="1:22" s="562" customFormat="1" ht="12.75" customHeight="1">
      <c r="A1811" s="719"/>
      <c r="B1811" s="485"/>
      <c r="C1811" s="559"/>
      <c r="D1811" s="706"/>
      <c r="E1811" s="707" t="s">
        <v>1752</v>
      </c>
      <c r="F1811" s="637"/>
      <c r="G1811" s="637"/>
      <c r="H1811" s="663" t="str">
        <f>EUconst_Unit</f>
        <v>Unit</v>
      </c>
      <c r="I1811" s="708"/>
      <c r="J1811" s="2132">
        <f>J$2737</f>
        <v>2026</v>
      </c>
      <c r="K1811" s="1489">
        <f>K$2737</f>
        <v>2027</v>
      </c>
      <c r="L1811" s="1490">
        <f>L$2737</f>
        <v>2028</v>
      </c>
      <c r="M1811" s="1490">
        <f>M$2737</f>
        <v>2029</v>
      </c>
      <c r="N1811" s="1490">
        <f>N$2737</f>
        <v>2030</v>
      </c>
      <c r="O1811" s="485"/>
      <c r="P1811" s="1137"/>
      <c r="Q1811" s="1137"/>
      <c r="R1811" s="1137"/>
      <c r="S1811" s="1137"/>
      <c r="T1811" s="1137"/>
      <c r="U1811" s="1137"/>
      <c r="V1811" s="1137"/>
    </row>
    <row r="1812" spans="1:22" s="562" customFormat="1" ht="12.75" customHeight="1">
      <c r="A1812" s="719"/>
      <c r="B1812" s="485"/>
      <c r="C1812" s="559"/>
      <c r="D1812" s="706"/>
      <c r="E1812" s="720" t="s">
        <v>1691</v>
      </c>
      <c r="F1812" s="720"/>
      <c r="G1812" s="720"/>
      <c r="H1812" s="732" t="str">
        <f>H1803</f>
        <v>tonnes</v>
      </c>
      <c r="I1812" s="733"/>
      <c r="J1812" s="2144" t="str">
        <f>INDEX(F_ProductBM!J:J,MATCH($P1812,F_ProductBM!$Q:$Q,0))</f>
        <v/>
      </c>
      <c r="K1812" s="2072" t="str">
        <f>INDEX(F_ProductBM!K:K,MATCH($P1812,F_ProductBM!$Q:$Q,0))</f>
        <v/>
      </c>
      <c r="L1812" s="2073" t="str">
        <f>INDEX(F_ProductBM!L:L,MATCH($P1812,F_ProductBM!$Q:$Q,0))</f>
        <v/>
      </c>
      <c r="M1812" s="2073" t="str">
        <f>INDEX(F_ProductBM!M:M,MATCH($P1812,F_ProductBM!$Q:$Q,0))</f>
        <v/>
      </c>
      <c r="N1812" s="2073" t="str">
        <f>INDEX(F_ProductBM!N:N,MATCH($P1812,F_ProductBM!$Q:$Q,0))</f>
        <v/>
      </c>
      <c r="O1812" s="485"/>
      <c r="P1812" s="1158" t="str">
        <f>EUconst_CNTR_HALinitial&amp;I1789</f>
        <v>HALini_</v>
      </c>
      <c r="Q1812" s="1137"/>
      <c r="R1812" s="1137"/>
      <c r="S1812" s="1137"/>
      <c r="T1812" s="1137"/>
      <c r="U1812" s="1137"/>
      <c r="V1812" s="1137"/>
    </row>
    <row r="1813" spans="1:22" s="562" customFormat="1" ht="12.75" customHeight="1">
      <c r="A1813" s="719"/>
      <c r="B1813" s="485"/>
      <c r="C1813" s="559"/>
      <c r="D1813" s="706"/>
      <c r="E1813" s="723" t="s">
        <v>1648</v>
      </c>
      <c r="F1813" s="723"/>
      <c r="G1813" s="723"/>
      <c r="H1813" s="734" t="s">
        <v>1021</v>
      </c>
      <c r="I1813" s="735"/>
      <c r="J1813" s="23" t="str">
        <f>INDEX(F_ProductBM!J:J,MATCH($P1813,F_ProductBM!$Q:$Q,0))</f>
        <v/>
      </c>
      <c r="K1813" s="46" t="str">
        <f>INDEX(F_ProductBM!K:K,MATCH($P1813,F_ProductBM!$Q:$Q,0))</f>
        <v/>
      </c>
      <c r="L1813" s="27" t="str">
        <f>INDEX(F_ProductBM!L:L,MATCH($P1813,F_ProductBM!$Q:$Q,0))</f>
        <v/>
      </c>
      <c r="M1813" s="27" t="str">
        <f>INDEX(F_ProductBM!M:M,MATCH($P1813,F_ProductBM!$Q:$Q,0))</f>
        <v/>
      </c>
      <c r="N1813" s="27" t="str">
        <f>INDEX(F_ProductBM!N:N,MATCH($P1813,F_ProductBM!$Q:$Q,0))</f>
        <v/>
      </c>
      <c r="O1813" s="485"/>
      <c r="P1813" s="1158" t="str">
        <f>EUconst_CNTR_RelThreshold &amp; P1815</f>
        <v>RelThresh_HALprelim_</v>
      </c>
      <c r="Q1813" s="1137"/>
      <c r="R1813" s="1137"/>
      <c r="S1813" s="1137"/>
      <c r="T1813" s="1137"/>
      <c r="U1813" s="1137"/>
      <c r="V1813" s="1137"/>
    </row>
    <row r="1814" spans="1:22" s="562" customFormat="1" ht="12.75" customHeight="1">
      <c r="A1814" s="719"/>
      <c r="B1814" s="485"/>
      <c r="C1814" s="559"/>
      <c r="D1814" s="706"/>
      <c r="E1814" s="736" t="s">
        <v>1850</v>
      </c>
      <c r="F1814" s="736"/>
      <c r="G1814" s="736"/>
      <c r="H1814" s="737" t="s">
        <v>1021</v>
      </c>
      <c r="I1814" s="738"/>
      <c r="J1814" s="2145" t="str">
        <f>INDEX(F_ProductBM!V:V,MATCH($P1814,F_ProductBM!$Q:$Q,0)+1)</f>
        <v/>
      </c>
      <c r="K1814" s="2134" t="str">
        <f>INDEX(F_ProductBM!W:W,MATCH($P1814,F_ProductBM!$Q:$Q,0)+1)</f>
        <v/>
      </c>
      <c r="L1814" s="2135" t="str">
        <f>INDEX(F_ProductBM!X:X,MATCH($P1814,F_ProductBM!$Q:$Q,0)+1)</f>
        <v/>
      </c>
      <c r="M1814" s="2135" t="str">
        <f>INDEX(F_ProductBM!Y:Y,MATCH($P1814,F_ProductBM!$Q:$Q,0)+1)</f>
        <v/>
      </c>
      <c r="N1814" s="2135" t="str">
        <f>INDEX(F_ProductBM!Z:Z,MATCH($P1814,F_ProductBM!$Q:$Q,0)+1)</f>
        <v/>
      </c>
      <c r="O1814" s="485"/>
      <c r="P1814" s="1158" t="str">
        <f>P1813</f>
        <v>RelThresh_HALprelim_</v>
      </c>
      <c r="Q1814" s="1137"/>
      <c r="R1814" s="1137"/>
      <c r="S1814" s="1137"/>
      <c r="T1814" s="1137"/>
      <c r="U1814" s="1137"/>
      <c r="V1814" s="1137"/>
    </row>
    <row r="1815" spans="1:22" s="562" customFormat="1" ht="12.75" customHeight="1">
      <c r="A1815" s="719"/>
      <c r="B1815" s="485"/>
      <c r="C1815" s="559"/>
      <c r="D1815" s="706"/>
      <c r="E1815" s="727" t="s">
        <v>1689</v>
      </c>
      <c r="F1815" s="727"/>
      <c r="G1815" s="727"/>
      <c r="H1815" s="739" t="str">
        <f>F1795</f>
        <v>tonnes</v>
      </c>
      <c r="I1815" s="727"/>
      <c r="J1815" s="2146" t="str">
        <f>INDEX(F_ProductBM!J:J,MATCH($P1815,F_ProductBM!$Q:$Q,0))</f>
        <v/>
      </c>
      <c r="K1815" s="2072" t="str">
        <f>INDEX(F_ProductBM!K:K,MATCH($P1815,F_ProductBM!$Q:$Q,0))</f>
        <v/>
      </c>
      <c r="L1815" s="2073" t="str">
        <f>INDEX(F_ProductBM!L:L,MATCH($P1815,F_ProductBM!$Q:$Q,0))</f>
        <v/>
      </c>
      <c r="M1815" s="2073" t="str">
        <f>INDEX(F_ProductBM!M:M,MATCH($P1815,F_ProductBM!$Q:$Q,0))</f>
        <v/>
      </c>
      <c r="N1815" s="2073" t="str">
        <f>INDEX(F_ProductBM!N:N,MATCH($P1815,F_ProductBM!$Q:$Q,0))</f>
        <v/>
      </c>
      <c r="O1815" s="485"/>
      <c r="P1815" s="1158" t="str">
        <f>EUconst_CNTR_HALprelim&amp;I1789</f>
        <v>HALprelim_</v>
      </c>
      <c r="Q1815" s="1137"/>
      <c r="R1815" s="1137"/>
      <c r="S1815" s="1137"/>
      <c r="T1815" s="1137"/>
      <c r="U1815" s="1137"/>
      <c r="V1815" s="1137"/>
    </row>
    <row r="1816" spans="1:22" s="562" customFormat="1" ht="12.75" hidden="1" customHeight="1">
      <c r="A1816" s="719" t="s">
        <v>2289</v>
      </c>
      <c r="B1816" s="485"/>
      <c r="C1816" s="559"/>
      <c r="D1816" s="706"/>
      <c r="E1816" s="720" t="s">
        <v>303</v>
      </c>
      <c r="F1816" s="720"/>
      <c r="G1816" s="720"/>
      <c r="H1816" s="721" t="str">
        <f>EUconst_EUA</f>
        <v>UKA</v>
      </c>
      <c r="I1816" s="722"/>
      <c r="J1816" s="2138" t="str">
        <f t="shared" ref="J1816:N1820" si="136">I1899</f>
        <v/>
      </c>
      <c r="K1816" s="2072" t="str">
        <f t="shared" si="136"/>
        <v/>
      </c>
      <c r="L1816" s="2073" t="str">
        <f t="shared" si="136"/>
        <v/>
      </c>
      <c r="M1816" s="2073" t="str">
        <f t="shared" si="136"/>
        <v/>
      </c>
      <c r="N1816" s="2073" t="str">
        <f t="shared" si="136"/>
        <v/>
      </c>
      <c r="O1816" s="485"/>
      <c r="P1816" s="1137"/>
      <c r="Q1816" s="1137"/>
      <c r="R1816" s="1137"/>
      <c r="S1816" s="1137"/>
      <c r="T1816" s="1137"/>
      <c r="U1816" s="1137"/>
      <c r="V1816" s="1137"/>
    </row>
    <row r="1817" spans="1:22" s="562" customFormat="1" ht="12.75" hidden="1" customHeight="1">
      <c r="A1817" s="719" t="s">
        <v>2289</v>
      </c>
      <c r="B1817" s="485"/>
      <c r="C1817" s="559"/>
      <c r="D1817" s="706"/>
      <c r="E1817" s="723" t="s">
        <v>1422</v>
      </c>
      <c r="F1817" s="723"/>
      <c r="G1817" s="723"/>
      <c r="H1817" s="724" t="str">
        <f>EUconst_EUA</f>
        <v>UKA</v>
      </c>
      <c r="I1817" s="725"/>
      <c r="J1817" s="2139" t="str">
        <f t="shared" si="136"/>
        <v/>
      </c>
      <c r="K1817" s="2072" t="str">
        <f t="shared" si="136"/>
        <v/>
      </c>
      <c r="L1817" s="2073" t="str">
        <f t="shared" si="136"/>
        <v/>
      </c>
      <c r="M1817" s="2073" t="str">
        <f t="shared" si="136"/>
        <v/>
      </c>
      <c r="N1817" s="2073" t="str">
        <f t="shared" si="136"/>
        <v/>
      </c>
      <c r="O1817" s="485"/>
      <c r="P1817" s="1137"/>
      <c r="Q1817" s="1137"/>
      <c r="R1817" s="1137"/>
      <c r="S1817" s="1137"/>
      <c r="T1817" s="1137"/>
      <c r="U1817" s="1137"/>
      <c r="V1817" s="1137"/>
    </row>
    <row r="1818" spans="1:22" s="562" customFormat="1" ht="12.75" hidden="1" customHeight="1">
      <c r="A1818" s="719" t="s">
        <v>2289</v>
      </c>
      <c r="B1818" s="485"/>
      <c r="C1818" s="559"/>
      <c r="D1818" s="706"/>
      <c r="E1818" s="723" t="s">
        <v>1390</v>
      </c>
      <c r="F1818" s="723"/>
      <c r="G1818" s="723"/>
      <c r="H1818" s="724" t="str">
        <f>EUconst_EUA</f>
        <v>UKA</v>
      </c>
      <c r="I1818" s="725"/>
      <c r="J1818" s="2139" t="str">
        <f t="shared" si="136"/>
        <v/>
      </c>
      <c r="K1818" s="2072" t="str">
        <f t="shared" si="136"/>
        <v/>
      </c>
      <c r="L1818" s="2073" t="str">
        <f t="shared" si="136"/>
        <v/>
      </c>
      <c r="M1818" s="2073" t="str">
        <f t="shared" si="136"/>
        <v/>
      </c>
      <c r="N1818" s="2073" t="str">
        <f t="shared" si="136"/>
        <v/>
      </c>
      <c r="O1818" s="485"/>
      <c r="P1818" s="1137"/>
      <c r="Q1818" s="1137"/>
      <c r="R1818" s="1137"/>
      <c r="S1818" s="1137"/>
      <c r="T1818" s="1137"/>
      <c r="U1818" s="1137"/>
      <c r="V1818" s="1137"/>
    </row>
    <row r="1819" spans="1:22" s="562" customFormat="1" ht="12.75" hidden="1" customHeight="1">
      <c r="A1819" s="719" t="s">
        <v>2289</v>
      </c>
      <c r="B1819" s="485"/>
      <c r="C1819" s="559"/>
      <c r="D1819" s="706"/>
      <c r="E1819" s="723" t="s">
        <v>1389</v>
      </c>
      <c r="F1819" s="723"/>
      <c r="G1819" s="723"/>
      <c r="H1819" s="726" t="s">
        <v>1021</v>
      </c>
      <c r="I1819" s="725"/>
      <c r="J1819" s="2140" t="str">
        <f t="shared" si="136"/>
        <v/>
      </c>
      <c r="K1819" s="2141" t="str">
        <f t="shared" si="136"/>
        <v/>
      </c>
      <c r="L1819" s="2142" t="str">
        <f t="shared" si="136"/>
        <v/>
      </c>
      <c r="M1819" s="2142" t="str">
        <f t="shared" si="136"/>
        <v/>
      </c>
      <c r="N1819" s="2142" t="str">
        <f t="shared" si="136"/>
        <v/>
      </c>
      <c r="O1819" s="485"/>
      <c r="P1819" s="1137"/>
      <c r="Q1819" s="1137"/>
      <c r="R1819" s="1137"/>
      <c r="S1819" s="1137"/>
      <c r="T1819" s="1137"/>
      <c r="U1819" s="1137"/>
      <c r="V1819" s="1137"/>
    </row>
    <row r="1820" spans="1:22" s="562" customFormat="1" ht="12.75" hidden="1" customHeight="1">
      <c r="A1820" s="719" t="s">
        <v>2289</v>
      </c>
      <c r="B1820" s="485"/>
      <c r="C1820" s="559"/>
      <c r="D1820" s="706"/>
      <c r="E1820" s="727" t="s">
        <v>1391</v>
      </c>
      <c r="F1820" s="727"/>
      <c r="G1820" s="727"/>
      <c r="H1820" s="728" t="s">
        <v>1021</v>
      </c>
      <c r="I1820" s="729"/>
      <c r="J1820" s="2143" t="str">
        <f t="shared" si="136"/>
        <v/>
      </c>
      <c r="K1820" s="2141" t="str">
        <f t="shared" si="136"/>
        <v/>
      </c>
      <c r="L1820" s="2142" t="str">
        <f t="shared" si="136"/>
        <v/>
      </c>
      <c r="M1820" s="2142" t="str">
        <f t="shared" si="136"/>
        <v/>
      </c>
      <c r="N1820" s="2142" t="str">
        <f t="shared" si="136"/>
        <v/>
      </c>
      <c r="O1820" s="485"/>
      <c r="P1820" s="1137"/>
      <c r="Q1820" s="1137"/>
      <c r="R1820" s="1137"/>
      <c r="S1820" s="1137"/>
      <c r="T1820" s="1137"/>
      <c r="U1820" s="1137"/>
      <c r="V1820" s="1137"/>
    </row>
    <row r="1821" spans="1:22" s="562" customFormat="1" ht="12.75" customHeight="1">
      <c r="A1821" s="719"/>
      <c r="B1821" s="485"/>
      <c r="C1821" s="559"/>
      <c r="D1821" s="706"/>
      <c r="E1821" s="698" t="s">
        <v>1671</v>
      </c>
      <c r="F1821" s="698"/>
      <c r="G1821" s="698"/>
      <c r="H1821" s="730" t="str">
        <f>EUconst_EUA</f>
        <v>UKA</v>
      </c>
      <c r="I1821" s="731"/>
      <c r="J1821" s="2129" t="str">
        <f>IF($I1789="","",MAX(0,ROUND((SUM($M1792)*SUM(J1815)*SUM(J1819)*SUM(J1820)-SUM(J1816)-SUM(J1817)+SUM(J1818))*IF($H1792=TRUE,1,J$2517),0)))</f>
        <v/>
      </c>
      <c r="K1821" s="2072" t="str">
        <f>IF($I1789="","",MAX(0,ROUND((SUM($M1792)*SUM(K1815)*SUM(K1819)*SUM(K1820)-SUM(K1816)-SUM(K1817)+SUM(K1818))*IF($H1792=TRUE,1,K$2517),0)))</f>
        <v/>
      </c>
      <c r="L1821" s="2073" t="str">
        <f>IF($I1789="","",MAX(0,ROUND((SUM($M1792)*SUM(L1815)*SUM(L1819)*SUM(L1820)-SUM(L1816)-SUM(L1817)+SUM(L1818))*IF($H1792=TRUE,1,L$2517),0)))</f>
        <v/>
      </c>
      <c r="M1821" s="2073" t="str">
        <f>IF($I1789="","",MAX(0,ROUND((SUM($M1792)*SUM(M1815)*SUM(M1819)*SUM(M1820)-SUM(M1816)-SUM(M1817)+SUM(M1818))*IF($H1792=TRUE,1,M$2517),0)))</f>
        <v/>
      </c>
      <c r="N1821" s="2073" t="str">
        <f>IF($I1789="","",MAX(0,ROUND((SUM($M1792)*SUM(N1815)*SUM(N1819)*SUM(N1820)-SUM(N1816)-SUM(N1817)+SUM(N1818))*IF($H1792=TRUE,1,N$2517),0)))</f>
        <v/>
      </c>
      <c r="O1821" s="485"/>
      <c r="P1821" s="1137"/>
      <c r="Q1821" s="1137"/>
      <c r="R1821" s="1137"/>
      <c r="S1821" s="1137"/>
      <c r="T1821" s="1137"/>
      <c r="U1821" s="1137"/>
      <c r="V1821" s="1137"/>
    </row>
    <row r="1822" spans="1:22" s="562" customFormat="1" ht="12.75" customHeight="1">
      <c r="A1822" s="719"/>
      <c r="B1822" s="485"/>
      <c r="C1822" s="559"/>
      <c r="D1822" s="706"/>
      <c r="E1822" s="698" t="s">
        <v>1670</v>
      </c>
      <c r="F1822" s="698"/>
      <c r="G1822" s="698"/>
      <c r="H1822" s="730" t="str">
        <f>EUconst_EUA</f>
        <v>UKA</v>
      </c>
      <c r="I1822" s="731"/>
      <c r="J1822" s="2129" t="str">
        <f>IF($I1789="","",ABS(SUM(J1821)-SUM(J1809)))</f>
        <v/>
      </c>
      <c r="K1822" s="2072" t="str">
        <f>IF($I1789="","",ABS(SUM(K1821)-SUM(K1809)))</f>
        <v/>
      </c>
      <c r="L1822" s="2073" t="str">
        <f>IF($I1789="","",ABS(SUM(L1821)-SUM(L1809)))</f>
        <v/>
      </c>
      <c r="M1822" s="2073" t="str">
        <f>IF($I1789="","",ABS(SUM(M1821)-SUM(M1809)))</f>
        <v/>
      </c>
      <c r="N1822" s="2073" t="str">
        <f>IF($I1789="","",ABS(SUM(N1821)-SUM(N1809)))</f>
        <v/>
      </c>
      <c r="O1822" s="485"/>
      <c r="P1822" s="1137"/>
      <c r="Q1822" s="1137"/>
      <c r="R1822" s="1137"/>
      <c r="S1822" s="1137"/>
      <c r="T1822" s="1137"/>
      <c r="U1822" s="1137"/>
      <c r="V1822" s="1137"/>
    </row>
    <row r="1823" spans="1:22" s="562" customFormat="1" ht="12.75" customHeight="1">
      <c r="A1823" s="719"/>
      <c r="B1823" s="485"/>
      <c r="C1823" s="559"/>
      <c r="D1823" s="706"/>
      <c r="E1823" s="740" t="s">
        <v>2130</v>
      </c>
      <c r="F1823" s="740"/>
      <c r="G1823" s="740"/>
      <c r="H1823" s="741" t="s">
        <v>1021</v>
      </c>
      <c r="I1823" s="742"/>
      <c r="J1823" s="2147" t="str">
        <f>IF($I1789="","",J1822&gt;=100)</f>
        <v/>
      </c>
      <c r="K1823" s="2134" t="str">
        <f>IF($I1789="","",K1822&gt;=100)</f>
        <v/>
      </c>
      <c r="L1823" s="2135" t="str">
        <f>IF($I1789="","",L1822&gt;=100)</f>
        <v/>
      </c>
      <c r="M1823" s="2135" t="str">
        <f>IF($I1789="","",M1822&gt;=100)</f>
        <v/>
      </c>
      <c r="N1823" s="2135" t="str">
        <f>IF($I1789="","",N1822&gt;=100)</f>
        <v/>
      </c>
      <c r="O1823" s="485"/>
      <c r="P1823" s="1158" t="str">
        <f>EUconst_CNTR_100EUA_ActivityLevel&amp;I1789</f>
        <v>EUA100AL_</v>
      </c>
      <c r="Q1823" s="1137"/>
      <c r="R1823" s="1137"/>
      <c r="S1823" s="1137"/>
      <c r="T1823" s="1137"/>
      <c r="U1823" s="1137"/>
      <c r="V1823" s="1137"/>
    </row>
    <row r="1824" spans="1:22" s="562" customFormat="1" ht="5.0999999999999996" customHeight="1">
      <c r="A1824" s="719"/>
      <c r="B1824" s="485"/>
      <c r="C1824" s="559"/>
      <c r="D1824" s="706"/>
      <c r="E1824" s="485"/>
      <c r="F1824" s="485"/>
      <c r="G1824" s="485"/>
      <c r="H1824" s="485"/>
      <c r="I1824" s="743"/>
      <c r="J1824" s="485"/>
      <c r="K1824" s="1790"/>
      <c r="L1824" s="1791"/>
      <c r="M1824" s="1791"/>
      <c r="N1824" s="1791"/>
      <c r="O1824" s="485"/>
      <c r="P1824" s="1137"/>
      <c r="Q1824" s="1137"/>
      <c r="R1824" s="1137"/>
      <c r="S1824" s="1137"/>
      <c r="T1824" s="1137"/>
      <c r="U1824" s="1137"/>
      <c r="V1824" s="1137"/>
    </row>
    <row r="1825" spans="1:22" s="562" customFormat="1" ht="12.75" customHeight="1">
      <c r="A1825" s="719"/>
      <c r="B1825" s="485"/>
      <c r="C1825" s="559"/>
      <c r="D1825" s="706"/>
      <c r="E1825" s="707" t="s">
        <v>1753</v>
      </c>
      <c r="F1825" s="637"/>
      <c r="G1825" s="637"/>
      <c r="H1825" s="663" t="str">
        <f>EUconst_Unit</f>
        <v>Unit</v>
      </c>
      <c r="I1825" s="708"/>
      <c r="J1825" s="2132">
        <f>J$2737</f>
        <v>2026</v>
      </c>
      <c r="K1825" s="1489">
        <f>K$2737</f>
        <v>2027</v>
      </c>
      <c r="L1825" s="1490">
        <f>L$2737</f>
        <v>2028</v>
      </c>
      <c r="M1825" s="1490">
        <f>M$2737</f>
        <v>2029</v>
      </c>
      <c r="N1825" s="1490">
        <f>N$2737</f>
        <v>2030</v>
      </c>
      <c r="O1825" s="485"/>
      <c r="P1825" s="1137"/>
      <c r="Q1825" s="1137"/>
      <c r="R1825" s="1137"/>
      <c r="S1825" s="1137"/>
      <c r="T1825" s="1137"/>
      <c r="U1825" s="1137"/>
      <c r="V1825" s="1137"/>
    </row>
    <row r="1826" spans="1:22" s="562" customFormat="1" ht="12.75" hidden="1" customHeight="1">
      <c r="A1826" s="719" t="s">
        <v>2289</v>
      </c>
      <c r="B1826" s="485"/>
      <c r="C1826" s="559"/>
      <c r="D1826" s="706"/>
      <c r="E1826" s="698" t="s">
        <v>1714</v>
      </c>
      <c r="F1826" s="698"/>
      <c r="G1826" s="698"/>
      <c r="H1826" s="639" t="str">
        <f>H1815</f>
        <v>tonnes</v>
      </c>
      <c r="I1826" s="698"/>
      <c r="J1826" s="2137" t="str">
        <f t="shared" ref="J1826:N1829" si="137">I1898</f>
        <v/>
      </c>
      <c r="K1826" s="2072" t="str">
        <f t="shared" si="137"/>
        <v/>
      </c>
      <c r="L1826" s="2073" t="str">
        <f t="shared" si="137"/>
        <v/>
      </c>
      <c r="M1826" s="2073" t="str">
        <f t="shared" si="137"/>
        <v/>
      </c>
      <c r="N1826" s="2073" t="str">
        <f t="shared" si="137"/>
        <v/>
      </c>
      <c r="O1826" s="485"/>
      <c r="P1826" s="1137"/>
      <c r="Q1826" s="1137"/>
      <c r="R1826" s="1137"/>
      <c r="S1826" s="1137"/>
      <c r="T1826" s="1137"/>
      <c r="U1826" s="1137"/>
      <c r="V1826" s="1137"/>
    </row>
    <row r="1827" spans="1:22" s="562" customFormat="1" ht="12.75" hidden="1" customHeight="1">
      <c r="A1827" s="719" t="s">
        <v>2289</v>
      </c>
      <c r="B1827" s="485"/>
      <c r="C1827" s="559"/>
      <c r="D1827" s="706"/>
      <c r="E1827" s="720" t="s">
        <v>303</v>
      </c>
      <c r="F1827" s="720"/>
      <c r="G1827" s="720"/>
      <c r="H1827" s="721" t="str">
        <f>EUconst_EUA</f>
        <v>UKA</v>
      </c>
      <c r="I1827" s="722"/>
      <c r="J1827" s="2138" t="str">
        <f t="shared" si="137"/>
        <v/>
      </c>
      <c r="K1827" s="2072" t="str">
        <f t="shared" si="137"/>
        <v/>
      </c>
      <c r="L1827" s="2073" t="str">
        <f t="shared" si="137"/>
        <v/>
      </c>
      <c r="M1827" s="2073" t="str">
        <f t="shared" si="137"/>
        <v/>
      </c>
      <c r="N1827" s="2073" t="str">
        <f t="shared" si="137"/>
        <v/>
      </c>
      <c r="O1827" s="485"/>
      <c r="P1827" s="1137"/>
      <c r="Q1827" s="1137"/>
      <c r="R1827" s="1137"/>
      <c r="S1827" s="1137"/>
      <c r="T1827" s="1137"/>
      <c r="U1827" s="1137"/>
      <c r="V1827" s="1137"/>
    </row>
    <row r="1828" spans="1:22" s="562" customFormat="1" ht="12.75" hidden="1" customHeight="1">
      <c r="A1828" s="719" t="s">
        <v>2289</v>
      </c>
      <c r="B1828" s="485"/>
      <c r="C1828" s="559"/>
      <c r="D1828" s="706"/>
      <c r="E1828" s="723" t="s">
        <v>1422</v>
      </c>
      <c r="F1828" s="723"/>
      <c r="G1828" s="723"/>
      <c r="H1828" s="724" t="str">
        <f>EUconst_EUA</f>
        <v>UKA</v>
      </c>
      <c r="I1828" s="725"/>
      <c r="J1828" s="2139" t="str">
        <f t="shared" si="137"/>
        <v/>
      </c>
      <c r="K1828" s="2072" t="str">
        <f t="shared" si="137"/>
        <v/>
      </c>
      <c r="L1828" s="2073" t="str">
        <f t="shared" si="137"/>
        <v/>
      </c>
      <c r="M1828" s="2073" t="str">
        <f t="shared" si="137"/>
        <v/>
      </c>
      <c r="N1828" s="2073" t="str">
        <f t="shared" si="137"/>
        <v/>
      </c>
      <c r="O1828" s="485"/>
      <c r="P1828" s="1137"/>
      <c r="Q1828" s="1137"/>
      <c r="R1828" s="1137"/>
      <c r="S1828" s="1137"/>
      <c r="T1828" s="1137"/>
      <c r="U1828" s="1137"/>
      <c r="V1828" s="1137"/>
    </row>
    <row r="1829" spans="1:22" s="562" customFormat="1" ht="12.75" hidden="1" customHeight="1">
      <c r="A1829" s="719" t="s">
        <v>2289</v>
      </c>
      <c r="B1829" s="485"/>
      <c r="C1829" s="559"/>
      <c r="D1829" s="706"/>
      <c r="E1829" s="745" t="s">
        <v>1390</v>
      </c>
      <c r="F1829" s="745"/>
      <c r="G1829" s="745"/>
      <c r="H1829" s="746" t="str">
        <f>EUconst_EUA</f>
        <v>UKA</v>
      </c>
      <c r="I1829" s="747"/>
      <c r="J1829" s="2148" t="str">
        <f t="shared" si="137"/>
        <v/>
      </c>
      <c r="K1829" s="2072" t="str">
        <f t="shared" si="137"/>
        <v/>
      </c>
      <c r="L1829" s="2073" t="str">
        <f t="shared" si="137"/>
        <v/>
      </c>
      <c r="M1829" s="2073" t="str">
        <f t="shared" si="137"/>
        <v/>
      </c>
      <c r="N1829" s="2073" t="str">
        <f t="shared" si="137"/>
        <v/>
      </c>
      <c r="O1829" s="485"/>
      <c r="P1829" s="1137"/>
      <c r="Q1829" s="1137"/>
      <c r="R1829" s="1137"/>
      <c r="S1829" s="1137"/>
      <c r="T1829" s="1137"/>
      <c r="U1829" s="1137"/>
      <c r="V1829" s="1137"/>
    </row>
    <row r="1830" spans="1:22" s="562" customFormat="1" ht="12.75" customHeight="1">
      <c r="A1830" s="719"/>
      <c r="B1830" s="485"/>
      <c r="C1830" s="559"/>
      <c r="D1830" s="706"/>
      <c r="E1830" s="720" t="s">
        <v>1691</v>
      </c>
      <c r="F1830" s="720"/>
      <c r="G1830" s="720"/>
      <c r="H1830" s="748" t="s">
        <v>1021</v>
      </c>
      <c r="I1830" s="722"/>
      <c r="J1830" s="2149" t="str">
        <f>INDEX(F_ProductBM!J:J,MATCH($P1830,F_ProductBM!$Q:$Q,0))</f>
        <v/>
      </c>
      <c r="K1830" s="2141" t="str">
        <f>INDEX(F_ProductBM!K:K,MATCH($P1830,F_ProductBM!$Q:$Q,0))</f>
        <v/>
      </c>
      <c r="L1830" s="2142" t="str">
        <f>INDEX(F_ProductBM!L:L,MATCH($P1830,F_ProductBM!$Q:$Q,0))</f>
        <v/>
      </c>
      <c r="M1830" s="2142" t="str">
        <f>INDEX(F_ProductBM!M:M,MATCH($P1830,F_ProductBM!$Q:$Q,0))</f>
        <v/>
      </c>
      <c r="N1830" s="2142" t="str">
        <f>INDEX(F_ProductBM!N:N,MATCH($P1830,F_ProductBM!$Q:$Q,0))</f>
        <v/>
      </c>
      <c r="O1830" s="485"/>
      <c r="P1830" s="1158" t="str">
        <f>EUconst_CNTR_HAL &amp; EUconst_CNTR_ELEXCHInitial &amp; I1789</f>
        <v>HAL_ELEXCHIni_</v>
      </c>
      <c r="Q1830" s="1137"/>
      <c r="R1830" s="1137"/>
      <c r="S1830" s="1137"/>
      <c r="T1830" s="1137"/>
      <c r="U1830" s="1137"/>
      <c r="V1830" s="1137"/>
    </row>
    <row r="1831" spans="1:22" s="562" customFormat="1" ht="12.75" customHeight="1">
      <c r="A1831" s="719"/>
      <c r="B1831" s="485"/>
      <c r="C1831" s="559"/>
      <c r="D1831" s="706"/>
      <c r="E1831" s="723" t="s">
        <v>2232</v>
      </c>
      <c r="F1831" s="723"/>
      <c r="G1831" s="723"/>
      <c r="H1831" s="734" t="s">
        <v>1021</v>
      </c>
      <c r="I1831" s="735"/>
      <c r="J1831" s="23" t="str">
        <f>INDEX(F_ProductBM!J:J,MATCH($P1831,F_ProductBM!$Q:$Q,0))</f>
        <v/>
      </c>
      <c r="K1831" s="46" t="str">
        <f>INDEX(F_ProductBM!K:K,MATCH($P1831,F_ProductBM!$Q:$Q,0))</f>
        <v/>
      </c>
      <c r="L1831" s="27" t="str">
        <f>INDEX(F_ProductBM!L:L,MATCH($P1831,F_ProductBM!$Q:$Q,0))</f>
        <v/>
      </c>
      <c r="M1831" s="27" t="str">
        <f>INDEX(F_ProductBM!M:M,MATCH($P1831,F_ProductBM!$Q:$Q,0))</f>
        <v/>
      </c>
      <c r="N1831" s="27" t="str">
        <f>INDEX(F_ProductBM!N:N,MATCH($P1831,F_ProductBM!$Q:$Q,0))</f>
        <v/>
      </c>
      <c r="O1831" s="485"/>
      <c r="P1831" s="1158" t="str">
        <f>EUconst_CNTR_RelThreshold &amp; P1833</f>
        <v>RelThresh_HALprelim_ELEXCH_</v>
      </c>
      <c r="Q1831" s="1137"/>
      <c r="R1831" s="1137"/>
      <c r="S1831" s="1137"/>
      <c r="T1831" s="1137"/>
      <c r="U1831" s="1137"/>
      <c r="V1831" s="1137"/>
    </row>
    <row r="1832" spans="1:22" s="562" customFormat="1" ht="12.75" customHeight="1">
      <c r="A1832" s="719"/>
      <c r="B1832" s="485"/>
      <c r="C1832" s="559"/>
      <c r="D1832" s="706"/>
      <c r="E1832" s="736" t="s">
        <v>1852</v>
      </c>
      <c r="F1832" s="736"/>
      <c r="G1832" s="736"/>
      <c r="H1832" s="737" t="s">
        <v>1021</v>
      </c>
      <c r="I1832" s="738"/>
      <c r="J1832" s="2145" t="str">
        <f>INDEX(F_ProductBM!V:V,MATCH($P1832,F_ProductBM!$Q:$Q,0))</f>
        <v/>
      </c>
      <c r="K1832" s="2134" t="str">
        <f>INDEX(F_ProductBM!W:W,MATCH($P1832,F_ProductBM!$Q:$Q,0))</f>
        <v/>
      </c>
      <c r="L1832" s="2135" t="str">
        <f>INDEX(F_ProductBM!X:X,MATCH($P1832,F_ProductBM!$Q:$Q,0))</f>
        <v/>
      </c>
      <c r="M1832" s="2135" t="str">
        <f>INDEX(F_ProductBM!Y:Y,MATCH($P1832,F_ProductBM!$Q:$Q,0))</f>
        <v/>
      </c>
      <c r="N1832" s="2135" t="str">
        <f>INDEX(F_ProductBM!Z:Z,MATCH($P1832,F_ProductBM!$Q:$Q,0))</f>
        <v/>
      </c>
      <c r="O1832" s="485"/>
      <c r="P1832" s="1158" t="str">
        <f>P1831</f>
        <v>RelThresh_HALprelim_ELEXCH_</v>
      </c>
      <c r="Q1832" s="1137"/>
      <c r="R1832" s="1137"/>
      <c r="S1832" s="1137"/>
      <c r="T1832" s="1137"/>
      <c r="U1832" s="1137"/>
      <c r="V1832" s="1137"/>
    </row>
    <row r="1833" spans="1:22" s="562" customFormat="1" ht="12.75" customHeight="1">
      <c r="A1833" s="719"/>
      <c r="B1833" s="485"/>
      <c r="C1833" s="559"/>
      <c r="D1833" s="706"/>
      <c r="E1833" s="727" t="s">
        <v>1689</v>
      </c>
      <c r="F1833" s="727"/>
      <c r="G1833" s="727"/>
      <c r="H1833" s="749" t="s">
        <v>1021</v>
      </c>
      <c r="I1833" s="727"/>
      <c r="J1833" s="2150" t="str">
        <f>IF($I1792=TRUE,INDEX(F_ProductBM!J:J,MATCH($P1833,F_ProductBM!$Q:$Q,0)),"")</f>
        <v/>
      </c>
      <c r="K1833" s="2141" t="str">
        <f>IF($I1792=TRUE,INDEX(F_ProductBM!K:K,MATCH($P1833,F_ProductBM!$Q:$Q,0)),"")</f>
        <v/>
      </c>
      <c r="L1833" s="2142" t="str">
        <f>IF($I1792=TRUE,INDEX(F_ProductBM!L:L,MATCH($P1833,F_ProductBM!$Q:$Q,0)),"")</f>
        <v/>
      </c>
      <c r="M1833" s="2142" t="str">
        <f>IF($I1792=TRUE,INDEX(F_ProductBM!M:M,MATCH($P1833,F_ProductBM!$Q:$Q,0)),"")</f>
        <v/>
      </c>
      <c r="N1833" s="2142" t="str">
        <f>IF($I1792=TRUE,INDEX(F_ProductBM!N:N,MATCH($P1833,F_ProductBM!$Q:$Q,0)),"")</f>
        <v/>
      </c>
      <c r="O1833" s="485"/>
      <c r="P1833" s="1158" t="str">
        <f>EUconst_CNTR_HALprelim&amp;EUconst_CNTR_ELEXCH&amp;$I1789</f>
        <v>HALprelim_ELEXCH_</v>
      </c>
      <c r="Q1833" s="1137"/>
      <c r="R1833" s="1137"/>
      <c r="S1833" s="1137"/>
      <c r="T1833" s="1137"/>
      <c r="U1833" s="1137"/>
      <c r="V1833" s="1137"/>
    </row>
    <row r="1834" spans="1:22" s="562" customFormat="1" ht="12.75" hidden="1" customHeight="1">
      <c r="A1834" s="719" t="s">
        <v>2289</v>
      </c>
      <c r="B1834" s="485"/>
      <c r="C1834" s="559"/>
      <c r="D1834" s="706"/>
      <c r="E1834" s="727" t="s">
        <v>1391</v>
      </c>
      <c r="F1834" s="727"/>
      <c r="G1834" s="727"/>
      <c r="H1834" s="750" t="s">
        <v>1021</v>
      </c>
      <c r="I1834" s="729"/>
      <c r="J1834" s="2143" t="str">
        <f>I1903</f>
        <v/>
      </c>
      <c r="K1834" s="2141" t="str">
        <f>J1903</f>
        <v/>
      </c>
      <c r="L1834" s="2142" t="str">
        <f>K1903</f>
        <v/>
      </c>
      <c r="M1834" s="2142" t="str">
        <f>L1903</f>
        <v/>
      </c>
      <c r="N1834" s="2142" t="str">
        <f>M1903</f>
        <v/>
      </c>
      <c r="O1834" s="485"/>
      <c r="P1834" s="1137"/>
      <c r="Q1834" s="1137"/>
      <c r="R1834" s="1137"/>
      <c r="S1834" s="1137"/>
      <c r="T1834" s="1137"/>
      <c r="U1834" s="1137"/>
      <c r="V1834" s="1137"/>
    </row>
    <row r="1835" spans="1:22" s="562" customFormat="1" ht="12.75" customHeight="1">
      <c r="A1835" s="719"/>
      <c r="B1835" s="485"/>
      <c r="C1835" s="559"/>
      <c r="D1835" s="706"/>
      <c r="E1835" s="698" t="s">
        <v>1671</v>
      </c>
      <c r="F1835" s="698"/>
      <c r="G1835" s="698"/>
      <c r="H1835" s="730" t="str">
        <f>EUconst_EUA</f>
        <v>UKA</v>
      </c>
      <c r="I1835" s="731"/>
      <c r="J1835" s="2129" t="str">
        <f>IF($I1792=TRUE,MAX(0,ROUND((SUM($M1792)*SUM(J1826)*SUM(J1833)*SUM(J1834)-SUM(J1827)-SUM(J1828)+SUM(J1829))*IF($H1792=TRUE,1,J$2517),0)),"")</f>
        <v/>
      </c>
      <c r="K1835" s="2072" t="str">
        <f>IF($I1792=TRUE,MAX(0,ROUND((SUM($M1792)*SUM(K1826)*SUM(K1833)*SUM(K1834)-SUM(K1827)-SUM(K1828)+SUM(K1829))*IF($H1792=TRUE,1,K$2517),0)),"")</f>
        <v/>
      </c>
      <c r="L1835" s="2073" t="str">
        <f>IF($I1792=TRUE,MAX(0,ROUND((SUM($M1792)*SUM(L1826)*SUM(L1833)*SUM(L1834)-SUM(L1827)-SUM(L1828)+SUM(L1829))*IF($H1792=TRUE,1,L$2517),0)),"")</f>
        <v/>
      </c>
      <c r="M1835" s="2073" t="str">
        <f>IF($I1792=TRUE,MAX(0,ROUND((SUM($M1792)*SUM(M1826)*SUM(M1833)*SUM(M1834)-SUM(M1827)-SUM(M1828)+SUM(M1829))*IF($H1792=TRUE,1,M$2517),0)),"")</f>
        <v/>
      </c>
      <c r="N1835" s="2073" t="str">
        <f>IF($I1792=TRUE,MAX(0,ROUND((SUM($M1792)*SUM(N1826)*SUM(N1833)*SUM(N1834)-SUM(N1827)-SUM(N1828)+SUM(N1829))*IF($H1792=TRUE,1,N$2517),0)),"")</f>
        <v/>
      </c>
      <c r="O1835" s="485"/>
      <c r="P1835" s="1137"/>
      <c r="Q1835" s="1137"/>
      <c r="R1835" s="1137"/>
      <c r="S1835" s="1137"/>
      <c r="T1835" s="1137"/>
      <c r="U1835" s="1137"/>
      <c r="V1835" s="1137"/>
    </row>
    <row r="1836" spans="1:22" s="562" customFormat="1" ht="12.75" customHeight="1">
      <c r="A1836" s="719"/>
      <c r="B1836" s="485"/>
      <c r="C1836" s="559"/>
      <c r="D1836" s="706"/>
      <c r="E1836" s="698" t="s">
        <v>1670</v>
      </c>
      <c r="F1836" s="698"/>
      <c r="G1836" s="698"/>
      <c r="H1836" s="730" t="str">
        <f>EUconst_EUA</f>
        <v>UKA</v>
      </c>
      <c r="I1836" s="731"/>
      <c r="J1836" s="2129" t="str">
        <f>IF($I1792=TRUE,ABS(SUM(J1835)-SUM(J1809)),"")</f>
        <v/>
      </c>
      <c r="K1836" s="2072" t="str">
        <f>IF($I1792=TRUE,ABS(SUM(K1835)-SUM(K1809)),"")</f>
        <v/>
      </c>
      <c r="L1836" s="2073" t="str">
        <f>IF($I1792=TRUE,ABS(SUM(L1835)-SUM(L1809)),"")</f>
        <v/>
      </c>
      <c r="M1836" s="2073" t="str">
        <f>IF($I1792=TRUE,ABS(SUM(M1835)-SUM(M1809)),"")</f>
        <v/>
      </c>
      <c r="N1836" s="2073" t="str">
        <f>IF($I1792=TRUE,ABS(SUM(N1835)-SUM(N1809)),"")</f>
        <v/>
      </c>
      <c r="O1836" s="485"/>
      <c r="P1836" s="1137"/>
      <c r="Q1836" s="1137"/>
      <c r="R1836" s="1137"/>
      <c r="S1836" s="1137"/>
      <c r="T1836" s="1137"/>
      <c r="U1836" s="1137"/>
      <c r="V1836" s="1137"/>
    </row>
    <row r="1837" spans="1:22" s="562" customFormat="1" ht="12.75" customHeight="1">
      <c r="A1837" s="719"/>
      <c r="B1837" s="485"/>
      <c r="C1837" s="559"/>
      <c r="D1837" s="706"/>
      <c r="E1837" s="740" t="s">
        <v>2131</v>
      </c>
      <c r="F1837" s="740"/>
      <c r="G1837" s="740"/>
      <c r="H1837" s="741" t="s">
        <v>1021</v>
      </c>
      <c r="I1837" s="742"/>
      <c r="J1837" s="2147" t="str">
        <f>IF($I1792=TRUE,J1836&gt;=100,"")</f>
        <v/>
      </c>
      <c r="K1837" s="2134" t="str">
        <f>IF($I1792=TRUE,K1836&gt;=100,"")</f>
        <v/>
      </c>
      <c r="L1837" s="2135" t="str">
        <f>IF($I1792=TRUE,L1836&gt;=100,"")</f>
        <v/>
      </c>
      <c r="M1837" s="2135" t="str">
        <f>IF($I1792=TRUE,M1836&gt;=100,"")</f>
        <v/>
      </c>
      <c r="N1837" s="2135" t="str">
        <f>IF($I1792=TRUE,N1836&gt;=100,"")</f>
        <v/>
      </c>
      <c r="O1837" s="485"/>
      <c r="P1837" s="1158" t="str">
        <f>EUconst_CNTR_100EUA_ElExch&amp;I1789</f>
        <v>EUA100ElExch_</v>
      </c>
      <c r="Q1837" s="1137"/>
      <c r="R1837" s="1137"/>
      <c r="S1837" s="1137"/>
      <c r="T1837" s="1137"/>
      <c r="U1837" s="1137"/>
      <c r="V1837" s="1137"/>
    </row>
    <row r="1838" spans="1:22" s="562" customFormat="1" ht="5.0999999999999996" customHeight="1">
      <c r="A1838" s="719"/>
      <c r="B1838" s="485"/>
      <c r="C1838" s="559"/>
      <c r="D1838" s="706"/>
      <c r="E1838" s="485"/>
      <c r="F1838" s="485"/>
      <c r="G1838" s="485"/>
      <c r="H1838" s="485"/>
      <c r="I1838" s="743"/>
      <c r="J1838" s="485"/>
      <c r="K1838" s="1790"/>
      <c r="L1838" s="1791"/>
      <c r="M1838" s="1791"/>
      <c r="N1838" s="1791"/>
      <c r="O1838" s="485"/>
      <c r="P1838" s="1137"/>
      <c r="Q1838" s="1137"/>
      <c r="R1838" s="1137"/>
      <c r="S1838" s="1137"/>
      <c r="T1838" s="1137"/>
      <c r="U1838" s="1137"/>
      <c r="V1838" s="1137"/>
    </row>
    <row r="1839" spans="1:22" s="562" customFormat="1" ht="12.75" customHeight="1">
      <c r="A1839" s="719"/>
      <c r="B1839" s="485"/>
      <c r="C1839" s="559"/>
      <c r="D1839" s="706"/>
      <c r="E1839" s="707" t="s">
        <v>1754</v>
      </c>
      <c r="F1839" s="637"/>
      <c r="G1839" s="637"/>
      <c r="H1839" s="663" t="str">
        <f>EUconst_Unit</f>
        <v>Unit</v>
      </c>
      <c r="I1839" s="708"/>
      <c r="J1839" s="2132">
        <f>J$2737</f>
        <v>2026</v>
      </c>
      <c r="K1839" s="1489">
        <f>K$2737</f>
        <v>2027</v>
      </c>
      <c r="L1839" s="1490">
        <f>L$2737</f>
        <v>2028</v>
      </c>
      <c r="M1839" s="1490">
        <f>M$2737</f>
        <v>2029</v>
      </c>
      <c r="N1839" s="1490">
        <f>N$2737</f>
        <v>2030</v>
      </c>
      <c r="O1839" s="485"/>
      <c r="P1839" s="1137"/>
      <c r="Q1839" s="1137"/>
      <c r="R1839" s="1137"/>
      <c r="S1839" s="1137"/>
      <c r="T1839" s="1137"/>
      <c r="U1839" s="1137"/>
      <c r="V1839" s="1137"/>
    </row>
    <row r="1840" spans="1:22" s="562" customFormat="1" ht="12.75" hidden="1" customHeight="1">
      <c r="A1840" s="719" t="s">
        <v>2289</v>
      </c>
      <c r="B1840" s="485"/>
      <c r="C1840" s="559"/>
      <c r="D1840" s="706"/>
      <c r="E1840" s="698" t="s">
        <v>1714</v>
      </c>
      <c r="F1840" s="698"/>
      <c r="G1840" s="698"/>
      <c r="H1840" s="639" t="str">
        <f>H1826</f>
        <v>tonnes</v>
      </c>
      <c r="I1840" s="698"/>
      <c r="J1840" s="2137" t="str">
        <f>I1898</f>
        <v/>
      </c>
      <c r="K1840" s="2072" t="str">
        <f>J1898</f>
        <v/>
      </c>
      <c r="L1840" s="2073" t="str">
        <f>K1898</f>
        <v/>
      </c>
      <c r="M1840" s="2073" t="str">
        <f>L1898</f>
        <v/>
      </c>
      <c r="N1840" s="2073" t="str">
        <f>M1898</f>
        <v/>
      </c>
      <c r="O1840" s="485"/>
      <c r="P1840" s="1137"/>
      <c r="Q1840" s="1137"/>
      <c r="R1840" s="1137"/>
      <c r="S1840" s="1137"/>
      <c r="T1840" s="1137"/>
      <c r="U1840" s="1137"/>
      <c r="V1840" s="1137"/>
    </row>
    <row r="1841" spans="1:22" s="562" customFormat="1" ht="12.75" customHeight="1">
      <c r="A1841" s="719"/>
      <c r="B1841" s="485"/>
      <c r="C1841" s="559"/>
      <c r="D1841" s="706"/>
      <c r="E1841" s="720" t="s">
        <v>1691</v>
      </c>
      <c r="F1841" s="720"/>
      <c r="G1841" s="720"/>
      <c r="H1841" s="748" t="str">
        <f>EUconst_EUA</f>
        <v>UKA</v>
      </c>
      <c r="I1841" s="722"/>
      <c r="J1841" s="2144" t="str">
        <f>IF(R1795,SUM(INDEX(F_ProductBM!J:J,MATCH($P1841,F_ProductBM!$Q:$Q,0))),"")</f>
        <v/>
      </c>
      <c r="K1841" s="2072" t="str">
        <f>IF(S1795,SUM(INDEX(F_ProductBM!K:K,MATCH($P1841,F_ProductBM!$Q:$Q,0))),"")</f>
        <v/>
      </c>
      <c r="L1841" s="2073" t="str">
        <f>IF(T1795,SUM(INDEX(F_ProductBM!L:L,MATCH($P1841,F_ProductBM!$Q:$Q,0))),"")</f>
        <v/>
      </c>
      <c r="M1841" s="2073" t="str">
        <f>IF(U1795,SUM(INDEX(F_ProductBM!M:M,MATCH($P1841,F_ProductBM!$Q:$Q,0))),"")</f>
        <v/>
      </c>
      <c r="N1841" s="2073" t="str">
        <f>IF(V1795,SUM(INDEX(F_ProductBM!N:N,MATCH($P1841,F_ProductBM!$Q:$Q,0))),"")</f>
        <v/>
      </c>
      <c r="O1841" s="485"/>
      <c r="P1841" s="1158" t="str">
        <f>EUconst_CNTR_HEATInitial &amp; I1789</f>
        <v>HEATIni_</v>
      </c>
      <c r="Q1841" s="1137"/>
      <c r="R1841" s="1137"/>
      <c r="S1841" s="1137"/>
      <c r="T1841" s="1137"/>
      <c r="U1841" s="1137"/>
      <c r="V1841" s="1137"/>
    </row>
    <row r="1842" spans="1:22" s="562" customFormat="1" ht="12.75" customHeight="1">
      <c r="A1842" s="719"/>
      <c r="B1842" s="485"/>
      <c r="C1842" s="559"/>
      <c r="D1842" s="706"/>
      <c r="E1842" s="723" t="s">
        <v>2232</v>
      </c>
      <c r="F1842" s="723"/>
      <c r="G1842" s="723"/>
      <c r="H1842" s="734" t="s">
        <v>1021</v>
      </c>
      <c r="I1842" s="735"/>
      <c r="J1842" s="23" t="str">
        <f>INDEX(F_ProductBM!J:J,MATCH($P1842,F_ProductBM!$Q:$Q,0))</f>
        <v/>
      </c>
      <c r="K1842" s="46" t="str">
        <f>INDEX(F_ProductBM!K:K,MATCH($P1842,F_ProductBM!$Q:$Q,0))</f>
        <v/>
      </c>
      <c r="L1842" s="27" t="str">
        <f>INDEX(F_ProductBM!L:L,MATCH($P1842,F_ProductBM!$Q:$Q,0))</f>
        <v/>
      </c>
      <c r="M1842" s="27" t="str">
        <f>INDEX(F_ProductBM!M:M,MATCH($P1842,F_ProductBM!$Q:$Q,0))</f>
        <v/>
      </c>
      <c r="N1842" s="27" t="str">
        <f>INDEX(F_ProductBM!N:N,MATCH($P1842,F_ProductBM!$Q:$Q,0))</f>
        <v/>
      </c>
      <c r="O1842" s="485"/>
      <c r="P1842" s="1158" t="str">
        <f>EUconst_CNTR_RelThreshold &amp; P1844</f>
        <v>RelThresh_HEATprelim_</v>
      </c>
      <c r="Q1842" s="1137"/>
      <c r="R1842" s="1137"/>
      <c r="S1842" s="1137"/>
      <c r="T1842" s="1137"/>
      <c r="U1842" s="1137"/>
      <c r="V1842" s="1137"/>
    </row>
    <row r="1843" spans="1:22" s="562" customFormat="1" ht="12.75" customHeight="1">
      <c r="A1843" s="719"/>
      <c r="B1843" s="485"/>
      <c r="C1843" s="559"/>
      <c r="D1843" s="706"/>
      <c r="E1843" s="736" t="s">
        <v>1853</v>
      </c>
      <c r="F1843" s="736"/>
      <c r="G1843" s="736"/>
      <c r="H1843" s="737" t="s">
        <v>1021</v>
      </c>
      <c r="I1843" s="738"/>
      <c r="J1843" s="2145" t="str">
        <f>INDEX(F_ProductBM!V:V,MATCH($P1843,F_ProductBM!$Q:$Q,0))</f>
        <v/>
      </c>
      <c r="K1843" s="2134" t="str">
        <f>INDEX(F_ProductBM!W:W,MATCH($P1843,F_ProductBM!$Q:$Q,0))</f>
        <v/>
      </c>
      <c r="L1843" s="2135" t="str">
        <f>INDEX(F_ProductBM!X:X,MATCH($P1843,F_ProductBM!$Q:$Q,0))</f>
        <v/>
      </c>
      <c r="M1843" s="2135" t="str">
        <f>INDEX(F_ProductBM!Y:Y,MATCH($P1843,F_ProductBM!$Q:$Q,0))</f>
        <v/>
      </c>
      <c r="N1843" s="2135" t="str">
        <f>INDEX(F_ProductBM!Z:Z,MATCH($P1843,F_ProductBM!$Q:$Q,0))</f>
        <v/>
      </c>
      <c r="O1843" s="485"/>
      <c r="P1843" s="1158" t="str">
        <f>P1842</f>
        <v>RelThresh_HEATprelim_</v>
      </c>
      <c r="Q1843" s="1137"/>
      <c r="R1843" s="1137"/>
      <c r="S1843" s="1137"/>
      <c r="T1843" s="1137"/>
      <c r="U1843" s="1137"/>
      <c r="V1843" s="1137"/>
    </row>
    <row r="1844" spans="1:22" s="562" customFormat="1" ht="12.75" customHeight="1">
      <c r="A1844" s="719"/>
      <c r="B1844" s="485"/>
      <c r="C1844" s="559"/>
      <c r="D1844" s="706"/>
      <c r="E1844" s="727" t="s">
        <v>1689</v>
      </c>
      <c r="F1844" s="727"/>
      <c r="G1844" s="727"/>
      <c r="H1844" s="749" t="str">
        <f>EUconst_EUA</f>
        <v>UKA</v>
      </c>
      <c r="I1844" s="727"/>
      <c r="J1844" s="2146" t="str">
        <f>IF($I1789="","",INDEX(F_ProductBM!J:J,MATCH($P1844,F_ProductBM!$Q:$Q,0)))</f>
        <v/>
      </c>
      <c r="K1844" s="2072" t="str">
        <f>IF($I1789="","",INDEX(F_ProductBM!K:K,MATCH($P1844,F_ProductBM!$Q:$Q,0)))</f>
        <v/>
      </c>
      <c r="L1844" s="2073" t="str">
        <f>IF($I1789="","",INDEX(F_ProductBM!L:L,MATCH($P1844,F_ProductBM!$Q:$Q,0)))</f>
        <v/>
      </c>
      <c r="M1844" s="2073" t="str">
        <f>IF($I1789="","",INDEX(F_ProductBM!M:M,MATCH($P1844,F_ProductBM!$Q:$Q,0)))</f>
        <v/>
      </c>
      <c r="N1844" s="2073" t="str">
        <f>IF($I1789="","",INDEX(F_ProductBM!N:N,MATCH($P1844,F_ProductBM!$Q:$Q,0)))</f>
        <v/>
      </c>
      <c r="O1844" s="485"/>
      <c r="P1844" s="1158" t="str">
        <f>EUconst_CNTR_HEATprelim&amp;I1789</f>
        <v>HEATprelim_</v>
      </c>
      <c r="Q1844" s="1137"/>
      <c r="R1844" s="1137"/>
      <c r="S1844" s="1137"/>
      <c r="T1844" s="1137"/>
      <c r="U1844" s="1137"/>
      <c r="V1844" s="1137"/>
    </row>
    <row r="1845" spans="1:22" s="562" customFormat="1" ht="12.75" hidden="1" customHeight="1">
      <c r="A1845" s="719" t="s">
        <v>2289</v>
      </c>
      <c r="B1845" s="485"/>
      <c r="C1845" s="559"/>
      <c r="D1845" s="706"/>
      <c r="E1845" s="723" t="s">
        <v>1422</v>
      </c>
      <c r="F1845" s="723"/>
      <c r="G1845" s="723"/>
      <c r="H1845" s="724" t="str">
        <f>EUconst_EUA</f>
        <v>UKA</v>
      </c>
      <c r="I1845" s="725"/>
      <c r="J1845" s="2139" t="str">
        <f t="shared" ref="J1845:N1848" si="138">I1900</f>
        <v/>
      </c>
      <c r="K1845" s="2072" t="str">
        <f t="shared" si="138"/>
        <v/>
      </c>
      <c r="L1845" s="2073" t="str">
        <f t="shared" si="138"/>
        <v/>
      </c>
      <c r="M1845" s="2073" t="str">
        <f t="shared" si="138"/>
        <v/>
      </c>
      <c r="N1845" s="2073" t="str">
        <f t="shared" si="138"/>
        <v/>
      </c>
      <c r="O1845" s="485"/>
      <c r="P1845" s="1137"/>
      <c r="Q1845" s="1137"/>
      <c r="R1845" s="1137"/>
      <c r="S1845" s="1137"/>
      <c r="T1845" s="1137"/>
      <c r="U1845" s="1137"/>
      <c r="V1845" s="1137"/>
    </row>
    <row r="1846" spans="1:22" s="562" customFormat="1" ht="12.75" hidden="1" customHeight="1">
      <c r="A1846" s="719" t="s">
        <v>2289</v>
      </c>
      <c r="B1846" s="485"/>
      <c r="C1846" s="559"/>
      <c r="D1846" s="706"/>
      <c r="E1846" s="723" t="s">
        <v>1390</v>
      </c>
      <c r="F1846" s="723"/>
      <c r="G1846" s="723"/>
      <c r="H1846" s="724" t="str">
        <f>EUconst_EUA</f>
        <v>UKA</v>
      </c>
      <c r="I1846" s="725"/>
      <c r="J1846" s="2139" t="str">
        <f t="shared" si="138"/>
        <v/>
      </c>
      <c r="K1846" s="2072" t="str">
        <f t="shared" si="138"/>
        <v/>
      </c>
      <c r="L1846" s="2073" t="str">
        <f t="shared" si="138"/>
        <v/>
      </c>
      <c r="M1846" s="2073" t="str">
        <f t="shared" si="138"/>
        <v/>
      </c>
      <c r="N1846" s="2073" t="str">
        <f t="shared" si="138"/>
        <v/>
      </c>
      <c r="O1846" s="485"/>
      <c r="P1846" s="1137"/>
      <c r="Q1846" s="1137"/>
      <c r="R1846" s="1137"/>
      <c r="S1846" s="1137"/>
      <c r="T1846" s="1137"/>
      <c r="U1846" s="1137"/>
      <c r="V1846" s="1137"/>
    </row>
    <row r="1847" spans="1:22" s="562" customFormat="1" ht="12.75" hidden="1" customHeight="1">
      <c r="A1847" s="719" t="s">
        <v>2289</v>
      </c>
      <c r="B1847" s="485"/>
      <c r="C1847" s="559"/>
      <c r="D1847" s="706"/>
      <c r="E1847" s="723" t="s">
        <v>1389</v>
      </c>
      <c r="F1847" s="723"/>
      <c r="G1847" s="723"/>
      <c r="H1847" s="726" t="s">
        <v>1021</v>
      </c>
      <c r="I1847" s="725"/>
      <c r="J1847" s="2140" t="str">
        <f t="shared" si="138"/>
        <v/>
      </c>
      <c r="K1847" s="2141" t="str">
        <f t="shared" si="138"/>
        <v/>
      </c>
      <c r="L1847" s="2142" t="str">
        <f t="shared" si="138"/>
        <v/>
      </c>
      <c r="M1847" s="2142" t="str">
        <f t="shared" si="138"/>
        <v/>
      </c>
      <c r="N1847" s="2142" t="str">
        <f t="shared" si="138"/>
        <v/>
      </c>
      <c r="O1847" s="485"/>
      <c r="P1847" s="1137"/>
      <c r="Q1847" s="1137"/>
      <c r="R1847" s="1137"/>
      <c r="S1847" s="1137"/>
      <c r="T1847" s="1137"/>
      <c r="U1847" s="1137"/>
      <c r="V1847" s="1137"/>
    </row>
    <row r="1848" spans="1:22" s="562" customFormat="1" ht="12.75" hidden="1" customHeight="1">
      <c r="A1848" s="719" t="s">
        <v>2289</v>
      </c>
      <c r="B1848" s="485"/>
      <c r="C1848" s="559"/>
      <c r="D1848" s="706"/>
      <c r="E1848" s="727" t="s">
        <v>1391</v>
      </c>
      <c r="F1848" s="727"/>
      <c r="G1848" s="727"/>
      <c r="H1848" s="728" t="s">
        <v>1021</v>
      </c>
      <c r="I1848" s="729"/>
      <c r="J1848" s="2143" t="str">
        <f t="shared" si="138"/>
        <v/>
      </c>
      <c r="K1848" s="2141" t="str">
        <f t="shared" si="138"/>
        <v/>
      </c>
      <c r="L1848" s="2142" t="str">
        <f t="shared" si="138"/>
        <v/>
      </c>
      <c r="M1848" s="2142" t="str">
        <f t="shared" si="138"/>
        <v/>
      </c>
      <c r="N1848" s="2142" t="str">
        <f t="shared" si="138"/>
        <v/>
      </c>
      <c r="O1848" s="485"/>
      <c r="P1848" s="1137"/>
      <c r="Q1848" s="1137"/>
      <c r="R1848" s="1137"/>
      <c r="S1848" s="1137"/>
      <c r="T1848" s="1137"/>
      <c r="U1848" s="1137"/>
      <c r="V1848" s="1137"/>
    </row>
    <row r="1849" spans="1:22" s="562" customFormat="1" ht="12.75" customHeight="1">
      <c r="A1849" s="719"/>
      <c r="B1849" s="485"/>
      <c r="C1849" s="559"/>
      <c r="D1849" s="706"/>
      <c r="E1849" s="698" t="s">
        <v>1671</v>
      </c>
      <c r="F1849" s="698"/>
      <c r="G1849" s="698"/>
      <c r="H1849" s="730" t="str">
        <f>EUconst_EUA</f>
        <v>UKA</v>
      </c>
      <c r="I1849" s="731"/>
      <c r="J1849" s="2129" t="str">
        <f>IF($I1789="","",MAX(0,ROUND((SUM($M1792)*SUM(J1840)*SUM(J1847)*SUM(J1848)-SUM(J1844)-SUM(J1845)+SUM(J1846))*IF($H1792=TRUE,1,J$2517),0)))</f>
        <v/>
      </c>
      <c r="K1849" s="2072" t="str">
        <f>IF($I1789="","",MAX(0,ROUND((SUM($M1792)*SUM(K1840)*SUM(K1847)*SUM(K1848)-SUM(K1844)-SUM(K1845)+SUM(K1846))*IF($H1792=TRUE,1,K$2517),0)))</f>
        <v/>
      </c>
      <c r="L1849" s="2073" t="str">
        <f>IF($I1789="","",MAX(0,ROUND((SUM($M1792)*SUM(L1840)*SUM(L1847)*SUM(L1848)-SUM(L1844)-SUM(L1845)+SUM(L1846))*IF($H1792=TRUE,1,L$2517),0)))</f>
        <v/>
      </c>
      <c r="M1849" s="2073" t="str">
        <f>IF($I1789="","",MAX(0,ROUND((SUM($M1792)*SUM(M1840)*SUM(M1847)*SUM(M1848)-SUM(M1844)-SUM(M1845)+SUM(M1846))*IF($H1792=TRUE,1,M$2517),0)))</f>
        <v/>
      </c>
      <c r="N1849" s="2073" t="str">
        <f>IF($I1789="","",MAX(0,ROUND((SUM($M1792)*SUM(N1840)*SUM(N1847)*SUM(N1848)-SUM(N1844)-SUM(N1845)+SUM(N1846))*IF($H1792=TRUE,1,N$2517),0)))</f>
        <v/>
      </c>
      <c r="O1849" s="485"/>
      <c r="P1849" s="1137"/>
      <c r="Q1849" s="1137"/>
      <c r="R1849" s="1137"/>
      <c r="S1849" s="1137"/>
      <c r="T1849" s="1137"/>
      <c r="U1849" s="1137"/>
      <c r="V1849" s="1137"/>
    </row>
    <row r="1850" spans="1:22" s="562" customFormat="1" ht="12.75" customHeight="1">
      <c r="A1850" s="719"/>
      <c r="B1850" s="485"/>
      <c r="C1850" s="559"/>
      <c r="D1850" s="706"/>
      <c r="E1850" s="698" t="s">
        <v>1670</v>
      </c>
      <c r="F1850" s="698"/>
      <c r="G1850" s="698"/>
      <c r="H1850" s="730" t="str">
        <f>EUconst_EUA</f>
        <v>UKA</v>
      </c>
      <c r="I1850" s="731"/>
      <c r="J1850" s="2129" t="str">
        <f>IF($I1789="","",ABS(SUM(J1849)-SUM(J1809)))</f>
        <v/>
      </c>
      <c r="K1850" s="2072" t="str">
        <f>IF($I1789="","",ABS(SUM(K1849)-SUM(K1809)))</f>
        <v/>
      </c>
      <c r="L1850" s="2073" t="str">
        <f>IF($I1789="","",ABS(SUM(L1849)-SUM(L1809)))</f>
        <v/>
      </c>
      <c r="M1850" s="2073" t="str">
        <f>IF($I1789="","",ABS(SUM(M1849)-SUM(M1809)))</f>
        <v/>
      </c>
      <c r="N1850" s="2073" t="str">
        <f>IF($I1789="","",ABS(SUM(N1849)-SUM(N1809)))</f>
        <v/>
      </c>
      <c r="O1850" s="485"/>
      <c r="P1850" s="1137"/>
      <c r="Q1850" s="1137"/>
      <c r="R1850" s="1137"/>
      <c r="S1850" s="1137"/>
      <c r="T1850" s="1137"/>
      <c r="U1850" s="1137"/>
      <c r="V1850" s="1137"/>
    </row>
    <row r="1851" spans="1:22" s="562" customFormat="1" ht="12.75" customHeight="1">
      <c r="A1851" s="719"/>
      <c r="B1851" s="485"/>
      <c r="C1851" s="559"/>
      <c r="D1851" s="706"/>
      <c r="E1851" s="740" t="s">
        <v>2132</v>
      </c>
      <c r="F1851" s="740"/>
      <c r="G1851" s="740"/>
      <c r="H1851" s="741" t="s">
        <v>1021</v>
      </c>
      <c r="I1851" s="742"/>
      <c r="J1851" s="2147" t="str">
        <f>IF($I1789="","",J1850&gt;=100)</f>
        <v/>
      </c>
      <c r="K1851" s="2134" t="str">
        <f>IF($I1789="","",K1850&gt;=100)</f>
        <v/>
      </c>
      <c r="L1851" s="2135" t="str">
        <f>IF($I1789="","",L1850&gt;=100)</f>
        <v/>
      </c>
      <c r="M1851" s="2135" t="str">
        <f>IF($I1789="","",M1850&gt;=100)</f>
        <v/>
      </c>
      <c r="N1851" s="2135" t="str">
        <f>IF($I1789="","",N1850&gt;=100)</f>
        <v/>
      </c>
      <c r="O1851" s="485"/>
      <c r="P1851" s="1158" t="str">
        <f>EUconst_CNTR_100EUA_HEAT&amp;I1789</f>
        <v>EUA100HEAT_</v>
      </c>
      <c r="Q1851" s="1137"/>
      <c r="R1851" s="1137"/>
      <c r="S1851" s="1137"/>
      <c r="T1851" s="1137"/>
      <c r="U1851" s="1137"/>
      <c r="V1851" s="1137"/>
    </row>
    <row r="1852" spans="1:22" s="562" customFormat="1" ht="5.0999999999999996" customHeight="1">
      <c r="A1852" s="719"/>
      <c r="B1852" s="485"/>
      <c r="C1852" s="559"/>
      <c r="D1852" s="706"/>
      <c r="E1852" s="485"/>
      <c r="F1852" s="485"/>
      <c r="G1852" s="485"/>
      <c r="H1852" s="485"/>
      <c r="I1852" s="743"/>
      <c r="J1852" s="485"/>
      <c r="K1852" s="1790"/>
      <c r="L1852" s="1791"/>
      <c r="M1852" s="1791"/>
      <c r="N1852" s="1791"/>
      <c r="O1852" s="485"/>
      <c r="P1852" s="1137"/>
      <c r="Q1852" s="1137"/>
      <c r="R1852" s="1137"/>
      <c r="S1852" s="1137"/>
      <c r="T1852" s="1137"/>
      <c r="U1852" s="1137"/>
      <c r="V1852" s="1137"/>
    </row>
    <row r="1853" spans="1:22" s="562" customFormat="1" ht="12.75" customHeight="1">
      <c r="A1853" s="719"/>
      <c r="B1853" s="485"/>
      <c r="C1853" s="559"/>
      <c r="D1853" s="706"/>
      <c r="E1853" s="707" t="s">
        <v>1755</v>
      </c>
      <c r="F1853" s="637"/>
      <c r="G1853" s="637"/>
      <c r="H1853" s="663" t="str">
        <f>EUconst_Unit</f>
        <v>Unit</v>
      </c>
      <c r="I1853" s="708"/>
      <c r="J1853" s="2132">
        <f>J$2737</f>
        <v>2026</v>
      </c>
      <c r="K1853" s="1489">
        <f>K$2737</f>
        <v>2027</v>
      </c>
      <c r="L1853" s="1490">
        <f>L$2737</f>
        <v>2028</v>
      </c>
      <c r="M1853" s="1490">
        <f>M$2737</f>
        <v>2029</v>
      </c>
      <c r="N1853" s="1490">
        <f>N$2737</f>
        <v>2030</v>
      </c>
      <c r="O1853" s="485"/>
      <c r="P1853" s="1137"/>
      <c r="Q1853" s="1137"/>
      <c r="R1853" s="1137"/>
      <c r="S1853" s="1137"/>
      <c r="T1853" s="1137"/>
      <c r="U1853" s="1137"/>
      <c r="V1853" s="1137"/>
    </row>
    <row r="1854" spans="1:22" s="562" customFormat="1" ht="12.75" hidden="1" customHeight="1">
      <c r="A1854" s="719" t="s">
        <v>2289</v>
      </c>
      <c r="B1854" s="485"/>
      <c r="C1854" s="559"/>
      <c r="D1854" s="706"/>
      <c r="E1854" s="698" t="s">
        <v>1714</v>
      </c>
      <c r="F1854" s="698"/>
      <c r="G1854" s="698"/>
      <c r="H1854" s="639" t="str">
        <f>H1840</f>
        <v>tonnes</v>
      </c>
      <c r="I1854" s="698"/>
      <c r="J1854" s="2137" t="str">
        <f t="shared" ref="J1854:N1856" si="139">I1898</f>
        <v/>
      </c>
      <c r="K1854" s="2072" t="str">
        <f t="shared" si="139"/>
        <v/>
      </c>
      <c r="L1854" s="2073" t="str">
        <f t="shared" si="139"/>
        <v/>
      </c>
      <c r="M1854" s="2073" t="str">
        <f t="shared" si="139"/>
        <v/>
      </c>
      <c r="N1854" s="2073" t="str">
        <f t="shared" si="139"/>
        <v/>
      </c>
      <c r="O1854" s="485"/>
      <c r="P1854" s="1137"/>
      <c r="Q1854" s="1137"/>
      <c r="R1854" s="1137"/>
      <c r="S1854" s="1137"/>
      <c r="T1854" s="1137"/>
      <c r="U1854" s="1137"/>
      <c r="V1854" s="1137"/>
    </row>
    <row r="1855" spans="1:22" s="562" customFormat="1" ht="12.75" hidden="1" customHeight="1">
      <c r="A1855" s="719" t="s">
        <v>2289</v>
      </c>
      <c r="B1855" s="485"/>
      <c r="C1855" s="559"/>
      <c r="D1855" s="706"/>
      <c r="E1855" s="720" t="s">
        <v>303</v>
      </c>
      <c r="F1855" s="720"/>
      <c r="G1855" s="720"/>
      <c r="H1855" s="721" t="str">
        <f>EUconst_EUA</f>
        <v>UKA</v>
      </c>
      <c r="I1855" s="722"/>
      <c r="J1855" s="2138" t="str">
        <f t="shared" si="139"/>
        <v/>
      </c>
      <c r="K1855" s="2072" t="str">
        <f t="shared" si="139"/>
        <v/>
      </c>
      <c r="L1855" s="2073" t="str">
        <f t="shared" si="139"/>
        <v/>
      </c>
      <c r="M1855" s="2073" t="str">
        <f t="shared" si="139"/>
        <v/>
      </c>
      <c r="N1855" s="2073" t="str">
        <f t="shared" si="139"/>
        <v/>
      </c>
      <c r="O1855" s="485"/>
      <c r="P1855" s="1137"/>
      <c r="Q1855" s="1137"/>
      <c r="R1855" s="1137"/>
      <c r="S1855" s="1137"/>
      <c r="T1855" s="1137"/>
      <c r="U1855" s="1137"/>
      <c r="V1855" s="1137"/>
    </row>
    <row r="1856" spans="1:22" s="562" customFormat="1" ht="12.75" hidden="1" customHeight="1">
      <c r="A1856" s="719" t="s">
        <v>2289</v>
      </c>
      <c r="B1856" s="485"/>
      <c r="C1856" s="559"/>
      <c r="D1856" s="706"/>
      <c r="E1856" s="745" t="s">
        <v>1422</v>
      </c>
      <c r="F1856" s="745"/>
      <c r="G1856" s="745"/>
      <c r="H1856" s="746" t="str">
        <f>EUconst_EUA</f>
        <v>UKA</v>
      </c>
      <c r="I1856" s="747"/>
      <c r="J1856" s="2148" t="str">
        <f t="shared" si="139"/>
        <v/>
      </c>
      <c r="K1856" s="2072" t="str">
        <f t="shared" si="139"/>
        <v/>
      </c>
      <c r="L1856" s="2073" t="str">
        <f t="shared" si="139"/>
        <v/>
      </c>
      <c r="M1856" s="2073" t="str">
        <f t="shared" si="139"/>
        <v/>
      </c>
      <c r="N1856" s="2073" t="str">
        <f t="shared" si="139"/>
        <v/>
      </c>
      <c r="O1856" s="485"/>
      <c r="P1856" s="1137"/>
      <c r="Q1856" s="1137"/>
      <c r="R1856" s="1137"/>
      <c r="S1856" s="1137"/>
      <c r="T1856" s="1137"/>
      <c r="U1856" s="1137"/>
      <c r="V1856" s="1137"/>
    </row>
    <row r="1857" spans="1:22" s="562" customFormat="1" ht="12.75" customHeight="1">
      <c r="A1857" s="719"/>
      <c r="B1857" s="485"/>
      <c r="C1857" s="559"/>
      <c r="D1857" s="706"/>
      <c r="E1857" s="720" t="s">
        <v>1691</v>
      </c>
      <c r="F1857" s="720"/>
      <c r="G1857" s="720"/>
      <c r="H1857" s="721" t="str">
        <f>EUconst_EUA</f>
        <v>UKA</v>
      </c>
      <c r="I1857" s="722"/>
      <c r="J1857" s="2151" t="str">
        <f>IF(L1792=42,INDEX(H_SpecialBM!J:J,MATCH($P1857,H_SpecialBM!$Q:$Q,0)),"")</f>
        <v/>
      </c>
      <c r="K1857" s="2072" t="str">
        <f>IF(L1792=42,INDEX(H_SpecialBM!K:K,MATCH($P1857,H_SpecialBM!$Q:$Q,0)),"")</f>
        <v/>
      </c>
      <c r="L1857" s="2073" t="str">
        <f>IF(L1792=42,INDEX(H_SpecialBM!L:L,MATCH($P1857,H_SpecialBM!$Q:$Q,0)),"")</f>
        <v/>
      </c>
      <c r="M1857" s="2073" t="str">
        <f>IF(L1792=42,INDEX(H_SpecialBM!M:M,MATCH($P1857,H_SpecialBM!$Q:$Q,0)),"")</f>
        <v/>
      </c>
      <c r="N1857" s="2073" t="str">
        <f>IF(L1792=42,INDEX(H_SpecialBM!N:N,MATCH($P1857,H_SpecialBM!$Q:$Q,0)),"")</f>
        <v/>
      </c>
      <c r="O1857" s="485"/>
      <c r="P1857" s="1158" t="str">
        <f>EUconst_CNTR_HVCInitial &amp; INDEX(EUconst_BMlistNames,42)</f>
        <v>HVCIni_Steam cracking</v>
      </c>
      <c r="Q1857" s="1137"/>
      <c r="R1857" s="1137"/>
      <c r="S1857" s="1137"/>
      <c r="T1857" s="1137"/>
      <c r="U1857" s="1137"/>
      <c r="V1857" s="1137"/>
    </row>
    <row r="1858" spans="1:22" s="562" customFormat="1" ht="12.75" customHeight="1">
      <c r="A1858" s="719"/>
      <c r="B1858" s="485"/>
      <c r="C1858" s="559"/>
      <c r="D1858" s="706"/>
      <c r="E1858" s="723" t="s">
        <v>2232</v>
      </c>
      <c r="F1858" s="723"/>
      <c r="G1858" s="723"/>
      <c r="H1858" s="751" t="s">
        <v>1021</v>
      </c>
      <c r="I1858" s="735"/>
      <c r="J1858" s="23" t="str">
        <f>IF(L1792=42,INDEX(H_SpecialBM!J:J,MATCH($P1858,H_SpecialBM!$Q:$Q,0)),"")</f>
        <v/>
      </c>
      <c r="K1858" s="46" t="str">
        <f>IF(L1792=42,INDEX(H_SpecialBM!K:K,MATCH($P1858,H_SpecialBM!$Q:$Q,0)),"")</f>
        <v/>
      </c>
      <c r="L1858" s="27" t="str">
        <f>IF(L1792=42,INDEX(H_SpecialBM!L:L,MATCH($P1858,H_SpecialBM!$Q:$Q,0)),"")</f>
        <v/>
      </c>
      <c r="M1858" s="27" t="str">
        <f>IF(L1792=42,INDEX(H_SpecialBM!M:M,MATCH($P1858,H_SpecialBM!$Q:$Q,0)),"")</f>
        <v/>
      </c>
      <c r="N1858" s="27" t="str">
        <f>IF(L1792=42,INDEX(H_SpecialBM!N:N,MATCH($P1858,H_SpecialBM!$Q:$Q,0)),"")</f>
        <v/>
      </c>
      <c r="O1858" s="485"/>
      <c r="P1858" s="1158" t="str">
        <f>EUconst_CNTR_RelThreshold &amp; P1860</f>
        <v>RelThresh_HVCprelim_</v>
      </c>
      <c r="Q1858" s="1137"/>
      <c r="R1858" s="1137"/>
      <c r="S1858" s="1137"/>
      <c r="T1858" s="1137"/>
      <c r="U1858" s="1137"/>
      <c r="V1858" s="1137"/>
    </row>
    <row r="1859" spans="1:22" s="562" customFormat="1" ht="12.75" customHeight="1">
      <c r="A1859" s="719"/>
      <c r="B1859" s="485"/>
      <c r="C1859" s="559"/>
      <c r="D1859" s="706"/>
      <c r="E1859" s="736" t="s">
        <v>1854</v>
      </c>
      <c r="F1859" s="736"/>
      <c r="G1859" s="736"/>
      <c r="H1859" s="738" t="s">
        <v>1021</v>
      </c>
      <c r="I1859" s="738"/>
      <c r="J1859" s="2145" t="str">
        <f>IF(L1792=42,INDEX(H_SpecialBM!V:V,MATCH($P1859,H_SpecialBM!$Q:$Q,0)),"")</f>
        <v/>
      </c>
      <c r="K1859" s="2134" t="str">
        <f>IF(L1792=42,INDEX(H_SpecialBM!W:W,MATCH($P1859,H_SpecialBM!$Q:$Q,0)),"")</f>
        <v/>
      </c>
      <c r="L1859" s="2135" t="str">
        <f>IF(L1792=42,INDEX(H_SpecialBM!X:X,MATCH($P1859,H_SpecialBM!$Q:$Q,0)),"")</f>
        <v/>
      </c>
      <c r="M1859" s="2135" t="str">
        <f>IF(L1792=42,INDEX(H_SpecialBM!Y:Y,MATCH($P1859,H_SpecialBM!$Q:$Q,0)),"")</f>
        <v/>
      </c>
      <c r="N1859" s="2135" t="str">
        <f>IF(L1792=42,INDEX(H_SpecialBM!Z:Z,MATCH($P1859,H_SpecialBM!$Q:$Q,0)),"")</f>
        <v/>
      </c>
      <c r="O1859" s="485"/>
      <c r="P1859" s="1158" t="str">
        <f>P1858</f>
        <v>RelThresh_HVCprelim_</v>
      </c>
      <c r="Q1859" s="1137"/>
      <c r="R1859" s="1137"/>
      <c r="S1859" s="1137"/>
      <c r="T1859" s="1137"/>
      <c r="U1859" s="1137"/>
      <c r="V1859" s="1137"/>
    </row>
    <row r="1860" spans="1:22" s="562" customFormat="1" ht="12.75" customHeight="1">
      <c r="A1860" s="719"/>
      <c r="B1860" s="485"/>
      <c r="C1860" s="559"/>
      <c r="D1860" s="706"/>
      <c r="E1860" s="727" t="s">
        <v>1689</v>
      </c>
      <c r="F1860" s="727"/>
      <c r="G1860" s="727"/>
      <c r="H1860" s="728" t="str">
        <f>EUconst_EUA</f>
        <v>UKA</v>
      </c>
      <c r="I1860" s="729"/>
      <c r="J1860" s="2152" t="str">
        <f>IF($L1792=42,INDEX(H_SpecialBM!J:J,MATCH($P1860,H_SpecialBM!$Q:$Q,0)),"")</f>
        <v/>
      </c>
      <c r="K1860" s="2072" t="str">
        <f>IF($L1792=42,INDEX(H_SpecialBM!K:K,MATCH($P1860,H_SpecialBM!$Q:$Q,0)),"")</f>
        <v/>
      </c>
      <c r="L1860" s="2073" t="str">
        <f>IF($L1792=42,INDEX(H_SpecialBM!L:L,MATCH($P1860,H_SpecialBM!$Q:$Q,0)),"")</f>
        <v/>
      </c>
      <c r="M1860" s="2073" t="str">
        <f>IF($L1792=42,INDEX(H_SpecialBM!M:M,MATCH($P1860,H_SpecialBM!$Q:$Q,0)),"")</f>
        <v/>
      </c>
      <c r="N1860" s="2073" t="str">
        <f>IF($L1792=42,INDEX(H_SpecialBM!N:N,MATCH($P1860,H_SpecialBM!$Q:$Q,0)),"")</f>
        <v/>
      </c>
      <c r="O1860" s="485"/>
      <c r="P1860" s="1158" t="str">
        <f>EUconst_CNTR_HVCprelim</f>
        <v>HVCprelim_</v>
      </c>
      <c r="Q1860" s="1137"/>
      <c r="R1860" s="1137"/>
      <c r="S1860" s="1137"/>
      <c r="T1860" s="1137"/>
      <c r="U1860" s="1137"/>
      <c r="V1860" s="1137"/>
    </row>
    <row r="1861" spans="1:22" s="562" customFormat="1" ht="12.75" hidden="1" customHeight="1">
      <c r="A1861" s="719" t="s">
        <v>2289</v>
      </c>
      <c r="B1861" s="485"/>
      <c r="C1861" s="559"/>
      <c r="D1861" s="706"/>
      <c r="E1861" s="645" t="s">
        <v>1389</v>
      </c>
      <c r="F1861" s="645"/>
      <c r="G1861" s="645"/>
      <c r="H1861" s="752" t="s">
        <v>1021</v>
      </c>
      <c r="I1861" s="753"/>
      <c r="J1861" s="2153" t="str">
        <f t="shared" ref="J1861:N1862" si="140">I1902</f>
        <v/>
      </c>
      <c r="K1861" s="2141" t="str">
        <f t="shared" si="140"/>
        <v/>
      </c>
      <c r="L1861" s="2142" t="str">
        <f t="shared" si="140"/>
        <v/>
      </c>
      <c r="M1861" s="2142" t="str">
        <f t="shared" si="140"/>
        <v/>
      </c>
      <c r="N1861" s="2142" t="str">
        <f t="shared" si="140"/>
        <v/>
      </c>
      <c r="O1861" s="485"/>
      <c r="P1861" s="1137"/>
      <c r="Q1861" s="1137"/>
      <c r="R1861" s="1137"/>
      <c r="S1861" s="1137"/>
      <c r="T1861" s="1137"/>
      <c r="U1861" s="1137"/>
      <c r="V1861" s="1137"/>
    </row>
    <row r="1862" spans="1:22" s="562" customFormat="1" ht="12.75" hidden="1" customHeight="1">
      <c r="A1862" s="719" t="s">
        <v>2289</v>
      </c>
      <c r="B1862" s="485"/>
      <c r="C1862" s="559"/>
      <c r="D1862" s="706"/>
      <c r="E1862" s="727" t="s">
        <v>1391</v>
      </c>
      <c r="F1862" s="727"/>
      <c r="G1862" s="727"/>
      <c r="H1862" s="728" t="s">
        <v>1021</v>
      </c>
      <c r="I1862" s="729"/>
      <c r="J1862" s="2143" t="str">
        <f t="shared" si="140"/>
        <v/>
      </c>
      <c r="K1862" s="2141" t="str">
        <f t="shared" si="140"/>
        <v/>
      </c>
      <c r="L1862" s="2142" t="str">
        <f t="shared" si="140"/>
        <v/>
      </c>
      <c r="M1862" s="2142" t="str">
        <f t="shared" si="140"/>
        <v/>
      </c>
      <c r="N1862" s="2142" t="str">
        <f t="shared" si="140"/>
        <v/>
      </c>
      <c r="O1862" s="485"/>
      <c r="P1862" s="1137"/>
      <c r="Q1862" s="1137"/>
      <c r="R1862" s="1137"/>
      <c r="S1862" s="1137"/>
      <c r="T1862" s="1137"/>
      <c r="U1862" s="1137"/>
      <c r="V1862" s="1137"/>
    </row>
    <row r="1863" spans="1:22" s="562" customFormat="1" ht="12.75" customHeight="1">
      <c r="A1863" s="719"/>
      <c r="B1863" s="485"/>
      <c r="C1863" s="559"/>
      <c r="D1863" s="706"/>
      <c r="E1863" s="698" t="s">
        <v>1671</v>
      </c>
      <c r="F1863" s="698"/>
      <c r="G1863" s="698"/>
      <c r="H1863" s="730" t="str">
        <f>EUconst_EUA</f>
        <v>UKA</v>
      </c>
      <c r="I1863" s="731"/>
      <c r="J1863" s="2129" t="str">
        <f>IF(J1860="","",MAX(0,ROUND((SUM($M1792)*SUM(J1854)*SUM(J1861)*SUM(J1862)-SUM(J1855)-SUM(J1856)+SUM(J1860))*IF($H1792=TRUE,1,J$2517),0)))</f>
        <v/>
      </c>
      <c r="K1863" s="2072" t="str">
        <f>IF(K1860="","",MAX(0,ROUND((SUM($M1792)*SUM(K1854)*SUM(K1861)*SUM(K1862)-SUM(K1855)-SUM(K1856)+SUM(K1860))*IF($H1792=TRUE,1,K$2517),0)))</f>
        <v/>
      </c>
      <c r="L1863" s="2073" t="str">
        <f>IF(L1860="","",MAX(0,ROUND((SUM($M1792)*SUM(L1854)*SUM(L1861)*SUM(L1862)-SUM(L1855)-SUM(L1856)+SUM(L1860))*IF($H1792=TRUE,1,L$2517),0)))</f>
        <v/>
      </c>
      <c r="M1863" s="2073" t="str">
        <f>IF(M1860="","",MAX(0,ROUND((SUM($M1792)*SUM(M1854)*SUM(M1861)*SUM(M1862)-SUM(M1855)-SUM(M1856)+SUM(M1860))*IF($H1792=TRUE,1,M$2517),0)))</f>
        <v/>
      </c>
      <c r="N1863" s="2073" t="str">
        <f>IF(N1860="","",MAX(0,ROUND((SUM($M1792)*SUM(N1854)*SUM(N1861)*SUM(N1862)-SUM(N1855)-SUM(N1856)+SUM(N1860))*IF($H1792=TRUE,1,N$2517),0)))</f>
        <v/>
      </c>
      <c r="O1863" s="485"/>
      <c r="P1863" s="1137"/>
      <c r="Q1863" s="1137"/>
      <c r="R1863" s="1137"/>
      <c r="S1863" s="1137"/>
      <c r="T1863" s="1137"/>
      <c r="U1863" s="1137"/>
      <c r="V1863" s="1137"/>
    </row>
    <row r="1864" spans="1:22" s="562" customFormat="1" ht="12.75" customHeight="1">
      <c r="A1864" s="719"/>
      <c r="B1864" s="485"/>
      <c r="C1864" s="559"/>
      <c r="D1864" s="706"/>
      <c r="E1864" s="698" t="s">
        <v>1670</v>
      </c>
      <c r="F1864" s="698"/>
      <c r="G1864" s="698"/>
      <c r="H1864" s="730" t="str">
        <f>EUconst_EUA</f>
        <v>UKA</v>
      </c>
      <c r="I1864" s="731"/>
      <c r="J1864" s="2129" t="str">
        <f>IF(J1863="","",ABS(SUM(J1863)-SUM(J1809)))</f>
        <v/>
      </c>
      <c r="K1864" s="2072" t="str">
        <f>IF(K1863="","",ABS(SUM(K1863)-SUM(K1809)))</f>
        <v/>
      </c>
      <c r="L1864" s="2073" t="str">
        <f>IF(L1863="","",ABS(SUM(L1863)-SUM(L1809)))</f>
        <v/>
      </c>
      <c r="M1864" s="2073" t="str">
        <f>IF(M1863="","",ABS(SUM(M1863)-SUM(M1809)))</f>
        <v/>
      </c>
      <c r="N1864" s="2073" t="str">
        <f>IF(N1863="","",ABS(SUM(N1863)-SUM(N1809)))</f>
        <v/>
      </c>
      <c r="O1864" s="485"/>
      <c r="P1864" s="1137"/>
      <c r="Q1864" s="1137"/>
      <c r="R1864" s="1137"/>
      <c r="S1864" s="1137"/>
      <c r="T1864" s="1137"/>
      <c r="U1864" s="1137"/>
      <c r="V1864" s="1137"/>
    </row>
    <row r="1865" spans="1:22" s="562" customFormat="1" ht="12.75" customHeight="1">
      <c r="A1865" s="719"/>
      <c r="B1865" s="485"/>
      <c r="C1865" s="559"/>
      <c r="D1865" s="706"/>
      <c r="E1865" s="740" t="s">
        <v>2133</v>
      </c>
      <c r="F1865" s="698"/>
      <c r="G1865" s="698"/>
      <c r="H1865" s="741" t="s">
        <v>1021</v>
      </c>
      <c r="I1865" s="742"/>
      <c r="J1865" s="2147" t="str">
        <f>IF(J1864="","",J1864&gt;=100)</f>
        <v/>
      </c>
      <c r="K1865" s="2134" t="str">
        <f>IF(K1864="","",K1864&gt;=100)</f>
        <v/>
      </c>
      <c r="L1865" s="2135" t="str">
        <f>IF(L1864="","",L1864&gt;=100)</f>
        <v/>
      </c>
      <c r="M1865" s="2135" t="str">
        <f>IF(M1864="","",M1864&gt;=100)</f>
        <v/>
      </c>
      <c r="N1865" s="2135" t="str">
        <f>IF(N1864="","",N1864&gt;=100)</f>
        <v/>
      </c>
      <c r="O1865" s="485"/>
      <c r="P1865" s="1158" t="str">
        <f>EUconst_CNTR_100EUA_HVC&amp;I1789</f>
        <v>EUA100HVC_</v>
      </c>
      <c r="Q1865" s="1137"/>
      <c r="R1865" s="1137"/>
      <c r="S1865" s="1137"/>
      <c r="T1865" s="1137"/>
      <c r="U1865" s="1137"/>
      <c r="V1865" s="1137"/>
    </row>
    <row r="1866" spans="1:22" s="562" customFormat="1" ht="5.0999999999999996" customHeight="1">
      <c r="A1866" s="719"/>
      <c r="B1866" s="485"/>
      <c r="C1866" s="559"/>
      <c r="D1866" s="706"/>
      <c r="E1866" s="485"/>
      <c r="F1866" s="485"/>
      <c r="G1866" s="485"/>
      <c r="H1866" s="485"/>
      <c r="I1866" s="743"/>
      <c r="J1866" s="485"/>
      <c r="K1866" s="1790"/>
      <c r="L1866" s="1791"/>
      <c r="M1866" s="1791"/>
      <c r="N1866" s="1791"/>
      <c r="O1866" s="485"/>
      <c r="P1866" s="1137"/>
      <c r="Q1866" s="1137"/>
      <c r="R1866" s="1137"/>
      <c r="S1866" s="1137"/>
      <c r="T1866" s="1137"/>
      <c r="U1866" s="1137"/>
      <c r="V1866" s="1137"/>
    </row>
    <row r="1867" spans="1:22" s="562" customFormat="1" ht="12.75" customHeight="1">
      <c r="A1867" s="719"/>
      <c r="B1867" s="485"/>
      <c r="C1867" s="559"/>
      <c r="D1867" s="706"/>
      <c r="E1867" s="707" t="s">
        <v>1756</v>
      </c>
      <c r="F1867" s="637"/>
      <c r="G1867" s="637"/>
      <c r="H1867" s="663" t="str">
        <f>EUconst_Unit</f>
        <v>Unit</v>
      </c>
      <c r="I1867" s="708"/>
      <c r="J1867" s="2132">
        <f>J$2737</f>
        <v>2026</v>
      </c>
      <c r="K1867" s="1489">
        <f>K$2737</f>
        <v>2027</v>
      </c>
      <c r="L1867" s="1490">
        <f>L$2737</f>
        <v>2028</v>
      </c>
      <c r="M1867" s="1490">
        <f>M$2737</f>
        <v>2029</v>
      </c>
      <c r="N1867" s="1490">
        <f>N$2737</f>
        <v>2030</v>
      </c>
      <c r="O1867" s="485"/>
      <c r="P1867" s="1137"/>
      <c r="Q1867" s="1137"/>
      <c r="R1867" s="1137"/>
      <c r="S1867" s="1137"/>
      <c r="T1867" s="1137"/>
      <c r="U1867" s="1137"/>
      <c r="V1867" s="1137"/>
    </row>
    <row r="1868" spans="1:22" s="562" customFormat="1" ht="12.75" hidden="1" customHeight="1">
      <c r="A1868" s="719" t="s">
        <v>2289</v>
      </c>
      <c r="B1868" s="485"/>
      <c r="C1868" s="559"/>
      <c r="D1868" s="706"/>
      <c r="E1868" s="698" t="s">
        <v>1714</v>
      </c>
      <c r="F1868" s="698"/>
      <c r="G1868" s="698"/>
      <c r="H1868" s="639" t="str">
        <f>H1854</f>
        <v>tonnes</v>
      </c>
      <c r="I1868" s="698"/>
      <c r="J1868" s="2137" t="str">
        <f t="shared" ref="J1868:N1872" si="141">I1898</f>
        <v/>
      </c>
      <c r="K1868" s="2072" t="str">
        <f t="shared" si="141"/>
        <v/>
      </c>
      <c r="L1868" s="2073" t="str">
        <f t="shared" si="141"/>
        <v/>
      </c>
      <c r="M1868" s="2073" t="str">
        <f t="shared" si="141"/>
        <v/>
      </c>
      <c r="N1868" s="2073" t="str">
        <f t="shared" si="141"/>
        <v/>
      </c>
      <c r="O1868" s="485"/>
      <c r="P1868" s="1137"/>
      <c r="Q1868" s="1137"/>
      <c r="R1868" s="1137"/>
      <c r="S1868" s="1137"/>
      <c r="T1868" s="1137"/>
      <c r="U1868" s="1137"/>
      <c r="V1868" s="1137"/>
    </row>
    <row r="1869" spans="1:22" s="562" customFormat="1" ht="12.75" hidden="1" customHeight="1">
      <c r="A1869" s="719" t="s">
        <v>2289</v>
      </c>
      <c r="B1869" s="485"/>
      <c r="C1869" s="559"/>
      <c r="D1869" s="706"/>
      <c r="E1869" s="720" t="s">
        <v>303</v>
      </c>
      <c r="F1869" s="720"/>
      <c r="G1869" s="720"/>
      <c r="H1869" s="721" t="str">
        <f>EUconst_EUA</f>
        <v>UKA</v>
      </c>
      <c r="I1869" s="722"/>
      <c r="J1869" s="2138" t="str">
        <f t="shared" si="141"/>
        <v/>
      </c>
      <c r="K1869" s="2072" t="str">
        <f t="shared" si="141"/>
        <v/>
      </c>
      <c r="L1869" s="2073" t="str">
        <f t="shared" si="141"/>
        <v/>
      </c>
      <c r="M1869" s="2073" t="str">
        <f t="shared" si="141"/>
        <v/>
      </c>
      <c r="N1869" s="2073" t="str">
        <f t="shared" si="141"/>
        <v/>
      </c>
      <c r="O1869" s="485"/>
      <c r="P1869" s="1137"/>
      <c r="Q1869" s="1137"/>
      <c r="R1869" s="1137"/>
      <c r="S1869" s="1137"/>
      <c r="T1869" s="1137"/>
      <c r="U1869" s="1137"/>
      <c r="V1869" s="1137"/>
    </row>
    <row r="1870" spans="1:22" s="562" customFormat="1" ht="12.75" hidden="1" customHeight="1">
      <c r="A1870" s="719" t="s">
        <v>2289</v>
      </c>
      <c r="B1870" s="485"/>
      <c r="C1870" s="559"/>
      <c r="D1870" s="706"/>
      <c r="E1870" s="723" t="s">
        <v>1422</v>
      </c>
      <c r="F1870" s="723"/>
      <c r="G1870" s="723"/>
      <c r="H1870" s="724" t="str">
        <f>EUconst_EUA</f>
        <v>UKA</v>
      </c>
      <c r="I1870" s="725"/>
      <c r="J1870" s="2139" t="str">
        <f t="shared" si="141"/>
        <v/>
      </c>
      <c r="K1870" s="2072" t="str">
        <f t="shared" si="141"/>
        <v/>
      </c>
      <c r="L1870" s="2073" t="str">
        <f t="shared" si="141"/>
        <v/>
      </c>
      <c r="M1870" s="2073" t="str">
        <f t="shared" si="141"/>
        <v/>
      </c>
      <c r="N1870" s="2073" t="str">
        <f t="shared" si="141"/>
        <v/>
      </c>
      <c r="O1870" s="485"/>
      <c r="P1870" s="1137"/>
      <c r="Q1870" s="1137"/>
      <c r="R1870" s="1137"/>
      <c r="S1870" s="1137"/>
      <c r="T1870" s="1137"/>
      <c r="U1870" s="1137"/>
      <c r="V1870" s="1137"/>
    </row>
    <row r="1871" spans="1:22" s="562" customFormat="1" ht="12.75" hidden="1" customHeight="1">
      <c r="A1871" s="719" t="s">
        <v>2289</v>
      </c>
      <c r="B1871" s="485"/>
      <c r="C1871" s="559"/>
      <c r="D1871" s="706"/>
      <c r="E1871" s="723" t="s">
        <v>1390</v>
      </c>
      <c r="F1871" s="723"/>
      <c r="G1871" s="723"/>
      <c r="H1871" s="724" t="str">
        <f>EUconst_EUA</f>
        <v>UKA</v>
      </c>
      <c r="I1871" s="725"/>
      <c r="J1871" s="2139" t="str">
        <f t="shared" si="141"/>
        <v/>
      </c>
      <c r="K1871" s="2072" t="str">
        <f t="shared" si="141"/>
        <v/>
      </c>
      <c r="L1871" s="2073" t="str">
        <f t="shared" si="141"/>
        <v/>
      </c>
      <c r="M1871" s="2073" t="str">
        <f t="shared" si="141"/>
        <v/>
      </c>
      <c r="N1871" s="2073" t="str">
        <f t="shared" si="141"/>
        <v/>
      </c>
      <c r="O1871" s="485"/>
      <c r="P1871" s="1137"/>
      <c r="Q1871" s="1137"/>
      <c r="R1871" s="1137"/>
      <c r="S1871" s="1137"/>
      <c r="T1871" s="1137"/>
      <c r="U1871" s="1137"/>
      <c r="V1871" s="1137"/>
    </row>
    <row r="1872" spans="1:22" s="562" customFormat="1" ht="12.75" hidden="1" customHeight="1">
      <c r="A1872" s="719" t="s">
        <v>2289</v>
      </c>
      <c r="B1872" s="485"/>
      <c r="C1872" s="559"/>
      <c r="D1872" s="706"/>
      <c r="E1872" s="745" t="s">
        <v>1389</v>
      </c>
      <c r="F1872" s="745"/>
      <c r="G1872" s="745"/>
      <c r="H1872" s="754" t="s">
        <v>1021</v>
      </c>
      <c r="I1872" s="747"/>
      <c r="J1872" s="2154" t="str">
        <f t="shared" si="141"/>
        <v/>
      </c>
      <c r="K1872" s="2141" t="str">
        <f t="shared" si="141"/>
        <v/>
      </c>
      <c r="L1872" s="2142" t="str">
        <f t="shared" si="141"/>
        <v/>
      </c>
      <c r="M1872" s="2142" t="str">
        <f t="shared" si="141"/>
        <v/>
      </c>
      <c r="N1872" s="2142" t="str">
        <f t="shared" si="141"/>
        <v/>
      </c>
      <c r="O1872" s="485"/>
      <c r="P1872" s="1137"/>
      <c r="Q1872" s="1137"/>
      <c r="R1872" s="1137"/>
      <c r="S1872" s="1137"/>
      <c r="T1872" s="1137"/>
      <c r="U1872" s="1137"/>
      <c r="V1872" s="1137"/>
    </row>
    <row r="1873" spans="1:22" s="562" customFormat="1" ht="12.75" customHeight="1">
      <c r="A1873" s="719"/>
      <c r="B1873" s="485"/>
      <c r="C1873" s="559"/>
      <c r="D1873" s="706"/>
      <c r="E1873" s="720" t="s">
        <v>1691</v>
      </c>
      <c r="F1873" s="720"/>
      <c r="G1873" s="720"/>
      <c r="H1873" s="748" t="s">
        <v>1021</v>
      </c>
      <c r="I1873" s="722"/>
      <c r="J1873" s="2149" t="str">
        <f>IF(L1792=47,INDEX(H_SpecialBM!J:J,MATCH($P1873,H_SpecialBM!$Q:$Q,0)),"")</f>
        <v/>
      </c>
      <c r="K1873" s="2141" t="str">
        <f>IF(L1792=47,INDEX(H_SpecialBM!K:K,MATCH($P1873,H_SpecialBM!$Q:$Q,0)),"")</f>
        <v/>
      </c>
      <c r="L1873" s="2142" t="str">
        <f>IF(L1792=47,INDEX(H_SpecialBM!L:L,MATCH($P1873,H_SpecialBM!$Q:$Q,0)),"")</f>
        <v/>
      </c>
      <c r="M1873" s="2142" t="str">
        <f>IF(L1792=47,INDEX(H_SpecialBM!M:M,MATCH($P1873,H_SpecialBM!$Q:$Q,0)),"")</f>
        <v/>
      </c>
      <c r="N1873" s="2142" t="str">
        <f>IF(L1792=47,INDEX(H_SpecialBM!N:N,MATCH($P1873,H_SpecialBM!$Q:$Q,0)),"")</f>
        <v/>
      </c>
      <c r="O1873" s="485"/>
      <c r="P1873" s="1158" t="str">
        <f>EUconst_CNTR_VCMInitial &amp; INDEX(EUconst_BMlistNames,47)</f>
        <v>VCMIni_Vinyl chloride monomer</v>
      </c>
      <c r="Q1873" s="1137"/>
      <c r="R1873" s="1137"/>
      <c r="S1873" s="1137"/>
      <c r="T1873" s="1137"/>
      <c r="U1873" s="1137"/>
      <c r="V1873" s="1137"/>
    </row>
    <row r="1874" spans="1:22" s="562" customFormat="1" ht="12.75" customHeight="1">
      <c r="A1874" s="719"/>
      <c r="B1874" s="485"/>
      <c r="C1874" s="559"/>
      <c r="D1874" s="706"/>
      <c r="E1874" s="723" t="s">
        <v>2232</v>
      </c>
      <c r="F1874" s="723"/>
      <c r="G1874" s="723"/>
      <c r="H1874" s="751" t="s">
        <v>1021</v>
      </c>
      <c r="I1874" s="735"/>
      <c r="J1874" s="23" t="str">
        <f>IF(L1792=47,INDEX(H_SpecialBM!J:J,MATCH($P1874,H_SpecialBM!$Q:$Q,0)),"")</f>
        <v/>
      </c>
      <c r="K1874" s="46" t="str">
        <f>IF(L1792=47,INDEX(H_SpecialBM!K:K,MATCH($P1874,H_SpecialBM!$Q:$Q,0)),"")</f>
        <v/>
      </c>
      <c r="L1874" s="27" t="str">
        <f>IF(L1792=47,INDEX(H_SpecialBM!L:L,MATCH($P1874,H_SpecialBM!$Q:$Q,0)),"")</f>
        <v/>
      </c>
      <c r="M1874" s="27" t="str">
        <f>IF(L1792=47,INDEX(H_SpecialBM!M:M,MATCH($P1874,H_SpecialBM!$Q:$Q,0)),"")</f>
        <v/>
      </c>
      <c r="N1874" s="27" t="str">
        <f>IF(L1792=47,INDEX(H_SpecialBM!N:N,MATCH($P1874,H_SpecialBM!$Q:$Q,0)),"")</f>
        <v/>
      </c>
      <c r="O1874" s="485"/>
      <c r="P1874" s="1158" t="str">
        <f>EUconst_CNTR_RelThreshold &amp; P1876</f>
        <v>RelThresh_VCMprelim_</v>
      </c>
      <c r="Q1874" s="1137"/>
      <c r="R1874" s="1137"/>
      <c r="S1874" s="1137"/>
      <c r="T1874" s="1137"/>
      <c r="U1874" s="1137"/>
      <c r="V1874" s="1137"/>
    </row>
    <row r="1875" spans="1:22" s="562" customFormat="1" ht="12.75" customHeight="1">
      <c r="A1875" s="719"/>
      <c r="B1875" s="485"/>
      <c r="C1875" s="559"/>
      <c r="D1875" s="706"/>
      <c r="E1875" s="736" t="s">
        <v>1855</v>
      </c>
      <c r="F1875" s="736"/>
      <c r="G1875" s="736"/>
      <c r="H1875" s="738" t="s">
        <v>1021</v>
      </c>
      <c r="I1875" s="738"/>
      <c r="J1875" s="2145" t="str">
        <f>IF(L1792=47,INDEX(H_SpecialBM!V:V,MATCH($P1875,H_SpecialBM!$Q:$Q,0)),"")</f>
        <v/>
      </c>
      <c r="K1875" s="2134" t="str">
        <f>IF(L1792=47,INDEX(H_SpecialBM!W:W,MATCH($P1875,H_SpecialBM!$Q:$Q,0)),"")</f>
        <v/>
      </c>
      <c r="L1875" s="2135" t="str">
        <f>IF(L1792=47,INDEX(H_SpecialBM!X:X,MATCH($P1875,H_SpecialBM!$Q:$Q,0)),"")</f>
        <v/>
      </c>
      <c r="M1875" s="2135" t="str">
        <f>IF(L1792=47,INDEX(H_SpecialBM!Y:Y,MATCH($P1875,H_SpecialBM!$Q:$Q,0)),"")</f>
        <v/>
      </c>
      <c r="N1875" s="2135" t="str">
        <f>IF(L1792=47,INDEX(H_SpecialBM!Z:Z,MATCH($P1875,H_SpecialBM!$Q:$Q,0)),"")</f>
        <v/>
      </c>
      <c r="O1875" s="485"/>
      <c r="P1875" s="1158" t="str">
        <f>P1874</f>
        <v>RelThresh_VCMprelim_</v>
      </c>
      <c r="Q1875" s="1137"/>
      <c r="R1875" s="1137"/>
      <c r="S1875" s="1137"/>
      <c r="T1875" s="1137"/>
      <c r="U1875" s="1137"/>
      <c r="V1875" s="1137"/>
    </row>
    <row r="1876" spans="1:22" s="562" customFormat="1" ht="12.75" customHeight="1">
      <c r="A1876" s="719"/>
      <c r="B1876" s="485"/>
      <c r="C1876" s="559"/>
      <c r="D1876" s="706"/>
      <c r="E1876" s="727" t="s">
        <v>1689</v>
      </c>
      <c r="F1876" s="727"/>
      <c r="G1876" s="727"/>
      <c r="H1876" s="728" t="s">
        <v>1021</v>
      </c>
      <c r="I1876" s="729"/>
      <c r="J1876" s="2150" t="str">
        <f>IF($L1792=47,IF(ISNUMBER(INDEX(H_SpecialBM!J:J,MATCH($P1876,H_SpecialBM!$Q:$Q,0))),INDEX(H_SpecialBM!J:J,MATCH($P1876,H_SpecialBM!$Q:$Q,0)),1),"")</f>
        <v/>
      </c>
      <c r="K1876" s="2141" t="str">
        <f>IF($L1792=47,IF(ISNUMBER(INDEX(H_SpecialBM!K:K,MATCH($P1876,H_SpecialBM!$Q:$Q,0))),INDEX(H_SpecialBM!K:K,MATCH($P1876,H_SpecialBM!$Q:$Q,0)),1),"")</f>
        <v/>
      </c>
      <c r="L1876" s="2142" t="str">
        <f>IF($L1792=47,IF(ISNUMBER(INDEX(H_SpecialBM!L:L,MATCH($P1876,H_SpecialBM!$Q:$Q,0))),INDEX(H_SpecialBM!L:L,MATCH($P1876,H_SpecialBM!$Q:$Q,0)),1),"")</f>
        <v/>
      </c>
      <c r="M1876" s="2142" t="str">
        <f>IF($L1792=47,IF(ISNUMBER(INDEX(H_SpecialBM!M:M,MATCH($P1876,H_SpecialBM!$Q:$Q,0))),INDEX(H_SpecialBM!M:M,MATCH($P1876,H_SpecialBM!$Q:$Q,0)),1),"")</f>
        <v/>
      </c>
      <c r="N1876" s="2142" t="str">
        <f>IF($L1792=47,IF(ISNUMBER(INDEX(H_SpecialBM!N:N,MATCH($P1876,H_SpecialBM!$Q:$Q,0))),INDEX(H_SpecialBM!N:N,MATCH($P1876,H_SpecialBM!$Q:$Q,0)),1),"")</f>
        <v/>
      </c>
      <c r="O1876" s="485"/>
      <c r="P1876" s="1158" t="str">
        <f>EUconst_CNTR_VCMprelim</f>
        <v>VCMprelim_</v>
      </c>
      <c r="Q1876" s="1137"/>
      <c r="R1876" s="1137"/>
      <c r="S1876" s="1137"/>
      <c r="T1876" s="1137"/>
      <c r="U1876" s="1137"/>
      <c r="V1876" s="1137"/>
    </row>
    <row r="1877" spans="1:22" s="562" customFormat="1" ht="12.75" customHeight="1">
      <c r="A1877" s="719"/>
      <c r="B1877" s="485"/>
      <c r="C1877" s="559"/>
      <c r="D1877" s="706"/>
      <c r="E1877" s="698" t="s">
        <v>1671</v>
      </c>
      <c r="F1877" s="698"/>
      <c r="G1877" s="698"/>
      <c r="H1877" s="730" t="str">
        <f>EUconst_EUA</f>
        <v>UKA</v>
      </c>
      <c r="I1877" s="731"/>
      <c r="J1877" s="2129" t="str">
        <f>IF(J1876="","",MAX(0,ROUND((SUM($M1792)*SUM(J1868)*SUM(J1872)*SUM(J1876)-SUM(J1869)-SUM(J1870)+SUM(J1871))*IF($H1792=TRUE,1,J$2517),0)))</f>
        <v/>
      </c>
      <c r="K1877" s="2072" t="str">
        <f>IF(K1876="","",MAX(0,ROUND((SUM($M1792)*SUM(K1868)*SUM(K1872)*SUM(K1876)-SUM(K1869)-SUM(K1870)+SUM(K1871))*IF($H1792=TRUE,1,K$2517),0)))</f>
        <v/>
      </c>
      <c r="L1877" s="2073" t="str">
        <f>IF(L1876="","",MAX(0,ROUND((SUM($M1792)*SUM(L1868)*SUM(L1872)*SUM(L1876)-SUM(L1869)-SUM(L1870)+SUM(L1871))*IF($H1792=TRUE,1,L$2517),0)))</f>
        <v/>
      </c>
      <c r="M1877" s="2073" t="str">
        <f>IF(M1876="","",MAX(0,ROUND((SUM($M1792)*SUM(M1868)*SUM(M1872)*SUM(M1876)-SUM(M1869)-SUM(M1870)+SUM(M1871))*IF($H1792=TRUE,1,M$2517),0)))</f>
        <v/>
      </c>
      <c r="N1877" s="2073" t="str">
        <f>IF(N1876="","",MAX(0,ROUND((SUM($M1792)*SUM(N1868)*SUM(N1872)*SUM(N1876)-SUM(N1869)-SUM(N1870)+SUM(N1871))*IF($H1792=TRUE,1,N$2517),0)))</f>
        <v/>
      </c>
      <c r="O1877" s="485"/>
      <c r="P1877" s="1137"/>
      <c r="Q1877" s="1137"/>
      <c r="R1877" s="1137"/>
      <c r="S1877" s="1137"/>
      <c r="T1877" s="1137"/>
      <c r="U1877" s="1137"/>
      <c r="V1877" s="1137"/>
    </row>
    <row r="1878" spans="1:22" s="562" customFormat="1" ht="12.75" customHeight="1">
      <c r="A1878" s="719"/>
      <c r="B1878" s="485"/>
      <c r="C1878" s="559"/>
      <c r="D1878" s="706"/>
      <c r="E1878" s="698" t="s">
        <v>1670</v>
      </c>
      <c r="F1878" s="698"/>
      <c r="G1878" s="698"/>
      <c r="H1878" s="730" t="str">
        <f>EUconst_EUA</f>
        <v>UKA</v>
      </c>
      <c r="I1878" s="731"/>
      <c r="J1878" s="2129" t="str">
        <f>IF(J1877="","",ABS(SUM(J1877)-SUM(J1809)))</f>
        <v/>
      </c>
      <c r="K1878" s="2072" t="str">
        <f>IF(K1877="","",ABS(SUM(K1877)-SUM(K1809)))</f>
        <v/>
      </c>
      <c r="L1878" s="2073" t="str">
        <f>IF(L1877="","",ABS(SUM(L1877)-SUM(L1809)))</f>
        <v/>
      </c>
      <c r="M1878" s="2073" t="str">
        <f>IF(M1877="","",ABS(SUM(M1877)-SUM(M1809)))</f>
        <v/>
      </c>
      <c r="N1878" s="2073" t="str">
        <f>IF(N1877="","",ABS(SUM(N1877)-SUM(N1809)))</f>
        <v/>
      </c>
      <c r="O1878" s="485"/>
      <c r="P1878" s="1137"/>
      <c r="Q1878" s="1137"/>
      <c r="R1878" s="1137"/>
      <c r="S1878" s="1137"/>
      <c r="T1878" s="1137"/>
      <c r="U1878" s="1137"/>
      <c r="V1878" s="1137"/>
    </row>
    <row r="1879" spans="1:22" s="562" customFormat="1" ht="12.75" customHeight="1">
      <c r="A1879" s="719"/>
      <c r="B1879" s="485"/>
      <c r="C1879" s="559"/>
      <c r="D1879" s="706"/>
      <c r="E1879" s="740" t="s">
        <v>2134</v>
      </c>
      <c r="F1879" s="698"/>
      <c r="G1879" s="698"/>
      <c r="H1879" s="741" t="s">
        <v>1021</v>
      </c>
      <c r="I1879" s="742"/>
      <c r="J1879" s="2147" t="str">
        <f>IF(J1878="","",J1878&gt;=100)</f>
        <v/>
      </c>
      <c r="K1879" s="2134" t="str">
        <f>IF(K1878="","",K1878&gt;=100)</f>
        <v/>
      </c>
      <c r="L1879" s="2135" t="str">
        <f>IF(L1878="","",L1878&gt;=100)</f>
        <v/>
      </c>
      <c r="M1879" s="2135" t="str">
        <f>IF(M1878="","",M1878&gt;=100)</f>
        <v/>
      </c>
      <c r="N1879" s="2135" t="str">
        <f>IF(N1878="","",N1878&gt;=100)</f>
        <v/>
      </c>
      <c r="O1879" s="485"/>
      <c r="P1879" s="1158" t="str">
        <f>EUconst_CNTR_100EUA_VCM&amp;I1816</f>
        <v>EUA100VCM_</v>
      </c>
      <c r="Q1879" s="1137"/>
      <c r="R1879" s="1137"/>
      <c r="S1879" s="1137"/>
      <c r="T1879" s="1137"/>
      <c r="U1879" s="1137"/>
      <c r="V1879" s="1137"/>
    </row>
    <row r="1880" spans="1:22" s="562" customFormat="1" ht="5.0999999999999996" customHeight="1">
      <c r="A1880" s="719"/>
      <c r="B1880" s="485"/>
      <c r="C1880" s="559"/>
      <c r="D1880" s="706"/>
      <c r="E1880" s="485"/>
      <c r="F1880" s="485"/>
      <c r="G1880" s="485"/>
      <c r="H1880" s="485"/>
      <c r="I1880" s="743"/>
      <c r="J1880" s="485"/>
      <c r="K1880" s="1790"/>
      <c r="L1880" s="1791"/>
      <c r="M1880" s="1791"/>
      <c r="N1880" s="1791"/>
      <c r="O1880" s="485"/>
      <c r="P1880" s="1137"/>
      <c r="Q1880" s="1137"/>
      <c r="R1880" s="1137"/>
      <c r="S1880" s="1137"/>
      <c r="T1880" s="1137"/>
      <c r="U1880" s="1137"/>
      <c r="V1880" s="1137"/>
    </row>
    <row r="1881" spans="1:22" s="562" customFormat="1" ht="12.75" customHeight="1">
      <c r="A1881" s="719"/>
      <c r="B1881" s="485"/>
      <c r="C1881" s="559"/>
      <c r="D1881" s="706"/>
      <c r="E1881" s="707" t="s">
        <v>1757</v>
      </c>
      <c r="F1881" s="637"/>
      <c r="G1881" s="637"/>
      <c r="H1881" s="663" t="str">
        <f>EUconst_Unit</f>
        <v>Unit</v>
      </c>
      <c r="I1881" s="708"/>
      <c r="J1881" s="2132">
        <f>J$2737</f>
        <v>2026</v>
      </c>
      <c r="K1881" s="1489">
        <f>K$2737</f>
        <v>2027</v>
      </c>
      <c r="L1881" s="1490">
        <f>L$2737</f>
        <v>2028</v>
      </c>
      <c r="M1881" s="1490">
        <f>M$2737</f>
        <v>2029</v>
      </c>
      <c r="N1881" s="1490">
        <f>N$2737</f>
        <v>2030</v>
      </c>
      <c r="O1881" s="485"/>
      <c r="P1881" s="1137"/>
      <c r="Q1881" s="1137"/>
      <c r="R1881" s="1137"/>
      <c r="S1881" s="1137"/>
      <c r="T1881" s="1137"/>
      <c r="U1881" s="1137"/>
      <c r="V1881" s="1137"/>
    </row>
    <row r="1882" spans="1:22" s="562" customFormat="1" ht="12.75" hidden="1" customHeight="1">
      <c r="A1882" s="719" t="s">
        <v>2289</v>
      </c>
      <c r="B1882" s="485"/>
      <c r="C1882" s="559"/>
      <c r="D1882" s="706"/>
      <c r="E1882" s="698" t="s">
        <v>1714</v>
      </c>
      <c r="F1882" s="698"/>
      <c r="G1882" s="698"/>
      <c r="H1882" s="639" t="str">
        <f>H1868</f>
        <v>tonnes</v>
      </c>
      <c r="I1882" s="698"/>
      <c r="J1882" s="2137" t="str">
        <f t="shared" ref="J1882:N1883" si="142">I1898</f>
        <v/>
      </c>
      <c r="K1882" s="2072" t="str">
        <f t="shared" si="142"/>
        <v/>
      </c>
      <c r="L1882" s="2073" t="str">
        <f t="shared" si="142"/>
        <v/>
      </c>
      <c r="M1882" s="2073" t="str">
        <f t="shared" si="142"/>
        <v/>
      </c>
      <c r="N1882" s="2073" t="str">
        <f t="shared" si="142"/>
        <v/>
      </c>
      <c r="O1882" s="485"/>
      <c r="P1882" s="1137"/>
      <c r="Q1882" s="1137"/>
      <c r="R1882" s="1137"/>
      <c r="S1882" s="1137"/>
      <c r="T1882" s="1137"/>
      <c r="U1882" s="1137"/>
      <c r="V1882" s="1137"/>
    </row>
    <row r="1883" spans="1:22" s="562" customFormat="1" ht="12.75" hidden="1" customHeight="1">
      <c r="A1883" s="719" t="s">
        <v>2289</v>
      </c>
      <c r="B1883" s="485"/>
      <c r="C1883" s="559"/>
      <c r="D1883" s="706"/>
      <c r="E1883" s="720" t="s">
        <v>303</v>
      </c>
      <c r="F1883" s="720"/>
      <c r="G1883" s="720"/>
      <c r="H1883" s="721" t="str">
        <f>EUconst_EUA</f>
        <v>UKA</v>
      </c>
      <c r="I1883" s="722"/>
      <c r="J1883" s="2138" t="str">
        <f t="shared" si="142"/>
        <v/>
      </c>
      <c r="K1883" s="2072" t="str">
        <f t="shared" si="142"/>
        <v/>
      </c>
      <c r="L1883" s="2073" t="str">
        <f t="shared" si="142"/>
        <v/>
      </c>
      <c r="M1883" s="2073" t="str">
        <f t="shared" si="142"/>
        <v/>
      </c>
      <c r="N1883" s="2073" t="str">
        <f t="shared" si="142"/>
        <v/>
      </c>
      <c r="O1883" s="485"/>
      <c r="P1883" s="1137"/>
      <c r="Q1883" s="1137"/>
      <c r="R1883" s="1137"/>
      <c r="S1883" s="1137"/>
      <c r="T1883" s="1137"/>
      <c r="U1883" s="1137"/>
      <c r="V1883" s="1137"/>
    </row>
    <row r="1884" spans="1:22" s="562" customFormat="1" ht="12.75" customHeight="1">
      <c r="A1884" s="719"/>
      <c r="B1884" s="485"/>
      <c r="C1884" s="559"/>
      <c r="D1884" s="706"/>
      <c r="E1884" s="720" t="s">
        <v>1691</v>
      </c>
      <c r="F1884" s="720"/>
      <c r="G1884" s="720"/>
      <c r="H1884" s="748" t="str">
        <f>EUconst_tCO2</f>
        <v>t CO2</v>
      </c>
      <c r="I1884" s="722"/>
      <c r="J1884" s="2144" t="str">
        <f>INDEX(F_ProductBM!J:J,MATCH($P1884,F_ProductBM!$Q:$Q,0))</f>
        <v/>
      </c>
      <c r="K1884" s="2072" t="str">
        <f>INDEX(F_ProductBM!K:K,MATCH($P1884,F_ProductBM!$Q:$Q,0))</f>
        <v/>
      </c>
      <c r="L1884" s="2073" t="str">
        <f>INDEX(F_ProductBM!L:L,MATCH($P1884,F_ProductBM!$Q:$Q,0))</f>
        <v/>
      </c>
      <c r="M1884" s="2073" t="str">
        <f>INDEX(F_ProductBM!M:M,MATCH($P1884,F_ProductBM!$Q:$Q,0))</f>
        <v/>
      </c>
      <c r="N1884" s="2073" t="str">
        <f>INDEX(F_ProductBM!N:N,MATCH($P1884,F_ProductBM!$Q:$Q,0))</f>
        <v/>
      </c>
      <c r="O1884" s="485"/>
      <c r="P1884" s="1158" t="str">
        <f>EUconst_CNTR_HALinitial &amp; EUconst_CNTR_WGFlared &amp; I1789</f>
        <v>HALini_WasteGasFlare_</v>
      </c>
      <c r="Q1884" s="1137"/>
      <c r="R1884" s="1137"/>
      <c r="S1884" s="1137"/>
      <c r="T1884" s="1137"/>
      <c r="U1884" s="1137"/>
      <c r="V1884" s="1137"/>
    </row>
    <row r="1885" spans="1:22" s="562" customFormat="1" ht="12.75" customHeight="1">
      <c r="A1885" s="719"/>
      <c r="B1885" s="485"/>
      <c r="C1885" s="559"/>
      <c r="D1885" s="706"/>
      <c r="E1885" s="723" t="s">
        <v>2232</v>
      </c>
      <c r="F1885" s="723"/>
      <c r="G1885" s="723"/>
      <c r="H1885" s="734" t="s">
        <v>1021</v>
      </c>
      <c r="I1885" s="735"/>
      <c r="J1885" s="23" t="str">
        <f>INDEX(F_ProductBM!J:J,MATCH($P1885,F_ProductBM!$Q:$Q,0))</f>
        <v/>
      </c>
      <c r="K1885" s="46" t="str">
        <f>INDEX(F_ProductBM!K:K,MATCH($P1885,F_ProductBM!$Q:$Q,0))</f>
        <v/>
      </c>
      <c r="L1885" s="27" t="str">
        <f>INDEX(F_ProductBM!L:L,MATCH($P1885,F_ProductBM!$Q:$Q,0))</f>
        <v/>
      </c>
      <c r="M1885" s="27" t="str">
        <f>INDEX(F_ProductBM!M:M,MATCH($P1885,F_ProductBM!$Q:$Q,0))</f>
        <v/>
      </c>
      <c r="N1885" s="27" t="str">
        <f>INDEX(F_ProductBM!N:N,MATCH($P1885,F_ProductBM!$Q:$Q,0))</f>
        <v/>
      </c>
      <c r="O1885" s="485"/>
      <c r="P1885" s="1158" t="str">
        <f>EUconst_CNTR_RelThreshold &amp; P1887</f>
        <v>RelThresh_HALprelim_WasteGasFlare_</v>
      </c>
      <c r="Q1885" s="1137"/>
      <c r="R1885" s="1137"/>
      <c r="S1885" s="1137"/>
      <c r="T1885" s="1137"/>
      <c r="U1885" s="1137"/>
      <c r="V1885" s="1137"/>
    </row>
    <row r="1886" spans="1:22" s="562" customFormat="1" ht="12.75" customHeight="1">
      <c r="A1886" s="719"/>
      <c r="B1886" s="485"/>
      <c r="C1886" s="559"/>
      <c r="D1886" s="706"/>
      <c r="E1886" s="736" t="s">
        <v>1856</v>
      </c>
      <c r="F1886" s="736"/>
      <c r="G1886" s="736"/>
      <c r="H1886" s="737" t="s">
        <v>1021</v>
      </c>
      <c r="I1886" s="738"/>
      <c r="J1886" s="2145" t="str">
        <f>INDEX(F_ProductBM!V:V,MATCH($P1886,F_ProductBM!$Q:$Q,0))</f>
        <v/>
      </c>
      <c r="K1886" s="2134" t="str">
        <f>INDEX(F_ProductBM!W:W,MATCH($P1886,F_ProductBM!$Q:$Q,0))</f>
        <v/>
      </c>
      <c r="L1886" s="2135" t="str">
        <f>INDEX(F_ProductBM!X:X,MATCH($P1886,F_ProductBM!$Q:$Q,0))</f>
        <v/>
      </c>
      <c r="M1886" s="2135" t="str">
        <f>INDEX(F_ProductBM!Y:Y,MATCH($P1886,F_ProductBM!$Q:$Q,0))</f>
        <v/>
      </c>
      <c r="N1886" s="2135" t="str">
        <f>INDEX(F_ProductBM!Z:Z,MATCH($P1886,F_ProductBM!$Q:$Q,0))</f>
        <v/>
      </c>
      <c r="O1886" s="485"/>
      <c r="P1886" s="1158" t="str">
        <f>P1885</f>
        <v>RelThresh_HALprelim_WasteGasFlare_</v>
      </c>
      <c r="Q1886" s="1137"/>
      <c r="R1886" s="1137"/>
      <c r="S1886" s="1137"/>
      <c r="T1886" s="1137"/>
      <c r="U1886" s="1137"/>
      <c r="V1886" s="1137"/>
    </row>
    <row r="1887" spans="1:22" s="562" customFormat="1" ht="12.75" customHeight="1">
      <c r="A1887" s="719"/>
      <c r="B1887" s="485"/>
      <c r="C1887" s="559"/>
      <c r="D1887" s="706"/>
      <c r="E1887" s="727" t="s">
        <v>1689</v>
      </c>
      <c r="F1887" s="727"/>
      <c r="G1887" s="727"/>
      <c r="H1887" s="728" t="str">
        <f>EUconst_tCO2</f>
        <v>t CO2</v>
      </c>
      <c r="I1887" s="729"/>
      <c r="J1887" s="2146" t="str">
        <f>IF(OR($I1789="",CNTR_SubPeriod=1),"",INDEX(F_ProductBM!J:J,MATCH($P1887,F_ProductBM!$Q:$Q,0)))</f>
        <v/>
      </c>
      <c r="K1887" s="2072" t="str">
        <f>IF(OR($I1789="",CNTR_SubPeriod=1),"",INDEX(F_ProductBM!K:K,MATCH($P1887,F_ProductBM!$Q:$Q,0)))</f>
        <v/>
      </c>
      <c r="L1887" s="2073" t="str">
        <f>IF(OR($I1789="",CNTR_SubPeriod=1),"",INDEX(F_ProductBM!L:L,MATCH($P1887,F_ProductBM!$Q:$Q,0)))</f>
        <v/>
      </c>
      <c r="M1887" s="2073" t="str">
        <f>IF(OR($I1789="",CNTR_SubPeriod=1),"",INDEX(F_ProductBM!M:M,MATCH($P1887,F_ProductBM!$Q:$Q,0)))</f>
        <v/>
      </c>
      <c r="N1887" s="2073" t="str">
        <f>IF(OR($I1789="",CNTR_SubPeriod=1),"",INDEX(F_ProductBM!N:N,MATCH($P1887,F_ProductBM!$Q:$Q,0)))</f>
        <v/>
      </c>
      <c r="O1887" s="485"/>
      <c r="P1887" s="1158" t="str">
        <f>EUconst_CNTR_HALprelim&amp;EUconst_CNTR_WGFlared&amp;$I1789</f>
        <v>HALprelim_WasteGasFlare_</v>
      </c>
      <c r="Q1887" s="1137"/>
      <c r="R1887" s="1137"/>
      <c r="S1887" s="1137"/>
      <c r="T1887" s="1137"/>
      <c r="U1887" s="1137"/>
      <c r="V1887" s="1137"/>
    </row>
    <row r="1888" spans="1:22" s="562" customFormat="1" ht="12.75" hidden="1" customHeight="1">
      <c r="A1888" s="719" t="s">
        <v>2289</v>
      </c>
      <c r="B1888" s="485"/>
      <c r="C1888" s="559"/>
      <c r="D1888" s="706"/>
      <c r="E1888" s="723" t="s">
        <v>1390</v>
      </c>
      <c r="F1888" s="723"/>
      <c r="G1888" s="723"/>
      <c r="H1888" s="724" t="str">
        <f>EUconst_EUA</f>
        <v>UKA</v>
      </c>
      <c r="I1888" s="725"/>
      <c r="J1888" s="2139" t="str">
        <f t="shared" ref="J1888:N1890" si="143">I1901</f>
        <v/>
      </c>
      <c r="K1888" s="2072" t="str">
        <f t="shared" si="143"/>
        <v/>
      </c>
      <c r="L1888" s="2073" t="str">
        <f t="shared" si="143"/>
        <v/>
      </c>
      <c r="M1888" s="2073" t="str">
        <f t="shared" si="143"/>
        <v/>
      </c>
      <c r="N1888" s="2073" t="str">
        <f t="shared" si="143"/>
        <v/>
      </c>
      <c r="O1888" s="485"/>
      <c r="P1888" s="1137"/>
      <c r="Q1888" s="1137"/>
      <c r="R1888" s="1137"/>
      <c r="S1888" s="1137"/>
      <c r="T1888" s="1137"/>
      <c r="U1888" s="1137"/>
      <c r="V1888" s="1137"/>
    </row>
    <row r="1889" spans="1:22" s="562" customFormat="1" ht="12.75" hidden="1" customHeight="1">
      <c r="A1889" s="719" t="s">
        <v>2289</v>
      </c>
      <c r="B1889" s="485"/>
      <c r="C1889" s="559"/>
      <c r="D1889" s="706"/>
      <c r="E1889" s="723" t="s">
        <v>1389</v>
      </c>
      <c r="F1889" s="723"/>
      <c r="G1889" s="723"/>
      <c r="H1889" s="726" t="s">
        <v>1021</v>
      </c>
      <c r="I1889" s="725"/>
      <c r="J1889" s="2140" t="str">
        <f t="shared" si="143"/>
        <v/>
      </c>
      <c r="K1889" s="2141" t="str">
        <f t="shared" si="143"/>
        <v/>
      </c>
      <c r="L1889" s="2142" t="str">
        <f t="shared" si="143"/>
        <v/>
      </c>
      <c r="M1889" s="2142" t="str">
        <f t="shared" si="143"/>
        <v/>
      </c>
      <c r="N1889" s="2142" t="str">
        <f t="shared" si="143"/>
        <v/>
      </c>
      <c r="O1889" s="485"/>
      <c r="P1889" s="1137"/>
      <c r="Q1889" s="1137"/>
      <c r="R1889" s="1137"/>
      <c r="S1889" s="1137"/>
      <c r="T1889" s="1137"/>
      <c r="U1889" s="1137"/>
      <c r="V1889" s="1137"/>
    </row>
    <row r="1890" spans="1:22" s="562" customFormat="1" ht="12.75" hidden="1" customHeight="1">
      <c r="A1890" s="719" t="s">
        <v>2289</v>
      </c>
      <c r="B1890" s="485"/>
      <c r="C1890" s="559"/>
      <c r="D1890" s="706"/>
      <c r="E1890" s="727" t="s">
        <v>1391</v>
      </c>
      <c r="F1890" s="727"/>
      <c r="G1890" s="727"/>
      <c r="H1890" s="728" t="s">
        <v>1021</v>
      </c>
      <c r="I1890" s="729"/>
      <c r="J1890" s="2143" t="str">
        <f t="shared" si="143"/>
        <v/>
      </c>
      <c r="K1890" s="2141" t="str">
        <f t="shared" si="143"/>
        <v/>
      </c>
      <c r="L1890" s="2142" t="str">
        <f t="shared" si="143"/>
        <v/>
      </c>
      <c r="M1890" s="2142" t="str">
        <f t="shared" si="143"/>
        <v/>
      </c>
      <c r="N1890" s="2142" t="str">
        <f t="shared" si="143"/>
        <v/>
      </c>
      <c r="O1890" s="485"/>
      <c r="P1890" s="1137"/>
      <c r="Q1890" s="1137"/>
      <c r="R1890" s="1137"/>
      <c r="S1890" s="1137"/>
      <c r="T1890" s="1137"/>
      <c r="U1890" s="1137"/>
      <c r="V1890" s="1137"/>
    </row>
    <row r="1891" spans="1:22" s="562" customFormat="1" ht="12.75" customHeight="1">
      <c r="A1891" s="719"/>
      <c r="B1891" s="485"/>
      <c r="C1891" s="559"/>
      <c r="D1891" s="706"/>
      <c r="E1891" s="698" t="s">
        <v>1671</v>
      </c>
      <c r="F1891" s="698"/>
      <c r="G1891" s="698"/>
      <c r="H1891" s="730" t="str">
        <f>EUconst_EUA</f>
        <v>UKA</v>
      </c>
      <c r="I1891" s="731"/>
      <c r="J1891" s="2129" t="str">
        <f>IF(J1887="","",MAX(0,ROUND((SUM($M1792)*SUM(J1882)*SUM(J1889)*SUM(J1890)-SUM(J1883)-SUM(J1887)+SUM(J1888))*IF($H1792=TRUE,1,J$2517),0)))</f>
        <v/>
      </c>
      <c r="K1891" s="2072" t="str">
        <f>IF(K1887="","",MAX(0,ROUND((SUM($M1792)*SUM(K1882)*SUM(K1889)*SUM(K1890)-SUM(K1883)-SUM(K1887)+SUM(K1888))*IF($H1792=TRUE,1,K$2517),0)))</f>
        <v/>
      </c>
      <c r="L1891" s="2073" t="str">
        <f>IF(L1887="","",MAX(0,ROUND((SUM($M1792)*SUM(L1882)*SUM(L1889)*SUM(L1890)-SUM(L1883)-SUM(L1887)+SUM(L1888))*IF($H1792=TRUE,1,L$2517),0)))</f>
        <v/>
      </c>
      <c r="M1891" s="2073" t="str">
        <f>IF(M1887="","",MAX(0,ROUND((SUM($M1792)*SUM(M1882)*SUM(M1889)*SUM(M1890)-SUM(M1883)-SUM(M1887)+SUM(M1888))*IF($H1792=TRUE,1,M$2517),0)))</f>
        <v/>
      </c>
      <c r="N1891" s="2073" t="str">
        <f>IF(N1887="","",MAX(0,ROUND((SUM($M1792)*SUM(N1882)*SUM(N1889)*SUM(N1890)-SUM(N1883)-SUM(N1887)+SUM(N1888))*IF($H1792=TRUE,1,N$2517),0)))</f>
        <v/>
      </c>
      <c r="O1891" s="485"/>
      <c r="P1891" s="1137"/>
      <c r="Q1891" s="1137"/>
      <c r="R1891" s="1137"/>
      <c r="S1891" s="1137"/>
      <c r="T1891" s="1137"/>
      <c r="U1891" s="1137"/>
      <c r="V1891" s="1137"/>
    </row>
    <row r="1892" spans="1:22" s="562" customFormat="1" ht="12.75" customHeight="1">
      <c r="A1892" s="719"/>
      <c r="B1892" s="485"/>
      <c r="C1892" s="559"/>
      <c r="D1892" s="706"/>
      <c r="E1892" s="698" t="s">
        <v>1670</v>
      </c>
      <c r="F1892" s="698"/>
      <c r="G1892" s="698"/>
      <c r="H1892" s="730" t="str">
        <f>EUconst_EUA</f>
        <v>UKA</v>
      </c>
      <c r="I1892" s="731"/>
      <c r="J1892" s="2129" t="str">
        <f>IF(J1891="","",ABS(SUM(J1891)-SUM(J1809)))</f>
        <v/>
      </c>
      <c r="K1892" s="2072" t="str">
        <f>IF(K1891="","",ABS(SUM(K1891)-SUM(K1809)))</f>
        <v/>
      </c>
      <c r="L1892" s="2073" t="str">
        <f>IF(L1891="","",ABS(SUM(L1891)-SUM(L1809)))</f>
        <v/>
      </c>
      <c r="M1892" s="2073" t="str">
        <f>IF(M1891="","",ABS(SUM(M1891)-SUM(M1809)))</f>
        <v/>
      </c>
      <c r="N1892" s="2073" t="str">
        <f>IF(N1891="","",ABS(SUM(N1891)-SUM(N1809)))</f>
        <v/>
      </c>
      <c r="O1892" s="485"/>
      <c r="P1892" s="1137"/>
      <c r="Q1892" s="1137"/>
      <c r="R1892" s="1137"/>
      <c r="S1892" s="1137"/>
      <c r="T1892" s="1137"/>
      <c r="U1892" s="1137"/>
      <c r="V1892" s="1137"/>
    </row>
    <row r="1893" spans="1:22" s="562" customFormat="1" ht="12.75" customHeight="1">
      <c r="A1893" s="719"/>
      <c r="B1893" s="485"/>
      <c r="C1893" s="559"/>
      <c r="D1893" s="706"/>
      <c r="E1893" s="740" t="s">
        <v>2135</v>
      </c>
      <c r="F1893" s="698"/>
      <c r="G1893" s="698"/>
      <c r="H1893" s="741" t="s">
        <v>1021</v>
      </c>
      <c r="I1893" s="742"/>
      <c r="J1893" s="2147" t="str">
        <f>IF(J1892="","",J1892&gt;=100)</f>
        <v/>
      </c>
      <c r="K1893" s="2134" t="str">
        <f>IF(K1892="","",K1892&gt;=100)</f>
        <v/>
      </c>
      <c r="L1893" s="2135" t="str">
        <f>IF(L1892="","",L1892&gt;=100)</f>
        <v/>
      </c>
      <c r="M1893" s="2135" t="str">
        <f>IF(M1892="","",M1892&gt;=100)</f>
        <v/>
      </c>
      <c r="N1893" s="2135" t="str">
        <f>IF(N1892="","",N1892&gt;=100)</f>
        <v/>
      </c>
      <c r="O1893" s="485"/>
      <c r="P1893" s="1158" t="str">
        <f>EUconst_CNTR_100EUA_WGFlare&amp;I1789</f>
        <v>EUA100WGFlare_</v>
      </c>
      <c r="Q1893" s="1137"/>
      <c r="R1893" s="1137"/>
      <c r="S1893" s="1137"/>
      <c r="T1893" s="1137"/>
      <c r="U1893" s="1137"/>
      <c r="V1893" s="1137"/>
    </row>
    <row r="1894" spans="1:22" s="562" customFormat="1" ht="12.75" customHeight="1" thickBot="1">
      <c r="A1894" s="719"/>
      <c r="B1894" s="485"/>
      <c r="C1894" s="559"/>
      <c r="D1894" s="755"/>
      <c r="E1894" s="756"/>
      <c r="F1894" s="756"/>
      <c r="G1894" s="756"/>
      <c r="H1894" s="756"/>
      <c r="I1894" s="757"/>
      <c r="J1894" s="756"/>
      <c r="K1894" s="1790"/>
      <c r="L1894" s="1791"/>
      <c r="M1894" s="1791"/>
      <c r="N1894" s="1791"/>
      <c r="O1894" s="485"/>
      <c r="P1894" s="1137"/>
      <c r="Q1894" s="1137"/>
      <c r="R1894" s="1137"/>
      <c r="S1894" s="1137"/>
      <c r="T1894" s="1137"/>
      <c r="U1894" s="1137"/>
      <c r="V1894" s="1137"/>
    </row>
    <row r="1895" spans="1:22" s="562" customFormat="1" ht="5.0999999999999996" customHeight="1" thickBot="1">
      <c r="A1895" s="817"/>
      <c r="B1895" s="485"/>
      <c r="C1895" s="559"/>
      <c r="D1895" s="559"/>
      <c r="E1895" s="485"/>
      <c r="F1895" s="485"/>
      <c r="G1895" s="485"/>
      <c r="H1895" s="485"/>
      <c r="I1895" s="743"/>
      <c r="J1895" s="485"/>
      <c r="K1895" s="1790"/>
      <c r="L1895" s="1791"/>
      <c r="M1895" s="1791"/>
      <c r="N1895" s="1791"/>
      <c r="O1895" s="485"/>
      <c r="P1895" s="1137"/>
      <c r="Q1895" s="1137"/>
      <c r="R1895" s="1137"/>
      <c r="S1895" s="1137"/>
      <c r="T1895" s="1137"/>
      <c r="U1895" s="1137"/>
      <c r="V1895" s="1137"/>
    </row>
    <row r="1896" spans="1:22" s="562" customFormat="1" ht="5.0999999999999996" customHeight="1">
      <c r="A1896" s="817"/>
      <c r="B1896" s="485"/>
      <c r="C1896" s="485"/>
      <c r="D1896" s="759"/>
      <c r="E1896" s="760"/>
      <c r="F1896" s="760"/>
      <c r="G1896" s="760"/>
      <c r="H1896" s="760"/>
      <c r="I1896" s="761"/>
      <c r="J1896" s="760"/>
      <c r="K1896" s="1790"/>
      <c r="L1896" s="1791"/>
      <c r="M1896" s="1791"/>
      <c r="N1896" s="1791"/>
      <c r="O1896" s="485"/>
      <c r="P1896" s="1137"/>
      <c r="Q1896" s="1137"/>
      <c r="R1896" s="1137"/>
      <c r="S1896" s="1137"/>
      <c r="T1896" s="1117"/>
      <c r="U1896" s="1137"/>
      <c r="V1896" s="1137"/>
    </row>
    <row r="1897" spans="1:22" s="562" customFormat="1">
      <c r="A1897" s="817"/>
      <c r="B1897" s="485"/>
      <c r="C1897" s="485"/>
      <c r="D1897" s="539"/>
      <c r="E1897" s="496" t="s">
        <v>1786</v>
      </c>
      <c r="F1897" s="485"/>
      <c r="G1897" s="485"/>
      <c r="H1897" s="663" t="str">
        <f>EUconst_Unit</f>
        <v>Unit</v>
      </c>
      <c r="I1897" s="763" t="s">
        <v>1675</v>
      </c>
      <c r="J1897" s="2132">
        <f>J$2737</f>
        <v>2026</v>
      </c>
      <c r="K1897" s="1489">
        <f>K$2737</f>
        <v>2027</v>
      </c>
      <c r="L1897" s="1490">
        <f>L$2737</f>
        <v>2028</v>
      </c>
      <c r="M1897" s="1490">
        <f>M$2737</f>
        <v>2029</v>
      </c>
      <c r="N1897" s="1490">
        <f>N$2737</f>
        <v>2030</v>
      </c>
      <c r="O1897" s="485"/>
      <c r="P1897" s="1137"/>
      <c r="Q1897" s="1137"/>
      <c r="R1897" s="1137"/>
      <c r="S1897" s="2155" t="s">
        <v>1646</v>
      </c>
      <c r="T1897" s="1117"/>
      <c r="U1897" s="1137"/>
      <c r="V1897" s="1137"/>
    </row>
    <row r="1898" spans="1:22" s="562" customFormat="1">
      <c r="A1898" s="817"/>
      <c r="B1898" s="485"/>
      <c r="C1898" s="485"/>
      <c r="D1898" s="539"/>
      <c r="E1898" s="720" t="s">
        <v>1714</v>
      </c>
      <c r="F1898" s="720"/>
      <c r="G1898" s="720"/>
      <c r="H1898" s="732" t="str">
        <f>H1882</f>
        <v>tonnes</v>
      </c>
      <c r="I1898" s="764" t="str">
        <f>IF($I1789="","",IF(T1904&gt;=$H$2736,0,S1898))</f>
        <v/>
      </c>
      <c r="J1898" s="2144" t="str">
        <f>IF($I1789="","",INDEX(F_ProductBM!J:J,MATCH($P1898,F_ProductBM!$Q:$Q,0)))</f>
        <v/>
      </c>
      <c r="K1898" s="2072" t="str">
        <f>IF($I1789="","",INDEX(F_ProductBM!K:K,MATCH($P1898,F_ProductBM!$Q:$Q,0)))</f>
        <v/>
      </c>
      <c r="L1898" s="2073" t="str">
        <f>IF($I1789="","",INDEX(F_ProductBM!L:L,MATCH($P1898,F_ProductBM!$Q:$Q,0)))</f>
        <v/>
      </c>
      <c r="M1898" s="2073" t="str">
        <f>IF($I1789="","",INDEX(F_ProductBM!M:M,MATCH($P1898,F_ProductBM!$Q:$Q,0)))</f>
        <v/>
      </c>
      <c r="N1898" s="2073" t="str">
        <f>IF($I1789="","",INDEX(F_ProductBM!N:N,MATCH($P1898,F_ProductBM!$Q:$Q,0)))</f>
        <v/>
      </c>
      <c r="O1898" s="485"/>
      <c r="P1898" s="1158" t="str">
        <f>EUconst_CNTR_HALfinal&amp;I1789</f>
        <v>HALfinal_</v>
      </c>
      <c r="Q1898" s="1137"/>
      <c r="R1898" s="1137"/>
      <c r="S1898" s="2156" t="str">
        <f>IF($I1789="","",INDEX(F_ProductBM!I:I,MATCH($P1898,F_ProductBM!$Q:$Q,0)))</f>
        <v/>
      </c>
      <c r="T1898" s="1117"/>
      <c r="U1898" s="1137"/>
      <c r="V1898" s="1137"/>
    </row>
    <row r="1899" spans="1:22" s="562" customFormat="1">
      <c r="A1899" s="817"/>
      <c r="B1899" s="485"/>
      <c r="C1899" s="485"/>
      <c r="D1899" s="539"/>
      <c r="E1899" s="645" t="s">
        <v>303</v>
      </c>
      <c r="F1899" s="645"/>
      <c r="G1899" s="645"/>
      <c r="H1899" s="765" t="str">
        <f>EUconst_EUA</f>
        <v>UKA</v>
      </c>
      <c r="I1899" s="766" t="str">
        <f>IF($I1789="","",IF(YEAR(J1792)&gt;=$H$2736-1,0,S1899))</f>
        <v/>
      </c>
      <c r="J1899" s="2157" t="str">
        <f>IF($I1789="","",INDEX(F_ProductBM!J:J,MATCH($P1899,F_ProductBM!$Q:$Q,0)))</f>
        <v/>
      </c>
      <c r="K1899" s="2072" t="str">
        <f>IF($I1789="","",INDEX(F_ProductBM!K:K,MATCH($P1899,F_ProductBM!$Q:$Q,0)))</f>
        <v/>
      </c>
      <c r="L1899" s="2073" t="str">
        <f>IF($I1789="","",INDEX(F_ProductBM!L:L,MATCH($P1899,F_ProductBM!$Q:$Q,0)))</f>
        <v/>
      </c>
      <c r="M1899" s="2073" t="str">
        <f>IF($I1789="","",INDEX(F_ProductBM!M:M,MATCH($P1899,F_ProductBM!$Q:$Q,0)))</f>
        <v/>
      </c>
      <c r="N1899" s="2073" t="str">
        <f>IF($I1789="","",INDEX(F_ProductBM!N:N,MATCH($P1899,F_ProductBM!$Q:$Q,0)))</f>
        <v/>
      </c>
      <c r="O1899" s="485"/>
      <c r="P1899" s="1158" t="str">
        <f>EUconst_CNTR_HEATfinal&amp;I1789</f>
        <v>HEATfinal_</v>
      </c>
      <c r="Q1899" s="1137"/>
      <c r="R1899" s="1137"/>
      <c r="S1899" s="2158" t="str">
        <f>IF($I1789="","",INDEX(F_ProductBM!I:I,MATCH($P1899,F_ProductBM!$Q:$Q,0)))</f>
        <v/>
      </c>
      <c r="T1899" s="1117"/>
      <c r="U1899" s="1137"/>
      <c r="V1899" s="1137"/>
    </row>
    <row r="1900" spans="1:22" s="562" customFormat="1">
      <c r="A1900" s="817"/>
      <c r="B1900" s="485"/>
      <c r="C1900" s="485"/>
      <c r="D1900" s="539"/>
      <c r="E1900" s="723" t="s">
        <v>1422</v>
      </c>
      <c r="F1900" s="723"/>
      <c r="G1900" s="723"/>
      <c r="H1900" s="724" t="str">
        <f>EUconst_EUA</f>
        <v>UKA</v>
      </c>
      <c r="I1900" s="767" t="str">
        <f>IF($I1789="","",IF(T1904&gt;=$H$2736,0,S1900))</f>
        <v/>
      </c>
      <c r="J1900" s="2159" t="str">
        <f>IF($I1789="","",INDEX(F_ProductBM!J:J,MATCH($P1900,F_ProductBM!$Q:$Q,0)))</f>
        <v/>
      </c>
      <c r="K1900" s="2072" t="str">
        <f>IF($I1789="","",INDEX(F_ProductBM!K:K,MATCH($P1900,F_ProductBM!$Q:$Q,0)))</f>
        <v/>
      </c>
      <c r="L1900" s="2073" t="str">
        <f>IF($I1789="","",INDEX(F_ProductBM!L:L,MATCH($P1900,F_ProductBM!$Q:$Q,0)))</f>
        <v/>
      </c>
      <c r="M1900" s="2073" t="str">
        <f>IF($I1789="","",INDEX(F_ProductBM!M:M,MATCH($P1900,F_ProductBM!$Q:$Q,0)))</f>
        <v/>
      </c>
      <c r="N1900" s="2073" t="str">
        <f>IF($I1789="","",INDEX(F_ProductBM!N:N,MATCH($P1900,F_ProductBM!$Q:$Q,0)))</f>
        <v/>
      </c>
      <c r="O1900" s="485"/>
      <c r="P1900" s="1158" t="str">
        <f>EUconst_CNTR_HALfinal&amp;EUconst_CNTR_WGFlared&amp;$I1789</f>
        <v>HALfinal_WasteGasFlare_</v>
      </c>
      <c r="Q1900" s="1137"/>
      <c r="R1900" s="1137"/>
      <c r="S1900" s="2160" t="str">
        <f>IF($I1789="","",INDEX(F_ProductBM!I:I,MATCH($P1900,F_ProductBM!$Q:$Q,0)))</f>
        <v/>
      </c>
      <c r="T1900" s="1117"/>
      <c r="U1900" s="1137"/>
      <c r="V1900" s="1137"/>
    </row>
    <row r="1901" spans="1:22" s="562" customFormat="1">
      <c r="A1901" s="817"/>
      <c r="B1901" s="485"/>
      <c r="C1901" s="485"/>
      <c r="D1901" s="539"/>
      <c r="E1901" s="723" t="s">
        <v>1390</v>
      </c>
      <c r="F1901" s="723"/>
      <c r="G1901" s="723"/>
      <c r="H1901" s="724" t="str">
        <f>EUconst_EUA</f>
        <v>UKA</v>
      </c>
      <c r="I1901" s="767" t="str">
        <f>IF($I1789="","",IF(T1904&gt;=$H$2736,0,IF(L1792=42,S1901,0)))</f>
        <v/>
      </c>
      <c r="J1901" s="2159" t="str">
        <f>IF($I1789="","",IF($L1792=42,INDEX(H_SpecialBM!J:J,MATCH($P1901,H_SpecialBM!$Q:$Q,0)),0))</f>
        <v/>
      </c>
      <c r="K1901" s="2072" t="str">
        <f>IF($I1789="","",IF($L1792=42,INDEX(H_SpecialBM!K:K,MATCH($P1901,H_SpecialBM!$Q:$Q,0)),0))</f>
        <v/>
      </c>
      <c r="L1901" s="2073" t="str">
        <f>IF($I1789="","",IF($L1792=42,INDEX(H_SpecialBM!L:L,MATCH($P1901,H_SpecialBM!$Q:$Q,0)),0))</f>
        <v/>
      </c>
      <c r="M1901" s="2073" t="str">
        <f>IF($I1789="","",IF($L1792=42,INDEX(H_SpecialBM!M:M,MATCH($P1901,H_SpecialBM!$Q:$Q,0)),0))</f>
        <v/>
      </c>
      <c r="N1901" s="2073" t="str">
        <f>IF($I1789="","",IF($L1792=42,INDEX(H_SpecialBM!N:N,MATCH($P1901,H_SpecialBM!$Q:$Q,0)),0))</f>
        <v/>
      </c>
      <c r="O1901" s="485"/>
      <c r="P1901" s="1158" t="str">
        <f>EUconst_CNTR_HVCfinal</f>
        <v>HVCfinal_</v>
      </c>
      <c r="Q1901" s="1137"/>
      <c r="R1901" s="1137"/>
      <c r="S1901" s="2160" t="str">
        <f>IF($I1789="","",IF(L1792=42,INDEX(H_SpecialBM!I:I,MATCH($P1901,H_SpecialBM!$Q:$Q,0)),0))</f>
        <v/>
      </c>
      <c r="T1901" s="1117"/>
      <c r="U1901" s="1137"/>
      <c r="V1901" s="1137"/>
    </row>
    <row r="1902" spans="1:22" s="562" customFormat="1">
      <c r="A1902" s="817"/>
      <c r="B1902" s="485"/>
      <c r="C1902" s="485"/>
      <c r="D1902" s="539"/>
      <c r="E1902" s="723" t="s">
        <v>1389</v>
      </c>
      <c r="F1902" s="723"/>
      <c r="G1902" s="723"/>
      <c r="H1902" s="726" t="s">
        <v>1021</v>
      </c>
      <c r="I1902" s="768" t="str">
        <f>IF(AND($I1789&lt;&gt;"",$I1792=TRUE),IF(T1904&gt;=$H$2736,1,S1902),IF($I1789="","",1))</f>
        <v/>
      </c>
      <c r="J1902" s="2161" t="str">
        <f>IF(AND($I1789&lt;&gt;"",$I1792=TRUE),INDEX(F_ProductBM!J:J,MATCH($P1902,F_ProductBM!$Q:$Q,0)),IF($I1789="","",1))</f>
        <v/>
      </c>
      <c r="K1902" s="2141" t="str">
        <f>IF(AND($I1789&lt;&gt;"",$I1792=TRUE),INDEX(F_ProductBM!K:K,MATCH($P1902,F_ProductBM!$Q:$Q,0)),IF($I1789="","",1))</f>
        <v/>
      </c>
      <c r="L1902" s="2142" t="str">
        <f>IF(AND($I1789&lt;&gt;"",$I1792=TRUE),INDEX(F_ProductBM!L:L,MATCH($P1902,F_ProductBM!$Q:$Q,0)),IF($I1789="","",1))</f>
        <v/>
      </c>
      <c r="M1902" s="2142" t="str">
        <f>IF(AND($I1789&lt;&gt;"",$I1792=TRUE),INDEX(F_ProductBM!M:M,MATCH($P1902,F_ProductBM!$Q:$Q,0)),IF($I1789="","",1))</f>
        <v/>
      </c>
      <c r="N1902" s="2142" t="str">
        <f>IF(AND($I1789&lt;&gt;"",$I1792=TRUE),INDEX(F_ProductBM!N:N,MATCH($P1902,F_ProductBM!$Q:$Q,0)),IF($I1789="","",1))</f>
        <v/>
      </c>
      <c r="O1902" s="485"/>
      <c r="P1902" s="1158" t="str">
        <f>EUconst_CNTR_HALfinal&amp;EUconst_CNTR_ELEXCH&amp;$I1789</f>
        <v>HALfinal_ELEXCH_</v>
      </c>
      <c r="Q1902" s="1137"/>
      <c r="R1902" s="1137"/>
      <c r="S1902" s="2162" t="str">
        <f>IF(AND($I1789&lt;&gt;"",$I1792=TRUE),INDEX(F_ProductBM!I:I,MATCH($P1902,F_ProductBM!$Q:$Q,0)),IF($I1789="","",1))</f>
        <v/>
      </c>
      <c r="T1902" s="1137"/>
      <c r="U1902" s="1137"/>
      <c r="V1902" s="1137"/>
    </row>
    <row r="1903" spans="1:22" s="562" customFormat="1">
      <c r="A1903" s="817"/>
      <c r="B1903" s="485"/>
      <c r="C1903" s="485"/>
      <c r="D1903" s="539"/>
      <c r="E1903" s="727" t="s">
        <v>1391</v>
      </c>
      <c r="F1903" s="727"/>
      <c r="G1903" s="727"/>
      <c r="H1903" s="728" t="s">
        <v>1021</v>
      </c>
      <c r="I1903" s="769" t="str">
        <f>IF($I1789="","",IF($L1792=47,IF(AND(ISNUMBER(S1903),YEAR(J1792)&lt;2021),S1903,1),1))</f>
        <v/>
      </c>
      <c r="J1903" s="2163" t="str">
        <f>IF($I1789="","",IF($L1792=47,IF(ISNUMBER(INDEX(H_SpecialBM!J:J,MATCH($P1903,H_SpecialBM!$Q:$Q,0))),INDEX(H_SpecialBM!J:J,MATCH($P1903,H_SpecialBM!$Q:$Q,0)),1),1))</f>
        <v/>
      </c>
      <c r="K1903" s="2141" t="str">
        <f>IF($I1789="","",IF($L1792=47,IF(ISNUMBER(INDEX(H_SpecialBM!K:K,MATCH($P1903,H_SpecialBM!$Q:$Q,0))),INDEX(H_SpecialBM!K:K,MATCH($P1903,H_SpecialBM!$Q:$Q,0)),1),1))</f>
        <v/>
      </c>
      <c r="L1903" s="2142" t="str">
        <f>IF($I1789="","",IF($L1792=47,IF(ISNUMBER(INDEX(H_SpecialBM!L:L,MATCH($P1903,H_SpecialBM!$Q:$Q,0))),INDEX(H_SpecialBM!L:L,MATCH($P1903,H_SpecialBM!$Q:$Q,0)),1),1))</f>
        <v/>
      </c>
      <c r="M1903" s="2142" t="str">
        <f>IF($I1789="","",IF($L1792=47,IF(ISNUMBER(INDEX(H_SpecialBM!M:M,MATCH($P1903,H_SpecialBM!$Q:$Q,0))),INDEX(H_SpecialBM!M:M,MATCH($P1903,H_SpecialBM!$Q:$Q,0)),1),1))</f>
        <v/>
      </c>
      <c r="N1903" s="2142" t="str">
        <f>IF($I1789="","",IF($L1792=47,IF(ISNUMBER(INDEX(H_SpecialBM!N:N,MATCH($P1903,H_SpecialBM!$Q:$Q,0))),INDEX(H_SpecialBM!N:N,MATCH($P1903,H_SpecialBM!$Q:$Q,0)),1),1))</f>
        <v/>
      </c>
      <c r="O1903" s="485"/>
      <c r="P1903" s="1158" t="str">
        <f>EUconst_CNTR_VCMfinal</f>
        <v>VCMfinal_</v>
      </c>
      <c r="Q1903" s="1137"/>
      <c r="R1903" s="1137"/>
      <c r="S1903" s="2164" t="str">
        <f>IF($I1789="","",IF($L1792=47,IF(ISNUMBER(INDEX(H_SpecialBM!I:I,MATCH($P1903,H_SpecialBM!$Q:$Q,0))),INDEX(H_SpecialBM!I:I,MATCH($P1903,H_SpecialBM!$Q:$Q,0)),1),1))</f>
        <v/>
      </c>
      <c r="T1903" s="1137"/>
      <c r="U1903" s="1137"/>
      <c r="V1903" s="1137"/>
    </row>
    <row r="1904" spans="1:22" s="562" customFormat="1">
      <c r="A1904" s="817"/>
      <c r="B1904" s="485"/>
      <c r="C1904" s="485"/>
      <c r="D1904" s="539"/>
      <c r="E1904" s="698" t="s">
        <v>222</v>
      </c>
      <c r="F1904" s="698"/>
      <c r="G1904" s="698"/>
      <c r="H1904" s="730" t="str">
        <f>EUconst_EUA</f>
        <v>UKA</v>
      </c>
      <c r="I1904" s="770" t="str">
        <f>IF($I1789="","",MAX(0,ROUND((SUM($M1792)*SUM(I1898)*SUM(I1902)*SUM(I1903)-SUM(I1899)-SUM(I1900)+SUM(I1901))*IF($H1792=TRUE,1,J$2517),0)))</f>
        <v/>
      </c>
      <c r="J1904" s="2129" t="str">
        <f>IF($I1789="","",MAX(0,ROUND((SUM($M1792)*SUM(J1898)*SUM(J1902)*SUM(J1903)-SUM(J1899)-SUM(J1900)+SUM(J1901))*IF($H1792=TRUE,1,J$2517),0)))</f>
        <v/>
      </c>
      <c r="K1904" s="2072" t="str">
        <f>IF($I1789="","",MAX(0,ROUND((SUM($M1792)*SUM(K1898)*SUM(K1902)*SUM(K1903)-SUM(K1899)-SUM(K1900)+SUM(K1901))*IF($H1792=TRUE,1,K$2517),0)))</f>
        <v/>
      </c>
      <c r="L1904" s="2073" t="str">
        <f>IF($I1789="","",MAX(0,ROUND((SUM($M1792)*SUM(L1898)*SUM(L1902)*SUM(L1903)-SUM(L1899)-SUM(L1900)+SUM(L1901))*IF($H1792=TRUE,1,L$2517),0)))</f>
        <v/>
      </c>
      <c r="M1904" s="2073" t="str">
        <f>IF($I1789="","",MAX(0,ROUND((SUM($M1792)*SUM(M1898)*SUM(M1902)*SUM(M1903)-SUM(M1899)-SUM(M1900)+SUM(M1901))*IF($H1792=TRUE,1,M$2517),0)))</f>
        <v/>
      </c>
      <c r="N1904" s="2073" t="str">
        <f>IF($I1789="","",MAX(0,ROUND((SUM($M1792)*SUM(N1898)*SUM(N1902)*SUM(N1903)-SUM(N1899)-SUM(N1900)+SUM(N1901))*IF($H1792=TRUE,1,N$2517),0)))</f>
        <v/>
      </c>
      <c r="O1904" s="485"/>
      <c r="P1904" s="1158" t="str">
        <f>EUconst_AllocPrelim&amp;I1789</f>
        <v>AllocPrelim_</v>
      </c>
      <c r="Q1904" s="1137"/>
      <c r="R1904" s="1137"/>
      <c r="S1904" s="2165" t="str">
        <f>IF($I1789="","",MAX(0,ROUND((SUM($M1792)*SUM(S1898)*SUM(S1902)*SUM(S1903)-SUM(S1899)-SUM(S1900)+SUM(S1901))*IF($H1792=TRUE,1,J$2517),0)))</f>
        <v/>
      </c>
      <c r="T1904" s="1137">
        <f>INDEX(F_ProductBM!V:V,MATCH(C1789,F_ProductBM!C:C,0))</f>
        <v>2005</v>
      </c>
      <c r="U1904" s="1137" t="e">
        <f>INDEX(I1904:N1904,CNTR_ReportingYear-$I$2736)&lt;&gt;INDEX(I1904:N1904,CNTR_ReportingYear-$H$2736)</f>
        <v>#REF!</v>
      </c>
      <c r="V1904" s="1137"/>
    </row>
    <row r="1905" spans="1:22" s="562" customFormat="1" ht="5.0999999999999996" customHeight="1" thickBot="1">
      <c r="A1905" s="817"/>
      <c r="C1905" s="485"/>
      <c r="D1905" s="771"/>
      <c r="E1905" s="756"/>
      <c r="F1905" s="756"/>
      <c r="G1905" s="756"/>
      <c r="H1905" s="756"/>
      <c r="I1905" s="756"/>
      <c r="J1905" s="756"/>
      <c r="K1905" s="1790"/>
      <c r="L1905" s="1791"/>
      <c r="M1905" s="1791"/>
      <c r="N1905" s="1791"/>
      <c r="O1905" s="485"/>
      <c r="P1905" s="1137"/>
      <c r="Q1905" s="1137"/>
      <c r="R1905" s="1137"/>
      <c r="S1905" s="1137"/>
      <c r="T1905" s="1137"/>
      <c r="U1905" s="1137"/>
      <c r="V1905" s="1137"/>
    </row>
    <row r="1906" spans="1:22" s="562" customFormat="1" ht="5.0999999999999996" customHeight="1" thickBot="1">
      <c r="A1906" s="817"/>
      <c r="C1906" s="485"/>
      <c r="E1906" s="561"/>
      <c r="F1906" s="485"/>
      <c r="G1906" s="485"/>
      <c r="H1906" s="485"/>
      <c r="I1906" s="485"/>
      <c r="J1906" s="485"/>
      <c r="K1906" s="1790"/>
      <c r="L1906" s="1791"/>
      <c r="M1906" s="1791"/>
      <c r="N1906" s="1791"/>
      <c r="O1906" s="485"/>
      <c r="P1906" s="1137"/>
      <c r="Q1906" s="1137"/>
      <c r="R1906" s="1137"/>
      <c r="S1906" s="1137"/>
      <c r="T1906" s="1137"/>
      <c r="U1906" s="1137"/>
      <c r="V1906" s="1137"/>
    </row>
    <row r="1907" spans="1:22" s="562" customFormat="1" ht="12.75" customHeight="1">
      <c r="A1907" s="817"/>
      <c r="C1907" s="485"/>
      <c r="D1907" s="772"/>
      <c r="E1907" s="773"/>
      <c r="F1907" s="773"/>
      <c r="G1907" s="774"/>
      <c r="H1907" s="774"/>
      <c r="I1907" s="774"/>
      <c r="J1907" s="774"/>
      <c r="K1907" s="1790"/>
      <c r="L1907" s="1791"/>
      <c r="M1907" s="1791"/>
      <c r="N1907" s="1791"/>
      <c r="O1907" s="485"/>
      <c r="P1907" s="1137"/>
      <c r="Q1907" s="1137"/>
      <c r="R1907" s="1137"/>
      <c r="S1907" s="1137"/>
      <c r="T1907" s="1137"/>
      <c r="U1907" s="1137"/>
      <c r="V1907" s="1137"/>
    </row>
    <row r="1908" spans="1:22" s="562" customFormat="1" ht="13.5" thickBot="1">
      <c r="A1908" s="817"/>
      <c r="C1908" s="485"/>
      <c r="D1908" s="776"/>
      <c r="E1908" s="777"/>
      <c r="F1908" s="777"/>
      <c r="G1908" s="778" t="str">
        <f>EUconst_Unit</f>
        <v>Unit</v>
      </c>
      <c r="H1908" s="779">
        <f t="shared" ref="H1908:M1908" si="144">H$2737</f>
        <v>2024</v>
      </c>
      <c r="I1908" s="780">
        <f t="shared" si="144"/>
        <v>2025</v>
      </c>
      <c r="J1908" s="2166">
        <f t="shared" si="144"/>
        <v>2026</v>
      </c>
      <c r="K1908" s="1489">
        <f t="shared" si="144"/>
        <v>2027</v>
      </c>
      <c r="L1908" s="1490">
        <f t="shared" si="144"/>
        <v>2028</v>
      </c>
      <c r="M1908" s="1490">
        <f t="shared" si="144"/>
        <v>2029</v>
      </c>
      <c r="N1908" s="1490">
        <f>N$2737</f>
        <v>2030</v>
      </c>
      <c r="O1908" s="485"/>
      <c r="P1908" s="1137"/>
      <c r="Q1908" s="1137"/>
      <c r="R1908" s="1137"/>
      <c r="S1908" s="1137"/>
      <c r="T1908" s="1137"/>
      <c r="U1908" s="1137"/>
      <c r="V1908" s="1137"/>
    </row>
    <row r="1909" spans="1:22" s="562" customFormat="1" ht="13.5" customHeight="1" thickBot="1">
      <c r="A1909" s="817"/>
      <c r="C1909" s="485"/>
      <c r="D1909" s="776"/>
      <c r="E1909" s="2470" t="s">
        <v>1504</v>
      </c>
      <c r="F1909" s="2470"/>
      <c r="G1909" s="808" t="str">
        <f>EUconst_tCO2epa</f>
        <v>t CO2e/year</v>
      </c>
      <c r="H1909" s="786" t="str">
        <f t="shared" ref="H1909:N1909" si="145">INDEX(H$92:H$108,MATCH($I1789,$E$92:$E$108,0))</f>
        <v/>
      </c>
      <c r="I1909" s="787" t="str">
        <f t="shared" si="145"/>
        <v/>
      </c>
      <c r="J1909" s="2167" t="str">
        <f t="shared" si="145"/>
        <v/>
      </c>
      <c r="K1909" s="2105" t="str">
        <f t="shared" si="145"/>
        <v/>
      </c>
      <c r="L1909" s="1960" t="str">
        <f t="shared" si="145"/>
        <v/>
      </c>
      <c r="M1909" s="1960" t="str">
        <f t="shared" si="145"/>
        <v/>
      </c>
      <c r="N1909" s="1960" t="str">
        <f t="shared" si="145"/>
        <v/>
      </c>
      <c r="O1909" s="485"/>
      <c r="P1909" s="1137"/>
      <c r="Q1909" s="1137"/>
      <c r="R1909" s="1137"/>
      <c r="S1909" s="1137"/>
      <c r="T1909" s="1137"/>
      <c r="U1909" s="1137"/>
      <c r="V1909" s="1137"/>
    </row>
    <row r="1910" spans="1:22" s="562" customFormat="1" ht="5.0999999999999996" customHeight="1">
      <c r="A1910" s="817"/>
      <c r="C1910" s="485"/>
      <c r="D1910" s="776"/>
      <c r="E1910" s="809"/>
      <c r="F1910" s="809"/>
      <c r="G1910" s="777"/>
      <c r="H1910" s="2168"/>
      <c r="I1910" s="2168"/>
      <c r="J1910" s="2168"/>
      <c r="K1910" s="2169"/>
      <c r="L1910" s="2170"/>
      <c r="M1910" s="2170"/>
      <c r="N1910" s="2170"/>
      <c r="O1910" s="485"/>
      <c r="P1910" s="1137"/>
      <c r="Q1910" s="1137"/>
      <c r="R1910" s="1137"/>
      <c r="S1910" s="1137"/>
      <c r="T1910" s="1137"/>
      <c r="U1910" s="1137"/>
      <c r="V1910" s="1137"/>
    </row>
    <row r="1911" spans="1:22" s="562" customFormat="1" ht="12.75" customHeight="1">
      <c r="A1911" s="817"/>
      <c r="C1911" s="485"/>
      <c r="D1911" s="776"/>
      <c r="E1911" s="2471" t="s">
        <v>1344</v>
      </c>
      <c r="F1911" s="3467"/>
      <c r="G1911" s="811" t="str">
        <f>EUconst_TJpa</f>
        <v>TJ / year</v>
      </c>
      <c r="H1911" s="625" t="str">
        <f>IF($I1789="","",IF(INDEX(F_ProductBM!H:H,MATCH($P1911,F_ProductBM!$Q:$Q,0))="","",INDEX(F_ProductBM!H:H,MATCH($P1911,F_ProductBM!$Q:$Q,0))))</f>
        <v/>
      </c>
      <c r="I1911" s="794" t="str">
        <f>IF($I1789="","",IF(INDEX(F_ProductBM!I:I,MATCH($P1911,F_ProductBM!$Q:$Q,0))="","",INDEX(F_ProductBM!I:I,MATCH($P1911,F_ProductBM!$Q:$Q,0))))</f>
        <v/>
      </c>
      <c r="J1911" s="2171" t="str">
        <f>IF($I1789="","",IF(INDEX(F_ProductBM!J:J,MATCH($P1911,F_ProductBM!$Q:$Q,0))="","",INDEX(F_ProductBM!J:J,MATCH($P1911,F_ProductBM!$Q:$Q,0))))</f>
        <v/>
      </c>
      <c r="K1911" s="1788" t="str">
        <f>IF($I1789="","",IF(INDEX(F_ProductBM!K:K,MATCH($P1911,F_ProductBM!$Q:$Q,0))="","",INDEX(F_ProductBM!K:K,MATCH($P1911,F_ProductBM!$Q:$Q,0))))</f>
        <v/>
      </c>
      <c r="L1911" s="1789" t="str">
        <f>IF($I1789="","",IF(INDEX(F_ProductBM!L:L,MATCH($P1911,F_ProductBM!$Q:$Q,0))="","",INDEX(F_ProductBM!L:L,MATCH($P1911,F_ProductBM!$Q:$Q,0))))</f>
        <v/>
      </c>
      <c r="M1911" s="1789" t="str">
        <f>IF($I1789="","",IF(INDEX(F_ProductBM!M:M,MATCH($P1911,F_ProductBM!$Q:$Q,0))="","",INDEX(F_ProductBM!M:M,MATCH($P1911,F_ProductBM!$Q:$Q,0))))</f>
        <v/>
      </c>
      <c r="N1911" s="1789" t="str">
        <f>IF($I1789="","",IF(INDEX(F_ProductBM!N:N,MATCH($P1911,F_ProductBM!$Q:$Q,0))="","",INDEX(F_ProductBM!N:N,MATCH($P1911,F_ProductBM!$Q:$Q,0))))</f>
        <v/>
      </c>
      <c r="O1911" s="485"/>
      <c r="P1911" s="2109" t="str">
        <f>EUconst_CNTR_FuelInput &amp; I1789</f>
        <v>FuelInput_</v>
      </c>
      <c r="Q1911" s="1137"/>
      <c r="R1911" s="1137"/>
      <c r="S1911" s="1137"/>
      <c r="T1911" s="1137"/>
      <c r="U1911" s="1137"/>
      <c r="V1911" s="1137"/>
    </row>
    <row r="1912" spans="1:22" s="562" customFormat="1" ht="12.75" customHeight="1">
      <c r="A1912" s="817"/>
      <c r="C1912" s="485"/>
      <c r="D1912" s="776"/>
      <c r="E1912" s="2473" t="s">
        <v>1182</v>
      </c>
      <c r="F1912" s="3466"/>
      <c r="G1912" s="812" t="str">
        <f>EUconst_tCO2pTJ</f>
        <v>t CO2 / TJ</v>
      </c>
      <c r="H1912" s="627" t="str">
        <f>IF($I1789="","",IF(INDEX(F_ProductBM!H:H,MATCH($P1912,F_ProductBM!$Q:$Q,0))="","",INDEX(F_ProductBM!H:H,MATCH($P1912,F_ProductBM!$Q:$Q,0))))</f>
        <v/>
      </c>
      <c r="I1912" s="796" t="str">
        <f>IF($I1789="","",IF(INDEX(F_ProductBM!I:I,MATCH($P1912,F_ProductBM!$Q:$Q,0))="","",INDEX(F_ProductBM!I:I,MATCH($P1912,F_ProductBM!$Q:$Q,0))))</f>
        <v/>
      </c>
      <c r="J1912" s="2172" t="str">
        <f>IF($I1789="","",IF(INDEX(F_ProductBM!J:J,MATCH($P1912,F_ProductBM!$Q:$Q,0))="","",INDEX(F_ProductBM!J:J,MATCH($P1912,F_ProductBM!$Q:$Q,0))))</f>
        <v/>
      </c>
      <c r="K1912" s="1788" t="str">
        <f>IF($I1789="","",IF(INDEX(F_ProductBM!K:K,MATCH($P1912,F_ProductBM!$Q:$Q,0))="","",INDEX(F_ProductBM!K:K,MATCH($P1912,F_ProductBM!$Q:$Q,0))))</f>
        <v/>
      </c>
      <c r="L1912" s="1789" t="str">
        <f>IF($I1789="","",IF(INDEX(F_ProductBM!L:L,MATCH($P1912,F_ProductBM!$Q:$Q,0))="","",INDEX(F_ProductBM!L:L,MATCH($P1912,F_ProductBM!$Q:$Q,0))))</f>
        <v/>
      </c>
      <c r="M1912" s="1789" t="str">
        <f>IF($I1789="","",IF(INDEX(F_ProductBM!M:M,MATCH($P1912,F_ProductBM!$Q:$Q,0))="","",INDEX(F_ProductBM!M:M,MATCH($P1912,F_ProductBM!$Q:$Q,0))))</f>
        <v/>
      </c>
      <c r="N1912" s="1789" t="str">
        <f>IF($I1789="","",IF(INDEX(F_ProductBM!N:N,MATCH($P1912,F_ProductBM!$Q:$Q,0))="","",INDEX(F_ProductBM!N:N,MATCH($P1912,F_ProductBM!$Q:$Q,0))))</f>
        <v/>
      </c>
      <c r="O1912" s="485"/>
      <c r="P1912" s="1970" t="str">
        <f>EUconst_CNTR_FuelEF &amp; I1789</f>
        <v>FuelEF_</v>
      </c>
      <c r="Q1912" s="1137"/>
      <c r="R1912" s="1137"/>
      <c r="S1912" s="1137"/>
      <c r="T1912" s="1137"/>
      <c r="U1912" s="1137"/>
      <c r="V1912" s="1137"/>
    </row>
    <row r="1913" spans="1:22" s="562" customFormat="1" ht="5.0999999999999996" customHeight="1">
      <c r="A1913" s="817"/>
      <c r="C1913" s="485"/>
      <c r="D1913" s="776"/>
      <c r="E1913" s="809"/>
      <c r="F1913" s="809"/>
      <c r="G1913" s="813"/>
      <c r="H1913" s="2173"/>
      <c r="I1913" s="2173"/>
      <c r="J1913" s="2173"/>
      <c r="K1913" s="1788"/>
      <c r="L1913" s="1789"/>
      <c r="M1913" s="1789"/>
      <c r="N1913" s="1789"/>
      <c r="O1913" s="485"/>
      <c r="P1913" s="1137"/>
      <c r="Q1913" s="1137"/>
      <c r="R1913" s="1137"/>
      <c r="S1913" s="1137"/>
      <c r="T1913" s="1137"/>
      <c r="U1913" s="1137"/>
      <c r="V1913" s="1137"/>
    </row>
    <row r="1914" spans="1:22" s="562" customFormat="1" ht="12.75" customHeight="1">
      <c r="A1914" s="817"/>
      <c r="C1914" s="485"/>
      <c r="D1914" s="776"/>
      <c r="E1914" s="2475" t="s">
        <v>63</v>
      </c>
      <c r="F1914" s="3461"/>
      <c r="G1914" s="815" t="str">
        <f>EUconst_tCO2pa</f>
        <v>t CO2 / year</v>
      </c>
      <c r="H1914" s="623" t="str">
        <f>IF($I1789="","",IF(INDEX(F_ProductBM!H:H,MATCH($P1914,F_ProductBM!$Q:$Q,0))="","",INDEX(F_ProductBM!H:H,MATCH($P1914,F_ProductBM!$Q:$Q,0))))</f>
        <v/>
      </c>
      <c r="I1914" s="800" t="str">
        <f>IF($I1789="","",IF(INDEX(F_ProductBM!I:I,MATCH($P1914,F_ProductBM!$Q:$Q,0))="","",INDEX(F_ProductBM!I:I,MATCH($P1914,F_ProductBM!$Q:$Q,0))))</f>
        <v/>
      </c>
      <c r="J1914" s="2174" t="str">
        <f>IF($I1789="","",IF(INDEX(F_ProductBM!J:J,MATCH($P1914,F_ProductBM!$Q:$Q,0))="","",INDEX(F_ProductBM!J:J,MATCH($P1914,F_ProductBM!$Q:$Q,0))))</f>
        <v/>
      </c>
      <c r="K1914" s="1788" t="str">
        <f>IF($I1789="","",IF(INDEX(F_ProductBM!K:K,MATCH($P1914,F_ProductBM!$Q:$Q,0))="","",INDEX(F_ProductBM!K:K,MATCH($P1914,F_ProductBM!$Q:$Q,0))))</f>
        <v/>
      </c>
      <c r="L1914" s="1789" t="str">
        <f>IF($I1789="","",IF(INDEX(F_ProductBM!L:L,MATCH($P1914,F_ProductBM!$Q:$Q,0))="","",INDEX(F_ProductBM!L:L,MATCH($P1914,F_ProductBM!$Q:$Q,0))))</f>
        <v/>
      </c>
      <c r="M1914" s="1789" t="str">
        <f>IF($I1789="","",IF(INDEX(F_ProductBM!M:M,MATCH($P1914,F_ProductBM!$Q:$Q,0))="","",INDEX(F_ProductBM!M:M,MATCH($P1914,F_ProductBM!$Q:$Q,0))))</f>
        <v/>
      </c>
      <c r="N1914" s="1789" t="str">
        <f>IF($I1789="","",IF(INDEX(F_ProductBM!N:N,MATCH($P1914,F_ProductBM!$Q:$Q,0))="","",INDEX(F_ProductBM!N:N,MATCH($P1914,F_ProductBM!$Q:$Q,0))))</f>
        <v/>
      </c>
      <c r="O1914" s="485"/>
      <c r="P1914" s="1970" t="str">
        <f>EUconst_CNTR_Emissions &amp; I1789</f>
        <v>DirEmissions_</v>
      </c>
      <c r="Q1914" s="1137"/>
      <c r="R1914" s="1137"/>
      <c r="S1914" s="1137"/>
      <c r="T1914" s="1137"/>
      <c r="U1914" s="1137"/>
      <c r="V1914" s="1137"/>
    </row>
    <row r="1915" spans="1:22" s="562" customFormat="1" ht="12.75" customHeight="1">
      <c r="A1915" s="817"/>
      <c r="C1915" s="485"/>
      <c r="D1915" s="776"/>
      <c r="E1915" s="2475" t="s">
        <v>1154</v>
      </c>
      <c r="F1915" s="3461"/>
      <c r="G1915" s="815" t="str">
        <f>EUconst_tCO2pa</f>
        <v>t CO2 / year</v>
      </c>
      <c r="H1915" s="623" t="str">
        <f>IF($I1789="","",IF(INDEX(F_ProductBM!H:H,MATCH($P1915,F_ProductBM!$Q:$Q,0))="","",INDEX(F_ProductBM!H:H,MATCH($P1915,F_ProductBM!$Q:$Q,0))))</f>
        <v/>
      </c>
      <c r="I1915" s="800" t="str">
        <f>IF($I1789="","",IF(INDEX(F_ProductBM!I:I,MATCH($P1915,F_ProductBM!$Q:$Q,0))="","",INDEX(F_ProductBM!I:I,MATCH($P1915,F_ProductBM!$Q:$Q,0))))</f>
        <v/>
      </c>
      <c r="J1915" s="2174" t="str">
        <f>IF($I1789="","",IF(INDEX(F_ProductBM!J:J,MATCH($P1915,F_ProductBM!$Q:$Q,0))="","",INDEX(F_ProductBM!J:J,MATCH($P1915,F_ProductBM!$Q:$Q,0))))</f>
        <v/>
      </c>
      <c r="K1915" s="1788" t="str">
        <f>IF($I1789="","",IF(INDEX(F_ProductBM!K:K,MATCH($P1915,F_ProductBM!$Q:$Q,0))="","",INDEX(F_ProductBM!K:K,MATCH($P1915,F_ProductBM!$Q:$Q,0))))</f>
        <v/>
      </c>
      <c r="L1915" s="1789" t="str">
        <f>IF($I1789="","",IF(INDEX(F_ProductBM!L:L,MATCH($P1915,F_ProductBM!$Q:$Q,0))="","",INDEX(F_ProductBM!L:L,MATCH($P1915,F_ProductBM!$Q:$Q,0))))</f>
        <v/>
      </c>
      <c r="M1915" s="1789" t="str">
        <f>IF($I1789="","",IF(INDEX(F_ProductBM!M:M,MATCH($P1915,F_ProductBM!$Q:$Q,0))="","",INDEX(F_ProductBM!M:M,MATCH($P1915,F_ProductBM!$Q:$Q,0))))</f>
        <v/>
      </c>
      <c r="N1915" s="1789" t="str">
        <f>IF($I1789="","",IF(INDEX(F_ProductBM!N:N,MATCH($P1915,F_ProductBM!$Q:$Q,0))="","",INDEX(F_ProductBM!N:N,MATCH($P1915,F_ProductBM!$Q:$Q,0))))</f>
        <v/>
      </c>
      <c r="O1915" s="485"/>
      <c r="P1915" s="1970" t="str">
        <f>EUconst_CNTR_EmissionsIntSource1 &amp; I1789</f>
        <v>EmInternalSource1_</v>
      </c>
      <c r="Q1915" s="1137"/>
      <c r="R1915" s="1137"/>
      <c r="S1915" s="1137"/>
      <c r="T1915" s="1137"/>
      <c r="U1915" s="1137"/>
      <c r="V1915" s="1137"/>
    </row>
    <row r="1916" spans="1:22" s="562" customFormat="1" ht="12.75" customHeight="1">
      <c r="A1916" s="817"/>
      <c r="C1916" s="485"/>
      <c r="D1916" s="776"/>
      <c r="E1916" s="2475" t="s">
        <v>1155</v>
      </c>
      <c r="F1916" s="3461"/>
      <c r="G1916" s="815" t="str">
        <f>EUconst_tCO2pa</f>
        <v>t CO2 / year</v>
      </c>
      <c r="H1916" s="623" t="str">
        <f>IF($I1789="","",IF(INDEX(F_ProductBM!H:H,MATCH($P1916,F_ProductBM!$Q:$Q,0))="","",INDEX(F_ProductBM!H:H,MATCH($P1916,F_ProductBM!$Q:$Q,0))))</f>
        <v/>
      </c>
      <c r="I1916" s="800" t="str">
        <f>IF($I1789="","",IF(INDEX(F_ProductBM!I:I,MATCH($P1916,F_ProductBM!$Q:$Q,0))="","",INDEX(F_ProductBM!I:I,MATCH($P1916,F_ProductBM!$Q:$Q,0))))</f>
        <v/>
      </c>
      <c r="J1916" s="2174" t="str">
        <f>IF($I1789="","",IF(INDEX(F_ProductBM!J:J,MATCH($P1916,F_ProductBM!$Q:$Q,0))="","",INDEX(F_ProductBM!J:J,MATCH($P1916,F_ProductBM!$Q:$Q,0))))</f>
        <v/>
      </c>
      <c r="K1916" s="1788" t="str">
        <f>IF($I1789="","",IF(INDEX(F_ProductBM!K:K,MATCH($P1916,F_ProductBM!$Q:$Q,0))="","",INDEX(F_ProductBM!K:K,MATCH($P1916,F_ProductBM!$Q:$Q,0))))</f>
        <v/>
      </c>
      <c r="L1916" s="1789" t="str">
        <f>IF($I1789="","",IF(INDEX(F_ProductBM!L:L,MATCH($P1916,F_ProductBM!$Q:$Q,0))="","",INDEX(F_ProductBM!L:L,MATCH($P1916,F_ProductBM!$Q:$Q,0))))</f>
        <v/>
      </c>
      <c r="M1916" s="1789" t="str">
        <f>IF($I1789="","",IF(INDEX(F_ProductBM!M:M,MATCH($P1916,F_ProductBM!$Q:$Q,0))="","",INDEX(F_ProductBM!M:M,MATCH($P1916,F_ProductBM!$Q:$Q,0))))</f>
        <v/>
      </c>
      <c r="N1916" s="1789" t="str">
        <f>IF($I1789="","",IF(INDEX(F_ProductBM!N:N,MATCH($P1916,F_ProductBM!$Q:$Q,0))="","",INDEX(F_ProductBM!N:N,MATCH($P1916,F_ProductBM!$Q:$Q,0))))</f>
        <v/>
      </c>
      <c r="O1916" s="485"/>
      <c r="P1916" s="1970" t="str">
        <f>EUconst_CNTR_EmissionsIntSource2 &amp; I1789</f>
        <v>EmInternalSource2_</v>
      </c>
      <c r="Q1916" s="1137"/>
      <c r="R1916" s="1137"/>
      <c r="S1916" s="1137"/>
      <c r="T1916" s="1137"/>
      <c r="U1916" s="1137"/>
      <c r="V1916" s="1137"/>
    </row>
    <row r="1917" spans="1:22" s="562" customFormat="1" ht="12.75" customHeight="1">
      <c r="A1917" s="817"/>
      <c r="C1917" s="485"/>
      <c r="D1917" s="776"/>
      <c r="E1917" s="2475" t="s">
        <v>1156</v>
      </c>
      <c r="F1917" s="3461"/>
      <c r="G1917" s="815" t="str">
        <f>EUconst_tCO2epa</f>
        <v>t CO2e/year</v>
      </c>
      <c r="H1917" s="623" t="str">
        <f>IF($I1789="","",IF(INDEX(F_ProductBM!H:H,MATCH($P1917,F_ProductBM!$Q:$Q,0))="","",INDEX(F_ProductBM!H:H,MATCH($P1917,F_ProductBM!$Q:$Q,0))))</f>
        <v/>
      </c>
      <c r="I1917" s="800" t="str">
        <f>IF($I1789="","",IF(INDEX(F_ProductBM!I:I,MATCH($P1917,F_ProductBM!$Q:$Q,0))="","",INDEX(F_ProductBM!I:I,MATCH($P1917,F_ProductBM!$Q:$Q,0))))</f>
        <v/>
      </c>
      <c r="J1917" s="2174" t="str">
        <f>IF($I1789="","",IF(INDEX(F_ProductBM!J:J,MATCH($P1917,F_ProductBM!$Q:$Q,0))="","",INDEX(F_ProductBM!J:J,MATCH($P1917,F_ProductBM!$Q:$Q,0))))</f>
        <v/>
      </c>
      <c r="K1917" s="1788" t="str">
        <f>IF($I1789="","",IF(INDEX(F_ProductBM!K:K,MATCH($P1917,F_ProductBM!$Q:$Q,0))="","",INDEX(F_ProductBM!K:K,MATCH($P1917,F_ProductBM!$Q:$Q,0))))</f>
        <v/>
      </c>
      <c r="L1917" s="1789" t="str">
        <f>IF($I1789="","",IF(INDEX(F_ProductBM!L:L,MATCH($P1917,F_ProductBM!$Q:$Q,0))="","",INDEX(F_ProductBM!L:L,MATCH($P1917,F_ProductBM!$Q:$Q,0))))</f>
        <v/>
      </c>
      <c r="M1917" s="1789" t="str">
        <f>IF($I1789="","",IF(INDEX(F_ProductBM!M:M,MATCH($P1917,F_ProductBM!$Q:$Q,0))="","",INDEX(F_ProductBM!M:M,MATCH($P1917,F_ProductBM!$Q:$Q,0))))</f>
        <v/>
      </c>
      <c r="N1917" s="1789" t="str">
        <f>IF($I1789="","",IF(INDEX(F_ProductBM!N:N,MATCH($P1917,F_ProductBM!$Q:$Q,0))="","",INDEX(F_ProductBM!N:N,MATCH($P1917,F_ProductBM!$Q:$Q,0))))</f>
        <v/>
      </c>
      <c r="O1917" s="485"/>
      <c r="P1917" s="1970" t="str">
        <f>EUconst_CNTR_CO2Feedstock &amp; I1789</f>
        <v>EmCO2Feedstock_</v>
      </c>
      <c r="Q1917" s="1137"/>
      <c r="R1917" s="1137"/>
      <c r="S1917" s="1137"/>
      <c r="T1917" s="1137"/>
      <c r="U1917" s="1137"/>
      <c r="V1917" s="1137"/>
    </row>
    <row r="1918" spans="1:22" s="562" customFormat="1" ht="5.0999999999999996" customHeight="1">
      <c r="A1918" s="817"/>
      <c r="C1918" s="485"/>
      <c r="D1918" s="776"/>
      <c r="E1918" s="809"/>
      <c r="F1918" s="809"/>
      <c r="G1918" s="813"/>
      <c r="H1918" s="2173"/>
      <c r="I1918" s="2173"/>
      <c r="J1918" s="2173"/>
      <c r="K1918" s="1788"/>
      <c r="L1918" s="1789"/>
      <c r="M1918" s="1789"/>
      <c r="N1918" s="1789"/>
      <c r="O1918" s="485"/>
      <c r="P1918" s="1137"/>
      <c r="Q1918" s="1137"/>
      <c r="R1918" s="1137"/>
      <c r="S1918" s="1137"/>
      <c r="T1918" s="1137"/>
      <c r="U1918" s="1137"/>
      <c r="V1918" s="1137"/>
    </row>
    <row r="1919" spans="1:22" s="562" customFormat="1" ht="12.75" customHeight="1">
      <c r="A1919" s="817"/>
      <c r="C1919" s="485"/>
      <c r="D1919" s="776"/>
      <c r="E1919" s="2471" t="s">
        <v>1087</v>
      </c>
      <c r="F1919" s="3467"/>
      <c r="G1919" s="811" t="str">
        <f>EUconst_TJpa</f>
        <v>TJ / year</v>
      </c>
      <c r="H1919" s="625" t="str">
        <f>IF($I1789="","",IF(INDEX(F_ProductBM!H:H,MATCH($P1919,F_ProductBM!$Q:$Q,0))="","",INDEX(F_ProductBM!H:H,MATCH($P1919,F_ProductBM!$Q:$Q,0))))</f>
        <v/>
      </c>
      <c r="I1919" s="794" t="str">
        <f>IF($I1789="","",IF(INDEX(F_ProductBM!I:I,MATCH($P1919,F_ProductBM!$Q:$Q,0))="","",INDEX(F_ProductBM!I:I,MATCH($P1919,F_ProductBM!$Q:$Q,0))))</f>
        <v/>
      </c>
      <c r="J1919" s="2171" t="str">
        <f>IF($I1789="","",IF(INDEX(F_ProductBM!J:J,MATCH($P1919,F_ProductBM!$Q:$Q,0))="","",INDEX(F_ProductBM!J:J,MATCH($P1919,F_ProductBM!$Q:$Q,0))))</f>
        <v/>
      </c>
      <c r="K1919" s="1788" t="str">
        <f>IF($I1789="","",IF(INDEX(F_ProductBM!K:K,MATCH($P1919,F_ProductBM!$Q:$Q,0))="","",INDEX(F_ProductBM!K:K,MATCH($P1919,F_ProductBM!$Q:$Q,0))))</f>
        <v/>
      </c>
      <c r="L1919" s="1789" t="str">
        <f>IF($I1789="","",IF(INDEX(F_ProductBM!L:L,MATCH($P1919,F_ProductBM!$Q:$Q,0))="","",INDEX(F_ProductBM!L:L,MATCH($P1919,F_ProductBM!$Q:$Q,0))))</f>
        <v/>
      </c>
      <c r="M1919" s="1789" t="str">
        <f>IF($I1789="","",IF(INDEX(F_ProductBM!M:M,MATCH($P1919,F_ProductBM!$Q:$Q,0))="","",INDEX(F_ProductBM!M:M,MATCH($P1919,F_ProductBM!$Q:$Q,0))))</f>
        <v/>
      </c>
      <c r="N1919" s="1789" t="str">
        <f>IF($I1789="","",IF(INDEX(F_ProductBM!N:N,MATCH($P1919,F_ProductBM!$Q:$Q,0))="","",INDEX(F_ProductBM!N:N,MATCH($P1919,F_ProductBM!$Q:$Q,0))))</f>
        <v/>
      </c>
      <c r="O1919" s="485"/>
      <c r="P1919" s="1970" t="str">
        <f>EUconst_CNTR_HeatImport &amp; I1789</f>
        <v>HeatIm_</v>
      </c>
      <c r="Q1919" s="1137"/>
      <c r="R1919" s="1137"/>
      <c r="S1919" s="1137"/>
      <c r="T1919" s="1137"/>
      <c r="U1919" s="1137"/>
      <c r="V1919" s="1137"/>
    </row>
    <row r="1920" spans="1:22" s="562" customFormat="1" ht="12.75" customHeight="1">
      <c r="A1920" s="817"/>
      <c r="C1920" s="485"/>
      <c r="D1920" s="776"/>
      <c r="E1920" s="2473" t="s">
        <v>1103</v>
      </c>
      <c r="F1920" s="3466"/>
      <c r="G1920" s="812" t="str">
        <f>EUconst_tCO2pTJ</f>
        <v>t CO2 / TJ</v>
      </c>
      <c r="H1920" s="627" t="str">
        <f>IF($I1789="","",IF(INDEX(F_ProductBM!H:H,MATCH($P1920,F_ProductBM!$Q:$Q,0))="","",INDEX(F_ProductBM!H:H,MATCH($P1920,F_ProductBM!$Q:$Q,0))))</f>
        <v/>
      </c>
      <c r="I1920" s="796" t="str">
        <f>IF($I1789="","",IF(INDEX(F_ProductBM!I:I,MATCH($P1920,F_ProductBM!$Q:$Q,0))="","",INDEX(F_ProductBM!I:I,MATCH($P1920,F_ProductBM!$Q:$Q,0))))</f>
        <v/>
      </c>
      <c r="J1920" s="2172" t="str">
        <f>IF($I1789="","",IF(INDEX(F_ProductBM!J:J,MATCH($P1920,F_ProductBM!$Q:$Q,0))="","",INDEX(F_ProductBM!J:J,MATCH($P1920,F_ProductBM!$Q:$Q,0))))</f>
        <v/>
      </c>
      <c r="K1920" s="1788" t="str">
        <f>IF($I1789="","",IF(INDEX(F_ProductBM!K:K,MATCH($P1920,F_ProductBM!$Q:$Q,0))="","",INDEX(F_ProductBM!K:K,MATCH($P1920,F_ProductBM!$Q:$Q,0))))</f>
        <v/>
      </c>
      <c r="L1920" s="1789" t="str">
        <f>IF($I1789="","",IF(INDEX(F_ProductBM!L:L,MATCH($P1920,F_ProductBM!$Q:$Q,0))="","",INDEX(F_ProductBM!L:L,MATCH($P1920,F_ProductBM!$Q:$Q,0))))</f>
        <v/>
      </c>
      <c r="M1920" s="1789" t="str">
        <f>IF($I1789="","",IF(INDEX(F_ProductBM!M:M,MATCH($P1920,F_ProductBM!$Q:$Q,0))="","",INDEX(F_ProductBM!M:M,MATCH($P1920,F_ProductBM!$Q:$Q,0))))</f>
        <v/>
      </c>
      <c r="N1920" s="1789" t="str">
        <f>IF($I1789="","",IF(INDEX(F_ProductBM!N:N,MATCH($P1920,F_ProductBM!$Q:$Q,0))="","",INDEX(F_ProductBM!N:N,MATCH($P1920,F_ProductBM!$Q:$Q,0))))</f>
        <v/>
      </c>
      <c r="O1920" s="485"/>
      <c r="P1920" s="1970" t="str">
        <f>EUconst_CNTR_HeatImportEF &amp; I1789</f>
        <v>HeatImEF_</v>
      </c>
      <c r="Q1920" s="1137"/>
      <c r="R1920" s="1137"/>
      <c r="S1920" s="1137"/>
      <c r="T1920" s="1137"/>
      <c r="U1920" s="1137"/>
      <c r="V1920" s="1137"/>
    </row>
    <row r="1921" spans="1:22" s="562" customFormat="1" ht="5.0999999999999996" customHeight="1">
      <c r="A1921" s="817"/>
      <c r="C1921" s="485"/>
      <c r="D1921" s="776"/>
      <c r="E1921" s="809"/>
      <c r="F1921" s="809"/>
      <c r="G1921" s="813"/>
      <c r="H1921" s="2173"/>
      <c r="I1921" s="2173"/>
      <c r="J1921" s="2173"/>
      <c r="K1921" s="1788"/>
      <c r="L1921" s="1789"/>
      <c r="M1921" s="1789"/>
      <c r="N1921" s="1789"/>
      <c r="O1921" s="485"/>
      <c r="P1921" s="1117"/>
      <c r="Q1921" s="1137"/>
      <c r="R1921" s="1137"/>
      <c r="S1921" s="1137"/>
      <c r="T1921" s="1137"/>
      <c r="U1921" s="1137"/>
      <c r="V1921" s="1137"/>
    </row>
    <row r="1922" spans="1:22" s="562" customFormat="1" ht="12.75" customHeight="1">
      <c r="A1922" s="817"/>
      <c r="C1922" s="485"/>
      <c r="D1922" s="776"/>
      <c r="E1922" s="2475" t="s">
        <v>1150</v>
      </c>
      <c r="F1922" s="3461"/>
      <c r="G1922" s="815" t="str">
        <f>EUconst_TJpa</f>
        <v>TJ / year</v>
      </c>
      <c r="H1922" s="623" t="str">
        <f>IF($I1789="","",IF(INDEX(F_ProductBM!H:H,MATCH($P1922,F_ProductBM!$Q:$Q,0))="","",INDEX(F_ProductBM!H:H,MATCH($P1922,F_ProductBM!$Q:$Q,0))))</f>
        <v/>
      </c>
      <c r="I1922" s="800" t="str">
        <f>IF($I1789="","",IF(INDEX(F_ProductBM!I:I,MATCH($P1922,F_ProductBM!$Q:$Q,0))="","",INDEX(F_ProductBM!I:I,MATCH($P1922,F_ProductBM!$Q:$Q,0))))</f>
        <v/>
      </c>
      <c r="J1922" s="2174" t="str">
        <f>IF($I1789="","",IF(INDEX(F_ProductBM!J:J,MATCH($P1922,F_ProductBM!$Q:$Q,0))="","",INDEX(F_ProductBM!J:J,MATCH($P1922,F_ProductBM!$Q:$Q,0))))</f>
        <v/>
      </c>
      <c r="K1922" s="1788" t="str">
        <f>IF($I1789="","",IF(INDEX(F_ProductBM!K:K,MATCH($P1922,F_ProductBM!$Q:$Q,0))="","",INDEX(F_ProductBM!K:K,MATCH($P1922,F_ProductBM!$Q:$Q,0))))</f>
        <v/>
      </c>
      <c r="L1922" s="1789" t="str">
        <f>IF($I1789="","",IF(INDEX(F_ProductBM!L:L,MATCH($P1922,F_ProductBM!$Q:$Q,0))="","",INDEX(F_ProductBM!L:L,MATCH($P1922,F_ProductBM!$Q:$Q,0))))</f>
        <v/>
      </c>
      <c r="M1922" s="1789" t="str">
        <f>IF($I1789="","",IF(INDEX(F_ProductBM!M:M,MATCH($P1922,F_ProductBM!$Q:$Q,0))="","",INDEX(F_ProductBM!M:M,MATCH($P1922,F_ProductBM!$Q:$Q,0))))</f>
        <v/>
      </c>
      <c r="N1922" s="1789" t="str">
        <f>IF($I1789="","",IF(INDEX(F_ProductBM!N:N,MATCH($P1922,F_ProductBM!$Q:$Q,0))="","",INDEX(F_ProductBM!N:N,MATCH($P1922,F_ProductBM!$Q:$Q,0))))</f>
        <v/>
      </c>
      <c r="O1922" s="485"/>
      <c r="P1922" s="1970" t="str">
        <f>EUconst_CNTR_HeatImportPulp &amp; I1789</f>
        <v>HeatImPulp_</v>
      </c>
      <c r="Q1922" s="1137"/>
      <c r="R1922" s="1137"/>
      <c r="S1922" s="1137"/>
      <c r="T1922" s="1137"/>
      <c r="U1922" s="1137"/>
      <c r="V1922" s="1137"/>
    </row>
    <row r="1923" spans="1:22" s="562" customFormat="1" ht="12.75" customHeight="1">
      <c r="A1923" s="817"/>
      <c r="C1923" s="485"/>
      <c r="D1923" s="776"/>
      <c r="E1923" s="2475" t="s">
        <v>1149</v>
      </c>
      <c r="F1923" s="3461"/>
      <c r="G1923" s="815" t="str">
        <f>EUconst_TJpa</f>
        <v>TJ / year</v>
      </c>
      <c r="H1923" s="623" t="str">
        <f>IF($I1789="","",IF(INDEX(F_ProductBM!H:H,MATCH($P1923,F_ProductBM!$Q:$Q,0))="","",INDEX(F_ProductBM!H:H,MATCH($P1923,F_ProductBM!$Q:$Q,0))))</f>
        <v/>
      </c>
      <c r="I1923" s="800" t="str">
        <f>IF($I1789="","",IF(INDEX(F_ProductBM!I:I,MATCH($P1923,F_ProductBM!$Q:$Q,0))="","",INDEX(F_ProductBM!I:I,MATCH($P1923,F_ProductBM!$Q:$Q,0))))</f>
        <v/>
      </c>
      <c r="J1923" s="2174" t="str">
        <f>IF($I1789="","",IF(INDEX(F_ProductBM!J:J,MATCH($P1923,F_ProductBM!$Q:$Q,0))="","",INDEX(F_ProductBM!J:J,MATCH($P1923,F_ProductBM!$Q:$Q,0))))</f>
        <v/>
      </c>
      <c r="K1923" s="1788" t="str">
        <f>IF($I1789="","",IF(INDEX(F_ProductBM!K:K,MATCH($P1923,F_ProductBM!$Q:$Q,0))="","",INDEX(F_ProductBM!K:K,MATCH($P1923,F_ProductBM!$Q:$Q,0))))</f>
        <v/>
      </c>
      <c r="L1923" s="1789" t="str">
        <f>IF($I1789="","",IF(INDEX(F_ProductBM!L:L,MATCH($P1923,F_ProductBM!$Q:$Q,0))="","",INDEX(F_ProductBM!L:L,MATCH($P1923,F_ProductBM!$Q:$Q,0))))</f>
        <v/>
      </c>
      <c r="M1923" s="1789" t="str">
        <f>IF($I1789="","",IF(INDEX(F_ProductBM!M:M,MATCH($P1923,F_ProductBM!$Q:$Q,0))="","",INDEX(F_ProductBM!M:M,MATCH($P1923,F_ProductBM!$Q:$Q,0))))</f>
        <v/>
      </c>
      <c r="N1923" s="1789" t="str">
        <f>IF($I1789="","",IF(INDEX(F_ProductBM!N:N,MATCH($P1923,F_ProductBM!$Q:$Q,0))="","",INDEX(F_ProductBM!N:N,MATCH($P1923,F_ProductBM!$Q:$Q,0))))</f>
        <v/>
      </c>
      <c r="O1923" s="485"/>
      <c r="P1923" s="1970" t="str">
        <f>EUconst_CNTR_HeatImportNitric &amp; I1789</f>
        <v>HeatImNitric_</v>
      </c>
      <c r="Q1923" s="1137"/>
      <c r="R1923" s="1137"/>
      <c r="S1923" s="1137"/>
      <c r="T1923" s="1137"/>
      <c r="U1923" s="1137"/>
      <c r="V1923" s="1137"/>
    </row>
    <row r="1924" spans="1:22" s="562" customFormat="1" ht="5.0999999999999996" customHeight="1">
      <c r="A1924" s="817"/>
      <c r="C1924" s="485"/>
      <c r="D1924" s="776"/>
      <c r="E1924" s="809"/>
      <c r="F1924" s="809"/>
      <c r="G1924" s="777"/>
      <c r="H1924" s="2173"/>
      <c r="I1924" s="2173"/>
      <c r="J1924" s="2173"/>
      <c r="K1924" s="1788"/>
      <c r="L1924" s="1789"/>
      <c r="M1924" s="1789"/>
      <c r="N1924" s="1789"/>
      <c r="O1924" s="485"/>
      <c r="P1924" s="1117"/>
      <c r="Q1924" s="1137"/>
      <c r="R1924" s="1137"/>
      <c r="S1924" s="1137"/>
      <c r="T1924" s="1137"/>
      <c r="U1924" s="1137"/>
      <c r="V1924" s="1137"/>
    </row>
    <row r="1925" spans="1:22" s="562" customFormat="1" ht="12.75" customHeight="1">
      <c r="A1925" s="817"/>
      <c r="C1925" s="485"/>
      <c r="D1925" s="776"/>
      <c r="E1925" s="2471" t="s">
        <v>1079</v>
      </c>
      <c r="F1925" s="3467"/>
      <c r="G1925" s="811" t="str">
        <f>EUconst_TJpa</f>
        <v>TJ / year</v>
      </c>
      <c r="H1925" s="625" t="str">
        <f>IF($I1789="","",IF(INDEX(F_ProductBM!H:H,MATCH($P1925,F_ProductBM!$Q:$Q,0))="","",INDEX(F_ProductBM!H:H,MATCH($P1925,F_ProductBM!$Q:$Q,0))))</f>
        <v/>
      </c>
      <c r="I1925" s="794" t="str">
        <f>IF($I1789="","",IF(INDEX(F_ProductBM!I:I,MATCH($P1925,F_ProductBM!$Q:$Q,0))="","",INDEX(F_ProductBM!I:I,MATCH($P1925,F_ProductBM!$Q:$Q,0))))</f>
        <v/>
      </c>
      <c r="J1925" s="2171" t="str">
        <f>IF($I1789="","",IF(INDEX(F_ProductBM!J:J,MATCH($P1925,F_ProductBM!$Q:$Q,0))="","",INDEX(F_ProductBM!J:J,MATCH($P1925,F_ProductBM!$Q:$Q,0))))</f>
        <v/>
      </c>
      <c r="K1925" s="1788" t="str">
        <f>IF($I1789="","",IF(INDEX(F_ProductBM!K:K,MATCH($P1925,F_ProductBM!$Q:$Q,0))="","",INDEX(F_ProductBM!K:K,MATCH($P1925,F_ProductBM!$Q:$Q,0))))</f>
        <v/>
      </c>
      <c r="L1925" s="1789" t="str">
        <f>IF($I1789="","",IF(INDEX(F_ProductBM!L:L,MATCH($P1925,F_ProductBM!$Q:$Q,0))="","",INDEX(F_ProductBM!L:L,MATCH($P1925,F_ProductBM!$Q:$Q,0))))</f>
        <v/>
      </c>
      <c r="M1925" s="1789" t="str">
        <f>IF($I1789="","",IF(INDEX(F_ProductBM!M:M,MATCH($P1925,F_ProductBM!$Q:$Q,0))="","",INDEX(F_ProductBM!M:M,MATCH($P1925,F_ProductBM!$Q:$Q,0))))</f>
        <v/>
      </c>
      <c r="N1925" s="1789" t="str">
        <f>IF($I1789="","",IF(INDEX(F_ProductBM!N:N,MATCH($P1925,F_ProductBM!$Q:$Q,0))="","",INDEX(F_ProductBM!N:N,MATCH($P1925,F_ProductBM!$Q:$Q,0))))</f>
        <v/>
      </c>
      <c r="O1925" s="485"/>
      <c r="P1925" s="1970" t="str">
        <f>EUconst_CNTR_HeatExport &amp; I1789</f>
        <v>HeatEx_</v>
      </c>
      <c r="Q1925" s="1137"/>
      <c r="R1925" s="1137"/>
      <c r="S1925" s="1137"/>
      <c r="T1925" s="1137"/>
      <c r="U1925" s="1137"/>
      <c r="V1925" s="1137"/>
    </row>
    <row r="1926" spans="1:22" s="562" customFormat="1" ht="12.75" customHeight="1">
      <c r="A1926" s="817"/>
      <c r="C1926" s="485"/>
      <c r="D1926" s="776"/>
      <c r="E1926" s="2473" t="s">
        <v>1104</v>
      </c>
      <c r="F1926" s="3466"/>
      <c r="G1926" s="812" t="str">
        <f>EUconst_tCO2pTJ</f>
        <v>t CO2 / TJ</v>
      </c>
      <c r="H1926" s="627" t="str">
        <f>IF($I1789="","",IF(INDEX(F_ProductBM!H:H,MATCH($P1926,F_ProductBM!$Q:$Q,0))="","",INDEX(F_ProductBM!H:H,MATCH($P1926,F_ProductBM!$Q:$Q,0))))</f>
        <v/>
      </c>
      <c r="I1926" s="796" t="str">
        <f>IF($I1789="","",IF(INDEX(F_ProductBM!I:I,MATCH($P1926,F_ProductBM!$Q:$Q,0))="","",INDEX(F_ProductBM!I:I,MATCH($P1926,F_ProductBM!$Q:$Q,0))))</f>
        <v/>
      </c>
      <c r="J1926" s="2172" t="str">
        <f>IF($I1789="","",IF(INDEX(F_ProductBM!J:J,MATCH($P1926,F_ProductBM!$Q:$Q,0))="","",INDEX(F_ProductBM!J:J,MATCH($P1926,F_ProductBM!$Q:$Q,0))))</f>
        <v/>
      </c>
      <c r="K1926" s="1788" t="str">
        <f>IF($I1789="","",IF(INDEX(F_ProductBM!K:K,MATCH($P1926,F_ProductBM!$Q:$Q,0))="","",INDEX(F_ProductBM!K:K,MATCH($P1926,F_ProductBM!$Q:$Q,0))))</f>
        <v/>
      </c>
      <c r="L1926" s="1789" t="str">
        <f>IF($I1789="","",IF(INDEX(F_ProductBM!L:L,MATCH($P1926,F_ProductBM!$Q:$Q,0))="","",INDEX(F_ProductBM!L:L,MATCH($P1926,F_ProductBM!$Q:$Q,0))))</f>
        <v/>
      </c>
      <c r="M1926" s="1789" t="str">
        <f>IF($I1789="","",IF(INDEX(F_ProductBM!M:M,MATCH($P1926,F_ProductBM!$Q:$Q,0))="","",INDEX(F_ProductBM!M:M,MATCH($P1926,F_ProductBM!$Q:$Q,0))))</f>
        <v/>
      </c>
      <c r="N1926" s="1789" t="str">
        <f>IF($I1789="","",IF(INDEX(F_ProductBM!N:N,MATCH($P1926,F_ProductBM!$Q:$Q,0))="","",INDEX(F_ProductBM!N:N,MATCH($P1926,F_ProductBM!$Q:$Q,0))))</f>
        <v/>
      </c>
      <c r="O1926" s="485"/>
      <c r="P1926" s="1970" t="str">
        <f>EUconst_CNTR_HeatExportEF &amp; I1789</f>
        <v>HeatExEF_</v>
      </c>
      <c r="Q1926" s="1137"/>
      <c r="R1926" s="1137"/>
      <c r="S1926" s="1137"/>
      <c r="T1926" s="1137"/>
      <c r="U1926" s="1137"/>
      <c r="V1926" s="1137"/>
    </row>
    <row r="1927" spans="1:22" s="562" customFormat="1" ht="5.0999999999999996" customHeight="1">
      <c r="A1927" s="817"/>
      <c r="C1927" s="485"/>
      <c r="D1927" s="776"/>
      <c r="E1927" s="809"/>
      <c r="F1927" s="809"/>
      <c r="G1927" s="777"/>
      <c r="H1927" s="2173"/>
      <c r="I1927" s="2173"/>
      <c r="J1927" s="2173"/>
      <c r="K1927" s="1788"/>
      <c r="L1927" s="1789"/>
      <c r="M1927" s="1789"/>
      <c r="N1927" s="1789"/>
      <c r="O1927" s="485"/>
      <c r="P1927" s="1117"/>
      <c r="Q1927" s="1137"/>
      <c r="R1927" s="1137"/>
      <c r="S1927" s="1137"/>
      <c r="T1927" s="1137"/>
      <c r="U1927" s="1137"/>
      <c r="V1927" s="1137"/>
    </row>
    <row r="1928" spans="1:22" s="562" customFormat="1" ht="12.75" customHeight="1">
      <c r="A1928" s="817"/>
      <c r="C1928" s="485"/>
      <c r="D1928" s="776"/>
      <c r="E1928" s="2471" t="s">
        <v>1141</v>
      </c>
      <c r="F1928" s="3467"/>
      <c r="G1928" s="811" t="str">
        <f>EUconst_TJpa</f>
        <v>TJ / year</v>
      </c>
      <c r="H1928" s="625" t="str">
        <f>IF($I1789="","",IF(INDEX(F_ProductBM!H:H,MATCH($P1928,F_ProductBM!$Q:$Q,0))="","",INDEX(F_ProductBM!H:H,MATCH($P1928,F_ProductBM!$Q:$Q,0))))</f>
        <v/>
      </c>
      <c r="I1928" s="794" t="str">
        <f>IF($I1789="","",IF(INDEX(F_ProductBM!I:I,MATCH($P1928,F_ProductBM!$Q:$Q,0))="","",INDEX(F_ProductBM!I:I,MATCH($P1928,F_ProductBM!$Q:$Q,0))))</f>
        <v/>
      </c>
      <c r="J1928" s="2171" t="str">
        <f>IF($I1789="","",IF(INDEX(F_ProductBM!J:J,MATCH($P1928,F_ProductBM!$Q:$Q,0))="","",INDEX(F_ProductBM!J:J,MATCH($P1928,F_ProductBM!$Q:$Q,0))))</f>
        <v/>
      </c>
      <c r="K1928" s="1788" t="str">
        <f>IF($I1789="","",IF(INDEX(F_ProductBM!K:K,MATCH($P1928,F_ProductBM!$Q:$Q,0))="","",INDEX(F_ProductBM!K:K,MATCH($P1928,F_ProductBM!$Q:$Q,0))))</f>
        <v/>
      </c>
      <c r="L1928" s="1789" t="str">
        <f>IF($I1789="","",IF(INDEX(F_ProductBM!L:L,MATCH($P1928,F_ProductBM!$Q:$Q,0))="","",INDEX(F_ProductBM!L:L,MATCH($P1928,F_ProductBM!$Q:$Q,0))))</f>
        <v/>
      </c>
      <c r="M1928" s="1789" t="str">
        <f>IF($I1789="","",IF(INDEX(F_ProductBM!M:M,MATCH($P1928,F_ProductBM!$Q:$Q,0))="","",INDEX(F_ProductBM!M:M,MATCH($P1928,F_ProductBM!$Q:$Q,0))))</f>
        <v/>
      </c>
      <c r="N1928" s="1789" t="str">
        <f>IF($I1789="","",IF(INDEX(F_ProductBM!N:N,MATCH($P1928,F_ProductBM!$Q:$Q,0))="","",INDEX(F_ProductBM!N:N,MATCH($P1928,F_ProductBM!$Q:$Q,0))))</f>
        <v/>
      </c>
      <c r="O1928" s="485"/>
      <c r="P1928" s="2109" t="str">
        <f>EUconst_CNTR_WGProduced &amp; I1789</f>
        <v>WasteGasProd_</v>
      </c>
      <c r="Q1928" s="1137"/>
      <c r="R1928" s="1137"/>
      <c r="S1928" s="1137"/>
      <c r="T1928" s="1137"/>
      <c r="U1928" s="1137"/>
      <c r="V1928" s="1137"/>
    </row>
    <row r="1929" spans="1:22" s="562" customFormat="1" ht="12.75" customHeight="1">
      <c r="A1929" s="817"/>
      <c r="C1929" s="485"/>
      <c r="D1929" s="776"/>
      <c r="E1929" s="2473" t="s">
        <v>1258</v>
      </c>
      <c r="F1929" s="3466"/>
      <c r="G1929" s="812" t="str">
        <f>EUconst_tCO2pTJ</f>
        <v>t CO2 / TJ</v>
      </c>
      <c r="H1929" s="627" t="str">
        <f>IF($I1789="","",IF(INDEX(F_ProductBM!H:H,MATCH($P1929,F_ProductBM!$Q:$Q,0))="","",INDEX(F_ProductBM!H:H,MATCH($P1929,F_ProductBM!$Q:$Q,0))))</f>
        <v/>
      </c>
      <c r="I1929" s="796" t="str">
        <f>IF($I1789="","",IF(INDEX(F_ProductBM!I:I,MATCH($P1929,F_ProductBM!$Q:$Q,0))="","",INDEX(F_ProductBM!I:I,MATCH($P1929,F_ProductBM!$Q:$Q,0))))</f>
        <v/>
      </c>
      <c r="J1929" s="2172" t="str">
        <f>IF($I1789="","",IF(INDEX(F_ProductBM!J:J,MATCH($P1929,F_ProductBM!$Q:$Q,0))="","",INDEX(F_ProductBM!J:J,MATCH($P1929,F_ProductBM!$Q:$Q,0))))</f>
        <v/>
      </c>
      <c r="K1929" s="1788" t="str">
        <f>IF($I1789="","",IF(INDEX(F_ProductBM!K:K,MATCH($P1929,F_ProductBM!$Q:$Q,0))="","",INDEX(F_ProductBM!K:K,MATCH($P1929,F_ProductBM!$Q:$Q,0))))</f>
        <v/>
      </c>
      <c r="L1929" s="1789" t="str">
        <f>IF($I1789="","",IF(INDEX(F_ProductBM!L:L,MATCH($P1929,F_ProductBM!$Q:$Q,0))="","",INDEX(F_ProductBM!L:L,MATCH($P1929,F_ProductBM!$Q:$Q,0))))</f>
        <v/>
      </c>
      <c r="M1929" s="1789" t="str">
        <f>IF($I1789="","",IF(INDEX(F_ProductBM!M:M,MATCH($P1929,F_ProductBM!$Q:$Q,0))="","",INDEX(F_ProductBM!M:M,MATCH($P1929,F_ProductBM!$Q:$Q,0))))</f>
        <v/>
      </c>
      <c r="N1929" s="1789" t="str">
        <f>IF($I1789="","",IF(INDEX(F_ProductBM!N:N,MATCH($P1929,F_ProductBM!$Q:$Q,0))="","",INDEX(F_ProductBM!N:N,MATCH($P1929,F_ProductBM!$Q:$Q,0))))</f>
        <v/>
      </c>
      <c r="O1929" s="485"/>
      <c r="P1929" s="1970" t="str">
        <f>EUconst_CNTR_WGProducedEF &amp; I1789</f>
        <v>WasteGasProdEF_</v>
      </c>
      <c r="Q1929" s="1137"/>
      <c r="R1929" s="1137"/>
      <c r="S1929" s="1137"/>
      <c r="T1929" s="1137"/>
      <c r="U1929" s="1137"/>
      <c r="V1929" s="1137"/>
    </row>
    <row r="1930" spans="1:22" s="562" customFormat="1" ht="12.75" customHeight="1">
      <c r="A1930" s="817"/>
      <c r="C1930" s="485"/>
      <c r="D1930" s="776"/>
      <c r="E1930" s="2471" t="s">
        <v>1309</v>
      </c>
      <c r="F1930" s="3467"/>
      <c r="G1930" s="811" t="str">
        <f>EUconst_TJpa</f>
        <v>TJ / year</v>
      </c>
      <c r="H1930" s="625" t="str">
        <f>IF($I1789="","",IF(INDEX(F_ProductBM!H:H,MATCH($P1930,F_ProductBM!$Q:$Q,0))="","",INDEX(F_ProductBM!H:H,MATCH($P1930,F_ProductBM!$Q:$Q,0))))</f>
        <v/>
      </c>
      <c r="I1930" s="794" t="str">
        <f>IF($I1789="","",IF(INDEX(F_ProductBM!I:I,MATCH($P1930,F_ProductBM!$Q:$Q,0))="","",INDEX(F_ProductBM!I:I,MATCH($P1930,F_ProductBM!$Q:$Q,0))))</f>
        <v/>
      </c>
      <c r="J1930" s="2171" t="str">
        <f>IF($I1789="","",IF(INDEX(F_ProductBM!J:J,MATCH($P1930,F_ProductBM!$Q:$Q,0))="","",INDEX(F_ProductBM!J:J,MATCH($P1930,F_ProductBM!$Q:$Q,0))))</f>
        <v/>
      </c>
      <c r="K1930" s="1788" t="str">
        <f>IF($I1789="","",IF(INDEX(F_ProductBM!K:K,MATCH($P1930,F_ProductBM!$Q:$Q,0))="","",INDEX(F_ProductBM!K:K,MATCH($P1930,F_ProductBM!$Q:$Q,0))))</f>
        <v/>
      </c>
      <c r="L1930" s="1789" t="str">
        <f>IF($I1789="","",IF(INDEX(F_ProductBM!L:L,MATCH($P1930,F_ProductBM!$Q:$Q,0))="","",INDEX(F_ProductBM!L:L,MATCH($P1930,F_ProductBM!$Q:$Q,0))))</f>
        <v/>
      </c>
      <c r="M1930" s="1789" t="str">
        <f>IF($I1789="","",IF(INDEX(F_ProductBM!M:M,MATCH($P1930,F_ProductBM!$Q:$Q,0))="","",INDEX(F_ProductBM!M:M,MATCH($P1930,F_ProductBM!$Q:$Q,0))))</f>
        <v/>
      </c>
      <c r="N1930" s="1789" t="str">
        <f>IF($I1789="","",IF(INDEX(F_ProductBM!N:N,MATCH($P1930,F_ProductBM!$Q:$Q,0))="","",INDEX(F_ProductBM!N:N,MATCH($P1930,F_ProductBM!$Q:$Q,0))))</f>
        <v/>
      </c>
      <c r="O1930" s="485"/>
      <c r="P1930" s="1970" t="str">
        <f>EUconst_CNTR_WGConsumed &amp; I1789</f>
        <v>WasteGasCons_</v>
      </c>
      <c r="Q1930" s="1137"/>
      <c r="R1930" s="1137"/>
      <c r="S1930" s="1137"/>
      <c r="T1930" s="1137"/>
      <c r="U1930" s="1137"/>
      <c r="V1930" s="1137"/>
    </row>
    <row r="1931" spans="1:22" s="562" customFormat="1" ht="12.75" customHeight="1">
      <c r="A1931" s="817"/>
      <c r="C1931" s="485"/>
      <c r="D1931" s="776"/>
      <c r="E1931" s="2473" t="s">
        <v>1307</v>
      </c>
      <c r="F1931" s="3466"/>
      <c r="G1931" s="812" t="str">
        <f>EUconst_tCO2pTJ</f>
        <v>t CO2 / TJ</v>
      </c>
      <c r="H1931" s="627" t="str">
        <f>IF($I1789="","",IF(INDEX(F_ProductBM!H:H,MATCH($P1931,F_ProductBM!$Q:$Q,0))="","",INDEX(F_ProductBM!H:H,MATCH($P1931,F_ProductBM!$Q:$Q,0))))</f>
        <v/>
      </c>
      <c r="I1931" s="796" t="str">
        <f>IF($I1789="","",IF(INDEX(F_ProductBM!I:I,MATCH($P1931,F_ProductBM!$Q:$Q,0))="","",INDEX(F_ProductBM!I:I,MATCH($P1931,F_ProductBM!$Q:$Q,0))))</f>
        <v/>
      </c>
      <c r="J1931" s="2172" t="str">
        <f>IF($I1789="","",IF(INDEX(F_ProductBM!J:J,MATCH($P1931,F_ProductBM!$Q:$Q,0))="","",INDEX(F_ProductBM!J:J,MATCH($P1931,F_ProductBM!$Q:$Q,0))))</f>
        <v/>
      </c>
      <c r="K1931" s="1788" t="str">
        <f>IF($I1789="","",IF(INDEX(F_ProductBM!K:K,MATCH($P1931,F_ProductBM!$Q:$Q,0))="","",INDEX(F_ProductBM!K:K,MATCH($P1931,F_ProductBM!$Q:$Q,0))))</f>
        <v/>
      </c>
      <c r="L1931" s="1789" t="str">
        <f>IF($I1789="","",IF(INDEX(F_ProductBM!L:L,MATCH($P1931,F_ProductBM!$Q:$Q,0))="","",INDEX(F_ProductBM!L:L,MATCH($P1931,F_ProductBM!$Q:$Q,0))))</f>
        <v/>
      </c>
      <c r="M1931" s="1789" t="str">
        <f>IF($I1789="","",IF(INDEX(F_ProductBM!M:M,MATCH($P1931,F_ProductBM!$Q:$Q,0))="","",INDEX(F_ProductBM!M:M,MATCH($P1931,F_ProductBM!$Q:$Q,0))))</f>
        <v/>
      </c>
      <c r="N1931" s="1789" t="str">
        <f>IF($I1789="","",IF(INDEX(F_ProductBM!N:N,MATCH($P1931,F_ProductBM!$Q:$Q,0))="","",INDEX(F_ProductBM!N:N,MATCH($P1931,F_ProductBM!$Q:$Q,0))))</f>
        <v/>
      </c>
      <c r="O1931" s="485"/>
      <c r="P1931" s="1970" t="str">
        <f>EUconst_CNTR_WGConsumedEF &amp; I1789</f>
        <v>WasteGasConsEF_</v>
      </c>
      <c r="Q1931" s="1137"/>
      <c r="R1931" s="1137"/>
      <c r="S1931" s="1137"/>
      <c r="T1931" s="1137"/>
      <c r="U1931" s="1137"/>
      <c r="V1931" s="1137"/>
    </row>
    <row r="1932" spans="1:22" s="562" customFormat="1" ht="12.75" customHeight="1">
      <c r="A1932" s="817"/>
      <c r="C1932" s="485"/>
      <c r="D1932" s="776"/>
      <c r="E1932" s="2471" t="s">
        <v>1288</v>
      </c>
      <c r="F1932" s="3467"/>
      <c r="G1932" s="811" t="str">
        <f>EUconst_TJpa</f>
        <v>TJ / year</v>
      </c>
      <c r="H1932" s="625" t="str">
        <f>IF($I1789="","",IF(INDEX(F_ProductBM!H:H,MATCH($P1932,F_ProductBM!$Q:$Q,0))="","",INDEX(F_ProductBM!H:H,MATCH($P1932,F_ProductBM!$Q:$Q,0))))</f>
        <v/>
      </c>
      <c r="I1932" s="794" t="str">
        <f>IF($I1789="","",IF(INDEX(F_ProductBM!I:I,MATCH($P1932,F_ProductBM!$Q:$Q,0))="","",INDEX(F_ProductBM!I:I,MATCH($P1932,F_ProductBM!$Q:$Q,0))))</f>
        <v/>
      </c>
      <c r="J1932" s="2171" t="str">
        <f>IF($I1789="","",IF(INDEX(F_ProductBM!J:J,MATCH($P1932,F_ProductBM!$Q:$Q,0))="","",INDEX(F_ProductBM!J:J,MATCH($P1932,F_ProductBM!$Q:$Q,0))))</f>
        <v/>
      </c>
      <c r="K1932" s="1788" t="str">
        <f>IF($I1789="","",IF(INDEX(F_ProductBM!K:K,MATCH($P1932,F_ProductBM!$Q:$Q,0))="","",INDEX(F_ProductBM!K:K,MATCH($P1932,F_ProductBM!$Q:$Q,0))))</f>
        <v/>
      </c>
      <c r="L1932" s="1789" t="str">
        <f>IF($I1789="","",IF(INDEX(F_ProductBM!L:L,MATCH($P1932,F_ProductBM!$Q:$Q,0))="","",INDEX(F_ProductBM!L:L,MATCH($P1932,F_ProductBM!$Q:$Q,0))))</f>
        <v/>
      </c>
      <c r="M1932" s="1789" t="str">
        <f>IF($I1789="","",IF(INDEX(F_ProductBM!M:M,MATCH($P1932,F_ProductBM!$Q:$Q,0))="","",INDEX(F_ProductBM!M:M,MATCH($P1932,F_ProductBM!$Q:$Q,0))))</f>
        <v/>
      </c>
      <c r="N1932" s="1789" t="str">
        <f>IF($I1789="","",IF(INDEX(F_ProductBM!N:N,MATCH($P1932,F_ProductBM!$Q:$Q,0))="","",INDEX(F_ProductBM!N:N,MATCH($P1932,F_ProductBM!$Q:$Q,0))))</f>
        <v/>
      </c>
      <c r="O1932" s="485"/>
      <c r="P1932" s="1970" t="str">
        <f>EUconst_CNTR_WGFlared &amp; I1789</f>
        <v>WasteGasFlare_</v>
      </c>
      <c r="Q1932" s="1137"/>
      <c r="R1932" s="1137"/>
      <c r="S1932" s="1137"/>
      <c r="T1932" s="1137"/>
      <c r="U1932" s="1137"/>
      <c r="V1932" s="1137"/>
    </row>
    <row r="1933" spans="1:22" s="562" customFormat="1" ht="12.75" customHeight="1">
      <c r="A1933" s="817"/>
      <c r="C1933" s="485"/>
      <c r="D1933" s="776"/>
      <c r="E1933" s="2473" t="s">
        <v>1308</v>
      </c>
      <c r="F1933" s="3466"/>
      <c r="G1933" s="812" t="str">
        <f>EUconst_tCO2pTJ</f>
        <v>t CO2 / TJ</v>
      </c>
      <c r="H1933" s="627" t="str">
        <f>IF($I1789="","",IF(INDEX(F_ProductBM!H:H,MATCH($P1933,F_ProductBM!$Q:$Q,0))="","",INDEX(F_ProductBM!H:H,MATCH($P1933,F_ProductBM!$Q:$Q,0))))</f>
        <v/>
      </c>
      <c r="I1933" s="796" t="str">
        <f>IF($I1789="","",IF(INDEX(F_ProductBM!I:I,MATCH($P1933,F_ProductBM!$Q:$Q,0))="","",INDEX(F_ProductBM!I:I,MATCH($P1933,F_ProductBM!$Q:$Q,0))))</f>
        <v/>
      </c>
      <c r="J1933" s="2172" t="str">
        <f>IF($I1789="","",IF(INDEX(F_ProductBM!J:J,MATCH($P1933,F_ProductBM!$Q:$Q,0))="","",INDEX(F_ProductBM!J:J,MATCH($P1933,F_ProductBM!$Q:$Q,0))))</f>
        <v/>
      </c>
      <c r="K1933" s="1788" t="str">
        <f>IF($I1789="","",IF(INDEX(F_ProductBM!K:K,MATCH($P1933,F_ProductBM!$Q:$Q,0))="","",INDEX(F_ProductBM!K:K,MATCH($P1933,F_ProductBM!$Q:$Q,0))))</f>
        <v/>
      </c>
      <c r="L1933" s="1789" t="str">
        <f>IF($I1789="","",IF(INDEX(F_ProductBM!L:L,MATCH($P1933,F_ProductBM!$Q:$Q,0))="","",INDEX(F_ProductBM!L:L,MATCH($P1933,F_ProductBM!$Q:$Q,0))))</f>
        <v/>
      </c>
      <c r="M1933" s="1789" t="str">
        <f>IF($I1789="","",IF(INDEX(F_ProductBM!M:M,MATCH($P1933,F_ProductBM!$Q:$Q,0))="","",INDEX(F_ProductBM!M:M,MATCH($P1933,F_ProductBM!$Q:$Q,0))))</f>
        <v/>
      </c>
      <c r="N1933" s="1789" t="str">
        <f>IF($I1789="","",IF(INDEX(F_ProductBM!N:N,MATCH($P1933,F_ProductBM!$Q:$Q,0))="","",INDEX(F_ProductBM!N:N,MATCH($P1933,F_ProductBM!$Q:$Q,0))))</f>
        <v/>
      </c>
      <c r="O1933" s="485"/>
      <c r="P1933" s="1970" t="str">
        <f>EUconst_CNTR_WGFlaredEF &amp; I1789</f>
        <v>WasteGasFlareEF_</v>
      </c>
      <c r="Q1933" s="1137"/>
      <c r="R1933" s="1137"/>
      <c r="S1933" s="1137"/>
      <c r="T1933" s="1137"/>
      <c r="U1933" s="1137"/>
      <c r="V1933" s="1137"/>
    </row>
    <row r="1934" spans="1:22" s="562" customFormat="1" ht="12.75" customHeight="1">
      <c r="A1934" s="817"/>
      <c r="C1934" s="485"/>
      <c r="D1934" s="776"/>
      <c r="E1934" s="2471" t="s">
        <v>1102</v>
      </c>
      <c r="F1934" s="3467"/>
      <c r="G1934" s="811" t="str">
        <f>EUconst_TJpa</f>
        <v>TJ / year</v>
      </c>
      <c r="H1934" s="625" t="str">
        <f>IF($I1789="","",IF(INDEX(F_ProductBM!H:H,MATCH($P1934,F_ProductBM!$Q:$Q,0))="","",INDEX(F_ProductBM!H:H,MATCH($P1934,F_ProductBM!$Q:$Q,0))))</f>
        <v/>
      </c>
      <c r="I1934" s="794" t="str">
        <f>IF($I1789="","",IF(INDEX(F_ProductBM!I:I,MATCH($P1934,F_ProductBM!$Q:$Q,0))="","",INDEX(F_ProductBM!I:I,MATCH($P1934,F_ProductBM!$Q:$Q,0))))</f>
        <v/>
      </c>
      <c r="J1934" s="2171" t="str">
        <f>IF($I1789="","",IF(INDEX(F_ProductBM!J:J,MATCH($P1934,F_ProductBM!$Q:$Q,0))="","",INDEX(F_ProductBM!J:J,MATCH($P1934,F_ProductBM!$Q:$Q,0))))</f>
        <v/>
      </c>
      <c r="K1934" s="1788" t="str">
        <f>IF($I1789="","",IF(INDEX(F_ProductBM!K:K,MATCH($P1934,F_ProductBM!$Q:$Q,0))="","",INDEX(F_ProductBM!K:K,MATCH($P1934,F_ProductBM!$Q:$Q,0))))</f>
        <v/>
      </c>
      <c r="L1934" s="1789" t="str">
        <f>IF($I1789="","",IF(INDEX(F_ProductBM!L:L,MATCH($P1934,F_ProductBM!$Q:$Q,0))="","",INDEX(F_ProductBM!L:L,MATCH($P1934,F_ProductBM!$Q:$Q,0))))</f>
        <v/>
      </c>
      <c r="M1934" s="1789" t="str">
        <f>IF($I1789="","",IF(INDEX(F_ProductBM!M:M,MATCH($P1934,F_ProductBM!$Q:$Q,0))="","",INDEX(F_ProductBM!M:M,MATCH($P1934,F_ProductBM!$Q:$Q,0))))</f>
        <v/>
      </c>
      <c r="N1934" s="1789" t="str">
        <f>IF($I1789="","",IF(INDEX(F_ProductBM!N:N,MATCH($P1934,F_ProductBM!$Q:$Q,0))="","",INDEX(F_ProductBM!N:N,MATCH($P1934,F_ProductBM!$Q:$Q,0))))</f>
        <v/>
      </c>
      <c r="O1934" s="485"/>
      <c r="P1934" s="1970" t="str">
        <f>EUconst_CNTR_WGImport &amp; I1789</f>
        <v>WasteGasIm_</v>
      </c>
      <c r="Q1934" s="1137"/>
      <c r="R1934" s="1137"/>
      <c r="S1934" s="1137"/>
      <c r="T1934" s="1137"/>
      <c r="U1934" s="1137"/>
      <c r="V1934" s="1137"/>
    </row>
    <row r="1935" spans="1:22" s="562" customFormat="1" ht="12.75" customHeight="1">
      <c r="A1935" s="817"/>
      <c r="C1935" s="485"/>
      <c r="D1935" s="776"/>
      <c r="E1935" s="816" t="s">
        <v>1275</v>
      </c>
      <c r="F1935" s="816"/>
      <c r="G1935" s="812" t="str">
        <f>EUconst_tCO2pTJ</f>
        <v>t CO2 / TJ</v>
      </c>
      <c r="H1935" s="627" t="str">
        <f>IF($I1789="","",IF(INDEX(F_ProductBM!H:H,MATCH($P1935,F_ProductBM!$Q:$Q,0))="","",INDEX(F_ProductBM!H:H,MATCH($P1935,F_ProductBM!$Q:$Q,0))))</f>
        <v/>
      </c>
      <c r="I1935" s="796" t="str">
        <f>IF($I1789="","",IF(INDEX(F_ProductBM!I:I,MATCH($P1935,F_ProductBM!$Q:$Q,0))="","",INDEX(F_ProductBM!I:I,MATCH($P1935,F_ProductBM!$Q:$Q,0))))</f>
        <v/>
      </c>
      <c r="J1935" s="2172" t="str">
        <f>IF($I1789="","",IF(INDEX(F_ProductBM!J:J,MATCH($P1935,F_ProductBM!$Q:$Q,0))="","",INDEX(F_ProductBM!J:J,MATCH($P1935,F_ProductBM!$Q:$Q,0))))</f>
        <v/>
      </c>
      <c r="K1935" s="1788" t="str">
        <f>IF($I1789="","",IF(INDEX(F_ProductBM!K:K,MATCH($P1935,F_ProductBM!$Q:$Q,0))="","",INDEX(F_ProductBM!K:K,MATCH($P1935,F_ProductBM!$Q:$Q,0))))</f>
        <v/>
      </c>
      <c r="L1935" s="1789" t="str">
        <f>IF($I1789="","",IF(INDEX(F_ProductBM!L:L,MATCH($P1935,F_ProductBM!$Q:$Q,0))="","",INDEX(F_ProductBM!L:L,MATCH($P1935,F_ProductBM!$Q:$Q,0))))</f>
        <v/>
      </c>
      <c r="M1935" s="1789" t="str">
        <f>IF($I1789="","",IF(INDEX(F_ProductBM!M:M,MATCH($P1935,F_ProductBM!$Q:$Q,0))="","",INDEX(F_ProductBM!M:M,MATCH($P1935,F_ProductBM!$Q:$Q,0))))</f>
        <v/>
      </c>
      <c r="N1935" s="1789" t="str">
        <f>IF($I1789="","",IF(INDEX(F_ProductBM!N:N,MATCH($P1935,F_ProductBM!$Q:$Q,0))="","",INDEX(F_ProductBM!N:N,MATCH($P1935,F_ProductBM!$Q:$Q,0))))</f>
        <v/>
      </c>
      <c r="O1935" s="485"/>
      <c r="P1935" s="1970" t="str">
        <f>EUconst_CNTR_WGImportEF &amp; I1789</f>
        <v>WasteGasImEF_</v>
      </c>
      <c r="Q1935" s="1137"/>
      <c r="R1935" s="1137"/>
      <c r="S1935" s="1137"/>
      <c r="T1935" s="1137"/>
      <c r="U1935" s="1137"/>
      <c r="V1935" s="1137"/>
    </row>
    <row r="1936" spans="1:22" s="562" customFormat="1" ht="12.75" customHeight="1">
      <c r="A1936" s="817"/>
      <c r="C1936" s="485"/>
      <c r="D1936" s="776"/>
      <c r="E1936" s="2471" t="s">
        <v>1080</v>
      </c>
      <c r="F1936" s="3467"/>
      <c r="G1936" s="811" t="str">
        <f>EUconst_TJpa</f>
        <v>TJ / year</v>
      </c>
      <c r="H1936" s="625" t="str">
        <f>IF($I1789="","",IF(INDEX(F_ProductBM!H:H,MATCH($P1936,F_ProductBM!$Q:$Q,0))="","",INDEX(F_ProductBM!H:H,MATCH($P1936,F_ProductBM!$Q:$Q,0))))</f>
        <v/>
      </c>
      <c r="I1936" s="794" t="str">
        <f>IF($I1789="","",IF(INDEX(F_ProductBM!I:I,MATCH($P1936,F_ProductBM!$Q:$Q,0))="","",INDEX(F_ProductBM!I:I,MATCH($P1936,F_ProductBM!$Q:$Q,0))))</f>
        <v/>
      </c>
      <c r="J1936" s="2171" t="str">
        <f>IF($I1789="","",IF(INDEX(F_ProductBM!J:J,MATCH($P1936,F_ProductBM!$Q:$Q,0))="","",INDEX(F_ProductBM!J:J,MATCH($P1936,F_ProductBM!$Q:$Q,0))))</f>
        <v/>
      </c>
      <c r="K1936" s="1788" t="str">
        <f>IF($I1789="","",IF(INDEX(F_ProductBM!K:K,MATCH($P1936,F_ProductBM!$Q:$Q,0))="","",INDEX(F_ProductBM!K:K,MATCH($P1936,F_ProductBM!$Q:$Q,0))))</f>
        <v/>
      </c>
      <c r="L1936" s="1789" t="str">
        <f>IF($I1789="","",IF(INDEX(F_ProductBM!L:L,MATCH($P1936,F_ProductBM!$Q:$Q,0))="","",INDEX(F_ProductBM!L:L,MATCH($P1936,F_ProductBM!$Q:$Q,0))))</f>
        <v/>
      </c>
      <c r="M1936" s="1789" t="str">
        <f>IF($I1789="","",IF(INDEX(F_ProductBM!M:M,MATCH($P1936,F_ProductBM!$Q:$Q,0))="","",INDEX(F_ProductBM!M:M,MATCH($P1936,F_ProductBM!$Q:$Q,0))))</f>
        <v/>
      </c>
      <c r="N1936" s="1789" t="str">
        <f>IF($I1789="","",IF(INDEX(F_ProductBM!N:N,MATCH($P1936,F_ProductBM!$Q:$Q,0))="","",INDEX(F_ProductBM!N:N,MATCH($P1936,F_ProductBM!$Q:$Q,0))))</f>
        <v/>
      </c>
      <c r="O1936" s="485"/>
      <c r="P1936" s="1970" t="str">
        <f>EUconst_CNTR_WGExport &amp; I1789</f>
        <v>WasteGasEx_</v>
      </c>
      <c r="Q1936" s="1137"/>
      <c r="R1936" s="1137"/>
      <c r="S1936" s="1137"/>
      <c r="T1936" s="1137"/>
      <c r="U1936" s="1137"/>
      <c r="V1936" s="1137"/>
    </row>
    <row r="1937" spans="1:22" s="562" customFormat="1" ht="12.75" customHeight="1">
      <c r="A1937" s="817"/>
      <c r="C1937" s="485"/>
      <c r="D1937" s="776"/>
      <c r="E1937" s="2473" t="s">
        <v>1276</v>
      </c>
      <c r="F1937" s="3466"/>
      <c r="G1937" s="812" t="str">
        <f>EUconst_tCO2pTJ</f>
        <v>t CO2 / TJ</v>
      </c>
      <c r="H1937" s="627" t="str">
        <f>IF($I1789="","",IF(INDEX(F_ProductBM!H:H,MATCH($P1937,F_ProductBM!$Q:$Q,0))="","",INDEX(F_ProductBM!H:H,MATCH($P1937,F_ProductBM!$Q:$Q,0))))</f>
        <v/>
      </c>
      <c r="I1937" s="796" t="str">
        <f>IF($I1789="","",IF(INDEX(F_ProductBM!I:I,MATCH($P1937,F_ProductBM!$Q:$Q,0))="","",INDEX(F_ProductBM!I:I,MATCH($P1937,F_ProductBM!$Q:$Q,0))))</f>
        <v/>
      </c>
      <c r="J1937" s="2172" t="str">
        <f>IF($I1789="","",IF(INDEX(F_ProductBM!J:J,MATCH($P1937,F_ProductBM!$Q:$Q,0))="","",INDEX(F_ProductBM!J:J,MATCH($P1937,F_ProductBM!$Q:$Q,0))))</f>
        <v/>
      </c>
      <c r="K1937" s="1788" t="str">
        <f>IF($I1789="","",IF(INDEX(F_ProductBM!K:K,MATCH($P1937,F_ProductBM!$Q:$Q,0))="","",INDEX(F_ProductBM!K:K,MATCH($P1937,F_ProductBM!$Q:$Q,0))))</f>
        <v/>
      </c>
      <c r="L1937" s="1789" t="str">
        <f>IF($I1789="","",IF(INDEX(F_ProductBM!L:L,MATCH($P1937,F_ProductBM!$Q:$Q,0))="","",INDEX(F_ProductBM!L:L,MATCH($P1937,F_ProductBM!$Q:$Q,0))))</f>
        <v/>
      </c>
      <c r="M1937" s="1789" t="str">
        <f>IF($I1789="","",IF(INDEX(F_ProductBM!M:M,MATCH($P1937,F_ProductBM!$Q:$Q,0))="","",INDEX(F_ProductBM!M:M,MATCH($P1937,F_ProductBM!$Q:$Q,0))))</f>
        <v/>
      </c>
      <c r="N1937" s="1789" t="str">
        <f>IF($I1789="","",IF(INDEX(F_ProductBM!N:N,MATCH($P1937,F_ProductBM!$Q:$Q,0))="","",INDEX(F_ProductBM!N:N,MATCH($P1937,F_ProductBM!$Q:$Q,0))))</f>
        <v/>
      </c>
      <c r="O1937" s="485"/>
      <c r="P1937" s="1970" t="str">
        <f>EUconst_CNTR_WGExportEF &amp; I1789</f>
        <v>WasteGasExEF_</v>
      </c>
      <c r="Q1937" s="1137"/>
      <c r="R1937" s="1137"/>
      <c r="S1937" s="1137"/>
      <c r="T1937" s="1137"/>
      <c r="U1937" s="1137"/>
      <c r="V1937" s="1137"/>
    </row>
    <row r="1938" spans="1:22" s="562" customFormat="1" ht="5.0999999999999996" customHeight="1">
      <c r="A1938" s="817"/>
      <c r="C1938" s="485"/>
      <c r="D1938" s="776"/>
      <c r="E1938" s="809"/>
      <c r="F1938" s="809"/>
      <c r="G1938" s="777"/>
      <c r="H1938" s="2173"/>
      <c r="I1938" s="2173"/>
      <c r="J1938" s="2173"/>
      <c r="K1938" s="1788"/>
      <c r="L1938" s="1789"/>
      <c r="M1938" s="1789"/>
      <c r="N1938" s="1789"/>
      <c r="O1938" s="485"/>
      <c r="P1938" s="1117"/>
      <c r="Q1938" s="1137"/>
      <c r="R1938" s="1137"/>
      <c r="S1938" s="1137"/>
      <c r="T1938" s="1137"/>
      <c r="U1938" s="1137"/>
      <c r="V1938" s="1137"/>
    </row>
    <row r="1939" spans="1:22" s="562" customFormat="1" ht="12.75" customHeight="1">
      <c r="A1939" s="817"/>
      <c r="C1939" s="485"/>
      <c r="D1939" s="776"/>
      <c r="E1939" s="2475" t="s">
        <v>914</v>
      </c>
      <c r="F1939" s="3461"/>
      <c r="G1939" s="815" t="str">
        <f>EUconst_MWhpa</f>
        <v>MWh / year</v>
      </c>
      <c r="H1939" s="623" t="str">
        <f>IF($I1789="","",IF(INDEX(F_ProductBM!H:H,MATCH($P1939,F_ProductBM!$R:$R,0))="","",INDEX(F_ProductBM!H:H,MATCH($P1939,F_ProductBM!$R:$R,0))))</f>
        <v/>
      </c>
      <c r="I1939" s="800" t="str">
        <f>IF($I1789="","",IF(INDEX(F_ProductBM!I:I,MATCH($P1939,F_ProductBM!$R:$R,0))="","",INDEX(F_ProductBM!I:I,MATCH($P1939,F_ProductBM!$R:$R,0))))</f>
        <v/>
      </c>
      <c r="J1939" s="2174" t="str">
        <f>IF($I1789="","",IF(INDEX(F_ProductBM!J:J,MATCH($P1939,F_ProductBM!$R:$R,0))="","",INDEX(F_ProductBM!J:J,MATCH($P1939,F_ProductBM!$R:$R,0))))</f>
        <v/>
      </c>
      <c r="K1939" s="1788" t="str">
        <f>IF($I1789="","",IF(INDEX(F_ProductBM!K:K,MATCH($P1939,F_ProductBM!$R:$R,0))="","",INDEX(F_ProductBM!K:K,MATCH($P1939,F_ProductBM!$R:$R,0))))</f>
        <v/>
      </c>
      <c r="L1939" s="1789" t="str">
        <f>IF($I1789="","",IF(INDEX(F_ProductBM!L:L,MATCH($P1939,F_ProductBM!$R:$R,0))="","",INDEX(F_ProductBM!L:L,MATCH($P1939,F_ProductBM!$R:$R,0))))</f>
        <v/>
      </c>
      <c r="M1939" s="1789" t="str">
        <f>IF($I1789="","",IF(INDEX(F_ProductBM!M:M,MATCH($P1939,F_ProductBM!$R:$R,0))="","",INDEX(F_ProductBM!M:M,MATCH($P1939,F_ProductBM!$R:$R,0))))</f>
        <v/>
      </c>
      <c r="N1939" s="1789" t="str">
        <f>IF($I1789="","",IF(INDEX(F_ProductBM!N:N,MATCH($P1939,F_ProductBM!$R:$R,0))="","",INDEX(F_ProductBM!N:N,MATCH($P1939,F_ProductBM!$R:$R,0))))</f>
        <v/>
      </c>
      <c r="O1939" s="485"/>
      <c r="P1939" s="1158" t="str">
        <f>EUconst_CNTR_HAL&amp;EUconst_CNTR_ELEXCH &amp; I1789</f>
        <v>HAL_ELEXCH_</v>
      </c>
      <c r="Q1939" s="1137"/>
      <c r="R1939" s="1137"/>
      <c r="S1939" s="1137"/>
      <c r="T1939" s="1137"/>
      <c r="U1939" s="1137"/>
      <c r="V1939" s="1137"/>
    </row>
    <row r="1940" spans="1:22" s="562" customFormat="1" ht="12.75" customHeight="1">
      <c r="A1940" s="817"/>
      <c r="C1940" s="485"/>
      <c r="D1940" s="776"/>
      <c r="E1940" s="2475" t="s">
        <v>1354</v>
      </c>
      <c r="F1940" s="3461"/>
      <c r="G1940" s="815" t="str">
        <f>EUconst_MWhpa</f>
        <v>MWh / year</v>
      </c>
      <c r="H1940" s="623" t="str">
        <f>IF($I1789="","",IF(INDEX(F_ProductBM!H:H,MATCH($P1940,F_ProductBM!$Q:$Q,0))="","",INDEX(F_ProductBM!H:H,MATCH($P1940,F_ProductBM!$Q:$Q,0))))</f>
        <v/>
      </c>
      <c r="I1940" s="800" t="str">
        <f>IF($I1789="","",IF(INDEX(F_ProductBM!I:I,MATCH($P1940,F_ProductBM!$Q:$Q,0))="","",INDEX(F_ProductBM!I:I,MATCH($P1940,F_ProductBM!$Q:$Q,0))))</f>
        <v/>
      </c>
      <c r="J1940" s="2174" t="str">
        <f>IF($I1789="","",IF(INDEX(F_ProductBM!J:J,MATCH($P1940,F_ProductBM!$Q:$Q,0))="","",INDEX(F_ProductBM!J:J,MATCH($P1940,F_ProductBM!$Q:$Q,0))))</f>
        <v/>
      </c>
      <c r="K1940" s="1788" t="str">
        <f>IF($I1789="","",IF(INDEX(F_ProductBM!K:K,MATCH($P1940,F_ProductBM!$Q:$Q,0))="","",INDEX(F_ProductBM!K:K,MATCH($P1940,F_ProductBM!$Q:$Q,0))))</f>
        <v/>
      </c>
      <c r="L1940" s="1789" t="str">
        <f>IF($I1789="","",IF(INDEX(F_ProductBM!L:L,MATCH($P1940,F_ProductBM!$Q:$Q,0))="","",INDEX(F_ProductBM!L:L,MATCH($P1940,F_ProductBM!$Q:$Q,0))))</f>
        <v/>
      </c>
      <c r="M1940" s="1789" t="str">
        <f>IF($I1789="","",IF(INDEX(F_ProductBM!M:M,MATCH($P1940,F_ProductBM!$Q:$Q,0))="","",INDEX(F_ProductBM!M:M,MATCH($P1940,F_ProductBM!$Q:$Q,0))))</f>
        <v/>
      </c>
      <c r="N1940" s="1789" t="str">
        <f>IF($I1789="","",IF(INDEX(F_ProductBM!N:N,MATCH($P1940,F_ProductBM!$Q:$Q,0))="","",INDEX(F_ProductBM!N:N,MATCH($P1940,F_ProductBM!$Q:$Q,0))))</f>
        <v/>
      </c>
      <c r="O1940" s="485"/>
      <c r="P1940" s="1970" t="str">
        <f>EUconst_CNTR_ElectricityExported &amp; I1789</f>
        <v>ElecEx_</v>
      </c>
      <c r="Q1940" s="1137"/>
      <c r="R1940" s="1137"/>
      <c r="S1940" s="1137"/>
      <c r="T1940" s="1137"/>
      <c r="U1940" s="1137"/>
      <c r="V1940" s="1137"/>
    </row>
    <row r="1941" spans="1:22" s="562" customFormat="1" ht="5.0999999999999996" customHeight="1">
      <c r="A1941" s="817"/>
      <c r="C1941" s="485"/>
      <c r="D1941" s="776"/>
      <c r="E1941" s="809"/>
      <c r="F1941" s="809"/>
      <c r="G1941" s="777"/>
      <c r="H1941" s="2173"/>
      <c r="I1941" s="2173"/>
      <c r="J1941" s="2173"/>
      <c r="K1941" s="1788"/>
      <c r="L1941" s="1789"/>
      <c r="M1941" s="1789"/>
      <c r="N1941" s="1789"/>
      <c r="O1941" s="485"/>
      <c r="P1941" s="1117"/>
      <c r="Q1941" s="1137"/>
      <c r="R1941" s="1137"/>
      <c r="S1941" s="1137"/>
      <c r="T1941" s="1137"/>
      <c r="U1941" s="1137"/>
      <c r="V1941" s="1137"/>
    </row>
    <row r="1942" spans="1:22" s="562" customFormat="1" ht="12.75" customHeight="1">
      <c r="A1942" s="817"/>
      <c r="C1942" s="485"/>
      <c r="D1942" s="776"/>
      <c r="E1942" s="2475" t="s">
        <v>1157</v>
      </c>
      <c r="F1942" s="3461"/>
      <c r="G1942" s="815" t="str">
        <f>EUconst_Tons</f>
        <v>tonnes</v>
      </c>
      <c r="H1942" s="623" t="str">
        <f>IF($I1789="","",IF(INDEX(F_ProductBM!H:H,MATCH($P1942,F_ProductBM!$Q:$Q,0))="","",INDEX(F_ProductBM!H:H,MATCH($P1942,F_ProductBM!$Q:$Q,0))))</f>
        <v/>
      </c>
      <c r="I1942" s="800" t="str">
        <f>IF($I1789="","",IF(INDEX(F_ProductBM!I:I,MATCH($P1942,F_ProductBM!$Q:$Q,0))="","",INDEX(F_ProductBM!I:I,MATCH($P1942,F_ProductBM!$Q:$Q,0))))</f>
        <v/>
      </c>
      <c r="J1942" s="2174" t="str">
        <f>IF($I1789="","",IF(INDEX(F_ProductBM!J:J,MATCH($P1942,F_ProductBM!$Q:$Q,0))="","",INDEX(F_ProductBM!J:J,MATCH($P1942,F_ProductBM!$Q:$Q,0))))</f>
        <v/>
      </c>
      <c r="K1942" s="1788" t="str">
        <f>IF($I1789="","",IF(INDEX(F_ProductBM!K:K,MATCH($P1942,F_ProductBM!$Q:$Q,0))="","",INDEX(F_ProductBM!K:K,MATCH($P1942,F_ProductBM!$Q:$Q,0))))</f>
        <v/>
      </c>
      <c r="L1942" s="1789" t="str">
        <f>IF($I1789="","",IF(INDEX(F_ProductBM!L:L,MATCH($P1942,F_ProductBM!$Q:$Q,0))="","",INDEX(F_ProductBM!L:L,MATCH($P1942,F_ProductBM!$Q:$Q,0))))</f>
        <v/>
      </c>
      <c r="M1942" s="1789" t="str">
        <f>IF($I1789="","",IF(INDEX(F_ProductBM!M:M,MATCH($P1942,F_ProductBM!$Q:$Q,0))="","",INDEX(F_ProductBM!M:M,MATCH($P1942,F_ProductBM!$Q:$Q,0))))</f>
        <v/>
      </c>
      <c r="N1942" s="1789" t="str">
        <f>IF($I1789="","",IF(INDEX(F_ProductBM!N:N,MATCH($P1942,F_ProductBM!$Q:$Q,0))="","",INDEX(F_ProductBM!N:N,MATCH($P1942,F_ProductBM!$Q:$Q,0))))</f>
        <v/>
      </c>
      <c r="O1942" s="485"/>
      <c r="P1942" s="1970" t="str">
        <f>EUconst_CNTR_HALPulpTotal &amp; I1789</f>
        <v>HALPulpTotal_</v>
      </c>
      <c r="Q1942" s="1137"/>
      <c r="R1942" s="1137"/>
      <c r="S1942" s="1137"/>
      <c r="T1942" s="1137"/>
      <c r="U1942" s="1137"/>
      <c r="V1942" s="1137"/>
    </row>
    <row r="1943" spans="1:22" s="562" customFormat="1" ht="5.0999999999999996" customHeight="1">
      <c r="A1943" s="817"/>
      <c r="C1943" s="485"/>
      <c r="D1943" s="776"/>
      <c r="E1943" s="809"/>
      <c r="F1943" s="809"/>
      <c r="G1943" s="777"/>
      <c r="H1943" s="2173"/>
      <c r="I1943" s="2173"/>
      <c r="J1943" s="2173"/>
      <c r="K1943" s="1788"/>
      <c r="L1943" s="1789"/>
      <c r="M1943" s="1789"/>
      <c r="N1943" s="1789"/>
      <c r="O1943" s="485"/>
      <c r="P1943" s="1117"/>
      <c r="Q1943" s="1137"/>
      <c r="R1943" s="1137"/>
      <c r="S1943" s="1137"/>
      <c r="T1943" s="1137"/>
      <c r="U1943" s="1137"/>
      <c r="V1943" s="1137"/>
    </row>
    <row r="1944" spans="1:22" s="562" customFormat="1">
      <c r="A1944" s="817"/>
      <c r="C1944" s="485"/>
      <c r="D1944" s="776"/>
      <c r="E1944" s="2492" t="s">
        <v>1440</v>
      </c>
      <c r="F1944" s="3284"/>
      <c r="G1944" s="777"/>
      <c r="H1944" s="2173"/>
      <c r="I1944" s="2173"/>
      <c r="J1944" s="2173"/>
      <c r="K1944" s="1788"/>
      <c r="L1944" s="1789"/>
      <c r="M1944" s="1789"/>
      <c r="N1944" s="1789"/>
      <c r="O1944" s="485"/>
      <c r="P1944" s="1117"/>
      <c r="Q1944" s="1137"/>
      <c r="R1944" s="1137"/>
      <c r="S1944" s="1137"/>
      <c r="T1944" s="1137"/>
      <c r="U1944" s="1137"/>
      <c r="V1944" s="1137"/>
    </row>
    <row r="1945" spans="1:22" s="562" customFormat="1">
      <c r="A1945" s="817"/>
      <c r="C1945" s="485"/>
      <c r="D1945" s="776"/>
      <c r="E1945" s="3285" t="str">
        <f>IF(I1789="","",IF(INDEX(F_ProductBM!E:E,MATCH($P1945,F_ProductBM!$Q:$Q,0))="","",INDEX(F_ProductBM!E:E,MATCH($P1945,F_ProductBM!$Q:$Q,0))))</f>
        <v/>
      </c>
      <c r="F1945" s="3461"/>
      <c r="G1945" s="815" t="str">
        <f>EUconst_Tons</f>
        <v>tonnes</v>
      </c>
      <c r="H1945" s="623" t="str">
        <f>IF($I1789="","",IF(INDEX(F_ProductBM!H:H,MATCH($P1945,F_ProductBM!$Q:$Q,0))="","",INDEX(F_ProductBM!H:H,MATCH($P1945,F_ProductBM!$Q:$Q,0))))</f>
        <v/>
      </c>
      <c r="I1945" s="800" t="str">
        <f>IF($I1789="","",IF(INDEX(F_ProductBM!I:I,MATCH($P1945,F_ProductBM!$Q:$Q,0))="","",INDEX(F_ProductBM!I:I,MATCH($P1945,F_ProductBM!$Q:$Q,0))))</f>
        <v/>
      </c>
      <c r="J1945" s="2174" t="str">
        <f>IF($I1789="","",IF(INDEX(F_ProductBM!J:J,MATCH($P1945,F_ProductBM!$Q:$Q,0))="","",INDEX(F_ProductBM!J:J,MATCH($P1945,F_ProductBM!$Q:$Q,0))))</f>
        <v/>
      </c>
      <c r="K1945" s="1788" t="str">
        <f>IF($I1789="","",IF(INDEX(F_ProductBM!K:K,MATCH($P1945,F_ProductBM!$Q:$Q,0))="","",INDEX(F_ProductBM!K:K,MATCH($P1945,F_ProductBM!$Q:$Q,0))))</f>
        <v/>
      </c>
      <c r="L1945" s="1789" t="str">
        <f>IF($I1789="","",IF(INDEX(F_ProductBM!L:L,MATCH($P1945,F_ProductBM!$Q:$Q,0))="","",INDEX(F_ProductBM!L:L,MATCH($P1945,F_ProductBM!$Q:$Q,0))))</f>
        <v/>
      </c>
      <c r="M1945" s="1789" t="str">
        <f>IF($I1789="","",IF(INDEX(F_ProductBM!M:M,MATCH($P1945,F_ProductBM!$Q:$Q,0))="","",INDEX(F_ProductBM!M:M,MATCH($P1945,F_ProductBM!$Q:$Q,0))))</f>
        <v/>
      </c>
      <c r="N1945" s="1789" t="str">
        <f>IF($I1789="","",IF(INDEX(F_ProductBM!N:N,MATCH($P1945,F_ProductBM!$Q:$Q,0))="","",INDEX(F_ProductBM!N:N,MATCH($P1945,F_ProductBM!$Q:$Q,0))))</f>
        <v/>
      </c>
      <c r="O1945" s="485"/>
      <c r="P1945" s="1970" t="str">
        <f>EUconst_CNTR_IntermediateImport &amp; R1945 &amp; "_" &amp; I1789</f>
        <v>IntImp_1_</v>
      </c>
      <c r="Q1945" s="1137"/>
      <c r="R1945" s="1312">
        <v>1</v>
      </c>
      <c r="S1945" s="1137"/>
      <c r="T1945" s="1137"/>
      <c r="U1945" s="1137"/>
      <c r="V1945" s="1137"/>
    </row>
    <row r="1946" spans="1:22" s="562" customFormat="1">
      <c r="A1946" s="817"/>
      <c r="C1946" s="485"/>
      <c r="D1946" s="776"/>
      <c r="E1946" s="3285" t="str">
        <f>IF(I1789="","",IF(INDEX(F_ProductBM!E:E,MATCH($P1946,F_ProductBM!$Q:$Q,0))="","",INDEX(F_ProductBM!E:E,MATCH($P1946,F_ProductBM!$Q:$Q,0))))</f>
        <v/>
      </c>
      <c r="F1946" s="3461"/>
      <c r="G1946" s="815" t="str">
        <f>EUconst_Tons</f>
        <v>tonnes</v>
      </c>
      <c r="H1946" s="623" t="str">
        <f>IF($I1789="","",IF(INDEX(F_ProductBM!H:H,MATCH($P1946,F_ProductBM!$Q:$Q,0))="","",INDEX(F_ProductBM!H:H,MATCH($P1946,F_ProductBM!$Q:$Q,0))))</f>
        <v/>
      </c>
      <c r="I1946" s="800" t="str">
        <f>IF($I1789="","",IF(INDEX(F_ProductBM!I:I,MATCH($P1946,F_ProductBM!$Q:$Q,0))="","",INDEX(F_ProductBM!I:I,MATCH($P1946,F_ProductBM!$Q:$Q,0))))</f>
        <v/>
      </c>
      <c r="J1946" s="2174" t="str">
        <f>IF($I1789="","",IF(INDEX(F_ProductBM!J:J,MATCH($P1946,F_ProductBM!$Q:$Q,0))="","",INDEX(F_ProductBM!J:J,MATCH($P1946,F_ProductBM!$Q:$Q,0))))</f>
        <v/>
      </c>
      <c r="K1946" s="1788" t="str">
        <f>IF($I1789="","",IF(INDEX(F_ProductBM!K:K,MATCH($P1946,F_ProductBM!$Q:$Q,0))="","",INDEX(F_ProductBM!K:K,MATCH($P1946,F_ProductBM!$Q:$Q,0))))</f>
        <v/>
      </c>
      <c r="L1946" s="1789" t="str">
        <f>IF($I1789="","",IF(INDEX(F_ProductBM!L:L,MATCH($P1946,F_ProductBM!$Q:$Q,0))="","",INDEX(F_ProductBM!L:L,MATCH($P1946,F_ProductBM!$Q:$Q,0))))</f>
        <v/>
      </c>
      <c r="M1946" s="1789" t="str">
        <f>IF($I1789="","",IF(INDEX(F_ProductBM!M:M,MATCH($P1946,F_ProductBM!$Q:$Q,0))="","",INDEX(F_ProductBM!M:M,MATCH($P1946,F_ProductBM!$Q:$Q,0))))</f>
        <v/>
      </c>
      <c r="N1946" s="1789" t="str">
        <f>IF($I1789="","",IF(INDEX(F_ProductBM!N:N,MATCH($P1946,F_ProductBM!$Q:$Q,0))="","",INDEX(F_ProductBM!N:N,MATCH($P1946,F_ProductBM!$Q:$Q,0))))</f>
        <v/>
      </c>
      <c r="O1946" s="485"/>
      <c r="P1946" s="1970" t="str">
        <f>EUconst_CNTR_IntermediateImport &amp; R1946 &amp; "_" &amp; I1789</f>
        <v>IntImp_2_</v>
      </c>
      <c r="Q1946" s="1137"/>
      <c r="R1946" s="1312">
        <v>2</v>
      </c>
      <c r="S1946" s="1137"/>
      <c r="T1946" s="1137"/>
      <c r="U1946" s="1137"/>
      <c r="V1946" s="1137"/>
    </row>
    <row r="1947" spans="1:22" s="562" customFormat="1">
      <c r="A1947" s="817"/>
      <c r="C1947" s="485"/>
      <c r="D1947" s="776"/>
      <c r="E1947" s="2475" t="s">
        <v>1441</v>
      </c>
      <c r="F1947" s="3461"/>
      <c r="G1947" s="777"/>
      <c r="H1947" s="2173"/>
      <c r="I1947" s="2173"/>
      <c r="J1947" s="2173"/>
      <c r="K1947" s="1788"/>
      <c r="L1947" s="1789"/>
      <c r="M1947" s="1789"/>
      <c r="N1947" s="1789"/>
      <c r="O1947" s="485"/>
      <c r="P1947" s="1117"/>
      <c r="Q1947" s="1137"/>
      <c r="R1947" s="1137"/>
      <c r="S1947" s="1137"/>
      <c r="T1947" s="1137"/>
      <c r="U1947" s="1137"/>
      <c r="V1947" s="1137"/>
    </row>
    <row r="1948" spans="1:22" s="562" customFormat="1">
      <c r="A1948" s="817"/>
      <c r="C1948" s="485"/>
      <c r="D1948" s="776"/>
      <c r="E1948" s="3285" t="str">
        <f>IF(I1789="","",IF(INDEX(F_ProductBM!E:E,MATCH($P1948,F_ProductBM!$Q:$Q,0))="","",INDEX(F_ProductBM!E:E,MATCH($P1948,F_ProductBM!$Q:$Q,0))))</f>
        <v/>
      </c>
      <c r="F1948" s="3461"/>
      <c r="G1948" s="815" t="str">
        <f>EUconst_Tons</f>
        <v>tonnes</v>
      </c>
      <c r="H1948" s="623" t="str">
        <f>IF($I1789="","",IF(INDEX(F_ProductBM!H:H,MATCH($P1948,F_ProductBM!$Q:$Q,0))="","",INDEX(F_ProductBM!H:H,MATCH($P1948,F_ProductBM!$Q:$Q,0))))</f>
        <v/>
      </c>
      <c r="I1948" s="800" t="str">
        <f>IF($I1789="","",IF(INDEX(F_ProductBM!I:I,MATCH($P1948,F_ProductBM!$Q:$Q,0))="","",INDEX(F_ProductBM!I:I,MATCH($P1948,F_ProductBM!$Q:$Q,0))))</f>
        <v/>
      </c>
      <c r="J1948" s="2174" t="str">
        <f>IF($I1789="","",IF(INDEX(F_ProductBM!J:J,MATCH($P1948,F_ProductBM!$Q:$Q,0))="","",INDEX(F_ProductBM!J:J,MATCH($P1948,F_ProductBM!$Q:$Q,0))))</f>
        <v/>
      </c>
      <c r="K1948" s="1788" t="str">
        <f>IF($I1789="","",IF(INDEX(F_ProductBM!K:K,MATCH($P1948,F_ProductBM!$Q:$Q,0))="","",INDEX(F_ProductBM!K:K,MATCH($P1948,F_ProductBM!$Q:$Q,0))))</f>
        <v/>
      </c>
      <c r="L1948" s="1789" t="str">
        <f>IF($I1789="","",IF(INDEX(F_ProductBM!L:L,MATCH($P1948,F_ProductBM!$Q:$Q,0))="","",INDEX(F_ProductBM!L:L,MATCH($P1948,F_ProductBM!$Q:$Q,0))))</f>
        <v/>
      </c>
      <c r="M1948" s="1789" t="str">
        <f>IF($I1789="","",IF(INDEX(F_ProductBM!M:M,MATCH($P1948,F_ProductBM!$Q:$Q,0))="","",INDEX(F_ProductBM!M:M,MATCH($P1948,F_ProductBM!$Q:$Q,0))))</f>
        <v/>
      </c>
      <c r="N1948" s="1789" t="str">
        <f>IF($I1789="","",IF(INDEX(F_ProductBM!N:N,MATCH($P1948,F_ProductBM!$Q:$Q,0))="","",INDEX(F_ProductBM!N:N,MATCH($P1948,F_ProductBM!$Q:$Q,0))))</f>
        <v/>
      </c>
      <c r="O1948" s="485"/>
      <c r="P1948" s="1970" t="str">
        <f>EUconst_CNTR_IntermediateExport &amp; R1945 &amp; "_" &amp; I1789</f>
        <v>IntExp_1_</v>
      </c>
      <c r="Q1948" s="1137"/>
      <c r="R1948" s="1312">
        <v>1</v>
      </c>
      <c r="S1948" s="1137"/>
      <c r="T1948" s="1137"/>
      <c r="U1948" s="1137"/>
      <c r="V1948" s="1137"/>
    </row>
    <row r="1949" spans="1:22" s="562" customFormat="1">
      <c r="A1949" s="817"/>
      <c r="C1949" s="485"/>
      <c r="D1949" s="776"/>
      <c r="E1949" s="3285" t="str">
        <f>IF(I1789="","",IF(INDEX(F_ProductBM!E:E,MATCH($P1949,F_ProductBM!$Q:$Q,0))="","",INDEX(F_ProductBM!E:E,MATCH($P1949,F_ProductBM!$Q:$Q,0))))</f>
        <v/>
      </c>
      <c r="F1949" s="3461"/>
      <c r="G1949" s="815" t="str">
        <f>EUconst_Tons</f>
        <v>tonnes</v>
      </c>
      <c r="H1949" s="623" t="str">
        <f>IF($I1789="","",IF(INDEX(F_ProductBM!H:H,MATCH($P1949,F_ProductBM!$Q:$Q,0))="","",INDEX(F_ProductBM!H:H,MATCH($P1949,F_ProductBM!$Q:$Q,0))))</f>
        <v/>
      </c>
      <c r="I1949" s="800" t="str">
        <f>IF($I1789="","",IF(INDEX(F_ProductBM!I:I,MATCH($P1949,F_ProductBM!$Q:$Q,0))="","",INDEX(F_ProductBM!I:I,MATCH($P1949,F_ProductBM!$Q:$Q,0))))</f>
        <v/>
      </c>
      <c r="J1949" s="2174" t="str">
        <f>IF($I1789="","",IF(INDEX(F_ProductBM!J:J,MATCH($P1949,F_ProductBM!$Q:$Q,0))="","",INDEX(F_ProductBM!J:J,MATCH($P1949,F_ProductBM!$Q:$Q,0))))</f>
        <v/>
      </c>
      <c r="K1949" s="1788" t="str">
        <f>IF($I1789="","",IF(INDEX(F_ProductBM!K:K,MATCH($P1949,F_ProductBM!$Q:$Q,0))="","",INDEX(F_ProductBM!K:K,MATCH($P1949,F_ProductBM!$Q:$Q,0))))</f>
        <v/>
      </c>
      <c r="L1949" s="1789" t="str">
        <f>IF($I1789="","",IF(INDEX(F_ProductBM!L:L,MATCH($P1949,F_ProductBM!$Q:$Q,0))="","",INDEX(F_ProductBM!L:L,MATCH($P1949,F_ProductBM!$Q:$Q,0))))</f>
        <v/>
      </c>
      <c r="M1949" s="1789" t="str">
        <f>IF($I1789="","",IF(INDEX(F_ProductBM!M:M,MATCH($P1949,F_ProductBM!$Q:$Q,0))="","",INDEX(F_ProductBM!M:M,MATCH($P1949,F_ProductBM!$Q:$Q,0))))</f>
        <v/>
      </c>
      <c r="N1949" s="1789" t="str">
        <f>IF($I1789="","",IF(INDEX(F_ProductBM!N:N,MATCH($P1949,F_ProductBM!$Q:$Q,0))="","",INDEX(F_ProductBM!N:N,MATCH($P1949,F_ProductBM!$Q:$Q,0))))</f>
        <v/>
      </c>
      <c r="O1949" s="485"/>
      <c r="P1949" s="1970" t="str">
        <f>EUconst_CNTR_IntermediateExport &amp; R1949 &amp; "_" &amp; I1789</f>
        <v>IntExp_2_</v>
      </c>
      <c r="Q1949" s="1137"/>
      <c r="R1949" s="1312">
        <v>2</v>
      </c>
      <c r="S1949" s="1137"/>
      <c r="T1949" s="1137"/>
      <c r="U1949" s="1137"/>
      <c r="V1949" s="1137"/>
    </row>
    <row r="1950" spans="1:22" s="562" customFormat="1" ht="12.75" customHeight="1" thickBot="1">
      <c r="A1950" s="817"/>
      <c r="C1950" s="485"/>
      <c r="D1950" s="802"/>
      <c r="E1950" s="803"/>
      <c r="F1950" s="803"/>
      <c r="G1950" s="804"/>
      <c r="H1950" s="804"/>
      <c r="I1950" s="805"/>
      <c r="J1950" s="805"/>
      <c r="K1950" s="1790"/>
      <c r="L1950" s="1791"/>
      <c r="M1950" s="1791"/>
      <c r="N1950" s="1791"/>
      <c r="O1950" s="485"/>
      <c r="P1950" s="1117"/>
      <c r="Q1950" s="1137"/>
      <c r="R1950" s="1137"/>
      <c r="S1950" s="1137"/>
      <c r="T1950" s="1137"/>
      <c r="U1950" s="1137"/>
      <c r="V1950" s="1137"/>
    </row>
    <row r="1951" spans="1:22" s="562" customFormat="1" ht="5.0999999999999996" customHeight="1" thickBot="1">
      <c r="A1951" s="817"/>
      <c r="C1951" s="485"/>
      <c r="D1951" s="485"/>
      <c r="E1951" s="807"/>
      <c r="O1951" s="485"/>
      <c r="P1951" s="1137"/>
      <c r="Q1951" s="1137"/>
      <c r="R1951" s="1137"/>
      <c r="S1951" s="1137"/>
      <c r="T1951" s="1137"/>
      <c r="U1951" s="1137"/>
      <c r="V1951" s="1137"/>
    </row>
    <row r="1952" spans="1:22" s="562" customFormat="1" ht="5.0999999999999996" customHeight="1" thickBot="1">
      <c r="A1952" s="817"/>
      <c r="C1952" s="2118"/>
      <c r="D1952" s="2118"/>
      <c r="E1952" s="2118"/>
      <c r="F1952" s="2118"/>
      <c r="G1952" s="2118"/>
      <c r="H1952" s="2118"/>
      <c r="I1952" s="2118"/>
      <c r="J1952" s="2118"/>
      <c r="K1952" s="2118"/>
      <c r="L1952" s="2118"/>
      <c r="M1952" s="2118"/>
      <c r="N1952" s="2118"/>
      <c r="O1952" s="485"/>
      <c r="P1952" s="1137"/>
      <c r="Q1952" s="1137"/>
      <c r="R1952" s="1137"/>
      <c r="S1952" s="1137"/>
      <c r="T1952" s="1137"/>
      <c r="U1952" s="1137"/>
      <c r="V1952" s="1137"/>
    </row>
    <row r="1953" spans="1:22" s="562" customFormat="1" ht="15" customHeight="1" thickBot="1">
      <c r="A1953" s="719"/>
      <c r="B1953" s="485"/>
      <c r="C1953" s="559">
        <f>C1789+1</f>
        <v>10</v>
      </c>
      <c r="D1953" s="2482" t="str">
        <f>CONCATENATE(EUconst_BMSubinst," ",C1953, ":")</f>
        <v>Sub-installation with product benchmark 10:</v>
      </c>
      <c r="E1953" s="2482"/>
      <c r="F1953" s="2482"/>
      <c r="G1953" s="2482"/>
      <c r="H1953" s="2483"/>
      <c r="I1953" s="3293" t="str">
        <f>IF(INDEX(CNTR_SubInstListIsProdBM,$C1953),INDEX(CNTR_SubInstListNames,$C1953),"")</f>
        <v/>
      </c>
      <c r="J1953" s="3471"/>
      <c r="K1953" s="3471"/>
      <c r="L1953" s="3471"/>
      <c r="M1953" s="3471"/>
      <c r="N1953" s="3472"/>
      <c r="O1953" s="485"/>
      <c r="P1953" s="1137"/>
      <c r="Q1953" s="2123">
        <f>C1953</f>
        <v>10</v>
      </c>
      <c r="R1953" s="2124" t="str">
        <f>I1953</f>
        <v/>
      </c>
      <c r="S1953" s="1137"/>
      <c r="T1953" s="1137"/>
      <c r="U1953" s="1137"/>
      <c r="V1953" s="1137"/>
    </row>
    <row r="1954" spans="1:22" s="562" customFormat="1" ht="5.0999999999999996" customHeight="1">
      <c r="A1954" s="719"/>
      <c r="B1954" s="485"/>
      <c r="C1954" s="559"/>
      <c r="D1954" s="559"/>
      <c r="E1954" s="559"/>
      <c r="F1954" s="559"/>
      <c r="G1954" s="559"/>
      <c r="H1954" s="559"/>
      <c r="I1954" s="559"/>
      <c r="J1954" s="559"/>
      <c r="K1954" s="559"/>
      <c r="L1954" s="559"/>
      <c r="M1954" s="559"/>
      <c r="N1954" s="559"/>
      <c r="O1954" s="485"/>
      <c r="P1954" s="1137"/>
      <c r="Q1954" s="1137"/>
      <c r="R1954" s="1137"/>
      <c r="S1954" s="1137"/>
      <c r="T1954" s="1137"/>
      <c r="U1954" s="1137"/>
      <c r="V1954" s="1137"/>
    </row>
    <row r="1955" spans="1:22" s="562" customFormat="1" ht="12.75" customHeight="1">
      <c r="A1955" s="719"/>
      <c r="B1955" s="485"/>
      <c r="C1955" s="559"/>
      <c r="D1955" s="559"/>
      <c r="E1955" s="559"/>
      <c r="F1955" s="559"/>
      <c r="H1955" s="688" t="s">
        <v>458</v>
      </c>
      <c r="I1955" s="688" t="s">
        <v>1256</v>
      </c>
      <c r="J1955" s="688" t="s">
        <v>1434</v>
      </c>
      <c r="K1955" s="688" t="s">
        <v>1684</v>
      </c>
      <c r="L1955" s="689" t="s">
        <v>156</v>
      </c>
      <c r="M1955" s="2469" t="s">
        <v>302</v>
      </c>
      <c r="N1955" s="2469"/>
      <c r="O1955" s="485"/>
      <c r="P1955" s="1137"/>
      <c r="Q1955" s="1137"/>
      <c r="R1955" s="1137"/>
      <c r="S1955" s="1137"/>
      <c r="T1955" s="2175"/>
      <c r="U1955" s="1137"/>
      <c r="V1955" s="1137"/>
    </row>
    <row r="1956" spans="1:22" s="562" customFormat="1" ht="12.75" customHeight="1">
      <c r="A1956" s="719"/>
      <c r="B1956" s="485"/>
      <c r="C1956" s="559"/>
      <c r="D1956" s="559"/>
      <c r="E1956" s="690" t="str">
        <f>I1953</f>
        <v/>
      </c>
      <c r="F1956" s="691"/>
      <c r="G1956" s="691"/>
      <c r="H1956" s="692" t="str">
        <f>IF(L1956=EUconst_NA,EUconst_NA,INDEX(EUconst_BMlistCLstatus,L1956))</f>
        <v>N.A.</v>
      </c>
      <c r="I1956" s="692" t="str">
        <f>IF(I1953="","",INDEX(EUconst_BMlistElExchangability,L1956))</f>
        <v/>
      </c>
      <c r="J1956" s="566" t="str">
        <f>IF($I1953="",EUconst_NA,INDEX(CNTR_SubInstStartDate,MATCH(I1953,CNTR_SubInstListNames,0)))</f>
        <v>N.A.</v>
      </c>
      <c r="K1956" s="566" t="str">
        <f>IF($I1953="",EUconst_NA,IF(INDEX(CNTR_SubInstCessationDate,MATCH(I1953,CNTR_SubInstListNames,0))=0,"",INDEX(CNTR_SubInstCessationDate,MATCH(I1953,CNTR_SubInstListNames,0))))</f>
        <v>N.A.</v>
      </c>
      <c r="L1956" s="693" t="str">
        <f>IF($I1953="",EUconst_NA,MATCH(I1953,EUconst_BMlistNames,0))</f>
        <v>N.A.</v>
      </c>
      <c r="M1956" s="694" t="str">
        <f>IF(I1953="",EUconst_NA,INDEX(EUconst_BMlistBMvaluesMatrix,L1956,3))</f>
        <v>N.A.</v>
      </c>
      <c r="N1956" s="685" t="str">
        <f>EUconst_EUA &amp; "/" &amp; F1959</f>
        <v>UKA/tonnes</v>
      </c>
      <c r="O1956" s="485"/>
      <c r="P1956" s="1137"/>
      <c r="Q1956" s="1137"/>
      <c r="R1956" s="1137"/>
      <c r="S1956" s="1137"/>
      <c r="T1956" s="2175"/>
      <c r="U1956" s="1137"/>
      <c r="V1956" s="1137"/>
    </row>
    <row r="1957" spans="1:22" s="562" customFormat="1" ht="5.0999999999999996" customHeight="1" thickBot="1">
      <c r="A1957" s="719"/>
      <c r="B1957" s="485"/>
      <c r="C1957" s="485"/>
      <c r="D1957" s="485"/>
      <c r="E1957" s="559"/>
      <c r="J1957" s="485"/>
      <c r="K1957" s="485"/>
      <c r="L1957" s="485"/>
      <c r="M1957" s="485"/>
      <c r="N1957" s="485"/>
      <c r="O1957" s="485"/>
      <c r="P1957" s="1137"/>
      <c r="Q1957" s="1137"/>
      <c r="R1957" s="1137"/>
      <c r="S1957" s="1137"/>
      <c r="T1957" s="1117"/>
      <c r="U1957" s="1137"/>
      <c r="V1957" s="1137"/>
    </row>
    <row r="1958" spans="1:22" s="562" customFormat="1" ht="12.75" customHeight="1">
      <c r="A1958" s="719"/>
      <c r="B1958" s="485"/>
      <c r="C1958" s="485"/>
      <c r="D1958" s="485"/>
      <c r="E1958" s="496"/>
      <c r="F1958" s="482" t="str">
        <f>EUconst_Unit</f>
        <v>Unit</v>
      </c>
      <c r="G1958" s="695" t="s">
        <v>1646</v>
      </c>
      <c r="H1958" s="696">
        <f t="shared" ref="H1958:N1958" si="146">H$2737</f>
        <v>2024</v>
      </c>
      <c r="I1958" s="697">
        <f t="shared" si="146"/>
        <v>2025</v>
      </c>
      <c r="J1958" s="2125">
        <f t="shared" si="146"/>
        <v>2026</v>
      </c>
      <c r="K1958" s="1489">
        <f t="shared" si="146"/>
        <v>2027</v>
      </c>
      <c r="L1958" s="1490">
        <f t="shared" si="146"/>
        <v>2028</v>
      </c>
      <c r="M1958" s="1490">
        <f t="shared" si="146"/>
        <v>2029</v>
      </c>
      <c r="N1958" s="1490">
        <f t="shared" si="146"/>
        <v>2030</v>
      </c>
      <c r="O1958" s="485"/>
      <c r="P1958" s="1137"/>
      <c r="Q1958" s="1137" t="s">
        <v>1803</v>
      </c>
      <c r="R1958" s="2126">
        <f>J$2737</f>
        <v>2026</v>
      </c>
      <c r="S1958" s="2127">
        <f>K$2737</f>
        <v>2027</v>
      </c>
      <c r="T1958" s="2127">
        <f>L$2737</f>
        <v>2028</v>
      </c>
      <c r="U1958" s="2127">
        <f>M$2737</f>
        <v>2029</v>
      </c>
      <c r="V1958" s="2128">
        <f>N$2737</f>
        <v>2030</v>
      </c>
    </row>
    <row r="1959" spans="1:22" s="562" customFormat="1" ht="12.75" customHeight="1" thickBot="1">
      <c r="A1959" s="719"/>
      <c r="B1959" s="485"/>
      <c r="C1959" s="485"/>
      <c r="D1959" s="485"/>
      <c r="E1959" s="698" t="s">
        <v>1665</v>
      </c>
      <c r="F1959" s="699" t="str">
        <f>IF(ISNUMBER(L1956),INDEX(EUconst_BMlistUnits,L1956),EUconst_Tons)</f>
        <v>tonnes</v>
      </c>
      <c r="G1959" s="700" t="str">
        <f>I2062</f>
        <v/>
      </c>
      <c r="H1959" s="701" t="str">
        <f>IF($I1953="","",IF(H1958&gt;=CNTR_ReportingYear,"",INDEX(F_ProductBM!H:H,MATCH($P1959,F_ProductBM!$Q:$Q,0))))</f>
        <v/>
      </c>
      <c r="I1959" s="702" t="str">
        <f>IF($I1953="","",IF(I1958&gt;=CNTR_ReportingYear,"",INDEX(F_ProductBM!I:I,MATCH($P1959,F_ProductBM!$Q:$Q,0))))</f>
        <v/>
      </c>
      <c r="J1959" s="2129" t="str">
        <f>IF($I1953="","",IF(J1958&gt;=CNTR_ReportingYear,"",INDEX(F_ProductBM!J:J,MATCH($P1959,F_ProductBM!$Q:$Q,0))))</f>
        <v/>
      </c>
      <c r="K1959" s="2072" t="str">
        <f>IF($I1953="","",IF(K1958&gt;=CNTR_ReportingYear,"",INDEX(F_ProductBM!K:K,MATCH($P1959,F_ProductBM!$Q:$Q,0))))</f>
        <v/>
      </c>
      <c r="L1959" s="2073" t="str">
        <f>IF($I1953="","",IF(L1958&gt;=CNTR_ReportingYear,"",INDEX(F_ProductBM!L:L,MATCH($P1959,F_ProductBM!$Q:$Q,0))))</f>
        <v/>
      </c>
      <c r="M1959" s="2073" t="str">
        <f>IF($I1953="","",IF(M1958&gt;=CNTR_ReportingYear,"",INDEX(F_ProductBM!M:M,MATCH($P1959,F_ProductBM!$Q:$Q,0))))</f>
        <v/>
      </c>
      <c r="N1959" s="2073" t="str">
        <f>IF($I1953="","",IF(N1958&gt;=CNTR_ReportingYear,"",INDEX(F_ProductBM!N:N,MATCH($P1959,F_ProductBM!$Q:$Q,0))))</f>
        <v/>
      </c>
      <c r="O1959" s="485"/>
      <c r="P1959" s="1158" t="str">
        <f>EUconst_CNTR_HAL&amp;I1953</f>
        <v>HAL_</v>
      </c>
      <c r="Q1959" s="1137"/>
      <c r="R1959" s="1961" t="b">
        <f>AND($I1953&lt;&gt;"",R1958&lt;=CNTR_ReportingYear,IF($J1956&lt;&gt;EUconst_NA,R1958&gt;=YEAR($J1956),TRUE))</f>
        <v>0</v>
      </c>
      <c r="S1959" s="1675" t="b">
        <f>AND($I1953&lt;&gt;"",S1958&lt;=CNTR_ReportingYear,IF($J1956&lt;&gt;EUconst_NA,S1958&gt;=YEAR($J1956),TRUE))</f>
        <v>0</v>
      </c>
      <c r="T1959" s="1675" t="b">
        <f>AND($I1953&lt;&gt;"",T1958&lt;=CNTR_ReportingYear,IF($J1956&lt;&gt;EUconst_NA,T1958&gt;=YEAR($J1956),TRUE))</f>
        <v>0</v>
      </c>
      <c r="U1959" s="1675" t="b">
        <f>AND($I1953&lt;&gt;"",U1958&lt;=CNTR_ReportingYear,IF($J1956&lt;&gt;EUconst_NA,U1958&gt;=YEAR($J1956),TRUE))</f>
        <v>0</v>
      </c>
      <c r="V1959" s="1676" t="b">
        <f>AND($I1953&lt;&gt;"",V1958&lt;=CNTR_ReportingYear,IF($J1956&lt;&gt;EUconst_NA,V1958&gt;=YEAR($J1956),TRUE))</f>
        <v>0</v>
      </c>
    </row>
    <row r="1960" spans="1:22" s="562" customFormat="1" ht="5.0999999999999996" customHeight="1" thickBot="1">
      <c r="A1960" s="719"/>
      <c r="B1960" s="485"/>
      <c r="C1960" s="559"/>
      <c r="D1960" s="559"/>
      <c r="E1960" s="559"/>
      <c r="F1960" s="559"/>
      <c r="G1960" s="559"/>
      <c r="H1960" s="559"/>
      <c r="I1960" s="559"/>
      <c r="J1960" s="559"/>
      <c r="K1960" s="2130"/>
      <c r="L1960" s="2131"/>
      <c r="M1960" s="2131"/>
      <c r="N1960" s="2131"/>
      <c r="O1960" s="485"/>
      <c r="P1960" s="1137"/>
      <c r="Q1960" s="1137"/>
      <c r="R1960" s="1137"/>
      <c r="S1960" s="1137"/>
      <c r="T1960" s="1137"/>
      <c r="U1960" s="1137"/>
      <c r="V1960" s="1137"/>
    </row>
    <row r="1961" spans="1:22" s="562" customFormat="1" ht="5.0999999999999996" customHeight="1">
      <c r="A1961" s="719"/>
      <c r="B1961" s="485"/>
      <c r="C1961" s="559"/>
      <c r="D1961" s="703"/>
      <c r="E1961" s="704"/>
      <c r="F1961" s="704"/>
      <c r="G1961" s="704"/>
      <c r="H1961" s="704"/>
      <c r="I1961" s="704"/>
      <c r="J1961" s="704"/>
      <c r="K1961" s="2130"/>
      <c r="L1961" s="2131"/>
      <c r="M1961" s="2131"/>
      <c r="N1961" s="2131"/>
      <c r="O1961" s="485"/>
      <c r="P1961" s="1137"/>
      <c r="Q1961" s="1137"/>
      <c r="R1961" s="1137"/>
      <c r="S1961" s="1137"/>
      <c r="T1961" s="1137"/>
      <c r="U1961" s="1137"/>
      <c r="V1961" s="1137"/>
    </row>
    <row r="1962" spans="1:22" s="562" customFormat="1" ht="12.75" customHeight="1">
      <c r="A1962" s="719"/>
      <c r="B1962" s="485"/>
      <c r="C1962" s="559"/>
      <c r="D1962" s="706"/>
      <c r="E1962" s="707" t="s">
        <v>1787</v>
      </c>
      <c r="F1962" s="637"/>
      <c r="G1962" s="637"/>
      <c r="H1962" s="663"/>
      <c r="I1962" s="708"/>
      <c r="J1962" s="2132">
        <f>J$2737</f>
        <v>2026</v>
      </c>
      <c r="K1962" s="1489">
        <f>K$2737</f>
        <v>2027</v>
      </c>
      <c r="L1962" s="1490">
        <f>L$2737</f>
        <v>2028</v>
      </c>
      <c r="M1962" s="1490">
        <f>M$2737</f>
        <v>2029</v>
      </c>
      <c r="N1962" s="1490">
        <f>N$2737</f>
        <v>2030</v>
      </c>
      <c r="O1962" s="485"/>
      <c r="P1962" s="1137"/>
      <c r="Q1962" s="1137"/>
      <c r="R1962" s="1137"/>
      <c r="S1962" s="1137"/>
      <c r="T1962" s="1137"/>
      <c r="U1962" s="1137"/>
      <c r="V1962" s="1137"/>
    </row>
    <row r="1963" spans="1:22" s="562" customFormat="1" ht="12.75" customHeight="1">
      <c r="A1963" s="719"/>
      <c r="B1963" s="485"/>
      <c r="C1963" s="559"/>
      <c r="D1963" s="706"/>
      <c r="E1963" s="711" t="s">
        <v>1783</v>
      </c>
      <c r="F1963" s="712"/>
      <c r="G1963" s="712"/>
      <c r="H1963" s="713"/>
      <c r="I1963" s="712"/>
      <c r="J1963" s="2133" t="str">
        <f>IF(R1959,INDEX(F_ProductBM!V:V,MATCH($P1963,F_ProductBM!$Q:$Q,0))&gt;=3,"")</f>
        <v/>
      </c>
      <c r="K1963" s="2134" t="str">
        <f>IF(S1959,INDEX(F_ProductBM!W:W,MATCH($P1963,F_ProductBM!$Q:$Q,0))&gt;=3,"")</f>
        <v/>
      </c>
      <c r="L1963" s="2135" t="str">
        <f>IF(T1959,INDEX(F_ProductBM!X:X,MATCH($P1963,F_ProductBM!$Q:$Q,0))&gt;=3,"")</f>
        <v/>
      </c>
      <c r="M1963" s="2135" t="str">
        <f>IF(U1959,INDEX(F_ProductBM!Y:Y,MATCH($P1963,F_ProductBM!$Q:$Q,0))&gt;=3,"")</f>
        <v/>
      </c>
      <c r="N1963" s="2135" t="str">
        <f>IF(V1959,INDEX(F_ProductBM!Z:Z,MATCH($P1963,F_ProductBM!$Q:$Q,0))&gt;=3,"")</f>
        <v/>
      </c>
      <c r="O1963" s="485"/>
      <c r="P1963" s="1158" t="str">
        <f>EUconst_CNTR_HALinitial&amp;I1953</f>
        <v>HALini_</v>
      </c>
      <c r="Q1963" s="1137"/>
      <c r="R1963" s="1137"/>
      <c r="S1963" s="1137"/>
      <c r="T1963" s="1137"/>
      <c r="U1963" s="1137"/>
      <c r="V1963" s="1137"/>
    </row>
    <row r="1964" spans="1:22" s="562" customFormat="1" ht="12.75" customHeight="1">
      <c r="A1964" s="719"/>
      <c r="B1964" s="485"/>
      <c r="C1964" s="559"/>
      <c r="D1964" s="706"/>
      <c r="E1964" s="714" t="s">
        <v>1784</v>
      </c>
      <c r="F1964" s="715"/>
      <c r="G1964" s="715"/>
      <c r="H1964" s="716"/>
      <c r="I1964" s="715"/>
      <c r="J1964" s="2136" t="str">
        <f>IF(R1959,IF($K1956="",2050,YEAR($K1956))&lt;&gt;(J1962-1),"")</f>
        <v/>
      </c>
      <c r="K1964" s="2134" t="str">
        <f>IF(S1959,IF($K1956="",2050,YEAR($K1956))&lt;&gt;(K1962-1),"")</f>
        <v/>
      </c>
      <c r="L1964" s="2135" t="str">
        <f>IF(T1959,IF($K1956="",2050,YEAR($K1956))&lt;&gt;(L1962-1),"")</f>
        <v/>
      </c>
      <c r="M1964" s="2135" t="str">
        <f>IF(U1959,IF($K1956="",2050,YEAR($K1956))&lt;&gt;(M1962-1),"")</f>
        <v/>
      </c>
      <c r="N1964" s="2135" t="str">
        <f>IF(V1959,IF($K1956="",2050,YEAR($K1956))&lt;&gt;(N1962-1),"")</f>
        <v/>
      </c>
      <c r="O1964" s="485"/>
      <c r="P1964" s="1137"/>
      <c r="Q1964" s="1137"/>
      <c r="R1964" s="1137"/>
      <c r="S1964" s="1137"/>
      <c r="T1964" s="1137"/>
      <c r="U1964" s="1137"/>
      <c r="V1964" s="1137"/>
    </row>
    <row r="1965" spans="1:22" s="562" customFormat="1" ht="5.0999999999999996" customHeight="1">
      <c r="A1965" s="719"/>
      <c r="B1965" s="485"/>
      <c r="C1965" s="559"/>
      <c r="D1965" s="706"/>
      <c r="E1965" s="559"/>
      <c r="F1965" s="559"/>
      <c r="G1965" s="559"/>
      <c r="H1965" s="559"/>
      <c r="I1965" s="559"/>
      <c r="J1965" s="559"/>
      <c r="K1965" s="2130"/>
      <c r="L1965" s="2131"/>
      <c r="M1965" s="2131"/>
      <c r="N1965" s="2131"/>
      <c r="O1965" s="485"/>
      <c r="P1965" s="1137"/>
      <c r="Q1965" s="1137"/>
      <c r="R1965" s="1137"/>
      <c r="S1965" s="1137"/>
      <c r="T1965" s="1137"/>
      <c r="U1965" s="1137"/>
      <c r="V1965" s="1137"/>
    </row>
    <row r="1966" spans="1:22" s="562" customFormat="1" ht="12.75" customHeight="1">
      <c r="A1966" s="719"/>
      <c r="B1966" s="485"/>
      <c r="C1966" s="559"/>
      <c r="D1966" s="706"/>
      <c r="E1966" s="496" t="s">
        <v>1762</v>
      </c>
      <c r="F1966" s="485"/>
      <c r="G1966" s="485"/>
      <c r="H1966" s="663" t="str">
        <f>EUconst_Unit</f>
        <v>Unit</v>
      </c>
      <c r="I1966" s="708"/>
      <c r="J1966" s="2125">
        <f>J$2737</f>
        <v>2026</v>
      </c>
      <c r="K1966" s="1489">
        <f>K$2737</f>
        <v>2027</v>
      </c>
      <c r="L1966" s="1490">
        <f>L$2737</f>
        <v>2028</v>
      </c>
      <c r="M1966" s="1490">
        <f>M$2737</f>
        <v>2029</v>
      </c>
      <c r="N1966" s="1490">
        <f>N$2737</f>
        <v>2030</v>
      </c>
      <c r="O1966" s="485"/>
      <c r="P1966" s="1137"/>
      <c r="Q1966" s="1137"/>
      <c r="R1966" s="1137"/>
      <c r="S1966" s="1137"/>
      <c r="T1966" s="1137"/>
      <c r="U1966" s="1137"/>
      <c r="V1966" s="1137"/>
    </row>
    <row r="1967" spans="1:22" s="562" customFormat="1" ht="12.75" hidden="1" customHeight="1">
      <c r="A1967" s="719" t="s">
        <v>2289</v>
      </c>
      <c r="B1967" s="485"/>
      <c r="C1967" s="559"/>
      <c r="D1967" s="706"/>
      <c r="E1967" s="698" t="s">
        <v>1714</v>
      </c>
      <c r="F1967" s="698"/>
      <c r="G1967" s="698"/>
      <c r="H1967" s="639" t="str">
        <f>F1959</f>
        <v>tonnes</v>
      </c>
      <c r="I1967" s="698"/>
      <c r="J1967" s="2137" t="str">
        <f t="shared" ref="J1967:J1972" si="147">I2062</f>
        <v/>
      </c>
      <c r="K1967" s="2072" t="str">
        <f t="shared" ref="K1967:N1972" si="148">J2062</f>
        <v/>
      </c>
      <c r="L1967" s="2073" t="str">
        <f t="shared" si="148"/>
        <v/>
      </c>
      <c r="M1967" s="2073" t="str">
        <f t="shared" si="148"/>
        <v/>
      </c>
      <c r="N1967" s="2073" t="str">
        <f t="shared" si="148"/>
        <v/>
      </c>
      <c r="O1967" s="485"/>
      <c r="P1967" s="1137"/>
      <c r="Q1967" s="1137"/>
      <c r="R1967" s="1137"/>
      <c r="S1967" s="1137"/>
      <c r="T1967" s="1137"/>
      <c r="U1967" s="1137"/>
      <c r="V1967" s="1137"/>
    </row>
    <row r="1968" spans="1:22" s="562" customFormat="1" ht="12.75" hidden="1" customHeight="1">
      <c r="A1968" s="719" t="s">
        <v>2289</v>
      </c>
      <c r="B1968" s="485"/>
      <c r="C1968" s="559"/>
      <c r="D1968" s="706"/>
      <c r="E1968" s="720" t="s">
        <v>303</v>
      </c>
      <c r="F1968" s="720"/>
      <c r="G1968" s="720"/>
      <c r="H1968" s="721" t="str">
        <f>EUconst_EUA</f>
        <v>UKA</v>
      </c>
      <c r="I1968" s="722"/>
      <c r="J1968" s="2138" t="str">
        <f t="shared" si="147"/>
        <v/>
      </c>
      <c r="K1968" s="2072" t="str">
        <f t="shared" si="148"/>
        <v/>
      </c>
      <c r="L1968" s="2073" t="str">
        <f t="shared" si="148"/>
        <v/>
      </c>
      <c r="M1968" s="2073" t="str">
        <f t="shared" si="148"/>
        <v/>
      </c>
      <c r="N1968" s="2073" t="str">
        <f t="shared" si="148"/>
        <v/>
      </c>
      <c r="O1968" s="485"/>
      <c r="P1968" s="1137"/>
      <c r="Q1968" s="1137"/>
      <c r="R1968" s="1137"/>
      <c r="S1968" s="1137"/>
      <c r="T1968" s="1137"/>
      <c r="U1968" s="1137"/>
      <c r="V1968" s="1137"/>
    </row>
    <row r="1969" spans="1:22" s="562" customFormat="1" ht="12.75" hidden="1" customHeight="1">
      <c r="A1969" s="719" t="s">
        <v>2289</v>
      </c>
      <c r="B1969" s="485"/>
      <c r="C1969" s="559"/>
      <c r="D1969" s="706"/>
      <c r="E1969" s="723" t="s">
        <v>1422</v>
      </c>
      <c r="F1969" s="723"/>
      <c r="G1969" s="723"/>
      <c r="H1969" s="724" t="str">
        <f>EUconst_EUA</f>
        <v>UKA</v>
      </c>
      <c r="I1969" s="725"/>
      <c r="J1969" s="2139" t="str">
        <f t="shared" si="147"/>
        <v/>
      </c>
      <c r="K1969" s="2072" t="str">
        <f t="shared" si="148"/>
        <v/>
      </c>
      <c r="L1969" s="2073" t="str">
        <f t="shared" si="148"/>
        <v/>
      </c>
      <c r="M1969" s="2073" t="str">
        <f t="shared" si="148"/>
        <v/>
      </c>
      <c r="N1969" s="2073" t="str">
        <f t="shared" si="148"/>
        <v/>
      </c>
      <c r="O1969" s="485"/>
      <c r="P1969" s="1137"/>
      <c r="Q1969" s="1137"/>
      <c r="R1969" s="1137"/>
      <c r="S1969" s="1137"/>
      <c r="T1969" s="1137"/>
      <c r="U1969" s="1137"/>
      <c r="V1969" s="1137"/>
    </row>
    <row r="1970" spans="1:22" s="562" customFormat="1" ht="12.75" hidden="1" customHeight="1">
      <c r="A1970" s="719" t="s">
        <v>2289</v>
      </c>
      <c r="B1970" s="485"/>
      <c r="C1970" s="559"/>
      <c r="D1970" s="706"/>
      <c r="E1970" s="723" t="s">
        <v>1390</v>
      </c>
      <c r="F1970" s="723"/>
      <c r="G1970" s="723"/>
      <c r="H1970" s="724" t="str">
        <f>EUconst_EUA</f>
        <v>UKA</v>
      </c>
      <c r="I1970" s="725"/>
      <c r="J1970" s="2139" t="str">
        <f t="shared" si="147"/>
        <v/>
      </c>
      <c r="K1970" s="2072" t="str">
        <f t="shared" si="148"/>
        <v/>
      </c>
      <c r="L1970" s="2073" t="str">
        <f t="shared" si="148"/>
        <v/>
      </c>
      <c r="M1970" s="2073" t="str">
        <f t="shared" si="148"/>
        <v/>
      </c>
      <c r="N1970" s="2073" t="str">
        <f t="shared" si="148"/>
        <v/>
      </c>
      <c r="O1970" s="485"/>
      <c r="P1970" s="1137"/>
      <c r="Q1970" s="1137"/>
      <c r="R1970" s="1137"/>
      <c r="S1970" s="1137"/>
      <c r="T1970" s="1137"/>
      <c r="U1970" s="1137"/>
      <c r="V1970" s="1137"/>
    </row>
    <row r="1971" spans="1:22" s="562" customFormat="1" ht="12.75" hidden="1" customHeight="1">
      <c r="A1971" s="719" t="s">
        <v>2289</v>
      </c>
      <c r="B1971" s="485"/>
      <c r="C1971" s="559"/>
      <c r="D1971" s="706"/>
      <c r="E1971" s="723" t="s">
        <v>1389</v>
      </c>
      <c r="F1971" s="723"/>
      <c r="G1971" s="723"/>
      <c r="H1971" s="726" t="s">
        <v>1021</v>
      </c>
      <c r="I1971" s="725"/>
      <c r="J1971" s="2140" t="str">
        <f t="shared" si="147"/>
        <v/>
      </c>
      <c r="K1971" s="2141" t="str">
        <f t="shared" si="148"/>
        <v/>
      </c>
      <c r="L1971" s="2142" t="str">
        <f t="shared" si="148"/>
        <v/>
      </c>
      <c r="M1971" s="2142" t="str">
        <f t="shared" si="148"/>
        <v/>
      </c>
      <c r="N1971" s="2142" t="str">
        <f t="shared" si="148"/>
        <v/>
      </c>
      <c r="O1971" s="485"/>
      <c r="P1971" s="1137"/>
      <c r="Q1971" s="1137"/>
      <c r="R1971" s="1137"/>
      <c r="S1971" s="1137"/>
      <c r="T1971" s="1137"/>
      <c r="U1971" s="1137"/>
      <c r="V1971" s="1137"/>
    </row>
    <row r="1972" spans="1:22" s="562" customFormat="1" ht="12.75" hidden="1" customHeight="1">
      <c r="A1972" s="719" t="s">
        <v>2289</v>
      </c>
      <c r="B1972" s="485"/>
      <c r="C1972" s="559"/>
      <c r="D1972" s="706"/>
      <c r="E1972" s="727" t="s">
        <v>1391</v>
      </c>
      <c r="F1972" s="727"/>
      <c r="G1972" s="727"/>
      <c r="H1972" s="728" t="s">
        <v>1021</v>
      </c>
      <c r="I1972" s="729"/>
      <c r="J1972" s="2143" t="str">
        <f t="shared" si="147"/>
        <v/>
      </c>
      <c r="K1972" s="2141" t="str">
        <f t="shared" si="148"/>
        <v/>
      </c>
      <c r="L1972" s="2142" t="str">
        <f t="shared" si="148"/>
        <v/>
      </c>
      <c r="M1972" s="2142" t="str">
        <f t="shared" si="148"/>
        <v/>
      </c>
      <c r="N1972" s="2142" t="str">
        <f t="shared" si="148"/>
        <v/>
      </c>
      <c r="O1972" s="485"/>
      <c r="P1972" s="1137"/>
      <c r="Q1972" s="1137"/>
      <c r="R1972" s="1137"/>
      <c r="S1972" s="1137"/>
      <c r="T1972" s="1137"/>
      <c r="U1972" s="1137"/>
      <c r="V1972" s="1137"/>
    </row>
    <row r="1973" spans="1:22" s="562" customFormat="1" ht="12.75" customHeight="1">
      <c r="A1973" s="719"/>
      <c r="B1973" s="485"/>
      <c r="C1973" s="559"/>
      <c r="D1973" s="706"/>
      <c r="E1973" s="698" t="s">
        <v>1671</v>
      </c>
      <c r="F1973" s="698"/>
      <c r="G1973" s="698"/>
      <c r="H1973" s="730" t="str">
        <f>EUconst_EUA</f>
        <v>UKA</v>
      </c>
      <c r="I1973" s="731"/>
      <c r="J1973" s="2129" t="str">
        <f>IF($I1953="","",MAX(0,ROUND((SUM($M1956)*SUM(J1967)*SUM(J1971)*SUM(J1972)-SUM(J1968)-SUM(J1969)+SUM(J1970))*IF($H1956=TRUE,1,J$2517),0)))</f>
        <v/>
      </c>
      <c r="K1973" s="2072" t="str">
        <f>IF($I1953="","",MAX(0,ROUND((SUM($M1956)*SUM(K1967)*SUM(K1971)*SUM(K1972)-SUM(K1968)-SUM(K1969)+SUM(K1970))*IF($H1956=TRUE,1,K$2517),0)))</f>
        <v/>
      </c>
      <c r="L1973" s="2073" t="str">
        <f>IF($I1953="","",MAX(0,ROUND((SUM($M1956)*SUM(L1967)*SUM(L1971)*SUM(L1972)-SUM(L1968)-SUM(L1969)+SUM(L1970))*IF($H1956=TRUE,1,L$2517),0)))</f>
        <v/>
      </c>
      <c r="M1973" s="2073" t="str">
        <f>IF($I1953="","",MAX(0,ROUND((SUM($M1956)*SUM(M1967)*SUM(M1971)*SUM(M1972)-SUM(M1968)-SUM(M1969)+SUM(M1970))*IF($H1956=TRUE,1,M$2517),0)))</f>
        <v/>
      </c>
      <c r="N1973" s="2073" t="str">
        <f>IF($I1953="","",MAX(0,ROUND((SUM($M1956)*SUM(N1967)*SUM(N1971)*SUM(N1972)-SUM(N1968)-SUM(N1969)+SUM(N1970))*IF($H1956=TRUE,1,N$2517),0)))</f>
        <v/>
      </c>
      <c r="O1973" s="485"/>
      <c r="P1973" s="1137"/>
      <c r="Q1973" s="1137"/>
      <c r="R1973" s="1137"/>
      <c r="S1973" s="1137"/>
      <c r="T1973" s="1137"/>
      <c r="U1973" s="1137"/>
      <c r="V1973" s="1137"/>
    </row>
    <row r="1974" spans="1:22" s="562" customFormat="1" ht="5.0999999999999996" customHeight="1">
      <c r="A1974" s="719"/>
      <c r="B1974" s="485"/>
      <c r="C1974" s="559"/>
      <c r="D1974" s="706"/>
      <c r="E1974" s="559"/>
      <c r="F1974" s="559"/>
      <c r="G1974" s="559"/>
      <c r="H1974" s="559"/>
      <c r="I1974" s="559"/>
      <c r="J1974" s="559"/>
      <c r="K1974" s="2130"/>
      <c r="L1974" s="2131"/>
      <c r="M1974" s="2131"/>
      <c r="N1974" s="2131"/>
      <c r="O1974" s="485"/>
      <c r="P1974" s="1137"/>
      <c r="Q1974" s="1137"/>
      <c r="R1974" s="1137"/>
      <c r="S1974" s="1137"/>
      <c r="T1974" s="1137"/>
      <c r="U1974" s="1137"/>
      <c r="V1974" s="1137"/>
    </row>
    <row r="1975" spans="1:22" s="562" customFormat="1" ht="12.75" customHeight="1">
      <c r="A1975" s="719"/>
      <c r="B1975" s="485"/>
      <c r="C1975" s="559"/>
      <c r="D1975" s="706"/>
      <c r="E1975" s="707" t="s">
        <v>1752</v>
      </c>
      <c r="F1975" s="637"/>
      <c r="G1975" s="637"/>
      <c r="H1975" s="663" t="str">
        <f>EUconst_Unit</f>
        <v>Unit</v>
      </c>
      <c r="I1975" s="708"/>
      <c r="J1975" s="2132">
        <f>J$2737</f>
        <v>2026</v>
      </c>
      <c r="K1975" s="1489">
        <f>K$2737</f>
        <v>2027</v>
      </c>
      <c r="L1975" s="1490">
        <f>L$2737</f>
        <v>2028</v>
      </c>
      <c r="M1975" s="1490">
        <f>M$2737</f>
        <v>2029</v>
      </c>
      <c r="N1975" s="1490">
        <f>N$2737</f>
        <v>2030</v>
      </c>
      <c r="O1975" s="485"/>
      <c r="P1975" s="1137"/>
      <c r="Q1975" s="1137"/>
      <c r="R1975" s="1137"/>
      <c r="S1975" s="1137"/>
      <c r="T1975" s="1137"/>
      <c r="U1975" s="1137"/>
      <c r="V1975" s="1137"/>
    </row>
    <row r="1976" spans="1:22" s="562" customFormat="1" ht="12.75" customHeight="1">
      <c r="A1976" s="719"/>
      <c r="B1976" s="485"/>
      <c r="C1976" s="559"/>
      <c r="D1976" s="706"/>
      <c r="E1976" s="720" t="s">
        <v>1691</v>
      </c>
      <c r="F1976" s="720"/>
      <c r="G1976" s="720"/>
      <c r="H1976" s="732" t="str">
        <f>H1967</f>
        <v>tonnes</v>
      </c>
      <c r="I1976" s="733"/>
      <c r="J1976" s="2144" t="str">
        <f>INDEX(F_ProductBM!J:J,MATCH($P1976,F_ProductBM!$Q:$Q,0))</f>
        <v/>
      </c>
      <c r="K1976" s="2072" t="str">
        <f>INDEX(F_ProductBM!K:K,MATCH($P1976,F_ProductBM!$Q:$Q,0))</f>
        <v/>
      </c>
      <c r="L1976" s="2073" t="str">
        <f>INDEX(F_ProductBM!L:L,MATCH($P1976,F_ProductBM!$Q:$Q,0))</f>
        <v/>
      </c>
      <c r="M1976" s="2073" t="str">
        <f>INDEX(F_ProductBM!M:M,MATCH($P1976,F_ProductBM!$Q:$Q,0))</f>
        <v/>
      </c>
      <c r="N1976" s="2073" t="str">
        <f>INDEX(F_ProductBM!N:N,MATCH($P1976,F_ProductBM!$Q:$Q,0))</f>
        <v/>
      </c>
      <c r="O1976" s="485"/>
      <c r="P1976" s="1158" t="str">
        <f>EUconst_CNTR_HALinitial&amp;I1953</f>
        <v>HALini_</v>
      </c>
      <c r="Q1976" s="1137"/>
      <c r="R1976" s="1137"/>
      <c r="S1976" s="1137"/>
      <c r="T1976" s="1137"/>
      <c r="U1976" s="1137"/>
      <c r="V1976" s="1137"/>
    </row>
    <row r="1977" spans="1:22" s="562" customFormat="1" ht="12.75" customHeight="1">
      <c r="A1977" s="719"/>
      <c r="B1977" s="485"/>
      <c r="C1977" s="559"/>
      <c r="D1977" s="706"/>
      <c r="E1977" s="723" t="s">
        <v>1648</v>
      </c>
      <c r="F1977" s="723"/>
      <c r="G1977" s="723"/>
      <c r="H1977" s="734" t="s">
        <v>1021</v>
      </c>
      <c r="I1977" s="735"/>
      <c r="J1977" s="23" t="str">
        <f>INDEX(F_ProductBM!J:J,MATCH($P1977,F_ProductBM!$Q:$Q,0))</f>
        <v/>
      </c>
      <c r="K1977" s="46" t="str">
        <f>INDEX(F_ProductBM!K:K,MATCH($P1977,F_ProductBM!$Q:$Q,0))</f>
        <v/>
      </c>
      <c r="L1977" s="27" t="str">
        <f>INDEX(F_ProductBM!L:L,MATCH($P1977,F_ProductBM!$Q:$Q,0))</f>
        <v/>
      </c>
      <c r="M1977" s="27" t="str">
        <f>INDEX(F_ProductBM!M:M,MATCH($P1977,F_ProductBM!$Q:$Q,0))</f>
        <v/>
      </c>
      <c r="N1977" s="27" t="str">
        <f>INDEX(F_ProductBM!N:N,MATCH($P1977,F_ProductBM!$Q:$Q,0))</f>
        <v/>
      </c>
      <c r="O1977" s="485"/>
      <c r="P1977" s="1158" t="str">
        <f>EUconst_CNTR_RelThreshold &amp; P1979</f>
        <v>RelThresh_HALprelim_</v>
      </c>
      <c r="Q1977" s="1137"/>
      <c r="R1977" s="1137"/>
      <c r="S1977" s="1137"/>
      <c r="T1977" s="1137"/>
      <c r="U1977" s="1137"/>
      <c r="V1977" s="1137"/>
    </row>
    <row r="1978" spans="1:22" s="562" customFormat="1" ht="12.75" customHeight="1">
      <c r="A1978" s="719"/>
      <c r="B1978" s="485"/>
      <c r="C1978" s="559"/>
      <c r="D1978" s="706"/>
      <c r="E1978" s="736" t="s">
        <v>1850</v>
      </c>
      <c r="F1978" s="736"/>
      <c r="G1978" s="736"/>
      <c r="H1978" s="737" t="s">
        <v>1021</v>
      </c>
      <c r="I1978" s="738"/>
      <c r="J1978" s="2145" t="str">
        <f>INDEX(F_ProductBM!V:V,MATCH($P1978,F_ProductBM!$Q:$Q,0)+1)</f>
        <v/>
      </c>
      <c r="K1978" s="2134" t="str">
        <f>INDEX(F_ProductBM!W:W,MATCH($P1978,F_ProductBM!$Q:$Q,0)+1)</f>
        <v/>
      </c>
      <c r="L1978" s="2135" t="str">
        <f>INDEX(F_ProductBM!X:X,MATCH($P1978,F_ProductBM!$Q:$Q,0)+1)</f>
        <v/>
      </c>
      <c r="M1978" s="2135" t="str">
        <f>INDEX(F_ProductBM!Y:Y,MATCH($P1978,F_ProductBM!$Q:$Q,0)+1)</f>
        <v/>
      </c>
      <c r="N1978" s="2135" t="str">
        <f>INDEX(F_ProductBM!Z:Z,MATCH($P1978,F_ProductBM!$Q:$Q,0)+1)</f>
        <v/>
      </c>
      <c r="O1978" s="485"/>
      <c r="P1978" s="1158" t="str">
        <f>P1977</f>
        <v>RelThresh_HALprelim_</v>
      </c>
      <c r="Q1978" s="1137"/>
      <c r="R1978" s="1137"/>
      <c r="S1978" s="1137"/>
      <c r="T1978" s="1137"/>
      <c r="U1978" s="1137"/>
      <c r="V1978" s="1137"/>
    </row>
    <row r="1979" spans="1:22" s="562" customFormat="1" ht="12.75" customHeight="1">
      <c r="A1979" s="719"/>
      <c r="B1979" s="485"/>
      <c r="C1979" s="559"/>
      <c r="D1979" s="706"/>
      <c r="E1979" s="727" t="s">
        <v>1689</v>
      </c>
      <c r="F1979" s="727"/>
      <c r="G1979" s="727"/>
      <c r="H1979" s="739" t="str">
        <f>F1959</f>
        <v>tonnes</v>
      </c>
      <c r="I1979" s="727"/>
      <c r="J1979" s="2146" t="str">
        <f>INDEX(F_ProductBM!J:J,MATCH($P1979,F_ProductBM!$Q:$Q,0))</f>
        <v/>
      </c>
      <c r="K1979" s="2072" t="str">
        <f>INDEX(F_ProductBM!K:K,MATCH($P1979,F_ProductBM!$Q:$Q,0))</f>
        <v/>
      </c>
      <c r="L1979" s="2073" t="str">
        <f>INDEX(F_ProductBM!L:L,MATCH($P1979,F_ProductBM!$Q:$Q,0))</f>
        <v/>
      </c>
      <c r="M1979" s="2073" t="str">
        <f>INDEX(F_ProductBM!M:M,MATCH($P1979,F_ProductBM!$Q:$Q,0))</f>
        <v/>
      </c>
      <c r="N1979" s="2073" t="str">
        <f>INDEX(F_ProductBM!N:N,MATCH($P1979,F_ProductBM!$Q:$Q,0))</f>
        <v/>
      </c>
      <c r="O1979" s="485"/>
      <c r="P1979" s="1158" t="str">
        <f>EUconst_CNTR_HALprelim&amp;I1953</f>
        <v>HALprelim_</v>
      </c>
      <c r="Q1979" s="1137"/>
      <c r="R1979" s="1137"/>
      <c r="S1979" s="1137"/>
      <c r="T1979" s="1137"/>
      <c r="U1979" s="1137"/>
      <c r="V1979" s="1137"/>
    </row>
    <row r="1980" spans="1:22" s="562" customFormat="1" ht="12.75" hidden="1" customHeight="1">
      <c r="A1980" s="719" t="s">
        <v>2289</v>
      </c>
      <c r="B1980" s="485"/>
      <c r="C1980" s="559"/>
      <c r="D1980" s="706"/>
      <c r="E1980" s="720" t="s">
        <v>303</v>
      </c>
      <c r="F1980" s="720"/>
      <c r="G1980" s="720"/>
      <c r="H1980" s="721" t="str">
        <f>EUconst_EUA</f>
        <v>UKA</v>
      </c>
      <c r="I1980" s="722"/>
      <c r="J1980" s="2138" t="str">
        <f t="shared" ref="J1980:N1984" si="149">I2063</f>
        <v/>
      </c>
      <c r="K1980" s="2072" t="str">
        <f t="shared" si="149"/>
        <v/>
      </c>
      <c r="L1980" s="2073" t="str">
        <f t="shared" si="149"/>
        <v/>
      </c>
      <c r="M1980" s="2073" t="str">
        <f t="shared" si="149"/>
        <v/>
      </c>
      <c r="N1980" s="2073" t="str">
        <f t="shared" si="149"/>
        <v/>
      </c>
      <c r="O1980" s="485"/>
      <c r="P1980" s="1137"/>
      <c r="Q1980" s="1137"/>
      <c r="R1980" s="1137"/>
      <c r="S1980" s="1137"/>
      <c r="T1980" s="1137"/>
      <c r="U1980" s="1137"/>
      <c r="V1980" s="1137"/>
    </row>
    <row r="1981" spans="1:22" s="562" customFormat="1" ht="12.75" hidden="1" customHeight="1">
      <c r="A1981" s="719" t="s">
        <v>2289</v>
      </c>
      <c r="B1981" s="485"/>
      <c r="C1981" s="559"/>
      <c r="D1981" s="706"/>
      <c r="E1981" s="723" t="s">
        <v>1422</v>
      </c>
      <c r="F1981" s="723"/>
      <c r="G1981" s="723"/>
      <c r="H1981" s="724" t="str">
        <f>EUconst_EUA</f>
        <v>UKA</v>
      </c>
      <c r="I1981" s="725"/>
      <c r="J1981" s="2139" t="str">
        <f t="shared" si="149"/>
        <v/>
      </c>
      <c r="K1981" s="2072" t="str">
        <f t="shared" si="149"/>
        <v/>
      </c>
      <c r="L1981" s="2073" t="str">
        <f t="shared" si="149"/>
        <v/>
      </c>
      <c r="M1981" s="2073" t="str">
        <f t="shared" si="149"/>
        <v/>
      </c>
      <c r="N1981" s="2073" t="str">
        <f t="shared" si="149"/>
        <v/>
      </c>
      <c r="O1981" s="485"/>
      <c r="P1981" s="1137"/>
      <c r="Q1981" s="1137"/>
      <c r="R1981" s="1137"/>
      <c r="S1981" s="1137"/>
      <c r="T1981" s="1137"/>
      <c r="U1981" s="1137"/>
      <c r="V1981" s="1137"/>
    </row>
    <row r="1982" spans="1:22" s="562" customFormat="1" ht="12.75" hidden="1" customHeight="1">
      <c r="A1982" s="719" t="s">
        <v>2289</v>
      </c>
      <c r="B1982" s="485"/>
      <c r="C1982" s="559"/>
      <c r="D1982" s="706"/>
      <c r="E1982" s="723" t="s">
        <v>1390</v>
      </c>
      <c r="F1982" s="723"/>
      <c r="G1982" s="723"/>
      <c r="H1982" s="724" t="str">
        <f>EUconst_EUA</f>
        <v>UKA</v>
      </c>
      <c r="I1982" s="725"/>
      <c r="J1982" s="2139" t="str">
        <f t="shared" si="149"/>
        <v/>
      </c>
      <c r="K1982" s="2072" t="str">
        <f t="shared" si="149"/>
        <v/>
      </c>
      <c r="L1982" s="2073" t="str">
        <f t="shared" si="149"/>
        <v/>
      </c>
      <c r="M1982" s="2073" t="str">
        <f t="shared" si="149"/>
        <v/>
      </c>
      <c r="N1982" s="2073" t="str">
        <f t="shared" si="149"/>
        <v/>
      </c>
      <c r="O1982" s="485"/>
      <c r="P1982" s="1137"/>
      <c r="Q1982" s="1137"/>
      <c r="R1982" s="1137"/>
      <c r="S1982" s="1137"/>
      <c r="T1982" s="1137"/>
      <c r="U1982" s="1137"/>
      <c r="V1982" s="1137"/>
    </row>
    <row r="1983" spans="1:22" s="562" customFormat="1" ht="12.75" hidden="1" customHeight="1">
      <c r="A1983" s="719" t="s">
        <v>2289</v>
      </c>
      <c r="B1983" s="485"/>
      <c r="C1983" s="559"/>
      <c r="D1983" s="706"/>
      <c r="E1983" s="723" t="s">
        <v>1389</v>
      </c>
      <c r="F1983" s="723"/>
      <c r="G1983" s="723"/>
      <c r="H1983" s="726" t="s">
        <v>1021</v>
      </c>
      <c r="I1983" s="725"/>
      <c r="J1983" s="2140" t="str">
        <f t="shared" si="149"/>
        <v/>
      </c>
      <c r="K1983" s="2141" t="str">
        <f t="shared" si="149"/>
        <v/>
      </c>
      <c r="L1983" s="2142" t="str">
        <f t="shared" si="149"/>
        <v/>
      </c>
      <c r="M1983" s="2142" t="str">
        <f t="shared" si="149"/>
        <v/>
      </c>
      <c r="N1983" s="2142" t="str">
        <f t="shared" si="149"/>
        <v/>
      </c>
      <c r="O1983" s="485"/>
      <c r="P1983" s="1137"/>
      <c r="Q1983" s="1137"/>
      <c r="R1983" s="1137"/>
      <c r="S1983" s="1137"/>
      <c r="T1983" s="1137"/>
      <c r="U1983" s="1137"/>
      <c r="V1983" s="1137"/>
    </row>
    <row r="1984" spans="1:22" s="562" customFormat="1" ht="12.75" hidden="1" customHeight="1">
      <c r="A1984" s="719" t="s">
        <v>2289</v>
      </c>
      <c r="B1984" s="485"/>
      <c r="C1984" s="559"/>
      <c r="D1984" s="706"/>
      <c r="E1984" s="727" t="s">
        <v>1391</v>
      </c>
      <c r="F1984" s="727"/>
      <c r="G1984" s="727"/>
      <c r="H1984" s="728" t="s">
        <v>1021</v>
      </c>
      <c r="I1984" s="729"/>
      <c r="J1984" s="2143" t="str">
        <f t="shared" si="149"/>
        <v/>
      </c>
      <c r="K1984" s="2141" t="str">
        <f t="shared" si="149"/>
        <v/>
      </c>
      <c r="L1984" s="2142" t="str">
        <f t="shared" si="149"/>
        <v/>
      </c>
      <c r="M1984" s="2142" t="str">
        <f t="shared" si="149"/>
        <v/>
      </c>
      <c r="N1984" s="2142" t="str">
        <f t="shared" si="149"/>
        <v/>
      </c>
      <c r="O1984" s="485"/>
      <c r="P1984" s="1137"/>
      <c r="Q1984" s="1137"/>
      <c r="R1984" s="1137"/>
      <c r="S1984" s="1137"/>
      <c r="T1984" s="1137"/>
      <c r="U1984" s="1137"/>
      <c r="V1984" s="1137"/>
    </row>
    <row r="1985" spans="1:22" s="562" customFormat="1" ht="12.75" customHeight="1">
      <c r="A1985" s="719"/>
      <c r="B1985" s="485"/>
      <c r="C1985" s="559"/>
      <c r="D1985" s="706"/>
      <c r="E1985" s="698" t="s">
        <v>1671</v>
      </c>
      <c r="F1985" s="698"/>
      <c r="G1985" s="698"/>
      <c r="H1985" s="730" t="str">
        <f>EUconst_EUA</f>
        <v>UKA</v>
      </c>
      <c r="I1985" s="731"/>
      <c r="J1985" s="2129" t="str">
        <f>IF($I1953="","",MAX(0,ROUND((SUM($M1956)*SUM(J1979)*SUM(J1983)*SUM(J1984)-SUM(J1980)-SUM(J1981)+SUM(J1982))*IF($H1956=TRUE,1,J$2517),0)))</f>
        <v/>
      </c>
      <c r="K1985" s="2072" t="str">
        <f>IF($I1953="","",MAX(0,ROUND((SUM($M1956)*SUM(K1979)*SUM(K1983)*SUM(K1984)-SUM(K1980)-SUM(K1981)+SUM(K1982))*IF($H1956=TRUE,1,K$2517),0)))</f>
        <v/>
      </c>
      <c r="L1985" s="2073" t="str">
        <f>IF($I1953="","",MAX(0,ROUND((SUM($M1956)*SUM(L1979)*SUM(L1983)*SUM(L1984)-SUM(L1980)-SUM(L1981)+SUM(L1982))*IF($H1956=TRUE,1,L$2517),0)))</f>
        <v/>
      </c>
      <c r="M1985" s="2073" t="str">
        <f>IF($I1953="","",MAX(0,ROUND((SUM($M1956)*SUM(M1979)*SUM(M1983)*SUM(M1984)-SUM(M1980)-SUM(M1981)+SUM(M1982))*IF($H1956=TRUE,1,M$2517),0)))</f>
        <v/>
      </c>
      <c r="N1985" s="2073" t="str">
        <f>IF($I1953="","",MAX(0,ROUND((SUM($M1956)*SUM(N1979)*SUM(N1983)*SUM(N1984)-SUM(N1980)-SUM(N1981)+SUM(N1982))*IF($H1956=TRUE,1,N$2517),0)))</f>
        <v/>
      </c>
      <c r="O1985" s="485"/>
      <c r="P1985" s="1137"/>
      <c r="Q1985" s="1137"/>
      <c r="R1985" s="1137"/>
      <c r="S1985" s="1137"/>
      <c r="T1985" s="1137"/>
      <c r="U1985" s="1137"/>
      <c r="V1985" s="1137"/>
    </row>
    <row r="1986" spans="1:22" s="562" customFormat="1" ht="12.75" customHeight="1">
      <c r="A1986" s="719"/>
      <c r="B1986" s="485"/>
      <c r="C1986" s="559"/>
      <c r="D1986" s="706"/>
      <c r="E1986" s="698" t="s">
        <v>1670</v>
      </c>
      <c r="F1986" s="698"/>
      <c r="G1986" s="698"/>
      <c r="H1986" s="730" t="str">
        <f>EUconst_EUA</f>
        <v>UKA</v>
      </c>
      <c r="I1986" s="731"/>
      <c r="J1986" s="2129" t="str">
        <f>IF($I1953="","",ABS(SUM(J1985)-SUM(J1973)))</f>
        <v/>
      </c>
      <c r="K1986" s="2072" t="str">
        <f>IF($I1953="","",ABS(SUM(K1985)-SUM(K1973)))</f>
        <v/>
      </c>
      <c r="L1986" s="2073" t="str">
        <f>IF($I1953="","",ABS(SUM(L1985)-SUM(L1973)))</f>
        <v/>
      </c>
      <c r="M1986" s="2073" t="str">
        <f>IF($I1953="","",ABS(SUM(M1985)-SUM(M1973)))</f>
        <v/>
      </c>
      <c r="N1986" s="2073" t="str">
        <f>IF($I1953="","",ABS(SUM(N1985)-SUM(N1973)))</f>
        <v/>
      </c>
      <c r="O1986" s="485"/>
      <c r="P1986" s="1137"/>
      <c r="Q1986" s="1137"/>
      <c r="R1986" s="1137"/>
      <c r="S1986" s="1137"/>
      <c r="T1986" s="1137"/>
      <c r="U1986" s="1137"/>
      <c r="V1986" s="1137"/>
    </row>
    <row r="1987" spans="1:22" s="562" customFormat="1" ht="12.75" customHeight="1">
      <c r="A1987" s="719"/>
      <c r="B1987" s="485"/>
      <c r="C1987" s="559"/>
      <c r="D1987" s="706"/>
      <c r="E1987" s="740" t="s">
        <v>2130</v>
      </c>
      <c r="F1987" s="740"/>
      <c r="G1987" s="740"/>
      <c r="H1987" s="741" t="s">
        <v>1021</v>
      </c>
      <c r="I1987" s="742"/>
      <c r="J1987" s="2147" t="str">
        <f>IF($I1953="","",J1986&gt;=100)</f>
        <v/>
      </c>
      <c r="K1987" s="2134" t="str">
        <f>IF($I1953="","",K1986&gt;=100)</f>
        <v/>
      </c>
      <c r="L1987" s="2135" t="str">
        <f>IF($I1953="","",L1986&gt;=100)</f>
        <v/>
      </c>
      <c r="M1987" s="2135" t="str">
        <f>IF($I1953="","",M1986&gt;=100)</f>
        <v/>
      </c>
      <c r="N1987" s="2135" t="str">
        <f>IF($I1953="","",N1986&gt;=100)</f>
        <v/>
      </c>
      <c r="O1987" s="485"/>
      <c r="P1987" s="1158" t="str">
        <f>EUconst_CNTR_100EUA_ActivityLevel&amp;I1953</f>
        <v>EUA100AL_</v>
      </c>
      <c r="Q1987" s="1137"/>
      <c r="R1987" s="1137"/>
      <c r="S1987" s="1137"/>
      <c r="T1987" s="1137"/>
      <c r="U1987" s="1137"/>
      <c r="V1987" s="1137"/>
    </row>
    <row r="1988" spans="1:22" s="562" customFormat="1" ht="5.0999999999999996" customHeight="1">
      <c r="A1988" s="719"/>
      <c r="B1988" s="485"/>
      <c r="C1988" s="559"/>
      <c r="D1988" s="706"/>
      <c r="E1988" s="485"/>
      <c r="F1988" s="485"/>
      <c r="G1988" s="485"/>
      <c r="H1988" s="485"/>
      <c r="I1988" s="743"/>
      <c r="J1988" s="485"/>
      <c r="K1988" s="1790"/>
      <c r="L1988" s="1791"/>
      <c r="M1988" s="1791"/>
      <c r="N1988" s="1791"/>
      <c r="O1988" s="485"/>
      <c r="P1988" s="1137"/>
      <c r="Q1988" s="1137"/>
      <c r="R1988" s="1137"/>
      <c r="S1988" s="1137"/>
      <c r="T1988" s="1137"/>
      <c r="U1988" s="1137"/>
      <c r="V1988" s="1137"/>
    </row>
    <row r="1989" spans="1:22" s="562" customFormat="1" ht="12.75" customHeight="1">
      <c r="A1989" s="719"/>
      <c r="B1989" s="485"/>
      <c r="C1989" s="559"/>
      <c r="D1989" s="706"/>
      <c r="E1989" s="707" t="s">
        <v>1753</v>
      </c>
      <c r="F1989" s="637"/>
      <c r="G1989" s="637"/>
      <c r="H1989" s="663" t="str">
        <f>EUconst_Unit</f>
        <v>Unit</v>
      </c>
      <c r="I1989" s="708"/>
      <c r="J1989" s="2132">
        <f>J$2737</f>
        <v>2026</v>
      </c>
      <c r="K1989" s="1489">
        <f>K$2737</f>
        <v>2027</v>
      </c>
      <c r="L1989" s="1490">
        <f>L$2737</f>
        <v>2028</v>
      </c>
      <c r="M1989" s="1490">
        <f>M$2737</f>
        <v>2029</v>
      </c>
      <c r="N1989" s="1490">
        <f>N$2737</f>
        <v>2030</v>
      </c>
      <c r="O1989" s="485"/>
      <c r="P1989" s="1137"/>
      <c r="Q1989" s="1137"/>
      <c r="R1989" s="1137"/>
      <c r="S1989" s="1137"/>
      <c r="T1989" s="1137"/>
      <c r="U1989" s="1137"/>
      <c r="V1989" s="1137"/>
    </row>
    <row r="1990" spans="1:22" s="562" customFormat="1" ht="12.75" hidden="1" customHeight="1">
      <c r="A1990" s="719" t="s">
        <v>2289</v>
      </c>
      <c r="B1990" s="485"/>
      <c r="C1990" s="559"/>
      <c r="D1990" s="706"/>
      <c r="E1990" s="698" t="s">
        <v>1714</v>
      </c>
      <c r="F1990" s="698"/>
      <c r="G1990" s="698"/>
      <c r="H1990" s="639" t="str">
        <f>H1979</f>
        <v>tonnes</v>
      </c>
      <c r="I1990" s="698"/>
      <c r="J1990" s="2137" t="str">
        <f t="shared" ref="J1990:N1993" si="150">I2062</f>
        <v/>
      </c>
      <c r="K1990" s="2072" t="str">
        <f t="shared" si="150"/>
        <v/>
      </c>
      <c r="L1990" s="2073" t="str">
        <f t="shared" si="150"/>
        <v/>
      </c>
      <c r="M1990" s="2073" t="str">
        <f t="shared" si="150"/>
        <v/>
      </c>
      <c r="N1990" s="2073" t="str">
        <f t="shared" si="150"/>
        <v/>
      </c>
      <c r="O1990" s="485"/>
      <c r="P1990" s="1137"/>
      <c r="Q1990" s="1137"/>
      <c r="R1990" s="1137"/>
      <c r="S1990" s="1137"/>
      <c r="T1990" s="1137"/>
      <c r="U1990" s="1137"/>
      <c r="V1990" s="1137"/>
    </row>
    <row r="1991" spans="1:22" s="562" customFormat="1" ht="12.75" hidden="1" customHeight="1">
      <c r="A1991" s="719" t="s">
        <v>2289</v>
      </c>
      <c r="B1991" s="485"/>
      <c r="C1991" s="559"/>
      <c r="D1991" s="706"/>
      <c r="E1991" s="720" t="s">
        <v>303</v>
      </c>
      <c r="F1991" s="720"/>
      <c r="G1991" s="720"/>
      <c r="H1991" s="721" t="str">
        <f>EUconst_EUA</f>
        <v>UKA</v>
      </c>
      <c r="I1991" s="722"/>
      <c r="J1991" s="2138" t="str">
        <f t="shared" si="150"/>
        <v/>
      </c>
      <c r="K1991" s="2072" t="str">
        <f t="shared" si="150"/>
        <v/>
      </c>
      <c r="L1991" s="2073" t="str">
        <f t="shared" si="150"/>
        <v/>
      </c>
      <c r="M1991" s="2073" t="str">
        <f t="shared" si="150"/>
        <v/>
      </c>
      <c r="N1991" s="2073" t="str">
        <f t="shared" si="150"/>
        <v/>
      </c>
      <c r="O1991" s="485"/>
      <c r="P1991" s="1137"/>
      <c r="Q1991" s="1137"/>
      <c r="R1991" s="1137"/>
      <c r="S1991" s="1137"/>
      <c r="T1991" s="1137"/>
      <c r="U1991" s="1137"/>
      <c r="V1991" s="1137"/>
    </row>
    <row r="1992" spans="1:22" s="562" customFormat="1" ht="12.75" hidden="1" customHeight="1">
      <c r="A1992" s="719" t="s">
        <v>2289</v>
      </c>
      <c r="B1992" s="485"/>
      <c r="C1992" s="559"/>
      <c r="D1992" s="706"/>
      <c r="E1992" s="723" t="s">
        <v>1422</v>
      </c>
      <c r="F1992" s="723"/>
      <c r="G1992" s="723"/>
      <c r="H1992" s="724" t="str">
        <f>EUconst_EUA</f>
        <v>UKA</v>
      </c>
      <c r="I1992" s="725"/>
      <c r="J1992" s="2139" t="str">
        <f t="shared" si="150"/>
        <v/>
      </c>
      <c r="K1992" s="2072" t="str">
        <f t="shared" si="150"/>
        <v/>
      </c>
      <c r="L1992" s="2073" t="str">
        <f t="shared" si="150"/>
        <v/>
      </c>
      <c r="M1992" s="2073" t="str">
        <f t="shared" si="150"/>
        <v/>
      </c>
      <c r="N1992" s="2073" t="str">
        <f t="shared" si="150"/>
        <v/>
      </c>
      <c r="O1992" s="485"/>
      <c r="P1992" s="1137"/>
      <c r="Q1992" s="1137"/>
      <c r="R1992" s="1137"/>
      <c r="S1992" s="1137"/>
      <c r="T1992" s="1137"/>
      <c r="U1992" s="1137"/>
      <c r="V1992" s="1137"/>
    </row>
    <row r="1993" spans="1:22" s="562" customFormat="1" ht="12.75" hidden="1" customHeight="1">
      <c r="A1993" s="719" t="s">
        <v>2289</v>
      </c>
      <c r="B1993" s="485"/>
      <c r="C1993" s="559"/>
      <c r="D1993" s="706"/>
      <c r="E1993" s="745" t="s">
        <v>1390</v>
      </c>
      <c r="F1993" s="745"/>
      <c r="G1993" s="745"/>
      <c r="H1993" s="746" t="str">
        <f>EUconst_EUA</f>
        <v>UKA</v>
      </c>
      <c r="I1993" s="747"/>
      <c r="J1993" s="2148" t="str">
        <f t="shared" si="150"/>
        <v/>
      </c>
      <c r="K1993" s="2072" t="str">
        <f t="shared" si="150"/>
        <v/>
      </c>
      <c r="L1993" s="2073" t="str">
        <f t="shared" si="150"/>
        <v/>
      </c>
      <c r="M1993" s="2073" t="str">
        <f t="shared" si="150"/>
        <v/>
      </c>
      <c r="N1993" s="2073" t="str">
        <f t="shared" si="150"/>
        <v/>
      </c>
      <c r="O1993" s="485"/>
      <c r="P1993" s="1137"/>
      <c r="Q1993" s="1137"/>
      <c r="R1993" s="1137"/>
      <c r="S1993" s="1137"/>
      <c r="T1993" s="1137"/>
      <c r="U1993" s="1137"/>
      <c r="V1993" s="1137"/>
    </row>
    <row r="1994" spans="1:22" s="562" customFormat="1" ht="12.75" customHeight="1">
      <c r="A1994" s="719"/>
      <c r="B1994" s="485"/>
      <c r="C1994" s="559"/>
      <c r="D1994" s="706"/>
      <c r="E1994" s="720" t="s">
        <v>1691</v>
      </c>
      <c r="F1994" s="720"/>
      <c r="G1994" s="720"/>
      <c r="H1994" s="748" t="s">
        <v>1021</v>
      </c>
      <c r="I1994" s="722"/>
      <c r="J1994" s="2149" t="str">
        <f>INDEX(F_ProductBM!J:J,MATCH($P1994,F_ProductBM!$Q:$Q,0))</f>
        <v/>
      </c>
      <c r="K1994" s="2141" t="str">
        <f>INDEX(F_ProductBM!K:K,MATCH($P1994,F_ProductBM!$Q:$Q,0))</f>
        <v/>
      </c>
      <c r="L1994" s="2142" t="str">
        <f>INDEX(F_ProductBM!L:L,MATCH($P1994,F_ProductBM!$Q:$Q,0))</f>
        <v/>
      </c>
      <c r="M1994" s="2142" t="str">
        <f>INDEX(F_ProductBM!M:M,MATCH($P1994,F_ProductBM!$Q:$Q,0))</f>
        <v/>
      </c>
      <c r="N1994" s="2142" t="str">
        <f>INDEX(F_ProductBM!N:N,MATCH($P1994,F_ProductBM!$Q:$Q,0))</f>
        <v/>
      </c>
      <c r="O1994" s="485"/>
      <c r="P1994" s="1158" t="str">
        <f>EUconst_CNTR_HAL &amp; EUconst_CNTR_ELEXCHInitial &amp; I1953</f>
        <v>HAL_ELEXCHIni_</v>
      </c>
      <c r="Q1994" s="1137"/>
      <c r="R1994" s="1137"/>
      <c r="S1994" s="1137"/>
      <c r="T1994" s="1137"/>
      <c r="U1994" s="1137"/>
      <c r="V1994" s="1137"/>
    </row>
    <row r="1995" spans="1:22" s="562" customFormat="1" ht="12.75" customHeight="1">
      <c r="A1995" s="719"/>
      <c r="B1995" s="485"/>
      <c r="C1995" s="559"/>
      <c r="D1995" s="706"/>
      <c r="E1995" s="723" t="s">
        <v>2232</v>
      </c>
      <c r="F1995" s="723"/>
      <c r="G1995" s="723"/>
      <c r="H1995" s="734" t="s">
        <v>1021</v>
      </c>
      <c r="I1995" s="735"/>
      <c r="J1995" s="23" t="str">
        <f>INDEX(F_ProductBM!J:J,MATCH($P1995,F_ProductBM!$Q:$Q,0))</f>
        <v/>
      </c>
      <c r="K1995" s="46" t="str">
        <f>INDEX(F_ProductBM!K:K,MATCH($P1995,F_ProductBM!$Q:$Q,0))</f>
        <v/>
      </c>
      <c r="L1995" s="27" t="str">
        <f>INDEX(F_ProductBM!L:L,MATCH($P1995,F_ProductBM!$Q:$Q,0))</f>
        <v/>
      </c>
      <c r="M1995" s="27" t="str">
        <f>INDEX(F_ProductBM!M:M,MATCH($P1995,F_ProductBM!$Q:$Q,0))</f>
        <v/>
      </c>
      <c r="N1995" s="27" t="str">
        <f>INDEX(F_ProductBM!N:N,MATCH($P1995,F_ProductBM!$Q:$Q,0))</f>
        <v/>
      </c>
      <c r="O1995" s="485"/>
      <c r="P1995" s="1158" t="str">
        <f>EUconst_CNTR_RelThreshold &amp; P1997</f>
        <v>RelThresh_HALprelim_ELEXCH_</v>
      </c>
      <c r="Q1995" s="1137"/>
      <c r="R1995" s="1137"/>
      <c r="S1995" s="1137"/>
      <c r="T1995" s="1137"/>
      <c r="U1995" s="1137"/>
      <c r="V1995" s="1137"/>
    </row>
    <row r="1996" spans="1:22" s="562" customFormat="1" ht="12.75" customHeight="1">
      <c r="A1996" s="719"/>
      <c r="B1996" s="485"/>
      <c r="C1996" s="559"/>
      <c r="D1996" s="706"/>
      <c r="E1996" s="736" t="s">
        <v>1852</v>
      </c>
      <c r="F1996" s="736"/>
      <c r="G1996" s="736"/>
      <c r="H1996" s="737" t="s">
        <v>1021</v>
      </c>
      <c r="I1996" s="738"/>
      <c r="J1996" s="2145" t="str">
        <f>INDEX(F_ProductBM!V:V,MATCH($P1996,F_ProductBM!$Q:$Q,0))</f>
        <v/>
      </c>
      <c r="K1996" s="2134" t="str">
        <f>INDEX(F_ProductBM!W:W,MATCH($P1996,F_ProductBM!$Q:$Q,0))</f>
        <v/>
      </c>
      <c r="L1996" s="2135" t="str">
        <f>INDEX(F_ProductBM!X:X,MATCH($P1996,F_ProductBM!$Q:$Q,0))</f>
        <v/>
      </c>
      <c r="M1996" s="2135" t="str">
        <f>INDEX(F_ProductBM!Y:Y,MATCH($P1996,F_ProductBM!$Q:$Q,0))</f>
        <v/>
      </c>
      <c r="N1996" s="2135" t="str">
        <f>INDEX(F_ProductBM!Z:Z,MATCH($P1996,F_ProductBM!$Q:$Q,0))</f>
        <v/>
      </c>
      <c r="O1996" s="485"/>
      <c r="P1996" s="1158" t="str">
        <f>P1995</f>
        <v>RelThresh_HALprelim_ELEXCH_</v>
      </c>
      <c r="Q1996" s="1137"/>
      <c r="R1996" s="1137"/>
      <c r="S1996" s="1137"/>
      <c r="T1996" s="1137"/>
      <c r="U1996" s="1137"/>
      <c r="V1996" s="1137"/>
    </row>
    <row r="1997" spans="1:22" s="562" customFormat="1" ht="12.75" customHeight="1">
      <c r="A1997" s="719"/>
      <c r="B1997" s="485"/>
      <c r="C1997" s="559"/>
      <c r="D1997" s="706"/>
      <c r="E1997" s="727" t="s">
        <v>1689</v>
      </c>
      <c r="F1997" s="727"/>
      <c r="G1997" s="727"/>
      <c r="H1997" s="749" t="s">
        <v>1021</v>
      </c>
      <c r="I1997" s="727"/>
      <c r="J1997" s="2150" t="str">
        <f>IF($I1956=TRUE,INDEX(F_ProductBM!J:J,MATCH($P1997,F_ProductBM!$Q:$Q,0)),"")</f>
        <v/>
      </c>
      <c r="K1997" s="2141" t="str">
        <f>IF($I1956=TRUE,INDEX(F_ProductBM!K:K,MATCH($P1997,F_ProductBM!$Q:$Q,0)),"")</f>
        <v/>
      </c>
      <c r="L1997" s="2142" t="str">
        <f>IF($I1956=TRUE,INDEX(F_ProductBM!L:L,MATCH($P1997,F_ProductBM!$Q:$Q,0)),"")</f>
        <v/>
      </c>
      <c r="M1997" s="2142" t="str">
        <f>IF($I1956=TRUE,INDEX(F_ProductBM!M:M,MATCH($P1997,F_ProductBM!$Q:$Q,0)),"")</f>
        <v/>
      </c>
      <c r="N1997" s="2142" t="str">
        <f>IF($I1956=TRUE,INDEX(F_ProductBM!N:N,MATCH($P1997,F_ProductBM!$Q:$Q,0)),"")</f>
        <v/>
      </c>
      <c r="O1997" s="485"/>
      <c r="P1997" s="1158" t="str">
        <f>EUconst_CNTR_HALprelim&amp;EUconst_CNTR_ELEXCH&amp;$I1953</f>
        <v>HALprelim_ELEXCH_</v>
      </c>
      <c r="Q1997" s="1137"/>
      <c r="R1997" s="1137"/>
      <c r="S1997" s="1137"/>
      <c r="T1997" s="1137"/>
      <c r="U1997" s="1137"/>
      <c r="V1997" s="1137"/>
    </row>
    <row r="1998" spans="1:22" s="562" customFormat="1" ht="12.75" hidden="1" customHeight="1">
      <c r="A1998" s="719" t="s">
        <v>2289</v>
      </c>
      <c r="B1998" s="485"/>
      <c r="C1998" s="559"/>
      <c r="D1998" s="706"/>
      <c r="E1998" s="727" t="s">
        <v>1391</v>
      </c>
      <c r="F1998" s="727"/>
      <c r="G1998" s="727"/>
      <c r="H1998" s="750" t="s">
        <v>1021</v>
      </c>
      <c r="I1998" s="729"/>
      <c r="J1998" s="2143" t="str">
        <f>I2067</f>
        <v/>
      </c>
      <c r="K1998" s="2141" t="str">
        <f>J2067</f>
        <v/>
      </c>
      <c r="L1998" s="2142" t="str">
        <f>K2067</f>
        <v/>
      </c>
      <c r="M1998" s="2142" t="str">
        <f>L2067</f>
        <v/>
      </c>
      <c r="N1998" s="2142" t="str">
        <f>M2067</f>
        <v/>
      </c>
      <c r="O1998" s="485"/>
      <c r="P1998" s="1137"/>
      <c r="Q1998" s="1137"/>
      <c r="R1998" s="1137"/>
      <c r="S1998" s="1137"/>
      <c r="T1998" s="1137"/>
      <c r="U1998" s="1137"/>
      <c r="V1998" s="1137"/>
    </row>
    <row r="1999" spans="1:22" s="562" customFormat="1" ht="12.75" customHeight="1">
      <c r="A1999" s="719"/>
      <c r="B1999" s="485"/>
      <c r="C1999" s="559"/>
      <c r="D1999" s="706"/>
      <c r="E1999" s="698" t="s">
        <v>1671</v>
      </c>
      <c r="F1999" s="698"/>
      <c r="G1999" s="698"/>
      <c r="H1999" s="730" t="str">
        <f>EUconst_EUA</f>
        <v>UKA</v>
      </c>
      <c r="I1999" s="731"/>
      <c r="J1999" s="2129" t="str">
        <f>IF($I1956=TRUE,MAX(0,ROUND((SUM($M1956)*SUM(J1990)*SUM(J1997)*SUM(J1998)-SUM(J1991)-SUM(J1992)+SUM(J1993))*IF($H1956=TRUE,1,J$2517),0)),"")</f>
        <v/>
      </c>
      <c r="K1999" s="2072" t="str">
        <f>IF($I1956=TRUE,MAX(0,ROUND((SUM($M1956)*SUM(K1990)*SUM(K1997)*SUM(K1998)-SUM(K1991)-SUM(K1992)+SUM(K1993))*IF($H1956=TRUE,1,K$2517),0)),"")</f>
        <v/>
      </c>
      <c r="L1999" s="2073" t="str">
        <f>IF($I1956=TRUE,MAX(0,ROUND((SUM($M1956)*SUM(L1990)*SUM(L1997)*SUM(L1998)-SUM(L1991)-SUM(L1992)+SUM(L1993))*IF($H1956=TRUE,1,L$2517),0)),"")</f>
        <v/>
      </c>
      <c r="M1999" s="2073" t="str">
        <f>IF($I1956=TRUE,MAX(0,ROUND((SUM($M1956)*SUM(M1990)*SUM(M1997)*SUM(M1998)-SUM(M1991)-SUM(M1992)+SUM(M1993))*IF($H1956=TRUE,1,M$2517),0)),"")</f>
        <v/>
      </c>
      <c r="N1999" s="2073" t="str">
        <f>IF($I1956=TRUE,MAX(0,ROUND((SUM($M1956)*SUM(N1990)*SUM(N1997)*SUM(N1998)-SUM(N1991)-SUM(N1992)+SUM(N1993))*IF($H1956=TRUE,1,N$2517),0)),"")</f>
        <v/>
      </c>
      <c r="O1999" s="485"/>
      <c r="P1999" s="1137"/>
      <c r="Q1999" s="1137"/>
      <c r="R1999" s="1137"/>
      <c r="S1999" s="1137"/>
      <c r="T1999" s="1137"/>
      <c r="U1999" s="1137"/>
      <c r="V1999" s="1137"/>
    </row>
    <row r="2000" spans="1:22" s="562" customFormat="1" ht="12.75" customHeight="1">
      <c r="A2000" s="719"/>
      <c r="B2000" s="485"/>
      <c r="C2000" s="559"/>
      <c r="D2000" s="706"/>
      <c r="E2000" s="698" t="s">
        <v>1670</v>
      </c>
      <c r="F2000" s="698"/>
      <c r="G2000" s="698"/>
      <c r="H2000" s="730" t="str">
        <f>EUconst_EUA</f>
        <v>UKA</v>
      </c>
      <c r="I2000" s="731"/>
      <c r="J2000" s="2129" t="str">
        <f>IF($I1956=TRUE,ABS(SUM(J1999)-SUM(J1973)),"")</f>
        <v/>
      </c>
      <c r="K2000" s="2072" t="str">
        <f>IF($I1956=TRUE,ABS(SUM(K1999)-SUM(K1973)),"")</f>
        <v/>
      </c>
      <c r="L2000" s="2073" t="str">
        <f>IF($I1956=TRUE,ABS(SUM(L1999)-SUM(L1973)),"")</f>
        <v/>
      </c>
      <c r="M2000" s="2073" t="str">
        <f>IF($I1956=TRUE,ABS(SUM(M1999)-SUM(M1973)),"")</f>
        <v/>
      </c>
      <c r="N2000" s="2073" t="str">
        <f>IF($I1956=TRUE,ABS(SUM(N1999)-SUM(N1973)),"")</f>
        <v/>
      </c>
      <c r="O2000" s="485"/>
      <c r="P2000" s="1137"/>
      <c r="Q2000" s="1137"/>
      <c r="R2000" s="1137"/>
      <c r="S2000" s="1137"/>
      <c r="T2000" s="1137"/>
      <c r="U2000" s="1137"/>
      <c r="V2000" s="1137"/>
    </row>
    <row r="2001" spans="1:22" s="562" customFormat="1" ht="12.75" customHeight="1">
      <c r="A2001" s="719"/>
      <c r="B2001" s="485"/>
      <c r="C2001" s="559"/>
      <c r="D2001" s="706"/>
      <c r="E2001" s="740" t="s">
        <v>2131</v>
      </c>
      <c r="F2001" s="740"/>
      <c r="G2001" s="740"/>
      <c r="H2001" s="741" t="s">
        <v>1021</v>
      </c>
      <c r="I2001" s="742"/>
      <c r="J2001" s="2147" t="str">
        <f>IF($I1956=TRUE,J2000&gt;=100,"")</f>
        <v/>
      </c>
      <c r="K2001" s="2134" t="str">
        <f>IF($I1956=TRUE,K2000&gt;=100,"")</f>
        <v/>
      </c>
      <c r="L2001" s="2135" t="str">
        <f>IF($I1956=TRUE,L2000&gt;=100,"")</f>
        <v/>
      </c>
      <c r="M2001" s="2135" t="str">
        <f>IF($I1956=TRUE,M2000&gt;=100,"")</f>
        <v/>
      </c>
      <c r="N2001" s="2135" t="str">
        <f>IF($I1956=TRUE,N2000&gt;=100,"")</f>
        <v/>
      </c>
      <c r="O2001" s="485"/>
      <c r="P2001" s="1158" t="str">
        <f>EUconst_CNTR_100EUA_ElExch&amp;I1953</f>
        <v>EUA100ElExch_</v>
      </c>
      <c r="Q2001" s="1137"/>
      <c r="R2001" s="1137"/>
      <c r="S2001" s="1137"/>
      <c r="T2001" s="1137"/>
      <c r="U2001" s="1137"/>
      <c r="V2001" s="1137"/>
    </row>
    <row r="2002" spans="1:22" s="562" customFormat="1" ht="5.0999999999999996" customHeight="1">
      <c r="A2002" s="719"/>
      <c r="B2002" s="485"/>
      <c r="C2002" s="559"/>
      <c r="D2002" s="706"/>
      <c r="E2002" s="485"/>
      <c r="F2002" s="485"/>
      <c r="G2002" s="485"/>
      <c r="H2002" s="485"/>
      <c r="I2002" s="743"/>
      <c r="J2002" s="485"/>
      <c r="K2002" s="1790"/>
      <c r="L2002" s="1791"/>
      <c r="M2002" s="1791"/>
      <c r="N2002" s="1791"/>
      <c r="O2002" s="485"/>
      <c r="P2002" s="1137"/>
      <c r="Q2002" s="1137"/>
      <c r="R2002" s="1137"/>
      <c r="S2002" s="1137"/>
      <c r="T2002" s="1137"/>
      <c r="U2002" s="1137"/>
      <c r="V2002" s="1137"/>
    </row>
    <row r="2003" spans="1:22" s="562" customFormat="1" ht="12.75" customHeight="1">
      <c r="A2003" s="719"/>
      <c r="B2003" s="485"/>
      <c r="C2003" s="559"/>
      <c r="D2003" s="706"/>
      <c r="E2003" s="707" t="s">
        <v>1754</v>
      </c>
      <c r="F2003" s="637"/>
      <c r="G2003" s="637"/>
      <c r="H2003" s="663" t="str">
        <f>EUconst_Unit</f>
        <v>Unit</v>
      </c>
      <c r="I2003" s="708"/>
      <c r="J2003" s="2132">
        <f>J$2737</f>
        <v>2026</v>
      </c>
      <c r="K2003" s="1489">
        <f>K$2737</f>
        <v>2027</v>
      </c>
      <c r="L2003" s="1490">
        <f>L$2737</f>
        <v>2028</v>
      </c>
      <c r="M2003" s="1490">
        <f>M$2737</f>
        <v>2029</v>
      </c>
      <c r="N2003" s="1490">
        <f>N$2737</f>
        <v>2030</v>
      </c>
      <c r="O2003" s="485"/>
      <c r="P2003" s="1137"/>
      <c r="Q2003" s="1137"/>
      <c r="R2003" s="1137"/>
      <c r="S2003" s="1137"/>
      <c r="T2003" s="1137"/>
      <c r="U2003" s="1137"/>
      <c r="V2003" s="1137"/>
    </row>
    <row r="2004" spans="1:22" s="562" customFormat="1" ht="12.75" hidden="1" customHeight="1">
      <c r="A2004" s="719" t="s">
        <v>2289</v>
      </c>
      <c r="B2004" s="485"/>
      <c r="C2004" s="559"/>
      <c r="D2004" s="706"/>
      <c r="E2004" s="698" t="s">
        <v>1714</v>
      </c>
      <c r="F2004" s="698"/>
      <c r="G2004" s="698"/>
      <c r="H2004" s="639" t="str">
        <f>H1990</f>
        <v>tonnes</v>
      </c>
      <c r="I2004" s="698"/>
      <c r="J2004" s="2137" t="str">
        <f>I2062</f>
        <v/>
      </c>
      <c r="K2004" s="2072" t="str">
        <f>J2062</f>
        <v/>
      </c>
      <c r="L2004" s="2073" t="str">
        <f>K2062</f>
        <v/>
      </c>
      <c r="M2004" s="2073" t="str">
        <f>L2062</f>
        <v/>
      </c>
      <c r="N2004" s="2073" t="str">
        <f>M2062</f>
        <v/>
      </c>
      <c r="O2004" s="485"/>
      <c r="P2004" s="1137"/>
      <c r="Q2004" s="1137"/>
      <c r="R2004" s="1137"/>
      <c r="S2004" s="1137"/>
      <c r="T2004" s="1137"/>
      <c r="U2004" s="1137"/>
      <c r="V2004" s="1137"/>
    </row>
    <row r="2005" spans="1:22" s="562" customFormat="1" ht="12.75" customHeight="1">
      <c r="A2005" s="719"/>
      <c r="B2005" s="485"/>
      <c r="C2005" s="559"/>
      <c r="D2005" s="706"/>
      <c r="E2005" s="720" t="s">
        <v>1691</v>
      </c>
      <c r="F2005" s="720"/>
      <c r="G2005" s="720"/>
      <c r="H2005" s="748" t="str">
        <f>EUconst_EUA</f>
        <v>UKA</v>
      </c>
      <c r="I2005" s="722"/>
      <c r="J2005" s="2144" t="str">
        <f>IF(R1959,SUM(INDEX(F_ProductBM!J:J,MATCH($P2005,F_ProductBM!$Q:$Q,0))),"")</f>
        <v/>
      </c>
      <c r="K2005" s="2072" t="str">
        <f>IF(S1959,SUM(INDEX(F_ProductBM!K:K,MATCH($P2005,F_ProductBM!$Q:$Q,0))),"")</f>
        <v/>
      </c>
      <c r="L2005" s="2073" t="str">
        <f>IF(T1959,SUM(INDEX(F_ProductBM!L:L,MATCH($P2005,F_ProductBM!$Q:$Q,0))),"")</f>
        <v/>
      </c>
      <c r="M2005" s="2073" t="str">
        <f>IF(U1959,SUM(INDEX(F_ProductBM!M:M,MATCH($P2005,F_ProductBM!$Q:$Q,0))),"")</f>
        <v/>
      </c>
      <c r="N2005" s="2073" t="str">
        <f>IF(V1959,SUM(INDEX(F_ProductBM!N:N,MATCH($P2005,F_ProductBM!$Q:$Q,0))),"")</f>
        <v/>
      </c>
      <c r="O2005" s="485"/>
      <c r="P2005" s="1158" t="str">
        <f>EUconst_CNTR_HEATInitial &amp; I1953</f>
        <v>HEATIni_</v>
      </c>
      <c r="Q2005" s="1137"/>
      <c r="R2005" s="1137"/>
      <c r="S2005" s="1137"/>
      <c r="T2005" s="1137"/>
      <c r="U2005" s="1137"/>
      <c r="V2005" s="1137"/>
    </row>
    <row r="2006" spans="1:22" s="562" customFormat="1" ht="12.75" customHeight="1">
      <c r="A2006" s="719"/>
      <c r="B2006" s="485"/>
      <c r="C2006" s="559"/>
      <c r="D2006" s="706"/>
      <c r="E2006" s="723" t="s">
        <v>2232</v>
      </c>
      <c r="F2006" s="723"/>
      <c r="G2006" s="723"/>
      <c r="H2006" s="734" t="s">
        <v>1021</v>
      </c>
      <c r="I2006" s="735"/>
      <c r="J2006" s="23" t="str">
        <f>INDEX(F_ProductBM!J:J,MATCH($P2006,F_ProductBM!$Q:$Q,0))</f>
        <v/>
      </c>
      <c r="K2006" s="46" t="str">
        <f>INDEX(F_ProductBM!K:K,MATCH($P2006,F_ProductBM!$Q:$Q,0))</f>
        <v/>
      </c>
      <c r="L2006" s="27" t="str">
        <f>INDEX(F_ProductBM!L:L,MATCH($P2006,F_ProductBM!$Q:$Q,0))</f>
        <v/>
      </c>
      <c r="M2006" s="27" t="str">
        <f>INDEX(F_ProductBM!M:M,MATCH($P2006,F_ProductBM!$Q:$Q,0))</f>
        <v/>
      </c>
      <c r="N2006" s="27" t="str">
        <f>INDEX(F_ProductBM!N:N,MATCH($P2006,F_ProductBM!$Q:$Q,0))</f>
        <v/>
      </c>
      <c r="O2006" s="485"/>
      <c r="P2006" s="1158" t="str">
        <f>EUconst_CNTR_RelThreshold &amp; P2008</f>
        <v>RelThresh_HEATprelim_</v>
      </c>
      <c r="Q2006" s="1137"/>
      <c r="R2006" s="1137"/>
      <c r="S2006" s="1137"/>
      <c r="T2006" s="1137"/>
      <c r="U2006" s="1137"/>
      <c r="V2006" s="1137"/>
    </row>
    <row r="2007" spans="1:22" s="562" customFormat="1" ht="12.75" customHeight="1">
      <c r="A2007" s="719"/>
      <c r="B2007" s="485"/>
      <c r="C2007" s="559"/>
      <c r="D2007" s="706"/>
      <c r="E2007" s="736" t="s">
        <v>1853</v>
      </c>
      <c r="F2007" s="736"/>
      <c r="G2007" s="736"/>
      <c r="H2007" s="737" t="s">
        <v>1021</v>
      </c>
      <c r="I2007" s="738"/>
      <c r="J2007" s="2145" t="str">
        <f>INDEX(F_ProductBM!V:V,MATCH($P2007,F_ProductBM!$Q:$Q,0))</f>
        <v/>
      </c>
      <c r="K2007" s="2134" t="str">
        <f>INDEX(F_ProductBM!W:W,MATCH($P2007,F_ProductBM!$Q:$Q,0))</f>
        <v/>
      </c>
      <c r="L2007" s="2135" t="str">
        <f>INDEX(F_ProductBM!X:X,MATCH($P2007,F_ProductBM!$Q:$Q,0))</f>
        <v/>
      </c>
      <c r="M2007" s="2135" t="str">
        <f>INDEX(F_ProductBM!Y:Y,MATCH($P2007,F_ProductBM!$Q:$Q,0))</f>
        <v/>
      </c>
      <c r="N2007" s="2135" t="str">
        <f>INDEX(F_ProductBM!Z:Z,MATCH($P2007,F_ProductBM!$Q:$Q,0))</f>
        <v/>
      </c>
      <c r="O2007" s="485"/>
      <c r="P2007" s="1158" t="str">
        <f>P2006</f>
        <v>RelThresh_HEATprelim_</v>
      </c>
      <c r="Q2007" s="1137"/>
      <c r="R2007" s="1137"/>
      <c r="S2007" s="1137"/>
      <c r="T2007" s="1137"/>
      <c r="U2007" s="1137"/>
      <c r="V2007" s="1137"/>
    </row>
    <row r="2008" spans="1:22" s="562" customFormat="1" ht="12.75" customHeight="1">
      <c r="A2008" s="719"/>
      <c r="B2008" s="485"/>
      <c r="C2008" s="559"/>
      <c r="D2008" s="706"/>
      <c r="E2008" s="727" t="s">
        <v>1689</v>
      </c>
      <c r="F2008" s="727"/>
      <c r="G2008" s="727"/>
      <c r="H2008" s="749" t="str">
        <f>EUconst_EUA</f>
        <v>UKA</v>
      </c>
      <c r="I2008" s="727"/>
      <c r="J2008" s="2146" t="str">
        <f>IF($I1953="","",INDEX(F_ProductBM!J:J,MATCH($P2008,F_ProductBM!$Q:$Q,0)))</f>
        <v/>
      </c>
      <c r="K2008" s="2072" t="str">
        <f>IF($I1953="","",INDEX(F_ProductBM!K:K,MATCH($P2008,F_ProductBM!$Q:$Q,0)))</f>
        <v/>
      </c>
      <c r="L2008" s="2073" t="str">
        <f>IF($I1953="","",INDEX(F_ProductBM!L:L,MATCH($P2008,F_ProductBM!$Q:$Q,0)))</f>
        <v/>
      </c>
      <c r="M2008" s="2073" t="str">
        <f>IF($I1953="","",INDEX(F_ProductBM!M:M,MATCH($P2008,F_ProductBM!$Q:$Q,0)))</f>
        <v/>
      </c>
      <c r="N2008" s="2073" t="str">
        <f>IF($I1953="","",INDEX(F_ProductBM!N:N,MATCH($P2008,F_ProductBM!$Q:$Q,0)))</f>
        <v/>
      </c>
      <c r="O2008" s="485"/>
      <c r="P2008" s="1158" t="str">
        <f>EUconst_CNTR_HEATprelim&amp;I1953</f>
        <v>HEATprelim_</v>
      </c>
      <c r="Q2008" s="1137"/>
      <c r="R2008" s="1137"/>
      <c r="S2008" s="1137"/>
      <c r="T2008" s="1137"/>
      <c r="U2008" s="1137"/>
      <c r="V2008" s="1137"/>
    </row>
    <row r="2009" spans="1:22" s="562" customFormat="1" ht="12.75" hidden="1" customHeight="1">
      <c r="A2009" s="719" t="s">
        <v>2289</v>
      </c>
      <c r="B2009" s="485"/>
      <c r="C2009" s="559"/>
      <c r="D2009" s="706"/>
      <c r="E2009" s="723" t="s">
        <v>1422</v>
      </c>
      <c r="F2009" s="723"/>
      <c r="G2009" s="723"/>
      <c r="H2009" s="724" t="str">
        <f>EUconst_EUA</f>
        <v>UKA</v>
      </c>
      <c r="I2009" s="725"/>
      <c r="J2009" s="2139" t="str">
        <f t="shared" ref="J2009:N2012" si="151">I2064</f>
        <v/>
      </c>
      <c r="K2009" s="2072" t="str">
        <f t="shared" si="151"/>
        <v/>
      </c>
      <c r="L2009" s="2073" t="str">
        <f t="shared" si="151"/>
        <v/>
      </c>
      <c r="M2009" s="2073" t="str">
        <f t="shared" si="151"/>
        <v/>
      </c>
      <c r="N2009" s="2073" t="str">
        <f t="shared" si="151"/>
        <v/>
      </c>
      <c r="O2009" s="485"/>
      <c r="P2009" s="1137"/>
      <c r="Q2009" s="1137"/>
      <c r="R2009" s="1137"/>
      <c r="S2009" s="1137"/>
      <c r="T2009" s="1137"/>
      <c r="U2009" s="1137"/>
      <c r="V2009" s="1137"/>
    </row>
    <row r="2010" spans="1:22" s="562" customFormat="1" ht="12.75" hidden="1" customHeight="1">
      <c r="A2010" s="719" t="s">
        <v>2289</v>
      </c>
      <c r="B2010" s="485"/>
      <c r="C2010" s="559"/>
      <c r="D2010" s="706"/>
      <c r="E2010" s="723" t="s">
        <v>1390</v>
      </c>
      <c r="F2010" s="723"/>
      <c r="G2010" s="723"/>
      <c r="H2010" s="724" t="str">
        <f>EUconst_EUA</f>
        <v>UKA</v>
      </c>
      <c r="I2010" s="725"/>
      <c r="J2010" s="2139" t="str">
        <f t="shared" si="151"/>
        <v/>
      </c>
      <c r="K2010" s="2072" t="str">
        <f t="shared" si="151"/>
        <v/>
      </c>
      <c r="L2010" s="2073" t="str">
        <f t="shared" si="151"/>
        <v/>
      </c>
      <c r="M2010" s="2073" t="str">
        <f t="shared" si="151"/>
        <v/>
      </c>
      <c r="N2010" s="2073" t="str">
        <f t="shared" si="151"/>
        <v/>
      </c>
      <c r="O2010" s="485"/>
      <c r="P2010" s="1137"/>
      <c r="Q2010" s="1137"/>
      <c r="R2010" s="1137"/>
      <c r="S2010" s="1137"/>
      <c r="T2010" s="1137"/>
      <c r="U2010" s="1137"/>
      <c r="V2010" s="1137"/>
    </row>
    <row r="2011" spans="1:22" s="562" customFormat="1" ht="12.75" hidden="1" customHeight="1">
      <c r="A2011" s="719" t="s">
        <v>2289</v>
      </c>
      <c r="B2011" s="485"/>
      <c r="C2011" s="559"/>
      <c r="D2011" s="706"/>
      <c r="E2011" s="723" t="s">
        <v>1389</v>
      </c>
      <c r="F2011" s="723"/>
      <c r="G2011" s="723"/>
      <c r="H2011" s="726" t="s">
        <v>1021</v>
      </c>
      <c r="I2011" s="725"/>
      <c r="J2011" s="2140" t="str">
        <f t="shared" si="151"/>
        <v/>
      </c>
      <c r="K2011" s="2141" t="str">
        <f t="shared" si="151"/>
        <v/>
      </c>
      <c r="L2011" s="2142" t="str">
        <f t="shared" si="151"/>
        <v/>
      </c>
      <c r="M2011" s="2142" t="str">
        <f t="shared" si="151"/>
        <v/>
      </c>
      <c r="N2011" s="2142" t="str">
        <f t="shared" si="151"/>
        <v/>
      </c>
      <c r="O2011" s="485"/>
      <c r="P2011" s="1137"/>
      <c r="Q2011" s="1137"/>
      <c r="R2011" s="1137"/>
      <c r="S2011" s="1137"/>
      <c r="T2011" s="1137"/>
      <c r="U2011" s="1137"/>
      <c r="V2011" s="1137"/>
    </row>
    <row r="2012" spans="1:22" s="562" customFormat="1" ht="12.75" hidden="1" customHeight="1">
      <c r="A2012" s="719" t="s">
        <v>2289</v>
      </c>
      <c r="B2012" s="485"/>
      <c r="C2012" s="559"/>
      <c r="D2012" s="706"/>
      <c r="E2012" s="727" t="s">
        <v>1391</v>
      </c>
      <c r="F2012" s="727"/>
      <c r="G2012" s="727"/>
      <c r="H2012" s="728" t="s">
        <v>1021</v>
      </c>
      <c r="I2012" s="729"/>
      <c r="J2012" s="2143" t="str">
        <f t="shared" si="151"/>
        <v/>
      </c>
      <c r="K2012" s="2141" t="str">
        <f t="shared" si="151"/>
        <v/>
      </c>
      <c r="L2012" s="2142" t="str">
        <f t="shared" si="151"/>
        <v/>
      </c>
      <c r="M2012" s="2142" t="str">
        <f t="shared" si="151"/>
        <v/>
      </c>
      <c r="N2012" s="2142" t="str">
        <f t="shared" si="151"/>
        <v/>
      </c>
      <c r="O2012" s="485"/>
      <c r="P2012" s="1137"/>
      <c r="Q2012" s="1137"/>
      <c r="R2012" s="1137"/>
      <c r="S2012" s="1137"/>
      <c r="T2012" s="1137"/>
      <c r="U2012" s="1137"/>
      <c r="V2012" s="1137"/>
    </row>
    <row r="2013" spans="1:22" s="562" customFormat="1" ht="12.75" customHeight="1">
      <c r="A2013" s="719"/>
      <c r="B2013" s="485"/>
      <c r="C2013" s="559"/>
      <c r="D2013" s="706"/>
      <c r="E2013" s="698" t="s">
        <v>1671</v>
      </c>
      <c r="F2013" s="698"/>
      <c r="G2013" s="698"/>
      <c r="H2013" s="730" t="str">
        <f>EUconst_EUA</f>
        <v>UKA</v>
      </c>
      <c r="I2013" s="731"/>
      <c r="J2013" s="2129" t="str">
        <f>IF($I1953="","",MAX(0,ROUND((SUM($M1956)*SUM(J2004)*SUM(J2011)*SUM(J2012)-SUM(J2008)-SUM(J2009)+SUM(J2010))*IF($H1956=TRUE,1,J$2517),0)))</f>
        <v/>
      </c>
      <c r="K2013" s="2072" t="str">
        <f>IF($I1953="","",MAX(0,ROUND((SUM($M1956)*SUM(K2004)*SUM(K2011)*SUM(K2012)-SUM(K2008)-SUM(K2009)+SUM(K2010))*IF($H1956=TRUE,1,K$2517),0)))</f>
        <v/>
      </c>
      <c r="L2013" s="2073" t="str">
        <f>IF($I1953="","",MAX(0,ROUND((SUM($M1956)*SUM(L2004)*SUM(L2011)*SUM(L2012)-SUM(L2008)-SUM(L2009)+SUM(L2010))*IF($H1956=TRUE,1,L$2517),0)))</f>
        <v/>
      </c>
      <c r="M2013" s="2073" t="str">
        <f>IF($I1953="","",MAX(0,ROUND((SUM($M1956)*SUM(M2004)*SUM(M2011)*SUM(M2012)-SUM(M2008)-SUM(M2009)+SUM(M2010))*IF($H1956=TRUE,1,M$2517),0)))</f>
        <v/>
      </c>
      <c r="N2013" s="2073" t="str">
        <f>IF($I1953="","",MAX(0,ROUND((SUM($M1956)*SUM(N2004)*SUM(N2011)*SUM(N2012)-SUM(N2008)-SUM(N2009)+SUM(N2010))*IF($H1956=TRUE,1,N$2517),0)))</f>
        <v/>
      </c>
      <c r="O2013" s="485"/>
      <c r="P2013" s="1137"/>
      <c r="Q2013" s="1137"/>
      <c r="R2013" s="1137"/>
      <c r="S2013" s="1137"/>
      <c r="T2013" s="1137"/>
      <c r="U2013" s="1137"/>
      <c r="V2013" s="1137"/>
    </row>
    <row r="2014" spans="1:22" s="562" customFormat="1" ht="12.75" customHeight="1">
      <c r="A2014" s="719"/>
      <c r="B2014" s="485"/>
      <c r="C2014" s="559"/>
      <c r="D2014" s="706"/>
      <c r="E2014" s="698" t="s">
        <v>1670</v>
      </c>
      <c r="F2014" s="698"/>
      <c r="G2014" s="698"/>
      <c r="H2014" s="730" t="str">
        <f>EUconst_EUA</f>
        <v>UKA</v>
      </c>
      <c r="I2014" s="731"/>
      <c r="J2014" s="2129" t="str">
        <f>IF($I1953="","",ABS(SUM(J2013)-SUM(J1973)))</f>
        <v/>
      </c>
      <c r="K2014" s="2072" t="str">
        <f>IF($I1953="","",ABS(SUM(K2013)-SUM(K1973)))</f>
        <v/>
      </c>
      <c r="L2014" s="2073" t="str">
        <f>IF($I1953="","",ABS(SUM(L2013)-SUM(L1973)))</f>
        <v/>
      </c>
      <c r="M2014" s="2073" t="str">
        <f>IF($I1953="","",ABS(SUM(M2013)-SUM(M1973)))</f>
        <v/>
      </c>
      <c r="N2014" s="2073" t="str">
        <f>IF($I1953="","",ABS(SUM(N2013)-SUM(N1973)))</f>
        <v/>
      </c>
      <c r="O2014" s="485"/>
      <c r="P2014" s="1137"/>
      <c r="Q2014" s="1137"/>
      <c r="R2014" s="1137"/>
      <c r="S2014" s="1137"/>
      <c r="T2014" s="1137"/>
      <c r="U2014" s="1137"/>
      <c r="V2014" s="1137"/>
    </row>
    <row r="2015" spans="1:22" s="562" customFormat="1" ht="12.75" customHeight="1">
      <c r="A2015" s="719"/>
      <c r="B2015" s="485"/>
      <c r="C2015" s="559"/>
      <c r="D2015" s="706"/>
      <c r="E2015" s="740" t="s">
        <v>2132</v>
      </c>
      <c r="F2015" s="740"/>
      <c r="G2015" s="740"/>
      <c r="H2015" s="741" t="s">
        <v>1021</v>
      </c>
      <c r="I2015" s="742"/>
      <c r="J2015" s="2147" t="str">
        <f>IF($I1953="","",J2014&gt;=100)</f>
        <v/>
      </c>
      <c r="K2015" s="2134" t="str">
        <f>IF($I1953="","",K2014&gt;=100)</f>
        <v/>
      </c>
      <c r="L2015" s="2135" t="str">
        <f>IF($I1953="","",L2014&gt;=100)</f>
        <v/>
      </c>
      <c r="M2015" s="2135" t="str">
        <f>IF($I1953="","",M2014&gt;=100)</f>
        <v/>
      </c>
      <c r="N2015" s="2135" t="str">
        <f>IF($I1953="","",N2014&gt;=100)</f>
        <v/>
      </c>
      <c r="O2015" s="485"/>
      <c r="P2015" s="1158" t="str">
        <f>EUconst_CNTR_100EUA_HEAT&amp;I1953</f>
        <v>EUA100HEAT_</v>
      </c>
      <c r="Q2015" s="1137"/>
      <c r="R2015" s="1137"/>
      <c r="S2015" s="1137"/>
      <c r="T2015" s="1137"/>
      <c r="U2015" s="1137"/>
      <c r="V2015" s="1137"/>
    </row>
    <row r="2016" spans="1:22" s="562" customFormat="1" ht="5.0999999999999996" customHeight="1">
      <c r="A2016" s="719"/>
      <c r="B2016" s="485"/>
      <c r="C2016" s="559"/>
      <c r="D2016" s="706"/>
      <c r="E2016" s="485"/>
      <c r="F2016" s="485"/>
      <c r="G2016" s="485"/>
      <c r="H2016" s="485"/>
      <c r="I2016" s="743"/>
      <c r="J2016" s="485"/>
      <c r="K2016" s="1790"/>
      <c r="L2016" s="1791"/>
      <c r="M2016" s="1791"/>
      <c r="N2016" s="1791"/>
      <c r="O2016" s="485"/>
      <c r="P2016" s="1137"/>
      <c r="Q2016" s="1137"/>
      <c r="R2016" s="1137"/>
      <c r="S2016" s="1137"/>
      <c r="T2016" s="1137"/>
      <c r="U2016" s="1137"/>
      <c r="V2016" s="1137"/>
    </row>
    <row r="2017" spans="1:22" s="562" customFormat="1" ht="12.75" customHeight="1">
      <c r="A2017" s="719"/>
      <c r="B2017" s="485"/>
      <c r="C2017" s="559"/>
      <c r="D2017" s="706"/>
      <c r="E2017" s="707" t="s">
        <v>1755</v>
      </c>
      <c r="F2017" s="637"/>
      <c r="G2017" s="637"/>
      <c r="H2017" s="663" t="str">
        <f>EUconst_Unit</f>
        <v>Unit</v>
      </c>
      <c r="I2017" s="708"/>
      <c r="J2017" s="2132">
        <f>J$2737</f>
        <v>2026</v>
      </c>
      <c r="K2017" s="1489">
        <f>K$2737</f>
        <v>2027</v>
      </c>
      <c r="L2017" s="1490">
        <f>L$2737</f>
        <v>2028</v>
      </c>
      <c r="M2017" s="1490">
        <f>M$2737</f>
        <v>2029</v>
      </c>
      <c r="N2017" s="1490">
        <f>N$2737</f>
        <v>2030</v>
      </c>
      <c r="O2017" s="485"/>
      <c r="P2017" s="1137"/>
      <c r="Q2017" s="1137"/>
      <c r="R2017" s="1137"/>
      <c r="S2017" s="1137"/>
      <c r="T2017" s="1137"/>
      <c r="U2017" s="1137"/>
      <c r="V2017" s="1137"/>
    </row>
    <row r="2018" spans="1:22" s="562" customFormat="1" ht="12.75" hidden="1" customHeight="1">
      <c r="A2018" s="719" t="s">
        <v>2289</v>
      </c>
      <c r="B2018" s="485"/>
      <c r="C2018" s="559"/>
      <c r="D2018" s="706"/>
      <c r="E2018" s="698" t="s">
        <v>1714</v>
      </c>
      <c r="F2018" s="698"/>
      <c r="G2018" s="698"/>
      <c r="H2018" s="639" t="str">
        <f>H2004</f>
        <v>tonnes</v>
      </c>
      <c r="I2018" s="698"/>
      <c r="J2018" s="2137" t="str">
        <f t="shared" ref="J2018:N2020" si="152">I2062</f>
        <v/>
      </c>
      <c r="K2018" s="2072" t="str">
        <f t="shared" si="152"/>
        <v/>
      </c>
      <c r="L2018" s="2073" t="str">
        <f t="shared" si="152"/>
        <v/>
      </c>
      <c r="M2018" s="2073" t="str">
        <f t="shared" si="152"/>
        <v/>
      </c>
      <c r="N2018" s="2073" t="str">
        <f t="shared" si="152"/>
        <v/>
      </c>
      <c r="O2018" s="485"/>
      <c r="P2018" s="1137"/>
      <c r="Q2018" s="1137"/>
      <c r="R2018" s="1137"/>
      <c r="S2018" s="1137"/>
      <c r="T2018" s="1137"/>
      <c r="U2018" s="1137"/>
      <c r="V2018" s="1137"/>
    </row>
    <row r="2019" spans="1:22" s="562" customFormat="1" ht="12.75" hidden="1" customHeight="1">
      <c r="A2019" s="719" t="s">
        <v>2289</v>
      </c>
      <c r="B2019" s="485"/>
      <c r="C2019" s="559"/>
      <c r="D2019" s="706"/>
      <c r="E2019" s="720" t="s">
        <v>303</v>
      </c>
      <c r="F2019" s="720"/>
      <c r="G2019" s="720"/>
      <c r="H2019" s="721" t="str">
        <f>EUconst_EUA</f>
        <v>UKA</v>
      </c>
      <c r="I2019" s="722"/>
      <c r="J2019" s="2138" t="str">
        <f t="shared" si="152"/>
        <v/>
      </c>
      <c r="K2019" s="2072" t="str">
        <f t="shared" si="152"/>
        <v/>
      </c>
      <c r="L2019" s="2073" t="str">
        <f t="shared" si="152"/>
        <v/>
      </c>
      <c r="M2019" s="2073" t="str">
        <f t="shared" si="152"/>
        <v/>
      </c>
      <c r="N2019" s="2073" t="str">
        <f t="shared" si="152"/>
        <v/>
      </c>
      <c r="O2019" s="485"/>
      <c r="P2019" s="1137"/>
      <c r="Q2019" s="1137"/>
      <c r="R2019" s="1137"/>
      <c r="S2019" s="1137"/>
      <c r="T2019" s="1137"/>
      <c r="U2019" s="1137"/>
      <c r="V2019" s="1137"/>
    </row>
    <row r="2020" spans="1:22" s="562" customFormat="1" ht="12.75" hidden="1" customHeight="1">
      <c r="A2020" s="719" t="s">
        <v>2289</v>
      </c>
      <c r="B2020" s="485"/>
      <c r="C2020" s="559"/>
      <c r="D2020" s="706"/>
      <c r="E2020" s="745" t="s">
        <v>1422</v>
      </c>
      <c r="F2020" s="745"/>
      <c r="G2020" s="745"/>
      <c r="H2020" s="746" t="str">
        <f>EUconst_EUA</f>
        <v>UKA</v>
      </c>
      <c r="I2020" s="747"/>
      <c r="J2020" s="2148" t="str">
        <f t="shared" si="152"/>
        <v/>
      </c>
      <c r="K2020" s="2072" t="str">
        <f t="shared" si="152"/>
        <v/>
      </c>
      <c r="L2020" s="2073" t="str">
        <f t="shared" si="152"/>
        <v/>
      </c>
      <c r="M2020" s="2073" t="str">
        <f t="shared" si="152"/>
        <v/>
      </c>
      <c r="N2020" s="2073" t="str">
        <f t="shared" si="152"/>
        <v/>
      </c>
      <c r="O2020" s="485"/>
      <c r="P2020" s="1137"/>
      <c r="Q2020" s="1137"/>
      <c r="R2020" s="1137"/>
      <c r="S2020" s="1137"/>
      <c r="T2020" s="1137"/>
      <c r="U2020" s="1137"/>
      <c r="V2020" s="1137"/>
    </row>
    <row r="2021" spans="1:22" s="562" customFormat="1" ht="12.75" customHeight="1">
      <c r="A2021" s="719"/>
      <c r="B2021" s="485"/>
      <c r="C2021" s="559"/>
      <c r="D2021" s="706"/>
      <c r="E2021" s="720" t="s">
        <v>1691</v>
      </c>
      <c r="F2021" s="720"/>
      <c r="G2021" s="720"/>
      <c r="H2021" s="721" t="str">
        <f>EUconst_EUA</f>
        <v>UKA</v>
      </c>
      <c r="I2021" s="722"/>
      <c r="J2021" s="2151" t="str">
        <f>IF(L1956=42,INDEX(H_SpecialBM!J:J,MATCH($P2021,H_SpecialBM!$Q:$Q,0)),"")</f>
        <v/>
      </c>
      <c r="K2021" s="2072" t="str">
        <f>IF(L1956=42,INDEX(H_SpecialBM!K:K,MATCH($P2021,H_SpecialBM!$Q:$Q,0)),"")</f>
        <v/>
      </c>
      <c r="L2021" s="2073" t="str">
        <f>IF(L1956=42,INDEX(H_SpecialBM!L:L,MATCH($P2021,H_SpecialBM!$Q:$Q,0)),"")</f>
        <v/>
      </c>
      <c r="M2021" s="2073" t="str">
        <f>IF(L1956=42,INDEX(H_SpecialBM!M:M,MATCH($P2021,H_SpecialBM!$Q:$Q,0)),"")</f>
        <v/>
      </c>
      <c r="N2021" s="2073" t="str">
        <f>IF(L1956=42,INDEX(H_SpecialBM!N:N,MATCH($P2021,H_SpecialBM!$Q:$Q,0)),"")</f>
        <v/>
      </c>
      <c r="O2021" s="485"/>
      <c r="P2021" s="1158" t="str">
        <f>EUconst_CNTR_HVCInitial &amp; INDEX(EUconst_BMlistNames,42)</f>
        <v>HVCIni_Steam cracking</v>
      </c>
      <c r="Q2021" s="1137"/>
      <c r="R2021" s="1137"/>
      <c r="S2021" s="1137"/>
      <c r="T2021" s="1137"/>
      <c r="U2021" s="1137"/>
      <c r="V2021" s="1137"/>
    </row>
    <row r="2022" spans="1:22" s="562" customFormat="1" ht="12.75" customHeight="1">
      <c r="A2022" s="719"/>
      <c r="B2022" s="485"/>
      <c r="C2022" s="559"/>
      <c r="D2022" s="706"/>
      <c r="E2022" s="723" t="s">
        <v>2232</v>
      </c>
      <c r="F2022" s="723"/>
      <c r="G2022" s="723"/>
      <c r="H2022" s="751" t="s">
        <v>1021</v>
      </c>
      <c r="I2022" s="735"/>
      <c r="J2022" s="23" t="str">
        <f>IF(L1956=42,INDEX(H_SpecialBM!J:J,MATCH($P2022,H_SpecialBM!$Q:$Q,0)),"")</f>
        <v/>
      </c>
      <c r="K2022" s="46" t="str">
        <f>IF(L1956=42,INDEX(H_SpecialBM!K:K,MATCH($P2022,H_SpecialBM!$Q:$Q,0)),"")</f>
        <v/>
      </c>
      <c r="L2022" s="27" t="str">
        <f>IF(L1956=42,INDEX(H_SpecialBM!L:L,MATCH($P2022,H_SpecialBM!$Q:$Q,0)),"")</f>
        <v/>
      </c>
      <c r="M2022" s="27" t="str">
        <f>IF(L1956=42,INDEX(H_SpecialBM!M:M,MATCH($P2022,H_SpecialBM!$Q:$Q,0)),"")</f>
        <v/>
      </c>
      <c r="N2022" s="27" t="str">
        <f>IF(L1956=42,INDEX(H_SpecialBM!N:N,MATCH($P2022,H_SpecialBM!$Q:$Q,0)),"")</f>
        <v/>
      </c>
      <c r="O2022" s="485"/>
      <c r="P2022" s="1158" t="str">
        <f>EUconst_CNTR_RelThreshold &amp; P2024</f>
        <v>RelThresh_HVCprelim_</v>
      </c>
      <c r="Q2022" s="1137"/>
      <c r="R2022" s="1137"/>
      <c r="S2022" s="1137"/>
      <c r="T2022" s="1137"/>
      <c r="U2022" s="1137"/>
      <c r="V2022" s="1137"/>
    </row>
    <row r="2023" spans="1:22" s="562" customFormat="1" ht="12.75" customHeight="1">
      <c r="A2023" s="719"/>
      <c r="B2023" s="485"/>
      <c r="C2023" s="559"/>
      <c r="D2023" s="706"/>
      <c r="E2023" s="736" t="s">
        <v>1854</v>
      </c>
      <c r="F2023" s="736"/>
      <c r="G2023" s="736"/>
      <c r="H2023" s="738" t="s">
        <v>1021</v>
      </c>
      <c r="I2023" s="738"/>
      <c r="J2023" s="2145" t="str">
        <f>IF(L1956=42,INDEX(H_SpecialBM!V:V,MATCH($P2023,H_SpecialBM!$Q:$Q,0)),"")</f>
        <v/>
      </c>
      <c r="K2023" s="2134" t="str">
        <f>IF(L1956=42,INDEX(H_SpecialBM!W:W,MATCH($P2023,H_SpecialBM!$Q:$Q,0)),"")</f>
        <v/>
      </c>
      <c r="L2023" s="2135" t="str">
        <f>IF(L1956=42,INDEX(H_SpecialBM!X:X,MATCH($P2023,H_SpecialBM!$Q:$Q,0)),"")</f>
        <v/>
      </c>
      <c r="M2023" s="2135" t="str">
        <f>IF(L1956=42,INDEX(H_SpecialBM!Y:Y,MATCH($P2023,H_SpecialBM!$Q:$Q,0)),"")</f>
        <v/>
      </c>
      <c r="N2023" s="2135" t="str">
        <f>IF(L1956=42,INDEX(H_SpecialBM!Z:Z,MATCH($P2023,H_SpecialBM!$Q:$Q,0)),"")</f>
        <v/>
      </c>
      <c r="O2023" s="485"/>
      <c r="P2023" s="1158" t="str">
        <f>P2022</f>
        <v>RelThresh_HVCprelim_</v>
      </c>
      <c r="Q2023" s="1137"/>
      <c r="R2023" s="1137"/>
      <c r="S2023" s="1137"/>
      <c r="T2023" s="1137"/>
      <c r="U2023" s="1137"/>
      <c r="V2023" s="1137"/>
    </row>
    <row r="2024" spans="1:22" s="562" customFormat="1" ht="12.75" customHeight="1">
      <c r="A2024" s="719"/>
      <c r="B2024" s="485"/>
      <c r="C2024" s="559"/>
      <c r="D2024" s="706"/>
      <c r="E2024" s="727" t="s">
        <v>1689</v>
      </c>
      <c r="F2024" s="727"/>
      <c r="G2024" s="727"/>
      <c r="H2024" s="728" t="str">
        <f>EUconst_EUA</f>
        <v>UKA</v>
      </c>
      <c r="I2024" s="729"/>
      <c r="J2024" s="2152" t="str">
        <f>IF($L1956=42,INDEX(H_SpecialBM!J:J,MATCH($P2024,H_SpecialBM!$Q:$Q,0)),"")</f>
        <v/>
      </c>
      <c r="K2024" s="2072" t="str">
        <f>IF($L1956=42,INDEX(H_SpecialBM!K:K,MATCH($P2024,H_SpecialBM!$Q:$Q,0)),"")</f>
        <v/>
      </c>
      <c r="L2024" s="2073" t="str">
        <f>IF($L1956=42,INDEX(H_SpecialBM!L:L,MATCH($P2024,H_SpecialBM!$Q:$Q,0)),"")</f>
        <v/>
      </c>
      <c r="M2024" s="2073" t="str">
        <f>IF($L1956=42,INDEX(H_SpecialBM!M:M,MATCH($P2024,H_SpecialBM!$Q:$Q,0)),"")</f>
        <v/>
      </c>
      <c r="N2024" s="2073" t="str">
        <f>IF($L1956=42,INDEX(H_SpecialBM!N:N,MATCH($P2024,H_SpecialBM!$Q:$Q,0)),"")</f>
        <v/>
      </c>
      <c r="O2024" s="485"/>
      <c r="P2024" s="1158" t="str">
        <f>EUconst_CNTR_HVCprelim</f>
        <v>HVCprelim_</v>
      </c>
      <c r="Q2024" s="1137"/>
      <c r="R2024" s="1137"/>
      <c r="S2024" s="1137"/>
      <c r="T2024" s="1137"/>
      <c r="U2024" s="1137"/>
      <c r="V2024" s="1137"/>
    </row>
    <row r="2025" spans="1:22" s="562" customFormat="1" ht="12.75" hidden="1" customHeight="1">
      <c r="A2025" s="719" t="s">
        <v>2289</v>
      </c>
      <c r="B2025" s="485"/>
      <c r="C2025" s="559"/>
      <c r="D2025" s="706"/>
      <c r="E2025" s="645" t="s">
        <v>1389</v>
      </c>
      <c r="F2025" s="645"/>
      <c r="G2025" s="645"/>
      <c r="H2025" s="752" t="s">
        <v>1021</v>
      </c>
      <c r="I2025" s="753"/>
      <c r="J2025" s="2153" t="str">
        <f t="shared" ref="J2025:N2026" si="153">I2066</f>
        <v/>
      </c>
      <c r="K2025" s="2141" t="str">
        <f t="shared" si="153"/>
        <v/>
      </c>
      <c r="L2025" s="2142" t="str">
        <f t="shared" si="153"/>
        <v/>
      </c>
      <c r="M2025" s="2142" t="str">
        <f t="shared" si="153"/>
        <v/>
      </c>
      <c r="N2025" s="2142" t="str">
        <f t="shared" si="153"/>
        <v/>
      </c>
      <c r="O2025" s="485"/>
      <c r="P2025" s="1137"/>
      <c r="Q2025" s="1137"/>
      <c r="R2025" s="1137"/>
      <c r="S2025" s="1137"/>
      <c r="T2025" s="1137"/>
      <c r="U2025" s="1137"/>
      <c r="V2025" s="1137"/>
    </row>
    <row r="2026" spans="1:22" s="562" customFormat="1" ht="12.75" hidden="1" customHeight="1">
      <c r="A2026" s="719" t="s">
        <v>2289</v>
      </c>
      <c r="B2026" s="485"/>
      <c r="C2026" s="559"/>
      <c r="D2026" s="706"/>
      <c r="E2026" s="727" t="s">
        <v>1391</v>
      </c>
      <c r="F2026" s="727"/>
      <c r="G2026" s="727"/>
      <c r="H2026" s="728" t="s">
        <v>1021</v>
      </c>
      <c r="I2026" s="729"/>
      <c r="J2026" s="2143" t="str">
        <f t="shared" si="153"/>
        <v/>
      </c>
      <c r="K2026" s="2141" t="str">
        <f t="shared" si="153"/>
        <v/>
      </c>
      <c r="L2026" s="2142" t="str">
        <f t="shared" si="153"/>
        <v/>
      </c>
      <c r="M2026" s="2142" t="str">
        <f t="shared" si="153"/>
        <v/>
      </c>
      <c r="N2026" s="2142" t="str">
        <f t="shared" si="153"/>
        <v/>
      </c>
      <c r="O2026" s="485"/>
      <c r="P2026" s="1137"/>
      <c r="Q2026" s="1137"/>
      <c r="R2026" s="1137"/>
      <c r="S2026" s="1137"/>
      <c r="T2026" s="1137"/>
      <c r="U2026" s="1137"/>
      <c r="V2026" s="1137"/>
    </row>
    <row r="2027" spans="1:22" s="562" customFormat="1" ht="12.75" customHeight="1">
      <c r="A2027" s="719"/>
      <c r="B2027" s="485"/>
      <c r="C2027" s="559"/>
      <c r="D2027" s="706"/>
      <c r="E2027" s="698" t="s">
        <v>1671</v>
      </c>
      <c r="F2027" s="698"/>
      <c r="G2027" s="698"/>
      <c r="H2027" s="730" t="str">
        <f>EUconst_EUA</f>
        <v>UKA</v>
      </c>
      <c r="I2027" s="731"/>
      <c r="J2027" s="2129" t="str">
        <f>IF(J2024="","",MAX(0,ROUND((SUM($M1956)*SUM(J2018)*SUM(J2025)*SUM(J2026)-SUM(J2019)-SUM(J2020)+SUM(J2024))*IF($H1956=TRUE,1,J$2517),0)))</f>
        <v/>
      </c>
      <c r="K2027" s="2072" t="str">
        <f>IF(K2024="","",MAX(0,ROUND((SUM($M1956)*SUM(K2018)*SUM(K2025)*SUM(K2026)-SUM(K2019)-SUM(K2020)+SUM(K2024))*IF($H1956=TRUE,1,K$2517),0)))</f>
        <v/>
      </c>
      <c r="L2027" s="2073" t="str">
        <f>IF(L2024="","",MAX(0,ROUND((SUM($M1956)*SUM(L2018)*SUM(L2025)*SUM(L2026)-SUM(L2019)-SUM(L2020)+SUM(L2024))*IF($H1956=TRUE,1,L$2517),0)))</f>
        <v/>
      </c>
      <c r="M2027" s="2073" t="str">
        <f>IF(M2024="","",MAX(0,ROUND((SUM($M1956)*SUM(M2018)*SUM(M2025)*SUM(M2026)-SUM(M2019)-SUM(M2020)+SUM(M2024))*IF($H1956=TRUE,1,M$2517),0)))</f>
        <v/>
      </c>
      <c r="N2027" s="2073" t="str">
        <f>IF(N2024="","",MAX(0,ROUND((SUM($M1956)*SUM(N2018)*SUM(N2025)*SUM(N2026)-SUM(N2019)-SUM(N2020)+SUM(N2024))*IF($H1956=TRUE,1,N$2517),0)))</f>
        <v/>
      </c>
      <c r="O2027" s="485"/>
      <c r="P2027" s="1137"/>
      <c r="Q2027" s="1137"/>
      <c r="R2027" s="1137"/>
      <c r="S2027" s="1137"/>
      <c r="T2027" s="1137"/>
      <c r="U2027" s="1137"/>
      <c r="V2027" s="1137"/>
    </row>
    <row r="2028" spans="1:22" s="562" customFormat="1" ht="12.75" customHeight="1">
      <c r="A2028" s="719"/>
      <c r="B2028" s="485"/>
      <c r="C2028" s="559"/>
      <c r="D2028" s="706"/>
      <c r="E2028" s="698" t="s">
        <v>1670</v>
      </c>
      <c r="F2028" s="698"/>
      <c r="G2028" s="698"/>
      <c r="H2028" s="730" t="str">
        <f>EUconst_EUA</f>
        <v>UKA</v>
      </c>
      <c r="I2028" s="731"/>
      <c r="J2028" s="2129" t="str">
        <f>IF(J2027="","",ABS(SUM(J2027)-SUM(J1973)))</f>
        <v/>
      </c>
      <c r="K2028" s="2072" t="str">
        <f>IF(K2027="","",ABS(SUM(K2027)-SUM(K1973)))</f>
        <v/>
      </c>
      <c r="L2028" s="2073" t="str">
        <f>IF(L2027="","",ABS(SUM(L2027)-SUM(L1973)))</f>
        <v/>
      </c>
      <c r="M2028" s="2073" t="str">
        <f>IF(M2027="","",ABS(SUM(M2027)-SUM(M1973)))</f>
        <v/>
      </c>
      <c r="N2028" s="2073" t="str">
        <f>IF(N2027="","",ABS(SUM(N2027)-SUM(N1973)))</f>
        <v/>
      </c>
      <c r="O2028" s="485"/>
      <c r="P2028" s="1137"/>
      <c r="Q2028" s="1137"/>
      <c r="R2028" s="1137"/>
      <c r="S2028" s="1137"/>
      <c r="T2028" s="1137"/>
      <c r="U2028" s="1137"/>
      <c r="V2028" s="1137"/>
    </row>
    <row r="2029" spans="1:22" s="562" customFormat="1" ht="12.75" customHeight="1">
      <c r="A2029" s="719"/>
      <c r="B2029" s="485"/>
      <c r="C2029" s="559"/>
      <c r="D2029" s="706"/>
      <c r="E2029" s="740" t="s">
        <v>2133</v>
      </c>
      <c r="F2029" s="698"/>
      <c r="G2029" s="698"/>
      <c r="H2029" s="741" t="s">
        <v>1021</v>
      </c>
      <c r="I2029" s="742"/>
      <c r="J2029" s="2147" t="str">
        <f>IF(J2028="","",J2028&gt;=100)</f>
        <v/>
      </c>
      <c r="K2029" s="2134" t="str">
        <f>IF(K2028="","",K2028&gt;=100)</f>
        <v/>
      </c>
      <c r="L2029" s="2135" t="str">
        <f>IF(L2028="","",L2028&gt;=100)</f>
        <v/>
      </c>
      <c r="M2029" s="2135" t="str">
        <f>IF(M2028="","",M2028&gt;=100)</f>
        <v/>
      </c>
      <c r="N2029" s="2135" t="str">
        <f>IF(N2028="","",N2028&gt;=100)</f>
        <v/>
      </c>
      <c r="O2029" s="485"/>
      <c r="P2029" s="1158" t="str">
        <f>EUconst_CNTR_100EUA_HVC&amp;I1953</f>
        <v>EUA100HVC_</v>
      </c>
      <c r="Q2029" s="1137"/>
      <c r="R2029" s="1137"/>
      <c r="S2029" s="1137"/>
      <c r="T2029" s="1137"/>
      <c r="U2029" s="1137"/>
      <c r="V2029" s="1137"/>
    </row>
    <row r="2030" spans="1:22" s="562" customFormat="1" ht="5.0999999999999996" customHeight="1">
      <c r="A2030" s="719"/>
      <c r="B2030" s="485"/>
      <c r="C2030" s="559"/>
      <c r="D2030" s="706"/>
      <c r="E2030" s="485"/>
      <c r="F2030" s="485"/>
      <c r="G2030" s="485"/>
      <c r="H2030" s="485"/>
      <c r="I2030" s="743"/>
      <c r="J2030" s="485"/>
      <c r="K2030" s="1790"/>
      <c r="L2030" s="1791"/>
      <c r="M2030" s="1791"/>
      <c r="N2030" s="1791"/>
      <c r="O2030" s="485"/>
      <c r="P2030" s="1137"/>
      <c r="Q2030" s="1137"/>
      <c r="R2030" s="1137"/>
      <c r="S2030" s="1137"/>
      <c r="T2030" s="1137"/>
      <c r="U2030" s="1137"/>
      <c r="V2030" s="1137"/>
    </row>
    <row r="2031" spans="1:22" s="562" customFormat="1" ht="12.75" customHeight="1">
      <c r="A2031" s="719"/>
      <c r="B2031" s="485"/>
      <c r="C2031" s="559"/>
      <c r="D2031" s="706"/>
      <c r="E2031" s="707" t="s">
        <v>1756</v>
      </c>
      <c r="F2031" s="637"/>
      <c r="G2031" s="637"/>
      <c r="H2031" s="663" t="str">
        <f>EUconst_Unit</f>
        <v>Unit</v>
      </c>
      <c r="I2031" s="708"/>
      <c r="J2031" s="2132">
        <f>J$2737</f>
        <v>2026</v>
      </c>
      <c r="K2031" s="1489">
        <f>K$2737</f>
        <v>2027</v>
      </c>
      <c r="L2031" s="1490">
        <f>L$2737</f>
        <v>2028</v>
      </c>
      <c r="M2031" s="1490">
        <f>M$2737</f>
        <v>2029</v>
      </c>
      <c r="N2031" s="1490">
        <f>N$2737</f>
        <v>2030</v>
      </c>
      <c r="O2031" s="485"/>
      <c r="P2031" s="1137"/>
      <c r="Q2031" s="1137"/>
      <c r="R2031" s="1137"/>
      <c r="S2031" s="1137"/>
      <c r="T2031" s="1137"/>
      <c r="U2031" s="1137"/>
      <c r="V2031" s="1137"/>
    </row>
    <row r="2032" spans="1:22" s="562" customFormat="1" ht="12.75" hidden="1" customHeight="1">
      <c r="A2032" s="719" t="s">
        <v>2289</v>
      </c>
      <c r="B2032" s="485"/>
      <c r="C2032" s="559"/>
      <c r="D2032" s="706"/>
      <c r="E2032" s="698" t="s">
        <v>1714</v>
      </c>
      <c r="F2032" s="698"/>
      <c r="G2032" s="698"/>
      <c r="H2032" s="639" t="str">
        <f>H2018</f>
        <v>tonnes</v>
      </c>
      <c r="I2032" s="698"/>
      <c r="J2032" s="2137" t="str">
        <f t="shared" ref="J2032:N2036" si="154">I2062</f>
        <v/>
      </c>
      <c r="K2032" s="2072" t="str">
        <f t="shared" si="154"/>
        <v/>
      </c>
      <c r="L2032" s="2073" t="str">
        <f t="shared" si="154"/>
        <v/>
      </c>
      <c r="M2032" s="2073" t="str">
        <f t="shared" si="154"/>
        <v/>
      </c>
      <c r="N2032" s="2073" t="str">
        <f t="shared" si="154"/>
        <v/>
      </c>
      <c r="O2032" s="485"/>
      <c r="P2032" s="1137"/>
      <c r="Q2032" s="1137"/>
      <c r="R2032" s="1137"/>
      <c r="S2032" s="1137"/>
      <c r="T2032" s="1137"/>
      <c r="U2032" s="1137"/>
      <c r="V2032" s="1137"/>
    </row>
    <row r="2033" spans="1:22" s="562" customFormat="1" ht="12.75" hidden="1" customHeight="1">
      <c r="A2033" s="719" t="s">
        <v>2289</v>
      </c>
      <c r="B2033" s="485"/>
      <c r="C2033" s="559"/>
      <c r="D2033" s="706"/>
      <c r="E2033" s="720" t="s">
        <v>303</v>
      </c>
      <c r="F2033" s="720"/>
      <c r="G2033" s="720"/>
      <c r="H2033" s="721" t="str">
        <f>EUconst_EUA</f>
        <v>UKA</v>
      </c>
      <c r="I2033" s="722"/>
      <c r="J2033" s="2138" t="str">
        <f t="shared" si="154"/>
        <v/>
      </c>
      <c r="K2033" s="2072" t="str">
        <f t="shared" si="154"/>
        <v/>
      </c>
      <c r="L2033" s="2073" t="str">
        <f t="shared" si="154"/>
        <v/>
      </c>
      <c r="M2033" s="2073" t="str">
        <f t="shared" si="154"/>
        <v/>
      </c>
      <c r="N2033" s="2073" t="str">
        <f t="shared" si="154"/>
        <v/>
      </c>
      <c r="O2033" s="485"/>
      <c r="P2033" s="1137"/>
      <c r="Q2033" s="1137"/>
      <c r="R2033" s="1137"/>
      <c r="S2033" s="1137"/>
      <c r="T2033" s="1137"/>
      <c r="U2033" s="1137"/>
      <c r="V2033" s="1137"/>
    </row>
    <row r="2034" spans="1:22" s="562" customFormat="1" ht="12.75" hidden="1" customHeight="1">
      <c r="A2034" s="719" t="s">
        <v>2289</v>
      </c>
      <c r="B2034" s="485"/>
      <c r="C2034" s="559"/>
      <c r="D2034" s="706"/>
      <c r="E2034" s="723" t="s">
        <v>1422</v>
      </c>
      <c r="F2034" s="723"/>
      <c r="G2034" s="723"/>
      <c r="H2034" s="724" t="str">
        <f>EUconst_EUA</f>
        <v>UKA</v>
      </c>
      <c r="I2034" s="725"/>
      <c r="J2034" s="2139" t="str">
        <f t="shared" si="154"/>
        <v/>
      </c>
      <c r="K2034" s="2072" t="str">
        <f t="shared" si="154"/>
        <v/>
      </c>
      <c r="L2034" s="2073" t="str">
        <f t="shared" si="154"/>
        <v/>
      </c>
      <c r="M2034" s="2073" t="str">
        <f t="shared" si="154"/>
        <v/>
      </c>
      <c r="N2034" s="2073" t="str">
        <f t="shared" si="154"/>
        <v/>
      </c>
      <c r="O2034" s="485"/>
      <c r="P2034" s="1137"/>
      <c r="Q2034" s="1137"/>
      <c r="R2034" s="1137"/>
      <c r="S2034" s="1137"/>
      <c r="T2034" s="1137"/>
      <c r="U2034" s="1137"/>
      <c r="V2034" s="1137"/>
    </row>
    <row r="2035" spans="1:22" s="562" customFormat="1" ht="12.75" hidden="1" customHeight="1">
      <c r="A2035" s="719" t="s">
        <v>2289</v>
      </c>
      <c r="B2035" s="485"/>
      <c r="C2035" s="559"/>
      <c r="D2035" s="706"/>
      <c r="E2035" s="723" t="s">
        <v>1390</v>
      </c>
      <c r="F2035" s="723"/>
      <c r="G2035" s="723"/>
      <c r="H2035" s="724" t="str">
        <f>EUconst_EUA</f>
        <v>UKA</v>
      </c>
      <c r="I2035" s="725"/>
      <c r="J2035" s="2139" t="str">
        <f t="shared" si="154"/>
        <v/>
      </c>
      <c r="K2035" s="2072" t="str">
        <f t="shared" si="154"/>
        <v/>
      </c>
      <c r="L2035" s="2073" t="str">
        <f t="shared" si="154"/>
        <v/>
      </c>
      <c r="M2035" s="2073" t="str">
        <f t="shared" si="154"/>
        <v/>
      </c>
      <c r="N2035" s="2073" t="str">
        <f t="shared" si="154"/>
        <v/>
      </c>
      <c r="O2035" s="485"/>
      <c r="P2035" s="1137"/>
      <c r="Q2035" s="1137"/>
      <c r="R2035" s="1137"/>
      <c r="S2035" s="1137"/>
      <c r="T2035" s="1137"/>
      <c r="U2035" s="1137"/>
      <c r="V2035" s="1137"/>
    </row>
    <row r="2036" spans="1:22" s="562" customFormat="1" ht="12.75" hidden="1" customHeight="1">
      <c r="A2036" s="719" t="s">
        <v>2289</v>
      </c>
      <c r="B2036" s="485"/>
      <c r="C2036" s="559"/>
      <c r="D2036" s="706"/>
      <c r="E2036" s="745" t="s">
        <v>1389</v>
      </c>
      <c r="F2036" s="745"/>
      <c r="G2036" s="745"/>
      <c r="H2036" s="754" t="s">
        <v>1021</v>
      </c>
      <c r="I2036" s="747"/>
      <c r="J2036" s="2154" t="str">
        <f t="shared" si="154"/>
        <v/>
      </c>
      <c r="K2036" s="2141" t="str">
        <f t="shared" si="154"/>
        <v/>
      </c>
      <c r="L2036" s="2142" t="str">
        <f t="shared" si="154"/>
        <v/>
      </c>
      <c r="M2036" s="2142" t="str">
        <f t="shared" si="154"/>
        <v/>
      </c>
      <c r="N2036" s="2142" t="str">
        <f t="shared" si="154"/>
        <v/>
      </c>
      <c r="O2036" s="485"/>
      <c r="P2036" s="1137"/>
      <c r="Q2036" s="1137"/>
      <c r="R2036" s="1137"/>
      <c r="S2036" s="1137"/>
      <c r="T2036" s="1137"/>
      <c r="U2036" s="1137"/>
      <c r="V2036" s="1137"/>
    </row>
    <row r="2037" spans="1:22" s="562" customFormat="1" ht="12.75" customHeight="1">
      <c r="A2037" s="719"/>
      <c r="B2037" s="485"/>
      <c r="C2037" s="559"/>
      <c r="D2037" s="706"/>
      <c r="E2037" s="720" t="s">
        <v>1691</v>
      </c>
      <c r="F2037" s="720"/>
      <c r="G2037" s="720"/>
      <c r="H2037" s="748" t="s">
        <v>1021</v>
      </c>
      <c r="I2037" s="722"/>
      <c r="J2037" s="2149" t="str">
        <f>IF(L1956=47,INDEX(H_SpecialBM!J:J,MATCH($P2037,H_SpecialBM!$Q:$Q,0)),"")</f>
        <v/>
      </c>
      <c r="K2037" s="2141" t="str">
        <f>IF(L1956=47,INDEX(H_SpecialBM!K:K,MATCH($P2037,H_SpecialBM!$Q:$Q,0)),"")</f>
        <v/>
      </c>
      <c r="L2037" s="2142" t="str">
        <f>IF(L1956=47,INDEX(H_SpecialBM!L:L,MATCH($P2037,H_SpecialBM!$Q:$Q,0)),"")</f>
        <v/>
      </c>
      <c r="M2037" s="2142" t="str">
        <f>IF(L1956=47,INDEX(H_SpecialBM!M:M,MATCH($P2037,H_SpecialBM!$Q:$Q,0)),"")</f>
        <v/>
      </c>
      <c r="N2037" s="2142" t="str">
        <f>IF(L1956=47,INDEX(H_SpecialBM!N:N,MATCH($P2037,H_SpecialBM!$Q:$Q,0)),"")</f>
        <v/>
      </c>
      <c r="O2037" s="485"/>
      <c r="P2037" s="1158" t="str">
        <f>EUconst_CNTR_VCMInitial &amp; INDEX(EUconst_BMlistNames,47)</f>
        <v>VCMIni_Vinyl chloride monomer</v>
      </c>
      <c r="Q2037" s="1137"/>
      <c r="R2037" s="1137"/>
      <c r="S2037" s="1137"/>
      <c r="T2037" s="1137"/>
      <c r="U2037" s="1137"/>
      <c r="V2037" s="1137"/>
    </row>
    <row r="2038" spans="1:22" s="562" customFormat="1" ht="12.75" customHeight="1">
      <c r="A2038" s="719"/>
      <c r="B2038" s="485"/>
      <c r="C2038" s="559"/>
      <c r="D2038" s="706"/>
      <c r="E2038" s="723" t="s">
        <v>2232</v>
      </c>
      <c r="F2038" s="723"/>
      <c r="G2038" s="723"/>
      <c r="H2038" s="751" t="s">
        <v>1021</v>
      </c>
      <c r="I2038" s="735"/>
      <c r="J2038" s="23" t="str">
        <f>IF(L1956=47,INDEX(H_SpecialBM!J:J,MATCH($P2038,H_SpecialBM!$Q:$Q,0)),"")</f>
        <v/>
      </c>
      <c r="K2038" s="46" t="str">
        <f>IF(L1956=47,INDEX(H_SpecialBM!K:K,MATCH($P2038,H_SpecialBM!$Q:$Q,0)),"")</f>
        <v/>
      </c>
      <c r="L2038" s="27" t="str">
        <f>IF(L1956=47,INDEX(H_SpecialBM!L:L,MATCH($P2038,H_SpecialBM!$Q:$Q,0)),"")</f>
        <v/>
      </c>
      <c r="M2038" s="27" t="str">
        <f>IF(L1956=47,INDEX(H_SpecialBM!M:M,MATCH($P2038,H_SpecialBM!$Q:$Q,0)),"")</f>
        <v/>
      </c>
      <c r="N2038" s="27" t="str">
        <f>IF(L1956=47,INDEX(H_SpecialBM!N:N,MATCH($P2038,H_SpecialBM!$Q:$Q,0)),"")</f>
        <v/>
      </c>
      <c r="O2038" s="485"/>
      <c r="P2038" s="1158" t="str">
        <f>EUconst_CNTR_RelThreshold &amp; P2040</f>
        <v>RelThresh_VCMprelim_</v>
      </c>
      <c r="Q2038" s="1137"/>
      <c r="R2038" s="1137"/>
      <c r="S2038" s="1137"/>
      <c r="T2038" s="1137"/>
      <c r="U2038" s="1137"/>
      <c r="V2038" s="1137"/>
    </row>
    <row r="2039" spans="1:22" s="562" customFormat="1" ht="12.75" customHeight="1">
      <c r="A2039" s="719"/>
      <c r="B2039" s="485"/>
      <c r="C2039" s="559"/>
      <c r="D2039" s="706"/>
      <c r="E2039" s="736" t="s">
        <v>1855</v>
      </c>
      <c r="F2039" s="736"/>
      <c r="G2039" s="736"/>
      <c r="H2039" s="738" t="s">
        <v>1021</v>
      </c>
      <c r="I2039" s="738"/>
      <c r="J2039" s="2145" t="str">
        <f>IF(L1956=47,INDEX(H_SpecialBM!V:V,MATCH($P2039,H_SpecialBM!$Q:$Q,0)),"")</f>
        <v/>
      </c>
      <c r="K2039" s="2134" t="str">
        <f>IF(L1956=47,INDEX(H_SpecialBM!W:W,MATCH($P2039,H_SpecialBM!$Q:$Q,0)),"")</f>
        <v/>
      </c>
      <c r="L2039" s="2135" t="str">
        <f>IF(L1956=47,INDEX(H_SpecialBM!X:X,MATCH($P2039,H_SpecialBM!$Q:$Q,0)),"")</f>
        <v/>
      </c>
      <c r="M2039" s="2135" t="str">
        <f>IF(L1956=47,INDEX(H_SpecialBM!Y:Y,MATCH($P2039,H_SpecialBM!$Q:$Q,0)),"")</f>
        <v/>
      </c>
      <c r="N2039" s="2135" t="str">
        <f>IF(L1956=47,INDEX(H_SpecialBM!Z:Z,MATCH($P2039,H_SpecialBM!$Q:$Q,0)),"")</f>
        <v/>
      </c>
      <c r="O2039" s="485"/>
      <c r="P2039" s="1158" t="str">
        <f>P2038</f>
        <v>RelThresh_VCMprelim_</v>
      </c>
      <c r="Q2039" s="1137"/>
      <c r="R2039" s="1137"/>
      <c r="S2039" s="1137"/>
      <c r="T2039" s="1137"/>
      <c r="U2039" s="1137"/>
      <c r="V2039" s="1137"/>
    </row>
    <row r="2040" spans="1:22" s="562" customFormat="1" ht="12.75" customHeight="1">
      <c r="A2040" s="719"/>
      <c r="B2040" s="485"/>
      <c r="C2040" s="559"/>
      <c r="D2040" s="706"/>
      <c r="E2040" s="727" t="s">
        <v>1689</v>
      </c>
      <c r="F2040" s="727"/>
      <c r="G2040" s="727"/>
      <c r="H2040" s="728" t="s">
        <v>1021</v>
      </c>
      <c r="I2040" s="729"/>
      <c r="J2040" s="2150" t="str">
        <f>IF($L1956=47,IF(ISNUMBER(INDEX(H_SpecialBM!J:J,MATCH($P2040,H_SpecialBM!$Q:$Q,0))),INDEX(H_SpecialBM!J:J,MATCH($P2040,H_SpecialBM!$Q:$Q,0)),1),"")</f>
        <v/>
      </c>
      <c r="K2040" s="2141" t="str">
        <f>IF($L1956=47,IF(ISNUMBER(INDEX(H_SpecialBM!K:K,MATCH($P2040,H_SpecialBM!$Q:$Q,0))),INDEX(H_SpecialBM!K:K,MATCH($P2040,H_SpecialBM!$Q:$Q,0)),1),"")</f>
        <v/>
      </c>
      <c r="L2040" s="2142" t="str">
        <f>IF($L1956=47,IF(ISNUMBER(INDEX(H_SpecialBM!L:L,MATCH($P2040,H_SpecialBM!$Q:$Q,0))),INDEX(H_SpecialBM!L:L,MATCH($P2040,H_SpecialBM!$Q:$Q,0)),1),"")</f>
        <v/>
      </c>
      <c r="M2040" s="2142" t="str">
        <f>IF($L1956=47,IF(ISNUMBER(INDEX(H_SpecialBM!M:M,MATCH($P2040,H_SpecialBM!$Q:$Q,0))),INDEX(H_SpecialBM!M:M,MATCH($P2040,H_SpecialBM!$Q:$Q,0)),1),"")</f>
        <v/>
      </c>
      <c r="N2040" s="2142" t="str">
        <f>IF($L1956=47,IF(ISNUMBER(INDEX(H_SpecialBM!N:N,MATCH($P2040,H_SpecialBM!$Q:$Q,0))),INDEX(H_SpecialBM!N:N,MATCH($P2040,H_SpecialBM!$Q:$Q,0)),1),"")</f>
        <v/>
      </c>
      <c r="O2040" s="485"/>
      <c r="P2040" s="1158" t="str">
        <f>EUconst_CNTR_VCMprelim</f>
        <v>VCMprelim_</v>
      </c>
      <c r="Q2040" s="1137"/>
      <c r="R2040" s="1137"/>
      <c r="S2040" s="1137"/>
      <c r="T2040" s="1137"/>
      <c r="U2040" s="1137"/>
      <c r="V2040" s="1137"/>
    </row>
    <row r="2041" spans="1:22" s="562" customFormat="1" ht="12.75" customHeight="1">
      <c r="A2041" s="719"/>
      <c r="B2041" s="485"/>
      <c r="C2041" s="559"/>
      <c r="D2041" s="706"/>
      <c r="E2041" s="698" t="s">
        <v>1671</v>
      </c>
      <c r="F2041" s="698"/>
      <c r="G2041" s="698"/>
      <c r="H2041" s="730" t="str">
        <f>EUconst_EUA</f>
        <v>UKA</v>
      </c>
      <c r="I2041" s="731"/>
      <c r="J2041" s="2129" t="str">
        <f>IF(J2040="","",MAX(0,ROUND((SUM($M1956)*SUM(J2032)*SUM(J2036)*SUM(J2040)-SUM(J2033)-SUM(J2034)+SUM(J2035))*IF($H1956=TRUE,1,J$2517),0)))</f>
        <v/>
      </c>
      <c r="K2041" s="2072" t="str">
        <f>IF(K2040="","",MAX(0,ROUND((SUM($M1956)*SUM(K2032)*SUM(K2036)*SUM(K2040)-SUM(K2033)-SUM(K2034)+SUM(K2035))*IF($H1956=TRUE,1,K$2517),0)))</f>
        <v/>
      </c>
      <c r="L2041" s="2073" t="str">
        <f>IF(L2040="","",MAX(0,ROUND((SUM($M1956)*SUM(L2032)*SUM(L2036)*SUM(L2040)-SUM(L2033)-SUM(L2034)+SUM(L2035))*IF($H1956=TRUE,1,L$2517),0)))</f>
        <v/>
      </c>
      <c r="M2041" s="2073" t="str">
        <f>IF(M2040="","",MAX(0,ROUND((SUM($M1956)*SUM(M2032)*SUM(M2036)*SUM(M2040)-SUM(M2033)-SUM(M2034)+SUM(M2035))*IF($H1956=TRUE,1,M$2517),0)))</f>
        <v/>
      </c>
      <c r="N2041" s="2073" t="str">
        <f>IF(N2040="","",MAX(0,ROUND((SUM($M1956)*SUM(N2032)*SUM(N2036)*SUM(N2040)-SUM(N2033)-SUM(N2034)+SUM(N2035))*IF($H1956=TRUE,1,N$2517),0)))</f>
        <v/>
      </c>
      <c r="O2041" s="485"/>
      <c r="P2041" s="1137"/>
      <c r="Q2041" s="1137"/>
      <c r="R2041" s="1137"/>
      <c r="S2041" s="1137"/>
      <c r="T2041" s="1137"/>
      <c r="U2041" s="1137"/>
      <c r="V2041" s="1137"/>
    </row>
    <row r="2042" spans="1:22" s="562" customFormat="1" ht="12.75" customHeight="1">
      <c r="A2042" s="719"/>
      <c r="B2042" s="485"/>
      <c r="C2042" s="559"/>
      <c r="D2042" s="706"/>
      <c r="E2042" s="698" t="s">
        <v>1670</v>
      </c>
      <c r="F2042" s="698"/>
      <c r="G2042" s="698"/>
      <c r="H2042" s="730" t="str">
        <f>EUconst_EUA</f>
        <v>UKA</v>
      </c>
      <c r="I2042" s="731"/>
      <c r="J2042" s="2129" t="str">
        <f>IF(J2041="","",ABS(SUM(J2041)-SUM(J1973)))</f>
        <v/>
      </c>
      <c r="K2042" s="2072" t="str">
        <f>IF(K2041="","",ABS(SUM(K2041)-SUM(K1973)))</f>
        <v/>
      </c>
      <c r="L2042" s="2073" t="str">
        <f>IF(L2041="","",ABS(SUM(L2041)-SUM(L1973)))</f>
        <v/>
      </c>
      <c r="M2042" s="2073" t="str">
        <f>IF(M2041="","",ABS(SUM(M2041)-SUM(M1973)))</f>
        <v/>
      </c>
      <c r="N2042" s="2073" t="str">
        <f>IF(N2041="","",ABS(SUM(N2041)-SUM(N1973)))</f>
        <v/>
      </c>
      <c r="O2042" s="485"/>
      <c r="P2042" s="1137"/>
      <c r="Q2042" s="1137"/>
      <c r="R2042" s="1137"/>
      <c r="S2042" s="1137"/>
      <c r="T2042" s="1137"/>
      <c r="U2042" s="1137"/>
      <c r="V2042" s="1137"/>
    </row>
    <row r="2043" spans="1:22" s="562" customFormat="1" ht="12.75" customHeight="1">
      <c r="A2043" s="719"/>
      <c r="B2043" s="485"/>
      <c r="C2043" s="559"/>
      <c r="D2043" s="706"/>
      <c r="E2043" s="740" t="s">
        <v>2134</v>
      </c>
      <c r="F2043" s="698"/>
      <c r="G2043" s="698"/>
      <c r="H2043" s="741" t="s">
        <v>1021</v>
      </c>
      <c r="I2043" s="742"/>
      <c r="J2043" s="2147" t="str">
        <f>IF(J2042="","",J2042&gt;=100)</f>
        <v/>
      </c>
      <c r="K2043" s="2134" t="str">
        <f>IF(K2042="","",K2042&gt;=100)</f>
        <v/>
      </c>
      <c r="L2043" s="2135" t="str">
        <f>IF(L2042="","",L2042&gt;=100)</f>
        <v/>
      </c>
      <c r="M2043" s="2135" t="str">
        <f>IF(M2042="","",M2042&gt;=100)</f>
        <v/>
      </c>
      <c r="N2043" s="2135" t="str">
        <f>IF(N2042="","",N2042&gt;=100)</f>
        <v/>
      </c>
      <c r="O2043" s="485"/>
      <c r="P2043" s="1158" t="str">
        <f>EUconst_CNTR_100EUA_VCM&amp;I1980</f>
        <v>EUA100VCM_</v>
      </c>
      <c r="Q2043" s="1137"/>
      <c r="R2043" s="1137"/>
      <c r="S2043" s="1137"/>
      <c r="T2043" s="1137"/>
      <c r="U2043" s="1137"/>
      <c r="V2043" s="1137"/>
    </row>
    <row r="2044" spans="1:22" s="562" customFormat="1" ht="5.0999999999999996" customHeight="1">
      <c r="A2044" s="719"/>
      <c r="B2044" s="485"/>
      <c r="C2044" s="559"/>
      <c r="D2044" s="706"/>
      <c r="E2044" s="485"/>
      <c r="F2044" s="485"/>
      <c r="G2044" s="485"/>
      <c r="H2044" s="485"/>
      <c r="I2044" s="743"/>
      <c r="J2044" s="485"/>
      <c r="K2044" s="1790"/>
      <c r="L2044" s="1791"/>
      <c r="M2044" s="1791"/>
      <c r="N2044" s="1791"/>
      <c r="O2044" s="485"/>
      <c r="P2044" s="1137"/>
      <c r="Q2044" s="1137"/>
      <c r="R2044" s="1137"/>
      <c r="S2044" s="1137"/>
      <c r="T2044" s="1137"/>
      <c r="U2044" s="1137"/>
      <c r="V2044" s="1137"/>
    </row>
    <row r="2045" spans="1:22" s="562" customFormat="1" ht="12.75" customHeight="1">
      <c r="A2045" s="719"/>
      <c r="B2045" s="485"/>
      <c r="C2045" s="559"/>
      <c r="D2045" s="706"/>
      <c r="E2045" s="707" t="s">
        <v>1757</v>
      </c>
      <c r="F2045" s="637"/>
      <c r="G2045" s="637"/>
      <c r="H2045" s="663" t="str">
        <f>EUconst_Unit</f>
        <v>Unit</v>
      </c>
      <c r="I2045" s="708"/>
      <c r="J2045" s="2132">
        <f>J$2737</f>
        <v>2026</v>
      </c>
      <c r="K2045" s="1489">
        <f>K$2737</f>
        <v>2027</v>
      </c>
      <c r="L2045" s="1490">
        <f>L$2737</f>
        <v>2028</v>
      </c>
      <c r="M2045" s="1490">
        <f>M$2737</f>
        <v>2029</v>
      </c>
      <c r="N2045" s="1490">
        <f>N$2737</f>
        <v>2030</v>
      </c>
      <c r="O2045" s="485"/>
      <c r="P2045" s="1137"/>
      <c r="Q2045" s="1137"/>
      <c r="R2045" s="1137"/>
      <c r="S2045" s="1137"/>
      <c r="T2045" s="1137"/>
      <c r="U2045" s="1137"/>
      <c r="V2045" s="1137"/>
    </row>
    <row r="2046" spans="1:22" s="562" customFormat="1" ht="12.75" hidden="1" customHeight="1">
      <c r="A2046" s="719" t="s">
        <v>2289</v>
      </c>
      <c r="B2046" s="485"/>
      <c r="C2046" s="559"/>
      <c r="D2046" s="706"/>
      <c r="E2046" s="698" t="s">
        <v>1714</v>
      </c>
      <c r="F2046" s="698"/>
      <c r="G2046" s="698"/>
      <c r="H2046" s="639" t="str">
        <f>H2032</f>
        <v>tonnes</v>
      </c>
      <c r="I2046" s="698"/>
      <c r="J2046" s="2137" t="str">
        <f t="shared" ref="J2046:N2047" si="155">I2062</f>
        <v/>
      </c>
      <c r="K2046" s="2072" t="str">
        <f t="shared" si="155"/>
        <v/>
      </c>
      <c r="L2046" s="2073" t="str">
        <f t="shared" si="155"/>
        <v/>
      </c>
      <c r="M2046" s="2073" t="str">
        <f t="shared" si="155"/>
        <v/>
      </c>
      <c r="N2046" s="2073" t="str">
        <f t="shared" si="155"/>
        <v/>
      </c>
      <c r="O2046" s="485"/>
      <c r="P2046" s="1137"/>
      <c r="Q2046" s="1137"/>
      <c r="R2046" s="1137"/>
      <c r="S2046" s="1137"/>
      <c r="T2046" s="1137"/>
      <c r="U2046" s="1137"/>
      <c r="V2046" s="1137"/>
    </row>
    <row r="2047" spans="1:22" s="562" customFormat="1" ht="12.75" hidden="1" customHeight="1">
      <c r="A2047" s="719" t="s">
        <v>2289</v>
      </c>
      <c r="B2047" s="485"/>
      <c r="C2047" s="559"/>
      <c r="D2047" s="706"/>
      <c r="E2047" s="720" t="s">
        <v>303</v>
      </c>
      <c r="F2047" s="720"/>
      <c r="G2047" s="720"/>
      <c r="H2047" s="721" t="str">
        <f>EUconst_EUA</f>
        <v>UKA</v>
      </c>
      <c r="I2047" s="722"/>
      <c r="J2047" s="2138" t="str">
        <f t="shared" si="155"/>
        <v/>
      </c>
      <c r="K2047" s="2072" t="str">
        <f t="shared" si="155"/>
        <v/>
      </c>
      <c r="L2047" s="2073" t="str">
        <f t="shared" si="155"/>
        <v/>
      </c>
      <c r="M2047" s="2073" t="str">
        <f t="shared" si="155"/>
        <v/>
      </c>
      <c r="N2047" s="2073" t="str">
        <f t="shared" si="155"/>
        <v/>
      </c>
      <c r="O2047" s="485"/>
      <c r="P2047" s="1137"/>
      <c r="Q2047" s="1137"/>
      <c r="R2047" s="1137"/>
      <c r="S2047" s="1137"/>
      <c r="T2047" s="1137"/>
      <c r="U2047" s="1137"/>
      <c r="V2047" s="1137"/>
    </row>
    <row r="2048" spans="1:22" s="562" customFormat="1" ht="12.75" customHeight="1">
      <c r="A2048" s="719"/>
      <c r="B2048" s="485"/>
      <c r="C2048" s="559"/>
      <c r="D2048" s="706"/>
      <c r="E2048" s="720" t="s">
        <v>1691</v>
      </c>
      <c r="F2048" s="720"/>
      <c r="G2048" s="720"/>
      <c r="H2048" s="748" t="str">
        <f>EUconst_tCO2</f>
        <v>t CO2</v>
      </c>
      <c r="I2048" s="722"/>
      <c r="J2048" s="2144" t="str">
        <f>INDEX(F_ProductBM!J:J,MATCH($P2048,F_ProductBM!$Q:$Q,0))</f>
        <v/>
      </c>
      <c r="K2048" s="2072" t="str">
        <f>INDEX(F_ProductBM!K:K,MATCH($P2048,F_ProductBM!$Q:$Q,0))</f>
        <v/>
      </c>
      <c r="L2048" s="2073" t="str">
        <f>INDEX(F_ProductBM!L:L,MATCH($P2048,F_ProductBM!$Q:$Q,0))</f>
        <v/>
      </c>
      <c r="M2048" s="2073" t="str">
        <f>INDEX(F_ProductBM!M:M,MATCH($P2048,F_ProductBM!$Q:$Q,0))</f>
        <v/>
      </c>
      <c r="N2048" s="2073" t="str">
        <f>INDEX(F_ProductBM!N:N,MATCH($P2048,F_ProductBM!$Q:$Q,0))</f>
        <v/>
      </c>
      <c r="O2048" s="485"/>
      <c r="P2048" s="1158" t="str">
        <f>EUconst_CNTR_HALinitial &amp; EUconst_CNTR_WGFlared &amp; I1953</f>
        <v>HALini_WasteGasFlare_</v>
      </c>
      <c r="Q2048" s="1137"/>
      <c r="R2048" s="1137"/>
      <c r="S2048" s="1137"/>
      <c r="T2048" s="1137"/>
      <c r="U2048" s="1137"/>
      <c r="V2048" s="1137"/>
    </row>
    <row r="2049" spans="1:22" s="562" customFormat="1" ht="12.75" customHeight="1">
      <c r="A2049" s="719"/>
      <c r="B2049" s="485"/>
      <c r="C2049" s="559"/>
      <c r="D2049" s="706"/>
      <c r="E2049" s="723" t="s">
        <v>2232</v>
      </c>
      <c r="F2049" s="723"/>
      <c r="G2049" s="723"/>
      <c r="H2049" s="734" t="s">
        <v>1021</v>
      </c>
      <c r="I2049" s="735"/>
      <c r="J2049" s="23" t="str">
        <f>INDEX(F_ProductBM!J:J,MATCH($P2049,F_ProductBM!$Q:$Q,0))</f>
        <v/>
      </c>
      <c r="K2049" s="46" t="str">
        <f>INDEX(F_ProductBM!K:K,MATCH($P2049,F_ProductBM!$Q:$Q,0))</f>
        <v/>
      </c>
      <c r="L2049" s="27" t="str">
        <f>INDEX(F_ProductBM!L:L,MATCH($P2049,F_ProductBM!$Q:$Q,0))</f>
        <v/>
      </c>
      <c r="M2049" s="27" t="str">
        <f>INDEX(F_ProductBM!M:M,MATCH($P2049,F_ProductBM!$Q:$Q,0))</f>
        <v/>
      </c>
      <c r="N2049" s="27" t="str">
        <f>INDEX(F_ProductBM!N:N,MATCH($P2049,F_ProductBM!$Q:$Q,0))</f>
        <v/>
      </c>
      <c r="O2049" s="485"/>
      <c r="P2049" s="1158" t="str">
        <f>EUconst_CNTR_RelThreshold &amp; P2051</f>
        <v>RelThresh_HALprelim_WasteGasFlare_</v>
      </c>
      <c r="Q2049" s="1137"/>
      <c r="R2049" s="1137"/>
      <c r="S2049" s="1137"/>
      <c r="T2049" s="1137"/>
      <c r="U2049" s="1137"/>
      <c r="V2049" s="1137"/>
    </row>
    <row r="2050" spans="1:22" s="562" customFormat="1" ht="12.75" customHeight="1">
      <c r="A2050" s="719"/>
      <c r="B2050" s="485"/>
      <c r="C2050" s="559"/>
      <c r="D2050" s="706"/>
      <c r="E2050" s="736" t="s">
        <v>1856</v>
      </c>
      <c r="F2050" s="736"/>
      <c r="G2050" s="736"/>
      <c r="H2050" s="737" t="s">
        <v>1021</v>
      </c>
      <c r="I2050" s="738"/>
      <c r="J2050" s="2145" t="str">
        <f>INDEX(F_ProductBM!V:V,MATCH($P2050,F_ProductBM!$Q:$Q,0))</f>
        <v/>
      </c>
      <c r="K2050" s="2134" t="str">
        <f>INDEX(F_ProductBM!W:W,MATCH($P2050,F_ProductBM!$Q:$Q,0))</f>
        <v/>
      </c>
      <c r="L2050" s="2135" t="str">
        <f>INDEX(F_ProductBM!X:X,MATCH($P2050,F_ProductBM!$Q:$Q,0))</f>
        <v/>
      </c>
      <c r="M2050" s="2135" t="str">
        <f>INDEX(F_ProductBM!Y:Y,MATCH($P2050,F_ProductBM!$Q:$Q,0))</f>
        <v/>
      </c>
      <c r="N2050" s="2135" t="str">
        <f>INDEX(F_ProductBM!Z:Z,MATCH($P2050,F_ProductBM!$Q:$Q,0))</f>
        <v/>
      </c>
      <c r="O2050" s="485"/>
      <c r="P2050" s="1158" t="str">
        <f>P2049</f>
        <v>RelThresh_HALprelim_WasteGasFlare_</v>
      </c>
      <c r="Q2050" s="1137"/>
      <c r="R2050" s="1137"/>
      <c r="S2050" s="1137"/>
      <c r="T2050" s="1137"/>
      <c r="U2050" s="1137"/>
      <c r="V2050" s="1137"/>
    </row>
    <row r="2051" spans="1:22" s="562" customFormat="1" ht="12.75" customHeight="1">
      <c r="A2051" s="719"/>
      <c r="B2051" s="485"/>
      <c r="C2051" s="559"/>
      <c r="D2051" s="706"/>
      <c r="E2051" s="727" t="s">
        <v>1689</v>
      </c>
      <c r="F2051" s="727"/>
      <c r="G2051" s="727"/>
      <c r="H2051" s="728" t="str">
        <f>EUconst_tCO2</f>
        <v>t CO2</v>
      </c>
      <c r="I2051" s="729"/>
      <c r="J2051" s="2146" t="str">
        <f>IF(OR($I1953="",CNTR_SubPeriod=1),"",INDEX(F_ProductBM!J:J,MATCH($P2051,F_ProductBM!$Q:$Q,0)))</f>
        <v/>
      </c>
      <c r="K2051" s="2072" t="str">
        <f>IF(OR($I1953="",CNTR_SubPeriod=1),"",INDEX(F_ProductBM!K:K,MATCH($P2051,F_ProductBM!$Q:$Q,0)))</f>
        <v/>
      </c>
      <c r="L2051" s="2073" t="str">
        <f>IF(OR($I1953="",CNTR_SubPeriod=1),"",INDEX(F_ProductBM!L:L,MATCH($P2051,F_ProductBM!$Q:$Q,0)))</f>
        <v/>
      </c>
      <c r="M2051" s="2073" t="str">
        <f>IF(OR($I1953="",CNTR_SubPeriod=1),"",INDEX(F_ProductBM!M:M,MATCH($P2051,F_ProductBM!$Q:$Q,0)))</f>
        <v/>
      </c>
      <c r="N2051" s="2073" t="str">
        <f>IF(OR($I1953="",CNTR_SubPeriod=1),"",INDEX(F_ProductBM!N:N,MATCH($P2051,F_ProductBM!$Q:$Q,0)))</f>
        <v/>
      </c>
      <c r="O2051" s="485"/>
      <c r="P2051" s="1158" t="str">
        <f>EUconst_CNTR_HALprelim&amp;EUconst_CNTR_WGFlared&amp;$I1953</f>
        <v>HALprelim_WasteGasFlare_</v>
      </c>
      <c r="Q2051" s="1137"/>
      <c r="R2051" s="1137"/>
      <c r="S2051" s="1137"/>
      <c r="T2051" s="1137"/>
      <c r="U2051" s="1137"/>
      <c r="V2051" s="1137"/>
    </row>
    <row r="2052" spans="1:22" s="562" customFormat="1" ht="12.75" hidden="1" customHeight="1">
      <c r="A2052" s="719" t="s">
        <v>2289</v>
      </c>
      <c r="B2052" s="485"/>
      <c r="C2052" s="559"/>
      <c r="D2052" s="706"/>
      <c r="E2052" s="723" t="s">
        <v>1390</v>
      </c>
      <c r="F2052" s="723"/>
      <c r="G2052" s="723"/>
      <c r="H2052" s="724" t="str">
        <f>EUconst_EUA</f>
        <v>UKA</v>
      </c>
      <c r="I2052" s="725"/>
      <c r="J2052" s="2139" t="str">
        <f t="shared" ref="J2052:N2054" si="156">I2065</f>
        <v/>
      </c>
      <c r="K2052" s="2072" t="str">
        <f t="shared" si="156"/>
        <v/>
      </c>
      <c r="L2052" s="2073" t="str">
        <f t="shared" si="156"/>
        <v/>
      </c>
      <c r="M2052" s="2073" t="str">
        <f t="shared" si="156"/>
        <v/>
      </c>
      <c r="N2052" s="2073" t="str">
        <f t="shared" si="156"/>
        <v/>
      </c>
      <c r="O2052" s="485"/>
      <c r="P2052" s="1137"/>
      <c r="Q2052" s="1137"/>
      <c r="R2052" s="1137"/>
      <c r="S2052" s="1137"/>
      <c r="T2052" s="1137"/>
      <c r="U2052" s="1137"/>
      <c r="V2052" s="1137"/>
    </row>
    <row r="2053" spans="1:22" s="562" customFormat="1" ht="12.75" hidden="1" customHeight="1">
      <c r="A2053" s="719" t="s">
        <v>2289</v>
      </c>
      <c r="B2053" s="485"/>
      <c r="C2053" s="559"/>
      <c r="D2053" s="706"/>
      <c r="E2053" s="723" t="s">
        <v>1389</v>
      </c>
      <c r="F2053" s="723"/>
      <c r="G2053" s="723"/>
      <c r="H2053" s="726" t="s">
        <v>1021</v>
      </c>
      <c r="I2053" s="725"/>
      <c r="J2053" s="2140" t="str">
        <f t="shared" si="156"/>
        <v/>
      </c>
      <c r="K2053" s="2141" t="str">
        <f t="shared" si="156"/>
        <v/>
      </c>
      <c r="L2053" s="2142" t="str">
        <f t="shared" si="156"/>
        <v/>
      </c>
      <c r="M2053" s="2142" t="str">
        <f t="shared" si="156"/>
        <v/>
      </c>
      <c r="N2053" s="2142" t="str">
        <f t="shared" si="156"/>
        <v/>
      </c>
      <c r="O2053" s="485"/>
      <c r="P2053" s="1137"/>
      <c r="Q2053" s="1137"/>
      <c r="R2053" s="1137"/>
      <c r="S2053" s="1137"/>
      <c r="T2053" s="1137"/>
      <c r="U2053" s="1137"/>
      <c r="V2053" s="1137"/>
    </row>
    <row r="2054" spans="1:22" s="562" customFormat="1" ht="12.75" hidden="1" customHeight="1">
      <c r="A2054" s="719" t="s">
        <v>2289</v>
      </c>
      <c r="B2054" s="485"/>
      <c r="C2054" s="559"/>
      <c r="D2054" s="706"/>
      <c r="E2054" s="727" t="s">
        <v>1391</v>
      </c>
      <c r="F2054" s="727"/>
      <c r="G2054" s="727"/>
      <c r="H2054" s="728" t="s">
        <v>1021</v>
      </c>
      <c r="I2054" s="729"/>
      <c r="J2054" s="2143" t="str">
        <f t="shared" si="156"/>
        <v/>
      </c>
      <c r="K2054" s="2141" t="str">
        <f t="shared" si="156"/>
        <v/>
      </c>
      <c r="L2054" s="2142" t="str">
        <f t="shared" si="156"/>
        <v/>
      </c>
      <c r="M2054" s="2142" t="str">
        <f t="shared" si="156"/>
        <v/>
      </c>
      <c r="N2054" s="2142" t="str">
        <f t="shared" si="156"/>
        <v/>
      </c>
      <c r="O2054" s="485"/>
      <c r="P2054" s="1137"/>
      <c r="Q2054" s="1137"/>
      <c r="R2054" s="1137"/>
      <c r="S2054" s="1137"/>
      <c r="T2054" s="1137"/>
      <c r="U2054" s="1137"/>
      <c r="V2054" s="1137"/>
    </row>
    <row r="2055" spans="1:22" s="562" customFormat="1" ht="12.75" customHeight="1">
      <c r="A2055" s="719"/>
      <c r="B2055" s="485"/>
      <c r="C2055" s="559"/>
      <c r="D2055" s="706"/>
      <c r="E2055" s="698" t="s">
        <v>1671</v>
      </c>
      <c r="F2055" s="698"/>
      <c r="G2055" s="698"/>
      <c r="H2055" s="730" t="str">
        <f>EUconst_EUA</f>
        <v>UKA</v>
      </c>
      <c r="I2055" s="731"/>
      <c r="J2055" s="2129" t="str">
        <f>IF(J2051="","",MAX(0,ROUND((SUM($M1956)*SUM(J2046)*SUM(J2053)*SUM(J2054)-SUM(J2047)-SUM(J2051)+SUM(J2052))*IF($H1956=TRUE,1,J$2517),0)))</f>
        <v/>
      </c>
      <c r="K2055" s="2072" t="str">
        <f>IF(K2051="","",MAX(0,ROUND((SUM($M1956)*SUM(K2046)*SUM(K2053)*SUM(K2054)-SUM(K2047)-SUM(K2051)+SUM(K2052))*IF($H1956=TRUE,1,K$2517),0)))</f>
        <v/>
      </c>
      <c r="L2055" s="2073" t="str">
        <f>IF(L2051="","",MAX(0,ROUND((SUM($M1956)*SUM(L2046)*SUM(L2053)*SUM(L2054)-SUM(L2047)-SUM(L2051)+SUM(L2052))*IF($H1956=TRUE,1,L$2517),0)))</f>
        <v/>
      </c>
      <c r="M2055" s="2073" t="str">
        <f>IF(M2051="","",MAX(0,ROUND((SUM($M1956)*SUM(M2046)*SUM(M2053)*SUM(M2054)-SUM(M2047)-SUM(M2051)+SUM(M2052))*IF($H1956=TRUE,1,M$2517),0)))</f>
        <v/>
      </c>
      <c r="N2055" s="2073" t="str">
        <f>IF(N2051="","",MAX(0,ROUND((SUM($M1956)*SUM(N2046)*SUM(N2053)*SUM(N2054)-SUM(N2047)-SUM(N2051)+SUM(N2052))*IF($H1956=TRUE,1,N$2517),0)))</f>
        <v/>
      </c>
      <c r="O2055" s="485"/>
      <c r="P2055" s="1137"/>
      <c r="Q2055" s="1137"/>
      <c r="R2055" s="1137"/>
      <c r="S2055" s="1137"/>
      <c r="T2055" s="1137"/>
      <c r="U2055" s="1137"/>
      <c r="V2055" s="1137"/>
    </row>
    <row r="2056" spans="1:22" s="562" customFormat="1" ht="12.75" customHeight="1">
      <c r="A2056" s="719"/>
      <c r="B2056" s="485"/>
      <c r="C2056" s="559"/>
      <c r="D2056" s="706"/>
      <c r="E2056" s="698" t="s">
        <v>1670</v>
      </c>
      <c r="F2056" s="698"/>
      <c r="G2056" s="698"/>
      <c r="H2056" s="730" t="str">
        <f>EUconst_EUA</f>
        <v>UKA</v>
      </c>
      <c r="I2056" s="731"/>
      <c r="J2056" s="2129" t="str">
        <f>IF(J2055="","",ABS(SUM(J2055)-SUM(J1973)))</f>
        <v/>
      </c>
      <c r="K2056" s="2072" t="str">
        <f>IF(K2055="","",ABS(SUM(K2055)-SUM(K1973)))</f>
        <v/>
      </c>
      <c r="L2056" s="2073" t="str">
        <f>IF(L2055="","",ABS(SUM(L2055)-SUM(L1973)))</f>
        <v/>
      </c>
      <c r="M2056" s="2073" t="str">
        <f>IF(M2055="","",ABS(SUM(M2055)-SUM(M1973)))</f>
        <v/>
      </c>
      <c r="N2056" s="2073" t="str">
        <f>IF(N2055="","",ABS(SUM(N2055)-SUM(N1973)))</f>
        <v/>
      </c>
      <c r="O2056" s="485"/>
      <c r="P2056" s="1137"/>
      <c r="Q2056" s="1137"/>
      <c r="R2056" s="1137"/>
      <c r="S2056" s="1137"/>
      <c r="T2056" s="1137"/>
      <c r="U2056" s="1137"/>
      <c r="V2056" s="1137"/>
    </row>
    <row r="2057" spans="1:22" s="562" customFormat="1" ht="12.75" customHeight="1">
      <c r="A2057" s="719"/>
      <c r="B2057" s="485"/>
      <c r="C2057" s="559"/>
      <c r="D2057" s="706"/>
      <c r="E2057" s="740" t="s">
        <v>2135</v>
      </c>
      <c r="F2057" s="698"/>
      <c r="G2057" s="698"/>
      <c r="H2057" s="741" t="s">
        <v>1021</v>
      </c>
      <c r="I2057" s="742"/>
      <c r="J2057" s="2147" t="str">
        <f>IF(J2056="","",J2056&gt;=100)</f>
        <v/>
      </c>
      <c r="K2057" s="2134" t="str">
        <f>IF(K2056="","",K2056&gt;=100)</f>
        <v/>
      </c>
      <c r="L2057" s="2135" t="str">
        <f>IF(L2056="","",L2056&gt;=100)</f>
        <v/>
      </c>
      <c r="M2057" s="2135" t="str">
        <f>IF(M2056="","",M2056&gt;=100)</f>
        <v/>
      </c>
      <c r="N2057" s="2135" t="str">
        <f>IF(N2056="","",N2056&gt;=100)</f>
        <v/>
      </c>
      <c r="O2057" s="485"/>
      <c r="P2057" s="1158" t="str">
        <f>EUconst_CNTR_100EUA_WGFlare&amp;I1953</f>
        <v>EUA100WGFlare_</v>
      </c>
      <c r="Q2057" s="1137"/>
      <c r="R2057" s="1137"/>
      <c r="S2057" s="1137"/>
      <c r="T2057" s="1137"/>
      <c r="U2057" s="1137"/>
      <c r="V2057" s="1137"/>
    </row>
    <row r="2058" spans="1:22" s="562" customFormat="1" ht="12.75" customHeight="1" thickBot="1">
      <c r="A2058" s="719"/>
      <c r="B2058" s="485"/>
      <c r="C2058" s="559"/>
      <c r="D2058" s="755"/>
      <c r="E2058" s="756"/>
      <c r="F2058" s="756"/>
      <c r="G2058" s="756"/>
      <c r="H2058" s="756"/>
      <c r="I2058" s="757"/>
      <c r="J2058" s="756"/>
      <c r="K2058" s="1790"/>
      <c r="L2058" s="1791"/>
      <c r="M2058" s="1791"/>
      <c r="N2058" s="1791"/>
      <c r="O2058" s="485"/>
      <c r="P2058" s="1137"/>
      <c r="Q2058" s="1137"/>
      <c r="R2058" s="1137"/>
      <c r="S2058" s="1137"/>
      <c r="T2058" s="1137"/>
      <c r="U2058" s="1137"/>
      <c r="V2058" s="1137"/>
    </row>
    <row r="2059" spans="1:22" s="562" customFormat="1" ht="5.0999999999999996" customHeight="1" thickBot="1">
      <c r="A2059" s="817"/>
      <c r="B2059" s="485"/>
      <c r="C2059" s="559"/>
      <c r="D2059" s="559"/>
      <c r="E2059" s="485"/>
      <c r="F2059" s="485"/>
      <c r="G2059" s="485"/>
      <c r="H2059" s="485"/>
      <c r="I2059" s="743"/>
      <c r="J2059" s="485"/>
      <c r="K2059" s="1790"/>
      <c r="L2059" s="1791"/>
      <c r="M2059" s="1791"/>
      <c r="N2059" s="1791"/>
      <c r="O2059" s="485"/>
      <c r="P2059" s="1137"/>
      <c r="Q2059" s="1137"/>
      <c r="R2059" s="1137"/>
      <c r="S2059" s="1137"/>
      <c r="T2059" s="1137"/>
      <c r="U2059" s="1137"/>
      <c r="V2059" s="1137"/>
    </row>
    <row r="2060" spans="1:22" s="562" customFormat="1" ht="5.0999999999999996" customHeight="1">
      <c r="A2060" s="817"/>
      <c r="B2060" s="485"/>
      <c r="C2060" s="485"/>
      <c r="D2060" s="759"/>
      <c r="E2060" s="760"/>
      <c r="F2060" s="760"/>
      <c r="G2060" s="760"/>
      <c r="H2060" s="760"/>
      <c r="I2060" s="761"/>
      <c r="J2060" s="760"/>
      <c r="K2060" s="1790"/>
      <c r="L2060" s="1791"/>
      <c r="M2060" s="1791"/>
      <c r="N2060" s="1791"/>
      <c r="O2060" s="485"/>
      <c r="P2060" s="1137"/>
      <c r="Q2060" s="1137"/>
      <c r="R2060" s="1137"/>
      <c r="S2060" s="1137"/>
      <c r="T2060" s="1117"/>
      <c r="U2060" s="1137"/>
      <c r="V2060" s="1137"/>
    </row>
    <row r="2061" spans="1:22" s="562" customFormat="1">
      <c r="A2061" s="817"/>
      <c r="B2061" s="485"/>
      <c r="C2061" s="485"/>
      <c r="D2061" s="539"/>
      <c r="E2061" s="496" t="s">
        <v>1786</v>
      </c>
      <c r="F2061" s="485"/>
      <c r="G2061" s="485"/>
      <c r="H2061" s="663" t="str">
        <f>EUconst_Unit</f>
        <v>Unit</v>
      </c>
      <c r="I2061" s="763" t="s">
        <v>1675</v>
      </c>
      <c r="J2061" s="2132">
        <f>J$2737</f>
        <v>2026</v>
      </c>
      <c r="K2061" s="1489">
        <f>K$2737</f>
        <v>2027</v>
      </c>
      <c r="L2061" s="1490">
        <f>L$2737</f>
        <v>2028</v>
      </c>
      <c r="M2061" s="1490">
        <f>M$2737</f>
        <v>2029</v>
      </c>
      <c r="N2061" s="1490">
        <f>N$2737</f>
        <v>2030</v>
      </c>
      <c r="O2061" s="485"/>
      <c r="P2061" s="1137"/>
      <c r="Q2061" s="1137"/>
      <c r="R2061" s="1137"/>
      <c r="S2061" s="2155" t="s">
        <v>1646</v>
      </c>
      <c r="T2061" s="1117"/>
      <c r="U2061" s="1137"/>
      <c r="V2061" s="1137"/>
    </row>
    <row r="2062" spans="1:22" s="562" customFormat="1">
      <c r="A2062" s="817"/>
      <c r="B2062" s="485"/>
      <c r="C2062" s="485"/>
      <c r="D2062" s="539"/>
      <c r="E2062" s="720" t="s">
        <v>1714</v>
      </c>
      <c r="F2062" s="720"/>
      <c r="G2062" s="720"/>
      <c r="H2062" s="732" t="str">
        <f>H2046</f>
        <v>tonnes</v>
      </c>
      <c r="I2062" s="764" t="str">
        <f>IF($I1953="","",IF(T2068&gt;=$H$2736,0,S2062))</f>
        <v/>
      </c>
      <c r="J2062" s="2144" t="str">
        <f>IF($I1953="","",INDEX(F_ProductBM!J:J,MATCH($P2062,F_ProductBM!$Q:$Q,0)))</f>
        <v/>
      </c>
      <c r="K2062" s="2072" t="str">
        <f>IF($I1953="","",INDEX(F_ProductBM!K:K,MATCH($P2062,F_ProductBM!$Q:$Q,0)))</f>
        <v/>
      </c>
      <c r="L2062" s="2073" t="str">
        <f>IF($I1953="","",INDEX(F_ProductBM!L:L,MATCH($P2062,F_ProductBM!$Q:$Q,0)))</f>
        <v/>
      </c>
      <c r="M2062" s="2073" t="str">
        <f>IF($I1953="","",INDEX(F_ProductBM!M:M,MATCH($P2062,F_ProductBM!$Q:$Q,0)))</f>
        <v/>
      </c>
      <c r="N2062" s="2073" t="str">
        <f>IF($I1953="","",INDEX(F_ProductBM!N:N,MATCH($P2062,F_ProductBM!$Q:$Q,0)))</f>
        <v/>
      </c>
      <c r="O2062" s="485"/>
      <c r="P2062" s="1158" t="str">
        <f>EUconst_CNTR_HALfinal&amp;I1953</f>
        <v>HALfinal_</v>
      </c>
      <c r="Q2062" s="1137"/>
      <c r="R2062" s="1137"/>
      <c r="S2062" s="2156" t="str">
        <f>IF($I1953="","",INDEX(F_ProductBM!I:I,MATCH($P2062,F_ProductBM!$Q:$Q,0)))</f>
        <v/>
      </c>
      <c r="T2062" s="1117"/>
      <c r="U2062" s="1137"/>
      <c r="V2062" s="1137"/>
    </row>
    <row r="2063" spans="1:22" s="562" customFormat="1">
      <c r="A2063" s="817"/>
      <c r="B2063" s="485"/>
      <c r="C2063" s="485"/>
      <c r="D2063" s="539"/>
      <c r="E2063" s="645" t="s">
        <v>303</v>
      </c>
      <c r="F2063" s="645"/>
      <c r="G2063" s="645"/>
      <c r="H2063" s="765" t="str">
        <f>EUconst_EUA</f>
        <v>UKA</v>
      </c>
      <c r="I2063" s="766" t="str">
        <f>IF($I1953="","",IF(YEAR(J1956)&gt;=$H$2736-1,0,S2063))</f>
        <v/>
      </c>
      <c r="J2063" s="2157" t="str">
        <f>IF($I1953="","",INDEX(F_ProductBM!J:J,MATCH($P2063,F_ProductBM!$Q:$Q,0)))</f>
        <v/>
      </c>
      <c r="K2063" s="2072" t="str">
        <f>IF($I1953="","",INDEX(F_ProductBM!K:K,MATCH($P2063,F_ProductBM!$Q:$Q,0)))</f>
        <v/>
      </c>
      <c r="L2063" s="2073" t="str">
        <f>IF($I1953="","",INDEX(F_ProductBM!L:L,MATCH($P2063,F_ProductBM!$Q:$Q,0)))</f>
        <v/>
      </c>
      <c r="M2063" s="2073" t="str">
        <f>IF($I1953="","",INDEX(F_ProductBM!M:M,MATCH($P2063,F_ProductBM!$Q:$Q,0)))</f>
        <v/>
      </c>
      <c r="N2063" s="2073" t="str">
        <f>IF($I1953="","",INDEX(F_ProductBM!N:N,MATCH($P2063,F_ProductBM!$Q:$Q,0)))</f>
        <v/>
      </c>
      <c r="O2063" s="485"/>
      <c r="P2063" s="1158" t="str">
        <f>EUconst_CNTR_HEATfinal&amp;I1953</f>
        <v>HEATfinal_</v>
      </c>
      <c r="Q2063" s="1137"/>
      <c r="R2063" s="1137"/>
      <c r="S2063" s="2158" t="str">
        <f>IF($I1953="","",INDEX(F_ProductBM!I:I,MATCH($P2063,F_ProductBM!$Q:$Q,0)))</f>
        <v/>
      </c>
      <c r="T2063" s="1117"/>
      <c r="U2063" s="1137"/>
      <c r="V2063" s="1137"/>
    </row>
    <row r="2064" spans="1:22" s="562" customFormat="1">
      <c r="A2064" s="817"/>
      <c r="B2064" s="485"/>
      <c r="C2064" s="485"/>
      <c r="D2064" s="539"/>
      <c r="E2064" s="723" t="s">
        <v>1422</v>
      </c>
      <c r="F2064" s="723"/>
      <c r="G2064" s="723"/>
      <c r="H2064" s="724" t="str">
        <f>EUconst_EUA</f>
        <v>UKA</v>
      </c>
      <c r="I2064" s="767" t="str">
        <f>IF($I1953="","",IF(T2068&gt;=$H$2736,0,S2064))</f>
        <v/>
      </c>
      <c r="J2064" s="2159" t="str">
        <f>IF($I1953="","",INDEX(F_ProductBM!J:J,MATCH($P2064,F_ProductBM!$Q:$Q,0)))</f>
        <v/>
      </c>
      <c r="K2064" s="2072" t="str">
        <f>IF($I1953="","",INDEX(F_ProductBM!K:K,MATCH($P2064,F_ProductBM!$Q:$Q,0)))</f>
        <v/>
      </c>
      <c r="L2064" s="2073" t="str">
        <f>IF($I1953="","",INDEX(F_ProductBM!L:L,MATCH($P2064,F_ProductBM!$Q:$Q,0)))</f>
        <v/>
      </c>
      <c r="M2064" s="2073" t="str">
        <f>IF($I1953="","",INDEX(F_ProductBM!M:M,MATCH($P2064,F_ProductBM!$Q:$Q,0)))</f>
        <v/>
      </c>
      <c r="N2064" s="2073" t="str">
        <f>IF($I1953="","",INDEX(F_ProductBM!N:N,MATCH($P2064,F_ProductBM!$Q:$Q,0)))</f>
        <v/>
      </c>
      <c r="O2064" s="485"/>
      <c r="P2064" s="1158" t="str">
        <f>EUconst_CNTR_HALfinal&amp;EUconst_CNTR_WGFlared&amp;$I1953</f>
        <v>HALfinal_WasteGasFlare_</v>
      </c>
      <c r="Q2064" s="1137"/>
      <c r="R2064" s="1137"/>
      <c r="S2064" s="2160" t="str">
        <f>IF($I1953="","",INDEX(F_ProductBM!I:I,MATCH($P2064,F_ProductBM!$Q:$Q,0)))</f>
        <v/>
      </c>
      <c r="T2064" s="1117"/>
      <c r="U2064" s="1137"/>
      <c r="V2064" s="1137"/>
    </row>
    <row r="2065" spans="1:22" s="562" customFormat="1">
      <c r="A2065" s="817"/>
      <c r="C2065" s="485"/>
      <c r="D2065" s="539"/>
      <c r="E2065" s="723" t="s">
        <v>1390</v>
      </c>
      <c r="F2065" s="723"/>
      <c r="G2065" s="723"/>
      <c r="H2065" s="724" t="str">
        <f>EUconst_EUA</f>
        <v>UKA</v>
      </c>
      <c r="I2065" s="767" t="str">
        <f>IF($I1953="","",IF(T2068&gt;=$H$2736,0,IF(L1956=42,S2065,0)))</f>
        <v/>
      </c>
      <c r="J2065" s="2159" t="str">
        <f>IF($I1953="","",IF($L1956=42,INDEX(H_SpecialBM!J:J,MATCH($P2065,H_SpecialBM!$Q:$Q,0)),0))</f>
        <v/>
      </c>
      <c r="K2065" s="2072" t="str">
        <f>IF($I1953="","",IF($L1956=42,INDEX(H_SpecialBM!K:K,MATCH($P2065,H_SpecialBM!$Q:$Q,0)),0))</f>
        <v/>
      </c>
      <c r="L2065" s="2073" t="str">
        <f>IF($I1953="","",IF($L1956=42,INDEX(H_SpecialBM!L:L,MATCH($P2065,H_SpecialBM!$Q:$Q,0)),0))</f>
        <v/>
      </c>
      <c r="M2065" s="2073" t="str">
        <f>IF($I1953="","",IF($L1956=42,INDEX(H_SpecialBM!M:M,MATCH($P2065,H_SpecialBM!$Q:$Q,0)),0))</f>
        <v/>
      </c>
      <c r="N2065" s="2073" t="str">
        <f>IF($I1953="","",IF($L1956=42,INDEX(H_SpecialBM!N:N,MATCH($P2065,H_SpecialBM!$Q:$Q,0)),0))</f>
        <v/>
      </c>
      <c r="O2065" s="485"/>
      <c r="P2065" s="1158" t="str">
        <f>EUconst_CNTR_HVCfinal</f>
        <v>HVCfinal_</v>
      </c>
      <c r="Q2065" s="1137"/>
      <c r="R2065" s="1137"/>
      <c r="S2065" s="2160" t="str">
        <f>IF($I1953="","",IF(L1956=42,INDEX(H_SpecialBM!I:I,MATCH($P2065,H_SpecialBM!$Q:$Q,0)),0))</f>
        <v/>
      </c>
      <c r="T2065" s="1117"/>
      <c r="U2065" s="1137"/>
      <c r="V2065" s="1137"/>
    </row>
    <row r="2066" spans="1:22" s="562" customFormat="1">
      <c r="A2066" s="817"/>
      <c r="C2066" s="485"/>
      <c r="D2066" s="539"/>
      <c r="E2066" s="723" t="s">
        <v>1389</v>
      </c>
      <c r="F2066" s="723"/>
      <c r="G2066" s="723"/>
      <c r="H2066" s="726" t="s">
        <v>1021</v>
      </c>
      <c r="I2066" s="768" t="str">
        <f>IF(AND($I1953&lt;&gt;"",$I1956=TRUE),IF(T2068&gt;=$H$2736,1,S2066),IF($I1953="","",1))</f>
        <v/>
      </c>
      <c r="J2066" s="2161" t="str">
        <f>IF(AND($I1953&lt;&gt;"",$I1956=TRUE),INDEX(F_ProductBM!J:J,MATCH($P2066,F_ProductBM!$Q:$Q,0)),IF($I1953="","",1))</f>
        <v/>
      </c>
      <c r="K2066" s="2141" t="str">
        <f>IF(AND($I1953&lt;&gt;"",$I1956=TRUE),INDEX(F_ProductBM!K:K,MATCH($P2066,F_ProductBM!$Q:$Q,0)),IF($I1953="","",1))</f>
        <v/>
      </c>
      <c r="L2066" s="2142" t="str">
        <f>IF(AND($I1953&lt;&gt;"",$I1956=TRUE),INDEX(F_ProductBM!L:L,MATCH($P2066,F_ProductBM!$Q:$Q,0)),IF($I1953="","",1))</f>
        <v/>
      </c>
      <c r="M2066" s="2142" t="str">
        <f>IF(AND($I1953&lt;&gt;"",$I1956=TRUE),INDEX(F_ProductBM!M:M,MATCH($P2066,F_ProductBM!$Q:$Q,0)),IF($I1953="","",1))</f>
        <v/>
      </c>
      <c r="N2066" s="2142" t="str">
        <f>IF(AND($I1953&lt;&gt;"",$I1956=TRUE),INDEX(F_ProductBM!N:N,MATCH($P2066,F_ProductBM!$Q:$Q,0)),IF($I1953="","",1))</f>
        <v/>
      </c>
      <c r="O2066" s="485"/>
      <c r="P2066" s="1158" t="str">
        <f>EUconst_CNTR_HALfinal&amp;EUconst_CNTR_ELEXCH&amp;$I1953</f>
        <v>HALfinal_ELEXCH_</v>
      </c>
      <c r="Q2066" s="1137"/>
      <c r="R2066" s="1137"/>
      <c r="S2066" s="2162" t="str">
        <f>IF(AND($I1953&lt;&gt;"",$I1956=TRUE),INDEX(F_ProductBM!I:I,MATCH($P2066,F_ProductBM!$Q:$Q,0)),IF($I1953="","",1))</f>
        <v/>
      </c>
      <c r="T2066" s="1137"/>
      <c r="U2066" s="1137"/>
      <c r="V2066" s="1137"/>
    </row>
    <row r="2067" spans="1:22" s="562" customFormat="1">
      <c r="A2067" s="817"/>
      <c r="C2067" s="485"/>
      <c r="D2067" s="539"/>
      <c r="E2067" s="727" t="s">
        <v>1391</v>
      </c>
      <c r="F2067" s="727"/>
      <c r="G2067" s="727"/>
      <c r="H2067" s="728" t="s">
        <v>1021</v>
      </c>
      <c r="I2067" s="769" t="str">
        <f>IF($I1953="","",IF($L1956=47,IF(AND(ISNUMBER(S2067),YEAR(J1956)&lt;2021),S2067,1),1))</f>
        <v/>
      </c>
      <c r="J2067" s="2163" t="str">
        <f>IF($I1953="","",IF($L1956=47,IF(ISNUMBER(INDEX(H_SpecialBM!J:J,MATCH($P2067,H_SpecialBM!$Q:$Q,0))),INDEX(H_SpecialBM!J:J,MATCH($P2067,H_SpecialBM!$Q:$Q,0)),1),1))</f>
        <v/>
      </c>
      <c r="K2067" s="2141" t="str">
        <f>IF($I1953="","",IF($L1956=47,IF(ISNUMBER(INDEX(H_SpecialBM!K:K,MATCH($P2067,H_SpecialBM!$Q:$Q,0))),INDEX(H_SpecialBM!K:K,MATCH($P2067,H_SpecialBM!$Q:$Q,0)),1),1))</f>
        <v/>
      </c>
      <c r="L2067" s="2142" t="str">
        <f>IF($I1953="","",IF($L1956=47,IF(ISNUMBER(INDEX(H_SpecialBM!L:L,MATCH($P2067,H_SpecialBM!$Q:$Q,0))),INDEX(H_SpecialBM!L:L,MATCH($P2067,H_SpecialBM!$Q:$Q,0)),1),1))</f>
        <v/>
      </c>
      <c r="M2067" s="2142" t="str">
        <f>IF($I1953="","",IF($L1956=47,IF(ISNUMBER(INDEX(H_SpecialBM!M:M,MATCH($P2067,H_SpecialBM!$Q:$Q,0))),INDEX(H_SpecialBM!M:M,MATCH($P2067,H_SpecialBM!$Q:$Q,0)),1),1))</f>
        <v/>
      </c>
      <c r="N2067" s="2142" t="str">
        <f>IF($I1953="","",IF($L1956=47,IF(ISNUMBER(INDEX(H_SpecialBM!N:N,MATCH($P2067,H_SpecialBM!$Q:$Q,0))),INDEX(H_SpecialBM!N:N,MATCH($P2067,H_SpecialBM!$Q:$Q,0)),1),1))</f>
        <v/>
      </c>
      <c r="O2067" s="485"/>
      <c r="P2067" s="1158" t="str">
        <f>EUconst_CNTR_VCMfinal</f>
        <v>VCMfinal_</v>
      </c>
      <c r="Q2067" s="1137"/>
      <c r="R2067" s="1137"/>
      <c r="S2067" s="2164" t="str">
        <f>IF($I1953="","",IF($L1956=47,IF(ISNUMBER(INDEX(H_SpecialBM!I:I,MATCH($P2067,H_SpecialBM!$Q:$Q,0))),INDEX(H_SpecialBM!I:I,MATCH($P2067,H_SpecialBM!$Q:$Q,0)),1),1))</f>
        <v/>
      </c>
      <c r="T2067" s="1137"/>
      <c r="U2067" s="1137"/>
      <c r="V2067" s="1137"/>
    </row>
    <row r="2068" spans="1:22" s="562" customFormat="1">
      <c r="A2068" s="817"/>
      <c r="C2068" s="485"/>
      <c r="D2068" s="539"/>
      <c r="E2068" s="698" t="s">
        <v>222</v>
      </c>
      <c r="F2068" s="698"/>
      <c r="G2068" s="698"/>
      <c r="H2068" s="730" t="str">
        <f>EUconst_EUA</f>
        <v>UKA</v>
      </c>
      <c r="I2068" s="770" t="str">
        <f>IF($I1953="","",MAX(0,ROUND((SUM($M1956)*SUM(I2062)*SUM(I2066)*SUM(I2067)-SUM(I2063)-SUM(I2064)+SUM(I2065))*IF($H1956=TRUE,1,J$2517),0)))</f>
        <v/>
      </c>
      <c r="J2068" s="2129" t="str">
        <f>IF($I1953="","",MAX(0,ROUND((SUM($M1956)*SUM(J2062)*SUM(J2066)*SUM(J2067)-SUM(J2063)-SUM(J2064)+SUM(J2065))*IF($H1956=TRUE,1,J$2517),0)))</f>
        <v/>
      </c>
      <c r="K2068" s="2072" t="str">
        <f>IF($I1953="","",MAX(0,ROUND((SUM($M1956)*SUM(K2062)*SUM(K2066)*SUM(K2067)-SUM(K2063)-SUM(K2064)+SUM(K2065))*IF($H1956=TRUE,1,K$2517),0)))</f>
        <v/>
      </c>
      <c r="L2068" s="2073" t="str">
        <f>IF($I1953="","",MAX(0,ROUND((SUM($M1956)*SUM(L2062)*SUM(L2066)*SUM(L2067)-SUM(L2063)-SUM(L2064)+SUM(L2065))*IF($H1956=TRUE,1,L$2517),0)))</f>
        <v/>
      </c>
      <c r="M2068" s="2073" t="str">
        <f>IF($I1953="","",MAX(0,ROUND((SUM($M1956)*SUM(M2062)*SUM(M2066)*SUM(M2067)-SUM(M2063)-SUM(M2064)+SUM(M2065))*IF($H1956=TRUE,1,M$2517),0)))</f>
        <v/>
      </c>
      <c r="N2068" s="2073" t="str">
        <f>IF($I1953="","",MAX(0,ROUND((SUM($M1956)*SUM(N2062)*SUM(N2066)*SUM(N2067)-SUM(N2063)-SUM(N2064)+SUM(N2065))*IF($H1956=TRUE,1,N$2517),0)))</f>
        <v/>
      </c>
      <c r="O2068" s="485"/>
      <c r="P2068" s="1158" t="str">
        <f>EUconst_AllocPrelim&amp;I1953</f>
        <v>AllocPrelim_</v>
      </c>
      <c r="Q2068" s="1137"/>
      <c r="R2068" s="1137"/>
      <c r="S2068" s="2165" t="str">
        <f>IF($I1953="","",MAX(0,ROUND((SUM($M1956)*SUM(S2062)*SUM(S2066)*SUM(S2067)-SUM(S2063)-SUM(S2064)+SUM(S2065))*IF($H1956=TRUE,1,J$2517),0)))</f>
        <v/>
      </c>
      <c r="T2068" s="1137">
        <f>INDEX(F_ProductBM!V:V,MATCH(C1953,F_ProductBM!C:C,0))</f>
        <v>2005</v>
      </c>
      <c r="U2068" s="1137" t="e">
        <f>INDEX(I2068:N2068,CNTR_ReportingYear-$I$2736)&lt;&gt;INDEX(I2068:N2068,CNTR_ReportingYear-$H$2736)</f>
        <v>#REF!</v>
      </c>
      <c r="V2068" s="1137"/>
    </row>
    <row r="2069" spans="1:22" s="562" customFormat="1" ht="5.0999999999999996" customHeight="1" thickBot="1">
      <c r="A2069" s="817"/>
      <c r="C2069" s="485"/>
      <c r="D2069" s="771"/>
      <c r="E2069" s="756"/>
      <c r="F2069" s="756"/>
      <c r="G2069" s="756"/>
      <c r="H2069" s="756"/>
      <c r="I2069" s="756"/>
      <c r="J2069" s="756"/>
      <c r="K2069" s="1790"/>
      <c r="L2069" s="1791"/>
      <c r="M2069" s="1791"/>
      <c r="N2069" s="1791"/>
      <c r="O2069" s="485"/>
      <c r="P2069" s="1137"/>
      <c r="Q2069" s="1137"/>
      <c r="R2069" s="1137"/>
      <c r="S2069" s="1137"/>
      <c r="T2069" s="1137"/>
      <c r="U2069" s="1137"/>
      <c r="V2069" s="1137"/>
    </row>
    <row r="2070" spans="1:22" s="562" customFormat="1" ht="5.0999999999999996" customHeight="1" thickBot="1">
      <c r="A2070" s="817"/>
      <c r="C2070" s="485"/>
      <c r="E2070" s="561"/>
      <c r="F2070" s="485"/>
      <c r="G2070" s="485"/>
      <c r="H2070" s="485"/>
      <c r="I2070" s="485"/>
      <c r="J2070" s="485"/>
      <c r="K2070" s="1790"/>
      <c r="L2070" s="1791"/>
      <c r="M2070" s="1791"/>
      <c r="N2070" s="1791"/>
      <c r="O2070" s="485"/>
      <c r="P2070" s="1137"/>
      <c r="Q2070" s="1137"/>
      <c r="R2070" s="1137"/>
      <c r="S2070" s="1137"/>
      <c r="T2070" s="1137"/>
      <c r="U2070" s="1137"/>
      <c r="V2070" s="1137"/>
    </row>
    <row r="2071" spans="1:22" s="562" customFormat="1" ht="12.75" customHeight="1">
      <c r="A2071" s="817"/>
      <c r="C2071" s="485"/>
      <c r="D2071" s="772"/>
      <c r="E2071" s="773"/>
      <c r="F2071" s="773"/>
      <c r="G2071" s="774"/>
      <c r="H2071" s="774"/>
      <c r="I2071" s="774"/>
      <c r="J2071" s="774"/>
      <c r="K2071" s="1790"/>
      <c r="L2071" s="1791"/>
      <c r="M2071" s="1791"/>
      <c r="N2071" s="1791"/>
      <c r="O2071" s="485"/>
      <c r="P2071" s="1137"/>
      <c r="Q2071" s="1137"/>
      <c r="R2071" s="1137"/>
      <c r="S2071" s="1137"/>
      <c r="T2071" s="1137"/>
      <c r="U2071" s="1137"/>
      <c r="V2071" s="1137"/>
    </row>
    <row r="2072" spans="1:22" s="562" customFormat="1" ht="13.5" thickBot="1">
      <c r="A2072" s="817"/>
      <c r="C2072" s="485"/>
      <c r="D2072" s="776"/>
      <c r="E2072" s="777"/>
      <c r="F2072" s="777"/>
      <c r="G2072" s="778" t="str">
        <f>EUconst_Unit</f>
        <v>Unit</v>
      </c>
      <c r="H2072" s="779">
        <f t="shared" ref="H2072:M2072" si="157">H$2737</f>
        <v>2024</v>
      </c>
      <c r="I2072" s="780">
        <f t="shared" si="157"/>
        <v>2025</v>
      </c>
      <c r="J2072" s="2166">
        <f t="shared" si="157"/>
        <v>2026</v>
      </c>
      <c r="K2072" s="1489">
        <f t="shared" si="157"/>
        <v>2027</v>
      </c>
      <c r="L2072" s="1490">
        <f t="shared" si="157"/>
        <v>2028</v>
      </c>
      <c r="M2072" s="1490">
        <f t="shared" si="157"/>
        <v>2029</v>
      </c>
      <c r="N2072" s="1490">
        <f>N$2737</f>
        <v>2030</v>
      </c>
      <c r="O2072" s="485"/>
      <c r="P2072" s="1137"/>
      <c r="Q2072" s="1137"/>
      <c r="R2072" s="1137"/>
      <c r="S2072" s="1137"/>
      <c r="T2072" s="1117"/>
      <c r="U2072" s="1137"/>
      <c r="V2072" s="1137"/>
    </row>
    <row r="2073" spans="1:22" s="562" customFormat="1" ht="13.5" customHeight="1" thickBot="1">
      <c r="A2073" s="817"/>
      <c r="C2073" s="485"/>
      <c r="D2073" s="776"/>
      <c r="E2073" s="2470" t="s">
        <v>1504</v>
      </c>
      <c r="F2073" s="2470"/>
      <c r="G2073" s="808" t="str">
        <f>EUconst_tCO2epa</f>
        <v>t CO2e/year</v>
      </c>
      <c r="H2073" s="786" t="str">
        <f t="shared" ref="H2073:N2073" si="158">INDEX(H$92:H$108,MATCH($I1953,$E$92:$E$108,0))</f>
        <v/>
      </c>
      <c r="I2073" s="787" t="str">
        <f t="shared" si="158"/>
        <v/>
      </c>
      <c r="J2073" s="2167" t="str">
        <f t="shared" si="158"/>
        <v/>
      </c>
      <c r="K2073" s="2105" t="str">
        <f t="shared" si="158"/>
        <v/>
      </c>
      <c r="L2073" s="1960" t="str">
        <f t="shared" si="158"/>
        <v/>
      </c>
      <c r="M2073" s="1960" t="str">
        <f t="shared" si="158"/>
        <v/>
      </c>
      <c r="N2073" s="1960" t="str">
        <f t="shared" si="158"/>
        <v/>
      </c>
      <c r="O2073" s="485"/>
      <c r="P2073" s="1137"/>
      <c r="Q2073" s="1137"/>
      <c r="R2073" s="1137"/>
      <c r="S2073" s="1137"/>
      <c r="T2073" s="1117"/>
      <c r="U2073" s="1137"/>
      <c r="V2073" s="1137"/>
    </row>
    <row r="2074" spans="1:22" s="562" customFormat="1" ht="5.0999999999999996" customHeight="1">
      <c r="A2074" s="817"/>
      <c r="C2074" s="485"/>
      <c r="D2074" s="776"/>
      <c r="E2074" s="809"/>
      <c r="F2074" s="809"/>
      <c r="G2074" s="777"/>
      <c r="H2074" s="2168"/>
      <c r="I2074" s="2168"/>
      <c r="J2074" s="2168"/>
      <c r="K2074" s="2169"/>
      <c r="L2074" s="2170"/>
      <c r="M2074" s="2170"/>
      <c r="N2074" s="2170"/>
      <c r="O2074" s="485"/>
      <c r="P2074" s="1137"/>
      <c r="Q2074" s="1137"/>
      <c r="R2074" s="1137"/>
      <c r="S2074" s="1137"/>
      <c r="T2074" s="1117"/>
      <c r="U2074" s="1137"/>
      <c r="V2074" s="1137"/>
    </row>
    <row r="2075" spans="1:22" s="562" customFormat="1" ht="12.75" customHeight="1">
      <c r="A2075" s="817"/>
      <c r="C2075" s="485"/>
      <c r="D2075" s="776"/>
      <c r="E2075" s="2471" t="s">
        <v>1344</v>
      </c>
      <c r="F2075" s="3467"/>
      <c r="G2075" s="811" t="str">
        <f>EUconst_TJpa</f>
        <v>TJ / year</v>
      </c>
      <c r="H2075" s="625" t="str">
        <f>IF($I1953="","",IF(INDEX(F_ProductBM!H:H,MATCH($P2075,F_ProductBM!$Q:$Q,0))="","",INDEX(F_ProductBM!H:H,MATCH($P2075,F_ProductBM!$Q:$Q,0))))</f>
        <v/>
      </c>
      <c r="I2075" s="794" t="str">
        <f>IF($I1953="","",IF(INDEX(F_ProductBM!I:I,MATCH($P2075,F_ProductBM!$Q:$Q,0))="","",INDEX(F_ProductBM!I:I,MATCH($P2075,F_ProductBM!$Q:$Q,0))))</f>
        <v/>
      </c>
      <c r="J2075" s="2171" t="str">
        <f>IF($I1953="","",IF(INDEX(F_ProductBM!J:J,MATCH($P2075,F_ProductBM!$Q:$Q,0))="","",INDEX(F_ProductBM!J:J,MATCH($P2075,F_ProductBM!$Q:$Q,0))))</f>
        <v/>
      </c>
      <c r="K2075" s="1788" t="str">
        <f>IF($I1953="","",IF(INDEX(F_ProductBM!K:K,MATCH($P2075,F_ProductBM!$Q:$Q,0))="","",INDEX(F_ProductBM!K:K,MATCH($P2075,F_ProductBM!$Q:$Q,0))))</f>
        <v/>
      </c>
      <c r="L2075" s="1789" t="str">
        <f>IF($I1953="","",IF(INDEX(F_ProductBM!L:L,MATCH($P2075,F_ProductBM!$Q:$Q,0))="","",INDEX(F_ProductBM!L:L,MATCH($P2075,F_ProductBM!$Q:$Q,0))))</f>
        <v/>
      </c>
      <c r="M2075" s="1789" t="str">
        <f>IF($I1953="","",IF(INDEX(F_ProductBM!M:M,MATCH($P2075,F_ProductBM!$Q:$Q,0))="","",INDEX(F_ProductBM!M:M,MATCH($P2075,F_ProductBM!$Q:$Q,0))))</f>
        <v/>
      </c>
      <c r="N2075" s="1789" t="str">
        <f>IF($I1953="","",IF(INDEX(F_ProductBM!N:N,MATCH($P2075,F_ProductBM!$Q:$Q,0))="","",INDEX(F_ProductBM!N:N,MATCH($P2075,F_ProductBM!$Q:$Q,0))))</f>
        <v/>
      </c>
      <c r="O2075" s="485"/>
      <c r="P2075" s="2109" t="str">
        <f>EUconst_CNTR_FuelInput &amp; I1953</f>
        <v>FuelInput_</v>
      </c>
      <c r="Q2075" s="1137"/>
      <c r="R2075" s="1137"/>
      <c r="S2075" s="1137"/>
      <c r="T2075" s="1117"/>
      <c r="U2075" s="1137"/>
      <c r="V2075" s="1137"/>
    </row>
    <row r="2076" spans="1:22" s="562" customFormat="1" ht="12.75" customHeight="1">
      <c r="A2076" s="817"/>
      <c r="C2076" s="485"/>
      <c r="D2076" s="776"/>
      <c r="E2076" s="2473" t="s">
        <v>1182</v>
      </c>
      <c r="F2076" s="3466"/>
      <c r="G2076" s="812" t="str">
        <f>EUconst_tCO2pTJ</f>
        <v>t CO2 / TJ</v>
      </c>
      <c r="H2076" s="627" t="str">
        <f>IF($I1953="","",IF(INDEX(F_ProductBM!H:H,MATCH($P2076,F_ProductBM!$Q:$Q,0))="","",INDEX(F_ProductBM!H:H,MATCH($P2076,F_ProductBM!$Q:$Q,0))))</f>
        <v/>
      </c>
      <c r="I2076" s="796" t="str">
        <f>IF($I1953="","",IF(INDEX(F_ProductBM!I:I,MATCH($P2076,F_ProductBM!$Q:$Q,0))="","",INDEX(F_ProductBM!I:I,MATCH($P2076,F_ProductBM!$Q:$Q,0))))</f>
        <v/>
      </c>
      <c r="J2076" s="2172" t="str">
        <f>IF($I1953="","",IF(INDEX(F_ProductBM!J:J,MATCH($P2076,F_ProductBM!$Q:$Q,0))="","",INDEX(F_ProductBM!J:J,MATCH($P2076,F_ProductBM!$Q:$Q,0))))</f>
        <v/>
      </c>
      <c r="K2076" s="1788" t="str">
        <f>IF($I1953="","",IF(INDEX(F_ProductBM!K:K,MATCH($P2076,F_ProductBM!$Q:$Q,0))="","",INDEX(F_ProductBM!K:K,MATCH($P2076,F_ProductBM!$Q:$Q,0))))</f>
        <v/>
      </c>
      <c r="L2076" s="1789" t="str">
        <f>IF($I1953="","",IF(INDEX(F_ProductBM!L:L,MATCH($P2076,F_ProductBM!$Q:$Q,0))="","",INDEX(F_ProductBM!L:L,MATCH($P2076,F_ProductBM!$Q:$Q,0))))</f>
        <v/>
      </c>
      <c r="M2076" s="1789" t="str">
        <f>IF($I1953="","",IF(INDEX(F_ProductBM!M:M,MATCH($P2076,F_ProductBM!$Q:$Q,0))="","",INDEX(F_ProductBM!M:M,MATCH($P2076,F_ProductBM!$Q:$Q,0))))</f>
        <v/>
      </c>
      <c r="N2076" s="1789" t="str">
        <f>IF($I1953="","",IF(INDEX(F_ProductBM!N:N,MATCH($P2076,F_ProductBM!$Q:$Q,0))="","",INDEX(F_ProductBM!N:N,MATCH($P2076,F_ProductBM!$Q:$Q,0))))</f>
        <v/>
      </c>
      <c r="O2076" s="485"/>
      <c r="P2076" s="1970" t="str">
        <f>EUconst_CNTR_FuelEF &amp; I1953</f>
        <v>FuelEF_</v>
      </c>
      <c r="Q2076" s="1137"/>
      <c r="R2076" s="1137"/>
      <c r="S2076" s="1137"/>
      <c r="T2076" s="1117"/>
      <c r="U2076" s="1137"/>
      <c r="V2076" s="1137"/>
    </row>
    <row r="2077" spans="1:22" s="562" customFormat="1" ht="5.0999999999999996" customHeight="1">
      <c r="A2077" s="817"/>
      <c r="C2077" s="485"/>
      <c r="D2077" s="776"/>
      <c r="E2077" s="809"/>
      <c r="F2077" s="809"/>
      <c r="G2077" s="813"/>
      <c r="H2077" s="2173"/>
      <c r="I2077" s="2173"/>
      <c r="J2077" s="2173"/>
      <c r="K2077" s="1788"/>
      <c r="L2077" s="1789"/>
      <c r="M2077" s="1789"/>
      <c r="N2077" s="1789"/>
      <c r="O2077" s="485"/>
      <c r="P2077" s="1137"/>
      <c r="Q2077" s="1137"/>
      <c r="R2077" s="1137"/>
      <c r="S2077" s="1137"/>
      <c r="T2077" s="1117"/>
      <c r="U2077" s="1137"/>
      <c r="V2077" s="1137"/>
    </row>
    <row r="2078" spans="1:22" s="562" customFormat="1" ht="12.75" customHeight="1">
      <c r="A2078" s="817"/>
      <c r="C2078" s="485"/>
      <c r="D2078" s="776"/>
      <c r="E2078" s="2475" t="s">
        <v>63</v>
      </c>
      <c r="F2078" s="3461"/>
      <c r="G2078" s="815" t="str">
        <f>EUconst_tCO2pa</f>
        <v>t CO2 / year</v>
      </c>
      <c r="H2078" s="623" t="str">
        <f>IF($I1953="","",IF(INDEX(F_ProductBM!H:H,MATCH($P2078,F_ProductBM!$Q:$Q,0))="","",INDEX(F_ProductBM!H:H,MATCH($P2078,F_ProductBM!$Q:$Q,0))))</f>
        <v/>
      </c>
      <c r="I2078" s="800" t="str">
        <f>IF($I1953="","",IF(INDEX(F_ProductBM!I:I,MATCH($P2078,F_ProductBM!$Q:$Q,0))="","",INDEX(F_ProductBM!I:I,MATCH($P2078,F_ProductBM!$Q:$Q,0))))</f>
        <v/>
      </c>
      <c r="J2078" s="2174" t="str">
        <f>IF($I1953="","",IF(INDEX(F_ProductBM!J:J,MATCH($P2078,F_ProductBM!$Q:$Q,0))="","",INDEX(F_ProductBM!J:J,MATCH($P2078,F_ProductBM!$Q:$Q,0))))</f>
        <v/>
      </c>
      <c r="K2078" s="1788" t="str">
        <f>IF($I1953="","",IF(INDEX(F_ProductBM!K:K,MATCH($P2078,F_ProductBM!$Q:$Q,0))="","",INDEX(F_ProductBM!K:K,MATCH($P2078,F_ProductBM!$Q:$Q,0))))</f>
        <v/>
      </c>
      <c r="L2078" s="1789" t="str">
        <f>IF($I1953="","",IF(INDEX(F_ProductBM!L:L,MATCH($P2078,F_ProductBM!$Q:$Q,0))="","",INDEX(F_ProductBM!L:L,MATCH($P2078,F_ProductBM!$Q:$Q,0))))</f>
        <v/>
      </c>
      <c r="M2078" s="1789" t="str">
        <f>IF($I1953="","",IF(INDEX(F_ProductBM!M:M,MATCH($P2078,F_ProductBM!$Q:$Q,0))="","",INDEX(F_ProductBM!M:M,MATCH($P2078,F_ProductBM!$Q:$Q,0))))</f>
        <v/>
      </c>
      <c r="N2078" s="1789" t="str">
        <f>IF($I1953="","",IF(INDEX(F_ProductBM!N:N,MATCH($P2078,F_ProductBM!$Q:$Q,0))="","",INDEX(F_ProductBM!N:N,MATCH($P2078,F_ProductBM!$Q:$Q,0))))</f>
        <v/>
      </c>
      <c r="O2078" s="485"/>
      <c r="P2078" s="1970" t="str">
        <f>EUconst_CNTR_Emissions &amp; I1953</f>
        <v>DirEmissions_</v>
      </c>
      <c r="Q2078" s="1137"/>
      <c r="R2078" s="1137"/>
      <c r="S2078" s="1137"/>
      <c r="T2078" s="1117"/>
      <c r="U2078" s="1137"/>
      <c r="V2078" s="1137"/>
    </row>
    <row r="2079" spans="1:22" s="562" customFormat="1" ht="12.75" customHeight="1">
      <c r="A2079" s="817"/>
      <c r="C2079" s="485"/>
      <c r="D2079" s="776"/>
      <c r="E2079" s="2475" t="s">
        <v>1154</v>
      </c>
      <c r="F2079" s="3461"/>
      <c r="G2079" s="815" t="str">
        <f>EUconst_tCO2pa</f>
        <v>t CO2 / year</v>
      </c>
      <c r="H2079" s="623" t="str">
        <f>IF($I1953="","",IF(INDEX(F_ProductBM!H:H,MATCH($P2079,F_ProductBM!$Q:$Q,0))="","",INDEX(F_ProductBM!H:H,MATCH($P2079,F_ProductBM!$Q:$Q,0))))</f>
        <v/>
      </c>
      <c r="I2079" s="800" t="str">
        <f>IF($I1953="","",IF(INDEX(F_ProductBM!I:I,MATCH($P2079,F_ProductBM!$Q:$Q,0))="","",INDEX(F_ProductBM!I:I,MATCH($P2079,F_ProductBM!$Q:$Q,0))))</f>
        <v/>
      </c>
      <c r="J2079" s="2174" t="str">
        <f>IF($I1953="","",IF(INDEX(F_ProductBM!J:J,MATCH($P2079,F_ProductBM!$Q:$Q,0))="","",INDEX(F_ProductBM!J:J,MATCH($P2079,F_ProductBM!$Q:$Q,0))))</f>
        <v/>
      </c>
      <c r="K2079" s="1788" t="str">
        <f>IF($I1953="","",IF(INDEX(F_ProductBM!K:K,MATCH($P2079,F_ProductBM!$Q:$Q,0))="","",INDEX(F_ProductBM!K:K,MATCH($P2079,F_ProductBM!$Q:$Q,0))))</f>
        <v/>
      </c>
      <c r="L2079" s="1789" t="str">
        <f>IF($I1953="","",IF(INDEX(F_ProductBM!L:L,MATCH($P2079,F_ProductBM!$Q:$Q,0))="","",INDEX(F_ProductBM!L:L,MATCH($P2079,F_ProductBM!$Q:$Q,0))))</f>
        <v/>
      </c>
      <c r="M2079" s="1789" t="str">
        <f>IF($I1953="","",IF(INDEX(F_ProductBM!M:M,MATCH($P2079,F_ProductBM!$Q:$Q,0))="","",INDEX(F_ProductBM!M:M,MATCH($P2079,F_ProductBM!$Q:$Q,0))))</f>
        <v/>
      </c>
      <c r="N2079" s="1789" t="str">
        <f>IF($I1953="","",IF(INDEX(F_ProductBM!N:N,MATCH($P2079,F_ProductBM!$Q:$Q,0))="","",INDEX(F_ProductBM!N:N,MATCH($P2079,F_ProductBM!$Q:$Q,0))))</f>
        <v/>
      </c>
      <c r="O2079" s="485"/>
      <c r="P2079" s="1970" t="str">
        <f>EUconst_CNTR_EmissionsIntSource1 &amp; I1953</f>
        <v>EmInternalSource1_</v>
      </c>
      <c r="Q2079" s="1137"/>
      <c r="R2079" s="1137"/>
      <c r="S2079" s="1137"/>
      <c r="T2079" s="1117"/>
      <c r="U2079" s="1137"/>
      <c r="V2079" s="1137"/>
    </row>
    <row r="2080" spans="1:22" s="562" customFormat="1" ht="12.75" customHeight="1">
      <c r="A2080" s="817"/>
      <c r="C2080" s="485"/>
      <c r="D2080" s="776"/>
      <c r="E2080" s="2475" t="s">
        <v>1155</v>
      </c>
      <c r="F2080" s="3461"/>
      <c r="G2080" s="815" t="str">
        <f>EUconst_tCO2pa</f>
        <v>t CO2 / year</v>
      </c>
      <c r="H2080" s="623" t="str">
        <f>IF($I1953="","",IF(INDEX(F_ProductBM!H:H,MATCH($P2080,F_ProductBM!$Q:$Q,0))="","",INDEX(F_ProductBM!H:H,MATCH($P2080,F_ProductBM!$Q:$Q,0))))</f>
        <v/>
      </c>
      <c r="I2080" s="800" t="str">
        <f>IF($I1953="","",IF(INDEX(F_ProductBM!I:I,MATCH($P2080,F_ProductBM!$Q:$Q,0))="","",INDEX(F_ProductBM!I:I,MATCH($P2080,F_ProductBM!$Q:$Q,0))))</f>
        <v/>
      </c>
      <c r="J2080" s="2174" t="str">
        <f>IF($I1953="","",IF(INDEX(F_ProductBM!J:J,MATCH($P2080,F_ProductBM!$Q:$Q,0))="","",INDEX(F_ProductBM!J:J,MATCH($P2080,F_ProductBM!$Q:$Q,0))))</f>
        <v/>
      </c>
      <c r="K2080" s="1788" t="str">
        <f>IF($I1953="","",IF(INDEX(F_ProductBM!K:K,MATCH($P2080,F_ProductBM!$Q:$Q,0))="","",INDEX(F_ProductBM!K:K,MATCH($P2080,F_ProductBM!$Q:$Q,0))))</f>
        <v/>
      </c>
      <c r="L2080" s="1789" t="str">
        <f>IF($I1953="","",IF(INDEX(F_ProductBM!L:L,MATCH($P2080,F_ProductBM!$Q:$Q,0))="","",INDEX(F_ProductBM!L:L,MATCH($P2080,F_ProductBM!$Q:$Q,0))))</f>
        <v/>
      </c>
      <c r="M2080" s="1789" t="str">
        <f>IF($I1953="","",IF(INDEX(F_ProductBM!M:M,MATCH($P2080,F_ProductBM!$Q:$Q,0))="","",INDEX(F_ProductBM!M:M,MATCH($P2080,F_ProductBM!$Q:$Q,0))))</f>
        <v/>
      </c>
      <c r="N2080" s="1789" t="str">
        <f>IF($I1953="","",IF(INDEX(F_ProductBM!N:N,MATCH($P2080,F_ProductBM!$Q:$Q,0))="","",INDEX(F_ProductBM!N:N,MATCH($P2080,F_ProductBM!$Q:$Q,0))))</f>
        <v/>
      </c>
      <c r="O2080" s="485"/>
      <c r="P2080" s="1970" t="str">
        <f>EUconst_CNTR_EmissionsIntSource2 &amp; I1953</f>
        <v>EmInternalSource2_</v>
      </c>
      <c r="Q2080" s="1137"/>
      <c r="R2080" s="1137"/>
      <c r="S2080" s="1137"/>
      <c r="T2080" s="1117"/>
      <c r="U2080" s="1137"/>
      <c r="V2080" s="1137"/>
    </row>
    <row r="2081" spans="1:22" s="562" customFormat="1" ht="12.75" customHeight="1">
      <c r="A2081" s="817"/>
      <c r="C2081" s="485"/>
      <c r="D2081" s="776"/>
      <c r="E2081" s="2475" t="s">
        <v>1156</v>
      </c>
      <c r="F2081" s="3461"/>
      <c r="G2081" s="815" t="str">
        <f>EUconst_tCO2epa</f>
        <v>t CO2e/year</v>
      </c>
      <c r="H2081" s="623" t="str">
        <f>IF($I1953="","",IF(INDEX(F_ProductBM!H:H,MATCH($P2081,F_ProductBM!$Q:$Q,0))="","",INDEX(F_ProductBM!H:H,MATCH($P2081,F_ProductBM!$Q:$Q,0))))</f>
        <v/>
      </c>
      <c r="I2081" s="800" t="str">
        <f>IF($I1953="","",IF(INDEX(F_ProductBM!I:I,MATCH($P2081,F_ProductBM!$Q:$Q,0))="","",INDEX(F_ProductBM!I:I,MATCH($P2081,F_ProductBM!$Q:$Q,0))))</f>
        <v/>
      </c>
      <c r="J2081" s="2174" t="str">
        <f>IF($I1953="","",IF(INDEX(F_ProductBM!J:J,MATCH($P2081,F_ProductBM!$Q:$Q,0))="","",INDEX(F_ProductBM!J:J,MATCH($P2081,F_ProductBM!$Q:$Q,0))))</f>
        <v/>
      </c>
      <c r="K2081" s="1788" t="str">
        <f>IF($I1953="","",IF(INDEX(F_ProductBM!K:K,MATCH($P2081,F_ProductBM!$Q:$Q,0))="","",INDEX(F_ProductBM!K:K,MATCH($P2081,F_ProductBM!$Q:$Q,0))))</f>
        <v/>
      </c>
      <c r="L2081" s="1789" t="str">
        <f>IF($I1953="","",IF(INDEX(F_ProductBM!L:L,MATCH($P2081,F_ProductBM!$Q:$Q,0))="","",INDEX(F_ProductBM!L:L,MATCH($P2081,F_ProductBM!$Q:$Q,0))))</f>
        <v/>
      </c>
      <c r="M2081" s="1789" t="str">
        <f>IF($I1953="","",IF(INDEX(F_ProductBM!M:M,MATCH($P2081,F_ProductBM!$Q:$Q,0))="","",INDEX(F_ProductBM!M:M,MATCH($P2081,F_ProductBM!$Q:$Q,0))))</f>
        <v/>
      </c>
      <c r="N2081" s="1789" t="str">
        <f>IF($I1953="","",IF(INDEX(F_ProductBM!N:N,MATCH($P2081,F_ProductBM!$Q:$Q,0))="","",INDEX(F_ProductBM!N:N,MATCH($P2081,F_ProductBM!$Q:$Q,0))))</f>
        <v/>
      </c>
      <c r="O2081" s="485"/>
      <c r="P2081" s="1970" t="str">
        <f>EUconst_CNTR_CO2Feedstock &amp; I1953</f>
        <v>EmCO2Feedstock_</v>
      </c>
      <c r="Q2081" s="1137"/>
      <c r="R2081" s="1137"/>
      <c r="S2081" s="1137"/>
      <c r="T2081" s="1137"/>
      <c r="U2081" s="1137"/>
      <c r="V2081" s="1137"/>
    </row>
    <row r="2082" spans="1:22" s="562" customFormat="1" ht="5.0999999999999996" customHeight="1">
      <c r="A2082" s="817"/>
      <c r="C2082" s="485"/>
      <c r="D2082" s="776"/>
      <c r="E2082" s="809"/>
      <c r="F2082" s="809"/>
      <c r="G2082" s="813"/>
      <c r="H2082" s="2173"/>
      <c r="I2082" s="2173"/>
      <c r="J2082" s="2173"/>
      <c r="K2082" s="1788"/>
      <c r="L2082" s="1789"/>
      <c r="M2082" s="1789"/>
      <c r="N2082" s="1789"/>
      <c r="O2082" s="485"/>
      <c r="P2082" s="1137"/>
      <c r="Q2082" s="1137"/>
      <c r="R2082" s="1137"/>
      <c r="S2082" s="1137"/>
      <c r="T2082" s="1137"/>
      <c r="U2082" s="1137"/>
      <c r="V2082" s="1137"/>
    </row>
    <row r="2083" spans="1:22" s="562" customFormat="1" ht="12.75" customHeight="1">
      <c r="A2083" s="817"/>
      <c r="C2083" s="485"/>
      <c r="D2083" s="776"/>
      <c r="E2083" s="2471" t="s">
        <v>1087</v>
      </c>
      <c r="F2083" s="3467"/>
      <c r="G2083" s="811" t="str">
        <f>EUconst_TJpa</f>
        <v>TJ / year</v>
      </c>
      <c r="H2083" s="625" t="str">
        <f>IF($I1953="","",IF(INDEX(F_ProductBM!H:H,MATCH($P2083,F_ProductBM!$Q:$Q,0))="","",INDEX(F_ProductBM!H:H,MATCH($P2083,F_ProductBM!$Q:$Q,0))))</f>
        <v/>
      </c>
      <c r="I2083" s="794" t="str">
        <f>IF($I1953="","",IF(INDEX(F_ProductBM!I:I,MATCH($P2083,F_ProductBM!$Q:$Q,0))="","",INDEX(F_ProductBM!I:I,MATCH($P2083,F_ProductBM!$Q:$Q,0))))</f>
        <v/>
      </c>
      <c r="J2083" s="2171" t="str">
        <f>IF($I1953="","",IF(INDEX(F_ProductBM!J:J,MATCH($P2083,F_ProductBM!$Q:$Q,0))="","",INDEX(F_ProductBM!J:J,MATCH($P2083,F_ProductBM!$Q:$Q,0))))</f>
        <v/>
      </c>
      <c r="K2083" s="1788" t="str">
        <f>IF($I1953="","",IF(INDEX(F_ProductBM!K:K,MATCH($P2083,F_ProductBM!$Q:$Q,0))="","",INDEX(F_ProductBM!K:K,MATCH($P2083,F_ProductBM!$Q:$Q,0))))</f>
        <v/>
      </c>
      <c r="L2083" s="1789" t="str">
        <f>IF($I1953="","",IF(INDEX(F_ProductBM!L:L,MATCH($P2083,F_ProductBM!$Q:$Q,0))="","",INDEX(F_ProductBM!L:L,MATCH($P2083,F_ProductBM!$Q:$Q,0))))</f>
        <v/>
      </c>
      <c r="M2083" s="1789" t="str">
        <f>IF($I1953="","",IF(INDEX(F_ProductBM!M:M,MATCH($P2083,F_ProductBM!$Q:$Q,0))="","",INDEX(F_ProductBM!M:M,MATCH($P2083,F_ProductBM!$Q:$Q,0))))</f>
        <v/>
      </c>
      <c r="N2083" s="1789" t="str">
        <f>IF($I1953="","",IF(INDEX(F_ProductBM!N:N,MATCH($P2083,F_ProductBM!$Q:$Q,0))="","",INDEX(F_ProductBM!N:N,MATCH($P2083,F_ProductBM!$Q:$Q,0))))</f>
        <v/>
      </c>
      <c r="O2083" s="485"/>
      <c r="P2083" s="1970" t="str">
        <f>EUconst_CNTR_HeatImport &amp; I1953</f>
        <v>HeatIm_</v>
      </c>
      <c r="Q2083" s="1137"/>
      <c r="R2083" s="1137"/>
      <c r="S2083" s="1137"/>
      <c r="T2083" s="1137"/>
      <c r="U2083" s="1137"/>
      <c r="V2083" s="1137"/>
    </row>
    <row r="2084" spans="1:22" s="562" customFormat="1" ht="12.75" customHeight="1">
      <c r="A2084" s="817"/>
      <c r="C2084" s="485"/>
      <c r="D2084" s="776"/>
      <c r="E2084" s="2473" t="s">
        <v>1103</v>
      </c>
      <c r="F2084" s="3466"/>
      <c r="G2084" s="812" t="str">
        <f>EUconst_tCO2pTJ</f>
        <v>t CO2 / TJ</v>
      </c>
      <c r="H2084" s="627" t="str">
        <f>IF($I1953="","",IF(INDEX(F_ProductBM!H:H,MATCH($P2084,F_ProductBM!$Q:$Q,0))="","",INDEX(F_ProductBM!H:H,MATCH($P2084,F_ProductBM!$Q:$Q,0))))</f>
        <v/>
      </c>
      <c r="I2084" s="796" t="str">
        <f>IF($I1953="","",IF(INDEX(F_ProductBM!I:I,MATCH($P2084,F_ProductBM!$Q:$Q,0))="","",INDEX(F_ProductBM!I:I,MATCH($P2084,F_ProductBM!$Q:$Q,0))))</f>
        <v/>
      </c>
      <c r="J2084" s="2172" t="str">
        <f>IF($I1953="","",IF(INDEX(F_ProductBM!J:J,MATCH($P2084,F_ProductBM!$Q:$Q,0))="","",INDEX(F_ProductBM!J:J,MATCH($P2084,F_ProductBM!$Q:$Q,0))))</f>
        <v/>
      </c>
      <c r="K2084" s="1788" t="str">
        <f>IF($I1953="","",IF(INDEX(F_ProductBM!K:K,MATCH($P2084,F_ProductBM!$Q:$Q,0))="","",INDEX(F_ProductBM!K:K,MATCH($P2084,F_ProductBM!$Q:$Q,0))))</f>
        <v/>
      </c>
      <c r="L2084" s="1789" t="str">
        <f>IF($I1953="","",IF(INDEX(F_ProductBM!L:L,MATCH($P2084,F_ProductBM!$Q:$Q,0))="","",INDEX(F_ProductBM!L:L,MATCH($P2084,F_ProductBM!$Q:$Q,0))))</f>
        <v/>
      </c>
      <c r="M2084" s="1789" t="str">
        <f>IF($I1953="","",IF(INDEX(F_ProductBM!M:M,MATCH($P2084,F_ProductBM!$Q:$Q,0))="","",INDEX(F_ProductBM!M:M,MATCH($P2084,F_ProductBM!$Q:$Q,0))))</f>
        <v/>
      </c>
      <c r="N2084" s="1789" t="str">
        <f>IF($I1953="","",IF(INDEX(F_ProductBM!N:N,MATCH($P2084,F_ProductBM!$Q:$Q,0))="","",INDEX(F_ProductBM!N:N,MATCH($P2084,F_ProductBM!$Q:$Q,0))))</f>
        <v/>
      </c>
      <c r="O2084" s="485"/>
      <c r="P2084" s="1970" t="str">
        <f>EUconst_CNTR_HeatImportEF &amp; I1953</f>
        <v>HeatImEF_</v>
      </c>
      <c r="Q2084" s="1137"/>
      <c r="R2084" s="1137"/>
      <c r="S2084" s="1137"/>
      <c r="T2084" s="1137"/>
      <c r="U2084" s="1137"/>
      <c r="V2084" s="1137"/>
    </row>
    <row r="2085" spans="1:22" s="562" customFormat="1" ht="5.0999999999999996" customHeight="1">
      <c r="A2085" s="817"/>
      <c r="C2085" s="485"/>
      <c r="D2085" s="776"/>
      <c r="E2085" s="809"/>
      <c r="F2085" s="809"/>
      <c r="G2085" s="813"/>
      <c r="H2085" s="2173"/>
      <c r="I2085" s="2173"/>
      <c r="J2085" s="2173"/>
      <c r="K2085" s="1788"/>
      <c r="L2085" s="1789"/>
      <c r="M2085" s="1789"/>
      <c r="N2085" s="1789"/>
      <c r="O2085" s="485"/>
      <c r="P2085" s="1117"/>
      <c r="Q2085" s="1137"/>
      <c r="R2085" s="1137"/>
      <c r="S2085" s="1137"/>
      <c r="T2085" s="1137"/>
      <c r="U2085" s="1137"/>
      <c r="V2085" s="1137"/>
    </row>
    <row r="2086" spans="1:22" s="562" customFormat="1" ht="12.75" customHeight="1">
      <c r="A2086" s="817"/>
      <c r="C2086" s="485"/>
      <c r="D2086" s="776"/>
      <c r="E2086" s="2475" t="s">
        <v>1150</v>
      </c>
      <c r="F2086" s="3461"/>
      <c r="G2086" s="815" t="str">
        <f>EUconst_TJpa</f>
        <v>TJ / year</v>
      </c>
      <c r="H2086" s="623" t="str">
        <f>IF($I1953="","",IF(INDEX(F_ProductBM!H:H,MATCH($P2086,F_ProductBM!$Q:$Q,0))="","",INDEX(F_ProductBM!H:H,MATCH($P2086,F_ProductBM!$Q:$Q,0))))</f>
        <v/>
      </c>
      <c r="I2086" s="800" t="str">
        <f>IF($I1953="","",IF(INDEX(F_ProductBM!I:I,MATCH($P2086,F_ProductBM!$Q:$Q,0))="","",INDEX(F_ProductBM!I:I,MATCH($P2086,F_ProductBM!$Q:$Q,0))))</f>
        <v/>
      </c>
      <c r="J2086" s="2174" t="str">
        <f>IF($I1953="","",IF(INDEX(F_ProductBM!J:J,MATCH($P2086,F_ProductBM!$Q:$Q,0))="","",INDEX(F_ProductBM!J:J,MATCH($P2086,F_ProductBM!$Q:$Q,0))))</f>
        <v/>
      </c>
      <c r="K2086" s="1788" t="str">
        <f>IF($I1953="","",IF(INDEX(F_ProductBM!K:K,MATCH($P2086,F_ProductBM!$Q:$Q,0))="","",INDEX(F_ProductBM!K:K,MATCH($P2086,F_ProductBM!$Q:$Q,0))))</f>
        <v/>
      </c>
      <c r="L2086" s="1789" t="str">
        <f>IF($I1953="","",IF(INDEX(F_ProductBM!L:L,MATCH($P2086,F_ProductBM!$Q:$Q,0))="","",INDEX(F_ProductBM!L:L,MATCH($P2086,F_ProductBM!$Q:$Q,0))))</f>
        <v/>
      </c>
      <c r="M2086" s="1789" t="str">
        <f>IF($I1953="","",IF(INDEX(F_ProductBM!M:M,MATCH($P2086,F_ProductBM!$Q:$Q,0))="","",INDEX(F_ProductBM!M:M,MATCH($P2086,F_ProductBM!$Q:$Q,0))))</f>
        <v/>
      </c>
      <c r="N2086" s="1789" t="str">
        <f>IF($I1953="","",IF(INDEX(F_ProductBM!N:N,MATCH($P2086,F_ProductBM!$Q:$Q,0))="","",INDEX(F_ProductBM!N:N,MATCH($P2086,F_ProductBM!$Q:$Q,0))))</f>
        <v/>
      </c>
      <c r="O2086" s="485"/>
      <c r="P2086" s="1970" t="str">
        <f>EUconst_CNTR_HeatImportPulp &amp; I1953</f>
        <v>HeatImPulp_</v>
      </c>
      <c r="Q2086" s="1137"/>
      <c r="R2086" s="1137"/>
      <c r="S2086" s="1137"/>
      <c r="T2086" s="1137"/>
      <c r="U2086" s="1137"/>
      <c r="V2086" s="1137"/>
    </row>
    <row r="2087" spans="1:22" s="562" customFormat="1" ht="12.75" customHeight="1">
      <c r="A2087" s="817"/>
      <c r="C2087" s="485"/>
      <c r="D2087" s="776"/>
      <c r="E2087" s="2475" t="s">
        <v>1149</v>
      </c>
      <c r="F2087" s="3461"/>
      <c r="G2087" s="815" t="str">
        <f>EUconst_TJpa</f>
        <v>TJ / year</v>
      </c>
      <c r="H2087" s="623" t="str">
        <f>IF($I1953="","",IF(INDEX(F_ProductBM!H:H,MATCH($P2087,F_ProductBM!$Q:$Q,0))="","",INDEX(F_ProductBM!H:H,MATCH($P2087,F_ProductBM!$Q:$Q,0))))</f>
        <v/>
      </c>
      <c r="I2087" s="800" t="str">
        <f>IF($I1953="","",IF(INDEX(F_ProductBM!I:I,MATCH($P2087,F_ProductBM!$Q:$Q,0))="","",INDEX(F_ProductBM!I:I,MATCH($P2087,F_ProductBM!$Q:$Q,0))))</f>
        <v/>
      </c>
      <c r="J2087" s="2174" t="str">
        <f>IF($I1953="","",IF(INDEX(F_ProductBM!J:J,MATCH($P2087,F_ProductBM!$Q:$Q,0))="","",INDEX(F_ProductBM!J:J,MATCH($P2087,F_ProductBM!$Q:$Q,0))))</f>
        <v/>
      </c>
      <c r="K2087" s="1788" t="str">
        <f>IF($I1953="","",IF(INDEX(F_ProductBM!K:K,MATCH($P2087,F_ProductBM!$Q:$Q,0))="","",INDEX(F_ProductBM!K:K,MATCH($P2087,F_ProductBM!$Q:$Q,0))))</f>
        <v/>
      </c>
      <c r="L2087" s="1789" t="str">
        <f>IF($I1953="","",IF(INDEX(F_ProductBM!L:L,MATCH($P2087,F_ProductBM!$Q:$Q,0))="","",INDEX(F_ProductBM!L:L,MATCH($P2087,F_ProductBM!$Q:$Q,0))))</f>
        <v/>
      </c>
      <c r="M2087" s="1789" t="str">
        <f>IF($I1953="","",IF(INDEX(F_ProductBM!M:M,MATCH($P2087,F_ProductBM!$Q:$Q,0))="","",INDEX(F_ProductBM!M:M,MATCH($P2087,F_ProductBM!$Q:$Q,0))))</f>
        <v/>
      </c>
      <c r="N2087" s="1789" t="str">
        <f>IF($I1953="","",IF(INDEX(F_ProductBM!N:N,MATCH($P2087,F_ProductBM!$Q:$Q,0))="","",INDEX(F_ProductBM!N:N,MATCH($P2087,F_ProductBM!$Q:$Q,0))))</f>
        <v/>
      </c>
      <c r="O2087" s="485"/>
      <c r="P2087" s="1970" t="str">
        <f>EUconst_CNTR_HeatImportNitric &amp; I1953</f>
        <v>HeatImNitric_</v>
      </c>
      <c r="Q2087" s="1137"/>
      <c r="R2087" s="1137"/>
      <c r="S2087" s="1137"/>
      <c r="T2087" s="1137"/>
      <c r="U2087" s="1137"/>
      <c r="V2087" s="1137"/>
    </row>
    <row r="2088" spans="1:22" s="562" customFormat="1" ht="5.0999999999999996" customHeight="1">
      <c r="A2088" s="817"/>
      <c r="C2088" s="485"/>
      <c r="D2088" s="776"/>
      <c r="E2088" s="809"/>
      <c r="F2088" s="809"/>
      <c r="G2088" s="777"/>
      <c r="H2088" s="2173"/>
      <c r="I2088" s="2173"/>
      <c r="J2088" s="2173"/>
      <c r="K2088" s="1788"/>
      <c r="L2088" s="1789"/>
      <c r="M2088" s="1789"/>
      <c r="N2088" s="1789"/>
      <c r="O2088" s="485"/>
      <c r="P2088" s="1117"/>
      <c r="Q2088" s="1137"/>
      <c r="R2088" s="1137"/>
      <c r="S2088" s="1137"/>
      <c r="T2088" s="1137"/>
      <c r="U2088" s="1137"/>
      <c r="V2088" s="1137"/>
    </row>
    <row r="2089" spans="1:22" s="562" customFormat="1" ht="12.75" customHeight="1">
      <c r="A2089" s="817"/>
      <c r="C2089" s="485"/>
      <c r="D2089" s="776"/>
      <c r="E2089" s="2471" t="s">
        <v>1079</v>
      </c>
      <c r="F2089" s="3467"/>
      <c r="G2089" s="811" t="str">
        <f>EUconst_TJpa</f>
        <v>TJ / year</v>
      </c>
      <c r="H2089" s="625" t="str">
        <f>IF($I1953="","",IF(INDEX(F_ProductBM!H:H,MATCH($P2089,F_ProductBM!$Q:$Q,0))="","",INDEX(F_ProductBM!H:H,MATCH($P2089,F_ProductBM!$Q:$Q,0))))</f>
        <v/>
      </c>
      <c r="I2089" s="794" t="str">
        <f>IF($I1953="","",IF(INDEX(F_ProductBM!I:I,MATCH($P2089,F_ProductBM!$Q:$Q,0))="","",INDEX(F_ProductBM!I:I,MATCH($P2089,F_ProductBM!$Q:$Q,0))))</f>
        <v/>
      </c>
      <c r="J2089" s="2171" t="str">
        <f>IF($I1953="","",IF(INDEX(F_ProductBM!J:J,MATCH($P2089,F_ProductBM!$Q:$Q,0))="","",INDEX(F_ProductBM!J:J,MATCH($P2089,F_ProductBM!$Q:$Q,0))))</f>
        <v/>
      </c>
      <c r="K2089" s="1788" t="str">
        <f>IF($I1953="","",IF(INDEX(F_ProductBM!K:K,MATCH($P2089,F_ProductBM!$Q:$Q,0))="","",INDEX(F_ProductBM!K:K,MATCH($P2089,F_ProductBM!$Q:$Q,0))))</f>
        <v/>
      </c>
      <c r="L2089" s="1789" t="str">
        <f>IF($I1953="","",IF(INDEX(F_ProductBM!L:L,MATCH($P2089,F_ProductBM!$Q:$Q,0))="","",INDEX(F_ProductBM!L:L,MATCH($P2089,F_ProductBM!$Q:$Q,0))))</f>
        <v/>
      </c>
      <c r="M2089" s="1789" t="str">
        <f>IF($I1953="","",IF(INDEX(F_ProductBM!M:M,MATCH($P2089,F_ProductBM!$Q:$Q,0))="","",INDEX(F_ProductBM!M:M,MATCH($P2089,F_ProductBM!$Q:$Q,0))))</f>
        <v/>
      </c>
      <c r="N2089" s="1789" t="str">
        <f>IF($I1953="","",IF(INDEX(F_ProductBM!N:N,MATCH($P2089,F_ProductBM!$Q:$Q,0))="","",INDEX(F_ProductBM!N:N,MATCH($P2089,F_ProductBM!$Q:$Q,0))))</f>
        <v/>
      </c>
      <c r="O2089" s="485"/>
      <c r="P2089" s="1970" t="str">
        <f>EUconst_CNTR_HeatExport &amp; I1953</f>
        <v>HeatEx_</v>
      </c>
      <c r="Q2089" s="1137"/>
      <c r="R2089" s="1137"/>
      <c r="S2089" s="1137"/>
      <c r="T2089" s="1137"/>
      <c r="U2089" s="1137"/>
      <c r="V2089" s="1137"/>
    </row>
    <row r="2090" spans="1:22" s="562" customFormat="1" ht="12.75" customHeight="1">
      <c r="A2090" s="817"/>
      <c r="C2090" s="485"/>
      <c r="D2090" s="776"/>
      <c r="E2090" s="2473" t="s">
        <v>1104</v>
      </c>
      <c r="F2090" s="3466"/>
      <c r="G2090" s="812" t="str">
        <f>EUconst_tCO2pTJ</f>
        <v>t CO2 / TJ</v>
      </c>
      <c r="H2090" s="627" t="str">
        <f>IF($I1953="","",IF(INDEX(F_ProductBM!H:H,MATCH($P2090,F_ProductBM!$Q:$Q,0))="","",INDEX(F_ProductBM!H:H,MATCH($P2090,F_ProductBM!$Q:$Q,0))))</f>
        <v/>
      </c>
      <c r="I2090" s="796" t="str">
        <f>IF($I1953="","",IF(INDEX(F_ProductBM!I:I,MATCH($P2090,F_ProductBM!$Q:$Q,0))="","",INDEX(F_ProductBM!I:I,MATCH($P2090,F_ProductBM!$Q:$Q,0))))</f>
        <v/>
      </c>
      <c r="J2090" s="2172" t="str">
        <f>IF($I1953="","",IF(INDEX(F_ProductBM!J:J,MATCH($P2090,F_ProductBM!$Q:$Q,0))="","",INDEX(F_ProductBM!J:J,MATCH($P2090,F_ProductBM!$Q:$Q,0))))</f>
        <v/>
      </c>
      <c r="K2090" s="1788" t="str">
        <f>IF($I1953="","",IF(INDEX(F_ProductBM!K:K,MATCH($P2090,F_ProductBM!$Q:$Q,0))="","",INDEX(F_ProductBM!K:K,MATCH($P2090,F_ProductBM!$Q:$Q,0))))</f>
        <v/>
      </c>
      <c r="L2090" s="1789" t="str">
        <f>IF($I1953="","",IF(INDEX(F_ProductBM!L:L,MATCH($P2090,F_ProductBM!$Q:$Q,0))="","",INDEX(F_ProductBM!L:L,MATCH($P2090,F_ProductBM!$Q:$Q,0))))</f>
        <v/>
      </c>
      <c r="M2090" s="1789" t="str">
        <f>IF($I1953="","",IF(INDEX(F_ProductBM!M:M,MATCH($P2090,F_ProductBM!$Q:$Q,0))="","",INDEX(F_ProductBM!M:M,MATCH($P2090,F_ProductBM!$Q:$Q,0))))</f>
        <v/>
      </c>
      <c r="N2090" s="1789" t="str">
        <f>IF($I1953="","",IF(INDEX(F_ProductBM!N:N,MATCH($P2090,F_ProductBM!$Q:$Q,0))="","",INDEX(F_ProductBM!N:N,MATCH($P2090,F_ProductBM!$Q:$Q,0))))</f>
        <v/>
      </c>
      <c r="O2090" s="485"/>
      <c r="P2090" s="1970" t="str">
        <f>EUconst_CNTR_HeatExportEF &amp; I1953</f>
        <v>HeatExEF_</v>
      </c>
      <c r="Q2090" s="1137"/>
      <c r="R2090" s="1137"/>
      <c r="S2090" s="1137"/>
      <c r="T2090" s="1137"/>
      <c r="U2090" s="1137"/>
      <c r="V2090" s="1137"/>
    </row>
    <row r="2091" spans="1:22" s="562" customFormat="1" ht="5.0999999999999996" customHeight="1">
      <c r="A2091" s="817"/>
      <c r="C2091" s="485"/>
      <c r="D2091" s="776"/>
      <c r="E2091" s="809"/>
      <c r="F2091" s="809"/>
      <c r="G2091" s="777"/>
      <c r="H2091" s="2173"/>
      <c r="I2091" s="2173"/>
      <c r="J2091" s="2173"/>
      <c r="K2091" s="1788"/>
      <c r="L2091" s="1789"/>
      <c r="M2091" s="1789"/>
      <c r="N2091" s="1789"/>
      <c r="O2091" s="485"/>
      <c r="P2091" s="1117"/>
      <c r="Q2091" s="1137"/>
      <c r="R2091" s="1137"/>
      <c r="S2091" s="1137"/>
      <c r="T2091" s="1137"/>
      <c r="U2091" s="1137"/>
      <c r="V2091" s="1137"/>
    </row>
    <row r="2092" spans="1:22" s="562" customFormat="1" ht="12.75" customHeight="1">
      <c r="A2092" s="817"/>
      <c r="C2092" s="485"/>
      <c r="D2092" s="776"/>
      <c r="E2092" s="2471" t="s">
        <v>1141</v>
      </c>
      <c r="F2092" s="3467"/>
      <c r="G2092" s="811" t="str">
        <f>EUconst_TJpa</f>
        <v>TJ / year</v>
      </c>
      <c r="H2092" s="625" t="str">
        <f>IF($I1953="","",IF(INDEX(F_ProductBM!H:H,MATCH($P2092,F_ProductBM!$Q:$Q,0))="","",INDEX(F_ProductBM!H:H,MATCH($P2092,F_ProductBM!$Q:$Q,0))))</f>
        <v/>
      </c>
      <c r="I2092" s="794" t="str">
        <f>IF($I1953="","",IF(INDEX(F_ProductBM!I:I,MATCH($P2092,F_ProductBM!$Q:$Q,0))="","",INDEX(F_ProductBM!I:I,MATCH($P2092,F_ProductBM!$Q:$Q,0))))</f>
        <v/>
      </c>
      <c r="J2092" s="2171" t="str">
        <f>IF($I1953="","",IF(INDEX(F_ProductBM!J:J,MATCH($P2092,F_ProductBM!$Q:$Q,0))="","",INDEX(F_ProductBM!J:J,MATCH($P2092,F_ProductBM!$Q:$Q,0))))</f>
        <v/>
      </c>
      <c r="K2092" s="1788" t="str">
        <f>IF($I1953="","",IF(INDEX(F_ProductBM!K:K,MATCH($P2092,F_ProductBM!$Q:$Q,0))="","",INDEX(F_ProductBM!K:K,MATCH($P2092,F_ProductBM!$Q:$Q,0))))</f>
        <v/>
      </c>
      <c r="L2092" s="1789" t="str">
        <f>IF($I1953="","",IF(INDEX(F_ProductBM!L:L,MATCH($P2092,F_ProductBM!$Q:$Q,0))="","",INDEX(F_ProductBM!L:L,MATCH($P2092,F_ProductBM!$Q:$Q,0))))</f>
        <v/>
      </c>
      <c r="M2092" s="1789" t="str">
        <f>IF($I1953="","",IF(INDEX(F_ProductBM!M:M,MATCH($P2092,F_ProductBM!$Q:$Q,0))="","",INDEX(F_ProductBM!M:M,MATCH($P2092,F_ProductBM!$Q:$Q,0))))</f>
        <v/>
      </c>
      <c r="N2092" s="1789" t="str">
        <f>IF($I1953="","",IF(INDEX(F_ProductBM!N:N,MATCH($P2092,F_ProductBM!$Q:$Q,0))="","",INDEX(F_ProductBM!N:N,MATCH($P2092,F_ProductBM!$Q:$Q,0))))</f>
        <v/>
      </c>
      <c r="O2092" s="485"/>
      <c r="P2092" s="2109" t="str">
        <f>EUconst_CNTR_WGProduced &amp; I1953</f>
        <v>WasteGasProd_</v>
      </c>
      <c r="Q2092" s="1137"/>
      <c r="R2092" s="1137"/>
      <c r="S2092" s="1137"/>
      <c r="T2092" s="1137"/>
      <c r="U2092" s="1137"/>
      <c r="V2092" s="1137"/>
    </row>
    <row r="2093" spans="1:22" s="562" customFormat="1" ht="12.75" customHeight="1">
      <c r="A2093" s="817"/>
      <c r="C2093" s="485"/>
      <c r="D2093" s="776"/>
      <c r="E2093" s="2473" t="s">
        <v>1258</v>
      </c>
      <c r="F2093" s="3466"/>
      <c r="G2093" s="812" t="str">
        <f>EUconst_tCO2pTJ</f>
        <v>t CO2 / TJ</v>
      </c>
      <c r="H2093" s="627" t="str">
        <f>IF($I1953="","",IF(INDEX(F_ProductBM!H:H,MATCH($P2093,F_ProductBM!$Q:$Q,0))="","",INDEX(F_ProductBM!H:H,MATCH($P2093,F_ProductBM!$Q:$Q,0))))</f>
        <v/>
      </c>
      <c r="I2093" s="796" t="str">
        <f>IF($I1953="","",IF(INDEX(F_ProductBM!I:I,MATCH($P2093,F_ProductBM!$Q:$Q,0))="","",INDEX(F_ProductBM!I:I,MATCH($P2093,F_ProductBM!$Q:$Q,0))))</f>
        <v/>
      </c>
      <c r="J2093" s="2172" t="str">
        <f>IF($I1953="","",IF(INDEX(F_ProductBM!J:J,MATCH($P2093,F_ProductBM!$Q:$Q,0))="","",INDEX(F_ProductBM!J:J,MATCH($P2093,F_ProductBM!$Q:$Q,0))))</f>
        <v/>
      </c>
      <c r="K2093" s="1788" t="str">
        <f>IF($I1953="","",IF(INDEX(F_ProductBM!K:K,MATCH($P2093,F_ProductBM!$Q:$Q,0))="","",INDEX(F_ProductBM!K:K,MATCH($P2093,F_ProductBM!$Q:$Q,0))))</f>
        <v/>
      </c>
      <c r="L2093" s="1789" t="str">
        <f>IF($I1953="","",IF(INDEX(F_ProductBM!L:L,MATCH($P2093,F_ProductBM!$Q:$Q,0))="","",INDEX(F_ProductBM!L:L,MATCH($P2093,F_ProductBM!$Q:$Q,0))))</f>
        <v/>
      </c>
      <c r="M2093" s="1789" t="str">
        <f>IF($I1953="","",IF(INDEX(F_ProductBM!M:M,MATCH($P2093,F_ProductBM!$Q:$Q,0))="","",INDEX(F_ProductBM!M:M,MATCH($P2093,F_ProductBM!$Q:$Q,0))))</f>
        <v/>
      </c>
      <c r="N2093" s="1789" t="str">
        <f>IF($I1953="","",IF(INDEX(F_ProductBM!N:N,MATCH($P2093,F_ProductBM!$Q:$Q,0))="","",INDEX(F_ProductBM!N:N,MATCH($P2093,F_ProductBM!$Q:$Q,0))))</f>
        <v/>
      </c>
      <c r="O2093" s="485"/>
      <c r="P2093" s="1970" t="str">
        <f>EUconst_CNTR_WGProducedEF &amp; I1953</f>
        <v>WasteGasProdEF_</v>
      </c>
      <c r="Q2093" s="1137"/>
      <c r="R2093" s="1137"/>
      <c r="S2093" s="1137"/>
      <c r="T2093" s="1137"/>
      <c r="U2093" s="1137"/>
      <c r="V2093" s="1137"/>
    </row>
    <row r="2094" spans="1:22" s="562" customFormat="1" ht="12.75" customHeight="1">
      <c r="A2094" s="817"/>
      <c r="C2094" s="485"/>
      <c r="D2094" s="776"/>
      <c r="E2094" s="2471" t="s">
        <v>1309</v>
      </c>
      <c r="F2094" s="3467"/>
      <c r="G2094" s="811" t="str">
        <f>EUconst_TJpa</f>
        <v>TJ / year</v>
      </c>
      <c r="H2094" s="625" t="str">
        <f>IF($I1953="","",IF(INDEX(F_ProductBM!H:H,MATCH($P2094,F_ProductBM!$Q:$Q,0))="","",INDEX(F_ProductBM!H:H,MATCH($P2094,F_ProductBM!$Q:$Q,0))))</f>
        <v/>
      </c>
      <c r="I2094" s="794" t="str">
        <f>IF($I1953="","",IF(INDEX(F_ProductBM!I:I,MATCH($P2094,F_ProductBM!$Q:$Q,0))="","",INDEX(F_ProductBM!I:I,MATCH($P2094,F_ProductBM!$Q:$Q,0))))</f>
        <v/>
      </c>
      <c r="J2094" s="2171" t="str">
        <f>IF($I1953="","",IF(INDEX(F_ProductBM!J:J,MATCH($P2094,F_ProductBM!$Q:$Q,0))="","",INDEX(F_ProductBM!J:J,MATCH($P2094,F_ProductBM!$Q:$Q,0))))</f>
        <v/>
      </c>
      <c r="K2094" s="1788" t="str">
        <f>IF($I1953="","",IF(INDEX(F_ProductBM!K:K,MATCH($P2094,F_ProductBM!$Q:$Q,0))="","",INDEX(F_ProductBM!K:K,MATCH($P2094,F_ProductBM!$Q:$Q,0))))</f>
        <v/>
      </c>
      <c r="L2094" s="1789" t="str">
        <f>IF($I1953="","",IF(INDEX(F_ProductBM!L:L,MATCH($P2094,F_ProductBM!$Q:$Q,0))="","",INDEX(F_ProductBM!L:L,MATCH($P2094,F_ProductBM!$Q:$Q,0))))</f>
        <v/>
      </c>
      <c r="M2094" s="1789" t="str">
        <f>IF($I1953="","",IF(INDEX(F_ProductBM!M:M,MATCH($P2094,F_ProductBM!$Q:$Q,0))="","",INDEX(F_ProductBM!M:M,MATCH($P2094,F_ProductBM!$Q:$Q,0))))</f>
        <v/>
      </c>
      <c r="N2094" s="1789" t="str">
        <f>IF($I1953="","",IF(INDEX(F_ProductBM!N:N,MATCH($P2094,F_ProductBM!$Q:$Q,0))="","",INDEX(F_ProductBM!N:N,MATCH($P2094,F_ProductBM!$Q:$Q,0))))</f>
        <v/>
      </c>
      <c r="O2094" s="485"/>
      <c r="P2094" s="1970" t="str">
        <f>EUconst_CNTR_WGConsumed &amp; I1953</f>
        <v>WasteGasCons_</v>
      </c>
      <c r="Q2094" s="1137"/>
      <c r="R2094" s="1137"/>
      <c r="S2094" s="1137"/>
      <c r="T2094" s="1137"/>
      <c r="U2094" s="1137"/>
      <c r="V2094" s="1137"/>
    </row>
    <row r="2095" spans="1:22" s="562" customFormat="1" ht="12.75" customHeight="1">
      <c r="A2095" s="817"/>
      <c r="C2095" s="485"/>
      <c r="D2095" s="776"/>
      <c r="E2095" s="2473" t="s">
        <v>1307</v>
      </c>
      <c r="F2095" s="3466"/>
      <c r="G2095" s="812" t="str">
        <f>EUconst_tCO2pTJ</f>
        <v>t CO2 / TJ</v>
      </c>
      <c r="H2095" s="627" t="str">
        <f>IF($I1953="","",IF(INDEX(F_ProductBM!H:H,MATCH($P2095,F_ProductBM!$Q:$Q,0))="","",INDEX(F_ProductBM!H:H,MATCH($P2095,F_ProductBM!$Q:$Q,0))))</f>
        <v/>
      </c>
      <c r="I2095" s="796" t="str">
        <f>IF($I1953="","",IF(INDEX(F_ProductBM!I:I,MATCH($P2095,F_ProductBM!$Q:$Q,0))="","",INDEX(F_ProductBM!I:I,MATCH($P2095,F_ProductBM!$Q:$Q,0))))</f>
        <v/>
      </c>
      <c r="J2095" s="2172" t="str">
        <f>IF($I1953="","",IF(INDEX(F_ProductBM!J:J,MATCH($P2095,F_ProductBM!$Q:$Q,0))="","",INDEX(F_ProductBM!J:J,MATCH($P2095,F_ProductBM!$Q:$Q,0))))</f>
        <v/>
      </c>
      <c r="K2095" s="1788" t="str">
        <f>IF($I1953="","",IF(INDEX(F_ProductBM!K:K,MATCH($P2095,F_ProductBM!$Q:$Q,0))="","",INDEX(F_ProductBM!K:K,MATCH($P2095,F_ProductBM!$Q:$Q,0))))</f>
        <v/>
      </c>
      <c r="L2095" s="1789" t="str">
        <f>IF($I1953="","",IF(INDEX(F_ProductBM!L:L,MATCH($P2095,F_ProductBM!$Q:$Q,0))="","",INDEX(F_ProductBM!L:L,MATCH($P2095,F_ProductBM!$Q:$Q,0))))</f>
        <v/>
      </c>
      <c r="M2095" s="1789" t="str">
        <f>IF($I1953="","",IF(INDEX(F_ProductBM!M:M,MATCH($P2095,F_ProductBM!$Q:$Q,0))="","",INDEX(F_ProductBM!M:M,MATCH($P2095,F_ProductBM!$Q:$Q,0))))</f>
        <v/>
      </c>
      <c r="N2095" s="1789" t="str">
        <f>IF($I1953="","",IF(INDEX(F_ProductBM!N:N,MATCH($P2095,F_ProductBM!$Q:$Q,0))="","",INDEX(F_ProductBM!N:N,MATCH($P2095,F_ProductBM!$Q:$Q,0))))</f>
        <v/>
      </c>
      <c r="O2095" s="485"/>
      <c r="P2095" s="1970" t="str">
        <f>EUconst_CNTR_WGConsumedEF &amp; I1953</f>
        <v>WasteGasConsEF_</v>
      </c>
      <c r="Q2095" s="1137"/>
      <c r="R2095" s="1137"/>
      <c r="S2095" s="1137"/>
      <c r="T2095" s="1137"/>
      <c r="U2095" s="1137"/>
      <c r="V2095" s="1137"/>
    </row>
    <row r="2096" spans="1:22" s="562" customFormat="1" ht="12.75" customHeight="1">
      <c r="A2096" s="817"/>
      <c r="C2096" s="485"/>
      <c r="D2096" s="776"/>
      <c r="E2096" s="2471" t="s">
        <v>1288</v>
      </c>
      <c r="F2096" s="3467"/>
      <c r="G2096" s="811" t="str">
        <f>EUconst_TJpa</f>
        <v>TJ / year</v>
      </c>
      <c r="H2096" s="625" t="str">
        <f>IF($I1953="","",IF(INDEX(F_ProductBM!H:H,MATCH($P2096,F_ProductBM!$Q:$Q,0))="","",INDEX(F_ProductBM!H:H,MATCH($P2096,F_ProductBM!$Q:$Q,0))))</f>
        <v/>
      </c>
      <c r="I2096" s="794" t="str">
        <f>IF($I1953="","",IF(INDEX(F_ProductBM!I:I,MATCH($P2096,F_ProductBM!$Q:$Q,0))="","",INDEX(F_ProductBM!I:I,MATCH($P2096,F_ProductBM!$Q:$Q,0))))</f>
        <v/>
      </c>
      <c r="J2096" s="2171" t="str">
        <f>IF($I1953="","",IF(INDEX(F_ProductBM!J:J,MATCH($P2096,F_ProductBM!$Q:$Q,0))="","",INDEX(F_ProductBM!J:J,MATCH($P2096,F_ProductBM!$Q:$Q,0))))</f>
        <v/>
      </c>
      <c r="K2096" s="1788" t="str">
        <f>IF($I1953="","",IF(INDEX(F_ProductBM!K:K,MATCH($P2096,F_ProductBM!$Q:$Q,0))="","",INDEX(F_ProductBM!K:K,MATCH($P2096,F_ProductBM!$Q:$Q,0))))</f>
        <v/>
      </c>
      <c r="L2096" s="1789" t="str">
        <f>IF($I1953="","",IF(INDEX(F_ProductBM!L:L,MATCH($P2096,F_ProductBM!$Q:$Q,0))="","",INDEX(F_ProductBM!L:L,MATCH($P2096,F_ProductBM!$Q:$Q,0))))</f>
        <v/>
      </c>
      <c r="M2096" s="1789" t="str">
        <f>IF($I1953="","",IF(INDEX(F_ProductBM!M:M,MATCH($P2096,F_ProductBM!$Q:$Q,0))="","",INDEX(F_ProductBM!M:M,MATCH($P2096,F_ProductBM!$Q:$Q,0))))</f>
        <v/>
      </c>
      <c r="N2096" s="1789" t="str">
        <f>IF($I1953="","",IF(INDEX(F_ProductBM!N:N,MATCH($P2096,F_ProductBM!$Q:$Q,0))="","",INDEX(F_ProductBM!N:N,MATCH($P2096,F_ProductBM!$Q:$Q,0))))</f>
        <v/>
      </c>
      <c r="O2096" s="485"/>
      <c r="P2096" s="1970" t="str">
        <f>EUconst_CNTR_WGFlared &amp; I1953</f>
        <v>WasteGasFlare_</v>
      </c>
      <c r="Q2096" s="1137"/>
      <c r="R2096" s="1137"/>
      <c r="S2096" s="1137"/>
      <c r="T2096" s="1137"/>
      <c r="U2096" s="1137"/>
      <c r="V2096" s="1137"/>
    </row>
    <row r="2097" spans="1:22" s="562" customFormat="1" ht="12.75" customHeight="1">
      <c r="A2097" s="817"/>
      <c r="C2097" s="485"/>
      <c r="D2097" s="776"/>
      <c r="E2097" s="2473" t="s">
        <v>1308</v>
      </c>
      <c r="F2097" s="3466"/>
      <c r="G2097" s="812" t="str">
        <f>EUconst_tCO2pTJ</f>
        <v>t CO2 / TJ</v>
      </c>
      <c r="H2097" s="627" t="str">
        <f>IF($I1953="","",IF(INDEX(F_ProductBM!H:H,MATCH($P2097,F_ProductBM!$Q:$Q,0))="","",INDEX(F_ProductBM!H:H,MATCH($P2097,F_ProductBM!$Q:$Q,0))))</f>
        <v/>
      </c>
      <c r="I2097" s="796" t="str">
        <f>IF($I1953="","",IF(INDEX(F_ProductBM!I:I,MATCH($P2097,F_ProductBM!$Q:$Q,0))="","",INDEX(F_ProductBM!I:I,MATCH($P2097,F_ProductBM!$Q:$Q,0))))</f>
        <v/>
      </c>
      <c r="J2097" s="2172" t="str">
        <f>IF($I1953="","",IF(INDEX(F_ProductBM!J:J,MATCH($P2097,F_ProductBM!$Q:$Q,0))="","",INDEX(F_ProductBM!J:J,MATCH($P2097,F_ProductBM!$Q:$Q,0))))</f>
        <v/>
      </c>
      <c r="K2097" s="1788" t="str">
        <f>IF($I1953="","",IF(INDEX(F_ProductBM!K:K,MATCH($P2097,F_ProductBM!$Q:$Q,0))="","",INDEX(F_ProductBM!K:K,MATCH($P2097,F_ProductBM!$Q:$Q,0))))</f>
        <v/>
      </c>
      <c r="L2097" s="1789" t="str">
        <f>IF($I1953="","",IF(INDEX(F_ProductBM!L:L,MATCH($P2097,F_ProductBM!$Q:$Q,0))="","",INDEX(F_ProductBM!L:L,MATCH($P2097,F_ProductBM!$Q:$Q,0))))</f>
        <v/>
      </c>
      <c r="M2097" s="1789" t="str">
        <f>IF($I1953="","",IF(INDEX(F_ProductBM!M:M,MATCH($P2097,F_ProductBM!$Q:$Q,0))="","",INDEX(F_ProductBM!M:M,MATCH($P2097,F_ProductBM!$Q:$Q,0))))</f>
        <v/>
      </c>
      <c r="N2097" s="1789" t="str">
        <f>IF($I1953="","",IF(INDEX(F_ProductBM!N:N,MATCH($P2097,F_ProductBM!$Q:$Q,0))="","",INDEX(F_ProductBM!N:N,MATCH($P2097,F_ProductBM!$Q:$Q,0))))</f>
        <v/>
      </c>
      <c r="O2097" s="485"/>
      <c r="P2097" s="1970" t="str">
        <f>EUconst_CNTR_WGFlaredEF &amp; I1953</f>
        <v>WasteGasFlareEF_</v>
      </c>
      <c r="Q2097" s="1137"/>
      <c r="R2097" s="1137"/>
      <c r="S2097" s="1137"/>
      <c r="T2097" s="1137"/>
      <c r="U2097" s="1137"/>
      <c r="V2097" s="1137"/>
    </row>
    <row r="2098" spans="1:22" s="562" customFormat="1" ht="12.75" customHeight="1">
      <c r="A2098" s="817"/>
      <c r="C2098" s="485"/>
      <c r="D2098" s="776"/>
      <c r="E2098" s="2471" t="s">
        <v>1102</v>
      </c>
      <c r="F2098" s="3467"/>
      <c r="G2098" s="811" t="str">
        <f>EUconst_TJpa</f>
        <v>TJ / year</v>
      </c>
      <c r="H2098" s="625" t="str">
        <f>IF($I1953="","",IF(INDEX(F_ProductBM!H:H,MATCH($P2098,F_ProductBM!$Q:$Q,0))="","",INDEX(F_ProductBM!H:H,MATCH($P2098,F_ProductBM!$Q:$Q,0))))</f>
        <v/>
      </c>
      <c r="I2098" s="794" t="str">
        <f>IF($I1953="","",IF(INDEX(F_ProductBM!I:I,MATCH($P2098,F_ProductBM!$Q:$Q,0))="","",INDEX(F_ProductBM!I:I,MATCH($P2098,F_ProductBM!$Q:$Q,0))))</f>
        <v/>
      </c>
      <c r="J2098" s="2171" t="str">
        <f>IF($I1953="","",IF(INDEX(F_ProductBM!J:J,MATCH($P2098,F_ProductBM!$Q:$Q,0))="","",INDEX(F_ProductBM!J:J,MATCH($P2098,F_ProductBM!$Q:$Q,0))))</f>
        <v/>
      </c>
      <c r="K2098" s="1788" t="str">
        <f>IF($I1953="","",IF(INDEX(F_ProductBM!K:K,MATCH($P2098,F_ProductBM!$Q:$Q,0))="","",INDEX(F_ProductBM!K:K,MATCH($P2098,F_ProductBM!$Q:$Q,0))))</f>
        <v/>
      </c>
      <c r="L2098" s="1789" t="str">
        <f>IF($I1953="","",IF(INDEX(F_ProductBM!L:L,MATCH($P2098,F_ProductBM!$Q:$Q,0))="","",INDEX(F_ProductBM!L:L,MATCH($P2098,F_ProductBM!$Q:$Q,0))))</f>
        <v/>
      </c>
      <c r="M2098" s="1789" t="str">
        <f>IF($I1953="","",IF(INDEX(F_ProductBM!M:M,MATCH($P2098,F_ProductBM!$Q:$Q,0))="","",INDEX(F_ProductBM!M:M,MATCH($P2098,F_ProductBM!$Q:$Q,0))))</f>
        <v/>
      </c>
      <c r="N2098" s="1789" t="str">
        <f>IF($I1953="","",IF(INDEX(F_ProductBM!N:N,MATCH($P2098,F_ProductBM!$Q:$Q,0))="","",INDEX(F_ProductBM!N:N,MATCH($P2098,F_ProductBM!$Q:$Q,0))))</f>
        <v/>
      </c>
      <c r="O2098" s="485"/>
      <c r="P2098" s="1970" t="str">
        <f>EUconst_CNTR_WGImport &amp; I1953</f>
        <v>WasteGasIm_</v>
      </c>
      <c r="Q2098" s="1137"/>
      <c r="R2098" s="1137"/>
      <c r="S2098" s="1137"/>
      <c r="T2098" s="1137"/>
      <c r="U2098" s="1137"/>
      <c r="V2098" s="1137"/>
    </row>
    <row r="2099" spans="1:22" s="562" customFormat="1" ht="12.75" customHeight="1">
      <c r="A2099" s="817"/>
      <c r="C2099" s="485"/>
      <c r="D2099" s="776"/>
      <c r="E2099" s="816" t="s">
        <v>1275</v>
      </c>
      <c r="F2099" s="816"/>
      <c r="G2099" s="812" t="str">
        <f>EUconst_tCO2pTJ</f>
        <v>t CO2 / TJ</v>
      </c>
      <c r="H2099" s="627" t="str">
        <f>IF($I1953="","",IF(INDEX(F_ProductBM!H:H,MATCH($P2099,F_ProductBM!$Q:$Q,0))="","",INDEX(F_ProductBM!H:H,MATCH($P2099,F_ProductBM!$Q:$Q,0))))</f>
        <v/>
      </c>
      <c r="I2099" s="796" t="str">
        <f>IF($I1953="","",IF(INDEX(F_ProductBM!I:I,MATCH($P2099,F_ProductBM!$Q:$Q,0))="","",INDEX(F_ProductBM!I:I,MATCH($P2099,F_ProductBM!$Q:$Q,0))))</f>
        <v/>
      </c>
      <c r="J2099" s="2172" t="str">
        <f>IF($I1953="","",IF(INDEX(F_ProductBM!J:J,MATCH($P2099,F_ProductBM!$Q:$Q,0))="","",INDEX(F_ProductBM!J:J,MATCH($P2099,F_ProductBM!$Q:$Q,0))))</f>
        <v/>
      </c>
      <c r="K2099" s="1788" t="str">
        <f>IF($I1953="","",IF(INDEX(F_ProductBM!K:K,MATCH($P2099,F_ProductBM!$Q:$Q,0))="","",INDEX(F_ProductBM!K:K,MATCH($P2099,F_ProductBM!$Q:$Q,0))))</f>
        <v/>
      </c>
      <c r="L2099" s="1789" t="str">
        <f>IF($I1953="","",IF(INDEX(F_ProductBM!L:L,MATCH($P2099,F_ProductBM!$Q:$Q,0))="","",INDEX(F_ProductBM!L:L,MATCH($P2099,F_ProductBM!$Q:$Q,0))))</f>
        <v/>
      </c>
      <c r="M2099" s="1789" t="str">
        <f>IF($I1953="","",IF(INDEX(F_ProductBM!M:M,MATCH($P2099,F_ProductBM!$Q:$Q,0))="","",INDEX(F_ProductBM!M:M,MATCH($P2099,F_ProductBM!$Q:$Q,0))))</f>
        <v/>
      </c>
      <c r="N2099" s="1789" t="str">
        <f>IF($I1953="","",IF(INDEX(F_ProductBM!N:N,MATCH($P2099,F_ProductBM!$Q:$Q,0))="","",INDEX(F_ProductBM!N:N,MATCH($P2099,F_ProductBM!$Q:$Q,0))))</f>
        <v/>
      </c>
      <c r="O2099" s="485"/>
      <c r="P2099" s="1970" t="str">
        <f>EUconst_CNTR_WGImportEF &amp; I1953</f>
        <v>WasteGasImEF_</v>
      </c>
      <c r="Q2099" s="1137"/>
      <c r="R2099" s="1137"/>
      <c r="S2099" s="1137"/>
      <c r="T2099" s="1137"/>
      <c r="U2099" s="1137"/>
      <c r="V2099" s="1137"/>
    </row>
    <row r="2100" spans="1:22" s="562" customFormat="1" ht="12.75" customHeight="1">
      <c r="A2100" s="817"/>
      <c r="C2100" s="485"/>
      <c r="D2100" s="776"/>
      <c r="E2100" s="2471" t="s">
        <v>1080</v>
      </c>
      <c r="F2100" s="3467"/>
      <c r="G2100" s="811" t="str">
        <f>EUconst_TJpa</f>
        <v>TJ / year</v>
      </c>
      <c r="H2100" s="625" t="str">
        <f>IF($I1953="","",IF(INDEX(F_ProductBM!H:H,MATCH($P2100,F_ProductBM!$Q:$Q,0))="","",INDEX(F_ProductBM!H:H,MATCH($P2100,F_ProductBM!$Q:$Q,0))))</f>
        <v/>
      </c>
      <c r="I2100" s="794" t="str">
        <f>IF($I1953="","",IF(INDEX(F_ProductBM!I:I,MATCH($P2100,F_ProductBM!$Q:$Q,0))="","",INDEX(F_ProductBM!I:I,MATCH($P2100,F_ProductBM!$Q:$Q,0))))</f>
        <v/>
      </c>
      <c r="J2100" s="2171" t="str">
        <f>IF($I1953="","",IF(INDEX(F_ProductBM!J:J,MATCH($P2100,F_ProductBM!$Q:$Q,0))="","",INDEX(F_ProductBM!J:J,MATCH($P2100,F_ProductBM!$Q:$Q,0))))</f>
        <v/>
      </c>
      <c r="K2100" s="1788" t="str">
        <f>IF($I1953="","",IF(INDEX(F_ProductBM!K:K,MATCH($P2100,F_ProductBM!$Q:$Q,0))="","",INDEX(F_ProductBM!K:K,MATCH($P2100,F_ProductBM!$Q:$Q,0))))</f>
        <v/>
      </c>
      <c r="L2100" s="1789" t="str">
        <f>IF($I1953="","",IF(INDEX(F_ProductBM!L:L,MATCH($P2100,F_ProductBM!$Q:$Q,0))="","",INDEX(F_ProductBM!L:L,MATCH($P2100,F_ProductBM!$Q:$Q,0))))</f>
        <v/>
      </c>
      <c r="M2100" s="1789" t="str">
        <f>IF($I1953="","",IF(INDEX(F_ProductBM!M:M,MATCH($P2100,F_ProductBM!$Q:$Q,0))="","",INDEX(F_ProductBM!M:M,MATCH($P2100,F_ProductBM!$Q:$Q,0))))</f>
        <v/>
      </c>
      <c r="N2100" s="1789" t="str">
        <f>IF($I1953="","",IF(INDEX(F_ProductBM!N:N,MATCH($P2100,F_ProductBM!$Q:$Q,0))="","",INDEX(F_ProductBM!N:N,MATCH($P2100,F_ProductBM!$Q:$Q,0))))</f>
        <v/>
      </c>
      <c r="O2100" s="485"/>
      <c r="P2100" s="1970" t="str">
        <f>EUconst_CNTR_WGExport &amp; I1953</f>
        <v>WasteGasEx_</v>
      </c>
      <c r="Q2100" s="1137"/>
      <c r="R2100" s="1137"/>
      <c r="S2100" s="1137"/>
      <c r="T2100" s="1137"/>
      <c r="U2100" s="1137"/>
      <c r="V2100" s="1137"/>
    </row>
    <row r="2101" spans="1:22" s="562" customFormat="1" ht="12.75" customHeight="1">
      <c r="A2101" s="817"/>
      <c r="C2101" s="485"/>
      <c r="D2101" s="776"/>
      <c r="E2101" s="2473" t="s">
        <v>1276</v>
      </c>
      <c r="F2101" s="3466"/>
      <c r="G2101" s="812" t="str">
        <f>EUconst_tCO2pTJ</f>
        <v>t CO2 / TJ</v>
      </c>
      <c r="H2101" s="627" t="str">
        <f>IF($I1953="","",IF(INDEX(F_ProductBM!H:H,MATCH($P2101,F_ProductBM!$Q:$Q,0))="","",INDEX(F_ProductBM!H:H,MATCH($P2101,F_ProductBM!$Q:$Q,0))))</f>
        <v/>
      </c>
      <c r="I2101" s="796" t="str">
        <f>IF($I1953="","",IF(INDEX(F_ProductBM!I:I,MATCH($P2101,F_ProductBM!$Q:$Q,0))="","",INDEX(F_ProductBM!I:I,MATCH($P2101,F_ProductBM!$Q:$Q,0))))</f>
        <v/>
      </c>
      <c r="J2101" s="2172" t="str">
        <f>IF($I1953="","",IF(INDEX(F_ProductBM!J:J,MATCH($P2101,F_ProductBM!$Q:$Q,0))="","",INDEX(F_ProductBM!J:J,MATCH($P2101,F_ProductBM!$Q:$Q,0))))</f>
        <v/>
      </c>
      <c r="K2101" s="1788" t="str">
        <f>IF($I1953="","",IF(INDEX(F_ProductBM!K:K,MATCH($P2101,F_ProductBM!$Q:$Q,0))="","",INDEX(F_ProductBM!K:K,MATCH($P2101,F_ProductBM!$Q:$Q,0))))</f>
        <v/>
      </c>
      <c r="L2101" s="1789" t="str">
        <f>IF($I1953="","",IF(INDEX(F_ProductBM!L:L,MATCH($P2101,F_ProductBM!$Q:$Q,0))="","",INDEX(F_ProductBM!L:L,MATCH($P2101,F_ProductBM!$Q:$Q,0))))</f>
        <v/>
      </c>
      <c r="M2101" s="1789" t="str">
        <f>IF($I1953="","",IF(INDEX(F_ProductBM!M:M,MATCH($P2101,F_ProductBM!$Q:$Q,0))="","",INDEX(F_ProductBM!M:M,MATCH($P2101,F_ProductBM!$Q:$Q,0))))</f>
        <v/>
      </c>
      <c r="N2101" s="1789" t="str">
        <f>IF($I1953="","",IF(INDEX(F_ProductBM!N:N,MATCH($P2101,F_ProductBM!$Q:$Q,0))="","",INDEX(F_ProductBM!N:N,MATCH($P2101,F_ProductBM!$Q:$Q,0))))</f>
        <v/>
      </c>
      <c r="O2101" s="485"/>
      <c r="P2101" s="1970" t="str">
        <f>EUconst_CNTR_WGExportEF &amp; I1953</f>
        <v>WasteGasExEF_</v>
      </c>
      <c r="Q2101" s="1137"/>
      <c r="R2101" s="1137"/>
      <c r="S2101" s="1137"/>
      <c r="T2101" s="1137"/>
      <c r="U2101" s="1137"/>
      <c r="V2101" s="1137"/>
    </row>
    <row r="2102" spans="1:22" s="562" customFormat="1" ht="5.0999999999999996" customHeight="1">
      <c r="A2102" s="817"/>
      <c r="C2102" s="485"/>
      <c r="D2102" s="776"/>
      <c r="E2102" s="809"/>
      <c r="F2102" s="809"/>
      <c r="G2102" s="777"/>
      <c r="H2102" s="2173"/>
      <c r="I2102" s="2173"/>
      <c r="J2102" s="2173"/>
      <c r="K2102" s="1788"/>
      <c r="L2102" s="1789"/>
      <c r="M2102" s="1789"/>
      <c r="N2102" s="1789"/>
      <c r="O2102" s="485"/>
      <c r="P2102" s="1117"/>
      <c r="Q2102" s="1137"/>
      <c r="R2102" s="1137"/>
      <c r="S2102" s="1137"/>
      <c r="T2102" s="1137"/>
      <c r="U2102" s="1137"/>
      <c r="V2102" s="1137"/>
    </row>
    <row r="2103" spans="1:22" s="562" customFormat="1" ht="12.75" customHeight="1">
      <c r="A2103" s="817"/>
      <c r="C2103" s="485"/>
      <c r="D2103" s="776"/>
      <c r="E2103" s="2475" t="s">
        <v>914</v>
      </c>
      <c r="F2103" s="3461"/>
      <c r="G2103" s="815" t="str">
        <f>EUconst_MWhpa</f>
        <v>MWh / year</v>
      </c>
      <c r="H2103" s="623" t="str">
        <f>IF($I1953="","",IF(INDEX(F_ProductBM!H:H,MATCH($P2103,F_ProductBM!$R:$R,0))="","",INDEX(F_ProductBM!H:H,MATCH($P2103,F_ProductBM!$R:$R,0))))</f>
        <v/>
      </c>
      <c r="I2103" s="800" t="str">
        <f>IF($I1953="","",IF(INDEX(F_ProductBM!I:I,MATCH($P2103,F_ProductBM!$R:$R,0))="","",INDEX(F_ProductBM!I:I,MATCH($P2103,F_ProductBM!$R:$R,0))))</f>
        <v/>
      </c>
      <c r="J2103" s="2174" t="str">
        <f>IF($I1953="","",IF(INDEX(F_ProductBM!J:J,MATCH($P2103,F_ProductBM!$R:$R,0))="","",INDEX(F_ProductBM!J:J,MATCH($P2103,F_ProductBM!$R:$R,0))))</f>
        <v/>
      </c>
      <c r="K2103" s="1788" t="str">
        <f>IF($I1953="","",IF(INDEX(F_ProductBM!K:K,MATCH($P2103,F_ProductBM!$R:$R,0))="","",INDEX(F_ProductBM!K:K,MATCH($P2103,F_ProductBM!$R:$R,0))))</f>
        <v/>
      </c>
      <c r="L2103" s="1789" t="str">
        <f>IF($I1953="","",IF(INDEX(F_ProductBM!L:L,MATCH($P2103,F_ProductBM!$R:$R,0))="","",INDEX(F_ProductBM!L:L,MATCH($P2103,F_ProductBM!$R:$R,0))))</f>
        <v/>
      </c>
      <c r="M2103" s="1789" t="str">
        <f>IF($I1953="","",IF(INDEX(F_ProductBM!M:M,MATCH($P2103,F_ProductBM!$R:$R,0))="","",INDEX(F_ProductBM!M:M,MATCH($P2103,F_ProductBM!$R:$R,0))))</f>
        <v/>
      </c>
      <c r="N2103" s="1789" t="str">
        <f>IF($I1953="","",IF(INDEX(F_ProductBM!N:N,MATCH($P2103,F_ProductBM!$R:$R,0))="","",INDEX(F_ProductBM!N:N,MATCH($P2103,F_ProductBM!$R:$R,0))))</f>
        <v/>
      </c>
      <c r="O2103" s="485"/>
      <c r="P2103" s="1158" t="str">
        <f>EUconst_CNTR_HAL&amp;EUconst_CNTR_ELEXCH &amp; I1953</f>
        <v>HAL_ELEXCH_</v>
      </c>
      <c r="Q2103" s="1137"/>
      <c r="R2103" s="1137"/>
      <c r="S2103" s="1137"/>
      <c r="T2103" s="1137"/>
      <c r="U2103" s="1137"/>
      <c r="V2103" s="1137"/>
    </row>
    <row r="2104" spans="1:22" s="562" customFormat="1" ht="12.75" customHeight="1">
      <c r="A2104" s="817"/>
      <c r="C2104" s="485"/>
      <c r="D2104" s="776"/>
      <c r="E2104" s="2475" t="s">
        <v>1354</v>
      </c>
      <c r="F2104" s="3461"/>
      <c r="G2104" s="815" t="str">
        <f>EUconst_MWhpa</f>
        <v>MWh / year</v>
      </c>
      <c r="H2104" s="623" t="str">
        <f>IF($I1953="","",IF(INDEX(F_ProductBM!H:H,MATCH($P2104,F_ProductBM!$Q:$Q,0))="","",INDEX(F_ProductBM!H:H,MATCH($P2104,F_ProductBM!$Q:$Q,0))))</f>
        <v/>
      </c>
      <c r="I2104" s="800" t="str">
        <f>IF($I1953="","",IF(INDEX(F_ProductBM!I:I,MATCH($P2104,F_ProductBM!$Q:$Q,0))="","",INDEX(F_ProductBM!I:I,MATCH($P2104,F_ProductBM!$Q:$Q,0))))</f>
        <v/>
      </c>
      <c r="J2104" s="2174" t="str">
        <f>IF($I1953="","",IF(INDEX(F_ProductBM!J:J,MATCH($P2104,F_ProductBM!$Q:$Q,0))="","",INDEX(F_ProductBM!J:J,MATCH($P2104,F_ProductBM!$Q:$Q,0))))</f>
        <v/>
      </c>
      <c r="K2104" s="1788" t="str">
        <f>IF($I1953="","",IF(INDEX(F_ProductBM!K:K,MATCH($P2104,F_ProductBM!$Q:$Q,0))="","",INDEX(F_ProductBM!K:K,MATCH($P2104,F_ProductBM!$Q:$Q,0))))</f>
        <v/>
      </c>
      <c r="L2104" s="1789" t="str">
        <f>IF($I1953="","",IF(INDEX(F_ProductBM!L:L,MATCH($P2104,F_ProductBM!$Q:$Q,0))="","",INDEX(F_ProductBM!L:L,MATCH($P2104,F_ProductBM!$Q:$Q,0))))</f>
        <v/>
      </c>
      <c r="M2104" s="1789" t="str">
        <f>IF($I1953="","",IF(INDEX(F_ProductBM!M:M,MATCH($P2104,F_ProductBM!$Q:$Q,0))="","",INDEX(F_ProductBM!M:M,MATCH($P2104,F_ProductBM!$Q:$Q,0))))</f>
        <v/>
      </c>
      <c r="N2104" s="1789" t="str">
        <f>IF($I1953="","",IF(INDEX(F_ProductBM!N:N,MATCH($P2104,F_ProductBM!$Q:$Q,0))="","",INDEX(F_ProductBM!N:N,MATCH($P2104,F_ProductBM!$Q:$Q,0))))</f>
        <v/>
      </c>
      <c r="O2104" s="485"/>
      <c r="P2104" s="1970" t="str">
        <f>EUconst_CNTR_ElectricityExported &amp; I1953</f>
        <v>ElecEx_</v>
      </c>
      <c r="Q2104" s="1137"/>
      <c r="R2104" s="1137"/>
      <c r="S2104" s="1137"/>
      <c r="T2104" s="1137"/>
      <c r="U2104" s="1137"/>
      <c r="V2104" s="1137"/>
    </row>
    <row r="2105" spans="1:22" s="562" customFormat="1" ht="5.0999999999999996" customHeight="1">
      <c r="A2105" s="817"/>
      <c r="C2105" s="485"/>
      <c r="D2105" s="776"/>
      <c r="E2105" s="809"/>
      <c r="F2105" s="809"/>
      <c r="G2105" s="777"/>
      <c r="H2105" s="2173"/>
      <c r="I2105" s="2173"/>
      <c r="J2105" s="2173"/>
      <c r="K2105" s="1788"/>
      <c r="L2105" s="1789"/>
      <c r="M2105" s="1789"/>
      <c r="N2105" s="1789"/>
      <c r="O2105" s="485"/>
      <c r="P2105" s="1117"/>
      <c r="Q2105" s="1137"/>
      <c r="R2105" s="1137"/>
      <c r="S2105" s="1137"/>
      <c r="T2105" s="1137"/>
      <c r="U2105" s="1137"/>
      <c r="V2105" s="1137"/>
    </row>
    <row r="2106" spans="1:22" s="562" customFormat="1" ht="12.75" customHeight="1">
      <c r="A2106" s="817"/>
      <c r="C2106" s="485"/>
      <c r="D2106" s="776"/>
      <c r="E2106" s="2475" t="s">
        <v>1157</v>
      </c>
      <c r="F2106" s="3461"/>
      <c r="G2106" s="815" t="str">
        <f>EUconst_Tons</f>
        <v>tonnes</v>
      </c>
      <c r="H2106" s="623" t="str">
        <f>IF($I1953="","",IF(INDEX(F_ProductBM!H:H,MATCH($P2106,F_ProductBM!$Q:$Q,0))="","",INDEX(F_ProductBM!H:H,MATCH($P2106,F_ProductBM!$Q:$Q,0))))</f>
        <v/>
      </c>
      <c r="I2106" s="800" t="str">
        <f>IF($I1953="","",IF(INDEX(F_ProductBM!I:I,MATCH($P2106,F_ProductBM!$Q:$Q,0))="","",INDEX(F_ProductBM!I:I,MATCH($P2106,F_ProductBM!$Q:$Q,0))))</f>
        <v/>
      </c>
      <c r="J2106" s="2174" t="str">
        <f>IF($I1953="","",IF(INDEX(F_ProductBM!J:J,MATCH($P2106,F_ProductBM!$Q:$Q,0))="","",INDEX(F_ProductBM!J:J,MATCH($P2106,F_ProductBM!$Q:$Q,0))))</f>
        <v/>
      </c>
      <c r="K2106" s="1788" t="str">
        <f>IF($I1953="","",IF(INDEX(F_ProductBM!K:K,MATCH($P2106,F_ProductBM!$Q:$Q,0))="","",INDEX(F_ProductBM!K:K,MATCH($P2106,F_ProductBM!$Q:$Q,0))))</f>
        <v/>
      </c>
      <c r="L2106" s="1789" t="str">
        <f>IF($I1953="","",IF(INDEX(F_ProductBM!L:L,MATCH($P2106,F_ProductBM!$Q:$Q,0))="","",INDEX(F_ProductBM!L:L,MATCH($P2106,F_ProductBM!$Q:$Q,0))))</f>
        <v/>
      </c>
      <c r="M2106" s="1789" t="str">
        <f>IF($I1953="","",IF(INDEX(F_ProductBM!M:M,MATCH($P2106,F_ProductBM!$Q:$Q,0))="","",INDEX(F_ProductBM!M:M,MATCH($P2106,F_ProductBM!$Q:$Q,0))))</f>
        <v/>
      </c>
      <c r="N2106" s="1789" t="str">
        <f>IF($I1953="","",IF(INDEX(F_ProductBM!N:N,MATCH($P2106,F_ProductBM!$Q:$Q,0))="","",INDEX(F_ProductBM!N:N,MATCH($P2106,F_ProductBM!$Q:$Q,0))))</f>
        <v/>
      </c>
      <c r="O2106" s="485"/>
      <c r="P2106" s="1970" t="str">
        <f>EUconst_CNTR_HALPulpTotal &amp; I1953</f>
        <v>HALPulpTotal_</v>
      </c>
      <c r="Q2106" s="1137"/>
      <c r="R2106" s="1137"/>
      <c r="S2106" s="1137"/>
      <c r="T2106" s="1137"/>
      <c r="U2106" s="1137"/>
      <c r="V2106" s="1137"/>
    </row>
    <row r="2107" spans="1:22" s="562" customFormat="1" ht="5.0999999999999996" customHeight="1">
      <c r="A2107" s="817"/>
      <c r="C2107" s="485"/>
      <c r="D2107" s="776"/>
      <c r="E2107" s="809"/>
      <c r="F2107" s="809"/>
      <c r="G2107" s="777"/>
      <c r="H2107" s="2173"/>
      <c r="I2107" s="2173"/>
      <c r="J2107" s="2173"/>
      <c r="K2107" s="1788"/>
      <c r="L2107" s="1789"/>
      <c r="M2107" s="1789"/>
      <c r="N2107" s="1789"/>
      <c r="O2107" s="485"/>
      <c r="P2107" s="1117"/>
      <c r="Q2107" s="1137"/>
      <c r="R2107" s="1137"/>
      <c r="S2107" s="1137"/>
      <c r="T2107" s="1137"/>
      <c r="U2107" s="1137"/>
      <c r="V2107" s="1137"/>
    </row>
    <row r="2108" spans="1:22" s="562" customFormat="1">
      <c r="A2108" s="817"/>
      <c r="C2108" s="485"/>
      <c r="D2108" s="776"/>
      <c r="E2108" s="2492" t="s">
        <v>1440</v>
      </c>
      <c r="F2108" s="3284"/>
      <c r="G2108" s="777"/>
      <c r="H2108" s="2173"/>
      <c r="I2108" s="2173"/>
      <c r="J2108" s="2173"/>
      <c r="K2108" s="1788"/>
      <c r="L2108" s="1789"/>
      <c r="M2108" s="1789"/>
      <c r="N2108" s="1789"/>
      <c r="O2108" s="485"/>
      <c r="P2108" s="1117"/>
      <c r="Q2108" s="1137"/>
      <c r="R2108" s="1137"/>
      <c r="S2108" s="1137"/>
      <c r="T2108" s="1137"/>
      <c r="U2108" s="1137"/>
      <c r="V2108" s="1137"/>
    </row>
    <row r="2109" spans="1:22" s="562" customFormat="1">
      <c r="A2109" s="817"/>
      <c r="C2109" s="485"/>
      <c r="D2109" s="776"/>
      <c r="E2109" s="3285" t="str">
        <f>IF(I1953="","",IF(INDEX(F_ProductBM!E:E,MATCH($P2109,F_ProductBM!$Q:$Q,0))="","",INDEX(F_ProductBM!E:E,MATCH($P2109,F_ProductBM!$Q:$Q,0))))</f>
        <v/>
      </c>
      <c r="F2109" s="3285"/>
      <c r="G2109" s="815" t="str">
        <f>EUconst_Tons</f>
        <v>tonnes</v>
      </c>
      <c r="H2109" s="623" t="str">
        <f>IF($I1953="","",IF(INDEX(F_ProductBM!H:H,MATCH($P2109,F_ProductBM!$Q:$Q,0))="","",INDEX(F_ProductBM!H:H,MATCH($P2109,F_ProductBM!$Q:$Q,0))))</f>
        <v/>
      </c>
      <c r="I2109" s="800" t="str">
        <f>IF($I1953="","",IF(INDEX(F_ProductBM!I:I,MATCH($P2109,F_ProductBM!$Q:$Q,0))="","",INDEX(F_ProductBM!I:I,MATCH($P2109,F_ProductBM!$Q:$Q,0))))</f>
        <v/>
      </c>
      <c r="J2109" s="2174" t="str">
        <f>IF($I1953="","",IF(INDEX(F_ProductBM!J:J,MATCH($P2109,F_ProductBM!$Q:$Q,0))="","",INDEX(F_ProductBM!J:J,MATCH($P2109,F_ProductBM!$Q:$Q,0))))</f>
        <v/>
      </c>
      <c r="K2109" s="1788" t="str">
        <f>IF($I1953="","",IF(INDEX(F_ProductBM!K:K,MATCH($P2109,F_ProductBM!$Q:$Q,0))="","",INDEX(F_ProductBM!K:K,MATCH($P2109,F_ProductBM!$Q:$Q,0))))</f>
        <v/>
      </c>
      <c r="L2109" s="1789" t="str">
        <f>IF($I1953="","",IF(INDEX(F_ProductBM!L:L,MATCH($P2109,F_ProductBM!$Q:$Q,0))="","",INDEX(F_ProductBM!L:L,MATCH($P2109,F_ProductBM!$Q:$Q,0))))</f>
        <v/>
      </c>
      <c r="M2109" s="1789" t="str">
        <f>IF($I1953="","",IF(INDEX(F_ProductBM!M:M,MATCH($P2109,F_ProductBM!$Q:$Q,0))="","",INDEX(F_ProductBM!M:M,MATCH($P2109,F_ProductBM!$Q:$Q,0))))</f>
        <v/>
      </c>
      <c r="N2109" s="1789" t="str">
        <f>IF($I1953="","",IF(INDEX(F_ProductBM!N:N,MATCH($P2109,F_ProductBM!$Q:$Q,0))="","",INDEX(F_ProductBM!N:N,MATCH($P2109,F_ProductBM!$Q:$Q,0))))</f>
        <v/>
      </c>
      <c r="O2109" s="485"/>
      <c r="P2109" s="1970" t="str">
        <f>EUconst_CNTR_IntermediateImport &amp; R2109 &amp; "_" &amp; I1953</f>
        <v>IntImp_1_</v>
      </c>
      <c r="Q2109" s="1137"/>
      <c r="R2109" s="1312">
        <v>1</v>
      </c>
      <c r="S2109" s="1137"/>
      <c r="T2109" s="1137"/>
      <c r="U2109" s="1137"/>
      <c r="V2109" s="1137"/>
    </row>
    <row r="2110" spans="1:22" s="562" customFormat="1">
      <c r="A2110" s="817"/>
      <c r="C2110" s="485"/>
      <c r="D2110" s="776"/>
      <c r="E2110" s="3285" t="str">
        <f>IF(I1953="","",IF(INDEX(F_ProductBM!E:E,MATCH($P2110,F_ProductBM!$Q:$Q,0))="","",INDEX(F_ProductBM!E:E,MATCH($P2110,F_ProductBM!$Q:$Q,0))))</f>
        <v/>
      </c>
      <c r="F2110" s="3461"/>
      <c r="G2110" s="815" t="str">
        <f>EUconst_Tons</f>
        <v>tonnes</v>
      </c>
      <c r="H2110" s="623" t="str">
        <f>IF($I1953="","",IF(INDEX(F_ProductBM!H:H,MATCH($P2110,F_ProductBM!$Q:$Q,0))="","",INDEX(F_ProductBM!H:H,MATCH($P2110,F_ProductBM!$Q:$Q,0))))</f>
        <v/>
      </c>
      <c r="I2110" s="800" t="str">
        <f>IF($I1953="","",IF(INDEX(F_ProductBM!I:I,MATCH($P2110,F_ProductBM!$Q:$Q,0))="","",INDEX(F_ProductBM!I:I,MATCH($P2110,F_ProductBM!$Q:$Q,0))))</f>
        <v/>
      </c>
      <c r="J2110" s="2174" t="str">
        <f>IF($I1953="","",IF(INDEX(F_ProductBM!J:J,MATCH($P2110,F_ProductBM!$Q:$Q,0))="","",INDEX(F_ProductBM!J:J,MATCH($P2110,F_ProductBM!$Q:$Q,0))))</f>
        <v/>
      </c>
      <c r="K2110" s="1788" t="str">
        <f>IF($I1953="","",IF(INDEX(F_ProductBM!K:K,MATCH($P2110,F_ProductBM!$Q:$Q,0))="","",INDEX(F_ProductBM!K:K,MATCH($P2110,F_ProductBM!$Q:$Q,0))))</f>
        <v/>
      </c>
      <c r="L2110" s="1789" t="str">
        <f>IF($I1953="","",IF(INDEX(F_ProductBM!L:L,MATCH($P2110,F_ProductBM!$Q:$Q,0))="","",INDEX(F_ProductBM!L:L,MATCH($P2110,F_ProductBM!$Q:$Q,0))))</f>
        <v/>
      </c>
      <c r="M2110" s="1789" t="str">
        <f>IF($I1953="","",IF(INDEX(F_ProductBM!M:M,MATCH($P2110,F_ProductBM!$Q:$Q,0))="","",INDEX(F_ProductBM!M:M,MATCH($P2110,F_ProductBM!$Q:$Q,0))))</f>
        <v/>
      </c>
      <c r="N2110" s="1789" t="str">
        <f>IF($I1953="","",IF(INDEX(F_ProductBM!N:N,MATCH($P2110,F_ProductBM!$Q:$Q,0))="","",INDEX(F_ProductBM!N:N,MATCH($P2110,F_ProductBM!$Q:$Q,0))))</f>
        <v/>
      </c>
      <c r="O2110" s="485"/>
      <c r="P2110" s="1970" t="str">
        <f>EUconst_CNTR_IntermediateImport &amp; R2110 &amp; "_" &amp; I1953</f>
        <v>IntImp_2_</v>
      </c>
      <c r="Q2110" s="1137"/>
      <c r="R2110" s="1312">
        <v>2</v>
      </c>
      <c r="S2110" s="1137"/>
      <c r="T2110" s="1137"/>
      <c r="U2110" s="1137"/>
      <c r="V2110" s="1137"/>
    </row>
    <row r="2111" spans="1:22" s="562" customFormat="1">
      <c r="A2111" s="817"/>
      <c r="C2111" s="485"/>
      <c r="D2111" s="776"/>
      <c r="E2111" s="2475" t="s">
        <v>1441</v>
      </c>
      <c r="F2111" s="3461"/>
      <c r="G2111" s="777"/>
      <c r="H2111" s="2173"/>
      <c r="I2111" s="2173"/>
      <c r="J2111" s="2173"/>
      <c r="K2111" s="1788"/>
      <c r="L2111" s="1789"/>
      <c r="M2111" s="1789"/>
      <c r="N2111" s="1789"/>
      <c r="O2111" s="485"/>
      <c r="P2111" s="1117"/>
      <c r="Q2111" s="1137"/>
      <c r="R2111" s="1137"/>
      <c r="S2111" s="1137"/>
      <c r="T2111" s="1137"/>
      <c r="U2111" s="1137"/>
      <c r="V2111" s="1137"/>
    </row>
    <row r="2112" spans="1:22" s="562" customFormat="1">
      <c r="A2112" s="817"/>
      <c r="C2112" s="485"/>
      <c r="D2112" s="776"/>
      <c r="E2112" s="3285" t="str">
        <f>IF(I1953="","",IF(INDEX(F_ProductBM!E:E,MATCH($P2112,F_ProductBM!$Q:$Q,0))="","",INDEX(F_ProductBM!E:E,MATCH($P2112,F_ProductBM!$Q:$Q,0))))</f>
        <v/>
      </c>
      <c r="F2112" s="3461"/>
      <c r="G2112" s="815" t="str">
        <f>EUconst_Tons</f>
        <v>tonnes</v>
      </c>
      <c r="H2112" s="623" t="str">
        <f>IF($I1953="","",IF(INDEX(F_ProductBM!H:H,MATCH($P2112,F_ProductBM!$Q:$Q,0))="","",INDEX(F_ProductBM!H:H,MATCH($P2112,F_ProductBM!$Q:$Q,0))))</f>
        <v/>
      </c>
      <c r="I2112" s="800" t="str">
        <f>IF($I1953="","",IF(INDEX(F_ProductBM!I:I,MATCH($P2112,F_ProductBM!$Q:$Q,0))="","",INDEX(F_ProductBM!I:I,MATCH($P2112,F_ProductBM!$Q:$Q,0))))</f>
        <v/>
      </c>
      <c r="J2112" s="2174" t="str">
        <f>IF($I1953="","",IF(INDEX(F_ProductBM!J:J,MATCH($P2112,F_ProductBM!$Q:$Q,0))="","",INDEX(F_ProductBM!J:J,MATCH($P2112,F_ProductBM!$Q:$Q,0))))</f>
        <v/>
      </c>
      <c r="K2112" s="1788" t="str">
        <f>IF($I1953="","",IF(INDEX(F_ProductBM!K:K,MATCH($P2112,F_ProductBM!$Q:$Q,0))="","",INDEX(F_ProductBM!K:K,MATCH($P2112,F_ProductBM!$Q:$Q,0))))</f>
        <v/>
      </c>
      <c r="L2112" s="1789" t="str">
        <f>IF($I1953="","",IF(INDEX(F_ProductBM!L:L,MATCH($P2112,F_ProductBM!$Q:$Q,0))="","",INDEX(F_ProductBM!L:L,MATCH($P2112,F_ProductBM!$Q:$Q,0))))</f>
        <v/>
      </c>
      <c r="M2112" s="1789" t="str">
        <f>IF($I1953="","",IF(INDEX(F_ProductBM!M:M,MATCH($P2112,F_ProductBM!$Q:$Q,0))="","",INDEX(F_ProductBM!M:M,MATCH($P2112,F_ProductBM!$Q:$Q,0))))</f>
        <v/>
      </c>
      <c r="N2112" s="1789" t="str">
        <f>IF($I1953="","",IF(INDEX(F_ProductBM!N:N,MATCH($P2112,F_ProductBM!$Q:$Q,0))="","",INDEX(F_ProductBM!N:N,MATCH($P2112,F_ProductBM!$Q:$Q,0))))</f>
        <v/>
      </c>
      <c r="O2112" s="485"/>
      <c r="P2112" s="1970" t="str">
        <f>EUconst_CNTR_IntermediateExport &amp; R2109 &amp; "_" &amp; I1953</f>
        <v>IntExp_1_</v>
      </c>
      <c r="Q2112" s="1137"/>
      <c r="R2112" s="1312">
        <v>1</v>
      </c>
      <c r="S2112" s="1137"/>
      <c r="T2112" s="1137"/>
      <c r="U2112" s="1137"/>
      <c r="V2112" s="1137"/>
    </row>
    <row r="2113" spans="1:22" s="562" customFormat="1">
      <c r="A2113" s="817"/>
      <c r="C2113" s="485"/>
      <c r="D2113" s="776"/>
      <c r="E2113" s="3285" t="str">
        <f>IF(I1953="","",IF(INDEX(F_ProductBM!E:E,MATCH($P2113,F_ProductBM!$Q:$Q,0))="","",INDEX(F_ProductBM!E:E,MATCH($P2113,F_ProductBM!$Q:$Q,0))))</f>
        <v/>
      </c>
      <c r="F2113" s="3461"/>
      <c r="G2113" s="815" t="str">
        <f>EUconst_Tons</f>
        <v>tonnes</v>
      </c>
      <c r="H2113" s="623" t="str">
        <f>IF($I1953="","",IF(INDEX(F_ProductBM!H:H,MATCH($P2113,F_ProductBM!$Q:$Q,0))="","",INDEX(F_ProductBM!H:H,MATCH($P2113,F_ProductBM!$Q:$Q,0))))</f>
        <v/>
      </c>
      <c r="I2113" s="800" t="str">
        <f>IF($I1953="","",IF(INDEX(F_ProductBM!I:I,MATCH($P2113,F_ProductBM!$Q:$Q,0))="","",INDEX(F_ProductBM!I:I,MATCH($P2113,F_ProductBM!$Q:$Q,0))))</f>
        <v/>
      </c>
      <c r="J2113" s="2174" t="str">
        <f>IF($I1953="","",IF(INDEX(F_ProductBM!J:J,MATCH($P2113,F_ProductBM!$Q:$Q,0))="","",INDEX(F_ProductBM!J:J,MATCH($P2113,F_ProductBM!$Q:$Q,0))))</f>
        <v/>
      </c>
      <c r="K2113" s="1788" t="str">
        <f>IF($I1953="","",IF(INDEX(F_ProductBM!K:K,MATCH($P2113,F_ProductBM!$Q:$Q,0))="","",INDEX(F_ProductBM!K:K,MATCH($P2113,F_ProductBM!$Q:$Q,0))))</f>
        <v/>
      </c>
      <c r="L2113" s="1789" t="str">
        <f>IF($I1953="","",IF(INDEX(F_ProductBM!L:L,MATCH($P2113,F_ProductBM!$Q:$Q,0))="","",INDEX(F_ProductBM!L:L,MATCH($P2113,F_ProductBM!$Q:$Q,0))))</f>
        <v/>
      </c>
      <c r="M2113" s="1789" t="str">
        <f>IF($I1953="","",IF(INDEX(F_ProductBM!M:M,MATCH($P2113,F_ProductBM!$Q:$Q,0))="","",INDEX(F_ProductBM!M:M,MATCH($P2113,F_ProductBM!$Q:$Q,0))))</f>
        <v/>
      </c>
      <c r="N2113" s="1789" t="str">
        <f>IF($I1953="","",IF(INDEX(F_ProductBM!N:N,MATCH($P2113,F_ProductBM!$Q:$Q,0))="","",INDEX(F_ProductBM!N:N,MATCH($P2113,F_ProductBM!$Q:$Q,0))))</f>
        <v/>
      </c>
      <c r="O2113" s="485"/>
      <c r="P2113" s="1970" t="str">
        <f>EUconst_CNTR_IntermediateExport &amp; R2113 &amp; "_" &amp; I1953</f>
        <v>IntExp_2_</v>
      </c>
      <c r="Q2113" s="1137"/>
      <c r="R2113" s="1312">
        <v>2</v>
      </c>
      <c r="S2113" s="1137"/>
      <c r="T2113" s="1117"/>
      <c r="U2113" s="1137"/>
      <c r="V2113" s="1137"/>
    </row>
    <row r="2114" spans="1:22" s="562" customFormat="1" ht="12.75" customHeight="1" thickBot="1">
      <c r="A2114" s="817"/>
      <c r="C2114" s="485"/>
      <c r="D2114" s="802"/>
      <c r="E2114" s="803"/>
      <c r="F2114" s="803"/>
      <c r="G2114" s="804"/>
      <c r="H2114" s="804"/>
      <c r="I2114" s="805"/>
      <c r="J2114" s="805"/>
      <c r="K2114" s="1790"/>
      <c r="L2114" s="1791"/>
      <c r="M2114" s="1791"/>
      <c r="N2114" s="1791"/>
      <c r="O2114" s="485"/>
      <c r="P2114" s="1117"/>
      <c r="Q2114" s="1137"/>
      <c r="R2114" s="1137"/>
      <c r="S2114" s="1137"/>
      <c r="T2114" s="1117"/>
      <c r="U2114" s="1137"/>
      <c r="V2114" s="1137"/>
    </row>
    <row r="2115" spans="1:22" s="562" customFormat="1" ht="5.0999999999999996" customHeight="1" thickBot="1">
      <c r="A2115" s="817"/>
      <c r="C2115" s="485"/>
      <c r="D2115" s="485"/>
      <c r="E2115" s="807"/>
      <c r="O2115" s="485"/>
      <c r="P2115" s="1137"/>
      <c r="Q2115" s="1137"/>
      <c r="R2115" s="1137"/>
      <c r="S2115" s="1137"/>
      <c r="T2115" s="1137"/>
      <c r="U2115" s="1137"/>
      <c r="V2115" s="1137"/>
    </row>
    <row r="2116" spans="1:22" s="562" customFormat="1" ht="5.0999999999999996" customHeight="1" thickBot="1">
      <c r="A2116" s="817"/>
      <c r="C2116" s="2118"/>
      <c r="D2116" s="2118"/>
      <c r="E2116" s="2118"/>
      <c r="F2116" s="2118"/>
      <c r="G2116" s="2118"/>
      <c r="H2116" s="2118"/>
      <c r="I2116" s="2118"/>
      <c r="J2116" s="2118"/>
      <c r="K2116" s="2118"/>
      <c r="L2116" s="2118"/>
      <c r="M2116" s="2118"/>
      <c r="N2116" s="2118"/>
      <c r="O2116" s="485"/>
      <c r="P2116" s="1137"/>
      <c r="Q2116" s="1137"/>
      <c r="R2116" s="1137"/>
      <c r="S2116" s="1137"/>
      <c r="T2116" s="1137"/>
      <c r="U2116" s="1137"/>
      <c r="V2116" s="1137"/>
    </row>
    <row r="2117" spans="1:22" s="562" customFormat="1" ht="5.0999999999999996" customHeight="1" thickBot="1">
      <c r="A2117" s="817"/>
      <c r="C2117" s="2118"/>
      <c r="D2117" s="2118"/>
      <c r="E2117" s="2118"/>
      <c r="F2117" s="2118"/>
      <c r="G2117" s="2118"/>
      <c r="H2117" s="2118"/>
      <c r="I2117" s="2118"/>
      <c r="J2117" s="2118"/>
      <c r="K2117" s="2118"/>
      <c r="L2117" s="2118"/>
      <c r="M2117" s="2118"/>
      <c r="N2117" s="2118"/>
      <c r="O2117" s="485"/>
      <c r="P2117" s="1137"/>
      <c r="Q2117" s="1137"/>
      <c r="R2117" s="1137"/>
      <c r="S2117" s="1137"/>
      <c r="T2117" s="1137"/>
      <c r="U2117" s="1137"/>
      <c r="V2117" s="1137"/>
    </row>
    <row r="2118" spans="1:22" s="562" customFormat="1" ht="15" customHeight="1" thickBot="1">
      <c r="A2118" s="817"/>
      <c r="C2118" s="559">
        <v>11</v>
      </c>
      <c r="D2118" s="2482" t="str">
        <f>CONCATENATE(EUconst_FBSubinst," ",C2118-10, ":")</f>
        <v>Fall-Back sub-installation 1:</v>
      </c>
      <c r="E2118" s="2482"/>
      <c r="F2118" s="2482"/>
      <c r="G2118" s="2482"/>
      <c r="H2118" s="2483"/>
      <c r="I2118" s="3473" t="str">
        <f>INDEX(EUconst_FallBackListNames,$C2118-10)</f>
        <v>Heat benchmark sub-installation, CL</v>
      </c>
      <c r="J2118" s="3474"/>
      <c r="K2118" s="3474"/>
      <c r="L2118" s="3475"/>
      <c r="M2118" s="3370" t="str">
        <f>IF(INDEX(CNTR_FallBackSubInstRelevant,C2118-10)="","",IF(INDEX(CNTR_FallBackSubInstRelevant,C2118-10),EUconst_Relevant,EUconst_NotRelevant))</f>
        <v/>
      </c>
      <c r="N2118" s="3371"/>
      <c r="O2118" s="485"/>
      <c r="P2118" s="1137"/>
      <c r="Q2118" s="2123">
        <f>C2118</f>
        <v>11</v>
      </c>
      <c r="R2118" s="2124" t="str">
        <f>I2118</f>
        <v>Heat benchmark sub-installation, CL</v>
      </c>
      <c r="S2118" s="1137"/>
      <c r="T2118" s="1137"/>
      <c r="U2118" s="1137"/>
      <c r="V2118" s="1137"/>
    </row>
    <row r="2119" spans="1:22" s="562" customFormat="1" ht="5.0999999999999996" customHeight="1">
      <c r="A2119" s="817"/>
      <c r="C2119" s="559"/>
      <c r="D2119" s="559"/>
      <c r="E2119" s="559"/>
      <c r="F2119" s="559"/>
      <c r="G2119" s="559"/>
      <c r="H2119" s="559"/>
      <c r="I2119" s="559"/>
      <c r="J2119" s="559"/>
      <c r="K2119" s="559"/>
      <c r="L2119" s="559"/>
      <c r="M2119" s="559"/>
      <c r="N2119" s="559"/>
      <c r="O2119" s="485"/>
      <c r="P2119" s="1137"/>
      <c r="Q2119" s="1137"/>
      <c r="R2119" s="1137"/>
      <c r="S2119" s="1137"/>
      <c r="T2119" s="1137"/>
      <c r="U2119" s="1137"/>
      <c r="V2119" s="1137"/>
    </row>
    <row r="2120" spans="1:22" s="562" customFormat="1" ht="12.75" customHeight="1">
      <c r="A2120" s="817"/>
      <c r="C2120" s="559"/>
      <c r="D2120" s="559"/>
      <c r="E2120" s="559"/>
      <c r="F2120" s="559"/>
      <c r="H2120" s="688" t="s">
        <v>458</v>
      </c>
      <c r="I2120" s="485"/>
      <c r="J2120" s="688" t="s">
        <v>1434</v>
      </c>
      <c r="K2120" s="688" t="s">
        <v>1684</v>
      </c>
      <c r="L2120" s="689" t="s">
        <v>156</v>
      </c>
      <c r="M2120" s="2469" t="s">
        <v>302</v>
      </c>
      <c r="N2120" s="2469"/>
      <c r="O2120" s="485"/>
      <c r="P2120" s="1137"/>
      <c r="Q2120" s="1137"/>
      <c r="R2120" s="1137"/>
      <c r="S2120" s="1137"/>
      <c r="T2120" s="1137"/>
      <c r="U2120" s="1137"/>
      <c r="V2120" s="1137"/>
    </row>
    <row r="2121" spans="1:22" s="562" customFormat="1" ht="12.75" customHeight="1">
      <c r="A2121" s="817"/>
      <c r="C2121" s="559"/>
      <c r="D2121" s="559"/>
      <c r="E2121" s="690" t="str">
        <f>I2118</f>
        <v>Heat benchmark sub-installation, CL</v>
      </c>
      <c r="F2121" s="691"/>
      <c r="G2121" s="691"/>
      <c r="H2121" s="692" t="b">
        <f>INDEX(EUconst_FallBackListCLstatus,MATCH(I2118,EUconst_FallBackListNames,0))</f>
        <v>1</v>
      </c>
      <c r="I2121" s="485"/>
      <c r="J2121" s="566" t="str">
        <f>IF($M2118&lt;&gt;EUconst_Relevant,EUconst_NA,INDEX(CNTR_SubInstStartDate,MATCH(I2118,CNTR_SubInstListNames,0)))</f>
        <v>N.A.</v>
      </c>
      <c r="K2121" s="566" t="str">
        <f>IF($M2118&lt;&gt;EUconst_Relevant,EUconst_NA,IF(INDEX(CNTR_SubInstCessationDate,MATCH(I2118,CNTR_SubInstListNames,0))=0,"",INDEX(CNTR_SubInstCessationDate,MATCH(I2118,CNTR_SubInstListNames,0))))</f>
        <v>N.A.</v>
      </c>
      <c r="L2121" s="693">
        <f>C2118-10</f>
        <v>1</v>
      </c>
      <c r="M2121" s="818" t="str">
        <f>IF(M2118&lt;&gt;EUconst_Relevant,EUconst_NA,INDEX(EUconst_FallBackListBMvaluesMatrix,L2121,3))</f>
        <v>N.A.</v>
      </c>
      <c r="N2121" s="685" t="str">
        <f>EUconst_EUA &amp; "/" &amp; F2124</f>
        <v>UKA/TJ</v>
      </c>
      <c r="O2121" s="485"/>
      <c r="P2121" s="1137"/>
      <c r="Q2121" s="1137"/>
      <c r="R2121" s="1137"/>
      <c r="S2121" s="1137"/>
      <c r="T2121" s="1137"/>
      <c r="U2121" s="1137"/>
      <c r="V2121" s="1137"/>
    </row>
    <row r="2122" spans="1:22" s="562" customFormat="1" ht="5.0999999999999996" customHeight="1" thickBot="1">
      <c r="A2122" s="817"/>
      <c r="C2122" s="485"/>
      <c r="D2122" s="485"/>
      <c r="E2122" s="559"/>
      <c r="J2122" s="485"/>
      <c r="K2122" s="485"/>
      <c r="L2122" s="485"/>
      <c r="M2122" s="485"/>
      <c r="N2122" s="485"/>
      <c r="O2122" s="485"/>
      <c r="P2122" s="1137"/>
      <c r="Q2122" s="1137"/>
      <c r="R2122" s="1137"/>
      <c r="S2122" s="1137"/>
      <c r="T2122" s="1117"/>
      <c r="U2122" s="1137"/>
      <c r="V2122" s="1137"/>
    </row>
    <row r="2123" spans="1:22" s="562" customFormat="1" ht="12.75" customHeight="1">
      <c r="A2123" s="817"/>
      <c r="C2123" s="485"/>
      <c r="D2123" s="485"/>
      <c r="E2123" s="496"/>
      <c r="F2123" s="482" t="str">
        <f>EUconst_Unit</f>
        <v>Unit</v>
      </c>
      <c r="G2123" s="819" t="s">
        <v>1646</v>
      </c>
      <c r="H2123" s="696">
        <f t="shared" ref="H2123:N2123" si="159">H$2737</f>
        <v>2024</v>
      </c>
      <c r="I2123" s="697">
        <f t="shared" si="159"/>
        <v>2025</v>
      </c>
      <c r="J2123" s="2125">
        <f t="shared" si="159"/>
        <v>2026</v>
      </c>
      <c r="K2123" s="1489">
        <f t="shared" si="159"/>
        <v>2027</v>
      </c>
      <c r="L2123" s="1490">
        <f t="shared" si="159"/>
        <v>2028</v>
      </c>
      <c r="M2123" s="1490">
        <f t="shared" si="159"/>
        <v>2029</v>
      </c>
      <c r="N2123" s="1490">
        <f t="shared" si="159"/>
        <v>2030</v>
      </c>
      <c r="O2123" s="485"/>
      <c r="P2123" s="1137"/>
      <c r="Q2123" s="1137" t="s">
        <v>1803</v>
      </c>
      <c r="R2123" s="2126">
        <f>J$2737</f>
        <v>2026</v>
      </c>
      <c r="S2123" s="2127">
        <f>K$2737</f>
        <v>2027</v>
      </c>
      <c r="T2123" s="2127">
        <f>L$2737</f>
        <v>2028</v>
      </c>
      <c r="U2123" s="2127">
        <f>M$2737</f>
        <v>2029</v>
      </c>
      <c r="V2123" s="2128">
        <f>N$2737</f>
        <v>2030</v>
      </c>
    </row>
    <row r="2124" spans="1:22" s="562" customFormat="1" ht="12.75" customHeight="1" thickBot="1">
      <c r="A2124" s="817"/>
      <c r="C2124" s="485"/>
      <c r="D2124" s="485"/>
      <c r="E2124" s="698" t="s">
        <v>1665</v>
      </c>
      <c r="F2124" s="699" t="str">
        <f>INDEX(EUconst_FallBackListUnits,L2121)</f>
        <v>TJ</v>
      </c>
      <c r="G2124" s="820" t="str">
        <f>I2155</f>
        <v/>
      </c>
      <c r="H2124" s="821" t="str">
        <f>IF($M2118&lt;&gt;EUconst_Relevant,"",IF(H2123&gt;=CNTR_ReportingYear,"",SUMIF('G_Fall-back'!$Q:$Q,$P2124,'G_Fall-back'!H:H)))</f>
        <v/>
      </c>
      <c r="I2124" s="822" t="str">
        <f>IF($M2118&lt;&gt;EUconst_Relevant,"",IF(I2123&gt;=CNTR_ReportingYear,"",SUMIF('G_Fall-back'!$Q:$Q,$P2124,'G_Fall-back'!I:I)))</f>
        <v/>
      </c>
      <c r="J2124" s="2176" t="str">
        <f>IF($M2118&lt;&gt;EUconst_Relevant,"",IF(J2123&gt;=CNTR_ReportingYear,"",SUMIF('G_Fall-back'!$Q:$Q,$P2124,'G_Fall-back'!J:J)))</f>
        <v/>
      </c>
      <c r="K2124" s="2177" t="str">
        <f>IF($M2118&lt;&gt;EUconst_Relevant,"",IF(K2123&gt;=CNTR_ReportingYear,"",SUMIF('G_Fall-back'!$Q:$Q,$P2124,'G_Fall-back'!K:K)))</f>
        <v/>
      </c>
      <c r="L2124" s="2178" t="str">
        <f>IF($M2118&lt;&gt;EUconst_Relevant,"",IF(L2123&gt;=CNTR_ReportingYear,"",SUMIF('G_Fall-back'!$Q:$Q,$P2124,'G_Fall-back'!L:L)))</f>
        <v/>
      </c>
      <c r="M2124" s="2178" t="str">
        <f>IF($M2118&lt;&gt;EUconst_Relevant,"",IF(M2123&gt;=CNTR_ReportingYear,"",SUMIF('G_Fall-back'!$Q:$Q,$P2124,'G_Fall-back'!M:M)))</f>
        <v/>
      </c>
      <c r="N2124" s="2178" t="str">
        <f>IF($M2118&lt;&gt;EUconst_Relevant,"",IF(N2123&gt;=CNTR_ReportingYear,"",SUMIF('G_Fall-back'!$Q:$Q,$P2124,'G_Fall-back'!N:N)))</f>
        <v/>
      </c>
      <c r="O2124" s="485"/>
      <c r="P2124" s="1158" t="str">
        <f>EUconst_CNTR_HAL&amp;I2118</f>
        <v>HAL_Heat benchmark sub-installation, CL</v>
      </c>
      <c r="Q2124" s="1137"/>
      <c r="R2124" s="1961" t="b">
        <f>AND($M2118=EUconst_Relevant,R2123&lt;=CNTR_ReportingYear,IF($J2121&lt;&gt;EUconst_NA,R2123&gt;=YEAR($J2121),TRUE))</f>
        <v>0</v>
      </c>
      <c r="S2124" s="1675" t="b">
        <f>AND($M2118=EUconst_Relevant,S2123&lt;=CNTR_ReportingYear,IF($J2121&lt;&gt;EUconst_NA,S2123&gt;=YEAR($J2121),TRUE))</f>
        <v>0</v>
      </c>
      <c r="T2124" s="1675" t="b">
        <f>AND($M2118=EUconst_Relevant,T2123&lt;=CNTR_ReportingYear,IF($J2121&lt;&gt;EUconst_NA,T2123&gt;=YEAR($J2121),TRUE))</f>
        <v>0</v>
      </c>
      <c r="U2124" s="1675" t="b">
        <f>AND($M2118=EUconst_Relevant,U2123&lt;=CNTR_ReportingYear,IF($J2121&lt;&gt;EUconst_NA,U2123&gt;=YEAR($J2121),TRUE))</f>
        <v>0</v>
      </c>
      <c r="V2124" s="1676" t="b">
        <f>AND($M2118=EUconst_Relevant,V2123&lt;=CNTR_ReportingYear,IF($J2121&lt;&gt;EUconst_NA,V2123&gt;=YEAR($J2121),TRUE))</f>
        <v>0</v>
      </c>
    </row>
    <row r="2125" spans="1:22" s="562" customFormat="1">
      <c r="A2125" s="817"/>
      <c r="C2125" s="485"/>
      <c r="D2125" s="485"/>
      <c r="E2125" s="698" t="s">
        <v>1782</v>
      </c>
      <c r="F2125" s="699" t="str">
        <f>IF($M2118&lt;&gt;EUconst_Relevant,"",INDEX('G_Fall-back'!H:H,MATCH($P2147,'G_Fall-back'!$Q:$Q,0)-1))</f>
        <v/>
      </c>
      <c r="G2125" s="823" t="str">
        <f>IF($M2118&lt;&gt;EUconst_Relevant,"",INDEX('G_Fall-back'!I:I,MATCH($P2147,'G_Fall-back'!$Q:$Q,0)-1))</f>
        <v/>
      </c>
      <c r="H2125" s="824" t="str">
        <f>IF($M2118&lt;&gt;EUconst_Relevant,"",INDEX('G_Fall-back'!H:H,MATCH($P2125,'G_Fall-back'!$Q:$Q,0)))</f>
        <v/>
      </c>
      <c r="I2125" s="825" t="str">
        <f>IF($M2118&lt;&gt;EUconst_Relevant,"",INDEX('G_Fall-back'!I:I,MATCH($P2125,'G_Fall-back'!$Q:$Q,0)))</f>
        <v/>
      </c>
      <c r="J2125" s="2179" t="str">
        <f>IF($M2118&lt;&gt;EUconst_Relevant,"",INDEX('G_Fall-back'!J:J,MATCH($P2125,'G_Fall-back'!$Q:$Q,0)))</f>
        <v/>
      </c>
      <c r="K2125" s="2141" t="str">
        <f>IF($M2118&lt;&gt;EUconst_Relevant,"",INDEX('G_Fall-back'!K:K,MATCH($P2125,'G_Fall-back'!$Q:$Q,0)))</f>
        <v/>
      </c>
      <c r="L2125" s="2142" t="str">
        <f>IF($M2118&lt;&gt;EUconst_Relevant,"",INDEX('G_Fall-back'!L:L,MATCH($P2125,'G_Fall-back'!$Q:$Q,0)))</f>
        <v/>
      </c>
      <c r="M2125" s="2142" t="str">
        <f>IF($M2118&lt;&gt;EUconst_Relevant,"",INDEX('G_Fall-back'!M:M,MATCH($P2125,'G_Fall-back'!$Q:$Q,0)))</f>
        <v/>
      </c>
      <c r="N2125" s="2142" t="str">
        <f>IF($M2118&lt;&gt;EUconst_Relevant,"",INDEX('G_Fall-back'!N:N,MATCH($P2125,'G_Fall-back'!$Q:$Q,0)))</f>
        <v/>
      </c>
      <c r="O2125" s="485"/>
      <c r="P2125" s="1158" t="str">
        <f>EUconst_CNTR_EnEff&amp;I2118</f>
        <v>EnEff_Heat benchmark sub-installation, CL</v>
      </c>
      <c r="Q2125" s="1137"/>
      <c r="R2125" s="1137"/>
      <c r="S2125" s="1137"/>
      <c r="T2125" s="1117"/>
      <c r="U2125" s="1137"/>
      <c r="V2125" s="1137"/>
    </row>
    <row r="2126" spans="1:22" s="562" customFormat="1" ht="5.0999999999999996" customHeight="1" thickBot="1">
      <c r="A2126" s="817"/>
      <c r="C2126" s="485"/>
      <c r="D2126" s="485"/>
      <c r="F2126" s="485"/>
      <c r="G2126" s="485"/>
      <c r="H2126" s="485"/>
      <c r="I2126" s="743"/>
      <c r="J2126" s="485"/>
      <c r="K2126" s="1790"/>
      <c r="L2126" s="1791"/>
      <c r="M2126" s="1791"/>
      <c r="N2126" s="1791"/>
      <c r="O2126" s="485"/>
      <c r="P2126" s="1137"/>
      <c r="Q2126" s="1137"/>
      <c r="R2126" s="1137"/>
      <c r="S2126" s="1137"/>
      <c r="T2126" s="1117"/>
      <c r="U2126" s="1137"/>
      <c r="V2126" s="1137"/>
    </row>
    <row r="2127" spans="1:22" s="562" customFormat="1" ht="5.0999999999999996" customHeight="1">
      <c r="A2127" s="817"/>
      <c r="C2127" s="559"/>
      <c r="D2127" s="703"/>
      <c r="E2127" s="704"/>
      <c r="F2127" s="704"/>
      <c r="G2127" s="704"/>
      <c r="H2127" s="704"/>
      <c r="I2127" s="704"/>
      <c r="J2127" s="704"/>
      <c r="K2127" s="2130"/>
      <c r="L2127" s="2131"/>
      <c r="M2127" s="2131"/>
      <c r="N2127" s="2131"/>
      <c r="O2127" s="485"/>
      <c r="P2127" s="1137"/>
      <c r="Q2127" s="1137"/>
      <c r="R2127" s="1137"/>
      <c r="S2127" s="1137"/>
      <c r="T2127" s="1137"/>
      <c r="U2127" s="1137"/>
      <c r="V2127" s="1137"/>
    </row>
    <row r="2128" spans="1:22" s="562" customFormat="1" ht="12.75" customHeight="1">
      <c r="A2128" s="817"/>
      <c r="C2128" s="559"/>
      <c r="D2128" s="706"/>
      <c r="E2128" s="707" t="s">
        <v>1787</v>
      </c>
      <c r="F2128" s="637"/>
      <c r="G2128" s="637"/>
      <c r="H2128" s="663" t="str">
        <f>EUconst_Unit</f>
        <v>Unit</v>
      </c>
      <c r="I2128" s="708"/>
      <c r="J2128" s="2132">
        <f>J$2737</f>
        <v>2026</v>
      </c>
      <c r="K2128" s="1489">
        <f>K$2737</f>
        <v>2027</v>
      </c>
      <c r="L2128" s="1490">
        <f>L$2737</f>
        <v>2028</v>
      </c>
      <c r="M2128" s="1490">
        <f>M$2737</f>
        <v>2029</v>
      </c>
      <c r="N2128" s="1490">
        <f>N$2737</f>
        <v>2030</v>
      </c>
      <c r="O2128" s="485"/>
      <c r="P2128" s="1137"/>
      <c r="Q2128" s="1137"/>
      <c r="R2128" s="1137"/>
      <c r="S2128" s="1137"/>
      <c r="T2128" s="1137"/>
      <c r="U2128" s="1137"/>
      <c r="V2128" s="1137"/>
    </row>
    <row r="2129" spans="1:22" s="562" customFormat="1" ht="12.75" customHeight="1">
      <c r="A2129" s="817"/>
      <c r="B2129" s="485"/>
      <c r="C2129" s="559"/>
      <c r="D2129" s="706"/>
      <c r="E2129" s="711" t="s">
        <v>1783</v>
      </c>
      <c r="F2129" s="712"/>
      <c r="G2129" s="712"/>
      <c r="H2129" s="713" t="s">
        <v>1021</v>
      </c>
      <c r="I2129" s="712"/>
      <c r="J2129" s="2133" t="str">
        <f>IF(R2124,INDEX('G_Fall-back'!V:V,MATCH($P2129,'G_Fall-back'!$Q:$Q,0))&gt;=3,"")</f>
        <v/>
      </c>
      <c r="K2129" s="2134" t="str">
        <f>IF(S2124,INDEX('G_Fall-back'!W:W,MATCH($P2129,'G_Fall-back'!$Q:$Q,0))&gt;=3,"")</f>
        <v/>
      </c>
      <c r="L2129" s="2135" t="str">
        <f>IF(T2124,INDEX('G_Fall-back'!X:X,MATCH($P2129,'G_Fall-back'!$Q:$Q,0))&gt;=3,"")</f>
        <v/>
      </c>
      <c r="M2129" s="2135" t="str">
        <f>IF(U2124,INDEX('G_Fall-back'!Y:Y,MATCH($P2129,'G_Fall-back'!$Q:$Q,0))&gt;=3,"")</f>
        <v/>
      </c>
      <c r="N2129" s="2135" t="str">
        <f>IF(V2124,INDEX('G_Fall-back'!Z:Z,MATCH($P2129,'G_Fall-back'!$Q:$Q,0))&gt;=3,"")</f>
        <v/>
      </c>
      <c r="O2129" s="485"/>
      <c r="P2129" s="1158" t="str">
        <f>EUconst_CNTR_HALinitial&amp;I2118</f>
        <v>HALini_Heat benchmark sub-installation, CL</v>
      </c>
      <c r="Q2129" s="1137"/>
      <c r="R2129" s="1137"/>
      <c r="S2129" s="1137"/>
      <c r="T2129" s="1137"/>
      <c r="U2129" s="1137"/>
      <c r="V2129" s="1137"/>
    </row>
    <row r="2130" spans="1:22" s="562" customFormat="1" ht="12.75" customHeight="1">
      <c r="A2130" s="817"/>
      <c r="B2130" s="485"/>
      <c r="C2130" s="559"/>
      <c r="D2130" s="706"/>
      <c r="E2130" s="714" t="s">
        <v>1784</v>
      </c>
      <c r="F2130" s="715"/>
      <c r="G2130" s="715"/>
      <c r="H2130" s="716" t="s">
        <v>1021</v>
      </c>
      <c r="I2130" s="715"/>
      <c r="J2130" s="2136" t="str">
        <f>IF(R2124,IF($K2121="",2050,YEAR($K2121))&lt;&gt;(J2128-1),"")</f>
        <v/>
      </c>
      <c r="K2130" s="2134" t="str">
        <f>IF(S2124,IF($K2121="",2050,YEAR($K2121))&lt;&gt;(K2128-1),"")</f>
        <v/>
      </c>
      <c r="L2130" s="2135" t="str">
        <f>IF(T2124,IF($K2121="",2050,YEAR($K2121))&lt;&gt;(L2128-1),"")</f>
        <v/>
      </c>
      <c r="M2130" s="2135" t="str">
        <f>IF(U2124,IF($K2121="",2050,YEAR($K2121))&lt;&gt;(M2128-1),"")</f>
        <v/>
      </c>
      <c r="N2130" s="2135" t="str">
        <f>IF(V2124,IF($K2121="",2050,YEAR($K2121))&lt;&gt;(N2128-1),"")</f>
        <v/>
      </c>
      <c r="O2130" s="485"/>
      <c r="P2130" s="1137"/>
      <c r="Q2130" s="1137"/>
      <c r="R2130" s="1137"/>
      <c r="S2130" s="1137"/>
      <c r="T2130" s="1137"/>
      <c r="U2130" s="1137"/>
      <c r="V2130" s="1137"/>
    </row>
    <row r="2131" spans="1:22" s="562" customFormat="1" ht="5.0999999999999996" customHeight="1">
      <c r="A2131" s="817"/>
      <c r="B2131" s="485"/>
      <c r="C2131" s="559"/>
      <c r="D2131" s="706"/>
      <c r="E2131" s="559"/>
      <c r="F2131" s="559"/>
      <c r="G2131" s="559"/>
      <c r="H2131" s="559"/>
      <c r="I2131" s="559"/>
      <c r="J2131" s="559"/>
      <c r="K2131" s="2130"/>
      <c r="L2131" s="2131"/>
      <c r="M2131" s="2131"/>
      <c r="N2131" s="2131"/>
      <c r="O2131" s="485"/>
      <c r="P2131" s="1137"/>
      <c r="Q2131" s="1137"/>
      <c r="R2131" s="1137"/>
      <c r="S2131" s="1137"/>
      <c r="T2131" s="1137"/>
      <c r="U2131" s="1137"/>
      <c r="V2131" s="1137"/>
    </row>
    <row r="2132" spans="1:22" s="562" customFormat="1" ht="12.75" customHeight="1">
      <c r="A2132" s="817"/>
      <c r="B2132" s="485"/>
      <c r="C2132" s="559"/>
      <c r="D2132" s="706"/>
      <c r="E2132" s="496" t="s">
        <v>1762</v>
      </c>
      <c r="F2132" s="485"/>
      <c r="G2132" s="485"/>
      <c r="H2132" s="663" t="str">
        <f>EUconst_Unit</f>
        <v>Unit</v>
      </c>
      <c r="I2132" s="708"/>
      <c r="J2132" s="2125">
        <f>J$2737</f>
        <v>2026</v>
      </c>
      <c r="K2132" s="1489">
        <f>K$2737</f>
        <v>2027</v>
      </c>
      <c r="L2132" s="1490">
        <f>L$2737</f>
        <v>2028</v>
      </c>
      <c r="M2132" s="1490">
        <f>M$2737</f>
        <v>2029</v>
      </c>
      <c r="N2132" s="1490">
        <f>N$2737</f>
        <v>2030</v>
      </c>
      <c r="O2132" s="485"/>
      <c r="P2132" s="1137"/>
      <c r="Q2132" s="1137"/>
      <c r="R2132" s="1137"/>
      <c r="S2132" s="1137"/>
      <c r="T2132" s="1137"/>
      <c r="U2132" s="1137"/>
      <c r="V2132" s="1137"/>
    </row>
    <row r="2133" spans="1:22" s="562" customFormat="1" ht="12.75" hidden="1" customHeight="1">
      <c r="A2133" s="817" t="s">
        <v>2289</v>
      </c>
      <c r="B2133" s="485"/>
      <c r="C2133" s="559"/>
      <c r="D2133" s="706"/>
      <c r="E2133" s="698" t="s">
        <v>1714</v>
      </c>
      <c r="F2133" s="698"/>
      <c r="G2133" s="698"/>
      <c r="H2133" s="639" t="str">
        <f>F2124</f>
        <v>TJ</v>
      </c>
      <c r="I2133" s="698"/>
      <c r="J2133" s="2180" t="str">
        <f>I2155</f>
        <v/>
      </c>
      <c r="K2133" s="2177" t="str">
        <f>J2155</f>
        <v/>
      </c>
      <c r="L2133" s="2178" t="str">
        <f>K2155</f>
        <v/>
      </c>
      <c r="M2133" s="2178" t="str">
        <f>L2155</f>
        <v/>
      </c>
      <c r="N2133" s="2178" t="str">
        <f>M2155</f>
        <v/>
      </c>
      <c r="O2133" s="485"/>
      <c r="P2133" s="1137"/>
      <c r="Q2133" s="1137"/>
      <c r="R2133" s="1137"/>
      <c r="S2133" s="1137"/>
      <c r="T2133" s="1137"/>
      <c r="U2133" s="1137"/>
      <c r="V2133" s="1137"/>
    </row>
    <row r="2134" spans="1:22" s="562" customFormat="1" ht="12.75" customHeight="1">
      <c r="A2134" s="817"/>
      <c r="B2134" s="485"/>
      <c r="C2134" s="559"/>
      <c r="D2134" s="706"/>
      <c r="E2134" s="698" t="s">
        <v>1671</v>
      </c>
      <c r="F2134" s="698"/>
      <c r="G2134" s="698"/>
      <c r="H2134" s="730" t="str">
        <f>EUconst_EUA</f>
        <v>UKA</v>
      </c>
      <c r="I2134" s="731"/>
      <c r="J2134" s="2129" t="str">
        <f>IF($M2118&lt;&gt;EUconst_Relevant,"",MAX(0,ROUND((SUM($M2121)*SUM(J2133))*IF($H2121=TRUE,1,J$2517),0)))</f>
        <v/>
      </c>
      <c r="K2134" s="2072" t="str">
        <f>IF($M2118&lt;&gt;EUconst_Relevant,"",MAX(0,ROUND((SUM($M2121)*SUM(K2133))*IF($H2121=TRUE,1,K$2517),0)))</f>
        <v/>
      </c>
      <c r="L2134" s="2073" t="str">
        <f>IF($M2118&lt;&gt;EUconst_Relevant,"",MAX(0,ROUND((SUM($M2121)*SUM(L2133))*IF($H2121=TRUE,1,L$2517),0)))</f>
        <v/>
      </c>
      <c r="M2134" s="2073" t="str">
        <f>IF($M2118&lt;&gt;EUconst_Relevant,"",MAX(0,ROUND((SUM($M2121)*SUM(M2133))*IF($H2121=TRUE,1,M$2517),0)))</f>
        <v/>
      </c>
      <c r="N2134" s="2073" t="str">
        <f>IF($M2118&lt;&gt;EUconst_Relevant,"",MAX(0,ROUND((SUM($M2121)*SUM(N2133))*IF($H2121=TRUE,1,N$2517),0)))</f>
        <v/>
      </c>
      <c r="O2134" s="485"/>
      <c r="P2134" s="1137"/>
      <c r="Q2134" s="1137"/>
      <c r="R2134" s="1137"/>
      <c r="S2134" s="1137"/>
      <c r="T2134" s="1137"/>
      <c r="U2134" s="1137"/>
      <c r="V2134" s="1137"/>
    </row>
    <row r="2135" spans="1:22" s="562" customFormat="1" ht="5.0999999999999996" customHeight="1">
      <c r="A2135" s="817"/>
      <c r="B2135" s="485"/>
      <c r="C2135" s="559"/>
      <c r="D2135" s="706"/>
      <c r="E2135" s="559"/>
      <c r="F2135" s="559"/>
      <c r="G2135" s="559"/>
      <c r="H2135" s="559"/>
      <c r="I2135" s="559"/>
      <c r="J2135" s="559"/>
      <c r="K2135" s="2130"/>
      <c r="L2135" s="2131"/>
      <c r="M2135" s="2131"/>
      <c r="N2135" s="2131"/>
      <c r="O2135" s="485"/>
      <c r="P2135" s="1137"/>
      <c r="Q2135" s="1137"/>
      <c r="R2135" s="1137"/>
      <c r="S2135" s="1137"/>
      <c r="T2135" s="1137"/>
      <c r="U2135" s="1137"/>
      <c r="V2135" s="1137"/>
    </row>
    <row r="2136" spans="1:22" s="562" customFormat="1" ht="12.75" customHeight="1">
      <c r="A2136" s="817"/>
      <c r="B2136" s="485"/>
      <c r="C2136" s="559"/>
      <c r="D2136" s="706"/>
      <c r="E2136" s="707" t="s">
        <v>1752</v>
      </c>
      <c r="F2136" s="637"/>
      <c r="G2136" s="637"/>
      <c r="H2136" s="663" t="str">
        <f>EUconst_Unit</f>
        <v>Unit</v>
      </c>
      <c r="I2136" s="708"/>
      <c r="J2136" s="2132">
        <f>J$2737</f>
        <v>2026</v>
      </c>
      <c r="K2136" s="1489">
        <f>K$2737</f>
        <v>2027</v>
      </c>
      <c r="L2136" s="1490">
        <f>L$2737</f>
        <v>2028</v>
      </c>
      <c r="M2136" s="1490">
        <f>M$2737</f>
        <v>2029</v>
      </c>
      <c r="N2136" s="1490">
        <f>N$2737</f>
        <v>2030</v>
      </c>
      <c r="O2136" s="485"/>
      <c r="P2136" s="1137"/>
      <c r="Q2136" s="1137"/>
      <c r="R2136" s="1137"/>
      <c r="S2136" s="1137"/>
      <c r="T2136" s="1137"/>
      <c r="U2136" s="1137"/>
      <c r="V2136" s="1137"/>
    </row>
    <row r="2137" spans="1:22" s="562" customFormat="1" ht="12.75" customHeight="1">
      <c r="A2137" s="817"/>
      <c r="B2137" s="485"/>
      <c r="C2137" s="559"/>
      <c r="D2137" s="706"/>
      <c r="E2137" s="720" t="s">
        <v>1691</v>
      </c>
      <c r="F2137" s="720"/>
      <c r="G2137" s="720"/>
      <c r="H2137" s="732" t="str">
        <f>H2133</f>
        <v>TJ</v>
      </c>
      <c r="I2137" s="733"/>
      <c r="J2137" s="2181" t="str">
        <f>INDEX('G_Fall-back'!J:J,MATCH($P2137,'G_Fall-back'!$Q:$Q,0))</f>
        <v/>
      </c>
      <c r="K2137" s="2177" t="str">
        <f>INDEX('G_Fall-back'!K:K,MATCH($P2137,'G_Fall-back'!$Q:$Q,0))</f>
        <v/>
      </c>
      <c r="L2137" s="2178" t="str">
        <f>INDEX('G_Fall-back'!L:L,MATCH($P2137,'G_Fall-back'!$Q:$Q,0))</f>
        <v/>
      </c>
      <c r="M2137" s="2178" t="str">
        <f>INDEX('G_Fall-back'!M:M,MATCH($P2137,'G_Fall-back'!$Q:$Q,0))</f>
        <v/>
      </c>
      <c r="N2137" s="2178" t="str">
        <f>INDEX('G_Fall-back'!N:N,MATCH($P2137,'G_Fall-back'!$Q:$Q,0))</f>
        <v/>
      </c>
      <c r="O2137" s="485"/>
      <c r="P2137" s="1158" t="str">
        <f>EUconst_CNTR_HALinitial&amp;I2118</f>
        <v>HALini_Heat benchmark sub-installation, CL</v>
      </c>
      <c r="Q2137" s="1137"/>
      <c r="R2137" s="1137"/>
      <c r="S2137" s="1137"/>
      <c r="T2137" s="1137"/>
      <c r="U2137" s="1137"/>
      <c r="V2137" s="1137"/>
    </row>
    <row r="2138" spans="1:22" s="562" customFormat="1" ht="12.75" customHeight="1">
      <c r="A2138" s="817"/>
      <c r="B2138" s="485"/>
      <c r="C2138" s="559"/>
      <c r="D2138" s="706"/>
      <c r="E2138" s="723" t="s">
        <v>1648</v>
      </c>
      <c r="F2138" s="723"/>
      <c r="G2138" s="723"/>
      <c r="H2138" s="734" t="s">
        <v>1021</v>
      </c>
      <c r="I2138" s="735"/>
      <c r="J2138" s="23" t="str">
        <f>INDEX('G_Fall-back'!J:J,MATCH($P2138,'G_Fall-back'!$Q:$Q,0))</f>
        <v/>
      </c>
      <c r="K2138" s="46" t="str">
        <f>INDEX('G_Fall-back'!K:K,MATCH($P2138,'G_Fall-back'!$Q:$Q,0))</f>
        <v/>
      </c>
      <c r="L2138" s="27" t="str">
        <f>INDEX('G_Fall-back'!L:L,MATCH($P2138,'G_Fall-back'!$Q:$Q,0))</f>
        <v/>
      </c>
      <c r="M2138" s="27" t="str">
        <f>INDEX('G_Fall-back'!M:M,MATCH($P2138,'G_Fall-back'!$Q:$Q,0))</f>
        <v/>
      </c>
      <c r="N2138" s="27" t="str">
        <f>INDEX('G_Fall-back'!N:N,MATCH($P2138,'G_Fall-back'!$Q:$Q,0))</f>
        <v/>
      </c>
      <c r="O2138" s="485"/>
      <c r="P2138" s="1158" t="str">
        <f>EUconst_CNTR_RelThreshold &amp; I2118</f>
        <v>RelThresh_Heat benchmark sub-installation, CL</v>
      </c>
      <c r="Q2138" s="1137"/>
      <c r="R2138" s="1137"/>
      <c r="S2138" s="1137"/>
      <c r="T2138" s="1137"/>
      <c r="U2138" s="1137"/>
      <c r="V2138" s="1137"/>
    </row>
    <row r="2139" spans="1:22" s="562" customFormat="1" ht="12.75" customHeight="1">
      <c r="A2139" s="817"/>
      <c r="B2139" s="485"/>
      <c r="C2139" s="559"/>
      <c r="D2139" s="706"/>
      <c r="E2139" s="736" t="s">
        <v>1785</v>
      </c>
      <c r="F2139" s="736"/>
      <c r="G2139" s="736"/>
      <c r="H2139" s="737" t="s">
        <v>1021</v>
      </c>
      <c r="I2139" s="738"/>
      <c r="J2139" s="2145" t="str">
        <f>INDEX('G_Fall-back'!V:V,MATCH($P2139,'G_Fall-back'!$Q:$Q,0)+1)</f>
        <v/>
      </c>
      <c r="K2139" s="2134" t="str">
        <f>INDEX('G_Fall-back'!W:W,MATCH($P2139,'G_Fall-back'!$Q:$Q,0)+1)</f>
        <v/>
      </c>
      <c r="L2139" s="2135" t="str">
        <f>INDEX('G_Fall-back'!X:X,MATCH($P2139,'G_Fall-back'!$Q:$Q,0)+1)</f>
        <v/>
      </c>
      <c r="M2139" s="2135" t="str">
        <f>INDEX('G_Fall-back'!Y:Y,MATCH($P2139,'G_Fall-back'!$Q:$Q,0)+1)</f>
        <v/>
      </c>
      <c r="N2139" s="2135" t="str">
        <f>INDEX('G_Fall-back'!Z:Z,MATCH($P2139,'G_Fall-back'!$Q:$Q,0)+1)</f>
        <v/>
      </c>
      <c r="O2139" s="485"/>
      <c r="P2139" s="1158" t="str">
        <f>P2138</f>
        <v>RelThresh_Heat benchmark sub-installation, CL</v>
      </c>
      <c r="Q2139" s="1137"/>
      <c r="R2139" s="1137"/>
      <c r="S2139" s="1137"/>
      <c r="T2139" s="1137"/>
      <c r="U2139" s="1137"/>
      <c r="V2139" s="1137"/>
    </row>
    <row r="2140" spans="1:22" s="562" customFormat="1" ht="12.75" customHeight="1">
      <c r="A2140" s="817"/>
      <c r="B2140" s="485"/>
      <c r="C2140" s="559"/>
      <c r="D2140" s="706"/>
      <c r="E2140" s="727" t="s">
        <v>1689</v>
      </c>
      <c r="F2140" s="727"/>
      <c r="G2140" s="727"/>
      <c r="H2140" s="739" t="str">
        <f>F2124</f>
        <v>TJ</v>
      </c>
      <c r="I2140" s="727"/>
      <c r="J2140" s="2182" t="str">
        <f>INDEX('G_Fall-back'!J:J,MATCH($P2140,'G_Fall-back'!$Q:$Q,0))</f>
        <v/>
      </c>
      <c r="K2140" s="2177" t="str">
        <f>INDEX('G_Fall-back'!K:K,MATCH($P2140,'G_Fall-back'!$Q:$Q,0))</f>
        <v/>
      </c>
      <c r="L2140" s="2178" t="str">
        <f>INDEX('G_Fall-back'!L:L,MATCH($P2140,'G_Fall-back'!$Q:$Q,0))</f>
        <v/>
      </c>
      <c r="M2140" s="2178" t="str">
        <f>INDEX('G_Fall-back'!M:M,MATCH($P2140,'G_Fall-back'!$Q:$Q,0))</f>
        <v/>
      </c>
      <c r="N2140" s="2178" t="str">
        <f>INDEX('G_Fall-back'!N:N,MATCH($P2140,'G_Fall-back'!$Q:$Q,0))</f>
        <v/>
      </c>
      <c r="O2140" s="485"/>
      <c r="P2140" s="1158" t="str">
        <f>EUconst_CNTR_HALprelim&amp;I2118</f>
        <v>HALprelim_Heat benchmark sub-installation, CL</v>
      </c>
      <c r="Q2140" s="1137"/>
      <c r="R2140" s="1137"/>
      <c r="S2140" s="1137"/>
      <c r="T2140" s="1137"/>
      <c r="U2140" s="1137"/>
      <c r="V2140" s="1137"/>
    </row>
    <row r="2141" spans="1:22" s="562" customFormat="1" ht="12.75" customHeight="1">
      <c r="A2141" s="817"/>
      <c r="B2141" s="485"/>
      <c r="C2141" s="559"/>
      <c r="D2141" s="706"/>
      <c r="E2141" s="698" t="s">
        <v>1671</v>
      </c>
      <c r="F2141" s="698"/>
      <c r="G2141" s="698"/>
      <c r="H2141" s="730" t="str">
        <f>EUconst_EUA</f>
        <v>UKA</v>
      </c>
      <c r="I2141" s="731"/>
      <c r="J2141" s="2129" t="str">
        <f>IF($M2118&lt;&gt;EUconst_Relevant,"",MAX(0,ROUND((SUM($M2121)*SUM(J2140))*IF($H2121=TRUE,1,J$2517),0)))</f>
        <v/>
      </c>
      <c r="K2141" s="2072" t="str">
        <f>IF($M2118&lt;&gt;EUconst_Relevant,"",MAX(0,ROUND((SUM($M2121)*SUM(K2140))*IF($H2121=TRUE,1,K$2517),0)))</f>
        <v/>
      </c>
      <c r="L2141" s="2073" t="str">
        <f>IF($M2118&lt;&gt;EUconst_Relevant,"",MAX(0,ROUND((SUM($M2121)*SUM(L2140))*IF($H2121=TRUE,1,L$2517),0)))</f>
        <v/>
      </c>
      <c r="M2141" s="2073" t="str">
        <f>IF($M2118&lt;&gt;EUconst_Relevant,"",MAX(0,ROUND((SUM($M2121)*SUM(M2140))*IF($H2121=TRUE,1,M$2517),0)))</f>
        <v/>
      </c>
      <c r="N2141" s="2073" t="str">
        <f>IF($M2118&lt;&gt;EUconst_Relevant,"",MAX(0,ROUND((SUM($M2121)*SUM(N2140))*IF($H2121=TRUE,1,N$2517),0)))</f>
        <v/>
      </c>
      <c r="O2141" s="485"/>
      <c r="P2141" s="1137"/>
      <c r="Q2141" s="1137"/>
      <c r="R2141" s="1137"/>
      <c r="S2141" s="1137"/>
      <c r="T2141" s="1137"/>
      <c r="U2141" s="1137"/>
      <c r="V2141" s="1137"/>
    </row>
    <row r="2142" spans="1:22" s="562" customFormat="1" ht="12.75" customHeight="1">
      <c r="A2142" s="817"/>
      <c r="B2142" s="485"/>
      <c r="C2142" s="559"/>
      <c r="D2142" s="706"/>
      <c r="E2142" s="698" t="s">
        <v>1670</v>
      </c>
      <c r="F2142" s="698"/>
      <c r="G2142" s="698"/>
      <c r="H2142" s="730" t="str">
        <f>EUconst_EUA</f>
        <v>UKA</v>
      </c>
      <c r="I2142" s="731"/>
      <c r="J2142" s="2129" t="str">
        <f>IF($M2118&lt;&gt;EUconst_Relevant,"",ABS(SUM(J2141)-SUM(J2134)))</f>
        <v/>
      </c>
      <c r="K2142" s="2072" t="str">
        <f>IF($M2118&lt;&gt;EUconst_Relevant,"",ABS(SUM(K2141)-SUM(K2134)))</f>
        <v/>
      </c>
      <c r="L2142" s="2073" t="str">
        <f>IF($M2118&lt;&gt;EUconst_Relevant,"",ABS(SUM(L2141)-SUM(L2134)))</f>
        <v/>
      </c>
      <c r="M2142" s="2073" t="str">
        <f>IF($M2118&lt;&gt;EUconst_Relevant,"",ABS(SUM(M2141)-SUM(M2134)))</f>
        <v/>
      </c>
      <c r="N2142" s="2073" t="str">
        <f>IF($M2118&lt;&gt;EUconst_Relevant,"",ABS(SUM(N2141)-SUM(N2134)))</f>
        <v/>
      </c>
      <c r="O2142" s="485"/>
      <c r="P2142" s="1137"/>
      <c r="Q2142" s="1137"/>
      <c r="R2142" s="1137"/>
      <c r="S2142" s="1137"/>
      <c r="T2142" s="1137"/>
      <c r="U2142" s="1137"/>
      <c r="V2142" s="1137"/>
    </row>
    <row r="2143" spans="1:22" s="562" customFormat="1" ht="12.75" customHeight="1">
      <c r="A2143" s="817"/>
      <c r="B2143" s="485"/>
      <c r="C2143" s="559"/>
      <c r="D2143" s="706"/>
      <c r="E2143" s="740" t="s">
        <v>2136</v>
      </c>
      <c r="F2143" s="740"/>
      <c r="G2143" s="740"/>
      <c r="H2143" s="741" t="s">
        <v>1021</v>
      </c>
      <c r="I2143" s="742"/>
      <c r="J2143" s="2147" t="str">
        <f>IF($M2118&lt;&gt;EUconst_Relevant,"",J2142&gt;=100)</f>
        <v/>
      </c>
      <c r="K2143" s="2134" t="str">
        <f>IF($M2118&lt;&gt;EUconst_Relevant,"",K2142&gt;=100)</f>
        <v/>
      </c>
      <c r="L2143" s="2135" t="str">
        <f>IF($M2118&lt;&gt;EUconst_Relevant,"",L2142&gt;=100)</f>
        <v/>
      </c>
      <c r="M2143" s="2135" t="str">
        <f>IF($M2118&lt;&gt;EUconst_Relevant,"",M2142&gt;=100)</f>
        <v/>
      </c>
      <c r="N2143" s="2135" t="str">
        <f>IF($M2118&lt;&gt;EUconst_Relevant,"",N2142&gt;=100)</f>
        <v/>
      </c>
      <c r="O2143" s="485"/>
      <c r="P2143" s="1158" t="str">
        <f>EUconst_CNTR_100EUA_ActivityLevel&amp;I2118</f>
        <v>EUA100AL_Heat benchmark sub-installation, CL</v>
      </c>
      <c r="Q2143" s="1137"/>
      <c r="R2143" s="1137"/>
      <c r="S2143" s="1137"/>
      <c r="T2143" s="1137"/>
      <c r="U2143" s="1137"/>
      <c r="V2143" s="1137"/>
    </row>
    <row r="2144" spans="1:22" s="562" customFormat="1" ht="5.0999999999999996" customHeight="1">
      <c r="A2144" s="817"/>
      <c r="B2144" s="485"/>
      <c r="C2144" s="559"/>
      <c r="D2144" s="706"/>
      <c r="E2144" s="485"/>
      <c r="F2144" s="485"/>
      <c r="G2144" s="485"/>
      <c r="H2144" s="485"/>
      <c r="I2144" s="743"/>
      <c r="J2144" s="485"/>
      <c r="K2144" s="1790"/>
      <c r="L2144" s="1791"/>
      <c r="M2144" s="1791"/>
      <c r="N2144" s="1791"/>
      <c r="O2144" s="485"/>
      <c r="P2144" s="1137"/>
      <c r="Q2144" s="1137"/>
      <c r="R2144" s="1137"/>
      <c r="S2144" s="1137"/>
      <c r="T2144" s="1137"/>
      <c r="U2144" s="1137"/>
      <c r="V2144" s="1137"/>
    </row>
    <row r="2145" spans="1:22" s="562" customFormat="1">
      <c r="A2145" s="817"/>
      <c r="C2145" s="485"/>
      <c r="D2145" s="539"/>
      <c r="E2145" s="707" t="s">
        <v>1791</v>
      </c>
      <c r="F2145" s="637"/>
      <c r="G2145" s="637"/>
      <c r="H2145" s="663"/>
      <c r="I2145" s="708"/>
      <c r="J2145" s="2125">
        <f>J$2737</f>
        <v>2026</v>
      </c>
      <c r="K2145" s="1489">
        <f>K$2737</f>
        <v>2027</v>
      </c>
      <c r="L2145" s="1490">
        <f>L$2737</f>
        <v>2028</v>
      </c>
      <c r="M2145" s="1490">
        <f>M$2737</f>
        <v>2029</v>
      </c>
      <c r="N2145" s="1490">
        <f>N$2737</f>
        <v>2030</v>
      </c>
      <c r="O2145" s="485"/>
      <c r="P2145" s="1137"/>
      <c r="Q2145" s="1137"/>
      <c r="R2145" s="1137"/>
      <c r="S2145" s="1137"/>
      <c r="T2145" s="1117"/>
      <c r="U2145" s="1137"/>
      <c r="V2145" s="1137"/>
    </row>
    <row r="2146" spans="1:22" s="562" customFormat="1">
      <c r="A2146" s="817"/>
      <c r="C2146" s="485"/>
      <c r="D2146" s="539"/>
      <c r="E2146" s="720" t="s">
        <v>1691</v>
      </c>
      <c r="F2146" s="720"/>
      <c r="G2146" s="720"/>
      <c r="H2146" s="720"/>
      <c r="I2146" s="827"/>
      <c r="J2146" s="24" t="str">
        <f>IF($M2118&lt;&gt;EUconst_Relevant,"",INDEX('G_Fall-back'!J:J,MATCH($P2146,'G_Fall-back'!$Q:$Q,0)))</f>
        <v/>
      </c>
      <c r="K2146" s="46" t="str">
        <f>IF($M2118&lt;&gt;EUconst_Relevant,"",INDEX('G_Fall-back'!K:K,MATCH($P2146,'G_Fall-back'!$Q:$Q,0)))</f>
        <v/>
      </c>
      <c r="L2146" s="27" t="str">
        <f>IF($M2118&lt;&gt;EUconst_Relevant,"",INDEX('G_Fall-back'!L:L,MATCH($P2146,'G_Fall-back'!$Q:$Q,0)))</f>
        <v/>
      </c>
      <c r="M2146" s="27" t="str">
        <f>IF($M2118&lt;&gt;EUconst_Relevant,"",INDEX('G_Fall-back'!M:M,MATCH($P2146,'G_Fall-back'!$Q:$Q,0)))</f>
        <v/>
      </c>
      <c r="N2146" s="27" t="str">
        <f>IF($M2118&lt;&gt;EUconst_Relevant,"",INDEX('G_Fall-back'!N:N,MATCH($P2146,'G_Fall-back'!$Q:$Q,0)))</f>
        <v/>
      </c>
      <c r="O2146" s="485"/>
      <c r="P2146" s="1158" t="str">
        <f>EUconst_CNTR_EnEffInitial&amp;I2118</f>
        <v>EnEffIni_Heat benchmark sub-installation, CL</v>
      </c>
      <c r="Q2146" s="1137"/>
      <c r="R2146" s="1137"/>
      <c r="S2146" s="1137"/>
      <c r="T2146" s="1117"/>
      <c r="U2146" s="1137"/>
      <c r="V2146" s="1137"/>
    </row>
    <row r="2147" spans="1:22" s="562" customFormat="1" ht="13.5" thickBot="1">
      <c r="A2147" s="817"/>
      <c r="C2147" s="485"/>
      <c r="D2147" s="539"/>
      <c r="E2147" s="727" t="s">
        <v>1648</v>
      </c>
      <c r="F2147" s="727"/>
      <c r="G2147" s="727"/>
      <c r="H2147" s="727"/>
      <c r="I2147" s="828"/>
      <c r="J2147" s="25" t="str">
        <f>IF($M2118&lt;&gt;EUconst_Relevant,"",INDEX('G_Fall-back'!J:J,MATCH($P2147,'G_Fall-back'!$Q:$Q,0)))</f>
        <v/>
      </c>
      <c r="K2147" s="46" t="str">
        <f>IF($M2118&lt;&gt;EUconst_Relevant,"",INDEX('G_Fall-back'!K:K,MATCH($P2147,'G_Fall-back'!$Q:$Q,0)))</f>
        <v/>
      </c>
      <c r="L2147" s="27" t="str">
        <f>IF($M2118&lt;&gt;EUconst_Relevant,"",INDEX('G_Fall-back'!L:L,MATCH($P2147,'G_Fall-back'!$Q:$Q,0)))</f>
        <v/>
      </c>
      <c r="M2147" s="27" t="str">
        <f>IF($M2118&lt;&gt;EUconst_Relevant,"",INDEX('G_Fall-back'!M:M,MATCH($P2147,'G_Fall-back'!$Q:$Q,0)))</f>
        <v/>
      </c>
      <c r="N2147" s="27" t="str">
        <f>IF($M2118&lt;&gt;EUconst_Relevant,"",INDEX('G_Fall-back'!N:N,MATCH($P2147,'G_Fall-back'!$Q:$Q,0)))</f>
        <v/>
      </c>
      <c r="O2147" s="485"/>
      <c r="P2147" s="2183" t="str">
        <f>EUconst_CNTR_EnEffPct&amp;I2118</f>
        <v>EnEffPct_Heat benchmark sub-installation, CL</v>
      </c>
      <c r="Q2147" s="1137"/>
      <c r="R2147" s="1137"/>
      <c r="S2147" s="1137"/>
      <c r="T2147" s="1117"/>
      <c r="U2147" s="1137"/>
      <c r="V2147" s="1137"/>
    </row>
    <row r="2148" spans="1:22" s="562" customFormat="1">
      <c r="A2148" s="817"/>
      <c r="C2148" s="485"/>
      <c r="D2148" s="539"/>
      <c r="E2148" s="829" t="s">
        <v>2230</v>
      </c>
      <c r="F2148" s="829"/>
      <c r="G2148" s="829"/>
      <c r="H2148" s="830" t="s">
        <v>1021</v>
      </c>
      <c r="I2148" s="831"/>
      <c r="J2148" s="2133" t="str">
        <f>IF($M2118&lt;&gt;EUconst_Relevant,"",INDEX('G_Fall-back'!J:J,MATCH($P2148,'G_Fall-back'!$Q:$Q,0)))</f>
        <v/>
      </c>
      <c r="K2148" s="2134" t="str">
        <f>IF($M2118&lt;&gt;EUconst_Relevant,"",INDEX('G_Fall-back'!K:K,MATCH($P2148,'G_Fall-back'!$Q:$Q,0)))</f>
        <v/>
      </c>
      <c r="L2148" s="2135" t="str">
        <f>IF($M2118&lt;&gt;EUconst_Relevant,"",INDEX('G_Fall-back'!L:L,MATCH($P2148,'G_Fall-back'!$Q:$Q,0)))</f>
        <v/>
      </c>
      <c r="M2148" s="2135" t="str">
        <f>IF($M2118&lt;&gt;EUconst_Relevant,"",INDEX('G_Fall-back'!M:M,MATCH($P2148,'G_Fall-back'!$Q:$Q,0)))</f>
        <v/>
      </c>
      <c r="N2148" s="2135" t="str">
        <f>IF($M2118&lt;&gt;EUconst_Relevant,"",INDEX('G_Fall-back'!N:N,MATCH($P2148,'G_Fall-back'!$Q:$Q,0)))</f>
        <v/>
      </c>
      <c r="O2148" s="485"/>
      <c r="P2148" s="1158" t="str">
        <f>EUconst_CNTR_CARejectionRelevant&amp;I2118</f>
        <v>CARejectRel_Heat benchmark sub-installation, CL</v>
      </c>
      <c r="Q2148" s="1137"/>
      <c r="R2148" s="2126">
        <f>J$2737</f>
        <v>2026</v>
      </c>
      <c r="S2148" s="2127">
        <f>K$2737</f>
        <v>2027</v>
      </c>
      <c r="T2148" s="2127">
        <f>L$2737</f>
        <v>2028</v>
      </c>
      <c r="U2148" s="2127">
        <f>M$2737</f>
        <v>2029</v>
      </c>
      <c r="V2148" s="2128">
        <f>N$2737</f>
        <v>2030</v>
      </c>
    </row>
    <row r="2149" spans="1:22" s="562" customFormat="1" ht="13.5" thickBot="1">
      <c r="A2149" s="817"/>
      <c r="C2149" s="485"/>
      <c r="D2149" s="539"/>
      <c r="E2149" s="714" t="s">
        <v>2231</v>
      </c>
      <c r="F2149" s="714"/>
      <c r="G2149" s="714"/>
      <c r="H2149" s="832" t="s">
        <v>1021</v>
      </c>
      <c r="I2149" s="716"/>
      <c r="J2149" s="2136" t="str">
        <f>IF($M2118&lt;&gt;EUconst_Relevant,"",IF(R2149=0,EUconst_ERR_CADecision,R2149))</f>
        <v/>
      </c>
      <c r="K2149" s="2134" t="str">
        <f>IF($M2118&lt;&gt;EUconst_Relevant,"",IF(S2149=0,EUconst_ERR_CADecision,S2149))</f>
        <v/>
      </c>
      <c r="L2149" s="2135" t="str">
        <f>IF($M2118&lt;&gt;EUconst_Relevant,"",IF(T2149=0,EUconst_ERR_CADecision,T2149))</f>
        <v/>
      </c>
      <c r="M2149" s="2135" t="str">
        <f>IF($M2118&lt;&gt;EUconst_Relevant,"",IF(U2149=0,EUconst_ERR_CADecision,U2149))</f>
        <v/>
      </c>
      <c r="N2149" s="2135" t="str">
        <f>IF($M2118&lt;&gt;EUconst_Relevant,"",IF(V2149=0,EUconst_ERR_CADecision,V2149))</f>
        <v/>
      </c>
      <c r="O2149" s="485"/>
      <c r="P2149" s="1158" t="str">
        <f>EUconst_CNTR_CARejection &amp; I2118</f>
        <v>CAReject_Heat benchmark sub-installation, CL</v>
      </c>
      <c r="Q2149" s="1137"/>
      <c r="R2149" s="1961" t="str">
        <f>IF(J2148=TRUE,INDEX('G_Fall-back'!J:J,MATCH($P2149,'G_Fall-back'!$Q:$Q,0)),EUconst_NA)</f>
        <v>N.A.</v>
      </c>
      <c r="S2149" s="1675" t="str">
        <f>IF(K2148=TRUE,INDEX('G_Fall-back'!K:K,MATCH($P2149,'G_Fall-back'!$Q:$Q,0)),EUconst_NA)</f>
        <v>N.A.</v>
      </c>
      <c r="T2149" s="1675" t="str">
        <f>IF(L2148=TRUE,INDEX('G_Fall-back'!L:L,MATCH($P2149,'G_Fall-back'!$Q:$Q,0)),EUconst_NA)</f>
        <v>N.A.</v>
      </c>
      <c r="U2149" s="1675" t="str">
        <f>IF(M2148=TRUE,INDEX('G_Fall-back'!M:M,MATCH($P2149,'G_Fall-back'!$Q:$Q,0)),EUconst_NA)</f>
        <v>N.A.</v>
      </c>
      <c r="V2149" s="1676" t="str">
        <f>IF(N2148=TRUE,INDEX('G_Fall-back'!N:N,MATCH($P2149,'G_Fall-back'!$Q:$Q,0)),EUconst_NA)</f>
        <v>N.A.</v>
      </c>
    </row>
    <row r="2150" spans="1:22" s="562" customFormat="1">
      <c r="A2150" s="817"/>
      <c r="C2150" s="485"/>
      <c r="D2150" s="539"/>
      <c r="E2150" s="698" t="s">
        <v>1794</v>
      </c>
      <c r="F2150" s="698"/>
      <c r="G2150" s="698"/>
      <c r="H2150" s="833" t="s">
        <v>1021</v>
      </c>
      <c r="I2150" s="2184"/>
      <c r="J2150" s="26" t="str">
        <f>INDEX('G_Fall-back'!J:J,MATCH($P2150,'G_Fall-back'!$Q:$Q,0))</f>
        <v/>
      </c>
      <c r="K2150" s="52" t="str">
        <f>INDEX('G_Fall-back'!K:K,MATCH($P2150,'G_Fall-back'!$Q:$Q,0))</f>
        <v/>
      </c>
      <c r="L2150" s="28" t="str">
        <f>INDEX('G_Fall-back'!L:L,MATCH($P2150,'G_Fall-back'!$Q:$Q,0))</f>
        <v/>
      </c>
      <c r="M2150" s="28" t="str">
        <f>INDEX('G_Fall-back'!M:M,MATCH($P2150,'G_Fall-back'!$Q:$Q,0))</f>
        <v/>
      </c>
      <c r="N2150" s="28" t="str">
        <f>INDEX('G_Fall-back'!N:N,MATCH($P2150,'G_Fall-back'!$Q:$Q,0))</f>
        <v/>
      </c>
      <c r="O2150" s="485"/>
      <c r="P2150" s="1158" t="str">
        <f>EUconst_CNTR_HALAdjPct&amp;I2118</f>
        <v>HALAdjPct_Heat benchmark sub-installation, CL</v>
      </c>
      <c r="Q2150" s="1137"/>
      <c r="R2150" s="1137"/>
      <c r="S2150" s="1137"/>
      <c r="T2150" s="1117"/>
      <c r="U2150" s="1137"/>
      <c r="V2150" s="1137"/>
    </row>
    <row r="2151" spans="1:22" s="562" customFormat="1" ht="5.0999999999999996" customHeight="1" thickBot="1">
      <c r="A2151" s="817"/>
      <c r="C2151" s="485"/>
      <c r="D2151" s="771"/>
      <c r="E2151" s="756"/>
      <c r="F2151" s="756"/>
      <c r="G2151" s="756"/>
      <c r="H2151" s="756"/>
      <c r="I2151" s="835"/>
      <c r="J2151" s="756"/>
      <c r="K2151" s="1790"/>
      <c r="L2151" s="1791"/>
      <c r="M2151" s="1791"/>
      <c r="N2151" s="1791"/>
      <c r="O2151" s="485"/>
      <c r="P2151" s="1137"/>
      <c r="Q2151" s="1137"/>
      <c r="R2151" s="1137"/>
      <c r="S2151" s="1137"/>
      <c r="T2151" s="1117"/>
      <c r="U2151" s="1137"/>
      <c r="V2151" s="1137"/>
    </row>
    <row r="2152" spans="1:22" s="562" customFormat="1" ht="5.0999999999999996" customHeight="1" thickBot="1">
      <c r="A2152" s="817"/>
      <c r="C2152" s="485"/>
      <c r="D2152" s="485"/>
      <c r="E2152" s="485"/>
      <c r="F2152" s="485"/>
      <c r="G2152" s="485"/>
      <c r="H2152" s="485"/>
      <c r="I2152" s="836"/>
      <c r="J2152" s="485"/>
      <c r="K2152" s="1790"/>
      <c r="L2152" s="1791"/>
      <c r="M2152" s="1791"/>
      <c r="N2152" s="1791"/>
      <c r="O2152" s="485"/>
      <c r="P2152" s="1137"/>
      <c r="Q2152" s="1137"/>
      <c r="R2152" s="1137"/>
      <c r="S2152" s="1137"/>
      <c r="T2152" s="1117"/>
      <c r="U2152" s="1137"/>
      <c r="V2152" s="1137"/>
    </row>
    <row r="2153" spans="1:22" s="562" customFormat="1" ht="5.0999999999999996" customHeight="1">
      <c r="A2153" s="817"/>
      <c r="C2153" s="485"/>
      <c r="D2153" s="759"/>
      <c r="E2153" s="760"/>
      <c r="F2153" s="760"/>
      <c r="G2153" s="760"/>
      <c r="H2153" s="760"/>
      <c r="I2153" s="761"/>
      <c r="J2153" s="760"/>
      <c r="K2153" s="1790"/>
      <c r="L2153" s="1791"/>
      <c r="M2153" s="1791"/>
      <c r="N2153" s="1791"/>
      <c r="O2153" s="485"/>
      <c r="P2153" s="1137"/>
      <c r="Q2153" s="1137"/>
      <c r="R2153" s="1137"/>
      <c r="S2153" s="1137"/>
      <c r="T2153" s="1117"/>
      <c r="U2153" s="1137"/>
      <c r="V2153" s="1137"/>
    </row>
    <row r="2154" spans="1:22" s="562" customFormat="1">
      <c r="A2154" s="817"/>
      <c r="C2154" s="485"/>
      <c r="D2154" s="539"/>
      <c r="E2154" s="496" t="s">
        <v>1786</v>
      </c>
      <c r="F2154" s="485"/>
      <c r="G2154" s="485"/>
      <c r="H2154" s="663" t="str">
        <f>EUconst_Unit</f>
        <v>Unit</v>
      </c>
      <c r="I2154" s="837" t="s">
        <v>1675</v>
      </c>
      <c r="J2154" s="2132">
        <f>J$2737</f>
        <v>2026</v>
      </c>
      <c r="K2154" s="1489">
        <f>K$2737</f>
        <v>2027</v>
      </c>
      <c r="L2154" s="1490">
        <f>L$2737</f>
        <v>2028</v>
      </c>
      <c r="M2154" s="1490">
        <f>M$2737</f>
        <v>2029</v>
      </c>
      <c r="N2154" s="1490">
        <f>N$2737</f>
        <v>2030</v>
      </c>
      <c r="O2154" s="485"/>
      <c r="P2154" s="1137"/>
      <c r="Q2154" s="1137"/>
      <c r="R2154" s="1137"/>
      <c r="S2154" s="2155" t="s">
        <v>1646</v>
      </c>
      <c r="T2154" s="1117"/>
      <c r="U2154" s="1137"/>
      <c r="V2154" s="1137"/>
    </row>
    <row r="2155" spans="1:22" s="562" customFormat="1">
      <c r="A2155" s="817"/>
      <c r="C2155" s="485"/>
      <c r="D2155" s="539"/>
      <c r="E2155" s="698" t="s">
        <v>1692</v>
      </c>
      <c r="F2155" s="698"/>
      <c r="G2155" s="698"/>
      <c r="H2155" s="639" t="str">
        <f>F2124</f>
        <v>TJ</v>
      </c>
      <c r="I2155" s="826" t="str">
        <f>IF($M2118&lt;&gt;EUconst_Relevant,"",IF(T2156&gt;=$H$2736,0,S2155))</f>
        <v/>
      </c>
      <c r="J2155" s="2176" t="str">
        <f>INDEX('G_Fall-back'!J:J,MATCH($P2155,'G_Fall-back'!$Q:$Q,0))</f>
        <v/>
      </c>
      <c r="K2155" s="2177" t="str">
        <f>INDEX('G_Fall-back'!K:K,MATCH($P2155,'G_Fall-back'!$Q:$Q,0))</f>
        <v/>
      </c>
      <c r="L2155" s="2178" t="str">
        <f>INDEX('G_Fall-back'!L:L,MATCH($P2155,'G_Fall-back'!$Q:$Q,0))</f>
        <v/>
      </c>
      <c r="M2155" s="2178" t="str">
        <f>INDEX('G_Fall-back'!M:M,MATCH($P2155,'G_Fall-back'!$Q:$Q,0))</f>
        <v/>
      </c>
      <c r="N2155" s="2178" t="str">
        <f>INDEX('G_Fall-back'!N:N,MATCH($P2155,'G_Fall-back'!$Q:$Q,0))</f>
        <v/>
      </c>
      <c r="O2155" s="485"/>
      <c r="P2155" s="1158" t="str">
        <f>EUconst_CNTR_HALfinal&amp;I2118</f>
        <v>HALfinal_Heat benchmark sub-installation, CL</v>
      </c>
      <c r="Q2155" s="1137"/>
      <c r="R2155" s="1137"/>
      <c r="S2155" s="2165" t="str">
        <f>IF($M2118&lt;&gt;EUconst_Relevant,"",SUMIF('G_Fall-back'!$Q:$Q,$P2155,'G_Fall-back'!I:I))</f>
        <v/>
      </c>
      <c r="T2155" s="1117"/>
      <c r="U2155" s="1137"/>
      <c r="V2155" s="1137"/>
    </row>
    <row r="2156" spans="1:22" s="562" customFormat="1">
      <c r="A2156" s="817"/>
      <c r="C2156" s="485"/>
      <c r="D2156" s="539"/>
      <c r="E2156" s="698" t="s">
        <v>222</v>
      </c>
      <c r="F2156" s="698"/>
      <c r="G2156" s="698"/>
      <c r="H2156" s="730" t="str">
        <f>EUconst_EUA</f>
        <v>UKA</v>
      </c>
      <c r="I2156" s="838" t="str">
        <f>IF($M2118&lt;&gt;EUconst_Relevant,"",MAX(0,ROUND((SUM($M2121)*SUM(I2155))*IF($H2121=TRUE,1,J$2517),0)))</f>
        <v/>
      </c>
      <c r="J2156" s="2129" t="str">
        <f>IF($M2118&lt;&gt;EUconst_Relevant,"",MAX(0,ROUND((SUM($M2121)*SUM(J2155))*IF($H2121=TRUE,1,J$2517),0)))</f>
        <v/>
      </c>
      <c r="K2156" s="2072" t="str">
        <f t="shared" ref="K2156:N2156" si="160">IF($M2118&lt;&gt;EUconst_Relevant,"",MAX(0,ROUND((SUM($M2121)*SUM(K2155))*IF($H2121=TRUE,1,K$2517),0)))</f>
        <v/>
      </c>
      <c r="L2156" s="2073" t="str">
        <f t="shared" si="160"/>
        <v/>
      </c>
      <c r="M2156" s="2073" t="str">
        <f t="shared" si="160"/>
        <v/>
      </c>
      <c r="N2156" s="2073" t="str">
        <f t="shared" si="160"/>
        <v/>
      </c>
      <c r="O2156" s="485"/>
      <c r="P2156" s="1158" t="str">
        <f>EUconst_AllocPrelim&amp;I2118</f>
        <v>AllocPrelim_Heat benchmark sub-installation, CL</v>
      </c>
      <c r="Q2156" s="1137"/>
      <c r="R2156" s="1137"/>
      <c r="S2156" s="1137"/>
      <c r="T2156" s="1117">
        <f>INDEX('G_Fall-back'!V:V,MATCH(L2121,'G_Fall-back'!C:C,0))</f>
        <v>2005</v>
      </c>
      <c r="U2156" s="1137" t="e">
        <f>INDEX(I2156:N2156,CNTR_ReportingYear-$I$2736)&lt;&gt;INDEX(I2156:N2156,CNTR_ReportingYear-$H$2736)</f>
        <v>#REF!</v>
      </c>
      <c r="V2156" s="1137"/>
    </row>
    <row r="2157" spans="1:22" s="562" customFormat="1" ht="5.0999999999999996" customHeight="1" thickBot="1">
      <c r="A2157" s="817"/>
      <c r="C2157" s="485"/>
      <c r="D2157" s="771"/>
      <c r="E2157" s="756"/>
      <c r="F2157" s="756"/>
      <c r="G2157" s="756"/>
      <c r="H2157" s="756"/>
      <c r="I2157" s="756"/>
      <c r="J2157" s="756"/>
      <c r="K2157" s="1790"/>
      <c r="L2157" s="1791"/>
      <c r="M2157" s="1791"/>
      <c r="N2157" s="1791"/>
      <c r="O2157" s="485"/>
      <c r="P2157" s="1137"/>
      <c r="Q2157" s="1137"/>
      <c r="R2157" s="1137"/>
      <c r="S2157" s="1137"/>
      <c r="T2157" s="1117"/>
      <c r="U2157" s="1137"/>
      <c r="V2157" s="1137"/>
    </row>
    <row r="2158" spans="1:22" s="562" customFormat="1" ht="5.0999999999999996" customHeight="1" thickBot="1">
      <c r="A2158" s="817"/>
      <c r="C2158" s="485"/>
      <c r="D2158" s="485"/>
      <c r="E2158" s="485"/>
      <c r="F2158" s="485"/>
      <c r="G2158" s="485"/>
      <c r="K2158" s="1790"/>
      <c r="L2158" s="1791"/>
      <c r="M2158" s="1791"/>
      <c r="N2158" s="1791"/>
      <c r="O2158" s="485"/>
      <c r="P2158" s="1137"/>
      <c r="Q2158" s="1137"/>
      <c r="R2158" s="1137"/>
      <c r="S2158" s="1137"/>
      <c r="T2158" s="1137"/>
      <c r="U2158" s="1137"/>
      <c r="V2158" s="1137"/>
    </row>
    <row r="2159" spans="1:22" s="562" customFormat="1" ht="5.0999999999999996" customHeight="1">
      <c r="A2159" s="817"/>
      <c r="C2159" s="485"/>
      <c r="D2159" s="772"/>
      <c r="E2159" s="773"/>
      <c r="F2159" s="774"/>
      <c r="G2159" s="774"/>
      <c r="H2159" s="774"/>
      <c r="I2159" s="774"/>
      <c r="J2159" s="774"/>
      <c r="K2159" s="1790"/>
      <c r="L2159" s="1791"/>
      <c r="M2159" s="1791"/>
      <c r="N2159" s="1791"/>
      <c r="O2159" s="485"/>
      <c r="P2159" s="1137"/>
      <c r="Q2159" s="1137"/>
      <c r="R2159" s="1137"/>
      <c r="S2159" s="1137"/>
      <c r="T2159" s="1137"/>
      <c r="U2159" s="1137"/>
      <c r="V2159" s="1137"/>
    </row>
    <row r="2160" spans="1:22" s="562" customFormat="1" ht="13.5" thickBot="1">
      <c r="A2160" s="817"/>
      <c r="C2160" s="485"/>
      <c r="D2160" s="776"/>
      <c r="E2160" s="777"/>
      <c r="F2160" s="813"/>
      <c r="G2160" s="778" t="str">
        <f>EUconst_Unit</f>
        <v>Unit</v>
      </c>
      <c r="H2160" s="779">
        <f t="shared" ref="H2160:N2160" si="161">H$2737</f>
        <v>2024</v>
      </c>
      <c r="I2160" s="779">
        <f t="shared" si="161"/>
        <v>2025</v>
      </c>
      <c r="J2160" s="780">
        <f t="shared" si="161"/>
        <v>2026</v>
      </c>
      <c r="K2160" s="1489">
        <f t="shared" si="161"/>
        <v>2027</v>
      </c>
      <c r="L2160" s="1490">
        <f t="shared" si="161"/>
        <v>2028</v>
      </c>
      <c r="M2160" s="1490">
        <f t="shared" si="161"/>
        <v>2029</v>
      </c>
      <c r="N2160" s="1490">
        <f t="shared" si="161"/>
        <v>2030</v>
      </c>
      <c r="O2160" s="485"/>
      <c r="P2160" s="1137"/>
      <c r="Q2160" s="1137"/>
      <c r="R2160" s="1137"/>
      <c r="S2160" s="1137"/>
      <c r="T2160" s="1137"/>
      <c r="U2160" s="1137"/>
      <c r="V2160" s="1137"/>
    </row>
    <row r="2161" spans="1:22" s="562" customFormat="1" ht="13.5" customHeight="1" thickBot="1">
      <c r="A2161" s="817"/>
      <c r="C2161" s="485"/>
      <c r="D2161" s="776"/>
      <c r="E2161" s="2470" t="s">
        <v>52</v>
      </c>
      <c r="F2161" s="3461"/>
      <c r="G2161" s="808" t="str">
        <f>EUconst_TJpa</f>
        <v>TJ / year</v>
      </c>
      <c r="H2161" s="786" t="str">
        <f>IF($M2118&lt;&gt;EUconst_Relevant,"",IF(INDEX('G_Fall-back'!H:H,MATCH($P2161,'G_Fall-back'!$Q:$Q,0))="","",INDEX('G_Fall-back'!H:H,MATCH($P2161,'G_Fall-back'!$Q:$Q,0))))</f>
        <v/>
      </c>
      <c r="I2161" s="789" t="str">
        <f>IF($M2118&lt;&gt;EUconst_Relevant,"",IF(INDEX('G_Fall-back'!I:I,MATCH($P2161,'G_Fall-back'!$Q:$Q,0))="","",INDEX('G_Fall-back'!I:I,MATCH($P2161,'G_Fall-back'!$Q:$Q,0))))</f>
        <v/>
      </c>
      <c r="J2161" s="2167" t="str">
        <f>IF($M2118&lt;&gt;EUconst_Relevant,"",IF(INDEX('G_Fall-back'!J:J,MATCH($P2161,'G_Fall-back'!$Q:$Q,0))="","",INDEX('G_Fall-back'!J:J,MATCH($P2161,'G_Fall-back'!$Q:$Q,0))))</f>
        <v/>
      </c>
      <c r="K2161" s="2105" t="str">
        <f>IF($M2118&lt;&gt;EUconst_Relevant,"",IF(INDEX('G_Fall-back'!K:K,MATCH($P2161,'G_Fall-back'!$Q:$Q,0))="","",INDEX('G_Fall-back'!K:K,MATCH($P2161,'G_Fall-back'!$Q:$Q,0))))</f>
        <v/>
      </c>
      <c r="L2161" s="1960" t="str">
        <f>IF($M2118&lt;&gt;EUconst_Relevant,"",IF(INDEX('G_Fall-back'!L:L,MATCH($P2161,'G_Fall-back'!$Q:$Q,0))="","",INDEX('G_Fall-back'!L:L,MATCH($P2161,'G_Fall-back'!$Q:$Q,0))))</f>
        <v/>
      </c>
      <c r="M2161" s="1960" t="str">
        <f>IF($M2118&lt;&gt;EUconst_Relevant,"",IF(INDEX('G_Fall-back'!M:M,MATCH($P2161,'G_Fall-back'!$Q:$Q,0))="","",INDEX('G_Fall-back'!M:M,MATCH($P2161,'G_Fall-back'!$Q:$Q,0))))</f>
        <v/>
      </c>
      <c r="N2161" s="1960" t="str">
        <f>IF($M2118&lt;&gt;EUconst_Relevant,"",IF(INDEX('G_Fall-back'!N:N,MATCH($P2161,'G_Fall-back'!$Q:$Q,0))="","",INDEX('G_Fall-back'!N:N,MATCH($P2161,'G_Fall-back'!$Q:$Q,0))))</f>
        <v/>
      </c>
      <c r="O2161" s="485"/>
      <c r="P2161" s="1970" t="str">
        <f>EUconst_CNTR_HeatProduced &amp;I2118</f>
        <v>HeatProd_Heat benchmark sub-installation, CL</v>
      </c>
      <c r="Q2161" s="1137"/>
      <c r="R2161" s="1137"/>
      <c r="S2161" s="1137"/>
      <c r="T2161" s="1137"/>
      <c r="U2161" s="1137"/>
      <c r="V2161" s="1137"/>
    </row>
    <row r="2162" spans="1:22" s="562" customFormat="1" ht="5.0999999999999996" customHeight="1" thickBot="1">
      <c r="A2162" s="817"/>
      <c r="C2162" s="485"/>
      <c r="D2162" s="776"/>
      <c r="E2162" s="777"/>
      <c r="F2162" s="777"/>
      <c r="G2162" s="777"/>
      <c r="H2162" s="2173"/>
      <c r="I2162" s="2173"/>
      <c r="J2162" s="2173"/>
      <c r="K2162" s="1788"/>
      <c r="L2162" s="1789"/>
      <c r="M2162" s="1789"/>
      <c r="N2162" s="1789"/>
      <c r="O2162" s="485"/>
      <c r="P2162" s="1137"/>
      <c r="Q2162" s="1137"/>
      <c r="R2162" s="1137"/>
      <c r="S2162" s="1137"/>
      <c r="T2162" s="1137"/>
      <c r="U2162" s="1137"/>
      <c r="V2162" s="1137"/>
    </row>
    <row r="2163" spans="1:22" s="562" customFormat="1" ht="13.5" customHeight="1" thickBot="1">
      <c r="A2163" s="817"/>
      <c r="C2163" s="485"/>
      <c r="D2163" s="776"/>
      <c r="E2163" s="2470" t="s">
        <v>1504</v>
      </c>
      <c r="F2163" s="3461"/>
      <c r="G2163" s="808" t="str">
        <f>EUconst_tCO2epa</f>
        <v>t CO2e/year</v>
      </c>
      <c r="H2163" s="786" t="str">
        <f t="shared" ref="H2163:N2163" si="162">INDEX(H$92:H$108,MATCH($I2118,$E$92:$E$108,0))</f>
        <v/>
      </c>
      <c r="I2163" s="789" t="str">
        <f t="shared" si="162"/>
        <v/>
      </c>
      <c r="J2163" s="2167" t="str">
        <f t="shared" si="162"/>
        <v/>
      </c>
      <c r="K2163" s="2105" t="str">
        <f t="shared" si="162"/>
        <v/>
      </c>
      <c r="L2163" s="1960" t="str">
        <f t="shared" si="162"/>
        <v/>
      </c>
      <c r="M2163" s="1960" t="str">
        <f t="shared" si="162"/>
        <v/>
      </c>
      <c r="N2163" s="1960" t="str">
        <f t="shared" si="162"/>
        <v/>
      </c>
      <c r="O2163" s="485"/>
      <c r="P2163" s="1137"/>
      <c r="Q2163" s="1137"/>
      <c r="R2163" s="1137"/>
      <c r="S2163" s="1137"/>
      <c r="T2163" s="1137"/>
      <c r="U2163" s="1137"/>
      <c r="V2163" s="1137"/>
    </row>
    <row r="2164" spans="1:22" s="562" customFormat="1" ht="5.0999999999999996" customHeight="1">
      <c r="A2164" s="817"/>
      <c r="C2164" s="485"/>
      <c r="D2164" s="776"/>
      <c r="E2164" s="777"/>
      <c r="F2164" s="777"/>
      <c r="G2164" s="777"/>
      <c r="H2164" s="2168"/>
      <c r="I2164" s="2168"/>
      <c r="J2164" s="2168"/>
      <c r="K2164" s="2169"/>
      <c r="L2164" s="2170"/>
      <c r="M2164" s="2170"/>
      <c r="N2164" s="2170"/>
      <c r="O2164" s="485"/>
      <c r="P2164" s="1137"/>
      <c r="Q2164" s="1137"/>
      <c r="R2164" s="1137"/>
      <c r="S2164" s="1137"/>
      <c r="T2164" s="1137"/>
      <c r="U2164" s="1137"/>
      <c r="V2164" s="1137"/>
    </row>
    <row r="2165" spans="1:22" s="562" customFormat="1">
      <c r="A2165" s="817"/>
      <c r="C2165" s="485"/>
      <c r="D2165" s="776"/>
      <c r="E2165" s="2471" t="s">
        <v>1344</v>
      </c>
      <c r="F2165" s="3467"/>
      <c r="G2165" s="811" t="str">
        <f>EUconst_TJpa</f>
        <v>TJ / year</v>
      </c>
      <c r="H2165" s="625" t="str">
        <f>IF($M2118&lt;&gt;EUconst_Relevant,"",IF(INDEX('G_Fall-back'!H:H,MATCH($P2165,'G_Fall-back'!$Q:$Q,0))="","",INDEX('G_Fall-back'!H:H,MATCH($P2165,'G_Fall-back'!$Q:$Q,0))))</f>
        <v/>
      </c>
      <c r="I2165" s="794" t="str">
        <f>IF($M2118&lt;&gt;EUconst_Relevant,"",IF(INDEX('G_Fall-back'!I:I,MATCH($P2165,'G_Fall-back'!$Q:$Q,0))="","",INDEX('G_Fall-back'!I:I,MATCH($P2165,'G_Fall-back'!$Q:$Q,0))))</f>
        <v/>
      </c>
      <c r="J2165" s="2171" t="str">
        <f>IF($M2118&lt;&gt;EUconst_Relevant,"",IF(INDEX('G_Fall-back'!J:J,MATCH($P2165,'G_Fall-back'!$Q:$Q,0))="","",INDEX('G_Fall-back'!J:J,MATCH($P2165,'G_Fall-back'!$Q:$Q,0))))</f>
        <v/>
      </c>
      <c r="K2165" s="1788" t="str">
        <f>IF($M2118&lt;&gt;EUconst_Relevant,"",IF(INDEX('G_Fall-back'!K:K,MATCH($P2165,'G_Fall-back'!$Q:$Q,0))="","",INDEX('G_Fall-back'!K:K,MATCH($P2165,'G_Fall-back'!$Q:$Q,0))))</f>
        <v/>
      </c>
      <c r="L2165" s="1789" t="str">
        <f>IF($M2118&lt;&gt;EUconst_Relevant,"",IF(INDEX('G_Fall-back'!L:L,MATCH($P2165,'G_Fall-back'!$Q:$Q,0))="","",INDEX('G_Fall-back'!L:L,MATCH($P2165,'G_Fall-back'!$Q:$Q,0))))</f>
        <v/>
      </c>
      <c r="M2165" s="1789" t="str">
        <f>IF($M2118&lt;&gt;EUconst_Relevant,"",IF(INDEX('G_Fall-back'!M:M,MATCH($P2165,'G_Fall-back'!$Q:$Q,0))="","",INDEX('G_Fall-back'!M:M,MATCH($P2165,'G_Fall-back'!$Q:$Q,0))))</f>
        <v/>
      </c>
      <c r="N2165" s="1789" t="str">
        <f>IF($M2118&lt;&gt;EUconst_Relevant,"",IF(INDEX('G_Fall-back'!N:N,MATCH($P2165,'G_Fall-back'!$Q:$Q,0))="","",INDEX('G_Fall-back'!N:N,MATCH($P2165,'G_Fall-back'!$Q:$Q,0))))</f>
        <v/>
      </c>
      <c r="O2165" s="485"/>
      <c r="P2165" s="2109" t="str">
        <f>EUconst_CNTR_FuelInput &amp;I2118</f>
        <v>FuelInput_Heat benchmark sub-installation, CL</v>
      </c>
      <c r="Q2165" s="1137"/>
      <c r="R2165" s="1137"/>
      <c r="S2165" s="1137"/>
      <c r="T2165" s="1137"/>
      <c r="U2165" s="1137"/>
      <c r="V2165" s="1137"/>
    </row>
    <row r="2166" spans="1:22" s="562" customFormat="1" ht="12.75" customHeight="1">
      <c r="A2166" s="817"/>
      <c r="C2166" s="485"/>
      <c r="D2166" s="776"/>
      <c r="E2166" s="2473" t="s">
        <v>1182</v>
      </c>
      <c r="F2166" s="3466"/>
      <c r="G2166" s="812" t="str">
        <f>EUconst_tCO2pTJ</f>
        <v>t CO2 / TJ</v>
      </c>
      <c r="H2166" s="627" t="str">
        <f>IF($M2118&lt;&gt;EUconst_Relevant,"",IF(INDEX('G_Fall-back'!H:H,MATCH($P2166,'G_Fall-back'!$Q:$Q,0))="","",INDEX('G_Fall-back'!H:H,MATCH($P2166,'G_Fall-back'!$Q:$Q,0))))</f>
        <v/>
      </c>
      <c r="I2166" s="796" t="str">
        <f>IF($M2118&lt;&gt;EUconst_Relevant,"",IF(INDEX('G_Fall-back'!I:I,MATCH($P2166,'G_Fall-back'!$Q:$Q,0))="","",INDEX('G_Fall-back'!I:I,MATCH($P2166,'G_Fall-back'!$Q:$Q,0))))</f>
        <v/>
      </c>
      <c r="J2166" s="2172" t="str">
        <f>IF($M2118&lt;&gt;EUconst_Relevant,"",IF(INDEX('G_Fall-back'!J:J,MATCH($P2166,'G_Fall-back'!$Q:$Q,0))="","",INDEX('G_Fall-back'!J:J,MATCH($P2166,'G_Fall-back'!$Q:$Q,0))))</f>
        <v/>
      </c>
      <c r="K2166" s="1788" t="str">
        <f>IF($M2118&lt;&gt;EUconst_Relevant,"",IF(INDEX('G_Fall-back'!K:K,MATCH($P2166,'G_Fall-back'!$Q:$Q,0))="","",INDEX('G_Fall-back'!K:K,MATCH($P2166,'G_Fall-back'!$Q:$Q,0))))</f>
        <v/>
      </c>
      <c r="L2166" s="1789" t="str">
        <f>IF($M2118&lt;&gt;EUconst_Relevant,"",IF(INDEX('G_Fall-back'!L:L,MATCH($P2166,'G_Fall-back'!$Q:$Q,0))="","",INDEX('G_Fall-back'!L:L,MATCH($P2166,'G_Fall-back'!$Q:$Q,0))))</f>
        <v/>
      </c>
      <c r="M2166" s="1789" t="str">
        <f>IF($M2118&lt;&gt;EUconst_Relevant,"",IF(INDEX('G_Fall-back'!M:M,MATCH($P2166,'G_Fall-back'!$Q:$Q,0))="","",INDEX('G_Fall-back'!M:M,MATCH($P2166,'G_Fall-back'!$Q:$Q,0))))</f>
        <v/>
      </c>
      <c r="N2166" s="1789" t="str">
        <f>IF($M2118&lt;&gt;EUconst_Relevant,"",IF(INDEX('G_Fall-back'!N:N,MATCH($P2166,'G_Fall-back'!$Q:$Q,0))="","",INDEX('G_Fall-back'!N:N,MATCH($P2166,'G_Fall-back'!$Q:$Q,0))))</f>
        <v/>
      </c>
      <c r="O2166" s="485"/>
      <c r="P2166" s="1970" t="str">
        <f>EUconst_CNTR_FuelEF &amp;I2118</f>
        <v>FuelEF_Heat benchmark sub-installation, CL</v>
      </c>
      <c r="Q2166" s="1137"/>
      <c r="R2166" s="1137"/>
      <c r="S2166" s="1137"/>
      <c r="T2166" s="1137"/>
      <c r="U2166" s="1137"/>
      <c r="V2166" s="1137"/>
    </row>
    <row r="2167" spans="1:22" s="562" customFormat="1" ht="12.75" customHeight="1">
      <c r="A2167" s="817"/>
      <c r="C2167" s="485"/>
      <c r="D2167" s="776"/>
      <c r="E2167" s="2471" t="s">
        <v>1481</v>
      </c>
      <c r="F2167" s="3467"/>
      <c r="G2167" s="811" t="str">
        <f>EUconst_TJpa</f>
        <v>TJ / year</v>
      </c>
      <c r="H2167" s="625" t="str">
        <f>IF($M2118&lt;&gt;EUconst_Relevant,"",IF(INDEX('G_Fall-back'!H:H,MATCH($P2167,'G_Fall-back'!$Q:$Q,0))="","",INDEX('G_Fall-back'!H:H,MATCH($P2167,'G_Fall-back'!$Q:$Q,0))))</f>
        <v/>
      </c>
      <c r="I2167" s="794" t="str">
        <f>IF($M2118&lt;&gt;EUconst_Relevant,"",IF(INDEX('G_Fall-back'!I:I,MATCH($P2167,'G_Fall-back'!$Q:$Q,0))="","",INDEX('G_Fall-back'!I:I,MATCH($P2167,'G_Fall-back'!$Q:$Q,0))))</f>
        <v/>
      </c>
      <c r="J2167" s="2171" t="str">
        <f>IF($M2118&lt;&gt;EUconst_Relevant,"",IF(INDEX('G_Fall-back'!J:J,MATCH($P2167,'G_Fall-back'!$Q:$Q,0))="","",INDEX('G_Fall-back'!J:J,MATCH($P2167,'G_Fall-back'!$Q:$Q,0))))</f>
        <v/>
      </c>
      <c r="K2167" s="1788" t="str">
        <f>IF($M2118&lt;&gt;EUconst_Relevant,"",IF(INDEX('G_Fall-back'!K:K,MATCH($P2167,'G_Fall-back'!$Q:$Q,0))="","",INDEX('G_Fall-back'!K:K,MATCH($P2167,'G_Fall-back'!$Q:$Q,0))))</f>
        <v/>
      </c>
      <c r="L2167" s="1789" t="str">
        <f>IF($M2118&lt;&gt;EUconst_Relevant,"",IF(INDEX('G_Fall-back'!L:L,MATCH($P2167,'G_Fall-back'!$Q:$Q,0))="","",INDEX('G_Fall-back'!L:L,MATCH($P2167,'G_Fall-back'!$Q:$Q,0))))</f>
        <v/>
      </c>
      <c r="M2167" s="1789" t="str">
        <f>IF($M2118&lt;&gt;EUconst_Relevant,"",IF(INDEX('G_Fall-back'!M:M,MATCH($P2167,'G_Fall-back'!$Q:$Q,0))="","",INDEX('G_Fall-back'!M:M,MATCH($P2167,'G_Fall-back'!$Q:$Q,0))))</f>
        <v/>
      </c>
      <c r="N2167" s="1789" t="str">
        <f>IF($M2118&lt;&gt;EUconst_Relevant,"",IF(INDEX('G_Fall-back'!N:N,MATCH($P2167,'G_Fall-back'!$Q:$Q,0))="","",INDEX('G_Fall-back'!N:N,MATCH($P2167,'G_Fall-back'!$Q:$Q,0))))</f>
        <v/>
      </c>
      <c r="O2167" s="485"/>
      <c r="P2167" s="1158" t="str">
        <f>EUconst_CNTR_WGConsumed &amp;I2118</f>
        <v>WasteGasCons_Heat benchmark sub-installation, CL</v>
      </c>
      <c r="Q2167" s="1137"/>
      <c r="R2167" s="1137"/>
      <c r="S2167" s="1137"/>
      <c r="T2167" s="1137"/>
      <c r="U2167" s="1137"/>
      <c r="V2167" s="1137"/>
    </row>
    <row r="2168" spans="1:22" s="562" customFormat="1" ht="12.75" customHeight="1">
      <c r="A2168" s="817"/>
      <c r="C2168" s="485"/>
      <c r="D2168" s="776"/>
      <c r="E2168" s="2473" t="s">
        <v>1182</v>
      </c>
      <c r="F2168" s="3466"/>
      <c r="G2168" s="812" t="str">
        <f>EUconst_tCO2pTJ</f>
        <v>t CO2 / TJ</v>
      </c>
      <c r="H2168" s="627" t="str">
        <f>IF($M2118&lt;&gt;EUconst_Relevant,"",IF(INDEX('G_Fall-back'!H:H,MATCH($P2168,'G_Fall-back'!$Q:$Q,0))="","",INDEX('G_Fall-back'!H:H,MATCH($P2168,'G_Fall-back'!$Q:$Q,0))))</f>
        <v/>
      </c>
      <c r="I2168" s="796" t="str">
        <f>IF($M2118&lt;&gt;EUconst_Relevant,"",IF(INDEX('G_Fall-back'!I:I,MATCH($P2168,'G_Fall-back'!$Q:$Q,0))="","",INDEX('G_Fall-back'!I:I,MATCH($P2168,'G_Fall-back'!$Q:$Q,0))))</f>
        <v/>
      </c>
      <c r="J2168" s="2172" t="str">
        <f>IF($M2118&lt;&gt;EUconst_Relevant,"",IF(INDEX('G_Fall-back'!J:J,MATCH($P2168,'G_Fall-back'!$Q:$Q,0))="","",INDEX('G_Fall-back'!J:J,MATCH($P2168,'G_Fall-back'!$Q:$Q,0))))</f>
        <v/>
      </c>
      <c r="K2168" s="1788" t="str">
        <f>IF($M2118&lt;&gt;EUconst_Relevant,"",IF(INDEX('G_Fall-back'!K:K,MATCH($P2168,'G_Fall-back'!$Q:$Q,0))="","",INDEX('G_Fall-back'!K:K,MATCH($P2168,'G_Fall-back'!$Q:$Q,0))))</f>
        <v/>
      </c>
      <c r="L2168" s="1789" t="str">
        <f>IF($M2118&lt;&gt;EUconst_Relevant,"",IF(INDEX('G_Fall-back'!L:L,MATCH($P2168,'G_Fall-back'!$Q:$Q,0))="","",INDEX('G_Fall-back'!L:L,MATCH($P2168,'G_Fall-back'!$Q:$Q,0))))</f>
        <v/>
      </c>
      <c r="M2168" s="1789" t="str">
        <f>IF($M2118&lt;&gt;EUconst_Relevant,"",IF(INDEX('G_Fall-back'!M:M,MATCH($P2168,'G_Fall-back'!$Q:$Q,0))="","",INDEX('G_Fall-back'!M:M,MATCH($P2168,'G_Fall-back'!$Q:$Q,0))))</f>
        <v/>
      </c>
      <c r="N2168" s="1789" t="str">
        <f>IF($M2118&lt;&gt;EUconst_Relevant,"",IF(INDEX('G_Fall-back'!N:N,MATCH($P2168,'G_Fall-back'!$Q:$Q,0))="","",INDEX('G_Fall-back'!N:N,MATCH($P2168,'G_Fall-back'!$Q:$Q,0))))</f>
        <v/>
      </c>
      <c r="O2168" s="485"/>
      <c r="P2168" s="1970" t="str">
        <f>EUconst_CNTR_WGConsumedEF &amp;I2118</f>
        <v>WasteGasConsEF_Heat benchmark sub-installation, CL</v>
      </c>
      <c r="Q2168" s="1137"/>
      <c r="R2168" s="1137"/>
      <c r="S2168" s="1137"/>
      <c r="T2168" s="1137"/>
      <c r="U2168" s="1137"/>
      <c r="V2168" s="1137"/>
    </row>
    <row r="2169" spans="1:22" s="562" customFormat="1" ht="5.0999999999999996" customHeight="1">
      <c r="A2169" s="817"/>
      <c r="C2169" s="485"/>
      <c r="D2169" s="776"/>
      <c r="E2169" s="777"/>
      <c r="F2169" s="813"/>
      <c r="G2169" s="813"/>
      <c r="H2169" s="2173"/>
      <c r="I2169" s="2173"/>
      <c r="J2169" s="2173"/>
      <c r="K2169" s="1788"/>
      <c r="L2169" s="1789"/>
      <c r="M2169" s="1789"/>
      <c r="N2169" s="1789"/>
      <c r="O2169" s="485"/>
      <c r="P2169" s="1137"/>
      <c r="Q2169" s="1137"/>
      <c r="R2169" s="1137"/>
      <c r="S2169" s="1137"/>
      <c r="T2169" s="1137"/>
      <c r="U2169" s="1137"/>
      <c r="V2169" s="1137"/>
    </row>
    <row r="2170" spans="1:22" s="562" customFormat="1">
      <c r="A2170" s="817"/>
      <c r="C2170" s="485"/>
      <c r="D2170" s="776"/>
      <c r="E2170" s="2475" t="s">
        <v>63</v>
      </c>
      <c r="F2170" s="3461"/>
      <c r="G2170" s="815" t="str">
        <f>EUconst_tCO2pa</f>
        <v>t CO2 / year</v>
      </c>
      <c r="H2170" s="623" t="str">
        <f>IF($M2118&lt;&gt;EUconst_Relevant,"",IF(INDEX('G_Fall-back'!H:H,MATCH($P2170,'G_Fall-back'!$Q:$Q,0))="","",INDEX('G_Fall-back'!H:H,MATCH($P2170,'G_Fall-back'!$Q:$Q,0))))</f>
        <v/>
      </c>
      <c r="I2170" s="800" t="str">
        <f>IF($M2118&lt;&gt;EUconst_Relevant,"",IF(INDEX('G_Fall-back'!I:I,MATCH($P2170,'G_Fall-back'!$Q:$Q,0))="","",INDEX('G_Fall-back'!I:I,MATCH($P2170,'G_Fall-back'!$Q:$Q,0))))</f>
        <v/>
      </c>
      <c r="J2170" s="2174" t="str">
        <f>IF($M2118&lt;&gt;EUconst_Relevant,"",IF(INDEX('G_Fall-back'!J:J,MATCH($P2170,'G_Fall-back'!$Q:$Q,0))="","",INDEX('G_Fall-back'!J:J,MATCH($P2170,'G_Fall-back'!$Q:$Q,0))))</f>
        <v/>
      </c>
      <c r="K2170" s="1788" t="str">
        <f>IF($M2118&lt;&gt;EUconst_Relevant,"",IF(INDEX('G_Fall-back'!K:K,MATCH($P2170,'G_Fall-back'!$Q:$Q,0))="","",INDEX('G_Fall-back'!K:K,MATCH($P2170,'G_Fall-back'!$Q:$Q,0))))</f>
        <v/>
      </c>
      <c r="L2170" s="1789" t="str">
        <f>IF($M2118&lt;&gt;EUconst_Relevant,"",IF(INDEX('G_Fall-back'!L:L,MATCH($P2170,'G_Fall-back'!$Q:$Q,0))="","",INDEX('G_Fall-back'!L:L,MATCH($P2170,'G_Fall-back'!$Q:$Q,0))))</f>
        <v/>
      </c>
      <c r="M2170" s="1789" t="str">
        <f>IF($M2118&lt;&gt;EUconst_Relevant,"",IF(INDEX('G_Fall-back'!M:M,MATCH($P2170,'G_Fall-back'!$Q:$Q,0))="","",INDEX('G_Fall-back'!M:M,MATCH($P2170,'G_Fall-back'!$Q:$Q,0))))</f>
        <v/>
      </c>
      <c r="N2170" s="1789" t="str">
        <f>IF($M2118&lt;&gt;EUconst_Relevant,"",IF(INDEX('G_Fall-back'!N:N,MATCH($P2170,'G_Fall-back'!$Q:$Q,0))="","",INDEX('G_Fall-back'!N:N,MATCH($P2170,'G_Fall-back'!$Q:$Q,0))))</f>
        <v/>
      </c>
      <c r="O2170" s="485"/>
      <c r="P2170" s="1970" t="str">
        <f>EUconst_CNTR_Emissions &amp;I2118</f>
        <v>DirEmissions_Heat benchmark sub-installation, CL</v>
      </c>
      <c r="Q2170" s="1137"/>
      <c r="R2170" s="1137"/>
      <c r="S2170" s="1137"/>
      <c r="T2170" s="1137"/>
      <c r="U2170" s="1137"/>
      <c r="V2170" s="1137"/>
    </row>
    <row r="2171" spans="1:22" s="562" customFormat="1" ht="5.0999999999999996" customHeight="1">
      <c r="A2171" s="817"/>
      <c r="C2171" s="485"/>
      <c r="D2171" s="776"/>
      <c r="E2171" s="777"/>
      <c r="F2171" s="777"/>
      <c r="G2171" s="777"/>
      <c r="H2171" s="2173"/>
      <c r="I2171" s="2173"/>
      <c r="J2171" s="2173"/>
      <c r="K2171" s="1788"/>
      <c r="L2171" s="1789"/>
      <c r="M2171" s="1789"/>
      <c r="N2171" s="1789"/>
      <c r="O2171" s="485"/>
      <c r="P2171" s="1137"/>
      <c r="Q2171" s="1137"/>
      <c r="R2171" s="1137"/>
      <c r="S2171" s="1137"/>
      <c r="T2171" s="1137"/>
      <c r="U2171" s="1137"/>
      <c r="V2171" s="1137"/>
    </row>
    <row r="2172" spans="1:22" s="562" customFormat="1" ht="12.75" customHeight="1">
      <c r="A2172" s="817"/>
      <c r="C2172" s="485"/>
      <c r="D2172" s="776"/>
      <c r="E2172" s="2471" t="s">
        <v>1505</v>
      </c>
      <c r="F2172" s="3467"/>
      <c r="G2172" s="811" t="str">
        <f>EUconst_TJpa</f>
        <v>TJ / year</v>
      </c>
      <c r="H2172" s="625" t="str">
        <f>IF($M2118&lt;&gt;EUconst_Relevant,"",IF(INDEX('G_Fall-back'!H:H,MATCH($P2172,'G_Fall-back'!$Q:$Q,0))="","",INDEX('G_Fall-back'!H:H,MATCH($P2172,'G_Fall-back'!$Q:$Q,0))))</f>
        <v/>
      </c>
      <c r="I2172" s="794" t="str">
        <f>IF($M2118&lt;&gt;EUconst_Relevant,"",IF(INDEX('G_Fall-back'!I:I,MATCH($P2172,'G_Fall-back'!$Q:$Q,0))="","",INDEX('G_Fall-back'!I:I,MATCH($P2172,'G_Fall-back'!$Q:$Q,0))))</f>
        <v/>
      </c>
      <c r="J2172" s="2171" t="str">
        <f>IF($M2118&lt;&gt;EUconst_Relevant,"",IF(INDEX('G_Fall-back'!J:J,MATCH($P2172,'G_Fall-back'!$Q:$Q,0))="","",INDEX('G_Fall-back'!J:J,MATCH($P2172,'G_Fall-back'!$Q:$Q,0))))</f>
        <v/>
      </c>
      <c r="K2172" s="1788" t="str">
        <f>IF($M2118&lt;&gt;EUconst_Relevant,"",IF(INDEX('G_Fall-back'!K:K,MATCH($P2172,'G_Fall-back'!$Q:$Q,0))="","",INDEX('G_Fall-back'!K:K,MATCH($P2172,'G_Fall-back'!$Q:$Q,0))))</f>
        <v/>
      </c>
      <c r="L2172" s="1789" t="str">
        <f>IF($M2118&lt;&gt;EUconst_Relevant,"",IF(INDEX('G_Fall-back'!L:L,MATCH($P2172,'G_Fall-back'!$Q:$Q,0))="","",INDEX('G_Fall-back'!L:L,MATCH($P2172,'G_Fall-back'!$Q:$Q,0))))</f>
        <v/>
      </c>
      <c r="M2172" s="1789" t="str">
        <f>IF($M2118&lt;&gt;EUconst_Relevant,"",IF(INDEX('G_Fall-back'!M:M,MATCH($P2172,'G_Fall-back'!$Q:$Q,0))="","",INDEX('G_Fall-back'!M:M,MATCH($P2172,'G_Fall-back'!$Q:$Q,0))))</f>
        <v/>
      </c>
      <c r="N2172" s="1789" t="str">
        <f>IF($M2118&lt;&gt;EUconst_Relevant,"",IF(INDEX('G_Fall-back'!N:N,MATCH($P2172,'G_Fall-back'!$Q:$Q,0))="","",INDEX('G_Fall-back'!N:N,MATCH($P2172,'G_Fall-back'!$Q:$Q,0))))</f>
        <v/>
      </c>
      <c r="O2172" s="485"/>
      <c r="P2172" s="1970" t="str">
        <f>EUconst_CNTR_HeatImport &amp;I2118</f>
        <v>HeatIm_Heat benchmark sub-installation, CL</v>
      </c>
      <c r="Q2172" s="1137"/>
      <c r="R2172" s="1137"/>
      <c r="S2172" s="1137"/>
      <c r="T2172" s="1137"/>
      <c r="U2172" s="1137"/>
      <c r="V2172" s="1137"/>
    </row>
    <row r="2173" spans="1:22" s="562" customFormat="1" ht="12.75" customHeight="1">
      <c r="A2173" s="817"/>
      <c r="C2173" s="485"/>
      <c r="D2173" s="776"/>
      <c r="E2173" s="2473" t="s">
        <v>1103</v>
      </c>
      <c r="F2173" s="3466"/>
      <c r="G2173" s="812" t="str">
        <f>EUconst_tCO2pTJ</f>
        <v>t CO2 / TJ</v>
      </c>
      <c r="H2173" s="627" t="str">
        <f>IF($M2118&lt;&gt;EUconst_Relevant,"",IF(INDEX('G_Fall-back'!H:H,MATCH($P2173,'G_Fall-back'!$Q:$Q,0))="","",INDEX('G_Fall-back'!H:H,MATCH($P2173,'G_Fall-back'!$Q:$Q,0))))</f>
        <v/>
      </c>
      <c r="I2173" s="796" t="str">
        <f>IF($M2118&lt;&gt;EUconst_Relevant,"",IF(INDEX('G_Fall-back'!I:I,MATCH($P2173,'G_Fall-back'!$Q:$Q,0))="","",INDEX('G_Fall-back'!I:I,MATCH($P2173,'G_Fall-back'!$Q:$Q,0))))</f>
        <v/>
      </c>
      <c r="J2173" s="2172" t="str">
        <f>IF($M2118&lt;&gt;EUconst_Relevant,"",IF(INDEX('G_Fall-back'!J:J,MATCH($P2173,'G_Fall-back'!$Q:$Q,0))="","",INDEX('G_Fall-back'!J:J,MATCH($P2173,'G_Fall-back'!$Q:$Q,0))))</f>
        <v/>
      </c>
      <c r="K2173" s="1788" t="str">
        <f>IF($M2118&lt;&gt;EUconst_Relevant,"",IF(INDEX('G_Fall-back'!K:K,MATCH($P2173,'G_Fall-back'!$Q:$Q,0))="","",INDEX('G_Fall-back'!K:K,MATCH($P2173,'G_Fall-back'!$Q:$Q,0))))</f>
        <v/>
      </c>
      <c r="L2173" s="1789" t="str">
        <f>IF($M2118&lt;&gt;EUconst_Relevant,"",IF(INDEX('G_Fall-back'!L:L,MATCH($P2173,'G_Fall-back'!$Q:$Q,0))="","",INDEX('G_Fall-back'!L:L,MATCH($P2173,'G_Fall-back'!$Q:$Q,0))))</f>
        <v/>
      </c>
      <c r="M2173" s="1789" t="str">
        <f>IF($M2118&lt;&gt;EUconst_Relevant,"",IF(INDEX('G_Fall-back'!M:M,MATCH($P2173,'G_Fall-back'!$Q:$Q,0))="","",INDEX('G_Fall-back'!M:M,MATCH($P2173,'G_Fall-back'!$Q:$Q,0))))</f>
        <v/>
      </c>
      <c r="N2173" s="1789" t="str">
        <f>IF($M2118&lt;&gt;EUconst_Relevant,"",IF(INDEX('G_Fall-back'!N:N,MATCH($P2173,'G_Fall-back'!$Q:$Q,0))="","",INDEX('G_Fall-back'!N:N,MATCH($P2173,'G_Fall-back'!$Q:$Q,0))))</f>
        <v/>
      </c>
      <c r="O2173" s="485"/>
      <c r="P2173" s="1970" t="str">
        <f>EUconst_CNTR_HeatImportEF &amp;I2118</f>
        <v>HeatImEF_Heat benchmark sub-installation, CL</v>
      </c>
      <c r="Q2173" s="1137"/>
      <c r="R2173" s="1137"/>
      <c r="S2173" s="1137"/>
      <c r="T2173" s="1137"/>
      <c r="U2173" s="1137"/>
      <c r="V2173" s="1137"/>
    </row>
    <row r="2174" spans="1:22" s="562" customFormat="1" ht="12.75" customHeight="1">
      <c r="A2174" s="817"/>
      <c r="C2174" s="485"/>
      <c r="D2174" s="776"/>
      <c r="E2174" s="2471" t="s">
        <v>1506</v>
      </c>
      <c r="F2174" s="3467"/>
      <c r="G2174" s="811" t="str">
        <f>EUconst_TJpa</f>
        <v>TJ / year</v>
      </c>
      <c r="H2174" s="625" t="str">
        <f>IF($M2118&lt;&gt;EUconst_Relevant,"",IF(INDEX('G_Fall-back'!H:H,MATCH($P2174,'G_Fall-back'!$Q:$Q,0))="","",INDEX('G_Fall-back'!H:H,MATCH($P2174,'G_Fall-back'!$Q:$Q,0))))</f>
        <v/>
      </c>
      <c r="I2174" s="794" t="str">
        <f>IF($M2118&lt;&gt;EUconst_Relevant,"",IF(INDEX('G_Fall-back'!I:I,MATCH($P2174,'G_Fall-back'!$Q:$Q,0))="","",INDEX('G_Fall-back'!I:I,MATCH($P2174,'G_Fall-back'!$Q:$Q,0))))</f>
        <v/>
      </c>
      <c r="J2174" s="2171" t="str">
        <f>IF($M2118&lt;&gt;EUconst_Relevant,"",IF(INDEX('G_Fall-back'!J:J,MATCH($P2174,'G_Fall-back'!$Q:$Q,0))="","",INDEX('G_Fall-back'!J:J,MATCH($P2174,'G_Fall-back'!$Q:$Q,0))))</f>
        <v/>
      </c>
      <c r="K2174" s="1788" t="str">
        <f>IF($M2118&lt;&gt;EUconst_Relevant,"",IF(INDEX('G_Fall-back'!K:K,MATCH($P2174,'G_Fall-back'!$Q:$Q,0))="","",INDEX('G_Fall-back'!K:K,MATCH($P2174,'G_Fall-back'!$Q:$Q,0))))</f>
        <v/>
      </c>
      <c r="L2174" s="1789" t="str">
        <f>IF($M2118&lt;&gt;EUconst_Relevant,"",IF(INDEX('G_Fall-back'!L:L,MATCH($P2174,'G_Fall-back'!$Q:$Q,0))="","",INDEX('G_Fall-back'!L:L,MATCH($P2174,'G_Fall-back'!$Q:$Q,0))))</f>
        <v/>
      </c>
      <c r="M2174" s="1789" t="str">
        <f>IF($M2118&lt;&gt;EUconst_Relevant,"",IF(INDEX('G_Fall-back'!M:M,MATCH($P2174,'G_Fall-back'!$Q:$Q,0))="","",INDEX('G_Fall-back'!M:M,MATCH($P2174,'G_Fall-back'!$Q:$Q,0))))</f>
        <v/>
      </c>
      <c r="N2174" s="1789" t="str">
        <f>IF($M2118&lt;&gt;EUconst_Relevant,"",IF(INDEX('G_Fall-back'!N:N,MATCH($P2174,'G_Fall-back'!$Q:$Q,0))="","",INDEX('G_Fall-back'!N:N,MATCH($P2174,'G_Fall-back'!$Q:$Q,0))))</f>
        <v/>
      </c>
      <c r="O2174" s="485"/>
      <c r="P2174" s="1970" t="str">
        <f>EUconst_CNTR_HeatImportProduct &amp;I2118</f>
        <v>HeatImProd_Heat benchmark sub-installation, CL</v>
      </c>
      <c r="Q2174" s="1137"/>
      <c r="R2174" s="1137"/>
      <c r="S2174" s="1137"/>
      <c r="T2174" s="1137"/>
      <c r="U2174" s="1137"/>
      <c r="V2174" s="1137"/>
    </row>
    <row r="2175" spans="1:22" s="562" customFormat="1" ht="12.75" customHeight="1">
      <c r="A2175" s="817"/>
      <c r="C2175" s="485"/>
      <c r="D2175" s="776"/>
      <c r="E2175" s="2473" t="s">
        <v>1490</v>
      </c>
      <c r="F2175" s="3466"/>
      <c r="G2175" s="812" t="str">
        <f>EUconst_tCO2pTJ</f>
        <v>t CO2 / TJ</v>
      </c>
      <c r="H2175" s="627" t="str">
        <f>IF($M2118&lt;&gt;EUconst_Relevant,"",IF(INDEX('G_Fall-back'!H:H,MATCH($P2175,'G_Fall-back'!$Q:$Q,0))="","",INDEX('G_Fall-back'!H:H,MATCH($P2175,'G_Fall-back'!$Q:$Q,0))))</f>
        <v/>
      </c>
      <c r="I2175" s="796" t="str">
        <f>IF($M2118&lt;&gt;EUconst_Relevant,"",IF(INDEX('G_Fall-back'!I:I,MATCH($P2175,'G_Fall-back'!$Q:$Q,0))="","",INDEX('G_Fall-back'!I:I,MATCH($P2175,'G_Fall-back'!$Q:$Q,0))))</f>
        <v/>
      </c>
      <c r="J2175" s="2172" t="str">
        <f>IF($M2118&lt;&gt;EUconst_Relevant,"",IF(INDEX('G_Fall-back'!J:J,MATCH($P2175,'G_Fall-back'!$Q:$Q,0))="","",INDEX('G_Fall-back'!J:J,MATCH($P2175,'G_Fall-back'!$Q:$Q,0))))</f>
        <v/>
      </c>
      <c r="K2175" s="1788" t="str">
        <f>IF($M2118&lt;&gt;EUconst_Relevant,"",IF(INDEX('G_Fall-back'!K:K,MATCH($P2175,'G_Fall-back'!$Q:$Q,0))="","",INDEX('G_Fall-back'!K:K,MATCH($P2175,'G_Fall-back'!$Q:$Q,0))))</f>
        <v/>
      </c>
      <c r="L2175" s="1789" t="str">
        <f>IF($M2118&lt;&gt;EUconst_Relevant,"",IF(INDEX('G_Fall-back'!L:L,MATCH($P2175,'G_Fall-back'!$Q:$Q,0))="","",INDEX('G_Fall-back'!L:L,MATCH($P2175,'G_Fall-back'!$Q:$Q,0))))</f>
        <v/>
      </c>
      <c r="M2175" s="1789" t="str">
        <f>IF($M2118&lt;&gt;EUconst_Relevant,"",IF(INDEX('G_Fall-back'!M:M,MATCH($P2175,'G_Fall-back'!$Q:$Q,0))="","",INDEX('G_Fall-back'!M:M,MATCH($P2175,'G_Fall-back'!$Q:$Q,0))))</f>
        <v/>
      </c>
      <c r="N2175" s="1789" t="str">
        <f>IF($M2118&lt;&gt;EUconst_Relevant,"",IF(INDEX('G_Fall-back'!N:N,MATCH($P2175,'G_Fall-back'!$Q:$Q,0))="","",INDEX('G_Fall-back'!N:N,MATCH($P2175,'G_Fall-back'!$Q:$Q,0))))</f>
        <v/>
      </c>
      <c r="O2175" s="485"/>
      <c r="P2175" s="1970" t="str">
        <f>EUconst_CNTR_HeatImportProductEF &amp;I2118</f>
        <v>HeatImProdEF_Heat benchmark sub-installation, CL</v>
      </c>
      <c r="Q2175" s="1137"/>
      <c r="R2175" s="1137"/>
      <c r="S2175" s="1137"/>
      <c r="T2175" s="1137"/>
      <c r="U2175" s="1137"/>
      <c r="V2175" s="1137"/>
    </row>
    <row r="2176" spans="1:22" s="562" customFormat="1" ht="12.75" customHeight="1">
      <c r="A2176" s="817"/>
      <c r="C2176" s="485"/>
      <c r="D2176" s="776"/>
      <c r="E2176" s="2471" t="s">
        <v>1507</v>
      </c>
      <c r="F2176" s="3467"/>
      <c r="G2176" s="811" t="str">
        <f>EUconst_TJpa</f>
        <v>TJ / year</v>
      </c>
      <c r="H2176" s="625" t="str">
        <f>IF($M2118&lt;&gt;EUconst_Relevant,"",IF(INDEX('G_Fall-back'!H:H,MATCH($P2176,'G_Fall-back'!$Q:$Q,0))="","",INDEX('G_Fall-back'!H:H,MATCH($P2176,'G_Fall-back'!$Q:$Q,0))))</f>
        <v/>
      </c>
      <c r="I2176" s="794" t="str">
        <f>IF($M2118&lt;&gt;EUconst_Relevant,"",IF(INDEX('G_Fall-back'!I:I,MATCH($P2176,'G_Fall-back'!$Q:$Q,0))="","",INDEX('G_Fall-back'!I:I,MATCH($P2176,'G_Fall-back'!$Q:$Q,0))))</f>
        <v/>
      </c>
      <c r="J2176" s="2171" t="str">
        <f>IF($M2118&lt;&gt;EUconst_Relevant,"",IF(INDEX('G_Fall-back'!J:J,MATCH($P2176,'G_Fall-back'!$Q:$Q,0))="","",INDEX('G_Fall-back'!J:J,MATCH($P2176,'G_Fall-back'!$Q:$Q,0))))</f>
        <v/>
      </c>
      <c r="K2176" s="1788" t="str">
        <f>IF($M2118&lt;&gt;EUconst_Relevant,"",IF(INDEX('G_Fall-back'!K:K,MATCH($P2176,'G_Fall-back'!$Q:$Q,0))="","",INDEX('G_Fall-back'!K:K,MATCH($P2176,'G_Fall-back'!$Q:$Q,0))))</f>
        <v/>
      </c>
      <c r="L2176" s="1789" t="str">
        <f>IF($M2118&lt;&gt;EUconst_Relevant,"",IF(INDEX('G_Fall-back'!L:L,MATCH($P2176,'G_Fall-back'!$Q:$Q,0))="","",INDEX('G_Fall-back'!L:L,MATCH($P2176,'G_Fall-back'!$Q:$Q,0))))</f>
        <v/>
      </c>
      <c r="M2176" s="1789" t="str">
        <f>IF($M2118&lt;&gt;EUconst_Relevant,"",IF(INDEX('G_Fall-back'!M:M,MATCH($P2176,'G_Fall-back'!$Q:$Q,0))="","",INDEX('G_Fall-back'!M:M,MATCH($P2176,'G_Fall-back'!$Q:$Q,0))))</f>
        <v/>
      </c>
      <c r="N2176" s="1789" t="str">
        <f>IF($M2118&lt;&gt;EUconst_Relevant,"",IF(INDEX('G_Fall-back'!N:N,MATCH($P2176,'G_Fall-back'!$Q:$Q,0))="","",INDEX('G_Fall-back'!N:N,MATCH($P2176,'G_Fall-back'!$Q:$Q,0))))</f>
        <v/>
      </c>
      <c r="O2176" s="485"/>
      <c r="P2176" s="1970" t="str">
        <f>EUconst_CNTR_HeatImportPulp &amp;I2118</f>
        <v>HeatImPulp_Heat benchmark sub-installation, CL</v>
      </c>
      <c r="Q2176" s="1137"/>
      <c r="R2176" s="1137"/>
      <c r="S2176" s="1137"/>
      <c r="T2176" s="1137"/>
      <c r="U2176" s="1137"/>
      <c r="V2176" s="1137"/>
    </row>
    <row r="2177" spans="1:22" s="562" customFormat="1">
      <c r="A2177" s="817"/>
      <c r="C2177" s="485"/>
      <c r="D2177" s="776"/>
      <c r="E2177" s="2473" t="s">
        <v>1489</v>
      </c>
      <c r="F2177" s="3466"/>
      <c r="G2177" s="812" t="str">
        <f>EUconst_tCO2pTJ</f>
        <v>t CO2 / TJ</v>
      </c>
      <c r="H2177" s="627" t="str">
        <f>IF($M2118&lt;&gt;EUconst_Relevant,"",IF(INDEX('G_Fall-back'!H:H,MATCH($P2177,'G_Fall-back'!$Q:$Q,0))="","",INDEX('G_Fall-back'!H:H,MATCH($P2177,'G_Fall-back'!$Q:$Q,0))))</f>
        <v/>
      </c>
      <c r="I2177" s="796" t="str">
        <f>IF($M2118&lt;&gt;EUconst_Relevant,"",IF(INDEX('G_Fall-back'!I:I,MATCH($P2177,'G_Fall-back'!$Q:$Q,0))="","",INDEX('G_Fall-back'!I:I,MATCH($P2177,'G_Fall-back'!$Q:$Q,0))))</f>
        <v/>
      </c>
      <c r="J2177" s="2172" t="str">
        <f>IF($M2118&lt;&gt;EUconst_Relevant,"",IF(INDEX('G_Fall-back'!J:J,MATCH($P2177,'G_Fall-back'!$Q:$Q,0))="","",INDEX('G_Fall-back'!J:J,MATCH($P2177,'G_Fall-back'!$Q:$Q,0))))</f>
        <v/>
      </c>
      <c r="K2177" s="1788" t="str">
        <f>IF($M2118&lt;&gt;EUconst_Relevant,"",IF(INDEX('G_Fall-back'!K:K,MATCH($P2177,'G_Fall-back'!$Q:$Q,0))="","",INDEX('G_Fall-back'!K:K,MATCH($P2177,'G_Fall-back'!$Q:$Q,0))))</f>
        <v/>
      </c>
      <c r="L2177" s="1789" t="str">
        <f>IF($M2118&lt;&gt;EUconst_Relevant,"",IF(INDEX('G_Fall-back'!L:L,MATCH($P2177,'G_Fall-back'!$Q:$Q,0))="","",INDEX('G_Fall-back'!L:L,MATCH($P2177,'G_Fall-back'!$Q:$Q,0))))</f>
        <v/>
      </c>
      <c r="M2177" s="1789" t="str">
        <f>IF($M2118&lt;&gt;EUconst_Relevant,"",IF(INDEX('G_Fall-back'!M:M,MATCH($P2177,'G_Fall-back'!$Q:$Q,0))="","",INDEX('G_Fall-back'!M:M,MATCH($P2177,'G_Fall-back'!$Q:$Q,0))))</f>
        <v/>
      </c>
      <c r="N2177" s="1789" t="str">
        <f>IF($M2118&lt;&gt;EUconst_Relevant,"",IF(INDEX('G_Fall-back'!N:N,MATCH($P2177,'G_Fall-back'!$Q:$Q,0))="","",INDEX('G_Fall-back'!N:N,MATCH($P2177,'G_Fall-back'!$Q:$Q,0))))</f>
        <v/>
      </c>
      <c r="O2177" s="485"/>
      <c r="P2177" s="1970" t="str">
        <f>EUconst_CNTR_HeatImportPulpEF &amp;I2118</f>
        <v>HeatImPulpEF_Heat benchmark sub-installation, CL</v>
      </c>
      <c r="Q2177" s="1137"/>
      <c r="R2177" s="1137"/>
      <c r="S2177" s="1137"/>
      <c r="T2177" s="1137"/>
      <c r="U2177" s="1137"/>
      <c r="V2177" s="1137"/>
    </row>
    <row r="2178" spans="1:22" s="562" customFormat="1" ht="12.75" customHeight="1">
      <c r="A2178" s="817"/>
      <c r="C2178" s="485"/>
      <c r="D2178" s="776"/>
      <c r="E2178" s="2471" t="s">
        <v>1508</v>
      </c>
      <c r="F2178" s="3467"/>
      <c r="G2178" s="811" t="str">
        <f>EUconst_TJpa</f>
        <v>TJ / year</v>
      </c>
      <c r="H2178" s="625" t="str">
        <f>IF($M2118&lt;&gt;EUconst_Relevant,"",IF(INDEX('G_Fall-back'!H:H,MATCH($P2178,'G_Fall-back'!$Q:$Q,0))="","",INDEX('G_Fall-back'!H:H,MATCH($P2178,'G_Fall-back'!$Q:$Q,0))))</f>
        <v/>
      </c>
      <c r="I2178" s="794" t="str">
        <f>IF($M2118&lt;&gt;EUconst_Relevant,"",IF(INDEX('G_Fall-back'!I:I,MATCH($P2178,'G_Fall-back'!$Q:$Q,0))="","",INDEX('G_Fall-back'!I:I,MATCH($P2178,'G_Fall-back'!$Q:$Q,0))))</f>
        <v/>
      </c>
      <c r="J2178" s="2171" t="str">
        <f>IF($M2118&lt;&gt;EUconst_Relevant,"",IF(INDEX('G_Fall-back'!J:J,MATCH($P2178,'G_Fall-back'!$Q:$Q,0))="","",INDEX('G_Fall-back'!J:J,MATCH($P2178,'G_Fall-back'!$Q:$Q,0))))</f>
        <v/>
      </c>
      <c r="K2178" s="1788" t="str">
        <f>IF($M2118&lt;&gt;EUconst_Relevant,"",IF(INDEX('G_Fall-back'!K:K,MATCH($P2178,'G_Fall-back'!$Q:$Q,0))="","",INDEX('G_Fall-back'!K:K,MATCH($P2178,'G_Fall-back'!$Q:$Q,0))))</f>
        <v/>
      </c>
      <c r="L2178" s="1789" t="str">
        <f>IF($M2118&lt;&gt;EUconst_Relevant,"",IF(INDEX('G_Fall-back'!L:L,MATCH($P2178,'G_Fall-back'!$Q:$Q,0))="","",INDEX('G_Fall-back'!L:L,MATCH($P2178,'G_Fall-back'!$Q:$Q,0))))</f>
        <v/>
      </c>
      <c r="M2178" s="1789" t="str">
        <f>IF($M2118&lt;&gt;EUconst_Relevant,"",IF(INDEX('G_Fall-back'!M:M,MATCH($P2178,'G_Fall-back'!$Q:$Q,0))="","",INDEX('G_Fall-back'!M:M,MATCH($P2178,'G_Fall-back'!$Q:$Q,0))))</f>
        <v/>
      </c>
      <c r="N2178" s="1789" t="str">
        <f>IF($M2118&lt;&gt;EUconst_Relevant,"",IF(INDEX('G_Fall-back'!N:N,MATCH($P2178,'G_Fall-back'!$Q:$Q,0))="","",INDEX('G_Fall-back'!N:N,MATCH($P2178,'G_Fall-back'!$Q:$Q,0))))</f>
        <v/>
      </c>
      <c r="O2178" s="485"/>
      <c r="P2178" s="1970" t="str">
        <f>EUconst_CNTR_HeatImportFuel &amp;I2118</f>
        <v>HeatImFuel_Heat benchmark sub-installation, CL</v>
      </c>
      <c r="Q2178" s="1137"/>
      <c r="R2178" s="1137"/>
      <c r="S2178" s="1137"/>
      <c r="T2178" s="1137"/>
      <c r="U2178" s="1137"/>
      <c r="V2178" s="1137"/>
    </row>
    <row r="2179" spans="1:22" s="562" customFormat="1" ht="12.75" customHeight="1">
      <c r="A2179" s="817"/>
      <c r="C2179" s="485"/>
      <c r="D2179" s="776"/>
      <c r="E2179" s="2473" t="s">
        <v>1491</v>
      </c>
      <c r="F2179" s="3466"/>
      <c r="G2179" s="812" t="str">
        <f>EUconst_tCO2pTJ</f>
        <v>t CO2 / TJ</v>
      </c>
      <c r="H2179" s="627" t="str">
        <f>IF($M2118&lt;&gt;EUconst_Relevant,"",IF(INDEX('G_Fall-back'!H:H,MATCH($P2179,'G_Fall-back'!$Q:$Q,0))="","",INDEX('G_Fall-back'!H:H,MATCH($P2179,'G_Fall-back'!$Q:$Q,0))))</f>
        <v/>
      </c>
      <c r="I2179" s="796" t="str">
        <f>IF($M2118&lt;&gt;EUconst_Relevant,"",IF(INDEX('G_Fall-back'!I:I,MATCH($P2179,'G_Fall-back'!$Q:$Q,0))="","",INDEX('G_Fall-back'!I:I,MATCH($P2179,'G_Fall-back'!$Q:$Q,0))))</f>
        <v/>
      </c>
      <c r="J2179" s="2172" t="str">
        <f>IF($M2118&lt;&gt;EUconst_Relevant,"",IF(INDEX('G_Fall-back'!J:J,MATCH($P2179,'G_Fall-back'!$Q:$Q,0))="","",INDEX('G_Fall-back'!J:J,MATCH($P2179,'G_Fall-back'!$Q:$Q,0))))</f>
        <v/>
      </c>
      <c r="K2179" s="1788" t="str">
        <f>IF($M2118&lt;&gt;EUconst_Relevant,"",IF(INDEX('G_Fall-back'!K:K,MATCH($P2179,'G_Fall-back'!$Q:$Q,0))="","",INDEX('G_Fall-back'!K:K,MATCH($P2179,'G_Fall-back'!$Q:$Q,0))))</f>
        <v/>
      </c>
      <c r="L2179" s="1789" t="str">
        <f>IF($M2118&lt;&gt;EUconst_Relevant,"",IF(INDEX('G_Fall-back'!L:L,MATCH($P2179,'G_Fall-back'!$Q:$Q,0))="","",INDEX('G_Fall-back'!L:L,MATCH($P2179,'G_Fall-back'!$Q:$Q,0))))</f>
        <v/>
      </c>
      <c r="M2179" s="1789" t="str">
        <f>IF($M2118&lt;&gt;EUconst_Relevant,"",IF(INDEX('G_Fall-back'!M:M,MATCH($P2179,'G_Fall-back'!$Q:$Q,0))="","",INDEX('G_Fall-back'!M:M,MATCH($P2179,'G_Fall-back'!$Q:$Q,0))))</f>
        <v/>
      </c>
      <c r="N2179" s="1789" t="str">
        <f>IF($M2118&lt;&gt;EUconst_Relevant,"",IF(INDEX('G_Fall-back'!N:N,MATCH($P2179,'G_Fall-back'!$Q:$Q,0))="","",INDEX('G_Fall-back'!N:N,MATCH($P2179,'G_Fall-back'!$Q:$Q,0))))</f>
        <v/>
      </c>
      <c r="O2179" s="485"/>
      <c r="P2179" s="1970" t="str">
        <f>EUconst_CNTR_HeatImportFuelEF &amp;I2118</f>
        <v>HeatImFuelEF_Heat benchmark sub-installation, CL</v>
      </c>
      <c r="Q2179" s="1137"/>
      <c r="R2179" s="1137"/>
      <c r="S2179" s="1137"/>
      <c r="T2179" s="1137"/>
      <c r="U2179" s="1137"/>
      <c r="V2179" s="1137"/>
    </row>
    <row r="2180" spans="1:22" s="562" customFormat="1" ht="12.75" customHeight="1">
      <c r="A2180" s="817"/>
      <c r="C2180" s="485"/>
      <c r="D2180" s="776"/>
      <c r="E2180" s="2471" t="s">
        <v>1509</v>
      </c>
      <c r="F2180" s="3467"/>
      <c r="G2180" s="811" t="str">
        <f>EUconst_TJpa</f>
        <v>TJ / year</v>
      </c>
      <c r="H2180" s="625" t="str">
        <f>IF($M2118&lt;&gt;EUconst_Relevant,"",IF(INDEX('G_Fall-back'!H:H,MATCH($P2180,'G_Fall-back'!$Q:$Q,0))="","",INDEX('G_Fall-back'!H:H,MATCH($P2180,'G_Fall-back'!$Q:$Q,0))))</f>
        <v/>
      </c>
      <c r="I2180" s="794" t="str">
        <f>IF($M2118&lt;&gt;EUconst_Relevant,"",IF(INDEX('G_Fall-back'!I:I,MATCH($P2180,'G_Fall-back'!$Q:$Q,0))="","",INDEX('G_Fall-back'!I:I,MATCH($P2180,'G_Fall-back'!$Q:$Q,0))))</f>
        <v/>
      </c>
      <c r="J2180" s="2171" t="str">
        <f>IF($M2118&lt;&gt;EUconst_Relevant,"",IF(INDEX('G_Fall-back'!J:J,MATCH($P2180,'G_Fall-back'!$Q:$Q,0))="","",INDEX('G_Fall-back'!J:J,MATCH($P2180,'G_Fall-back'!$Q:$Q,0))))</f>
        <v/>
      </c>
      <c r="K2180" s="1788" t="str">
        <f>IF($M2118&lt;&gt;EUconst_Relevant,"",IF(INDEX('G_Fall-back'!K:K,MATCH($P2180,'G_Fall-back'!$Q:$Q,0))="","",INDEX('G_Fall-back'!K:K,MATCH($P2180,'G_Fall-back'!$Q:$Q,0))))</f>
        <v/>
      </c>
      <c r="L2180" s="1789" t="str">
        <f>IF($M2118&lt;&gt;EUconst_Relevant,"",IF(INDEX('G_Fall-back'!L:L,MATCH($P2180,'G_Fall-back'!$Q:$Q,0))="","",INDEX('G_Fall-back'!L:L,MATCH($P2180,'G_Fall-back'!$Q:$Q,0))))</f>
        <v/>
      </c>
      <c r="M2180" s="1789" t="str">
        <f>IF($M2118&lt;&gt;EUconst_Relevant,"",IF(INDEX('G_Fall-back'!M:M,MATCH($P2180,'G_Fall-back'!$Q:$Q,0))="","",INDEX('G_Fall-back'!M:M,MATCH($P2180,'G_Fall-back'!$Q:$Q,0))))</f>
        <v/>
      </c>
      <c r="N2180" s="1789" t="str">
        <f>IF($M2118&lt;&gt;EUconst_Relevant,"",IF(INDEX('G_Fall-back'!N:N,MATCH($P2180,'G_Fall-back'!$Q:$Q,0))="","",INDEX('G_Fall-back'!N:N,MATCH($P2180,'G_Fall-back'!$Q:$Q,0))))</f>
        <v/>
      </c>
      <c r="O2180" s="485"/>
      <c r="P2180" s="1970" t="str">
        <f>EUconst_CNTR_WGImport &amp;I2118</f>
        <v>WasteGasIm_Heat benchmark sub-installation, CL</v>
      </c>
      <c r="Q2180" s="1137"/>
      <c r="R2180" s="1137"/>
      <c r="S2180" s="1137"/>
      <c r="T2180" s="1137"/>
      <c r="U2180" s="1137"/>
      <c r="V2180" s="1137"/>
    </row>
    <row r="2181" spans="1:22" s="562" customFormat="1" ht="12.75" customHeight="1">
      <c r="A2181" s="817"/>
      <c r="C2181" s="485"/>
      <c r="D2181" s="776"/>
      <c r="E2181" s="2473" t="s">
        <v>1492</v>
      </c>
      <c r="F2181" s="3466"/>
      <c r="G2181" s="812" t="str">
        <f>EUconst_tCO2pTJ</f>
        <v>t CO2 / TJ</v>
      </c>
      <c r="H2181" s="627" t="str">
        <f>IF($M2118&lt;&gt;EUconst_Relevant,"",IF(INDEX('G_Fall-back'!H:H,MATCH($P2181,'G_Fall-back'!$Q:$Q,0))="","",INDEX('G_Fall-back'!H:H,MATCH($P2181,'G_Fall-back'!$Q:$Q,0))))</f>
        <v/>
      </c>
      <c r="I2181" s="796" t="str">
        <f>IF($M2118&lt;&gt;EUconst_Relevant,"",IF(INDEX('G_Fall-back'!I:I,MATCH($P2181,'G_Fall-back'!$Q:$Q,0))="","",INDEX('G_Fall-back'!I:I,MATCH($P2181,'G_Fall-back'!$Q:$Q,0))))</f>
        <v/>
      </c>
      <c r="J2181" s="2172" t="str">
        <f>IF($M2118&lt;&gt;EUconst_Relevant,"",IF(INDEX('G_Fall-back'!J:J,MATCH($P2181,'G_Fall-back'!$Q:$Q,0))="","",INDEX('G_Fall-back'!J:J,MATCH($P2181,'G_Fall-back'!$Q:$Q,0))))</f>
        <v/>
      </c>
      <c r="K2181" s="1788" t="str">
        <f>IF($M2118&lt;&gt;EUconst_Relevant,"",IF(INDEX('G_Fall-back'!K:K,MATCH($P2181,'G_Fall-back'!$Q:$Q,0))="","",INDEX('G_Fall-back'!K:K,MATCH($P2181,'G_Fall-back'!$Q:$Q,0))))</f>
        <v/>
      </c>
      <c r="L2181" s="1789" t="str">
        <f>IF($M2118&lt;&gt;EUconst_Relevant,"",IF(INDEX('G_Fall-back'!L:L,MATCH($P2181,'G_Fall-back'!$Q:$Q,0))="","",INDEX('G_Fall-back'!L:L,MATCH($P2181,'G_Fall-back'!$Q:$Q,0))))</f>
        <v/>
      </c>
      <c r="M2181" s="1789" t="str">
        <f>IF($M2118&lt;&gt;EUconst_Relevant,"",IF(INDEX('G_Fall-back'!M:M,MATCH($P2181,'G_Fall-back'!$Q:$Q,0))="","",INDEX('G_Fall-back'!M:M,MATCH($P2181,'G_Fall-back'!$Q:$Q,0))))</f>
        <v/>
      </c>
      <c r="N2181" s="1789" t="str">
        <f>IF($M2118&lt;&gt;EUconst_Relevant,"",IF(INDEX('G_Fall-back'!N:N,MATCH($P2181,'G_Fall-back'!$Q:$Q,0))="","",INDEX('G_Fall-back'!N:N,MATCH($P2181,'G_Fall-back'!$Q:$Q,0))))</f>
        <v/>
      </c>
      <c r="O2181" s="485"/>
      <c r="P2181" s="1970" t="str">
        <f>EUconst_CNTR_WGImportEF &amp;I2118</f>
        <v>WasteGasImEF_Heat benchmark sub-installation, CL</v>
      </c>
      <c r="Q2181" s="1137"/>
      <c r="R2181" s="1137"/>
      <c r="S2181" s="1137"/>
      <c r="T2181" s="1137"/>
      <c r="U2181" s="1137"/>
      <c r="V2181" s="1137"/>
    </row>
    <row r="2182" spans="1:22" s="562" customFormat="1" ht="5.0999999999999996" customHeight="1" thickBot="1">
      <c r="A2182" s="817"/>
      <c r="C2182" s="485"/>
      <c r="D2182" s="839"/>
      <c r="E2182" s="805"/>
      <c r="F2182" s="805"/>
      <c r="G2182" s="805"/>
      <c r="H2182" s="805"/>
      <c r="I2182" s="805"/>
      <c r="J2182" s="805"/>
      <c r="K2182" s="1790"/>
      <c r="L2182" s="1791"/>
      <c r="M2182" s="1791"/>
      <c r="N2182" s="1791"/>
      <c r="O2182" s="485"/>
      <c r="P2182" s="1137"/>
      <c r="Q2182" s="1137"/>
      <c r="R2182" s="1137"/>
      <c r="S2182" s="1137"/>
      <c r="T2182" s="1137"/>
      <c r="U2182" s="1137"/>
      <c r="V2182" s="1137"/>
    </row>
    <row r="2183" spans="1:22" s="562" customFormat="1" ht="5.0999999999999996" customHeight="1" thickBot="1">
      <c r="A2183" s="817"/>
      <c r="C2183" s="485"/>
      <c r="D2183" s="485"/>
      <c r="E2183" s="485"/>
      <c r="F2183" s="485"/>
      <c r="G2183" s="485"/>
      <c r="M2183" s="485"/>
      <c r="N2183" s="485"/>
      <c r="O2183" s="485"/>
      <c r="P2183" s="1137"/>
      <c r="Q2183" s="1137"/>
      <c r="R2183" s="1137"/>
      <c r="S2183" s="1137"/>
      <c r="T2183" s="1137"/>
      <c r="U2183" s="1137"/>
      <c r="V2183" s="1137"/>
    </row>
    <row r="2184" spans="1:22" s="562" customFormat="1" ht="5.0999999999999996" customHeight="1" thickBot="1">
      <c r="A2184" s="817"/>
      <c r="C2184" s="2118"/>
      <c r="D2184" s="2118"/>
      <c r="E2184" s="2118"/>
      <c r="F2184" s="2118"/>
      <c r="G2184" s="2118"/>
      <c r="H2184" s="2118"/>
      <c r="I2184" s="2118"/>
      <c r="J2184" s="2118"/>
      <c r="K2184" s="2118"/>
      <c r="L2184" s="2118"/>
      <c r="M2184" s="2118"/>
      <c r="N2184" s="2118"/>
      <c r="O2184" s="485"/>
      <c r="P2184" s="1137"/>
      <c r="Q2184" s="1137"/>
      <c r="R2184" s="1137"/>
      <c r="S2184" s="1137"/>
      <c r="T2184" s="1137"/>
      <c r="U2184" s="1137"/>
      <c r="V2184" s="1137"/>
    </row>
    <row r="2185" spans="1:22" s="562" customFormat="1" ht="15" customHeight="1" thickBot="1">
      <c r="A2185" s="817"/>
      <c r="C2185" s="559">
        <f>C2118+1</f>
        <v>12</v>
      </c>
      <c r="D2185" s="2482" t="str">
        <f>CONCATENATE(EUconst_FBSubinst," ",C2185-10, ":")</f>
        <v>Fall-Back sub-installation 2:</v>
      </c>
      <c r="E2185" s="2482"/>
      <c r="F2185" s="2482"/>
      <c r="G2185" s="2482"/>
      <c r="H2185" s="2483"/>
      <c r="I2185" s="3473" t="str">
        <f>INDEX(EUconst_FallBackListNames,$C2185-10)</f>
        <v>Heat benchmark sub-installation, non-CL</v>
      </c>
      <c r="J2185" s="3474"/>
      <c r="K2185" s="3474"/>
      <c r="L2185" s="3475"/>
      <c r="M2185" s="3370" t="str">
        <f>IF(INDEX(CNTR_FallBackSubInstRelevant,C2185-10)="","",IF(INDEX(CNTR_FallBackSubInstRelevant,C2185-10),EUconst_Relevant,EUconst_NotRelevant))</f>
        <v/>
      </c>
      <c r="N2185" s="3371"/>
      <c r="O2185" s="485"/>
      <c r="P2185" s="1137"/>
      <c r="Q2185" s="2123">
        <f>C2185</f>
        <v>12</v>
      </c>
      <c r="R2185" s="2124" t="str">
        <f>I2185</f>
        <v>Heat benchmark sub-installation, non-CL</v>
      </c>
      <c r="S2185" s="1137"/>
      <c r="T2185" s="1137"/>
      <c r="U2185" s="1137"/>
      <c r="V2185" s="1137"/>
    </row>
    <row r="2186" spans="1:22" s="562" customFormat="1" ht="5.0999999999999996" customHeight="1">
      <c r="A2186" s="817"/>
      <c r="C2186" s="559"/>
      <c r="D2186" s="559"/>
      <c r="E2186" s="559"/>
      <c r="F2186" s="559"/>
      <c r="G2186" s="559"/>
      <c r="H2186" s="559"/>
      <c r="I2186" s="559"/>
      <c r="J2186" s="559"/>
      <c r="K2186" s="559"/>
      <c r="L2186" s="559"/>
      <c r="M2186" s="559"/>
      <c r="N2186" s="559"/>
      <c r="O2186" s="485"/>
      <c r="P2186" s="1137"/>
      <c r="Q2186" s="1137"/>
      <c r="R2186" s="1137"/>
      <c r="S2186" s="1137"/>
      <c r="T2186" s="1137"/>
      <c r="U2186" s="1137"/>
      <c r="V2186" s="1137"/>
    </row>
    <row r="2187" spans="1:22" s="562" customFormat="1" ht="12.75" customHeight="1">
      <c r="A2187" s="817"/>
      <c r="C2187" s="559"/>
      <c r="D2187" s="559"/>
      <c r="E2187" s="559"/>
      <c r="F2187" s="559"/>
      <c r="H2187" s="688" t="s">
        <v>458</v>
      </c>
      <c r="I2187" s="485"/>
      <c r="J2187" s="688" t="s">
        <v>1434</v>
      </c>
      <c r="K2187" s="688" t="s">
        <v>1684</v>
      </c>
      <c r="L2187" s="689" t="s">
        <v>156</v>
      </c>
      <c r="M2187" s="2469" t="s">
        <v>302</v>
      </c>
      <c r="N2187" s="2469"/>
      <c r="O2187" s="485"/>
      <c r="P2187" s="1137"/>
      <c r="Q2187" s="1137"/>
      <c r="R2187" s="1137"/>
      <c r="S2187" s="1137"/>
      <c r="T2187" s="1137"/>
      <c r="U2187" s="1137"/>
      <c r="V2187" s="1137"/>
    </row>
    <row r="2188" spans="1:22" s="562" customFormat="1" ht="12.75" customHeight="1">
      <c r="A2188" s="817"/>
      <c r="C2188" s="559"/>
      <c r="D2188" s="559"/>
      <c r="E2188" s="690" t="str">
        <f>I2185</f>
        <v>Heat benchmark sub-installation, non-CL</v>
      </c>
      <c r="F2188" s="691"/>
      <c r="G2188" s="691"/>
      <c r="H2188" s="692" t="b">
        <f>INDEX(EUconst_FallBackListCLstatus,MATCH(I2185,EUconst_FallBackListNames,0))</f>
        <v>0</v>
      </c>
      <c r="I2188" s="485"/>
      <c r="J2188" s="566" t="str">
        <f>IF($M2185&lt;&gt;EUconst_Relevant,EUconst_NA,INDEX(CNTR_SubInstStartDate,MATCH(I2185,CNTR_SubInstListNames,0)))</f>
        <v>N.A.</v>
      </c>
      <c r="K2188" s="566" t="str">
        <f>IF($M2185&lt;&gt;EUconst_Relevant,EUconst_NA,IF(INDEX(CNTR_SubInstCessationDate,MATCH(I2185,CNTR_SubInstListNames,0))=0,"",INDEX(CNTR_SubInstCessationDate,MATCH(I2185,CNTR_SubInstListNames,0))))</f>
        <v>N.A.</v>
      </c>
      <c r="L2188" s="693">
        <f>C2185-10</f>
        <v>2</v>
      </c>
      <c r="M2188" s="818" t="str">
        <f>IF(M2185&lt;&gt;EUconst_Relevant,EUconst_NA,INDEX(EUconst_FallBackListBMvaluesMatrix,L2188,3))</f>
        <v>N.A.</v>
      </c>
      <c r="N2188" s="685" t="str">
        <f>EUconst_EUA &amp; "/" &amp; F2191</f>
        <v>UKA/TJ</v>
      </c>
      <c r="O2188" s="485"/>
      <c r="P2188" s="1137"/>
      <c r="Q2188" s="1137"/>
      <c r="R2188" s="1137"/>
      <c r="S2188" s="1137"/>
      <c r="T2188" s="1137"/>
      <c r="U2188" s="1137"/>
      <c r="V2188" s="1137"/>
    </row>
    <row r="2189" spans="1:22" s="562" customFormat="1" ht="5.0999999999999996" customHeight="1" thickBot="1">
      <c r="A2189" s="817"/>
      <c r="C2189" s="485"/>
      <c r="D2189" s="485"/>
      <c r="E2189" s="559"/>
      <c r="J2189" s="485"/>
      <c r="K2189" s="485"/>
      <c r="L2189" s="485"/>
      <c r="M2189" s="485"/>
      <c r="N2189" s="485"/>
      <c r="O2189" s="485"/>
      <c r="P2189" s="1137"/>
      <c r="Q2189" s="1137"/>
      <c r="R2189" s="1137"/>
      <c r="S2189" s="1137"/>
      <c r="T2189" s="1117"/>
      <c r="U2189" s="1137"/>
      <c r="V2189" s="1137"/>
    </row>
    <row r="2190" spans="1:22" s="562" customFormat="1" ht="12.75" customHeight="1">
      <c r="A2190" s="817"/>
      <c r="C2190" s="485"/>
      <c r="D2190" s="485"/>
      <c r="E2190" s="496"/>
      <c r="F2190" s="482" t="str">
        <f>EUconst_Unit</f>
        <v>Unit</v>
      </c>
      <c r="G2190" s="819" t="s">
        <v>1646</v>
      </c>
      <c r="H2190" s="696">
        <f t="shared" ref="H2190:N2190" si="163">H$2737</f>
        <v>2024</v>
      </c>
      <c r="I2190" s="697">
        <f t="shared" si="163"/>
        <v>2025</v>
      </c>
      <c r="J2190" s="2125">
        <f t="shared" si="163"/>
        <v>2026</v>
      </c>
      <c r="K2190" s="1489">
        <f t="shared" si="163"/>
        <v>2027</v>
      </c>
      <c r="L2190" s="1490">
        <f t="shared" si="163"/>
        <v>2028</v>
      </c>
      <c r="M2190" s="1490">
        <f t="shared" si="163"/>
        <v>2029</v>
      </c>
      <c r="N2190" s="1490">
        <f t="shared" si="163"/>
        <v>2030</v>
      </c>
      <c r="O2190" s="485"/>
      <c r="P2190" s="1137"/>
      <c r="Q2190" s="1137" t="s">
        <v>1803</v>
      </c>
      <c r="R2190" s="2126">
        <f>J$2737</f>
        <v>2026</v>
      </c>
      <c r="S2190" s="2127">
        <f>K$2737</f>
        <v>2027</v>
      </c>
      <c r="T2190" s="2127">
        <f>L$2737</f>
        <v>2028</v>
      </c>
      <c r="U2190" s="2127">
        <f>M$2737</f>
        <v>2029</v>
      </c>
      <c r="V2190" s="2128">
        <f>N$2737</f>
        <v>2030</v>
      </c>
    </row>
    <row r="2191" spans="1:22" s="562" customFormat="1" ht="12.75" customHeight="1" thickBot="1">
      <c r="A2191" s="817"/>
      <c r="C2191" s="485"/>
      <c r="D2191" s="485"/>
      <c r="E2191" s="698" t="s">
        <v>1665</v>
      </c>
      <c r="F2191" s="699" t="str">
        <f>INDEX(EUconst_FallBackListUnits,L2188)</f>
        <v>TJ</v>
      </c>
      <c r="G2191" s="820" t="str">
        <f>I2222</f>
        <v/>
      </c>
      <c r="H2191" s="821" t="str">
        <f>IF($M2185&lt;&gt;EUconst_Relevant,"",IF(H2190&gt;=CNTR_ReportingYear,"",SUMIF('G_Fall-back'!$Q:$Q,$P2191,'G_Fall-back'!H:H)))</f>
        <v/>
      </c>
      <c r="I2191" s="822" t="str">
        <f>IF($M2185&lt;&gt;EUconst_Relevant,"",IF(I2190&gt;=CNTR_ReportingYear,"",SUMIF('G_Fall-back'!$Q:$Q,$P2191,'G_Fall-back'!I:I)))</f>
        <v/>
      </c>
      <c r="J2191" s="2176" t="str">
        <f>IF($M2185&lt;&gt;EUconst_Relevant,"",IF(J2190&gt;=CNTR_ReportingYear,"",SUMIF('G_Fall-back'!$Q:$Q,$P2191,'G_Fall-back'!J:J)))</f>
        <v/>
      </c>
      <c r="K2191" s="2177" t="str">
        <f>IF($M2185&lt;&gt;EUconst_Relevant,"",IF(K2190&gt;=CNTR_ReportingYear,"",SUMIF('G_Fall-back'!$Q:$Q,$P2191,'G_Fall-back'!K:K)))</f>
        <v/>
      </c>
      <c r="L2191" s="2178" t="str">
        <f>IF($M2185&lt;&gt;EUconst_Relevant,"",IF(L2190&gt;=CNTR_ReportingYear,"",SUMIF('G_Fall-back'!$Q:$Q,$P2191,'G_Fall-back'!L:L)))</f>
        <v/>
      </c>
      <c r="M2191" s="2178" t="str">
        <f>IF($M2185&lt;&gt;EUconst_Relevant,"",IF(M2190&gt;=CNTR_ReportingYear,"",SUMIF('G_Fall-back'!$Q:$Q,$P2191,'G_Fall-back'!M:M)))</f>
        <v/>
      </c>
      <c r="N2191" s="2178" t="str">
        <f>IF($M2185&lt;&gt;EUconst_Relevant,"",IF(N2190&gt;=CNTR_ReportingYear,"",SUMIF('G_Fall-back'!$Q:$Q,$P2191,'G_Fall-back'!N:N)))</f>
        <v/>
      </c>
      <c r="O2191" s="485"/>
      <c r="P2191" s="1158" t="str">
        <f>EUconst_CNTR_HAL&amp;I2185</f>
        <v>HAL_Heat benchmark sub-installation, non-CL</v>
      </c>
      <c r="Q2191" s="1137"/>
      <c r="R2191" s="1961" t="b">
        <f>AND($M2185=EUconst_Relevant,R2190&lt;=CNTR_ReportingYear,IF($J2188&lt;&gt;EUconst_NA,R2190&gt;=YEAR($J2188),TRUE))</f>
        <v>0</v>
      </c>
      <c r="S2191" s="1675" t="b">
        <f>AND($M2185=EUconst_Relevant,S2190&lt;=CNTR_ReportingYear,IF($J2188&lt;&gt;EUconst_NA,S2190&gt;=YEAR($J2188),TRUE))</f>
        <v>0</v>
      </c>
      <c r="T2191" s="1675" t="b">
        <f>AND($M2185=EUconst_Relevant,T2190&lt;=CNTR_ReportingYear,IF($J2188&lt;&gt;EUconst_NA,T2190&gt;=YEAR($J2188),TRUE))</f>
        <v>0</v>
      </c>
      <c r="U2191" s="1675" t="b">
        <f>AND($M2185=EUconst_Relevant,U2190&lt;=CNTR_ReportingYear,IF($J2188&lt;&gt;EUconst_NA,U2190&gt;=YEAR($J2188),TRUE))</f>
        <v>0</v>
      </c>
      <c r="V2191" s="1676" t="b">
        <f>AND($M2185=EUconst_Relevant,V2190&lt;=CNTR_ReportingYear,IF($J2188&lt;&gt;EUconst_NA,V2190&gt;=YEAR($J2188),TRUE))</f>
        <v>0</v>
      </c>
    </row>
    <row r="2192" spans="1:22" s="562" customFormat="1">
      <c r="A2192" s="817"/>
      <c r="C2192" s="485"/>
      <c r="D2192" s="485"/>
      <c r="E2192" s="698" t="s">
        <v>1782</v>
      </c>
      <c r="F2192" s="699" t="str">
        <f>IF($M2185&lt;&gt;EUconst_Relevant,"",INDEX('G_Fall-back'!H:H,MATCH($P2214,'G_Fall-back'!$Q:$Q,0)-1))</f>
        <v/>
      </c>
      <c r="G2192" s="823" t="str">
        <f>IF($M2185&lt;&gt;EUconst_Relevant,"",INDEX('G_Fall-back'!I:I,MATCH($P2214,'G_Fall-back'!$Q:$Q,0)-1))</f>
        <v/>
      </c>
      <c r="H2192" s="824" t="str">
        <f>IF($M2185&lt;&gt;EUconst_Relevant,"",INDEX('G_Fall-back'!H:H,MATCH($P2192,'G_Fall-back'!$Q:$Q,0)))</f>
        <v/>
      </c>
      <c r="I2192" s="825" t="str">
        <f>IF($M2185&lt;&gt;EUconst_Relevant,"",INDEX('G_Fall-back'!I:I,MATCH($P2192,'G_Fall-back'!$Q:$Q,0)))</f>
        <v/>
      </c>
      <c r="J2192" s="2179" t="str">
        <f>IF($M2185&lt;&gt;EUconst_Relevant,"",INDEX('G_Fall-back'!J:J,MATCH($P2192,'G_Fall-back'!$Q:$Q,0)))</f>
        <v/>
      </c>
      <c r="K2192" s="2141" t="str">
        <f>IF($M2185&lt;&gt;EUconst_Relevant,"",INDEX('G_Fall-back'!K:K,MATCH($P2192,'G_Fall-back'!$Q:$Q,0)))</f>
        <v/>
      </c>
      <c r="L2192" s="2142" t="str">
        <f>IF($M2185&lt;&gt;EUconst_Relevant,"",INDEX('G_Fall-back'!L:L,MATCH($P2192,'G_Fall-back'!$Q:$Q,0)))</f>
        <v/>
      </c>
      <c r="M2192" s="2142" t="str">
        <f>IF($M2185&lt;&gt;EUconst_Relevant,"",INDEX('G_Fall-back'!M:M,MATCH($P2192,'G_Fall-back'!$Q:$Q,0)))</f>
        <v/>
      </c>
      <c r="N2192" s="2142" t="str">
        <f>IF($M2185&lt;&gt;EUconst_Relevant,"",INDEX('G_Fall-back'!N:N,MATCH($P2192,'G_Fall-back'!$Q:$Q,0)))</f>
        <v/>
      </c>
      <c r="O2192" s="485"/>
      <c r="P2192" s="1158" t="str">
        <f>EUconst_CNTR_EnEff&amp;I2185</f>
        <v>EnEff_Heat benchmark sub-installation, non-CL</v>
      </c>
      <c r="Q2192" s="1137"/>
      <c r="R2192" s="1137"/>
      <c r="S2192" s="1137"/>
      <c r="T2192" s="1117"/>
      <c r="U2192" s="1137"/>
      <c r="V2192" s="1137"/>
    </row>
    <row r="2193" spans="1:22" s="562" customFormat="1" ht="5.0999999999999996" customHeight="1" thickBot="1">
      <c r="A2193" s="817"/>
      <c r="B2193" s="485"/>
      <c r="C2193" s="485"/>
      <c r="D2193" s="485"/>
      <c r="F2193" s="485"/>
      <c r="G2193" s="485"/>
      <c r="H2193" s="485"/>
      <c r="I2193" s="743"/>
      <c r="J2193" s="485"/>
      <c r="K2193" s="1790"/>
      <c r="L2193" s="1791"/>
      <c r="M2193" s="1791"/>
      <c r="N2193" s="1791"/>
      <c r="O2193" s="485"/>
      <c r="P2193" s="1137"/>
      <c r="Q2193" s="1137"/>
      <c r="R2193" s="1137"/>
      <c r="S2193" s="1137"/>
      <c r="T2193" s="1137"/>
      <c r="U2193" s="1137"/>
      <c r="V2193" s="1137"/>
    </row>
    <row r="2194" spans="1:22" s="562" customFormat="1" ht="5.0999999999999996" customHeight="1">
      <c r="A2194" s="817"/>
      <c r="B2194" s="485"/>
      <c r="C2194" s="559"/>
      <c r="D2194" s="703"/>
      <c r="E2194" s="704"/>
      <c r="F2194" s="704"/>
      <c r="G2194" s="704"/>
      <c r="H2194" s="704"/>
      <c r="I2194" s="704"/>
      <c r="J2194" s="704"/>
      <c r="K2194" s="2130"/>
      <c r="L2194" s="2131"/>
      <c r="M2194" s="2131"/>
      <c r="N2194" s="2131"/>
      <c r="O2194" s="485"/>
      <c r="P2194" s="1137"/>
      <c r="Q2194" s="1137"/>
      <c r="R2194" s="1137"/>
      <c r="S2194" s="1137"/>
      <c r="T2194" s="1137"/>
      <c r="U2194" s="1137"/>
      <c r="V2194" s="1137"/>
    </row>
    <row r="2195" spans="1:22" s="562" customFormat="1" ht="12.75" customHeight="1">
      <c r="A2195" s="817"/>
      <c r="B2195" s="485"/>
      <c r="C2195" s="559"/>
      <c r="D2195" s="706"/>
      <c r="E2195" s="707" t="s">
        <v>1787</v>
      </c>
      <c r="F2195" s="637"/>
      <c r="G2195" s="637"/>
      <c r="H2195" s="663" t="str">
        <f>EUconst_Unit</f>
        <v>Unit</v>
      </c>
      <c r="I2195" s="708"/>
      <c r="J2195" s="2132">
        <f>J$2737</f>
        <v>2026</v>
      </c>
      <c r="K2195" s="1489">
        <f>K$2737</f>
        <v>2027</v>
      </c>
      <c r="L2195" s="1490">
        <f>L$2737</f>
        <v>2028</v>
      </c>
      <c r="M2195" s="1490">
        <f>M$2737</f>
        <v>2029</v>
      </c>
      <c r="N2195" s="1490">
        <f>N$2737</f>
        <v>2030</v>
      </c>
      <c r="O2195" s="485"/>
      <c r="P2195" s="1137"/>
      <c r="Q2195" s="1137"/>
      <c r="R2195" s="1137"/>
      <c r="S2195" s="1137"/>
      <c r="T2195" s="1137"/>
      <c r="U2195" s="1137"/>
      <c r="V2195" s="1137"/>
    </row>
    <row r="2196" spans="1:22" s="562" customFormat="1" ht="12.75" customHeight="1">
      <c r="A2196" s="817"/>
      <c r="B2196" s="485"/>
      <c r="C2196" s="559"/>
      <c r="D2196" s="706"/>
      <c r="E2196" s="711" t="s">
        <v>1783</v>
      </c>
      <c r="F2196" s="712"/>
      <c r="G2196" s="712"/>
      <c r="H2196" s="713" t="s">
        <v>1021</v>
      </c>
      <c r="I2196" s="712"/>
      <c r="J2196" s="2133" t="str">
        <f>IF(R2191,INDEX('G_Fall-back'!V:V,MATCH($P2196,'G_Fall-back'!$Q:$Q,0))&gt;=3,"")</f>
        <v/>
      </c>
      <c r="K2196" s="2134" t="str">
        <f>IF(S2191,INDEX('G_Fall-back'!W:W,MATCH($P2196,'G_Fall-back'!$Q:$Q,0))&gt;=3,"")</f>
        <v/>
      </c>
      <c r="L2196" s="2135" t="str">
        <f>IF(T2191,INDEX('G_Fall-back'!X:X,MATCH($P2196,'G_Fall-back'!$Q:$Q,0))&gt;=3,"")</f>
        <v/>
      </c>
      <c r="M2196" s="2135" t="str">
        <f>IF(U2191,INDEX('G_Fall-back'!Y:Y,MATCH($P2196,'G_Fall-back'!$Q:$Q,0))&gt;=3,"")</f>
        <v/>
      </c>
      <c r="N2196" s="2135" t="str">
        <f>IF(V2191,INDEX('G_Fall-back'!Z:Z,MATCH($P2196,'G_Fall-back'!$Q:$Q,0))&gt;=3,"")</f>
        <v/>
      </c>
      <c r="O2196" s="485"/>
      <c r="P2196" s="1158" t="str">
        <f>EUconst_CNTR_HALinitial&amp;I2185</f>
        <v>HALini_Heat benchmark sub-installation, non-CL</v>
      </c>
      <c r="Q2196" s="1137"/>
      <c r="R2196" s="1137"/>
      <c r="S2196" s="1137"/>
      <c r="T2196" s="1137"/>
      <c r="U2196" s="1137"/>
      <c r="V2196" s="1137"/>
    </row>
    <row r="2197" spans="1:22" s="562" customFormat="1" ht="12.75" customHeight="1">
      <c r="A2197" s="817"/>
      <c r="B2197" s="485"/>
      <c r="C2197" s="559"/>
      <c r="D2197" s="706"/>
      <c r="E2197" s="714" t="s">
        <v>1784</v>
      </c>
      <c r="F2197" s="715"/>
      <c r="G2197" s="715"/>
      <c r="H2197" s="716" t="s">
        <v>1021</v>
      </c>
      <c r="I2197" s="715"/>
      <c r="J2197" s="2136" t="str">
        <f>IF(R2191,IF($K2188="",2050,YEAR($K2188))&lt;&gt;(J2195-1),"")</f>
        <v/>
      </c>
      <c r="K2197" s="2134" t="str">
        <f>IF(S2191,IF($K2188="",2050,YEAR($K2188))&lt;&gt;(K2195-1),"")</f>
        <v/>
      </c>
      <c r="L2197" s="2135" t="str">
        <f>IF(T2191,IF($K2188="",2050,YEAR($K2188))&lt;&gt;(L2195-1),"")</f>
        <v/>
      </c>
      <c r="M2197" s="2135" t="str">
        <f>IF(U2191,IF($K2188="",2050,YEAR($K2188))&lt;&gt;(M2195-1),"")</f>
        <v/>
      </c>
      <c r="N2197" s="2135" t="str">
        <f>IF(V2191,IF($K2188="",2050,YEAR($K2188))&lt;&gt;(N2195-1),"")</f>
        <v/>
      </c>
      <c r="O2197" s="485"/>
      <c r="P2197" s="1137"/>
      <c r="Q2197" s="1137"/>
      <c r="R2197" s="1137"/>
      <c r="S2197" s="1137"/>
      <c r="T2197" s="1137"/>
      <c r="U2197" s="1137"/>
      <c r="V2197" s="1137"/>
    </row>
    <row r="2198" spans="1:22" s="562" customFormat="1" ht="5.0999999999999996" customHeight="1">
      <c r="A2198" s="817"/>
      <c r="B2198" s="485"/>
      <c r="C2198" s="559"/>
      <c r="D2198" s="706"/>
      <c r="E2198" s="559"/>
      <c r="F2198" s="559"/>
      <c r="G2198" s="559"/>
      <c r="H2198" s="559"/>
      <c r="I2198" s="559"/>
      <c r="J2198" s="559"/>
      <c r="K2198" s="2130"/>
      <c r="L2198" s="2131"/>
      <c r="M2198" s="2131"/>
      <c r="N2198" s="2131"/>
      <c r="O2198" s="485"/>
      <c r="P2198" s="1137"/>
      <c r="Q2198" s="1137"/>
      <c r="R2198" s="1137"/>
      <c r="S2198" s="1137"/>
      <c r="T2198" s="1137"/>
      <c r="U2198" s="1137"/>
      <c r="V2198" s="1137"/>
    </row>
    <row r="2199" spans="1:22" s="562" customFormat="1" ht="12.75" customHeight="1">
      <c r="A2199" s="817"/>
      <c r="B2199" s="485"/>
      <c r="C2199" s="559"/>
      <c r="D2199" s="706"/>
      <c r="E2199" s="496" t="s">
        <v>1762</v>
      </c>
      <c r="F2199" s="485"/>
      <c r="G2199" s="485"/>
      <c r="H2199" s="663" t="str">
        <f>EUconst_Unit</f>
        <v>Unit</v>
      </c>
      <c r="I2199" s="708"/>
      <c r="J2199" s="2125">
        <f>J$2737</f>
        <v>2026</v>
      </c>
      <c r="K2199" s="1489">
        <f>K$2737</f>
        <v>2027</v>
      </c>
      <c r="L2199" s="1490">
        <f>L$2737</f>
        <v>2028</v>
      </c>
      <c r="M2199" s="1490">
        <f>M$2737</f>
        <v>2029</v>
      </c>
      <c r="N2199" s="1490">
        <f>N$2737</f>
        <v>2030</v>
      </c>
      <c r="O2199" s="485"/>
      <c r="P2199" s="1137"/>
      <c r="Q2199" s="1137"/>
      <c r="R2199" s="1137"/>
      <c r="S2199" s="1137"/>
      <c r="T2199" s="1137"/>
      <c r="U2199" s="1137"/>
      <c r="V2199" s="1137"/>
    </row>
    <row r="2200" spans="1:22" s="562" customFormat="1" ht="12.75" hidden="1" customHeight="1">
      <c r="A2200" s="817" t="s">
        <v>2289</v>
      </c>
      <c r="B2200" s="485"/>
      <c r="C2200" s="559"/>
      <c r="D2200" s="706"/>
      <c r="E2200" s="698" t="s">
        <v>1714</v>
      </c>
      <c r="F2200" s="698"/>
      <c r="G2200" s="698"/>
      <c r="H2200" s="639" t="str">
        <f>F2191</f>
        <v>TJ</v>
      </c>
      <c r="I2200" s="698"/>
      <c r="J2200" s="2180" t="str">
        <f>I2222</f>
        <v/>
      </c>
      <c r="K2200" s="2177" t="str">
        <f>J2222</f>
        <v/>
      </c>
      <c r="L2200" s="2178" t="str">
        <f>K2222</f>
        <v/>
      </c>
      <c r="M2200" s="2178" t="str">
        <f>L2222</f>
        <v/>
      </c>
      <c r="N2200" s="2178" t="str">
        <f>M2222</f>
        <v/>
      </c>
      <c r="O2200" s="485"/>
      <c r="P2200" s="1137"/>
      <c r="Q2200" s="1137"/>
      <c r="R2200" s="1137"/>
      <c r="S2200" s="1137"/>
      <c r="T2200" s="1137"/>
      <c r="U2200" s="1137"/>
      <c r="V2200" s="1137"/>
    </row>
    <row r="2201" spans="1:22" s="562" customFormat="1" ht="12.75" customHeight="1">
      <c r="A2201" s="817"/>
      <c r="B2201" s="485"/>
      <c r="C2201" s="559"/>
      <c r="D2201" s="706"/>
      <c r="E2201" s="698" t="s">
        <v>1671</v>
      </c>
      <c r="F2201" s="698"/>
      <c r="G2201" s="698"/>
      <c r="H2201" s="730" t="str">
        <f>EUconst_EUA</f>
        <v>UKA</v>
      </c>
      <c r="I2201" s="731"/>
      <c r="J2201" s="2129" t="str">
        <f>IF($M2185&lt;&gt;EUconst_Relevant,"",MAX(0,ROUND((SUM($M2188)*SUM(J2200))*IF($H2188=TRUE,1,J$2517),0)))</f>
        <v/>
      </c>
      <c r="K2201" s="2072" t="str">
        <f>IF($M2185&lt;&gt;EUconst_Relevant,"",MAX(0,ROUND((SUM($M2188)*SUM(K2200))*IF($H2188=TRUE,1,K$2517),0)))</f>
        <v/>
      </c>
      <c r="L2201" s="2073" t="str">
        <f>IF($M2185&lt;&gt;EUconst_Relevant,"",MAX(0,ROUND((SUM($M2188)*SUM(L2200))*IF($H2188=TRUE,1,L$2517),0)))</f>
        <v/>
      </c>
      <c r="M2201" s="2073" t="str">
        <f>IF($M2185&lt;&gt;EUconst_Relevant,"",MAX(0,ROUND((SUM($M2188)*SUM(M2200))*IF($H2188=TRUE,1,M$2517),0)))</f>
        <v/>
      </c>
      <c r="N2201" s="2073" t="str">
        <f>IF($M2185&lt;&gt;EUconst_Relevant,"",MAX(0,ROUND((SUM($M2188)*SUM(N2200))*IF($H2188=TRUE,1,N$2517),0)))</f>
        <v/>
      </c>
      <c r="O2201" s="485"/>
      <c r="P2201" s="1137"/>
      <c r="Q2201" s="1137"/>
      <c r="R2201" s="1137"/>
      <c r="S2201" s="1137"/>
      <c r="T2201" s="1137"/>
      <c r="U2201" s="1137"/>
      <c r="V2201" s="1137"/>
    </row>
    <row r="2202" spans="1:22" s="562" customFormat="1" ht="5.0999999999999996" customHeight="1">
      <c r="A2202" s="817"/>
      <c r="B2202" s="485"/>
      <c r="C2202" s="559"/>
      <c r="D2202" s="706"/>
      <c r="E2202" s="559"/>
      <c r="F2202" s="559"/>
      <c r="G2202" s="559"/>
      <c r="H2202" s="559"/>
      <c r="I2202" s="559"/>
      <c r="J2202" s="559"/>
      <c r="K2202" s="2130"/>
      <c r="L2202" s="2131"/>
      <c r="M2202" s="2131"/>
      <c r="N2202" s="2131"/>
      <c r="O2202" s="485"/>
      <c r="P2202" s="1137"/>
      <c r="Q2202" s="1137"/>
      <c r="R2202" s="1137"/>
      <c r="S2202" s="1137"/>
      <c r="T2202" s="1137"/>
      <c r="U2202" s="1137"/>
      <c r="V2202" s="1137"/>
    </row>
    <row r="2203" spans="1:22" s="562" customFormat="1" ht="12.75" customHeight="1">
      <c r="A2203" s="817"/>
      <c r="B2203" s="485"/>
      <c r="C2203" s="559"/>
      <c r="D2203" s="706"/>
      <c r="E2203" s="707" t="s">
        <v>1752</v>
      </c>
      <c r="F2203" s="637"/>
      <c r="G2203" s="637"/>
      <c r="H2203" s="663" t="str">
        <f>EUconst_Unit</f>
        <v>Unit</v>
      </c>
      <c r="I2203" s="708"/>
      <c r="J2203" s="2132">
        <f>J$2737</f>
        <v>2026</v>
      </c>
      <c r="K2203" s="1489">
        <f>K$2737</f>
        <v>2027</v>
      </c>
      <c r="L2203" s="1490">
        <f>L$2737</f>
        <v>2028</v>
      </c>
      <c r="M2203" s="1490">
        <f>M$2737</f>
        <v>2029</v>
      </c>
      <c r="N2203" s="1490">
        <f>N$2737</f>
        <v>2030</v>
      </c>
      <c r="O2203" s="485"/>
      <c r="P2203" s="1137"/>
      <c r="Q2203" s="1137"/>
      <c r="R2203" s="1137"/>
      <c r="S2203" s="1137"/>
      <c r="T2203" s="1137"/>
      <c r="U2203" s="1137"/>
      <c r="V2203" s="1137"/>
    </row>
    <row r="2204" spans="1:22" s="562" customFormat="1" ht="12.75" customHeight="1">
      <c r="A2204" s="817"/>
      <c r="B2204" s="485"/>
      <c r="C2204" s="559"/>
      <c r="D2204" s="706"/>
      <c r="E2204" s="720" t="s">
        <v>1691</v>
      </c>
      <c r="F2204" s="720"/>
      <c r="G2204" s="720"/>
      <c r="H2204" s="732" t="str">
        <f>H2200</f>
        <v>TJ</v>
      </c>
      <c r="I2204" s="733"/>
      <c r="J2204" s="2181" t="str">
        <f>INDEX('G_Fall-back'!J:J,MATCH($P2204,'G_Fall-back'!$Q:$Q,0))</f>
        <v/>
      </c>
      <c r="K2204" s="2177" t="str">
        <f>INDEX('G_Fall-back'!K:K,MATCH($P2204,'G_Fall-back'!$Q:$Q,0))</f>
        <v/>
      </c>
      <c r="L2204" s="2178" t="str">
        <f>INDEX('G_Fall-back'!L:L,MATCH($P2204,'G_Fall-back'!$Q:$Q,0))</f>
        <v/>
      </c>
      <c r="M2204" s="2178" t="str">
        <f>INDEX('G_Fall-back'!M:M,MATCH($P2204,'G_Fall-back'!$Q:$Q,0))</f>
        <v/>
      </c>
      <c r="N2204" s="2178" t="str">
        <f>INDEX('G_Fall-back'!N:N,MATCH($P2204,'G_Fall-back'!$Q:$Q,0))</f>
        <v/>
      </c>
      <c r="O2204" s="485"/>
      <c r="P2204" s="1158" t="str">
        <f>EUconst_CNTR_HALinitial&amp;I2185</f>
        <v>HALini_Heat benchmark sub-installation, non-CL</v>
      </c>
      <c r="Q2204" s="1137"/>
      <c r="R2204" s="1137"/>
      <c r="S2204" s="1137"/>
      <c r="T2204" s="1137"/>
      <c r="U2204" s="1137"/>
      <c r="V2204" s="1137"/>
    </row>
    <row r="2205" spans="1:22" s="562" customFormat="1" ht="12.75" customHeight="1">
      <c r="A2205" s="817"/>
      <c r="B2205" s="485"/>
      <c r="C2205" s="559"/>
      <c r="D2205" s="706"/>
      <c r="E2205" s="723" t="s">
        <v>1648</v>
      </c>
      <c r="F2205" s="723"/>
      <c r="G2205" s="723"/>
      <c r="H2205" s="734" t="s">
        <v>1021</v>
      </c>
      <c r="I2205" s="735"/>
      <c r="J2205" s="23" t="str">
        <f>INDEX('G_Fall-back'!J:J,MATCH($P2205,'G_Fall-back'!$Q:$Q,0))</f>
        <v/>
      </c>
      <c r="K2205" s="46" t="str">
        <f>INDEX('G_Fall-back'!K:K,MATCH($P2205,'G_Fall-back'!$Q:$Q,0))</f>
        <v/>
      </c>
      <c r="L2205" s="27" t="str">
        <f>INDEX('G_Fall-back'!L:L,MATCH($P2205,'G_Fall-back'!$Q:$Q,0))</f>
        <v/>
      </c>
      <c r="M2205" s="27" t="str">
        <f>INDEX('G_Fall-back'!M:M,MATCH($P2205,'G_Fall-back'!$Q:$Q,0))</f>
        <v/>
      </c>
      <c r="N2205" s="27" t="str">
        <f>INDEX('G_Fall-back'!N:N,MATCH($P2205,'G_Fall-back'!$Q:$Q,0))</f>
        <v/>
      </c>
      <c r="O2205" s="485"/>
      <c r="P2205" s="1158" t="str">
        <f>EUconst_CNTR_RelThreshold &amp; I2185</f>
        <v>RelThresh_Heat benchmark sub-installation, non-CL</v>
      </c>
      <c r="Q2205" s="1137"/>
      <c r="R2205" s="1137"/>
      <c r="S2205" s="1137"/>
      <c r="T2205" s="1137"/>
      <c r="U2205" s="1137"/>
      <c r="V2205" s="1137"/>
    </row>
    <row r="2206" spans="1:22" s="562" customFormat="1" ht="12.75" customHeight="1">
      <c r="A2206" s="817"/>
      <c r="B2206" s="485"/>
      <c r="C2206" s="559"/>
      <c r="D2206" s="706"/>
      <c r="E2206" s="736" t="s">
        <v>1785</v>
      </c>
      <c r="F2206" s="736"/>
      <c r="G2206" s="736"/>
      <c r="H2206" s="737" t="s">
        <v>1021</v>
      </c>
      <c r="I2206" s="738"/>
      <c r="J2206" s="2145" t="str">
        <f>INDEX('G_Fall-back'!V:V,MATCH($P2206,'G_Fall-back'!$Q:$Q,0)+1)</f>
        <v/>
      </c>
      <c r="K2206" s="2134" t="str">
        <f>INDEX('G_Fall-back'!W:W,MATCH($P2206,'G_Fall-back'!$Q:$Q,0)+1)</f>
        <v/>
      </c>
      <c r="L2206" s="2135" t="str">
        <f>INDEX('G_Fall-back'!X:X,MATCH($P2206,'G_Fall-back'!$Q:$Q,0)+1)</f>
        <v/>
      </c>
      <c r="M2206" s="2135" t="str">
        <f>INDEX('G_Fall-back'!Y:Y,MATCH($P2206,'G_Fall-back'!$Q:$Q,0)+1)</f>
        <v/>
      </c>
      <c r="N2206" s="2135" t="str">
        <f>INDEX('G_Fall-back'!Z:Z,MATCH($P2206,'G_Fall-back'!$Q:$Q,0)+1)</f>
        <v/>
      </c>
      <c r="O2206" s="485"/>
      <c r="P2206" s="1158" t="str">
        <f>P2205</f>
        <v>RelThresh_Heat benchmark sub-installation, non-CL</v>
      </c>
      <c r="Q2206" s="1137"/>
      <c r="R2206" s="1137"/>
      <c r="S2206" s="1137"/>
      <c r="T2206" s="1137"/>
      <c r="U2206" s="1137"/>
      <c r="V2206" s="1137"/>
    </row>
    <row r="2207" spans="1:22" s="562" customFormat="1" ht="12.75" customHeight="1">
      <c r="A2207" s="817"/>
      <c r="B2207" s="485"/>
      <c r="C2207" s="559"/>
      <c r="D2207" s="706"/>
      <c r="E2207" s="727" t="s">
        <v>1689</v>
      </c>
      <c r="F2207" s="727"/>
      <c r="G2207" s="727"/>
      <c r="H2207" s="739" t="str">
        <f>F2191</f>
        <v>TJ</v>
      </c>
      <c r="I2207" s="727"/>
      <c r="J2207" s="2182" t="str">
        <f>INDEX('G_Fall-back'!J:J,MATCH($P2207,'G_Fall-back'!$Q:$Q,0))</f>
        <v/>
      </c>
      <c r="K2207" s="2177" t="str">
        <f>INDEX('G_Fall-back'!K:K,MATCH($P2207,'G_Fall-back'!$Q:$Q,0))</f>
        <v/>
      </c>
      <c r="L2207" s="2178" t="str">
        <f>INDEX('G_Fall-back'!L:L,MATCH($P2207,'G_Fall-back'!$Q:$Q,0))</f>
        <v/>
      </c>
      <c r="M2207" s="2178" t="str">
        <f>INDEX('G_Fall-back'!M:M,MATCH($P2207,'G_Fall-back'!$Q:$Q,0))</f>
        <v/>
      </c>
      <c r="N2207" s="2178" t="str">
        <f>INDEX('G_Fall-back'!N:N,MATCH($P2207,'G_Fall-back'!$Q:$Q,0))</f>
        <v/>
      </c>
      <c r="O2207" s="485"/>
      <c r="P2207" s="1158" t="str">
        <f>EUconst_CNTR_HALprelim&amp;I2185</f>
        <v>HALprelim_Heat benchmark sub-installation, non-CL</v>
      </c>
      <c r="Q2207" s="1137"/>
      <c r="R2207" s="1137"/>
      <c r="S2207" s="1137"/>
      <c r="T2207" s="1137"/>
      <c r="U2207" s="1137"/>
      <c r="V2207" s="1137"/>
    </row>
    <row r="2208" spans="1:22" s="562" customFormat="1" ht="12.75" customHeight="1">
      <c r="A2208" s="817"/>
      <c r="B2208" s="485"/>
      <c r="C2208" s="559"/>
      <c r="D2208" s="706"/>
      <c r="E2208" s="698" t="s">
        <v>1671</v>
      </c>
      <c r="F2208" s="698"/>
      <c r="G2208" s="698"/>
      <c r="H2208" s="730" t="str">
        <f>EUconst_EUA</f>
        <v>UKA</v>
      </c>
      <c r="I2208" s="731"/>
      <c r="J2208" s="2129" t="str">
        <f>IF($M2185&lt;&gt;EUconst_Relevant,"",MAX(0,ROUND((SUM($M2188)*SUM(J2207))*IF($H2188=TRUE,1,J$2517),0)))</f>
        <v/>
      </c>
      <c r="K2208" s="2072" t="str">
        <f>IF($M2185&lt;&gt;EUconst_Relevant,"",MAX(0,ROUND((SUM($M2188)*SUM(K2207))*IF($H2188=TRUE,1,K$2517),0)))</f>
        <v/>
      </c>
      <c r="L2208" s="2073" t="str">
        <f>IF($M2185&lt;&gt;EUconst_Relevant,"",MAX(0,ROUND((SUM($M2188)*SUM(L2207))*IF($H2188=TRUE,1,L$2517),0)))</f>
        <v/>
      </c>
      <c r="M2208" s="2073" t="str">
        <f>IF($M2185&lt;&gt;EUconst_Relevant,"",MAX(0,ROUND((SUM($M2188)*SUM(M2207))*IF($H2188=TRUE,1,M$2517),0)))</f>
        <v/>
      </c>
      <c r="N2208" s="2073" t="str">
        <f>IF($M2185&lt;&gt;EUconst_Relevant,"",MAX(0,ROUND((SUM($M2188)*SUM(N2207))*IF($H2188=TRUE,1,N$2517),0)))</f>
        <v/>
      </c>
      <c r="O2208" s="485"/>
      <c r="P2208" s="1137"/>
      <c r="Q2208" s="1137"/>
      <c r="R2208" s="1137"/>
      <c r="S2208" s="1137"/>
      <c r="T2208" s="1137"/>
      <c r="U2208" s="1137"/>
      <c r="V2208" s="1137"/>
    </row>
    <row r="2209" spans="1:22" s="562" customFormat="1" ht="12.75" customHeight="1">
      <c r="A2209" s="817"/>
      <c r="C2209" s="559"/>
      <c r="D2209" s="706"/>
      <c r="E2209" s="698" t="s">
        <v>1670</v>
      </c>
      <c r="F2209" s="698"/>
      <c r="G2209" s="698"/>
      <c r="H2209" s="730" t="str">
        <f>EUconst_EUA</f>
        <v>UKA</v>
      </c>
      <c r="I2209" s="731"/>
      <c r="J2209" s="2129" t="str">
        <f>IF($M2185&lt;&gt;EUconst_Relevant,"",ABS(SUM(J2208)-SUM(J2201)))</f>
        <v/>
      </c>
      <c r="K2209" s="2072" t="str">
        <f>IF($M2185&lt;&gt;EUconst_Relevant,"",ABS(SUM(K2208)-SUM(K2201)))</f>
        <v/>
      </c>
      <c r="L2209" s="2073" t="str">
        <f>IF($M2185&lt;&gt;EUconst_Relevant,"",ABS(SUM(L2208)-SUM(L2201)))</f>
        <v/>
      </c>
      <c r="M2209" s="2073" t="str">
        <f>IF($M2185&lt;&gt;EUconst_Relevant,"",ABS(SUM(M2208)-SUM(M2201)))</f>
        <v/>
      </c>
      <c r="N2209" s="2073" t="str">
        <f>IF($M2185&lt;&gt;EUconst_Relevant,"",ABS(SUM(N2208)-SUM(N2201)))</f>
        <v/>
      </c>
      <c r="O2209" s="485"/>
      <c r="P2209" s="1137"/>
      <c r="Q2209" s="1137"/>
      <c r="R2209" s="1137"/>
      <c r="S2209" s="1137"/>
      <c r="T2209" s="1137"/>
      <c r="U2209" s="1137"/>
      <c r="V2209" s="1137"/>
    </row>
    <row r="2210" spans="1:22" s="562" customFormat="1" ht="12.75" customHeight="1">
      <c r="A2210" s="817"/>
      <c r="C2210" s="559"/>
      <c r="D2210" s="706"/>
      <c r="E2210" s="740" t="s">
        <v>2136</v>
      </c>
      <c r="F2210" s="740"/>
      <c r="G2210" s="740"/>
      <c r="H2210" s="741" t="s">
        <v>1021</v>
      </c>
      <c r="I2210" s="742"/>
      <c r="J2210" s="2147" t="str">
        <f>IF($M2185&lt;&gt;EUconst_Relevant,"",J2209&gt;=100)</f>
        <v/>
      </c>
      <c r="K2210" s="2134" t="str">
        <f>IF($M2185&lt;&gt;EUconst_Relevant,"",K2209&gt;=100)</f>
        <v/>
      </c>
      <c r="L2210" s="2135" t="str">
        <f>IF($M2185&lt;&gt;EUconst_Relevant,"",L2209&gt;=100)</f>
        <v/>
      </c>
      <c r="M2210" s="2135" t="str">
        <f>IF($M2185&lt;&gt;EUconst_Relevant,"",M2209&gt;=100)</f>
        <v/>
      </c>
      <c r="N2210" s="2135" t="str">
        <f>IF($M2185&lt;&gt;EUconst_Relevant,"",N2209&gt;=100)</f>
        <v/>
      </c>
      <c r="O2210" s="485"/>
      <c r="P2210" s="1158" t="str">
        <f>EUconst_CNTR_100EUA_ActivityLevel&amp;I2185</f>
        <v>EUA100AL_Heat benchmark sub-installation, non-CL</v>
      </c>
      <c r="Q2210" s="1137"/>
      <c r="R2210" s="1137"/>
      <c r="S2210" s="1137"/>
      <c r="T2210" s="1137"/>
      <c r="U2210" s="1137"/>
      <c r="V2210" s="1137"/>
    </row>
    <row r="2211" spans="1:22" s="562" customFormat="1" ht="5.0999999999999996" customHeight="1">
      <c r="A2211" s="817"/>
      <c r="C2211" s="559"/>
      <c r="D2211" s="706"/>
      <c r="E2211" s="485"/>
      <c r="F2211" s="485"/>
      <c r="G2211" s="485"/>
      <c r="H2211" s="485"/>
      <c r="I2211" s="743"/>
      <c r="J2211" s="485"/>
      <c r="K2211" s="1790"/>
      <c r="L2211" s="1791"/>
      <c r="M2211" s="1791"/>
      <c r="N2211" s="1791"/>
      <c r="O2211" s="485"/>
      <c r="P2211" s="1137"/>
      <c r="Q2211" s="1137"/>
      <c r="R2211" s="1137"/>
      <c r="S2211" s="1137"/>
      <c r="T2211" s="1137"/>
      <c r="U2211" s="1137"/>
      <c r="V2211" s="1137"/>
    </row>
    <row r="2212" spans="1:22" s="562" customFormat="1">
      <c r="A2212" s="817"/>
      <c r="C2212" s="485"/>
      <c r="D2212" s="539"/>
      <c r="E2212" s="707" t="s">
        <v>1791</v>
      </c>
      <c r="F2212" s="637"/>
      <c r="G2212" s="637"/>
      <c r="H2212" s="663"/>
      <c r="I2212" s="708"/>
      <c r="J2212" s="2125">
        <f>J$2737</f>
        <v>2026</v>
      </c>
      <c r="K2212" s="1489">
        <f>K$2737</f>
        <v>2027</v>
      </c>
      <c r="L2212" s="1490">
        <f>L$2737</f>
        <v>2028</v>
      </c>
      <c r="M2212" s="1490">
        <f>M$2737</f>
        <v>2029</v>
      </c>
      <c r="N2212" s="1490">
        <f>N$2737</f>
        <v>2030</v>
      </c>
      <c r="O2212" s="485"/>
      <c r="P2212" s="1137"/>
      <c r="Q2212" s="1137"/>
      <c r="R2212" s="1137"/>
      <c r="S2212" s="1137"/>
      <c r="T2212" s="1117"/>
      <c r="U2212" s="1137"/>
      <c r="V2212" s="1137"/>
    </row>
    <row r="2213" spans="1:22" s="562" customFormat="1">
      <c r="A2213" s="817"/>
      <c r="C2213" s="485"/>
      <c r="D2213" s="539"/>
      <c r="E2213" s="720" t="s">
        <v>1691</v>
      </c>
      <c r="F2213" s="720"/>
      <c r="G2213" s="720"/>
      <c r="H2213" s="720"/>
      <c r="I2213" s="827"/>
      <c r="J2213" s="24" t="str">
        <f>IF($M2185&lt;&gt;EUconst_Relevant,"",INDEX('G_Fall-back'!J:J,MATCH($P2213,'G_Fall-back'!$Q:$Q,0)))</f>
        <v/>
      </c>
      <c r="K2213" s="46" t="str">
        <f>IF($M2185&lt;&gt;EUconst_Relevant,"",INDEX('G_Fall-back'!K:K,MATCH($P2213,'G_Fall-back'!$Q:$Q,0)))</f>
        <v/>
      </c>
      <c r="L2213" s="27" t="str">
        <f>IF($M2185&lt;&gt;EUconst_Relevant,"",INDEX('G_Fall-back'!L:L,MATCH($P2213,'G_Fall-back'!$Q:$Q,0)))</f>
        <v/>
      </c>
      <c r="M2213" s="27" t="str">
        <f>IF($M2185&lt;&gt;EUconst_Relevant,"",INDEX('G_Fall-back'!M:M,MATCH($P2213,'G_Fall-back'!$Q:$Q,0)))</f>
        <v/>
      </c>
      <c r="N2213" s="27" t="str">
        <f>IF($M2185&lt;&gt;EUconst_Relevant,"",INDEX('G_Fall-back'!N:N,MATCH($P2213,'G_Fall-back'!$Q:$Q,0)))</f>
        <v/>
      </c>
      <c r="O2213" s="485"/>
      <c r="P2213" s="1158" t="str">
        <f>EUconst_CNTR_EnEffInitial&amp;I2185</f>
        <v>EnEffIni_Heat benchmark sub-installation, non-CL</v>
      </c>
      <c r="Q2213" s="1137"/>
      <c r="R2213" s="1137"/>
      <c r="S2213" s="1137"/>
      <c r="T2213" s="1117"/>
      <c r="U2213" s="1137"/>
      <c r="V2213" s="1137"/>
    </row>
    <row r="2214" spans="1:22" s="562" customFormat="1" ht="13.5" thickBot="1">
      <c r="A2214" s="817"/>
      <c r="C2214" s="485"/>
      <c r="D2214" s="539"/>
      <c r="E2214" s="727" t="s">
        <v>1648</v>
      </c>
      <c r="F2214" s="727"/>
      <c r="G2214" s="727"/>
      <c r="H2214" s="727"/>
      <c r="I2214" s="828"/>
      <c r="J2214" s="25" t="str">
        <f>IF($M2185&lt;&gt;EUconst_Relevant,"",INDEX('G_Fall-back'!J:J,MATCH($P2214,'G_Fall-back'!$Q:$Q,0)))</f>
        <v/>
      </c>
      <c r="K2214" s="46" t="str">
        <f>IF($M2185&lt;&gt;EUconst_Relevant,"",INDEX('G_Fall-back'!K:K,MATCH($P2214,'G_Fall-back'!$Q:$Q,0)))</f>
        <v/>
      </c>
      <c r="L2214" s="27" t="str">
        <f>IF($M2185&lt;&gt;EUconst_Relevant,"",INDEX('G_Fall-back'!L:L,MATCH($P2214,'G_Fall-back'!$Q:$Q,0)))</f>
        <v/>
      </c>
      <c r="M2214" s="27" t="str">
        <f>IF($M2185&lt;&gt;EUconst_Relevant,"",INDEX('G_Fall-back'!M:M,MATCH($P2214,'G_Fall-back'!$Q:$Q,0)))</f>
        <v/>
      </c>
      <c r="N2214" s="27" t="str">
        <f>IF($M2185&lt;&gt;EUconst_Relevant,"",INDEX('G_Fall-back'!N:N,MATCH($P2214,'G_Fall-back'!$Q:$Q,0)))</f>
        <v/>
      </c>
      <c r="O2214" s="485"/>
      <c r="P2214" s="2183" t="str">
        <f>EUconst_CNTR_EnEffPct&amp;I2185</f>
        <v>EnEffPct_Heat benchmark sub-installation, non-CL</v>
      </c>
      <c r="Q2214" s="1137"/>
      <c r="R2214" s="1137"/>
      <c r="S2214" s="1137"/>
      <c r="T2214" s="1117"/>
      <c r="U2214" s="1137"/>
      <c r="V2214" s="1137"/>
    </row>
    <row r="2215" spans="1:22" s="562" customFormat="1">
      <c r="A2215" s="817"/>
      <c r="C2215" s="485"/>
      <c r="D2215" s="539"/>
      <c r="E2215" s="829" t="s">
        <v>2230</v>
      </c>
      <c r="F2215" s="829"/>
      <c r="G2215" s="829"/>
      <c r="H2215" s="830" t="s">
        <v>1021</v>
      </c>
      <c r="I2215" s="831"/>
      <c r="J2215" s="2133" t="str">
        <f>IF($M2185&lt;&gt;EUconst_Relevant,"",INDEX('G_Fall-back'!J:J,MATCH($P2215,'G_Fall-back'!$Q:$Q,0)))</f>
        <v/>
      </c>
      <c r="K2215" s="2134" t="str">
        <f>IF($M2185&lt;&gt;EUconst_Relevant,"",INDEX('G_Fall-back'!K:K,MATCH($P2215,'G_Fall-back'!$Q:$Q,0)))</f>
        <v/>
      </c>
      <c r="L2215" s="2135" t="str">
        <f>IF($M2185&lt;&gt;EUconst_Relevant,"",INDEX('G_Fall-back'!L:L,MATCH($P2215,'G_Fall-back'!$Q:$Q,0)))</f>
        <v/>
      </c>
      <c r="M2215" s="2135" t="str">
        <f>IF($M2185&lt;&gt;EUconst_Relevant,"",INDEX('G_Fall-back'!M:M,MATCH($P2215,'G_Fall-back'!$Q:$Q,0)))</f>
        <v/>
      </c>
      <c r="N2215" s="2135" t="str">
        <f>IF($M2185&lt;&gt;EUconst_Relevant,"",INDEX('G_Fall-back'!N:N,MATCH($P2215,'G_Fall-back'!$Q:$Q,0)))</f>
        <v/>
      </c>
      <c r="O2215" s="485"/>
      <c r="P2215" s="1158" t="str">
        <f>EUconst_CNTR_CARejectionRelevant&amp;I2185</f>
        <v>CARejectRel_Heat benchmark sub-installation, non-CL</v>
      </c>
      <c r="Q2215" s="1137"/>
      <c r="R2215" s="2126">
        <f>J$2737</f>
        <v>2026</v>
      </c>
      <c r="S2215" s="2127">
        <f>K$2737</f>
        <v>2027</v>
      </c>
      <c r="T2215" s="2127">
        <f>L$2737</f>
        <v>2028</v>
      </c>
      <c r="U2215" s="2127">
        <f>M$2737</f>
        <v>2029</v>
      </c>
      <c r="V2215" s="2128">
        <f>N$2737</f>
        <v>2030</v>
      </c>
    </row>
    <row r="2216" spans="1:22" s="562" customFormat="1" ht="13.5" thickBot="1">
      <c r="A2216" s="817"/>
      <c r="C2216" s="485"/>
      <c r="D2216" s="539"/>
      <c r="E2216" s="714" t="s">
        <v>2231</v>
      </c>
      <c r="F2216" s="714"/>
      <c r="G2216" s="714"/>
      <c r="H2216" s="832" t="s">
        <v>1021</v>
      </c>
      <c r="I2216" s="716"/>
      <c r="J2216" s="2136" t="str">
        <f>IF($M2185&lt;&gt;EUconst_Relevant,"",IF(R2216=0,EUconst_ERR_CADecision,R2216))</f>
        <v/>
      </c>
      <c r="K2216" s="2134" t="str">
        <f>IF($M2185&lt;&gt;EUconst_Relevant,"",IF(S2216=0,EUconst_ERR_CADecision,S2216))</f>
        <v/>
      </c>
      <c r="L2216" s="2135" t="str">
        <f>IF($M2185&lt;&gt;EUconst_Relevant,"",IF(T2216=0,EUconst_ERR_CADecision,T2216))</f>
        <v/>
      </c>
      <c r="M2216" s="2135" t="str">
        <f>IF($M2185&lt;&gt;EUconst_Relevant,"",IF(U2216=0,EUconst_ERR_CADecision,U2216))</f>
        <v/>
      </c>
      <c r="N2216" s="2135" t="str">
        <f>IF($M2185&lt;&gt;EUconst_Relevant,"",IF(V2216=0,EUconst_ERR_CADecision,V2216))</f>
        <v/>
      </c>
      <c r="O2216" s="485"/>
      <c r="P2216" s="1158" t="str">
        <f>EUconst_CNTR_CARejection &amp; I2185</f>
        <v>CAReject_Heat benchmark sub-installation, non-CL</v>
      </c>
      <c r="Q2216" s="1137"/>
      <c r="R2216" s="1961" t="str">
        <f>IF(J2215=TRUE,INDEX('G_Fall-back'!J:J,MATCH($P2216,'G_Fall-back'!$Q:$Q,0)),EUconst_NA)</f>
        <v>N.A.</v>
      </c>
      <c r="S2216" s="1675" t="str">
        <f>IF(K2215=TRUE,INDEX('G_Fall-back'!K:K,MATCH($P2216,'G_Fall-back'!$Q:$Q,0)),EUconst_NA)</f>
        <v>N.A.</v>
      </c>
      <c r="T2216" s="1675" t="str">
        <f>IF(L2215=TRUE,INDEX('G_Fall-back'!L:L,MATCH($P2216,'G_Fall-back'!$Q:$Q,0)),EUconst_NA)</f>
        <v>N.A.</v>
      </c>
      <c r="U2216" s="1675" t="str">
        <f>IF(M2215=TRUE,INDEX('G_Fall-back'!M:M,MATCH($P2216,'G_Fall-back'!$Q:$Q,0)),EUconst_NA)</f>
        <v>N.A.</v>
      </c>
      <c r="V2216" s="1676" t="str">
        <f>IF(N2215=TRUE,INDEX('G_Fall-back'!N:N,MATCH($P2216,'G_Fall-back'!$Q:$Q,0)),EUconst_NA)</f>
        <v>N.A.</v>
      </c>
    </row>
    <row r="2217" spans="1:22" s="562" customFormat="1">
      <c r="A2217" s="817"/>
      <c r="C2217" s="485"/>
      <c r="D2217" s="539"/>
      <c r="E2217" s="698" t="s">
        <v>1794</v>
      </c>
      <c r="F2217" s="698"/>
      <c r="G2217" s="698"/>
      <c r="H2217" s="833" t="s">
        <v>1021</v>
      </c>
      <c r="I2217" s="2184"/>
      <c r="J2217" s="26" t="str">
        <f>INDEX('G_Fall-back'!J:J,MATCH($P2217,'G_Fall-back'!$Q:$Q,0))</f>
        <v/>
      </c>
      <c r="K2217" s="52" t="str">
        <f>INDEX('G_Fall-back'!K:K,MATCH($P2217,'G_Fall-back'!$Q:$Q,0))</f>
        <v/>
      </c>
      <c r="L2217" s="28" t="str">
        <f>INDEX('G_Fall-back'!L:L,MATCH($P2217,'G_Fall-back'!$Q:$Q,0))</f>
        <v/>
      </c>
      <c r="M2217" s="28" t="str">
        <f>INDEX('G_Fall-back'!M:M,MATCH($P2217,'G_Fall-back'!$Q:$Q,0))</f>
        <v/>
      </c>
      <c r="N2217" s="28" t="str">
        <f>INDEX('G_Fall-back'!N:N,MATCH($P2217,'G_Fall-back'!$Q:$Q,0))</f>
        <v/>
      </c>
      <c r="O2217" s="485"/>
      <c r="P2217" s="1158" t="str">
        <f>EUconst_CNTR_HALAdjPct&amp;I2185</f>
        <v>HALAdjPct_Heat benchmark sub-installation, non-CL</v>
      </c>
      <c r="Q2217" s="1137"/>
      <c r="R2217" s="1137"/>
      <c r="S2217" s="1137"/>
      <c r="T2217" s="1117"/>
      <c r="U2217" s="1137"/>
      <c r="V2217" s="1137"/>
    </row>
    <row r="2218" spans="1:22" s="562" customFormat="1" ht="5.0999999999999996" customHeight="1" thickBot="1">
      <c r="A2218" s="817"/>
      <c r="C2218" s="485"/>
      <c r="D2218" s="771"/>
      <c r="E2218" s="756"/>
      <c r="F2218" s="756"/>
      <c r="G2218" s="756"/>
      <c r="H2218" s="756"/>
      <c r="I2218" s="835"/>
      <c r="J2218" s="756"/>
      <c r="K2218" s="1790"/>
      <c r="L2218" s="1791"/>
      <c r="M2218" s="1791"/>
      <c r="N2218" s="1791"/>
      <c r="O2218" s="485"/>
      <c r="P2218" s="1137"/>
      <c r="Q2218" s="1137"/>
      <c r="R2218" s="1137"/>
      <c r="S2218" s="1137"/>
      <c r="T2218" s="1117"/>
      <c r="U2218" s="1137"/>
      <c r="V2218" s="1137"/>
    </row>
    <row r="2219" spans="1:22" s="562" customFormat="1" ht="5.0999999999999996" customHeight="1" thickBot="1">
      <c r="A2219" s="817"/>
      <c r="C2219" s="485"/>
      <c r="D2219" s="485"/>
      <c r="E2219" s="485"/>
      <c r="F2219" s="485"/>
      <c r="G2219" s="485"/>
      <c r="H2219" s="485"/>
      <c r="I2219" s="836"/>
      <c r="J2219" s="485"/>
      <c r="K2219" s="1790"/>
      <c r="L2219" s="1791"/>
      <c r="M2219" s="1791"/>
      <c r="N2219" s="1791"/>
      <c r="O2219" s="485"/>
      <c r="P2219" s="1137"/>
      <c r="Q2219" s="1137"/>
      <c r="R2219" s="1137"/>
      <c r="S2219" s="1137"/>
      <c r="T2219" s="1117"/>
      <c r="U2219" s="1137"/>
      <c r="V2219" s="1137"/>
    </row>
    <row r="2220" spans="1:22" s="562" customFormat="1" ht="5.0999999999999996" customHeight="1">
      <c r="A2220" s="817"/>
      <c r="C2220" s="485"/>
      <c r="D2220" s="759"/>
      <c r="E2220" s="760"/>
      <c r="F2220" s="760"/>
      <c r="G2220" s="760"/>
      <c r="H2220" s="760"/>
      <c r="I2220" s="761"/>
      <c r="J2220" s="760"/>
      <c r="K2220" s="1790"/>
      <c r="L2220" s="1791"/>
      <c r="M2220" s="1791"/>
      <c r="N2220" s="1791"/>
      <c r="O2220" s="485"/>
      <c r="P2220" s="1137"/>
      <c r="Q2220" s="1137"/>
      <c r="R2220" s="1137"/>
      <c r="S2220" s="1137"/>
      <c r="T2220" s="1117"/>
      <c r="U2220" s="1137"/>
      <c r="V2220" s="1137"/>
    </row>
    <row r="2221" spans="1:22" s="562" customFormat="1">
      <c r="A2221" s="817"/>
      <c r="C2221" s="485"/>
      <c r="D2221" s="539"/>
      <c r="E2221" s="496" t="s">
        <v>1786</v>
      </c>
      <c r="F2221" s="485"/>
      <c r="G2221" s="485"/>
      <c r="H2221" s="663" t="str">
        <f>EUconst_Unit</f>
        <v>Unit</v>
      </c>
      <c r="I2221" s="837" t="s">
        <v>1675</v>
      </c>
      <c r="J2221" s="2132">
        <f>J$2737</f>
        <v>2026</v>
      </c>
      <c r="K2221" s="1489">
        <f>K$2737</f>
        <v>2027</v>
      </c>
      <c r="L2221" s="1490">
        <f>L$2737</f>
        <v>2028</v>
      </c>
      <c r="M2221" s="1490">
        <f>M$2737</f>
        <v>2029</v>
      </c>
      <c r="N2221" s="1490">
        <f>N$2737</f>
        <v>2030</v>
      </c>
      <c r="O2221" s="485"/>
      <c r="P2221" s="1137"/>
      <c r="Q2221" s="1137"/>
      <c r="R2221" s="1137"/>
      <c r="S2221" s="2155" t="s">
        <v>1646</v>
      </c>
      <c r="T2221" s="1117"/>
      <c r="U2221" s="1137"/>
      <c r="V2221" s="1137"/>
    </row>
    <row r="2222" spans="1:22" s="562" customFormat="1">
      <c r="A2222" s="817"/>
      <c r="C2222" s="485"/>
      <c r="D2222" s="539"/>
      <c r="E2222" s="698" t="s">
        <v>1692</v>
      </c>
      <c r="F2222" s="698"/>
      <c r="G2222" s="698"/>
      <c r="H2222" s="639" t="str">
        <f>F2191</f>
        <v>TJ</v>
      </c>
      <c r="I2222" s="826" t="str">
        <f>IF($M2185&lt;&gt;EUconst_Relevant,"",IF(T2223&gt;=$H$2736,0,S2222))</f>
        <v/>
      </c>
      <c r="J2222" s="2176" t="str">
        <f>INDEX('G_Fall-back'!J:J,MATCH($P2222,'G_Fall-back'!$Q:$Q,0))</f>
        <v/>
      </c>
      <c r="K2222" s="2177" t="str">
        <f>INDEX('G_Fall-back'!K:K,MATCH($P2222,'G_Fall-back'!$Q:$Q,0))</f>
        <v/>
      </c>
      <c r="L2222" s="2178" t="str">
        <f>INDEX('G_Fall-back'!L:L,MATCH($P2222,'G_Fall-back'!$Q:$Q,0))</f>
        <v/>
      </c>
      <c r="M2222" s="2178" t="str">
        <f>INDEX('G_Fall-back'!M:M,MATCH($P2222,'G_Fall-back'!$Q:$Q,0))</f>
        <v/>
      </c>
      <c r="N2222" s="2178" t="str">
        <f>INDEX('G_Fall-back'!N:N,MATCH($P2222,'G_Fall-back'!$Q:$Q,0))</f>
        <v/>
      </c>
      <c r="O2222" s="485"/>
      <c r="P2222" s="1158" t="str">
        <f>EUconst_CNTR_HALfinal&amp;I2185</f>
        <v>HALfinal_Heat benchmark sub-installation, non-CL</v>
      </c>
      <c r="Q2222" s="1137"/>
      <c r="R2222" s="1137"/>
      <c r="S2222" s="2165" t="str">
        <f>IF($M2185&lt;&gt;EUconst_Relevant,"",SUMIF('G_Fall-back'!$Q:$Q,$P2222,'G_Fall-back'!I:I))</f>
        <v/>
      </c>
      <c r="T2222" s="1117"/>
      <c r="U2222" s="1137"/>
      <c r="V2222" s="1137"/>
    </row>
    <row r="2223" spans="1:22" s="562" customFormat="1">
      <c r="A2223" s="817"/>
      <c r="C2223" s="485"/>
      <c r="D2223" s="539"/>
      <c r="E2223" s="698" t="s">
        <v>222</v>
      </c>
      <c r="F2223" s="698"/>
      <c r="G2223" s="698"/>
      <c r="H2223" s="730" t="str">
        <f>EUconst_EUA</f>
        <v>UKA</v>
      </c>
      <c r="I2223" s="838" t="str">
        <f>IF($M2185&lt;&gt;EUconst_Relevant,"",MAX(0,ROUND((SUM($M2188)*SUM(I2222))*IF($H2188=TRUE,1,J$2517),0)))</f>
        <v/>
      </c>
      <c r="J2223" s="2129" t="str">
        <f t="shared" ref="J2223:N2223" si="164">IF($M2185&lt;&gt;EUconst_Relevant,"",MAX(0,ROUND((SUM($M2188)*SUM(J2222))*IF($H2188=TRUE,1,J$2517),0)))</f>
        <v/>
      </c>
      <c r="K2223" s="2072" t="str">
        <f t="shared" si="164"/>
        <v/>
      </c>
      <c r="L2223" s="2073" t="str">
        <f t="shared" si="164"/>
        <v/>
      </c>
      <c r="M2223" s="2073" t="str">
        <f t="shared" si="164"/>
        <v/>
      </c>
      <c r="N2223" s="2073" t="str">
        <f t="shared" si="164"/>
        <v/>
      </c>
      <c r="O2223" s="485"/>
      <c r="P2223" s="1158" t="str">
        <f>EUconst_AllocPrelim&amp;I2185</f>
        <v>AllocPrelim_Heat benchmark sub-installation, non-CL</v>
      </c>
      <c r="Q2223" s="1137"/>
      <c r="R2223" s="1137"/>
      <c r="S2223" s="1137"/>
      <c r="T2223" s="1117">
        <f>INDEX('G_Fall-back'!V:V,MATCH(L2188,'G_Fall-back'!C:C,0))</f>
        <v>2005</v>
      </c>
      <c r="U2223" s="1137" t="e">
        <f>INDEX(I2223:N2223,CNTR_ReportingYear-$I$2736)&lt;&gt;INDEX(I2223:N2223,CNTR_ReportingYear-$H$2736)</f>
        <v>#REF!</v>
      </c>
      <c r="V2223" s="1137"/>
    </row>
    <row r="2224" spans="1:22" s="562" customFormat="1" ht="5.0999999999999996" customHeight="1" thickBot="1">
      <c r="A2224" s="817"/>
      <c r="C2224" s="485"/>
      <c r="D2224" s="771"/>
      <c r="E2224" s="756"/>
      <c r="F2224" s="756"/>
      <c r="G2224" s="756"/>
      <c r="H2224" s="756"/>
      <c r="I2224" s="756"/>
      <c r="J2224" s="756"/>
      <c r="K2224" s="1790"/>
      <c r="L2224" s="1791"/>
      <c r="M2224" s="1791"/>
      <c r="N2224" s="1791"/>
      <c r="O2224" s="485"/>
      <c r="P2224" s="1137"/>
      <c r="Q2224" s="1137"/>
      <c r="R2224" s="1137"/>
      <c r="S2224" s="1137"/>
      <c r="T2224" s="1117"/>
      <c r="U2224" s="1137"/>
      <c r="V2224" s="1137"/>
    </row>
    <row r="2225" spans="1:22" s="562" customFormat="1" ht="5.0999999999999996" customHeight="1" thickBot="1">
      <c r="A2225" s="817"/>
      <c r="C2225" s="485"/>
      <c r="D2225" s="485"/>
      <c r="E2225" s="485"/>
      <c r="F2225" s="485"/>
      <c r="G2225" s="485"/>
      <c r="K2225" s="1790"/>
      <c r="L2225" s="1791"/>
      <c r="M2225" s="1791"/>
      <c r="N2225" s="1791"/>
      <c r="O2225" s="485"/>
      <c r="P2225" s="1137"/>
      <c r="Q2225" s="1137"/>
      <c r="R2225" s="1137"/>
      <c r="S2225" s="1137"/>
      <c r="T2225" s="1137"/>
      <c r="U2225" s="1137"/>
      <c r="V2225" s="1137"/>
    </row>
    <row r="2226" spans="1:22" s="562" customFormat="1" ht="5.0999999999999996" customHeight="1">
      <c r="A2226" s="817"/>
      <c r="C2226" s="485"/>
      <c r="D2226" s="772"/>
      <c r="E2226" s="773"/>
      <c r="F2226" s="774"/>
      <c r="G2226" s="774"/>
      <c r="H2226" s="774"/>
      <c r="I2226" s="774"/>
      <c r="J2226" s="774"/>
      <c r="K2226" s="1790"/>
      <c r="L2226" s="1791"/>
      <c r="M2226" s="1791"/>
      <c r="N2226" s="1791"/>
      <c r="O2226" s="485"/>
      <c r="P2226" s="1137"/>
      <c r="Q2226" s="1137"/>
      <c r="R2226" s="1137"/>
      <c r="S2226" s="1137"/>
      <c r="T2226" s="1137"/>
      <c r="U2226" s="1137"/>
      <c r="V2226" s="1137"/>
    </row>
    <row r="2227" spans="1:22" s="562" customFormat="1" ht="13.5" thickBot="1">
      <c r="A2227" s="817"/>
      <c r="C2227" s="485"/>
      <c r="D2227" s="776"/>
      <c r="E2227" s="777"/>
      <c r="F2227" s="813"/>
      <c r="G2227" s="778" t="str">
        <f>EUconst_Unit</f>
        <v>Unit</v>
      </c>
      <c r="H2227" s="779">
        <f t="shared" ref="H2227:N2227" si="165">H$2737</f>
        <v>2024</v>
      </c>
      <c r="I2227" s="779">
        <f t="shared" si="165"/>
        <v>2025</v>
      </c>
      <c r="J2227" s="780">
        <f t="shared" si="165"/>
        <v>2026</v>
      </c>
      <c r="K2227" s="1489">
        <f t="shared" si="165"/>
        <v>2027</v>
      </c>
      <c r="L2227" s="1490">
        <f t="shared" si="165"/>
        <v>2028</v>
      </c>
      <c r="M2227" s="1490">
        <f t="shared" si="165"/>
        <v>2029</v>
      </c>
      <c r="N2227" s="1490">
        <f t="shared" si="165"/>
        <v>2030</v>
      </c>
      <c r="O2227" s="485"/>
      <c r="P2227" s="1137"/>
      <c r="Q2227" s="1137"/>
      <c r="R2227" s="1137"/>
      <c r="S2227" s="1137"/>
      <c r="T2227" s="1137"/>
      <c r="U2227" s="1137"/>
      <c r="V2227" s="1137"/>
    </row>
    <row r="2228" spans="1:22" s="562" customFormat="1" ht="13.5" customHeight="1" thickBot="1">
      <c r="A2228" s="817"/>
      <c r="C2228" s="485"/>
      <c r="D2228" s="776"/>
      <c r="E2228" s="2470" t="s">
        <v>52</v>
      </c>
      <c r="F2228" s="3461"/>
      <c r="G2228" s="808" t="str">
        <f>EUconst_TJpa</f>
        <v>TJ / year</v>
      </c>
      <c r="H2228" s="786" t="str">
        <f>IF($M2185&lt;&gt;EUconst_Relevant,"",IF(INDEX('G_Fall-back'!H:H,MATCH($P2228,'G_Fall-back'!$Q:$Q,0))="","",INDEX('G_Fall-back'!H:H,MATCH($P2228,'G_Fall-back'!$Q:$Q,0))))</f>
        <v/>
      </c>
      <c r="I2228" s="789" t="str">
        <f>IF($M2185&lt;&gt;EUconst_Relevant,"",IF(INDEX('G_Fall-back'!I:I,MATCH($P2228,'G_Fall-back'!$Q:$Q,0))="","",INDEX('G_Fall-back'!I:I,MATCH($P2228,'G_Fall-back'!$Q:$Q,0))))</f>
        <v/>
      </c>
      <c r="J2228" s="2167" t="str">
        <f>IF($M2185&lt;&gt;EUconst_Relevant,"",IF(INDEX('G_Fall-back'!J:J,MATCH($P2228,'G_Fall-back'!$Q:$Q,0))="","",INDEX('G_Fall-back'!J:J,MATCH($P2228,'G_Fall-back'!$Q:$Q,0))))</f>
        <v/>
      </c>
      <c r="K2228" s="2105" t="str">
        <f>IF($M2185&lt;&gt;EUconst_Relevant,"",IF(INDEX('G_Fall-back'!K:K,MATCH($P2228,'G_Fall-back'!$Q:$Q,0))="","",INDEX('G_Fall-back'!K:K,MATCH($P2228,'G_Fall-back'!$Q:$Q,0))))</f>
        <v/>
      </c>
      <c r="L2228" s="1960" t="str">
        <f>IF($M2185&lt;&gt;EUconst_Relevant,"",IF(INDEX('G_Fall-back'!L:L,MATCH($P2228,'G_Fall-back'!$Q:$Q,0))="","",INDEX('G_Fall-back'!L:L,MATCH($P2228,'G_Fall-back'!$Q:$Q,0))))</f>
        <v/>
      </c>
      <c r="M2228" s="1960" t="str">
        <f>IF($M2185&lt;&gt;EUconst_Relevant,"",IF(INDEX('G_Fall-back'!M:M,MATCH($P2228,'G_Fall-back'!$Q:$Q,0))="","",INDEX('G_Fall-back'!M:M,MATCH($P2228,'G_Fall-back'!$Q:$Q,0))))</f>
        <v/>
      </c>
      <c r="N2228" s="1960" t="str">
        <f>IF($M2185&lt;&gt;EUconst_Relevant,"",IF(INDEX('G_Fall-back'!N:N,MATCH($P2228,'G_Fall-back'!$Q:$Q,0))="","",INDEX('G_Fall-back'!N:N,MATCH($P2228,'G_Fall-back'!$Q:$Q,0))))</f>
        <v/>
      </c>
      <c r="O2228" s="485"/>
      <c r="P2228" s="1970" t="str">
        <f>EUconst_CNTR_HeatProduced &amp;I2185</f>
        <v>HeatProd_Heat benchmark sub-installation, non-CL</v>
      </c>
      <c r="Q2228" s="1137"/>
      <c r="R2228" s="1137"/>
      <c r="S2228" s="1137"/>
      <c r="T2228" s="1137"/>
      <c r="U2228" s="1137"/>
      <c r="V2228" s="1137"/>
    </row>
    <row r="2229" spans="1:22" s="562" customFormat="1" ht="5.0999999999999996" customHeight="1" thickBot="1">
      <c r="A2229" s="817"/>
      <c r="C2229" s="485"/>
      <c r="D2229" s="776"/>
      <c r="E2229" s="777"/>
      <c r="F2229" s="777"/>
      <c r="G2229" s="777"/>
      <c r="H2229" s="2173"/>
      <c r="I2229" s="2173"/>
      <c r="J2229" s="2173"/>
      <c r="K2229" s="1788"/>
      <c r="L2229" s="1789"/>
      <c r="M2229" s="1789"/>
      <c r="N2229" s="1789"/>
      <c r="O2229" s="485"/>
      <c r="P2229" s="1137"/>
      <c r="Q2229" s="1137"/>
      <c r="R2229" s="1137"/>
      <c r="S2229" s="1137"/>
      <c r="T2229" s="1137"/>
      <c r="U2229" s="1137"/>
      <c r="V2229" s="1137"/>
    </row>
    <row r="2230" spans="1:22" s="562" customFormat="1" ht="13.5" customHeight="1" thickBot="1">
      <c r="A2230" s="817"/>
      <c r="C2230" s="485"/>
      <c r="D2230" s="776"/>
      <c r="E2230" s="2470" t="s">
        <v>1504</v>
      </c>
      <c r="F2230" s="3461"/>
      <c r="G2230" s="808" t="str">
        <f>EUconst_tCO2epa</f>
        <v>t CO2e/year</v>
      </c>
      <c r="H2230" s="786" t="str">
        <f t="shared" ref="H2230:N2230" si="166">INDEX(H$92:H$108,MATCH($I2185,$E$92:$E$108,0))</f>
        <v/>
      </c>
      <c r="I2230" s="789" t="str">
        <f t="shared" si="166"/>
        <v/>
      </c>
      <c r="J2230" s="2167" t="str">
        <f t="shared" si="166"/>
        <v/>
      </c>
      <c r="K2230" s="2105" t="str">
        <f t="shared" si="166"/>
        <v/>
      </c>
      <c r="L2230" s="1960" t="str">
        <f t="shared" si="166"/>
        <v/>
      </c>
      <c r="M2230" s="1960" t="str">
        <f t="shared" si="166"/>
        <v/>
      </c>
      <c r="N2230" s="1960" t="str">
        <f t="shared" si="166"/>
        <v/>
      </c>
      <c r="O2230" s="485"/>
      <c r="P2230" s="1137"/>
      <c r="Q2230" s="1137"/>
      <c r="R2230" s="1137"/>
      <c r="S2230" s="1137"/>
      <c r="T2230" s="1137"/>
      <c r="U2230" s="1137"/>
      <c r="V2230" s="1137"/>
    </row>
    <row r="2231" spans="1:22" s="562" customFormat="1" ht="5.0999999999999996" customHeight="1">
      <c r="A2231" s="817"/>
      <c r="C2231" s="485"/>
      <c r="D2231" s="776"/>
      <c r="E2231" s="777"/>
      <c r="F2231" s="777"/>
      <c r="G2231" s="777"/>
      <c r="H2231" s="2168"/>
      <c r="I2231" s="2168"/>
      <c r="J2231" s="2168"/>
      <c r="K2231" s="2169"/>
      <c r="L2231" s="2170"/>
      <c r="M2231" s="2170"/>
      <c r="N2231" s="2170"/>
      <c r="O2231" s="485"/>
      <c r="P2231" s="1137"/>
      <c r="Q2231" s="1137"/>
      <c r="R2231" s="1137"/>
      <c r="S2231" s="1137"/>
      <c r="T2231" s="1137"/>
      <c r="U2231" s="1137"/>
      <c r="V2231" s="1137"/>
    </row>
    <row r="2232" spans="1:22" s="562" customFormat="1">
      <c r="A2232" s="817"/>
      <c r="C2232" s="485"/>
      <c r="D2232" s="776"/>
      <c r="E2232" s="2471" t="s">
        <v>1344</v>
      </c>
      <c r="F2232" s="3467"/>
      <c r="G2232" s="811" t="str">
        <f>EUconst_TJpa</f>
        <v>TJ / year</v>
      </c>
      <c r="H2232" s="625" t="str">
        <f>IF($M2185&lt;&gt;EUconst_Relevant,"",IF(INDEX('G_Fall-back'!H:H,MATCH($P2232,'G_Fall-back'!$Q:$Q,0))="","",INDEX('G_Fall-back'!H:H,MATCH($P2232,'G_Fall-back'!$Q:$Q,0))))</f>
        <v/>
      </c>
      <c r="I2232" s="794" t="str">
        <f>IF($M2185&lt;&gt;EUconst_Relevant,"",IF(INDEX('G_Fall-back'!I:I,MATCH($P2232,'G_Fall-back'!$Q:$Q,0))="","",INDEX('G_Fall-back'!I:I,MATCH($P2232,'G_Fall-back'!$Q:$Q,0))))</f>
        <v/>
      </c>
      <c r="J2232" s="2171" t="str">
        <f>IF($M2185&lt;&gt;EUconst_Relevant,"",IF(INDEX('G_Fall-back'!J:J,MATCH($P2232,'G_Fall-back'!$Q:$Q,0))="","",INDEX('G_Fall-back'!J:J,MATCH($P2232,'G_Fall-back'!$Q:$Q,0))))</f>
        <v/>
      </c>
      <c r="K2232" s="1788" t="str">
        <f>IF($M2185&lt;&gt;EUconst_Relevant,"",IF(INDEX('G_Fall-back'!K:K,MATCH($P2232,'G_Fall-back'!$Q:$Q,0))="","",INDEX('G_Fall-back'!K:K,MATCH($P2232,'G_Fall-back'!$Q:$Q,0))))</f>
        <v/>
      </c>
      <c r="L2232" s="1789" t="str">
        <f>IF($M2185&lt;&gt;EUconst_Relevant,"",IF(INDEX('G_Fall-back'!L:L,MATCH($P2232,'G_Fall-back'!$Q:$Q,0))="","",INDEX('G_Fall-back'!L:L,MATCH($P2232,'G_Fall-back'!$Q:$Q,0))))</f>
        <v/>
      </c>
      <c r="M2232" s="1789" t="str">
        <f>IF($M2185&lt;&gt;EUconst_Relevant,"",IF(INDEX('G_Fall-back'!M:M,MATCH($P2232,'G_Fall-back'!$Q:$Q,0))="","",INDEX('G_Fall-back'!M:M,MATCH($P2232,'G_Fall-back'!$Q:$Q,0))))</f>
        <v/>
      </c>
      <c r="N2232" s="1789" t="str">
        <f>IF($M2185&lt;&gt;EUconst_Relevant,"",IF(INDEX('G_Fall-back'!N:N,MATCH($P2232,'G_Fall-back'!$Q:$Q,0))="","",INDEX('G_Fall-back'!N:N,MATCH($P2232,'G_Fall-back'!$Q:$Q,0))))</f>
        <v/>
      </c>
      <c r="O2232" s="485"/>
      <c r="P2232" s="2109" t="str">
        <f>EUconst_CNTR_FuelInput &amp;I2185</f>
        <v>FuelInput_Heat benchmark sub-installation, non-CL</v>
      </c>
      <c r="Q2232" s="1137"/>
      <c r="R2232" s="1137"/>
      <c r="S2232" s="1137"/>
      <c r="T2232" s="1137"/>
      <c r="U2232" s="1137"/>
      <c r="V2232" s="1137"/>
    </row>
    <row r="2233" spans="1:22" s="562" customFormat="1" ht="12.75" customHeight="1">
      <c r="A2233" s="817"/>
      <c r="C2233" s="485"/>
      <c r="D2233" s="776"/>
      <c r="E2233" s="2473" t="s">
        <v>1182</v>
      </c>
      <c r="F2233" s="3466"/>
      <c r="G2233" s="812" t="str">
        <f>EUconst_tCO2pTJ</f>
        <v>t CO2 / TJ</v>
      </c>
      <c r="H2233" s="627" t="str">
        <f>IF($M2185&lt;&gt;EUconst_Relevant,"",IF(INDEX('G_Fall-back'!H:H,MATCH($P2233,'G_Fall-back'!$Q:$Q,0))="","",INDEX('G_Fall-back'!H:H,MATCH($P2233,'G_Fall-back'!$Q:$Q,0))))</f>
        <v/>
      </c>
      <c r="I2233" s="796" t="str">
        <f>IF($M2185&lt;&gt;EUconst_Relevant,"",IF(INDEX('G_Fall-back'!I:I,MATCH($P2233,'G_Fall-back'!$Q:$Q,0))="","",INDEX('G_Fall-back'!I:I,MATCH($P2233,'G_Fall-back'!$Q:$Q,0))))</f>
        <v/>
      </c>
      <c r="J2233" s="2172" t="str">
        <f>IF($M2185&lt;&gt;EUconst_Relevant,"",IF(INDEX('G_Fall-back'!J:J,MATCH($P2233,'G_Fall-back'!$Q:$Q,0))="","",INDEX('G_Fall-back'!J:J,MATCH($P2233,'G_Fall-back'!$Q:$Q,0))))</f>
        <v/>
      </c>
      <c r="K2233" s="1788" t="str">
        <f>IF($M2185&lt;&gt;EUconst_Relevant,"",IF(INDEX('G_Fall-back'!K:K,MATCH($P2233,'G_Fall-back'!$Q:$Q,0))="","",INDEX('G_Fall-back'!K:K,MATCH($P2233,'G_Fall-back'!$Q:$Q,0))))</f>
        <v/>
      </c>
      <c r="L2233" s="1789" t="str">
        <f>IF($M2185&lt;&gt;EUconst_Relevant,"",IF(INDEX('G_Fall-back'!L:L,MATCH($P2233,'G_Fall-back'!$Q:$Q,0))="","",INDEX('G_Fall-back'!L:L,MATCH($P2233,'G_Fall-back'!$Q:$Q,0))))</f>
        <v/>
      </c>
      <c r="M2233" s="1789" t="str">
        <f>IF($M2185&lt;&gt;EUconst_Relevant,"",IF(INDEX('G_Fall-back'!M:M,MATCH($P2233,'G_Fall-back'!$Q:$Q,0))="","",INDEX('G_Fall-back'!M:M,MATCH($P2233,'G_Fall-back'!$Q:$Q,0))))</f>
        <v/>
      </c>
      <c r="N2233" s="1789" t="str">
        <f>IF($M2185&lt;&gt;EUconst_Relevant,"",IF(INDEX('G_Fall-back'!N:N,MATCH($P2233,'G_Fall-back'!$Q:$Q,0))="","",INDEX('G_Fall-back'!N:N,MATCH($P2233,'G_Fall-back'!$Q:$Q,0))))</f>
        <v/>
      </c>
      <c r="O2233" s="485"/>
      <c r="P2233" s="1970" t="str">
        <f>EUconst_CNTR_FuelEF &amp;I2185</f>
        <v>FuelEF_Heat benchmark sub-installation, non-CL</v>
      </c>
      <c r="Q2233" s="1137"/>
      <c r="R2233" s="1137"/>
      <c r="S2233" s="1137"/>
      <c r="T2233" s="1137"/>
      <c r="U2233" s="1137"/>
      <c r="V2233" s="1137"/>
    </row>
    <row r="2234" spans="1:22" s="562" customFormat="1" ht="12.75" customHeight="1">
      <c r="A2234" s="817"/>
      <c r="C2234" s="485"/>
      <c r="D2234" s="776"/>
      <c r="E2234" s="2471" t="s">
        <v>1481</v>
      </c>
      <c r="F2234" s="3467"/>
      <c r="G2234" s="811" t="str">
        <f>EUconst_TJpa</f>
        <v>TJ / year</v>
      </c>
      <c r="H2234" s="625" t="str">
        <f>IF($M2185&lt;&gt;EUconst_Relevant,"",IF(INDEX('G_Fall-back'!H:H,MATCH($P2234,'G_Fall-back'!$Q:$Q,0))="","",INDEX('G_Fall-back'!H:H,MATCH($P2234,'G_Fall-back'!$Q:$Q,0))))</f>
        <v/>
      </c>
      <c r="I2234" s="794" t="str">
        <f>IF($M2185&lt;&gt;EUconst_Relevant,"",IF(INDEX('G_Fall-back'!I:I,MATCH($P2234,'G_Fall-back'!$Q:$Q,0))="","",INDEX('G_Fall-back'!I:I,MATCH($P2234,'G_Fall-back'!$Q:$Q,0))))</f>
        <v/>
      </c>
      <c r="J2234" s="2171" t="str">
        <f>IF($M2185&lt;&gt;EUconst_Relevant,"",IF(INDEX('G_Fall-back'!J:J,MATCH($P2234,'G_Fall-back'!$Q:$Q,0))="","",INDEX('G_Fall-back'!J:J,MATCH($P2234,'G_Fall-back'!$Q:$Q,0))))</f>
        <v/>
      </c>
      <c r="K2234" s="1788" t="str">
        <f>IF($M2185&lt;&gt;EUconst_Relevant,"",IF(INDEX('G_Fall-back'!K:K,MATCH($P2234,'G_Fall-back'!$Q:$Q,0))="","",INDEX('G_Fall-back'!K:K,MATCH($P2234,'G_Fall-back'!$Q:$Q,0))))</f>
        <v/>
      </c>
      <c r="L2234" s="1789" t="str">
        <f>IF($M2185&lt;&gt;EUconst_Relevant,"",IF(INDEX('G_Fall-back'!L:L,MATCH($P2234,'G_Fall-back'!$Q:$Q,0))="","",INDEX('G_Fall-back'!L:L,MATCH($P2234,'G_Fall-back'!$Q:$Q,0))))</f>
        <v/>
      </c>
      <c r="M2234" s="1789" t="str">
        <f>IF($M2185&lt;&gt;EUconst_Relevant,"",IF(INDEX('G_Fall-back'!M:M,MATCH($P2234,'G_Fall-back'!$Q:$Q,0))="","",INDEX('G_Fall-back'!M:M,MATCH($P2234,'G_Fall-back'!$Q:$Q,0))))</f>
        <v/>
      </c>
      <c r="N2234" s="1789" t="str">
        <f>IF($M2185&lt;&gt;EUconst_Relevant,"",IF(INDEX('G_Fall-back'!N:N,MATCH($P2234,'G_Fall-back'!$Q:$Q,0))="","",INDEX('G_Fall-back'!N:N,MATCH($P2234,'G_Fall-back'!$Q:$Q,0))))</f>
        <v/>
      </c>
      <c r="O2234" s="485"/>
      <c r="P2234" s="1158" t="str">
        <f>EUconst_CNTR_WGConsumed &amp;I2185</f>
        <v>WasteGasCons_Heat benchmark sub-installation, non-CL</v>
      </c>
      <c r="Q2234" s="1137"/>
      <c r="R2234" s="1137"/>
      <c r="S2234" s="1137"/>
      <c r="T2234" s="1137"/>
      <c r="U2234" s="1137"/>
      <c r="V2234" s="1137"/>
    </row>
    <row r="2235" spans="1:22" s="562" customFormat="1" ht="12.75" customHeight="1">
      <c r="A2235" s="817"/>
      <c r="C2235" s="485"/>
      <c r="D2235" s="776"/>
      <c r="E2235" s="2473" t="s">
        <v>1182</v>
      </c>
      <c r="F2235" s="3466"/>
      <c r="G2235" s="812" t="str">
        <f>EUconst_tCO2pTJ</f>
        <v>t CO2 / TJ</v>
      </c>
      <c r="H2235" s="627" t="str">
        <f>IF($M2185&lt;&gt;EUconst_Relevant,"",IF(INDEX('G_Fall-back'!H:H,MATCH($P2235,'G_Fall-back'!$Q:$Q,0))="","",INDEX('G_Fall-back'!H:H,MATCH($P2235,'G_Fall-back'!$Q:$Q,0))))</f>
        <v/>
      </c>
      <c r="I2235" s="796" t="str">
        <f>IF($M2185&lt;&gt;EUconst_Relevant,"",IF(INDEX('G_Fall-back'!I:I,MATCH($P2235,'G_Fall-back'!$Q:$Q,0))="","",INDEX('G_Fall-back'!I:I,MATCH($P2235,'G_Fall-back'!$Q:$Q,0))))</f>
        <v/>
      </c>
      <c r="J2235" s="2172" t="str">
        <f>IF($M2185&lt;&gt;EUconst_Relevant,"",IF(INDEX('G_Fall-back'!J:J,MATCH($P2235,'G_Fall-back'!$Q:$Q,0))="","",INDEX('G_Fall-back'!J:J,MATCH($P2235,'G_Fall-back'!$Q:$Q,0))))</f>
        <v/>
      </c>
      <c r="K2235" s="1788" t="str">
        <f>IF($M2185&lt;&gt;EUconst_Relevant,"",IF(INDEX('G_Fall-back'!K:K,MATCH($P2235,'G_Fall-back'!$Q:$Q,0))="","",INDEX('G_Fall-back'!K:K,MATCH($P2235,'G_Fall-back'!$Q:$Q,0))))</f>
        <v/>
      </c>
      <c r="L2235" s="1789" t="str">
        <f>IF($M2185&lt;&gt;EUconst_Relevant,"",IF(INDEX('G_Fall-back'!L:L,MATCH($P2235,'G_Fall-back'!$Q:$Q,0))="","",INDEX('G_Fall-back'!L:L,MATCH($P2235,'G_Fall-back'!$Q:$Q,0))))</f>
        <v/>
      </c>
      <c r="M2235" s="1789" t="str">
        <f>IF($M2185&lt;&gt;EUconst_Relevant,"",IF(INDEX('G_Fall-back'!M:M,MATCH($P2235,'G_Fall-back'!$Q:$Q,0))="","",INDEX('G_Fall-back'!M:M,MATCH($P2235,'G_Fall-back'!$Q:$Q,0))))</f>
        <v/>
      </c>
      <c r="N2235" s="1789" t="str">
        <f>IF($M2185&lt;&gt;EUconst_Relevant,"",IF(INDEX('G_Fall-back'!N:N,MATCH($P2235,'G_Fall-back'!$Q:$Q,0))="","",INDEX('G_Fall-back'!N:N,MATCH($P2235,'G_Fall-back'!$Q:$Q,0))))</f>
        <v/>
      </c>
      <c r="O2235" s="485"/>
      <c r="P2235" s="1970" t="str">
        <f>EUconst_CNTR_WGConsumedEF &amp;I2185</f>
        <v>WasteGasConsEF_Heat benchmark sub-installation, non-CL</v>
      </c>
      <c r="Q2235" s="1137"/>
      <c r="R2235" s="1137"/>
      <c r="S2235" s="1137"/>
      <c r="T2235" s="1137"/>
      <c r="U2235" s="1137"/>
      <c r="V2235" s="1137"/>
    </row>
    <row r="2236" spans="1:22" s="562" customFormat="1" ht="5.0999999999999996" customHeight="1">
      <c r="A2236" s="817"/>
      <c r="C2236" s="485"/>
      <c r="D2236" s="776"/>
      <c r="E2236" s="777"/>
      <c r="F2236" s="813"/>
      <c r="G2236" s="813"/>
      <c r="H2236" s="2173"/>
      <c r="I2236" s="2173"/>
      <c r="J2236" s="2173"/>
      <c r="K2236" s="1788"/>
      <c r="L2236" s="1789"/>
      <c r="M2236" s="1789"/>
      <c r="N2236" s="1789"/>
      <c r="O2236" s="485"/>
      <c r="P2236" s="1137"/>
      <c r="Q2236" s="1137"/>
      <c r="R2236" s="1137"/>
      <c r="S2236" s="1137"/>
      <c r="T2236" s="1137"/>
      <c r="U2236" s="1137"/>
      <c r="V2236" s="1137"/>
    </row>
    <row r="2237" spans="1:22" s="562" customFormat="1">
      <c r="A2237" s="817"/>
      <c r="C2237" s="485"/>
      <c r="D2237" s="776"/>
      <c r="E2237" s="2475" t="s">
        <v>63</v>
      </c>
      <c r="F2237" s="3461"/>
      <c r="G2237" s="815" t="str">
        <f>EUconst_tCO2pa</f>
        <v>t CO2 / year</v>
      </c>
      <c r="H2237" s="623" t="str">
        <f>IF($M2185&lt;&gt;EUconst_Relevant,"",IF(INDEX('G_Fall-back'!H:H,MATCH($P2237,'G_Fall-back'!$Q:$Q,0))="","",INDEX('G_Fall-back'!H:H,MATCH($P2237,'G_Fall-back'!$Q:$Q,0))))</f>
        <v/>
      </c>
      <c r="I2237" s="800" t="str">
        <f>IF($M2185&lt;&gt;EUconst_Relevant,"",IF(INDEX('G_Fall-back'!I:I,MATCH($P2237,'G_Fall-back'!$Q:$Q,0))="","",INDEX('G_Fall-back'!I:I,MATCH($P2237,'G_Fall-back'!$Q:$Q,0))))</f>
        <v/>
      </c>
      <c r="J2237" s="2174" t="str">
        <f>IF($M2185&lt;&gt;EUconst_Relevant,"",IF(INDEX('G_Fall-back'!J:J,MATCH($P2237,'G_Fall-back'!$Q:$Q,0))="","",INDEX('G_Fall-back'!J:J,MATCH($P2237,'G_Fall-back'!$Q:$Q,0))))</f>
        <v/>
      </c>
      <c r="K2237" s="1788" t="str">
        <f>IF($M2185&lt;&gt;EUconst_Relevant,"",IF(INDEX('G_Fall-back'!K:K,MATCH($P2237,'G_Fall-back'!$Q:$Q,0))="","",INDEX('G_Fall-back'!K:K,MATCH($P2237,'G_Fall-back'!$Q:$Q,0))))</f>
        <v/>
      </c>
      <c r="L2237" s="1789" t="str">
        <f>IF($M2185&lt;&gt;EUconst_Relevant,"",IF(INDEX('G_Fall-back'!L:L,MATCH($P2237,'G_Fall-back'!$Q:$Q,0))="","",INDEX('G_Fall-back'!L:L,MATCH($P2237,'G_Fall-back'!$Q:$Q,0))))</f>
        <v/>
      </c>
      <c r="M2237" s="1789" t="str">
        <f>IF($M2185&lt;&gt;EUconst_Relevant,"",IF(INDEX('G_Fall-back'!M:M,MATCH($P2237,'G_Fall-back'!$Q:$Q,0))="","",INDEX('G_Fall-back'!M:M,MATCH($P2237,'G_Fall-back'!$Q:$Q,0))))</f>
        <v/>
      </c>
      <c r="N2237" s="1789" t="str">
        <f>IF($M2185&lt;&gt;EUconst_Relevant,"",IF(INDEX('G_Fall-back'!N:N,MATCH($P2237,'G_Fall-back'!$Q:$Q,0))="","",INDEX('G_Fall-back'!N:N,MATCH($P2237,'G_Fall-back'!$Q:$Q,0))))</f>
        <v/>
      </c>
      <c r="O2237" s="485"/>
      <c r="P2237" s="1970" t="str">
        <f>EUconst_CNTR_Emissions &amp;I2185</f>
        <v>DirEmissions_Heat benchmark sub-installation, non-CL</v>
      </c>
      <c r="Q2237" s="1137"/>
      <c r="R2237" s="1137"/>
      <c r="S2237" s="1137"/>
      <c r="T2237" s="1137"/>
      <c r="U2237" s="1137"/>
      <c r="V2237" s="1137"/>
    </row>
    <row r="2238" spans="1:22" s="562" customFormat="1" ht="5.0999999999999996" customHeight="1">
      <c r="A2238" s="817"/>
      <c r="C2238" s="485"/>
      <c r="D2238" s="776"/>
      <c r="E2238" s="777"/>
      <c r="F2238" s="777"/>
      <c r="G2238" s="777"/>
      <c r="H2238" s="2173"/>
      <c r="I2238" s="2173"/>
      <c r="J2238" s="2173"/>
      <c r="K2238" s="1788"/>
      <c r="L2238" s="1789"/>
      <c r="M2238" s="1789"/>
      <c r="N2238" s="1789"/>
      <c r="O2238" s="485"/>
      <c r="P2238" s="1137"/>
      <c r="Q2238" s="1137"/>
      <c r="R2238" s="1137"/>
      <c r="S2238" s="1137"/>
      <c r="T2238" s="1137"/>
      <c r="U2238" s="1137"/>
      <c r="V2238" s="1137"/>
    </row>
    <row r="2239" spans="1:22" s="562" customFormat="1" ht="12.75" customHeight="1">
      <c r="A2239" s="817"/>
      <c r="C2239" s="485"/>
      <c r="D2239" s="776"/>
      <c r="E2239" s="2471" t="s">
        <v>1505</v>
      </c>
      <c r="F2239" s="3467"/>
      <c r="G2239" s="811" t="str">
        <f>EUconst_TJpa</f>
        <v>TJ / year</v>
      </c>
      <c r="H2239" s="625" t="str">
        <f>IF($M2185&lt;&gt;EUconst_Relevant,"",IF(INDEX('G_Fall-back'!H:H,MATCH($P2239,'G_Fall-back'!$Q:$Q,0))="","",INDEX('G_Fall-back'!H:H,MATCH($P2239,'G_Fall-back'!$Q:$Q,0))))</f>
        <v/>
      </c>
      <c r="I2239" s="794" t="str">
        <f>IF($M2185&lt;&gt;EUconst_Relevant,"",IF(INDEX('G_Fall-back'!I:I,MATCH($P2239,'G_Fall-back'!$Q:$Q,0))="","",INDEX('G_Fall-back'!I:I,MATCH($P2239,'G_Fall-back'!$Q:$Q,0))))</f>
        <v/>
      </c>
      <c r="J2239" s="2171" t="str">
        <f>IF($M2185&lt;&gt;EUconst_Relevant,"",IF(INDEX('G_Fall-back'!J:J,MATCH($P2239,'G_Fall-back'!$Q:$Q,0))="","",INDEX('G_Fall-back'!J:J,MATCH($P2239,'G_Fall-back'!$Q:$Q,0))))</f>
        <v/>
      </c>
      <c r="K2239" s="1788" t="str">
        <f>IF($M2185&lt;&gt;EUconst_Relevant,"",IF(INDEX('G_Fall-back'!K:K,MATCH($P2239,'G_Fall-back'!$Q:$Q,0))="","",INDEX('G_Fall-back'!K:K,MATCH($P2239,'G_Fall-back'!$Q:$Q,0))))</f>
        <v/>
      </c>
      <c r="L2239" s="1789" t="str">
        <f>IF($M2185&lt;&gt;EUconst_Relevant,"",IF(INDEX('G_Fall-back'!L:L,MATCH($P2239,'G_Fall-back'!$Q:$Q,0))="","",INDEX('G_Fall-back'!L:L,MATCH($P2239,'G_Fall-back'!$Q:$Q,0))))</f>
        <v/>
      </c>
      <c r="M2239" s="1789" t="str">
        <f>IF($M2185&lt;&gt;EUconst_Relevant,"",IF(INDEX('G_Fall-back'!M:M,MATCH($P2239,'G_Fall-back'!$Q:$Q,0))="","",INDEX('G_Fall-back'!M:M,MATCH($P2239,'G_Fall-back'!$Q:$Q,0))))</f>
        <v/>
      </c>
      <c r="N2239" s="1789" t="str">
        <f>IF($M2185&lt;&gt;EUconst_Relevant,"",IF(INDEX('G_Fall-back'!N:N,MATCH($P2239,'G_Fall-back'!$Q:$Q,0))="","",INDEX('G_Fall-back'!N:N,MATCH($P2239,'G_Fall-back'!$Q:$Q,0))))</f>
        <v/>
      </c>
      <c r="O2239" s="485"/>
      <c r="P2239" s="1970" t="str">
        <f>EUconst_CNTR_HeatImport &amp;I2185</f>
        <v>HeatIm_Heat benchmark sub-installation, non-CL</v>
      </c>
      <c r="Q2239" s="1137"/>
      <c r="R2239" s="1137"/>
      <c r="S2239" s="1137"/>
      <c r="T2239" s="1137"/>
      <c r="U2239" s="1137"/>
      <c r="V2239" s="1137"/>
    </row>
    <row r="2240" spans="1:22" s="562" customFormat="1" ht="12.75" customHeight="1">
      <c r="A2240" s="817"/>
      <c r="C2240" s="485"/>
      <c r="D2240" s="776"/>
      <c r="E2240" s="2473" t="s">
        <v>1103</v>
      </c>
      <c r="F2240" s="3466"/>
      <c r="G2240" s="812" t="str">
        <f>EUconst_tCO2pTJ</f>
        <v>t CO2 / TJ</v>
      </c>
      <c r="H2240" s="627" t="str">
        <f>IF($M2185&lt;&gt;EUconst_Relevant,"",IF(INDEX('G_Fall-back'!H:H,MATCH($P2240,'G_Fall-back'!$Q:$Q,0))="","",INDEX('G_Fall-back'!H:H,MATCH($P2240,'G_Fall-back'!$Q:$Q,0))))</f>
        <v/>
      </c>
      <c r="I2240" s="796" t="str">
        <f>IF($M2185&lt;&gt;EUconst_Relevant,"",IF(INDEX('G_Fall-back'!I:I,MATCH($P2240,'G_Fall-back'!$Q:$Q,0))="","",INDEX('G_Fall-back'!I:I,MATCH($P2240,'G_Fall-back'!$Q:$Q,0))))</f>
        <v/>
      </c>
      <c r="J2240" s="2172" t="str">
        <f>IF($M2185&lt;&gt;EUconst_Relevant,"",IF(INDEX('G_Fall-back'!J:J,MATCH($P2240,'G_Fall-back'!$Q:$Q,0))="","",INDEX('G_Fall-back'!J:J,MATCH($P2240,'G_Fall-back'!$Q:$Q,0))))</f>
        <v/>
      </c>
      <c r="K2240" s="1788" t="str">
        <f>IF($M2185&lt;&gt;EUconst_Relevant,"",IF(INDEX('G_Fall-back'!K:K,MATCH($P2240,'G_Fall-back'!$Q:$Q,0))="","",INDEX('G_Fall-back'!K:K,MATCH($P2240,'G_Fall-back'!$Q:$Q,0))))</f>
        <v/>
      </c>
      <c r="L2240" s="1789" t="str">
        <f>IF($M2185&lt;&gt;EUconst_Relevant,"",IF(INDEX('G_Fall-back'!L:L,MATCH($P2240,'G_Fall-back'!$Q:$Q,0))="","",INDEX('G_Fall-back'!L:L,MATCH($P2240,'G_Fall-back'!$Q:$Q,0))))</f>
        <v/>
      </c>
      <c r="M2240" s="1789" t="str">
        <f>IF($M2185&lt;&gt;EUconst_Relevant,"",IF(INDEX('G_Fall-back'!M:M,MATCH($P2240,'G_Fall-back'!$Q:$Q,0))="","",INDEX('G_Fall-back'!M:M,MATCH($P2240,'G_Fall-back'!$Q:$Q,0))))</f>
        <v/>
      </c>
      <c r="N2240" s="1789" t="str">
        <f>IF($M2185&lt;&gt;EUconst_Relevant,"",IF(INDEX('G_Fall-back'!N:N,MATCH($P2240,'G_Fall-back'!$Q:$Q,0))="","",INDEX('G_Fall-back'!N:N,MATCH($P2240,'G_Fall-back'!$Q:$Q,0))))</f>
        <v/>
      </c>
      <c r="O2240" s="485"/>
      <c r="P2240" s="1970" t="str">
        <f>EUconst_CNTR_HeatImportEF &amp;I2185</f>
        <v>HeatImEF_Heat benchmark sub-installation, non-CL</v>
      </c>
      <c r="Q2240" s="1137"/>
      <c r="R2240" s="1137"/>
      <c r="S2240" s="1137"/>
      <c r="T2240" s="1137"/>
      <c r="U2240" s="1137"/>
      <c r="V2240" s="1137"/>
    </row>
    <row r="2241" spans="1:22" s="562" customFormat="1" ht="12.75" customHeight="1">
      <c r="A2241" s="817"/>
      <c r="C2241" s="485"/>
      <c r="D2241" s="776"/>
      <c r="E2241" s="2471" t="s">
        <v>1506</v>
      </c>
      <c r="F2241" s="3467"/>
      <c r="G2241" s="811" t="str">
        <f>EUconst_TJpa</f>
        <v>TJ / year</v>
      </c>
      <c r="H2241" s="625" t="str">
        <f>IF($M2185&lt;&gt;EUconst_Relevant,"",IF(INDEX('G_Fall-back'!H:H,MATCH($P2241,'G_Fall-back'!$Q:$Q,0))="","",INDEX('G_Fall-back'!H:H,MATCH($P2241,'G_Fall-back'!$Q:$Q,0))))</f>
        <v/>
      </c>
      <c r="I2241" s="794" t="str">
        <f>IF($M2185&lt;&gt;EUconst_Relevant,"",IF(INDEX('G_Fall-back'!I:I,MATCH($P2241,'G_Fall-back'!$Q:$Q,0))="","",INDEX('G_Fall-back'!I:I,MATCH($P2241,'G_Fall-back'!$Q:$Q,0))))</f>
        <v/>
      </c>
      <c r="J2241" s="2171" t="str">
        <f>IF($M2185&lt;&gt;EUconst_Relevant,"",IF(INDEX('G_Fall-back'!J:J,MATCH($P2241,'G_Fall-back'!$Q:$Q,0))="","",INDEX('G_Fall-back'!J:J,MATCH($P2241,'G_Fall-back'!$Q:$Q,0))))</f>
        <v/>
      </c>
      <c r="K2241" s="1788" t="str">
        <f>IF($M2185&lt;&gt;EUconst_Relevant,"",IF(INDEX('G_Fall-back'!K:K,MATCH($P2241,'G_Fall-back'!$Q:$Q,0))="","",INDEX('G_Fall-back'!K:K,MATCH($P2241,'G_Fall-back'!$Q:$Q,0))))</f>
        <v/>
      </c>
      <c r="L2241" s="1789" t="str">
        <f>IF($M2185&lt;&gt;EUconst_Relevant,"",IF(INDEX('G_Fall-back'!L:L,MATCH($P2241,'G_Fall-back'!$Q:$Q,0))="","",INDEX('G_Fall-back'!L:L,MATCH($P2241,'G_Fall-back'!$Q:$Q,0))))</f>
        <v/>
      </c>
      <c r="M2241" s="1789" t="str">
        <f>IF($M2185&lt;&gt;EUconst_Relevant,"",IF(INDEX('G_Fall-back'!M:M,MATCH($P2241,'G_Fall-back'!$Q:$Q,0))="","",INDEX('G_Fall-back'!M:M,MATCH($P2241,'G_Fall-back'!$Q:$Q,0))))</f>
        <v/>
      </c>
      <c r="N2241" s="1789" t="str">
        <f>IF($M2185&lt;&gt;EUconst_Relevant,"",IF(INDEX('G_Fall-back'!N:N,MATCH($P2241,'G_Fall-back'!$Q:$Q,0))="","",INDEX('G_Fall-back'!N:N,MATCH($P2241,'G_Fall-back'!$Q:$Q,0))))</f>
        <v/>
      </c>
      <c r="O2241" s="485"/>
      <c r="P2241" s="1970" t="str">
        <f>EUconst_CNTR_HeatImportProduct &amp;I2185</f>
        <v>HeatImProd_Heat benchmark sub-installation, non-CL</v>
      </c>
      <c r="Q2241" s="1137"/>
      <c r="R2241" s="1137"/>
      <c r="S2241" s="1137"/>
      <c r="T2241" s="1137"/>
      <c r="U2241" s="1137"/>
      <c r="V2241" s="1137"/>
    </row>
    <row r="2242" spans="1:22" s="562" customFormat="1" ht="12.75" customHeight="1">
      <c r="A2242" s="817"/>
      <c r="C2242" s="485"/>
      <c r="D2242" s="776"/>
      <c r="E2242" s="2473" t="s">
        <v>1490</v>
      </c>
      <c r="F2242" s="3466"/>
      <c r="G2242" s="812" t="str">
        <f>EUconst_tCO2pTJ</f>
        <v>t CO2 / TJ</v>
      </c>
      <c r="H2242" s="627" t="str">
        <f>IF($M2185&lt;&gt;EUconst_Relevant,"",IF(INDEX('G_Fall-back'!H:H,MATCH($P2242,'G_Fall-back'!$Q:$Q,0))="","",INDEX('G_Fall-back'!H:H,MATCH($P2242,'G_Fall-back'!$Q:$Q,0))))</f>
        <v/>
      </c>
      <c r="I2242" s="796" t="str">
        <f>IF($M2185&lt;&gt;EUconst_Relevant,"",IF(INDEX('G_Fall-back'!I:I,MATCH($P2242,'G_Fall-back'!$Q:$Q,0))="","",INDEX('G_Fall-back'!I:I,MATCH($P2242,'G_Fall-back'!$Q:$Q,0))))</f>
        <v/>
      </c>
      <c r="J2242" s="2172" t="str">
        <f>IF($M2185&lt;&gt;EUconst_Relevant,"",IF(INDEX('G_Fall-back'!J:J,MATCH($P2242,'G_Fall-back'!$Q:$Q,0))="","",INDEX('G_Fall-back'!J:J,MATCH($P2242,'G_Fall-back'!$Q:$Q,0))))</f>
        <v/>
      </c>
      <c r="K2242" s="1788" t="str">
        <f>IF($M2185&lt;&gt;EUconst_Relevant,"",IF(INDEX('G_Fall-back'!K:K,MATCH($P2242,'G_Fall-back'!$Q:$Q,0))="","",INDEX('G_Fall-back'!K:K,MATCH($P2242,'G_Fall-back'!$Q:$Q,0))))</f>
        <v/>
      </c>
      <c r="L2242" s="1789" t="str">
        <f>IF($M2185&lt;&gt;EUconst_Relevant,"",IF(INDEX('G_Fall-back'!L:L,MATCH($P2242,'G_Fall-back'!$Q:$Q,0))="","",INDEX('G_Fall-back'!L:L,MATCH($P2242,'G_Fall-back'!$Q:$Q,0))))</f>
        <v/>
      </c>
      <c r="M2242" s="1789" t="str">
        <f>IF($M2185&lt;&gt;EUconst_Relevant,"",IF(INDEX('G_Fall-back'!M:M,MATCH($P2242,'G_Fall-back'!$Q:$Q,0))="","",INDEX('G_Fall-back'!M:M,MATCH($P2242,'G_Fall-back'!$Q:$Q,0))))</f>
        <v/>
      </c>
      <c r="N2242" s="1789" t="str">
        <f>IF($M2185&lt;&gt;EUconst_Relevant,"",IF(INDEX('G_Fall-back'!N:N,MATCH($P2242,'G_Fall-back'!$Q:$Q,0))="","",INDEX('G_Fall-back'!N:N,MATCH($P2242,'G_Fall-back'!$Q:$Q,0))))</f>
        <v/>
      </c>
      <c r="O2242" s="485"/>
      <c r="P2242" s="1970" t="str">
        <f>EUconst_CNTR_HeatImportProductEF &amp;I2185</f>
        <v>HeatImProdEF_Heat benchmark sub-installation, non-CL</v>
      </c>
      <c r="Q2242" s="1137"/>
      <c r="R2242" s="1137"/>
      <c r="S2242" s="1137"/>
      <c r="T2242" s="1137"/>
      <c r="U2242" s="1137"/>
      <c r="V2242" s="1137"/>
    </row>
    <row r="2243" spans="1:22" s="562" customFormat="1" ht="12.75" customHeight="1">
      <c r="A2243" s="817"/>
      <c r="C2243" s="485"/>
      <c r="D2243" s="776"/>
      <c r="E2243" s="2471" t="s">
        <v>1507</v>
      </c>
      <c r="F2243" s="3467"/>
      <c r="G2243" s="811" t="str">
        <f>EUconst_TJpa</f>
        <v>TJ / year</v>
      </c>
      <c r="H2243" s="625" t="str">
        <f>IF($M2185&lt;&gt;EUconst_Relevant,"",IF(INDEX('G_Fall-back'!H:H,MATCH($P2243,'G_Fall-back'!$Q:$Q,0))="","",INDEX('G_Fall-back'!H:H,MATCH($P2243,'G_Fall-back'!$Q:$Q,0))))</f>
        <v/>
      </c>
      <c r="I2243" s="794" t="str">
        <f>IF($M2185&lt;&gt;EUconst_Relevant,"",IF(INDEX('G_Fall-back'!I:I,MATCH($P2243,'G_Fall-back'!$Q:$Q,0))="","",INDEX('G_Fall-back'!I:I,MATCH($P2243,'G_Fall-back'!$Q:$Q,0))))</f>
        <v/>
      </c>
      <c r="J2243" s="2171" t="str">
        <f>IF($M2185&lt;&gt;EUconst_Relevant,"",IF(INDEX('G_Fall-back'!J:J,MATCH($P2243,'G_Fall-back'!$Q:$Q,0))="","",INDEX('G_Fall-back'!J:J,MATCH($P2243,'G_Fall-back'!$Q:$Q,0))))</f>
        <v/>
      </c>
      <c r="K2243" s="1788" t="str">
        <f>IF($M2185&lt;&gt;EUconst_Relevant,"",IF(INDEX('G_Fall-back'!K:K,MATCH($P2243,'G_Fall-back'!$Q:$Q,0))="","",INDEX('G_Fall-back'!K:K,MATCH($P2243,'G_Fall-back'!$Q:$Q,0))))</f>
        <v/>
      </c>
      <c r="L2243" s="1789" t="str">
        <f>IF($M2185&lt;&gt;EUconst_Relevant,"",IF(INDEX('G_Fall-back'!L:L,MATCH($P2243,'G_Fall-back'!$Q:$Q,0))="","",INDEX('G_Fall-back'!L:L,MATCH($P2243,'G_Fall-back'!$Q:$Q,0))))</f>
        <v/>
      </c>
      <c r="M2243" s="1789" t="str">
        <f>IF($M2185&lt;&gt;EUconst_Relevant,"",IF(INDEX('G_Fall-back'!M:M,MATCH($P2243,'G_Fall-back'!$Q:$Q,0))="","",INDEX('G_Fall-back'!M:M,MATCH($P2243,'G_Fall-back'!$Q:$Q,0))))</f>
        <v/>
      </c>
      <c r="N2243" s="1789" t="str">
        <f>IF($M2185&lt;&gt;EUconst_Relevant,"",IF(INDEX('G_Fall-back'!N:N,MATCH($P2243,'G_Fall-back'!$Q:$Q,0))="","",INDEX('G_Fall-back'!N:N,MATCH($P2243,'G_Fall-back'!$Q:$Q,0))))</f>
        <v/>
      </c>
      <c r="O2243" s="485"/>
      <c r="P2243" s="1970" t="str">
        <f>EUconst_CNTR_HeatImportPulp &amp;I2185</f>
        <v>HeatImPulp_Heat benchmark sub-installation, non-CL</v>
      </c>
      <c r="Q2243" s="1137"/>
      <c r="R2243" s="1137"/>
      <c r="S2243" s="1137"/>
      <c r="T2243" s="1137"/>
      <c r="U2243" s="1137"/>
      <c r="V2243" s="1137"/>
    </row>
    <row r="2244" spans="1:22" s="562" customFormat="1">
      <c r="A2244" s="817"/>
      <c r="C2244" s="485"/>
      <c r="D2244" s="776"/>
      <c r="E2244" s="2473" t="s">
        <v>1489</v>
      </c>
      <c r="F2244" s="3466"/>
      <c r="G2244" s="812" t="str">
        <f>EUconst_tCO2pTJ</f>
        <v>t CO2 / TJ</v>
      </c>
      <c r="H2244" s="627" t="str">
        <f>IF($M2185&lt;&gt;EUconst_Relevant,"",IF(INDEX('G_Fall-back'!H:H,MATCH($P2244,'G_Fall-back'!$Q:$Q,0))="","",INDEX('G_Fall-back'!H:H,MATCH($P2244,'G_Fall-back'!$Q:$Q,0))))</f>
        <v/>
      </c>
      <c r="I2244" s="796" t="str">
        <f>IF($M2185&lt;&gt;EUconst_Relevant,"",IF(INDEX('G_Fall-back'!I:I,MATCH($P2244,'G_Fall-back'!$Q:$Q,0))="","",INDEX('G_Fall-back'!I:I,MATCH($P2244,'G_Fall-back'!$Q:$Q,0))))</f>
        <v/>
      </c>
      <c r="J2244" s="2172" t="str">
        <f>IF($M2185&lt;&gt;EUconst_Relevant,"",IF(INDEX('G_Fall-back'!J:J,MATCH($P2244,'G_Fall-back'!$Q:$Q,0))="","",INDEX('G_Fall-back'!J:J,MATCH($P2244,'G_Fall-back'!$Q:$Q,0))))</f>
        <v/>
      </c>
      <c r="K2244" s="1788" t="str">
        <f>IF($M2185&lt;&gt;EUconst_Relevant,"",IF(INDEX('G_Fall-back'!K:K,MATCH($P2244,'G_Fall-back'!$Q:$Q,0))="","",INDEX('G_Fall-back'!K:K,MATCH($P2244,'G_Fall-back'!$Q:$Q,0))))</f>
        <v/>
      </c>
      <c r="L2244" s="1789" t="str">
        <f>IF($M2185&lt;&gt;EUconst_Relevant,"",IF(INDEX('G_Fall-back'!L:L,MATCH($P2244,'G_Fall-back'!$Q:$Q,0))="","",INDEX('G_Fall-back'!L:L,MATCH($P2244,'G_Fall-back'!$Q:$Q,0))))</f>
        <v/>
      </c>
      <c r="M2244" s="1789" t="str">
        <f>IF($M2185&lt;&gt;EUconst_Relevant,"",IF(INDEX('G_Fall-back'!M:M,MATCH($P2244,'G_Fall-back'!$Q:$Q,0))="","",INDEX('G_Fall-back'!M:M,MATCH($P2244,'G_Fall-back'!$Q:$Q,0))))</f>
        <v/>
      </c>
      <c r="N2244" s="1789" t="str">
        <f>IF($M2185&lt;&gt;EUconst_Relevant,"",IF(INDEX('G_Fall-back'!N:N,MATCH($P2244,'G_Fall-back'!$Q:$Q,0))="","",INDEX('G_Fall-back'!N:N,MATCH($P2244,'G_Fall-back'!$Q:$Q,0))))</f>
        <v/>
      </c>
      <c r="O2244" s="485"/>
      <c r="P2244" s="1970" t="str">
        <f>EUconst_CNTR_HeatImportPulpEF &amp;I2185</f>
        <v>HeatImPulpEF_Heat benchmark sub-installation, non-CL</v>
      </c>
      <c r="Q2244" s="1137"/>
      <c r="R2244" s="1137"/>
      <c r="S2244" s="1137"/>
      <c r="T2244" s="1137"/>
      <c r="U2244" s="1137"/>
      <c r="V2244" s="1137"/>
    </row>
    <row r="2245" spans="1:22" s="562" customFormat="1" ht="12.75" customHeight="1">
      <c r="A2245" s="817"/>
      <c r="C2245" s="485"/>
      <c r="D2245" s="776"/>
      <c r="E2245" s="2471" t="s">
        <v>1508</v>
      </c>
      <c r="F2245" s="3467"/>
      <c r="G2245" s="811" t="str">
        <f>EUconst_TJpa</f>
        <v>TJ / year</v>
      </c>
      <c r="H2245" s="625" t="str">
        <f>IF($M2185&lt;&gt;EUconst_Relevant,"",IF(INDEX('G_Fall-back'!H:H,MATCH($P2245,'G_Fall-back'!$Q:$Q,0))="","",INDEX('G_Fall-back'!H:H,MATCH($P2245,'G_Fall-back'!$Q:$Q,0))))</f>
        <v/>
      </c>
      <c r="I2245" s="794" t="str">
        <f>IF($M2185&lt;&gt;EUconst_Relevant,"",IF(INDEX('G_Fall-back'!I:I,MATCH($P2245,'G_Fall-back'!$Q:$Q,0))="","",INDEX('G_Fall-back'!I:I,MATCH($P2245,'G_Fall-back'!$Q:$Q,0))))</f>
        <v/>
      </c>
      <c r="J2245" s="2171" t="str">
        <f>IF($M2185&lt;&gt;EUconst_Relevant,"",IF(INDEX('G_Fall-back'!J:J,MATCH($P2245,'G_Fall-back'!$Q:$Q,0))="","",INDEX('G_Fall-back'!J:J,MATCH($P2245,'G_Fall-back'!$Q:$Q,0))))</f>
        <v/>
      </c>
      <c r="K2245" s="1788" t="str">
        <f>IF($M2185&lt;&gt;EUconst_Relevant,"",IF(INDEX('G_Fall-back'!K:K,MATCH($P2245,'G_Fall-back'!$Q:$Q,0))="","",INDEX('G_Fall-back'!K:K,MATCH($P2245,'G_Fall-back'!$Q:$Q,0))))</f>
        <v/>
      </c>
      <c r="L2245" s="1789" t="str">
        <f>IF($M2185&lt;&gt;EUconst_Relevant,"",IF(INDEX('G_Fall-back'!L:L,MATCH($P2245,'G_Fall-back'!$Q:$Q,0))="","",INDEX('G_Fall-back'!L:L,MATCH($P2245,'G_Fall-back'!$Q:$Q,0))))</f>
        <v/>
      </c>
      <c r="M2245" s="1789" t="str">
        <f>IF($M2185&lt;&gt;EUconst_Relevant,"",IF(INDEX('G_Fall-back'!M:M,MATCH($P2245,'G_Fall-back'!$Q:$Q,0))="","",INDEX('G_Fall-back'!M:M,MATCH($P2245,'G_Fall-back'!$Q:$Q,0))))</f>
        <v/>
      </c>
      <c r="N2245" s="1789" t="str">
        <f>IF($M2185&lt;&gt;EUconst_Relevant,"",IF(INDEX('G_Fall-back'!N:N,MATCH($P2245,'G_Fall-back'!$Q:$Q,0))="","",INDEX('G_Fall-back'!N:N,MATCH($P2245,'G_Fall-back'!$Q:$Q,0))))</f>
        <v/>
      </c>
      <c r="O2245" s="485"/>
      <c r="P2245" s="1970" t="str">
        <f>EUconst_CNTR_HeatImportFuel &amp;I2185</f>
        <v>HeatImFuel_Heat benchmark sub-installation, non-CL</v>
      </c>
      <c r="Q2245" s="1137"/>
      <c r="R2245" s="1137"/>
      <c r="S2245" s="1137"/>
      <c r="T2245" s="1137"/>
      <c r="U2245" s="1137"/>
      <c r="V2245" s="1137"/>
    </row>
    <row r="2246" spans="1:22" s="562" customFormat="1" ht="12.75" customHeight="1">
      <c r="A2246" s="817"/>
      <c r="C2246" s="485"/>
      <c r="D2246" s="776"/>
      <c r="E2246" s="2473" t="s">
        <v>1491</v>
      </c>
      <c r="F2246" s="3466"/>
      <c r="G2246" s="812" t="str">
        <f>EUconst_tCO2pTJ</f>
        <v>t CO2 / TJ</v>
      </c>
      <c r="H2246" s="627" t="str">
        <f>IF($M2185&lt;&gt;EUconst_Relevant,"",IF(INDEX('G_Fall-back'!H:H,MATCH($P2246,'G_Fall-back'!$Q:$Q,0))="","",INDEX('G_Fall-back'!H:H,MATCH($P2246,'G_Fall-back'!$Q:$Q,0))))</f>
        <v/>
      </c>
      <c r="I2246" s="796" t="str">
        <f>IF($M2185&lt;&gt;EUconst_Relevant,"",IF(INDEX('G_Fall-back'!I:I,MATCH($P2246,'G_Fall-back'!$Q:$Q,0))="","",INDEX('G_Fall-back'!I:I,MATCH($P2246,'G_Fall-back'!$Q:$Q,0))))</f>
        <v/>
      </c>
      <c r="J2246" s="2172" t="str">
        <f>IF($M2185&lt;&gt;EUconst_Relevant,"",IF(INDEX('G_Fall-back'!J:J,MATCH($P2246,'G_Fall-back'!$Q:$Q,0))="","",INDEX('G_Fall-back'!J:J,MATCH($P2246,'G_Fall-back'!$Q:$Q,0))))</f>
        <v/>
      </c>
      <c r="K2246" s="1788" t="str">
        <f>IF($M2185&lt;&gt;EUconst_Relevant,"",IF(INDEX('G_Fall-back'!K:K,MATCH($P2246,'G_Fall-back'!$Q:$Q,0))="","",INDEX('G_Fall-back'!K:K,MATCH($P2246,'G_Fall-back'!$Q:$Q,0))))</f>
        <v/>
      </c>
      <c r="L2246" s="1789" t="str">
        <f>IF($M2185&lt;&gt;EUconst_Relevant,"",IF(INDEX('G_Fall-back'!L:L,MATCH($P2246,'G_Fall-back'!$Q:$Q,0))="","",INDEX('G_Fall-back'!L:L,MATCH($P2246,'G_Fall-back'!$Q:$Q,0))))</f>
        <v/>
      </c>
      <c r="M2246" s="1789" t="str">
        <f>IF($M2185&lt;&gt;EUconst_Relevant,"",IF(INDEX('G_Fall-back'!M:M,MATCH($P2246,'G_Fall-back'!$Q:$Q,0))="","",INDEX('G_Fall-back'!M:M,MATCH($P2246,'G_Fall-back'!$Q:$Q,0))))</f>
        <v/>
      </c>
      <c r="N2246" s="1789" t="str">
        <f>IF($M2185&lt;&gt;EUconst_Relevant,"",IF(INDEX('G_Fall-back'!N:N,MATCH($P2246,'G_Fall-back'!$Q:$Q,0))="","",INDEX('G_Fall-back'!N:N,MATCH($P2246,'G_Fall-back'!$Q:$Q,0))))</f>
        <v/>
      </c>
      <c r="O2246" s="485"/>
      <c r="P2246" s="1970" t="str">
        <f>EUconst_CNTR_HeatImportFuelEF &amp;I2185</f>
        <v>HeatImFuelEF_Heat benchmark sub-installation, non-CL</v>
      </c>
      <c r="Q2246" s="1137"/>
      <c r="R2246" s="1137"/>
      <c r="S2246" s="1137"/>
      <c r="T2246" s="1137"/>
      <c r="U2246" s="1137"/>
      <c r="V2246" s="1137"/>
    </row>
    <row r="2247" spans="1:22" s="562" customFormat="1" ht="12.75" customHeight="1">
      <c r="A2247" s="817"/>
      <c r="C2247" s="485"/>
      <c r="D2247" s="776"/>
      <c r="E2247" s="2471" t="s">
        <v>1509</v>
      </c>
      <c r="F2247" s="3467"/>
      <c r="G2247" s="811" t="str">
        <f>EUconst_TJpa</f>
        <v>TJ / year</v>
      </c>
      <c r="H2247" s="625" t="str">
        <f>IF($M2185&lt;&gt;EUconst_Relevant,"",IF(INDEX('G_Fall-back'!H:H,MATCH($P2247,'G_Fall-back'!$Q:$Q,0))="","",INDEX('G_Fall-back'!H:H,MATCH($P2247,'G_Fall-back'!$Q:$Q,0))))</f>
        <v/>
      </c>
      <c r="I2247" s="794" t="str">
        <f>IF($M2185&lt;&gt;EUconst_Relevant,"",IF(INDEX('G_Fall-back'!I:I,MATCH($P2247,'G_Fall-back'!$Q:$Q,0))="","",INDEX('G_Fall-back'!I:I,MATCH($P2247,'G_Fall-back'!$Q:$Q,0))))</f>
        <v/>
      </c>
      <c r="J2247" s="2171" t="str">
        <f>IF($M2185&lt;&gt;EUconst_Relevant,"",IF(INDEX('G_Fall-back'!J:J,MATCH($P2247,'G_Fall-back'!$Q:$Q,0))="","",INDEX('G_Fall-back'!J:J,MATCH($P2247,'G_Fall-back'!$Q:$Q,0))))</f>
        <v/>
      </c>
      <c r="K2247" s="1788" t="str">
        <f>IF($M2185&lt;&gt;EUconst_Relevant,"",IF(INDEX('G_Fall-back'!K:K,MATCH($P2247,'G_Fall-back'!$Q:$Q,0))="","",INDEX('G_Fall-back'!K:K,MATCH($P2247,'G_Fall-back'!$Q:$Q,0))))</f>
        <v/>
      </c>
      <c r="L2247" s="1789" t="str">
        <f>IF($M2185&lt;&gt;EUconst_Relevant,"",IF(INDEX('G_Fall-back'!L:L,MATCH($P2247,'G_Fall-back'!$Q:$Q,0))="","",INDEX('G_Fall-back'!L:L,MATCH($P2247,'G_Fall-back'!$Q:$Q,0))))</f>
        <v/>
      </c>
      <c r="M2247" s="1789" t="str">
        <f>IF($M2185&lt;&gt;EUconst_Relevant,"",IF(INDEX('G_Fall-back'!M:M,MATCH($P2247,'G_Fall-back'!$Q:$Q,0))="","",INDEX('G_Fall-back'!M:M,MATCH($P2247,'G_Fall-back'!$Q:$Q,0))))</f>
        <v/>
      </c>
      <c r="N2247" s="1789" t="str">
        <f>IF($M2185&lt;&gt;EUconst_Relevant,"",IF(INDEX('G_Fall-back'!N:N,MATCH($P2247,'G_Fall-back'!$Q:$Q,0))="","",INDEX('G_Fall-back'!N:N,MATCH($P2247,'G_Fall-back'!$Q:$Q,0))))</f>
        <v/>
      </c>
      <c r="O2247" s="485"/>
      <c r="P2247" s="1970" t="str">
        <f>EUconst_CNTR_WGImport &amp;I2185</f>
        <v>WasteGasIm_Heat benchmark sub-installation, non-CL</v>
      </c>
      <c r="Q2247" s="1137"/>
      <c r="R2247" s="1137"/>
      <c r="S2247" s="1137"/>
      <c r="T2247" s="1137"/>
      <c r="U2247" s="1137"/>
      <c r="V2247" s="1137"/>
    </row>
    <row r="2248" spans="1:22" s="562" customFormat="1" ht="12.75" customHeight="1">
      <c r="A2248" s="817"/>
      <c r="C2248" s="485"/>
      <c r="D2248" s="776"/>
      <c r="E2248" s="2473" t="s">
        <v>1492</v>
      </c>
      <c r="F2248" s="3466"/>
      <c r="G2248" s="812" t="str">
        <f>EUconst_tCO2pTJ</f>
        <v>t CO2 / TJ</v>
      </c>
      <c r="H2248" s="627" t="str">
        <f>IF($M2185&lt;&gt;EUconst_Relevant,"",IF(INDEX('G_Fall-back'!H:H,MATCH($P2248,'G_Fall-back'!$Q:$Q,0))="","",INDEX('G_Fall-back'!H:H,MATCH($P2248,'G_Fall-back'!$Q:$Q,0))))</f>
        <v/>
      </c>
      <c r="I2248" s="796" t="str">
        <f>IF($M2185&lt;&gt;EUconst_Relevant,"",IF(INDEX('G_Fall-back'!I:I,MATCH($P2248,'G_Fall-back'!$Q:$Q,0))="","",INDEX('G_Fall-back'!I:I,MATCH($P2248,'G_Fall-back'!$Q:$Q,0))))</f>
        <v/>
      </c>
      <c r="J2248" s="2172" t="str">
        <f>IF($M2185&lt;&gt;EUconst_Relevant,"",IF(INDEX('G_Fall-back'!J:J,MATCH($P2248,'G_Fall-back'!$Q:$Q,0))="","",INDEX('G_Fall-back'!J:J,MATCH($P2248,'G_Fall-back'!$Q:$Q,0))))</f>
        <v/>
      </c>
      <c r="K2248" s="1788" t="str">
        <f>IF($M2185&lt;&gt;EUconst_Relevant,"",IF(INDEX('G_Fall-back'!K:K,MATCH($P2248,'G_Fall-back'!$Q:$Q,0))="","",INDEX('G_Fall-back'!K:K,MATCH($P2248,'G_Fall-back'!$Q:$Q,0))))</f>
        <v/>
      </c>
      <c r="L2248" s="1789" t="str">
        <f>IF($M2185&lt;&gt;EUconst_Relevant,"",IF(INDEX('G_Fall-back'!L:L,MATCH($P2248,'G_Fall-back'!$Q:$Q,0))="","",INDEX('G_Fall-back'!L:L,MATCH($P2248,'G_Fall-back'!$Q:$Q,0))))</f>
        <v/>
      </c>
      <c r="M2248" s="1789" t="str">
        <f>IF($M2185&lt;&gt;EUconst_Relevant,"",IF(INDEX('G_Fall-back'!M:M,MATCH($P2248,'G_Fall-back'!$Q:$Q,0))="","",INDEX('G_Fall-back'!M:M,MATCH($P2248,'G_Fall-back'!$Q:$Q,0))))</f>
        <v/>
      </c>
      <c r="N2248" s="1789" t="str">
        <f>IF($M2185&lt;&gt;EUconst_Relevant,"",IF(INDEX('G_Fall-back'!N:N,MATCH($P2248,'G_Fall-back'!$Q:$Q,0))="","",INDEX('G_Fall-back'!N:N,MATCH($P2248,'G_Fall-back'!$Q:$Q,0))))</f>
        <v/>
      </c>
      <c r="O2248" s="485"/>
      <c r="P2248" s="1970" t="str">
        <f>EUconst_CNTR_WGImportEF &amp;I2185</f>
        <v>WasteGasImEF_Heat benchmark sub-installation, non-CL</v>
      </c>
      <c r="Q2248" s="1137"/>
      <c r="R2248" s="1137"/>
      <c r="S2248" s="1137"/>
      <c r="T2248" s="1137"/>
      <c r="U2248" s="1137"/>
      <c r="V2248" s="1137"/>
    </row>
    <row r="2249" spans="1:22" s="562" customFormat="1" ht="5.0999999999999996" customHeight="1" thickBot="1">
      <c r="A2249" s="817"/>
      <c r="C2249" s="485"/>
      <c r="D2249" s="839"/>
      <c r="E2249" s="805"/>
      <c r="F2249" s="805"/>
      <c r="G2249" s="805"/>
      <c r="H2249" s="805"/>
      <c r="I2249" s="805"/>
      <c r="J2249" s="805"/>
      <c r="K2249" s="1790"/>
      <c r="L2249" s="1791"/>
      <c r="M2249" s="1791"/>
      <c r="N2249" s="1791"/>
      <c r="O2249" s="485"/>
      <c r="P2249" s="1137"/>
      <c r="Q2249" s="1137"/>
      <c r="R2249" s="1137"/>
      <c r="S2249" s="1137"/>
      <c r="T2249" s="1137"/>
      <c r="U2249" s="1137"/>
      <c r="V2249" s="1137"/>
    </row>
    <row r="2250" spans="1:22" s="562" customFormat="1" ht="5.0999999999999996" customHeight="1" thickBot="1">
      <c r="A2250" s="817"/>
      <c r="C2250" s="485"/>
      <c r="D2250" s="485"/>
      <c r="E2250" s="485"/>
      <c r="F2250" s="485"/>
      <c r="G2250" s="485"/>
      <c r="M2250" s="485"/>
      <c r="N2250" s="485"/>
      <c r="O2250" s="485"/>
      <c r="P2250" s="1137"/>
      <c r="Q2250" s="1137"/>
      <c r="R2250" s="1137"/>
      <c r="S2250" s="1137"/>
      <c r="T2250" s="1137"/>
      <c r="U2250" s="1137"/>
      <c r="V2250" s="1137"/>
    </row>
    <row r="2251" spans="1:22" s="562" customFormat="1" ht="5.0999999999999996" customHeight="1" thickBot="1">
      <c r="A2251" s="817"/>
      <c r="C2251" s="2118"/>
      <c r="D2251" s="2118"/>
      <c r="E2251" s="2118"/>
      <c r="F2251" s="2118"/>
      <c r="G2251" s="2118"/>
      <c r="H2251" s="2118"/>
      <c r="I2251" s="2118"/>
      <c r="J2251" s="2118"/>
      <c r="K2251" s="2118"/>
      <c r="L2251" s="2118"/>
      <c r="M2251" s="2118"/>
      <c r="N2251" s="2118"/>
      <c r="O2251" s="485"/>
      <c r="P2251" s="1137"/>
      <c r="Q2251" s="1137"/>
      <c r="R2251" s="1137"/>
      <c r="S2251" s="1137"/>
      <c r="T2251" s="1137"/>
      <c r="U2251" s="1137"/>
      <c r="V2251" s="1137"/>
    </row>
    <row r="2252" spans="1:22" s="562" customFormat="1" ht="15" customHeight="1" thickBot="1">
      <c r="A2252" s="817"/>
      <c r="C2252" s="559">
        <f>C2185+1</f>
        <v>13</v>
      </c>
      <c r="D2252" s="2482" t="str">
        <f>CONCATENATE(EUconst_FBSubinst," ",C2252-10, ":")</f>
        <v>Fall-Back sub-installation 3:</v>
      </c>
      <c r="E2252" s="2482"/>
      <c r="F2252" s="2482"/>
      <c r="G2252" s="2482"/>
      <c r="H2252" s="2483"/>
      <c r="I2252" s="3473" t="str">
        <f>INDEX(EUconst_FallBackListNames,$C2252-10)</f>
        <v>District heating sub-installation</v>
      </c>
      <c r="J2252" s="3474"/>
      <c r="K2252" s="3474"/>
      <c r="L2252" s="3475"/>
      <c r="M2252" s="3370" t="str">
        <f>IF(INDEX(CNTR_FallBackSubInstRelevant,C2252-10)="","",IF(INDEX(CNTR_FallBackSubInstRelevant,C2252-10),EUconst_Relevant,EUconst_NotRelevant))</f>
        <v/>
      </c>
      <c r="N2252" s="3371"/>
      <c r="O2252" s="485"/>
      <c r="P2252" s="1137"/>
      <c r="Q2252" s="2123">
        <f>C2252</f>
        <v>13</v>
      </c>
      <c r="R2252" s="2124" t="str">
        <f>I2252</f>
        <v>District heating sub-installation</v>
      </c>
      <c r="S2252" s="1137"/>
      <c r="T2252" s="1137"/>
      <c r="U2252" s="1137"/>
      <c r="V2252" s="1137"/>
    </row>
    <row r="2253" spans="1:22" s="562" customFormat="1" ht="5.0999999999999996" customHeight="1">
      <c r="A2253" s="817"/>
      <c r="C2253" s="559"/>
      <c r="D2253" s="559"/>
      <c r="E2253" s="559"/>
      <c r="F2253" s="559"/>
      <c r="G2253" s="559"/>
      <c r="H2253" s="559"/>
      <c r="I2253" s="559"/>
      <c r="J2253" s="559"/>
      <c r="K2253" s="559"/>
      <c r="L2253" s="559"/>
      <c r="M2253" s="559"/>
      <c r="N2253" s="559"/>
      <c r="O2253" s="485"/>
      <c r="P2253" s="1137"/>
      <c r="Q2253" s="1137"/>
      <c r="R2253" s="1137"/>
      <c r="S2253" s="1137"/>
      <c r="T2253" s="1137"/>
      <c r="U2253" s="1137"/>
      <c r="V2253" s="1137"/>
    </row>
    <row r="2254" spans="1:22" s="562" customFormat="1" ht="12.75" customHeight="1">
      <c r="A2254" s="817"/>
      <c r="C2254" s="559"/>
      <c r="D2254" s="559"/>
      <c r="E2254" s="559"/>
      <c r="F2254" s="559"/>
      <c r="H2254" s="688" t="s">
        <v>458</v>
      </c>
      <c r="I2254" s="485"/>
      <c r="J2254" s="688" t="s">
        <v>1434</v>
      </c>
      <c r="K2254" s="688" t="s">
        <v>1684</v>
      </c>
      <c r="L2254" s="689" t="s">
        <v>156</v>
      </c>
      <c r="M2254" s="2469" t="s">
        <v>302</v>
      </c>
      <c r="N2254" s="2469"/>
      <c r="O2254" s="485"/>
      <c r="P2254" s="1137"/>
      <c r="Q2254" s="1137"/>
      <c r="R2254" s="1137"/>
      <c r="S2254" s="1137"/>
      <c r="T2254" s="1137"/>
      <c r="U2254" s="1137"/>
      <c r="V2254" s="1137"/>
    </row>
    <row r="2255" spans="1:22" s="562" customFormat="1" ht="12.75" customHeight="1">
      <c r="A2255" s="817"/>
      <c r="C2255" s="559"/>
      <c r="D2255" s="559"/>
      <c r="E2255" s="690" t="str">
        <f>I2252</f>
        <v>District heating sub-installation</v>
      </c>
      <c r="F2255" s="691"/>
      <c r="G2255" s="691"/>
      <c r="H2255" s="692" t="b">
        <f>INDEX(EUconst_FallBackListCLstatus,MATCH(I2252,EUconst_FallBackListNames,0))</f>
        <v>0</v>
      </c>
      <c r="I2255" s="485"/>
      <c r="J2255" s="566" t="str">
        <f>IF($M2252&lt;&gt;EUconst_Relevant,EUconst_NA,INDEX(CNTR_SubInstStartDate,MATCH(I2252,CNTR_SubInstListNames,0)))</f>
        <v>N.A.</v>
      </c>
      <c r="K2255" s="566" t="str">
        <f>IF($M2252&lt;&gt;EUconst_Relevant,EUconst_NA,IF(INDEX(CNTR_SubInstCessationDate,MATCH(I2252,CNTR_SubInstListNames,0))=0,"",INDEX(CNTR_SubInstCessationDate,MATCH(I2252,CNTR_SubInstListNames,0))))</f>
        <v>N.A.</v>
      </c>
      <c r="L2255" s="693">
        <f>C2252-10</f>
        <v>3</v>
      </c>
      <c r="M2255" s="818" t="str">
        <f>IF(M2252&lt;&gt;EUconst_Relevant,EUconst_NA,INDEX(EUconst_FallBackListBMvaluesMatrix,L2255,3))</f>
        <v>N.A.</v>
      </c>
      <c r="N2255" s="685" t="str">
        <f>EUconst_EUA &amp; "/" &amp; F2258</f>
        <v>UKA/TJ</v>
      </c>
      <c r="O2255" s="485"/>
      <c r="P2255" s="1137"/>
      <c r="Q2255" s="1137"/>
      <c r="R2255" s="1137"/>
      <c r="S2255" s="1137"/>
      <c r="T2255" s="1137"/>
      <c r="U2255" s="1137"/>
      <c r="V2255" s="1137"/>
    </row>
    <row r="2256" spans="1:22" s="562" customFormat="1" ht="5.0999999999999996" customHeight="1" thickBot="1">
      <c r="A2256" s="817"/>
      <c r="C2256" s="485"/>
      <c r="D2256" s="485"/>
      <c r="E2256" s="559"/>
      <c r="J2256" s="485"/>
      <c r="K2256" s="485"/>
      <c r="L2256" s="485"/>
      <c r="M2256" s="485"/>
      <c r="N2256" s="485"/>
      <c r="O2256" s="485"/>
      <c r="P2256" s="1137"/>
      <c r="Q2256" s="1137"/>
      <c r="R2256" s="1137"/>
      <c r="S2256" s="1137"/>
      <c r="T2256" s="1137"/>
      <c r="U2256" s="1137"/>
      <c r="V2256" s="1137"/>
    </row>
    <row r="2257" spans="1:22" s="562" customFormat="1" ht="12.75" customHeight="1">
      <c r="A2257" s="817"/>
      <c r="B2257" s="485"/>
      <c r="C2257" s="485"/>
      <c r="D2257" s="485"/>
      <c r="E2257" s="496"/>
      <c r="F2257" s="482" t="str">
        <f>EUconst_Unit</f>
        <v>Unit</v>
      </c>
      <c r="G2257" s="819" t="s">
        <v>1646</v>
      </c>
      <c r="H2257" s="696">
        <f t="shared" ref="H2257:N2257" si="167">H$2737</f>
        <v>2024</v>
      </c>
      <c r="I2257" s="697">
        <f t="shared" si="167"/>
        <v>2025</v>
      </c>
      <c r="J2257" s="2125">
        <f t="shared" si="167"/>
        <v>2026</v>
      </c>
      <c r="K2257" s="1489">
        <f t="shared" si="167"/>
        <v>2027</v>
      </c>
      <c r="L2257" s="1490">
        <f t="shared" si="167"/>
        <v>2028</v>
      </c>
      <c r="M2257" s="1490">
        <f t="shared" si="167"/>
        <v>2029</v>
      </c>
      <c r="N2257" s="1490">
        <f t="shared" si="167"/>
        <v>2030</v>
      </c>
      <c r="O2257" s="485"/>
      <c r="P2257" s="1137"/>
      <c r="Q2257" s="1137" t="s">
        <v>1803</v>
      </c>
      <c r="R2257" s="2126">
        <f>J$2737</f>
        <v>2026</v>
      </c>
      <c r="S2257" s="2127">
        <f>K$2737</f>
        <v>2027</v>
      </c>
      <c r="T2257" s="2127">
        <f>L$2737</f>
        <v>2028</v>
      </c>
      <c r="U2257" s="2127">
        <f>M$2737</f>
        <v>2029</v>
      </c>
      <c r="V2257" s="2128">
        <f>N$2737</f>
        <v>2030</v>
      </c>
    </row>
    <row r="2258" spans="1:22" s="562" customFormat="1" ht="12.75" customHeight="1" thickBot="1">
      <c r="A2258" s="817"/>
      <c r="B2258" s="485"/>
      <c r="C2258" s="485"/>
      <c r="D2258" s="485"/>
      <c r="E2258" s="698" t="s">
        <v>1665</v>
      </c>
      <c r="F2258" s="699" t="str">
        <f>INDEX(EUconst_FallBackListUnits,L2255)</f>
        <v>TJ</v>
      </c>
      <c r="G2258" s="820" t="str">
        <f>I2281</f>
        <v/>
      </c>
      <c r="H2258" s="821" t="str">
        <f>IF($M2252&lt;&gt;EUconst_Relevant,"",IF(H2257&gt;=CNTR_ReportingYear,"",SUMIF('G_Fall-back'!$Q:$Q,$P2258,'G_Fall-back'!H:H)))</f>
        <v/>
      </c>
      <c r="I2258" s="822" t="str">
        <f>IF($M2252&lt;&gt;EUconst_Relevant,"",IF(I2257&gt;=CNTR_ReportingYear,"",SUMIF('G_Fall-back'!$Q:$Q,$P2258,'G_Fall-back'!I:I)))</f>
        <v/>
      </c>
      <c r="J2258" s="2176" t="str">
        <f>IF($M2252&lt;&gt;EUconst_Relevant,"",IF(J2257&gt;=CNTR_ReportingYear,"",SUMIF('G_Fall-back'!$Q:$Q,$P2258,'G_Fall-back'!J:J)))</f>
        <v/>
      </c>
      <c r="K2258" s="2177" t="str">
        <f>IF($M2252&lt;&gt;EUconst_Relevant,"",IF(K2257&gt;=CNTR_ReportingYear,"",SUMIF('G_Fall-back'!$Q:$Q,$P2258,'G_Fall-back'!K:K)))</f>
        <v/>
      </c>
      <c r="L2258" s="2178" t="str">
        <f>IF($M2252&lt;&gt;EUconst_Relevant,"",IF(L2257&gt;=CNTR_ReportingYear,"",SUMIF('G_Fall-back'!$Q:$Q,$P2258,'G_Fall-back'!L:L)))</f>
        <v/>
      </c>
      <c r="M2258" s="2178" t="str">
        <f>IF($M2252&lt;&gt;EUconst_Relevant,"",IF(M2257&gt;=CNTR_ReportingYear,"",SUMIF('G_Fall-back'!$Q:$Q,$P2258,'G_Fall-back'!M:M)))</f>
        <v/>
      </c>
      <c r="N2258" s="2178" t="str">
        <f>IF($M2252&lt;&gt;EUconst_Relevant,"",IF(N2257&gt;=CNTR_ReportingYear,"",SUMIF('G_Fall-back'!$Q:$Q,$P2258,'G_Fall-back'!N:N)))</f>
        <v/>
      </c>
      <c r="O2258" s="485"/>
      <c r="P2258" s="1158" t="str">
        <f>EUconst_CNTR_HAL&amp;I2252</f>
        <v>HAL_District heating sub-installation</v>
      </c>
      <c r="Q2258" s="1137"/>
      <c r="R2258" s="1961" t="b">
        <f>AND($M2252=EUconst_Relevant,R2257&lt;=CNTR_ReportingYear,IF($J2255&lt;&gt;EUconst_NA,R2257&gt;=YEAR($J2255),TRUE))</f>
        <v>0</v>
      </c>
      <c r="S2258" s="1675" t="b">
        <f>AND($M2252=EUconst_Relevant,S2257&lt;=CNTR_ReportingYear,IF($J2255&lt;&gt;EUconst_NA,S2257&gt;=YEAR($J2255),TRUE))</f>
        <v>0</v>
      </c>
      <c r="T2258" s="1675" t="b">
        <f>AND($M2252=EUconst_Relevant,T2257&lt;=CNTR_ReportingYear,IF($J2255&lt;&gt;EUconst_NA,T2257&gt;=YEAR($J2255),TRUE))</f>
        <v>0</v>
      </c>
      <c r="U2258" s="1675" t="b">
        <f>AND($M2252=EUconst_Relevant,U2257&lt;=CNTR_ReportingYear,IF($J2255&lt;&gt;EUconst_NA,U2257&gt;=YEAR($J2255),TRUE))</f>
        <v>0</v>
      </c>
      <c r="V2258" s="1676" t="b">
        <f>AND($M2252=EUconst_Relevant,V2257&lt;=CNTR_ReportingYear,IF($J2255&lt;&gt;EUconst_NA,V2257&gt;=YEAR($J2255),TRUE))</f>
        <v>0</v>
      </c>
    </row>
    <row r="2259" spans="1:22" s="562" customFormat="1" ht="5.0999999999999996" customHeight="1" thickBot="1">
      <c r="A2259" s="817"/>
      <c r="B2259" s="485"/>
      <c r="C2259" s="485"/>
      <c r="D2259" s="485"/>
      <c r="F2259" s="485"/>
      <c r="G2259" s="485"/>
      <c r="H2259" s="485"/>
      <c r="I2259" s="743"/>
      <c r="J2259" s="485"/>
      <c r="K2259" s="1790"/>
      <c r="L2259" s="1791"/>
      <c r="M2259" s="1791"/>
      <c r="N2259" s="1791"/>
      <c r="O2259" s="485"/>
      <c r="P2259" s="1137"/>
      <c r="Q2259" s="1137"/>
      <c r="R2259" s="1137"/>
      <c r="S2259" s="1137"/>
      <c r="T2259" s="1117"/>
      <c r="U2259" s="1137"/>
      <c r="V2259" s="1137"/>
    </row>
    <row r="2260" spans="1:22" s="562" customFormat="1" ht="5.0999999999999996" customHeight="1">
      <c r="A2260" s="817"/>
      <c r="B2260" s="485"/>
      <c r="C2260" s="559"/>
      <c r="D2260" s="703"/>
      <c r="E2260" s="704"/>
      <c r="F2260" s="704"/>
      <c r="G2260" s="704"/>
      <c r="H2260" s="704"/>
      <c r="I2260" s="704"/>
      <c r="J2260" s="704"/>
      <c r="K2260" s="2130"/>
      <c r="L2260" s="2131"/>
      <c r="M2260" s="2131"/>
      <c r="N2260" s="2131"/>
      <c r="O2260" s="485"/>
      <c r="P2260" s="1137"/>
      <c r="Q2260" s="1137"/>
      <c r="R2260" s="1137"/>
      <c r="S2260" s="1137"/>
      <c r="T2260" s="1137"/>
      <c r="U2260" s="1137"/>
      <c r="V2260" s="1137"/>
    </row>
    <row r="2261" spans="1:22" s="562" customFormat="1" ht="12.75" customHeight="1">
      <c r="A2261" s="817"/>
      <c r="B2261" s="485"/>
      <c r="C2261" s="559"/>
      <c r="D2261" s="706"/>
      <c r="E2261" s="707" t="s">
        <v>1787</v>
      </c>
      <c r="F2261" s="637"/>
      <c r="G2261" s="637"/>
      <c r="H2261" s="663" t="str">
        <f>EUconst_Unit</f>
        <v>Unit</v>
      </c>
      <c r="I2261" s="708"/>
      <c r="J2261" s="2132">
        <f>J$2737</f>
        <v>2026</v>
      </c>
      <c r="K2261" s="1489">
        <f>K$2737</f>
        <v>2027</v>
      </c>
      <c r="L2261" s="1490">
        <f>L$2737</f>
        <v>2028</v>
      </c>
      <c r="M2261" s="1490">
        <f>M$2737</f>
        <v>2029</v>
      </c>
      <c r="N2261" s="1490">
        <f>N$2737</f>
        <v>2030</v>
      </c>
      <c r="O2261" s="485"/>
      <c r="P2261" s="1137"/>
      <c r="Q2261" s="1137"/>
      <c r="R2261" s="1137"/>
      <c r="S2261" s="1137"/>
      <c r="T2261" s="1137"/>
      <c r="U2261" s="1137"/>
      <c r="V2261" s="1137"/>
    </row>
    <row r="2262" spans="1:22" s="562" customFormat="1" ht="12.75" customHeight="1">
      <c r="A2262" s="817"/>
      <c r="B2262" s="485"/>
      <c r="C2262" s="559"/>
      <c r="D2262" s="706"/>
      <c r="E2262" s="711" t="s">
        <v>1783</v>
      </c>
      <c r="F2262" s="712"/>
      <c r="G2262" s="712"/>
      <c r="H2262" s="713" t="s">
        <v>1021</v>
      </c>
      <c r="I2262" s="712"/>
      <c r="J2262" s="2133" t="str">
        <f>IF(R2258,INDEX('G_Fall-back'!V:V,MATCH($P2262,'G_Fall-back'!$Q:$Q,0))&gt;=3,"")</f>
        <v/>
      </c>
      <c r="K2262" s="2134" t="str">
        <f>IF(S2258,INDEX('G_Fall-back'!W:W,MATCH($P2262,'G_Fall-back'!$Q:$Q,0))&gt;=3,"")</f>
        <v/>
      </c>
      <c r="L2262" s="2135" t="str">
        <f>IF(T2258,INDEX('G_Fall-back'!X:X,MATCH($P2262,'G_Fall-back'!$Q:$Q,0))&gt;=3,"")</f>
        <v/>
      </c>
      <c r="M2262" s="2135" t="str">
        <f>IF(U2258,INDEX('G_Fall-back'!Y:Y,MATCH($P2262,'G_Fall-back'!$Q:$Q,0))&gt;=3,"")</f>
        <v/>
      </c>
      <c r="N2262" s="2135" t="str">
        <f>IF(V2258,INDEX('G_Fall-back'!Z:Z,MATCH($P2262,'G_Fall-back'!$Q:$Q,0))&gt;=3,"")</f>
        <v/>
      </c>
      <c r="O2262" s="485"/>
      <c r="P2262" s="1158" t="str">
        <f>EUconst_CNTR_HALinitial&amp;I2252</f>
        <v>HALini_District heating sub-installation</v>
      </c>
      <c r="Q2262" s="1137"/>
      <c r="R2262" s="1137"/>
      <c r="S2262" s="1137"/>
      <c r="T2262" s="1137"/>
      <c r="U2262" s="1137"/>
      <c r="V2262" s="1137"/>
    </row>
    <row r="2263" spans="1:22" s="562" customFormat="1" ht="12.75" customHeight="1">
      <c r="A2263" s="817"/>
      <c r="B2263" s="485"/>
      <c r="C2263" s="559"/>
      <c r="D2263" s="706"/>
      <c r="E2263" s="714" t="s">
        <v>1784</v>
      </c>
      <c r="F2263" s="715"/>
      <c r="G2263" s="715"/>
      <c r="H2263" s="716" t="s">
        <v>1021</v>
      </c>
      <c r="I2263" s="715"/>
      <c r="J2263" s="2136" t="str">
        <f>IF(R2258,IF($K2255="",2050,YEAR($K2255))&lt;&gt;(J2261-1),"")</f>
        <v/>
      </c>
      <c r="K2263" s="2134" t="str">
        <f>IF(S2258,IF($K2255="",2050,YEAR($K2255))&lt;&gt;(K2261-1),"")</f>
        <v/>
      </c>
      <c r="L2263" s="2135" t="str">
        <f>IF(T2258,IF($K2255="",2050,YEAR($K2255))&lt;&gt;(L2261-1),"")</f>
        <v/>
      </c>
      <c r="M2263" s="2135" t="str">
        <f>IF(U2258,IF($K2255="",2050,YEAR($K2255))&lt;&gt;(M2261-1),"")</f>
        <v/>
      </c>
      <c r="N2263" s="2135" t="str">
        <f>IF(V2258,IF($K2255="",2050,YEAR($K2255))&lt;&gt;(N2261-1),"")</f>
        <v/>
      </c>
      <c r="O2263" s="485"/>
      <c r="P2263" s="1137"/>
      <c r="Q2263" s="1137"/>
      <c r="R2263" s="1137"/>
      <c r="S2263" s="1137"/>
      <c r="T2263" s="1137"/>
      <c r="U2263" s="1137"/>
      <c r="V2263" s="1137"/>
    </row>
    <row r="2264" spans="1:22" s="562" customFormat="1" ht="5.0999999999999996" customHeight="1">
      <c r="A2264" s="817"/>
      <c r="B2264" s="485"/>
      <c r="C2264" s="559"/>
      <c r="D2264" s="706"/>
      <c r="E2264" s="559"/>
      <c r="F2264" s="559"/>
      <c r="G2264" s="559"/>
      <c r="H2264" s="559"/>
      <c r="I2264" s="559"/>
      <c r="J2264" s="559"/>
      <c r="K2264" s="2130"/>
      <c r="L2264" s="2131"/>
      <c r="M2264" s="2131"/>
      <c r="N2264" s="2131"/>
      <c r="O2264" s="485"/>
      <c r="P2264" s="1137"/>
      <c r="Q2264" s="1137"/>
      <c r="R2264" s="1137"/>
      <c r="S2264" s="1137"/>
      <c r="T2264" s="1137"/>
      <c r="U2264" s="1137"/>
      <c r="V2264" s="1137"/>
    </row>
    <row r="2265" spans="1:22" s="562" customFormat="1" ht="12.75" customHeight="1">
      <c r="A2265" s="817"/>
      <c r="B2265" s="485"/>
      <c r="C2265" s="559"/>
      <c r="D2265" s="706"/>
      <c r="E2265" s="496" t="s">
        <v>1762</v>
      </c>
      <c r="F2265" s="485"/>
      <c r="G2265" s="485"/>
      <c r="H2265" s="663" t="str">
        <f>EUconst_Unit</f>
        <v>Unit</v>
      </c>
      <c r="I2265" s="708"/>
      <c r="J2265" s="2125">
        <f>J$2737</f>
        <v>2026</v>
      </c>
      <c r="K2265" s="1489">
        <f>K$2737</f>
        <v>2027</v>
      </c>
      <c r="L2265" s="1490">
        <f>L$2737</f>
        <v>2028</v>
      </c>
      <c r="M2265" s="1490">
        <f>M$2737</f>
        <v>2029</v>
      </c>
      <c r="N2265" s="1490">
        <f>N$2737</f>
        <v>2030</v>
      </c>
      <c r="O2265" s="485"/>
      <c r="P2265" s="1137"/>
      <c r="Q2265" s="1137"/>
      <c r="R2265" s="1137"/>
      <c r="S2265" s="1137"/>
      <c r="T2265" s="1137"/>
      <c r="U2265" s="1137"/>
      <c r="V2265" s="1137"/>
    </row>
    <row r="2266" spans="1:22" s="562" customFormat="1" ht="12.75" hidden="1" customHeight="1">
      <c r="A2266" s="817" t="s">
        <v>2289</v>
      </c>
      <c r="B2266" s="485"/>
      <c r="C2266" s="559"/>
      <c r="D2266" s="706"/>
      <c r="E2266" s="698" t="s">
        <v>1714</v>
      </c>
      <c r="F2266" s="698"/>
      <c r="G2266" s="698"/>
      <c r="H2266" s="639" t="str">
        <f>F2258</f>
        <v>TJ</v>
      </c>
      <c r="I2266" s="698"/>
      <c r="J2266" s="2180" t="str">
        <f>I2281</f>
        <v/>
      </c>
      <c r="K2266" s="2177" t="str">
        <f>J2281</f>
        <v/>
      </c>
      <c r="L2266" s="2178" t="str">
        <f>K2281</f>
        <v/>
      </c>
      <c r="M2266" s="2178" t="str">
        <f>L2281</f>
        <v/>
      </c>
      <c r="N2266" s="2178" t="str">
        <f>M2281</f>
        <v/>
      </c>
      <c r="O2266" s="485"/>
      <c r="P2266" s="1137"/>
      <c r="Q2266" s="1137"/>
      <c r="R2266" s="1137"/>
      <c r="S2266" s="1137"/>
      <c r="T2266" s="1137"/>
      <c r="U2266" s="1137"/>
      <c r="V2266" s="1137"/>
    </row>
    <row r="2267" spans="1:22" s="562" customFormat="1" ht="12.75" customHeight="1">
      <c r="A2267" s="817"/>
      <c r="B2267" s="485"/>
      <c r="C2267" s="559"/>
      <c r="D2267" s="706"/>
      <c r="E2267" s="698" t="s">
        <v>1671</v>
      </c>
      <c r="F2267" s="698"/>
      <c r="G2267" s="698"/>
      <c r="H2267" s="730" t="str">
        <f>EUconst_EUA</f>
        <v>UKA</v>
      </c>
      <c r="I2267" s="731"/>
      <c r="J2267" s="2129" t="str">
        <f>IF($M2252&lt;&gt;EUconst_Relevant,"",MAX(0,ROUND((SUM($M2255)*SUM(J2266))*IF($H2255=TRUE,1,J$2517),0)))</f>
        <v/>
      </c>
      <c r="K2267" s="2072" t="str">
        <f>IF($M2252&lt;&gt;EUconst_Relevant,"",MAX(0,ROUND((SUM($M2255)*SUM(K2266))*IF($H2255=TRUE,1,K$2517),0)))</f>
        <v/>
      </c>
      <c r="L2267" s="2073" t="str">
        <f>IF($M2252&lt;&gt;EUconst_Relevant,"",MAX(0,ROUND((SUM($M2255)*SUM(L2266))*IF($H2255=TRUE,1,L$2517),0)))</f>
        <v/>
      </c>
      <c r="M2267" s="2073" t="str">
        <f>IF($M2252&lt;&gt;EUconst_Relevant,"",MAX(0,ROUND((SUM($M2255)*SUM(M2266))*IF($H2255=TRUE,1,M$2517),0)))</f>
        <v/>
      </c>
      <c r="N2267" s="2073" t="str">
        <f>IF($M2252&lt;&gt;EUconst_Relevant,"",MAX(0,ROUND((SUM($M2255)*SUM(N2266))*IF($H2255=TRUE,1,N$2517),0)))</f>
        <v/>
      </c>
      <c r="O2267" s="485"/>
      <c r="P2267" s="1137"/>
      <c r="Q2267" s="1137"/>
      <c r="R2267" s="1137"/>
      <c r="S2267" s="1137"/>
      <c r="T2267" s="1137"/>
      <c r="U2267" s="1137"/>
      <c r="V2267" s="1137"/>
    </row>
    <row r="2268" spans="1:22" s="562" customFormat="1" ht="5.0999999999999996" customHeight="1">
      <c r="A2268" s="817"/>
      <c r="B2268" s="485"/>
      <c r="C2268" s="559"/>
      <c r="D2268" s="706"/>
      <c r="E2268" s="559"/>
      <c r="F2268" s="559"/>
      <c r="G2268" s="559"/>
      <c r="H2268" s="559"/>
      <c r="I2268" s="559"/>
      <c r="J2268" s="559"/>
      <c r="K2268" s="2130"/>
      <c r="L2268" s="2131"/>
      <c r="M2268" s="2131"/>
      <c r="N2268" s="2131"/>
      <c r="O2268" s="485"/>
      <c r="P2268" s="1137"/>
      <c r="Q2268" s="1137"/>
      <c r="R2268" s="1137"/>
      <c r="S2268" s="1137"/>
      <c r="T2268" s="1137"/>
      <c r="U2268" s="1137"/>
      <c r="V2268" s="1137"/>
    </row>
    <row r="2269" spans="1:22" s="562" customFormat="1" ht="12.75" customHeight="1">
      <c r="A2269" s="817"/>
      <c r="B2269" s="485"/>
      <c r="C2269" s="559"/>
      <c r="D2269" s="706"/>
      <c r="E2269" s="707" t="s">
        <v>1752</v>
      </c>
      <c r="F2269" s="637"/>
      <c r="G2269" s="637"/>
      <c r="H2269" s="663" t="str">
        <f>EUconst_Unit</f>
        <v>Unit</v>
      </c>
      <c r="I2269" s="708"/>
      <c r="J2269" s="2132">
        <f>J$2737</f>
        <v>2026</v>
      </c>
      <c r="K2269" s="1489">
        <f>K$2737</f>
        <v>2027</v>
      </c>
      <c r="L2269" s="1490">
        <f>L$2737</f>
        <v>2028</v>
      </c>
      <c r="M2269" s="1490">
        <f>M$2737</f>
        <v>2029</v>
      </c>
      <c r="N2269" s="1490">
        <f>N$2737</f>
        <v>2030</v>
      </c>
      <c r="O2269" s="485"/>
      <c r="P2269" s="1137"/>
      <c r="Q2269" s="1137"/>
      <c r="R2269" s="1137"/>
      <c r="S2269" s="1137"/>
      <c r="T2269" s="1137"/>
      <c r="U2269" s="1137"/>
      <c r="V2269" s="1137"/>
    </row>
    <row r="2270" spans="1:22" s="562" customFormat="1" ht="12.75" customHeight="1">
      <c r="A2270" s="817"/>
      <c r="B2270" s="485"/>
      <c r="C2270" s="559"/>
      <c r="D2270" s="706"/>
      <c r="E2270" s="720" t="s">
        <v>1691</v>
      </c>
      <c r="F2270" s="720"/>
      <c r="G2270" s="720"/>
      <c r="H2270" s="732" t="str">
        <f>H2266</f>
        <v>TJ</v>
      </c>
      <c r="I2270" s="733"/>
      <c r="J2270" s="2181" t="str">
        <f>INDEX('G_Fall-back'!J:J,MATCH($P2270,'G_Fall-back'!$Q:$Q,0))</f>
        <v/>
      </c>
      <c r="K2270" s="2177" t="str">
        <f>INDEX('G_Fall-back'!K:K,MATCH($P2270,'G_Fall-back'!$Q:$Q,0))</f>
        <v/>
      </c>
      <c r="L2270" s="2178" t="str">
        <f>INDEX('G_Fall-back'!L:L,MATCH($P2270,'G_Fall-back'!$Q:$Q,0))</f>
        <v/>
      </c>
      <c r="M2270" s="2178" t="str">
        <f>INDEX('G_Fall-back'!M:M,MATCH($P2270,'G_Fall-back'!$Q:$Q,0))</f>
        <v/>
      </c>
      <c r="N2270" s="2178" t="str">
        <f>INDEX('G_Fall-back'!N:N,MATCH($P2270,'G_Fall-back'!$Q:$Q,0))</f>
        <v/>
      </c>
      <c r="O2270" s="485"/>
      <c r="P2270" s="1158" t="str">
        <f>EUconst_CNTR_HALinitial&amp;I2252</f>
        <v>HALini_District heating sub-installation</v>
      </c>
      <c r="Q2270" s="1137"/>
      <c r="R2270" s="1137"/>
      <c r="S2270" s="1137"/>
      <c r="T2270" s="1137"/>
      <c r="U2270" s="1137"/>
      <c r="V2270" s="1137"/>
    </row>
    <row r="2271" spans="1:22" s="562" customFormat="1" ht="12.75" customHeight="1">
      <c r="A2271" s="817"/>
      <c r="B2271" s="485"/>
      <c r="C2271" s="559"/>
      <c r="D2271" s="706"/>
      <c r="E2271" s="723" t="s">
        <v>1648</v>
      </c>
      <c r="F2271" s="723"/>
      <c r="G2271" s="723"/>
      <c r="H2271" s="734" t="s">
        <v>1021</v>
      </c>
      <c r="I2271" s="735"/>
      <c r="J2271" s="23" t="str">
        <f>INDEX('G_Fall-back'!J:J,MATCH($P2271,'G_Fall-back'!$Q:$Q,0))</f>
        <v/>
      </c>
      <c r="K2271" s="46" t="str">
        <f>INDEX('G_Fall-back'!K:K,MATCH($P2271,'G_Fall-back'!$Q:$Q,0))</f>
        <v/>
      </c>
      <c r="L2271" s="27" t="str">
        <f>INDEX('G_Fall-back'!L:L,MATCH($P2271,'G_Fall-back'!$Q:$Q,0))</f>
        <v/>
      </c>
      <c r="M2271" s="27" t="str">
        <f>INDEX('G_Fall-back'!M:M,MATCH($P2271,'G_Fall-back'!$Q:$Q,0))</f>
        <v/>
      </c>
      <c r="N2271" s="27" t="str">
        <f>INDEX('G_Fall-back'!N:N,MATCH($P2271,'G_Fall-back'!$Q:$Q,0))</f>
        <v/>
      </c>
      <c r="O2271" s="485"/>
      <c r="P2271" s="1158" t="str">
        <f>EUconst_CNTR_RelThreshold &amp; I2252</f>
        <v>RelThresh_District heating sub-installation</v>
      </c>
      <c r="Q2271" s="1137"/>
      <c r="R2271" s="1137"/>
      <c r="S2271" s="1137"/>
      <c r="T2271" s="1137"/>
      <c r="U2271" s="1137"/>
      <c r="V2271" s="1137"/>
    </row>
    <row r="2272" spans="1:22" s="562" customFormat="1" ht="12.75" customHeight="1">
      <c r="A2272" s="817"/>
      <c r="B2272" s="485"/>
      <c r="C2272" s="559"/>
      <c r="D2272" s="706"/>
      <c r="E2272" s="736" t="s">
        <v>1785</v>
      </c>
      <c r="F2272" s="736"/>
      <c r="G2272" s="736"/>
      <c r="H2272" s="737" t="s">
        <v>1021</v>
      </c>
      <c r="I2272" s="738"/>
      <c r="J2272" s="2145" t="str">
        <f>INDEX('G_Fall-back'!V:V,MATCH($P2272,'G_Fall-back'!$Q:$Q,0)+1)</f>
        <v/>
      </c>
      <c r="K2272" s="2134" t="str">
        <f>INDEX('G_Fall-back'!W:W,MATCH($P2272,'G_Fall-back'!$Q:$Q,0)+1)</f>
        <v/>
      </c>
      <c r="L2272" s="2135" t="str">
        <f>INDEX('G_Fall-back'!X:X,MATCH($P2272,'G_Fall-back'!$Q:$Q,0)+1)</f>
        <v/>
      </c>
      <c r="M2272" s="2135" t="str">
        <f>INDEX('G_Fall-back'!Y:Y,MATCH($P2272,'G_Fall-back'!$Q:$Q,0)+1)</f>
        <v/>
      </c>
      <c r="N2272" s="2135" t="str">
        <f>INDEX('G_Fall-back'!Z:Z,MATCH($P2272,'G_Fall-back'!$Q:$Q,0)+1)</f>
        <v/>
      </c>
      <c r="O2272" s="485"/>
      <c r="P2272" s="1158" t="str">
        <f>P2271</f>
        <v>RelThresh_District heating sub-installation</v>
      </c>
      <c r="Q2272" s="1137"/>
      <c r="R2272" s="1137"/>
      <c r="S2272" s="1137"/>
      <c r="T2272" s="1137"/>
      <c r="U2272" s="1137"/>
      <c r="V2272" s="1137"/>
    </row>
    <row r="2273" spans="1:22" s="562" customFormat="1" ht="12.75" customHeight="1">
      <c r="A2273" s="817"/>
      <c r="B2273" s="485"/>
      <c r="C2273" s="559"/>
      <c r="D2273" s="706"/>
      <c r="E2273" s="727" t="s">
        <v>1689</v>
      </c>
      <c r="F2273" s="727"/>
      <c r="G2273" s="727"/>
      <c r="H2273" s="739" t="str">
        <f>F2258</f>
        <v>TJ</v>
      </c>
      <c r="I2273" s="727"/>
      <c r="J2273" s="2182" t="str">
        <f>INDEX('G_Fall-back'!J:J,MATCH($P2273,'G_Fall-back'!$Q:$Q,0))</f>
        <v/>
      </c>
      <c r="K2273" s="2177" t="str">
        <f>INDEX('G_Fall-back'!K:K,MATCH($P2273,'G_Fall-back'!$Q:$Q,0))</f>
        <v/>
      </c>
      <c r="L2273" s="2178" t="str">
        <f>INDEX('G_Fall-back'!L:L,MATCH($P2273,'G_Fall-back'!$Q:$Q,0))</f>
        <v/>
      </c>
      <c r="M2273" s="2178" t="str">
        <f>INDEX('G_Fall-back'!M:M,MATCH($P2273,'G_Fall-back'!$Q:$Q,0))</f>
        <v/>
      </c>
      <c r="N2273" s="2178" t="str">
        <f>INDEX('G_Fall-back'!N:N,MATCH($P2273,'G_Fall-back'!$Q:$Q,0))</f>
        <v/>
      </c>
      <c r="O2273" s="485"/>
      <c r="P2273" s="1158" t="str">
        <f>EUconst_CNTR_HALprelim&amp;I2252</f>
        <v>HALprelim_District heating sub-installation</v>
      </c>
      <c r="Q2273" s="1137"/>
      <c r="R2273" s="1137"/>
      <c r="S2273" s="1137"/>
      <c r="T2273" s="1137"/>
      <c r="U2273" s="1137"/>
      <c r="V2273" s="1137"/>
    </row>
    <row r="2274" spans="1:22" s="562" customFormat="1" ht="12.75" customHeight="1">
      <c r="A2274" s="817"/>
      <c r="B2274" s="485"/>
      <c r="C2274" s="559"/>
      <c r="D2274" s="706"/>
      <c r="E2274" s="698" t="s">
        <v>1671</v>
      </c>
      <c r="F2274" s="698"/>
      <c r="G2274" s="698"/>
      <c r="H2274" s="730" t="str">
        <f>EUconst_EUA</f>
        <v>UKA</v>
      </c>
      <c r="I2274" s="731"/>
      <c r="J2274" s="2129" t="str">
        <f>IF($M2252&lt;&gt;EUconst_Relevant,"",MAX(0,ROUND((SUM($M2255)*SUM(J2273))*IF($H2255=TRUE,1,J$2517),0)))</f>
        <v/>
      </c>
      <c r="K2274" s="2072" t="str">
        <f>IF($M2252&lt;&gt;EUconst_Relevant,"",MAX(0,ROUND((SUM($M2255)*SUM(K2273))*IF($H2255=TRUE,1,K$2517),0)))</f>
        <v/>
      </c>
      <c r="L2274" s="2073" t="str">
        <f>IF($M2252&lt;&gt;EUconst_Relevant,"",MAX(0,ROUND((SUM($M2255)*SUM(L2273))*IF($H2255=TRUE,1,L$2517),0)))</f>
        <v/>
      </c>
      <c r="M2274" s="2073" t="str">
        <f>IF($M2252&lt;&gt;EUconst_Relevant,"",MAX(0,ROUND((SUM($M2255)*SUM(M2273))*IF($H2255=TRUE,1,M$2517),0)))</f>
        <v/>
      </c>
      <c r="N2274" s="2073" t="str">
        <f>IF($M2252&lt;&gt;EUconst_Relevant,"",MAX(0,ROUND((SUM($M2255)*SUM(N2273))*IF($H2255=TRUE,1,N$2517),0)))</f>
        <v/>
      </c>
      <c r="O2274" s="485"/>
      <c r="P2274" s="1137"/>
      <c r="Q2274" s="1137"/>
      <c r="R2274" s="1137"/>
      <c r="S2274" s="1137"/>
      <c r="T2274" s="1137"/>
      <c r="U2274" s="1137"/>
      <c r="V2274" s="1137"/>
    </row>
    <row r="2275" spans="1:22" s="562" customFormat="1" ht="12.75" customHeight="1">
      <c r="A2275" s="817"/>
      <c r="B2275" s="485"/>
      <c r="C2275" s="559"/>
      <c r="D2275" s="706"/>
      <c r="E2275" s="698" t="s">
        <v>1670</v>
      </c>
      <c r="F2275" s="698"/>
      <c r="G2275" s="698"/>
      <c r="H2275" s="730" t="str">
        <f>EUconst_EUA</f>
        <v>UKA</v>
      </c>
      <c r="I2275" s="731"/>
      <c r="J2275" s="2129" t="str">
        <f>IF($M2252&lt;&gt;EUconst_Relevant,"",ABS(SUM(J2274)-SUM(J2267)))</f>
        <v/>
      </c>
      <c r="K2275" s="2072" t="str">
        <f>IF($M2252&lt;&gt;EUconst_Relevant,"",ABS(SUM(K2274)-SUM(K2267)))</f>
        <v/>
      </c>
      <c r="L2275" s="2073" t="str">
        <f>IF($M2252&lt;&gt;EUconst_Relevant,"",ABS(SUM(L2274)-SUM(L2267)))</f>
        <v/>
      </c>
      <c r="M2275" s="2073" t="str">
        <f>IF($M2252&lt;&gt;EUconst_Relevant,"",ABS(SUM(M2274)-SUM(M2267)))</f>
        <v/>
      </c>
      <c r="N2275" s="2073" t="str">
        <f>IF($M2252&lt;&gt;EUconst_Relevant,"",ABS(SUM(N2274)-SUM(N2267)))</f>
        <v/>
      </c>
      <c r="O2275" s="485"/>
      <c r="P2275" s="1137"/>
      <c r="Q2275" s="1137"/>
      <c r="R2275" s="1137"/>
      <c r="S2275" s="1137"/>
      <c r="T2275" s="1137"/>
      <c r="U2275" s="1137"/>
      <c r="V2275" s="1137"/>
    </row>
    <row r="2276" spans="1:22" s="562" customFormat="1" ht="12.75" customHeight="1">
      <c r="A2276" s="817"/>
      <c r="B2276" s="485"/>
      <c r="C2276" s="559"/>
      <c r="D2276" s="706"/>
      <c r="E2276" s="740" t="s">
        <v>2136</v>
      </c>
      <c r="F2276" s="740"/>
      <c r="G2276" s="740"/>
      <c r="H2276" s="741" t="s">
        <v>1021</v>
      </c>
      <c r="I2276" s="742"/>
      <c r="J2276" s="2147" t="str">
        <f>IF($M2252&lt;&gt;EUconst_Relevant,"",J2275&gt;=100)</f>
        <v/>
      </c>
      <c r="K2276" s="2134" t="str">
        <f>IF($M2252&lt;&gt;EUconst_Relevant,"",K2275&gt;=100)</f>
        <v/>
      </c>
      <c r="L2276" s="2135" t="str">
        <f>IF($M2252&lt;&gt;EUconst_Relevant,"",L2275&gt;=100)</f>
        <v/>
      </c>
      <c r="M2276" s="2135" t="str">
        <f>IF($M2252&lt;&gt;EUconst_Relevant,"",M2275&gt;=100)</f>
        <v/>
      </c>
      <c r="N2276" s="2135" t="str">
        <f>IF($M2252&lt;&gt;EUconst_Relevant,"",N2275&gt;=100)</f>
        <v/>
      </c>
      <c r="O2276" s="485"/>
      <c r="P2276" s="1158" t="str">
        <f>EUconst_CNTR_100EUA_ActivityLevel&amp;I2252</f>
        <v>EUA100AL_District heating sub-installation</v>
      </c>
      <c r="Q2276" s="1137"/>
      <c r="R2276" s="1137"/>
      <c r="S2276" s="1137"/>
      <c r="T2276" s="1137"/>
      <c r="U2276" s="1137"/>
      <c r="V2276" s="1137"/>
    </row>
    <row r="2277" spans="1:22" s="562" customFormat="1" ht="5.0999999999999996" customHeight="1" thickBot="1">
      <c r="A2277" s="817"/>
      <c r="B2277" s="485"/>
      <c r="C2277" s="485"/>
      <c r="D2277" s="771"/>
      <c r="E2277" s="756"/>
      <c r="F2277" s="756"/>
      <c r="G2277" s="756"/>
      <c r="H2277" s="756"/>
      <c r="I2277" s="835"/>
      <c r="J2277" s="756"/>
      <c r="K2277" s="1790"/>
      <c r="L2277" s="1791"/>
      <c r="M2277" s="1791"/>
      <c r="N2277" s="1791"/>
      <c r="O2277" s="485"/>
      <c r="P2277" s="1137"/>
      <c r="Q2277" s="1137"/>
      <c r="R2277" s="1137"/>
      <c r="S2277" s="1137"/>
      <c r="T2277" s="1117"/>
      <c r="U2277" s="1137"/>
      <c r="V2277" s="1137"/>
    </row>
    <row r="2278" spans="1:22" s="562" customFormat="1" ht="5.0999999999999996" customHeight="1" thickBot="1">
      <c r="A2278" s="817"/>
      <c r="B2278" s="485"/>
      <c r="C2278" s="485"/>
      <c r="D2278" s="485"/>
      <c r="E2278" s="485"/>
      <c r="F2278" s="485"/>
      <c r="G2278" s="485"/>
      <c r="H2278" s="485"/>
      <c r="I2278" s="836"/>
      <c r="J2278" s="485"/>
      <c r="K2278" s="1790"/>
      <c r="L2278" s="1791"/>
      <c r="M2278" s="1791"/>
      <c r="N2278" s="1791"/>
      <c r="O2278" s="485"/>
      <c r="P2278" s="1137"/>
      <c r="Q2278" s="1137"/>
      <c r="R2278" s="1137"/>
      <c r="S2278" s="1137"/>
      <c r="T2278" s="1117"/>
      <c r="U2278" s="1137"/>
      <c r="V2278" s="1137"/>
    </row>
    <row r="2279" spans="1:22" s="562" customFormat="1" ht="5.0999999999999996" customHeight="1">
      <c r="A2279" s="817"/>
      <c r="B2279" s="485"/>
      <c r="C2279" s="485"/>
      <c r="D2279" s="759"/>
      <c r="E2279" s="760"/>
      <c r="F2279" s="760"/>
      <c r="G2279" s="760"/>
      <c r="H2279" s="760"/>
      <c r="I2279" s="761"/>
      <c r="J2279" s="760"/>
      <c r="K2279" s="1790"/>
      <c r="L2279" s="1791"/>
      <c r="M2279" s="1791"/>
      <c r="N2279" s="1791"/>
      <c r="O2279" s="485"/>
      <c r="P2279" s="1137"/>
      <c r="Q2279" s="1137"/>
      <c r="R2279" s="1137"/>
      <c r="S2279" s="1137"/>
      <c r="T2279" s="1117"/>
      <c r="U2279" s="1137"/>
      <c r="V2279" s="1137"/>
    </row>
    <row r="2280" spans="1:22" s="562" customFormat="1">
      <c r="A2280" s="817"/>
      <c r="B2280" s="485"/>
      <c r="C2280" s="485"/>
      <c r="D2280" s="539"/>
      <c r="E2280" s="496" t="s">
        <v>1786</v>
      </c>
      <c r="F2280" s="485"/>
      <c r="G2280" s="485"/>
      <c r="H2280" s="663" t="str">
        <f>EUconst_Unit</f>
        <v>Unit</v>
      </c>
      <c r="I2280" s="837" t="s">
        <v>1675</v>
      </c>
      <c r="J2280" s="2132">
        <f>J$2737</f>
        <v>2026</v>
      </c>
      <c r="K2280" s="1489">
        <f>K$2737</f>
        <v>2027</v>
      </c>
      <c r="L2280" s="1490">
        <f>L$2737</f>
        <v>2028</v>
      </c>
      <c r="M2280" s="1490">
        <f>M$2737</f>
        <v>2029</v>
      </c>
      <c r="N2280" s="1490">
        <f>N$2737</f>
        <v>2030</v>
      </c>
      <c r="O2280" s="485"/>
      <c r="P2280" s="1137"/>
      <c r="Q2280" s="1137"/>
      <c r="R2280" s="1137"/>
      <c r="S2280" s="2155" t="s">
        <v>1646</v>
      </c>
      <c r="T2280" s="1117"/>
      <c r="U2280" s="1137"/>
      <c r="V2280" s="1137"/>
    </row>
    <row r="2281" spans="1:22" s="562" customFormat="1">
      <c r="A2281" s="817"/>
      <c r="B2281" s="485"/>
      <c r="C2281" s="485"/>
      <c r="D2281" s="539"/>
      <c r="E2281" s="698" t="s">
        <v>1692</v>
      </c>
      <c r="F2281" s="698"/>
      <c r="G2281" s="698"/>
      <c r="H2281" s="639" t="str">
        <f>F2258</f>
        <v>TJ</v>
      </c>
      <c r="I2281" s="826" t="str">
        <f>IF($M2252&lt;&gt;EUconst_Relevant,"",IF(T2282&gt;=$H$2736,0,S2281))</f>
        <v/>
      </c>
      <c r="J2281" s="2176" t="str">
        <f>INDEX('G_Fall-back'!J:J,MATCH($P2281,'G_Fall-back'!$Q:$Q,0))</f>
        <v/>
      </c>
      <c r="K2281" s="2177" t="str">
        <f>INDEX('G_Fall-back'!K:K,MATCH($P2281,'G_Fall-back'!$Q:$Q,0))</f>
        <v/>
      </c>
      <c r="L2281" s="2178" t="str">
        <f>INDEX('G_Fall-back'!L:L,MATCH($P2281,'G_Fall-back'!$Q:$Q,0))</f>
        <v/>
      </c>
      <c r="M2281" s="2178" t="str">
        <f>INDEX('G_Fall-back'!M:M,MATCH($P2281,'G_Fall-back'!$Q:$Q,0))</f>
        <v/>
      </c>
      <c r="N2281" s="2178" t="str">
        <f>INDEX('G_Fall-back'!N:N,MATCH($P2281,'G_Fall-back'!$Q:$Q,0))</f>
        <v/>
      </c>
      <c r="O2281" s="485"/>
      <c r="P2281" s="1158" t="str">
        <f>EUconst_CNTR_HALfinal&amp;I2252</f>
        <v>HALfinal_District heating sub-installation</v>
      </c>
      <c r="Q2281" s="1137"/>
      <c r="R2281" s="1137"/>
      <c r="S2281" s="2165" t="str">
        <f>IF($M2252&lt;&gt;EUconst_Relevant,"",SUMIF('G_Fall-back'!$Q:$Q,$P2281,'G_Fall-back'!I:I))</f>
        <v/>
      </c>
      <c r="T2281" s="1117"/>
      <c r="U2281" s="1137"/>
      <c r="V2281" s="1137"/>
    </row>
    <row r="2282" spans="1:22" s="562" customFormat="1">
      <c r="A2282" s="817"/>
      <c r="B2282" s="485"/>
      <c r="C2282" s="485"/>
      <c r="D2282" s="539"/>
      <c r="E2282" s="698" t="s">
        <v>222</v>
      </c>
      <c r="F2282" s="698"/>
      <c r="G2282" s="698"/>
      <c r="H2282" s="730" t="str">
        <f>EUconst_EUA</f>
        <v>UKA</v>
      </c>
      <c r="I2282" s="838" t="str">
        <f>IF($M2252&lt;&gt;EUconst_Relevant,"",MAX(0,ROUND((SUM($M2255)*SUM(I2281))*IF($H2255=TRUE,1,J$2517),0)))</f>
        <v/>
      </c>
      <c r="J2282" s="2129" t="str">
        <f t="shared" ref="J2282:N2282" si="168">IF($M2252&lt;&gt;EUconst_Relevant,"",MAX(0,ROUND((SUM($M2255)*SUM(J2281))*IF($H2255=TRUE,1,J$2517),0)))</f>
        <v/>
      </c>
      <c r="K2282" s="2072" t="str">
        <f t="shared" si="168"/>
        <v/>
      </c>
      <c r="L2282" s="2073" t="str">
        <f t="shared" si="168"/>
        <v/>
      </c>
      <c r="M2282" s="2073" t="str">
        <f t="shared" si="168"/>
        <v/>
      </c>
      <c r="N2282" s="2073" t="str">
        <f t="shared" si="168"/>
        <v/>
      </c>
      <c r="O2282" s="485"/>
      <c r="P2282" s="1158" t="str">
        <f>EUconst_AllocPrelim&amp;I2252</f>
        <v>AllocPrelim_District heating sub-installation</v>
      </c>
      <c r="Q2282" s="1137"/>
      <c r="R2282" s="1137"/>
      <c r="S2282" s="1137"/>
      <c r="T2282" s="1117">
        <f>INDEX('G_Fall-back'!V:V,MATCH(L2255,'G_Fall-back'!C:C,0))</f>
        <v>2005</v>
      </c>
      <c r="U2282" s="1137" t="e">
        <f>INDEX(I2282:N2282,CNTR_ReportingYear-$I$2736)&lt;&gt;INDEX(I2282:N2282,CNTR_ReportingYear-$H$2736)</f>
        <v>#REF!</v>
      </c>
      <c r="V2282" s="1137"/>
    </row>
    <row r="2283" spans="1:22" s="562" customFormat="1" ht="5.0999999999999996" customHeight="1" thickBot="1">
      <c r="A2283" s="817"/>
      <c r="B2283" s="485"/>
      <c r="C2283" s="485"/>
      <c r="D2283" s="771"/>
      <c r="E2283" s="756"/>
      <c r="F2283" s="756"/>
      <c r="G2283" s="756"/>
      <c r="H2283" s="756"/>
      <c r="I2283" s="756"/>
      <c r="J2283" s="756"/>
      <c r="K2283" s="1790"/>
      <c r="L2283" s="1791"/>
      <c r="M2283" s="1791"/>
      <c r="N2283" s="1791"/>
      <c r="O2283" s="485"/>
      <c r="P2283" s="1137"/>
      <c r="Q2283" s="1137"/>
      <c r="R2283" s="1137"/>
      <c r="S2283" s="1137"/>
      <c r="T2283" s="1117"/>
      <c r="U2283" s="1137"/>
      <c r="V2283" s="1137"/>
    </row>
    <row r="2284" spans="1:22" s="562" customFormat="1" ht="5.0999999999999996" customHeight="1" thickBot="1">
      <c r="A2284" s="817"/>
      <c r="B2284" s="485"/>
      <c r="C2284" s="485"/>
      <c r="D2284" s="485"/>
      <c r="E2284" s="485"/>
      <c r="F2284" s="485"/>
      <c r="G2284" s="485"/>
      <c r="K2284" s="1790"/>
      <c r="L2284" s="1791"/>
      <c r="M2284" s="1791"/>
      <c r="N2284" s="1791"/>
      <c r="O2284" s="485"/>
      <c r="P2284" s="1137"/>
      <c r="Q2284" s="1137"/>
      <c r="R2284" s="1137"/>
      <c r="S2284" s="1137"/>
      <c r="T2284" s="1137"/>
      <c r="U2284" s="1137"/>
      <c r="V2284" s="1137"/>
    </row>
    <row r="2285" spans="1:22" s="562" customFormat="1" ht="5.0999999999999996" customHeight="1">
      <c r="A2285" s="817"/>
      <c r="B2285" s="485"/>
      <c r="C2285" s="485"/>
      <c r="D2285" s="772"/>
      <c r="E2285" s="773"/>
      <c r="F2285" s="774"/>
      <c r="G2285" s="774"/>
      <c r="H2285" s="774"/>
      <c r="I2285" s="774"/>
      <c r="J2285" s="774"/>
      <c r="K2285" s="1790"/>
      <c r="L2285" s="1791"/>
      <c r="M2285" s="1791"/>
      <c r="N2285" s="1791"/>
      <c r="O2285" s="485"/>
      <c r="P2285" s="1137"/>
      <c r="Q2285" s="1137"/>
      <c r="R2285" s="1137"/>
      <c r="S2285" s="1137"/>
      <c r="T2285" s="1137"/>
      <c r="U2285" s="1137"/>
      <c r="V2285" s="1137"/>
    </row>
    <row r="2286" spans="1:22" s="562" customFormat="1" ht="13.5" thickBot="1">
      <c r="A2286" s="817"/>
      <c r="B2286" s="485"/>
      <c r="C2286" s="485"/>
      <c r="D2286" s="776"/>
      <c r="E2286" s="777"/>
      <c r="F2286" s="813"/>
      <c r="G2286" s="778" t="str">
        <f>EUconst_Unit</f>
        <v>Unit</v>
      </c>
      <c r="H2286" s="779">
        <f t="shared" ref="H2286:N2286" si="169">H$2737</f>
        <v>2024</v>
      </c>
      <c r="I2286" s="779">
        <f t="shared" si="169"/>
        <v>2025</v>
      </c>
      <c r="J2286" s="780">
        <f t="shared" si="169"/>
        <v>2026</v>
      </c>
      <c r="K2286" s="1489">
        <f t="shared" si="169"/>
        <v>2027</v>
      </c>
      <c r="L2286" s="1490">
        <f t="shared" si="169"/>
        <v>2028</v>
      </c>
      <c r="M2286" s="1490">
        <f t="shared" si="169"/>
        <v>2029</v>
      </c>
      <c r="N2286" s="1490">
        <f t="shared" si="169"/>
        <v>2030</v>
      </c>
      <c r="O2286" s="485"/>
      <c r="P2286" s="1137"/>
      <c r="Q2286" s="1137"/>
      <c r="R2286" s="1137"/>
      <c r="S2286" s="1137"/>
      <c r="T2286" s="1137"/>
      <c r="U2286" s="1137"/>
      <c r="V2286" s="1137"/>
    </row>
    <row r="2287" spans="1:22" s="562" customFormat="1" ht="13.5" customHeight="1" thickBot="1">
      <c r="A2287" s="817"/>
      <c r="B2287" s="485"/>
      <c r="C2287" s="485"/>
      <c r="D2287" s="776"/>
      <c r="E2287" s="2470" t="s">
        <v>52</v>
      </c>
      <c r="F2287" s="3461"/>
      <c r="G2287" s="808" t="str">
        <f>EUconst_TJpa</f>
        <v>TJ / year</v>
      </c>
      <c r="H2287" s="786" t="str">
        <f>IF($M2252&lt;&gt;EUconst_Relevant,"",IF(INDEX('G_Fall-back'!H:H,MATCH($P2287,'G_Fall-back'!$Q:$Q,0))="","",INDEX('G_Fall-back'!H:H,MATCH($P2287,'G_Fall-back'!$Q:$Q,0))))</f>
        <v/>
      </c>
      <c r="I2287" s="789" t="str">
        <f>IF($M2252&lt;&gt;EUconst_Relevant,"",IF(INDEX('G_Fall-back'!I:I,MATCH($P2287,'G_Fall-back'!$Q:$Q,0))="","",INDEX('G_Fall-back'!I:I,MATCH($P2287,'G_Fall-back'!$Q:$Q,0))))</f>
        <v/>
      </c>
      <c r="J2287" s="2167" t="str">
        <f>IF($M2252&lt;&gt;EUconst_Relevant,"",IF(INDEX('G_Fall-back'!J:J,MATCH($P2287,'G_Fall-back'!$Q:$Q,0))="","",INDEX('G_Fall-back'!J:J,MATCH($P2287,'G_Fall-back'!$Q:$Q,0))))</f>
        <v/>
      </c>
      <c r="K2287" s="2105" t="str">
        <f>IF($M2252&lt;&gt;EUconst_Relevant,"",IF(INDEX('G_Fall-back'!K:K,MATCH($P2287,'G_Fall-back'!$Q:$Q,0))="","",INDEX('G_Fall-back'!K:K,MATCH($P2287,'G_Fall-back'!$Q:$Q,0))))</f>
        <v/>
      </c>
      <c r="L2287" s="1960" t="str">
        <f>IF($M2252&lt;&gt;EUconst_Relevant,"",IF(INDEX('G_Fall-back'!L:L,MATCH($P2287,'G_Fall-back'!$Q:$Q,0))="","",INDEX('G_Fall-back'!L:L,MATCH($P2287,'G_Fall-back'!$Q:$Q,0))))</f>
        <v/>
      </c>
      <c r="M2287" s="1960" t="str">
        <f>IF($M2252&lt;&gt;EUconst_Relevant,"",IF(INDEX('G_Fall-back'!M:M,MATCH($P2287,'G_Fall-back'!$Q:$Q,0))="","",INDEX('G_Fall-back'!M:M,MATCH($P2287,'G_Fall-back'!$Q:$Q,0))))</f>
        <v/>
      </c>
      <c r="N2287" s="1960" t="str">
        <f>IF($M2252&lt;&gt;EUconst_Relevant,"",IF(INDEX('G_Fall-back'!N:N,MATCH($P2287,'G_Fall-back'!$Q:$Q,0))="","",INDEX('G_Fall-back'!N:N,MATCH($P2287,'G_Fall-back'!$Q:$Q,0))))</f>
        <v/>
      </c>
      <c r="O2287" s="485"/>
      <c r="P2287" s="1970" t="str">
        <f>EUconst_CNTR_HeatProduced &amp;I2252</f>
        <v>HeatProd_District heating sub-installation</v>
      </c>
      <c r="Q2287" s="1137"/>
      <c r="R2287" s="1137"/>
      <c r="S2287" s="1137"/>
      <c r="T2287" s="1137"/>
      <c r="U2287" s="1137"/>
      <c r="V2287" s="1137"/>
    </row>
    <row r="2288" spans="1:22" s="562" customFormat="1" ht="5.0999999999999996" customHeight="1" thickBot="1">
      <c r="A2288" s="817"/>
      <c r="B2288" s="485"/>
      <c r="C2288" s="485"/>
      <c r="D2288" s="776"/>
      <c r="E2288" s="777"/>
      <c r="F2288" s="777"/>
      <c r="G2288" s="777"/>
      <c r="H2288" s="2173"/>
      <c r="I2288" s="2173"/>
      <c r="J2288" s="2173"/>
      <c r="K2288" s="1788"/>
      <c r="L2288" s="1789"/>
      <c r="M2288" s="1789"/>
      <c r="N2288" s="1789"/>
      <c r="O2288" s="485"/>
      <c r="P2288" s="1137"/>
      <c r="Q2288" s="1137"/>
      <c r="R2288" s="1137"/>
      <c r="S2288" s="1137"/>
      <c r="T2288" s="1137"/>
      <c r="U2288" s="1137"/>
      <c r="V2288" s="1137"/>
    </row>
    <row r="2289" spans="1:22" s="562" customFormat="1" ht="13.5" customHeight="1" thickBot="1">
      <c r="A2289" s="817"/>
      <c r="C2289" s="485"/>
      <c r="D2289" s="776"/>
      <c r="E2289" s="2470" t="s">
        <v>1504</v>
      </c>
      <c r="F2289" s="3461"/>
      <c r="G2289" s="808" t="str">
        <f>EUconst_tCO2epa</f>
        <v>t CO2e/year</v>
      </c>
      <c r="H2289" s="786" t="str">
        <f t="shared" ref="H2289:N2289" si="170">INDEX(H$92:H$108,MATCH($I2252,$E$92:$E$108,0))</f>
        <v/>
      </c>
      <c r="I2289" s="789" t="str">
        <f t="shared" si="170"/>
        <v/>
      </c>
      <c r="J2289" s="2167" t="str">
        <f t="shared" si="170"/>
        <v/>
      </c>
      <c r="K2289" s="2105" t="str">
        <f t="shared" si="170"/>
        <v/>
      </c>
      <c r="L2289" s="1960" t="str">
        <f t="shared" si="170"/>
        <v/>
      </c>
      <c r="M2289" s="1960" t="str">
        <f t="shared" si="170"/>
        <v/>
      </c>
      <c r="N2289" s="1960" t="str">
        <f t="shared" si="170"/>
        <v/>
      </c>
      <c r="O2289" s="485"/>
      <c r="P2289" s="1137"/>
      <c r="Q2289" s="1137"/>
      <c r="R2289" s="1137"/>
      <c r="S2289" s="1137"/>
      <c r="T2289" s="1137"/>
      <c r="U2289" s="1137"/>
      <c r="V2289" s="1137"/>
    </row>
    <row r="2290" spans="1:22" s="562" customFormat="1" ht="5.0999999999999996" customHeight="1">
      <c r="A2290" s="817"/>
      <c r="C2290" s="485"/>
      <c r="D2290" s="776"/>
      <c r="E2290" s="777"/>
      <c r="F2290" s="777"/>
      <c r="G2290" s="777"/>
      <c r="H2290" s="2168"/>
      <c r="I2290" s="2168"/>
      <c r="J2290" s="2168"/>
      <c r="K2290" s="2169"/>
      <c r="L2290" s="2170"/>
      <c r="M2290" s="2170"/>
      <c r="N2290" s="2170"/>
      <c r="O2290" s="485"/>
      <c r="P2290" s="1137"/>
      <c r="Q2290" s="1137"/>
      <c r="R2290" s="1137"/>
      <c r="S2290" s="1137"/>
      <c r="T2290" s="1137"/>
      <c r="U2290" s="1137"/>
      <c r="V2290" s="1137"/>
    </row>
    <row r="2291" spans="1:22" s="562" customFormat="1">
      <c r="A2291" s="817"/>
      <c r="C2291" s="485"/>
      <c r="D2291" s="776"/>
      <c r="E2291" s="2471" t="s">
        <v>1344</v>
      </c>
      <c r="F2291" s="3467"/>
      <c r="G2291" s="811" t="str">
        <f>EUconst_TJpa</f>
        <v>TJ / year</v>
      </c>
      <c r="H2291" s="625" t="str">
        <f>IF($M2252&lt;&gt;EUconst_Relevant,"",IF(INDEX('G_Fall-back'!H:H,MATCH($P2291,'G_Fall-back'!$Q:$Q,0))="","",INDEX('G_Fall-back'!H:H,MATCH($P2291,'G_Fall-back'!$Q:$Q,0))))</f>
        <v/>
      </c>
      <c r="I2291" s="794" t="str">
        <f>IF($M2252&lt;&gt;EUconst_Relevant,"",IF(INDEX('G_Fall-back'!I:I,MATCH($P2291,'G_Fall-back'!$Q:$Q,0))="","",INDEX('G_Fall-back'!I:I,MATCH($P2291,'G_Fall-back'!$Q:$Q,0))))</f>
        <v/>
      </c>
      <c r="J2291" s="2171" t="str">
        <f>IF($M2252&lt;&gt;EUconst_Relevant,"",IF(INDEX('G_Fall-back'!J:J,MATCH($P2291,'G_Fall-back'!$Q:$Q,0))="","",INDEX('G_Fall-back'!J:J,MATCH($P2291,'G_Fall-back'!$Q:$Q,0))))</f>
        <v/>
      </c>
      <c r="K2291" s="1788" t="str">
        <f>IF($M2252&lt;&gt;EUconst_Relevant,"",IF(INDEX('G_Fall-back'!K:K,MATCH($P2291,'G_Fall-back'!$Q:$Q,0))="","",INDEX('G_Fall-back'!K:K,MATCH($P2291,'G_Fall-back'!$Q:$Q,0))))</f>
        <v/>
      </c>
      <c r="L2291" s="1789" t="str">
        <f>IF($M2252&lt;&gt;EUconst_Relevant,"",IF(INDEX('G_Fall-back'!L:L,MATCH($P2291,'G_Fall-back'!$Q:$Q,0))="","",INDEX('G_Fall-back'!L:L,MATCH($P2291,'G_Fall-back'!$Q:$Q,0))))</f>
        <v/>
      </c>
      <c r="M2291" s="1789" t="str">
        <f>IF($M2252&lt;&gt;EUconst_Relevant,"",IF(INDEX('G_Fall-back'!M:M,MATCH($P2291,'G_Fall-back'!$Q:$Q,0))="","",INDEX('G_Fall-back'!M:M,MATCH($P2291,'G_Fall-back'!$Q:$Q,0))))</f>
        <v/>
      </c>
      <c r="N2291" s="1789" t="str">
        <f>IF($M2252&lt;&gt;EUconst_Relevant,"",IF(INDEX('G_Fall-back'!N:N,MATCH($P2291,'G_Fall-back'!$Q:$Q,0))="","",INDEX('G_Fall-back'!N:N,MATCH($P2291,'G_Fall-back'!$Q:$Q,0))))</f>
        <v/>
      </c>
      <c r="O2291" s="485"/>
      <c r="P2291" s="2109" t="str">
        <f>EUconst_CNTR_FuelInput &amp;I2252</f>
        <v>FuelInput_District heating sub-installation</v>
      </c>
      <c r="Q2291" s="1137"/>
      <c r="R2291" s="1137"/>
      <c r="S2291" s="1137"/>
      <c r="T2291" s="1137"/>
      <c r="U2291" s="1137"/>
      <c r="V2291" s="1137"/>
    </row>
    <row r="2292" spans="1:22" s="562" customFormat="1" ht="12.75" customHeight="1">
      <c r="A2292" s="817"/>
      <c r="C2292" s="485"/>
      <c r="D2292" s="776"/>
      <c r="E2292" s="2473" t="s">
        <v>1182</v>
      </c>
      <c r="F2292" s="3466"/>
      <c r="G2292" s="812" t="str">
        <f>EUconst_tCO2pTJ</f>
        <v>t CO2 / TJ</v>
      </c>
      <c r="H2292" s="627" t="str">
        <f>IF($M2252&lt;&gt;EUconst_Relevant,"",IF(INDEX('G_Fall-back'!H:H,MATCH($P2292,'G_Fall-back'!$Q:$Q,0))="","",INDEX('G_Fall-back'!H:H,MATCH($P2292,'G_Fall-back'!$Q:$Q,0))))</f>
        <v/>
      </c>
      <c r="I2292" s="796" t="str">
        <f>IF($M2252&lt;&gt;EUconst_Relevant,"",IF(INDEX('G_Fall-back'!I:I,MATCH($P2292,'G_Fall-back'!$Q:$Q,0))="","",INDEX('G_Fall-back'!I:I,MATCH($P2292,'G_Fall-back'!$Q:$Q,0))))</f>
        <v/>
      </c>
      <c r="J2292" s="2172" t="str">
        <f>IF($M2252&lt;&gt;EUconst_Relevant,"",IF(INDEX('G_Fall-back'!J:J,MATCH($P2292,'G_Fall-back'!$Q:$Q,0))="","",INDEX('G_Fall-back'!J:J,MATCH($P2292,'G_Fall-back'!$Q:$Q,0))))</f>
        <v/>
      </c>
      <c r="K2292" s="1788" t="str">
        <f>IF($M2252&lt;&gt;EUconst_Relevant,"",IF(INDEX('G_Fall-back'!K:K,MATCH($P2292,'G_Fall-back'!$Q:$Q,0))="","",INDEX('G_Fall-back'!K:K,MATCH($P2292,'G_Fall-back'!$Q:$Q,0))))</f>
        <v/>
      </c>
      <c r="L2292" s="1789" t="str">
        <f>IF($M2252&lt;&gt;EUconst_Relevant,"",IF(INDEX('G_Fall-back'!L:L,MATCH($P2292,'G_Fall-back'!$Q:$Q,0))="","",INDEX('G_Fall-back'!L:L,MATCH($P2292,'G_Fall-back'!$Q:$Q,0))))</f>
        <v/>
      </c>
      <c r="M2292" s="1789" t="str">
        <f>IF($M2252&lt;&gt;EUconst_Relevant,"",IF(INDEX('G_Fall-back'!M:M,MATCH($P2292,'G_Fall-back'!$Q:$Q,0))="","",INDEX('G_Fall-back'!M:M,MATCH($P2292,'G_Fall-back'!$Q:$Q,0))))</f>
        <v/>
      </c>
      <c r="N2292" s="1789" t="str">
        <f>IF($M2252&lt;&gt;EUconst_Relevant,"",IF(INDEX('G_Fall-back'!N:N,MATCH($P2292,'G_Fall-back'!$Q:$Q,0))="","",INDEX('G_Fall-back'!N:N,MATCH($P2292,'G_Fall-back'!$Q:$Q,0))))</f>
        <v/>
      </c>
      <c r="O2292" s="485"/>
      <c r="P2292" s="1970" t="str">
        <f>EUconst_CNTR_FuelEF &amp;I2252</f>
        <v>FuelEF_District heating sub-installation</v>
      </c>
      <c r="Q2292" s="1137"/>
      <c r="R2292" s="1137"/>
      <c r="S2292" s="1137"/>
      <c r="T2292" s="1137"/>
      <c r="U2292" s="1137"/>
      <c r="V2292" s="1137"/>
    </row>
    <row r="2293" spans="1:22" s="562" customFormat="1" ht="12.75" customHeight="1">
      <c r="A2293" s="817"/>
      <c r="C2293" s="485"/>
      <c r="D2293" s="776"/>
      <c r="E2293" s="2471" t="s">
        <v>1481</v>
      </c>
      <c r="F2293" s="3467"/>
      <c r="G2293" s="811" t="str">
        <f>EUconst_TJpa</f>
        <v>TJ / year</v>
      </c>
      <c r="H2293" s="625" t="str">
        <f>IF($M2252&lt;&gt;EUconst_Relevant,"",IF(INDEX('G_Fall-back'!H:H,MATCH($P2293,'G_Fall-back'!$Q:$Q,0))="","",INDEX('G_Fall-back'!H:H,MATCH($P2293,'G_Fall-back'!$Q:$Q,0))))</f>
        <v/>
      </c>
      <c r="I2293" s="794" t="str">
        <f>IF($M2252&lt;&gt;EUconst_Relevant,"",IF(INDEX('G_Fall-back'!I:I,MATCH($P2293,'G_Fall-back'!$Q:$Q,0))="","",INDEX('G_Fall-back'!I:I,MATCH($P2293,'G_Fall-back'!$Q:$Q,0))))</f>
        <v/>
      </c>
      <c r="J2293" s="2171" t="str">
        <f>IF($M2252&lt;&gt;EUconst_Relevant,"",IF(INDEX('G_Fall-back'!J:J,MATCH($P2293,'G_Fall-back'!$Q:$Q,0))="","",INDEX('G_Fall-back'!J:J,MATCH($P2293,'G_Fall-back'!$Q:$Q,0))))</f>
        <v/>
      </c>
      <c r="K2293" s="1788" t="str">
        <f>IF($M2252&lt;&gt;EUconst_Relevant,"",IF(INDEX('G_Fall-back'!K:K,MATCH($P2293,'G_Fall-back'!$Q:$Q,0))="","",INDEX('G_Fall-back'!K:K,MATCH($P2293,'G_Fall-back'!$Q:$Q,0))))</f>
        <v/>
      </c>
      <c r="L2293" s="1789" t="str">
        <f>IF($M2252&lt;&gt;EUconst_Relevant,"",IF(INDEX('G_Fall-back'!L:L,MATCH($P2293,'G_Fall-back'!$Q:$Q,0))="","",INDEX('G_Fall-back'!L:L,MATCH($P2293,'G_Fall-back'!$Q:$Q,0))))</f>
        <v/>
      </c>
      <c r="M2293" s="1789" t="str">
        <f>IF($M2252&lt;&gt;EUconst_Relevant,"",IF(INDEX('G_Fall-back'!M:M,MATCH($P2293,'G_Fall-back'!$Q:$Q,0))="","",INDEX('G_Fall-back'!M:M,MATCH($P2293,'G_Fall-back'!$Q:$Q,0))))</f>
        <v/>
      </c>
      <c r="N2293" s="1789" t="str">
        <f>IF($M2252&lt;&gt;EUconst_Relevant,"",IF(INDEX('G_Fall-back'!N:N,MATCH($P2293,'G_Fall-back'!$Q:$Q,0))="","",INDEX('G_Fall-back'!N:N,MATCH($P2293,'G_Fall-back'!$Q:$Q,0))))</f>
        <v/>
      </c>
      <c r="O2293" s="485"/>
      <c r="P2293" s="1158" t="str">
        <f>EUconst_CNTR_WGConsumed &amp;I2252</f>
        <v>WasteGasCons_District heating sub-installation</v>
      </c>
      <c r="Q2293" s="1137"/>
      <c r="R2293" s="1137"/>
      <c r="S2293" s="1137"/>
      <c r="T2293" s="1137"/>
      <c r="U2293" s="1137"/>
      <c r="V2293" s="1137"/>
    </row>
    <row r="2294" spans="1:22" s="562" customFormat="1" ht="12.75" customHeight="1">
      <c r="A2294" s="817"/>
      <c r="C2294" s="485"/>
      <c r="D2294" s="776"/>
      <c r="E2294" s="2473" t="s">
        <v>1182</v>
      </c>
      <c r="F2294" s="3466"/>
      <c r="G2294" s="812" t="str">
        <f>EUconst_tCO2pTJ</f>
        <v>t CO2 / TJ</v>
      </c>
      <c r="H2294" s="627" t="str">
        <f>IF($M2252&lt;&gt;EUconst_Relevant,"",IF(INDEX('G_Fall-back'!H:H,MATCH($P2294,'G_Fall-back'!$Q:$Q,0))="","",INDEX('G_Fall-back'!H:H,MATCH($P2294,'G_Fall-back'!$Q:$Q,0))))</f>
        <v/>
      </c>
      <c r="I2294" s="796" t="str">
        <f>IF($M2252&lt;&gt;EUconst_Relevant,"",IF(INDEX('G_Fall-back'!I:I,MATCH($P2294,'G_Fall-back'!$Q:$Q,0))="","",INDEX('G_Fall-back'!I:I,MATCH($P2294,'G_Fall-back'!$Q:$Q,0))))</f>
        <v/>
      </c>
      <c r="J2294" s="2172" t="str">
        <f>IF($M2252&lt;&gt;EUconst_Relevant,"",IF(INDEX('G_Fall-back'!J:J,MATCH($P2294,'G_Fall-back'!$Q:$Q,0))="","",INDEX('G_Fall-back'!J:J,MATCH($P2294,'G_Fall-back'!$Q:$Q,0))))</f>
        <v/>
      </c>
      <c r="K2294" s="1788" t="str">
        <f>IF($M2252&lt;&gt;EUconst_Relevant,"",IF(INDEX('G_Fall-back'!K:K,MATCH($P2294,'G_Fall-back'!$Q:$Q,0))="","",INDEX('G_Fall-back'!K:K,MATCH($P2294,'G_Fall-back'!$Q:$Q,0))))</f>
        <v/>
      </c>
      <c r="L2294" s="1789" t="str">
        <f>IF($M2252&lt;&gt;EUconst_Relevant,"",IF(INDEX('G_Fall-back'!L:L,MATCH($P2294,'G_Fall-back'!$Q:$Q,0))="","",INDEX('G_Fall-back'!L:L,MATCH($P2294,'G_Fall-back'!$Q:$Q,0))))</f>
        <v/>
      </c>
      <c r="M2294" s="1789" t="str">
        <f>IF($M2252&lt;&gt;EUconst_Relevant,"",IF(INDEX('G_Fall-back'!M:M,MATCH($P2294,'G_Fall-back'!$Q:$Q,0))="","",INDEX('G_Fall-back'!M:M,MATCH($P2294,'G_Fall-back'!$Q:$Q,0))))</f>
        <v/>
      </c>
      <c r="N2294" s="1789" t="str">
        <f>IF($M2252&lt;&gt;EUconst_Relevant,"",IF(INDEX('G_Fall-back'!N:N,MATCH($P2294,'G_Fall-back'!$Q:$Q,0))="","",INDEX('G_Fall-back'!N:N,MATCH($P2294,'G_Fall-back'!$Q:$Q,0))))</f>
        <v/>
      </c>
      <c r="O2294" s="485"/>
      <c r="P2294" s="1970" t="str">
        <f>EUconst_CNTR_WGConsumedEF &amp;I2252</f>
        <v>WasteGasConsEF_District heating sub-installation</v>
      </c>
      <c r="Q2294" s="1137"/>
      <c r="R2294" s="1137"/>
      <c r="S2294" s="1137"/>
      <c r="T2294" s="1137"/>
      <c r="U2294" s="1137"/>
      <c r="V2294" s="1137"/>
    </row>
    <row r="2295" spans="1:22" s="562" customFormat="1" ht="5.0999999999999996" customHeight="1">
      <c r="A2295" s="817"/>
      <c r="C2295" s="485"/>
      <c r="D2295" s="776"/>
      <c r="E2295" s="777"/>
      <c r="F2295" s="813"/>
      <c r="G2295" s="813"/>
      <c r="H2295" s="2173"/>
      <c r="I2295" s="2173"/>
      <c r="J2295" s="2173"/>
      <c r="K2295" s="1788"/>
      <c r="L2295" s="1789"/>
      <c r="M2295" s="1789"/>
      <c r="N2295" s="1789"/>
      <c r="O2295" s="485"/>
      <c r="P2295" s="1137"/>
      <c r="Q2295" s="1137"/>
      <c r="R2295" s="1137"/>
      <c r="S2295" s="1137"/>
      <c r="T2295" s="1137"/>
      <c r="U2295" s="1137"/>
      <c r="V2295" s="1137"/>
    </row>
    <row r="2296" spans="1:22" s="562" customFormat="1">
      <c r="A2296" s="817"/>
      <c r="C2296" s="485"/>
      <c r="D2296" s="776"/>
      <c r="E2296" s="2475" t="s">
        <v>63</v>
      </c>
      <c r="F2296" s="3461"/>
      <c r="G2296" s="815" t="str">
        <f>EUconst_tCO2pa</f>
        <v>t CO2 / year</v>
      </c>
      <c r="H2296" s="623" t="str">
        <f>IF($M2252&lt;&gt;EUconst_Relevant,"",IF(INDEX('G_Fall-back'!H:H,MATCH($P2296,'G_Fall-back'!$Q:$Q,0))="","",INDEX('G_Fall-back'!H:H,MATCH($P2296,'G_Fall-back'!$Q:$Q,0))))</f>
        <v/>
      </c>
      <c r="I2296" s="800" t="str">
        <f>IF($M2252&lt;&gt;EUconst_Relevant,"",IF(INDEX('G_Fall-back'!I:I,MATCH($P2296,'G_Fall-back'!$Q:$Q,0))="","",INDEX('G_Fall-back'!I:I,MATCH($P2296,'G_Fall-back'!$Q:$Q,0))))</f>
        <v/>
      </c>
      <c r="J2296" s="2174" t="str">
        <f>IF($M2252&lt;&gt;EUconst_Relevant,"",IF(INDEX('G_Fall-back'!J:J,MATCH($P2296,'G_Fall-back'!$Q:$Q,0))="","",INDEX('G_Fall-back'!J:J,MATCH($P2296,'G_Fall-back'!$Q:$Q,0))))</f>
        <v/>
      </c>
      <c r="K2296" s="1788" t="str">
        <f>IF($M2252&lt;&gt;EUconst_Relevant,"",IF(INDEX('G_Fall-back'!K:K,MATCH($P2296,'G_Fall-back'!$Q:$Q,0))="","",INDEX('G_Fall-back'!K:K,MATCH($P2296,'G_Fall-back'!$Q:$Q,0))))</f>
        <v/>
      </c>
      <c r="L2296" s="1789" t="str">
        <f>IF($M2252&lt;&gt;EUconst_Relevant,"",IF(INDEX('G_Fall-back'!L:L,MATCH($P2296,'G_Fall-back'!$Q:$Q,0))="","",INDEX('G_Fall-back'!L:L,MATCH($P2296,'G_Fall-back'!$Q:$Q,0))))</f>
        <v/>
      </c>
      <c r="M2296" s="1789" t="str">
        <f>IF($M2252&lt;&gt;EUconst_Relevant,"",IF(INDEX('G_Fall-back'!M:M,MATCH($P2296,'G_Fall-back'!$Q:$Q,0))="","",INDEX('G_Fall-back'!M:M,MATCH($P2296,'G_Fall-back'!$Q:$Q,0))))</f>
        <v/>
      </c>
      <c r="N2296" s="1789" t="str">
        <f>IF($M2252&lt;&gt;EUconst_Relevant,"",IF(INDEX('G_Fall-back'!N:N,MATCH($P2296,'G_Fall-back'!$Q:$Q,0))="","",INDEX('G_Fall-back'!N:N,MATCH($P2296,'G_Fall-back'!$Q:$Q,0))))</f>
        <v/>
      </c>
      <c r="O2296" s="485"/>
      <c r="P2296" s="1970" t="str">
        <f>EUconst_CNTR_Emissions &amp;I2252</f>
        <v>DirEmissions_District heating sub-installation</v>
      </c>
      <c r="Q2296" s="1137"/>
      <c r="R2296" s="1137"/>
      <c r="S2296" s="1137"/>
      <c r="T2296" s="1137"/>
      <c r="U2296" s="1137"/>
      <c r="V2296" s="1137"/>
    </row>
    <row r="2297" spans="1:22" s="562" customFormat="1" ht="5.0999999999999996" customHeight="1">
      <c r="A2297" s="817"/>
      <c r="C2297" s="485"/>
      <c r="D2297" s="776"/>
      <c r="E2297" s="777"/>
      <c r="F2297" s="777"/>
      <c r="G2297" s="777"/>
      <c r="H2297" s="2173"/>
      <c r="I2297" s="2173"/>
      <c r="J2297" s="2173"/>
      <c r="K2297" s="1788"/>
      <c r="L2297" s="1789"/>
      <c r="M2297" s="1789"/>
      <c r="N2297" s="1789"/>
      <c r="O2297" s="485"/>
      <c r="P2297" s="1137"/>
      <c r="Q2297" s="1137"/>
      <c r="R2297" s="1137"/>
      <c r="S2297" s="1137"/>
      <c r="T2297" s="1137"/>
      <c r="U2297" s="1137"/>
      <c r="V2297" s="1137"/>
    </row>
    <row r="2298" spans="1:22" s="562" customFormat="1" ht="12.75" customHeight="1">
      <c r="A2298" s="817"/>
      <c r="C2298" s="485"/>
      <c r="D2298" s="776"/>
      <c r="E2298" s="2471" t="s">
        <v>1505</v>
      </c>
      <c r="F2298" s="3467"/>
      <c r="G2298" s="811" t="str">
        <f>EUconst_TJpa</f>
        <v>TJ / year</v>
      </c>
      <c r="H2298" s="625" t="str">
        <f>IF($M2252&lt;&gt;EUconst_Relevant,"",IF(INDEX('G_Fall-back'!H:H,MATCH($P2298,'G_Fall-back'!$Q:$Q,0))="","",INDEX('G_Fall-back'!H:H,MATCH($P2298,'G_Fall-back'!$Q:$Q,0))))</f>
        <v/>
      </c>
      <c r="I2298" s="794" t="str">
        <f>IF($M2252&lt;&gt;EUconst_Relevant,"",IF(INDEX('G_Fall-back'!I:I,MATCH($P2298,'G_Fall-back'!$Q:$Q,0))="","",INDEX('G_Fall-back'!I:I,MATCH($P2298,'G_Fall-back'!$Q:$Q,0))))</f>
        <v/>
      </c>
      <c r="J2298" s="2171" t="str">
        <f>IF($M2252&lt;&gt;EUconst_Relevant,"",IF(INDEX('G_Fall-back'!J:J,MATCH($P2298,'G_Fall-back'!$Q:$Q,0))="","",INDEX('G_Fall-back'!J:J,MATCH($P2298,'G_Fall-back'!$Q:$Q,0))))</f>
        <v/>
      </c>
      <c r="K2298" s="1788" t="str">
        <f>IF($M2252&lt;&gt;EUconst_Relevant,"",IF(INDEX('G_Fall-back'!K:K,MATCH($P2298,'G_Fall-back'!$Q:$Q,0))="","",INDEX('G_Fall-back'!K:K,MATCH($P2298,'G_Fall-back'!$Q:$Q,0))))</f>
        <v/>
      </c>
      <c r="L2298" s="1789" t="str">
        <f>IF($M2252&lt;&gt;EUconst_Relevant,"",IF(INDEX('G_Fall-back'!L:L,MATCH($P2298,'G_Fall-back'!$Q:$Q,0))="","",INDEX('G_Fall-back'!L:L,MATCH($P2298,'G_Fall-back'!$Q:$Q,0))))</f>
        <v/>
      </c>
      <c r="M2298" s="1789" t="str">
        <f>IF($M2252&lt;&gt;EUconst_Relevant,"",IF(INDEX('G_Fall-back'!M:M,MATCH($P2298,'G_Fall-back'!$Q:$Q,0))="","",INDEX('G_Fall-back'!M:M,MATCH($P2298,'G_Fall-back'!$Q:$Q,0))))</f>
        <v/>
      </c>
      <c r="N2298" s="1789" t="str">
        <f>IF($M2252&lt;&gt;EUconst_Relevant,"",IF(INDEX('G_Fall-back'!N:N,MATCH($P2298,'G_Fall-back'!$Q:$Q,0))="","",INDEX('G_Fall-back'!N:N,MATCH($P2298,'G_Fall-back'!$Q:$Q,0))))</f>
        <v/>
      </c>
      <c r="O2298" s="485"/>
      <c r="P2298" s="1970" t="str">
        <f>EUconst_CNTR_HeatImport &amp;I2252</f>
        <v>HeatIm_District heating sub-installation</v>
      </c>
      <c r="Q2298" s="1137"/>
      <c r="R2298" s="1137"/>
      <c r="S2298" s="1137"/>
      <c r="T2298" s="1137"/>
      <c r="U2298" s="1137"/>
      <c r="V2298" s="1137"/>
    </row>
    <row r="2299" spans="1:22" s="562" customFormat="1" ht="12.75" customHeight="1">
      <c r="A2299" s="817"/>
      <c r="C2299" s="485"/>
      <c r="D2299" s="776"/>
      <c r="E2299" s="2473" t="s">
        <v>1103</v>
      </c>
      <c r="F2299" s="3466"/>
      <c r="G2299" s="812" t="str">
        <f>EUconst_tCO2pTJ</f>
        <v>t CO2 / TJ</v>
      </c>
      <c r="H2299" s="627" t="str">
        <f>IF($M2252&lt;&gt;EUconst_Relevant,"",IF(INDEX('G_Fall-back'!H:H,MATCH($P2299,'G_Fall-back'!$Q:$Q,0))="","",INDEX('G_Fall-back'!H:H,MATCH($P2299,'G_Fall-back'!$Q:$Q,0))))</f>
        <v/>
      </c>
      <c r="I2299" s="796" t="str">
        <f>IF($M2252&lt;&gt;EUconst_Relevant,"",IF(INDEX('G_Fall-back'!I:I,MATCH($P2299,'G_Fall-back'!$Q:$Q,0))="","",INDEX('G_Fall-back'!I:I,MATCH($P2299,'G_Fall-back'!$Q:$Q,0))))</f>
        <v/>
      </c>
      <c r="J2299" s="2172" t="str">
        <f>IF($M2252&lt;&gt;EUconst_Relevant,"",IF(INDEX('G_Fall-back'!J:J,MATCH($P2299,'G_Fall-back'!$Q:$Q,0))="","",INDEX('G_Fall-back'!J:J,MATCH($P2299,'G_Fall-back'!$Q:$Q,0))))</f>
        <v/>
      </c>
      <c r="K2299" s="1788" t="str">
        <f>IF($M2252&lt;&gt;EUconst_Relevant,"",IF(INDEX('G_Fall-back'!K:K,MATCH($P2299,'G_Fall-back'!$Q:$Q,0))="","",INDEX('G_Fall-back'!K:K,MATCH($P2299,'G_Fall-back'!$Q:$Q,0))))</f>
        <v/>
      </c>
      <c r="L2299" s="1789" t="str">
        <f>IF($M2252&lt;&gt;EUconst_Relevant,"",IF(INDEX('G_Fall-back'!L:L,MATCH($P2299,'G_Fall-back'!$Q:$Q,0))="","",INDEX('G_Fall-back'!L:L,MATCH($P2299,'G_Fall-back'!$Q:$Q,0))))</f>
        <v/>
      </c>
      <c r="M2299" s="1789" t="str">
        <f>IF($M2252&lt;&gt;EUconst_Relevant,"",IF(INDEX('G_Fall-back'!M:M,MATCH($P2299,'G_Fall-back'!$Q:$Q,0))="","",INDEX('G_Fall-back'!M:M,MATCH($P2299,'G_Fall-back'!$Q:$Q,0))))</f>
        <v/>
      </c>
      <c r="N2299" s="1789" t="str">
        <f>IF($M2252&lt;&gt;EUconst_Relevant,"",IF(INDEX('G_Fall-back'!N:N,MATCH($P2299,'G_Fall-back'!$Q:$Q,0))="","",INDEX('G_Fall-back'!N:N,MATCH($P2299,'G_Fall-back'!$Q:$Q,0))))</f>
        <v/>
      </c>
      <c r="O2299" s="485"/>
      <c r="P2299" s="1970" t="str">
        <f>EUconst_CNTR_HeatImportEF &amp;I2252</f>
        <v>HeatImEF_District heating sub-installation</v>
      </c>
      <c r="Q2299" s="1137"/>
      <c r="R2299" s="1137"/>
      <c r="S2299" s="1137"/>
      <c r="T2299" s="1137"/>
      <c r="U2299" s="1137"/>
      <c r="V2299" s="1137"/>
    </row>
    <row r="2300" spans="1:22" s="562" customFormat="1" ht="12.75" customHeight="1">
      <c r="A2300" s="817"/>
      <c r="C2300" s="485"/>
      <c r="D2300" s="776"/>
      <c r="E2300" s="2471" t="s">
        <v>1506</v>
      </c>
      <c r="F2300" s="3467"/>
      <c r="G2300" s="811" t="str">
        <f>EUconst_TJpa</f>
        <v>TJ / year</v>
      </c>
      <c r="H2300" s="625" t="str">
        <f>IF($M2252&lt;&gt;EUconst_Relevant,"",IF(INDEX('G_Fall-back'!H:H,MATCH($P2300,'G_Fall-back'!$Q:$Q,0))="","",INDEX('G_Fall-back'!H:H,MATCH($P2300,'G_Fall-back'!$Q:$Q,0))))</f>
        <v/>
      </c>
      <c r="I2300" s="794" t="str">
        <f>IF($M2252&lt;&gt;EUconst_Relevant,"",IF(INDEX('G_Fall-back'!I:I,MATCH($P2300,'G_Fall-back'!$Q:$Q,0))="","",INDEX('G_Fall-back'!I:I,MATCH($P2300,'G_Fall-back'!$Q:$Q,0))))</f>
        <v/>
      </c>
      <c r="J2300" s="2171" t="str">
        <f>IF($M2252&lt;&gt;EUconst_Relevant,"",IF(INDEX('G_Fall-back'!J:J,MATCH($P2300,'G_Fall-back'!$Q:$Q,0))="","",INDEX('G_Fall-back'!J:J,MATCH($P2300,'G_Fall-back'!$Q:$Q,0))))</f>
        <v/>
      </c>
      <c r="K2300" s="1788" t="str">
        <f>IF($M2252&lt;&gt;EUconst_Relevant,"",IF(INDEX('G_Fall-back'!K:K,MATCH($P2300,'G_Fall-back'!$Q:$Q,0))="","",INDEX('G_Fall-back'!K:K,MATCH($P2300,'G_Fall-back'!$Q:$Q,0))))</f>
        <v/>
      </c>
      <c r="L2300" s="1789" t="str">
        <f>IF($M2252&lt;&gt;EUconst_Relevant,"",IF(INDEX('G_Fall-back'!L:L,MATCH($P2300,'G_Fall-back'!$Q:$Q,0))="","",INDEX('G_Fall-back'!L:L,MATCH($P2300,'G_Fall-back'!$Q:$Q,0))))</f>
        <v/>
      </c>
      <c r="M2300" s="1789" t="str">
        <f>IF($M2252&lt;&gt;EUconst_Relevant,"",IF(INDEX('G_Fall-back'!M:M,MATCH($P2300,'G_Fall-back'!$Q:$Q,0))="","",INDEX('G_Fall-back'!M:M,MATCH($P2300,'G_Fall-back'!$Q:$Q,0))))</f>
        <v/>
      </c>
      <c r="N2300" s="1789" t="str">
        <f>IF($M2252&lt;&gt;EUconst_Relevant,"",IF(INDEX('G_Fall-back'!N:N,MATCH($P2300,'G_Fall-back'!$Q:$Q,0))="","",INDEX('G_Fall-back'!N:N,MATCH($P2300,'G_Fall-back'!$Q:$Q,0))))</f>
        <v/>
      </c>
      <c r="O2300" s="485"/>
      <c r="P2300" s="1970" t="str">
        <f>EUconst_CNTR_HeatImportProduct &amp;I2252</f>
        <v>HeatImProd_District heating sub-installation</v>
      </c>
      <c r="Q2300" s="1137"/>
      <c r="R2300" s="1137"/>
      <c r="S2300" s="1137"/>
      <c r="T2300" s="1137"/>
      <c r="U2300" s="1137"/>
      <c r="V2300" s="1137"/>
    </row>
    <row r="2301" spans="1:22" s="562" customFormat="1" ht="12.75" customHeight="1">
      <c r="A2301" s="817"/>
      <c r="C2301" s="485"/>
      <c r="D2301" s="776"/>
      <c r="E2301" s="2473" t="s">
        <v>1490</v>
      </c>
      <c r="F2301" s="3466"/>
      <c r="G2301" s="812" t="str">
        <f>EUconst_tCO2pTJ</f>
        <v>t CO2 / TJ</v>
      </c>
      <c r="H2301" s="627" t="str">
        <f>IF($M2252&lt;&gt;EUconst_Relevant,"",IF(INDEX('G_Fall-back'!H:H,MATCH($P2301,'G_Fall-back'!$Q:$Q,0))="","",INDEX('G_Fall-back'!H:H,MATCH($P2301,'G_Fall-back'!$Q:$Q,0))))</f>
        <v/>
      </c>
      <c r="I2301" s="796" t="str">
        <f>IF($M2252&lt;&gt;EUconst_Relevant,"",IF(INDEX('G_Fall-back'!I:I,MATCH($P2301,'G_Fall-back'!$Q:$Q,0))="","",INDEX('G_Fall-back'!I:I,MATCH($P2301,'G_Fall-back'!$Q:$Q,0))))</f>
        <v/>
      </c>
      <c r="J2301" s="2172" t="str">
        <f>IF($M2252&lt;&gt;EUconst_Relevant,"",IF(INDEX('G_Fall-back'!J:J,MATCH($P2301,'G_Fall-back'!$Q:$Q,0))="","",INDEX('G_Fall-back'!J:J,MATCH($P2301,'G_Fall-back'!$Q:$Q,0))))</f>
        <v/>
      </c>
      <c r="K2301" s="1788" t="str">
        <f>IF($M2252&lt;&gt;EUconst_Relevant,"",IF(INDEX('G_Fall-back'!K:K,MATCH($P2301,'G_Fall-back'!$Q:$Q,0))="","",INDEX('G_Fall-back'!K:K,MATCH($P2301,'G_Fall-back'!$Q:$Q,0))))</f>
        <v/>
      </c>
      <c r="L2301" s="1789" t="str">
        <f>IF($M2252&lt;&gt;EUconst_Relevant,"",IF(INDEX('G_Fall-back'!L:L,MATCH($P2301,'G_Fall-back'!$Q:$Q,0))="","",INDEX('G_Fall-back'!L:L,MATCH($P2301,'G_Fall-back'!$Q:$Q,0))))</f>
        <v/>
      </c>
      <c r="M2301" s="1789" t="str">
        <f>IF($M2252&lt;&gt;EUconst_Relevant,"",IF(INDEX('G_Fall-back'!M:M,MATCH($P2301,'G_Fall-back'!$Q:$Q,0))="","",INDEX('G_Fall-back'!M:M,MATCH($P2301,'G_Fall-back'!$Q:$Q,0))))</f>
        <v/>
      </c>
      <c r="N2301" s="1789" t="str">
        <f>IF($M2252&lt;&gt;EUconst_Relevant,"",IF(INDEX('G_Fall-back'!N:N,MATCH($P2301,'G_Fall-back'!$Q:$Q,0))="","",INDEX('G_Fall-back'!N:N,MATCH($P2301,'G_Fall-back'!$Q:$Q,0))))</f>
        <v/>
      </c>
      <c r="O2301" s="485"/>
      <c r="P2301" s="1970" t="str">
        <f>EUconst_CNTR_HeatImportProductEF &amp;I2252</f>
        <v>HeatImProdEF_District heating sub-installation</v>
      </c>
      <c r="Q2301" s="1137"/>
      <c r="R2301" s="1137"/>
      <c r="S2301" s="1137"/>
      <c r="T2301" s="1137"/>
      <c r="U2301" s="1137"/>
      <c r="V2301" s="1137"/>
    </row>
    <row r="2302" spans="1:22" s="562" customFormat="1" ht="12.75" customHeight="1">
      <c r="A2302" s="817"/>
      <c r="C2302" s="485"/>
      <c r="D2302" s="776"/>
      <c r="E2302" s="2471" t="s">
        <v>1507</v>
      </c>
      <c r="F2302" s="3467"/>
      <c r="G2302" s="811" t="str">
        <f>EUconst_TJpa</f>
        <v>TJ / year</v>
      </c>
      <c r="H2302" s="625" t="str">
        <f>IF($M2252&lt;&gt;EUconst_Relevant,"",IF(INDEX('G_Fall-back'!H:H,MATCH($P2302,'G_Fall-back'!$Q:$Q,0))="","",INDEX('G_Fall-back'!H:H,MATCH($P2302,'G_Fall-back'!$Q:$Q,0))))</f>
        <v/>
      </c>
      <c r="I2302" s="794" t="str">
        <f>IF($M2252&lt;&gt;EUconst_Relevant,"",IF(INDEX('G_Fall-back'!I:I,MATCH($P2302,'G_Fall-back'!$Q:$Q,0))="","",INDEX('G_Fall-back'!I:I,MATCH($P2302,'G_Fall-back'!$Q:$Q,0))))</f>
        <v/>
      </c>
      <c r="J2302" s="2171" t="str">
        <f>IF($M2252&lt;&gt;EUconst_Relevant,"",IF(INDEX('G_Fall-back'!J:J,MATCH($P2302,'G_Fall-back'!$Q:$Q,0))="","",INDEX('G_Fall-back'!J:J,MATCH($P2302,'G_Fall-back'!$Q:$Q,0))))</f>
        <v/>
      </c>
      <c r="K2302" s="1788" t="str">
        <f>IF($M2252&lt;&gt;EUconst_Relevant,"",IF(INDEX('G_Fall-back'!K:K,MATCH($P2302,'G_Fall-back'!$Q:$Q,0))="","",INDEX('G_Fall-back'!K:K,MATCH($P2302,'G_Fall-back'!$Q:$Q,0))))</f>
        <v/>
      </c>
      <c r="L2302" s="1789" t="str">
        <f>IF($M2252&lt;&gt;EUconst_Relevant,"",IF(INDEX('G_Fall-back'!L:L,MATCH($P2302,'G_Fall-back'!$Q:$Q,0))="","",INDEX('G_Fall-back'!L:L,MATCH($P2302,'G_Fall-back'!$Q:$Q,0))))</f>
        <v/>
      </c>
      <c r="M2302" s="1789" t="str">
        <f>IF($M2252&lt;&gt;EUconst_Relevant,"",IF(INDEX('G_Fall-back'!M:M,MATCH($P2302,'G_Fall-back'!$Q:$Q,0))="","",INDEX('G_Fall-back'!M:M,MATCH($P2302,'G_Fall-back'!$Q:$Q,0))))</f>
        <v/>
      </c>
      <c r="N2302" s="1789" t="str">
        <f>IF($M2252&lt;&gt;EUconst_Relevant,"",IF(INDEX('G_Fall-back'!N:N,MATCH($P2302,'G_Fall-back'!$Q:$Q,0))="","",INDEX('G_Fall-back'!N:N,MATCH($P2302,'G_Fall-back'!$Q:$Q,0))))</f>
        <v/>
      </c>
      <c r="O2302" s="485"/>
      <c r="P2302" s="1970" t="str">
        <f>EUconst_CNTR_HeatImportPulp &amp;I2252</f>
        <v>HeatImPulp_District heating sub-installation</v>
      </c>
      <c r="Q2302" s="1137"/>
      <c r="R2302" s="1137"/>
      <c r="S2302" s="1137"/>
      <c r="T2302" s="1137"/>
      <c r="U2302" s="1137"/>
      <c r="V2302" s="1137"/>
    </row>
    <row r="2303" spans="1:22" s="562" customFormat="1">
      <c r="A2303" s="817"/>
      <c r="C2303" s="485"/>
      <c r="D2303" s="776"/>
      <c r="E2303" s="2473" t="s">
        <v>1489</v>
      </c>
      <c r="F2303" s="3466"/>
      <c r="G2303" s="812" t="str">
        <f>EUconst_tCO2pTJ</f>
        <v>t CO2 / TJ</v>
      </c>
      <c r="H2303" s="627" t="str">
        <f>IF($M2252&lt;&gt;EUconst_Relevant,"",IF(INDEX('G_Fall-back'!H:H,MATCH($P2303,'G_Fall-back'!$Q:$Q,0))="","",INDEX('G_Fall-back'!H:H,MATCH($P2303,'G_Fall-back'!$Q:$Q,0))))</f>
        <v/>
      </c>
      <c r="I2303" s="796" t="str">
        <f>IF($M2252&lt;&gt;EUconst_Relevant,"",IF(INDEX('G_Fall-back'!I:I,MATCH($P2303,'G_Fall-back'!$Q:$Q,0))="","",INDEX('G_Fall-back'!I:I,MATCH($P2303,'G_Fall-back'!$Q:$Q,0))))</f>
        <v/>
      </c>
      <c r="J2303" s="2172" t="str">
        <f>IF($M2252&lt;&gt;EUconst_Relevant,"",IF(INDEX('G_Fall-back'!J:J,MATCH($P2303,'G_Fall-back'!$Q:$Q,0))="","",INDEX('G_Fall-back'!J:J,MATCH($P2303,'G_Fall-back'!$Q:$Q,0))))</f>
        <v/>
      </c>
      <c r="K2303" s="1788" t="str">
        <f>IF($M2252&lt;&gt;EUconst_Relevant,"",IF(INDEX('G_Fall-back'!K:K,MATCH($P2303,'G_Fall-back'!$Q:$Q,0))="","",INDEX('G_Fall-back'!K:K,MATCH($P2303,'G_Fall-back'!$Q:$Q,0))))</f>
        <v/>
      </c>
      <c r="L2303" s="1789" t="str">
        <f>IF($M2252&lt;&gt;EUconst_Relevant,"",IF(INDEX('G_Fall-back'!L:L,MATCH($P2303,'G_Fall-back'!$Q:$Q,0))="","",INDEX('G_Fall-back'!L:L,MATCH($P2303,'G_Fall-back'!$Q:$Q,0))))</f>
        <v/>
      </c>
      <c r="M2303" s="1789" t="str">
        <f>IF($M2252&lt;&gt;EUconst_Relevant,"",IF(INDEX('G_Fall-back'!M:M,MATCH($P2303,'G_Fall-back'!$Q:$Q,0))="","",INDEX('G_Fall-back'!M:M,MATCH($P2303,'G_Fall-back'!$Q:$Q,0))))</f>
        <v/>
      </c>
      <c r="N2303" s="1789" t="str">
        <f>IF($M2252&lt;&gt;EUconst_Relevant,"",IF(INDEX('G_Fall-back'!N:N,MATCH($P2303,'G_Fall-back'!$Q:$Q,0))="","",INDEX('G_Fall-back'!N:N,MATCH($P2303,'G_Fall-back'!$Q:$Q,0))))</f>
        <v/>
      </c>
      <c r="O2303" s="485"/>
      <c r="P2303" s="1970" t="str">
        <f>EUconst_CNTR_HeatImportPulpEF &amp;I2252</f>
        <v>HeatImPulpEF_District heating sub-installation</v>
      </c>
      <c r="Q2303" s="1137"/>
      <c r="R2303" s="1137"/>
      <c r="S2303" s="1137"/>
      <c r="T2303" s="1137"/>
      <c r="U2303" s="1137"/>
      <c r="V2303" s="1137"/>
    </row>
    <row r="2304" spans="1:22" s="562" customFormat="1" ht="12.75" customHeight="1">
      <c r="A2304" s="817"/>
      <c r="C2304" s="485"/>
      <c r="D2304" s="776"/>
      <c r="E2304" s="2471" t="s">
        <v>1508</v>
      </c>
      <c r="F2304" s="3467"/>
      <c r="G2304" s="811" t="str">
        <f>EUconst_TJpa</f>
        <v>TJ / year</v>
      </c>
      <c r="H2304" s="625" t="str">
        <f>IF($M2252&lt;&gt;EUconst_Relevant,"",IF(INDEX('G_Fall-back'!H:H,MATCH($P2304,'G_Fall-back'!$Q:$Q,0))="","",INDEX('G_Fall-back'!H:H,MATCH($P2304,'G_Fall-back'!$Q:$Q,0))))</f>
        <v/>
      </c>
      <c r="I2304" s="794" t="str">
        <f>IF($M2252&lt;&gt;EUconst_Relevant,"",IF(INDEX('G_Fall-back'!I:I,MATCH($P2304,'G_Fall-back'!$Q:$Q,0))="","",INDEX('G_Fall-back'!I:I,MATCH($P2304,'G_Fall-back'!$Q:$Q,0))))</f>
        <v/>
      </c>
      <c r="J2304" s="2171" t="str">
        <f>IF($M2252&lt;&gt;EUconst_Relevant,"",IF(INDEX('G_Fall-back'!J:J,MATCH($P2304,'G_Fall-back'!$Q:$Q,0))="","",INDEX('G_Fall-back'!J:J,MATCH($P2304,'G_Fall-back'!$Q:$Q,0))))</f>
        <v/>
      </c>
      <c r="K2304" s="1788" t="str">
        <f>IF($M2252&lt;&gt;EUconst_Relevant,"",IF(INDEX('G_Fall-back'!K:K,MATCH($P2304,'G_Fall-back'!$Q:$Q,0))="","",INDEX('G_Fall-back'!K:K,MATCH($P2304,'G_Fall-back'!$Q:$Q,0))))</f>
        <v/>
      </c>
      <c r="L2304" s="1789" t="str">
        <f>IF($M2252&lt;&gt;EUconst_Relevant,"",IF(INDEX('G_Fall-back'!L:L,MATCH($P2304,'G_Fall-back'!$Q:$Q,0))="","",INDEX('G_Fall-back'!L:L,MATCH($P2304,'G_Fall-back'!$Q:$Q,0))))</f>
        <v/>
      </c>
      <c r="M2304" s="1789" t="str">
        <f>IF($M2252&lt;&gt;EUconst_Relevant,"",IF(INDEX('G_Fall-back'!M:M,MATCH($P2304,'G_Fall-back'!$Q:$Q,0))="","",INDEX('G_Fall-back'!M:M,MATCH($P2304,'G_Fall-back'!$Q:$Q,0))))</f>
        <v/>
      </c>
      <c r="N2304" s="1789" t="str">
        <f>IF($M2252&lt;&gt;EUconst_Relevant,"",IF(INDEX('G_Fall-back'!N:N,MATCH($P2304,'G_Fall-back'!$Q:$Q,0))="","",INDEX('G_Fall-back'!N:N,MATCH($P2304,'G_Fall-back'!$Q:$Q,0))))</f>
        <v/>
      </c>
      <c r="O2304" s="485"/>
      <c r="P2304" s="1970" t="str">
        <f>EUconst_CNTR_HeatImportFuel &amp;I2252</f>
        <v>HeatImFuel_District heating sub-installation</v>
      </c>
      <c r="Q2304" s="1137"/>
      <c r="R2304" s="1137"/>
      <c r="S2304" s="1137"/>
      <c r="T2304" s="1137"/>
      <c r="U2304" s="1137"/>
      <c r="V2304" s="1137"/>
    </row>
    <row r="2305" spans="1:22" s="562" customFormat="1" ht="12.75" customHeight="1">
      <c r="A2305" s="817"/>
      <c r="C2305" s="485"/>
      <c r="D2305" s="776"/>
      <c r="E2305" s="2473" t="s">
        <v>1491</v>
      </c>
      <c r="F2305" s="3466"/>
      <c r="G2305" s="812" t="str">
        <f>EUconst_tCO2pTJ</f>
        <v>t CO2 / TJ</v>
      </c>
      <c r="H2305" s="627" t="str">
        <f>IF($M2252&lt;&gt;EUconst_Relevant,"",IF(INDEX('G_Fall-back'!H:H,MATCH($P2305,'G_Fall-back'!$Q:$Q,0))="","",INDEX('G_Fall-back'!H:H,MATCH($P2305,'G_Fall-back'!$Q:$Q,0))))</f>
        <v/>
      </c>
      <c r="I2305" s="796" t="str">
        <f>IF($M2252&lt;&gt;EUconst_Relevant,"",IF(INDEX('G_Fall-back'!I:I,MATCH($P2305,'G_Fall-back'!$Q:$Q,0))="","",INDEX('G_Fall-back'!I:I,MATCH($P2305,'G_Fall-back'!$Q:$Q,0))))</f>
        <v/>
      </c>
      <c r="J2305" s="2172" t="str">
        <f>IF($M2252&lt;&gt;EUconst_Relevant,"",IF(INDEX('G_Fall-back'!J:J,MATCH($P2305,'G_Fall-back'!$Q:$Q,0))="","",INDEX('G_Fall-back'!J:J,MATCH($P2305,'G_Fall-back'!$Q:$Q,0))))</f>
        <v/>
      </c>
      <c r="K2305" s="1788" t="str">
        <f>IF($M2252&lt;&gt;EUconst_Relevant,"",IF(INDEX('G_Fall-back'!K:K,MATCH($P2305,'G_Fall-back'!$Q:$Q,0))="","",INDEX('G_Fall-back'!K:K,MATCH($P2305,'G_Fall-back'!$Q:$Q,0))))</f>
        <v/>
      </c>
      <c r="L2305" s="1789" t="str">
        <f>IF($M2252&lt;&gt;EUconst_Relevant,"",IF(INDEX('G_Fall-back'!L:L,MATCH($P2305,'G_Fall-back'!$Q:$Q,0))="","",INDEX('G_Fall-back'!L:L,MATCH($P2305,'G_Fall-back'!$Q:$Q,0))))</f>
        <v/>
      </c>
      <c r="M2305" s="1789" t="str">
        <f>IF($M2252&lt;&gt;EUconst_Relevant,"",IF(INDEX('G_Fall-back'!M:M,MATCH($P2305,'G_Fall-back'!$Q:$Q,0))="","",INDEX('G_Fall-back'!M:M,MATCH($P2305,'G_Fall-back'!$Q:$Q,0))))</f>
        <v/>
      </c>
      <c r="N2305" s="1789" t="str">
        <f>IF($M2252&lt;&gt;EUconst_Relevant,"",IF(INDEX('G_Fall-back'!N:N,MATCH($P2305,'G_Fall-back'!$Q:$Q,0))="","",INDEX('G_Fall-back'!N:N,MATCH($P2305,'G_Fall-back'!$Q:$Q,0))))</f>
        <v/>
      </c>
      <c r="O2305" s="485"/>
      <c r="P2305" s="1970" t="str">
        <f>EUconst_CNTR_HeatImportFuelEF &amp;I2252</f>
        <v>HeatImFuelEF_District heating sub-installation</v>
      </c>
      <c r="Q2305" s="1137"/>
      <c r="R2305" s="1137"/>
      <c r="S2305" s="1137"/>
      <c r="T2305" s="1137"/>
      <c r="U2305" s="1137"/>
      <c r="V2305" s="1137"/>
    </row>
    <row r="2306" spans="1:22" s="562" customFormat="1" ht="12.75" customHeight="1">
      <c r="A2306" s="817"/>
      <c r="C2306" s="485"/>
      <c r="D2306" s="776"/>
      <c r="E2306" s="2471" t="s">
        <v>1509</v>
      </c>
      <c r="F2306" s="3467"/>
      <c r="G2306" s="811" t="str">
        <f>EUconst_TJpa</f>
        <v>TJ / year</v>
      </c>
      <c r="H2306" s="625" t="str">
        <f>IF($M2252&lt;&gt;EUconst_Relevant,"",IF(INDEX('G_Fall-back'!H:H,MATCH($P2306,'G_Fall-back'!$Q:$Q,0))="","",INDEX('G_Fall-back'!H:H,MATCH($P2306,'G_Fall-back'!$Q:$Q,0))))</f>
        <v/>
      </c>
      <c r="I2306" s="794" t="str">
        <f>IF($M2252&lt;&gt;EUconst_Relevant,"",IF(INDEX('G_Fall-back'!I:I,MATCH($P2306,'G_Fall-back'!$Q:$Q,0))="","",INDEX('G_Fall-back'!I:I,MATCH($P2306,'G_Fall-back'!$Q:$Q,0))))</f>
        <v/>
      </c>
      <c r="J2306" s="2171" t="str">
        <f>IF($M2252&lt;&gt;EUconst_Relevant,"",IF(INDEX('G_Fall-back'!J:J,MATCH($P2306,'G_Fall-back'!$Q:$Q,0))="","",INDEX('G_Fall-back'!J:J,MATCH($P2306,'G_Fall-back'!$Q:$Q,0))))</f>
        <v/>
      </c>
      <c r="K2306" s="1788" t="str">
        <f>IF($M2252&lt;&gt;EUconst_Relevant,"",IF(INDEX('G_Fall-back'!K:K,MATCH($P2306,'G_Fall-back'!$Q:$Q,0))="","",INDEX('G_Fall-back'!K:K,MATCH($P2306,'G_Fall-back'!$Q:$Q,0))))</f>
        <v/>
      </c>
      <c r="L2306" s="1789" t="str">
        <f>IF($M2252&lt;&gt;EUconst_Relevant,"",IF(INDEX('G_Fall-back'!L:L,MATCH($P2306,'G_Fall-back'!$Q:$Q,0))="","",INDEX('G_Fall-back'!L:L,MATCH($P2306,'G_Fall-back'!$Q:$Q,0))))</f>
        <v/>
      </c>
      <c r="M2306" s="1789" t="str">
        <f>IF($M2252&lt;&gt;EUconst_Relevant,"",IF(INDEX('G_Fall-back'!M:M,MATCH($P2306,'G_Fall-back'!$Q:$Q,0))="","",INDEX('G_Fall-back'!M:M,MATCH($P2306,'G_Fall-back'!$Q:$Q,0))))</f>
        <v/>
      </c>
      <c r="N2306" s="1789" t="str">
        <f>IF($M2252&lt;&gt;EUconst_Relevant,"",IF(INDEX('G_Fall-back'!N:N,MATCH($P2306,'G_Fall-back'!$Q:$Q,0))="","",INDEX('G_Fall-back'!N:N,MATCH($P2306,'G_Fall-back'!$Q:$Q,0))))</f>
        <v/>
      </c>
      <c r="O2306" s="485"/>
      <c r="P2306" s="1970" t="str">
        <f>EUconst_CNTR_WGImport &amp;I2252</f>
        <v>WasteGasIm_District heating sub-installation</v>
      </c>
      <c r="Q2306" s="1137"/>
      <c r="R2306" s="1137"/>
      <c r="S2306" s="1137"/>
      <c r="T2306" s="1137"/>
      <c r="U2306" s="1137"/>
      <c r="V2306" s="1137"/>
    </row>
    <row r="2307" spans="1:22" s="562" customFormat="1" ht="12.75" customHeight="1">
      <c r="A2307" s="817"/>
      <c r="C2307" s="485"/>
      <c r="D2307" s="776"/>
      <c r="E2307" s="2473" t="s">
        <v>1492</v>
      </c>
      <c r="F2307" s="3466"/>
      <c r="G2307" s="812" t="str">
        <f>EUconst_tCO2pTJ</f>
        <v>t CO2 / TJ</v>
      </c>
      <c r="H2307" s="627" t="str">
        <f>IF($M2252&lt;&gt;EUconst_Relevant,"",IF(INDEX('G_Fall-back'!H:H,MATCH($P2307,'G_Fall-back'!$Q:$Q,0))="","",INDEX('G_Fall-back'!H:H,MATCH($P2307,'G_Fall-back'!$Q:$Q,0))))</f>
        <v/>
      </c>
      <c r="I2307" s="796" t="str">
        <f>IF($M2252&lt;&gt;EUconst_Relevant,"",IF(INDEX('G_Fall-back'!I:I,MATCH($P2307,'G_Fall-back'!$Q:$Q,0))="","",INDEX('G_Fall-back'!I:I,MATCH($P2307,'G_Fall-back'!$Q:$Q,0))))</f>
        <v/>
      </c>
      <c r="J2307" s="2172" t="str">
        <f>IF($M2252&lt;&gt;EUconst_Relevant,"",IF(INDEX('G_Fall-back'!J:J,MATCH($P2307,'G_Fall-back'!$Q:$Q,0))="","",INDEX('G_Fall-back'!J:J,MATCH($P2307,'G_Fall-back'!$Q:$Q,0))))</f>
        <v/>
      </c>
      <c r="K2307" s="1788" t="str">
        <f>IF($M2252&lt;&gt;EUconst_Relevant,"",IF(INDEX('G_Fall-back'!K:K,MATCH($P2307,'G_Fall-back'!$Q:$Q,0))="","",INDEX('G_Fall-back'!K:K,MATCH($P2307,'G_Fall-back'!$Q:$Q,0))))</f>
        <v/>
      </c>
      <c r="L2307" s="1789" t="str">
        <f>IF($M2252&lt;&gt;EUconst_Relevant,"",IF(INDEX('G_Fall-back'!L:L,MATCH($P2307,'G_Fall-back'!$Q:$Q,0))="","",INDEX('G_Fall-back'!L:L,MATCH($P2307,'G_Fall-back'!$Q:$Q,0))))</f>
        <v/>
      </c>
      <c r="M2307" s="1789" t="str">
        <f>IF($M2252&lt;&gt;EUconst_Relevant,"",IF(INDEX('G_Fall-back'!M:M,MATCH($P2307,'G_Fall-back'!$Q:$Q,0))="","",INDEX('G_Fall-back'!M:M,MATCH($P2307,'G_Fall-back'!$Q:$Q,0))))</f>
        <v/>
      </c>
      <c r="N2307" s="1789" t="str">
        <f>IF($M2252&lt;&gt;EUconst_Relevant,"",IF(INDEX('G_Fall-back'!N:N,MATCH($P2307,'G_Fall-back'!$Q:$Q,0))="","",INDEX('G_Fall-back'!N:N,MATCH($P2307,'G_Fall-back'!$Q:$Q,0))))</f>
        <v/>
      </c>
      <c r="O2307" s="485"/>
      <c r="P2307" s="1970" t="str">
        <f>EUconst_CNTR_WGImportEF &amp;I2252</f>
        <v>WasteGasImEF_District heating sub-installation</v>
      </c>
      <c r="Q2307" s="1137"/>
      <c r="R2307" s="1137"/>
      <c r="S2307" s="1137"/>
      <c r="T2307" s="1137"/>
      <c r="U2307" s="1137"/>
      <c r="V2307" s="1137"/>
    </row>
    <row r="2308" spans="1:22" s="562" customFormat="1" ht="5.0999999999999996" customHeight="1" thickBot="1">
      <c r="A2308" s="817"/>
      <c r="C2308" s="485"/>
      <c r="D2308" s="839"/>
      <c r="E2308" s="805"/>
      <c r="F2308" s="805"/>
      <c r="G2308" s="805"/>
      <c r="H2308" s="805"/>
      <c r="I2308" s="805"/>
      <c r="J2308" s="805"/>
      <c r="K2308" s="1790"/>
      <c r="L2308" s="1791"/>
      <c r="M2308" s="1791"/>
      <c r="N2308" s="1791"/>
      <c r="O2308" s="485"/>
      <c r="P2308" s="1137"/>
      <c r="Q2308" s="1137"/>
      <c r="R2308" s="1137"/>
      <c r="S2308" s="1137"/>
      <c r="T2308" s="1137"/>
      <c r="U2308" s="1137"/>
      <c r="V2308" s="1137"/>
    </row>
    <row r="2309" spans="1:22" s="562" customFormat="1" ht="5.0999999999999996" customHeight="1" thickBot="1">
      <c r="A2309" s="817"/>
      <c r="C2309" s="485"/>
      <c r="D2309" s="485"/>
      <c r="E2309" s="485"/>
      <c r="F2309" s="485"/>
      <c r="G2309" s="485"/>
      <c r="M2309" s="485"/>
      <c r="N2309" s="485"/>
      <c r="O2309" s="485"/>
      <c r="P2309" s="1137"/>
      <c r="Q2309" s="1137"/>
      <c r="R2309" s="1137"/>
      <c r="S2309" s="1137"/>
      <c r="T2309" s="1137"/>
      <c r="U2309" s="1137"/>
      <c r="V2309" s="1137"/>
    </row>
    <row r="2310" spans="1:22" s="562" customFormat="1" ht="5.0999999999999996" customHeight="1" thickBot="1">
      <c r="A2310" s="817"/>
      <c r="C2310" s="2118"/>
      <c r="D2310" s="2118"/>
      <c r="E2310" s="2118"/>
      <c r="F2310" s="2118"/>
      <c r="G2310" s="2118"/>
      <c r="H2310" s="2118"/>
      <c r="I2310" s="2118"/>
      <c r="J2310" s="2118"/>
      <c r="K2310" s="2118"/>
      <c r="L2310" s="2118"/>
      <c r="M2310" s="2118"/>
      <c r="N2310" s="2118"/>
      <c r="O2310" s="485"/>
      <c r="P2310" s="1137"/>
      <c r="Q2310" s="1137"/>
      <c r="R2310" s="1137"/>
      <c r="S2310" s="1137"/>
      <c r="T2310" s="1137"/>
      <c r="U2310" s="1137"/>
      <c r="V2310" s="1137"/>
    </row>
    <row r="2311" spans="1:22" s="562" customFormat="1" ht="15" customHeight="1" thickBot="1">
      <c r="A2311" s="817"/>
      <c r="C2311" s="559">
        <f>C2252+1</f>
        <v>14</v>
      </c>
      <c r="D2311" s="2482" t="str">
        <f>CONCATENATE(EUconst_FBSubinst," ",C2311-10, ":")</f>
        <v>Fall-Back sub-installation 4:</v>
      </c>
      <c r="E2311" s="2482"/>
      <c r="F2311" s="2482"/>
      <c r="G2311" s="2482"/>
      <c r="H2311" s="2483"/>
      <c r="I2311" s="3473" t="str">
        <f>INDEX(EUconst_FallBackListNames,$C2311-10)</f>
        <v>Fuel benchmark sub-installation, CL</v>
      </c>
      <c r="J2311" s="3474"/>
      <c r="K2311" s="3474"/>
      <c r="L2311" s="3475"/>
      <c r="M2311" s="3370" t="str">
        <f>IF(INDEX(CNTR_FallBackSubInstRelevant,C2311-10)="","",IF(INDEX(CNTR_FallBackSubInstRelevant,C2311-10),EUconst_Relevant,EUconst_NotRelevant))</f>
        <v/>
      </c>
      <c r="N2311" s="3371"/>
      <c r="O2311" s="485"/>
      <c r="P2311" s="1137"/>
      <c r="Q2311" s="2123">
        <f>C2311</f>
        <v>14</v>
      </c>
      <c r="R2311" s="2124" t="str">
        <f>I2311</f>
        <v>Fuel benchmark sub-installation, CL</v>
      </c>
      <c r="S2311" s="1137"/>
      <c r="T2311" s="1137"/>
      <c r="U2311" s="1137"/>
      <c r="V2311" s="1137"/>
    </row>
    <row r="2312" spans="1:22" s="562" customFormat="1" ht="5.0999999999999996" customHeight="1">
      <c r="A2312" s="817"/>
      <c r="C2312" s="559"/>
      <c r="D2312" s="559"/>
      <c r="E2312" s="559"/>
      <c r="F2312" s="559"/>
      <c r="G2312" s="559"/>
      <c r="H2312" s="559"/>
      <c r="I2312" s="559"/>
      <c r="J2312" s="559"/>
      <c r="K2312" s="559"/>
      <c r="L2312" s="559"/>
      <c r="M2312" s="559"/>
      <c r="N2312" s="559"/>
      <c r="O2312" s="485"/>
      <c r="P2312" s="1137"/>
      <c r="Q2312" s="1137"/>
      <c r="R2312" s="1137"/>
      <c r="S2312" s="1137"/>
      <c r="T2312" s="1137"/>
      <c r="U2312" s="1137"/>
      <c r="V2312" s="1137"/>
    </row>
    <row r="2313" spans="1:22" s="562" customFormat="1" ht="12.75" customHeight="1">
      <c r="A2313" s="817"/>
      <c r="C2313" s="559"/>
      <c r="D2313" s="559"/>
      <c r="E2313" s="559"/>
      <c r="F2313" s="559"/>
      <c r="H2313" s="688" t="s">
        <v>458</v>
      </c>
      <c r="I2313" s="485"/>
      <c r="J2313" s="688" t="s">
        <v>1434</v>
      </c>
      <c r="K2313" s="688" t="s">
        <v>1684</v>
      </c>
      <c r="L2313" s="689" t="s">
        <v>156</v>
      </c>
      <c r="M2313" s="2469" t="s">
        <v>302</v>
      </c>
      <c r="N2313" s="2469"/>
      <c r="O2313" s="485"/>
      <c r="P2313" s="1137"/>
      <c r="Q2313" s="1137"/>
      <c r="R2313" s="1137"/>
      <c r="S2313" s="1137"/>
      <c r="T2313" s="1137"/>
      <c r="U2313" s="1137"/>
      <c r="V2313" s="1137"/>
    </row>
    <row r="2314" spans="1:22" s="562" customFormat="1" ht="12.75" customHeight="1">
      <c r="A2314" s="817"/>
      <c r="C2314" s="559"/>
      <c r="D2314" s="559"/>
      <c r="E2314" s="690" t="str">
        <f>I2311</f>
        <v>Fuel benchmark sub-installation, CL</v>
      </c>
      <c r="F2314" s="691"/>
      <c r="G2314" s="691"/>
      <c r="H2314" s="692" t="b">
        <f>INDEX(EUconst_FallBackListCLstatus,MATCH(I2311,EUconst_FallBackListNames,0))</f>
        <v>1</v>
      </c>
      <c r="I2314" s="485"/>
      <c r="J2314" s="566" t="str">
        <f>IF($M2311&lt;&gt;EUconst_Relevant,EUconst_NA,INDEX(CNTR_SubInstStartDate,MATCH(I2311,CNTR_SubInstListNames,0)))</f>
        <v>N.A.</v>
      </c>
      <c r="K2314" s="566" t="str">
        <f>IF($M2311&lt;&gt;EUconst_Relevant,EUconst_NA,IF(INDEX(CNTR_SubInstCessationDate,MATCH(I2311,CNTR_SubInstListNames,0))=0,"",INDEX(CNTR_SubInstCessationDate,MATCH(I2311,CNTR_SubInstListNames,0))))</f>
        <v>N.A.</v>
      </c>
      <c r="L2314" s="693">
        <f>C2311-10</f>
        <v>4</v>
      </c>
      <c r="M2314" s="818" t="str">
        <f>IF(M2311&lt;&gt;EUconst_Relevant,EUconst_NA,INDEX(EUconst_FallBackListBMvaluesMatrix,L2314,3))</f>
        <v>N.A.</v>
      </c>
      <c r="N2314" s="685" t="str">
        <f>EUconst_EUA &amp; "/" &amp; F2317</f>
        <v>UKA/TJ</v>
      </c>
      <c r="O2314" s="485"/>
      <c r="P2314" s="1137"/>
      <c r="Q2314" s="1137"/>
      <c r="R2314" s="1137"/>
      <c r="S2314" s="1137"/>
      <c r="T2314" s="1137"/>
      <c r="U2314" s="1137"/>
      <c r="V2314" s="1137"/>
    </row>
    <row r="2315" spans="1:22" s="562" customFormat="1" ht="5.0999999999999996" customHeight="1" thickBot="1">
      <c r="A2315" s="817"/>
      <c r="C2315" s="485"/>
      <c r="D2315" s="485"/>
      <c r="E2315" s="559"/>
      <c r="J2315" s="485"/>
      <c r="K2315" s="485"/>
      <c r="L2315" s="485"/>
      <c r="M2315" s="485"/>
      <c r="N2315" s="485"/>
      <c r="O2315" s="485"/>
      <c r="P2315" s="1137"/>
      <c r="Q2315" s="1137"/>
      <c r="R2315" s="1137"/>
      <c r="S2315" s="1137"/>
      <c r="T2315" s="1117"/>
      <c r="U2315" s="1137"/>
      <c r="V2315" s="1137"/>
    </row>
    <row r="2316" spans="1:22" s="562" customFormat="1" ht="12.75" customHeight="1">
      <c r="A2316" s="817"/>
      <c r="C2316" s="485"/>
      <c r="D2316" s="485"/>
      <c r="E2316" s="496"/>
      <c r="F2316" s="482" t="str">
        <f>EUconst_Unit</f>
        <v>Unit</v>
      </c>
      <c r="G2316" s="819" t="s">
        <v>1646</v>
      </c>
      <c r="H2316" s="696">
        <f t="shared" ref="H2316:N2316" si="171">H$2737</f>
        <v>2024</v>
      </c>
      <c r="I2316" s="697">
        <f t="shared" si="171"/>
        <v>2025</v>
      </c>
      <c r="J2316" s="2125">
        <f t="shared" si="171"/>
        <v>2026</v>
      </c>
      <c r="K2316" s="1489">
        <f t="shared" si="171"/>
        <v>2027</v>
      </c>
      <c r="L2316" s="1490">
        <f t="shared" si="171"/>
        <v>2028</v>
      </c>
      <c r="M2316" s="1490">
        <f t="shared" si="171"/>
        <v>2029</v>
      </c>
      <c r="N2316" s="1490">
        <f t="shared" si="171"/>
        <v>2030</v>
      </c>
      <c r="O2316" s="485"/>
      <c r="P2316" s="1137"/>
      <c r="Q2316" s="1137" t="s">
        <v>1803</v>
      </c>
      <c r="R2316" s="2126">
        <f>J$2737</f>
        <v>2026</v>
      </c>
      <c r="S2316" s="2127">
        <f>K$2737</f>
        <v>2027</v>
      </c>
      <c r="T2316" s="2127">
        <f>L$2737</f>
        <v>2028</v>
      </c>
      <c r="U2316" s="2127">
        <f>M$2737</f>
        <v>2029</v>
      </c>
      <c r="V2316" s="2128">
        <f>N$2737</f>
        <v>2030</v>
      </c>
    </row>
    <row r="2317" spans="1:22" s="562" customFormat="1" ht="12.75" customHeight="1" thickBot="1">
      <c r="A2317" s="817"/>
      <c r="C2317" s="485"/>
      <c r="D2317" s="485"/>
      <c r="E2317" s="698" t="s">
        <v>1665</v>
      </c>
      <c r="F2317" s="699" t="str">
        <f>INDEX(EUconst_FallBackListUnits,L2314)</f>
        <v>TJ</v>
      </c>
      <c r="G2317" s="820" t="str">
        <f>I2348</f>
        <v/>
      </c>
      <c r="H2317" s="821" t="str">
        <f>IF($M2311&lt;&gt;EUconst_Relevant,"",IF(H2316&gt;=CNTR_ReportingYear,"",SUMIF('G_Fall-back'!$Q:$Q,$P2317,'G_Fall-back'!H:H)))</f>
        <v/>
      </c>
      <c r="I2317" s="822" t="str">
        <f>IF($M2311&lt;&gt;EUconst_Relevant,"",IF(I2316&gt;=CNTR_ReportingYear,"",SUMIF('G_Fall-back'!$Q:$Q,$P2317,'G_Fall-back'!I:I)))</f>
        <v/>
      </c>
      <c r="J2317" s="2176" t="str">
        <f>IF($M2311&lt;&gt;EUconst_Relevant,"",IF(J2316&gt;=CNTR_ReportingYear,"",SUMIF('G_Fall-back'!$Q:$Q,$P2317,'G_Fall-back'!J:J)))</f>
        <v/>
      </c>
      <c r="K2317" s="2177" t="str">
        <f>IF($M2311&lt;&gt;EUconst_Relevant,"",IF(K2316&gt;=CNTR_ReportingYear,"",SUMIF('G_Fall-back'!$Q:$Q,$P2317,'G_Fall-back'!K:K)))</f>
        <v/>
      </c>
      <c r="L2317" s="2178" t="str">
        <f>IF($M2311&lt;&gt;EUconst_Relevant,"",IF(L2316&gt;=CNTR_ReportingYear,"",SUMIF('G_Fall-back'!$Q:$Q,$P2317,'G_Fall-back'!L:L)))</f>
        <v/>
      </c>
      <c r="M2317" s="2178" t="str">
        <f>IF($M2311&lt;&gt;EUconst_Relevant,"",IF(M2316&gt;=CNTR_ReportingYear,"",SUMIF('G_Fall-back'!$Q:$Q,$P2317,'G_Fall-back'!M:M)))</f>
        <v/>
      </c>
      <c r="N2317" s="2178" t="str">
        <f>IF($M2311&lt;&gt;EUconst_Relevant,"",IF(N2316&gt;=CNTR_ReportingYear,"",SUMIF('G_Fall-back'!$Q:$Q,$P2317,'G_Fall-back'!N:N)))</f>
        <v/>
      </c>
      <c r="O2317" s="485"/>
      <c r="P2317" s="1158" t="str">
        <f>EUconst_CNTR_HAL&amp;I2311</f>
        <v>HAL_Fuel benchmark sub-installation, CL</v>
      </c>
      <c r="Q2317" s="1137"/>
      <c r="R2317" s="1961" t="b">
        <f>AND($M2311=EUconst_Relevant,R2316&lt;=CNTR_ReportingYear,IF($J2314&lt;&gt;EUconst_NA,R2316&gt;=YEAR($J2314),TRUE))</f>
        <v>0</v>
      </c>
      <c r="S2317" s="1675" t="b">
        <f>AND($M2311=EUconst_Relevant,S2316&lt;=CNTR_ReportingYear,IF($J2314&lt;&gt;EUconst_NA,S2316&gt;=YEAR($J2314),TRUE))</f>
        <v>0</v>
      </c>
      <c r="T2317" s="1675" t="b">
        <f>AND($M2311=EUconst_Relevant,T2316&lt;=CNTR_ReportingYear,IF($J2314&lt;&gt;EUconst_NA,T2316&gt;=YEAR($J2314),TRUE))</f>
        <v>0</v>
      </c>
      <c r="U2317" s="1675" t="b">
        <f>AND($M2311=EUconst_Relevant,U2316&lt;=CNTR_ReportingYear,IF($J2314&lt;&gt;EUconst_NA,U2316&gt;=YEAR($J2314),TRUE))</f>
        <v>0</v>
      </c>
      <c r="V2317" s="1676" t="b">
        <f>AND($M2311=EUconst_Relevant,V2316&lt;=CNTR_ReportingYear,IF($J2314&lt;&gt;EUconst_NA,V2316&gt;=YEAR($J2314),TRUE))</f>
        <v>0</v>
      </c>
    </row>
    <row r="2318" spans="1:22" s="562" customFormat="1">
      <c r="A2318" s="817"/>
      <c r="C2318" s="485"/>
      <c r="D2318" s="485"/>
      <c r="E2318" s="698" t="s">
        <v>1782</v>
      </c>
      <c r="F2318" s="699" t="str">
        <f>IF($M2311&lt;&gt;EUconst_Relevant,"",INDEX('G_Fall-back'!H:H,MATCH($P2340,'G_Fall-back'!$Q:$Q,0)-1))</f>
        <v/>
      </c>
      <c r="G2318" s="823" t="str">
        <f>IF($M2311&lt;&gt;EUconst_Relevant,"",INDEX('G_Fall-back'!I:I,MATCH($P2340,'G_Fall-back'!$Q:$Q,0)-1))</f>
        <v/>
      </c>
      <c r="H2318" s="824" t="str">
        <f>IF($M2311&lt;&gt;EUconst_Relevant,"",INDEX('G_Fall-back'!H:H,MATCH($P2318,'G_Fall-back'!$Q:$Q,0)))</f>
        <v/>
      </c>
      <c r="I2318" s="825" t="str">
        <f>IF($M2311&lt;&gt;EUconst_Relevant,"",INDEX('G_Fall-back'!I:I,MATCH($P2318,'G_Fall-back'!$Q:$Q,0)))</f>
        <v/>
      </c>
      <c r="J2318" s="2179" t="str">
        <f>IF($M2311&lt;&gt;EUconst_Relevant,"",INDEX('G_Fall-back'!J:J,MATCH($P2318,'G_Fall-back'!$Q:$Q,0)))</f>
        <v/>
      </c>
      <c r="K2318" s="2141" t="str">
        <f>IF($M2311&lt;&gt;EUconst_Relevant,"",INDEX('G_Fall-back'!K:K,MATCH($P2318,'G_Fall-back'!$Q:$Q,0)))</f>
        <v/>
      </c>
      <c r="L2318" s="2142" t="str">
        <f>IF($M2311&lt;&gt;EUconst_Relevant,"",INDEX('G_Fall-back'!L:L,MATCH($P2318,'G_Fall-back'!$Q:$Q,0)))</f>
        <v/>
      </c>
      <c r="M2318" s="2142" t="str">
        <f>IF($M2311&lt;&gt;EUconst_Relevant,"",INDEX('G_Fall-back'!M:M,MATCH($P2318,'G_Fall-back'!$Q:$Q,0)))</f>
        <v/>
      </c>
      <c r="N2318" s="2142" t="str">
        <f>IF($M2311&lt;&gt;EUconst_Relevant,"",INDEX('G_Fall-back'!N:N,MATCH($P2318,'G_Fall-back'!$Q:$Q,0)))</f>
        <v/>
      </c>
      <c r="O2318" s="485"/>
      <c r="P2318" s="1158" t="str">
        <f>EUconst_CNTR_EnEff&amp;I2311</f>
        <v>EnEff_Fuel benchmark sub-installation, CL</v>
      </c>
      <c r="Q2318" s="1137"/>
      <c r="R2318" s="1137"/>
      <c r="S2318" s="1137"/>
      <c r="T2318" s="1117"/>
      <c r="U2318" s="1137"/>
      <c r="V2318" s="1137"/>
    </row>
    <row r="2319" spans="1:22" s="562" customFormat="1" ht="5.0999999999999996" customHeight="1" thickBot="1">
      <c r="A2319" s="817"/>
      <c r="C2319" s="485"/>
      <c r="D2319" s="485"/>
      <c r="F2319" s="485"/>
      <c r="G2319" s="485"/>
      <c r="H2319" s="485"/>
      <c r="I2319" s="743"/>
      <c r="J2319" s="485"/>
      <c r="K2319" s="1790"/>
      <c r="L2319" s="1791"/>
      <c r="M2319" s="1791"/>
      <c r="N2319" s="1791"/>
      <c r="O2319" s="485"/>
      <c r="P2319" s="1137"/>
      <c r="Q2319" s="1137"/>
      <c r="R2319" s="1137"/>
      <c r="S2319" s="1137"/>
      <c r="T2319" s="1117"/>
      <c r="U2319" s="1137"/>
      <c r="V2319" s="1137"/>
    </row>
    <row r="2320" spans="1:22" s="562" customFormat="1" ht="5.0999999999999996" customHeight="1">
      <c r="A2320" s="817"/>
      <c r="C2320" s="559"/>
      <c r="D2320" s="703"/>
      <c r="E2320" s="704"/>
      <c r="F2320" s="704"/>
      <c r="G2320" s="704"/>
      <c r="H2320" s="704"/>
      <c r="I2320" s="704"/>
      <c r="J2320" s="704"/>
      <c r="K2320" s="2130"/>
      <c r="L2320" s="2131"/>
      <c r="M2320" s="2131"/>
      <c r="N2320" s="2131"/>
      <c r="O2320" s="485"/>
      <c r="P2320" s="1137"/>
      <c r="Q2320" s="1137"/>
      <c r="R2320" s="1137"/>
      <c r="S2320" s="1137"/>
      <c r="T2320" s="1137"/>
      <c r="U2320" s="1137"/>
      <c r="V2320" s="1137"/>
    </row>
    <row r="2321" spans="1:22" s="562" customFormat="1" ht="12.75" customHeight="1">
      <c r="A2321" s="817"/>
      <c r="B2321" s="485"/>
      <c r="C2321" s="559"/>
      <c r="D2321" s="706"/>
      <c r="E2321" s="707" t="s">
        <v>1787</v>
      </c>
      <c r="F2321" s="637"/>
      <c r="G2321" s="637"/>
      <c r="H2321" s="663" t="str">
        <f>EUconst_Unit</f>
        <v>Unit</v>
      </c>
      <c r="I2321" s="708"/>
      <c r="J2321" s="2132">
        <f>J$2737</f>
        <v>2026</v>
      </c>
      <c r="K2321" s="1489">
        <f>K$2737</f>
        <v>2027</v>
      </c>
      <c r="L2321" s="1490">
        <f>L$2737</f>
        <v>2028</v>
      </c>
      <c r="M2321" s="1490">
        <f>M$2737</f>
        <v>2029</v>
      </c>
      <c r="N2321" s="1490">
        <f>N$2737</f>
        <v>2030</v>
      </c>
      <c r="O2321" s="485"/>
      <c r="P2321" s="1137"/>
      <c r="Q2321" s="1137"/>
      <c r="R2321" s="1137"/>
      <c r="S2321" s="1137"/>
      <c r="T2321" s="1137"/>
      <c r="U2321" s="1137"/>
      <c r="V2321" s="1137"/>
    </row>
    <row r="2322" spans="1:22" s="562" customFormat="1" ht="12.75" customHeight="1">
      <c r="A2322" s="817"/>
      <c r="B2322" s="485"/>
      <c r="C2322" s="559"/>
      <c r="D2322" s="706"/>
      <c r="E2322" s="711" t="s">
        <v>1783</v>
      </c>
      <c r="F2322" s="712"/>
      <c r="G2322" s="712"/>
      <c r="H2322" s="713" t="s">
        <v>1021</v>
      </c>
      <c r="I2322" s="712"/>
      <c r="J2322" s="2133" t="str">
        <f>IF(R2317,INDEX('G_Fall-back'!V:V,MATCH($P2322,'G_Fall-back'!$Q:$Q,0))&gt;=3,"")</f>
        <v/>
      </c>
      <c r="K2322" s="2134" t="str">
        <f>IF(S2317,INDEX('G_Fall-back'!W:W,MATCH($P2322,'G_Fall-back'!$Q:$Q,0))&gt;=3,"")</f>
        <v/>
      </c>
      <c r="L2322" s="2135" t="str">
        <f>IF(T2317,INDEX('G_Fall-back'!X:X,MATCH($P2322,'G_Fall-back'!$Q:$Q,0))&gt;=3,"")</f>
        <v/>
      </c>
      <c r="M2322" s="2135" t="str">
        <f>IF(U2317,INDEX('G_Fall-back'!Y:Y,MATCH($P2322,'G_Fall-back'!$Q:$Q,0))&gt;=3,"")</f>
        <v/>
      </c>
      <c r="N2322" s="2135" t="str">
        <f>IF(V2317,INDEX('G_Fall-back'!Z:Z,MATCH($P2322,'G_Fall-back'!$Q:$Q,0))&gt;=3,"")</f>
        <v/>
      </c>
      <c r="O2322" s="485"/>
      <c r="P2322" s="1158" t="str">
        <f>EUconst_CNTR_HALinitial&amp;I2311</f>
        <v>HALini_Fuel benchmark sub-installation, CL</v>
      </c>
      <c r="Q2322" s="1137"/>
      <c r="R2322" s="1137"/>
      <c r="S2322" s="1137"/>
      <c r="T2322" s="1137"/>
      <c r="U2322" s="1137"/>
      <c r="V2322" s="1137"/>
    </row>
    <row r="2323" spans="1:22" s="562" customFormat="1" ht="12.75" customHeight="1">
      <c r="A2323" s="817"/>
      <c r="B2323" s="485"/>
      <c r="C2323" s="559"/>
      <c r="D2323" s="706"/>
      <c r="E2323" s="714" t="s">
        <v>1784</v>
      </c>
      <c r="F2323" s="715"/>
      <c r="G2323" s="715"/>
      <c r="H2323" s="716" t="s">
        <v>1021</v>
      </c>
      <c r="I2323" s="715"/>
      <c r="J2323" s="2136" t="str">
        <f>IF(R2317,IF($K2314="",2050,YEAR($K2314))&lt;&gt;(J2321-1),"")</f>
        <v/>
      </c>
      <c r="K2323" s="2134" t="str">
        <f>IF(S2317,IF($K2314="",2050,YEAR($K2314))&lt;&gt;(K2321-1),"")</f>
        <v/>
      </c>
      <c r="L2323" s="2135" t="str">
        <f>IF(T2317,IF($K2314="",2050,YEAR($K2314))&lt;&gt;(L2321-1),"")</f>
        <v/>
      </c>
      <c r="M2323" s="2135" t="str">
        <f>IF(U2317,IF($K2314="",2050,YEAR($K2314))&lt;&gt;(M2321-1),"")</f>
        <v/>
      </c>
      <c r="N2323" s="2135" t="str">
        <f>IF(V2317,IF($K2314="",2050,YEAR($K2314))&lt;&gt;(N2321-1),"")</f>
        <v/>
      </c>
      <c r="O2323" s="485"/>
      <c r="P2323" s="1137"/>
      <c r="Q2323" s="1137"/>
      <c r="R2323" s="1137"/>
      <c r="S2323" s="1137"/>
      <c r="T2323" s="1137"/>
      <c r="U2323" s="1137"/>
      <c r="V2323" s="1137"/>
    </row>
    <row r="2324" spans="1:22" s="562" customFormat="1" ht="5.0999999999999996" customHeight="1">
      <c r="A2324" s="817"/>
      <c r="B2324" s="485"/>
      <c r="C2324" s="559"/>
      <c r="D2324" s="706"/>
      <c r="E2324" s="559"/>
      <c r="F2324" s="559"/>
      <c r="G2324" s="559"/>
      <c r="H2324" s="559"/>
      <c r="I2324" s="559"/>
      <c r="J2324" s="559"/>
      <c r="K2324" s="2130"/>
      <c r="L2324" s="2131"/>
      <c r="M2324" s="2131"/>
      <c r="N2324" s="2131"/>
      <c r="O2324" s="485"/>
      <c r="P2324" s="1137"/>
      <c r="Q2324" s="1137"/>
      <c r="R2324" s="1137"/>
      <c r="S2324" s="1137"/>
      <c r="T2324" s="1137"/>
      <c r="U2324" s="1137"/>
      <c r="V2324" s="1137"/>
    </row>
    <row r="2325" spans="1:22" s="562" customFormat="1" ht="12.75" customHeight="1">
      <c r="A2325" s="817"/>
      <c r="B2325" s="485"/>
      <c r="C2325" s="559"/>
      <c r="D2325" s="706"/>
      <c r="E2325" s="496" t="s">
        <v>1762</v>
      </c>
      <c r="F2325" s="485"/>
      <c r="G2325" s="485"/>
      <c r="H2325" s="663" t="str">
        <f>EUconst_Unit</f>
        <v>Unit</v>
      </c>
      <c r="I2325" s="708"/>
      <c r="J2325" s="2125">
        <f>J$2737</f>
        <v>2026</v>
      </c>
      <c r="K2325" s="1489">
        <f>K$2737</f>
        <v>2027</v>
      </c>
      <c r="L2325" s="1490">
        <f>L$2737</f>
        <v>2028</v>
      </c>
      <c r="M2325" s="1490">
        <f>M$2737</f>
        <v>2029</v>
      </c>
      <c r="N2325" s="1490">
        <f>N$2737</f>
        <v>2030</v>
      </c>
      <c r="O2325" s="485"/>
      <c r="P2325" s="1137"/>
      <c r="Q2325" s="1137"/>
      <c r="R2325" s="1137"/>
      <c r="S2325" s="1137"/>
      <c r="T2325" s="1137"/>
      <c r="U2325" s="1137"/>
      <c r="V2325" s="1137"/>
    </row>
    <row r="2326" spans="1:22" s="562" customFormat="1" ht="12.75" hidden="1" customHeight="1">
      <c r="A2326" s="817" t="s">
        <v>2289</v>
      </c>
      <c r="B2326" s="485"/>
      <c r="C2326" s="559"/>
      <c r="D2326" s="706"/>
      <c r="E2326" s="698" t="s">
        <v>1714</v>
      </c>
      <c r="F2326" s="698"/>
      <c r="G2326" s="698"/>
      <c r="H2326" s="639" t="str">
        <f>F2317</f>
        <v>TJ</v>
      </c>
      <c r="I2326" s="698"/>
      <c r="J2326" s="2180" t="str">
        <f>I2348</f>
        <v/>
      </c>
      <c r="K2326" s="2177" t="str">
        <f>J2348</f>
        <v/>
      </c>
      <c r="L2326" s="2178" t="str">
        <f>K2348</f>
        <v/>
      </c>
      <c r="M2326" s="2178" t="str">
        <f>L2348</f>
        <v/>
      </c>
      <c r="N2326" s="2178" t="str">
        <f>M2348</f>
        <v/>
      </c>
      <c r="O2326" s="485"/>
      <c r="P2326" s="1137"/>
      <c r="Q2326" s="1137"/>
      <c r="R2326" s="1137"/>
      <c r="S2326" s="1137"/>
      <c r="T2326" s="1137"/>
      <c r="U2326" s="1137"/>
      <c r="V2326" s="1137"/>
    </row>
    <row r="2327" spans="1:22" s="562" customFormat="1" ht="12.75" customHeight="1">
      <c r="A2327" s="817"/>
      <c r="B2327" s="485"/>
      <c r="C2327" s="559"/>
      <c r="D2327" s="706"/>
      <c r="E2327" s="698" t="s">
        <v>1671</v>
      </c>
      <c r="F2327" s="698"/>
      <c r="G2327" s="698"/>
      <c r="H2327" s="730" t="str">
        <f>EUconst_EUA</f>
        <v>UKA</v>
      </c>
      <c r="I2327" s="731"/>
      <c r="J2327" s="2129" t="str">
        <f>IF($M2311&lt;&gt;EUconst_Relevant,"",MAX(0,ROUND((SUM($M2314)*SUM(J2326))*IF($H2314=TRUE,1,J$2517),0)))</f>
        <v/>
      </c>
      <c r="K2327" s="2072" t="str">
        <f>IF($M2311&lt;&gt;EUconst_Relevant,"",MAX(0,ROUND((SUM($M2314)*SUM(K2326))*IF($H2314=TRUE,1,K$2517),0)))</f>
        <v/>
      </c>
      <c r="L2327" s="2073" t="str">
        <f>IF($M2311&lt;&gt;EUconst_Relevant,"",MAX(0,ROUND((SUM($M2314)*SUM(L2326))*IF($H2314=TRUE,1,L$2517),0)))</f>
        <v/>
      </c>
      <c r="M2327" s="2073" t="str">
        <f>IF($M2311&lt;&gt;EUconst_Relevant,"",MAX(0,ROUND((SUM($M2314)*SUM(M2326))*IF($H2314=TRUE,1,M$2517),0)))</f>
        <v/>
      </c>
      <c r="N2327" s="2073" t="str">
        <f>IF($M2311&lt;&gt;EUconst_Relevant,"",MAX(0,ROUND((SUM($M2314)*SUM(N2326))*IF($H2314=TRUE,1,N$2517),0)))</f>
        <v/>
      </c>
      <c r="O2327" s="485"/>
      <c r="P2327" s="1137"/>
      <c r="Q2327" s="1137"/>
      <c r="R2327" s="1137"/>
      <c r="S2327" s="1137"/>
      <c r="T2327" s="1137"/>
      <c r="U2327" s="1137"/>
      <c r="V2327" s="1137"/>
    </row>
    <row r="2328" spans="1:22" s="562" customFormat="1" ht="5.0999999999999996" customHeight="1">
      <c r="A2328" s="817"/>
      <c r="B2328" s="485"/>
      <c r="C2328" s="559"/>
      <c r="D2328" s="706"/>
      <c r="E2328" s="559"/>
      <c r="F2328" s="559"/>
      <c r="G2328" s="559"/>
      <c r="H2328" s="559"/>
      <c r="I2328" s="559"/>
      <c r="J2328" s="559"/>
      <c r="K2328" s="2130"/>
      <c r="L2328" s="2131"/>
      <c r="M2328" s="2131"/>
      <c r="N2328" s="2131"/>
      <c r="O2328" s="485"/>
      <c r="P2328" s="1137"/>
      <c r="Q2328" s="1137"/>
      <c r="R2328" s="1137"/>
      <c r="S2328" s="1137"/>
      <c r="T2328" s="1137"/>
      <c r="U2328" s="1137"/>
      <c r="V2328" s="1137"/>
    </row>
    <row r="2329" spans="1:22" s="562" customFormat="1" ht="12.75" customHeight="1">
      <c r="A2329" s="817"/>
      <c r="B2329" s="485"/>
      <c r="C2329" s="559"/>
      <c r="D2329" s="706"/>
      <c r="E2329" s="707" t="s">
        <v>1752</v>
      </c>
      <c r="F2329" s="637"/>
      <c r="G2329" s="637"/>
      <c r="H2329" s="663" t="str">
        <f>EUconst_Unit</f>
        <v>Unit</v>
      </c>
      <c r="I2329" s="708"/>
      <c r="J2329" s="2132">
        <f>J$2737</f>
        <v>2026</v>
      </c>
      <c r="K2329" s="1489">
        <f>K$2737</f>
        <v>2027</v>
      </c>
      <c r="L2329" s="1490">
        <f>L$2737</f>
        <v>2028</v>
      </c>
      <c r="M2329" s="1490">
        <f>M$2737</f>
        <v>2029</v>
      </c>
      <c r="N2329" s="1490">
        <f>N$2737</f>
        <v>2030</v>
      </c>
      <c r="O2329" s="485"/>
      <c r="P2329" s="1137"/>
      <c r="Q2329" s="1137"/>
      <c r="R2329" s="1137"/>
      <c r="S2329" s="1137"/>
      <c r="T2329" s="1137"/>
      <c r="U2329" s="1137"/>
      <c r="V2329" s="1137"/>
    </row>
    <row r="2330" spans="1:22" s="562" customFormat="1" ht="12.75" customHeight="1">
      <c r="A2330" s="817"/>
      <c r="B2330" s="485"/>
      <c r="C2330" s="559"/>
      <c r="D2330" s="706"/>
      <c r="E2330" s="720" t="s">
        <v>1691</v>
      </c>
      <c r="F2330" s="720"/>
      <c r="G2330" s="720"/>
      <c r="H2330" s="732" t="str">
        <f>H2326</f>
        <v>TJ</v>
      </c>
      <c r="I2330" s="733"/>
      <c r="J2330" s="2181" t="str">
        <f>INDEX('G_Fall-back'!J:J,MATCH($P2330,'G_Fall-back'!$Q:$Q,0))</f>
        <v/>
      </c>
      <c r="K2330" s="2177" t="str">
        <f>INDEX('G_Fall-back'!K:K,MATCH($P2330,'G_Fall-back'!$Q:$Q,0))</f>
        <v/>
      </c>
      <c r="L2330" s="2178" t="str">
        <f>INDEX('G_Fall-back'!L:L,MATCH($P2330,'G_Fall-back'!$Q:$Q,0))</f>
        <v/>
      </c>
      <c r="M2330" s="2178" t="str">
        <f>INDEX('G_Fall-back'!M:M,MATCH($P2330,'G_Fall-back'!$Q:$Q,0))</f>
        <v/>
      </c>
      <c r="N2330" s="2178" t="str">
        <f>INDEX('G_Fall-back'!N:N,MATCH($P2330,'G_Fall-back'!$Q:$Q,0))</f>
        <v/>
      </c>
      <c r="O2330" s="485"/>
      <c r="P2330" s="1158" t="str">
        <f>EUconst_CNTR_HALinitial&amp;I2311</f>
        <v>HALini_Fuel benchmark sub-installation, CL</v>
      </c>
      <c r="Q2330" s="1137"/>
      <c r="R2330" s="1137"/>
      <c r="S2330" s="1137"/>
      <c r="T2330" s="1137"/>
      <c r="U2330" s="1137"/>
      <c r="V2330" s="1137"/>
    </row>
    <row r="2331" spans="1:22" s="562" customFormat="1" ht="12.75" customHeight="1">
      <c r="A2331" s="817"/>
      <c r="B2331" s="485"/>
      <c r="C2331" s="559"/>
      <c r="D2331" s="706"/>
      <c r="E2331" s="723" t="s">
        <v>1648</v>
      </c>
      <c r="F2331" s="723"/>
      <c r="G2331" s="723"/>
      <c r="H2331" s="734" t="s">
        <v>1021</v>
      </c>
      <c r="I2331" s="735"/>
      <c r="J2331" s="23" t="str">
        <f>INDEX('G_Fall-back'!J:J,MATCH($P2331,'G_Fall-back'!$Q:$Q,0))</f>
        <v/>
      </c>
      <c r="K2331" s="46" t="str">
        <f>INDEX('G_Fall-back'!K:K,MATCH($P2331,'G_Fall-back'!$Q:$Q,0))</f>
        <v/>
      </c>
      <c r="L2331" s="27" t="str">
        <f>INDEX('G_Fall-back'!L:L,MATCH($P2331,'G_Fall-back'!$Q:$Q,0))</f>
        <v/>
      </c>
      <c r="M2331" s="27" t="str">
        <f>INDEX('G_Fall-back'!M:M,MATCH($P2331,'G_Fall-back'!$Q:$Q,0))</f>
        <v/>
      </c>
      <c r="N2331" s="27" t="str">
        <f>INDEX('G_Fall-back'!N:N,MATCH($P2331,'G_Fall-back'!$Q:$Q,0))</f>
        <v/>
      </c>
      <c r="O2331" s="485"/>
      <c r="P2331" s="1158" t="str">
        <f>EUconst_CNTR_RelThreshold &amp; I2311</f>
        <v>RelThresh_Fuel benchmark sub-installation, CL</v>
      </c>
      <c r="Q2331" s="1137"/>
      <c r="R2331" s="1137"/>
      <c r="S2331" s="1137"/>
      <c r="T2331" s="1137"/>
      <c r="U2331" s="1137"/>
      <c r="V2331" s="1137"/>
    </row>
    <row r="2332" spans="1:22" s="562" customFormat="1" ht="12.75" customHeight="1">
      <c r="A2332" s="817"/>
      <c r="B2332" s="485"/>
      <c r="C2332" s="559"/>
      <c r="D2332" s="706"/>
      <c r="E2332" s="736" t="s">
        <v>1785</v>
      </c>
      <c r="F2332" s="736"/>
      <c r="G2332" s="736"/>
      <c r="H2332" s="737" t="s">
        <v>1021</v>
      </c>
      <c r="I2332" s="738"/>
      <c r="J2332" s="2145" t="str">
        <f>INDEX('G_Fall-back'!V:V,MATCH($P2332,'G_Fall-back'!$Q:$Q,0)+1)</f>
        <v/>
      </c>
      <c r="K2332" s="2134" t="str">
        <f>INDEX('G_Fall-back'!W:W,MATCH($P2332,'G_Fall-back'!$Q:$Q,0)+1)</f>
        <v/>
      </c>
      <c r="L2332" s="2135" t="str">
        <f>INDEX('G_Fall-back'!X:X,MATCH($P2332,'G_Fall-back'!$Q:$Q,0)+1)</f>
        <v/>
      </c>
      <c r="M2332" s="2135" t="str">
        <f>INDEX('G_Fall-back'!Y:Y,MATCH($P2332,'G_Fall-back'!$Q:$Q,0)+1)</f>
        <v/>
      </c>
      <c r="N2332" s="2135" t="str">
        <f>INDEX('G_Fall-back'!Z:Z,MATCH($P2332,'G_Fall-back'!$Q:$Q,0)+1)</f>
        <v/>
      </c>
      <c r="O2332" s="485"/>
      <c r="P2332" s="1158" t="str">
        <f>P2331</f>
        <v>RelThresh_Fuel benchmark sub-installation, CL</v>
      </c>
      <c r="Q2332" s="1137"/>
      <c r="R2332" s="1137"/>
      <c r="S2332" s="1137"/>
      <c r="T2332" s="1137"/>
      <c r="U2332" s="1137"/>
      <c r="V2332" s="1137"/>
    </row>
    <row r="2333" spans="1:22" s="562" customFormat="1" ht="12.75" customHeight="1">
      <c r="A2333" s="817"/>
      <c r="B2333" s="485"/>
      <c r="C2333" s="559"/>
      <c r="D2333" s="706"/>
      <c r="E2333" s="727" t="s">
        <v>1689</v>
      </c>
      <c r="F2333" s="727"/>
      <c r="G2333" s="727"/>
      <c r="H2333" s="739" t="str">
        <f>F2317</f>
        <v>TJ</v>
      </c>
      <c r="I2333" s="727"/>
      <c r="J2333" s="2182" t="str">
        <f>INDEX('G_Fall-back'!J:J,MATCH($P2333,'G_Fall-back'!$Q:$Q,0))</f>
        <v/>
      </c>
      <c r="K2333" s="2177" t="str">
        <f>INDEX('G_Fall-back'!K:K,MATCH($P2333,'G_Fall-back'!$Q:$Q,0))</f>
        <v/>
      </c>
      <c r="L2333" s="2178" t="str">
        <f>INDEX('G_Fall-back'!L:L,MATCH($P2333,'G_Fall-back'!$Q:$Q,0))</f>
        <v/>
      </c>
      <c r="M2333" s="2178" t="str">
        <f>INDEX('G_Fall-back'!M:M,MATCH($P2333,'G_Fall-back'!$Q:$Q,0))</f>
        <v/>
      </c>
      <c r="N2333" s="2178" t="str">
        <f>INDEX('G_Fall-back'!N:N,MATCH($P2333,'G_Fall-back'!$Q:$Q,0))</f>
        <v/>
      </c>
      <c r="O2333" s="485"/>
      <c r="P2333" s="1158" t="str">
        <f>EUconst_CNTR_HALprelim&amp;I2311</f>
        <v>HALprelim_Fuel benchmark sub-installation, CL</v>
      </c>
      <c r="Q2333" s="1137"/>
      <c r="R2333" s="1137"/>
      <c r="S2333" s="1137"/>
      <c r="T2333" s="1137"/>
      <c r="U2333" s="1137"/>
      <c r="V2333" s="1137"/>
    </row>
    <row r="2334" spans="1:22" s="562" customFormat="1" ht="12.75" customHeight="1">
      <c r="A2334" s="817"/>
      <c r="B2334" s="485"/>
      <c r="C2334" s="559"/>
      <c r="D2334" s="706"/>
      <c r="E2334" s="698" t="s">
        <v>1671</v>
      </c>
      <c r="F2334" s="698"/>
      <c r="G2334" s="698"/>
      <c r="H2334" s="730" t="str">
        <f>EUconst_EUA</f>
        <v>UKA</v>
      </c>
      <c r="I2334" s="731"/>
      <c r="J2334" s="2129" t="str">
        <f>IF($M2311&lt;&gt;EUconst_Relevant,"",MAX(0,ROUND((SUM($M2314)*SUM(J2333))*IF($H2314=TRUE,1,J$2517),0)))</f>
        <v/>
      </c>
      <c r="K2334" s="2072" t="str">
        <f>IF($M2311&lt;&gt;EUconst_Relevant,"",MAX(0,ROUND((SUM($M2314)*SUM(K2333))*IF($H2314=TRUE,1,K$2517),0)))</f>
        <v/>
      </c>
      <c r="L2334" s="2073" t="str">
        <f>IF($M2311&lt;&gt;EUconst_Relevant,"",MAX(0,ROUND((SUM($M2314)*SUM(L2333))*IF($H2314=TRUE,1,L$2517),0)))</f>
        <v/>
      </c>
      <c r="M2334" s="2073" t="str">
        <f>IF($M2311&lt;&gt;EUconst_Relevant,"",MAX(0,ROUND((SUM($M2314)*SUM(M2333))*IF($H2314=TRUE,1,M$2517),0)))</f>
        <v/>
      </c>
      <c r="N2334" s="2073" t="str">
        <f>IF($M2311&lt;&gt;EUconst_Relevant,"",MAX(0,ROUND((SUM($M2314)*SUM(N2333))*IF($H2314=TRUE,1,N$2517),0)))</f>
        <v/>
      </c>
      <c r="O2334" s="485"/>
      <c r="P2334" s="1137"/>
      <c r="Q2334" s="1137"/>
      <c r="R2334" s="1137"/>
      <c r="S2334" s="1137"/>
      <c r="T2334" s="1137"/>
      <c r="U2334" s="1137"/>
      <c r="V2334" s="1137"/>
    </row>
    <row r="2335" spans="1:22" s="562" customFormat="1" ht="12.75" customHeight="1">
      <c r="A2335" s="817"/>
      <c r="B2335" s="485"/>
      <c r="C2335" s="559"/>
      <c r="D2335" s="706"/>
      <c r="E2335" s="698" t="s">
        <v>1670</v>
      </c>
      <c r="F2335" s="698"/>
      <c r="G2335" s="698"/>
      <c r="H2335" s="730" t="str">
        <f>EUconst_EUA</f>
        <v>UKA</v>
      </c>
      <c r="I2335" s="731"/>
      <c r="J2335" s="2129" t="str">
        <f>IF($M2311&lt;&gt;EUconst_Relevant,"",ABS(SUM(J2334)-SUM(J2327)))</f>
        <v/>
      </c>
      <c r="K2335" s="2072" t="str">
        <f>IF($M2311&lt;&gt;EUconst_Relevant,"",ABS(SUM(K2334)-SUM(K2327)))</f>
        <v/>
      </c>
      <c r="L2335" s="2073" t="str">
        <f>IF($M2311&lt;&gt;EUconst_Relevant,"",ABS(SUM(L2334)-SUM(L2327)))</f>
        <v/>
      </c>
      <c r="M2335" s="2073" t="str">
        <f>IF($M2311&lt;&gt;EUconst_Relevant,"",ABS(SUM(M2334)-SUM(M2327)))</f>
        <v/>
      </c>
      <c r="N2335" s="2073" t="str">
        <f>IF($M2311&lt;&gt;EUconst_Relevant,"",ABS(SUM(N2334)-SUM(N2327)))</f>
        <v/>
      </c>
      <c r="O2335" s="485"/>
      <c r="P2335" s="1137"/>
      <c r="Q2335" s="1137"/>
      <c r="R2335" s="1137"/>
      <c r="S2335" s="1137"/>
      <c r="T2335" s="1137"/>
      <c r="U2335" s="1137"/>
      <c r="V2335" s="1137"/>
    </row>
    <row r="2336" spans="1:22" s="562" customFormat="1" ht="12.75" customHeight="1">
      <c r="A2336" s="817"/>
      <c r="B2336" s="485"/>
      <c r="C2336" s="559"/>
      <c r="D2336" s="706"/>
      <c r="E2336" s="740" t="s">
        <v>2136</v>
      </c>
      <c r="F2336" s="740"/>
      <c r="G2336" s="740"/>
      <c r="H2336" s="741" t="s">
        <v>1021</v>
      </c>
      <c r="I2336" s="742"/>
      <c r="J2336" s="2147" t="str">
        <f>IF($M2311&lt;&gt;EUconst_Relevant,"",J2335&gt;=100)</f>
        <v/>
      </c>
      <c r="K2336" s="2134" t="str">
        <f>IF($M2311&lt;&gt;EUconst_Relevant,"",K2335&gt;=100)</f>
        <v/>
      </c>
      <c r="L2336" s="2135" t="str">
        <f>IF($M2311&lt;&gt;EUconst_Relevant,"",L2335&gt;=100)</f>
        <v/>
      </c>
      <c r="M2336" s="2135" t="str">
        <f>IF($M2311&lt;&gt;EUconst_Relevant,"",M2335&gt;=100)</f>
        <v/>
      </c>
      <c r="N2336" s="2135" t="str">
        <f>IF($M2311&lt;&gt;EUconst_Relevant,"",N2335&gt;=100)</f>
        <v/>
      </c>
      <c r="O2336" s="485"/>
      <c r="P2336" s="1158" t="str">
        <f>EUconst_CNTR_100EUA_ActivityLevel&amp;I2311</f>
        <v>EUA100AL_Fuel benchmark sub-installation, CL</v>
      </c>
      <c r="Q2336" s="1137"/>
      <c r="R2336" s="1137"/>
      <c r="S2336" s="1137"/>
      <c r="T2336" s="1137"/>
      <c r="U2336" s="1137"/>
      <c r="V2336" s="1137"/>
    </row>
    <row r="2337" spans="1:22" s="562" customFormat="1" ht="5.0999999999999996" customHeight="1">
      <c r="A2337" s="817"/>
      <c r="C2337" s="559"/>
      <c r="D2337" s="706"/>
      <c r="E2337" s="485"/>
      <c r="F2337" s="485"/>
      <c r="G2337" s="485"/>
      <c r="H2337" s="485"/>
      <c r="I2337" s="743"/>
      <c r="J2337" s="485"/>
      <c r="K2337" s="1790"/>
      <c r="L2337" s="1791"/>
      <c r="M2337" s="1791"/>
      <c r="N2337" s="1791"/>
      <c r="O2337" s="485"/>
      <c r="P2337" s="1137"/>
      <c r="Q2337" s="1137"/>
      <c r="R2337" s="1137"/>
      <c r="S2337" s="1137"/>
      <c r="T2337" s="1137"/>
      <c r="U2337" s="1137"/>
      <c r="V2337" s="1137"/>
    </row>
    <row r="2338" spans="1:22" s="562" customFormat="1">
      <c r="A2338" s="817"/>
      <c r="C2338" s="485"/>
      <c r="D2338" s="539"/>
      <c r="E2338" s="707" t="s">
        <v>1791</v>
      </c>
      <c r="F2338" s="637"/>
      <c r="G2338" s="637"/>
      <c r="H2338" s="663"/>
      <c r="I2338" s="708"/>
      <c r="J2338" s="2125">
        <f>J$2737</f>
        <v>2026</v>
      </c>
      <c r="K2338" s="1489">
        <f>K$2737</f>
        <v>2027</v>
      </c>
      <c r="L2338" s="1490">
        <f>L$2737</f>
        <v>2028</v>
      </c>
      <c r="M2338" s="1490">
        <f>M$2737</f>
        <v>2029</v>
      </c>
      <c r="N2338" s="1490">
        <f>N$2737</f>
        <v>2030</v>
      </c>
      <c r="O2338" s="485"/>
      <c r="P2338" s="1137"/>
      <c r="Q2338" s="1137"/>
      <c r="R2338" s="1137"/>
      <c r="S2338" s="1137"/>
      <c r="T2338" s="1117"/>
      <c r="U2338" s="1137"/>
      <c r="V2338" s="1137"/>
    </row>
    <row r="2339" spans="1:22" s="562" customFormat="1">
      <c r="A2339" s="817"/>
      <c r="C2339" s="485"/>
      <c r="D2339" s="539"/>
      <c r="E2339" s="720" t="s">
        <v>1691</v>
      </c>
      <c r="F2339" s="720"/>
      <c r="G2339" s="720"/>
      <c r="H2339" s="720"/>
      <c r="I2339" s="827"/>
      <c r="J2339" s="24" t="str">
        <f>IF($M2311&lt;&gt;EUconst_Relevant,"",INDEX('G_Fall-back'!J:J,MATCH($P2339,'G_Fall-back'!$Q:$Q,0)))</f>
        <v/>
      </c>
      <c r="K2339" s="46" t="str">
        <f>IF($M2311&lt;&gt;EUconst_Relevant,"",INDEX('G_Fall-back'!K:K,MATCH($P2339,'G_Fall-back'!$Q:$Q,0)))</f>
        <v/>
      </c>
      <c r="L2339" s="27" t="str">
        <f>IF($M2311&lt;&gt;EUconst_Relevant,"",INDEX('G_Fall-back'!L:L,MATCH($P2339,'G_Fall-back'!$Q:$Q,0)))</f>
        <v/>
      </c>
      <c r="M2339" s="27" t="str">
        <f>IF($M2311&lt;&gt;EUconst_Relevant,"",INDEX('G_Fall-back'!M:M,MATCH($P2339,'G_Fall-back'!$Q:$Q,0)))</f>
        <v/>
      </c>
      <c r="N2339" s="27" t="str">
        <f>IF($M2311&lt;&gt;EUconst_Relevant,"",INDEX('G_Fall-back'!N:N,MATCH($P2339,'G_Fall-back'!$Q:$Q,0)))</f>
        <v/>
      </c>
      <c r="O2339" s="485"/>
      <c r="P2339" s="1158" t="str">
        <f>EUconst_CNTR_EnEffInitial&amp;I2311</f>
        <v>EnEffIni_Fuel benchmark sub-installation, CL</v>
      </c>
      <c r="Q2339" s="1137"/>
      <c r="R2339" s="1137"/>
      <c r="S2339" s="1137"/>
      <c r="T2339" s="1117"/>
      <c r="U2339" s="1137"/>
      <c r="V2339" s="1137"/>
    </row>
    <row r="2340" spans="1:22" s="562" customFormat="1" ht="13.5" thickBot="1">
      <c r="A2340" s="817"/>
      <c r="C2340" s="485"/>
      <c r="D2340" s="539"/>
      <c r="E2340" s="727" t="s">
        <v>1648</v>
      </c>
      <c r="F2340" s="727"/>
      <c r="G2340" s="727"/>
      <c r="H2340" s="727"/>
      <c r="I2340" s="828"/>
      <c r="J2340" s="25" t="str">
        <f>IF($M2311&lt;&gt;EUconst_Relevant,"",INDEX('G_Fall-back'!J:J,MATCH($P2340,'G_Fall-back'!$Q:$Q,0)))</f>
        <v/>
      </c>
      <c r="K2340" s="46" t="str">
        <f>IF($M2311&lt;&gt;EUconst_Relevant,"",INDEX('G_Fall-back'!K:K,MATCH($P2340,'G_Fall-back'!$Q:$Q,0)))</f>
        <v/>
      </c>
      <c r="L2340" s="27" t="str">
        <f>IF($M2311&lt;&gt;EUconst_Relevant,"",INDEX('G_Fall-back'!L:L,MATCH($P2340,'G_Fall-back'!$Q:$Q,0)))</f>
        <v/>
      </c>
      <c r="M2340" s="27" t="str">
        <f>IF($M2311&lt;&gt;EUconst_Relevant,"",INDEX('G_Fall-back'!M:M,MATCH($P2340,'G_Fall-back'!$Q:$Q,0)))</f>
        <v/>
      </c>
      <c r="N2340" s="27" t="str">
        <f>IF($M2311&lt;&gt;EUconst_Relevant,"",INDEX('G_Fall-back'!N:N,MATCH($P2340,'G_Fall-back'!$Q:$Q,0)))</f>
        <v/>
      </c>
      <c r="O2340" s="485"/>
      <c r="P2340" s="2183" t="str">
        <f>EUconst_CNTR_EnEffPct&amp;I2311</f>
        <v>EnEffPct_Fuel benchmark sub-installation, CL</v>
      </c>
      <c r="Q2340" s="1137"/>
      <c r="R2340" s="1137"/>
      <c r="S2340" s="1137"/>
      <c r="T2340" s="1117"/>
      <c r="U2340" s="1137"/>
      <c r="V2340" s="1137"/>
    </row>
    <row r="2341" spans="1:22" s="562" customFormat="1">
      <c r="A2341" s="817"/>
      <c r="C2341" s="485"/>
      <c r="D2341" s="539"/>
      <c r="E2341" s="829" t="s">
        <v>2230</v>
      </c>
      <c r="F2341" s="829"/>
      <c r="G2341" s="829"/>
      <c r="H2341" s="830" t="s">
        <v>1021</v>
      </c>
      <c r="I2341" s="831"/>
      <c r="J2341" s="2133" t="str">
        <f>IF($M2311&lt;&gt;EUconst_Relevant,"",INDEX('G_Fall-back'!J:J,MATCH($P2341,'G_Fall-back'!$Q:$Q,0)))</f>
        <v/>
      </c>
      <c r="K2341" s="2134" t="str">
        <f>IF($M2311&lt;&gt;EUconst_Relevant,"",INDEX('G_Fall-back'!K:K,MATCH($P2341,'G_Fall-back'!$Q:$Q,0)))</f>
        <v/>
      </c>
      <c r="L2341" s="2135" t="str">
        <f>IF($M2311&lt;&gt;EUconst_Relevant,"",INDEX('G_Fall-back'!L:L,MATCH($P2341,'G_Fall-back'!$Q:$Q,0)))</f>
        <v/>
      </c>
      <c r="M2341" s="2135" t="str">
        <f>IF($M2311&lt;&gt;EUconst_Relevant,"",INDEX('G_Fall-back'!M:M,MATCH($P2341,'G_Fall-back'!$Q:$Q,0)))</f>
        <v/>
      </c>
      <c r="N2341" s="2135" t="str">
        <f>IF($M2311&lt;&gt;EUconst_Relevant,"",INDEX('G_Fall-back'!N:N,MATCH($P2341,'G_Fall-back'!$Q:$Q,0)))</f>
        <v/>
      </c>
      <c r="O2341" s="485"/>
      <c r="P2341" s="1158" t="str">
        <f>EUconst_CNTR_CARejectionRelevant&amp;I2311</f>
        <v>CARejectRel_Fuel benchmark sub-installation, CL</v>
      </c>
      <c r="Q2341" s="1137"/>
      <c r="R2341" s="2126">
        <f>J$2737</f>
        <v>2026</v>
      </c>
      <c r="S2341" s="2127">
        <f>K$2737</f>
        <v>2027</v>
      </c>
      <c r="T2341" s="2127">
        <f>L$2737</f>
        <v>2028</v>
      </c>
      <c r="U2341" s="2127">
        <f>M$2737</f>
        <v>2029</v>
      </c>
      <c r="V2341" s="2128">
        <f>N$2737</f>
        <v>2030</v>
      </c>
    </row>
    <row r="2342" spans="1:22" s="562" customFormat="1" ht="13.5" thickBot="1">
      <c r="A2342" s="817"/>
      <c r="C2342" s="485"/>
      <c r="D2342" s="539"/>
      <c r="E2342" s="714" t="s">
        <v>2231</v>
      </c>
      <c r="F2342" s="714"/>
      <c r="G2342" s="714"/>
      <c r="H2342" s="832" t="s">
        <v>1021</v>
      </c>
      <c r="I2342" s="716"/>
      <c r="J2342" s="2136" t="str">
        <f>IF($M2311&lt;&gt;EUconst_Relevant,"",IF(R2342=0,EUconst_ERR_CADecision,R2342))</f>
        <v/>
      </c>
      <c r="K2342" s="2134" t="str">
        <f>IF($M2311&lt;&gt;EUconst_Relevant,"",IF(S2342=0,EUconst_ERR_CADecision,S2342))</f>
        <v/>
      </c>
      <c r="L2342" s="2135" t="str">
        <f>IF($M2311&lt;&gt;EUconst_Relevant,"",IF(T2342=0,EUconst_ERR_CADecision,T2342))</f>
        <v/>
      </c>
      <c r="M2342" s="2135" t="str">
        <f>IF($M2311&lt;&gt;EUconst_Relevant,"",IF(U2342=0,EUconst_ERR_CADecision,U2342))</f>
        <v/>
      </c>
      <c r="N2342" s="2135" t="str">
        <f>IF($M2311&lt;&gt;EUconst_Relevant,"",IF(V2342=0,EUconst_ERR_CADecision,V2342))</f>
        <v/>
      </c>
      <c r="O2342" s="485"/>
      <c r="P2342" s="1158" t="str">
        <f>EUconst_CNTR_CARejection &amp; I2311</f>
        <v>CAReject_Fuel benchmark sub-installation, CL</v>
      </c>
      <c r="Q2342" s="1137"/>
      <c r="R2342" s="1961" t="str">
        <f>IF(J2341=TRUE,INDEX('G_Fall-back'!J:J,MATCH($P2342,'G_Fall-back'!$Q:$Q,0)),EUconst_NA)</f>
        <v>N.A.</v>
      </c>
      <c r="S2342" s="1675" t="str">
        <f>IF(K2341=TRUE,INDEX('G_Fall-back'!K:K,MATCH($P2342,'G_Fall-back'!$Q:$Q,0)),EUconst_NA)</f>
        <v>N.A.</v>
      </c>
      <c r="T2342" s="1675" t="str">
        <f>IF(L2341=TRUE,INDEX('G_Fall-back'!L:L,MATCH($P2342,'G_Fall-back'!$Q:$Q,0)),EUconst_NA)</f>
        <v>N.A.</v>
      </c>
      <c r="U2342" s="1675" t="str">
        <f>IF(M2341=TRUE,INDEX('G_Fall-back'!M:M,MATCH($P2342,'G_Fall-back'!$Q:$Q,0)),EUconst_NA)</f>
        <v>N.A.</v>
      </c>
      <c r="V2342" s="1676" t="str">
        <f>IF(N2341=TRUE,INDEX('G_Fall-back'!N:N,MATCH($P2342,'G_Fall-back'!$Q:$Q,0)),EUconst_NA)</f>
        <v>N.A.</v>
      </c>
    </row>
    <row r="2343" spans="1:22" s="562" customFormat="1">
      <c r="A2343" s="817"/>
      <c r="C2343" s="485"/>
      <c r="D2343" s="539"/>
      <c r="E2343" s="698" t="s">
        <v>1794</v>
      </c>
      <c r="F2343" s="698"/>
      <c r="G2343" s="698"/>
      <c r="H2343" s="833" t="s">
        <v>1021</v>
      </c>
      <c r="I2343" s="2184"/>
      <c r="J2343" s="26" t="str">
        <f>INDEX('G_Fall-back'!J:J,MATCH($P2343,'G_Fall-back'!$Q:$Q,0))</f>
        <v/>
      </c>
      <c r="K2343" s="52" t="str">
        <f>INDEX('G_Fall-back'!K:K,MATCH($P2343,'G_Fall-back'!$Q:$Q,0))</f>
        <v/>
      </c>
      <c r="L2343" s="28" t="str">
        <f>INDEX('G_Fall-back'!L:L,MATCH($P2343,'G_Fall-back'!$Q:$Q,0))</f>
        <v/>
      </c>
      <c r="M2343" s="28" t="str">
        <f>INDEX('G_Fall-back'!M:M,MATCH($P2343,'G_Fall-back'!$Q:$Q,0))</f>
        <v/>
      </c>
      <c r="N2343" s="28" t="str">
        <f>INDEX('G_Fall-back'!N:N,MATCH($P2343,'G_Fall-back'!$Q:$Q,0))</f>
        <v/>
      </c>
      <c r="O2343" s="485"/>
      <c r="P2343" s="1158" t="str">
        <f>EUconst_CNTR_HALAdjPct&amp;I2311</f>
        <v>HALAdjPct_Fuel benchmark sub-installation, CL</v>
      </c>
      <c r="Q2343" s="1137"/>
      <c r="R2343" s="1137"/>
      <c r="S2343" s="1137"/>
      <c r="T2343" s="1117"/>
      <c r="U2343" s="1137"/>
      <c r="V2343" s="1137"/>
    </row>
    <row r="2344" spans="1:22" s="562" customFormat="1" ht="5.0999999999999996" customHeight="1" thickBot="1">
      <c r="A2344" s="817"/>
      <c r="C2344" s="485"/>
      <c r="D2344" s="771"/>
      <c r="E2344" s="756"/>
      <c r="F2344" s="756"/>
      <c r="G2344" s="756"/>
      <c r="H2344" s="756"/>
      <c r="I2344" s="835"/>
      <c r="J2344" s="756"/>
      <c r="K2344" s="1790"/>
      <c r="L2344" s="1791"/>
      <c r="M2344" s="1791"/>
      <c r="N2344" s="1791"/>
      <c r="O2344" s="485"/>
      <c r="P2344" s="1137"/>
      <c r="Q2344" s="1137"/>
      <c r="R2344" s="1137"/>
      <c r="S2344" s="1137"/>
      <c r="T2344" s="1117"/>
      <c r="U2344" s="1137"/>
      <c r="V2344" s="1137"/>
    </row>
    <row r="2345" spans="1:22" s="562" customFormat="1" ht="5.0999999999999996" customHeight="1" thickBot="1">
      <c r="A2345" s="817"/>
      <c r="C2345" s="485"/>
      <c r="D2345" s="485"/>
      <c r="E2345" s="485"/>
      <c r="F2345" s="485"/>
      <c r="G2345" s="485"/>
      <c r="H2345" s="485"/>
      <c r="I2345" s="836"/>
      <c r="J2345" s="485"/>
      <c r="K2345" s="1790"/>
      <c r="L2345" s="1791"/>
      <c r="M2345" s="1791"/>
      <c r="N2345" s="1791"/>
      <c r="O2345" s="485"/>
      <c r="P2345" s="1137"/>
      <c r="Q2345" s="1137"/>
      <c r="R2345" s="1137"/>
      <c r="S2345" s="1137"/>
      <c r="T2345" s="1117"/>
      <c r="U2345" s="1137"/>
      <c r="V2345" s="1137"/>
    </row>
    <row r="2346" spans="1:22" s="562" customFormat="1" ht="5.0999999999999996" customHeight="1">
      <c r="A2346" s="817"/>
      <c r="C2346" s="485"/>
      <c r="D2346" s="759"/>
      <c r="E2346" s="760"/>
      <c r="F2346" s="760"/>
      <c r="G2346" s="760"/>
      <c r="H2346" s="760"/>
      <c r="I2346" s="761"/>
      <c r="J2346" s="760"/>
      <c r="K2346" s="1790"/>
      <c r="L2346" s="1791"/>
      <c r="M2346" s="1791"/>
      <c r="N2346" s="1791"/>
      <c r="O2346" s="485"/>
      <c r="P2346" s="1137"/>
      <c r="Q2346" s="1137"/>
      <c r="R2346" s="1137"/>
      <c r="S2346" s="1137"/>
      <c r="T2346" s="1117"/>
      <c r="U2346" s="1137"/>
      <c r="V2346" s="1137"/>
    </row>
    <row r="2347" spans="1:22" s="562" customFormat="1">
      <c r="A2347" s="817"/>
      <c r="C2347" s="485"/>
      <c r="D2347" s="539"/>
      <c r="E2347" s="496" t="s">
        <v>1786</v>
      </c>
      <c r="F2347" s="485"/>
      <c r="G2347" s="485"/>
      <c r="H2347" s="663" t="str">
        <f>EUconst_Unit</f>
        <v>Unit</v>
      </c>
      <c r="I2347" s="837" t="s">
        <v>1675</v>
      </c>
      <c r="J2347" s="2132">
        <f>J$2737</f>
        <v>2026</v>
      </c>
      <c r="K2347" s="1489">
        <f>K$2737</f>
        <v>2027</v>
      </c>
      <c r="L2347" s="1490">
        <f>L$2737</f>
        <v>2028</v>
      </c>
      <c r="M2347" s="1490">
        <f>M$2737</f>
        <v>2029</v>
      </c>
      <c r="N2347" s="1490">
        <f>N$2737</f>
        <v>2030</v>
      </c>
      <c r="O2347" s="485"/>
      <c r="P2347" s="1137"/>
      <c r="Q2347" s="1137"/>
      <c r="R2347" s="1137"/>
      <c r="S2347" s="2155" t="s">
        <v>1646</v>
      </c>
      <c r="T2347" s="1117"/>
      <c r="U2347" s="1137"/>
      <c r="V2347" s="1137"/>
    </row>
    <row r="2348" spans="1:22" s="562" customFormat="1">
      <c r="A2348" s="817"/>
      <c r="C2348" s="485"/>
      <c r="D2348" s="539"/>
      <c r="E2348" s="698" t="s">
        <v>1692</v>
      </c>
      <c r="F2348" s="698"/>
      <c r="G2348" s="698"/>
      <c r="H2348" s="639" t="str">
        <f>F2317</f>
        <v>TJ</v>
      </c>
      <c r="I2348" s="826" t="str">
        <f>IF($M2311&lt;&gt;EUconst_Relevant,"",IF(T2349&gt;=$H$2736,0,S2348))</f>
        <v/>
      </c>
      <c r="J2348" s="2176" t="str">
        <f>INDEX('G_Fall-back'!J:J,MATCH($P2348,'G_Fall-back'!$Q:$Q,0))</f>
        <v/>
      </c>
      <c r="K2348" s="2177" t="str">
        <f>INDEX('G_Fall-back'!K:K,MATCH($P2348,'G_Fall-back'!$Q:$Q,0))</f>
        <v/>
      </c>
      <c r="L2348" s="2178" t="str">
        <f>INDEX('G_Fall-back'!L:L,MATCH($P2348,'G_Fall-back'!$Q:$Q,0))</f>
        <v/>
      </c>
      <c r="M2348" s="2178" t="str">
        <f>INDEX('G_Fall-back'!M:M,MATCH($P2348,'G_Fall-back'!$Q:$Q,0))</f>
        <v/>
      </c>
      <c r="N2348" s="2178" t="str">
        <f>INDEX('G_Fall-back'!N:N,MATCH($P2348,'G_Fall-back'!$Q:$Q,0))</f>
        <v/>
      </c>
      <c r="O2348" s="485"/>
      <c r="P2348" s="1158" t="str">
        <f>EUconst_CNTR_HALfinal&amp;I2311</f>
        <v>HALfinal_Fuel benchmark sub-installation, CL</v>
      </c>
      <c r="Q2348" s="1137"/>
      <c r="R2348" s="1137"/>
      <c r="S2348" s="2165" t="str">
        <f>IF($M2311&lt;&gt;EUconst_Relevant,"",SUMIF('G_Fall-back'!$Q:$Q,$P2348,'G_Fall-back'!I:I))</f>
        <v/>
      </c>
      <c r="T2348" s="1117"/>
      <c r="U2348" s="1137"/>
      <c r="V2348" s="1137"/>
    </row>
    <row r="2349" spans="1:22" s="562" customFormat="1">
      <c r="A2349" s="817"/>
      <c r="C2349" s="485"/>
      <c r="D2349" s="539"/>
      <c r="E2349" s="698" t="s">
        <v>222</v>
      </c>
      <c r="F2349" s="698"/>
      <c r="G2349" s="698"/>
      <c r="H2349" s="730" t="str">
        <f>EUconst_EUA</f>
        <v>UKA</v>
      </c>
      <c r="I2349" s="838" t="str">
        <f>IF($M2311&lt;&gt;EUconst_Relevant,"",MAX(0,ROUND((SUM($M2314)*SUM(I2348))*IF($H2314=TRUE,1,J$2517),0)))</f>
        <v/>
      </c>
      <c r="J2349" s="2129" t="str">
        <f t="shared" ref="J2349:N2349" si="172">IF($M2311&lt;&gt;EUconst_Relevant,"",MAX(0,ROUND((SUM($M2314)*SUM(J2348))*IF($H2314=TRUE,1,J$2517),0)))</f>
        <v/>
      </c>
      <c r="K2349" s="2072" t="str">
        <f t="shared" si="172"/>
        <v/>
      </c>
      <c r="L2349" s="2073" t="str">
        <f t="shared" si="172"/>
        <v/>
      </c>
      <c r="M2349" s="2073" t="str">
        <f t="shared" si="172"/>
        <v/>
      </c>
      <c r="N2349" s="2073" t="str">
        <f t="shared" si="172"/>
        <v/>
      </c>
      <c r="O2349" s="485"/>
      <c r="P2349" s="1158" t="str">
        <f>EUconst_AllocPrelim&amp;I2311</f>
        <v>AllocPrelim_Fuel benchmark sub-installation, CL</v>
      </c>
      <c r="Q2349" s="1137"/>
      <c r="R2349" s="1137"/>
      <c r="S2349" s="1137"/>
      <c r="T2349" s="1117">
        <f>INDEX('G_Fall-back'!V:V,MATCH(L2314,'G_Fall-back'!C:C,0))</f>
        <v>2005</v>
      </c>
      <c r="U2349" s="1137" t="e">
        <f>INDEX(I2349:N2349,CNTR_ReportingYear-$I$2736)&lt;&gt;INDEX(I2349:N2349,CNTR_ReportingYear-$H$2736)</f>
        <v>#REF!</v>
      </c>
      <c r="V2349" s="1137"/>
    </row>
    <row r="2350" spans="1:22" s="562" customFormat="1" ht="5.0999999999999996" customHeight="1" thickBot="1">
      <c r="A2350" s="817"/>
      <c r="C2350" s="485"/>
      <c r="D2350" s="771"/>
      <c r="E2350" s="756"/>
      <c r="F2350" s="756"/>
      <c r="G2350" s="756"/>
      <c r="H2350" s="756"/>
      <c r="I2350" s="756"/>
      <c r="J2350" s="756"/>
      <c r="K2350" s="1790"/>
      <c r="L2350" s="1791"/>
      <c r="M2350" s="1791"/>
      <c r="N2350" s="1791"/>
      <c r="O2350" s="485"/>
      <c r="P2350" s="1137"/>
      <c r="Q2350" s="1137"/>
      <c r="R2350" s="1137"/>
      <c r="S2350" s="1137"/>
      <c r="T2350" s="1117"/>
      <c r="U2350" s="1137"/>
      <c r="V2350" s="1137"/>
    </row>
    <row r="2351" spans="1:22" s="562" customFormat="1" ht="5.0999999999999996" customHeight="1" thickBot="1">
      <c r="A2351" s="817"/>
      <c r="C2351" s="485"/>
      <c r="D2351" s="485"/>
      <c r="E2351" s="485"/>
      <c r="F2351" s="485"/>
      <c r="G2351" s="485"/>
      <c r="K2351" s="1790"/>
      <c r="L2351" s="1791"/>
      <c r="M2351" s="1791"/>
      <c r="N2351" s="1791"/>
      <c r="O2351" s="485"/>
      <c r="P2351" s="1137"/>
      <c r="Q2351" s="1137"/>
      <c r="R2351" s="1137"/>
      <c r="S2351" s="1137"/>
      <c r="T2351" s="1137"/>
      <c r="U2351" s="1137"/>
      <c r="V2351" s="1137"/>
    </row>
    <row r="2352" spans="1:22" s="562" customFormat="1" ht="5.0999999999999996" customHeight="1">
      <c r="A2352" s="817"/>
      <c r="C2352" s="485"/>
      <c r="D2352" s="840"/>
      <c r="E2352" s="773"/>
      <c r="F2352" s="774"/>
      <c r="G2352" s="774"/>
      <c r="H2352" s="774"/>
      <c r="I2352" s="774"/>
      <c r="J2352" s="774"/>
      <c r="K2352" s="1790"/>
      <c r="L2352" s="1791"/>
      <c r="M2352" s="1791"/>
      <c r="N2352" s="1791"/>
      <c r="O2352" s="485"/>
      <c r="P2352" s="1137"/>
      <c r="Q2352" s="1137"/>
      <c r="R2352" s="1137"/>
      <c r="S2352" s="1137"/>
      <c r="T2352" s="1137"/>
      <c r="U2352" s="1137"/>
      <c r="V2352" s="1137"/>
    </row>
    <row r="2353" spans="1:22" s="562" customFormat="1" ht="13.5" thickBot="1">
      <c r="A2353" s="817"/>
      <c r="C2353" s="485"/>
      <c r="D2353" s="841"/>
      <c r="E2353" s="777"/>
      <c r="F2353" s="842"/>
      <c r="G2353" s="778" t="str">
        <f>EUconst_Unit</f>
        <v>Unit</v>
      </c>
      <c r="H2353" s="843">
        <f t="shared" ref="H2353:N2353" si="173">H$2737</f>
        <v>2024</v>
      </c>
      <c r="I2353" s="843">
        <f t="shared" si="173"/>
        <v>2025</v>
      </c>
      <c r="J2353" s="2185">
        <f t="shared" si="173"/>
        <v>2026</v>
      </c>
      <c r="K2353" s="1489">
        <f t="shared" si="173"/>
        <v>2027</v>
      </c>
      <c r="L2353" s="1490">
        <f t="shared" si="173"/>
        <v>2028</v>
      </c>
      <c r="M2353" s="1490">
        <f t="shared" si="173"/>
        <v>2029</v>
      </c>
      <c r="N2353" s="1490">
        <f t="shared" si="173"/>
        <v>2030</v>
      </c>
      <c r="O2353" s="485"/>
      <c r="P2353" s="1137"/>
      <c r="Q2353" s="1137"/>
      <c r="R2353" s="1137"/>
      <c r="S2353" s="1137"/>
      <c r="T2353" s="1137"/>
      <c r="U2353" s="1137"/>
      <c r="V2353" s="1137"/>
    </row>
    <row r="2354" spans="1:22" s="562" customFormat="1" ht="13.5" customHeight="1" thickBot="1">
      <c r="A2354" s="817"/>
      <c r="C2354" s="485"/>
      <c r="D2354" s="841"/>
      <c r="E2354" s="845" t="s">
        <v>1504</v>
      </c>
      <c r="F2354" s="845"/>
      <c r="G2354" s="808" t="str">
        <f>EUconst_tCO2epa</f>
        <v>t CO2e/year</v>
      </c>
      <c r="H2354" s="786" t="str">
        <f t="shared" ref="H2354:N2354" si="174">INDEX(H$92:H$108,MATCH($I2311,$E$92:$E$108,0))</f>
        <v/>
      </c>
      <c r="I2354" s="789" t="str">
        <f t="shared" si="174"/>
        <v/>
      </c>
      <c r="J2354" s="2167" t="str">
        <f t="shared" si="174"/>
        <v/>
      </c>
      <c r="K2354" s="2105" t="str">
        <f t="shared" si="174"/>
        <v/>
      </c>
      <c r="L2354" s="1960" t="str">
        <f t="shared" si="174"/>
        <v/>
      </c>
      <c r="M2354" s="1960" t="str">
        <f t="shared" si="174"/>
        <v/>
      </c>
      <c r="N2354" s="1960" t="str">
        <f t="shared" si="174"/>
        <v/>
      </c>
      <c r="O2354" s="485"/>
      <c r="P2354" s="1137"/>
      <c r="Q2354" s="1137"/>
      <c r="R2354" s="1137"/>
      <c r="S2354" s="1137"/>
      <c r="T2354" s="1137"/>
      <c r="U2354" s="1137"/>
      <c r="V2354" s="1137"/>
    </row>
    <row r="2355" spans="1:22" s="562" customFormat="1" ht="5.0999999999999996" customHeight="1">
      <c r="A2355" s="817"/>
      <c r="C2355" s="485"/>
      <c r="D2355" s="841"/>
      <c r="E2355" s="777"/>
      <c r="F2355" s="777"/>
      <c r="G2355" s="777"/>
      <c r="H2355" s="2168"/>
      <c r="I2355" s="2168"/>
      <c r="J2355" s="2168"/>
      <c r="K2355" s="2169"/>
      <c r="L2355" s="2170"/>
      <c r="M2355" s="2170"/>
      <c r="N2355" s="2170"/>
      <c r="O2355" s="485"/>
      <c r="P2355" s="1137"/>
      <c r="Q2355" s="1137"/>
      <c r="R2355" s="1137"/>
      <c r="S2355" s="1137"/>
      <c r="T2355" s="1137"/>
      <c r="U2355" s="1137"/>
      <c r="V2355" s="1137"/>
    </row>
    <row r="2356" spans="1:22" s="562" customFormat="1">
      <c r="A2356" s="817"/>
      <c r="C2356" s="485"/>
      <c r="D2356" s="841"/>
      <c r="E2356" s="846" t="s">
        <v>1344</v>
      </c>
      <c r="F2356" s="846"/>
      <c r="G2356" s="811" t="str">
        <f>EUconst_TJpa</f>
        <v>TJ / year</v>
      </c>
      <c r="H2356" s="625" t="str">
        <f>IF($M2311&lt;&gt;EUconst_Relevant,"",IF(INDEX('G_Fall-back'!H:H,MATCH($P2356,'G_Fall-back'!$Q:$Q,0))="","",INDEX('G_Fall-back'!H:H,MATCH($P2356,'G_Fall-back'!$Q:$Q,0))))</f>
        <v/>
      </c>
      <c r="I2356" s="794" t="str">
        <f>IF($M2311&lt;&gt;EUconst_Relevant,"",IF(INDEX('G_Fall-back'!I:I,MATCH($P2356,'G_Fall-back'!$Q:$Q,0))="","",INDEX('G_Fall-back'!I:I,MATCH($P2356,'G_Fall-back'!$Q:$Q,0))))</f>
        <v/>
      </c>
      <c r="J2356" s="2171" t="str">
        <f>IF($M2311&lt;&gt;EUconst_Relevant,"",IF(INDEX('G_Fall-back'!J:J,MATCH($P2356,'G_Fall-back'!$Q:$Q,0))="","",INDEX('G_Fall-back'!J:J,MATCH($P2356,'G_Fall-back'!$Q:$Q,0))))</f>
        <v/>
      </c>
      <c r="K2356" s="1788" t="str">
        <f>IF($M2311&lt;&gt;EUconst_Relevant,"",IF(INDEX('G_Fall-back'!K:K,MATCH($P2356,'G_Fall-back'!$Q:$Q,0))="","",INDEX('G_Fall-back'!K:K,MATCH($P2356,'G_Fall-back'!$Q:$Q,0))))</f>
        <v/>
      </c>
      <c r="L2356" s="1789" t="str">
        <f>IF($M2311&lt;&gt;EUconst_Relevant,"",IF(INDEX('G_Fall-back'!L:L,MATCH($P2356,'G_Fall-back'!$Q:$Q,0))="","",INDEX('G_Fall-back'!L:L,MATCH($P2356,'G_Fall-back'!$Q:$Q,0))))</f>
        <v/>
      </c>
      <c r="M2356" s="1789" t="str">
        <f>IF($M2311&lt;&gt;EUconst_Relevant,"",IF(INDEX('G_Fall-back'!M:M,MATCH($P2356,'G_Fall-back'!$Q:$Q,0))="","",INDEX('G_Fall-back'!M:M,MATCH($P2356,'G_Fall-back'!$Q:$Q,0))))</f>
        <v/>
      </c>
      <c r="N2356" s="1789" t="str">
        <f>IF($M2311&lt;&gt;EUconst_Relevant,"",IF(INDEX('G_Fall-back'!N:N,MATCH($P2356,'G_Fall-back'!$Q:$Q,0))="","",INDEX('G_Fall-back'!N:N,MATCH($P2356,'G_Fall-back'!$Q:$Q,0))))</f>
        <v/>
      </c>
      <c r="O2356" s="485"/>
      <c r="P2356" s="2109" t="str">
        <f>EUconst_CNTR_FuelInput &amp; I2311</f>
        <v>FuelInput_Fuel benchmark sub-installation, CL</v>
      </c>
      <c r="Q2356" s="1137"/>
      <c r="R2356" s="1137"/>
      <c r="S2356" s="1137"/>
      <c r="T2356" s="1137"/>
      <c r="U2356" s="1137"/>
      <c r="V2356" s="1137"/>
    </row>
    <row r="2357" spans="1:22" s="562" customFormat="1" ht="12.75" customHeight="1">
      <c r="A2357" s="817"/>
      <c r="C2357" s="485"/>
      <c r="D2357" s="841"/>
      <c r="E2357" s="816" t="s">
        <v>1182</v>
      </c>
      <c r="F2357" s="816"/>
      <c r="G2357" s="812" t="str">
        <f>EUconst_tCO2pTJ</f>
        <v>t CO2 / TJ</v>
      </c>
      <c r="H2357" s="627" t="str">
        <f>IF($M2311&lt;&gt;EUconst_Relevant,"",IF(INDEX('G_Fall-back'!H:H,MATCH($P2357,'G_Fall-back'!$Q:$Q,0))="","",INDEX('G_Fall-back'!H:H,MATCH($P2357,'G_Fall-back'!$Q:$Q,0))))</f>
        <v/>
      </c>
      <c r="I2357" s="796" t="str">
        <f>IF($M2311&lt;&gt;EUconst_Relevant,"",IF(INDEX('G_Fall-back'!I:I,MATCH($P2357,'G_Fall-back'!$Q:$Q,0))="","",INDEX('G_Fall-back'!I:I,MATCH($P2357,'G_Fall-back'!$Q:$Q,0))))</f>
        <v/>
      </c>
      <c r="J2357" s="2172" t="str">
        <f>IF($M2311&lt;&gt;EUconst_Relevant,"",IF(INDEX('G_Fall-back'!J:J,MATCH($P2357,'G_Fall-back'!$Q:$Q,0))="","",INDEX('G_Fall-back'!J:J,MATCH($P2357,'G_Fall-back'!$Q:$Q,0))))</f>
        <v/>
      </c>
      <c r="K2357" s="1788" t="str">
        <f>IF($M2311&lt;&gt;EUconst_Relevant,"",IF(INDEX('G_Fall-back'!K:K,MATCH($P2357,'G_Fall-back'!$Q:$Q,0))="","",INDEX('G_Fall-back'!K:K,MATCH($P2357,'G_Fall-back'!$Q:$Q,0))))</f>
        <v/>
      </c>
      <c r="L2357" s="1789" t="str">
        <f>IF($M2311&lt;&gt;EUconst_Relevant,"",IF(INDEX('G_Fall-back'!L:L,MATCH($P2357,'G_Fall-back'!$Q:$Q,0))="","",INDEX('G_Fall-back'!L:L,MATCH($P2357,'G_Fall-back'!$Q:$Q,0))))</f>
        <v/>
      </c>
      <c r="M2357" s="1789" t="str">
        <f>IF($M2311&lt;&gt;EUconst_Relevant,"",IF(INDEX('G_Fall-back'!M:M,MATCH($P2357,'G_Fall-back'!$Q:$Q,0))="","",INDEX('G_Fall-back'!M:M,MATCH($P2357,'G_Fall-back'!$Q:$Q,0))))</f>
        <v/>
      </c>
      <c r="N2357" s="1789" t="str">
        <f>IF($M2311&lt;&gt;EUconst_Relevant,"",IF(INDEX('G_Fall-back'!N:N,MATCH($P2357,'G_Fall-back'!$Q:$Q,0))="","",INDEX('G_Fall-back'!N:N,MATCH($P2357,'G_Fall-back'!$Q:$Q,0))))</f>
        <v/>
      </c>
      <c r="O2357" s="485"/>
      <c r="P2357" s="1970" t="str">
        <f>EUconst_CNTR_FuelEF &amp; I2311</f>
        <v>FuelEF_Fuel benchmark sub-installation, CL</v>
      </c>
      <c r="Q2357" s="1137"/>
      <c r="R2357" s="1137"/>
      <c r="S2357" s="1137"/>
      <c r="T2357" s="1137"/>
      <c r="U2357" s="1137"/>
      <c r="V2357" s="1137"/>
    </row>
    <row r="2358" spans="1:22" s="562" customFormat="1" ht="12.75" customHeight="1">
      <c r="A2358" s="817"/>
      <c r="C2358" s="485"/>
      <c r="D2358" s="841"/>
      <c r="E2358" s="846" t="s">
        <v>1481</v>
      </c>
      <c r="F2358" s="846"/>
      <c r="G2358" s="811" t="str">
        <f>EUconst_TJpa</f>
        <v>TJ / year</v>
      </c>
      <c r="H2358" s="625" t="str">
        <f>IF($M2311&lt;&gt;EUconst_Relevant,"",IF(INDEX('G_Fall-back'!H:H,MATCH($P2358,'G_Fall-back'!$Q:$Q,0))="","",INDEX('G_Fall-back'!H:H,MATCH($P2358,'G_Fall-back'!$Q:$Q,0))))</f>
        <v/>
      </c>
      <c r="I2358" s="794" t="str">
        <f>IF($M2311&lt;&gt;EUconst_Relevant,"",IF(INDEX('G_Fall-back'!I:I,MATCH($P2358,'G_Fall-back'!$Q:$Q,0))="","",INDEX('G_Fall-back'!I:I,MATCH($P2358,'G_Fall-back'!$Q:$Q,0))))</f>
        <v/>
      </c>
      <c r="J2358" s="2171" t="str">
        <f>IF($M2311&lt;&gt;EUconst_Relevant,"",IF(INDEX('G_Fall-back'!J:J,MATCH($P2358,'G_Fall-back'!$Q:$Q,0))="","",INDEX('G_Fall-back'!J:J,MATCH($P2358,'G_Fall-back'!$Q:$Q,0))))</f>
        <v/>
      </c>
      <c r="K2358" s="1788" t="str">
        <f>IF($M2311&lt;&gt;EUconst_Relevant,"",IF(INDEX('G_Fall-back'!K:K,MATCH($P2358,'G_Fall-back'!$Q:$Q,0))="","",INDEX('G_Fall-back'!K:K,MATCH($P2358,'G_Fall-back'!$Q:$Q,0))))</f>
        <v/>
      </c>
      <c r="L2358" s="1789" t="str">
        <f>IF($M2311&lt;&gt;EUconst_Relevant,"",IF(INDEX('G_Fall-back'!L:L,MATCH($P2358,'G_Fall-back'!$Q:$Q,0))="","",INDEX('G_Fall-back'!L:L,MATCH($P2358,'G_Fall-back'!$Q:$Q,0))))</f>
        <v/>
      </c>
      <c r="M2358" s="1789" t="str">
        <f>IF($M2311&lt;&gt;EUconst_Relevant,"",IF(INDEX('G_Fall-back'!M:M,MATCH($P2358,'G_Fall-back'!$Q:$Q,0))="","",INDEX('G_Fall-back'!M:M,MATCH($P2358,'G_Fall-back'!$Q:$Q,0))))</f>
        <v/>
      </c>
      <c r="N2358" s="1789" t="str">
        <f>IF($M2311&lt;&gt;EUconst_Relevant,"",IF(INDEX('G_Fall-back'!N:N,MATCH($P2358,'G_Fall-back'!$Q:$Q,0))="","",INDEX('G_Fall-back'!N:N,MATCH($P2358,'G_Fall-back'!$Q:$Q,0))))</f>
        <v/>
      </c>
      <c r="O2358" s="485"/>
      <c r="P2358" s="1158" t="str">
        <f>EUconst_CNTR_WGConsumed &amp; I2311</f>
        <v>WasteGasCons_Fuel benchmark sub-installation, CL</v>
      </c>
      <c r="Q2358" s="1137"/>
      <c r="R2358" s="1137"/>
      <c r="S2358" s="1137"/>
      <c r="T2358" s="1137"/>
      <c r="U2358" s="1137"/>
      <c r="V2358" s="1137"/>
    </row>
    <row r="2359" spans="1:22" s="562" customFormat="1" ht="12.75" customHeight="1">
      <c r="A2359" s="817"/>
      <c r="C2359" s="485"/>
      <c r="D2359" s="841"/>
      <c r="E2359" s="816" t="s">
        <v>1182</v>
      </c>
      <c r="F2359" s="816"/>
      <c r="G2359" s="812" t="str">
        <f>EUconst_tCO2pTJ</f>
        <v>t CO2 / TJ</v>
      </c>
      <c r="H2359" s="627" t="str">
        <f>IF($M2311&lt;&gt;EUconst_Relevant,"",IF(INDEX('G_Fall-back'!H:H,MATCH($P2359,'G_Fall-back'!$Q:$Q,0))="","",INDEX('G_Fall-back'!H:H,MATCH($P2359,'G_Fall-back'!$Q:$Q,0))))</f>
        <v/>
      </c>
      <c r="I2359" s="796" t="str">
        <f>IF($M2311&lt;&gt;EUconst_Relevant,"",IF(INDEX('G_Fall-back'!I:I,MATCH($P2359,'G_Fall-back'!$Q:$Q,0))="","",INDEX('G_Fall-back'!I:I,MATCH($P2359,'G_Fall-back'!$Q:$Q,0))))</f>
        <v/>
      </c>
      <c r="J2359" s="2172" t="str">
        <f>IF($M2311&lt;&gt;EUconst_Relevant,"",IF(INDEX('G_Fall-back'!J:J,MATCH($P2359,'G_Fall-back'!$Q:$Q,0))="","",INDEX('G_Fall-back'!J:J,MATCH($P2359,'G_Fall-back'!$Q:$Q,0))))</f>
        <v/>
      </c>
      <c r="K2359" s="1788" t="str">
        <f>IF($M2311&lt;&gt;EUconst_Relevant,"",IF(INDEX('G_Fall-back'!K:K,MATCH($P2359,'G_Fall-back'!$Q:$Q,0))="","",INDEX('G_Fall-back'!K:K,MATCH($P2359,'G_Fall-back'!$Q:$Q,0))))</f>
        <v/>
      </c>
      <c r="L2359" s="1789" t="str">
        <f>IF($M2311&lt;&gt;EUconst_Relevant,"",IF(INDEX('G_Fall-back'!L:L,MATCH($P2359,'G_Fall-back'!$Q:$Q,0))="","",INDEX('G_Fall-back'!L:L,MATCH($P2359,'G_Fall-back'!$Q:$Q,0))))</f>
        <v/>
      </c>
      <c r="M2359" s="1789" t="str">
        <f>IF($M2311&lt;&gt;EUconst_Relevant,"",IF(INDEX('G_Fall-back'!M:M,MATCH($P2359,'G_Fall-back'!$Q:$Q,0))="","",INDEX('G_Fall-back'!M:M,MATCH($P2359,'G_Fall-back'!$Q:$Q,0))))</f>
        <v/>
      </c>
      <c r="N2359" s="1789" t="str">
        <f>IF($M2311&lt;&gt;EUconst_Relevant,"",IF(INDEX('G_Fall-back'!N:N,MATCH($P2359,'G_Fall-back'!$Q:$Q,0))="","",INDEX('G_Fall-back'!N:N,MATCH($P2359,'G_Fall-back'!$Q:$Q,0))))</f>
        <v/>
      </c>
      <c r="O2359" s="485"/>
      <c r="P2359" s="1970" t="str">
        <f>EUconst_CNTR_WGConsumedEF &amp; I2311</f>
        <v>WasteGasConsEF_Fuel benchmark sub-installation, CL</v>
      </c>
      <c r="Q2359" s="1137"/>
      <c r="R2359" s="1137"/>
      <c r="S2359" s="1137"/>
      <c r="T2359" s="1137"/>
      <c r="U2359" s="1137"/>
      <c r="V2359" s="1137"/>
    </row>
    <row r="2360" spans="1:22" s="562" customFormat="1" ht="5.0999999999999996" customHeight="1">
      <c r="A2360" s="817"/>
      <c r="C2360" s="485"/>
      <c r="D2360" s="841"/>
      <c r="E2360" s="777"/>
      <c r="F2360" s="813"/>
      <c r="G2360" s="813"/>
      <c r="H2360" s="2173"/>
      <c r="I2360" s="2173"/>
      <c r="J2360" s="2173"/>
      <c r="K2360" s="1788"/>
      <c r="L2360" s="1789"/>
      <c r="M2360" s="1789"/>
      <c r="N2360" s="1789"/>
      <c r="O2360" s="485"/>
      <c r="P2360" s="1137"/>
      <c r="Q2360" s="1137"/>
      <c r="R2360" s="1137"/>
      <c r="S2360" s="1137"/>
      <c r="T2360" s="1137"/>
      <c r="U2360" s="1137"/>
      <c r="V2360" s="1137"/>
    </row>
    <row r="2361" spans="1:22" s="562" customFormat="1">
      <c r="A2361" s="817"/>
      <c r="C2361" s="485"/>
      <c r="D2361" s="841"/>
      <c r="E2361" s="847" t="s">
        <v>63</v>
      </c>
      <c r="F2361" s="847"/>
      <c r="G2361" s="815" t="str">
        <f>EUconst_tCO2pa</f>
        <v>t CO2 / year</v>
      </c>
      <c r="H2361" s="623" t="str">
        <f>IF($M2311&lt;&gt;EUconst_Relevant,"",IF(INDEX('G_Fall-back'!H:H,MATCH($P2361,'G_Fall-back'!$Q:$Q,0))="","",INDEX('G_Fall-back'!H:H,MATCH($P2361,'G_Fall-back'!$Q:$Q,0))))</f>
        <v/>
      </c>
      <c r="I2361" s="800" t="str">
        <f>IF($M2311&lt;&gt;EUconst_Relevant,"",IF(INDEX('G_Fall-back'!I:I,MATCH($P2361,'G_Fall-back'!$Q:$Q,0))="","",INDEX('G_Fall-back'!I:I,MATCH($P2361,'G_Fall-back'!$Q:$Q,0))))</f>
        <v/>
      </c>
      <c r="J2361" s="2174" t="str">
        <f>IF($M2311&lt;&gt;EUconst_Relevant,"",IF(INDEX('G_Fall-back'!J:J,MATCH($P2361,'G_Fall-back'!$Q:$Q,0))="","",INDEX('G_Fall-back'!J:J,MATCH($P2361,'G_Fall-back'!$Q:$Q,0))))</f>
        <v/>
      </c>
      <c r="K2361" s="1788" t="str">
        <f>IF($M2311&lt;&gt;EUconst_Relevant,"",IF(INDEX('G_Fall-back'!K:K,MATCH($P2361,'G_Fall-back'!$Q:$Q,0))="","",INDEX('G_Fall-back'!K:K,MATCH($P2361,'G_Fall-back'!$Q:$Q,0))))</f>
        <v/>
      </c>
      <c r="L2361" s="1789" t="str">
        <f>IF($M2311&lt;&gt;EUconst_Relevant,"",IF(INDEX('G_Fall-back'!L:L,MATCH($P2361,'G_Fall-back'!$Q:$Q,0))="","",INDEX('G_Fall-back'!L:L,MATCH($P2361,'G_Fall-back'!$Q:$Q,0))))</f>
        <v/>
      </c>
      <c r="M2361" s="1789" t="str">
        <f>IF($M2311&lt;&gt;EUconst_Relevant,"",IF(INDEX('G_Fall-back'!M:M,MATCH($P2361,'G_Fall-back'!$Q:$Q,0))="","",INDEX('G_Fall-back'!M:M,MATCH($P2361,'G_Fall-back'!$Q:$Q,0))))</f>
        <v/>
      </c>
      <c r="N2361" s="1789" t="str">
        <f>IF($M2311&lt;&gt;EUconst_Relevant,"",IF(INDEX('G_Fall-back'!N:N,MATCH($P2361,'G_Fall-back'!$Q:$Q,0))="","",INDEX('G_Fall-back'!N:N,MATCH($P2361,'G_Fall-back'!$Q:$Q,0))))</f>
        <v/>
      </c>
      <c r="O2361" s="485"/>
      <c r="P2361" s="1970" t="str">
        <f>EUconst_CNTR_Emissions &amp; I2311</f>
        <v>DirEmissions_Fuel benchmark sub-installation, CL</v>
      </c>
      <c r="Q2361" s="1137"/>
      <c r="R2361" s="1137"/>
      <c r="S2361" s="1137"/>
      <c r="T2361" s="1137"/>
      <c r="U2361" s="1137"/>
      <c r="V2361" s="1137"/>
    </row>
    <row r="2362" spans="1:22" s="562" customFormat="1" ht="5.0999999999999996" customHeight="1">
      <c r="A2362" s="817"/>
      <c r="C2362" s="485"/>
      <c r="D2362" s="841"/>
      <c r="E2362" s="777"/>
      <c r="F2362" s="777"/>
      <c r="G2362" s="777"/>
      <c r="H2362" s="2173"/>
      <c r="I2362" s="2173"/>
      <c r="J2362" s="2173"/>
      <c r="K2362" s="1788"/>
      <c r="L2362" s="1789"/>
      <c r="M2362" s="1789"/>
      <c r="N2362" s="1789"/>
      <c r="O2362" s="485"/>
      <c r="P2362" s="1137"/>
      <c r="Q2362" s="1137"/>
      <c r="R2362" s="1137"/>
      <c r="S2362" s="1137"/>
      <c r="T2362" s="1137"/>
      <c r="U2362" s="1137"/>
      <c r="V2362" s="1137"/>
    </row>
    <row r="2363" spans="1:22" s="562" customFormat="1">
      <c r="A2363" s="817"/>
      <c r="C2363" s="485"/>
      <c r="D2363" s="841"/>
      <c r="E2363" s="847" t="s">
        <v>1079</v>
      </c>
      <c r="F2363" s="847"/>
      <c r="G2363" s="815" t="str">
        <f>EUconst_TJpa</f>
        <v>TJ / year</v>
      </c>
      <c r="H2363" s="623" t="str">
        <f>IF($M2311&lt;&gt;EUconst_Relevant,"",IF(INDEX('G_Fall-back'!H:H,MATCH($P2363,'G_Fall-back'!$Q:$Q,0))="","",INDEX('G_Fall-back'!H:H,MATCH($P2363,'G_Fall-back'!$Q:$Q,0))))</f>
        <v/>
      </c>
      <c r="I2363" s="800" t="str">
        <f>IF($M2311&lt;&gt;EUconst_Relevant,"",IF(INDEX('G_Fall-back'!I:I,MATCH($P2363,'G_Fall-back'!$Q:$Q,0))="","",INDEX('G_Fall-back'!I:I,MATCH($P2363,'G_Fall-back'!$Q:$Q,0))))</f>
        <v/>
      </c>
      <c r="J2363" s="2174" t="str">
        <f>IF($M2311&lt;&gt;EUconst_Relevant,"",IF(INDEX('G_Fall-back'!J:J,MATCH($P2363,'G_Fall-back'!$Q:$Q,0))="","",INDEX('G_Fall-back'!J:J,MATCH($P2363,'G_Fall-back'!$Q:$Q,0))))</f>
        <v/>
      </c>
      <c r="K2363" s="1788" t="str">
        <f>IF($M2311&lt;&gt;EUconst_Relevant,"",IF(INDEX('G_Fall-back'!K:K,MATCH($P2363,'G_Fall-back'!$Q:$Q,0))="","",INDEX('G_Fall-back'!K:K,MATCH($P2363,'G_Fall-back'!$Q:$Q,0))))</f>
        <v/>
      </c>
      <c r="L2363" s="1789" t="str">
        <f>IF($M2311&lt;&gt;EUconst_Relevant,"",IF(INDEX('G_Fall-back'!L:L,MATCH($P2363,'G_Fall-back'!$Q:$Q,0))="","",INDEX('G_Fall-back'!L:L,MATCH($P2363,'G_Fall-back'!$Q:$Q,0))))</f>
        <v/>
      </c>
      <c r="M2363" s="1789" t="str">
        <f>IF($M2311&lt;&gt;EUconst_Relevant,"",IF(INDEX('G_Fall-back'!M:M,MATCH($P2363,'G_Fall-back'!$Q:$Q,0))="","",INDEX('G_Fall-back'!M:M,MATCH($P2363,'G_Fall-back'!$Q:$Q,0))))</f>
        <v/>
      </c>
      <c r="N2363" s="1789" t="str">
        <f>IF($M2311&lt;&gt;EUconst_Relevant,"",IF(INDEX('G_Fall-back'!N:N,MATCH($P2363,'G_Fall-back'!$Q:$Q,0))="","",INDEX('G_Fall-back'!N:N,MATCH($P2363,'G_Fall-back'!$Q:$Q,0))))</f>
        <v/>
      </c>
      <c r="O2363" s="485"/>
      <c r="P2363" s="1970" t="str">
        <f>EUconst_CNTR_HeatExport &amp; I2311</f>
        <v>HeatEx_Fuel benchmark sub-installation, CL</v>
      </c>
      <c r="Q2363" s="1137"/>
      <c r="R2363" s="1137"/>
      <c r="S2363" s="1137"/>
      <c r="T2363" s="1137"/>
      <c r="U2363" s="1137"/>
      <c r="V2363" s="1137"/>
    </row>
    <row r="2364" spans="1:22" s="562" customFormat="1" ht="12.75" customHeight="1">
      <c r="A2364" s="817"/>
      <c r="C2364" s="485"/>
      <c r="D2364" s="841"/>
      <c r="E2364" s="847" t="s">
        <v>1541</v>
      </c>
      <c r="F2364" s="847"/>
      <c r="G2364" s="815" t="str">
        <f>EUconst_TJpa</f>
        <v>TJ / year</v>
      </c>
      <c r="H2364" s="623" t="str">
        <f>IF($M2311&lt;&gt;EUconst_Relevant,"",IF(INDEX('G_Fall-back'!H:H,MATCH($P2364,'G_Fall-back'!$Q:$Q,0))="","",INDEX('G_Fall-back'!H:H,MATCH($P2364,'G_Fall-back'!$Q:$Q,0))))</f>
        <v/>
      </c>
      <c r="I2364" s="800" t="str">
        <f>IF($M2311&lt;&gt;EUconst_Relevant,"",IF(INDEX('G_Fall-back'!I:I,MATCH($P2364,'G_Fall-back'!$Q:$Q,0))="","",INDEX('G_Fall-back'!I:I,MATCH($P2364,'G_Fall-back'!$Q:$Q,0))))</f>
        <v/>
      </c>
      <c r="J2364" s="2174" t="str">
        <f>IF($M2311&lt;&gt;EUconst_Relevant,"",IF(INDEX('G_Fall-back'!J:J,MATCH($P2364,'G_Fall-back'!$Q:$Q,0))="","",INDEX('G_Fall-back'!J:J,MATCH($P2364,'G_Fall-back'!$Q:$Q,0))))</f>
        <v/>
      </c>
      <c r="K2364" s="1788" t="str">
        <f>IF($M2311&lt;&gt;EUconst_Relevant,"",IF(INDEX('G_Fall-back'!K:K,MATCH($P2364,'G_Fall-back'!$Q:$Q,0))="","",INDEX('G_Fall-back'!K:K,MATCH($P2364,'G_Fall-back'!$Q:$Q,0))))</f>
        <v/>
      </c>
      <c r="L2364" s="1789" t="str">
        <f>IF($M2311&lt;&gt;EUconst_Relevant,"",IF(INDEX('G_Fall-back'!L:L,MATCH($P2364,'G_Fall-back'!$Q:$Q,0))="","",INDEX('G_Fall-back'!L:L,MATCH($P2364,'G_Fall-back'!$Q:$Q,0))))</f>
        <v/>
      </c>
      <c r="M2364" s="1789" t="str">
        <f>IF($M2311&lt;&gt;EUconst_Relevant,"",IF(INDEX('G_Fall-back'!M:M,MATCH($P2364,'G_Fall-back'!$Q:$Q,0))="","",INDEX('G_Fall-back'!M:M,MATCH($P2364,'G_Fall-back'!$Q:$Q,0))))</f>
        <v/>
      </c>
      <c r="N2364" s="1789" t="str">
        <f>IF($M2311&lt;&gt;EUconst_Relevant,"",IF(INDEX('G_Fall-back'!N:N,MATCH($P2364,'G_Fall-back'!$Q:$Q,0))="","",INDEX('G_Fall-back'!N:N,MATCH($P2364,'G_Fall-back'!$Q:$Q,0))))</f>
        <v/>
      </c>
      <c r="O2364" s="485"/>
      <c r="P2364" s="1158" t="str">
        <f>EUconst_CNTR_HeatExportEF &amp; I2311</f>
        <v>HeatExEF_Fuel benchmark sub-installation, CL</v>
      </c>
      <c r="Q2364" s="1137"/>
      <c r="R2364" s="1137"/>
      <c r="S2364" s="1137"/>
      <c r="T2364" s="1137"/>
      <c r="U2364" s="1137"/>
      <c r="V2364" s="1137"/>
    </row>
    <row r="2365" spans="1:22" s="562" customFormat="1" ht="5.0999999999999996" customHeight="1" thickBot="1">
      <c r="A2365" s="817"/>
      <c r="C2365" s="485"/>
      <c r="D2365" s="848"/>
      <c r="E2365" s="805"/>
      <c r="F2365" s="805"/>
      <c r="G2365" s="805"/>
      <c r="H2365" s="805"/>
      <c r="I2365" s="805"/>
      <c r="J2365" s="805"/>
      <c r="K2365" s="1790"/>
      <c r="L2365" s="1791"/>
      <c r="M2365" s="1791"/>
      <c r="N2365" s="1791"/>
      <c r="O2365" s="485"/>
      <c r="P2365" s="1137"/>
      <c r="Q2365" s="1137"/>
      <c r="R2365" s="1137"/>
      <c r="S2365" s="1137"/>
      <c r="T2365" s="1137"/>
      <c r="U2365" s="1137"/>
      <c r="V2365" s="1137"/>
    </row>
    <row r="2366" spans="1:22" s="562" customFormat="1" ht="5.0999999999999996" customHeight="1" thickBot="1">
      <c r="A2366" s="817"/>
      <c r="C2366" s="485"/>
      <c r="D2366" s="485"/>
      <c r="E2366" s="485"/>
      <c r="F2366" s="485"/>
      <c r="G2366" s="485"/>
      <c r="M2366" s="485"/>
      <c r="N2366" s="485"/>
      <c r="O2366" s="485"/>
      <c r="P2366" s="1137"/>
      <c r="Q2366" s="1137"/>
      <c r="R2366" s="1137"/>
      <c r="S2366" s="1137"/>
      <c r="T2366" s="1137"/>
      <c r="U2366" s="1137"/>
      <c r="V2366" s="1137"/>
    </row>
    <row r="2367" spans="1:22" s="562" customFormat="1" ht="5.0999999999999996" customHeight="1" thickBot="1">
      <c r="A2367" s="817"/>
      <c r="C2367" s="2118"/>
      <c r="D2367" s="2118"/>
      <c r="E2367" s="2118"/>
      <c r="F2367" s="2118"/>
      <c r="G2367" s="2118"/>
      <c r="H2367" s="2118"/>
      <c r="I2367" s="2118"/>
      <c r="J2367" s="2118"/>
      <c r="K2367" s="2118"/>
      <c r="L2367" s="2118"/>
      <c r="M2367" s="2118"/>
      <c r="N2367" s="2118"/>
      <c r="O2367" s="485"/>
      <c r="P2367" s="1137"/>
      <c r="Q2367" s="1137"/>
      <c r="R2367" s="1137"/>
      <c r="S2367" s="1137"/>
      <c r="T2367" s="1137"/>
      <c r="U2367" s="1137"/>
      <c r="V2367" s="1137"/>
    </row>
    <row r="2368" spans="1:22" s="562" customFormat="1" ht="15" customHeight="1" thickBot="1">
      <c r="A2368" s="817"/>
      <c r="C2368" s="559">
        <f>C2311+1</f>
        <v>15</v>
      </c>
      <c r="D2368" s="2482" t="str">
        <f>CONCATENATE(EUconst_FBSubinst," ",C2368-10, ":")</f>
        <v>Fall-Back sub-installation 5:</v>
      </c>
      <c r="E2368" s="2482"/>
      <c r="F2368" s="2482"/>
      <c r="G2368" s="2482"/>
      <c r="H2368" s="2483"/>
      <c r="I2368" s="3473" t="str">
        <f>INDEX(EUconst_FallBackListNames,$C2368-10)</f>
        <v>Fuel benchmark sub-installation, non-CL</v>
      </c>
      <c r="J2368" s="3474"/>
      <c r="K2368" s="3474"/>
      <c r="L2368" s="3475"/>
      <c r="M2368" s="3370" t="str">
        <f>IF(INDEX(CNTR_FallBackSubInstRelevant,C2368-10)="","",IF(INDEX(CNTR_FallBackSubInstRelevant,C2368-10),EUconst_Relevant,EUconst_NotRelevant))</f>
        <v/>
      </c>
      <c r="N2368" s="3371"/>
      <c r="O2368" s="485"/>
      <c r="P2368" s="1137"/>
      <c r="Q2368" s="2123">
        <f>C2368</f>
        <v>15</v>
      </c>
      <c r="R2368" s="2124" t="str">
        <f>I2368</f>
        <v>Fuel benchmark sub-installation, non-CL</v>
      </c>
      <c r="S2368" s="1137"/>
      <c r="T2368" s="1137"/>
      <c r="U2368" s="1137"/>
      <c r="V2368" s="1137"/>
    </row>
    <row r="2369" spans="1:22" s="562" customFormat="1" ht="5.0999999999999996" customHeight="1">
      <c r="A2369" s="817"/>
      <c r="B2369" s="485"/>
      <c r="C2369" s="559"/>
      <c r="D2369" s="559"/>
      <c r="E2369" s="559"/>
      <c r="F2369" s="559"/>
      <c r="G2369" s="559"/>
      <c r="H2369" s="559"/>
      <c r="I2369" s="559"/>
      <c r="J2369" s="559"/>
      <c r="K2369" s="559"/>
      <c r="L2369" s="559"/>
      <c r="M2369" s="559"/>
      <c r="N2369" s="559"/>
      <c r="O2369" s="485"/>
      <c r="P2369" s="1137"/>
      <c r="Q2369" s="1137"/>
      <c r="R2369" s="1137"/>
      <c r="S2369" s="1137"/>
      <c r="T2369" s="1137"/>
      <c r="U2369" s="1137"/>
      <c r="V2369" s="1137"/>
    </row>
    <row r="2370" spans="1:22" s="562" customFormat="1" ht="12.75" customHeight="1">
      <c r="A2370" s="817"/>
      <c r="B2370" s="485"/>
      <c r="C2370" s="559"/>
      <c r="D2370" s="559"/>
      <c r="E2370" s="559"/>
      <c r="F2370" s="559"/>
      <c r="H2370" s="688" t="s">
        <v>458</v>
      </c>
      <c r="I2370" s="485"/>
      <c r="J2370" s="688" t="s">
        <v>1434</v>
      </c>
      <c r="K2370" s="688" t="s">
        <v>1684</v>
      </c>
      <c r="L2370" s="689" t="s">
        <v>156</v>
      </c>
      <c r="M2370" s="2469" t="s">
        <v>302</v>
      </c>
      <c r="N2370" s="2469"/>
      <c r="O2370" s="485"/>
      <c r="P2370" s="1137"/>
      <c r="Q2370" s="1137"/>
      <c r="R2370" s="1137"/>
      <c r="S2370" s="1137"/>
      <c r="T2370" s="1137"/>
      <c r="U2370" s="1137"/>
      <c r="V2370" s="1137"/>
    </row>
    <row r="2371" spans="1:22" s="562" customFormat="1" ht="12.75" customHeight="1">
      <c r="A2371" s="817"/>
      <c r="B2371" s="485"/>
      <c r="C2371" s="559"/>
      <c r="D2371" s="559"/>
      <c r="E2371" s="690" t="str">
        <f>I2368</f>
        <v>Fuel benchmark sub-installation, non-CL</v>
      </c>
      <c r="F2371" s="691"/>
      <c r="G2371" s="691"/>
      <c r="H2371" s="692" t="b">
        <f>INDEX(EUconst_FallBackListCLstatus,MATCH(I2368,EUconst_FallBackListNames,0))</f>
        <v>0</v>
      </c>
      <c r="I2371" s="485"/>
      <c r="J2371" s="566" t="str">
        <f>IF($M2368&lt;&gt;EUconst_Relevant,EUconst_NA,INDEX(CNTR_SubInstStartDate,MATCH(I2368,CNTR_SubInstListNames,0)))</f>
        <v>N.A.</v>
      </c>
      <c r="K2371" s="566" t="str">
        <f>IF($M2368&lt;&gt;EUconst_Relevant,EUconst_NA,IF(INDEX(CNTR_SubInstCessationDate,MATCH(I2368,CNTR_SubInstListNames,0))=0,"",INDEX(CNTR_SubInstCessationDate,MATCH(I2368,CNTR_SubInstListNames,0))))</f>
        <v>N.A.</v>
      </c>
      <c r="L2371" s="693">
        <f>C2368-10</f>
        <v>5</v>
      </c>
      <c r="M2371" s="818" t="str">
        <f>IF(M2368&lt;&gt;EUconst_Relevant,EUconst_NA,INDEX(EUconst_FallBackListBMvaluesMatrix,L2371,3))</f>
        <v>N.A.</v>
      </c>
      <c r="N2371" s="685" t="str">
        <f>EUconst_EUA &amp; "/" &amp; F2374</f>
        <v>UKA/TJ</v>
      </c>
      <c r="O2371" s="485"/>
      <c r="P2371" s="1137"/>
      <c r="Q2371" s="1137"/>
      <c r="R2371" s="1137"/>
      <c r="S2371" s="1137"/>
      <c r="T2371" s="1137"/>
      <c r="U2371" s="1137"/>
      <c r="V2371" s="1137"/>
    </row>
    <row r="2372" spans="1:22" s="562" customFormat="1" ht="5.0999999999999996" customHeight="1" thickBot="1">
      <c r="A2372" s="817"/>
      <c r="B2372" s="485"/>
      <c r="C2372" s="485"/>
      <c r="D2372" s="485"/>
      <c r="E2372" s="559"/>
      <c r="J2372" s="485"/>
      <c r="K2372" s="485"/>
      <c r="L2372" s="485"/>
      <c r="M2372" s="485"/>
      <c r="N2372" s="485"/>
      <c r="O2372" s="485"/>
      <c r="P2372" s="1137"/>
      <c r="Q2372" s="1137"/>
      <c r="R2372" s="1137"/>
      <c r="S2372" s="1137"/>
      <c r="T2372" s="1117"/>
      <c r="U2372" s="1137"/>
      <c r="V2372" s="1137"/>
    </row>
    <row r="2373" spans="1:22" s="562" customFormat="1" ht="12.75" customHeight="1">
      <c r="A2373" s="817"/>
      <c r="B2373" s="485"/>
      <c r="C2373" s="485"/>
      <c r="D2373" s="485"/>
      <c r="E2373" s="496"/>
      <c r="F2373" s="482" t="str">
        <f>EUconst_Unit</f>
        <v>Unit</v>
      </c>
      <c r="G2373" s="819" t="s">
        <v>1646</v>
      </c>
      <c r="H2373" s="696">
        <f t="shared" ref="H2373:N2373" si="175">H$2737</f>
        <v>2024</v>
      </c>
      <c r="I2373" s="697">
        <f t="shared" si="175"/>
        <v>2025</v>
      </c>
      <c r="J2373" s="2125">
        <f t="shared" si="175"/>
        <v>2026</v>
      </c>
      <c r="K2373" s="1489">
        <f t="shared" si="175"/>
        <v>2027</v>
      </c>
      <c r="L2373" s="1490">
        <f t="shared" si="175"/>
        <v>2028</v>
      </c>
      <c r="M2373" s="1490">
        <f t="shared" si="175"/>
        <v>2029</v>
      </c>
      <c r="N2373" s="1490">
        <f t="shared" si="175"/>
        <v>2030</v>
      </c>
      <c r="O2373" s="485"/>
      <c r="P2373" s="1137"/>
      <c r="Q2373" s="1137" t="s">
        <v>1803</v>
      </c>
      <c r="R2373" s="2126">
        <f>J$2737</f>
        <v>2026</v>
      </c>
      <c r="S2373" s="2127">
        <f>K$2737</f>
        <v>2027</v>
      </c>
      <c r="T2373" s="2127">
        <f>L$2737</f>
        <v>2028</v>
      </c>
      <c r="U2373" s="2127">
        <f>M$2737</f>
        <v>2029</v>
      </c>
      <c r="V2373" s="2128">
        <f>N$2737</f>
        <v>2030</v>
      </c>
    </row>
    <row r="2374" spans="1:22" s="562" customFormat="1" ht="12.75" customHeight="1" thickBot="1">
      <c r="A2374" s="817"/>
      <c r="B2374" s="485"/>
      <c r="C2374" s="485"/>
      <c r="D2374" s="485"/>
      <c r="E2374" s="698" t="s">
        <v>1665</v>
      </c>
      <c r="F2374" s="699" t="str">
        <f>INDEX(EUconst_FallBackListUnits,L2371)</f>
        <v>TJ</v>
      </c>
      <c r="G2374" s="820" t="str">
        <f>I2405</f>
        <v/>
      </c>
      <c r="H2374" s="821" t="str">
        <f>IF($M2368&lt;&gt;EUconst_Relevant,"",IF(H2373&gt;=CNTR_ReportingYear,"",SUMIF('G_Fall-back'!$Q:$Q,$P2374,'G_Fall-back'!H:H)))</f>
        <v/>
      </c>
      <c r="I2374" s="822" t="str">
        <f>IF($M2368&lt;&gt;EUconst_Relevant,"",IF(I2373&gt;=CNTR_ReportingYear,"",SUMIF('G_Fall-back'!$Q:$Q,$P2374,'G_Fall-back'!I:I)))</f>
        <v/>
      </c>
      <c r="J2374" s="2176" t="str">
        <f>IF($M2368&lt;&gt;EUconst_Relevant,"",IF(J2373&gt;=CNTR_ReportingYear,"",SUMIF('G_Fall-back'!$Q:$Q,$P2374,'G_Fall-back'!J:J)))</f>
        <v/>
      </c>
      <c r="K2374" s="2177" t="str">
        <f>IF($M2368&lt;&gt;EUconst_Relevant,"",IF(K2373&gt;=CNTR_ReportingYear,"",SUMIF('G_Fall-back'!$Q:$Q,$P2374,'G_Fall-back'!K:K)))</f>
        <v/>
      </c>
      <c r="L2374" s="2178" t="str">
        <f>IF($M2368&lt;&gt;EUconst_Relevant,"",IF(L2373&gt;=CNTR_ReportingYear,"",SUMIF('G_Fall-back'!$Q:$Q,$P2374,'G_Fall-back'!L:L)))</f>
        <v/>
      </c>
      <c r="M2374" s="2178" t="str">
        <f>IF($M2368&lt;&gt;EUconst_Relevant,"",IF(M2373&gt;=CNTR_ReportingYear,"",SUMIF('G_Fall-back'!$Q:$Q,$P2374,'G_Fall-back'!M:M)))</f>
        <v/>
      </c>
      <c r="N2374" s="2178" t="str">
        <f>IF($M2368&lt;&gt;EUconst_Relevant,"",IF(N2373&gt;=CNTR_ReportingYear,"",SUMIF('G_Fall-back'!$Q:$Q,$P2374,'G_Fall-back'!N:N)))</f>
        <v/>
      </c>
      <c r="O2374" s="485"/>
      <c r="P2374" s="1158" t="str">
        <f>EUconst_CNTR_HAL&amp;I2368</f>
        <v>HAL_Fuel benchmark sub-installation, non-CL</v>
      </c>
      <c r="Q2374" s="1137"/>
      <c r="R2374" s="1961" t="b">
        <f>AND($M2368=EUconst_Relevant,R2373&lt;=CNTR_ReportingYear,IF($J2371&lt;&gt;EUconst_NA,R2373&gt;=YEAR($J2371),TRUE))</f>
        <v>0</v>
      </c>
      <c r="S2374" s="1675" t="b">
        <f>AND($M2368=EUconst_Relevant,S2373&lt;=CNTR_ReportingYear,IF($J2371&lt;&gt;EUconst_NA,S2373&gt;=YEAR($J2371),TRUE))</f>
        <v>0</v>
      </c>
      <c r="T2374" s="1675" t="b">
        <f>AND($M2368=EUconst_Relevant,T2373&lt;=CNTR_ReportingYear,IF($J2371&lt;&gt;EUconst_NA,T2373&gt;=YEAR($J2371),TRUE))</f>
        <v>0</v>
      </c>
      <c r="U2374" s="1675" t="b">
        <f>AND($M2368=EUconst_Relevant,U2373&lt;=CNTR_ReportingYear,IF($J2371&lt;&gt;EUconst_NA,U2373&gt;=YEAR($J2371),TRUE))</f>
        <v>0</v>
      </c>
      <c r="V2374" s="1676" t="b">
        <f>AND($M2368=EUconst_Relevant,V2373&lt;=CNTR_ReportingYear,IF($J2371&lt;&gt;EUconst_NA,V2373&gt;=YEAR($J2371),TRUE))</f>
        <v>0</v>
      </c>
    </row>
    <row r="2375" spans="1:22" s="562" customFormat="1">
      <c r="A2375" s="817"/>
      <c r="B2375" s="485"/>
      <c r="C2375" s="485"/>
      <c r="D2375" s="485"/>
      <c r="E2375" s="698" t="s">
        <v>1782</v>
      </c>
      <c r="F2375" s="699" t="str">
        <f>IF($M2368&lt;&gt;EUconst_Relevant,"",INDEX('G_Fall-back'!H:H,MATCH($P2397,'G_Fall-back'!$Q:$Q,0)-1))</f>
        <v/>
      </c>
      <c r="G2375" s="823" t="str">
        <f>IF($M2368&lt;&gt;EUconst_Relevant,"",INDEX('G_Fall-back'!I:I,MATCH($P2397,'G_Fall-back'!$Q:$Q,0)-1))</f>
        <v/>
      </c>
      <c r="H2375" s="824" t="str">
        <f>IF($M2368&lt;&gt;EUconst_Relevant,"",INDEX('G_Fall-back'!H:H,MATCH($P2375,'G_Fall-back'!$Q:$Q,0)))</f>
        <v/>
      </c>
      <c r="I2375" s="825" t="str">
        <f>IF($M2368&lt;&gt;EUconst_Relevant,"",INDEX('G_Fall-back'!I:I,MATCH($P2375,'G_Fall-back'!$Q:$Q,0)))</f>
        <v/>
      </c>
      <c r="J2375" s="2179" t="str">
        <f>IF($M2368&lt;&gt;EUconst_Relevant,"",INDEX('G_Fall-back'!J:J,MATCH($P2375,'G_Fall-back'!$Q:$Q,0)))</f>
        <v/>
      </c>
      <c r="K2375" s="2141" t="str">
        <f>IF($M2368&lt;&gt;EUconst_Relevant,"",INDEX('G_Fall-back'!K:K,MATCH($P2375,'G_Fall-back'!$Q:$Q,0)))</f>
        <v/>
      </c>
      <c r="L2375" s="2142" t="str">
        <f>IF($M2368&lt;&gt;EUconst_Relevant,"",INDEX('G_Fall-back'!L:L,MATCH($P2375,'G_Fall-back'!$Q:$Q,0)))</f>
        <v/>
      </c>
      <c r="M2375" s="2142" t="str">
        <f>IF($M2368&lt;&gt;EUconst_Relevant,"",INDEX('G_Fall-back'!M:M,MATCH($P2375,'G_Fall-back'!$Q:$Q,0)))</f>
        <v/>
      </c>
      <c r="N2375" s="2142" t="str">
        <f>IF($M2368&lt;&gt;EUconst_Relevant,"",INDEX('G_Fall-back'!N:N,MATCH($P2375,'G_Fall-back'!$Q:$Q,0)))</f>
        <v/>
      </c>
      <c r="O2375" s="485"/>
      <c r="P2375" s="1158" t="str">
        <f>EUconst_CNTR_EnEff&amp;I2368</f>
        <v>EnEff_Fuel benchmark sub-installation, non-CL</v>
      </c>
      <c r="Q2375" s="1137"/>
      <c r="R2375" s="1137"/>
      <c r="S2375" s="1137"/>
      <c r="T2375" s="1117"/>
      <c r="U2375" s="1137"/>
      <c r="V2375" s="1137"/>
    </row>
    <row r="2376" spans="1:22" s="562" customFormat="1" ht="5.0999999999999996" customHeight="1" thickBot="1">
      <c r="A2376" s="817"/>
      <c r="B2376" s="485"/>
      <c r="C2376" s="485"/>
      <c r="D2376" s="485"/>
      <c r="F2376" s="485"/>
      <c r="G2376" s="485"/>
      <c r="H2376" s="485"/>
      <c r="I2376" s="743"/>
      <c r="J2376" s="485"/>
      <c r="K2376" s="1790"/>
      <c r="L2376" s="1791"/>
      <c r="M2376" s="1791"/>
      <c r="N2376" s="1791"/>
      <c r="O2376" s="485"/>
      <c r="P2376" s="1137"/>
      <c r="Q2376" s="1137"/>
      <c r="R2376" s="1137"/>
      <c r="S2376" s="1137"/>
      <c r="T2376" s="1117"/>
      <c r="U2376" s="1137"/>
      <c r="V2376" s="1137"/>
    </row>
    <row r="2377" spans="1:22" s="562" customFormat="1" ht="5.0999999999999996" customHeight="1">
      <c r="A2377" s="817"/>
      <c r="B2377" s="485"/>
      <c r="C2377" s="559"/>
      <c r="D2377" s="703"/>
      <c r="E2377" s="704"/>
      <c r="F2377" s="704"/>
      <c r="G2377" s="704"/>
      <c r="H2377" s="704"/>
      <c r="I2377" s="704"/>
      <c r="J2377" s="704"/>
      <c r="K2377" s="2130"/>
      <c r="L2377" s="2131"/>
      <c r="M2377" s="2131"/>
      <c r="N2377" s="2131"/>
      <c r="O2377" s="485"/>
      <c r="P2377" s="1137"/>
      <c r="Q2377" s="1137"/>
      <c r="R2377" s="1137"/>
      <c r="S2377" s="1137"/>
      <c r="T2377" s="1137"/>
      <c r="U2377" s="1137"/>
      <c r="V2377" s="1137"/>
    </row>
    <row r="2378" spans="1:22" s="562" customFormat="1" ht="12.75" customHeight="1">
      <c r="A2378" s="817"/>
      <c r="B2378" s="485"/>
      <c r="C2378" s="559"/>
      <c r="D2378" s="706"/>
      <c r="E2378" s="707" t="s">
        <v>1787</v>
      </c>
      <c r="F2378" s="637"/>
      <c r="G2378" s="637"/>
      <c r="H2378" s="663" t="str">
        <f>EUconst_Unit</f>
        <v>Unit</v>
      </c>
      <c r="I2378" s="708"/>
      <c r="J2378" s="2132">
        <f>J$2737</f>
        <v>2026</v>
      </c>
      <c r="K2378" s="1489">
        <f>K$2737</f>
        <v>2027</v>
      </c>
      <c r="L2378" s="1490">
        <f>L$2737</f>
        <v>2028</v>
      </c>
      <c r="M2378" s="1490">
        <f>M$2737</f>
        <v>2029</v>
      </c>
      <c r="N2378" s="1490">
        <f>N$2737</f>
        <v>2030</v>
      </c>
      <c r="O2378" s="485"/>
      <c r="P2378" s="1137"/>
      <c r="Q2378" s="1137"/>
      <c r="R2378" s="1137"/>
      <c r="S2378" s="1137"/>
      <c r="T2378" s="1137"/>
      <c r="U2378" s="1137"/>
      <c r="V2378" s="1137"/>
    </row>
    <row r="2379" spans="1:22" s="562" customFormat="1" ht="12.75" customHeight="1">
      <c r="A2379" s="817"/>
      <c r="B2379" s="485"/>
      <c r="C2379" s="559"/>
      <c r="D2379" s="706"/>
      <c r="E2379" s="711" t="s">
        <v>1783</v>
      </c>
      <c r="F2379" s="712"/>
      <c r="G2379" s="712"/>
      <c r="H2379" s="713" t="s">
        <v>1021</v>
      </c>
      <c r="I2379" s="712"/>
      <c r="J2379" s="2133" t="str">
        <f>IF(R2374,INDEX('G_Fall-back'!V:V,MATCH($P2379,'G_Fall-back'!$Q:$Q,0))&gt;=3,"")</f>
        <v/>
      </c>
      <c r="K2379" s="2134" t="str">
        <f>IF(S2374,INDEX('G_Fall-back'!W:W,MATCH($P2379,'G_Fall-back'!$Q:$Q,0))&gt;=3,"")</f>
        <v/>
      </c>
      <c r="L2379" s="2135" t="str">
        <f>IF(T2374,INDEX('G_Fall-back'!X:X,MATCH($P2379,'G_Fall-back'!$Q:$Q,0))&gt;=3,"")</f>
        <v/>
      </c>
      <c r="M2379" s="2135" t="str">
        <f>IF(U2374,INDEX('G_Fall-back'!Y:Y,MATCH($P2379,'G_Fall-back'!$Q:$Q,0))&gt;=3,"")</f>
        <v/>
      </c>
      <c r="N2379" s="2135" t="str">
        <f>IF(V2374,INDEX('G_Fall-back'!Z:Z,MATCH($P2379,'G_Fall-back'!$Q:$Q,0))&gt;=3,"")</f>
        <v/>
      </c>
      <c r="O2379" s="485"/>
      <c r="P2379" s="1158" t="str">
        <f>EUconst_CNTR_HALinitial&amp;I2368</f>
        <v>HALini_Fuel benchmark sub-installation, non-CL</v>
      </c>
      <c r="Q2379" s="1137"/>
      <c r="R2379" s="1137"/>
      <c r="S2379" s="1137"/>
      <c r="T2379" s="1137"/>
      <c r="U2379" s="1137"/>
      <c r="V2379" s="1137"/>
    </row>
    <row r="2380" spans="1:22" s="562" customFormat="1" ht="12.75" customHeight="1">
      <c r="A2380" s="817"/>
      <c r="B2380" s="485"/>
      <c r="C2380" s="559"/>
      <c r="D2380" s="706"/>
      <c r="E2380" s="714" t="s">
        <v>1784</v>
      </c>
      <c r="F2380" s="715"/>
      <c r="G2380" s="715"/>
      <c r="H2380" s="716" t="s">
        <v>1021</v>
      </c>
      <c r="I2380" s="715"/>
      <c r="J2380" s="2136" t="str">
        <f>IF(R2374,IF($K2371="",2050,YEAR($K2371))&lt;&gt;(J2378-1),"")</f>
        <v/>
      </c>
      <c r="K2380" s="2134" t="str">
        <f>IF(S2374,IF($K2371="",2050,YEAR($K2371))&lt;&gt;(K2378-1),"")</f>
        <v/>
      </c>
      <c r="L2380" s="2135" t="str">
        <f>IF(T2374,IF($K2371="",2050,YEAR($K2371))&lt;&gt;(L2378-1),"")</f>
        <v/>
      </c>
      <c r="M2380" s="2135" t="str">
        <f>IF(U2374,IF($K2371="",2050,YEAR($K2371))&lt;&gt;(M2378-1),"")</f>
        <v/>
      </c>
      <c r="N2380" s="2135" t="str">
        <f>IF(V2374,IF($K2371="",2050,YEAR($K2371))&lt;&gt;(N2378-1),"")</f>
        <v/>
      </c>
      <c r="O2380" s="485"/>
      <c r="P2380" s="1137"/>
      <c r="Q2380" s="1137"/>
      <c r="R2380" s="1137"/>
      <c r="S2380" s="1137"/>
      <c r="T2380" s="1137"/>
      <c r="U2380" s="1137"/>
      <c r="V2380" s="1137"/>
    </row>
    <row r="2381" spans="1:22" s="562" customFormat="1" ht="5.0999999999999996" customHeight="1">
      <c r="A2381" s="817"/>
      <c r="B2381" s="485"/>
      <c r="C2381" s="559"/>
      <c r="D2381" s="706"/>
      <c r="E2381" s="559"/>
      <c r="F2381" s="559"/>
      <c r="G2381" s="559"/>
      <c r="H2381" s="559"/>
      <c r="I2381" s="559"/>
      <c r="J2381" s="559"/>
      <c r="K2381" s="2130"/>
      <c r="L2381" s="2131"/>
      <c r="M2381" s="2131"/>
      <c r="N2381" s="2131"/>
      <c r="O2381" s="485"/>
      <c r="P2381" s="1137"/>
      <c r="Q2381" s="1137"/>
      <c r="R2381" s="1137"/>
      <c r="S2381" s="1137"/>
      <c r="T2381" s="1137"/>
      <c r="U2381" s="1137"/>
      <c r="V2381" s="1137"/>
    </row>
    <row r="2382" spans="1:22" s="562" customFormat="1" ht="12.75" customHeight="1">
      <c r="A2382" s="817"/>
      <c r="B2382" s="485"/>
      <c r="C2382" s="559"/>
      <c r="D2382" s="706"/>
      <c r="E2382" s="496" t="s">
        <v>1762</v>
      </c>
      <c r="F2382" s="485"/>
      <c r="G2382" s="485"/>
      <c r="H2382" s="663" t="str">
        <f>EUconst_Unit</f>
        <v>Unit</v>
      </c>
      <c r="I2382" s="708"/>
      <c r="J2382" s="2125">
        <f>J$2737</f>
        <v>2026</v>
      </c>
      <c r="K2382" s="1489">
        <f>K$2737</f>
        <v>2027</v>
      </c>
      <c r="L2382" s="1490">
        <f>L$2737</f>
        <v>2028</v>
      </c>
      <c r="M2382" s="1490">
        <f>M$2737</f>
        <v>2029</v>
      </c>
      <c r="N2382" s="1490">
        <f>N$2737</f>
        <v>2030</v>
      </c>
      <c r="O2382" s="485"/>
      <c r="P2382" s="1137"/>
      <c r="Q2382" s="1137"/>
      <c r="R2382" s="1137"/>
      <c r="S2382" s="1137"/>
      <c r="T2382" s="1137"/>
      <c r="U2382" s="1137"/>
      <c r="V2382" s="1137"/>
    </row>
    <row r="2383" spans="1:22" s="562" customFormat="1" ht="12.75" hidden="1" customHeight="1">
      <c r="A2383" s="817" t="s">
        <v>2289</v>
      </c>
      <c r="B2383" s="485"/>
      <c r="C2383" s="559"/>
      <c r="D2383" s="706"/>
      <c r="E2383" s="698" t="s">
        <v>1714</v>
      </c>
      <c r="F2383" s="698"/>
      <c r="G2383" s="698"/>
      <c r="H2383" s="639" t="str">
        <f>F2374</f>
        <v>TJ</v>
      </c>
      <c r="I2383" s="698"/>
      <c r="J2383" s="2180" t="str">
        <f>I2405</f>
        <v/>
      </c>
      <c r="K2383" s="2177" t="str">
        <f>J2405</f>
        <v/>
      </c>
      <c r="L2383" s="2178" t="str">
        <f>K2405</f>
        <v/>
      </c>
      <c r="M2383" s="2178" t="str">
        <f>L2405</f>
        <v/>
      </c>
      <c r="N2383" s="2178" t="str">
        <f>M2405</f>
        <v/>
      </c>
      <c r="O2383" s="485"/>
      <c r="P2383" s="1137"/>
      <c r="Q2383" s="1137"/>
      <c r="R2383" s="1137"/>
      <c r="S2383" s="1137"/>
      <c r="T2383" s="1137"/>
      <c r="U2383" s="1137"/>
      <c r="V2383" s="1137"/>
    </row>
    <row r="2384" spans="1:22" s="562" customFormat="1" ht="12.75" customHeight="1">
      <c r="A2384" s="817"/>
      <c r="B2384" s="485"/>
      <c r="C2384" s="559"/>
      <c r="D2384" s="706"/>
      <c r="E2384" s="698" t="s">
        <v>1671</v>
      </c>
      <c r="F2384" s="698"/>
      <c r="G2384" s="698"/>
      <c r="H2384" s="730" t="str">
        <f>EUconst_EUA</f>
        <v>UKA</v>
      </c>
      <c r="I2384" s="731"/>
      <c r="J2384" s="2129" t="str">
        <f>IF($M2368&lt;&gt;EUconst_Relevant,"",MAX(0,ROUND((SUM($M2371)*SUM(J2383))*IF($H2371=TRUE,1,J$2517),0)))</f>
        <v/>
      </c>
      <c r="K2384" s="2072" t="str">
        <f>IF($M2368&lt;&gt;EUconst_Relevant,"",MAX(0,ROUND((SUM($M2371)*SUM(K2383))*IF($H2371=TRUE,1,K$2517),0)))</f>
        <v/>
      </c>
      <c r="L2384" s="2073" t="str">
        <f>IF($M2368&lt;&gt;EUconst_Relevant,"",MAX(0,ROUND((SUM($M2371)*SUM(L2383))*IF($H2371=TRUE,1,L$2517),0)))</f>
        <v/>
      </c>
      <c r="M2384" s="2073" t="str">
        <f>IF($M2368&lt;&gt;EUconst_Relevant,"",MAX(0,ROUND((SUM($M2371)*SUM(M2383))*IF($H2371=TRUE,1,M$2517),0)))</f>
        <v/>
      </c>
      <c r="N2384" s="2073" t="str">
        <f>IF($M2368&lt;&gt;EUconst_Relevant,"",MAX(0,ROUND((SUM($M2371)*SUM(N2383))*IF($H2371=TRUE,1,N$2517),0)))</f>
        <v/>
      </c>
      <c r="O2384" s="485"/>
      <c r="P2384" s="1137"/>
      <c r="Q2384" s="1137"/>
      <c r="R2384" s="1137"/>
      <c r="S2384" s="1137"/>
      <c r="T2384" s="1137"/>
      <c r="U2384" s="1137"/>
      <c r="V2384" s="1137"/>
    </row>
    <row r="2385" spans="1:22" s="562" customFormat="1" ht="5.0999999999999996" customHeight="1">
      <c r="A2385" s="817"/>
      <c r="B2385" s="485"/>
      <c r="C2385" s="559"/>
      <c r="D2385" s="706"/>
      <c r="E2385" s="559"/>
      <c r="F2385" s="559"/>
      <c r="G2385" s="559"/>
      <c r="H2385" s="559"/>
      <c r="I2385" s="559"/>
      <c r="J2385" s="559"/>
      <c r="K2385" s="2130"/>
      <c r="L2385" s="2131"/>
      <c r="M2385" s="2131"/>
      <c r="N2385" s="2131"/>
      <c r="O2385" s="485"/>
      <c r="P2385" s="1137"/>
      <c r="Q2385" s="1137"/>
      <c r="R2385" s="1137"/>
      <c r="S2385" s="1137"/>
      <c r="T2385" s="1137"/>
      <c r="U2385" s="1137"/>
      <c r="V2385" s="1137"/>
    </row>
    <row r="2386" spans="1:22" s="562" customFormat="1" ht="12.75" customHeight="1">
      <c r="A2386" s="817"/>
      <c r="B2386" s="485"/>
      <c r="C2386" s="559"/>
      <c r="D2386" s="706"/>
      <c r="E2386" s="707" t="s">
        <v>1752</v>
      </c>
      <c r="F2386" s="637"/>
      <c r="G2386" s="637"/>
      <c r="H2386" s="663" t="str">
        <f>EUconst_Unit</f>
        <v>Unit</v>
      </c>
      <c r="I2386" s="708"/>
      <c r="J2386" s="2132">
        <f>J$2737</f>
        <v>2026</v>
      </c>
      <c r="K2386" s="1489">
        <f>K$2737</f>
        <v>2027</v>
      </c>
      <c r="L2386" s="1490">
        <f>L$2737</f>
        <v>2028</v>
      </c>
      <c r="M2386" s="1490">
        <f>M$2737</f>
        <v>2029</v>
      </c>
      <c r="N2386" s="1490">
        <f>N$2737</f>
        <v>2030</v>
      </c>
      <c r="O2386" s="485"/>
      <c r="P2386" s="1137"/>
      <c r="Q2386" s="1137"/>
      <c r="R2386" s="1137"/>
      <c r="S2386" s="1137"/>
      <c r="T2386" s="1137"/>
      <c r="U2386" s="1137"/>
      <c r="V2386" s="1137"/>
    </row>
    <row r="2387" spans="1:22" s="562" customFormat="1" ht="12.75" customHeight="1">
      <c r="A2387" s="817"/>
      <c r="B2387" s="485"/>
      <c r="C2387" s="559"/>
      <c r="D2387" s="706"/>
      <c r="E2387" s="720" t="s">
        <v>1691</v>
      </c>
      <c r="F2387" s="720"/>
      <c r="G2387" s="720"/>
      <c r="H2387" s="732" t="str">
        <f>H2383</f>
        <v>TJ</v>
      </c>
      <c r="I2387" s="733"/>
      <c r="J2387" s="2181" t="str">
        <f>INDEX('G_Fall-back'!J:J,MATCH($P2387,'G_Fall-back'!$Q:$Q,0))</f>
        <v/>
      </c>
      <c r="K2387" s="2177" t="str">
        <f>INDEX('G_Fall-back'!K:K,MATCH($P2387,'G_Fall-back'!$Q:$Q,0))</f>
        <v/>
      </c>
      <c r="L2387" s="2178" t="str">
        <f>INDEX('G_Fall-back'!L:L,MATCH($P2387,'G_Fall-back'!$Q:$Q,0))</f>
        <v/>
      </c>
      <c r="M2387" s="2178" t="str">
        <f>INDEX('G_Fall-back'!M:M,MATCH($P2387,'G_Fall-back'!$Q:$Q,0))</f>
        <v/>
      </c>
      <c r="N2387" s="2178" t="str">
        <f>INDEX('G_Fall-back'!N:N,MATCH($P2387,'G_Fall-back'!$Q:$Q,0))</f>
        <v/>
      </c>
      <c r="O2387" s="485"/>
      <c r="P2387" s="1158" t="str">
        <f>EUconst_CNTR_HALinitial&amp;I2368</f>
        <v>HALini_Fuel benchmark sub-installation, non-CL</v>
      </c>
      <c r="Q2387" s="1137"/>
      <c r="R2387" s="1137"/>
      <c r="S2387" s="1137"/>
      <c r="T2387" s="1137"/>
      <c r="U2387" s="1137"/>
      <c r="V2387" s="1137"/>
    </row>
    <row r="2388" spans="1:22" s="562" customFormat="1" ht="12.75" customHeight="1">
      <c r="A2388" s="817"/>
      <c r="B2388" s="485"/>
      <c r="C2388" s="559"/>
      <c r="D2388" s="706"/>
      <c r="E2388" s="723" t="s">
        <v>1648</v>
      </c>
      <c r="F2388" s="723"/>
      <c r="G2388" s="723"/>
      <c r="H2388" s="734" t="s">
        <v>1021</v>
      </c>
      <c r="I2388" s="735"/>
      <c r="J2388" s="23" t="str">
        <f>INDEX('G_Fall-back'!J:J,MATCH($P2388,'G_Fall-back'!$Q:$Q,0))</f>
        <v/>
      </c>
      <c r="K2388" s="46" t="str">
        <f>INDEX('G_Fall-back'!K:K,MATCH($P2388,'G_Fall-back'!$Q:$Q,0))</f>
        <v/>
      </c>
      <c r="L2388" s="27" t="str">
        <f>INDEX('G_Fall-back'!L:L,MATCH($P2388,'G_Fall-back'!$Q:$Q,0))</f>
        <v/>
      </c>
      <c r="M2388" s="27" t="str">
        <f>INDEX('G_Fall-back'!M:M,MATCH($P2388,'G_Fall-back'!$Q:$Q,0))</f>
        <v/>
      </c>
      <c r="N2388" s="27" t="str">
        <f>INDEX('G_Fall-back'!N:N,MATCH($P2388,'G_Fall-back'!$Q:$Q,0))</f>
        <v/>
      </c>
      <c r="O2388" s="485"/>
      <c r="P2388" s="1158" t="str">
        <f>EUconst_CNTR_RelThreshold &amp; I2368</f>
        <v>RelThresh_Fuel benchmark sub-installation, non-CL</v>
      </c>
      <c r="Q2388" s="1137"/>
      <c r="R2388" s="1137"/>
      <c r="S2388" s="1137"/>
      <c r="T2388" s="1137"/>
      <c r="U2388" s="1137"/>
      <c r="V2388" s="1137"/>
    </row>
    <row r="2389" spans="1:22" s="562" customFormat="1" ht="12.75" customHeight="1">
      <c r="A2389" s="817"/>
      <c r="B2389" s="485"/>
      <c r="C2389" s="559"/>
      <c r="D2389" s="706"/>
      <c r="E2389" s="736" t="s">
        <v>1785</v>
      </c>
      <c r="F2389" s="736"/>
      <c r="G2389" s="736"/>
      <c r="H2389" s="737" t="s">
        <v>1021</v>
      </c>
      <c r="I2389" s="738"/>
      <c r="J2389" s="2145" t="str">
        <f>INDEX('G_Fall-back'!V:V,MATCH($P2389,'G_Fall-back'!$Q:$Q,0)+1)</f>
        <v/>
      </c>
      <c r="K2389" s="2134" t="str">
        <f>INDEX('G_Fall-back'!W:W,MATCH($P2389,'G_Fall-back'!$Q:$Q,0)+1)</f>
        <v/>
      </c>
      <c r="L2389" s="2135" t="str">
        <f>INDEX('G_Fall-back'!X:X,MATCH($P2389,'G_Fall-back'!$Q:$Q,0)+1)</f>
        <v/>
      </c>
      <c r="M2389" s="2135" t="str">
        <f>INDEX('G_Fall-back'!Y:Y,MATCH($P2389,'G_Fall-back'!$Q:$Q,0)+1)</f>
        <v/>
      </c>
      <c r="N2389" s="2135" t="str">
        <f>INDEX('G_Fall-back'!Z:Z,MATCH($P2389,'G_Fall-back'!$Q:$Q,0)+1)</f>
        <v/>
      </c>
      <c r="O2389" s="485"/>
      <c r="P2389" s="1158" t="str">
        <f>P2388</f>
        <v>RelThresh_Fuel benchmark sub-installation, non-CL</v>
      </c>
      <c r="Q2389" s="1137"/>
      <c r="R2389" s="1137"/>
      <c r="S2389" s="1137"/>
      <c r="T2389" s="1137"/>
      <c r="U2389" s="1137"/>
      <c r="V2389" s="1137"/>
    </row>
    <row r="2390" spans="1:22" s="562" customFormat="1" ht="12.75" customHeight="1">
      <c r="A2390" s="817"/>
      <c r="B2390" s="485"/>
      <c r="C2390" s="559"/>
      <c r="D2390" s="706"/>
      <c r="E2390" s="727" t="s">
        <v>1689</v>
      </c>
      <c r="F2390" s="727"/>
      <c r="G2390" s="727"/>
      <c r="H2390" s="739" t="str">
        <f>F2374</f>
        <v>TJ</v>
      </c>
      <c r="I2390" s="727"/>
      <c r="J2390" s="2182" t="str">
        <f>INDEX('G_Fall-back'!J:J,MATCH($P2390,'G_Fall-back'!$Q:$Q,0))</f>
        <v/>
      </c>
      <c r="K2390" s="2177" t="str">
        <f>INDEX('G_Fall-back'!K:K,MATCH($P2390,'G_Fall-back'!$Q:$Q,0))</f>
        <v/>
      </c>
      <c r="L2390" s="2178" t="str">
        <f>INDEX('G_Fall-back'!L:L,MATCH($P2390,'G_Fall-back'!$Q:$Q,0))</f>
        <v/>
      </c>
      <c r="M2390" s="2178" t="str">
        <f>INDEX('G_Fall-back'!M:M,MATCH($P2390,'G_Fall-back'!$Q:$Q,0))</f>
        <v/>
      </c>
      <c r="N2390" s="2178" t="str">
        <f>INDEX('G_Fall-back'!N:N,MATCH($P2390,'G_Fall-back'!$Q:$Q,0))</f>
        <v/>
      </c>
      <c r="O2390" s="485"/>
      <c r="P2390" s="1158" t="str">
        <f>EUconst_CNTR_HALprelim&amp;I2368</f>
        <v>HALprelim_Fuel benchmark sub-installation, non-CL</v>
      </c>
      <c r="Q2390" s="1137"/>
      <c r="R2390" s="1137"/>
      <c r="S2390" s="1137"/>
      <c r="T2390" s="1137"/>
      <c r="U2390" s="1137"/>
      <c r="V2390" s="1137"/>
    </row>
    <row r="2391" spans="1:22" s="562" customFormat="1" ht="12.75" customHeight="1">
      <c r="A2391" s="817"/>
      <c r="B2391" s="485"/>
      <c r="C2391" s="559"/>
      <c r="D2391" s="706"/>
      <c r="E2391" s="698" t="s">
        <v>1671</v>
      </c>
      <c r="F2391" s="698"/>
      <c r="G2391" s="698"/>
      <c r="H2391" s="730" t="str">
        <f>EUconst_EUA</f>
        <v>UKA</v>
      </c>
      <c r="I2391" s="731"/>
      <c r="J2391" s="2129" t="str">
        <f>IF($M2368&lt;&gt;EUconst_Relevant,"",MAX(0,ROUND((SUM($M2371)*SUM(J2390))*IF($H2371=TRUE,1,J$2517),0)))</f>
        <v/>
      </c>
      <c r="K2391" s="2072" t="str">
        <f>IF($M2368&lt;&gt;EUconst_Relevant,"",MAX(0,ROUND((SUM($M2371)*SUM(K2390))*IF($H2371=TRUE,1,K$2517),0)))</f>
        <v/>
      </c>
      <c r="L2391" s="2073" t="str">
        <f>IF($M2368&lt;&gt;EUconst_Relevant,"",MAX(0,ROUND((SUM($M2371)*SUM(L2390))*IF($H2371=TRUE,1,L$2517),0)))</f>
        <v/>
      </c>
      <c r="M2391" s="2073" t="str">
        <f>IF($M2368&lt;&gt;EUconst_Relevant,"",MAX(0,ROUND((SUM($M2371)*SUM(M2390))*IF($H2371=TRUE,1,M$2517),0)))</f>
        <v/>
      </c>
      <c r="N2391" s="2073" t="str">
        <f>IF($M2368&lt;&gt;EUconst_Relevant,"",MAX(0,ROUND((SUM($M2371)*SUM(N2390))*IF($H2371=TRUE,1,N$2517),0)))</f>
        <v/>
      </c>
      <c r="O2391" s="485"/>
      <c r="P2391" s="1137"/>
      <c r="Q2391" s="1137"/>
      <c r="R2391" s="1137"/>
      <c r="S2391" s="1137"/>
      <c r="T2391" s="1137"/>
      <c r="U2391" s="1137"/>
      <c r="V2391" s="1137"/>
    </row>
    <row r="2392" spans="1:22" s="562" customFormat="1" ht="12.75" customHeight="1">
      <c r="A2392" s="817"/>
      <c r="B2392" s="485"/>
      <c r="C2392" s="559"/>
      <c r="D2392" s="706"/>
      <c r="E2392" s="698" t="s">
        <v>1670</v>
      </c>
      <c r="F2392" s="698"/>
      <c r="G2392" s="698"/>
      <c r="H2392" s="730" t="str">
        <f>EUconst_EUA</f>
        <v>UKA</v>
      </c>
      <c r="I2392" s="731"/>
      <c r="J2392" s="2129" t="str">
        <f>IF($M2368&lt;&gt;EUconst_Relevant,"",ABS(SUM(J2391)-SUM(J2384)))</f>
        <v/>
      </c>
      <c r="K2392" s="2072" t="str">
        <f>IF($M2368&lt;&gt;EUconst_Relevant,"",ABS(SUM(K2391)-SUM(K2384)))</f>
        <v/>
      </c>
      <c r="L2392" s="2073" t="str">
        <f>IF($M2368&lt;&gt;EUconst_Relevant,"",ABS(SUM(L2391)-SUM(L2384)))</f>
        <v/>
      </c>
      <c r="M2392" s="2073" t="str">
        <f>IF($M2368&lt;&gt;EUconst_Relevant,"",ABS(SUM(M2391)-SUM(M2384)))</f>
        <v/>
      </c>
      <c r="N2392" s="2073" t="str">
        <f>IF($M2368&lt;&gt;EUconst_Relevant,"",ABS(SUM(N2391)-SUM(N2384)))</f>
        <v/>
      </c>
      <c r="O2392" s="485"/>
      <c r="P2392" s="1137"/>
      <c r="Q2392" s="1137"/>
      <c r="R2392" s="1137"/>
      <c r="S2392" s="1137"/>
      <c r="T2392" s="1137"/>
      <c r="U2392" s="1137"/>
      <c r="V2392" s="1137"/>
    </row>
    <row r="2393" spans="1:22" s="562" customFormat="1" ht="12.75" customHeight="1">
      <c r="A2393" s="817"/>
      <c r="B2393" s="485"/>
      <c r="C2393" s="559"/>
      <c r="D2393" s="706"/>
      <c r="E2393" s="740" t="s">
        <v>2136</v>
      </c>
      <c r="F2393" s="740"/>
      <c r="G2393" s="740"/>
      <c r="H2393" s="741" t="s">
        <v>1021</v>
      </c>
      <c r="I2393" s="742"/>
      <c r="J2393" s="2147" t="str">
        <f>IF($M2368&lt;&gt;EUconst_Relevant,"",J2392&gt;=100)</f>
        <v/>
      </c>
      <c r="K2393" s="2134" t="str">
        <f>IF($M2368&lt;&gt;EUconst_Relevant,"",K2392&gt;=100)</f>
        <v/>
      </c>
      <c r="L2393" s="2135" t="str">
        <f>IF($M2368&lt;&gt;EUconst_Relevant,"",L2392&gt;=100)</f>
        <v/>
      </c>
      <c r="M2393" s="2135" t="str">
        <f>IF($M2368&lt;&gt;EUconst_Relevant,"",M2392&gt;=100)</f>
        <v/>
      </c>
      <c r="N2393" s="2135" t="str">
        <f>IF($M2368&lt;&gt;EUconst_Relevant,"",N2392&gt;=100)</f>
        <v/>
      </c>
      <c r="O2393" s="485"/>
      <c r="P2393" s="1158" t="str">
        <f>EUconst_CNTR_100EUA_ActivityLevel&amp;I2368</f>
        <v>EUA100AL_Fuel benchmark sub-installation, non-CL</v>
      </c>
      <c r="Q2393" s="1137"/>
      <c r="R2393" s="1137"/>
      <c r="S2393" s="1137"/>
      <c r="T2393" s="1137"/>
      <c r="U2393" s="1137"/>
      <c r="V2393" s="1137"/>
    </row>
    <row r="2394" spans="1:22" s="562" customFormat="1" ht="5.0999999999999996" customHeight="1">
      <c r="A2394" s="817"/>
      <c r="B2394" s="485"/>
      <c r="C2394" s="559"/>
      <c r="D2394" s="706"/>
      <c r="E2394" s="485"/>
      <c r="F2394" s="485"/>
      <c r="G2394" s="485"/>
      <c r="H2394" s="485"/>
      <c r="I2394" s="743"/>
      <c r="J2394" s="485"/>
      <c r="K2394" s="1790"/>
      <c r="L2394" s="1791"/>
      <c r="M2394" s="1791"/>
      <c r="N2394" s="1791"/>
      <c r="O2394" s="485"/>
      <c r="P2394" s="1137"/>
      <c r="Q2394" s="1137"/>
      <c r="R2394" s="1137"/>
      <c r="S2394" s="1137"/>
      <c r="T2394" s="1137"/>
      <c r="U2394" s="1137"/>
      <c r="V2394" s="1137"/>
    </row>
    <row r="2395" spans="1:22" s="562" customFormat="1">
      <c r="A2395" s="817"/>
      <c r="B2395" s="485"/>
      <c r="C2395" s="485"/>
      <c r="D2395" s="539"/>
      <c r="E2395" s="707" t="s">
        <v>1791</v>
      </c>
      <c r="F2395" s="637"/>
      <c r="G2395" s="637"/>
      <c r="H2395" s="663"/>
      <c r="I2395" s="708"/>
      <c r="J2395" s="2125">
        <f>J$2737</f>
        <v>2026</v>
      </c>
      <c r="K2395" s="1489">
        <f>K$2737</f>
        <v>2027</v>
      </c>
      <c r="L2395" s="1490">
        <f>L$2737</f>
        <v>2028</v>
      </c>
      <c r="M2395" s="1490">
        <f>M$2737</f>
        <v>2029</v>
      </c>
      <c r="N2395" s="1490">
        <f>N$2737</f>
        <v>2030</v>
      </c>
      <c r="O2395" s="485"/>
      <c r="P2395" s="1137"/>
      <c r="Q2395" s="1137"/>
      <c r="R2395" s="1137"/>
      <c r="S2395" s="1137"/>
      <c r="T2395" s="1117"/>
      <c r="U2395" s="1137"/>
      <c r="V2395" s="1137"/>
    </row>
    <row r="2396" spans="1:22" s="562" customFormat="1">
      <c r="A2396" s="817"/>
      <c r="B2396" s="485"/>
      <c r="C2396" s="485"/>
      <c r="D2396" s="539"/>
      <c r="E2396" s="720" t="s">
        <v>1691</v>
      </c>
      <c r="F2396" s="720"/>
      <c r="G2396" s="720"/>
      <c r="H2396" s="720"/>
      <c r="I2396" s="827"/>
      <c r="J2396" s="24" t="str">
        <f>IF($M2368&lt;&gt;EUconst_Relevant,"",INDEX('G_Fall-back'!J:J,MATCH($P2396,'G_Fall-back'!$Q:$Q,0)))</f>
        <v/>
      </c>
      <c r="K2396" s="46" t="str">
        <f>IF($M2368&lt;&gt;EUconst_Relevant,"",INDEX('G_Fall-back'!K:K,MATCH($P2396,'G_Fall-back'!$Q:$Q,0)))</f>
        <v/>
      </c>
      <c r="L2396" s="27" t="str">
        <f>IF($M2368&lt;&gt;EUconst_Relevant,"",INDEX('G_Fall-back'!L:L,MATCH($P2396,'G_Fall-back'!$Q:$Q,0)))</f>
        <v/>
      </c>
      <c r="M2396" s="27" t="str">
        <f>IF($M2368&lt;&gt;EUconst_Relevant,"",INDEX('G_Fall-back'!M:M,MATCH($P2396,'G_Fall-back'!$Q:$Q,0)))</f>
        <v/>
      </c>
      <c r="N2396" s="27" t="str">
        <f>IF($M2368&lt;&gt;EUconst_Relevant,"",INDEX('G_Fall-back'!N:N,MATCH($P2396,'G_Fall-back'!$Q:$Q,0)))</f>
        <v/>
      </c>
      <c r="O2396" s="485"/>
      <c r="P2396" s="1158" t="str">
        <f>EUconst_CNTR_EnEffInitial&amp;I2368</f>
        <v>EnEffIni_Fuel benchmark sub-installation, non-CL</v>
      </c>
      <c r="Q2396" s="1137"/>
      <c r="R2396" s="1137"/>
      <c r="S2396" s="1137"/>
      <c r="T2396" s="1117"/>
      <c r="U2396" s="1137"/>
      <c r="V2396" s="1137"/>
    </row>
    <row r="2397" spans="1:22" s="562" customFormat="1" ht="13.5" thickBot="1">
      <c r="A2397" s="817"/>
      <c r="B2397" s="485"/>
      <c r="C2397" s="485"/>
      <c r="D2397" s="539"/>
      <c r="E2397" s="727" t="s">
        <v>1648</v>
      </c>
      <c r="F2397" s="727"/>
      <c r="G2397" s="727"/>
      <c r="H2397" s="727"/>
      <c r="I2397" s="828"/>
      <c r="J2397" s="25" t="str">
        <f>IF($M2368&lt;&gt;EUconst_Relevant,"",INDEX('G_Fall-back'!J:J,MATCH($P2397,'G_Fall-back'!$Q:$Q,0)))</f>
        <v/>
      </c>
      <c r="K2397" s="46" t="str">
        <f>IF($M2368&lt;&gt;EUconst_Relevant,"",INDEX('G_Fall-back'!K:K,MATCH($P2397,'G_Fall-back'!$Q:$Q,0)))</f>
        <v/>
      </c>
      <c r="L2397" s="27" t="str">
        <f>IF($M2368&lt;&gt;EUconst_Relevant,"",INDEX('G_Fall-back'!L:L,MATCH($P2397,'G_Fall-back'!$Q:$Q,0)))</f>
        <v/>
      </c>
      <c r="M2397" s="27" t="str">
        <f>IF($M2368&lt;&gt;EUconst_Relevant,"",INDEX('G_Fall-back'!M:M,MATCH($P2397,'G_Fall-back'!$Q:$Q,0)))</f>
        <v/>
      </c>
      <c r="N2397" s="27" t="str">
        <f>IF($M2368&lt;&gt;EUconst_Relevant,"",INDEX('G_Fall-back'!N:N,MATCH($P2397,'G_Fall-back'!$Q:$Q,0)))</f>
        <v/>
      </c>
      <c r="O2397" s="485"/>
      <c r="P2397" s="2183" t="str">
        <f>EUconst_CNTR_EnEffPct&amp;I2368</f>
        <v>EnEffPct_Fuel benchmark sub-installation, non-CL</v>
      </c>
      <c r="Q2397" s="1137"/>
      <c r="R2397" s="1137"/>
      <c r="S2397" s="1137"/>
      <c r="T2397" s="1117"/>
      <c r="U2397" s="1137"/>
      <c r="V2397" s="1137"/>
    </row>
    <row r="2398" spans="1:22" s="562" customFormat="1">
      <c r="A2398" s="817"/>
      <c r="B2398" s="485"/>
      <c r="C2398" s="485"/>
      <c r="D2398" s="539"/>
      <c r="E2398" s="829" t="s">
        <v>2230</v>
      </c>
      <c r="F2398" s="829"/>
      <c r="G2398" s="829"/>
      <c r="H2398" s="830" t="s">
        <v>1021</v>
      </c>
      <c r="I2398" s="831"/>
      <c r="J2398" s="2133" t="str">
        <f>IF($M2368&lt;&gt;EUconst_Relevant,"",INDEX('G_Fall-back'!J:J,MATCH($P2398,'G_Fall-back'!$Q:$Q,0)))</f>
        <v/>
      </c>
      <c r="K2398" s="2134" t="str">
        <f>IF($M2368&lt;&gt;EUconst_Relevant,"",INDEX('G_Fall-back'!K:K,MATCH($P2398,'G_Fall-back'!$Q:$Q,0)))</f>
        <v/>
      </c>
      <c r="L2398" s="2135" t="str">
        <f>IF($M2368&lt;&gt;EUconst_Relevant,"",INDEX('G_Fall-back'!L:L,MATCH($P2398,'G_Fall-back'!$Q:$Q,0)))</f>
        <v/>
      </c>
      <c r="M2398" s="2135" t="str">
        <f>IF($M2368&lt;&gt;EUconst_Relevant,"",INDEX('G_Fall-back'!M:M,MATCH($P2398,'G_Fall-back'!$Q:$Q,0)))</f>
        <v/>
      </c>
      <c r="N2398" s="2135" t="str">
        <f>IF($M2368&lt;&gt;EUconst_Relevant,"",INDEX('G_Fall-back'!N:N,MATCH($P2398,'G_Fall-back'!$Q:$Q,0)))</f>
        <v/>
      </c>
      <c r="O2398" s="485"/>
      <c r="P2398" s="1158" t="str">
        <f>EUconst_CNTR_CARejectionRelevant&amp;I2368</f>
        <v>CARejectRel_Fuel benchmark sub-installation, non-CL</v>
      </c>
      <c r="Q2398" s="1137"/>
      <c r="R2398" s="2126">
        <f>J$2737</f>
        <v>2026</v>
      </c>
      <c r="S2398" s="2127">
        <f>K$2737</f>
        <v>2027</v>
      </c>
      <c r="T2398" s="2127">
        <f>L$2737</f>
        <v>2028</v>
      </c>
      <c r="U2398" s="2127">
        <f>M$2737</f>
        <v>2029</v>
      </c>
      <c r="V2398" s="2128">
        <f>N$2737</f>
        <v>2030</v>
      </c>
    </row>
    <row r="2399" spans="1:22" s="562" customFormat="1" ht="13.5" thickBot="1">
      <c r="A2399" s="817"/>
      <c r="B2399" s="485"/>
      <c r="C2399" s="485"/>
      <c r="D2399" s="539"/>
      <c r="E2399" s="714" t="s">
        <v>2231</v>
      </c>
      <c r="F2399" s="714"/>
      <c r="G2399" s="714"/>
      <c r="H2399" s="832" t="s">
        <v>1021</v>
      </c>
      <c r="I2399" s="716"/>
      <c r="J2399" s="2136" t="str">
        <f>IF($M2368&lt;&gt;EUconst_Relevant,"",IF(R2399=0,EUconst_ERR_CADecision,R2399))</f>
        <v/>
      </c>
      <c r="K2399" s="2134" t="str">
        <f>IF($M2368&lt;&gt;EUconst_Relevant,"",IF(S2399=0,EUconst_ERR_CADecision,S2399))</f>
        <v/>
      </c>
      <c r="L2399" s="2135" t="str">
        <f>IF($M2368&lt;&gt;EUconst_Relevant,"",IF(T2399=0,EUconst_ERR_CADecision,T2399))</f>
        <v/>
      </c>
      <c r="M2399" s="2135" t="str">
        <f>IF($M2368&lt;&gt;EUconst_Relevant,"",IF(U2399=0,EUconst_ERR_CADecision,U2399))</f>
        <v/>
      </c>
      <c r="N2399" s="2135" t="str">
        <f>IF($M2368&lt;&gt;EUconst_Relevant,"",IF(V2399=0,EUconst_ERR_CADecision,V2399))</f>
        <v/>
      </c>
      <c r="O2399" s="485"/>
      <c r="P2399" s="1158" t="str">
        <f>EUconst_CNTR_CARejection &amp; I2368</f>
        <v>CAReject_Fuel benchmark sub-installation, non-CL</v>
      </c>
      <c r="Q2399" s="1137"/>
      <c r="R2399" s="1961" t="str">
        <f>IF(J2398=TRUE,INDEX('G_Fall-back'!J:J,MATCH($P2399,'G_Fall-back'!$Q:$Q,0)),EUconst_NA)</f>
        <v>N.A.</v>
      </c>
      <c r="S2399" s="1675" t="str">
        <f>IF(K2398=TRUE,INDEX('G_Fall-back'!K:K,MATCH($P2399,'G_Fall-back'!$Q:$Q,0)),EUconst_NA)</f>
        <v>N.A.</v>
      </c>
      <c r="T2399" s="1675" t="str">
        <f>IF(L2398=TRUE,INDEX('G_Fall-back'!L:L,MATCH($P2399,'G_Fall-back'!$Q:$Q,0)),EUconst_NA)</f>
        <v>N.A.</v>
      </c>
      <c r="U2399" s="1675" t="str">
        <f>IF(M2398=TRUE,INDEX('G_Fall-back'!M:M,MATCH($P2399,'G_Fall-back'!$Q:$Q,0)),EUconst_NA)</f>
        <v>N.A.</v>
      </c>
      <c r="V2399" s="1676" t="str">
        <f>IF(N2398=TRUE,INDEX('G_Fall-back'!N:N,MATCH($P2399,'G_Fall-back'!$Q:$Q,0)),EUconst_NA)</f>
        <v>N.A.</v>
      </c>
    </row>
    <row r="2400" spans="1:22" s="562" customFormat="1">
      <c r="A2400" s="817"/>
      <c r="B2400" s="485"/>
      <c r="C2400" s="485"/>
      <c r="D2400" s="539"/>
      <c r="E2400" s="698" t="s">
        <v>1794</v>
      </c>
      <c r="F2400" s="698"/>
      <c r="G2400" s="698"/>
      <c r="H2400" s="833" t="s">
        <v>1021</v>
      </c>
      <c r="I2400" s="2184"/>
      <c r="J2400" s="26" t="str">
        <f>INDEX('G_Fall-back'!J:J,MATCH($P2400,'G_Fall-back'!$Q:$Q,0))</f>
        <v/>
      </c>
      <c r="K2400" s="52" t="str">
        <f>INDEX('G_Fall-back'!K:K,MATCH($P2400,'G_Fall-back'!$Q:$Q,0))</f>
        <v/>
      </c>
      <c r="L2400" s="28" t="str">
        <f>INDEX('G_Fall-back'!L:L,MATCH($P2400,'G_Fall-back'!$Q:$Q,0))</f>
        <v/>
      </c>
      <c r="M2400" s="28" t="str">
        <f>INDEX('G_Fall-back'!M:M,MATCH($P2400,'G_Fall-back'!$Q:$Q,0))</f>
        <v/>
      </c>
      <c r="N2400" s="28" t="str">
        <f>INDEX('G_Fall-back'!N:N,MATCH($P2400,'G_Fall-back'!$Q:$Q,0))</f>
        <v/>
      </c>
      <c r="O2400" s="485"/>
      <c r="P2400" s="1158" t="str">
        <f>EUconst_CNTR_HALAdjPct&amp;I2368</f>
        <v>HALAdjPct_Fuel benchmark sub-installation, non-CL</v>
      </c>
      <c r="Q2400" s="1137"/>
      <c r="R2400" s="1137"/>
      <c r="S2400" s="1137"/>
      <c r="T2400" s="1117"/>
      <c r="U2400" s="1137"/>
      <c r="V2400" s="1137"/>
    </row>
    <row r="2401" spans="1:22" s="562" customFormat="1" ht="5.0999999999999996" customHeight="1" thickBot="1">
      <c r="A2401" s="817"/>
      <c r="C2401" s="485"/>
      <c r="D2401" s="771"/>
      <c r="E2401" s="756"/>
      <c r="F2401" s="756"/>
      <c r="G2401" s="756"/>
      <c r="H2401" s="756"/>
      <c r="I2401" s="835"/>
      <c r="J2401" s="756"/>
      <c r="K2401" s="1790"/>
      <c r="L2401" s="1791"/>
      <c r="M2401" s="1791"/>
      <c r="N2401" s="1791"/>
      <c r="O2401" s="485"/>
      <c r="P2401" s="1137"/>
      <c r="Q2401" s="1137"/>
      <c r="R2401" s="1137"/>
      <c r="S2401" s="1137"/>
      <c r="T2401" s="1117"/>
      <c r="U2401" s="1137"/>
      <c r="V2401" s="1137"/>
    </row>
    <row r="2402" spans="1:22" s="562" customFormat="1" ht="5.0999999999999996" customHeight="1" thickBot="1">
      <c r="A2402" s="817"/>
      <c r="C2402" s="485"/>
      <c r="D2402" s="485"/>
      <c r="E2402" s="485"/>
      <c r="F2402" s="485"/>
      <c r="G2402" s="485"/>
      <c r="H2402" s="485"/>
      <c r="I2402" s="836"/>
      <c r="J2402" s="485"/>
      <c r="K2402" s="1790"/>
      <c r="L2402" s="1791"/>
      <c r="M2402" s="1791"/>
      <c r="N2402" s="1791"/>
      <c r="O2402" s="485"/>
      <c r="P2402" s="1137"/>
      <c r="Q2402" s="1137"/>
      <c r="R2402" s="1137"/>
      <c r="S2402" s="1137"/>
      <c r="T2402" s="1117"/>
      <c r="U2402" s="1137"/>
      <c r="V2402" s="1137"/>
    </row>
    <row r="2403" spans="1:22" s="562" customFormat="1" ht="5.0999999999999996" customHeight="1">
      <c r="A2403" s="817"/>
      <c r="C2403" s="485"/>
      <c r="D2403" s="759"/>
      <c r="E2403" s="760"/>
      <c r="F2403" s="760"/>
      <c r="G2403" s="760"/>
      <c r="H2403" s="760"/>
      <c r="I2403" s="761"/>
      <c r="J2403" s="760"/>
      <c r="K2403" s="1790"/>
      <c r="L2403" s="1791"/>
      <c r="M2403" s="1791"/>
      <c r="N2403" s="1791"/>
      <c r="O2403" s="485"/>
      <c r="P2403" s="1137"/>
      <c r="Q2403" s="1137"/>
      <c r="R2403" s="1137"/>
      <c r="S2403" s="1137"/>
      <c r="T2403" s="1117"/>
      <c r="U2403" s="1137"/>
      <c r="V2403" s="1137"/>
    </row>
    <row r="2404" spans="1:22" s="562" customFormat="1">
      <c r="A2404" s="817"/>
      <c r="C2404" s="485"/>
      <c r="D2404" s="539"/>
      <c r="E2404" s="496" t="s">
        <v>1786</v>
      </c>
      <c r="F2404" s="485"/>
      <c r="G2404" s="485"/>
      <c r="H2404" s="663" t="str">
        <f>EUconst_Unit</f>
        <v>Unit</v>
      </c>
      <c r="I2404" s="837" t="s">
        <v>1675</v>
      </c>
      <c r="J2404" s="2132">
        <f>J$2737</f>
        <v>2026</v>
      </c>
      <c r="K2404" s="1489">
        <f>K$2737</f>
        <v>2027</v>
      </c>
      <c r="L2404" s="1490">
        <f>L$2737</f>
        <v>2028</v>
      </c>
      <c r="M2404" s="1490">
        <f>M$2737</f>
        <v>2029</v>
      </c>
      <c r="N2404" s="1490">
        <f>N$2737</f>
        <v>2030</v>
      </c>
      <c r="O2404" s="485"/>
      <c r="P2404" s="1137"/>
      <c r="Q2404" s="1137"/>
      <c r="R2404" s="1137"/>
      <c r="S2404" s="2155" t="s">
        <v>1646</v>
      </c>
      <c r="T2404" s="1117"/>
      <c r="U2404" s="1137"/>
      <c r="V2404" s="1137"/>
    </row>
    <row r="2405" spans="1:22" s="562" customFormat="1">
      <c r="A2405" s="817"/>
      <c r="C2405" s="485"/>
      <c r="D2405" s="539"/>
      <c r="E2405" s="698" t="s">
        <v>1692</v>
      </c>
      <c r="F2405" s="698"/>
      <c r="G2405" s="698"/>
      <c r="H2405" s="639" t="str">
        <f>F2374</f>
        <v>TJ</v>
      </c>
      <c r="I2405" s="826" t="str">
        <f>IF($M2368&lt;&gt;EUconst_Relevant,"",IF(T2406&gt;=$H$2736,0,S2405))</f>
        <v/>
      </c>
      <c r="J2405" s="2176" t="str">
        <f>INDEX('G_Fall-back'!J:J,MATCH($P2405,'G_Fall-back'!$Q:$Q,0))</f>
        <v/>
      </c>
      <c r="K2405" s="2177" t="str">
        <f>INDEX('G_Fall-back'!K:K,MATCH($P2405,'G_Fall-back'!$Q:$Q,0))</f>
        <v/>
      </c>
      <c r="L2405" s="2178" t="str">
        <f>INDEX('G_Fall-back'!L:L,MATCH($P2405,'G_Fall-back'!$Q:$Q,0))</f>
        <v/>
      </c>
      <c r="M2405" s="2178" t="str">
        <f>INDEX('G_Fall-back'!M:M,MATCH($P2405,'G_Fall-back'!$Q:$Q,0))</f>
        <v/>
      </c>
      <c r="N2405" s="2178" t="str">
        <f>INDEX('G_Fall-back'!N:N,MATCH($P2405,'G_Fall-back'!$Q:$Q,0))</f>
        <v/>
      </c>
      <c r="O2405" s="485"/>
      <c r="P2405" s="1158" t="str">
        <f>EUconst_CNTR_HALfinal&amp;I2368</f>
        <v>HALfinal_Fuel benchmark sub-installation, non-CL</v>
      </c>
      <c r="Q2405" s="1137"/>
      <c r="R2405" s="1137"/>
      <c r="S2405" s="2165" t="str">
        <f>IF($M2368&lt;&gt;EUconst_Relevant,"",SUMIF('G_Fall-back'!$Q:$Q,$P2405,'G_Fall-back'!I:I))</f>
        <v/>
      </c>
      <c r="T2405" s="1117"/>
      <c r="U2405" s="1137"/>
      <c r="V2405" s="1137"/>
    </row>
    <row r="2406" spans="1:22" s="562" customFormat="1">
      <c r="A2406" s="817"/>
      <c r="C2406" s="485"/>
      <c r="D2406" s="539"/>
      <c r="E2406" s="698" t="s">
        <v>222</v>
      </c>
      <c r="F2406" s="698"/>
      <c r="G2406" s="698"/>
      <c r="H2406" s="730" t="str">
        <f>EUconst_EUA</f>
        <v>UKA</v>
      </c>
      <c r="I2406" s="838" t="str">
        <f>IF($M2368&lt;&gt;EUconst_Relevant,"",MAX(0,ROUND((SUM($M2371)*SUM(I2405))*IF($H2371=TRUE,1,J$2517),0)))</f>
        <v/>
      </c>
      <c r="J2406" s="2129" t="str">
        <f t="shared" ref="J2406:N2406" si="176">IF($M2368&lt;&gt;EUconst_Relevant,"",MAX(0,ROUND((SUM($M2371)*SUM(J2405))*IF($H2371=TRUE,1,J$2517),0)))</f>
        <v/>
      </c>
      <c r="K2406" s="2072" t="str">
        <f t="shared" si="176"/>
        <v/>
      </c>
      <c r="L2406" s="2073" t="str">
        <f t="shared" si="176"/>
        <v/>
      </c>
      <c r="M2406" s="2073" t="str">
        <f t="shared" si="176"/>
        <v/>
      </c>
      <c r="N2406" s="2073" t="str">
        <f t="shared" si="176"/>
        <v/>
      </c>
      <c r="O2406" s="485"/>
      <c r="P2406" s="1158" t="str">
        <f>EUconst_AllocPrelim&amp;I2368</f>
        <v>AllocPrelim_Fuel benchmark sub-installation, non-CL</v>
      </c>
      <c r="Q2406" s="1137"/>
      <c r="R2406" s="1137"/>
      <c r="S2406" s="1137"/>
      <c r="T2406" s="1117">
        <f>INDEX('G_Fall-back'!V:V,MATCH(L2371,'G_Fall-back'!C:C,0))</f>
        <v>2005</v>
      </c>
      <c r="U2406" s="1137" t="e">
        <f>INDEX(I2406:N2406,CNTR_ReportingYear-$I$2736)&lt;&gt;INDEX(I2406:N2406,CNTR_ReportingYear-$H$2736)</f>
        <v>#REF!</v>
      </c>
      <c r="V2406" s="1137"/>
    </row>
    <row r="2407" spans="1:22" s="562" customFormat="1" ht="5.0999999999999996" customHeight="1" thickBot="1">
      <c r="A2407" s="817"/>
      <c r="C2407" s="485"/>
      <c r="D2407" s="771"/>
      <c r="E2407" s="756"/>
      <c r="F2407" s="756"/>
      <c r="G2407" s="756"/>
      <c r="H2407" s="756"/>
      <c r="I2407" s="756"/>
      <c r="J2407" s="756"/>
      <c r="K2407" s="1790"/>
      <c r="L2407" s="1791"/>
      <c r="M2407" s="1791"/>
      <c r="N2407" s="1791"/>
      <c r="O2407" s="485"/>
      <c r="P2407" s="1137"/>
      <c r="Q2407" s="1137"/>
      <c r="R2407" s="1137"/>
      <c r="S2407" s="1137"/>
      <c r="T2407" s="1117"/>
      <c r="U2407" s="1137"/>
      <c r="V2407" s="1137"/>
    </row>
    <row r="2408" spans="1:22" s="562" customFormat="1" ht="5.0999999999999996" customHeight="1" thickBot="1">
      <c r="A2408" s="817"/>
      <c r="C2408" s="485"/>
      <c r="D2408" s="485"/>
      <c r="E2408" s="485"/>
      <c r="F2408" s="485"/>
      <c r="G2408" s="485"/>
      <c r="K2408" s="1790"/>
      <c r="L2408" s="1791"/>
      <c r="M2408" s="1791"/>
      <c r="N2408" s="1791"/>
      <c r="O2408" s="485"/>
      <c r="P2408" s="1137"/>
      <c r="Q2408" s="1137"/>
      <c r="R2408" s="1137"/>
      <c r="S2408" s="1137"/>
      <c r="T2408" s="1137"/>
      <c r="U2408" s="1137"/>
      <c r="V2408" s="1137"/>
    </row>
    <row r="2409" spans="1:22" s="562" customFormat="1" ht="5.0999999999999996" customHeight="1">
      <c r="A2409" s="817"/>
      <c r="C2409" s="485"/>
      <c r="D2409" s="840"/>
      <c r="E2409" s="773"/>
      <c r="F2409" s="774"/>
      <c r="G2409" s="774"/>
      <c r="H2409" s="774"/>
      <c r="I2409" s="774"/>
      <c r="J2409" s="774"/>
      <c r="K2409" s="1790"/>
      <c r="L2409" s="1791"/>
      <c r="M2409" s="1791"/>
      <c r="N2409" s="1791"/>
      <c r="O2409" s="485"/>
      <c r="P2409" s="1137"/>
      <c r="Q2409" s="1137"/>
      <c r="R2409" s="1137"/>
      <c r="S2409" s="1137"/>
      <c r="T2409" s="1137"/>
      <c r="U2409" s="1137"/>
      <c r="V2409" s="1137"/>
    </row>
    <row r="2410" spans="1:22" s="562" customFormat="1" ht="13.5" thickBot="1">
      <c r="A2410" s="817"/>
      <c r="C2410" s="485"/>
      <c r="D2410" s="841"/>
      <c r="E2410" s="777"/>
      <c r="F2410" s="842"/>
      <c r="G2410" s="778" t="str">
        <f>EUconst_Unit</f>
        <v>Unit</v>
      </c>
      <c r="H2410" s="843">
        <f t="shared" ref="H2410:N2410" si="177">H$2737</f>
        <v>2024</v>
      </c>
      <c r="I2410" s="843">
        <f t="shared" si="177"/>
        <v>2025</v>
      </c>
      <c r="J2410" s="2185">
        <f t="shared" si="177"/>
        <v>2026</v>
      </c>
      <c r="K2410" s="1489">
        <f t="shared" si="177"/>
        <v>2027</v>
      </c>
      <c r="L2410" s="1490">
        <f t="shared" si="177"/>
        <v>2028</v>
      </c>
      <c r="M2410" s="1490">
        <f t="shared" si="177"/>
        <v>2029</v>
      </c>
      <c r="N2410" s="1490">
        <f t="shared" si="177"/>
        <v>2030</v>
      </c>
      <c r="O2410" s="485"/>
      <c r="P2410" s="1137"/>
      <c r="Q2410" s="1137"/>
      <c r="R2410" s="1137"/>
      <c r="S2410" s="1137"/>
      <c r="T2410" s="1137"/>
      <c r="U2410" s="1137"/>
      <c r="V2410" s="1137"/>
    </row>
    <row r="2411" spans="1:22" s="562" customFormat="1" ht="13.5" customHeight="1" thickBot="1">
      <c r="A2411" s="817"/>
      <c r="C2411" s="485"/>
      <c r="D2411" s="841"/>
      <c r="E2411" s="845" t="s">
        <v>1504</v>
      </c>
      <c r="F2411" s="845"/>
      <c r="G2411" s="808" t="str">
        <f>EUconst_tCO2epa</f>
        <v>t CO2e/year</v>
      </c>
      <c r="H2411" s="786" t="str">
        <f t="shared" ref="H2411:N2411" si="178">INDEX(H$92:H$108,MATCH($I2368,$E$92:$E$108,0))</f>
        <v/>
      </c>
      <c r="I2411" s="789" t="str">
        <f t="shared" si="178"/>
        <v/>
      </c>
      <c r="J2411" s="2167" t="str">
        <f t="shared" si="178"/>
        <v/>
      </c>
      <c r="K2411" s="2105" t="str">
        <f t="shared" si="178"/>
        <v/>
      </c>
      <c r="L2411" s="1960" t="str">
        <f t="shared" si="178"/>
        <v/>
      </c>
      <c r="M2411" s="1960" t="str">
        <f t="shared" si="178"/>
        <v/>
      </c>
      <c r="N2411" s="1960" t="str">
        <f t="shared" si="178"/>
        <v/>
      </c>
      <c r="O2411" s="485"/>
      <c r="P2411" s="1137"/>
      <c r="Q2411" s="1137"/>
      <c r="R2411" s="1137"/>
      <c r="S2411" s="1137"/>
      <c r="T2411" s="1117"/>
      <c r="U2411" s="1137"/>
      <c r="V2411" s="1137"/>
    </row>
    <row r="2412" spans="1:22" s="562" customFormat="1" ht="5.0999999999999996" customHeight="1">
      <c r="A2412" s="817"/>
      <c r="C2412" s="485"/>
      <c r="D2412" s="841"/>
      <c r="E2412" s="777"/>
      <c r="F2412" s="777"/>
      <c r="G2412" s="777"/>
      <c r="H2412" s="2168"/>
      <c r="I2412" s="2168"/>
      <c r="J2412" s="2168"/>
      <c r="K2412" s="2169"/>
      <c r="L2412" s="2170"/>
      <c r="M2412" s="2170"/>
      <c r="N2412" s="2170"/>
      <c r="O2412" s="485"/>
      <c r="P2412" s="1137"/>
      <c r="Q2412" s="1137"/>
      <c r="R2412" s="1137"/>
      <c r="S2412" s="1137"/>
      <c r="T2412" s="1117"/>
      <c r="U2412" s="1137"/>
      <c r="V2412" s="1137"/>
    </row>
    <row r="2413" spans="1:22" s="562" customFormat="1">
      <c r="A2413" s="817"/>
      <c r="C2413" s="485"/>
      <c r="D2413" s="841"/>
      <c r="E2413" s="846" t="s">
        <v>1344</v>
      </c>
      <c r="F2413" s="846"/>
      <c r="G2413" s="811" t="str">
        <f>EUconst_TJpa</f>
        <v>TJ / year</v>
      </c>
      <c r="H2413" s="625" t="str">
        <f>IF($M2368&lt;&gt;EUconst_Relevant,"",IF(INDEX('G_Fall-back'!H:H,MATCH($P2413,'G_Fall-back'!$Q:$Q,0))="","",INDEX('G_Fall-back'!H:H,MATCH($P2413,'G_Fall-back'!$Q:$Q,0))))</f>
        <v/>
      </c>
      <c r="I2413" s="794" t="str">
        <f>IF($M2368&lt;&gt;EUconst_Relevant,"",IF(INDEX('G_Fall-back'!I:I,MATCH($P2413,'G_Fall-back'!$Q:$Q,0))="","",INDEX('G_Fall-back'!I:I,MATCH($P2413,'G_Fall-back'!$Q:$Q,0))))</f>
        <v/>
      </c>
      <c r="J2413" s="2171" t="str">
        <f>IF($M2368&lt;&gt;EUconst_Relevant,"",IF(INDEX('G_Fall-back'!J:J,MATCH($P2413,'G_Fall-back'!$Q:$Q,0))="","",INDEX('G_Fall-back'!J:J,MATCH($P2413,'G_Fall-back'!$Q:$Q,0))))</f>
        <v/>
      </c>
      <c r="K2413" s="1788" t="str">
        <f>IF($M2368&lt;&gt;EUconst_Relevant,"",IF(INDEX('G_Fall-back'!K:K,MATCH($P2413,'G_Fall-back'!$Q:$Q,0))="","",INDEX('G_Fall-back'!K:K,MATCH($P2413,'G_Fall-back'!$Q:$Q,0))))</f>
        <v/>
      </c>
      <c r="L2413" s="1789" t="str">
        <f>IF($M2368&lt;&gt;EUconst_Relevant,"",IF(INDEX('G_Fall-back'!L:L,MATCH($P2413,'G_Fall-back'!$Q:$Q,0))="","",INDEX('G_Fall-back'!L:L,MATCH($P2413,'G_Fall-back'!$Q:$Q,0))))</f>
        <v/>
      </c>
      <c r="M2413" s="1789" t="str">
        <f>IF($M2368&lt;&gt;EUconst_Relevant,"",IF(INDEX('G_Fall-back'!M:M,MATCH($P2413,'G_Fall-back'!$Q:$Q,0))="","",INDEX('G_Fall-back'!M:M,MATCH($P2413,'G_Fall-back'!$Q:$Q,0))))</f>
        <v/>
      </c>
      <c r="N2413" s="1789" t="str">
        <f>IF($M2368&lt;&gt;EUconst_Relevant,"",IF(INDEX('G_Fall-back'!N:N,MATCH($P2413,'G_Fall-back'!$Q:$Q,0))="","",INDEX('G_Fall-back'!N:N,MATCH($P2413,'G_Fall-back'!$Q:$Q,0))))</f>
        <v/>
      </c>
      <c r="O2413" s="485"/>
      <c r="P2413" s="2109" t="str">
        <f>EUconst_CNTR_FuelInput &amp; I2368</f>
        <v>FuelInput_Fuel benchmark sub-installation, non-CL</v>
      </c>
      <c r="Q2413" s="1137"/>
      <c r="R2413" s="1137"/>
      <c r="S2413" s="1137"/>
      <c r="T2413" s="1137"/>
      <c r="U2413" s="1137"/>
      <c r="V2413" s="1137"/>
    </row>
    <row r="2414" spans="1:22" s="562" customFormat="1" ht="12.75" customHeight="1">
      <c r="A2414" s="817"/>
      <c r="C2414" s="485"/>
      <c r="D2414" s="841"/>
      <c r="E2414" s="816" t="s">
        <v>1182</v>
      </c>
      <c r="F2414" s="816"/>
      <c r="G2414" s="812" t="str">
        <f>EUconst_tCO2pTJ</f>
        <v>t CO2 / TJ</v>
      </c>
      <c r="H2414" s="627" t="str">
        <f>IF($M2368&lt;&gt;EUconst_Relevant,"",IF(INDEX('G_Fall-back'!H:H,MATCH($P2414,'G_Fall-back'!$Q:$Q,0))="","",INDEX('G_Fall-back'!H:H,MATCH($P2414,'G_Fall-back'!$Q:$Q,0))))</f>
        <v/>
      </c>
      <c r="I2414" s="796" t="str">
        <f>IF($M2368&lt;&gt;EUconst_Relevant,"",IF(INDEX('G_Fall-back'!I:I,MATCH($P2414,'G_Fall-back'!$Q:$Q,0))="","",INDEX('G_Fall-back'!I:I,MATCH($P2414,'G_Fall-back'!$Q:$Q,0))))</f>
        <v/>
      </c>
      <c r="J2414" s="2172" t="str">
        <f>IF($M2368&lt;&gt;EUconst_Relevant,"",IF(INDEX('G_Fall-back'!J:J,MATCH($P2414,'G_Fall-back'!$Q:$Q,0))="","",INDEX('G_Fall-back'!J:J,MATCH($P2414,'G_Fall-back'!$Q:$Q,0))))</f>
        <v/>
      </c>
      <c r="K2414" s="1788" t="str">
        <f>IF($M2368&lt;&gt;EUconst_Relevant,"",IF(INDEX('G_Fall-back'!K:K,MATCH($P2414,'G_Fall-back'!$Q:$Q,0))="","",INDEX('G_Fall-back'!K:K,MATCH($P2414,'G_Fall-back'!$Q:$Q,0))))</f>
        <v/>
      </c>
      <c r="L2414" s="1789" t="str">
        <f>IF($M2368&lt;&gt;EUconst_Relevant,"",IF(INDEX('G_Fall-back'!L:L,MATCH($P2414,'G_Fall-back'!$Q:$Q,0))="","",INDEX('G_Fall-back'!L:L,MATCH($P2414,'G_Fall-back'!$Q:$Q,0))))</f>
        <v/>
      </c>
      <c r="M2414" s="1789" t="str">
        <f>IF($M2368&lt;&gt;EUconst_Relevant,"",IF(INDEX('G_Fall-back'!M:M,MATCH($P2414,'G_Fall-back'!$Q:$Q,0))="","",INDEX('G_Fall-back'!M:M,MATCH($P2414,'G_Fall-back'!$Q:$Q,0))))</f>
        <v/>
      </c>
      <c r="N2414" s="1789" t="str">
        <f>IF($M2368&lt;&gt;EUconst_Relevant,"",IF(INDEX('G_Fall-back'!N:N,MATCH($P2414,'G_Fall-back'!$Q:$Q,0))="","",INDEX('G_Fall-back'!N:N,MATCH($P2414,'G_Fall-back'!$Q:$Q,0))))</f>
        <v/>
      </c>
      <c r="O2414" s="485"/>
      <c r="P2414" s="1970" t="str">
        <f>EUconst_CNTR_FuelEF &amp; I2368</f>
        <v>FuelEF_Fuel benchmark sub-installation, non-CL</v>
      </c>
      <c r="Q2414" s="1137"/>
      <c r="R2414" s="1137"/>
      <c r="S2414" s="1137"/>
      <c r="T2414" s="1137"/>
      <c r="U2414" s="1137"/>
      <c r="V2414" s="1137"/>
    </row>
    <row r="2415" spans="1:22" s="562" customFormat="1" ht="12.75" customHeight="1">
      <c r="A2415" s="817"/>
      <c r="C2415" s="485"/>
      <c r="D2415" s="841"/>
      <c r="E2415" s="846" t="s">
        <v>1481</v>
      </c>
      <c r="F2415" s="846"/>
      <c r="G2415" s="811" t="str">
        <f>EUconst_TJpa</f>
        <v>TJ / year</v>
      </c>
      <c r="H2415" s="625" t="str">
        <f>IF($M2368&lt;&gt;EUconst_Relevant,"",IF(INDEX('G_Fall-back'!H:H,MATCH($P2415,'G_Fall-back'!$Q:$Q,0))="","",INDEX('G_Fall-back'!H:H,MATCH($P2415,'G_Fall-back'!$Q:$Q,0))))</f>
        <v/>
      </c>
      <c r="I2415" s="794" t="str">
        <f>IF($M2368&lt;&gt;EUconst_Relevant,"",IF(INDEX('G_Fall-back'!I:I,MATCH($P2415,'G_Fall-back'!$Q:$Q,0))="","",INDEX('G_Fall-back'!I:I,MATCH($P2415,'G_Fall-back'!$Q:$Q,0))))</f>
        <v/>
      </c>
      <c r="J2415" s="2171" t="str">
        <f>IF($M2368&lt;&gt;EUconst_Relevant,"",IF(INDEX('G_Fall-back'!J:J,MATCH($P2415,'G_Fall-back'!$Q:$Q,0))="","",INDEX('G_Fall-back'!J:J,MATCH($P2415,'G_Fall-back'!$Q:$Q,0))))</f>
        <v/>
      </c>
      <c r="K2415" s="1788" t="str">
        <f>IF($M2368&lt;&gt;EUconst_Relevant,"",IF(INDEX('G_Fall-back'!K:K,MATCH($P2415,'G_Fall-back'!$Q:$Q,0))="","",INDEX('G_Fall-back'!K:K,MATCH($P2415,'G_Fall-back'!$Q:$Q,0))))</f>
        <v/>
      </c>
      <c r="L2415" s="1789" t="str">
        <f>IF($M2368&lt;&gt;EUconst_Relevant,"",IF(INDEX('G_Fall-back'!L:L,MATCH($P2415,'G_Fall-back'!$Q:$Q,0))="","",INDEX('G_Fall-back'!L:L,MATCH($P2415,'G_Fall-back'!$Q:$Q,0))))</f>
        <v/>
      </c>
      <c r="M2415" s="1789" t="str">
        <f>IF($M2368&lt;&gt;EUconst_Relevant,"",IF(INDEX('G_Fall-back'!M:M,MATCH($P2415,'G_Fall-back'!$Q:$Q,0))="","",INDEX('G_Fall-back'!M:M,MATCH($P2415,'G_Fall-back'!$Q:$Q,0))))</f>
        <v/>
      </c>
      <c r="N2415" s="1789" t="str">
        <f>IF($M2368&lt;&gt;EUconst_Relevant,"",IF(INDEX('G_Fall-back'!N:N,MATCH($P2415,'G_Fall-back'!$Q:$Q,0))="","",INDEX('G_Fall-back'!N:N,MATCH($P2415,'G_Fall-back'!$Q:$Q,0))))</f>
        <v/>
      </c>
      <c r="O2415" s="485"/>
      <c r="P2415" s="1158" t="str">
        <f>EUconst_CNTR_WGConsumed &amp; I2368</f>
        <v>WasteGasCons_Fuel benchmark sub-installation, non-CL</v>
      </c>
      <c r="Q2415" s="1137"/>
      <c r="R2415" s="1137"/>
      <c r="S2415" s="1137"/>
      <c r="T2415" s="1137"/>
      <c r="U2415" s="1137"/>
      <c r="V2415" s="1137"/>
    </row>
    <row r="2416" spans="1:22" s="562" customFormat="1" ht="12.75" customHeight="1">
      <c r="A2416" s="817"/>
      <c r="C2416" s="485"/>
      <c r="D2416" s="841"/>
      <c r="E2416" s="816" t="s">
        <v>1182</v>
      </c>
      <c r="F2416" s="816"/>
      <c r="G2416" s="812" t="str">
        <f>EUconst_tCO2pTJ</f>
        <v>t CO2 / TJ</v>
      </c>
      <c r="H2416" s="627" t="str">
        <f>IF($M2368&lt;&gt;EUconst_Relevant,"",IF(INDEX('G_Fall-back'!H:H,MATCH($P2416,'G_Fall-back'!$Q:$Q,0))="","",INDEX('G_Fall-back'!H:H,MATCH($P2416,'G_Fall-back'!$Q:$Q,0))))</f>
        <v/>
      </c>
      <c r="I2416" s="796" t="str">
        <f>IF($M2368&lt;&gt;EUconst_Relevant,"",IF(INDEX('G_Fall-back'!I:I,MATCH($P2416,'G_Fall-back'!$Q:$Q,0))="","",INDEX('G_Fall-back'!I:I,MATCH($P2416,'G_Fall-back'!$Q:$Q,0))))</f>
        <v/>
      </c>
      <c r="J2416" s="2172" t="str">
        <f>IF($M2368&lt;&gt;EUconst_Relevant,"",IF(INDEX('G_Fall-back'!J:J,MATCH($P2416,'G_Fall-back'!$Q:$Q,0))="","",INDEX('G_Fall-back'!J:J,MATCH($P2416,'G_Fall-back'!$Q:$Q,0))))</f>
        <v/>
      </c>
      <c r="K2416" s="1788" t="str">
        <f>IF($M2368&lt;&gt;EUconst_Relevant,"",IF(INDEX('G_Fall-back'!K:K,MATCH($P2416,'G_Fall-back'!$Q:$Q,0))="","",INDEX('G_Fall-back'!K:K,MATCH($P2416,'G_Fall-back'!$Q:$Q,0))))</f>
        <v/>
      </c>
      <c r="L2416" s="1789" t="str">
        <f>IF($M2368&lt;&gt;EUconst_Relevant,"",IF(INDEX('G_Fall-back'!L:L,MATCH($P2416,'G_Fall-back'!$Q:$Q,0))="","",INDEX('G_Fall-back'!L:L,MATCH($P2416,'G_Fall-back'!$Q:$Q,0))))</f>
        <v/>
      </c>
      <c r="M2416" s="1789" t="str">
        <f>IF($M2368&lt;&gt;EUconst_Relevant,"",IF(INDEX('G_Fall-back'!M:M,MATCH($P2416,'G_Fall-back'!$Q:$Q,0))="","",INDEX('G_Fall-back'!M:M,MATCH($P2416,'G_Fall-back'!$Q:$Q,0))))</f>
        <v/>
      </c>
      <c r="N2416" s="1789" t="str">
        <f>IF($M2368&lt;&gt;EUconst_Relevant,"",IF(INDEX('G_Fall-back'!N:N,MATCH($P2416,'G_Fall-back'!$Q:$Q,0))="","",INDEX('G_Fall-back'!N:N,MATCH($P2416,'G_Fall-back'!$Q:$Q,0))))</f>
        <v/>
      </c>
      <c r="O2416" s="485"/>
      <c r="P2416" s="1970" t="str">
        <f>EUconst_CNTR_WGConsumedEF &amp; I2368</f>
        <v>WasteGasConsEF_Fuel benchmark sub-installation, non-CL</v>
      </c>
      <c r="Q2416" s="1137"/>
      <c r="R2416" s="1137"/>
      <c r="S2416" s="1137"/>
      <c r="T2416" s="1137"/>
      <c r="U2416" s="1137"/>
      <c r="V2416" s="1137"/>
    </row>
    <row r="2417" spans="1:22" s="562" customFormat="1" ht="5.0999999999999996" customHeight="1">
      <c r="A2417" s="817"/>
      <c r="C2417" s="485"/>
      <c r="D2417" s="841"/>
      <c r="E2417" s="777"/>
      <c r="F2417" s="813"/>
      <c r="G2417" s="813"/>
      <c r="H2417" s="2173"/>
      <c r="I2417" s="2173"/>
      <c r="J2417" s="2173"/>
      <c r="K2417" s="1788"/>
      <c r="L2417" s="1789"/>
      <c r="M2417" s="1789"/>
      <c r="N2417" s="1789"/>
      <c r="O2417" s="485"/>
      <c r="P2417" s="1137"/>
      <c r="Q2417" s="1137"/>
      <c r="R2417" s="1137"/>
      <c r="S2417" s="1137"/>
      <c r="T2417" s="1137"/>
      <c r="U2417" s="1137"/>
      <c r="V2417" s="1137"/>
    </row>
    <row r="2418" spans="1:22" s="562" customFormat="1">
      <c r="A2418" s="817"/>
      <c r="C2418" s="485"/>
      <c r="D2418" s="841"/>
      <c r="E2418" s="847" t="s">
        <v>63</v>
      </c>
      <c r="F2418" s="847"/>
      <c r="G2418" s="815" t="str">
        <f>EUconst_tCO2pa</f>
        <v>t CO2 / year</v>
      </c>
      <c r="H2418" s="623" t="str">
        <f>IF($M2368&lt;&gt;EUconst_Relevant,"",IF(INDEX('G_Fall-back'!H:H,MATCH($P2418,'G_Fall-back'!$Q:$Q,0))="","",INDEX('G_Fall-back'!H:H,MATCH($P2418,'G_Fall-back'!$Q:$Q,0))))</f>
        <v/>
      </c>
      <c r="I2418" s="800" t="str">
        <f>IF($M2368&lt;&gt;EUconst_Relevant,"",IF(INDEX('G_Fall-back'!I:I,MATCH($P2418,'G_Fall-back'!$Q:$Q,0))="","",INDEX('G_Fall-back'!I:I,MATCH($P2418,'G_Fall-back'!$Q:$Q,0))))</f>
        <v/>
      </c>
      <c r="J2418" s="2174" t="str">
        <f>IF($M2368&lt;&gt;EUconst_Relevant,"",IF(INDEX('G_Fall-back'!J:J,MATCH($P2418,'G_Fall-back'!$Q:$Q,0))="","",INDEX('G_Fall-back'!J:J,MATCH($P2418,'G_Fall-back'!$Q:$Q,0))))</f>
        <v/>
      </c>
      <c r="K2418" s="1788" t="str">
        <f>IF($M2368&lt;&gt;EUconst_Relevant,"",IF(INDEX('G_Fall-back'!K:K,MATCH($P2418,'G_Fall-back'!$Q:$Q,0))="","",INDEX('G_Fall-back'!K:K,MATCH($P2418,'G_Fall-back'!$Q:$Q,0))))</f>
        <v/>
      </c>
      <c r="L2418" s="1789" t="str">
        <f>IF($M2368&lt;&gt;EUconst_Relevant,"",IF(INDEX('G_Fall-back'!L:L,MATCH($P2418,'G_Fall-back'!$Q:$Q,0))="","",INDEX('G_Fall-back'!L:L,MATCH($P2418,'G_Fall-back'!$Q:$Q,0))))</f>
        <v/>
      </c>
      <c r="M2418" s="1789" t="str">
        <f>IF($M2368&lt;&gt;EUconst_Relevant,"",IF(INDEX('G_Fall-back'!M:M,MATCH($P2418,'G_Fall-back'!$Q:$Q,0))="","",INDEX('G_Fall-back'!M:M,MATCH($P2418,'G_Fall-back'!$Q:$Q,0))))</f>
        <v/>
      </c>
      <c r="N2418" s="1789" t="str">
        <f>IF($M2368&lt;&gt;EUconst_Relevant,"",IF(INDEX('G_Fall-back'!N:N,MATCH($P2418,'G_Fall-back'!$Q:$Q,0))="","",INDEX('G_Fall-back'!N:N,MATCH($P2418,'G_Fall-back'!$Q:$Q,0))))</f>
        <v/>
      </c>
      <c r="O2418" s="485"/>
      <c r="P2418" s="1970" t="str">
        <f>EUconst_CNTR_Emissions &amp; I2368</f>
        <v>DirEmissions_Fuel benchmark sub-installation, non-CL</v>
      </c>
      <c r="Q2418" s="1137"/>
      <c r="R2418" s="1137"/>
      <c r="S2418" s="1137"/>
      <c r="T2418" s="1137"/>
      <c r="U2418" s="1137"/>
      <c r="V2418" s="1137"/>
    </row>
    <row r="2419" spans="1:22" s="562" customFormat="1" ht="5.0999999999999996" customHeight="1">
      <c r="A2419" s="817"/>
      <c r="C2419" s="485"/>
      <c r="D2419" s="841"/>
      <c r="E2419" s="777"/>
      <c r="F2419" s="777"/>
      <c r="G2419" s="777"/>
      <c r="H2419" s="2173"/>
      <c r="I2419" s="2173"/>
      <c r="J2419" s="2173"/>
      <c r="K2419" s="1788"/>
      <c r="L2419" s="1789"/>
      <c r="M2419" s="1789"/>
      <c r="N2419" s="1789"/>
      <c r="O2419" s="485"/>
      <c r="P2419" s="1137"/>
      <c r="Q2419" s="1137"/>
      <c r="R2419" s="1137"/>
      <c r="S2419" s="1137"/>
      <c r="T2419" s="1137"/>
      <c r="U2419" s="1137"/>
      <c r="V2419" s="1137"/>
    </row>
    <row r="2420" spans="1:22" s="562" customFormat="1">
      <c r="A2420" s="817"/>
      <c r="C2420" s="485"/>
      <c r="D2420" s="841"/>
      <c r="E2420" s="847" t="s">
        <v>1079</v>
      </c>
      <c r="F2420" s="847"/>
      <c r="G2420" s="815" t="str">
        <f>EUconst_TJpa</f>
        <v>TJ / year</v>
      </c>
      <c r="H2420" s="623" t="str">
        <f>IF($M2368&lt;&gt;EUconst_Relevant,"",IF(INDEX('G_Fall-back'!H:H,MATCH($P2420,'G_Fall-back'!$Q:$Q,0))="","",INDEX('G_Fall-back'!H:H,MATCH($P2420,'G_Fall-back'!$Q:$Q,0))))</f>
        <v/>
      </c>
      <c r="I2420" s="800" t="str">
        <f>IF($M2368&lt;&gt;EUconst_Relevant,"",IF(INDEX('G_Fall-back'!I:I,MATCH($P2420,'G_Fall-back'!$Q:$Q,0))="","",INDEX('G_Fall-back'!I:I,MATCH($P2420,'G_Fall-back'!$Q:$Q,0))))</f>
        <v/>
      </c>
      <c r="J2420" s="2174" t="str">
        <f>IF($M2368&lt;&gt;EUconst_Relevant,"",IF(INDEX('G_Fall-back'!J:J,MATCH($P2420,'G_Fall-back'!$Q:$Q,0))="","",INDEX('G_Fall-back'!J:J,MATCH($P2420,'G_Fall-back'!$Q:$Q,0))))</f>
        <v/>
      </c>
      <c r="K2420" s="1788" t="str">
        <f>IF($M2368&lt;&gt;EUconst_Relevant,"",IF(INDEX('G_Fall-back'!K:K,MATCH($P2420,'G_Fall-back'!$Q:$Q,0))="","",INDEX('G_Fall-back'!K:K,MATCH($P2420,'G_Fall-back'!$Q:$Q,0))))</f>
        <v/>
      </c>
      <c r="L2420" s="1789" t="str">
        <f>IF($M2368&lt;&gt;EUconst_Relevant,"",IF(INDEX('G_Fall-back'!L:L,MATCH($P2420,'G_Fall-back'!$Q:$Q,0))="","",INDEX('G_Fall-back'!L:L,MATCH($P2420,'G_Fall-back'!$Q:$Q,0))))</f>
        <v/>
      </c>
      <c r="M2420" s="1789" t="str">
        <f>IF($M2368&lt;&gt;EUconst_Relevant,"",IF(INDEX('G_Fall-back'!M:M,MATCH($P2420,'G_Fall-back'!$Q:$Q,0))="","",INDEX('G_Fall-back'!M:M,MATCH($P2420,'G_Fall-back'!$Q:$Q,0))))</f>
        <v/>
      </c>
      <c r="N2420" s="1789" t="str">
        <f>IF($M2368&lt;&gt;EUconst_Relevant,"",IF(INDEX('G_Fall-back'!N:N,MATCH($P2420,'G_Fall-back'!$Q:$Q,0))="","",INDEX('G_Fall-back'!N:N,MATCH($P2420,'G_Fall-back'!$Q:$Q,0))))</f>
        <v/>
      </c>
      <c r="O2420" s="485"/>
      <c r="P2420" s="1970" t="str">
        <f>EUconst_CNTR_HeatExport &amp; I2368</f>
        <v>HeatEx_Fuel benchmark sub-installation, non-CL</v>
      </c>
      <c r="Q2420" s="1137"/>
      <c r="R2420" s="1137"/>
      <c r="S2420" s="1137"/>
      <c r="T2420" s="1137"/>
      <c r="U2420" s="1137"/>
      <c r="V2420" s="1137"/>
    </row>
    <row r="2421" spans="1:22" s="562" customFormat="1" ht="12.75" customHeight="1">
      <c r="A2421" s="817"/>
      <c r="C2421" s="485"/>
      <c r="D2421" s="841"/>
      <c r="E2421" s="847" t="s">
        <v>1541</v>
      </c>
      <c r="F2421" s="847"/>
      <c r="G2421" s="815" t="str">
        <f>EUconst_TJpa</f>
        <v>TJ / year</v>
      </c>
      <c r="H2421" s="623" t="str">
        <f>IF($M2368&lt;&gt;EUconst_Relevant,"",IF(INDEX('G_Fall-back'!H:H,MATCH($P2421,'G_Fall-back'!$Q:$Q,0))="","",INDEX('G_Fall-back'!H:H,MATCH($P2421,'G_Fall-back'!$Q:$Q,0))))</f>
        <v/>
      </c>
      <c r="I2421" s="800" t="str">
        <f>IF($M2368&lt;&gt;EUconst_Relevant,"",IF(INDEX('G_Fall-back'!I:I,MATCH($P2421,'G_Fall-back'!$Q:$Q,0))="","",INDEX('G_Fall-back'!I:I,MATCH($P2421,'G_Fall-back'!$Q:$Q,0))))</f>
        <v/>
      </c>
      <c r="J2421" s="2174" t="str">
        <f>IF($M2368&lt;&gt;EUconst_Relevant,"",IF(INDEX('G_Fall-back'!J:J,MATCH($P2421,'G_Fall-back'!$Q:$Q,0))="","",INDEX('G_Fall-back'!J:J,MATCH($P2421,'G_Fall-back'!$Q:$Q,0))))</f>
        <v/>
      </c>
      <c r="K2421" s="1788" t="str">
        <f>IF($M2368&lt;&gt;EUconst_Relevant,"",IF(INDEX('G_Fall-back'!K:K,MATCH($P2421,'G_Fall-back'!$Q:$Q,0))="","",INDEX('G_Fall-back'!K:K,MATCH($P2421,'G_Fall-back'!$Q:$Q,0))))</f>
        <v/>
      </c>
      <c r="L2421" s="1789" t="str">
        <f>IF($M2368&lt;&gt;EUconst_Relevant,"",IF(INDEX('G_Fall-back'!L:L,MATCH($P2421,'G_Fall-back'!$Q:$Q,0))="","",INDEX('G_Fall-back'!L:L,MATCH($P2421,'G_Fall-back'!$Q:$Q,0))))</f>
        <v/>
      </c>
      <c r="M2421" s="1789" t="str">
        <f>IF($M2368&lt;&gt;EUconst_Relevant,"",IF(INDEX('G_Fall-back'!M:M,MATCH($P2421,'G_Fall-back'!$Q:$Q,0))="","",INDEX('G_Fall-back'!M:M,MATCH($P2421,'G_Fall-back'!$Q:$Q,0))))</f>
        <v/>
      </c>
      <c r="N2421" s="1789" t="str">
        <f>IF($M2368&lt;&gt;EUconst_Relevant,"",IF(INDEX('G_Fall-back'!N:N,MATCH($P2421,'G_Fall-back'!$Q:$Q,0))="","",INDEX('G_Fall-back'!N:N,MATCH($P2421,'G_Fall-back'!$Q:$Q,0))))</f>
        <v/>
      </c>
      <c r="O2421" s="485"/>
      <c r="P2421" s="1158" t="str">
        <f>EUconst_CNTR_HeatExportEF &amp; I2368</f>
        <v>HeatExEF_Fuel benchmark sub-installation, non-CL</v>
      </c>
      <c r="Q2421" s="1137"/>
      <c r="R2421" s="1137"/>
      <c r="S2421" s="1137"/>
      <c r="T2421" s="1137"/>
      <c r="U2421" s="1137"/>
      <c r="V2421" s="1137"/>
    </row>
    <row r="2422" spans="1:22" s="562" customFormat="1" ht="5.0999999999999996" customHeight="1" thickBot="1">
      <c r="A2422" s="817"/>
      <c r="C2422" s="485"/>
      <c r="D2422" s="848"/>
      <c r="E2422" s="805"/>
      <c r="F2422" s="805"/>
      <c r="G2422" s="805"/>
      <c r="H2422" s="805"/>
      <c r="I2422" s="805"/>
      <c r="J2422" s="805"/>
      <c r="K2422" s="1790"/>
      <c r="L2422" s="1791"/>
      <c r="M2422" s="1791"/>
      <c r="N2422" s="1791"/>
      <c r="O2422" s="485"/>
      <c r="P2422" s="1137"/>
      <c r="Q2422" s="1137"/>
      <c r="R2422" s="1137"/>
      <c r="S2422" s="1137"/>
      <c r="T2422" s="1137"/>
      <c r="U2422" s="1137"/>
      <c r="V2422" s="1137"/>
    </row>
    <row r="2423" spans="1:22" s="562" customFormat="1" ht="5.0999999999999996" customHeight="1" thickBot="1">
      <c r="A2423" s="817"/>
      <c r="C2423" s="485"/>
      <c r="D2423" s="485"/>
      <c r="E2423" s="485"/>
      <c r="F2423" s="485"/>
      <c r="G2423" s="485"/>
      <c r="M2423" s="485"/>
      <c r="N2423" s="485"/>
      <c r="O2423" s="485"/>
      <c r="P2423" s="1137"/>
      <c r="Q2423" s="1137"/>
      <c r="R2423" s="1137"/>
      <c r="S2423" s="1137"/>
      <c r="T2423" s="1137"/>
      <c r="U2423" s="1137"/>
      <c r="V2423" s="1137"/>
    </row>
    <row r="2424" spans="1:22" s="562" customFormat="1" ht="5.0999999999999996" customHeight="1" thickBot="1">
      <c r="A2424" s="817"/>
      <c r="C2424" s="2118"/>
      <c r="D2424" s="2118"/>
      <c r="E2424" s="2118"/>
      <c r="F2424" s="2118"/>
      <c r="G2424" s="2118"/>
      <c r="H2424" s="2118"/>
      <c r="I2424" s="2118"/>
      <c r="J2424" s="2118"/>
      <c r="K2424" s="2118"/>
      <c r="L2424" s="2118"/>
      <c r="M2424" s="2118"/>
      <c r="N2424" s="2118"/>
      <c r="O2424" s="485"/>
      <c r="P2424" s="1137"/>
      <c r="Q2424" s="1137"/>
      <c r="R2424" s="1137"/>
      <c r="S2424" s="1137"/>
      <c r="T2424" s="1137"/>
      <c r="U2424" s="1137"/>
      <c r="V2424" s="1137"/>
    </row>
    <row r="2425" spans="1:22" s="562" customFormat="1" ht="15" customHeight="1" thickBot="1">
      <c r="A2425" s="817"/>
      <c r="C2425" s="559">
        <f>C2368+1</f>
        <v>16</v>
      </c>
      <c r="D2425" s="2482" t="str">
        <f>CONCATENATE(EUconst_FBSubinst," ",C2425-10, ":")</f>
        <v>Fall-Back sub-installation 6:</v>
      </c>
      <c r="E2425" s="2482"/>
      <c r="F2425" s="2482"/>
      <c r="G2425" s="2482"/>
      <c r="H2425" s="2483"/>
      <c r="I2425" s="3473" t="str">
        <f>INDEX(EUconst_FallBackListNames,$C2425-10)</f>
        <v>Process emissions sub-installation, CL</v>
      </c>
      <c r="J2425" s="3474"/>
      <c r="K2425" s="3474"/>
      <c r="L2425" s="3475"/>
      <c r="M2425" s="3370" t="str">
        <f>IF(INDEX(CNTR_FallBackSubInstRelevant,C2425-10)="","",IF(INDEX(CNTR_FallBackSubInstRelevant,C2425-10),EUconst_Relevant,EUconst_NotRelevant))</f>
        <v/>
      </c>
      <c r="N2425" s="3371"/>
      <c r="O2425" s="485"/>
      <c r="P2425" s="1137"/>
      <c r="Q2425" s="2123">
        <f>C2425</f>
        <v>16</v>
      </c>
      <c r="R2425" s="2124" t="str">
        <f>I2425</f>
        <v>Process emissions sub-installation, CL</v>
      </c>
      <c r="S2425" s="1137"/>
      <c r="T2425" s="1137"/>
      <c r="U2425" s="1137"/>
      <c r="V2425" s="1137"/>
    </row>
    <row r="2426" spans="1:22" s="562" customFormat="1" ht="5.0999999999999996" customHeight="1">
      <c r="A2426" s="817"/>
      <c r="C2426" s="559"/>
      <c r="D2426" s="559"/>
      <c r="E2426" s="559"/>
      <c r="F2426" s="559"/>
      <c r="G2426" s="559"/>
      <c r="H2426" s="559"/>
      <c r="I2426" s="559"/>
      <c r="J2426" s="559"/>
      <c r="K2426" s="559"/>
      <c r="L2426" s="559"/>
      <c r="M2426" s="559"/>
      <c r="N2426" s="559"/>
      <c r="O2426" s="485"/>
      <c r="P2426" s="1137"/>
      <c r="Q2426" s="1137"/>
      <c r="R2426" s="1137"/>
      <c r="S2426" s="1137"/>
      <c r="T2426" s="1137"/>
      <c r="U2426" s="1137"/>
      <c r="V2426" s="1137"/>
    </row>
    <row r="2427" spans="1:22" s="562" customFormat="1" ht="12.75" customHeight="1">
      <c r="A2427" s="817"/>
      <c r="C2427" s="559"/>
      <c r="D2427" s="559"/>
      <c r="E2427" s="559"/>
      <c r="F2427" s="559"/>
      <c r="H2427" s="688" t="s">
        <v>458</v>
      </c>
      <c r="I2427" s="485"/>
      <c r="J2427" s="688" t="s">
        <v>1434</v>
      </c>
      <c r="K2427" s="688" t="s">
        <v>1684</v>
      </c>
      <c r="L2427" s="689" t="s">
        <v>156</v>
      </c>
      <c r="M2427" s="2469" t="s">
        <v>302</v>
      </c>
      <c r="N2427" s="2469"/>
      <c r="O2427" s="485"/>
      <c r="P2427" s="1137"/>
      <c r="Q2427" s="1137"/>
      <c r="R2427" s="1137"/>
      <c r="S2427" s="1137"/>
      <c r="T2427" s="1137"/>
      <c r="U2427" s="1137"/>
      <c r="V2427" s="1137"/>
    </row>
    <row r="2428" spans="1:22" s="562" customFormat="1" ht="12.75" customHeight="1">
      <c r="A2428" s="817"/>
      <c r="C2428" s="559"/>
      <c r="D2428" s="559"/>
      <c r="E2428" s="690" t="str">
        <f>I2425</f>
        <v>Process emissions sub-installation, CL</v>
      </c>
      <c r="F2428" s="691"/>
      <c r="G2428" s="691"/>
      <c r="H2428" s="692" t="b">
        <f>INDEX(EUconst_FallBackListCLstatus,MATCH(I2425,EUconst_FallBackListNames,0))</f>
        <v>1</v>
      </c>
      <c r="I2428" s="485"/>
      <c r="J2428" s="566" t="str">
        <f>IF($M2425&lt;&gt;EUconst_Relevant,EUconst_NA,INDEX(CNTR_SubInstStartDate,MATCH(I2425,CNTR_SubInstListNames,0)))</f>
        <v>N.A.</v>
      </c>
      <c r="K2428" s="566" t="str">
        <f>IF($M2425&lt;&gt;EUconst_Relevant,EUconst_NA,IF(INDEX(CNTR_SubInstCessationDate,MATCH(I2425,CNTR_SubInstListNames,0))=0,"",INDEX(CNTR_SubInstCessationDate,MATCH(I2425,CNTR_SubInstListNames,0))))</f>
        <v>N.A.</v>
      </c>
      <c r="L2428" s="693">
        <f>C2425-10</f>
        <v>6</v>
      </c>
      <c r="M2428" s="849" t="str">
        <f>IF(M2425&lt;&gt;EUconst_Relevant,EUconst_NA,INDEX(EUconst_FallBackListBMvaluesMatrix,L2428,3))</f>
        <v>N.A.</v>
      </c>
      <c r="N2428" s="685" t="str">
        <f>EUconst_EUA &amp; "/" &amp; F2431</f>
        <v>UKA/t CO2e</v>
      </c>
      <c r="O2428" s="485"/>
      <c r="P2428" s="1137"/>
      <c r="Q2428" s="1137"/>
      <c r="R2428" s="1137"/>
      <c r="S2428" s="1137"/>
      <c r="T2428" s="1137"/>
      <c r="U2428" s="1137"/>
      <c r="V2428" s="1137"/>
    </row>
    <row r="2429" spans="1:22" s="562" customFormat="1" ht="5.0999999999999996" customHeight="1" thickBot="1">
      <c r="A2429" s="817"/>
      <c r="C2429" s="485"/>
      <c r="D2429" s="485"/>
      <c r="E2429" s="559"/>
      <c r="J2429" s="485"/>
      <c r="K2429" s="485"/>
      <c r="L2429" s="485"/>
      <c r="M2429" s="485"/>
      <c r="N2429" s="485"/>
      <c r="O2429" s="485"/>
      <c r="P2429" s="1137"/>
      <c r="Q2429" s="1137"/>
      <c r="R2429" s="1137"/>
      <c r="S2429" s="1137"/>
      <c r="T2429" s="1117"/>
      <c r="U2429" s="1137"/>
      <c r="V2429" s="1137"/>
    </row>
    <row r="2430" spans="1:22" s="562" customFormat="1" ht="12.75" customHeight="1">
      <c r="A2430" s="817"/>
      <c r="C2430" s="485"/>
      <c r="D2430" s="485"/>
      <c r="E2430" s="496"/>
      <c r="F2430" s="482" t="str">
        <f>EUconst_Unit</f>
        <v>Unit</v>
      </c>
      <c r="G2430" s="819" t="s">
        <v>1646</v>
      </c>
      <c r="H2430" s="696">
        <f t="shared" ref="H2430:N2430" si="179">H$2737</f>
        <v>2024</v>
      </c>
      <c r="I2430" s="697">
        <f t="shared" si="179"/>
        <v>2025</v>
      </c>
      <c r="J2430" s="696">
        <f t="shared" si="179"/>
        <v>2026</v>
      </c>
      <c r="K2430" s="1476">
        <f t="shared" si="179"/>
        <v>2027</v>
      </c>
      <c r="L2430" s="1476">
        <f t="shared" si="179"/>
        <v>2028</v>
      </c>
      <c r="M2430" s="1476">
        <f t="shared" si="179"/>
        <v>2029</v>
      </c>
      <c r="N2430" s="1476">
        <f t="shared" si="179"/>
        <v>2030</v>
      </c>
      <c r="O2430" s="485"/>
      <c r="P2430" s="1137"/>
      <c r="Q2430" s="1137" t="s">
        <v>1803</v>
      </c>
      <c r="R2430" s="2126">
        <f>J$2737</f>
        <v>2026</v>
      </c>
      <c r="S2430" s="2127">
        <f>K$2737</f>
        <v>2027</v>
      </c>
      <c r="T2430" s="2127">
        <f>L$2737</f>
        <v>2028</v>
      </c>
      <c r="U2430" s="2127">
        <f>M$2737</f>
        <v>2029</v>
      </c>
      <c r="V2430" s="2128">
        <f>N$2737</f>
        <v>2030</v>
      </c>
    </row>
    <row r="2431" spans="1:22" s="562" customFormat="1" ht="12.75" customHeight="1" thickBot="1">
      <c r="A2431" s="817"/>
      <c r="C2431" s="485"/>
      <c r="D2431" s="485"/>
      <c r="E2431" s="698" t="s">
        <v>1665</v>
      </c>
      <c r="F2431" s="699" t="str">
        <f>INDEX(EUconst_FallBackListUnits,L2428)</f>
        <v>t CO2e</v>
      </c>
      <c r="G2431" s="820" t="str">
        <f>I2454</f>
        <v/>
      </c>
      <c r="H2431" s="821" t="str">
        <f>IF($M2425&lt;&gt;EUconst_Relevant,"",IF(H2430&gt;=CNTR_ReportingYear,"",SUMIF('G_Fall-back'!$Q:$Q,$P2431,'G_Fall-back'!H:H)))</f>
        <v/>
      </c>
      <c r="I2431" s="822" t="str">
        <f>IF($M2425&lt;&gt;EUconst_Relevant,"",IF(I2430&gt;=CNTR_ReportingYear,"",SUMIF('G_Fall-back'!$Q:$Q,$P2431,'G_Fall-back'!I:I)))</f>
        <v/>
      </c>
      <c r="J2431" s="821" t="str">
        <f>IF($M2425&lt;&gt;EUconst_Relevant,"",IF(J2430&gt;=CNTR_ReportingYear,"",SUMIF('G_Fall-back'!$Q:$Q,$P2431,'G_Fall-back'!J:J)))</f>
        <v/>
      </c>
      <c r="K2431" s="2186" t="str">
        <f>IF($M2425&lt;&gt;EUconst_Relevant,"",IF(K2430&gt;=CNTR_ReportingYear,"",SUMIF('G_Fall-back'!$Q:$Q,$P2431,'G_Fall-back'!K:K)))</f>
        <v/>
      </c>
      <c r="L2431" s="2186" t="str">
        <f>IF($M2425&lt;&gt;EUconst_Relevant,"",IF(L2430&gt;=CNTR_ReportingYear,"",SUMIF('G_Fall-back'!$Q:$Q,$P2431,'G_Fall-back'!L:L)))</f>
        <v/>
      </c>
      <c r="M2431" s="2186" t="str">
        <f>IF($M2425&lt;&gt;EUconst_Relevant,"",IF(M2430&gt;=CNTR_ReportingYear,"",SUMIF('G_Fall-back'!$Q:$Q,$P2431,'G_Fall-back'!M:M)))</f>
        <v/>
      </c>
      <c r="N2431" s="2186" t="str">
        <f>IF($M2425&lt;&gt;EUconst_Relevant,"",IF(N2430&gt;=CNTR_ReportingYear,"",SUMIF('G_Fall-back'!$Q:$Q,$P2431,'G_Fall-back'!N:N)))</f>
        <v/>
      </c>
      <c r="O2431" s="485"/>
      <c r="P2431" s="1158" t="str">
        <f>EUconst_CNTR_HAL&amp;I2425</f>
        <v>HAL_Process emissions sub-installation, CL</v>
      </c>
      <c r="Q2431" s="1137"/>
      <c r="R2431" s="1961" t="b">
        <f>AND($M2425=EUconst_Relevant,R2430&lt;=CNTR_ReportingYear,IF($J2428&lt;&gt;EUconst_NA,R2430&gt;=YEAR($J2428),TRUE))</f>
        <v>0</v>
      </c>
      <c r="S2431" s="1675" t="b">
        <f>AND($M2425=EUconst_Relevant,S2430&lt;=CNTR_ReportingYear,IF($J2428&lt;&gt;EUconst_NA,S2430&gt;=YEAR($J2428),TRUE))</f>
        <v>0</v>
      </c>
      <c r="T2431" s="1675" t="b">
        <f>AND($M2425=EUconst_Relevant,T2430&lt;=CNTR_ReportingYear,IF($J2428&lt;&gt;EUconst_NA,T2430&gt;=YEAR($J2428),TRUE))</f>
        <v>0</v>
      </c>
      <c r="U2431" s="1675" t="b">
        <f>AND($M2425=EUconst_Relevant,U2430&lt;=CNTR_ReportingYear,IF($J2428&lt;&gt;EUconst_NA,U2430&gt;=YEAR($J2428),TRUE))</f>
        <v>0</v>
      </c>
      <c r="V2431" s="1676" t="b">
        <f>AND($M2425=EUconst_Relevant,V2430&lt;=CNTR_ReportingYear,IF($J2428&lt;&gt;EUconst_NA,V2430&gt;=YEAR($J2428),TRUE))</f>
        <v>0</v>
      </c>
    </row>
    <row r="2432" spans="1:22" s="562" customFormat="1" ht="5.0999999999999996" customHeight="1" thickBot="1">
      <c r="A2432" s="817"/>
      <c r="C2432" s="485"/>
      <c r="D2432" s="485"/>
      <c r="F2432" s="485"/>
      <c r="G2432" s="485"/>
      <c r="H2432" s="485"/>
      <c r="I2432" s="743"/>
      <c r="J2432" s="485"/>
      <c r="K2432" s="1662"/>
      <c r="L2432" s="1662"/>
      <c r="M2432" s="1662"/>
      <c r="N2432" s="1662"/>
      <c r="O2432" s="485"/>
      <c r="P2432" s="1137"/>
      <c r="Q2432" s="1137"/>
      <c r="R2432" s="1137"/>
      <c r="S2432" s="1137"/>
      <c r="T2432" s="1117"/>
      <c r="U2432" s="1137"/>
      <c r="V2432" s="1137"/>
    </row>
    <row r="2433" spans="1:22" s="562" customFormat="1" ht="5.0999999999999996" customHeight="1">
      <c r="A2433" s="817"/>
      <c r="B2433" s="485"/>
      <c r="C2433" s="559"/>
      <c r="D2433" s="703"/>
      <c r="E2433" s="704"/>
      <c r="F2433" s="704"/>
      <c r="G2433" s="704"/>
      <c r="H2433" s="704"/>
      <c r="I2433" s="704"/>
      <c r="J2433" s="705"/>
      <c r="K2433" s="2187"/>
      <c r="L2433" s="2187"/>
      <c r="M2433" s="2187"/>
      <c r="N2433" s="2187"/>
      <c r="O2433" s="485"/>
      <c r="P2433" s="1137"/>
      <c r="Q2433" s="1137"/>
      <c r="R2433" s="1137"/>
      <c r="S2433" s="1137"/>
      <c r="T2433" s="1137"/>
      <c r="U2433" s="1137"/>
      <c r="V2433" s="1137"/>
    </row>
    <row r="2434" spans="1:22" s="562" customFormat="1" ht="12.75" customHeight="1">
      <c r="A2434" s="817"/>
      <c r="B2434" s="485"/>
      <c r="C2434" s="559"/>
      <c r="D2434" s="706"/>
      <c r="E2434" s="707" t="s">
        <v>1787</v>
      </c>
      <c r="F2434" s="637"/>
      <c r="G2434" s="637"/>
      <c r="H2434" s="663" t="str">
        <f>EUconst_Unit</f>
        <v>Unit</v>
      </c>
      <c r="I2434" s="708"/>
      <c r="J2434" s="2188">
        <f>J$2737</f>
        <v>2026</v>
      </c>
      <c r="K2434" s="1476">
        <f>K$2737</f>
        <v>2027</v>
      </c>
      <c r="L2434" s="1476">
        <f>L$2737</f>
        <v>2028</v>
      </c>
      <c r="M2434" s="1476">
        <f>M$2737</f>
        <v>2029</v>
      </c>
      <c r="N2434" s="1476">
        <f>N$2737</f>
        <v>2030</v>
      </c>
      <c r="O2434" s="485"/>
      <c r="P2434" s="1137"/>
      <c r="Q2434" s="1137"/>
      <c r="R2434" s="1137"/>
      <c r="S2434" s="1137"/>
      <c r="T2434" s="1137"/>
      <c r="U2434" s="1137"/>
      <c r="V2434" s="1137"/>
    </row>
    <row r="2435" spans="1:22" s="562" customFormat="1" ht="12.75" customHeight="1">
      <c r="A2435" s="817"/>
      <c r="B2435" s="485"/>
      <c r="C2435" s="559"/>
      <c r="D2435" s="706"/>
      <c r="E2435" s="711" t="s">
        <v>1783</v>
      </c>
      <c r="F2435" s="712"/>
      <c r="G2435" s="712"/>
      <c r="H2435" s="713" t="s">
        <v>1021</v>
      </c>
      <c r="I2435" s="712"/>
      <c r="J2435" s="2189" t="str">
        <f>IF(R2431,INDEX('G_Fall-back'!V:V,MATCH($P2435,'G_Fall-back'!$Q:$Q,0))&gt;=3,"")</f>
        <v/>
      </c>
      <c r="K2435" s="2190" t="str">
        <f>IF(S2431,INDEX('G_Fall-back'!W:W,MATCH($P2435,'G_Fall-back'!$Q:$Q,0))&gt;=3,"")</f>
        <v/>
      </c>
      <c r="L2435" s="2190" t="str">
        <f>IF(T2431,INDEX('G_Fall-back'!X:X,MATCH($P2435,'G_Fall-back'!$Q:$Q,0))&gt;=3,"")</f>
        <v/>
      </c>
      <c r="M2435" s="2190" t="str">
        <f>IF(U2431,INDEX('G_Fall-back'!Y:Y,MATCH($P2435,'G_Fall-back'!$Q:$Q,0))&gt;=3,"")</f>
        <v/>
      </c>
      <c r="N2435" s="2190" t="str">
        <f>IF(V2431,INDEX('G_Fall-back'!Z:Z,MATCH($P2435,'G_Fall-back'!$Q:$Q,0))&gt;=3,"")</f>
        <v/>
      </c>
      <c r="O2435" s="485"/>
      <c r="P2435" s="1158" t="str">
        <f>EUconst_CNTR_HALinitial&amp;I2425</f>
        <v>HALini_Process emissions sub-installation, CL</v>
      </c>
      <c r="Q2435" s="1137"/>
      <c r="R2435" s="1137"/>
      <c r="S2435" s="1137"/>
      <c r="T2435" s="1137"/>
      <c r="U2435" s="1137"/>
      <c r="V2435" s="1137"/>
    </row>
    <row r="2436" spans="1:22" s="562" customFormat="1" ht="12.75" customHeight="1">
      <c r="A2436" s="817"/>
      <c r="B2436" s="485"/>
      <c r="C2436" s="559"/>
      <c r="D2436" s="706"/>
      <c r="E2436" s="714" t="s">
        <v>1784</v>
      </c>
      <c r="F2436" s="715"/>
      <c r="G2436" s="715"/>
      <c r="H2436" s="716" t="s">
        <v>1021</v>
      </c>
      <c r="I2436" s="715"/>
      <c r="J2436" s="2191" t="str">
        <f>IF(R2431,IF($K2428="",2050,YEAR($K2428))&lt;&gt;(J2434-1),"")</f>
        <v/>
      </c>
      <c r="K2436" s="2190" t="str">
        <f>IF(S2431,IF($K2428="",2050,YEAR($K2428))&lt;&gt;(K2434-1),"")</f>
        <v/>
      </c>
      <c r="L2436" s="2190" t="str">
        <f>IF(T2431,IF($K2428="",2050,YEAR($K2428))&lt;&gt;(L2434-1),"")</f>
        <v/>
      </c>
      <c r="M2436" s="2190" t="str">
        <f>IF(U2431,IF($K2428="",2050,YEAR($K2428))&lt;&gt;(M2434-1),"")</f>
        <v/>
      </c>
      <c r="N2436" s="2190" t="str">
        <f>IF(V2431,IF($K2428="",2050,YEAR($K2428))&lt;&gt;(N2434-1),"")</f>
        <v/>
      </c>
      <c r="O2436" s="485"/>
      <c r="P2436" s="1137"/>
      <c r="Q2436" s="1137"/>
      <c r="R2436" s="1137"/>
      <c r="S2436" s="1137"/>
      <c r="T2436" s="1137"/>
      <c r="U2436" s="1137"/>
      <c r="V2436" s="1137"/>
    </row>
    <row r="2437" spans="1:22" s="562" customFormat="1" ht="5.0999999999999996" customHeight="1">
      <c r="A2437" s="817"/>
      <c r="B2437" s="485"/>
      <c r="C2437" s="559"/>
      <c r="D2437" s="706"/>
      <c r="E2437" s="559"/>
      <c r="F2437" s="559"/>
      <c r="G2437" s="559"/>
      <c r="H2437" s="559"/>
      <c r="I2437" s="559"/>
      <c r="J2437" s="717"/>
      <c r="K2437" s="2187"/>
      <c r="L2437" s="2187"/>
      <c r="M2437" s="2187"/>
      <c r="N2437" s="2187"/>
      <c r="O2437" s="485"/>
      <c r="P2437" s="1137"/>
      <c r="Q2437" s="1137"/>
      <c r="R2437" s="1137"/>
      <c r="S2437" s="1137"/>
      <c r="T2437" s="1137"/>
      <c r="U2437" s="1137"/>
      <c r="V2437" s="1137"/>
    </row>
    <row r="2438" spans="1:22" s="562" customFormat="1" ht="12.75" customHeight="1">
      <c r="A2438" s="817"/>
      <c r="B2438" s="485"/>
      <c r="C2438" s="559"/>
      <c r="D2438" s="706"/>
      <c r="E2438" s="496" t="s">
        <v>1762</v>
      </c>
      <c r="F2438" s="485"/>
      <c r="G2438" s="485"/>
      <c r="H2438" s="663" t="str">
        <f>EUconst_Unit</f>
        <v>Unit</v>
      </c>
      <c r="I2438" s="708"/>
      <c r="J2438" s="2192">
        <f>J$2737</f>
        <v>2026</v>
      </c>
      <c r="K2438" s="1476">
        <f>K$2737</f>
        <v>2027</v>
      </c>
      <c r="L2438" s="1476">
        <f>L$2737</f>
        <v>2028</v>
      </c>
      <c r="M2438" s="1476">
        <f>M$2737</f>
        <v>2029</v>
      </c>
      <c r="N2438" s="1476">
        <f>N$2737</f>
        <v>2030</v>
      </c>
      <c r="O2438" s="485"/>
      <c r="P2438" s="1137"/>
      <c r="Q2438" s="1137"/>
      <c r="R2438" s="1137"/>
      <c r="S2438" s="1137"/>
      <c r="T2438" s="1137"/>
      <c r="U2438" s="1137"/>
      <c r="V2438" s="1137"/>
    </row>
    <row r="2439" spans="1:22" s="562" customFormat="1" ht="12.75" hidden="1" customHeight="1">
      <c r="A2439" s="817" t="s">
        <v>2289</v>
      </c>
      <c r="B2439" s="485"/>
      <c r="C2439" s="559"/>
      <c r="D2439" s="706"/>
      <c r="E2439" s="698" t="s">
        <v>1714</v>
      </c>
      <c r="F2439" s="698"/>
      <c r="G2439" s="698"/>
      <c r="H2439" s="639" t="str">
        <f>F2431</f>
        <v>t CO2e</v>
      </c>
      <c r="I2439" s="698"/>
      <c r="J2439" s="2193" t="str">
        <f>I2454</f>
        <v/>
      </c>
      <c r="K2439" s="2186" t="str">
        <f>J2454</f>
        <v/>
      </c>
      <c r="L2439" s="2186" t="str">
        <f>K2454</f>
        <v/>
      </c>
      <c r="M2439" s="2186" t="str">
        <f>L2454</f>
        <v/>
      </c>
      <c r="N2439" s="2186" t="str">
        <f>M2454</f>
        <v/>
      </c>
      <c r="O2439" s="485"/>
      <c r="P2439" s="1137"/>
      <c r="Q2439" s="1137"/>
      <c r="R2439" s="1137"/>
      <c r="S2439" s="1137"/>
      <c r="T2439" s="1137"/>
      <c r="U2439" s="1137"/>
      <c r="V2439" s="1137"/>
    </row>
    <row r="2440" spans="1:22" s="562" customFormat="1" ht="12.75" customHeight="1">
      <c r="A2440" s="817"/>
      <c r="B2440" s="485"/>
      <c r="C2440" s="559"/>
      <c r="D2440" s="706"/>
      <c r="E2440" s="698" t="s">
        <v>1671</v>
      </c>
      <c r="F2440" s="698"/>
      <c r="G2440" s="698"/>
      <c r="H2440" s="730" t="str">
        <f>EUconst_EUA</f>
        <v>UKA</v>
      </c>
      <c r="I2440" s="731"/>
      <c r="J2440" s="2194" t="str">
        <f>IF($M2425&lt;&gt;EUconst_Relevant,"",MAX(0,ROUND((SUM($M2428)*SUM(J2439))*IF($H2428=TRUE,1,J$2517),0)))</f>
        <v/>
      </c>
      <c r="K2440" s="2195" t="str">
        <f>IF($M2425&lt;&gt;EUconst_Relevant,"",MAX(0,ROUND((SUM($M2428)*SUM(K2439))*IF($H2428=TRUE,1,K$2517),0)))</f>
        <v/>
      </c>
      <c r="L2440" s="2195" t="str">
        <f>IF($M2425&lt;&gt;EUconst_Relevant,"",MAX(0,ROUND((SUM($M2428)*SUM(L2439))*IF($H2428=TRUE,1,L$2517),0)))</f>
        <v/>
      </c>
      <c r="M2440" s="2195" t="str">
        <f>IF($M2425&lt;&gt;EUconst_Relevant,"",MAX(0,ROUND((SUM($M2428)*SUM(M2439))*IF($H2428=TRUE,1,M$2517),0)))</f>
        <v/>
      </c>
      <c r="N2440" s="2195" t="str">
        <f>IF($M2425&lt;&gt;EUconst_Relevant,"",MAX(0,ROUND((SUM($M2428)*SUM(N2439))*IF($H2428=TRUE,1,N$2517),0)))</f>
        <v/>
      </c>
      <c r="O2440" s="485"/>
      <c r="P2440" s="1137"/>
      <c r="Q2440" s="1137"/>
      <c r="R2440" s="1137"/>
      <c r="S2440" s="1137"/>
      <c r="T2440" s="1137"/>
      <c r="U2440" s="1137"/>
      <c r="V2440" s="1137"/>
    </row>
    <row r="2441" spans="1:22" s="562" customFormat="1" ht="5.0999999999999996" customHeight="1">
      <c r="A2441" s="817"/>
      <c r="B2441" s="485"/>
      <c r="C2441" s="559"/>
      <c r="D2441" s="706"/>
      <c r="E2441" s="559"/>
      <c r="F2441" s="559"/>
      <c r="G2441" s="559"/>
      <c r="H2441" s="559"/>
      <c r="I2441" s="559"/>
      <c r="J2441" s="717"/>
      <c r="K2441" s="2187"/>
      <c r="L2441" s="2187"/>
      <c r="M2441" s="2187"/>
      <c r="N2441" s="2187"/>
      <c r="O2441" s="485"/>
      <c r="P2441" s="1137"/>
      <c r="Q2441" s="1137"/>
      <c r="R2441" s="1137"/>
      <c r="S2441" s="1137"/>
      <c r="T2441" s="1137"/>
      <c r="U2441" s="1137"/>
      <c r="V2441" s="1137"/>
    </row>
    <row r="2442" spans="1:22" s="562" customFormat="1" ht="12.75" customHeight="1">
      <c r="A2442" s="817"/>
      <c r="B2442" s="485"/>
      <c r="C2442" s="559"/>
      <c r="D2442" s="706"/>
      <c r="E2442" s="707" t="s">
        <v>1752</v>
      </c>
      <c r="F2442" s="637"/>
      <c r="G2442" s="637"/>
      <c r="H2442" s="663" t="str">
        <f>EUconst_Unit</f>
        <v>Unit</v>
      </c>
      <c r="I2442" s="708"/>
      <c r="J2442" s="2188">
        <f>J$2737</f>
        <v>2026</v>
      </c>
      <c r="K2442" s="1476">
        <f>K$2737</f>
        <v>2027</v>
      </c>
      <c r="L2442" s="1476">
        <f>L$2737</f>
        <v>2028</v>
      </c>
      <c r="M2442" s="1476">
        <f>M$2737</f>
        <v>2029</v>
      </c>
      <c r="N2442" s="1476">
        <f>N$2737</f>
        <v>2030</v>
      </c>
      <c r="O2442" s="485"/>
      <c r="P2442" s="1137"/>
      <c r="Q2442" s="1137"/>
      <c r="R2442" s="1137"/>
      <c r="S2442" s="1137"/>
      <c r="T2442" s="1137"/>
      <c r="U2442" s="1137"/>
      <c r="V2442" s="1137"/>
    </row>
    <row r="2443" spans="1:22" s="562" customFormat="1" ht="12.75" customHeight="1">
      <c r="A2443" s="817"/>
      <c r="B2443" s="485"/>
      <c r="C2443" s="559"/>
      <c r="D2443" s="706"/>
      <c r="E2443" s="720" t="s">
        <v>1691</v>
      </c>
      <c r="F2443" s="720"/>
      <c r="G2443" s="720"/>
      <c r="H2443" s="732" t="str">
        <f>H2439</f>
        <v>t CO2e</v>
      </c>
      <c r="I2443" s="733"/>
      <c r="J2443" s="2196" t="str">
        <f>INDEX('G_Fall-back'!J:J,MATCH($P2443,'G_Fall-back'!$Q:$Q,0))</f>
        <v/>
      </c>
      <c r="K2443" s="2186" t="str">
        <f>INDEX('G_Fall-back'!K:K,MATCH($P2443,'G_Fall-back'!$Q:$Q,0))</f>
        <v/>
      </c>
      <c r="L2443" s="2186" t="str">
        <f>INDEX('G_Fall-back'!L:L,MATCH($P2443,'G_Fall-back'!$Q:$Q,0))</f>
        <v/>
      </c>
      <c r="M2443" s="2186" t="str">
        <f>INDEX('G_Fall-back'!M:M,MATCH($P2443,'G_Fall-back'!$Q:$Q,0))</f>
        <v/>
      </c>
      <c r="N2443" s="2186" t="str">
        <f>INDEX('G_Fall-back'!N:N,MATCH($P2443,'G_Fall-back'!$Q:$Q,0))</f>
        <v/>
      </c>
      <c r="O2443" s="485"/>
      <c r="P2443" s="1158" t="str">
        <f>EUconst_CNTR_HALinitial&amp;I2425</f>
        <v>HALini_Process emissions sub-installation, CL</v>
      </c>
      <c r="Q2443" s="1137"/>
      <c r="R2443" s="1137"/>
      <c r="S2443" s="1137"/>
      <c r="T2443" s="1137"/>
      <c r="U2443" s="1137"/>
      <c r="V2443" s="1137"/>
    </row>
    <row r="2444" spans="1:22" s="562" customFormat="1" ht="12.75" customHeight="1">
      <c r="A2444" s="817"/>
      <c r="B2444" s="485"/>
      <c r="C2444" s="559"/>
      <c r="D2444" s="706"/>
      <c r="E2444" s="723" t="s">
        <v>1648</v>
      </c>
      <c r="F2444" s="723"/>
      <c r="G2444" s="723"/>
      <c r="H2444" s="734" t="s">
        <v>1021</v>
      </c>
      <c r="I2444" s="735"/>
      <c r="J2444" s="14" t="str">
        <f>INDEX('G_Fall-back'!J:J,MATCH($P2444,'G_Fall-back'!$Q:$Q,0))</f>
        <v/>
      </c>
      <c r="K2444" s="12" t="str">
        <f>INDEX('G_Fall-back'!K:K,MATCH($P2444,'G_Fall-back'!$Q:$Q,0))</f>
        <v/>
      </c>
      <c r="L2444" s="12" t="str">
        <f>INDEX('G_Fall-back'!L:L,MATCH($P2444,'G_Fall-back'!$Q:$Q,0))</f>
        <v/>
      </c>
      <c r="M2444" s="12" t="str">
        <f>INDEX('G_Fall-back'!M:M,MATCH($P2444,'G_Fall-back'!$Q:$Q,0))</f>
        <v/>
      </c>
      <c r="N2444" s="12" t="str">
        <f>INDEX('G_Fall-back'!N:N,MATCH($P2444,'G_Fall-back'!$Q:$Q,0))</f>
        <v/>
      </c>
      <c r="O2444" s="485"/>
      <c r="P2444" s="1158" t="str">
        <f>EUconst_CNTR_RelThreshold &amp; I2425</f>
        <v>RelThresh_Process emissions sub-installation, CL</v>
      </c>
      <c r="Q2444" s="1137"/>
      <c r="R2444" s="1137"/>
      <c r="S2444" s="1137"/>
      <c r="T2444" s="1137"/>
      <c r="U2444" s="1137"/>
      <c r="V2444" s="1137"/>
    </row>
    <row r="2445" spans="1:22" s="562" customFormat="1" ht="12.75" customHeight="1">
      <c r="A2445" s="817"/>
      <c r="B2445" s="485"/>
      <c r="C2445" s="559"/>
      <c r="D2445" s="706"/>
      <c r="E2445" s="736" t="s">
        <v>1785</v>
      </c>
      <c r="F2445" s="736"/>
      <c r="G2445" s="736"/>
      <c r="H2445" s="737" t="s">
        <v>1021</v>
      </c>
      <c r="I2445" s="738"/>
      <c r="J2445" s="2197" t="str">
        <f>INDEX('G_Fall-back'!V:V,MATCH($P2445,'G_Fall-back'!$Q:$Q,0)+1)</f>
        <v/>
      </c>
      <c r="K2445" s="2190" t="str">
        <f>INDEX('G_Fall-back'!W:W,MATCH($P2445,'G_Fall-back'!$Q:$Q,0)+1)</f>
        <v/>
      </c>
      <c r="L2445" s="2190" t="str">
        <f>INDEX('G_Fall-back'!X:X,MATCH($P2445,'G_Fall-back'!$Q:$Q,0)+1)</f>
        <v/>
      </c>
      <c r="M2445" s="2190" t="str">
        <f>INDEX('G_Fall-back'!Y:Y,MATCH($P2445,'G_Fall-back'!$Q:$Q,0)+1)</f>
        <v/>
      </c>
      <c r="N2445" s="2190" t="str">
        <f>INDEX('G_Fall-back'!Z:Z,MATCH($P2445,'G_Fall-back'!$Q:$Q,0)+1)</f>
        <v/>
      </c>
      <c r="O2445" s="485"/>
      <c r="P2445" s="1158" t="str">
        <f>P2444</f>
        <v>RelThresh_Process emissions sub-installation, CL</v>
      </c>
      <c r="Q2445" s="1137"/>
      <c r="R2445" s="1137"/>
      <c r="S2445" s="1137"/>
      <c r="T2445" s="1137"/>
      <c r="U2445" s="1137"/>
      <c r="V2445" s="1137"/>
    </row>
    <row r="2446" spans="1:22" s="562" customFormat="1" ht="12.75" customHeight="1">
      <c r="A2446" s="817"/>
      <c r="B2446" s="485"/>
      <c r="C2446" s="559"/>
      <c r="D2446" s="706"/>
      <c r="E2446" s="727" t="s">
        <v>1689</v>
      </c>
      <c r="F2446" s="727"/>
      <c r="G2446" s="727"/>
      <c r="H2446" s="739" t="str">
        <f>F2431</f>
        <v>t CO2e</v>
      </c>
      <c r="I2446" s="727"/>
      <c r="J2446" s="2198" t="str">
        <f>INDEX('G_Fall-back'!J:J,MATCH($P2446,'G_Fall-back'!$Q:$Q,0))</f>
        <v/>
      </c>
      <c r="K2446" s="2186" t="str">
        <f>INDEX('G_Fall-back'!K:K,MATCH($P2446,'G_Fall-back'!$Q:$Q,0))</f>
        <v/>
      </c>
      <c r="L2446" s="2186" t="str">
        <f>INDEX('G_Fall-back'!L:L,MATCH($P2446,'G_Fall-back'!$Q:$Q,0))</f>
        <v/>
      </c>
      <c r="M2446" s="2186" t="str">
        <f>INDEX('G_Fall-back'!M:M,MATCH($P2446,'G_Fall-back'!$Q:$Q,0))</f>
        <v/>
      </c>
      <c r="N2446" s="2186" t="str">
        <f>INDEX('G_Fall-back'!N:N,MATCH($P2446,'G_Fall-back'!$Q:$Q,0))</f>
        <v/>
      </c>
      <c r="O2446" s="485"/>
      <c r="P2446" s="1158" t="str">
        <f>EUconst_CNTR_HALprelim&amp;I2425</f>
        <v>HALprelim_Process emissions sub-installation, CL</v>
      </c>
      <c r="Q2446" s="1137"/>
      <c r="R2446" s="1137"/>
      <c r="S2446" s="1137"/>
      <c r="T2446" s="1137"/>
      <c r="U2446" s="1137"/>
      <c r="V2446" s="1137"/>
    </row>
    <row r="2447" spans="1:22" s="562" customFormat="1" ht="12.75" customHeight="1">
      <c r="A2447" s="817"/>
      <c r="B2447" s="485"/>
      <c r="C2447" s="559"/>
      <c r="D2447" s="706"/>
      <c r="E2447" s="698" t="s">
        <v>1671</v>
      </c>
      <c r="F2447" s="698"/>
      <c r="G2447" s="698"/>
      <c r="H2447" s="730" t="str">
        <f>EUconst_EUA</f>
        <v>UKA</v>
      </c>
      <c r="I2447" s="731"/>
      <c r="J2447" s="2194" t="str">
        <f>IF($M2425&lt;&gt;EUconst_Relevant,"",MAX(0,ROUND((SUM($M2428)*SUM(J2446))*IF($H2428=TRUE,1,J$2517),0)))</f>
        <v/>
      </c>
      <c r="K2447" s="2195" t="str">
        <f>IF($M2425&lt;&gt;EUconst_Relevant,"",MAX(0,ROUND((SUM($M2428)*SUM(K2446))*IF($H2428=TRUE,1,K$2517),0)))</f>
        <v/>
      </c>
      <c r="L2447" s="2195" t="str">
        <f>IF($M2425&lt;&gt;EUconst_Relevant,"",MAX(0,ROUND((SUM($M2428)*SUM(L2446))*IF($H2428=TRUE,1,L$2517),0)))</f>
        <v/>
      </c>
      <c r="M2447" s="2195" t="str">
        <f>IF($M2425&lt;&gt;EUconst_Relevant,"",MAX(0,ROUND((SUM($M2428)*SUM(M2446))*IF($H2428=TRUE,1,M$2517),0)))</f>
        <v/>
      </c>
      <c r="N2447" s="2195" t="str">
        <f>IF($M2425&lt;&gt;EUconst_Relevant,"",MAX(0,ROUND((SUM($M2428)*SUM(N2446))*IF($H2428=TRUE,1,N$2517),0)))</f>
        <v/>
      </c>
      <c r="O2447" s="485"/>
      <c r="P2447" s="1137"/>
      <c r="Q2447" s="1137"/>
      <c r="R2447" s="1137"/>
      <c r="S2447" s="1137"/>
      <c r="T2447" s="1137"/>
      <c r="U2447" s="1137"/>
      <c r="V2447" s="1137"/>
    </row>
    <row r="2448" spans="1:22" s="562" customFormat="1" ht="12.75" customHeight="1">
      <c r="A2448" s="817"/>
      <c r="B2448" s="485"/>
      <c r="C2448" s="559"/>
      <c r="D2448" s="706"/>
      <c r="E2448" s="698" t="s">
        <v>1670</v>
      </c>
      <c r="F2448" s="698"/>
      <c r="G2448" s="698"/>
      <c r="H2448" s="730" t="str">
        <f>EUconst_EUA</f>
        <v>UKA</v>
      </c>
      <c r="I2448" s="731"/>
      <c r="J2448" s="2194" t="str">
        <f>IF($M2425&lt;&gt;EUconst_Relevant,"",ABS(SUM(J2447)-SUM(J2440)))</f>
        <v/>
      </c>
      <c r="K2448" s="2195" t="str">
        <f>IF($M2425&lt;&gt;EUconst_Relevant,"",ABS(SUM(K2447)-SUM(K2440)))</f>
        <v/>
      </c>
      <c r="L2448" s="2195" t="str">
        <f>IF($M2425&lt;&gt;EUconst_Relevant,"",ABS(SUM(L2447)-SUM(L2440)))</f>
        <v/>
      </c>
      <c r="M2448" s="2195" t="str">
        <f>IF($M2425&lt;&gt;EUconst_Relevant,"",ABS(SUM(M2447)-SUM(M2440)))</f>
        <v/>
      </c>
      <c r="N2448" s="2195" t="str">
        <f>IF($M2425&lt;&gt;EUconst_Relevant,"",ABS(SUM(N2447)-SUM(N2440)))</f>
        <v/>
      </c>
      <c r="O2448" s="485"/>
      <c r="P2448" s="1137"/>
      <c r="Q2448" s="1137"/>
      <c r="R2448" s="1137"/>
      <c r="S2448" s="1137"/>
      <c r="T2448" s="1137"/>
      <c r="U2448" s="1137"/>
      <c r="V2448" s="1137"/>
    </row>
    <row r="2449" spans="1:22" s="562" customFormat="1" ht="12.75" customHeight="1">
      <c r="A2449" s="817"/>
      <c r="C2449" s="559"/>
      <c r="D2449" s="706"/>
      <c r="E2449" s="740" t="s">
        <v>2136</v>
      </c>
      <c r="F2449" s="740"/>
      <c r="G2449" s="740"/>
      <c r="H2449" s="741" t="s">
        <v>1021</v>
      </c>
      <c r="I2449" s="742"/>
      <c r="J2449" s="2199" t="str">
        <f>IF($M2425&lt;&gt;EUconst_Relevant,"",J2448&gt;=100)</f>
        <v/>
      </c>
      <c r="K2449" s="2190" t="str">
        <f>IF($M2425&lt;&gt;EUconst_Relevant,"",K2448&gt;=100)</f>
        <v/>
      </c>
      <c r="L2449" s="2190" t="str">
        <f>IF($M2425&lt;&gt;EUconst_Relevant,"",L2448&gt;=100)</f>
        <v/>
      </c>
      <c r="M2449" s="2190" t="str">
        <f>IF($M2425&lt;&gt;EUconst_Relevant,"",M2448&gt;=100)</f>
        <v/>
      </c>
      <c r="N2449" s="2190" t="str">
        <f>IF($M2425&lt;&gt;EUconst_Relevant,"",N2448&gt;=100)</f>
        <v/>
      </c>
      <c r="O2449" s="485"/>
      <c r="P2449" s="1158" t="str">
        <f>EUconst_CNTR_100EUA_ActivityLevel&amp;I2425</f>
        <v>EUA100AL_Process emissions sub-installation, CL</v>
      </c>
      <c r="Q2449" s="1137"/>
      <c r="R2449" s="1137"/>
      <c r="S2449" s="1137"/>
      <c r="T2449" s="1137"/>
      <c r="U2449" s="1137"/>
      <c r="V2449" s="1137"/>
    </row>
    <row r="2450" spans="1:22" s="562" customFormat="1" ht="5.0999999999999996" customHeight="1" thickBot="1">
      <c r="A2450" s="817"/>
      <c r="C2450" s="485"/>
      <c r="D2450" s="771"/>
      <c r="E2450" s="756"/>
      <c r="F2450" s="756"/>
      <c r="G2450" s="756"/>
      <c r="H2450" s="756"/>
      <c r="I2450" s="835"/>
      <c r="J2450" s="758"/>
      <c r="K2450" s="1662"/>
      <c r="L2450" s="1662"/>
      <c r="M2450" s="1662"/>
      <c r="N2450" s="1662"/>
      <c r="O2450" s="485"/>
      <c r="P2450" s="1137"/>
      <c r="Q2450" s="1137"/>
      <c r="R2450" s="1137"/>
      <c r="S2450" s="1137"/>
      <c r="T2450" s="1117"/>
      <c r="U2450" s="1137"/>
      <c r="V2450" s="1137"/>
    </row>
    <row r="2451" spans="1:22" s="562" customFormat="1" ht="5.0999999999999996" customHeight="1" thickBot="1">
      <c r="A2451" s="817"/>
      <c r="C2451" s="485"/>
      <c r="D2451" s="485"/>
      <c r="E2451" s="485"/>
      <c r="F2451" s="485"/>
      <c r="G2451" s="485"/>
      <c r="H2451" s="485"/>
      <c r="I2451" s="836"/>
      <c r="J2451" s="485"/>
      <c r="K2451" s="1662"/>
      <c r="L2451" s="1662"/>
      <c r="M2451" s="1662"/>
      <c r="N2451" s="1662"/>
      <c r="O2451" s="485"/>
      <c r="P2451" s="1137"/>
      <c r="Q2451" s="1137"/>
      <c r="R2451" s="1137"/>
      <c r="S2451" s="1137"/>
      <c r="T2451" s="1117"/>
      <c r="U2451" s="1137"/>
      <c r="V2451" s="1137"/>
    </row>
    <row r="2452" spans="1:22" s="562" customFormat="1" ht="5.0999999999999996" customHeight="1">
      <c r="A2452" s="817"/>
      <c r="C2452" s="485"/>
      <c r="D2452" s="759"/>
      <c r="E2452" s="760"/>
      <c r="F2452" s="760"/>
      <c r="G2452" s="760"/>
      <c r="H2452" s="760"/>
      <c r="I2452" s="761"/>
      <c r="J2452" s="762"/>
      <c r="K2452" s="1662"/>
      <c r="L2452" s="1662"/>
      <c r="M2452" s="1662"/>
      <c r="N2452" s="1662"/>
      <c r="O2452" s="485"/>
      <c r="P2452" s="1137"/>
      <c r="Q2452" s="1137"/>
      <c r="R2452" s="1137"/>
      <c r="S2452" s="1137"/>
      <c r="T2452" s="1117"/>
      <c r="U2452" s="1137"/>
      <c r="V2452" s="1137"/>
    </row>
    <row r="2453" spans="1:22" s="562" customFormat="1">
      <c r="A2453" s="817"/>
      <c r="C2453" s="485"/>
      <c r="D2453" s="539"/>
      <c r="E2453" s="496" t="s">
        <v>1786</v>
      </c>
      <c r="F2453" s="485"/>
      <c r="G2453" s="485"/>
      <c r="H2453" s="663" t="str">
        <f>EUconst_Unit</f>
        <v>Unit</v>
      </c>
      <c r="I2453" s="837" t="s">
        <v>1675</v>
      </c>
      <c r="J2453" s="2188">
        <f>J$2737</f>
        <v>2026</v>
      </c>
      <c r="K2453" s="1476">
        <f>K$2737</f>
        <v>2027</v>
      </c>
      <c r="L2453" s="1476">
        <f>L$2737</f>
        <v>2028</v>
      </c>
      <c r="M2453" s="1476">
        <f>M$2737</f>
        <v>2029</v>
      </c>
      <c r="N2453" s="1476">
        <f>N$2737</f>
        <v>2030</v>
      </c>
      <c r="O2453" s="485"/>
      <c r="P2453" s="1137"/>
      <c r="Q2453" s="1137"/>
      <c r="R2453" s="1137"/>
      <c r="S2453" s="2155" t="s">
        <v>1646</v>
      </c>
      <c r="T2453" s="1117"/>
      <c r="U2453" s="1137"/>
      <c r="V2453" s="1137"/>
    </row>
    <row r="2454" spans="1:22" s="562" customFormat="1">
      <c r="A2454" s="817"/>
      <c r="C2454" s="485"/>
      <c r="D2454" s="539"/>
      <c r="E2454" s="698" t="s">
        <v>1692</v>
      </c>
      <c r="F2454" s="698"/>
      <c r="G2454" s="698"/>
      <c r="H2454" s="639" t="str">
        <f>F2431</f>
        <v>t CO2e</v>
      </c>
      <c r="I2454" s="826" t="str">
        <f>IF($M2425&lt;&gt;EUconst_Relevant,"",IF(T2455&gt;=$H$2736,0,S2454))</f>
        <v/>
      </c>
      <c r="J2454" s="2200" t="str">
        <f>INDEX('G_Fall-back'!J:J,MATCH($P2454,'G_Fall-back'!$Q:$Q,0))</f>
        <v/>
      </c>
      <c r="K2454" s="2186" t="str">
        <f>INDEX('G_Fall-back'!K:K,MATCH($P2454,'G_Fall-back'!$Q:$Q,0))</f>
        <v/>
      </c>
      <c r="L2454" s="2186" t="str">
        <f>INDEX('G_Fall-back'!L:L,MATCH($P2454,'G_Fall-back'!$Q:$Q,0))</f>
        <v/>
      </c>
      <c r="M2454" s="2186" t="str">
        <f>INDEX('G_Fall-back'!M:M,MATCH($P2454,'G_Fall-back'!$Q:$Q,0))</f>
        <v/>
      </c>
      <c r="N2454" s="2186" t="str">
        <f>INDEX('G_Fall-back'!N:N,MATCH($P2454,'G_Fall-back'!$Q:$Q,0))</f>
        <v/>
      </c>
      <c r="O2454" s="485"/>
      <c r="P2454" s="1158" t="str">
        <f>EUconst_CNTR_HALfinal&amp;I2425</f>
        <v>HALfinal_Process emissions sub-installation, CL</v>
      </c>
      <c r="Q2454" s="1137"/>
      <c r="R2454" s="1137"/>
      <c r="S2454" s="2165" t="str">
        <f>IF($M2425&lt;&gt;EUconst_Relevant,"",SUMIF('G_Fall-back'!$Q:$Q,$P2454,'G_Fall-back'!I:I))</f>
        <v/>
      </c>
      <c r="T2454" s="1117"/>
      <c r="U2454" s="1137"/>
      <c r="V2454" s="1137"/>
    </row>
    <row r="2455" spans="1:22" s="562" customFormat="1">
      <c r="A2455" s="817"/>
      <c r="C2455" s="485"/>
      <c r="D2455" s="539"/>
      <c r="E2455" s="698" t="s">
        <v>222</v>
      </c>
      <c r="F2455" s="698"/>
      <c r="G2455" s="698"/>
      <c r="H2455" s="730" t="str">
        <f>EUconst_EUA</f>
        <v>UKA</v>
      </c>
      <c r="I2455" s="838" t="str">
        <f>IF($M2425&lt;&gt;EUconst_Relevant,"",MAX(0,ROUND((SUM($M2428)*SUM(I2454))*IF($H2428=TRUE,1,J$2517),0)))</f>
        <v/>
      </c>
      <c r="J2455" s="2194" t="str">
        <f>IF($M2425&lt;&gt;EUconst_Relevant,"",MAX(0,ROUND((SUM($M2428)*SUM(J2454))*IF($H2428=TRUE,1,J$2517),0)))</f>
        <v/>
      </c>
      <c r="K2455" s="2195" t="str">
        <f t="shared" ref="K2455:N2455" si="180">IF($M2425&lt;&gt;EUconst_Relevant,"",MAX(0,ROUND((SUM($M2428)*SUM(K2454))*IF($H2428=TRUE,1,K$2517),0)))</f>
        <v/>
      </c>
      <c r="L2455" s="2195" t="str">
        <f t="shared" si="180"/>
        <v/>
      </c>
      <c r="M2455" s="2195" t="str">
        <f t="shared" si="180"/>
        <v/>
      </c>
      <c r="N2455" s="2195" t="str">
        <f t="shared" si="180"/>
        <v/>
      </c>
      <c r="O2455" s="485"/>
      <c r="P2455" s="1158" t="str">
        <f>EUconst_AllocPrelim&amp;I2425</f>
        <v>AllocPrelim_Process emissions sub-installation, CL</v>
      </c>
      <c r="Q2455" s="1137"/>
      <c r="R2455" s="1137"/>
      <c r="S2455" s="1137"/>
      <c r="T2455" s="1117">
        <f>INDEX('G_Fall-back'!V:V,MATCH(L2428,'G_Fall-back'!C:C,0))</f>
        <v>2005</v>
      </c>
      <c r="U2455" s="1137" t="e">
        <f>INDEX(I2455:N2455,CNTR_ReportingYear-$I$2736)&lt;&gt;INDEX(I2455:N2455,CNTR_ReportingYear-$H$2736)</f>
        <v>#REF!</v>
      </c>
      <c r="V2455" s="1137"/>
    </row>
    <row r="2456" spans="1:22" s="562" customFormat="1" ht="5.0999999999999996" customHeight="1" thickBot="1">
      <c r="A2456" s="817"/>
      <c r="C2456" s="485"/>
      <c r="D2456" s="771"/>
      <c r="E2456" s="756"/>
      <c r="F2456" s="756"/>
      <c r="G2456" s="756"/>
      <c r="H2456" s="756"/>
      <c r="I2456" s="756"/>
      <c r="J2456" s="758"/>
      <c r="K2456" s="1662"/>
      <c r="L2456" s="1662"/>
      <c r="M2456" s="1662"/>
      <c r="N2456" s="1662"/>
      <c r="O2456" s="485"/>
      <c r="P2456" s="1137"/>
      <c r="Q2456" s="1137"/>
      <c r="R2456" s="1137"/>
      <c r="S2456" s="1137"/>
      <c r="T2456" s="1117"/>
      <c r="U2456" s="1137"/>
      <c r="V2456" s="1137"/>
    </row>
    <row r="2457" spans="1:22" s="562" customFormat="1" ht="5.0999999999999996" customHeight="1" thickBot="1">
      <c r="A2457" s="817"/>
      <c r="C2457" s="485"/>
      <c r="D2457" s="485"/>
      <c r="E2457" s="485"/>
      <c r="F2457" s="485"/>
      <c r="G2457" s="485"/>
      <c r="K2457" s="1662"/>
      <c r="L2457" s="1662"/>
      <c r="M2457" s="1662"/>
      <c r="N2457" s="1662"/>
      <c r="O2457" s="485"/>
      <c r="P2457" s="1137"/>
      <c r="Q2457" s="1137"/>
      <c r="R2457" s="1137"/>
      <c r="S2457" s="1137"/>
      <c r="T2457" s="1137"/>
      <c r="U2457" s="1137"/>
      <c r="V2457" s="1137"/>
    </row>
    <row r="2458" spans="1:22" s="562" customFormat="1" ht="5.0999999999999996" customHeight="1">
      <c r="A2458" s="817"/>
      <c r="C2458" s="485"/>
      <c r="D2458" s="772"/>
      <c r="E2458" s="773"/>
      <c r="F2458" s="774"/>
      <c r="G2458" s="774"/>
      <c r="H2458" s="774"/>
      <c r="I2458" s="774"/>
      <c r="J2458" s="775"/>
      <c r="K2458" s="1662"/>
      <c r="L2458" s="1662"/>
      <c r="M2458" s="1662"/>
      <c r="N2458" s="1662"/>
      <c r="O2458" s="485"/>
      <c r="P2458" s="1137"/>
      <c r="Q2458" s="1137"/>
      <c r="R2458" s="1137"/>
      <c r="S2458" s="1137"/>
      <c r="T2458" s="1137"/>
      <c r="U2458" s="1137"/>
      <c r="V2458" s="1137"/>
    </row>
    <row r="2459" spans="1:22" s="562" customFormat="1" ht="13.5" thickBot="1">
      <c r="A2459" s="817"/>
      <c r="C2459" s="485"/>
      <c r="D2459" s="776"/>
      <c r="E2459" s="777"/>
      <c r="F2459" s="813"/>
      <c r="G2459" s="778" t="str">
        <f>EUconst_Unit</f>
        <v>Unit</v>
      </c>
      <c r="H2459" s="843">
        <f t="shared" ref="H2459:N2459" si="181">H$2737</f>
        <v>2024</v>
      </c>
      <c r="I2459" s="844">
        <f t="shared" si="181"/>
        <v>2025</v>
      </c>
      <c r="J2459" s="2201">
        <f t="shared" si="181"/>
        <v>2026</v>
      </c>
      <c r="K2459" s="1476">
        <f t="shared" si="181"/>
        <v>2027</v>
      </c>
      <c r="L2459" s="1476">
        <f t="shared" si="181"/>
        <v>2028</v>
      </c>
      <c r="M2459" s="1476">
        <f t="shared" si="181"/>
        <v>2029</v>
      </c>
      <c r="N2459" s="1476">
        <f t="shared" si="181"/>
        <v>2030</v>
      </c>
      <c r="O2459" s="485"/>
      <c r="P2459" s="1137"/>
      <c r="Q2459" s="1137"/>
      <c r="R2459" s="1137"/>
      <c r="S2459" s="1137"/>
      <c r="T2459" s="1137"/>
      <c r="U2459" s="1137"/>
      <c r="V2459" s="1137"/>
    </row>
    <row r="2460" spans="1:22" s="562" customFormat="1" ht="13.5" customHeight="1" thickBot="1">
      <c r="A2460" s="817"/>
      <c r="C2460" s="485"/>
      <c r="D2460" s="776"/>
      <c r="E2460" s="845" t="s">
        <v>1504</v>
      </c>
      <c r="F2460" s="845"/>
      <c r="G2460" s="808" t="str">
        <f>EUconst_tCO2epa</f>
        <v>t CO2e/year</v>
      </c>
      <c r="H2460" s="786" t="str">
        <f t="shared" ref="H2460:N2460" si="182">INDEX(H$92:H$108,MATCH($I2425,$E$92:$E$108,0))</f>
        <v/>
      </c>
      <c r="I2460" s="788" t="str">
        <f t="shared" si="182"/>
        <v/>
      </c>
      <c r="J2460" s="1959" t="str">
        <f t="shared" si="182"/>
        <v/>
      </c>
      <c r="K2460" s="2202" t="str">
        <f t="shared" si="182"/>
        <v/>
      </c>
      <c r="L2460" s="2202" t="str">
        <f t="shared" si="182"/>
        <v/>
      </c>
      <c r="M2460" s="2202" t="str">
        <f t="shared" si="182"/>
        <v/>
      </c>
      <c r="N2460" s="2202" t="str">
        <f t="shared" si="182"/>
        <v/>
      </c>
      <c r="O2460" s="485"/>
      <c r="P2460" s="1137"/>
      <c r="Q2460" s="1137"/>
      <c r="R2460" s="1137"/>
      <c r="S2460" s="1137"/>
      <c r="T2460" s="1117"/>
      <c r="U2460" s="1137"/>
      <c r="V2460" s="1137"/>
    </row>
    <row r="2461" spans="1:22" s="562" customFormat="1" ht="5.0999999999999996" customHeight="1" thickBot="1">
      <c r="A2461" s="817"/>
      <c r="C2461" s="485"/>
      <c r="D2461" s="839"/>
      <c r="E2461" s="805"/>
      <c r="F2461" s="805"/>
      <c r="G2461" s="805"/>
      <c r="H2461" s="805"/>
      <c r="I2461" s="805"/>
      <c r="J2461" s="806"/>
      <c r="K2461" s="1662"/>
      <c r="L2461" s="1662"/>
      <c r="M2461" s="1662"/>
      <c r="N2461" s="1662"/>
      <c r="O2461" s="485"/>
      <c r="P2461" s="1137"/>
      <c r="Q2461" s="1137"/>
      <c r="R2461" s="1137"/>
      <c r="S2461" s="1137"/>
      <c r="T2461" s="1137"/>
      <c r="U2461" s="1137"/>
      <c r="V2461" s="1137"/>
    </row>
    <row r="2462" spans="1:22" s="562" customFormat="1" ht="5.0999999999999996" customHeight="1" thickBot="1">
      <c r="A2462" s="817"/>
      <c r="C2462" s="485"/>
      <c r="D2462" s="485"/>
      <c r="E2462" s="485"/>
      <c r="F2462" s="485"/>
      <c r="G2462" s="485"/>
      <c r="M2462" s="485"/>
      <c r="N2462" s="485"/>
      <c r="O2462" s="485"/>
      <c r="P2462" s="1137"/>
      <c r="Q2462" s="1137"/>
      <c r="R2462" s="1137"/>
      <c r="S2462" s="1137"/>
      <c r="T2462" s="1137"/>
      <c r="U2462" s="1137"/>
      <c r="V2462" s="1137"/>
    </row>
    <row r="2463" spans="1:22" s="562" customFormat="1" ht="5.0999999999999996" customHeight="1" thickBot="1">
      <c r="A2463" s="817"/>
      <c r="C2463" s="2118"/>
      <c r="D2463" s="2118"/>
      <c r="E2463" s="2118"/>
      <c r="F2463" s="2118"/>
      <c r="G2463" s="2118"/>
      <c r="H2463" s="2118"/>
      <c r="I2463" s="2118"/>
      <c r="J2463" s="2118"/>
      <c r="K2463" s="2118"/>
      <c r="L2463" s="2118"/>
      <c r="M2463" s="2118"/>
      <c r="N2463" s="2118"/>
      <c r="O2463" s="485"/>
      <c r="P2463" s="1137"/>
      <c r="Q2463" s="1137"/>
      <c r="R2463" s="1137"/>
      <c r="S2463" s="1137"/>
      <c r="T2463" s="1137"/>
      <c r="U2463" s="1137"/>
      <c r="V2463" s="1137"/>
    </row>
    <row r="2464" spans="1:22" s="562" customFormat="1" ht="15" customHeight="1" thickBot="1">
      <c r="A2464" s="817"/>
      <c r="C2464" s="559">
        <f>C2425+1</f>
        <v>17</v>
      </c>
      <c r="D2464" s="2482" t="str">
        <f>CONCATENATE(EUconst_FBSubinst," ",C2464-10, ":")</f>
        <v>Fall-Back sub-installation 7:</v>
      </c>
      <c r="E2464" s="2482"/>
      <c r="F2464" s="2482"/>
      <c r="G2464" s="2482"/>
      <c r="H2464" s="2483"/>
      <c r="I2464" s="3473" t="str">
        <f>INDEX(EUconst_FallBackListNames,$C2464-10)</f>
        <v>Process emissions sub-installation, non-CL</v>
      </c>
      <c r="J2464" s="3474"/>
      <c r="K2464" s="3474"/>
      <c r="L2464" s="3475"/>
      <c r="M2464" s="3370" t="str">
        <f>IF(INDEX(CNTR_FallBackSubInstRelevant,C2464-10)="","",IF(INDEX(CNTR_FallBackSubInstRelevant,C2464-10),EUconst_Relevant,EUconst_NotRelevant))</f>
        <v/>
      </c>
      <c r="N2464" s="3371"/>
      <c r="O2464" s="485"/>
      <c r="P2464" s="1137"/>
      <c r="Q2464" s="2123">
        <f>C2464</f>
        <v>17</v>
      </c>
      <c r="R2464" s="2124" t="str">
        <f>I2464</f>
        <v>Process emissions sub-installation, non-CL</v>
      </c>
      <c r="S2464" s="1137"/>
      <c r="T2464" s="1137"/>
      <c r="U2464" s="1137"/>
      <c r="V2464" s="1137"/>
    </row>
    <row r="2465" spans="1:22" s="562" customFormat="1" ht="5.0999999999999996" customHeight="1">
      <c r="A2465" s="817"/>
      <c r="B2465" s="485"/>
      <c r="C2465" s="559"/>
      <c r="D2465" s="559"/>
      <c r="E2465" s="559"/>
      <c r="F2465" s="559"/>
      <c r="G2465" s="559"/>
      <c r="H2465" s="559"/>
      <c r="I2465" s="559"/>
      <c r="J2465" s="559"/>
      <c r="K2465" s="559"/>
      <c r="L2465" s="559"/>
      <c r="M2465" s="559"/>
      <c r="N2465" s="559"/>
      <c r="O2465" s="485"/>
      <c r="P2465" s="1137"/>
      <c r="Q2465" s="1137"/>
      <c r="R2465" s="1137"/>
      <c r="S2465" s="1137"/>
      <c r="T2465" s="1137"/>
      <c r="U2465" s="1137"/>
      <c r="V2465" s="1137"/>
    </row>
    <row r="2466" spans="1:22" s="562" customFormat="1" ht="12.75" customHeight="1">
      <c r="A2466" s="817"/>
      <c r="B2466" s="485"/>
      <c r="C2466" s="559"/>
      <c r="D2466" s="559"/>
      <c r="E2466" s="559"/>
      <c r="F2466" s="559"/>
      <c r="H2466" s="688" t="s">
        <v>458</v>
      </c>
      <c r="I2466" s="485"/>
      <c r="J2466" s="688" t="s">
        <v>1434</v>
      </c>
      <c r="K2466" s="688" t="s">
        <v>1684</v>
      </c>
      <c r="L2466" s="689" t="s">
        <v>156</v>
      </c>
      <c r="M2466" s="2469" t="s">
        <v>302</v>
      </c>
      <c r="N2466" s="2469"/>
      <c r="O2466" s="485"/>
      <c r="P2466" s="1137"/>
      <c r="Q2466" s="1137"/>
      <c r="R2466" s="1137"/>
      <c r="S2466" s="1137"/>
      <c r="T2466" s="1137"/>
      <c r="U2466" s="1137"/>
      <c r="V2466" s="1137"/>
    </row>
    <row r="2467" spans="1:22" s="562" customFormat="1" ht="12.75" customHeight="1">
      <c r="A2467" s="817"/>
      <c r="B2467" s="485"/>
      <c r="C2467" s="559"/>
      <c r="D2467" s="559"/>
      <c r="E2467" s="690" t="str">
        <f>I2464</f>
        <v>Process emissions sub-installation, non-CL</v>
      </c>
      <c r="F2467" s="691"/>
      <c r="G2467" s="691"/>
      <c r="H2467" s="692" t="b">
        <f>INDEX(EUconst_FallBackListCLstatus,MATCH(I2464,EUconst_FallBackListNames,0))</f>
        <v>0</v>
      </c>
      <c r="I2467" s="485"/>
      <c r="J2467" s="566" t="str">
        <f>IF($M2464&lt;&gt;EUconst_Relevant,EUconst_NA,INDEX(CNTR_SubInstStartDate,MATCH(I2464,CNTR_SubInstListNames,0)))</f>
        <v>N.A.</v>
      </c>
      <c r="K2467" s="566" t="str">
        <f>IF($M2464&lt;&gt;EUconst_Relevant,EUconst_NA,IF(INDEX(CNTR_SubInstCessationDate,MATCH(I2464,CNTR_SubInstListNames,0))=0,"",INDEX(CNTR_SubInstCessationDate,MATCH(I2464,CNTR_SubInstListNames,0))))</f>
        <v>N.A.</v>
      </c>
      <c r="L2467" s="693">
        <f>C2464-10</f>
        <v>7</v>
      </c>
      <c r="M2467" s="849" t="str">
        <f>IF(M2464&lt;&gt;EUconst_Relevant,EUconst_NA,INDEX(EUconst_FallBackListBMvaluesMatrix,L2467,3))</f>
        <v>N.A.</v>
      </c>
      <c r="N2467" s="685" t="str">
        <f>EUconst_EUA &amp; "/" &amp; F2470</f>
        <v>UKA/t CO2e</v>
      </c>
      <c r="O2467" s="485"/>
      <c r="P2467" s="1137"/>
      <c r="Q2467" s="1137"/>
      <c r="R2467" s="1137"/>
      <c r="S2467" s="1137"/>
      <c r="T2467" s="1137"/>
      <c r="U2467" s="1137"/>
      <c r="V2467" s="1137"/>
    </row>
    <row r="2468" spans="1:22" s="562" customFormat="1" ht="5.0999999999999996" customHeight="1" thickBot="1">
      <c r="A2468" s="817"/>
      <c r="B2468" s="485"/>
      <c r="C2468" s="485"/>
      <c r="D2468" s="485"/>
      <c r="E2468" s="559"/>
      <c r="J2468" s="485"/>
      <c r="K2468" s="485"/>
      <c r="L2468" s="485"/>
      <c r="M2468" s="485"/>
      <c r="N2468" s="485"/>
      <c r="O2468" s="485"/>
      <c r="P2468" s="1137"/>
      <c r="Q2468" s="1137"/>
      <c r="R2468" s="1137"/>
      <c r="S2468" s="1137"/>
      <c r="T2468" s="1117"/>
      <c r="U2468" s="1137"/>
      <c r="V2468" s="1137"/>
    </row>
    <row r="2469" spans="1:22" s="562" customFormat="1" ht="12.75" customHeight="1">
      <c r="A2469" s="817"/>
      <c r="B2469" s="485"/>
      <c r="C2469" s="485"/>
      <c r="D2469" s="485"/>
      <c r="E2469" s="496"/>
      <c r="F2469" s="482" t="str">
        <f>EUconst_Unit</f>
        <v>Unit</v>
      </c>
      <c r="G2469" s="819" t="s">
        <v>1646</v>
      </c>
      <c r="H2469" s="696">
        <f t="shared" ref="H2469:N2469" si="183">H$2737</f>
        <v>2024</v>
      </c>
      <c r="I2469" s="697">
        <f t="shared" si="183"/>
        <v>2025</v>
      </c>
      <c r="J2469" s="696">
        <f t="shared" si="183"/>
        <v>2026</v>
      </c>
      <c r="K2469" s="1476">
        <f t="shared" si="183"/>
        <v>2027</v>
      </c>
      <c r="L2469" s="1476">
        <f t="shared" si="183"/>
        <v>2028</v>
      </c>
      <c r="M2469" s="1476">
        <f t="shared" si="183"/>
        <v>2029</v>
      </c>
      <c r="N2469" s="1476">
        <f t="shared" si="183"/>
        <v>2030</v>
      </c>
      <c r="O2469" s="485"/>
      <c r="P2469" s="1137"/>
      <c r="Q2469" s="1137" t="s">
        <v>1803</v>
      </c>
      <c r="R2469" s="2126">
        <f>J$2737</f>
        <v>2026</v>
      </c>
      <c r="S2469" s="2127">
        <f>K$2737</f>
        <v>2027</v>
      </c>
      <c r="T2469" s="2127">
        <f>L$2737</f>
        <v>2028</v>
      </c>
      <c r="U2469" s="2127">
        <f>M$2737</f>
        <v>2029</v>
      </c>
      <c r="V2469" s="2128">
        <f>N$2737</f>
        <v>2030</v>
      </c>
    </row>
    <row r="2470" spans="1:22" s="562" customFormat="1" ht="12.75" customHeight="1" thickBot="1">
      <c r="A2470" s="817"/>
      <c r="B2470" s="485"/>
      <c r="C2470" s="485"/>
      <c r="D2470" s="485"/>
      <c r="E2470" s="698" t="s">
        <v>1665</v>
      </c>
      <c r="F2470" s="699" t="str">
        <f>INDEX(EUconst_FallBackListUnits,L2467)</f>
        <v>t CO2e</v>
      </c>
      <c r="G2470" s="820" t="str">
        <f>I2493</f>
        <v/>
      </c>
      <c r="H2470" s="821" t="str">
        <f>IF($M2464&lt;&gt;EUconst_Relevant,"",IF(H2469&gt;=CNTR_ReportingYear,"",SUMIF('G_Fall-back'!$Q:$Q,$P2470,'G_Fall-back'!H:H)))</f>
        <v/>
      </c>
      <c r="I2470" s="822" t="str">
        <f>IF($M2464&lt;&gt;EUconst_Relevant,"",IF(I2469&gt;=CNTR_ReportingYear,"",SUMIF('G_Fall-back'!$Q:$Q,$P2470,'G_Fall-back'!I:I)))</f>
        <v/>
      </c>
      <c r="J2470" s="821" t="str">
        <f>IF($M2464&lt;&gt;EUconst_Relevant,"",IF(J2469&gt;=CNTR_ReportingYear,"",SUMIF('G_Fall-back'!$Q:$Q,$P2470,'G_Fall-back'!J:J)))</f>
        <v/>
      </c>
      <c r="K2470" s="2186" t="str">
        <f>IF($M2464&lt;&gt;EUconst_Relevant,"",IF(K2469&gt;=CNTR_ReportingYear,"",SUMIF('G_Fall-back'!$Q:$Q,$P2470,'G_Fall-back'!K:K)))</f>
        <v/>
      </c>
      <c r="L2470" s="2186" t="str">
        <f>IF($M2464&lt;&gt;EUconst_Relevant,"",IF(L2469&gt;=CNTR_ReportingYear,"",SUMIF('G_Fall-back'!$Q:$Q,$P2470,'G_Fall-back'!L:L)))</f>
        <v/>
      </c>
      <c r="M2470" s="2186" t="str">
        <f>IF($M2464&lt;&gt;EUconst_Relevant,"",IF(M2469&gt;=CNTR_ReportingYear,"",SUMIF('G_Fall-back'!$Q:$Q,$P2470,'G_Fall-back'!M:M)))</f>
        <v/>
      </c>
      <c r="N2470" s="2186" t="str">
        <f>IF($M2464&lt;&gt;EUconst_Relevant,"",IF(N2469&gt;=CNTR_ReportingYear,"",SUMIF('G_Fall-back'!$Q:$Q,$P2470,'G_Fall-back'!N:N)))</f>
        <v/>
      </c>
      <c r="O2470" s="485"/>
      <c r="P2470" s="1158" t="str">
        <f>EUconst_CNTR_HAL&amp;I2464</f>
        <v>HAL_Process emissions sub-installation, non-CL</v>
      </c>
      <c r="Q2470" s="1137"/>
      <c r="R2470" s="1961" t="b">
        <f>AND($M2464=EUconst_Relevant,R2469&lt;=CNTR_ReportingYear,IF($J2467&lt;&gt;EUconst_NA,R2469&gt;=YEAR($J2467),TRUE))</f>
        <v>0</v>
      </c>
      <c r="S2470" s="1675" t="b">
        <f>AND($M2464=EUconst_Relevant,S2469&lt;=CNTR_ReportingYear,IF($J2467&lt;&gt;EUconst_NA,S2469&gt;=YEAR($J2467),TRUE))</f>
        <v>0</v>
      </c>
      <c r="T2470" s="1675" t="b">
        <f>AND($M2464=EUconst_Relevant,T2469&lt;=CNTR_ReportingYear,IF($J2467&lt;&gt;EUconst_NA,T2469&gt;=YEAR($J2467),TRUE))</f>
        <v>0</v>
      </c>
      <c r="U2470" s="1675" t="b">
        <f>AND($M2464=EUconst_Relevant,U2469&lt;=CNTR_ReportingYear,IF($J2467&lt;&gt;EUconst_NA,U2469&gt;=YEAR($J2467),TRUE))</f>
        <v>0</v>
      </c>
      <c r="V2470" s="1676" t="b">
        <f>AND($M2464=EUconst_Relevant,V2469&lt;=CNTR_ReportingYear,IF($J2467&lt;&gt;EUconst_NA,V2469&gt;=YEAR($J2467),TRUE))</f>
        <v>0</v>
      </c>
    </row>
    <row r="2471" spans="1:22" s="562" customFormat="1" ht="5.0999999999999996" customHeight="1" thickBot="1">
      <c r="A2471" s="817"/>
      <c r="B2471" s="485"/>
      <c r="C2471" s="485"/>
      <c r="D2471" s="485"/>
      <c r="F2471" s="485"/>
      <c r="G2471" s="485"/>
      <c r="H2471" s="485"/>
      <c r="I2471" s="743"/>
      <c r="J2471" s="485"/>
      <c r="K2471" s="485"/>
      <c r="L2471" s="485"/>
      <c r="M2471" s="485"/>
      <c r="N2471" s="485"/>
      <c r="O2471" s="485"/>
      <c r="P2471" s="1137"/>
      <c r="Q2471" s="1137"/>
      <c r="R2471" s="1137"/>
      <c r="S2471" s="1137"/>
      <c r="T2471" s="1117"/>
      <c r="U2471" s="1137"/>
      <c r="V2471" s="1137"/>
    </row>
    <row r="2472" spans="1:22" s="562" customFormat="1" ht="5.0999999999999996" customHeight="1">
      <c r="A2472" s="817"/>
      <c r="B2472" s="485"/>
      <c r="C2472" s="559"/>
      <c r="D2472" s="703"/>
      <c r="E2472" s="704"/>
      <c r="F2472" s="704"/>
      <c r="G2472" s="704"/>
      <c r="H2472" s="704"/>
      <c r="I2472" s="704"/>
      <c r="J2472" s="705"/>
      <c r="K2472" s="559"/>
      <c r="L2472" s="559"/>
      <c r="M2472" s="559"/>
      <c r="N2472" s="559"/>
      <c r="O2472" s="485"/>
      <c r="P2472" s="1137"/>
      <c r="Q2472" s="1137"/>
      <c r="R2472" s="1137"/>
      <c r="S2472" s="1137"/>
      <c r="T2472" s="1137"/>
      <c r="U2472" s="1137"/>
      <c r="V2472" s="1137"/>
    </row>
    <row r="2473" spans="1:22" s="562" customFormat="1" ht="12.75" customHeight="1">
      <c r="A2473" s="817"/>
      <c r="B2473" s="485"/>
      <c r="C2473" s="559"/>
      <c r="D2473" s="706"/>
      <c r="E2473" s="707" t="s">
        <v>1787</v>
      </c>
      <c r="F2473" s="637"/>
      <c r="G2473" s="637"/>
      <c r="H2473" s="663" t="str">
        <f>EUconst_Unit</f>
        <v>Unit</v>
      </c>
      <c r="I2473" s="708"/>
      <c r="J2473" s="2188">
        <f>J$2737</f>
        <v>2026</v>
      </c>
      <c r="K2473" s="1476">
        <f>K$2737</f>
        <v>2027</v>
      </c>
      <c r="L2473" s="1476">
        <f>L$2737</f>
        <v>2028</v>
      </c>
      <c r="M2473" s="1476">
        <f>M$2737</f>
        <v>2029</v>
      </c>
      <c r="N2473" s="1476">
        <f>N$2737</f>
        <v>2030</v>
      </c>
      <c r="O2473" s="485"/>
      <c r="P2473" s="1137"/>
      <c r="Q2473" s="1137"/>
      <c r="R2473" s="1137"/>
      <c r="S2473" s="1137"/>
      <c r="T2473" s="1137"/>
      <c r="U2473" s="1137"/>
      <c r="V2473" s="1137"/>
    </row>
    <row r="2474" spans="1:22" s="562" customFormat="1" ht="12.75" customHeight="1">
      <c r="A2474" s="817"/>
      <c r="B2474" s="485"/>
      <c r="C2474" s="559"/>
      <c r="D2474" s="706"/>
      <c r="E2474" s="711" t="s">
        <v>1783</v>
      </c>
      <c r="F2474" s="712"/>
      <c r="G2474" s="712"/>
      <c r="H2474" s="713" t="s">
        <v>1021</v>
      </c>
      <c r="I2474" s="712"/>
      <c r="J2474" s="2189" t="str">
        <f>IF(R2470,INDEX('G_Fall-back'!V:V,MATCH($P2474,'G_Fall-back'!$Q:$Q,0))&gt;=3,"")</f>
        <v/>
      </c>
      <c r="K2474" s="2190" t="str">
        <f>IF(S2470,INDEX('G_Fall-back'!W:W,MATCH($P2474,'G_Fall-back'!$Q:$Q,0))&gt;=3,"")</f>
        <v/>
      </c>
      <c r="L2474" s="2190" t="str">
        <f>IF(T2470,INDEX('G_Fall-back'!X:X,MATCH($P2474,'G_Fall-back'!$Q:$Q,0))&gt;=3,"")</f>
        <v/>
      </c>
      <c r="M2474" s="2190" t="str">
        <f>IF(U2470,INDEX('G_Fall-back'!Y:Y,MATCH($P2474,'G_Fall-back'!$Q:$Q,0))&gt;=3,"")</f>
        <v/>
      </c>
      <c r="N2474" s="2190" t="str">
        <f>IF(V2470,INDEX('G_Fall-back'!Z:Z,MATCH($P2474,'G_Fall-back'!$Q:$Q,0))&gt;=3,"")</f>
        <v/>
      </c>
      <c r="O2474" s="485"/>
      <c r="P2474" s="1158" t="str">
        <f>EUconst_CNTR_HALinitial&amp;I2464</f>
        <v>HALini_Process emissions sub-installation, non-CL</v>
      </c>
      <c r="Q2474" s="1137"/>
      <c r="R2474" s="1137"/>
      <c r="S2474" s="1137"/>
      <c r="T2474" s="1137"/>
      <c r="U2474" s="1137"/>
      <c r="V2474" s="1137"/>
    </row>
    <row r="2475" spans="1:22" s="562" customFormat="1" ht="12.75" customHeight="1">
      <c r="A2475" s="817"/>
      <c r="B2475" s="485"/>
      <c r="C2475" s="559"/>
      <c r="D2475" s="706"/>
      <c r="E2475" s="714" t="s">
        <v>1784</v>
      </c>
      <c r="F2475" s="715"/>
      <c r="G2475" s="715"/>
      <c r="H2475" s="716" t="s">
        <v>1021</v>
      </c>
      <c r="I2475" s="715"/>
      <c r="J2475" s="2191" t="str">
        <f>IF(R2470,IF($K2467="",2050,YEAR($K2467))&lt;&gt;(J2473-1),"")</f>
        <v/>
      </c>
      <c r="K2475" s="2190" t="str">
        <f>IF(S2470,IF($K2467="",2050,YEAR($K2467))&lt;&gt;(K2473-1),"")</f>
        <v/>
      </c>
      <c r="L2475" s="2190" t="str">
        <f>IF(T2470,IF($K2467="",2050,YEAR($K2467))&lt;&gt;(L2473-1),"")</f>
        <v/>
      </c>
      <c r="M2475" s="2190" t="str">
        <f>IF(U2470,IF($K2467="",2050,YEAR($K2467))&lt;&gt;(M2473-1),"")</f>
        <v/>
      </c>
      <c r="N2475" s="2190" t="str">
        <f>IF(V2470,IF($K2467="",2050,YEAR($K2467))&lt;&gt;(N2473-1),"")</f>
        <v/>
      </c>
      <c r="O2475" s="485"/>
      <c r="P2475" s="1137"/>
      <c r="Q2475" s="1137"/>
      <c r="R2475" s="1137"/>
      <c r="S2475" s="1137"/>
      <c r="T2475" s="1137"/>
      <c r="U2475" s="1137"/>
      <c r="V2475" s="1137"/>
    </row>
    <row r="2476" spans="1:22" s="562" customFormat="1" ht="5.0999999999999996" customHeight="1">
      <c r="A2476" s="817"/>
      <c r="B2476" s="485"/>
      <c r="C2476" s="559"/>
      <c r="D2476" s="706"/>
      <c r="E2476" s="559"/>
      <c r="F2476" s="559"/>
      <c r="G2476" s="559"/>
      <c r="H2476" s="559"/>
      <c r="I2476" s="559"/>
      <c r="J2476" s="717"/>
      <c r="K2476" s="2187"/>
      <c r="L2476" s="2187"/>
      <c r="M2476" s="2187"/>
      <c r="N2476" s="2187"/>
      <c r="O2476" s="485"/>
      <c r="P2476" s="1137"/>
      <c r="Q2476" s="1137"/>
      <c r="R2476" s="1137"/>
      <c r="S2476" s="1137"/>
      <c r="T2476" s="1137"/>
      <c r="U2476" s="1137"/>
      <c r="V2476" s="1137"/>
    </row>
    <row r="2477" spans="1:22" s="562" customFormat="1" ht="12.75" customHeight="1">
      <c r="A2477" s="817"/>
      <c r="B2477" s="485"/>
      <c r="C2477" s="559"/>
      <c r="D2477" s="706"/>
      <c r="E2477" s="496" t="s">
        <v>1762</v>
      </c>
      <c r="F2477" s="485"/>
      <c r="G2477" s="485"/>
      <c r="H2477" s="663" t="str">
        <f>EUconst_Unit</f>
        <v>Unit</v>
      </c>
      <c r="I2477" s="708"/>
      <c r="J2477" s="2192">
        <f>J$2737</f>
        <v>2026</v>
      </c>
      <c r="K2477" s="1476">
        <f>K$2737</f>
        <v>2027</v>
      </c>
      <c r="L2477" s="1476">
        <f>L$2737</f>
        <v>2028</v>
      </c>
      <c r="M2477" s="1476">
        <f>M$2737</f>
        <v>2029</v>
      </c>
      <c r="N2477" s="1476">
        <f>N$2737</f>
        <v>2030</v>
      </c>
      <c r="O2477" s="485"/>
      <c r="P2477" s="1137"/>
      <c r="Q2477" s="1137"/>
      <c r="R2477" s="1137"/>
      <c r="S2477" s="1137"/>
      <c r="T2477" s="1137"/>
      <c r="U2477" s="1137"/>
      <c r="V2477" s="1137"/>
    </row>
    <row r="2478" spans="1:22" s="562" customFormat="1" ht="12.75" hidden="1" customHeight="1">
      <c r="A2478" s="817" t="s">
        <v>2289</v>
      </c>
      <c r="B2478" s="485"/>
      <c r="C2478" s="559"/>
      <c r="D2478" s="706"/>
      <c r="E2478" s="698" t="s">
        <v>1714</v>
      </c>
      <c r="F2478" s="698"/>
      <c r="G2478" s="698"/>
      <c r="H2478" s="639" t="str">
        <f>F2470</f>
        <v>t CO2e</v>
      </c>
      <c r="I2478" s="698"/>
      <c r="J2478" s="2193" t="str">
        <f>I2493</f>
        <v/>
      </c>
      <c r="K2478" s="2186" t="str">
        <f>J2493</f>
        <v/>
      </c>
      <c r="L2478" s="2186" t="str">
        <f>K2493</f>
        <v/>
      </c>
      <c r="M2478" s="2186" t="str">
        <f>L2493</f>
        <v/>
      </c>
      <c r="N2478" s="2186" t="str">
        <f>M2493</f>
        <v/>
      </c>
      <c r="O2478" s="485"/>
      <c r="P2478" s="1137"/>
      <c r="Q2478" s="1137"/>
      <c r="R2478" s="1137"/>
      <c r="S2478" s="1137"/>
      <c r="T2478" s="1137"/>
      <c r="U2478" s="1137"/>
      <c r="V2478" s="1137"/>
    </row>
    <row r="2479" spans="1:22" s="562" customFormat="1" ht="12.75" customHeight="1">
      <c r="A2479" s="817"/>
      <c r="B2479" s="485"/>
      <c r="C2479" s="559"/>
      <c r="D2479" s="706"/>
      <c r="E2479" s="698" t="s">
        <v>1671</v>
      </c>
      <c r="F2479" s="698"/>
      <c r="G2479" s="698"/>
      <c r="H2479" s="730" t="str">
        <f>EUconst_EUA</f>
        <v>UKA</v>
      </c>
      <c r="I2479" s="731"/>
      <c r="J2479" s="2194" t="str">
        <f>IF($M2464&lt;&gt;EUconst_Relevant,"",MAX(0,ROUND((SUM($M2467)*SUM(J2478))*IF($H2467=TRUE,1,J$2517),0)))</f>
        <v/>
      </c>
      <c r="K2479" s="2195" t="str">
        <f>IF($M2464&lt;&gt;EUconst_Relevant,"",MAX(0,ROUND((SUM($M2467)*SUM(K2478))*IF($H2467=TRUE,1,K$2517),0)))</f>
        <v/>
      </c>
      <c r="L2479" s="2195" t="str">
        <f>IF($M2464&lt;&gt;EUconst_Relevant,"",MAX(0,ROUND((SUM($M2467)*SUM(L2478))*IF($H2467=TRUE,1,L$2517),0)))</f>
        <v/>
      </c>
      <c r="M2479" s="2195" t="str">
        <f>IF($M2464&lt;&gt;EUconst_Relevant,"",MAX(0,ROUND((SUM($M2467)*SUM(M2478))*IF($H2467=TRUE,1,M$2517),0)))</f>
        <v/>
      </c>
      <c r="N2479" s="2195" t="str">
        <f>IF($M2464&lt;&gt;EUconst_Relevant,"",MAX(0,ROUND((SUM($M2467)*SUM(N2478))*IF($H2467=TRUE,1,N$2517),0)))</f>
        <v/>
      </c>
      <c r="O2479" s="485"/>
      <c r="P2479" s="1137"/>
      <c r="Q2479" s="1137"/>
      <c r="R2479" s="1137"/>
      <c r="S2479" s="1137"/>
      <c r="T2479" s="1137"/>
      <c r="U2479" s="1137"/>
      <c r="V2479" s="1137"/>
    </row>
    <row r="2480" spans="1:22" s="562" customFormat="1" ht="5.0999999999999996" customHeight="1">
      <c r="A2480" s="817"/>
      <c r="B2480" s="485"/>
      <c r="C2480" s="559"/>
      <c r="D2480" s="706"/>
      <c r="E2480" s="559"/>
      <c r="F2480" s="559"/>
      <c r="G2480" s="559"/>
      <c r="H2480" s="559"/>
      <c r="I2480" s="559"/>
      <c r="J2480" s="717"/>
      <c r="K2480" s="2187"/>
      <c r="L2480" s="2187"/>
      <c r="M2480" s="2187"/>
      <c r="N2480" s="2187"/>
      <c r="O2480" s="485"/>
      <c r="P2480" s="1137"/>
      <c r="Q2480" s="1137"/>
      <c r="R2480" s="1137"/>
      <c r="S2480" s="1137"/>
      <c r="T2480" s="1137"/>
      <c r="U2480" s="1137"/>
      <c r="V2480" s="1137"/>
    </row>
    <row r="2481" spans="1:22" s="562" customFormat="1" ht="12.75" customHeight="1">
      <c r="A2481" s="817"/>
      <c r="B2481" s="485"/>
      <c r="C2481" s="559"/>
      <c r="D2481" s="706"/>
      <c r="E2481" s="707" t="s">
        <v>1752</v>
      </c>
      <c r="F2481" s="637"/>
      <c r="G2481" s="637"/>
      <c r="H2481" s="663" t="str">
        <f>EUconst_Unit</f>
        <v>Unit</v>
      </c>
      <c r="I2481" s="708"/>
      <c r="J2481" s="2188">
        <f>J$2737</f>
        <v>2026</v>
      </c>
      <c r="K2481" s="1476">
        <f>K$2737</f>
        <v>2027</v>
      </c>
      <c r="L2481" s="1476">
        <f>L$2737</f>
        <v>2028</v>
      </c>
      <c r="M2481" s="1476">
        <f>M$2737</f>
        <v>2029</v>
      </c>
      <c r="N2481" s="1476">
        <f>N$2737</f>
        <v>2030</v>
      </c>
      <c r="O2481" s="485"/>
      <c r="P2481" s="1137"/>
      <c r="Q2481" s="1137"/>
      <c r="R2481" s="1137"/>
      <c r="S2481" s="1137"/>
      <c r="T2481" s="1137"/>
      <c r="U2481" s="1137"/>
      <c r="V2481" s="1137"/>
    </row>
    <row r="2482" spans="1:22" s="562" customFormat="1" ht="12.75" customHeight="1">
      <c r="A2482" s="817"/>
      <c r="B2482" s="485"/>
      <c r="C2482" s="559"/>
      <c r="D2482" s="706"/>
      <c r="E2482" s="720" t="s">
        <v>1691</v>
      </c>
      <c r="F2482" s="720"/>
      <c r="G2482" s="720"/>
      <c r="H2482" s="732" t="str">
        <f>H2478</f>
        <v>t CO2e</v>
      </c>
      <c r="I2482" s="733"/>
      <c r="J2482" s="2196" t="str">
        <f>INDEX('G_Fall-back'!J:J,MATCH($P2482,'G_Fall-back'!$Q:$Q,0))</f>
        <v/>
      </c>
      <c r="K2482" s="2186" t="str">
        <f>INDEX('G_Fall-back'!K:K,MATCH($P2482,'G_Fall-back'!$Q:$Q,0))</f>
        <v/>
      </c>
      <c r="L2482" s="2186" t="str">
        <f>INDEX('G_Fall-back'!L:L,MATCH($P2482,'G_Fall-back'!$Q:$Q,0))</f>
        <v/>
      </c>
      <c r="M2482" s="2186" t="str">
        <f>INDEX('G_Fall-back'!M:M,MATCH($P2482,'G_Fall-back'!$Q:$Q,0))</f>
        <v/>
      </c>
      <c r="N2482" s="2186" t="str">
        <f>INDEX('G_Fall-back'!N:N,MATCH($P2482,'G_Fall-back'!$Q:$Q,0))</f>
        <v/>
      </c>
      <c r="O2482" s="485"/>
      <c r="P2482" s="1158" t="str">
        <f>EUconst_CNTR_HALinitial&amp;I2464</f>
        <v>HALini_Process emissions sub-installation, non-CL</v>
      </c>
      <c r="Q2482" s="1137"/>
      <c r="R2482" s="1137"/>
      <c r="S2482" s="1137"/>
      <c r="T2482" s="1137"/>
      <c r="U2482" s="1137"/>
      <c r="V2482" s="1137"/>
    </row>
    <row r="2483" spans="1:22" s="562" customFormat="1" ht="12.75" customHeight="1">
      <c r="A2483" s="817"/>
      <c r="B2483" s="485"/>
      <c r="C2483" s="559"/>
      <c r="D2483" s="706"/>
      <c r="E2483" s="723" t="s">
        <v>1648</v>
      </c>
      <c r="F2483" s="723"/>
      <c r="G2483" s="723"/>
      <c r="H2483" s="734" t="s">
        <v>1021</v>
      </c>
      <c r="I2483" s="735"/>
      <c r="J2483" s="14" t="str">
        <f>INDEX('G_Fall-back'!J:J,MATCH($P2483,'G_Fall-back'!$Q:$Q,0))</f>
        <v/>
      </c>
      <c r="K2483" s="12" t="str">
        <f>INDEX('G_Fall-back'!K:K,MATCH($P2483,'G_Fall-back'!$Q:$Q,0))</f>
        <v/>
      </c>
      <c r="L2483" s="12" t="str">
        <f>INDEX('G_Fall-back'!L:L,MATCH($P2483,'G_Fall-back'!$Q:$Q,0))</f>
        <v/>
      </c>
      <c r="M2483" s="12" t="str">
        <f>INDEX('G_Fall-back'!M:M,MATCH($P2483,'G_Fall-back'!$Q:$Q,0))</f>
        <v/>
      </c>
      <c r="N2483" s="12" t="str">
        <f>INDEX('G_Fall-back'!N:N,MATCH($P2483,'G_Fall-back'!$Q:$Q,0))</f>
        <v/>
      </c>
      <c r="O2483" s="485"/>
      <c r="P2483" s="1158" t="str">
        <f>EUconst_CNTR_RelThreshold &amp; I2464</f>
        <v>RelThresh_Process emissions sub-installation, non-CL</v>
      </c>
      <c r="Q2483" s="1137"/>
      <c r="R2483" s="1137"/>
      <c r="S2483" s="1137"/>
      <c r="T2483" s="1137"/>
      <c r="U2483" s="1137"/>
      <c r="V2483" s="1137"/>
    </row>
    <row r="2484" spans="1:22" s="562" customFormat="1" ht="12.75" customHeight="1">
      <c r="A2484" s="817"/>
      <c r="B2484" s="485"/>
      <c r="C2484" s="559"/>
      <c r="D2484" s="706"/>
      <c r="E2484" s="736" t="s">
        <v>1785</v>
      </c>
      <c r="F2484" s="736"/>
      <c r="G2484" s="736"/>
      <c r="H2484" s="737" t="s">
        <v>1021</v>
      </c>
      <c r="I2484" s="738"/>
      <c r="J2484" s="2197" t="str">
        <f>INDEX('G_Fall-back'!V:V,MATCH($P2484,'G_Fall-back'!$Q:$Q,0)+1)</f>
        <v/>
      </c>
      <c r="K2484" s="2190" t="str">
        <f>INDEX('G_Fall-back'!W:W,MATCH($P2484,'G_Fall-back'!$Q:$Q,0)+1)</f>
        <v/>
      </c>
      <c r="L2484" s="2190" t="str">
        <f>INDEX('G_Fall-back'!X:X,MATCH($P2484,'G_Fall-back'!$Q:$Q,0)+1)</f>
        <v/>
      </c>
      <c r="M2484" s="2190" t="str">
        <f>INDEX('G_Fall-back'!Y:Y,MATCH($P2484,'G_Fall-back'!$Q:$Q,0)+1)</f>
        <v/>
      </c>
      <c r="N2484" s="2190" t="str">
        <f>INDEX('G_Fall-back'!Z:Z,MATCH($P2484,'G_Fall-back'!$Q:$Q,0)+1)</f>
        <v/>
      </c>
      <c r="O2484" s="485"/>
      <c r="P2484" s="1158" t="str">
        <f>P2483</f>
        <v>RelThresh_Process emissions sub-installation, non-CL</v>
      </c>
      <c r="Q2484" s="1137"/>
      <c r="R2484" s="1137"/>
      <c r="S2484" s="1137"/>
      <c r="T2484" s="1137"/>
      <c r="U2484" s="1137"/>
      <c r="V2484" s="1137"/>
    </row>
    <row r="2485" spans="1:22" s="562" customFormat="1" ht="12.75" customHeight="1">
      <c r="A2485" s="817"/>
      <c r="B2485" s="485"/>
      <c r="C2485" s="559"/>
      <c r="D2485" s="706"/>
      <c r="E2485" s="727" t="s">
        <v>1689</v>
      </c>
      <c r="F2485" s="727"/>
      <c r="G2485" s="727"/>
      <c r="H2485" s="739" t="str">
        <f>F2470</f>
        <v>t CO2e</v>
      </c>
      <c r="I2485" s="727"/>
      <c r="J2485" s="2198" t="str">
        <f>INDEX('G_Fall-back'!J:J,MATCH($P2485,'G_Fall-back'!$Q:$Q,0))</f>
        <v/>
      </c>
      <c r="K2485" s="2186" t="str">
        <f>INDEX('G_Fall-back'!K:K,MATCH($P2485,'G_Fall-back'!$Q:$Q,0))</f>
        <v/>
      </c>
      <c r="L2485" s="2186" t="str">
        <f>INDEX('G_Fall-back'!L:L,MATCH($P2485,'G_Fall-back'!$Q:$Q,0))</f>
        <v/>
      </c>
      <c r="M2485" s="2186" t="str">
        <f>INDEX('G_Fall-back'!M:M,MATCH($P2485,'G_Fall-back'!$Q:$Q,0))</f>
        <v/>
      </c>
      <c r="N2485" s="2186" t="str">
        <f>INDEX('G_Fall-back'!N:N,MATCH($P2485,'G_Fall-back'!$Q:$Q,0))</f>
        <v/>
      </c>
      <c r="O2485" s="485"/>
      <c r="P2485" s="1158" t="str">
        <f>EUconst_CNTR_HALprelim&amp;I2464</f>
        <v>HALprelim_Process emissions sub-installation, non-CL</v>
      </c>
      <c r="Q2485" s="1137"/>
      <c r="R2485" s="1137"/>
      <c r="S2485" s="1137"/>
      <c r="T2485" s="1137"/>
      <c r="U2485" s="1137"/>
      <c r="V2485" s="1137"/>
    </row>
    <row r="2486" spans="1:22" s="562" customFormat="1" ht="12.75" customHeight="1">
      <c r="A2486" s="817"/>
      <c r="B2486" s="485"/>
      <c r="C2486" s="559"/>
      <c r="D2486" s="706"/>
      <c r="E2486" s="698" t="s">
        <v>1671</v>
      </c>
      <c r="F2486" s="698"/>
      <c r="G2486" s="698"/>
      <c r="H2486" s="730" t="str">
        <f>EUconst_EUA</f>
        <v>UKA</v>
      </c>
      <c r="I2486" s="731"/>
      <c r="J2486" s="2194" t="str">
        <f>IF($M2464&lt;&gt;EUconst_Relevant,"",MAX(0,ROUND((SUM($M2467)*SUM(J2485))*IF($H2467=TRUE,1,J$2517),0)))</f>
        <v/>
      </c>
      <c r="K2486" s="2195" t="str">
        <f>IF($M2464&lt;&gt;EUconst_Relevant,"",MAX(0,ROUND((SUM($M2467)*SUM(K2485))*IF($H2467=TRUE,1,K$2517),0)))</f>
        <v/>
      </c>
      <c r="L2486" s="2195" t="str">
        <f>IF($M2464&lt;&gt;EUconst_Relevant,"",MAX(0,ROUND((SUM($M2467)*SUM(L2485))*IF($H2467=TRUE,1,L$2517),0)))</f>
        <v/>
      </c>
      <c r="M2486" s="2195" t="str">
        <f>IF($M2464&lt;&gt;EUconst_Relevant,"",MAX(0,ROUND((SUM($M2467)*SUM(M2485))*IF($H2467=TRUE,1,M$2517),0)))</f>
        <v/>
      </c>
      <c r="N2486" s="2195" t="str">
        <f>IF($M2464&lt;&gt;EUconst_Relevant,"",MAX(0,ROUND((SUM($M2467)*SUM(N2485))*IF($H2467=TRUE,1,N$2517),0)))</f>
        <v/>
      </c>
      <c r="O2486" s="485"/>
      <c r="P2486" s="1137"/>
      <c r="Q2486" s="1137"/>
      <c r="R2486" s="1137"/>
      <c r="S2486" s="1137"/>
      <c r="T2486" s="1137"/>
      <c r="U2486" s="1137"/>
      <c r="V2486" s="1137"/>
    </row>
    <row r="2487" spans="1:22" s="562" customFormat="1" ht="12.75" customHeight="1">
      <c r="A2487" s="817"/>
      <c r="B2487" s="485"/>
      <c r="C2487" s="559"/>
      <c r="D2487" s="706"/>
      <c r="E2487" s="698" t="s">
        <v>1670</v>
      </c>
      <c r="F2487" s="698"/>
      <c r="G2487" s="698"/>
      <c r="H2487" s="730" t="str">
        <f>EUconst_EUA</f>
        <v>UKA</v>
      </c>
      <c r="I2487" s="731"/>
      <c r="J2487" s="2194" t="str">
        <f>IF($M2464&lt;&gt;EUconst_Relevant,"",ABS(SUM(J2486)-SUM(J2479)))</f>
        <v/>
      </c>
      <c r="K2487" s="2195" t="str">
        <f>IF($M2464&lt;&gt;EUconst_Relevant,"",ABS(SUM(K2486)-SUM(K2479)))</f>
        <v/>
      </c>
      <c r="L2487" s="2195" t="str">
        <f>IF($M2464&lt;&gt;EUconst_Relevant,"",ABS(SUM(L2486)-SUM(L2479)))</f>
        <v/>
      </c>
      <c r="M2487" s="2195" t="str">
        <f>IF($M2464&lt;&gt;EUconst_Relevant,"",ABS(SUM(M2486)-SUM(M2479)))</f>
        <v/>
      </c>
      <c r="N2487" s="2195" t="str">
        <f>IF($M2464&lt;&gt;EUconst_Relevant,"",ABS(SUM(N2486)-SUM(N2479)))</f>
        <v/>
      </c>
      <c r="O2487" s="485"/>
      <c r="P2487" s="1137"/>
      <c r="Q2487" s="1137"/>
      <c r="R2487" s="1137"/>
      <c r="S2487" s="1137"/>
      <c r="T2487" s="1137"/>
      <c r="U2487" s="1137"/>
      <c r="V2487" s="1137"/>
    </row>
    <row r="2488" spans="1:22" s="562" customFormat="1" ht="12.75" customHeight="1">
      <c r="A2488" s="817"/>
      <c r="B2488" s="485"/>
      <c r="C2488" s="559"/>
      <c r="D2488" s="706"/>
      <c r="E2488" s="740" t="s">
        <v>2136</v>
      </c>
      <c r="F2488" s="740"/>
      <c r="G2488" s="740"/>
      <c r="H2488" s="741" t="s">
        <v>1021</v>
      </c>
      <c r="I2488" s="742"/>
      <c r="J2488" s="2199" t="str">
        <f>IF($M2464&lt;&gt;EUconst_Relevant,"",J2487&gt;=100)</f>
        <v/>
      </c>
      <c r="K2488" s="2190" t="str">
        <f>IF($M2464&lt;&gt;EUconst_Relevant,"",K2487&gt;=100)</f>
        <v/>
      </c>
      <c r="L2488" s="2190" t="str">
        <f>IF($M2464&lt;&gt;EUconst_Relevant,"",L2487&gt;=100)</f>
        <v/>
      </c>
      <c r="M2488" s="2190" t="str">
        <f>IF($M2464&lt;&gt;EUconst_Relevant,"",M2487&gt;=100)</f>
        <v/>
      </c>
      <c r="N2488" s="2190" t="str">
        <f>IF($M2464&lt;&gt;EUconst_Relevant,"",N2487&gt;=100)</f>
        <v/>
      </c>
      <c r="O2488" s="485"/>
      <c r="P2488" s="1158" t="str">
        <f>EUconst_CNTR_100EUA_ActivityLevel&amp;I2464</f>
        <v>EUA100AL_Process emissions sub-installation, non-CL</v>
      </c>
      <c r="Q2488" s="1137"/>
      <c r="R2488" s="1137"/>
      <c r="S2488" s="1137"/>
      <c r="T2488" s="1137"/>
      <c r="U2488" s="1137"/>
      <c r="V2488" s="1137"/>
    </row>
    <row r="2489" spans="1:22" s="562" customFormat="1" ht="5.0999999999999996" customHeight="1" thickBot="1">
      <c r="A2489" s="817"/>
      <c r="B2489" s="485"/>
      <c r="C2489" s="485"/>
      <c r="D2489" s="771"/>
      <c r="E2489" s="756"/>
      <c r="F2489" s="756"/>
      <c r="G2489" s="756"/>
      <c r="H2489" s="756"/>
      <c r="I2489" s="835"/>
      <c r="J2489" s="758"/>
      <c r="K2489" s="485"/>
      <c r="L2489" s="485"/>
      <c r="M2489" s="485"/>
      <c r="N2489" s="485"/>
      <c r="O2489" s="485"/>
      <c r="P2489" s="1137"/>
      <c r="Q2489" s="1137"/>
      <c r="R2489" s="1137"/>
      <c r="S2489" s="1137"/>
      <c r="T2489" s="1117"/>
      <c r="U2489" s="1137"/>
      <c r="V2489" s="1137"/>
    </row>
    <row r="2490" spans="1:22" s="562" customFormat="1" ht="5.0999999999999996" customHeight="1" thickBot="1">
      <c r="A2490" s="817"/>
      <c r="B2490" s="485"/>
      <c r="C2490" s="485"/>
      <c r="D2490" s="485"/>
      <c r="E2490" s="485"/>
      <c r="F2490" s="485"/>
      <c r="G2490" s="485"/>
      <c r="H2490" s="485"/>
      <c r="I2490" s="836"/>
      <c r="J2490" s="485"/>
      <c r="K2490" s="485"/>
      <c r="L2490" s="485"/>
      <c r="M2490" s="485"/>
      <c r="N2490" s="485"/>
      <c r="O2490" s="485"/>
      <c r="P2490" s="1137"/>
      <c r="Q2490" s="1137"/>
      <c r="R2490" s="1137"/>
      <c r="S2490" s="1137"/>
      <c r="T2490" s="1117"/>
      <c r="U2490" s="1137"/>
      <c r="V2490" s="1137"/>
    </row>
    <row r="2491" spans="1:22" s="562" customFormat="1" ht="5.0999999999999996" customHeight="1">
      <c r="A2491" s="817"/>
      <c r="B2491" s="485"/>
      <c r="C2491" s="485"/>
      <c r="D2491" s="759"/>
      <c r="E2491" s="760"/>
      <c r="F2491" s="760"/>
      <c r="G2491" s="760"/>
      <c r="H2491" s="760"/>
      <c r="I2491" s="761"/>
      <c r="J2491" s="762"/>
      <c r="K2491" s="485"/>
      <c r="L2491" s="485"/>
      <c r="M2491" s="485"/>
      <c r="N2491" s="485"/>
      <c r="O2491" s="485"/>
      <c r="P2491" s="1137"/>
      <c r="Q2491" s="1137"/>
      <c r="R2491" s="1137"/>
      <c r="S2491" s="1137"/>
      <c r="T2491" s="1117"/>
      <c r="U2491" s="1137"/>
      <c r="V2491" s="1137"/>
    </row>
    <row r="2492" spans="1:22" s="562" customFormat="1">
      <c r="A2492" s="817"/>
      <c r="B2492" s="485"/>
      <c r="C2492" s="485"/>
      <c r="D2492" s="539"/>
      <c r="E2492" s="496" t="s">
        <v>1786</v>
      </c>
      <c r="F2492" s="485"/>
      <c r="G2492" s="485"/>
      <c r="H2492" s="663" t="str">
        <f>EUconst_Unit</f>
        <v>Unit</v>
      </c>
      <c r="I2492" s="837" t="s">
        <v>1675</v>
      </c>
      <c r="J2492" s="2188">
        <f>J$2737</f>
        <v>2026</v>
      </c>
      <c r="K2492" s="1476">
        <f>K$2737</f>
        <v>2027</v>
      </c>
      <c r="L2492" s="1476">
        <f>L$2737</f>
        <v>2028</v>
      </c>
      <c r="M2492" s="1476">
        <f>M$2737</f>
        <v>2029</v>
      </c>
      <c r="N2492" s="1476">
        <f>N$2737</f>
        <v>2030</v>
      </c>
      <c r="O2492" s="485"/>
      <c r="P2492" s="1137"/>
      <c r="Q2492" s="1137"/>
      <c r="R2492" s="1137"/>
      <c r="S2492" s="2155" t="s">
        <v>1646</v>
      </c>
      <c r="T2492" s="1117"/>
      <c r="U2492" s="1137"/>
      <c r="V2492" s="1137"/>
    </row>
    <row r="2493" spans="1:22" s="562" customFormat="1">
      <c r="A2493" s="817"/>
      <c r="B2493" s="485"/>
      <c r="C2493" s="485"/>
      <c r="D2493" s="539"/>
      <c r="E2493" s="698" t="s">
        <v>1692</v>
      </c>
      <c r="F2493" s="698"/>
      <c r="G2493" s="698"/>
      <c r="H2493" s="639" t="str">
        <f>F2470</f>
        <v>t CO2e</v>
      </c>
      <c r="I2493" s="826" t="str">
        <f>IF($M2464&lt;&gt;EUconst_Relevant,"",IF(T2494&gt;=$H$2736,0,S2493))</f>
        <v/>
      </c>
      <c r="J2493" s="2200" t="str">
        <f>INDEX('G_Fall-back'!J:J,MATCH($P2493,'G_Fall-back'!$Q:$Q,0))</f>
        <v/>
      </c>
      <c r="K2493" s="2186" t="str">
        <f>INDEX('G_Fall-back'!K:K,MATCH($P2493,'G_Fall-back'!$Q:$Q,0))</f>
        <v/>
      </c>
      <c r="L2493" s="2186" t="str">
        <f>INDEX('G_Fall-back'!L:L,MATCH($P2493,'G_Fall-back'!$Q:$Q,0))</f>
        <v/>
      </c>
      <c r="M2493" s="2186" t="str">
        <f>INDEX('G_Fall-back'!M:M,MATCH($P2493,'G_Fall-back'!$Q:$Q,0))</f>
        <v/>
      </c>
      <c r="N2493" s="2186" t="str">
        <f>INDEX('G_Fall-back'!N:N,MATCH($P2493,'G_Fall-back'!$Q:$Q,0))</f>
        <v/>
      </c>
      <c r="O2493" s="485"/>
      <c r="P2493" s="1158" t="str">
        <f>EUconst_CNTR_HALfinal&amp;I2464</f>
        <v>HALfinal_Process emissions sub-installation, non-CL</v>
      </c>
      <c r="Q2493" s="1137"/>
      <c r="R2493" s="1137"/>
      <c r="S2493" s="2165" t="str">
        <f>IF($M2464&lt;&gt;EUconst_Relevant,"",SUMIF('G_Fall-back'!$Q:$Q,$P2493,'G_Fall-back'!I:I))</f>
        <v/>
      </c>
      <c r="T2493" s="1117"/>
      <c r="U2493" s="1137"/>
      <c r="V2493" s="1137"/>
    </row>
    <row r="2494" spans="1:22" s="562" customFormat="1">
      <c r="A2494" s="817"/>
      <c r="B2494" s="485"/>
      <c r="C2494" s="485"/>
      <c r="D2494" s="539"/>
      <c r="E2494" s="698" t="s">
        <v>222</v>
      </c>
      <c r="F2494" s="698"/>
      <c r="G2494" s="698"/>
      <c r="H2494" s="730" t="str">
        <f>EUconst_EUA</f>
        <v>UKA</v>
      </c>
      <c r="I2494" s="838" t="str">
        <f>IF($M2464&lt;&gt;EUconst_Relevant,"",MAX(0,ROUND((SUM($M2467)*SUM(I2493))*IF($H2467=TRUE,1,J$2517),0)))</f>
        <v/>
      </c>
      <c r="J2494" s="2194" t="str">
        <f t="shared" ref="J2494:N2494" si="184">IF($M2464&lt;&gt;EUconst_Relevant,"",MAX(0,ROUND((SUM($M2467)*SUM(J2493))*IF($H2467=TRUE,1,J$2517),0)))</f>
        <v/>
      </c>
      <c r="K2494" s="2195" t="str">
        <f t="shared" si="184"/>
        <v/>
      </c>
      <c r="L2494" s="2195" t="str">
        <f t="shared" si="184"/>
        <v/>
      </c>
      <c r="M2494" s="2195" t="str">
        <f t="shared" si="184"/>
        <v/>
      </c>
      <c r="N2494" s="2195" t="str">
        <f t="shared" si="184"/>
        <v/>
      </c>
      <c r="O2494" s="485"/>
      <c r="P2494" s="1158" t="str">
        <f>EUconst_AllocPrelim&amp;I2464</f>
        <v>AllocPrelim_Process emissions sub-installation, non-CL</v>
      </c>
      <c r="Q2494" s="1137"/>
      <c r="R2494" s="1137"/>
      <c r="S2494" s="1137"/>
      <c r="T2494" s="1117">
        <f>INDEX('G_Fall-back'!V:V,MATCH(L2467,'G_Fall-back'!C:C,0))</f>
        <v>2005</v>
      </c>
      <c r="U2494" s="1137" t="e">
        <f>INDEX(I2494:N2494,CNTR_ReportingYear-$I$2736)&lt;&gt;INDEX(I2494:N2494,CNTR_ReportingYear-$H$2736)</f>
        <v>#REF!</v>
      </c>
      <c r="V2494" s="1137"/>
    </row>
    <row r="2495" spans="1:22" s="562" customFormat="1" ht="5.0999999999999996" customHeight="1" thickBot="1">
      <c r="A2495" s="817"/>
      <c r="B2495" s="485"/>
      <c r="C2495" s="485"/>
      <c r="D2495" s="771"/>
      <c r="E2495" s="756"/>
      <c r="F2495" s="756"/>
      <c r="G2495" s="756"/>
      <c r="H2495" s="756"/>
      <c r="I2495" s="756"/>
      <c r="J2495" s="758"/>
      <c r="K2495" s="485"/>
      <c r="L2495" s="485"/>
      <c r="M2495" s="485"/>
      <c r="N2495" s="485"/>
      <c r="O2495" s="485"/>
      <c r="P2495" s="1137"/>
      <c r="Q2495" s="1137"/>
      <c r="R2495" s="1137"/>
      <c r="S2495" s="1137"/>
      <c r="T2495" s="1117"/>
      <c r="U2495" s="1137"/>
      <c r="V2495" s="1137"/>
    </row>
    <row r="2496" spans="1:22" s="562" customFormat="1" ht="5.0999999999999996" customHeight="1" thickBot="1">
      <c r="A2496" s="817"/>
      <c r="B2496" s="485"/>
      <c r="C2496" s="485"/>
      <c r="D2496" s="485"/>
      <c r="E2496" s="485"/>
      <c r="F2496" s="485"/>
      <c r="G2496" s="485"/>
      <c r="M2496" s="485"/>
      <c r="N2496" s="485"/>
      <c r="O2496" s="485"/>
      <c r="P2496" s="1137"/>
      <c r="Q2496" s="1137"/>
      <c r="R2496" s="1137"/>
      <c r="S2496" s="1137"/>
      <c r="T2496" s="1137"/>
      <c r="U2496" s="1137"/>
      <c r="V2496" s="1137"/>
    </row>
    <row r="2497" spans="1:22" s="562" customFormat="1" ht="5.0999999999999996" customHeight="1">
      <c r="A2497" s="817"/>
      <c r="C2497" s="485"/>
      <c r="D2497" s="772"/>
      <c r="E2497" s="773"/>
      <c r="F2497" s="774"/>
      <c r="G2497" s="774"/>
      <c r="H2497" s="774"/>
      <c r="I2497" s="774"/>
      <c r="J2497" s="775"/>
      <c r="K2497" s="618"/>
      <c r="L2497" s="618"/>
      <c r="M2497" s="618"/>
      <c r="N2497" s="618"/>
      <c r="O2497" s="485"/>
      <c r="P2497" s="1137"/>
      <c r="Q2497" s="1137"/>
      <c r="R2497" s="1137"/>
      <c r="S2497" s="1137"/>
      <c r="T2497" s="1137"/>
      <c r="U2497" s="1137"/>
      <c r="V2497" s="1137"/>
    </row>
    <row r="2498" spans="1:22" s="562" customFormat="1" ht="13.5" thickBot="1">
      <c r="A2498" s="817"/>
      <c r="C2498" s="485"/>
      <c r="D2498" s="776"/>
      <c r="E2498" s="777"/>
      <c r="F2498" s="813"/>
      <c r="G2498" s="778" t="str">
        <f>EUconst_Unit</f>
        <v>Unit</v>
      </c>
      <c r="H2498" s="843">
        <f t="shared" ref="H2498:N2498" si="185">H$2737</f>
        <v>2024</v>
      </c>
      <c r="I2498" s="844">
        <f t="shared" si="185"/>
        <v>2025</v>
      </c>
      <c r="J2498" s="2201">
        <f t="shared" si="185"/>
        <v>2026</v>
      </c>
      <c r="K2498" s="1476">
        <f t="shared" si="185"/>
        <v>2027</v>
      </c>
      <c r="L2498" s="1476">
        <f t="shared" si="185"/>
        <v>2028</v>
      </c>
      <c r="M2498" s="1476">
        <f t="shared" si="185"/>
        <v>2029</v>
      </c>
      <c r="N2498" s="1476">
        <f t="shared" si="185"/>
        <v>2030</v>
      </c>
      <c r="O2498" s="485"/>
      <c r="P2498" s="1137"/>
      <c r="Q2498" s="1137"/>
      <c r="R2498" s="1137"/>
      <c r="S2498" s="1137"/>
      <c r="T2498" s="1137"/>
      <c r="U2498" s="1137"/>
      <c r="V2498" s="1137"/>
    </row>
    <row r="2499" spans="1:22" s="562" customFormat="1" ht="13.5" customHeight="1" thickBot="1">
      <c r="A2499" s="817"/>
      <c r="C2499" s="485"/>
      <c r="D2499" s="776"/>
      <c r="E2499" s="845" t="s">
        <v>1504</v>
      </c>
      <c r="F2499" s="845"/>
      <c r="G2499" s="808" t="str">
        <f>EUconst_tCO2epa</f>
        <v>t CO2e/year</v>
      </c>
      <c r="H2499" s="786" t="str">
        <f t="shared" ref="H2499:N2499" si="186">INDEX(H$92:H$108,MATCH($I2464,$E$92:$E$108,0))</f>
        <v/>
      </c>
      <c r="I2499" s="788" t="str">
        <f t="shared" si="186"/>
        <v/>
      </c>
      <c r="J2499" s="1959" t="str">
        <f t="shared" si="186"/>
        <v/>
      </c>
      <c r="K2499" s="2203" t="str">
        <f t="shared" si="186"/>
        <v/>
      </c>
      <c r="L2499" s="2203" t="str">
        <f t="shared" si="186"/>
        <v/>
      </c>
      <c r="M2499" s="2203" t="str">
        <f t="shared" si="186"/>
        <v/>
      </c>
      <c r="N2499" s="2203" t="str">
        <f t="shared" si="186"/>
        <v/>
      </c>
      <c r="O2499" s="485"/>
      <c r="P2499" s="1137"/>
      <c r="Q2499" s="1137"/>
      <c r="R2499" s="1137"/>
      <c r="S2499" s="1137"/>
      <c r="T2499" s="1117"/>
      <c r="U2499" s="1137"/>
      <c r="V2499" s="1137"/>
    </row>
    <row r="2500" spans="1:22" s="562" customFormat="1" ht="5.0999999999999996" customHeight="1" thickBot="1">
      <c r="A2500" s="817"/>
      <c r="C2500" s="485"/>
      <c r="D2500" s="839"/>
      <c r="E2500" s="805"/>
      <c r="F2500" s="805"/>
      <c r="G2500" s="805"/>
      <c r="H2500" s="805"/>
      <c r="I2500" s="805"/>
      <c r="J2500" s="806"/>
      <c r="K2500" s="618"/>
      <c r="L2500" s="618"/>
      <c r="M2500" s="618"/>
      <c r="N2500" s="618"/>
      <c r="O2500" s="485"/>
      <c r="P2500" s="1137"/>
      <c r="Q2500" s="1137"/>
      <c r="R2500" s="1137"/>
      <c r="S2500" s="1137"/>
      <c r="T2500" s="1137"/>
      <c r="U2500" s="1137"/>
      <c r="V2500" s="1137"/>
    </row>
    <row r="2501" spans="1:22" s="562" customFormat="1" ht="25.5" customHeight="1">
      <c r="A2501" s="817"/>
      <c r="B2501" s="618"/>
      <c r="C2501" s="485"/>
      <c r="D2501" s="485"/>
      <c r="E2501" s="485"/>
      <c r="F2501" s="485"/>
      <c r="G2501" s="485"/>
      <c r="H2501" s="485"/>
      <c r="I2501" s="485"/>
      <c r="J2501" s="485"/>
      <c r="K2501" s="485"/>
      <c r="L2501" s="485"/>
      <c r="M2501" s="485"/>
      <c r="N2501" s="485"/>
      <c r="O2501" s="485"/>
      <c r="P2501" s="1137"/>
      <c r="Q2501" s="1137"/>
      <c r="R2501" s="1137"/>
      <c r="S2501" s="1137"/>
      <c r="T2501" s="1137"/>
      <c r="U2501" s="1137"/>
      <c r="V2501" s="1137"/>
    </row>
    <row r="2502" spans="1:22" ht="15.75">
      <c r="C2502" s="507" t="s">
        <v>636</v>
      </c>
      <c r="D2502" s="3444" t="s">
        <v>14</v>
      </c>
      <c r="E2502" s="3444"/>
      <c r="F2502" s="3444"/>
      <c r="G2502" s="3444"/>
      <c r="H2502" s="3444"/>
      <c r="I2502" s="3444"/>
      <c r="J2502" s="3444"/>
      <c r="K2502" s="3444"/>
      <c r="L2502" s="3444"/>
      <c r="M2502" s="3444"/>
      <c r="N2502" s="3444"/>
      <c r="O2502" s="485"/>
      <c r="P2502" s="1117" t="s">
        <v>1519</v>
      </c>
      <c r="Q2502" s="1117" t="s">
        <v>1519</v>
      </c>
      <c r="R2502" s="1117" t="s">
        <v>1519</v>
      </c>
      <c r="S2502" s="1117" t="s">
        <v>1519</v>
      </c>
      <c r="T2502" s="1117" t="s">
        <v>1519</v>
      </c>
      <c r="U2502" s="1117" t="s">
        <v>1519</v>
      </c>
      <c r="V2502" s="1117" t="s">
        <v>1519</v>
      </c>
    </row>
    <row r="2503" spans="1:22" s="562" customFormat="1" ht="12.75" customHeight="1">
      <c r="A2503" s="817"/>
      <c r="C2503" s="485"/>
      <c r="D2503" s="485"/>
      <c r="E2503" s="485"/>
      <c r="F2503" s="485"/>
      <c r="G2503" s="485"/>
      <c r="H2503" s="485"/>
      <c r="I2503" s="485"/>
      <c r="J2503" s="485"/>
      <c r="K2503" s="485"/>
      <c r="L2503" s="485"/>
      <c r="M2503" s="485"/>
      <c r="N2503" s="485"/>
      <c r="O2503" s="485"/>
      <c r="P2503" s="1117"/>
      <c r="Q2503" s="1117"/>
      <c r="R2503" s="1117"/>
      <c r="S2503" s="1117"/>
      <c r="T2503" s="1117"/>
      <c r="U2503" s="1137"/>
      <c r="V2503" s="1137"/>
    </row>
    <row r="2504" spans="1:22" ht="40.15" customHeight="1">
      <c r="C2504" s="481"/>
      <c r="D2504" s="485"/>
      <c r="E2504" s="2465" t="s">
        <v>2568</v>
      </c>
      <c r="F2504" s="2846"/>
      <c r="G2504" s="2846"/>
      <c r="H2504" s="2846"/>
      <c r="I2504" s="2846"/>
      <c r="J2504" s="2846"/>
      <c r="K2504" s="2846"/>
      <c r="L2504" s="2846"/>
      <c r="M2504" s="2846"/>
      <c r="N2504" s="2846"/>
      <c r="O2504" s="485"/>
      <c r="P2504" s="1117"/>
      <c r="Q2504" s="1137"/>
      <c r="R2504" s="1137"/>
      <c r="S2504" s="1137"/>
      <c r="T2504" s="1137"/>
      <c r="U2504" s="1137"/>
      <c r="V2504" s="1137"/>
    </row>
    <row r="2505" spans="1:22" ht="13.15" customHeight="1">
      <c r="C2505" s="481"/>
      <c r="D2505" s="485"/>
      <c r="E2505" s="2085" t="s">
        <v>1021</v>
      </c>
      <c r="F2505" s="3482" t="s">
        <v>1949</v>
      </c>
      <c r="G2505" s="3482"/>
      <c r="H2505" s="3482"/>
      <c r="I2505" s="3482"/>
      <c r="J2505" s="3482"/>
      <c r="K2505" s="3482"/>
      <c r="L2505" s="3482"/>
      <c r="M2505" s="3482"/>
      <c r="N2505" s="3482"/>
      <c r="O2505" s="485"/>
      <c r="P2505" s="1117"/>
      <c r="Q2505" s="1137"/>
      <c r="R2505" s="1137"/>
      <c r="S2505" s="1137"/>
      <c r="T2505" s="1137"/>
      <c r="U2505" s="1137"/>
      <c r="V2505" s="1137"/>
    </row>
    <row r="2506" spans="1:22" ht="13.15" customHeight="1">
      <c r="C2506" s="481"/>
      <c r="D2506" s="485"/>
      <c r="E2506" s="2085" t="s">
        <v>1021</v>
      </c>
      <c r="F2506" s="3482" t="s">
        <v>1950</v>
      </c>
      <c r="G2506" s="3482"/>
      <c r="H2506" s="3482"/>
      <c r="I2506" s="3482"/>
      <c r="J2506" s="3482"/>
      <c r="K2506" s="3482"/>
      <c r="L2506" s="3482"/>
      <c r="M2506" s="3482"/>
      <c r="N2506" s="3482"/>
      <c r="O2506" s="485"/>
      <c r="P2506" s="1117"/>
      <c r="Q2506" s="1137"/>
      <c r="R2506" s="1137"/>
      <c r="S2506" s="1137"/>
      <c r="T2506" s="1137"/>
      <c r="U2506" s="1137"/>
      <c r="V2506" s="1137"/>
    </row>
    <row r="2507" spans="1:22" ht="13.15" customHeight="1">
      <c r="C2507" s="481"/>
      <c r="D2507" s="485"/>
      <c r="E2507" s="2085" t="s">
        <v>1021</v>
      </c>
      <c r="F2507" s="3482" t="s">
        <v>15</v>
      </c>
      <c r="G2507" s="3482"/>
      <c r="H2507" s="3482"/>
      <c r="I2507" s="3482"/>
      <c r="J2507" s="3482"/>
      <c r="K2507" s="3482"/>
      <c r="L2507" s="3482"/>
      <c r="M2507" s="3482"/>
      <c r="N2507" s="3482"/>
      <c r="O2507" s="485"/>
      <c r="P2507" s="1117"/>
      <c r="Q2507" s="1137"/>
      <c r="R2507" s="1137"/>
      <c r="S2507" s="1137"/>
      <c r="T2507" s="1137"/>
      <c r="U2507" s="1137"/>
      <c r="V2507" s="1137"/>
    </row>
    <row r="2508" spans="1:22" ht="12.75" customHeight="1" thickBot="1">
      <c r="C2508" s="481"/>
      <c r="D2508" s="485"/>
      <c r="E2508" s="2085"/>
      <c r="F2508" s="2084"/>
      <c r="G2508" s="2084"/>
      <c r="H2508" s="2084"/>
      <c r="I2508" s="2084"/>
      <c r="J2508" s="2084"/>
      <c r="K2508" s="2084"/>
      <c r="L2508" s="2084"/>
      <c r="M2508" s="2084"/>
      <c r="N2508" s="2084"/>
      <c r="O2508" s="485"/>
      <c r="P2508" s="1117"/>
      <c r="Q2508" s="1137"/>
      <c r="R2508" s="1137"/>
      <c r="S2508" s="1137"/>
      <c r="T2508" s="1137"/>
      <c r="U2508" s="1137"/>
      <c r="V2508" s="1137"/>
    </row>
    <row r="2509" spans="1:22" s="2205" customFormat="1" ht="91.5" customHeight="1" thickBot="1">
      <c r="A2509" s="2204"/>
      <c r="C2509" s="1127"/>
      <c r="D2509" s="2501" t="s">
        <v>2566</v>
      </c>
      <c r="E2509" s="2396"/>
      <c r="F2509" s="2396"/>
      <c r="G2509" s="2396"/>
      <c r="H2509" s="2396"/>
      <c r="I2509" s="2396"/>
      <c r="J2509" s="2396"/>
      <c r="K2509" s="2396"/>
      <c r="L2509" s="2396"/>
      <c r="M2509" s="2396"/>
      <c r="N2509" s="2397"/>
      <c r="O2509" s="485"/>
      <c r="P2509" s="1117"/>
      <c r="Q2509" s="1117"/>
      <c r="R2509" s="1117"/>
      <c r="S2509" s="1117"/>
      <c r="T2509" s="1117"/>
      <c r="U2509" s="1137"/>
      <c r="V2509" s="1137"/>
    </row>
    <row r="2510" spans="1:22">
      <c r="C2510" s="485"/>
      <c r="D2510" s="485"/>
      <c r="E2510" s="485"/>
      <c r="F2510" s="485"/>
      <c r="G2510" s="485"/>
      <c r="H2510" s="485"/>
      <c r="I2510" s="485"/>
      <c r="J2510" s="485"/>
      <c r="K2510" s="485"/>
      <c r="L2510" s="485"/>
      <c r="M2510" s="485"/>
      <c r="N2510" s="485"/>
      <c r="O2510" s="485"/>
      <c r="P2510" s="1137"/>
      <c r="Q2510" s="1137"/>
      <c r="R2510" s="1137"/>
      <c r="S2510" s="1137"/>
      <c r="T2510" s="1137"/>
      <c r="U2510" s="1137"/>
      <c r="V2510" s="1137"/>
    </row>
    <row r="2511" spans="1:22" ht="13.9" customHeight="1">
      <c r="C2511" s="559">
        <v>1</v>
      </c>
      <c r="D2511" s="2464" t="s">
        <v>16</v>
      </c>
      <c r="E2511" s="2380"/>
      <c r="F2511" s="2380"/>
      <c r="G2511" s="2380"/>
      <c r="H2511" s="2380"/>
      <c r="I2511" s="2380"/>
      <c r="J2511" s="2380"/>
      <c r="K2511" s="2380"/>
      <c r="L2511" s="2380"/>
      <c r="M2511" s="2380"/>
      <c r="N2511" s="2380"/>
      <c r="O2511" s="485"/>
      <c r="P2511" s="1137"/>
      <c r="Q2511" s="1137"/>
      <c r="R2511" s="1137"/>
      <c r="S2511" s="1137"/>
      <c r="T2511" s="1137"/>
      <c r="U2511" s="1137"/>
      <c r="V2511" s="1137"/>
    </row>
    <row r="2512" spans="1:22" ht="38.85" customHeight="1">
      <c r="C2512" s="481"/>
      <c r="D2512" s="485"/>
      <c r="E2512" s="2465" t="s">
        <v>2569</v>
      </c>
      <c r="F2512" s="2846"/>
      <c r="G2512" s="2846"/>
      <c r="H2512" s="2846"/>
      <c r="I2512" s="2846"/>
      <c r="J2512" s="2846"/>
      <c r="K2512" s="2846"/>
      <c r="L2512" s="2846"/>
      <c r="M2512" s="2846"/>
      <c r="N2512" s="2846"/>
      <c r="O2512" s="485"/>
      <c r="P2512" s="1117"/>
      <c r="Q2512" s="1137"/>
      <c r="R2512" s="1137"/>
      <c r="S2512" s="1137"/>
      <c r="T2512" s="1137"/>
      <c r="U2512" s="1137"/>
      <c r="V2512" s="1137"/>
    </row>
    <row r="2513" spans="3:24" ht="13.15" customHeight="1">
      <c r="C2513" s="481"/>
      <c r="D2513" s="485"/>
      <c r="E2513" s="3496" t="s">
        <v>218</v>
      </c>
      <c r="F2513" s="2467"/>
      <c r="G2513" s="2467"/>
      <c r="H2513" s="2467"/>
      <c r="I2513" s="2467"/>
      <c r="J2513" s="2467"/>
      <c r="K2513" s="2467"/>
      <c r="L2513" s="2467"/>
      <c r="M2513" s="2467"/>
      <c r="N2513" s="2467"/>
      <c r="P2513" s="1137"/>
      <c r="Q2513" s="1137"/>
      <c r="R2513" s="1137"/>
      <c r="S2513" s="1137"/>
      <c r="T2513" s="1137"/>
      <c r="U2513" s="1137"/>
      <c r="V2513" s="1137"/>
    </row>
    <row r="2514" spans="3:24" ht="5.0999999999999996" customHeight="1">
      <c r="C2514" s="485"/>
      <c r="D2514" s="485"/>
      <c r="E2514" s="485"/>
      <c r="F2514" s="485"/>
      <c r="G2514" s="485"/>
      <c r="H2514" s="485"/>
      <c r="I2514" s="485"/>
      <c r="J2514" s="485"/>
      <c r="K2514" s="485"/>
      <c r="L2514" s="485"/>
      <c r="M2514" s="485"/>
      <c r="N2514" s="485"/>
      <c r="P2514" s="1137"/>
      <c r="Q2514" s="1137"/>
      <c r="R2514" s="1137"/>
      <c r="S2514" s="1137"/>
      <c r="T2514" s="1137"/>
      <c r="U2514" s="1137"/>
      <c r="V2514" s="1137"/>
    </row>
    <row r="2515" spans="3:24">
      <c r="D2515" s="482" t="s">
        <v>400</v>
      </c>
      <c r="E2515" s="496" t="s">
        <v>566</v>
      </c>
      <c r="F2515" s="496"/>
      <c r="G2515" s="496"/>
      <c r="H2515" s="485"/>
      <c r="I2515" s="570"/>
      <c r="J2515" s="570"/>
      <c r="K2515" s="568"/>
      <c r="L2515" s="485"/>
      <c r="M2515" s="485"/>
      <c r="N2515" s="485"/>
      <c r="P2515" s="1137"/>
      <c r="Q2515" s="1137"/>
      <c r="R2515" s="1137"/>
      <c r="S2515" s="1137"/>
      <c r="T2515" s="1137"/>
      <c r="U2515" s="1137"/>
      <c r="V2515" s="1137"/>
    </row>
    <row r="2516" spans="3:24">
      <c r="C2516" s="485"/>
      <c r="D2516" s="485"/>
      <c r="E2516" s="637"/>
      <c r="F2516" s="637"/>
      <c r="G2516" s="637"/>
      <c r="H2516" s="637"/>
      <c r="I2516" s="637"/>
      <c r="J2516" s="1081">
        <f>J$2737</f>
        <v>2026</v>
      </c>
      <c r="K2516" s="1490">
        <f>K$2737</f>
        <v>2027</v>
      </c>
      <c r="L2516" s="1490">
        <f>L$2737</f>
        <v>2028</v>
      </c>
      <c r="M2516" s="1490">
        <f>M$2737</f>
        <v>2029</v>
      </c>
      <c r="N2516" s="1490">
        <f>N$2737</f>
        <v>2030</v>
      </c>
      <c r="P2516" s="1137"/>
      <c r="Q2516" s="1137"/>
      <c r="R2516" s="1137"/>
      <c r="S2516" s="1137"/>
      <c r="T2516" s="1137"/>
      <c r="U2516" s="1137"/>
      <c r="V2516" s="1137"/>
    </row>
    <row r="2517" spans="3:24">
      <c r="C2517" s="485"/>
      <c r="D2517" s="485"/>
      <c r="E2517" s="2468" t="s">
        <v>1642</v>
      </c>
      <c r="F2517" s="2468"/>
      <c r="G2517" s="2468"/>
      <c r="H2517" s="2468"/>
      <c r="I2517" s="2468"/>
      <c r="J2517" s="851">
        <f>INDEX(EUconst_CLEFYears,J2516-2020)</f>
        <v>0.3</v>
      </c>
      <c r="K2517" s="1495">
        <f>INDEX(EUconst_CLEFYears,K2516-2020)</f>
        <v>0.22499999999999998</v>
      </c>
      <c r="L2517" s="1495">
        <f>INDEX(EUconst_CLEFYears,L2516-2020)</f>
        <v>0.14999999999999997</v>
      </c>
      <c r="M2517" s="1495">
        <f>INDEX(EUconst_CLEFYears,M2516-2020)</f>
        <v>7.4999999999999969E-2</v>
      </c>
      <c r="N2517" s="1495">
        <f>INDEX(EUconst_CLEFYears,N2516-2020)</f>
        <v>0</v>
      </c>
      <c r="P2517" s="1137"/>
      <c r="Q2517" s="1137"/>
      <c r="R2517" s="1137"/>
      <c r="S2517" s="1137"/>
      <c r="T2517" s="1137"/>
      <c r="U2517" s="1137"/>
      <c r="V2517" s="1137"/>
    </row>
    <row r="2518" spans="3:24">
      <c r="C2518" s="485"/>
      <c r="D2518" s="485"/>
      <c r="E2518" s="2468" t="s">
        <v>1589</v>
      </c>
      <c r="F2518" s="2468"/>
      <c r="G2518" s="2468"/>
      <c r="H2518" s="2468"/>
      <c r="I2518" s="2468"/>
      <c r="J2518" s="851">
        <f>INDEX(EUconst_CLEFDistrict,J2516-2020)</f>
        <v>0.3</v>
      </c>
      <c r="K2518" s="1495">
        <f>INDEX(EUconst_CLEFDistrict,K2516-2020)</f>
        <v>0.3</v>
      </c>
      <c r="L2518" s="1495">
        <f>INDEX(EUconst_CLEFDistrict,L2516-2020)</f>
        <v>0.3</v>
      </c>
      <c r="M2518" s="1495">
        <f>INDEX(EUconst_CLEFDistrict,M2516-2020)</f>
        <v>0.3</v>
      </c>
      <c r="N2518" s="1495">
        <f>INDEX(EUconst_CLEFDistrict,N2516-2020)</f>
        <v>0.3</v>
      </c>
      <c r="P2518" s="1137"/>
      <c r="Q2518" s="1137"/>
      <c r="R2518" s="1137"/>
      <c r="S2518" s="1137"/>
      <c r="T2518" s="1137"/>
      <c r="U2518" s="1137"/>
      <c r="V2518" s="1137"/>
    </row>
    <row r="2519" spans="3:24" ht="13.15" customHeight="1">
      <c r="C2519" s="485"/>
      <c r="D2519" s="485"/>
      <c r="E2519" s="3482" t="s">
        <v>1590</v>
      </c>
      <c r="F2519" s="3482"/>
      <c r="G2519" s="3482"/>
      <c r="H2519" s="3482"/>
      <c r="I2519" s="3482"/>
      <c r="J2519" s="3482"/>
      <c r="K2519" s="3482"/>
      <c r="L2519" s="3482"/>
      <c r="M2519" s="3482"/>
      <c r="N2519" s="3482"/>
      <c r="P2519" s="1137"/>
      <c r="Q2519" s="1137"/>
      <c r="R2519" s="1137"/>
      <c r="S2519" s="1137"/>
      <c r="T2519" s="1137"/>
      <c r="U2519" s="1137"/>
      <c r="V2519" s="1137"/>
    </row>
    <row r="2520" spans="3:24">
      <c r="C2520" s="485"/>
      <c r="D2520" s="485"/>
      <c r="E2520" s="485"/>
      <c r="F2520" s="485"/>
      <c r="G2520" s="485"/>
      <c r="H2520" s="485"/>
      <c r="I2520" s="485"/>
      <c r="J2520" s="485"/>
      <c r="K2520" s="485"/>
      <c r="L2520" s="485"/>
      <c r="M2520" s="485"/>
      <c r="N2520" s="485"/>
      <c r="P2520" s="1137"/>
      <c r="Q2520" s="1137"/>
      <c r="R2520" s="1137"/>
      <c r="S2520" s="1137"/>
      <c r="T2520" s="1137"/>
      <c r="U2520" s="1137"/>
      <c r="V2520" s="1137"/>
    </row>
    <row r="2521" spans="3:24">
      <c r="D2521" s="482" t="s">
        <v>876</v>
      </c>
      <c r="E2521" s="496" t="s">
        <v>2570</v>
      </c>
      <c r="F2521" s="496"/>
      <c r="G2521" s="496"/>
      <c r="H2521" s="485"/>
      <c r="I2521" s="570"/>
      <c r="J2521" s="570"/>
      <c r="K2521" s="568"/>
      <c r="L2521" s="485"/>
      <c r="M2521" s="485"/>
      <c r="N2521" s="485"/>
      <c r="P2521" s="1137"/>
      <c r="Q2521" s="1137"/>
      <c r="R2521" s="1137"/>
      <c r="S2521" s="1137"/>
      <c r="T2521" s="1137"/>
      <c r="U2521" s="1137"/>
      <c r="V2521" s="1137"/>
    </row>
    <row r="2522" spans="3:24" ht="5.0999999999999996" customHeight="1">
      <c r="C2522" s="485"/>
      <c r="D2522" s="485"/>
      <c r="E2522" s="485"/>
      <c r="F2522" s="485"/>
      <c r="G2522" s="485"/>
      <c r="H2522" s="485"/>
      <c r="I2522" s="485"/>
      <c r="J2522" s="485"/>
      <c r="K2522" s="485"/>
      <c r="L2522" s="485"/>
      <c r="M2522" s="485"/>
      <c r="N2522" s="485"/>
      <c r="P2522" s="1137"/>
      <c r="Q2522" s="1137"/>
      <c r="R2522" s="1137"/>
      <c r="S2522" s="1137"/>
      <c r="T2522" s="1137"/>
      <c r="U2522" s="1137"/>
      <c r="V2522" s="1137"/>
    </row>
    <row r="2523" spans="3:24" ht="12.75" customHeight="1" thickBot="1">
      <c r="C2523" s="485"/>
      <c r="D2523" s="2546" t="s">
        <v>831</v>
      </c>
      <c r="E2523" s="2394"/>
      <c r="F2523" s="2394"/>
      <c r="G2523" s="2394"/>
      <c r="H2523" s="2394"/>
      <c r="I2523" s="2394"/>
      <c r="J2523" s="696">
        <f>J$2737</f>
        <v>2026</v>
      </c>
      <c r="K2523" s="1490">
        <f>K$2737</f>
        <v>2027</v>
      </c>
      <c r="L2523" s="1490">
        <f>L$2737</f>
        <v>2028</v>
      </c>
      <c r="M2523" s="1490">
        <f>M$2737</f>
        <v>2029</v>
      </c>
      <c r="N2523" s="1490">
        <f>N$2737</f>
        <v>2030</v>
      </c>
      <c r="P2523" s="1137"/>
      <c r="Q2523" s="1137"/>
      <c r="R2523" s="1137"/>
      <c r="S2523" s="1137"/>
      <c r="T2523" s="1137"/>
      <c r="U2523" s="1137"/>
      <c r="V2523" s="1137"/>
      <c r="X2523" s="618" t="s">
        <v>568</v>
      </c>
    </row>
    <row r="2524" spans="3:24">
      <c r="C2524" s="852">
        <v>1</v>
      </c>
      <c r="D2524" s="2555" t="str">
        <f t="shared" ref="D2524:D2533" si="187">INDEX($R$477:$R$2502,MATCH($C2524,$Q$477:$Q$2502,0))</f>
        <v/>
      </c>
      <c r="E2524" s="2555"/>
      <c r="F2524" s="2555"/>
      <c r="G2524" s="2555"/>
      <c r="H2524" s="2555"/>
      <c r="I2524" s="3446"/>
      <c r="J2524" s="2206" t="str">
        <f t="shared" ref="J2524:N2533" si="188">IF(ISNUMBER(INDEX(J$477:J$2502,MATCH(EUconst_AllocPrelim&amp;$D2524,$P$477:$P$2502,0))),IF(CNTR_Eligible10a,INDEX(J$477:J$2502,MATCH(EUconst_AllocPrelim&amp;$D2524,$P$477:$P$2502,0)),EUconst_NotEligible),"")</f>
        <v/>
      </c>
      <c r="K2524" s="2021" t="str">
        <f t="shared" si="188"/>
        <v/>
      </c>
      <c r="L2524" s="2021" t="str">
        <f t="shared" si="188"/>
        <v/>
      </c>
      <c r="M2524" s="2021" t="str">
        <f t="shared" si="188"/>
        <v/>
      </c>
      <c r="N2524" s="2021" t="str">
        <f t="shared" si="188"/>
        <v/>
      </c>
      <c r="P2524" s="1137"/>
      <c r="Q2524" s="1137"/>
      <c r="R2524" s="1137"/>
      <c r="S2524" s="1137"/>
      <c r="T2524" s="1137"/>
      <c r="U2524" s="1137"/>
      <c r="V2524" s="1137"/>
      <c r="X2524" s="618" t="s">
        <v>2076</v>
      </c>
    </row>
    <row r="2525" spans="3:24">
      <c r="C2525" s="484">
        <f>C2524+1</f>
        <v>2</v>
      </c>
      <c r="D2525" s="2468" t="str">
        <f t="shared" si="187"/>
        <v/>
      </c>
      <c r="E2525" s="3478"/>
      <c r="F2525" s="3478"/>
      <c r="G2525" s="3478"/>
      <c r="H2525" s="3478"/>
      <c r="I2525" s="3479"/>
      <c r="J2525" s="1087" t="str">
        <f t="shared" si="188"/>
        <v/>
      </c>
      <c r="K2525" s="2021" t="str">
        <f t="shared" si="188"/>
        <v/>
      </c>
      <c r="L2525" s="2021" t="str">
        <f t="shared" si="188"/>
        <v/>
      </c>
      <c r="M2525" s="2021" t="str">
        <f t="shared" si="188"/>
        <v/>
      </c>
      <c r="N2525" s="2021" t="str">
        <f t="shared" si="188"/>
        <v/>
      </c>
      <c r="P2525" s="1137"/>
      <c r="Q2525" s="1137"/>
      <c r="R2525" s="1137"/>
      <c r="S2525" s="1137"/>
      <c r="T2525" s="1137"/>
      <c r="U2525" s="1137"/>
      <c r="V2525" s="1137"/>
    </row>
    <row r="2526" spans="3:24">
      <c r="C2526" s="484">
        <f t="shared" ref="C2526:C2539" si="189">C2525+1</f>
        <v>3</v>
      </c>
      <c r="D2526" s="2468" t="str">
        <f t="shared" si="187"/>
        <v/>
      </c>
      <c r="E2526" s="3478"/>
      <c r="F2526" s="3478"/>
      <c r="G2526" s="3478"/>
      <c r="H2526" s="3478"/>
      <c r="I2526" s="3479"/>
      <c r="J2526" s="1087" t="str">
        <f t="shared" si="188"/>
        <v/>
      </c>
      <c r="K2526" s="2021" t="str">
        <f t="shared" si="188"/>
        <v/>
      </c>
      <c r="L2526" s="2021" t="str">
        <f t="shared" si="188"/>
        <v/>
      </c>
      <c r="M2526" s="2021" t="str">
        <f t="shared" si="188"/>
        <v/>
      </c>
      <c r="N2526" s="2021" t="str">
        <f t="shared" si="188"/>
        <v/>
      </c>
      <c r="P2526" s="1137"/>
      <c r="Q2526" s="1137"/>
      <c r="R2526" s="1137"/>
      <c r="S2526" s="1137"/>
      <c r="T2526" s="1137"/>
      <c r="U2526" s="1137"/>
      <c r="V2526" s="1137"/>
    </row>
    <row r="2527" spans="3:24">
      <c r="C2527" s="484">
        <f t="shared" si="189"/>
        <v>4</v>
      </c>
      <c r="D2527" s="2468" t="str">
        <f t="shared" si="187"/>
        <v/>
      </c>
      <c r="E2527" s="3478"/>
      <c r="F2527" s="3478"/>
      <c r="G2527" s="3478"/>
      <c r="H2527" s="3478"/>
      <c r="I2527" s="3479"/>
      <c r="J2527" s="1087" t="str">
        <f t="shared" si="188"/>
        <v/>
      </c>
      <c r="K2527" s="2021" t="str">
        <f t="shared" si="188"/>
        <v/>
      </c>
      <c r="L2527" s="2021" t="str">
        <f t="shared" si="188"/>
        <v/>
      </c>
      <c r="M2527" s="2021" t="str">
        <f t="shared" si="188"/>
        <v/>
      </c>
      <c r="N2527" s="2021" t="str">
        <f t="shared" si="188"/>
        <v/>
      </c>
      <c r="P2527" s="1137"/>
      <c r="Q2527" s="1137"/>
      <c r="R2527" s="1137"/>
      <c r="S2527" s="1137"/>
      <c r="T2527" s="1137"/>
      <c r="U2527" s="1137"/>
      <c r="V2527" s="1137"/>
    </row>
    <row r="2528" spans="3:24">
      <c r="C2528" s="484">
        <f t="shared" si="189"/>
        <v>5</v>
      </c>
      <c r="D2528" s="2468" t="str">
        <f t="shared" si="187"/>
        <v/>
      </c>
      <c r="E2528" s="3478"/>
      <c r="F2528" s="3478"/>
      <c r="G2528" s="3478"/>
      <c r="H2528" s="3478"/>
      <c r="I2528" s="3479"/>
      <c r="J2528" s="1087" t="str">
        <f t="shared" si="188"/>
        <v/>
      </c>
      <c r="K2528" s="2021" t="str">
        <f t="shared" si="188"/>
        <v/>
      </c>
      <c r="L2528" s="2021" t="str">
        <f t="shared" si="188"/>
        <v/>
      </c>
      <c r="M2528" s="2021" t="str">
        <f t="shared" si="188"/>
        <v/>
      </c>
      <c r="N2528" s="2021" t="str">
        <f t="shared" si="188"/>
        <v/>
      </c>
      <c r="P2528" s="1137"/>
      <c r="Q2528" s="1137"/>
      <c r="R2528" s="1137"/>
      <c r="S2528" s="1137"/>
      <c r="T2528" s="1137"/>
      <c r="U2528" s="1137"/>
      <c r="V2528" s="1137"/>
    </row>
    <row r="2529" spans="3:22">
      <c r="C2529" s="484">
        <f t="shared" si="189"/>
        <v>6</v>
      </c>
      <c r="D2529" s="2468" t="str">
        <f t="shared" si="187"/>
        <v/>
      </c>
      <c r="E2529" s="3478"/>
      <c r="F2529" s="3478"/>
      <c r="G2529" s="3478"/>
      <c r="H2529" s="3478"/>
      <c r="I2529" s="3479"/>
      <c r="J2529" s="1087" t="str">
        <f t="shared" si="188"/>
        <v/>
      </c>
      <c r="K2529" s="2021" t="str">
        <f t="shared" si="188"/>
        <v/>
      </c>
      <c r="L2529" s="2021" t="str">
        <f t="shared" si="188"/>
        <v/>
      </c>
      <c r="M2529" s="2021" t="str">
        <f t="shared" si="188"/>
        <v/>
      </c>
      <c r="N2529" s="2021" t="str">
        <f t="shared" si="188"/>
        <v/>
      </c>
      <c r="P2529" s="1137"/>
      <c r="Q2529" s="1137"/>
      <c r="R2529" s="1137"/>
      <c r="S2529" s="1137"/>
      <c r="T2529" s="1137"/>
      <c r="U2529" s="1137"/>
      <c r="V2529" s="1137"/>
    </row>
    <row r="2530" spans="3:22" ht="12.75" customHeight="1">
      <c r="C2530" s="484">
        <f t="shared" si="189"/>
        <v>7</v>
      </c>
      <c r="D2530" s="2468" t="str">
        <f t="shared" si="187"/>
        <v/>
      </c>
      <c r="E2530" s="3478"/>
      <c r="F2530" s="3478"/>
      <c r="G2530" s="3478"/>
      <c r="H2530" s="3478"/>
      <c r="I2530" s="3479"/>
      <c r="J2530" s="1087" t="str">
        <f t="shared" si="188"/>
        <v/>
      </c>
      <c r="K2530" s="2021" t="str">
        <f t="shared" si="188"/>
        <v/>
      </c>
      <c r="L2530" s="2021" t="str">
        <f t="shared" si="188"/>
        <v/>
      </c>
      <c r="M2530" s="2021" t="str">
        <f t="shared" si="188"/>
        <v/>
      </c>
      <c r="N2530" s="2021" t="str">
        <f t="shared" si="188"/>
        <v/>
      </c>
      <c r="P2530" s="1137"/>
      <c r="Q2530" s="1137"/>
      <c r="R2530" s="1137"/>
      <c r="S2530" s="1137"/>
      <c r="T2530" s="1137"/>
      <c r="U2530" s="1137"/>
      <c r="V2530" s="1137"/>
    </row>
    <row r="2531" spans="3:22" ht="12.75" customHeight="1">
      <c r="C2531" s="484">
        <f t="shared" si="189"/>
        <v>8</v>
      </c>
      <c r="D2531" s="2468" t="str">
        <f t="shared" si="187"/>
        <v/>
      </c>
      <c r="E2531" s="3478"/>
      <c r="F2531" s="3478"/>
      <c r="G2531" s="3478"/>
      <c r="H2531" s="3478"/>
      <c r="I2531" s="3479"/>
      <c r="J2531" s="1087" t="str">
        <f t="shared" si="188"/>
        <v/>
      </c>
      <c r="K2531" s="2021" t="str">
        <f t="shared" si="188"/>
        <v/>
      </c>
      <c r="L2531" s="2021" t="str">
        <f t="shared" si="188"/>
        <v/>
      </c>
      <c r="M2531" s="2021" t="str">
        <f t="shared" si="188"/>
        <v/>
      </c>
      <c r="N2531" s="2021" t="str">
        <f t="shared" si="188"/>
        <v/>
      </c>
      <c r="P2531" s="1137"/>
      <c r="Q2531" s="1137"/>
      <c r="R2531" s="1137"/>
      <c r="S2531" s="1137"/>
      <c r="T2531" s="1137"/>
      <c r="U2531" s="1137"/>
      <c r="V2531" s="1137"/>
    </row>
    <row r="2532" spans="3:22" ht="12.75" customHeight="1">
      <c r="C2532" s="484">
        <f t="shared" si="189"/>
        <v>9</v>
      </c>
      <c r="D2532" s="2468" t="str">
        <f t="shared" si="187"/>
        <v/>
      </c>
      <c r="E2532" s="3478"/>
      <c r="F2532" s="3478"/>
      <c r="G2532" s="3478"/>
      <c r="H2532" s="3478"/>
      <c r="I2532" s="3479"/>
      <c r="J2532" s="1087" t="str">
        <f t="shared" si="188"/>
        <v/>
      </c>
      <c r="K2532" s="2021" t="str">
        <f t="shared" si="188"/>
        <v/>
      </c>
      <c r="L2532" s="2021" t="str">
        <f t="shared" si="188"/>
        <v/>
      </c>
      <c r="M2532" s="2021" t="str">
        <f t="shared" si="188"/>
        <v/>
      </c>
      <c r="N2532" s="2021" t="str">
        <f t="shared" si="188"/>
        <v/>
      </c>
      <c r="P2532" s="1137"/>
      <c r="Q2532" s="1137"/>
      <c r="R2532" s="1137"/>
      <c r="S2532" s="1137"/>
      <c r="T2532" s="1137"/>
      <c r="U2532" s="1137"/>
      <c r="V2532" s="1137"/>
    </row>
    <row r="2533" spans="3:22" ht="13.5" thickBot="1">
      <c r="C2533" s="854">
        <f t="shared" si="189"/>
        <v>10</v>
      </c>
      <c r="D2533" s="2553" t="str">
        <f t="shared" si="187"/>
        <v/>
      </c>
      <c r="E2533" s="3523"/>
      <c r="F2533" s="3523"/>
      <c r="G2533" s="3523"/>
      <c r="H2533" s="3523"/>
      <c r="I2533" s="3524"/>
      <c r="J2533" s="2207" t="str">
        <f t="shared" si="188"/>
        <v/>
      </c>
      <c r="K2533" s="2021" t="str">
        <f t="shared" si="188"/>
        <v/>
      </c>
      <c r="L2533" s="2021" t="str">
        <f t="shared" si="188"/>
        <v/>
      </c>
      <c r="M2533" s="2021" t="str">
        <f t="shared" si="188"/>
        <v/>
      </c>
      <c r="N2533" s="2021" t="str">
        <f t="shared" si="188"/>
        <v/>
      </c>
      <c r="P2533" s="1137"/>
      <c r="Q2533" s="1137"/>
      <c r="R2533" s="1137"/>
      <c r="S2533" s="1137"/>
      <c r="T2533" s="1137"/>
      <c r="U2533" s="1137"/>
      <c r="V2533" s="1137"/>
    </row>
    <row r="2534" spans="3:22">
      <c r="C2534" s="484">
        <f t="shared" si="189"/>
        <v>11</v>
      </c>
      <c r="D2534" s="2555" t="str">
        <f t="shared" ref="D2534:D2540" si="190">INDEX($R$641:$R$2502,MATCH($C2534,$Q$641:$Q$2502,0))</f>
        <v>Heat benchmark sub-installation, CL</v>
      </c>
      <c r="E2534" s="3521"/>
      <c r="F2534" s="3521"/>
      <c r="G2534" s="3521"/>
      <c r="H2534" s="3521"/>
      <c r="I2534" s="3522"/>
      <c r="J2534" s="2208" t="str">
        <f t="shared" ref="J2534:N2540" si="191">IF(ISNUMBER(INDEX(J$477:J$2502,MATCH(EUconst_AllocPrelim&amp;$D2534,$P$477:$P$2502,0))),IF(CNTR_Eligible10a,INDEX(J$477:J$2502,MATCH(EUconst_AllocPrelim&amp;$D2534,$P$477:$P$2502,0)),EUconst_NotEligible),"")</f>
        <v/>
      </c>
      <c r="K2534" s="2021" t="str">
        <f t="shared" si="191"/>
        <v/>
      </c>
      <c r="L2534" s="2021" t="str">
        <f t="shared" si="191"/>
        <v/>
      </c>
      <c r="M2534" s="2021" t="str">
        <f t="shared" si="191"/>
        <v/>
      </c>
      <c r="N2534" s="2021" t="str">
        <f t="shared" si="191"/>
        <v/>
      </c>
      <c r="P2534" s="1137"/>
      <c r="Q2534" s="1137"/>
      <c r="R2534" s="1137"/>
      <c r="S2534" s="1137"/>
      <c r="T2534" s="1137"/>
      <c r="U2534" s="1137"/>
      <c r="V2534" s="1137"/>
    </row>
    <row r="2535" spans="3:22">
      <c r="C2535" s="484">
        <f t="shared" si="189"/>
        <v>12</v>
      </c>
      <c r="D2535" s="2468" t="str">
        <f t="shared" si="190"/>
        <v>Heat benchmark sub-installation, non-CL</v>
      </c>
      <c r="E2535" s="3478"/>
      <c r="F2535" s="3478"/>
      <c r="G2535" s="3478"/>
      <c r="H2535" s="3478"/>
      <c r="I2535" s="3479"/>
      <c r="J2535" s="1087" t="str">
        <f t="shared" si="191"/>
        <v/>
      </c>
      <c r="K2535" s="2021" t="str">
        <f t="shared" si="191"/>
        <v/>
      </c>
      <c r="L2535" s="2021" t="str">
        <f t="shared" si="191"/>
        <v/>
      </c>
      <c r="M2535" s="2021" t="str">
        <f t="shared" si="191"/>
        <v/>
      </c>
      <c r="N2535" s="2021" t="str">
        <f t="shared" si="191"/>
        <v/>
      </c>
      <c r="P2535" s="1137"/>
      <c r="Q2535" s="1137"/>
      <c r="R2535" s="1137"/>
      <c r="S2535" s="1137"/>
      <c r="T2535" s="1137"/>
      <c r="U2535" s="1137"/>
      <c r="V2535" s="1137"/>
    </row>
    <row r="2536" spans="3:22">
      <c r="C2536" s="484">
        <f t="shared" si="189"/>
        <v>13</v>
      </c>
      <c r="D2536" s="2468" t="str">
        <f t="shared" si="190"/>
        <v>District heating sub-installation</v>
      </c>
      <c r="E2536" s="3478"/>
      <c r="F2536" s="3478"/>
      <c r="G2536" s="3478"/>
      <c r="H2536" s="3478"/>
      <c r="I2536" s="3479"/>
      <c r="J2536" s="1087" t="str">
        <f t="shared" si="191"/>
        <v/>
      </c>
      <c r="K2536" s="2021" t="str">
        <f t="shared" si="191"/>
        <v/>
      </c>
      <c r="L2536" s="2021" t="str">
        <f t="shared" si="191"/>
        <v/>
      </c>
      <c r="M2536" s="2021" t="str">
        <f t="shared" si="191"/>
        <v/>
      </c>
      <c r="N2536" s="2021" t="str">
        <f t="shared" si="191"/>
        <v/>
      </c>
      <c r="P2536" s="1137"/>
      <c r="Q2536" s="1137"/>
      <c r="R2536" s="1137"/>
      <c r="S2536" s="1137"/>
      <c r="T2536" s="1137"/>
      <c r="U2536" s="1137"/>
      <c r="V2536" s="1137"/>
    </row>
    <row r="2537" spans="3:22">
      <c r="C2537" s="484">
        <f t="shared" si="189"/>
        <v>14</v>
      </c>
      <c r="D2537" s="2468" t="str">
        <f t="shared" si="190"/>
        <v>Fuel benchmark sub-installation, CL</v>
      </c>
      <c r="E2537" s="3478"/>
      <c r="F2537" s="3478"/>
      <c r="G2537" s="3478"/>
      <c r="H2537" s="3478"/>
      <c r="I2537" s="3479"/>
      <c r="J2537" s="1087" t="str">
        <f t="shared" si="191"/>
        <v/>
      </c>
      <c r="K2537" s="2021" t="str">
        <f t="shared" si="191"/>
        <v/>
      </c>
      <c r="L2537" s="2021" t="str">
        <f t="shared" si="191"/>
        <v/>
      </c>
      <c r="M2537" s="2021" t="str">
        <f t="shared" si="191"/>
        <v/>
      </c>
      <c r="N2537" s="2021" t="str">
        <f t="shared" si="191"/>
        <v/>
      </c>
      <c r="P2537" s="1137"/>
      <c r="Q2537" s="1137"/>
      <c r="R2537" s="1137"/>
      <c r="S2537" s="1137"/>
      <c r="T2537" s="1137"/>
      <c r="U2537" s="1137"/>
      <c r="V2537" s="1137"/>
    </row>
    <row r="2538" spans="3:22">
      <c r="C2538" s="484">
        <f t="shared" si="189"/>
        <v>15</v>
      </c>
      <c r="D2538" s="2468" t="str">
        <f t="shared" si="190"/>
        <v>Fuel benchmark sub-installation, non-CL</v>
      </c>
      <c r="E2538" s="3478"/>
      <c r="F2538" s="3478"/>
      <c r="G2538" s="3478"/>
      <c r="H2538" s="3478"/>
      <c r="I2538" s="3479"/>
      <c r="J2538" s="1087" t="str">
        <f t="shared" si="191"/>
        <v/>
      </c>
      <c r="K2538" s="2021" t="str">
        <f t="shared" si="191"/>
        <v/>
      </c>
      <c r="L2538" s="2021" t="str">
        <f t="shared" si="191"/>
        <v/>
      </c>
      <c r="M2538" s="2021" t="str">
        <f t="shared" si="191"/>
        <v/>
      </c>
      <c r="N2538" s="2021" t="str">
        <f t="shared" si="191"/>
        <v/>
      </c>
      <c r="P2538" s="1137"/>
      <c r="Q2538" s="1137"/>
      <c r="R2538" s="1137"/>
      <c r="S2538" s="1137"/>
      <c r="T2538" s="1137"/>
      <c r="U2538" s="1137"/>
      <c r="V2538" s="1137"/>
    </row>
    <row r="2539" spans="3:22">
      <c r="C2539" s="484">
        <f t="shared" si="189"/>
        <v>16</v>
      </c>
      <c r="D2539" s="2468" t="str">
        <f t="shared" si="190"/>
        <v>Process emissions sub-installation, CL</v>
      </c>
      <c r="E2539" s="3478"/>
      <c r="F2539" s="3478"/>
      <c r="G2539" s="3478"/>
      <c r="H2539" s="3478"/>
      <c r="I2539" s="3479"/>
      <c r="J2539" s="2209" t="str">
        <f t="shared" si="191"/>
        <v/>
      </c>
      <c r="K2539" s="2021" t="str">
        <f t="shared" si="191"/>
        <v/>
      </c>
      <c r="L2539" s="2021" t="str">
        <f t="shared" si="191"/>
        <v/>
      </c>
      <c r="M2539" s="2021" t="str">
        <f t="shared" si="191"/>
        <v/>
      </c>
      <c r="N2539" s="2021" t="str">
        <f t="shared" si="191"/>
        <v/>
      </c>
      <c r="P2539" s="1137"/>
      <c r="Q2539" s="1137"/>
      <c r="R2539" s="1137"/>
      <c r="S2539" s="1137"/>
      <c r="T2539" s="1137"/>
      <c r="U2539" s="1137"/>
      <c r="V2539" s="1137"/>
    </row>
    <row r="2540" spans="3:22" ht="13.5" thickBot="1">
      <c r="C2540" s="855">
        <v>17</v>
      </c>
      <c r="D2540" s="2549" t="str">
        <f t="shared" si="190"/>
        <v>Process emissions sub-installation, non-CL</v>
      </c>
      <c r="E2540" s="3480"/>
      <c r="F2540" s="3480"/>
      <c r="G2540" s="3480"/>
      <c r="H2540" s="3480"/>
      <c r="I2540" s="3481"/>
      <c r="J2540" s="2207" t="str">
        <f t="shared" si="191"/>
        <v/>
      </c>
      <c r="K2540" s="2021" t="str">
        <f t="shared" si="191"/>
        <v/>
      </c>
      <c r="L2540" s="2021" t="str">
        <f t="shared" si="191"/>
        <v/>
      </c>
      <c r="M2540" s="2021" t="str">
        <f t="shared" si="191"/>
        <v/>
      </c>
      <c r="N2540" s="2021" t="str">
        <f t="shared" si="191"/>
        <v/>
      </c>
      <c r="P2540" s="1137"/>
      <c r="Q2540" s="1137"/>
      <c r="R2540" s="1137"/>
      <c r="S2540" s="1137"/>
      <c r="T2540" s="1137"/>
      <c r="U2540" s="1137"/>
      <c r="V2540" s="1137"/>
    </row>
    <row r="2541" spans="3:22">
      <c r="C2541" s="485"/>
      <c r="D2541" s="2551" t="s">
        <v>565</v>
      </c>
      <c r="E2541" s="3483"/>
      <c r="F2541" s="3483"/>
      <c r="G2541" s="3483"/>
      <c r="H2541" s="3483"/>
      <c r="I2541" s="3484"/>
      <c r="J2541" s="2210" t="str">
        <f>IF(COUNT(J2524:J2540)&gt;0,IF(SUM(J2524:J2540)&gt;0,SUM(J2524:J2540),0),"")</f>
        <v/>
      </c>
      <c r="K2541" s="2211" t="str">
        <f>IF(COUNT(K2524:K2540)&gt;0,IF(SUM(K2524:K2540)&gt;0,SUM(K2524:K2540),0),"")</f>
        <v/>
      </c>
      <c r="L2541" s="2211" t="str">
        <f>IF(COUNT(L2524:L2540)&gt;0,IF(SUM(L2524:L2540)&gt;0,SUM(L2524:L2540),0),"")</f>
        <v/>
      </c>
      <c r="M2541" s="2211" t="str">
        <f>IF(COUNT(M2524:M2540)&gt;0,IF(SUM(M2524:M2540)&gt;0,SUM(M2524:M2540),0),"")</f>
        <v/>
      </c>
      <c r="N2541" s="2211" t="str">
        <f>IF(COUNT(N2524:N2540)&gt;0,IF(SUM(N2524:N2540)&gt;0,SUM(N2524:N2540),0),"")</f>
        <v/>
      </c>
      <c r="P2541" s="1137"/>
      <c r="Q2541" s="1137"/>
      <c r="R2541" s="1137"/>
      <c r="S2541" s="1137"/>
      <c r="T2541" s="1137"/>
      <c r="U2541" s="1137"/>
      <c r="V2541" s="1137"/>
    </row>
    <row r="2542" spans="3:22">
      <c r="C2542" s="485"/>
      <c r="D2542" s="485"/>
      <c r="E2542" s="485"/>
      <c r="F2542" s="485"/>
      <c r="G2542" s="485"/>
      <c r="H2542" s="485"/>
      <c r="I2542" s="485"/>
      <c r="J2542" s="485"/>
      <c r="K2542" s="485"/>
      <c r="L2542" s="485"/>
      <c r="M2542" s="485"/>
      <c r="N2542" s="485"/>
      <c r="P2542" s="1137"/>
      <c r="Q2542" s="1137"/>
      <c r="R2542" s="1137"/>
      <c r="S2542" s="1137"/>
      <c r="T2542" s="1137"/>
      <c r="U2542" s="1137"/>
      <c r="V2542" s="1137"/>
    </row>
    <row r="2543" spans="3:22" ht="15">
      <c r="C2543" s="559">
        <v>2</v>
      </c>
      <c r="D2543" s="856" t="s">
        <v>13</v>
      </c>
      <c r="E2543" s="485"/>
      <c r="F2543" s="485"/>
      <c r="G2543" s="485"/>
      <c r="H2543" s="485"/>
      <c r="I2543" s="570"/>
      <c r="J2543" s="570"/>
      <c r="K2543" s="568"/>
      <c r="L2543" s="485"/>
      <c r="M2543" s="485"/>
      <c r="N2543" s="485"/>
      <c r="P2543" s="1137"/>
      <c r="Q2543" s="1137"/>
      <c r="R2543" s="1137"/>
      <c r="S2543" s="1137"/>
      <c r="T2543" s="1137"/>
      <c r="U2543" s="1137"/>
      <c r="V2543" s="1137"/>
    </row>
    <row r="2544" spans="3:22" ht="5.0999999999999996" customHeight="1">
      <c r="C2544" s="485"/>
      <c r="D2544" s="485"/>
      <c r="E2544" s="485"/>
      <c r="F2544" s="485"/>
      <c r="G2544" s="485"/>
      <c r="H2544" s="485"/>
      <c r="I2544" s="485"/>
      <c r="J2544" s="485"/>
      <c r="K2544" s="485"/>
      <c r="L2544" s="485"/>
      <c r="M2544" s="485"/>
      <c r="N2544" s="485"/>
      <c r="P2544" s="1137"/>
      <c r="Q2544" s="1137"/>
      <c r="R2544" s="1137"/>
      <c r="S2544" s="1137"/>
      <c r="T2544" s="1137"/>
      <c r="U2544" s="1137"/>
      <c r="V2544" s="1137"/>
    </row>
    <row r="2545" spans="3:22">
      <c r="D2545" s="482" t="s">
        <v>400</v>
      </c>
      <c r="E2545" s="496" t="s">
        <v>2571</v>
      </c>
      <c r="F2545" s="496"/>
      <c r="G2545" s="496"/>
      <c r="H2545" s="485"/>
      <c r="I2545" s="570"/>
      <c r="J2545" s="570"/>
      <c r="K2545" s="568"/>
      <c r="L2545" s="485"/>
      <c r="M2545" s="485"/>
      <c r="N2545" s="485"/>
      <c r="P2545" s="1137"/>
      <c r="Q2545" s="1137"/>
      <c r="R2545" s="1137"/>
      <c r="S2545" s="1137"/>
      <c r="T2545" s="1137"/>
      <c r="U2545" s="1137"/>
      <c r="V2545" s="1137"/>
    </row>
    <row r="2546" spans="3:22">
      <c r="C2546" s="485"/>
      <c r="D2546" s="485"/>
      <c r="E2546" s="485"/>
      <c r="F2546" s="485"/>
      <c r="G2546" s="485"/>
      <c r="H2546" s="485"/>
      <c r="I2546" s="570"/>
      <c r="J2546" s="2212">
        <f>J$2737</f>
        <v>2026</v>
      </c>
      <c r="K2546" s="1490">
        <f>K$2737</f>
        <v>2027</v>
      </c>
      <c r="L2546" s="1490">
        <f>L$2737</f>
        <v>2028</v>
      </c>
      <c r="M2546" s="1490">
        <f>M$2737</f>
        <v>2029</v>
      </c>
      <c r="N2546" s="1490">
        <f>N$2737</f>
        <v>2030</v>
      </c>
      <c r="P2546" s="1137"/>
      <c r="Q2546" s="1137"/>
      <c r="R2546" s="1137"/>
      <c r="S2546" s="1137"/>
      <c r="T2546" s="1137"/>
      <c r="U2546" s="1137"/>
      <c r="V2546" s="1137"/>
    </row>
    <row r="2547" spans="3:22">
      <c r="C2547" s="485"/>
      <c r="D2547" s="485"/>
      <c r="E2547" s="2478" t="s">
        <v>2342</v>
      </c>
      <c r="F2547" s="2478"/>
      <c r="G2547" s="2478"/>
      <c r="H2547" s="2478"/>
      <c r="I2547" s="3485"/>
      <c r="J2547" s="851">
        <f>ROUND(0.8782-0.022*(J2546-2020),4)</f>
        <v>0.74619999999999997</v>
      </c>
      <c r="K2547" s="1495">
        <f>ROUND(0.8782-0.022*(K2546-2020),4)</f>
        <v>0.72419999999999995</v>
      </c>
      <c r="L2547" s="1495">
        <f>ROUND(0.8782-0.022*(L2546-2020),4)</f>
        <v>0.70220000000000005</v>
      </c>
      <c r="M2547" s="1495">
        <f>ROUND(0.8782-0.022*(M2546-2020),4)</f>
        <v>0.68020000000000003</v>
      </c>
      <c r="N2547" s="1495">
        <f>ROUND(0.8782-0.022*(N2546-2020),4)</f>
        <v>0.65820000000000001</v>
      </c>
      <c r="P2547" s="1137"/>
      <c r="Q2547" s="1137"/>
      <c r="R2547" s="1137"/>
      <c r="S2547" s="1137"/>
      <c r="T2547" s="1137"/>
      <c r="U2547" s="1137"/>
      <c r="V2547" s="1137"/>
    </row>
    <row r="2548" spans="3:22" ht="5.0999999999999996" customHeight="1">
      <c r="C2548" s="485"/>
      <c r="D2548" s="485"/>
      <c r="E2548" s="485"/>
      <c r="F2548" s="485"/>
      <c r="G2548" s="485"/>
      <c r="H2548" s="485"/>
      <c r="I2548" s="485"/>
      <c r="J2548" s="485"/>
      <c r="K2548" s="1791"/>
      <c r="L2548" s="1791"/>
      <c r="M2548" s="1791"/>
      <c r="N2548" s="1791"/>
      <c r="P2548" s="1137"/>
      <c r="Q2548" s="1137"/>
      <c r="R2548" s="1137"/>
      <c r="S2548" s="1137"/>
      <c r="T2548" s="1137"/>
      <c r="U2548" s="1137"/>
      <c r="V2548" s="1137"/>
    </row>
    <row r="2549" spans="3:22">
      <c r="D2549" s="482" t="s">
        <v>876</v>
      </c>
      <c r="E2549" s="496" t="s">
        <v>2572</v>
      </c>
      <c r="F2549" s="496"/>
      <c r="G2549" s="496"/>
      <c r="H2549" s="485"/>
      <c r="I2549" s="570"/>
      <c r="J2549" s="570"/>
      <c r="K2549" s="1154"/>
      <c r="L2549" s="1791"/>
      <c r="M2549" s="1791"/>
      <c r="N2549" s="1791"/>
      <c r="P2549" s="1137"/>
      <c r="Q2549" s="1137"/>
      <c r="R2549" s="1137"/>
      <c r="S2549" s="1137"/>
      <c r="T2549" s="1137"/>
      <c r="U2549" s="1137"/>
      <c r="V2549" s="1137"/>
    </row>
    <row r="2550" spans="3:22">
      <c r="C2550" s="485"/>
      <c r="D2550" s="485"/>
      <c r="E2550" s="485"/>
      <c r="F2550" s="485"/>
      <c r="G2550" s="485"/>
      <c r="H2550" s="485"/>
      <c r="I2550" s="570"/>
      <c r="J2550" s="2212">
        <f>J$2737</f>
        <v>2026</v>
      </c>
      <c r="K2550" s="1490">
        <f>K$2737</f>
        <v>2027</v>
      </c>
      <c r="L2550" s="1490">
        <f>L$2737</f>
        <v>2028</v>
      </c>
      <c r="M2550" s="1490">
        <f>M$2737</f>
        <v>2029</v>
      </c>
      <c r="N2550" s="1490">
        <f>N$2737</f>
        <v>2030</v>
      </c>
      <c r="P2550" s="1137"/>
      <c r="Q2550" s="1137"/>
      <c r="R2550" s="1137"/>
      <c r="S2550" s="1137"/>
      <c r="T2550" s="1137"/>
      <c r="U2550" s="1137"/>
      <c r="V2550" s="1137"/>
    </row>
    <row r="2551" spans="3:22">
      <c r="C2551" s="485"/>
      <c r="D2551" s="485"/>
      <c r="E2551" s="2478" t="s">
        <v>1772</v>
      </c>
      <c r="F2551" s="2478"/>
      <c r="G2551" s="2478"/>
      <c r="H2551" s="2478"/>
      <c r="I2551" s="3485"/>
      <c r="J2551" s="851">
        <v>1</v>
      </c>
      <c r="K2551" s="1495">
        <f>J2551-0.022</f>
        <v>0.97799999999999998</v>
      </c>
      <c r="L2551" s="1495">
        <f>K2551-0.022</f>
        <v>0.95599999999999996</v>
      </c>
      <c r="M2551" s="1495">
        <f>L2551-0.022</f>
        <v>0.93399999999999994</v>
      </c>
      <c r="N2551" s="1495">
        <f>M2551-0.022</f>
        <v>0.91199999999999992</v>
      </c>
      <c r="P2551" s="1137"/>
      <c r="Q2551" s="1137"/>
      <c r="R2551" s="1137"/>
      <c r="S2551" s="1137"/>
      <c r="T2551" s="1137"/>
      <c r="U2551" s="1137"/>
      <c r="V2551" s="1137"/>
    </row>
    <row r="2552" spans="3:22" ht="5.0999999999999996" customHeight="1">
      <c r="C2552" s="485"/>
      <c r="D2552" s="485"/>
      <c r="E2552" s="485"/>
      <c r="F2552" s="485"/>
      <c r="G2552" s="485"/>
      <c r="H2552" s="485"/>
      <c r="I2552" s="485"/>
      <c r="J2552" s="485"/>
      <c r="K2552" s="1791"/>
      <c r="L2552" s="1791"/>
      <c r="M2552" s="1791"/>
      <c r="N2552" s="1791"/>
      <c r="P2552" s="1137"/>
      <c r="Q2552" s="1137"/>
      <c r="R2552" s="1137"/>
      <c r="S2552" s="1137"/>
      <c r="T2552" s="1137"/>
      <c r="U2552" s="1137"/>
      <c r="V2552" s="1137"/>
    </row>
    <row r="2553" spans="3:22">
      <c r="C2553" s="481"/>
      <c r="D2553" s="482" t="s">
        <v>48</v>
      </c>
      <c r="E2553" s="496" t="s">
        <v>2162</v>
      </c>
      <c r="F2553" s="485"/>
      <c r="G2553" s="485"/>
      <c r="H2553" s="485"/>
      <c r="I2553" s="485"/>
      <c r="J2553" s="485"/>
      <c r="K2553" s="1791"/>
      <c r="L2553" s="1791"/>
      <c r="M2553" s="1791"/>
      <c r="N2553" s="1791"/>
      <c r="P2553" s="1137"/>
      <c r="Q2553" s="1137"/>
      <c r="R2553" s="1137"/>
      <c r="S2553" s="1137"/>
      <c r="T2553" s="1137"/>
      <c r="U2553" s="1137"/>
      <c r="V2553" s="1137"/>
    </row>
    <row r="2554" spans="3:22" ht="12.75" customHeight="1">
      <c r="C2554" s="485"/>
      <c r="D2554" s="485"/>
      <c r="E2554" s="485"/>
      <c r="F2554" s="485"/>
      <c r="G2554" s="485"/>
      <c r="H2554" s="485"/>
      <c r="I2554" s="570"/>
      <c r="J2554" s="2212">
        <f>J$2737</f>
        <v>2026</v>
      </c>
      <c r="K2554" s="1490">
        <f>K$2737</f>
        <v>2027</v>
      </c>
      <c r="L2554" s="1490">
        <f>L$2737</f>
        <v>2028</v>
      </c>
      <c r="M2554" s="1490">
        <f>M$2737</f>
        <v>2029</v>
      </c>
      <c r="N2554" s="1490">
        <f>N$2737</f>
        <v>2030</v>
      </c>
      <c r="P2554" s="1137"/>
      <c r="Q2554" s="1137"/>
      <c r="R2554" s="1137"/>
      <c r="S2554" s="1137"/>
      <c r="T2554" s="1137"/>
      <c r="U2554" s="1137"/>
      <c r="V2554" s="1137"/>
    </row>
    <row r="2555" spans="3:22">
      <c r="C2555" s="485"/>
      <c r="D2555" s="485"/>
      <c r="E2555" s="2478" t="s">
        <v>1534</v>
      </c>
      <c r="F2555" s="2478"/>
      <c r="G2555" s="2478"/>
      <c r="H2555" s="2478"/>
      <c r="I2555" s="2480"/>
      <c r="J2555" s="859">
        <v>1</v>
      </c>
      <c r="K2555" s="1495">
        <v>1</v>
      </c>
      <c r="L2555" s="1495">
        <v>1</v>
      </c>
      <c r="M2555" s="1495">
        <v>1</v>
      </c>
      <c r="N2555" s="1495">
        <v>1</v>
      </c>
      <c r="P2555" s="1137"/>
      <c r="Q2555" s="1137"/>
      <c r="R2555" s="1137"/>
      <c r="S2555" s="1137"/>
      <c r="T2555" s="1137"/>
      <c r="U2555" s="1137"/>
      <c r="V2555" s="1137"/>
    </row>
    <row r="2556" spans="3:22" ht="5.0999999999999996" customHeight="1">
      <c r="C2556" s="485"/>
      <c r="D2556" s="485"/>
      <c r="E2556" s="485"/>
      <c r="F2556" s="485"/>
      <c r="G2556" s="485"/>
      <c r="H2556" s="485"/>
      <c r="I2556" s="485"/>
      <c r="J2556" s="485"/>
      <c r="K2556" s="485"/>
      <c r="L2556" s="485"/>
      <c r="M2556" s="485"/>
      <c r="N2556" s="485"/>
      <c r="P2556" s="1137"/>
      <c r="Q2556" s="1137"/>
      <c r="R2556" s="1137"/>
      <c r="S2556" s="1137"/>
      <c r="T2556" s="1137"/>
      <c r="U2556" s="1137"/>
      <c r="V2556" s="1137"/>
    </row>
    <row r="2557" spans="3:22">
      <c r="C2557" s="485"/>
      <c r="D2557" s="482" t="s">
        <v>881</v>
      </c>
      <c r="E2557" s="496" t="s">
        <v>1544</v>
      </c>
      <c r="F2557" s="485"/>
      <c r="G2557" s="485"/>
      <c r="H2557" s="485"/>
      <c r="I2557" s="485"/>
      <c r="J2557" s="485"/>
      <c r="K2557" s="485"/>
      <c r="L2557" s="485"/>
      <c r="M2557" s="485"/>
      <c r="N2557" s="485"/>
      <c r="P2557" s="1137"/>
      <c r="Q2557" s="1137"/>
      <c r="R2557" s="1137"/>
      <c r="S2557" s="1137"/>
      <c r="T2557" s="1137"/>
      <c r="U2557" s="1137"/>
      <c r="V2557" s="1137"/>
    </row>
    <row r="2558" spans="3:22" ht="25.5" customHeight="1">
      <c r="C2558" s="485"/>
      <c r="D2558" s="485"/>
      <c r="E2558" s="3482" t="s">
        <v>2163</v>
      </c>
      <c r="F2558" s="2846"/>
      <c r="G2558" s="2846"/>
      <c r="H2558" s="2846"/>
      <c r="I2558" s="2846"/>
      <c r="J2558" s="2846"/>
      <c r="K2558" s="2846"/>
      <c r="L2558" s="2846"/>
      <c r="M2558" s="2846"/>
      <c r="N2558" s="2846"/>
      <c r="P2558" s="1137"/>
      <c r="Q2558" s="1137"/>
      <c r="R2558" s="1137"/>
      <c r="S2558" s="1137"/>
      <c r="T2558" s="1137"/>
      <c r="U2558" s="1137"/>
      <c r="V2558" s="1137"/>
    </row>
    <row r="2559" spans="3:22" ht="13.15" customHeight="1">
      <c r="C2559" s="485"/>
      <c r="D2559" s="485"/>
      <c r="E2559" s="3482" t="s">
        <v>2343</v>
      </c>
      <c r="F2559" s="2846"/>
      <c r="G2559" s="2846"/>
      <c r="H2559" s="2846"/>
      <c r="I2559" s="2846"/>
      <c r="J2559" s="2846"/>
      <c r="K2559" s="2846"/>
      <c r="L2559" s="2846"/>
      <c r="M2559" s="2846"/>
      <c r="N2559" s="2846"/>
      <c r="P2559" s="1137"/>
      <c r="Q2559" s="1137"/>
      <c r="R2559" s="1137"/>
      <c r="S2559" s="1137"/>
      <c r="T2559" s="1137"/>
      <c r="U2559" s="1137"/>
      <c r="V2559" s="1137"/>
    </row>
    <row r="2560" spans="3:22" ht="12.75" customHeight="1">
      <c r="C2560" s="485"/>
      <c r="D2560" s="485"/>
      <c r="E2560" s="485"/>
      <c r="F2560" s="485"/>
      <c r="G2560" s="485"/>
      <c r="H2560" s="485"/>
      <c r="I2560" s="570"/>
      <c r="J2560" s="563">
        <f>J$2737</f>
        <v>2026</v>
      </c>
      <c r="K2560" s="1490">
        <f>K$2737</f>
        <v>2027</v>
      </c>
      <c r="L2560" s="1490">
        <f>L$2737</f>
        <v>2028</v>
      </c>
      <c r="M2560" s="1490">
        <f>M$2737</f>
        <v>2029</v>
      </c>
      <c r="N2560" s="1490">
        <f>N$2737</f>
        <v>2030</v>
      </c>
      <c r="P2560" s="1137"/>
      <c r="Q2560" s="1137"/>
      <c r="R2560" s="1137"/>
      <c r="S2560" s="1137"/>
      <c r="T2560" s="1137"/>
      <c r="U2560" s="1137"/>
      <c r="V2560" s="1137"/>
    </row>
    <row r="2561" spans="3:22">
      <c r="C2561" s="485"/>
      <c r="D2561" s="485"/>
      <c r="E2561" s="2478" t="s">
        <v>567</v>
      </c>
      <c r="F2561" s="2478"/>
      <c r="G2561" s="2478"/>
      <c r="H2561" s="2478"/>
      <c r="I2561" s="3486"/>
      <c r="J2561" s="2213" t="str">
        <f>IF(CNTR_HasEntries_A_I,IF($H$18=FALSE,J2551,IF(AND(CNTR_ApplyLinF,J2555=1),J2547,J2555)),"")</f>
        <v/>
      </c>
      <c r="K2561" s="1495" t="str">
        <f>IF(CNTR_HasEntries_A_I,IF($H$18=FALSE,K2551,IF(AND(CNTR_ApplyLinF,K2555=1),K2547,K2555)),"")</f>
        <v/>
      </c>
      <c r="L2561" s="1495" t="str">
        <f>IF(CNTR_HasEntries_A_I,IF($H$18=FALSE,L2551,IF(AND(CNTR_ApplyLinF,L2555=1),L2547,L2555)),"")</f>
        <v/>
      </c>
      <c r="M2561" s="1495" t="str">
        <f>IF(CNTR_HasEntries_A_I,IF($H$18=FALSE,M2551,IF(AND(CNTR_ApplyLinF,M2555=1),M2547,M2555)),"")</f>
        <v/>
      </c>
      <c r="N2561" s="1495" t="str">
        <f>IF(CNTR_HasEntries_A_I,IF($H$18=FALSE,N2551,IF(AND(CNTR_ApplyLinF,N2555=1),N2547,N2555)),"")</f>
        <v/>
      </c>
      <c r="O2561" s="485"/>
      <c r="P2561" s="1137"/>
      <c r="Q2561" s="1137"/>
      <c r="R2561" s="1137"/>
      <c r="S2561" s="1137"/>
      <c r="T2561" s="1137"/>
      <c r="U2561" s="1137"/>
      <c r="V2561" s="1137"/>
    </row>
    <row r="2562" spans="3:22" ht="5.0999999999999996" customHeight="1">
      <c r="C2562" s="485"/>
      <c r="D2562" s="485"/>
      <c r="E2562" s="485"/>
      <c r="F2562" s="485"/>
      <c r="G2562" s="485"/>
      <c r="H2562" s="485"/>
      <c r="I2562" s="485"/>
      <c r="J2562" s="485"/>
      <c r="K2562" s="485"/>
      <c r="L2562" s="485"/>
      <c r="M2562" s="485"/>
      <c r="N2562" s="485"/>
      <c r="O2562" s="485"/>
      <c r="P2562" s="1137"/>
      <c r="Q2562" s="1137"/>
      <c r="R2562" s="1137"/>
      <c r="S2562" s="1137"/>
      <c r="T2562" s="1137"/>
      <c r="U2562" s="1137"/>
      <c r="V2562" s="1137"/>
    </row>
    <row r="2563" spans="3:22">
      <c r="D2563" s="482" t="s">
        <v>57</v>
      </c>
      <c r="E2563" s="496" t="s">
        <v>2573</v>
      </c>
      <c r="F2563" s="496"/>
      <c r="G2563" s="496"/>
      <c r="H2563" s="485"/>
      <c r="I2563" s="570"/>
      <c r="J2563" s="570"/>
      <c r="K2563" s="568"/>
      <c r="L2563" s="485"/>
      <c r="M2563" s="485"/>
      <c r="N2563" s="485"/>
      <c r="O2563" s="485"/>
      <c r="P2563" s="1137"/>
      <c r="Q2563" s="1137"/>
      <c r="R2563" s="1137"/>
      <c r="S2563" s="1137"/>
      <c r="T2563" s="1137"/>
      <c r="U2563" s="1137"/>
      <c r="V2563" s="1137"/>
    </row>
    <row r="2564" spans="3:22" ht="25.5" customHeight="1">
      <c r="C2564" s="481"/>
      <c r="D2564" s="485"/>
      <c r="E2564" s="2465" t="s">
        <v>2574</v>
      </c>
      <c r="F2564" s="2846"/>
      <c r="G2564" s="2846"/>
      <c r="H2564" s="2846"/>
      <c r="I2564" s="2846"/>
      <c r="J2564" s="2846"/>
      <c r="K2564" s="2846"/>
      <c r="L2564" s="2846"/>
      <c r="M2564" s="2846"/>
      <c r="N2564" s="2846"/>
      <c r="O2564" s="485"/>
      <c r="P2564" s="1137"/>
      <c r="Q2564" s="1137"/>
      <c r="R2564" s="1137"/>
      <c r="S2564" s="1137"/>
      <c r="T2564" s="1137"/>
      <c r="U2564" s="1137"/>
      <c r="V2564" s="1137"/>
    </row>
    <row r="2565" spans="3:22" ht="5.0999999999999996" customHeight="1">
      <c r="C2565" s="485"/>
      <c r="D2565" s="485"/>
      <c r="E2565" s="485"/>
      <c r="F2565" s="485"/>
      <c r="G2565" s="485"/>
      <c r="H2565" s="485"/>
      <c r="I2565" s="485"/>
      <c r="J2565" s="485"/>
      <c r="K2565" s="485"/>
      <c r="L2565" s="485"/>
      <c r="M2565" s="485"/>
      <c r="N2565" s="485"/>
      <c r="O2565" s="485"/>
      <c r="P2565" s="1137"/>
      <c r="Q2565" s="1137"/>
      <c r="R2565" s="1137"/>
      <c r="S2565" s="1137"/>
      <c r="T2565" s="1137"/>
      <c r="U2565" s="1137"/>
      <c r="V2565" s="1137"/>
    </row>
    <row r="2566" spans="3:22" ht="12.75" customHeight="1" thickBot="1">
      <c r="C2566" s="485"/>
      <c r="D2566" s="496" t="s">
        <v>831</v>
      </c>
      <c r="I2566" s="483">
        <v>2025</v>
      </c>
      <c r="J2566" s="696">
        <f>J$2737</f>
        <v>2026</v>
      </c>
      <c r="K2566" s="1490">
        <f>K$2737</f>
        <v>2027</v>
      </c>
      <c r="L2566" s="1490">
        <f>L$2737</f>
        <v>2028</v>
      </c>
      <c r="M2566" s="1490">
        <f>M$2737</f>
        <v>2029</v>
      </c>
      <c r="N2566" s="1490">
        <f>N$2737</f>
        <v>2030</v>
      </c>
      <c r="O2566" s="485"/>
      <c r="P2566" s="1137"/>
      <c r="Q2566" s="1137"/>
      <c r="R2566" s="1137"/>
      <c r="S2566" s="1137"/>
      <c r="T2566" s="1137"/>
      <c r="U2566" s="1137"/>
      <c r="V2566" s="1137"/>
    </row>
    <row r="2567" spans="3:22">
      <c r="C2567" s="852">
        <v>1</v>
      </c>
      <c r="D2567" s="3446" t="str">
        <f t="shared" ref="D2567:D2583" si="192">D2524</f>
        <v/>
      </c>
      <c r="E2567" s="3457"/>
      <c r="F2567" s="3457"/>
      <c r="G2567" s="3457"/>
      <c r="H2567" s="3458"/>
      <c r="I2567" s="461" t="str">
        <f>c_ALR2025!N2582</f>
        <v/>
      </c>
      <c r="J2567" s="2206" t="str">
        <f>IF(ISNUMBER(J2524),ROUND(J2524*J$2561,0),"")</f>
        <v/>
      </c>
      <c r="K2567" s="2021" t="str">
        <f t="shared" ref="K2567:N2583" si="193">IF(ISNUMBER(K2524),ROUND(K2524*K$2561,0),"")</f>
        <v/>
      </c>
      <c r="L2567" s="2021" t="str">
        <f t="shared" si="193"/>
        <v/>
      </c>
      <c r="M2567" s="2021" t="str">
        <f t="shared" si="193"/>
        <v/>
      </c>
      <c r="N2567" s="2021" t="str">
        <f t="shared" si="193"/>
        <v/>
      </c>
      <c r="O2567" s="485"/>
      <c r="P2567" s="1137"/>
      <c r="Q2567" s="1137"/>
      <c r="R2567" s="1137"/>
      <c r="S2567" s="1137"/>
      <c r="T2567" s="1137"/>
      <c r="U2567" s="1137"/>
      <c r="V2567" s="1137"/>
    </row>
    <row r="2568" spans="3:22">
      <c r="C2568" s="484">
        <f>C2567+1</f>
        <v>2</v>
      </c>
      <c r="D2568" s="3449" t="str">
        <f t="shared" si="192"/>
        <v/>
      </c>
      <c r="E2568" s="3452"/>
      <c r="F2568" s="3452"/>
      <c r="G2568" s="3452"/>
      <c r="H2568" s="3453"/>
      <c r="I2568" s="462" t="str">
        <f>c_ALR2025!N2583</f>
        <v/>
      </c>
      <c r="J2568" s="1087" t="str">
        <f t="shared" ref="J2568:J2583" si="194">IF(ISNUMBER(J2525),ROUND(J2525*J$2561,0),"")</f>
        <v/>
      </c>
      <c r="K2568" s="2021" t="str">
        <f t="shared" si="193"/>
        <v/>
      </c>
      <c r="L2568" s="2021" t="str">
        <f t="shared" si="193"/>
        <v/>
      </c>
      <c r="M2568" s="2021" t="str">
        <f t="shared" si="193"/>
        <v/>
      </c>
      <c r="N2568" s="2021" t="str">
        <f t="shared" si="193"/>
        <v/>
      </c>
      <c r="O2568" s="485"/>
      <c r="P2568" s="1137"/>
      <c r="Q2568" s="1137"/>
      <c r="R2568" s="1137"/>
      <c r="S2568" s="1137"/>
      <c r="T2568" s="1137"/>
      <c r="U2568" s="1137"/>
      <c r="V2568" s="1137"/>
    </row>
    <row r="2569" spans="3:22">
      <c r="C2569" s="484">
        <f t="shared" ref="C2569:C2582" si="195">C2568+1</f>
        <v>3</v>
      </c>
      <c r="D2569" s="3449" t="str">
        <f t="shared" si="192"/>
        <v/>
      </c>
      <c r="E2569" s="3452"/>
      <c r="F2569" s="3452"/>
      <c r="G2569" s="3452"/>
      <c r="H2569" s="3453"/>
      <c r="I2569" s="462" t="str">
        <f>c_ALR2025!N2584</f>
        <v/>
      </c>
      <c r="J2569" s="1087" t="str">
        <f t="shared" si="194"/>
        <v/>
      </c>
      <c r="K2569" s="2021" t="str">
        <f t="shared" si="193"/>
        <v/>
      </c>
      <c r="L2569" s="2021" t="str">
        <f t="shared" si="193"/>
        <v/>
      </c>
      <c r="M2569" s="2021" t="str">
        <f t="shared" si="193"/>
        <v/>
      </c>
      <c r="N2569" s="2021" t="str">
        <f t="shared" si="193"/>
        <v/>
      </c>
      <c r="O2569" s="485"/>
      <c r="P2569" s="1137"/>
      <c r="Q2569" s="1137"/>
      <c r="R2569" s="1137"/>
      <c r="S2569" s="1137"/>
      <c r="T2569" s="1137"/>
      <c r="U2569" s="1137"/>
      <c r="V2569" s="1137"/>
    </row>
    <row r="2570" spans="3:22">
      <c r="C2570" s="484">
        <f t="shared" si="195"/>
        <v>4</v>
      </c>
      <c r="D2570" s="3449" t="str">
        <f t="shared" si="192"/>
        <v/>
      </c>
      <c r="E2570" s="3452"/>
      <c r="F2570" s="3452"/>
      <c r="G2570" s="3452"/>
      <c r="H2570" s="3453"/>
      <c r="I2570" s="462" t="str">
        <f>c_ALR2025!N2585</f>
        <v/>
      </c>
      <c r="J2570" s="1087" t="str">
        <f t="shared" si="194"/>
        <v/>
      </c>
      <c r="K2570" s="2021" t="str">
        <f t="shared" si="193"/>
        <v/>
      </c>
      <c r="L2570" s="2021" t="str">
        <f t="shared" si="193"/>
        <v/>
      </c>
      <c r="M2570" s="2021" t="str">
        <f t="shared" si="193"/>
        <v/>
      </c>
      <c r="N2570" s="2021" t="str">
        <f t="shared" si="193"/>
        <v/>
      </c>
      <c r="O2570" s="485"/>
      <c r="P2570" s="1137"/>
      <c r="Q2570" s="1137"/>
      <c r="R2570" s="1137"/>
      <c r="S2570" s="1137"/>
      <c r="T2570" s="1137"/>
      <c r="U2570" s="1137"/>
      <c r="V2570" s="1137"/>
    </row>
    <row r="2571" spans="3:22">
      <c r="C2571" s="484">
        <f t="shared" si="195"/>
        <v>5</v>
      </c>
      <c r="D2571" s="3449" t="str">
        <f t="shared" si="192"/>
        <v/>
      </c>
      <c r="E2571" s="3452"/>
      <c r="F2571" s="3452"/>
      <c r="G2571" s="3452"/>
      <c r="H2571" s="3453"/>
      <c r="I2571" s="462" t="str">
        <f>c_ALR2025!N2586</f>
        <v/>
      </c>
      <c r="J2571" s="1087" t="str">
        <f t="shared" si="194"/>
        <v/>
      </c>
      <c r="K2571" s="2021" t="str">
        <f t="shared" si="193"/>
        <v/>
      </c>
      <c r="L2571" s="2021" t="str">
        <f t="shared" si="193"/>
        <v/>
      </c>
      <c r="M2571" s="2021" t="str">
        <f t="shared" si="193"/>
        <v/>
      </c>
      <c r="N2571" s="2021" t="str">
        <f t="shared" si="193"/>
        <v/>
      </c>
      <c r="O2571" s="485"/>
      <c r="P2571" s="1137"/>
      <c r="Q2571" s="1137"/>
      <c r="R2571" s="1137"/>
      <c r="S2571" s="1137"/>
      <c r="T2571" s="1137"/>
      <c r="U2571" s="1137"/>
      <c r="V2571" s="1137"/>
    </row>
    <row r="2572" spans="3:22">
      <c r="C2572" s="484">
        <f t="shared" si="195"/>
        <v>6</v>
      </c>
      <c r="D2572" s="3449" t="str">
        <f t="shared" si="192"/>
        <v/>
      </c>
      <c r="E2572" s="3452"/>
      <c r="F2572" s="3452"/>
      <c r="G2572" s="3452"/>
      <c r="H2572" s="3453"/>
      <c r="I2572" s="462" t="str">
        <f>c_ALR2025!N2587</f>
        <v/>
      </c>
      <c r="J2572" s="1087" t="str">
        <f t="shared" si="194"/>
        <v/>
      </c>
      <c r="K2572" s="2021" t="str">
        <f t="shared" si="193"/>
        <v/>
      </c>
      <c r="L2572" s="2021" t="str">
        <f t="shared" si="193"/>
        <v/>
      </c>
      <c r="M2572" s="2021" t="str">
        <f t="shared" si="193"/>
        <v/>
      </c>
      <c r="N2572" s="2021" t="str">
        <f t="shared" si="193"/>
        <v/>
      </c>
      <c r="O2572" s="485" t="s">
        <v>1935</v>
      </c>
      <c r="P2572" s="1137"/>
      <c r="Q2572" s="1137"/>
      <c r="R2572" s="1137"/>
      <c r="S2572" s="1137"/>
      <c r="T2572" s="1137"/>
      <c r="U2572" s="1137"/>
      <c r="V2572" s="1137"/>
    </row>
    <row r="2573" spans="3:22">
      <c r="C2573" s="484">
        <f t="shared" si="195"/>
        <v>7</v>
      </c>
      <c r="D2573" s="3449" t="str">
        <f t="shared" si="192"/>
        <v/>
      </c>
      <c r="E2573" s="3452"/>
      <c r="F2573" s="3452"/>
      <c r="G2573" s="3452"/>
      <c r="H2573" s="3453"/>
      <c r="I2573" s="462" t="str">
        <f>c_ALR2025!N2588</f>
        <v/>
      </c>
      <c r="J2573" s="1087" t="str">
        <f t="shared" si="194"/>
        <v/>
      </c>
      <c r="K2573" s="2021" t="str">
        <f t="shared" si="193"/>
        <v/>
      </c>
      <c r="L2573" s="2021" t="str">
        <f t="shared" si="193"/>
        <v/>
      </c>
      <c r="M2573" s="2021" t="str">
        <f t="shared" si="193"/>
        <v/>
      </c>
      <c r="N2573" s="2021" t="str">
        <f t="shared" si="193"/>
        <v/>
      </c>
      <c r="O2573" s="485"/>
      <c r="P2573" s="1137"/>
      <c r="Q2573" s="1137"/>
      <c r="R2573" s="1137"/>
      <c r="S2573" s="1137"/>
      <c r="T2573" s="1137"/>
      <c r="U2573" s="1137"/>
      <c r="V2573" s="1137"/>
    </row>
    <row r="2574" spans="3:22">
      <c r="C2574" s="484">
        <f t="shared" si="195"/>
        <v>8</v>
      </c>
      <c r="D2574" s="3449" t="str">
        <f t="shared" si="192"/>
        <v/>
      </c>
      <c r="E2574" s="3452"/>
      <c r="F2574" s="3452"/>
      <c r="G2574" s="3452"/>
      <c r="H2574" s="3453"/>
      <c r="I2574" s="462" t="str">
        <f>c_ALR2025!N2589</f>
        <v/>
      </c>
      <c r="J2574" s="1087" t="str">
        <f t="shared" si="194"/>
        <v/>
      </c>
      <c r="K2574" s="2021" t="str">
        <f t="shared" si="193"/>
        <v/>
      </c>
      <c r="L2574" s="2021" t="str">
        <f t="shared" si="193"/>
        <v/>
      </c>
      <c r="M2574" s="2021" t="str">
        <f t="shared" si="193"/>
        <v/>
      </c>
      <c r="N2574" s="2021" t="str">
        <f t="shared" si="193"/>
        <v/>
      </c>
      <c r="O2574" s="485"/>
      <c r="P2574" s="1137"/>
      <c r="Q2574" s="1137"/>
      <c r="R2574" s="1137"/>
      <c r="S2574" s="1137"/>
      <c r="T2574" s="1137"/>
      <c r="U2574" s="1137"/>
      <c r="V2574" s="1137"/>
    </row>
    <row r="2575" spans="3:22">
      <c r="C2575" s="484">
        <f t="shared" si="195"/>
        <v>9</v>
      </c>
      <c r="D2575" s="3449" t="str">
        <f t="shared" si="192"/>
        <v/>
      </c>
      <c r="E2575" s="3452"/>
      <c r="F2575" s="3452"/>
      <c r="G2575" s="3452"/>
      <c r="H2575" s="3453"/>
      <c r="I2575" s="462" t="str">
        <f>c_ALR2025!N2590</f>
        <v/>
      </c>
      <c r="J2575" s="1087" t="str">
        <f t="shared" si="194"/>
        <v/>
      </c>
      <c r="K2575" s="2021" t="str">
        <f t="shared" si="193"/>
        <v/>
      </c>
      <c r="L2575" s="2021" t="str">
        <f t="shared" si="193"/>
        <v/>
      </c>
      <c r="M2575" s="2021" t="str">
        <f t="shared" si="193"/>
        <v/>
      </c>
      <c r="N2575" s="2021" t="str">
        <f t="shared" si="193"/>
        <v/>
      </c>
      <c r="O2575" s="485"/>
      <c r="P2575" s="1137"/>
      <c r="Q2575" s="1137"/>
      <c r="R2575" s="1137"/>
      <c r="S2575" s="1137"/>
      <c r="T2575" s="1137"/>
      <c r="U2575" s="1137"/>
      <c r="V2575" s="1137"/>
    </row>
    <row r="2576" spans="3:22" ht="13.5" thickBot="1">
      <c r="C2576" s="854">
        <f t="shared" si="195"/>
        <v>10</v>
      </c>
      <c r="D2576" s="3454" t="str">
        <f t="shared" si="192"/>
        <v/>
      </c>
      <c r="E2576" s="3455"/>
      <c r="F2576" s="3455"/>
      <c r="G2576" s="3455"/>
      <c r="H2576" s="3456"/>
      <c r="I2576" s="463" t="str">
        <f>c_ALR2025!N2591</f>
        <v/>
      </c>
      <c r="J2576" s="2207" t="str">
        <f t="shared" si="194"/>
        <v/>
      </c>
      <c r="K2576" s="2021" t="str">
        <f t="shared" si="193"/>
        <v/>
      </c>
      <c r="L2576" s="2021" t="str">
        <f t="shared" si="193"/>
        <v/>
      </c>
      <c r="M2576" s="2021" t="str">
        <f t="shared" si="193"/>
        <v/>
      </c>
      <c r="N2576" s="2021" t="str">
        <f t="shared" si="193"/>
        <v/>
      </c>
      <c r="O2576" s="485"/>
      <c r="P2576" s="1137"/>
      <c r="Q2576" s="1137"/>
      <c r="R2576" s="1137"/>
      <c r="S2576" s="1137"/>
      <c r="T2576" s="1137"/>
      <c r="U2576" s="1137"/>
      <c r="V2576" s="1137"/>
    </row>
    <row r="2577" spans="3:22">
      <c r="C2577" s="484">
        <f t="shared" si="195"/>
        <v>11</v>
      </c>
      <c r="D2577" s="3446" t="str">
        <f t="shared" si="192"/>
        <v>Heat benchmark sub-installation, CL</v>
      </c>
      <c r="E2577" s="3457"/>
      <c r="F2577" s="3457"/>
      <c r="G2577" s="3457"/>
      <c r="H2577" s="3458"/>
      <c r="I2577" s="461" t="str">
        <f>c_ALR2025!N2592</f>
        <v/>
      </c>
      <c r="J2577" s="2208" t="str">
        <f t="shared" si="194"/>
        <v/>
      </c>
      <c r="K2577" s="2021" t="str">
        <f t="shared" si="193"/>
        <v/>
      </c>
      <c r="L2577" s="2021" t="str">
        <f t="shared" si="193"/>
        <v/>
      </c>
      <c r="M2577" s="2021" t="str">
        <f t="shared" si="193"/>
        <v/>
      </c>
      <c r="N2577" s="2021" t="str">
        <f t="shared" si="193"/>
        <v/>
      </c>
      <c r="O2577" s="485"/>
      <c r="P2577" s="1137"/>
      <c r="Q2577" s="1137"/>
      <c r="R2577" s="1137"/>
      <c r="S2577" s="1137"/>
      <c r="T2577" s="1137"/>
      <c r="U2577" s="1137"/>
      <c r="V2577" s="1137"/>
    </row>
    <row r="2578" spans="3:22">
      <c r="C2578" s="484">
        <f t="shared" si="195"/>
        <v>12</v>
      </c>
      <c r="D2578" s="3449" t="str">
        <f t="shared" si="192"/>
        <v>Heat benchmark sub-installation, non-CL</v>
      </c>
      <c r="E2578" s="3452"/>
      <c r="F2578" s="3452"/>
      <c r="G2578" s="3452"/>
      <c r="H2578" s="3453"/>
      <c r="I2578" s="462" t="str">
        <f>c_ALR2025!N2593</f>
        <v/>
      </c>
      <c r="J2578" s="1087" t="str">
        <f t="shared" si="194"/>
        <v/>
      </c>
      <c r="K2578" s="2021" t="str">
        <f t="shared" si="193"/>
        <v/>
      </c>
      <c r="L2578" s="2021" t="str">
        <f t="shared" si="193"/>
        <v/>
      </c>
      <c r="M2578" s="2021" t="str">
        <f t="shared" si="193"/>
        <v/>
      </c>
      <c r="N2578" s="2021" t="str">
        <f t="shared" si="193"/>
        <v/>
      </c>
      <c r="O2578" s="485"/>
      <c r="P2578" s="1137"/>
      <c r="Q2578" s="1137"/>
      <c r="R2578" s="1137"/>
      <c r="S2578" s="1137"/>
      <c r="T2578" s="1137"/>
      <c r="U2578" s="1137"/>
      <c r="V2578" s="1137"/>
    </row>
    <row r="2579" spans="3:22">
      <c r="C2579" s="484">
        <f t="shared" si="195"/>
        <v>13</v>
      </c>
      <c r="D2579" s="3449" t="str">
        <f t="shared" si="192"/>
        <v>District heating sub-installation</v>
      </c>
      <c r="E2579" s="3452"/>
      <c r="F2579" s="3452"/>
      <c r="G2579" s="3452"/>
      <c r="H2579" s="3453"/>
      <c r="I2579" s="462" t="str">
        <f>c_ALR2025!N2594</f>
        <v/>
      </c>
      <c r="J2579" s="1087" t="str">
        <f t="shared" si="194"/>
        <v/>
      </c>
      <c r="K2579" s="2021" t="str">
        <f t="shared" si="193"/>
        <v/>
      </c>
      <c r="L2579" s="2021" t="str">
        <f t="shared" si="193"/>
        <v/>
      </c>
      <c r="M2579" s="2021" t="str">
        <f t="shared" si="193"/>
        <v/>
      </c>
      <c r="N2579" s="2021" t="str">
        <f t="shared" si="193"/>
        <v/>
      </c>
      <c r="O2579" s="485"/>
      <c r="P2579" s="1137"/>
      <c r="Q2579" s="1137"/>
      <c r="R2579" s="1137"/>
      <c r="S2579" s="1137"/>
      <c r="T2579" s="1137"/>
      <c r="U2579" s="1137"/>
      <c r="V2579" s="1137"/>
    </row>
    <row r="2580" spans="3:22">
      <c r="C2580" s="484">
        <f t="shared" si="195"/>
        <v>14</v>
      </c>
      <c r="D2580" s="3449" t="str">
        <f t="shared" si="192"/>
        <v>Fuel benchmark sub-installation, CL</v>
      </c>
      <c r="E2580" s="3452"/>
      <c r="F2580" s="3452"/>
      <c r="G2580" s="3452"/>
      <c r="H2580" s="3453"/>
      <c r="I2580" s="462" t="str">
        <f>c_ALR2025!N2595</f>
        <v/>
      </c>
      <c r="J2580" s="1087" t="str">
        <f t="shared" si="194"/>
        <v/>
      </c>
      <c r="K2580" s="2021" t="str">
        <f t="shared" si="193"/>
        <v/>
      </c>
      <c r="L2580" s="2021" t="str">
        <f t="shared" si="193"/>
        <v/>
      </c>
      <c r="M2580" s="2021" t="str">
        <f t="shared" si="193"/>
        <v/>
      </c>
      <c r="N2580" s="2021" t="str">
        <f t="shared" si="193"/>
        <v/>
      </c>
      <c r="O2580" s="485"/>
      <c r="P2580" s="1137"/>
      <c r="Q2580" s="1137"/>
      <c r="R2580" s="1137"/>
      <c r="S2580" s="1137"/>
      <c r="T2580" s="1137"/>
      <c r="U2580" s="1137"/>
      <c r="V2580" s="1137"/>
    </row>
    <row r="2581" spans="3:22">
      <c r="C2581" s="484">
        <f t="shared" si="195"/>
        <v>15</v>
      </c>
      <c r="D2581" s="3449" t="str">
        <f t="shared" si="192"/>
        <v>Fuel benchmark sub-installation, non-CL</v>
      </c>
      <c r="E2581" s="3452"/>
      <c r="F2581" s="3452"/>
      <c r="G2581" s="3452"/>
      <c r="H2581" s="3453"/>
      <c r="I2581" s="462" t="str">
        <f>c_ALR2025!N2596</f>
        <v/>
      </c>
      <c r="J2581" s="1087" t="str">
        <f t="shared" si="194"/>
        <v/>
      </c>
      <c r="K2581" s="2021" t="str">
        <f t="shared" si="193"/>
        <v/>
      </c>
      <c r="L2581" s="2021" t="str">
        <f t="shared" si="193"/>
        <v/>
      </c>
      <c r="M2581" s="2021" t="str">
        <f t="shared" si="193"/>
        <v/>
      </c>
      <c r="N2581" s="2021" t="str">
        <f t="shared" si="193"/>
        <v/>
      </c>
      <c r="O2581" s="485"/>
      <c r="P2581" s="1137"/>
      <c r="Q2581" s="1137"/>
      <c r="R2581" s="1137"/>
      <c r="S2581" s="1137"/>
      <c r="T2581" s="1137"/>
      <c r="U2581" s="1137"/>
      <c r="V2581" s="1137"/>
    </row>
    <row r="2582" spans="3:22">
      <c r="C2582" s="484">
        <f t="shared" si="195"/>
        <v>16</v>
      </c>
      <c r="D2582" s="3449" t="str">
        <f t="shared" si="192"/>
        <v>Process emissions sub-installation, CL</v>
      </c>
      <c r="E2582" s="3452"/>
      <c r="F2582" s="3452"/>
      <c r="G2582" s="3452"/>
      <c r="H2582" s="3453"/>
      <c r="I2582" s="462" t="str">
        <f>c_ALR2025!N2597</f>
        <v/>
      </c>
      <c r="J2582" s="2209" t="str">
        <f t="shared" si="194"/>
        <v/>
      </c>
      <c r="K2582" s="2021" t="str">
        <f t="shared" si="193"/>
        <v/>
      </c>
      <c r="L2582" s="2021" t="str">
        <f t="shared" si="193"/>
        <v/>
      </c>
      <c r="M2582" s="2021" t="str">
        <f t="shared" si="193"/>
        <v/>
      </c>
      <c r="N2582" s="2021" t="str">
        <f t="shared" si="193"/>
        <v/>
      </c>
      <c r="O2582" s="485"/>
      <c r="P2582" s="1137"/>
      <c r="Q2582" s="1137"/>
      <c r="R2582" s="1137"/>
      <c r="S2582" s="1137"/>
      <c r="T2582" s="1137"/>
      <c r="U2582" s="1137"/>
      <c r="V2582" s="1137"/>
    </row>
    <row r="2583" spans="3:22" ht="13.5" thickBot="1">
      <c r="C2583" s="855">
        <v>17</v>
      </c>
      <c r="D2583" s="3454" t="str">
        <f t="shared" si="192"/>
        <v>Process emissions sub-installation, non-CL</v>
      </c>
      <c r="E2583" s="3455"/>
      <c r="F2583" s="3455"/>
      <c r="G2583" s="3455"/>
      <c r="H2583" s="3456"/>
      <c r="I2583" s="464" t="str">
        <f>c_ALR2025!N2598</f>
        <v/>
      </c>
      <c r="J2583" s="2207" t="str">
        <f t="shared" si="194"/>
        <v/>
      </c>
      <c r="K2583" s="2021" t="str">
        <f t="shared" si="193"/>
        <v/>
      </c>
      <c r="L2583" s="2021" t="str">
        <f t="shared" si="193"/>
        <v/>
      </c>
      <c r="M2583" s="2021" t="str">
        <f t="shared" si="193"/>
        <v/>
      </c>
      <c r="N2583" s="2021" t="str">
        <f t="shared" si="193"/>
        <v/>
      </c>
      <c r="O2583" s="485"/>
      <c r="P2583" s="1137"/>
      <c r="Q2583" s="1137"/>
      <c r="R2583" s="1137"/>
      <c r="S2583" s="1137"/>
      <c r="T2583" s="1137"/>
      <c r="U2583" s="1137"/>
      <c r="V2583" s="1137"/>
    </row>
    <row r="2584" spans="3:22">
      <c r="C2584" s="485"/>
      <c r="D2584" s="3446" t="s">
        <v>1771</v>
      </c>
      <c r="E2584" s="3457"/>
      <c r="F2584" s="3457"/>
      <c r="G2584" s="3457"/>
      <c r="H2584" s="3458"/>
      <c r="I2584" s="465" t="str">
        <f t="shared" ref="I2584:N2584" si="196">IF(COUNT(I2567:I2583)&gt;0,IF(SUM(I2567:I2583)&gt;0,SUM(I2567:I2583),0),"")</f>
        <v/>
      </c>
      <c r="J2584" s="2210" t="str">
        <f t="shared" si="196"/>
        <v/>
      </c>
      <c r="K2584" s="2211" t="str">
        <f t="shared" si="196"/>
        <v/>
      </c>
      <c r="L2584" s="2211" t="str">
        <f t="shared" si="196"/>
        <v/>
      </c>
      <c r="M2584" s="2211" t="str">
        <f t="shared" si="196"/>
        <v/>
      </c>
      <c r="N2584" s="2211" t="str">
        <f t="shared" si="196"/>
        <v/>
      </c>
      <c r="O2584" s="485"/>
      <c r="P2584" s="1137"/>
      <c r="Q2584" s="1137"/>
      <c r="R2584" s="1137"/>
      <c r="S2584" s="1137"/>
      <c r="T2584" s="1137"/>
      <c r="U2584" s="1137"/>
      <c r="V2584" s="1137"/>
    </row>
    <row r="2585" spans="3:22">
      <c r="C2585" s="485"/>
      <c r="D2585" s="568"/>
      <c r="E2585" s="523"/>
      <c r="F2585" s="523"/>
      <c r="G2585" s="523"/>
      <c r="H2585" s="523"/>
      <c r="I2585" s="523"/>
      <c r="J2585" s="2214"/>
      <c r="K2585" s="2215"/>
      <c r="L2585" s="2215"/>
      <c r="M2585" s="2215"/>
      <c r="N2585" s="2215"/>
      <c r="O2585" s="485"/>
      <c r="P2585" s="1137"/>
      <c r="Q2585" s="1137"/>
      <c r="R2585" s="1137"/>
      <c r="S2585" s="1137"/>
      <c r="T2585" s="1137"/>
      <c r="U2585" s="1137"/>
      <c r="V2585" s="1137"/>
    </row>
    <row r="2586" spans="3:22">
      <c r="C2586" s="485"/>
      <c r="D2586" s="496" t="s">
        <v>58</v>
      </c>
      <c r="E2586" s="496" t="s">
        <v>2575</v>
      </c>
      <c r="F2586" s="523"/>
      <c r="G2586" s="523"/>
      <c r="H2586" s="523"/>
      <c r="I2586" s="523"/>
      <c r="J2586" s="2214"/>
      <c r="K2586" s="2215"/>
      <c r="L2586" s="2215"/>
      <c r="M2586" s="2215"/>
      <c r="N2586" s="2215"/>
      <c r="O2586" s="485"/>
      <c r="P2586" s="1137"/>
      <c r="Q2586" s="1137"/>
      <c r="R2586" s="1137"/>
      <c r="S2586" s="1137"/>
      <c r="T2586" s="1137"/>
      <c r="U2586" s="1137"/>
      <c r="V2586" s="1137"/>
    </row>
    <row r="2587" spans="3:22" ht="55.15" customHeight="1">
      <c r="C2587" s="485"/>
      <c r="D2587" s="568"/>
      <c r="E2587" s="3535" t="s">
        <v>2576</v>
      </c>
      <c r="F2587" s="3226"/>
      <c r="G2587" s="3226"/>
      <c r="H2587" s="3226"/>
      <c r="I2587" s="3226"/>
      <c r="J2587" s="3226"/>
      <c r="K2587" s="3226"/>
      <c r="L2587" s="3226"/>
      <c r="M2587" s="3226"/>
      <c r="N2587" s="3226"/>
      <c r="O2587" s="485"/>
      <c r="P2587" s="1137"/>
      <c r="Q2587" s="1137"/>
      <c r="R2587" s="1137"/>
      <c r="S2587" s="1137"/>
      <c r="T2587" s="1137"/>
      <c r="U2587" s="1137"/>
      <c r="V2587" s="1137"/>
    </row>
    <row r="2588" spans="3:22" ht="13.5" thickBot="1">
      <c r="C2588" s="485"/>
      <c r="D2588" s="496" t="s">
        <v>831</v>
      </c>
      <c r="I2588" s="483">
        <v>2025</v>
      </c>
      <c r="J2588" s="696">
        <f>J$2737</f>
        <v>2026</v>
      </c>
      <c r="K2588" s="2216"/>
      <c r="L2588" s="2216"/>
      <c r="M2588" s="2216"/>
      <c r="N2588" s="2216"/>
      <c r="O2588" s="485"/>
      <c r="P2588" s="1137"/>
      <c r="Q2588" s="1137"/>
      <c r="R2588" s="1137"/>
      <c r="S2588" s="1137"/>
      <c r="T2588" s="1137"/>
      <c r="U2588" s="1137"/>
      <c r="V2588" s="1137"/>
    </row>
    <row r="2589" spans="3:22">
      <c r="C2589" s="852">
        <v>1</v>
      </c>
      <c r="D2589" s="3446" t="str">
        <f>D2567</f>
        <v/>
      </c>
      <c r="E2589" s="3457"/>
      <c r="F2589" s="3457"/>
      <c r="G2589" s="3457"/>
      <c r="H2589" s="3458"/>
      <c r="I2589" s="461" t="str">
        <f>IF(I2637 = "",I2567,I2637)</f>
        <v/>
      </c>
      <c r="J2589" s="2206" t="str">
        <f>J2567</f>
        <v/>
      </c>
      <c r="K2589" s="2216"/>
      <c r="L2589" s="2216"/>
      <c r="M2589" s="2216"/>
      <c r="N2589" s="2216"/>
      <c r="O2589" s="485"/>
      <c r="P2589" s="1137"/>
      <c r="Q2589" s="1137"/>
      <c r="R2589" s="1137"/>
      <c r="S2589" s="1137"/>
      <c r="T2589" s="1137"/>
      <c r="U2589" s="1137"/>
      <c r="V2589" s="1137"/>
    </row>
    <row r="2590" spans="3:22">
      <c r="C2590" s="484">
        <f>C2589+1</f>
        <v>2</v>
      </c>
      <c r="D2590" s="3449" t="str">
        <f t="shared" ref="D2590:D2605" si="197">D2568</f>
        <v/>
      </c>
      <c r="E2590" s="3452"/>
      <c r="F2590" s="3452"/>
      <c r="G2590" s="3452"/>
      <c r="H2590" s="3453"/>
      <c r="I2590" s="462" t="str">
        <f>IF(I2638 = "",I2568,I2638)</f>
        <v/>
      </c>
      <c r="J2590" s="1087" t="str">
        <f t="shared" ref="J2590:J2605" si="198">J2568</f>
        <v/>
      </c>
      <c r="K2590" s="2216"/>
      <c r="L2590" s="2216"/>
      <c r="M2590" s="2216"/>
      <c r="N2590" s="2216"/>
      <c r="O2590" s="485"/>
      <c r="P2590" s="1137"/>
      <c r="Q2590" s="1137"/>
      <c r="R2590" s="1137"/>
      <c r="S2590" s="1137"/>
      <c r="T2590" s="1137"/>
      <c r="U2590" s="1137"/>
      <c r="V2590" s="1137"/>
    </row>
    <row r="2591" spans="3:22">
      <c r="C2591" s="484">
        <f t="shared" ref="C2591:C2604" si="199">C2590+1</f>
        <v>3</v>
      </c>
      <c r="D2591" s="3449" t="str">
        <f t="shared" si="197"/>
        <v/>
      </c>
      <c r="E2591" s="3452"/>
      <c r="F2591" s="3452"/>
      <c r="G2591" s="3452"/>
      <c r="H2591" s="3453"/>
      <c r="I2591" s="462" t="str">
        <f t="shared" ref="I2591:I2605" si="200">IF(I2639 = "",I2569,I2639)</f>
        <v/>
      </c>
      <c r="J2591" s="1087" t="str">
        <f t="shared" si="198"/>
        <v/>
      </c>
      <c r="K2591" s="2216"/>
      <c r="L2591" s="2216"/>
      <c r="M2591" s="2216"/>
      <c r="N2591" s="2216"/>
      <c r="O2591" s="485"/>
      <c r="P2591" s="1137"/>
      <c r="Q2591" s="1137"/>
      <c r="R2591" s="1137"/>
      <c r="S2591" s="1137"/>
      <c r="T2591" s="1137"/>
      <c r="U2591" s="1137"/>
      <c r="V2591" s="1137"/>
    </row>
    <row r="2592" spans="3:22">
      <c r="C2592" s="484">
        <f t="shared" si="199"/>
        <v>4</v>
      </c>
      <c r="D2592" s="3449" t="str">
        <f t="shared" si="197"/>
        <v/>
      </c>
      <c r="E2592" s="3452"/>
      <c r="F2592" s="3452"/>
      <c r="G2592" s="3452"/>
      <c r="H2592" s="3453"/>
      <c r="I2592" s="462" t="str">
        <f t="shared" si="200"/>
        <v/>
      </c>
      <c r="J2592" s="1087" t="str">
        <f t="shared" si="198"/>
        <v/>
      </c>
      <c r="K2592" s="2216"/>
      <c r="L2592" s="2216"/>
      <c r="M2592" s="2216"/>
      <c r="N2592" s="2216"/>
      <c r="O2592" s="485"/>
      <c r="P2592" s="1137"/>
      <c r="Q2592" s="1137"/>
      <c r="R2592" s="1137"/>
      <c r="S2592" s="1137"/>
      <c r="T2592" s="1137"/>
      <c r="U2592" s="1137"/>
      <c r="V2592" s="1137"/>
    </row>
    <row r="2593" spans="3:22">
      <c r="C2593" s="484">
        <f t="shared" si="199"/>
        <v>5</v>
      </c>
      <c r="D2593" s="3449" t="str">
        <f t="shared" si="197"/>
        <v/>
      </c>
      <c r="E2593" s="3452"/>
      <c r="F2593" s="3452"/>
      <c r="G2593" s="3452"/>
      <c r="H2593" s="3453"/>
      <c r="I2593" s="462" t="str">
        <f t="shared" si="200"/>
        <v/>
      </c>
      <c r="J2593" s="1087" t="str">
        <f t="shared" si="198"/>
        <v/>
      </c>
      <c r="K2593" s="2216"/>
      <c r="L2593" s="2216"/>
      <c r="M2593" s="2216"/>
      <c r="N2593" s="2216"/>
      <c r="P2593" s="1137"/>
      <c r="Q2593" s="1137"/>
      <c r="R2593" s="1137"/>
      <c r="S2593" s="1137"/>
      <c r="T2593" s="1137"/>
      <c r="U2593" s="1137"/>
      <c r="V2593" s="1137"/>
    </row>
    <row r="2594" spans="3:22">
      <c r="C2594" s="484">
        <f t="shared" si="199"/>
        <v>6</v>
      </c>
      <c r="D2594" s="3449" t="str">
        <f t="shared" si="197"/>
        <v/>
      </c>
      <c r="E2594" s="3452"/>
      <c r="F2594" s="3452"/>
      <c r="G2594" s="3452"/>
      <c r="H2594" s="3453"/>
      <c r="I2594" s="462" t="str">
        <f t="shared" si="200"/>
        <v/>
      </c>
      <c r="J2594" s="1087" t="str">
        <f t="shared" si="198"/>
        <v/>
      </c>
      <c r="K2594" s="2216"/>
      <c r="L2594" s="2216"/>
      <c r="M2594" s="2216"/>
      <c r="N2594" s="2216"/>
      <c r="P2594" s="1137"/>
      <c r="Q2594" s="1137"/>
      <c r="R2594" s="1137"/>
      <c r="S2594" s="1137"/>
      <c r="T2594" s="1137"/>
      <c r="U2594" s="1137"/>
      <c r="V2594" s="1137"/>
    </row>
    <row r="2595" spans="3:22">
      <c r="C2595" s="484">
        <f t="shared" si="199"/>
        <v>7</v>
      </c>
      <c r="D2595" s="3449" t="str">
        <f t="shared" si="197"/>
        <v/>
      </c>
      <c r="E2595" s="3452"/>
      <c r="F2595" s="3452"/>
      <c r="G2595" s="3452"/>
      <c r="H2595" s="3453"/>
      <c r="I2595" s="462" t="str">
        <f t="shared" si="200"/>
        <v/>
      </c>
      <c r="J2595" s="1087" t="str">
        <f t="shared" si="198"/>
        <v/>
      </c>
      <c r="K2595" s="2216"/>
      <c r="L2595" s="2216"/>
      <c r="M2595" s="2216"/>
      <c r="N2595" s="2216"/>
      <c r="P2595" s="1137"/>
      <c r="Q2595" s="1137"/>
      <c r="R2595" s="1137"/>
      <c r="S2595" s="1137"/>
      <c r="T2595" s="1137"/>
      <c r="U2595" s="1137"/>
      <c r="V2595" s="1137"/>
    </row>
    <row r="2596" spans="3:22">
      <c r="C2596" s="484">
        <f t="shared" si="199"/>
        <v>8</v>
      </c>
      <c r="D2596" s="3449" t="str">
        <f t="shared" si="197"/>
        <v/>
      </c>
      <c r="E2596" s="3452"/>
      <c r="F2596" s="3452"/>
      <c r="G2596" s="3452"/>
      <c r="H2596" s="3453"/>
      <c r="I2596" s="462" t="str">
        <f t="shared" si="200"/>
        <v/>
      </c>
      <c r="J2596" s="1087" t="str">
        <f t="shared" si="198"/>
        <v/>
      </c>
      <c r="K2596" s="2216"/>
      <c r="L2596" s="2216"/>
      <c r="M2596" s="2216"/>
      <c r="N2596" s="2216"/>
      <c r="P2596" s="1137"/>
      <c r="Q2596" s="1137"/>
      <c r="R2596" s="1137"/>
      <c r="S2596" s="1137"/>
      <c r="T2596" s="1137"/>
      <c r="U2596" s="1137"/>
      <c r="V2596" s="1137"/>
    </row>
    <row r="2597" spans="3:22">
      <c r="C2597" s="484">
        <f t="shared" si="199"/>
        <v>9</v>
      </c>
      <c r="D2597" s="3449" t="str">
        <f t="shared" si="197"/>
        <v/>
      </c>
      <c r="E2597" s="3452"/>
      <c r="F2597" s="3452"/>
      <c r="G2597" s="3452"/>
      <c r="H2597" s="3453"/>
      <c r="I2597" s="462" t="str">
        <f t="shared" si="200"/>
        <v/>
      </c>
      <c r="J2597" s="1087" t="str">
        <f t="shared" si="198"/>
        <v/>
      </c>
      <c r="K2597" s="2216"/>
      <c r="L2597" s="2216"/>
      <c r="M2597" s="2216"/>
      <c r="N2597" s="2216"/>
      <c r="P2597" s="1137"/>
      <c r="Q2597" s="1137"/>
      <c r="R2597" s="1137"/>
      <c r="S2597" s="1137"/>
      <c r="T2597" s="1137"/>
      <c r="U2597" s="1137"/>
      <c r="V2597" s="1137"/>
    </row>
    <row r="2598" spans="3:22" ht="13.5" thickBot="1">
      <c r="C2598" s="854">
        <f t="shared" si="199"/>
        <v>10</v>
      </c>
      <c r="D2598" s="3454" t="str">
        <f t="shared" si="197"/>
        <v/>
      </c>
      <c r="E2598" s="3455"/>
      <c r="F2598" s="3455"/>
      <c r="G2598" s="3455"/>
      <c r="H2598" s="3456"/>
      <c r="I2598" s="463" t="str">
        <f t="shared" si="200"/>
        <v/>
      </c>
      <c r="J2598" s="2207" t="str">
        <f t="shared" si="198"/>
        <v/>
      </c>
      <c r="K2598" s="2216"/>
      <c r="L2598" s="2216"/>
      <c r="M2598" s="2216"/>
      <c r="N2598" s="2216"/>
      <c r="P2598" s="1137"/>
      <c r="Q2598" s="1137"/>
      <c r="R2598" s="1137"/>
      <c r="S2598" s="1137"/>
      <c r="T2598" s="1137"/>
      <c r="U2598" s="1137"/>
      <c r="V2598" s="1137"/>
    </row>
    <row r="2599" spans="3:22">
      <c r="C2599" s="484">
        <f t="shared" si="199"/>
        <v>11</v>
      </c>
      <c r="D2599" s="3446" t="str">
        <f t="shared" si="197"/>
        <v>Heat benchmark sub-installation, CL</v>
      </c>
      <c r="E2599" s="3457"/>
      <c r="F2599" s="3457"/>
      <c r="G2599" s="3457"/>
      <c r="H2599" s="3458"/>
      <c r="I2599" s="461" t="str">
        <f t="shared" si="200"/>
        <v/>
      </c>
      <c r="J2599" s="2208" t="str">
        <f t="shared" si="198"/>
        <v/>
      </c>
      <c r="K2599" s="2216"/>
      <c r="L2599" s="2216"/>
      <c r="M2599" s="2216"/>
      <c r="N2599" s="2216"/>
      <c r="P2599" s="1137"/>
      <c r="Q2599" s="1137"/>
      <c r="R2599" s="1137"/>
      <c r="S2599" s="1137"/>
      <c r="T2599" s="1137"/>
      <c r="U2599" s="1137"/>
      <c r="V2599" s="1137"/>
    </row>
    <row r="2600" spans="3:22">
      <c r="C2600" s="484">
        <f t="shared" si="199"/>
        <v>12</v>
      </c>
      <c r="D2600" s="3449" t="str">
        <f t="shared" si="197"/>
        <v>Heat benchmark sub-installation, non-CL</v>
      </c>
      <c r="E2600" s="3452"/>
      <c r="F2600" s="3452"/>
      <c r="G2600" s="3452"/>
      <c r="H2600" s="3453"/>
      <c r="I2600" s="462" t="str">
        <f t="shared" si="200"/>
        <v/>
      </c>
      <c r="J2600" s="1087" t="str">
        <f t="shared" si="198"/>
        <v/>
      </c>
      <c r="K2600" s="2216"/>
      <c r="L2600" s="2216"/>
      <c r="M2600" s="2216"/>
      <c r="N2600" s="2216"/>
      <c r="P2600" s="1137"/>
      <c r="Q2600" s="1137"/>
      <c r="R2600" s="1137"/>
      <c r="S2600" s="1137"/>
      <c r="T2600" s="1137"/>
      <c r="U2600" s="1137"/>
      <c r="V2600" s="1137"/>
    </row>
    <row r="2601" spans="3:22">
      <c r="C2601" s="484">
        <f t="shared" si="199"/>
        <v>13</v>
      </c>
      <c r="D2601" s="3449" t="str">
        <f t="shared" si="197"/>
        <v>District heating sub-installation</v>
      </c>
      <c r="E2601" s="3452"/>
      <c r="F2601" s="3452"/>
      <c r="G2601" s="3452"/>
      <c r="H2601" s="3453"/>
      <c r="I2601" s="462" t="str">
        <f t="shared" si="200"/>
        <v/>
      </c>
      <c r="J2601" s="1087" t="str">
        <f t="shared" si="198"/>
        <v/>
      </c>
      <c r="K2601" s="2216"/>
      <c r="L2601" s="2216"/>
      <c r="M2601" s="2216"/>
      <c r="N2601" s="2216"/>
      <c r="P2601" s="1137"/>
      <c r="Q2601" s="1137"/>
      <c r="R2601" s="1137"/>
      <c r="S2601" s="1137"/>
      <c r="T2601" s="1137"/>
      <c r="U2601" s="1137"/>
      <c r="V2601" s="1137"/>
    </row>
    <row r="2602" spans="3:22">
      <c r="C2602" s="484">
        <f t="shared" si="199"/>
        <v>14</v>
      </c>
      <c r="D2602" s="3449" t="str">
        <f t="shared" si="197"/>
        <v>Fuel benchmark sub-installation, CL</v>
      </c>
      <c r="E2602" s="3452"/>
      <c r="F2602" s="3452"/>
      <c r="G2602" s="3452"/>
      <c r="H2602" s="3453"/>
      <c r="I2602" s="462" t="str">
        <f t="shared" si="200"/>
        <v/>
      </c>
      <c r="J2602" s="1087" t="str">
        <f t="shared" si="198"/>
        <v/>
      </c>
      <c r="K2602" s="2216"/>
      <c r="L2602" s="2216"/>
      <c r="M2602" s="2216"/>
      <c r="N2602" s="2216"/>
      <c r="P2602" s="1137"/>
      <c r="Q2602" s="1137"/>
      <c r="R2602" s="1137"/>
      <c r="S2602" s="1137"/>
      <c r="T2602" s="1137"/>
      <c r="U2602" s="1137"/>
      <c r="V2602" s="1137"/>
    </row>
    <row r="2603" spans="3:22">
      <c r="C2603" s="484">
        <f t="shared" si="199"/>
        <v>15</v>
      </c>
      <c r="D2603" s="3449" t="str">
        <f t="shared" si="197"/>
        <v>Fuel benchmark sub-installation, non-CL</v>
      </c>
      <c r="E2603" s="3452"/>
      <c r="F2603" s="3452"/>
      <c r="G2603" s="3452"/>
      <c r="H2603" s="3453"/>
      <c r="I2603" s="462" t="str">
        <f t="shared" si="200"/>
        <v/>
      </c>
      <c r="J2603" s="1087" t="str">
        <f t="shared" si="198"/>
        <v/>
      </c>
      <c r="K2603" s="2216"/>
      <c r="L2603" s="2216"/>
      <c r="M2603" s="2216"/>
      <c r="N2603" s="2216"/>
      <c r="P2603" s="1137"/>
      <c r="Q2603" s="1137"/>
      <c r="R2603" s="1137"/>
      <c r="S2603" s="1137"/>
      <c r="T2603" s="1137"/>
      <c r="U2603" s="1137"/>
      <c r="V2603" s="1137"/>
    </row>
    <row r="2604" spans="3:22">
      <c r="C2604" s="484">
        <f t="shared" si="199"/>
        <v>16</v>
      </c>
      <c r="D2604" s="3449" t="str">
        <f t="shared" si="197"/>
        <v>Process emissions sub-installation, CL</v>
      </c>
      <c r="E2604" s="3452"/>
      <c r="F2604" s="3452"/>
      <c r="G2604" s="3452"/>
      <c r="H2604" s="3453"/>
      <c r="I2604" s="462" t="str">
        <f t="shared" si="200"/>
        <v/>
      </c>
      <c r="J2604" s="2209" t="str">
        <f t="shared" si="198"/>
        <v/>
      </c>
      <c r="K2604" s="2216"/>
      <c r="L2604" s="2216"/>
      <c r="M2604" s="2216"/>
      <c r="N2604" s="2216"/>
      <c r="P2604" s="1137"/>
      <c r="Q2604" s="1137"/>
      <c r="R2604" s="1137"/>
      <c r="S2604" s="1137"/>
      <c r="T2604" s="1137"/>
      <c r="U2604" s="1137"/>
      <c r="V2604" s="1137"/>
    </row>
    <row r="2605" spans="3:22" ht="13.5" thickBot="1">
      <c r="C2605" s="855">
        <v>17</v>
      </c>
      <c r="D2605" s="3454" t="str">
        <f t="shared" si="197"/>
        <v>Process emissions sub-installation, non-CL</v>
      </c>
      <c r="E2605" s="3455"/>
      <c r="F2605" s="3455"/>
      <c r="G2605" s="3455"/>
      <c r="H2605" s="3456"/>
      <c r="I2605" s="464" t="str">
        <f t="shared" si="200"/>
        <v/>
      </c>
      <c r="J2605" s="2207" t="str">
        <f t="shared" si="198"/>
        <v/>
      </c>
      <c r="K2605" s="2216"/>
      <c r="L2605" s="2216"/>
      <c r="M2605" s="2216"/>
      <c r="N2605" s="2216"/>
      <c r="P2605" s="1137"/>
      <c r="Q2605" s="1137"/>
      <c r="R2605" s="1137"/>
      <c r="S2605" s="1137"/>
      <c r="T2605" s="1137"/>
      <c r="U2605" s="1137"/>
      <c r="V2605" s="1137"/>
    </row>
    <row r="2606" spans="3:22">
      <c r="C2606" s="485"/>
      <c r="D2606" s="3446" t="s">
        <v>2063</v>
      </c>
      <c r="E2606" s="3457"/>
      <c r="F2606" s="3457"/>
      <c r="G2606" s="3457"/>
      <c r="H2606" s="3458"/>
      <c r="I2606" s="2217" t="str">
        <f>IF(COUNT(I2589:I2605)&gt;0,IF(SUM(I2589:I2605)&gt;0,SUM(I2589:I2605),0),"")</f>
        <v/>
      </c>
      <c r="J2606" s="2210" t="str">
        <f>IF(COUNT(J2589:J2605)&gt;0,IF(SUM(J2589:J2605)&gt;0,SUM(J2589:J2605),0),"")</f>
        <v/>
      </c>
      <c r="K2606" s="2216"/>
      <c r="L2606" s="2216"/>
      <c r="M2606" s="2216"/>
      <c r="N2606" s="2216"/>
      <c r="P2606" s="1137"/>
      <c r="Q2606" s="1137"/>
      <c r="R2606" s="1137"/>
      <c r="S2606" s="1137"/>
      <c r="T2606" s="1137"/>
      <c r="U2606" s="1137"/>
      <c r="V2606" s="1137"/>
    </row>
    <row r="2607" spans="3:22">
      <c r="C2607" s="485"/>
      <c r="D2607" s="568"/>
      <c r="E2607" s="523"/>
      <c r="F2607" s="523"/>
      <c r="G2607" s="523"/>
      <c r="H2607" s="523"/>
      <c r="I2607" s="523"/>
      <c r="J2607" s="2214"/>
      <c r="K2607" s="2215"/>
      <c r="L2607" s="2215"/>
      <c r="M2607" s="2215"/>
      <c r="N2607" s="2215"/>
      <c r="P2607" s="1137"/>
      <c r="Q2607" s="1137"/>
      <c r="R2607" s="1137"/>
      <c r="S2607" s="1137"/>
      <c r="T2607" s="1137"/>
      <c r="U2607" s="1137"/>
      <c r="V2607" s="1137"/>
    </row>
    <row r="2608" spans="3:22" ht="15.75">
      <c r="C2608" s="507" t="s">
        <v>61</v>
      </c>
      <c r="D2608" s="3444" t="s">
        <v>2058</v>
      </c>
      <c r="E2608" s="3444"/>
      <c r="F2608" s="3444"/>
      <c r="G2608" s="3444"/>
      <c r="H2608" s="3444"/>
      <c r="I2608" s="3444"/>
      <c r="J2608" s="3444"/>
      <c r="K2608" s="3444"/>
      <c r="L2608" s="3444"/>
      <c r="M2608" s="3444"/>
      <c r="N2608" s="3444"/>
      <c r="P2608" s="1137"/>
      <c r="Q2608" s="1137"/>
      <c r="R2608" s="1137"/>
      <c r="S2608" s="1137"/>
      <c r="T2608" s="1137"/>
      <c r="U2608" s="1137"/>
      <c r="V2608" s="1137"/>
    </row>
    <row r="2609" spans="3:22">
      <c r="C2609" s="485"/>
      <c r="D2609" s="485"/>
      <c r="E2609" s="485"/>
      <c r="F2609" s="485"/>
      <c r="G2609" s="485"/>
      <c r="H2609" s="485"/>
      <c r="I2609" s="485"/>
      <c r="J2609" s="485"/>
      <c r="K2609" s="485"/>
      <c r="L2609" s="485"/>
      <c r="M2609" s="2211"/>
      <c r="N2609" s="2211"/>
      <c r="O2609" s="485"/>
      <c r="P2609" s="1137"/>
      <c r="Q2609" s="1137"/>
      <c r="R2609" s="1137"/>
      <c r="S2609" s="1137"/>
      <c r="T2609" s="1137"/>
      <c r="U2609" s="1137"/>
      <c r="V2609" s="1137"/>
    </row>
    <row r="2610" spans="3:22" ht="15">
      <c r="C2610" s="559">
        <v>1</v>
      </c>
      <c r="D2610" s="856" t="s">
        <v>2261</v>
      </c>
      <c r="E2610" s="485"/>
      <c r="F2610" s="485"/>
      <c r="G2610" s="485"/>
      <c r="H2610" s="485"/>
      <c r="I2610" s="485"/>
      <c r="J2610" s="485"/>
      <c r="K2610" s="485"/>
      <c r="L2610" s="485"/>
      <c r="M2610" s="2211"/>
      <c r="N2610" s="2211"/>
      <c r="O2610" s="485"/>
      <c r="P2610" s="1137"/>
      <c r="Q2610" s="1137"/>
      <c r="R2610" s="1137"/>
      <c r="S2610" s="1137"/>
      <c r="T2610" s="1137"/>
      <c r="U2610" s="1137"/>
      <c r="V2610" s="1137"/>
    </row>
    <row r="2611" spans="3:22" ht="15">
      <c r="C2611" s="559"/>
      <c r="D2611" s="856"/>
      <c r="E2611" s="3459" t="s">
        <v>2577</v>
      </c>
      <c r="F2611" s="2388"/>
      <c r="G2611" s="2388"/>
      <c r="H2611" s="2388"/>
      <c r="I2611" s="2388"/>
      <c r="J2611" s="2388"/>
      <c r="K2611" s="2388"/>
      <c r="L2611" s="2388"/>
      <c r="M2611" s="2388"/>
      <c r="N2611" s="2388"/>
      <c r="O2611" s="485"/>
      <c r="P2611" s="1137"/>
      <c r="Q2611" s="1137"/>
      <c r="R2611" s="1137"/>
      <c r="S2611" s="1137"/>
      <c r="T2611" s="1137"/>
      <c r="U2611" s="1137"/>
      <c r="V2611" s="1137"/>
    </row>
    <row r="2612" spans="3:22">
      <c r="C2612" s="485"/>
      <c r="D2612" s="485"/>
      <c r="E2612" s="485"/>
      <c r="F2612" s="485"/>
      <c r="G2612" s="485"/>
      <c r="H2612" s="485"/>
      <c r="I2612" s="485"/>
      <c r="J2612" s="485"/>
      <c r="K2612" s="485"/>
      <c r="L2612" s="485"/>
      <c r="M2612" s="2211"/>
      <c r="N2612" s="2211"/>
      <c r="O2612" s="485"/>
      <c r="P2612" s="3532" t="s">
        <v>2064</v>
      </c>
      <c r="Q2612" s="3533"/>
      <c r="R2612" s="3533"/>
      <c r="S2612" s="3533"/>
      <c r="T2612" s="3533"/>
      <c r="U2612" s="3534"/>
      <c r="V2612" s="1137"/>
    </row>
    <row r="2613" spans="3:22" ht="13.5" thickBot="1">
      <c r="C2613" s="485"/>
      <c r="D2613" s="3460" t="s">
        <v>831</v>
      </c>
      <c r="E2613" s="3460"/>
      <c r="F2613" s="3460"/>
      <c r="G2613" s="3460"/>
      <c r="H2613" s="3460"/>
      <c r="I2613" s="578">
        <v>2025</v>
      </c>
      <c r="J2613" s="2218"/>
      <c r="K2613" s="485"/>
      <c r="L2613" s="485"/>
      <c r="M2613" s="2211"/>
      <c r="N2613" s="2211"/>
      <c r="O2613" s="485"/>
      <c r="P2613" s="2219">
        <v>2025</v>
      </c>
      <c r="Q2613" s="2220">
        <v>2026</v>
      </c>
      <c r="R2613" s="2219">
        <v>2027</v>
      </c>
      <c r="S2613" s="2220">
        <v>2028</v>
      </c>
      <c r="T2613" s="1158">
        <v>2029</v>
      </c>
      <c r="U2613" s="2221">
        <v>2030</v>
      </c>
      <c r="V2613" s="1137"/>
    </row>
    <row r="2614" spans="3:22">
      <c r="C2614" s="852">
        <v>1</v>
      </c>
      <c r="D2614" s="3446" t="str">
        <f t="shared" ref="D2614:D2623" si="201">D2567</f>
        <v/>
      </c>
      <c r="E2614" s="3457"/>
      <c r="F2614" s="3457"/>
      <c r="G2614" s="3457"/>
      <c r="H2614" s="3458"/>
      <c r="I2614" s="30" t="str">
        <f>IF(P2614 = TRUE, c_ALR2025!N2582, "")</f>
        <v/>
      </c>
      <c r="J2614" s="2222"/>
      <c r="K2614" s="485"/>
      <c r="L2614" s="485"/>
      <c r="M2614" s="2211"/>
      <c r="N2614" s="2211"/>
      <c r="O2614" s="485"/>
      <c r="P2614" s="2223" t="str">
        <f>IFERROR(IF(YEAR('B+C_SubInstallations'!$AA75) = 2025,TRUE,""),"")</f>
        <v/>
      </c>
      <c r="Q2614" s="2224" t="str">
        <f>IFERROR(IF(YEAR('B+C_SubInstallations'!$AA75) = 2026,TRUE,""),"")</f>
        <v/>
      </c>
      <c r="R2614" s="2223" t="str">
        <f>IFERROR(IF(YEAR('B+C_SubInstallations'!$AA75) = 2027,TRUE,""),"")</f>
        <v/>
      </c>
      <c r="S2614" s="2224" t="str">
        <f>IFERROR(IF(YEAR('B+C_SubInstallations'!$AA75) = 2028,TRUE,""),"")</f>
        <v/>
      </c>
      <c r="T2614" s="2223" t="str">
        <f>IFERROR(IF(YEAR('B+C_SubInstallations'!$AA75) = 2029,TRUE,""),"")</f>
        <v/>
      </c>
      <c r="U2614" s="2225" t="str">
        <f>IFERROR(IF(YEAR('B+C_SubInstallations'!$AA75) = 2030,TRUE,""),"")</f>
        <v/>
      </c>
      <c r="V2614" s="1137"/>
    </row>
    <row r="2615" spans="3:22">
      <c r="C2615" s="484">
        <v>2</v>
      </c>
      <c r="D2615" s="3449" t="str">
        <f t="shared" si="201"/>
        <v/>
      </c>
      <c r="E2615" s="3452"/>
      <c r="F2615" s="3452"/>
      <c r="G2615" s="3452"/>
      <c r="H2615" s="3453"/>
      <c r="I2615" s="458" t="str">
        <f>IF(P2615 = TRUE, c_ALR2025!N2583, "")</f>
        <v/>
      </c>
      <c r="J2615" s="2222"/>
      <c r="K2615" s="485"/>
      <c r="L2615" s="485"/>
      <c r="M2615" s="2211"/>
      <c r="N2615" s="2211"/>
      <c r="O2615" s="485"/>
      <c r="P2615" s="2223" t="str">
        <f>IFERROR(IF(YEAR('B+C_SubInstallations'!$AA76) = 2025,TRUE,""),"")</f>
        <v/>
      </c>
      <c r="Q2615" s="2224" t="str">
        <f>IFERROR(IF(YEAR('B+C_SubInstallations'!$AA76) = 2026,TRUE,""),"")</f>
        <v/>
      </c>
      <c r="R2615" s="2223" t="str">
        <f>IFERROR(IF(YEAR('B+C_SubInstallations'!$AA76) = 2027,TRUE,""),"")</f>
        <v/>
      </c>
      <c r="S2615" s="2224" t="str">
        <f>IFERROR(IF(YEAR('B+C_SubInstallations'!$AA76) = 2028,TRUE,""),"")</f>
        <v/>
      </c>
      <c r="T2615" s="2223" t="str">
        <f>IFERROR(IF(YEAR('B+C_SubInstallations'!$AA76) = 2029,TRUE,""),"")</f>
        <v/>
      </c>
      <c r="U2615" s="2226" t="str">
        <f>IFERROR(IF(YEAR('B+C_SubInstallations'!$AA76) = 2030,TRUE,""),"")</f>
        <v/>
      </c>
      <c r="V2615" s="1137"/>
    </row>
    <row r="2616" spans="3:22">
      <c r="C2616" s="484">
        <v>3</v>
      </c>
      <c r="D2616" s="3449" t="str">
        <f t="shared" si="201"/>
        <v/>
      </c>
      <c r="E2616" s="3452"/>
      <c r="F2616" s="3452"/>
      <c r="G2616" s="3452"/>
      <c r="H2616" s="3453"/>
      <c r="I2616" s="458" t="str">
        <f>IF(P2616 = TRUE, c_ALR2025!N2584, "")</f>
        <v/>
      </c>
      <c r="J2616" s="2222"/>
      <c r="K2616" s="485"/>
      <c r="L2616" s="485"/>
      <c r="M2616" s="2211"/>
      <c r="N2616" s="2211"/>
      <c r="O2616" s="485"/>
      <c r="P2616" s="2223" t="str">
        <f>IFERROR(IF(YEAR('B+C_SubInstallations'!$AA77) = 2025,TRUE,""),"")</f>
        <v/>
      </c>
      <c r="Q2616" s="2224" t="str">
        <f>IFERROR(IF(YEAR('B+C_SubInstallations'!$AA77) = 2026,TRUE,""),"")</f>
        <v/>
      </c>
      <c r="R2616" s="2223" t="str">
        <f>IFERROR(IF(YEAR('B+C_SubInstallations'!$AA77) = 2027,TRUE,""),"")</f>
        <v/>
      </c>
      <c r="S2616" s="2224" t="str">
        <f>IFERROR(IF(YEAR('B+C_SubInstallations'!$AA77) = 2028,TRUE,""),"")</f>
        <v/>
      </c>
      <c r="T2616" s="2223" t="str">
        <f>IFERROR(IF(YEAR('B+C_SubInstallations'!$AA77) = 2029,TRUE,""),"")</f>
        <v/>
      </c>
      <c r="U2616" s="2226" t="str">
        <f>IFERROR(IF(YEAR('B+C_SubInstallations'!$AA77) = 2030,TRUE,""),"")</f>
        <v/>
      </c>
      <c r="V2616" s="1137"/>
    </row>
    <row r="2617" spans="3:22">
      <c r="C2617" s="484">
        <v>4</v>
      </c>
      <c r="D2617" s="3449" t="str">
        <f t="shared" si="201"/>
        <v/>
      </c>
      <c r="E2617" s="3452"/>
      <c r="F2617" s="3452"/>
      <c r="G2617" s="3452"/>
      <c r="H2617" s="3453"/>
      <c r="I2617" s="458" t="str">
        <f>IF(P2617 = TRUE, c_ALR2025!N2585, "")</f>
        <v/>
      </c>
      <c r="J2617" s="2222"/>
      <c r="K2617" s="485"/>
      <c r="L2617" s="485"/>
      <c r="M2617" s="2211"/>
      <c r="N2617" s="2211"/>
      <c r="O2617" s="485"/>
      <c r="P2617" s="2223" t="str">
        <f>IFERROR(IF(YEAR('B+C_SubInstallations'!$AA78) = 2025,TRUE,""),"")</f>
        <v/>
      </c>
      <c r="Q2617" s="2224" t="str">
        <f>IFERROR(IF(YEAR('B+C_SubInstallations'!$AA78) = 2026,TRUE,""),"")</f>
        <v/>
      </c>
      <c r="R2617" s="2223" t="str">
        <f>IFERROR(IF(YEAR('B+C_SubInstallations'!$AA78) = 2027,TRUE,""),"")</f>
        <v/>
      </c>
      <c r="S2617" s="2224" t="str">
        <f>IFERROR(IF(YEAR('B+C_SubInstallations'!$AA78) = 2028,TRUE,""),"")</f>
        <v/>
      </c>
      <c r="T2617" s="2223" t="str">
        <f>IFERROR(IF(YEAR('B+C_SubInstallations'!$AA78) = 2029,TRUE,""),"")</f>
        <v/>
      </c>
      <c r="U2617" s="2226" t="str">
        <f>IFERROR(IF(YEAR('B+C_SubInstallations'!$AA78) = 2030,TRUE,""),"")</f>
        <v/>
      </c>
      <c r="V2617" s="1137"/>
    </row>
    <row r="2618" spans="3:22">
      <c r="C2618" s="484">
        <v>5</v>
      </c>
      <c r="D2618" s="3449" t="str">
        <f t="shared" si="201"/>
        <v/>
      </c>
      <c r="E2618" s="3452"/>
      <c r="F2618" s="3452"/>
      <c r="G2618" s="3452"/>
      <c r="H2618" s="3453"/>
      <c r="I2618" s="458" t="str">
        <f>IF(P2618 = TRUE, c_ALR2025!N2586, "")</f>
        <v/>
      </c>
      <c r="J2618" s="2222"/>
      <c r="K2618" s="485"/>
      <c r="L2618" s="485"/>
      <c r="M2618" s="2211"/>
      <c r="N2618" s="2211"/>
      <c r="O2618" s="485"/>
      <c r="P2618" s="2223" t="str">
        <f>IFERROR(IF(YEAR('B+C_SubInstallations'!$AA79) = 2025,TRUE,""),"")</f>
        <v/>
      </c>
      <c r="Q2618" s="2224" t="str">
        <f>IFERROR(IF(YEAR('B+C_SubInstallations'!$AA79) = 2026,TRUE,""),"")</f>
        <v/>
      </c>
      <c r="R2618" s="2223" t="str">
        <f>IFERROR(IF(YEAR('B+C_SubInstallations'!$AA79) = 2027,TRUE,""),"")</f>
        <v/>
      </c>
      <c r="S2618" s="2224" t="str">
        <f>IFERROR(IF(YEAR('B+C_SubInstallations'!$AA79) = 2028,TRUE,""),"")</f>
        <v/>
      </c>
      <c r="T2618" s="2223" t="str">
        <f>IFERROR(IF(YEAR('B+C_SubInstallations'!$AA79) = 2029,TRUE,""),"")</f>
        <v/>
      </c>
      <c r="U2618" s="2226" t="str">
        <f>IFERROR(IF(YEAR('B+C_SubInstallations'!$AA79) = 2030,TRUE,""),"")</f>
        <v/>
      </c>
      <c r="V2618" s="1137"/>
    </row>
    <row r="2619" spans="3:22">
      <c r="C2619" s="484">
        <v>6</v>
      </c>
      <c r="D2619" s="3449" t="str">
        <f t="shared" si="201"/>
        <v/>
      </c>
      <c r="E2619" s="3452"/>
      <c r="F2619" s="3452"/>
      <c r="G2619" s="3452"/>
      <c r="H2619" s="3453"/>
      <c r="I2619" s="458" t="str">
        <f>IF(P2619 = TRUE, c_ALR2025!N2587, "")</f>
        <v/>
      </c>
      <c r="J2619" s="2222"/>
      <c r="K2619" s="485"/>
      <c r="L2619" s="485"/>
      <c r="M2619" s="2211"/>
      <c r="N2619" s="2211"/>
      <c r="O2619" s="485"/>
      <c r="P2619" s="2223" t="str">
        <f>IFERROR(IF(YEAR('B+C_SubInstallations'!$AA80) = 2025,TRUE,""),"")</f>
        <v/>
      </c>
      <c r="Q2619" s="2224" t="str">
        <f>IFERROR(IF(YEAR('B+C_SubInstallations'!$AA80) = 2026,TRUE,""),"")</f>
        <v/>
      </c>
      <c r="R2619" s="2223" t="str">
        <f>IFERROR(IF(YEAR('B+C_SubInstallations'!$AA80) = 2027,TRUE,""),"")</f>
        <v/>
      </c>
      <c r="S2619" s="2224" t="str">
        <f>IFERROR(IF(YEAR('B+C_SubInstallations'!$AA80) = 2028,TRUE,""),"")</f>
        <v/>
      </c>
      <c r="T2619" s="2223" t="str">
        <f>IFERROR(IF(YEAR('B+C_SubInstallations'!$AA80) = 2029,TRUE,""),"")</f>
        <v/>
      </c>
      <c r="U2619" s="2226" t="str">
        <f>IFERROR(IF(YEAR('B+C_SubInstallations'!$AA80) = 2030,TRUE,""),"")</f>
        <v/>
      </c>
      <c r="V2619" s="1137"/>
    </row>
    <row r="2620" spans="3:22">
      <c r="C2620" s="484">
        <v>7</v>
      </c>
      <c r="D2620" s="3449" t="str">
        <f t="shared" si="201"/>
        <v/>
      </c>
      <c r="E2620" s="3452"/>
      <c r="F2620" s="3452"/>
      <c r="G2620" s="3452"/>
      <c r="H2620" s="3453"/>
      <c r="I2620" s="458" t="str">
        <f>IF(P2620 = TRUE, c_ALR2025!N2588, "")</f>
        <v/>
      </c>
      <c r="J2620" s="2222"/>
      <c r="K2620" s="485"/>
      <c r="L2620" s="485"/>
      <c r="M2620" s="2211"/>
      <c r="N2620" s="2211"/>
      <c r="O2620" s="485"/>
      <c r="P2620" s="2223" t="str">
        <f>IFERROR(IF(YEAR('B+C_SubInstallations'!$AA81) = 2025,TRUE,""),"")</f>
        <v/>
      </c>
      <c r="Q2620" s="2224" t="str">
        <f>IFERROR(IF(YEAR('B+C_SubInstallations'!$AA81) = 2026,TRUE,""),"")</f>
        <v/>
      </c>
      <c r="R2620" s="2223" t="str">
        <f>IFERROR(IF(YEAR('B+C_SubInstallations'!$AA81) = 2027,TRUE,""),"")</f>
        <v/>
      </c>
      <c r="S2620" s="2224" t="str">
        <f>IFERROR(IF(YEAR('B+C_SubInstallations'!$AA81) = 2028,TRUE,""),"")</f>
        <v/>
      </c>
      <c r="T2620" s="2223" t="str">
        <f>IFERROR(IF(YEAR('B+C_SubInstallations'!$AA81) = 2029,TRUE,""),"")</f>
        <v/>
      </c>
      <c r="U2620" s="2226" t="str">
        <f>IFERROR(IF(YEAR('B+C_SubInstallations'!$AA81) = 2030,TRUE,""),"")</f>
        <v/>
      </c>
      <c r="V2620" s="1137"/>
    </row>
    <row r="2621" spans="3:22">
      <c r="C2621" s="484">
        <v>8</v>
      </c>
      <c r="D2621" s="3449" t="str">
        <f t="shared" si="201"/>
        <v/>
      </c>
      <c r="E2621" s="3452"/>
      <c r="F2621" s="3452"/>
      <c r="G2621" s="3452"/>
      <c r="H2621" s="3453"/>
      <c r="I2621" s="458" t="str">
        <f>IF(P2621 = TRUE, c_ALR2025!N2589, "")</f>
        <v/>
      </c>
      <c r="J2621" s="2222"/>
      <c r="K2621" s="485"/>
      <c r="L2621" s="485"/>
      <c r="M2621" s="2211"/>
      <c r="N2621" s="2211"/>
      <c r="O2621" s="485"/>
      <c r="P2621" s="2223" t="str">
        <f>IFERROR(IF(YEAR('B+C_SubInstallations'!$AA82) = 2025,TRUE,""),"")</f>
        <v/>
      </c>
      <c r="Q2621" s="2224" t="str">
        <f>IFERROR(IF(YEAR('B+C_SubInstallations'!$AA82) = 2026,TRUE,""),"")</f>
        <v/>
      </c>
      <c r="R2621" s="2223" t="str">
        <f>IFERROR(IF(YEAR('B+C_SubInstallations'!$AA82) = 2027,TRUE,""),"")</f>
        <v/>
      </c>
      <c r="S2621" s="2224" t="str">
        <f>IFERROR(IF(YEAR('B+C_SubInstallations'!$AA82) = 2028,TRUE,""),"")</f>
        <v/>
      </c>
      <c r="T2621" s="2223" t="str">
        <f>IFERROR(IF(YEAR('B+C_SubInstallations'!$AA82) = 2029,TRUE,""),"")</f>
        <v/>
      </c>
      <c r="U2621" s="2226" t="str">
        <f>IFERROR(IF(YEAR('B+C_SubInstallations'!$AA82) = 2030,TRUE,""),"")</f>
        <v/>
      </c>
      <c r="V2621" s="1137"/>
    </row>
    <row r="2622" spans="3:22">
      <c r="C2622" s="484">
        <v>9</v>
      </c>
      <c r="D2622" s="3449" t="str">
        <f t="shared" si="201"/>
        <v/>
      </c>
      <c r="E2622" s="3452"/>
      <c r="F2622" s="3452"/>
      <c r="G2622" s="3452"/>
      <c r="H2622" s="3453"/>
      <c r="I2622" s="458" t="str">
        <f>IF(P2622 = TRUE, c_ALR2025!N2590, "")</f>
        <v/>
      </c>
      <c r="J2622" s="2222"/>
      <c r="K2622" s="485"/>
      <c r="L2622" s="485"/>
      <c r="M2622" s="2211"/>
      <c r="N2622" s="2211"/>
      <c r="O2622" s="485"/>
      <c r="P2622" s="2223" t="str">
        <f>IFERROR(IF(YEAR('B+C_SubInstallations'!$AA83) = 2025,TRUE,""),"")</f>
        <v/>
      </c>
      <c r="Q2622" s="2224" t="str">
        <f>IFERROR(IF(YEAR('B+C_SubInstallations'!$AA83) = 2026,TRUE,""),"")</f>
        <v/>
      </c>
      <c r="R2622" s="2223" t="str">
        <f>IFERROR(IF(YEAR('B+C_SubInstallations'!$AA83) = 2027,TRUE,""),"")</f>
        <v/>
      </c>
      <c r="S2622" s="2224" t="str">
        <f>IFERROR(IF(YEAR('B+C_SubInstallations'!$AA83) = 2028,TRUE,""),"")</f>
        <v/>
      </c>
      <c r="T2622" s="2223" t="str">
        <f>IFERROR(IF(YEAR('B+C_SubInstallations'!$AA83) = 2029,TRUE,""),"")</f>
        <v/>
      </c>
      <c r="U2622" s="2226" t="str">
        <f>IFERROR(IF(YEAR('B+C_SubInstallations'!$AA83) = 2030,TRUE,""),"")</f>
        <v/>
      </c>
      <c r="V2622" s="1137"/>
    </row>
    <row r="2623" spans="3:22" ht="13.5" thickBot="1">
      <c r="C2623" s="854">
        <v>10</v>
      </c>
      <c r="D2623" s="3454" t="str">
        <f t="shared" si="201"/>
        <v/>
      </c>
      <c r="E2623" s="3455"/>
      <c r="F2623" s="3455"/>
      <c r="G2623" s="3455"/>
      <c r="H2623" s="3456"/>
      <c r="I2623" s="459" t="str">
        <f>IF(P2623 = TRUE, c_ALR2025!N2591, "")</f>
        <v/>
      </c>
      <c r="J2623" s="2222"/>
      <c r="K2623" s="485"/>
      <c r="L2623" s="485"/>
      <c r="M2623" s="2211"/>
      <c r="N2623" s="2211"/>
      <c r="O2623" s="485"/>
      <c r="P2623" s="2223" t="str">
        <f>IFERROR(IF(YEAR('B+C_SubInstallations'!$AA84) = 2025,TRUE,""),"")</f>
        <v/>
      </c>
      <c r="Q2623" s="2224" t="str">
        <f>IFERROR(IF(YEAR('B+C_SubInstallations'!$AA84) = 2026,TRUE,""),"")</f>
        <v/>
      </c>
      <c r="R2623" s="2223" t="str">
        <f>IFERROR(IF(YEAR('B+C_SubInstallations'!$AA84) = 2027,TRUE,""),"")</f>
        <v/>
      </c>
      <c r="S2623" s="2224" t="str">
        <f>IFERROR(IF(YEAR('B+C_SubInstallations'!$AA84) = 2028,TRUE,""),"")</f>
        <v/>
      </c>
      <c r="T2623" s="2223" t="str">
        <f>IFERROR(IF(YEAR('B+C_SubInstallations'!$AA84) = 2029,TRUE,""),"")</f>
        <v/>
      </c>
      <c r="U2623" s="2226" t="str">
        <f>IFERROR(IF(YEAR('B+C_SubInstallations'!$AA84) = 2030,TRUE,""),"")</f>
        <v/>
      </c>
      <c r="V2623" s="1137"/>
    </row>
    <row r="2624" spans="3:22">
      <c r="C2624" s="484">
        <v>11</v>
      </c>
      <c r="D2624" s="3446" t="s">
        <v>275</v>
      </c>
      <c r="E2624" s="3447"/>
      <c r="F2624" s="3447"/>
      <c r="G2624" s="3447"/>
      <c r="H2624" s="3448"/>
      <c r="I2624" s="30" t="str">
        <f>IF(P2624 = TRUE, c_ALR2025!N2592, "")</f>
        <v/>
      </c>
      <c r="J2624" s="2222"/>
      <c r="K2624" s="485"/>
      <c r="L2624" s="485"/>
      <c r="M2624" s="2211"/>
      <c r="N2624" s="2211"/>
      <c r="O2624" s="485"/>
      <c r="P2624" s="2223" t="str">
        <f>IFERROR(IF(YEAR('B+C_SubInstallations'!$AA85) = 2025,TRUE,""),"")</f>
        <v/>
      </c>
      <c r="Q2624" s="2224" t="str">
        <f>IFERROR(IF(YEAR('B+C_SubInstallations'!$AA85) = 2026,TRUE,""),"")</f>
        <v/>
      </c>
      <c r="R2624" s="2223" t="str">
        <f>IFERROR(IF(YEAR('B+C_SubInstallations'!$AA85) = 2027,TRUE,""),"")</f>
        <v/>
      </c>
      <c r="S2624" s="2224" t="str">
        <f>IFERROR(IF(YEAR('B+C_SubInstallations'!$AA85) = 2028,TRUE,""),"")</f>
        <v/>
      </c>
      <c r="T2624" s="2223" t="str">
        <f>IFERROR(IF(YEAR('B+C_SubInstallations'!$AA85) = 2029,TRUE,""),"")</f>
        <v/>
      </c>
      <c r="U2624" s="2226" t="str">
        <f>IFERROR(IF(YEAR('B+C_SubInstallations'!$AA85) = 2030,TRUE,""),"")</f>
        <v/>
      </c>
      <c r="V2624" s="1137"/>
    </row>
    <row r="2625" spans="3:22">
      <c r="C2625" s="484">
        <v>12</v>
      </c>
      <c r="D2625" s="3449" t="s">
        <v>276</v>
      </c>
      <c r="E2625" s="3450"/>
      <c r="F2625" s="3450"/>
      <c r="G2625" s="3450"/>
      <c r="H2625" s="3451"/>
      <c r="I2625" s="458" t="str">
        <f>IF(P2625 = TRUE, c_ALR2025!N2593, "")</f>
        <v/>
      </c>
      <c r="J2625" s="2222"/>
      <c r="K2625" s="485"/>
      <c r="L2625" s="485"/>
      <c r="M2625" s="2211"/>
      <c r="N2625" s="2211"/>
      <c r="O2625" s="485"/>
      <c r="P2625" s="2223" t="str">
        <f>IFERROR(IF(YEAR('B+C_SubInstallations'!$AA86) = 2025,TRUE,""),"")</f>
        <v/>
      </c>
      <c r="Q2625" s="2224" t="str">
        <f>IFERROR(IF(YEAR('B+C_SubInstallations'!$AA86) = 2026,TRUE,""),"")</f>
        <v/>
      </c>
      <c r="R2625" s="2223" t="str">
        <f>IFERROR(IF(YEAR('B+C_SubInstallations'!$AA86) = 2027,TRUE,""),"")</f>
        <v/>
      </c>
      <c r="S2625" s="2224" t="str">
        <f>IFERROR(IF(YEAR('B+C_SubInstallations'!$AA86) = 2028,TRUE,""),"")</f>
        <v/>
      </c>
      <c r="T2625" s="2223" t="str">
        <f>IFERROR(IF(YEAR('B+C_SubInstallations'!$AA86) = 2029,TRUE,""),"")</f>
        <v/>
      </c>
      <c r="U2625" s="2226" t="str">
        <f>IFERROR(IF(YEAR('B+C_SubInstallations'!$AA86) = 2030,TRUE,""),"")</f>
        <v/>
      </c>
      <c r="V2625" s="1137"/>
    </row>
    <row r="2626" spans="3:22">
      <c r="C2626" s="484">
        <v>13</v>
      </c>
      <c r="D2626" s="3449" t="s">
        <v>1209</v>
      </c>
      <c r="E2626" s="3450"/>
      <c r="F2626" s="3450"/>
      <c r="G2626" s="3450"/>
      <c r="H2626" s="3451"/>
      <c r="I2626" s="458" t="str">
        <f>IF(P2626 = TRUE, c_ALR2025!N2594, "")</f>
        <v/>
      </c>
      <c r="J2626" s="2222"/>
      <c r="K2626" s="485"/>
      <c r="L2626" s="485"/>
      <c r="M2626" s="2211"/>
      <c r="N2626" s="2211"/>
      <c r="O2626" s="485"/>
      <c r="P2626" s="2223" t="str">
        <f>IFERROR(IF(YEAR('B+C_SubInstallations'!$AA87) = 2025,TRUE,""),"")</f>
        <v/>
      </c>
      <c r="Q2626" s="2224" t="str">
        <f>IFERROR(IF(YEAR('B+C_SubInstallations'!$AA87) = 2026,TRUE,""),"")</f>
        <v/>
      </c>
      <c r="R2626" s="2223" t="str">
        <f>IFERROR(IF(YEAR('B+C_SubInstallations'!$AA87) = 2027,TRUE,""),"")</f>
        <v/>
      </c>
      <c r="S2626" s="2224" t="str">
        <f>IFERROR(IF(YEAR('B+C_SubInstallations'!$AA87) = 2028,TRUE,""),"")</f>
        <v/>
      </c>
      <c r="T2626" s="2223" t="str">
        <f>IFERROR(IF(YEAR('B+C_SubInstallations'!$AA87) = 2029,TRUE,""),"")</f>
        <v/>
      </c>
      <c r="U2626" s="2226" t="str">
        <f>IFERROR(IF(YEAR('B+C_SubInstallations'!$AA87) = 2030,TRUE,""),"")</f>
        <v/>
      </c>
      <c r="V2626" s="1137"/>
    </row>
    <row r="2627" spans="3:22">
      <c r="C2627" s="484">
        <v>14</v>
      </c>
      <c r="D2627" s="3449" t="s">
        <v>277</v>
      </c>
      <c r="E2627" s="3452"/>
      <c r="F2627" s="3452"/>
      <c r="G2627" s="3452"/>
      <c r="H2627" s="3453"/>
      <c r="I2627" s="458" t="str">
        <f>IF(P2627 = TRUE, c_ALR2025!N2595, "")</f>
        <v/>
      </c>
      <c r="J2627" s="2222"/>
      <c r="K2627" s="485"/>
      <c r="L2627" s="485"/>
      <c r="M2627" s="2211"/>
      <c r="N2627" s="2211"/>
      <c r="O2627" s="485"/>
      <c r="P2627" s="2223" t="str">
        <f>IFERROR(IF(YEAR('B+C_SubInstallations'!$AA88) = 2025,TRUE,""),"")</f>
        <v/>
      </c>
      <c r="Q2627" s="2224" t="str">
        <f>IFERROR(IF(YEAR('B+C_SubInstallations'!$AA88) = 2026,TRUE,""),"")</f>
        <v/>
      </c>
      <c r="R2627" s="2223" t="str">
        <f>IFERROR(IF(YEAR('B+C_SubInstallations'!$AA88) = 2027,TRUE,""),"")</f>
        <v/>
      </c>
      <c r="S2627" s="2224" t="str">
        <f>IFERROR(IF(YEAR('B+C_SubInstallations'!$AA88) = 2028,TRUE,""),"")</f>
        <v/>
      </c>
      <c r="T2627" s="2223" t="str">
        <f>IFERROR(IF(YEAR('B+C_SubInstallations'!$AA88) = 2029,TRUE,""),"")</f>
        <v/>
      </c>
      <c r="U2627" s="2226" t="str">
        <f>IFERROR(IF(YEAR('B+C_SubInstallations'!$AA88) = 2030,TRUE,""),"")</f>
        <v/>
      </c>
      <c r="V2627" s="1137"/>
    </row>
    <row r="2628" spans="3:22">
      <c r="C2628" s="484">
        <v>15</v>
      </c>
      <c r="D2628" s="3449" t="s">
        <v>278</v>
      </c>
      <c r="E2628" s="3452"/>
      <c r="F2628" s="3452"/>
      <c r="G2628" s="3452"/>
      <c r="H2628" s="3453"/>
      <c r="I2628" s="458" t="str">
        <f>IF(P2628 = TRUE, c_ALR2025!N2596, "")</f>
        <v/>
      </c>
      <c r="J2628" s="2222"/>
      <c r="K2628" s="485"/>
      <c r="L2628" s="485"/>
      <c r="M2628" s="2211"/>
      <c r="N2628" s="2211"/>
      <c r="O2628" s="485"/>
      <c r="P2628" s="2223" t="str">
        <f>IFERROR(IF(YEAR('B+C_SubInstallations'!$AA89) = 2025,TRUE,""),"")</f>
        <v/>
      </c>
      <c r="Q2628" s="2224" t="str">
        <f>IFERROR(IF(YEAR('B+C_SubInstallations'!$AA89) = 2026,TRUE,""),"")</f>
        <v/>
      </c>
      <c r="R2628" s="2223" t="str">
        <f>IFERROR(IF(YEAR('B+C_SubInstallations'!$AA89) = 2027,TRUE,""),"")</f>
        <v/>
      </c>
      <c r="S2628" s="2224" t="str">
        <f>IFERROR(IF(YEAR('B+C_SubInstallations'!$AA89) = 2028,TRUE,""),"")</f>
        <v/>
      </c>
      <c r="T2628" s="2223" t="str">
        <f>IFERROR(IF(YEAR('B+C_SubInstallations'!$AA89) = 2029,TRUE,""),"")</f>
        <v/>
      </c>
      <c r="U2628" s="2226" t="str">
        <f>IFERROR(IF(YEAR('B+C_SubInstallations'!$AA89) = 2030,TRUE,""),"")</f>
        <v/>
      </c>
      <c r="V2628" s="1137"/>
    </row>
    <row r="2629" spans="3:22">
      <c r="C2629" s="484">
        <v>16</v>
      </c>
      <c r="D2629" s="3449" t="s">
        <v>279</v>
      </c>
      <c r="E2629" s="3452"/>
      <c r="F2629" s="3452"/>
      <c r="G2629" s="3452"/>
      <c r="H2629" s="3453"/>
      <c r="I2629" s="458" t="str">
        <f>IF(P2629 = TRUE, c_ALR2025!N2597, "")</f>
        <v/>
      </c>
      <c r="J2629" s="2222"/>
      <c r="K2629" s="485"/>
      <c r="L2629" s="485"/>
      <c r="M2629" s="2211"/>
      <c r="N2629" s="2211"/>
      <c r="O2629" s="485"/>
      <c r="P2629" s="2223" t="str">
        <f>IFERROR(IF(YEAR('B+C_SubInstallations'!$AA90) = 2025,TRUE,""),"")</f>
        <v/>
      </c>
      <c r="Q2629" s="2224" t="str">
        <f>IFERROR(IF(YEAR('B+C_SubInstallations'!$AA90) = 2026,TRUE,""),"")</f>
        <v/>
      </c>
      <c r="R2629" s="2223" t="str">
        <f>IFERROR(IF(YEAR('B+C_SubInstallations'!$AA90) = 2027,TRUE,""),"")</f>
        <v/>
      </c>
      <c r="S2629" s="2224" t="str">
        <f>IFERROR(IF(YEAR('B+C_SubInstallations'!$AA90) = 2028,TRUE,""),"")</f>
        <v/>
      </c>
      <c r="T2629" s="2223" t="str">
        <f>IFERROR(IF(YEAR('B+C_SubInstallations'!$AA90) = 2029,TRUE,""),"")</f>
        <v/>
      </c>
      <c r="U2629" s="2226" t="str">
        <f>IFERROR(IF(YEAR('B+C_SubInstallations'!$AA90) = 2030,TRUE,""),"")</f>
        <v/>
      </c>
      <c r="V2629" s="1137"/>
    </row>
    <row r="2630" spans="3:22" ht="13.5" thickBot="1">
      <c r="C2630" s="855">
        <v>17</v>
      </c>
      <c r="D2630" s="3454" t="s">
        <v>280</v>
      </c>
      <c r="E2630" s="3455"/>
      <c r="F2630" s="3455"/>
      <c r="G2630" s="3455"/>
      <c r="H2630" s="3456"/>
      <c r="I2630" s="460" t="str">
        <f>IF(P2630 = TRUE, c_ALR2025!N2598, "")</f>
        <v/>
      </c>
      <c r="J2630" s="2222"/>
      <c r="K2630" s="485"/>
      <c r="L2630" s="485"/>
      <c r="M2630" s="2211"/>
      <c r="N2630" s="2211"/>
      <c r="O2630" s="485"/>
      <c r="P2630" s="2227" t="str">
        <f>IFERROR(IF(YEAR('B+C_SubInstallations'!$AA91) = 2025,TRUE,""),"")</f>
        <v/>
      </c>
      <c r="Q2630" s="2228" t="str">
        <f>IFERROR(IF(YEAR('B+C_SubInstallations'!$AA91) = 2026,TRUE,""),"")</f>
        <v/>
      </c>
      <c r="R2630" s="2227" t="str">
        <f>IFERROR(IF(YEAR('B+C_SubInstallations'!$AA91) = 2027,TRUE,""),"")</f>
        <v/>
      </c>
      <c r="S2630" s="2228" t="str">
        <f>IFERROR(IF(YEAR('B+C_SubInstallations'!$AA91) = 2028,TRUE,""),"")</f>
        <v/>
      </c>
      <c r="T2630" s="2227" t="str">
        <f>IFERROR(IF(YEAR('B+C_SubInstallations'!$AA91) = 2029,TRUE,""),"")</f>
        <v/>
      </c>
      <c r="U2630" s="2229" t="str">
        <f>IFERROR(IF(YEAR('B+C_SubInstallations'!$AA91) = 2030,TRUE,""),"")</f>
        <v/>
      </c>
      <c r="V2630" s="1137"/>
    </row>
    <row r="2631" spans="3:22">
      <c r="C2631" s="485"/>
      <c r="D2631" s="3446" t="s">
        <v>565</v>
      </c>
      <c r="E2631" s="3457"/>
      <c r="F2631" s="3457"/>
      <c r="G2631" s="3457"/>
      <c r="H2631" s="3458"/>
      <c r="I2631" s="31" t="str">
        <f>IF(SUM(I2614:I2630) = 0,"", SUM(I2614:I2630))</f>
        <v/>
      </c>
      <c r="J2631" s="2230"/>
      <c r="K2631" s="485"/>
      <c r="L2631" s="485"/>
      <c r="M2631" s="2211"/>
      <c r="N2631" s="2211"/>
      <c r="O2631" s="485"/>
      <c r="P2631" s="1137"/>
      <c r="Q2631" s="1137"/>
      <c r="R2631" s="1137"/>
      <c r="S2631" s="1137"/>
      <c r="T2631" s="1137"/>
      <c r="U2631" s="1137"/>
      <c r="V2631" s="1137"/>
    </row>
    <row r="2632" spans="3:22">
      <c r="C2632" s="485"/>
      <c r="D2632" s="485"/>
      <c r="E2632" s="485"/>
      <c r="F2632" s="485"/>
      <c r="G2632" s="485"/>
      <c r="H2632" s="485"/>
      <c r="I2632" s="485"/>
      <c r="J2632" s="485"/>
      <c r="K2632" s="485"/>
      <c r="L2632" s="485"/>
      <c r="M2632" s="2211"/>
      <c r="N2632" s="2211"/>
      <c r="O2632" s="485"/>
      <c r="P2632" s="1137"/>
      <c r="Q2632" s="1137"/>
      <c r="R2632" s="1137"/>
      <c r="S2632" s="1137"/>
      <c r="T2632" s="1137"/>
      <c r="U2632" s="1137"/>
      <c r="V2632" s="1137"/>
    </row>
    <row r="2633" spans="3:22" ht="15">
      <c r="C2633" s="559">
        <v>2</v>
      </c>
      <c r="D2633" s="856" t="s">
        <v>2233</v>
      </c>
      <c r="E2633" s="485"/>
      <c r="F2633" s="485"/>
      <c r="G2633" s="485"/>
      <c r="H2633" s="485"/>
      <c r="I2633" s="485"/>
      <c r="J2633" s="485"/>
      <c r="K2633" s="485"/>
      <c r="L2633" s="485"/>
      <c r="M2633" s="2211"/>
      <c r="N2633" s="2211"/>
      <c r="O2633" s="485"/>
      <c r="P2633" s="1137"/>
      <c r="Q2633" s="1137"/>
      <c r="R2633" s="1137"/>
      <c r="S2633" s="1137"/>
      <c r="T2633" s="1137"/>
      <c r="U2633" s="1137"/>
      <c r="V2633" s="1137"/>
    </row>
    <row r="2634" spans="3:22" ht="25.9" customHeight="1">
      <c r="C2634" s="559"/>
      <c r="D2634" s="856"/>
      <c r="E2634" s="3459" t="s">
        <v>2578</v>
      </c>
      <c r="F2634" s="2388"/>
      <c r="G2634" s="2388"/>
      <c r="H2634" s="2388"/>
      <c r="I2634" s="2388"/>
      <c r="J2634" s="2388"/>
      <c r="K2634" s="2388"/>
      <c r="L2634" s="2388"/>
      <c r="M2634" s="2388"/>
      <c r="N2634" s="2388"/>
      <c r="O2634" s="485"/>
      <c r="P2634" s="1137" t="s">
        <v>2113</v>
      </c>
      <c r="Q2634" s="1137"/>
      <c r="R2634" s="1137"/>
      <c r="S2634" s="1137"/>
      <c r="T2634" s="1137"/>
      <c r="U2634" s="1137"/>
      <c r="V2634" s="1137"/>
    </row>
    <row r="2635" spans="3:22">
      <c r="C2635" s="485"/>
      <c r="D2635" s="485"/>
      <c r="E2635" s="485"/>
      <c r="F2635" s="485"/>
      <c r="G2635" s="485"/>
      <c r="H2635" s="485"/>
      <c r="I2635" s="485"/>
      <c r="J2635" s="485"/>
      <c r="K2635" s="485"/>
      <c r="L2635" s="485"/>
      <c r="M2635" s="2211"/>
      <c r="N2635" s="2211"/>
      <c r="O2635" s="485"/>
      <c r="P2635" s="1137" t="s">
        <v>2114</v>
      </c>
      <c r="Q2635" s="1137"/>
      <c r="R2635" s="1137"/>
      <c r="S2635" s="1137"/>
      <c r="T2635" s="1137"/>
      <c r="U2635" s="1137"/>
      <c r="V2635" s="1137"/>
    </row>
    <row r="2636" spans="3:22" ht="13.5" thickBot="1">
      <c r="C2636" s="485"/>
      <c r="D2636" s="3460" t="s">
        <v>831</v>
      </c>
      <c r="E2636" s="3460"/>
      <c r="F2636" s="3460"/>
      <c r="G2636" s="3460"/>
      <c r="H2636" s="3460"/>
      <c r="I2636" s="578">
        <v>2025</v>
      </c>
      <c r="J2636" s="2218"/>
      <c r="K2636" s="485"/>
      <c r="L2636" s="485"/>
      <c r="M2636" s="2211"/>
      <c r="N2636" s="2211"/>
      <c r="O2636" s="485"/>
      <c r="P2636" s="1137" t="s">
        <v>2579</v>
      </c>
      <c r="Q2636" s="1137"/>
      <c r="R2636" s="1137"/>
      <c r="S2636" s="1137"/>
      <c r="T2636" s="1137"/>
      <c r="U2636" s="1137"/>
      <c r="V2636" s="1137"/>
    </row>
    <row r="2637" spans="3:22">
      <c r="C2637" s="852">
        <v>1</v>
      </c>
      <c r="D2637" s="3446" t="str">
        <f>D2614</f>
        <v/>
      </c>
      <c r="E2637" s="3457"/>
      <c r="F2637" s="3457"/>
      <c r="G2637" s="3457"/>
      <c r="H2637" s="3458"/>
      <c r="I2637" s="2231" t="str">
        <f>IF(I2614 = "","",MAX(0,ROUND((SUM(M480)*SUM(I483)*SUM(c_ALR2025!N605)*SUM(c_ALR2025!N606)-SUM(c_ALR2025!N602)-SUM(c_ALR2025!N603)+SUM(c_ALR2025!N604))*IF($H480=TRUE,1,c_ALR2025!$N$2532),0)))</f>
        <v/>
      </c>
      <c r="J2637" s="2222"/>
      <c r="K2637" s="485"/>
      <c r="L2637" s="485"/>
      <c r="M2637" s="2211"/>
      <c r="N2637" s="2211"/>
      <c r="O2637" s="485"/>
      <c r="P2637" s="1137"/>
      <c r="Q2637" s="1137"/>
      <c r="R2637" s="1137"/>
      <c r="S2637" s="1137"/>
      <c r="T2637" s="1137"/>
      <c r="U2637" s="1137"/>
      <c r="V2637" s="1137"/>
    </row>
    <row r="2638" spans="3:22">
      <c r="C2638" s="484">
        <v>2</v>
      </c>
      <c r="D2638" s="3449" t="str">
        <f t="shared" ref="D2638:D2646" si="202">D2615</f>
        <v/>
      </c>
      <c r="E2638" s="3452"/>
      <c r="F2638" s="3452"/>
      <c r="G2638" s="3452"/>
      <c r="H2638" s="3453"/>
      <c r="I2638" s="2232" t="str">
        <f>IF(I2615 = "","",MAX(0,ROUND((SUM(M644)*SUM(I647)*SUM(c_ALR2025!N769)*SUM(c_ALR2025!N770)-SUM(c_ALR2025!N766)-SUM(c_ALR2025!N767)+SUM(c_ALR2025!N768))*IF($H644=TRUE,1,c_ALR2025!$N$2532),0)))</f>
        <v/>
      </c>
      <c r="J2638" s="2222"/>
      <c r="K2638" s="485"/>
      <c r="L2638" s="485"/>
      <c r="M2638" s="2211"/>
      <c r="N2638" s="2211"/>
      <c r="O2638" s="485"/>
      <c r="P2638" s="1137" t="s">
        <v>2580</v>
      </c>
      <c r="Q2638" s="1137"/>
      <c r="R2638" s="1137"/>
      <c r="S2638" s="1137"/>
      <c r="T2638" s="1137"/>
      <c r="U2638" s="1137"/>
      <c r="V2638" s="1137"/>
    </row>
    <row r="2639" spans="3:22">
      <c r="C2639" s="484">
        <v>3</v>
      </c>
      <c r="D2639" s="3449" t="str">
        <f t="shared" si="202"/>
        <v/>
      </c>
      <c r="E2639" s="3452"/>
      <c r="F2639" s="3452"/>
      <c r="G2639" s="3452"/>
      <c r="H2639" s="3453"/>
      <c r="I2639" s="2232" t="str">
        <f>IF(I2616 = "","",MAX(0,ROUND((SUM(M808)*SUM(I811)*SUM(c_ALR2025!N933)*SUM(c_ALR2025!N934)-SUM(c_ALR2025!N930)-SUM(c_ALR2025!N931)+SUM(c_ALR2025!N932))*IF($H808=TRUE,1,c_ALR2025!$N$2532),0)))</f>
        <v/>
      </c>
      <c r="J2639" s="2222"/>
      <c r="K2639" s="485"/>
      <c r="L2639" s="485"/>
      <c r="M2639" s="2211"/>
      <c r="N2639" s="2211"/>
      <c r="O2639" s="485"/>
      <c r="P2639" s="1137"/>
      <c r="Q2639" s="1137"/>
      <c r="R2639" s="1137"/>
      <c r="S2639" s="1137"/>
      <c r="T2639" s="1137"/>
      <c r="U2639" s="1137"/>
      <c r="V2639" s="1137"/>
    </row>
    <row r="2640" spans="3:22">
      <c r="C2640" s="484">
        <v>4</v>
      </c>
      <c r="D2640" s="3449" t="str">
        <f t="shared" si="202"/>
        <v/>
      </c>
      <c r="E2640" s="3452"/>
      <c r="F2640" s="3452"/>
      <c r="G2640" s="3452"/>
      <c r="H2640" s="3453"/>
      <c r="I2640" s="2232" t="str">
        <f>IF(I2617 = "","",MAX(0,ROUND((SUM(M972)*SUM(I975)*SUM(c_ALR2025!N1097)*SUM(c_ALR2025!N1098)-SUM(c_ALR2025!N1094)-SUM(c_ALR2025!N1095)+SUM(c_ALR2025!N1096))*IF($H972=TRUE,1,c_ALR2025!$N$2532),0)))</f>
        <v/>
      </c>
      <c r="J2640" s="2222"/>
      <c r="K2640" s="485"/>
      <c r="L2640" s="485"/>
      <c r="M2640" s="2211"/>
      <c r="N2640" s="2211"/>
      <c r="O2640" s="485"/>
      <c r="P2640" s="1137"/>
      <c r="Q2640" s="1137"/>
      <c r="R2640" s="1137"/>
      <c r="S2640" s="1137"/>
      <c r="T2640" s="1137"/>
      <c r="U2640" s="1137"/>
      <c r="V2640" s="1137"/>
    </row>
    <row r="2641" spans="3:22">
      <c r="C2641" s="484">
        <v>5</v>
      </c>
      <c r="D2641" s="3449" t="str">
        <f t="shared" si="202"/>
        <v/>
      </c>
      <c r="E2641" s="3452"/>
      <c r="F2641" s="3452"/>
      <c r="G2641" s="3452"/>
      <c r="H2641" s="3453"/>
      <c r="I2641" s="2232" t="str">
        <f>IF(I2618 = "","",MAX(0,ROUND((SUM(M1136)*SUM(I1139)*SUM(c_ALR2025!N1261)*SUM(c_ALR2025!N1262)-SUM(c_ALR2025!N1258)-SUM(c_ALR2025!N1259)+SUM(c_ALR2025!N1260))*IF($H1136=TRUE,1,c_ALR2025!$N$2532),0)))</f>
        <v/>
      </c>
      <c r="J2641" s="2222"/>
      <c r="K2641" s="485"/>
      <c r="L2641" s="485"/>
      <c r="M2641" s="2211"/>
      <c r="N2641" s="2211"/>
      <c r="P2641" s="1137"/>
      <c r="Q2641" s="1137"/>
      <c r="R2641" s="1137"/>
      <c r="S2641" s="1137"/>
      <c r="T2641" s="1137"/>
      <c r="U2641" s="1137"/>
      <c r="V2641" s="1137"/>
    </row>
    <row r="2642" spans="3:22">
      <c r="C2642" s="484">
        <v>6</v>
      </c>
      <c r="D2642" s="3449" t="str">
        <f t="shared" si="202"/>
        <v/>
      </c>
      <c r="E2642" s="3452"/>
      <c r="F2642" s="3452"/>
      <c r="G2642" s="3452"/>
      <c r="H2642" s="3453"/>
      <c r="I2642" s="2232" t="str">
        <f>IF(I2619 = "","",MAX(0,ROUND((SUM(M1300)*SUM(I1303)*SUM(c_ALR2025!N1425)*SUM(c_ALR2025!N1426)-SUM(c_ALR2025!N1422)-SUM(c_ALR2025!N1423)+SUM(c_ALR2025!N1424))*IF($H1300=TRUE,1,c_ALR2025!$N$2532),0)))</f>
        <v/>
      </c>
      <c r="J2642" s="2222"/>
      <c r="K2642" s="485"/>
      <c r="L2642" s="485"/>
      <c r="M2642" s="2211"/>
      <c r="N2642" s="2211"/>
      <c r="P2642" s="1137"/>
      <c r="Q2642" s="1137"/>
      <c r="R2642" s="1137"/>
      <c r="S2642" s="1137"/>
      <c r="T2642" s="1137"/>
      <c r="U2642" s="1137"/>
      <c r="V2642" s="1137"/>
    </row>
    <row r="2643" spans="3:22">
      <c r="C2643" s="484">
        <v>7</v>
      </c>
      <c r="D2643" s="3449" t="str">
        <f t="shared" si="202"/>
        <v/>
      </c>
      <c r="E2643" s="3452"/>
      <c r="F2643" s="3452"/>
      <c r="G2643" s="3452"/>
      <c r="H2643" s="3453"/>
      <c r="I2643" s="2232" t="str">
        <f>IF(I2620 = "","",MAX(0,ROUND((SUM(M1464)*SUM(I1467)*SUM(c_ALR2025!N1589)*SUM(c_ALR2025!N1590)-SUM(c_ALR2025!N1586)-SUM(c_ALR2025!N1587)+SUM(c_ALR2025!N1588))*IF($H1464=TRUE,1,c_ALR2025!$N$2532),0)))</f>
        <v/>
      </c>
      <c r="J2643" s="2222"/>
      <c r="K2643" s="485"/>
      <c r="L2643" s="485"/>
      <c r="M2643" s="2211"/>
      <c r="N2643" s="2211"/>
      <c r="P2643" s="1137"/>
      <c r="Q2643" s="1137"/>
      <c r="R2643" s="1137"/>
      <c r="S2643" s="1137"/>
      <c r="T2643" s="1137"/>
      <c r="U2643" s="1137"/>
      <c r="V2643" s="1137"/>
    </row>
    <row r="2644" spans="3:22">
      <c r="C2644" s="484">
        <v>8</v>
      </c>
      <c r="D2644" s="3449" t="str">
        <f t="shared" si="202"/>
        <v/>
      </c>
      <c r="E2644" s="3452"/>
      <c r="F2644" s="3452"/>
      <c r="G2644" s="3452"/>
      <c r="H2644" s="3453"/>
      <c r="I2644" s="2232" t="str">
        <f>IF(I2621 = "","",MAX(0,ROUND((SUM(M1628)*SUM(I1631)*SUM(c_ALR2025!N1753)*SUM(c_ALR2025!N1754)-SUM(c_ALR2025!N1750)-SUM(c_ALR2025!N1751)+SUM(c_ALR2025!N1752))*IF($H1628=TRUE,1,c_ALR2025!$N$2532),0)))</f>
        <v/>
      </c>
      <c r="J2644" s="2222"/>
      <c r="K2644" s="485"/>
      <c r="L2644" s="485"/>
      <c r="M2644" s="2211"/>
      <c r="N2644" s="2211"/>
      <c r="P2644" s="1137"/>
      <c r="Q2644" s="1137"/>
      <c r="R2644" s="1137"/>
      <c r="S2644" s="1137"/>
      <c r="T2644" s="1137"/>
      <c r="U2644" s="1137"/>
      <c r="V2644" s="1137"/>
    </row>
    <row r="2645" spans="3:22">
      <c r="C2645" s="484">
        <v>9</v>
      </c>
      <c r="D2645" s="3449" t="str">
        <f t="shared" si="202"/>
        <v/>
      </c>
      <c r="E2645" s="3452"/>
      <c r="F2645" s="3452"/>
      <c r="G2645" s="3452"/>
      <c r="H2645" s="3453"/>
      <c r="I2645" s="2232" t="str">
        <f>IF(I2622 = "","",MAX(0,ROUND((SUM(M1792)*SUM(I1795)*SUM(c_ALR2025!N1917)*SUM(c_ALR2025!N1918)-SUM(c_ALR2025!N1914)-SUM(c_ALR2025!N1915)+SUM(c_ALR2025!N1916))*IF($H1792=TRUE,1,c_ALR2025!$N$2532),0)))</f>
        <v/>
      </c>
      <c r="J2645" s="2222"/>
      <c r="K2645" s="485"/>
      <c r="L2645" s="485"/>
      <c r="M2645" s="2211"/>
      <c r="N2645" s="2211"/>
      <c r="P2645" s="1137"/>
      <c r="Q2645" s="1137"/>
      <c r="R2645" s="1137"/>
      <c r="S2645" s="1137"/>
      <c r="T2645" s="1137"/>
      <c r="U2645" s="1137"/>
      <c r="V2645" s="1137"/>
    </row>
    <row r="2646" spans="3:22" ht="13.5" thickBot="1">
      <c r="C2646" s="854">
        <v>10</v>
      </c>
      <c r="D2646" s="3454" t="str">
        <f t="shared" si="202"/>
        <v/>
      </c>
      <c r="E2646" s="3455"/>
      <c r="F2646" s="3455"/>
      <c r="G2646" s="3455"/>
      <c r="H2646" s="3456"/>
      <c r="I2646" s="2233" t="str">
        <f>IF(I2623 = "","",MAX(0,ROUND((SUM(M1956)*SUM(I1959)*SUM(c_ALR2025!N2081)*SUM(c_ALR2025!N2082)-SUM(c_ALR2025!N2078)-SUM(c_ALR2025!N2079)+SUM(c_ALR2025!N2080))*IF($H1956=TRUE,1,c_ALR2025!$N$2532),0)))</f>
        <v/>
      </c>
      <c r="J2646" s="2222"/>
      <c r="K2646" s="485"/>
      <c r="L2646" s="485"/>
      <c r="M2646" s="2211"/>
      <c r="N2646" s="2211"/>
      <c r="P2646" s="1137"/>
      <c r="Q2646" s="1137"/>
      <c r="R2646" s="1137"/>
      <c r="S2646" s="1137"/>
      <c r="T2646" s="1137"/>
      <c r="U2646" s="1137"/>
      <c r="V2646" s="1137"/>
    </row>
    <row r="2647" spans="3:22">
      <c r="C2647" s="484">
        <v>11</v>
      </c>
      <c r="D2647" s="3446" t="s">
        <v>275</v>
      </c>
      <c r="E2647" s="3447"/>
      <c r="F2647" s="3447"/>
      <c r="G2647" s="3447"/>
      <c r="H2647" s="3448"/>
      <c r="I2647" s="2234" t="str">
        <f>IF(I2624 = "","",MAX(0,ROUND((SUM(M2121)*SUM(I2124))*IF($H2121=TRUE,1,c_ALR2025!$N$2532),0)))</f>
        <v/>
      </c>
      <c r="J2647" s="2222"/>
      <c r="K2647" s="485"/>
      <c r="L2647" s="485"/>
      <c r="M2647" s="2211"/>
      <c r="N2647" s="2211"/>
      <c r="P2647" s="1137"/>
      <c r="Q2647" s="1137"/>
      <c r="R2647" s="1137"/>
      <c r="S2647" s="1137"/>
      <c r="T2647" s="1137"/>
      <c r="U2647" s="1137"/>
      <c r="V2647" s="1137"/>
    </row>
    <row r="2648" spans="3:22">
      <c r="C2648" s="484">
        <v>12</v>
      </c>
      <c r="D2648" s="3449" t="s">
        <v>276</v>
      </c>
      <c r="E2648" s="3450"/>
      <c r="F2648" s="3450"/>
      <c r="G2648" s="3450"/>
      <c r="H2648" s="3451"/>
      <c r="I2648" s="2232" t="str">
        <f>IF(I2625 = "","",MAX(0,ROUND((SUM(M2188)*SUM(I2191))*IF($H2188=TRUE,1,c_ALR2025!$N$2532),0)))</f>
        <v/>
      </c>
      <c r="J2648" s="2222"/>
      <c r="K2648" s="485"/>
      <c r="L2648" s="485"/>
      <c r="M2648" s="2211"/>
      <c r="N2648" s="2211"/>
      <c r="P2648" s="1137"/>
      <c r="Q2648" s="1137"/>
      <c r="R2648" s="1137"/>
      <c r="S2648" s="1137"/>
      <c r="T2648" s="1137"/>
      <c r="U2648" s="1137"/>
      <c r="V2648" s="1137"/>
    </row>
    <row r="2649" spans="3:22">
      <c r="C2649" s="484">
        <v>13</v>
      </c>
      <c r="D2649" s="3449" t="s">
        <v>1209</v>
      </c>
      <c r="E2649" s="3450"/>
      <c r="F2649" s="3450"/>
      <c r="G2649" s="3450"/>
      <c r="H2649" s="3451"/>
      <c r="I2649" s="2232" t="str">
        <f>IF(I2626 = "","",MAX(0,ROUND((SUM(M2255)*SUM(I2258))*IF($H2255=TRUE,1,c_ALR2025!$N$2532),0)))</f>
        <v/>
      </c>
      <c r="J2649" s="2222"/>
      <c r="K2649" s="485"/>
      <c r="L2649" s="485"/>
      <c r="M2649" s="2211"/>
      <c r="N2649" s="2211"/>
      <c r="P2649" s="1137"/>
      <c r="Q2649" s="1137"/>
      <c r="R2649" s="1137"/>
      <c r="S2649" s="1137"/>
      <c r="T2649" s="1137"/>
      <c r="U2649" s="1137"/>
      <c r="V2649" s="1137"/>
    </row>
    <row r="2650" spans="3:22">
      <c r="C2650" s="484">
        <v>14</v>
      </c>
      <c r="D2650" s="3449" t="s">
        <v>277</v>
      </c>
      <c r="E2650" s="3452"/>
      <c r="F2650" s="3452"/>
      <c r="G2650" s="3452"/>
      <c r="H2650" s="3453"/>
      <c r="I2650" s="2232" t="str">
        <f>IF(I2627 = "","",MAX(0,ROUND((SUM(M2314)*SUM(I2317))*IF($H2314=TRUE,1,c_ALR2025!$N$2532),0)))</f>
        <v/>
      </c>
      <c r="J2650" s="2222"/>
      <c r="K2650" s="485"/>
      <c r="L2650" s="485"/>
      <c r="M2650" s="2211"/>
      <c r="N2650" s="2211"/>
      <c r="P2650" s="1137"/>
      <c r="Q2650" s="1137"/>
      <c r="R2650" s="1137"/>
      <c r="S2650" s="1137"/>
      <c r="T2650" s="1137"/>
      <c r="U2650" s="1137"/>
      <c r="V2650" s="1137"/>
    </row>
    <row r="2651" spans="3:22">
      <c r="C2651" s="484">
        <v>15</v>
      </c>
      <c r="D2651" s="3449" t="s">
        <v>278</v>
      </c>
      <c r="E2651" s="3452"/>
      <c r="F2651" s="3452"/>
      <c r="G2651" s="3452"/>
      <c r="H2651" s="3453"/>
      <c r="I2651" s="2232" t="str">
        <f>IF(I2628 = "","",MAX(0,ROUND((SUM(M2371)*SUM(I2374))*IF($H2371=TRUE,1,c_ALR2025!$N$2532),0)))</f>
        <v/>
      </c>
      <c r="J2651" s="2222"/>
      <c r="K2651" s="485"/>
      <c r="L2651" s="485"/>
      <c r="M2651" s="2211"/>
      <c r="N2651" s="2211"/>
      <c r="P2651" s="1137"/>
      <c r="Q2651" s="1137"/>
      <c r="R2651" s="1137"/>
      <c r="S2651" s="1137"/>
      <c r="T2651" s="1137"/>
      <c r="U2651" s="1137"/>
      <c r="V2651" s="1137"/>
    </row>
    <row r="2652" spans="3:22">
      <c r="C2652" s="484">
        <v>16</v>
      </c>
      <c r="D2652" s="3449" t="s">
        <v>279</v>
      </c>
      <c r="E2652" s="3452"/>
      <c r="F2652" s="3452"/>
      <c r="G2652" s="3452"/>
      <c r="H2652" s="3453"/>
      <c r="I2652" s="2232" t="str">
        <f>IF(I2629 = "","",MAX(0,ROUND((SUM(M2428)*SUM(I2431))*IF($H2428=TRUE,1,c_ALR2025!$N$2532),0)))</f>
        <v/>
      </c>
      <c r="J2652" s="2222"/>
      <c r="K2652" s="485"/>
      <c r="L2652" s="485"/>
      <c r="M2652" s="2211"/>
      <c r="N2652" s="2211"/>
      <c r="P2652" s="1137"/>
      <c r="Q2652" s="1137"/>
      <c r="R2652" s="1137"/>
      <c r="S2652" s="1137"/>
      <c r="T2652" s="1137"/>
      <c r="U2652" s="1137"/>
      <c r="V2652" s="1137"/>
    </row>
    <row r="2653" spans="3:22" ht="13.5" thickBot="1">
      <c r="C2653" s="855">
        <v>17</v>
      </c>
      <c r="D2653" s="3454" t="s">
        <v>280</v>
      </c>
      <c r="E2653" s="3455"/>
      <c r="F2653" s="3455"/>
      <c r="G2653" s="3455"/>
      <c r="H2653" s="3456"/>
      <c r="I2653" s="2235" t="str">
        <f>IF(I2630 = "","",MAX(0,ROUND((SUM(M2467)*SUM(I2470))*IF($H2467=TRUE,1,c_ALR2025!$N$2532),0)))</f>
        <v/>
      </c>
      <c r="J2653" s="2222"/>
      <c r="K2653" s="485"/>
      <c r="L2653" s="485"/>
      <c r="M2653" s="2211"/>
      <c r="N2653" s="2211"/>
      <c r="P2653" s="1137"/>
      <c r="Q2653" s="1137"/>
      <c r="R2653" s="1137"/>
      <c r="S2653" s="1137"/>
      <c r="T2653" s="1137"/>
      <c r="U2653" s="1137"/>
      <c r="V2653" s="1137"/>
    </row>
    <row r="2654" spans="3:22">
      <c r="C2654" s="485"/>
      <c r="D2654" s="3446" t="s">
        <v>565</v>
      </c>
      <c r="E2654" s="3457"/>
      <c r="F2654" s="3457"/>
      <c r="G2654" s="3457"/>
      <c r="H2654" s="3458"/>
      <c r="I2654" s="2236" t="str">
        <f>IF(SUM(I2637:I2653) = 0, "", SUM(I2637:I2653))</f>
        <v/>
      </c>
      <c r="J2654" s="2230"/>
      <c r="K2654" s="485"/>
      <c r="L2654" s="485"/>
      <c r="M2654" s="2211"/>
      <c r="N2654" s="2211"/>
      <c r="P2654" s="1137"/>
      <c r="Q2654" s="1137"/>
      <c r="R2654" s="1137"/>
      <c r="S2654" s="1137"/>
      <c r="T2654" s="1137"/>
      <c r="U2654" s="1137"/>
      <c r="V2654" s="1137"/>
    </row>
    <row r="2655" spans="3:22">
      <c r="C2655" s="485"/>
      <c r="D2655" s="485"/>
      <c r="E2655" s="485"/>
      <c r="F2655" s="485"/>
      <c r="G2655" s="485"/>
      <c r="H2655" s="485"/>
      <c r="I2655" s="485"/>
      <c r="J2655" s="485"/>
      <c r="K2655" s="485"/>
      <c r="L2655" s="485"/>
      <c r="M2655" s="2211"/>
      <c r="N2655" s="2211"/>
      <c r="P2655" s="1137"/>
      <c r="Q2655" s="1137"/>
      <c r="R2655" s="1137"/>
      <c r="S2655" s="1137"/>
      <c r="T2655" s="1137"/>
      <c r="U2655" s="1137"/>
      <c r="V2655" s="1137"/>
    </row>
    <row r="2656" spans="3:22" ht="15">
      <c r="C2656" s="559">
        <v>3</v>
      </c>
      <c r="D2656" s="856" t="s">
        <v>2234</v>
      </c>
      <c r="E2656" s="485"/>
      <c r="F2656" s="485"/>
      <c r="G2656" s="485"/>
      <c r="H2656" s="485"/>
      <c r="I2656" s="485"/>
      <c r="J2656" s="485"/>
      <c r="K2656" s="485"/>
      <c r="L2656" s="485"/>
      <c r="M2656" s="2211"/>
      <c r="N2656" s="2211"/>
      <c r="P2656" s="1137"/>
      <c r="Q2656" s="1137"/>
      <c r="R2656" s="1137"/>
      <c r="S2656" s="1137"/>
      <c r="T2656" s="1137"/>
      <c r="U2656" s="1137"/>
      <c r="V2656" s="1137"/>
    </row>
    <row r="2657" spans="3:22" ht="28.15" customHeight="1">
      <c r="C2657" s="559"/>
      <c r="D2657" s="856"/>
      <c r="E2657" s="3459" t="s">
        <v>2235</v>
      </c>
      <c r="F2657" s="2388"/>
      <c r="G2657" s="2388"/>
      <c r="H2657" s="2388"/>
      <c r="I2657" s="2388"/>
      <c r="J2657" s="2388"/>
      <c r="K2657" s="2388"/>
      <c r="L2657" s="2388"/>
      <c r="M2657" s="2388"/>
      <c r="N2657" s="2388"/>
      <c r="P2657" s="1137"/>
      <c r="Q2657" s="1137"/>
      <c r="R2657" s="1137"/>
      <c r="S2657" s="1137"/>
      <c r="T2657" s="1137"/>
      <c r="U2657" s="1137"/>
      <c r="V2657" s="1137"/>
    </row>
    <row r="2658" spans="3:22">
      <c r="C2658" s="485"/>
      <c r="D2658" s="485"/>
      <c r="E2658" s="485"/>
      <c r="F2658" s="485"/>
      <c r="G2658" s="485"/>
      <c r="H2658" s="485"/>
      <c r="I2658" s="485"/>
      <c r="J2658" s="485"/>
      <c r="K2658" s="485"/>
      <c r="L2658" s="485"/>
      <c r="M2658" s="2211"/>
      <c r="N2658" s="2211"/>
      <c r="P2658" s="1137"/>
      <c r="Q2658" s="1137"/>
      <c r="R2658" s="1137"/>
      <c r="S2658" s="1137"/>
      <c r="T2658" s="1137"/>
      <c r="U2658" s="1137"/>
      <c r="V2658" s="1137"/>
    </row>
    <row r="2659" spans="3:22" ht="13.5" thickBot="1">
      <c r="C2659" s="485"/>
      <c r="D2659" s="3460" t="s">
        <v>831</v>
      </c>
      <c r="E2659" s="3460"/>
      <c r="F2659" s="3460"/>
      <c r="G2659" s="3460"/>
      <c r="H2659" s="3460"/>
      <c r="I2659" s="578">
        <v>2025</v>
      </c>
      <c r="J2659" s="2218"/>
      <c r="K2659" s="485"/>
      <c r="L2659" s="485"/>
      <c r="M2659" s="2211"/>
      <c r="N2659" s="2211"/>
      <c r="P2659" s="1137"/>
      <c r="Q2659" s="1137"/>
      <c r="R2659" s="1137"/>
      <c r="S2659" s="1137"/>
      <c r="T2659" s="1137"/>
      <c r="U2659" s="1137"/>
      <c r="V2659" s="1137"/>
    </row>
    <row r="2660" spans="3:22">
      <c r="C2660" s="852">
        <v>1</v>
      </c>
      <c r="D2660" s="3446" t="str">
        <f>D2637</f>
        <v/>
      </c>
      <c r="E2660" s="3457"/>
      <c r="F2660" s="3457"/>
      <c r="G2660" s="3457"/>
      <c r="H2660" s="3458"/>
      <c r="I2660" s="2231" t="str">
        <f>IF(I2614 = "", "", I2614-I2637)</f>
        <v/>
      </c>
      <c r="J2660" s="2222"/>
      <c r="K2660" s="485"/>
      <c r="L2660" s="485"/>
      <c r="M2660" s="2211"/>
      <c r="N2660" s="2211"/>
      <c r="P2660" s="1137"/>
      <c r="Q2660" s="1137"/>
      <c r="R2660" s="1137"/>
      <c r="S2660" s="1137"/>
      <c r="T2660" s="1137"/>
      <c r="U2660" s="1137"/>
      <c r="V2660" s="1137"/>
    </row>
    <row r="2661" spans="3:22">
      <c r="C2661" s="484">
        <v>2</v>
      </c>
      <c r="D2661" s="3449" t="str">
        <f t="shared" ref="D2661:D2669" si="203">D2638</f>
        <v/>
      </c>
      <c r="E2661" s="3452"/>
      <c r="F2661" s="3452"/>
      <c r="G2661" s="3452"/>
      <c r="H2661" s="3453"/>
      <c r="I2661" s="2232" t="str">
        <f t="shared" ref="I2661:I2676" si="204">IF(I2615 = "", "", I2615-I2638)</f>
        <v/>
      </c>
      <c r="J2661" s="2222"/>
      <c r="K2661" s="485"/>
      <c r="L2661" s="485"/>
      <c r="M2661" s="2211"/>
      <c r="N2661" s="2211"/>
      <c r="P2661" s="1137"/>
      <c r="Q2661" s="1137"/>
      <c r="R2661" s="1137"/>
      <c r="S2661" s="1137"/>
      <c r="T2661" s="1137"/>
      <c r="U2661" s="1137"/>
      <c r="V2661" s="1137"/>
    </row>
    <row r="2662" spans="3:22">
      <c r="C2662" s="484">
        <v>3</v>
      </c>
      <c r="D2662" s="3449" t="str">
        <f t="shared" si="203"/>
        <v/>
      </c>
      <c r="E2662" s="3452"/>
      <c r="F2662" s="3452"/>
      <c r="G2662" s="3452"/>
      <c r="H2662" s="3453"/>
      <c r="I2662" s="2232" t="str">
        <f t="shared" si="204"/>
        <v/>
      </c>
      <c r="J2662" s="2222"/>
      <c r="K2662" s="485"/>
      <c r="L2662" s="485"/>
      <c r="M2662" s="2211"/>
      <c r="N2662" s="2211"/>
      <c r="P2662" s="1137"/>
      <c r="Q2662" s="1137"/>
      <c r="R2662" s="1137"/>
      <c r="S2662" s="1137"/>
      <c r="T2662" s="1137"/>
      <c r="U2662" s="1137"/>
      <c r="V2662" s="1137"/>
    </row>
    <row r="2663" spans="3:22">
      <c r="C2663" s="484">
        <v>4</v>
      </c>
      <c r="D2663" s="3449" t="str">
        <f t="shared" si="203"/>
        <v/>
      </c>
      <c r="E2663" s="3452"/>
      <c r="F2663" s="3452"/>
      <c r="G2663" s="3452"/>
      <c r="H2663" s="3453"/>
      <c r="I2663" s="2232" t="str">
        <f t="shared" si="204"/>
        <v/>
      </c>
      <c r="J2663" s="2222"/>
      <c r="K2663" s="485"/>
      <c r="L2663" s="485"/>
      <c r="M2663" s="2211"/>
      <c r="N2663" s="2211"/>
      <c r="P2663" s="1137"/>
      <c r="Q2663" s="1137"/>
      <c r="R2663" s="1137"/>
      <c r="S2663" s="1137"/>
      <c r="T2663" s="1137"/>
      <c r="U2663" s="1137"/>
      <c r="V2663" s="1137"/>
    </row>
    <row r="2664" spans="3:22">
      <c r="C2664" s="484">
        <v>5</v>
      </c>
      <c r="D2664" s="3449" t="str">
        <f t="shared" si="203"/>
        <v/>
      </c>
      <c r="E2664" s="3452"/>
      <c r="F2664" s="3452"/>
      <c r="G2664" s="3452"/>
      <c r="H2664" s="3453"/>
      <c r="I2664" s="2232" t="str">
        <f t="shared" si="204"/>
        <v/>
      </c>
      <c r="J2664" s="2222"/>
      <c r="K2664" s="485"/>
      <c r="L2664" s="485"/>
      <c r="M2664" s="2211"/>
      <c r="N2664" s="2211"/>
      <c r="P2664" s="1137"/>
      <c r="Q2664" s="1137"/>
      <c r="R2664" s="1137"/>
      <c r="S2664" s="1137"/>
      <c r="T2664" s="1137"/>
      <c r="U2664" s="1137"/>
      <c r="V2664" s="1137"/>
    </row>
    <row r="2665" spans="3:22">
      <c r="C2665" s="484">
        <v>6</v>
      </c>
      <c r="D2665" s="3449" t="str">
        <f t="shared" si="203"/>
        <v/>
      </c>
      <c r="E2665" s="3452"/>
      <c r="F2665" s="3452"/>
      <c r="G2665" s="3452"/>
      <c r="H2665" s="3453"/>
      <c r="I2665" s="2232" t="str">
        <f t="shared" si="204"/>
        <v/>
      </c>
      <c r="J2665" s="2222"/>
      <c r="K2665" s="485"/>
      <c r="L2665" s="485"/>
      <c r="M2665" s="2211"/>
      <c r="N2665" s="2211"/>
      <c r="P2665" s="1137"/>
      <c r="Q2665" s="1137"/>
      <c r="R2665" s="1137"/>
      <c r="S2665" s="1137"/>
      <c r="T2665" s="1137"/>
      <c r="U2665" s="1137"/>
      <c r="V2665" s="1137"/>
    </row>
    <row r="2666" spans="3:22">
      <c r="C2666" s="484">
        <v>7</v>
      </c>
      <c r="D2666" s="3449" t="str">
        <f t="shared" si="203"/>
        <v/>
      </c>
      <c r="E2666" s="3452"/>
      <c r="F2666" s="3452"/>
      <c r="G2666" s="3452"/>
      <c r="H2666" s="3453"/>
      <c r="I2666" s="2232" t="str">
        <f t="shared" si="204"/>
        <v/>
      </c>
      <c r="J2666" s="2222"/>
      <c r="K2666" s="485"/>
      <c r="L2666" s="485"/>
      <c r="M2666" s="2211"/>
      <c r="N2666" s="2211"/>
      <c r="P2666" s="1137"/>
      <c r="Q2666" s="1137"/>
      <c r="R2666" s="1137"/>
      <c r="S2666" s="1137"/>
      <c r="T2666" s="1137"/>
      <c r="U2666" s="1137"/>
      <c r="V2666" s="1137"/>
    </row>
    <row r="2667" spans="3:22">
      <c r="C2667" s="484">
        <v>8</v>
      </c>
      <c r="D2667" s="3449" t="str">
        <f t="shared" si="203"/>
        <v/>
      </c>
      <c r="E2667" s="3452"/>
      <c r="F2667" s="3452"/>
      <c r="G2667" s="3452"/>
      <c r="H2667" s="3453"/>
      <c r="I2667" s="2232" t="str">
        <f t="shared" si="204"/>
        <v/>
      </c>
      <c r="J2667" s="2222"/>
      <c r="K2667" s="485"/>
      <c r="L2667" s="485"/>
      <c r="M2667" s="2211"/>
      <c r="N2667" s="2211"/>
      <c r="P2667" s="1137"/>
      <c r="Q2667" s="1137"/>
      <c r="R2667" s="1137"/>
      <c r="S2667" s="1137"/>
      <c r="T2667" s="1137"/>
      <c r="U2667" s="1137"/>
      <c r="V2667" s="1137"/>
    </row>
    <row r="2668" spans="3:22">
      <c r="C2668" s="484">
        <v>9</v>
      </c>
      <c r="D2668" s="3449" t="str">
        <f t="shared" si="203"/>
        <v/>
      </c>
      <c r="E2668" s="3452"/>
      <c r="F2668" s="3452"/>
      <c r="G2668" s="3452"/>
      <c r="H2668" s="3453"/>
      <c r="I2668" s="2232" t="str">
        <f t="shared" si="204"/>
        <v/>
      </c>
      <c r="J2668" s="2222"/>
      <c r="K2668" s="485"/>
      <c r="L2668" s="485"/>
      <c r="M2668" s="2211"/>
      <c r="N2668" s="2211"/>
      <c r="P2668" s="1137"/>
      <c r="Q2668" s="1137"/>
      <c r="R2668" s="1137"/>
      <c r="S2668" s="1137"/>
      <c r="T2668" s="1137"/>
      <c r="U2668" s="1137"/>
      <c r="V2668" s="1137"/>
    </row>
    <row r="2669" spans="3:22" ht="13.5" thickBot="1">
      <c r="C2669" s="854">
        <v>10</v>
      </c>
      <c r="D2669" s="3454" t="str">
        <f t="shared" si="203"/>
        <v/>
      </c>
      <c r="E2669" s="3455"/>
      <c r="F2669" s="3455"/>
      <c r="G2669" s="3455"/>
      <c r="H2669" s="3456"/>
      <c r="I2669" s="2233" t="str">
        <f t="shared" si="204"/>
        <v/>
      </c>
      <c r="J2669" s="2222"/>
      <c r="K2669" s="485"/>
      <c r="L2669" s="485"/>
      <c r="M2669" s="2211"/>
      <c r="N2669" s="2211"/>
      <c r="P2669" s="1137"/>
      <c r="Q2669" s="1137"/>
      <c r="R2669" s="1137"/>
      <c r="S2669" s="1137"/>
      <c r="T2669" s="1137"/>
      <c r="U2669" s="1137"/>
      <c r="V2669" s="1137"/>
    </row>
    <row r="2670" spans="3:22">
      <c r="C2670" s="484">
        <v>11</v>
      </c>
      <c r="D2670" s="3446" t="s">
        <v>275</v>
      </c>
      <c r="E2670" s="3447"/>
      <c r="F2670" s="3447"/>
      <c r="G2670" s="3447"/>
      <c r="H2670" s="3448"/>
      <c r="I2670" s="2231" t="str">
        <f t="shared" si="204"/>
        <v/>
      </c>
      <c r="J2670" s="2222"/>
      <c r="K2670" s="485"/>
      <c r="L2670" s="485"/>
      <c r="M2670" s="2211"/>
      <c r="N2670" s="2211"/>
      <c r="P2670" s="1137"/>
      <c r="Q2670" s="1137"/>
      <c r="R2670" s="1137"/>
      <c r="S2670" s="1137"/>
      <c r="T2670" s="1137"/>
      <c r="U2670" s="1137"/>
      <c r="V2670" s="1137"/>
    </row>
    <row r="2671" spans="3:22">
      <c r="C2671" s="484">
        <v>12</v>
      </c>
      <c r="D2671" s="3449" t="s">
        <v>276</v>
      </c>
      <c r="E2671" s="3450"/>
      <c r="F2671" s="3450"/>
      <c r="G2671" s="3450"/>
      <c r="H2671" s="3451"/>
      <c r="I2671" s="2232" t="str">
        <f t="shared" si="204"/>
        <v/>
      </c>
      <c r="J2671" s="2222"/>
      <c r="K2671" s="485"/>
      <c r="L2671" s="485"/>
      <c r="M2671" s="2211"/>
      <c r="N2671" s="2211"/>
      <c r="P2671" s="1137"/>
      <c r="Q2671" s="1137"/>
      <c r="R2671" s="1137"/>
      <c r="S2671" s="1137"/>
      <c r="T2671" s="1137"/>
      <c r="U2671" s="1137"/>
      <c r="V2671" s="1137"/>
    </row>
    <row r="2672" spans="3:22">
      <c r="C2672" s="484">
        <v>13</v>
      </c>
      <c r="D2672" s="3449" t="s">
        <v>1209</v>
      </c>
      <c r="E2672" s="3450"/>
      <c r="F2672" s="3450"/>
      <c r="G2672" s="3450"/>
      <c r="H2672" s="3451"/>
      <c r="I2672" s="2232" t="str">
        <f t="shared" si="204"/>
        <v/>
      </c>
      <c r="J2672" s="2222"/>
      <c r="K2672" s="485"/>
      <c r="L2672" s="485"/>
      <c r="M2672" s="2211"/>
      <c r="N2672" s="2211"/>
      <c r="P2672" s="1137"/>
      <c r="Q2672" s="1137"/>
      <c r="R2672" s="1137"/>
      <c r="S2672" s="1137"/>
      <c r="T2672" s="1137"/>
      <c r="U2672" s="1137"/>
      <c r="V2672" s="1137"/>
    </row>
    <row r="2673" spans="1:22">
      <c r="C2673" s="484">
        <v>14</v>
      </c>
      <c r="D2673" s="3449" t="s">
        <v>277</v>
      </c>
      <c r="E2673" s="3452"/>
      <c r="F2673" s="3452"/>
      <c r="G2673" s="3452"/>
      <c r="H2673" s="3453"/>
      <c r="I2673" s="2232" t="str">
        <f t="shared" si="204"/>
        <v/>
      </c>
      <c r="J2673" s="2222"/>
      <c r="K2673" s="485"/>
      <c r="L2673" s="485"/>
      <c r="M2673" s="2211"/>
      <c r="N2673" s="2211"/>
      <c r="P2673" s="1137"/>
      <c r="Q2673" s="1137"/>
      <c r="R2673" s="1137"/>
      <c r="S2673" s="1137"/>
      <c r="T2673" s="1137"/>
      <c r="U2673" s="1137"/>
      <c r="V2673" s="1137"/>
    </row>
    <row r="2674" spans="1:22">
      <c r="C2674" s="484">
        <v>15</v>
      </c>
      <c r="D2674" s="3449" t="s">
        <v>278</v>
      </c>
      <c r="E2674" s="3452"/>
      <c r="F2674" s="3452"/>
      <c r="G2674" s="3452"/>
      <c r="H2674" s="3453"/>
      <c r="I2674" s="2232" t="str">
        <f t="shared" si="204"/>
        <v/>
      </c>
      <c r="J2674" s="2222"/>
      <c r="K2674" s="485"/>
      <c r="L2674" s="485"/>
      <c r="M2674" s="2211"/>
      <c r="N2674" s="2211"/>
      <c r="P2674" s="1137"/>
      <c r="Q2674" s="1137"/>
      <c r="R2674" s="1137"/>
      <c r="S2674" s="1137"/>
      <c r="T2674" s="1137"/>
      <c r="U2674" s="1137"/>
      <c r="V2674" s="1137"/>
    </row>
    <row r="2675" spans="1:22">
      <c r="C2675" s="484">
        <v>16</v>
      </c>
      <c r="D2675" s="3449" t="s">
        <v>279</v>
      </c>
      <c r="E2675" s="3452"/>
      <c r="F2675" s="3452"/>
      <c r="G2675" s="3452"/>
      <c r="H2675" s="3453"/>
      <c r="I2675" s="2232" t="str">
        <f t="shared" si="204"/>
        <v/>
      </c>
      <c r="J2675" s="2222"/>
      <c r="K2675" s="485"/>
      <c r="L2675" s="485"/>
      <c r="M2675" s="2211"/>
      <c r="N2675" s="2211"/>
      <c r="P2675" s="1137"/>
      <c r="Q2675" s="1137"/>
      <c r="R2675" s="1137"/>
      <c r="S2675" s="1137"/>
      <c r="T2675" s="1137"/>
      <c r="U2675" s="1137"/>
      <c r="V2675" s="1137"/>
    </row>
    <row r="2676" spans="1:22" ht="13.5" thickBot="1">
      <c r="C2676" s="855">
        <v>17</v>
      </c>
      <c r="D2676" s="3454" t="s">
        <v>280</v>
      </c>
      <c r="E2676" s="3455"/>
      <c r="F2676" s="3455"/>
      <c r="G2676" s="3455"/>
      <c r="H2676" s="3456"/>
      <c r="I2676" s="2235" t="str">
        <f t="shared" si="204"/>
        <v/>
      </c>
      <c r="J2676" s="2222"/>
      <c r="K2676" s="485"/>
      <c r="L2676" s="485"/>
      <c r="M2676" s="2211"/>
      <c r="N2676" s="2211"/>
      <c r="P2676" s="1137"/>
      <c r="Q2676" s="1137"/>
      <c r="R2676" s="1137"/>
      <c r="S2676" s="1137"/>
      <c r="T2676" s="1137"/>
      <c r="U2676" s="1137"/>
      <c r="V2676" s="1137"/>
    </row>
    <row r="2677" spans="1:22">
      <c r="C2677" s="485"/>
      <c r="D2677" s="3446" t="s">
        <v>565</v>
      </c>
      <c r="E2677" s="3457"/>
      <c r="F2677" s="3457"/>
      <c r="G2677" s="3457"/>
      <c r="H2677" s="3458"/>
      <c r="I2677" s="2236" t="str">
        <f>IF(SUM(I2660:I2676) = 0, "", SUM(I2660:I2676))</f>
        <v/>
      </c>
      <c r="J2677" s="2230"/>
      <c r="K2677" s="485"/>
      <c r="L2677" s="485"/>
      <c r="M2677" s="2211"/>
      <c r="N2677" s="2211"/>
      <c r="P2677" s="1137"/>
      <c r="Q2677" s="1137"/>
      <c r="R2677" s="1137"/>
      <c r="S2677" s="1137"/>
      <c r="T2677" s="1137"/>
      <c r="U2677" s="1137"/>
      <c r="V2677" s="1137"/>
    </row>
    <row r="2678" spans="1:22" ht="13.5" thickBot="1">
      <c r="C2678" s="485"/>
      <c r="D2678" s="568"/>
      <c r="E2678" s="523"/>
      <c r="F2678" s="523"/>
      <c r="G2678" s="523"/>
      <c r="H2678" s="523"/>
      <c r="I2678" s="523"/>
      <c r="J2678" s="2214"/>
      <c r="K2678" s="2230"/>
      <c r="L2678" s="2230"/>
      <c r="M2678" s="2230"/>
      <c r="N2678" s="2230"/>
      <c r="P2678" s="1137"/>
      <c r="Q2678" s="1137"/>
      <c r="R2678" s="1137"/>
      <c r="S2678" s="1137"/>
      <c r="T2678" s="1137"/>
      <c r="U2678" s="1137"/>
      <c r="V2678" s="1137"/>
    </row>
    <row r="2679" spans="1:22" ht="13.15" hidden="1" customHeight="1">
      <c r="A2679" s="817" t="s">
        <v>2289</v>
      </c>
      <c r="C2679" s="485"/>
      <c r="D2679" s="568"/>
      <c r="E2679" s="523"/>
      <c r="F2679" s="523"/>
      <c r="G2679" s="523"/>
      <c r="H2679" s="523"/>
      <c r="I2679" s="523"/>
      <c r="J2679" s="2214"/>
      <c r="K2679" s="2230"/>
      <c r="L2679" s="2230"/>
      <c r="M2679" s="2230"/>
      <c r="N2679" s="2230"/>
      <c r="P2679" s="1137"/>
      <c r="Q2679" s="1137"/>
      <c r="R2679" s="1137"/>
      <c r="S2679" s="1137"/>
      <c r="T2679" s="1137"/>
      <c r="U2679" s="1137"/>
      <c r="V2679" s="1137"/>
    </row>
    <row r="2680" spans="1:22" ht="13.15" hidden="1" customHeight="1">
      <c r="A2680" s="817" t="s">
        <v>2289</v>
      </c>
      <c r="C2680" s="485"/>
      <c r="D2680" s="568"/>
      <c r="E2680" s="523"/>
      <c r="F2680" s="523"/>
      <c r="G2680" s="523"/>
      <c r="H2680" s="523"/>
      <c r="I2680" s="523"/>
      <c r="J2680" s="2214"/>
      <c r="K2680" s="2230"/>
      <c r="L2680" s="2230"/>
      <c r="M2680" s="2230"/>
      <c r="N2680" s="2230"/>
      <c r="P2680" s="1137"/>
      <c r="Q2680" s="1137"/>
      <c r="R2680" s="1137"/>
      <c r="S2680" s="1137"/>
      <c r="T2680" s="1137"/>
      <c r="U2680" s="1137"/>
      <c r="V2680" s="1137"/>
    </row>
    <row r="2681" spans="1:22" ht="13.15" hidden="1" customHeight="1">
      <c r="A2681" s="817" t="s">
        <v>2289</v>
      </c>
      <c r="C2681" s="485"/>
      <c r="D2681" s="568"/>
      <c r="E2681" s="523"/>
      <c r="F2681" s="523"/>
      <c r="G2681" s="523"/>
      <c r="H2681" s="523"/>
      <c r="I2681" s="523"/>
      <c r="J2681" s="2214"/>
      <c r="K2681" s="2230"/>
      <c r="L2681" s="2230"/>
      <c r="M2681" s="2230"/>
      <c r="N2681" s="2230"/>
      <c r="P2681" s="1137"/>
      <c r="Q2681" s="1137"/>
      <c r="R2681" s="1137"/>
      <c r="S2681" s="1137"/>
      <c r="T2681" s="1137"/>
      <c r="U2681" s="1137"/>
      <c r="V2681" s="1137"/>
    </row>
    <row r="2682" spans="1:22" ht="13.15" hidden="1" customHeight="1">
      <c r="A2682" s="817" t="s">
        <v>2289</v>
      </c>
      <c r="C2682" s="485"/>
      <c r="D2682" s="568"/>
      <c r="E2682" s="523"/>
      <c r="F2682" s="523"/>
      <c r="G2682" s="523"/>
      <c r="H2682" s="523"/>
      <c r="I2682" s="523"/>
      <c r="J2682" s="2214"/>
      <c r="K2682" s="2230"/>
      <c r="L2682" s="2230"/>
      <c r="M2682" s="2230"/>
      <c r="N2682" s="2230"/>
      <c r="P2682" s="1137"/>
      <c r="Q2682" s="1137"/>
      <c r="R2682" s="1137"/>
      <c r="S2682" s="1137"/>
      <c r="T2682" s="1137"/>
      <c r="U2682" s="1137"/>
      <c r="V2682" s="1137"/>
    </row>
    <row r="2683" spans="1:22" ht="13.15" hidden="1" customHeight="1">
      <c r="A2683" s="817" t="s">
        <v>2289</v>
      </c>
      <c r="C2683" s="485"/>
      <c r="D2683" s="568"/>
      <c r="E2683" s="523"/>
      <c r="F2683" s="523"/>
      <c r="G2683" s="523"/>
      <c r="H2683" s="523"/>
      <c r="I2683" s="523"/>
      <c r="J2683" s="2214"/>
      <c r="K2683" s="2230"/>
      <c r="L2683" s="2230"/>
      <c r="M2683" s="2230"/>
      <c r="N2683" s="2230"/>
      <c r="P2683" s="1137"/>
      <c r="Q2683" s="1137"/>
      <c r="R2683" s="1137"/>
      <c r="S2683" s="1137"/>
      <c r="T2683" s="1137"/>
      <c r="U2683" s="1137"/>
      <c r="V2683" s="1137"/>
    </row>
    <row r="2684" spans="1:22" ht="13.15" hidden="1" customHeight="1">
      <c r="A2684" s="817" t="s">
        <v>2289</v>
      </c>
      <c r="C2684" s="485"/>
      <c r="D2684" s="568"/>
      <c r="E2684" s="523"/>
      <c r="F2684" s="523"/>
      <c r="G2684" s="523"/>
      <c r="H2684" s="523"/>
      <c r="I2684" s="523"/>
      <c r="J2684" s="2214"/>
      <c r="K2684" s="2230"/>
      <c r="L2684" s="2230"/>
      <c r="M2684" s="2230"/>
      <c r="N2684" s="2230"/>
      <c r="P2684" s="1137"/>
      <c r="Q2684" s="1137"/>
      <c r="R2684" s="1137"/>
      <c r="S2684" s="1137"/>
      <c r="T2684" s="1137"/>
      <c r="U2684" s="1137"/>
      <c r="V2684" s="1137"/>
    </row>
    <row r="2685" spans="1:22" ht="13.15" hidden="1" customHeight="1">
      <c r="A2685" s="817" t="s">
        <v>2289</v>
      </c>
      <c r="C2685" s="485"/>
      <c r="D2685" s="568"/>
      <c r="E2685" s="523"/>
      <c r="F2685" s="523"/>
      <c r="G2685" s="523"/>
      <c r="H2685" s="523"/>
      <c r="I2685" s="523"/>
      <c r="J2685" s="2214"/>
      <c r="K2685" s="2230"/>
      <c r="L2685" s="2230"/>
      <c r="M2685" s="2230"/>
      <c r="N2685" s="2230"/>
      <c r="P2685" s="1137"/>
      <c r="Q2685" s="1137"/>
      <c r="R2685" s="1137"/>
      <c r="S2685" s="1137"/>
      <c r="T2685" s="1137"/>
      <c r="U2685" s="1137"/>
      <c r="V2685" s="1137"/>
    </row>
    <row r="2686" spans="1:22" ht="13.15" hidden="1" customHeight="1">
      <c r="A2686" s="817" t="s">
        <v>2289</v>
      </c>
      <c r="C2686" s="485"/>
      <c r="D2686" s="568"/>
      <c r="E2686" s="523"/>
      <c r="F2686" s="523"/>
      <c r="G2686" s="523"/>
      <c r="H2686" s="523"/>
      <c r="I2686" s="523"/>
      <c r="J2686" s="2214"/>
      <c r="K2686" s="2230"/>
      <c r="L2686" s="2230"/>
      <c r="M2686" s="2230"/>
      <c r="N2686" s="2230"/>
      <c r="P2686" s="1137"/>
      <c r="Q2686" s="1137"/>
      <c r="R2686" s="1137"/>
      <c r="S2686" s="1137"/>
      <c r="T2686" s="1137"/>
      <c r="U2686" s="1137"/>
      <c r="V2686" s="1137"/>
    </row>
    <row r="2687" spans="1:22" ht="13.15" hidden="1" customHeight="1">
      <c r="A2687" s="817" t="s">
        <v>2289</v>
      </c>
      <c r="C2687" s="485"/>
      <c r="D2687" s="568"/>
      <c r="E2687" s="523"/>
      <c r="F2687" s="523"/>
      <c r="G2687" s="523"/>
      <c r="H2687" s="523"/>
      <c r="I2687" s="523"/>
      <c r="J2687" s="2214"/>
      <c r="K2687" s="2230"/>
      <c r="L2687" s="2230"/>
      <c r="M2687" s="2230"/>
      <c r="N2687" s="2230"/>
      <c r="P2687" s="1137"/>
      <c r="Q2687" s="1137"/>
      <c r="R2687" s="1137"/>
      <c r="S2687" s="1137"/>
      <c r="T2687" s="1137"/>
      <c r="U2687" s="1137"/>
      <c r="V2687" s="1137"/>
    </row>
    <row r="2688" spans="1:22" ht="13.15" hidden="1" customHeight="1">
      <c r="A2688" s="817" t="s">
        <v>2289</v>
      </c>
      <c r="C2688" s="485"/>
      <c r="D2688" s="568"/>
      <c r="E2688" s="523"/>
      <c r="F2688" s="523"/>
      <c r="G2688" s="523"/>
      <c r="H2688" s="523"/>
      <c r="I2688" s="523"/>
      <c r="J2688" s="2214"/>
      <c r="K2688" s="2230"/>
      <c r="L2688" s="2230"/>
      <c r="M2688" s="2230"/>
      <c r="N2688" s="2230"/>
      <c r="P2688" s="1137"/>
      <c r="Q2688" s="1137"/>
      <c r="R2688" s="1137"/>
      <c r="S2688" s="1137"/>
      <c r="T2688" s="1137"/>
      <c r="U2688" s="1137"/>
      <c r="V2688" s="1137"/>
    </row>
    <row r="2689" spans="1:22" ht="13.15" hidden="1" customHeight="1">
      <c r="A2689" s="817" t="s">
        <v>2289</v>
      </c>
      <c r="C2689" s="485"/>
      <c r="D2689" s="568"/>
      <c r="E2689" s="523"/>
      <c r="F2689" s="523"/>
      <c r="G2689" s="523"/>
      <c r="H2689" s="523"/>
      <c r="I2689" s="523"/>
      <c r="J2689" s="2214"/>
      <c r="K2689" s="2230"/>
      <c r="L2689" s="2230"/>
      <c r="M2689" s="2230"/>
      <c r="N2689" s="2230"/>
      <c r="P2689" s="1137"/>
      <c r="Q2689" s="1137"/>
      <c r="R2689" s="1137"/>
      <c r="S2689" s="1137"/>
      <c r="T2689" s="1137"/>
      <c r="U2689" s="1137"/>
      <c r="V2689" s="1137"/>
    </row>
    <row r="2690" spans="1:22" ht="13.15" hidden="1" customHeight="1">
      <c r="A2690" s="817" t="s">
        <v>2289</v>
      </c>
      <c r="C2690" s="485"/>
      <c r="D2690" s="568"/>
      <c r="E2690" s="523"/>
      <c r="F2690" s="523"/>
      <c r="G2690" s="523"/>
      <c r="H2690" s="523"/>
      <c r="I2690" s="523"/>
      <c r="J2690" s="2214"/>
      <c r="K2690" s="2230"/>
      <c r="L2690" s="2230"/>
      <c r="M2690" s="2230"/>
      <c r="N2690" s="2230"/>
      <c r="P2690" s="1137"/>
      <c r="Q2690" s="1137"/>
      <c r="R2690" s="1137"/>
      <c r="S2690" s="1137"/>
      <c r="T2690" s="1137"/>
      <c r="U2690" s="1137"/>
      <c r="V2690" s="1137"/>
    </row>
    <row r="2691" spans="1:22" ht="13.15" hidden="1" customHeight="1">
      <c r="A2691" s="817" t="s">
        <v>2289</v>
      </c>
      <c r="C2691" s="485"/>
      <c r="D2691" s="568"/>
      <c r="E2691" s="523"/>
      <c r="F2691" s="523"/>
      <c r="G2691" s="523"/>
      <c r="H2691" s="523"/>
      <c r="I2691" s="523"/>
      <c r="J2691" s="2214"/>
      <c r="K2691" s="2230"/>
      <c r="L2691" s="2230"/>
      <c r="M2691" s="2230"/>
      <c r="N2691" s="2230"/>
      <c r="P2691" s="1137"/>
      <c r="Q2691" s="1137"/>
      <c r="R2691" s="1137"/>
      <c r="S2691" s="1137"/>
      <c r="T2691" s="1137"/>
      <c r="U2691" s="1137"/>
      <c r="V2691" s="1137"/>
    </row>
    <row r="2692" spans="1:22" ht="13.15" hidden="1" customHeight="1">
      <c r="A2692" s="817" t="s">
        <v>2289</v>
      </c>
      <c r="C2692" s="485"/>
      <c r="D2692" s="568"/>
      <c r="E2692" s="523"/>
      <c r="F2692" s="523"/>
      <c r="G2692" s="523"/>
      <c r="H2692" s="523"/>
      <c r="I2692" s="523"/>
      <c r="J2692" s="2214"/>
      <c r="K2692" s="2230"/>
      <c r="L2692" s="2230"/>
      <c r="M2692" s="2230"/>
      <c r="N2692" s="2230"/>
      <c r="P2692" s="1137"/>
      <c r="Q2692" s="1137"/>
      <c r="R2692" s="1137"/>
      <c r="S2692" s="1137"/>
      <c r="T2692" s="1137"/>
      <c r="U2692" s="1137"/>
      <c r="V2692" s="1137"/>
    </row>
    <row r="2693" spans="1:22" ht="13.15" hidden="1" customHeight="1">
      <c r="A2693" s="817" t="s">
        <v>2289</v>
      </c>
      <c r="C2693" s="485"/>
      <c r="D2693" s="568"/>
      <c r="E2693" s="523"/>
      <c r="F2693" s="523"/>
      <c r="G2693" s="523"/>
      <c r="H2693" s="523"/>
      <c r="I2693" s="523"/>
      <c r="J2693" s="2214"/>
      <c r="K2693" s="2230"/>
      <c r="L2693" s="2230"/>
      <c r="M2693" s="2230"/>
      <c r="N2693" s="2230"/>
      <c r="P2693" s="1137"/>
      <c r="Q2693" s="1137"/>
      <c r="R2693" s="1137"/>
      <c r="S2693" s="1137"/>
      <c r="T2693" s="1137"/>
      <c r="U2693" s="1137"/>
      <c r="V2693" s="1137"/>
    </row>
    <row r="2694" spans="1:22" ht="13.15" hidden="1" customHeight="1">
      <c r="A2694" s="817" t="s">
        <v>2289</v>
      </c>
      <c r="C2694" s="485"/>
      <c r="D2694" s="568"/>
      <c r="E2694" s="523"/>
      <c r="F2694" s="523"/>
      <c r="G2694" s="523"/>
      <c r="H2694" s="523"/>
      <c r="I2694" s="523"/>
      <c r="J2694" s="2214"/>
      <c r="K2694" s="2230"/>
      <c r="L2694" s="2230"/>
      <c r="M2694" s="2230"/>
      <c r="N2694" s="2230"/>
      <c r="P2694" s="1137"/>
      <c r="Q2694" s="1137"/>
      <c r="R2694" s="1137"/>
      <c r="S2694" s="1137"/>
      <c r="T2694" s="1137"/>
      <c r="U2694" s="1137"/>
      <c r="V2694" s="1137"/>
    </row>
    <row r="2695" spans="1:22" ht="13.15" hidden="1" customHeight="1">
      <c r="A2695" s="817" t="s">
        <v>2289</v>
      </c>
      <c r="C2695" s="485"/>
      <c r="D2695" s="568"/>
      <c r="E2695" s="523"/>
      <c r="F2695" s="523"/>
      <c r="G2695" s="523"/>
      <c r="H2695" s="523"/>
      <c r="I2695" s="523"/>
      <c r="J2695" s="2214"/>
      <c r="K2695" s="2230"/>
      <c r="L2695" s="2230"/>
      <c r="M2695" s="2230"/>
      <c r="N2695" s="2230"/>
      <c r="P2695" s="1137"/>
      <c r="Q2695" s="1137"/>
      <c r="R2695" s="1137"/>
      <c r="S2695" s="1137"/>
      <c r="T2695" s="1137"/>
      <c r="U2695" s="1137"/>
      <c r="V2695" s="1137"/>
    </row>
    <row r="2696" spans="1:22" ht="13.15" hidden="1" customHeight="1">
      <c r="A2696" s="817" t="s">
        <v>2289</v>
      </c>
      <c r="C2696" s="485"/>
      <c r="D2696" s="568"/>
      <c r="E2696" s="523"/>
      <c r="F2696" s="523"/>
      <c r="G2696" s="523"/>
      <c r="H2696" s="523"/>
      <c r="I2696" s="523"/>
      <c r="J2696" s="2214"/>
      <c r="K2696" s="2230"/>
      <c r="L2696" s="2230"/>
      <c r="M2696" s="2230"/>
      <c r="N2696" s="2230"/>
      <c r="P2696" s="1137"/>
      <c r="Q2696" s="1137"/>
      <c r="R2696" s="1137"/>
      <c r="S2696" s="1137"/>
      <c r="T2696" s="1137"/>
      <c r="U2696" s="1137"/>
      <c r="V2696" s="1137"/>
    </row>
    <row r="2697" spans="1:22" ht="13.15" hidden="1" customHeight="1">
      <c r="A2697" s="817" t="s">
        <v>2289</v>
      </c>
      <c r="C2697" s="485"/>
      <c r="D2697" s="568"/>
      <c r="E2697" s="523"/>
      <c r="F2697" s="523"/>
      <c r="G2697" s="523"/>
      <c r="H2697" s="523"/>
      <c r="I2697" s="523"/>
      <c r="J2697" s="2214"/>
      <c r="K2697" s="2230"/>
      <c r="L2697" s="2230"/>
      <c r="M2697" s="2230"/>
      <c r="N2697" s="2230"/>
      <c r="P2697" s="1137"/>
      <c r="Q2697" s="1137"/>
      <c r="R2697" s="1137"/>
      <c r="S2697" s="1137"/>
      <c r="T2697" s="1137"/>
      <c r="U2697" s="1137"/>
      <c r="V2697" s="1137"/>
    </row>
    <row r="2698" spans="1:22" ht="13.15" hidden="1" customHeight="1">
      <c r="A2698" s="817" t="s">
        <v>2289</v>
      </c>
      <c r="C2698" s="485"/>
      <c r="D2698" s="568"/>
      <c r="E2698" s="523"/>
      <c r="F2698" s="523"/>
      <c r="G2698" s="523"/>
      <c r="H2698" s="523"/>
      <c r="I2698" s="523"/>
      <c r="J2698" s="2214"/>
      <c r="K2698" s="2230"/>
      <c r="L2698" s="2230"/>
      <c r="M2698" s="2230"/>
      <c r="N2698" s="2230"/>
      <c r="P2698" s="1137"/>
      <c r="Q2698" s="1137"/>
      <c r="R2698" s="1137"/>
      <c r="S2698" s="1137"/>
      <c r="T2698" s="1137"/>
      <c r="U2698" s="1137"/>
      <c r="V2698" s="1137"/>
    </row>
    <row r="2699" spans="1:22" ht="13.15" hidden="1" customHeight="1">
      <c r="A2699" s="817" t="s">
        <v>2289</v>
      </c>
      <c r="C2699" s="485"/>
      <c r="D2699" s="568"/>
      <c r="E2699" s="523"/>
      <c r="F2699" s="523"/>
      <c r="G2699" s="523"/>
      <c r="H2699" s="523"/>
      <c r="I2699" s="523"/>
      <c r="J2699" s="2214"/>
      <c r="K2699" s="2230"/>
      <c r="L2699" s="2230"/>
      <c r="M2699" s="2230"/>
      <c r="N2699" s="2230"/>
      <c r="P2699" s="1137"/>
      <c r="Q2699" s="1137"/>
      <c r="R2699" s="1137"/>
      <c r="S2699" s="1137"/>
      <c r="T2699" s="1137"/>
      <c r="U2699" s="1137"/>
      <c r="V2699" s="1137"/>
    </row>
    <row r="2700" spans="1:22" ht="13.15" hidden="1" customHeight="1">
      <c r="A2700" s="817" t="s">
        <v>2289</v>
      </c>
      <c r="C2700" s="485"/>
      <c r="D2700" s="568"/>
      <c r="E2700" s="523"/>
      <c r="F2700" s="523"/>
      <c r="G2700" s="523"/>
      <c r="H2700" s="523"/>
      <c r="I2700" s="523"/>
      <c r="J2700" s="2214"/>
      <c r="K2700" s="2230"/>
      <c r="L2700" s="2230"/>
      <c r="M2700" s="2230"/>
      <c r="N2700" s="2230"/>
      <c r="P2700" s="1137"/>
      <c r="Q2700" s="1137"/>
      <c r="R2700" s="1137"/>
      <c r="S2700" s="1137"/>
      <c r="T2700" s="1137"/>
      <c r="U2700" s="1137"/>
      <c r="V2700" s="1137"/>
    </row>
    <row r="2701" spans="1:22" ht="13.15" hidden="1" customHeight="1">
      <c r="A2701" s="817" t="s">
        <v>2289</v>
      </c>
      <c r="C2701" s="485"/>
      <c r="D2701" s="568"/>
      <c r="E2701" s="523"/>
      <c r="F2701" s="523"/>
      <c r="G2701" s="523"/>
      <c r="H2701" s="523"/>
      <c r="I2701" s="523"/>
      <c r="J2701" s="2214"/>
      <c r="K2701" s="2230"/>
      <c r="L2701" s="2230"/>
      <c r="M2701" s="2230"/>
      <c r="N2701" s="2230"/>
      <c r="P2701" s="1137"/>
      <c r="Q2701" s="1137"/>
      <c r="R2701" s="1137"/>
      <c r="S2701" s="1137"/>
      <c r="T2701" s="1137"/>
      <c r="U2701" s="1137"/>
      <c r="V2701" s="1137"/>
    </row>
    <row r="2702" spans="1:22" ht="13.15" hidden="1" customHeight="1">
      <c r="A2702" s="817" t="s">
        <v>2289</v>
      </c>
      <c r="C2702" s="485"/>
      <c r="D2702" s="568"/>
      <c r="E2702" s="523"/>
      <c r="F2702" s="523"/>
      <c r="G2702" s="523"/>
      <c r="H2702" s="523"/>
      <c r="I2702" s="523"/>
      <c r="J2702" s="2214"/>
      <c r="K2702" s="2230"/>
      <c r="L2702" s="2230"/>
      <c r="M2702" s="2230"/>
      <c r="N2702" s="2230"/>
      <c r="P2702" s="1137"/>
      <c r="Q2702" s="1137"/>
      <c r="R2702" s="1137"/>
      <c r="S2702" s="1137"/>
      <c r="T2702" s="1137"/>
      <c r="U2702" s="1137"/>
      <c r="V2702" s="1137"/>
    </row>
    <row r="2703" spans="1:22" ht="13.15" hidden="1" customHeight="1">
      <c r="A2703" s="817" t="s">
        <v>2289</v>
      </c>
      <c r="C2703" s="485"/>
      <c r="D2703" s="568"/>
      <c r="E2703" s="523"/>
      <c r="F2703" s="523"/>
      <c r="G2703" s="523"/>
      <c r="H2703" s="523"/>
      <c r="I2703" s="523"/>
      <c r="J2703" s="2214"/>
      <c r="K2703" s="2230"/>
      <c r="L2703" s="2230"/>
      <c r="M2703" s="2230"/>
      <c r="N2703" s="2230"/>
      <c r="P2703" s="1137"/>
      <c r="Q2703" s="1137"/>
      <c r="R2703" s="1137"/>
      <c r="S2703" s="1137"/>
      <c r="T2703" s="1137"/>
      <c r="U2703" s="1137"/>
      <c r="V2703" s="1137"/>
    </row>
    <row r="2704" spans="1:22" ht="13.15" hidden="1" customHeight="1">
      <c r="A2704" s="817" t="s">
        <v>2289</v>
      </c>
      <c r="C2704" s="485"/>
      <c r="D2704" s="568"/>
      <c r="E2704" s="523"/>
      <c r="F2704" s="523"/>
      <c r="G2704" s="523"/>
      <c r="H2704" s="523"/>
      <c r="I2704" s="523"/>
      <c r="J2704" s="2214"/>
      <c r="K2704" s="2230"/>
      <c r="L2704" s="2230"/>
      <c r="M2704" s="2230"/>
      <c r="N2704" s="2230"/>
      <c r="P2704" s="1137"/>
      <c r="Q2704" s="1137"/>
      <c r="R2704" s="1137"/>
      <c r="S2704" s="1137"/>
      <c r="T2704" s="1137"/>
      <c r="U2704" s="1137"/>
      <c r="V2704" s="1137"/>
    </row>
    <row r="2705" spans="1:22" ht="13.15" hidden="1" customHeight="1">
      <c r="A2705" s="817" t="s">
        <v>2289</v>
      </c>
      <c r="C2705" s="485"/>
      <c r="D2705" s="568"/>
      <c r="E2705" s="523"/>
      <c r="F2705" s="523"/>
      <c r="G2705" s="523"/>
      <c r="H2705" s="523"/>
      <c r="I2705" s="523"/>
      <c r="J2705" s="2214"/>
      <c r="K2705" s="2230"/>
      <c r="L2705" s="2230"/>
      <c r="M2705" s="2230"/>
      <c r="N2705" s="2230"/>
      <c r="P2705" s="1137"/>
      <c r="Q2705" s="1137"/>
      <c r="R2705" s="1137"/>
      <c r="S2705" s="1137"/>
      <c r="T2705" s="1137"/>
      <c r="U2705" s="1137"/>
      <c r="V2705" s="1137"/>
    </row>
    <row r="2706" spans="1:22" ht="13.15" hidden="1" customHeight="1">
      <c r="A2706" s="817" t="s">
        <v>2289</v>
      </c>
      <c r="C2706" s="485"/>
      <c r="D2706" s="568"/>
      <c r="E2706" s="523"/>
      <c r="F2706" s="523"/>
      <c r="G2706" s="523"/>
      <c r="H2706" s="523"/>
      <c r="I2706" s="523"/>
      <c r="J2706" s="2214"/>
      <c r="K2706" s="2230"/>
      <c r="L2706" s="2230"/>
      <c r="M2706" s="2230"/>
      <c r="N2706" s="2230"/>
      <c r="P2706" s="1137"/>
      <c r="Q2706" s="1137"/>
      <c r="R2706" s="1137"/>
      <c r="S2706" s="1137"/>
      <c r="T2706" s="1137"/>
      <c r="U2706" s="1137"/>
      <c r="V2706" s="1137"/>
    </row>
    <row r="2707" spans="1:22" ht="13.15" hidden="1" customHeight="1">
      <c r="A2707" s="817" t="s">
        <v>2289</v>
      </c>
      <c r="C2707" s="485"/>
      <c r="D2707" s="568"/>
      <c r="E2707" s="523"/>
      <c r="F2707" s="523"/>
      <c r="G2707" s="523"/>
      <c r="H2707" s="523"/>
      <c r="I2707" s="523"/>
      <c r="J2707" s="2214"/>
      <c r="K2707" s="2230"/>
      <c r="L2707" s="2230"/>
      <c r="M2707" s="2230"/>
      <c r="N2707" s="2230"/>
      <c r="P2707" s="1137"/>
      <c r="Q2707" s="1137"/>
      <c r="R2707" s="1137"/>
      <c r="S2707" s="1137"/>
      <c r="T2707" s="1137"/>
      <c r="U2707" s="1137"/>
      <c r="V2707" s="1137"/>
    </row>
    <row r="2708" spans="1:22" ht="13.15" hidden="1" customHeight="1">
      <c r="A2708" s="817" t="s">
        <v>2289</v>
      </c>
      <c r="C2708" s="485"/>
      <c r="D2708" s="568"/>
      <c r="E2708" s="523"/>
      <c r="F2708" s="523"/>
      <c r="G2708" s="523"/>
      <c r="H2708" s="523"/>
      <c r="I2708" s="523"/>
      <c r="J2708" s="2214"/>
      <c r="K2708" s="2230"/>
      <c r="L2708" s="2230"/>
      <c r="M2708" s="2230"/>
      <c r="N2708" s="2230"/>
      <c r="P2708" s="1137"/>
      <c r="Q2708" s="1137"/>
      <c r="R2708" s="1137"/>
      <c r="S2708" s="1137"/>
      <c r="T2708" s="1137"/>
      <c r="U2708" s="1137"/>
      <c r="V2708" s="1137"/>
    </row>
    <row r="2709" spans="1:22" ht="13.15" hidden="1" customHeight="1">
      <c r="A2709" s="817" t="s">
        <v>2289</v>
      </c>
      <c r="C2709" s="485"/>
      <c r="D2709" s="568"/>
      <c r="E2709" s="523"/>
      <c r="F2709" s="523"/>
      <c r="G2709" s="523"/>
      <c r="H2709" s="523"/>
      <c r="I2709" s="523"/>
      <c r="J2709" s="2214"/>
      <c r="K2709" s="2230"/>
      <c r="L2709" s="2230"/>
      <c r="M2709" s="2230"/>
      <c r="N2709" s="2230"/>
      <c r="P2709" s="1137"/>
      <c r="Q2709" s="1137"/>
      <c r="R2709" s="1137"/>
      <c r="S2709" s="1137"/>
      <c r="T2709" s="1137"/>
      <c r="U2709" s="1137"/>
      <c r="V2709" s="1137"/>
    </row>
    <row r="2710" spans="1:22" ht="13.15" hidden="1" customHeight="1">
      <c r="A2710" s="817" t="s">
        <v>2289</v>
      </c>
      <c r="C2710" s="485"/>
      <c r="D2710" s="568"/>
      <c r="E2710" s="523"/>
      <c r="F2710" s="523"/>
      <c r="G2710" s="523"/>
      <c r="H2710" s="523"/>
      <c r="I2710" s="523"/>
      <c r="J2710" s="2214"/>
      <c r="K2710" s="2230"/>
      <c r="L2710" s="2230"/>
      <c r="M2710" s="2230"/>
      <c r="N2710" s="2230"/>
      <c r="P2710" s="1137"/>
      <c r="Q2710" s="1137"/>
      <c r="R2710" s="1137"/>
      <c r="S2710" s="1137"/>
      <c r="T2710" s="1137"/>
      <c r="U2710" s="1137"/>
      <c r="V2710" s="1137"/>
    </row>
    <row r="2711" spans="1:22" ht="13.15" hidden="1" customHeight="1">
      <c r="A2711" s="817" t="s">
        <v>2289</v>
      </c>
      <c r="C2711" s="485"/>
      <c r="D2711" s="568"/>
      <c r="E2711" s="523"/>
      <c r="F2711" s="523"/>
      <c r="G2711" s="523"/>
      <c r="H2711" s="523"/>
      <c r="I2711" s="523"/>
      <c r="J2711" s="2214"/>
      <c r="K2711" s="2230"/>
      <c r="L2711" s="2230"/>
      <c r="M2711" s="2230"/>
      <c r="N2711" s="2230"/>
      <c r="P2711" s="1137"/>
      <c r="Q2711" s="1137"/>
      <c r="R2711" s="1137"/>
      <c r="S2711" s="1137"/>
      <c r="T2711" s="1137"/>
      <c r="U2711" s="1137"/>
      <c r="V2711" s="1137"/>
    </row>
    <row r="2712" spans="1:22" ht="13.15" hidden="1" customHeight="1">
      <c r="A2712" s="817" t="s">
        <v>2289</v>
      </c>
      <c r="C2712" s="485"/>
      <c r="D2712" s="568"/>
      <c r="E2712" s="523"/>
      <c r="F2712" s="523"/>
      <c r="G2712" s="523"/>
      <c r="H2712" s="523"/>
      <c r="I2712" s="523"/>
      <c r="J2712" s="2214"/>
      <c r="K2712" s="2230"/>
      <c r="L2712" s="2230"/>
      <c r="M2712" s="2230"/>
      <c r="N2712" s="2230"/>
      <c r="P2712" s="1137"/>
      <c r="Q2712" s="1137"/>
      <c r="R2712" s="1137"/>
      <c r="S2712" s="1137"/>
      <c r="T2712" s="1137"/>
      <c r="U2712" s="1137"/>
      <c r="V2712" s="1137"/>
    </row>
    <row r="2713" spans="1:22" ht="13.15" hidden="1" customHeight="1">
      <c r="A2713" s="817" t="s">
        <v>2289</v>
      </c>
      <c r="C2713" s="485"/>
      <c r="D2713" s="568"/>
      <c r="E2713" s="523"/>
      <c r="F2713" s="523"/>
      <c r="G2713" s="523"/>
      <c r="H2713" s="523"/>
      <c r="I2713" s="523"/>
      <c r="J2713" s="2214"/>
      <c r="K2713" s="2230"/>
      <c r="L2713" s="2230"/>
      <c r="M2713" s="2230"/>
      <c r="N2713" s="2230"/>
      <c r="P2713" s="1137"/>
      <c r="Q2713" s="1137"/>
      <c r="R2713" s="1137"/>
      <c r="S2713" s="1137"/>
      <c r="T2713" s="1137"/>
      <c r="U2713" s="1137"/>
      <c r="V2713" s="1137"/>
    </row>
    <row r="2714" spans="1:22" ht="13.15" hidden="1" customHeight="1">
      <c r="A2714" s="817" t="s">
        <v>2289</v>
      </c>
      <c r="C2714" s="485"/>
      <c r="D2714" s="568"/>
      <c r="E2714" s="523"/>
      <c r="F2714" s="523"/>
      <c r="G2714" s="523"/>
      <c r="H2714" s="523"/>
      <c r="I2714" s="523"/>
      <c r="J2714" s="2214"/>
      <c r="K2714" s="2230"/>
      <c r="L2714" s="2230"/>
      <c r="M2714" s="2230"/>
      <c r="N2714" s="2230"/>
      <c r="P2714" s="1137"/>
      <c r="Q2714" s="1137"/>
      <c r="R2714" s="1137"/>
      <c r="S2714" s="1137"/>
      <c r="T2714" s="1137"/>
      <c r="U2714" s="1137"/>
      <c r="V2714" s="1137"/>
    </row>
    <row r="2715" spans="1:22" ht="13.15" hidden="1" customHeight="1">
      <c r="A2715" s="817" t="s">
        <v>2289</v>
      </c>
      <c r="C2715" s="485"/>
      <c r="D2715" s="568"/>
      <c r="E2715" s="523"/>
      <c r="F2715" s="523"/>
      <c r="G2715" s="523"/>
      <c r="H2715" s="523"/>
      <c r="I2715" s="523"/>
      <c r="J2715" s="2214"/>
      <c r="K2715" s="2230"/>
      <c r="L2715" s="2230"/>
      <c r="M2715" s="2230"/>
      <c r="N2715" s="2230"/>
      <c r="P2715" s="1137"/>
      <c r="Q2715" s="1137"/>
      <c r="R2715" s="1137"/>
      <c r="S2715" s="1137"/>
      <c r="T2715" s="1137"/>
      <c r="U2715" s="1137"/>
      <c r="V2715" s="1137"/>
    </row>
    <row r="2716" spans="1:22" ht="13.15" hidden="1" customHeight="1">
      <c r="A2716" s="817" t="s">
        <v>2289</v>
      </c>
      <c r="C2716" s="485"/>
      <c r="D2716" s="568"/>
      <c r="E2716" s="523"/>
      <c r="F2716" s="523"/>
      <c r="G2716" s="523"/>
      <c r="H2716" s="523"/>
      <c r="I2716" s="523"/>
      <c r="J2716" s="2214"/>
      <c r="K2716" s="2230"/>
      <c r="L2716" s="2230"/>
      <c r="M2716" s="2230"/>
      <c r="N2716" s="2230"/>
      <c r="P2716" s="1137"/>
      <c r="Q2716" s="1137"/>
      <c r="R2716" s="1137"/>
      <c r="S2716" s="1137"/>
      <c r="T2716" s="1137"/>
      <c r="U2716" s="1137"/>
      <c r="V2716" s="1137"/>
    </row>
    <row r="2717" spans="1:22" ht="13.15" hidden="1" customHeight="1">
      <c r="A2717" s="817" t="s">
        <v>2289</v>
      </c>
      <c r="C2717" s="485"/>
      <c r="D2717" s="568"/>
      <c r="E2717" s="523"/>
      <c r="F2717" s="523"/>
      <c r="G2717" s="523"/>
      <c r="H2717" s="523"/>
      <c r="I2717" s="523"/>
      <c r="J2717" s="2214"/>
      <c r="K2717" s="2230"/>
      <c r="L2717" s="2230"/>
      <c r="M2717" s="2230"/>
      <c r="N2717" s="2230"/>
      <c r="P2717" s="1137"/>
      <c r="Q2717" s="1137"/>
      <c r="R2717" s="1137"/>
      <c r="S2717" s="1137"/>
      <c r="T2717" s="1137"/>
      <c r="U2717" s="1137"/>
      <c r="V2717" s="1137"/>
    </row>
    <row r="2718" spans="1:22" ht="13.15" hidden="1" customHeight="1">
      <c r="A2718" s="817" t="s">
        <v>2289</v>
      </c>
      <c r="C2718" s="485"/>
      <c r="D2718" s="568"/>
      <c r="E2718" s="523"/>
      <c r="F2718" s="523"/>
      <c r="G2718" s="523"/>
      <c r="H2718" s="523"/>
      <c r="I2718" s="523"/>
      <c r="J2718" s="2214"/>
      <c r="K2718" s="2230"/>
      <c r="L2718" s="2230"/>
      <c r="M2718" s="2230"/>
      <c r="N2718" s="2230"/>
      <c r="P2718" s="1137"/>
      <c r="Q2718" s="1137"/>
      <c r="R2718" s="1137"/>
      <c r="S2718" s="1137"/>
      <c r="T2718" s="1137"/>
      <c r="U2718" s="1137"/>
      <c r="V2718" s="1137"/>
    </row>
    <row r="2719" spans="1:22" ht="13.15" hidden="1" customHeight="1">
      <c r="A2719" s="817" t="s">
        <v>2289</v>
      </c>
      <c r="C2719" s="485"/>
      <c r="D2719" s="568"/>
      <c r="E2719" s="523"/>
      <c r="F2719" s="523"/>
      <c r="G2719" s="523"/>
      <c r="H2719" s="523"/>
      <c r="I2719" s="523"/>
      <c r="J2719" s="2214"/>
      <c r="K2719" s="2230"/>
      <c r="L2719" s="2230"/>
      <c r="M2719" s="2230"/>
      <c r="N2719" s="2230"/>
      <c r="P2719" s="1137"/>
      <c r="Q2719" s="1137"/>
      <c r="R2719" s="1137"/>
      <c r="S2719" s="1137"/>
      <c r="T2719" s="1137"/>
      <c r="U2719" s="1137"/>
      <c r="V2719" s="1137"/>
    </row>
    <row r="2720" spans="1:22" ht="13.15" hidden="1" customHeight="1">
      <c r="A2720" s="817" t="s">
        <v>2289</v>
      </c>
      <c r="C2720" s="485"/>
      <c r="D2720" s="568"/>
      <c r="E2720" s="523"/>
      <c r="F2720" s="523"/>
      <c r="G2720" s="523"/>
      <c r="H2720" s="523"/>
      <c r="I2720" s="523"/>
      <c r="J2720" s="2214"/>
      <c r="K2720" s="2230"/>
      <c r="L2720" s="2230"/>
      <c r="M2720" s="2230"/>
      <c r="N2720" s="2230"/>
      <c r="P2720" s="1137"/>
      <c r="Q2720" s="1137"/>
      <c r="R2720" s="1137"/>
      <c r="S2720" s="1137"/>
      <c r="T2720" s="1137"/>
      <c r="U2720" s="1137"/>
      <c r="V2720" s="1137"/>
    </row>
    <row r="2721" spans="1:22" ht="13.15" hidden="1" customHeight="1">
      <c r="A2721" s="817" t="s">
        <v>2289</v>
      </c>
      <c r="B2721" s="485"/>
      <c r="C2721" s="485"/>
      <c r="D2721" s="568"/>
      <c r="E2721" s="523"/>
      <c r="F2721" s="523"/>
      <c r="G2721" s="523"/>
      <c r="H2721" s="523"/>
      <c r="I2721" s="523"/>
      <c r="J2721" s="2214"/>
      <c r="K2721" s="2230"/>
      <c r="L2721" s="2230"/>
      <c r="M2721" s="2230"/>
      <c r="N2721" s="2230"/>
      <c r="O2721" s="485"/>
      <c r="P2721" s="1137"/>
      <c r="Q2721" s="1137"/>
      <c r="R2721" s="1137"/>
      <c r="S2721" s="1137"/>
      <c r="T2721" s="1137"/>
      <c r="U2721" s="1137"/>
      <c r="V2721" s="1137"/>
    </row>
    <row r="2722" spans="1:22" ht="13.15" hidden="1" customHeight="1">
      <c r="A2722" s="817" t="s">
        <v>2289</v>
      </c>
      <c r="B2722" s="485"/>
      <c r="C2722" s="485"/>
      <c r="D2722" s="568"/>
      <c r="E2722" s="523"/>
      <c r="F2722" s="523"/>
      <c r="G2722" s="523"/>
      <c r="H2722" s="523"/>
      <c r="I2722" s="523"/>
      <c r="J2722" s="2214"/>
      <c r="K2722" s="2230"/>
      <c r="L2722" s="2230"/>
      <c r="M2722" s="2230"/>
      <c r="N2722" s="2230"/>
      <c r="O2722" s="485"/>
      <c r="P2722" s="1137"/>
      <c r="Q2722" s="1137"/>
      <c r="R2722" s="1137"/>
      <c r="S2722" s="1137"/>
      <c r="T2722" s="1137"/>
      <c r="U2722" s="1137"/>
      <c r="V2722" s="1137"/>
    </row>
    <row r="2723" spans="1:22" ht="13.15" hidden="1" customHeight="1">
      <c r="A2723" s="817" t="s">
        <v>2289</v>
      </c>
      <c r="B2723" s="485"/>
      <c r="C2723" s="485"/>
      <c r="D2723" s="568"/>
      <c r="E2723" s="523"/>
      <c r="F2723" s="523"/>
      <c r="G2723" s="523"/>
      <c r="H2723" s="523"/>
      <c r="I2723" s="523"/>
      <c r="J2723" s="2214"/>
      <c r="K2723" s="2230"/>
      <c r="L2723" s="2230"/>
      <c r="M2723" s="2230"/>
      <c r="N2723" s="2230"/>
      <c r="O2723" s="485"/>
      <c r="P2723" s="1137"/>
      <c r="Q2723" s="1137"/>
      <c r="R2723" s="1137"/>
      <c r="S2723" s="1137"/>
      <c r="T2723" s="1137"/>
      <c r="U2723" s="1137"/>
      <c r="V2723" s="1137"/>
    </row>
    <row r="2724" spans="1:22" ht="13.15" hidden="1" customHeight="1">
      <c r="A2724" s="817" t="s">
        <v>2289</v>
      </c>
      <c r="B2724" s="485"/>
      <c r="C2724" s="485"/>
      <c r="D2724" s="568"/>
      <c r="E2724" s="523"/>
      <c r="F2724" s="523"/>
      <c r="G2724" s="523"/>
      <c r="H2724" s="523"/>
      <c r="I2724" s="523"/>
      <c r="J2724" s="2214"/>
      <c r="K2724" s="2230"/>
      <c r="L2724" s="2230"/>
      <c r="M2724" s="2230"/>
      <c r="N2724" s="2230"/>
      <c r="O2724" s="485"/>
      <c r="P2724" s="1137"/>
      <c r="Q2724" s="1137"/>
      <c r="R2724" s="1137"/>
      <c r="S2724" s="1137"/>
      <c r="T2724" s="1137"/>
      <c r="U2724" s="1137"/>
      <c r="V2724" s="1137"/>
    </row>
    <row r="2725" spans="1:22" ht="13.15" hidden="1" customHeight="1">
      <c r="A2725" s="817" t="s">
        <v>2289</v>
      </c>
      <c r="B2725" s="485"/>
      <c r="C2725" s="485"/>
      <c r="D2725" s="568"/>
      <c r="E2725" s="523"/>
      <c r="F2725" s="523"/>
      <c r="G2725" s="523"/>
      <c r="H2725" s="523"/>
      <c r="I2725" s="523"/>
      <c r="J2725" s="2214"/>
      <c r="K2725" s="2230"/>
      <c r="L2725" s="2230"/>
      <c r="M2725" s="2230"/>
      <c r="N2725" s="2230"/>
      <c r="O2725" s="485"/>
      <c r="P2725" s="1137"/>
      <c r="Q2725" s="1137"/>
      <c r="R2725" s="1137"/>
      <c r="S2725" s="1137"/>
      <c r="T2725" s="1137"/>
      <c r="U2725" s="1137"/>
      <c r="V2725" s="1137"/>
    </row>
    <row r="2726" spans="1:22" s="562" customFormat="1" ht="13.9" hidden="1" customHeight="1" thickBot="1">
      <c r="A2726" s="817" t="s">
        <v>2289</v>
      </c>
      <c r="B2726" s="485"/>
      <c r="C2726" s="485"/>
      <c r="D2726" s="485"/>
      <c r="E2726" s="485"/>
      <c r="F2726" s="485"/>
      <c r="G2726" s="485"/>
      <c r="H2726" s="485"/>
      <c r="I2726" s="485"/>
      <c r="J2726" s="485"/>
      <c r="K2726" s="485"/>
      <c r="L2726" s="485"/>
      <c r="M2726" s="485"/>
      <c r="N2726" s="485"/>
      <c r="O2726" s="485"/>
      <c r="P2726" s="1137"/>
      <c r="Q2726" s="1137"/>
      <c r="R2726" s="1137"/>
      <c r="S2726" s="1137"/>
      <c r="T2726" s="1137"/>
      <c r="U2726" s="1137"/>
      <c r="V2726" s="1137"/>
    </row>
    <row r="2727" spans="1:22" s="2238" customFormat="1" ht="25.5" customHeight="1" thickBot="1">
      <c r="A2727" s="817"/>
      <c r="B2727" s="2237"/>
      <c r="C2727" s="2237"/>
      <c r="D2727" s="2237"/>
      <c r="E2727" s="3512" t="s">
        <v>178</v>
      </c>
      <c r="F2727" s="3513"/>
      <c r="G2727" s="3513"/>
      <c r="H2727" s="3513"/>
      <c r="I2727" s="3513"/>
      <c r="J2727" s="3513"/>
      <c r="K2727" s="3513"/>
      <c r="L2727" s="3513"/>
      <c r="M2727" s="3513"/>
      <c r="N2727" s="3514"/>
      <c r="O2727" s="485"/>
      <c r="P2727" s="2224"/>
      <c r="Q2727" s="2224"/>
      <c r="R2727" s="2224"/>
      <c r="S2727" s="2224"/>
      <c r="T2727" s="2224"/>
      <c r="U2727" s="2224"/>
      <c r="V2727" s="2224"/>
    </row>
    <row r="2728" spans="1:22" s="562" customFormat="1" ht="13.5" thickBot="1">
      <c r="A2728" s="817"/>
      <c r="B2728" s="485"/>
      <c r="C2728" s="485"/>
      <c r="D2728" s="485"/>
      <c r="E2728" s="485"/>
      <c r="F2728" s="485"/>
      <c r="G2728" s="485"/>
      <c r="H2728" s="485"/>
      <c r="I2728" s="485"/>
      <c r="J2728" s="485"/>
      <c r="K2728" s="485"/>
      <c r="L2728" s="485"/>
      <c r="M2728" s="485"/>
      <c r="N2728" s="485"/>
      <c r="O2728" s="485"/>
      <c r="P2728" s="1137"/>
      <c r="Q2728" s="1137"/>
      <c r="R2728" s="1137"/>
      <c r="S2728" s="1137"/>
      <c r="T2728" s="1137"/>
      <c r="U2728" s="1137"/>
      <c r="V2728" s="1137"/>
    </row>
    <row r="2729" spans="1:22" s="562" customFormat="1" hidden="1">
      <c r="A2729" s="817" t="s">
        <v>2289</v>
      </c>
      <c r="B2729" s="485"/>
      <c r="C2729" s="485"/>
      <c r="D2729" s="2239" t="s">
        <v>602</v>
      </c>
      <c r="E2729" s="481"/>
      <c r="F2729" s="481"/>
      <c r="G2729" s="481"/>
      <c r="H2729" s="481"/>
      <c r="I2729" s="481"/>
      <c r="J2729" s="485"/>
      <c r="K2729" s="485"/>
      <c r="L2729" s="485"/>
      <c r="M2729" s="485"/>
      <c r="N2729" s="485"/>
      <c r="O2729" s="485"/>
      <c r="P2729" s="1137"/>
      <c r="Q2729" s="1137"/>
      <c r="R2729" s="1137"/>
      <c r="S2729" s="1137"/>
      <c r="T2729" s="1137"/>
      <c r="U2729" s="1137"/>
      <c r="V2729" s="1137"/>
    </row>
    <row r="2730" spans="1:22" s="562" customFormat="1" hidden="1">
      <c r="A2730" s="817" t="s">
        <v>2289</v>
      </c>
      <c r="B2730" s="485"/>
      <c r="C2730" s="485"/>
      <c r="D2730" s="485"/>
      <c r="E2730" s="485"/>
      <c r="F2730" s="485"/>
      <c r="G2730" s="485"/>
      <c r="H2730" s="485"/>
      <c r="I2730" s="485"/>
      <c r="J2730" s="485"/>
      <c r="K2730" s="485"/>
      <c r="L2730" s="485"/>
      <c r="M2730" s="485"/>
      <c r="N2730" s="485"/>
      <c r="O2730" s="485"/>
      <c r="P2730" s="1137"/>
      <c r="Q2730" s="1137"/>
      <c r="R2730" s="1137"/>
      <c r="S2730" s="1137"/>
      <c r="T2730" s="1137"/>
      <c r="U2730" s="1137"/>
      <c r="V2730" s="1137"/>
    </row>
    <row r="2731" spans="1:22" s="562" customFormat="1" ht="13.15" hidden="1" customHeight="1">
      <c r="A2731" s="817" t="s">
        <v>2289</v>
      </c>
      <c r="B2731" s="1435" t="s">
        <v>873</v>
      </c>
      <c r="C2731" s="1435" t="s">
        <v>873</v>
      </c>
      <c r="D2731" s="1435" t="s">
        <v>873</v>
      </c>
      <c r="E2731" s="1435" t="s">
        <v>873</v>
      </c>
      <c r="F2731" s="1435" t="s">
        <v>873</v>
      </c>
      <c r="G2731" s="1435" t="s">
        <v>873</v>
      </c>
      <c r="H2731" s="1435" t="s">
        <v>873</v>
      </c>
      <c r="I2731" s="1435" t="s">
        <v>873</v>
      </c>
      <c r="J2731" s="1435" t="s">
        <v>873</v>
      </c>
      <c r="K2731" s="1435" t="s">
        <v>873</v>
      </c>
      <c r="L2731" s="1435" t="s">
        <v>873</v>
      </c>
      <c r="M2731" s="1435" t="s">
        <v>873</v>
      </c>
      <c r="N2731" s="1435" t="s">
        <v>873</v>
      </c>
      <c r="O2731" s="1435" t="s">
        <v>873</v>
      </c>
      <c r="P2731" s="1137" t="s">
        <v>873</v>
      </c>
      <c r="Q2731" s="1137" t="s">
        <v>873</v>
      </c>
      <c r="R2731" s="1137" t="s">
        <v>873</v>
      </c>
      <c r="S2731" s="1137" t="s">
        <v>873</v>
      </c>
      <c r="T2731" s="1137" t="s">
        <v>873</v>
      </c>
      <c r="U2731" s="1137"/>
      <c r="V2731" s="1137"/>
    </row>
    <row r="2732" spans="1:22" s="562" customFormat="1" ht="13.15" hidden="1" customHeight="1">
      <c r="A2732" s="817" t="s">
        <v>2289</v>
      </c>
      <c r="B2732" s="618"/>
      <c r="C2732" s="618"/>
      <c r="D2732" s="618"/>
      <c r="E2732" s="618"/>
      <c r="F2732" s="618"/>
      <c r="G2732" s="618"/>
      <c r="H2732" s="618"/>
      <c r="I2732" s="618"/>
      <c r="J2732" s="618"/>
      <c r="K2732" s="618"/>
      <c r="L2732" s="618"/>
      <c r="M2732" s="618"/>
      <c r="N2732" s="618"/>
      <c r="O2732" s="618"/>
      <c r="P2732" s="1137"/>
      <c r="Q2732" s="1137"/>
      <c r="R2732" s="1137"/>
      <c r="S2732" s="1137"/>
      <c r="T2732" s="1137"/>
      <c r="U2732" s="1137"/>
      <c r="V2732" s="1137"/>
    </row>
    <row r="2733" spans="1:22" s="562" customFormat="1" ht="13.9" hidden="1" customHeight="1" thickBot="1">
      <c r="A2733" s="817" t="s">
        <v>2289</v>
      </c>
      <c r="B2733" s="618"/>
      <c r="C2733" s="618"/>
      <c r="D2733" s="618" t="s">
        <v>874</v>
      </c>
      <c r="E2733" s="618"/>
      <c r="F2733" s="618"/>
      <c r="G2733" s="618"/>
      <c r="H2733" s="618"/>
      <c r="I2733" s="618"/>
      <c r="J2733" s="618"/>
      <c r="K2733" s="618"/>
      <c r="L2733" s="618"/>
      <c r="M2733" s="618"/>
      <c r="N2733" s="618"/>
      <c r="O2733" s="618"/>
      <c r="P2733" s="1137"/>
      <c r="Q2733" s="1137"/>
      <c r="R2733" s="1137"/>
      <c r="S2733" s="1137"/>
      <c r="T2733" s="1137"/>
      <c r="U2733" s="1137"/>
      <c r="V2733" s="1137"/>
    </row>
    <row r="2734" spans="1:22" s="562" customFormat="1" ht="13.15" hidden="1" customHeight="1">
      <c r="A2734" s="817" t="s">
        <v>2289</v>
      </c>
      <c r="B2734" s="618"/>
      <c r="C2734" s="618"/>
      <c r="D2734" s="618"/>
      <c r="E2734" s="1199" t="s">
        <v>545</v>
      </c>
      <c r="F2734" s="2240"/>
      <c r="G2734" s="2240"/>
      <c r="H2734" s="2240"/>
      <c r="I2734" s="2240"/>
      <c r="J2734" s="2240"/>
      <c r="K2734" s="2240"/>
      <c r="L2734" s="2240"/>
      <c r="M2734" s="2240"/>
      <c r="N2734" s="2241"/>
      <c r="O2734" s="618"/>
      <c r="P2734" s="1137"/>
      <c r="Q2734" s="1137"/>
      <c r="R2734" s="1137"/>
      <c r="S2734" s="1137"/>
      <c r="T2734" s="1137"/>
      <c r="U2734" s="1137"/>
      <c r="V2734" s="1137"/>
    </row>
    <row r="2735" spans="1:22" s="562" customFormat="1" ht="13.15" hidden="1" customHeight="1">
      <c r="A2735" s="817" t="s">
        <v>2289</v>
      </c>
      <c r="B2735" s="618"/>
      <c r="C2735" s="618"/>
      <c r="D2735" s="618"/>
      <c r="E2735" s="1206" t="s">
        <v>877</v>
      </c>
      <c r="F2735" s="1207"/>
      <c r="G2735" s="1207"/>
      <c r="H2735" s="1207"/>
      <c r="I2735" s="1207"/>
      <c r="J2735" s="1208">
        <v>1</v>
      </c>
      <c r="K2735" s="1208">
        <v>2</v>
      </c>
      <c r="L2735" s="1208">
        <v>3</v>
      </c>
      <c r="M2735" s="1208">
        <v>4</v>
      </c>
      <c r="N2735" s="1208">
        <v>5</v>
      </c>
      <c r="O2735" s="618"/>
      <c r="P2735" s="1137"/>
      <c r="Q2735" s="1137"/>
      <c r="R2735" s="1137"/>
      <c r="S2735" s="1137"/>
      <c r="T2735" s="1137"/>
      <c r="U2735" s="1137"/>
      <c r="V2735" s="1137"/>
    </row>
    <row r="2736" spans="1:22" s="562" customFormat="1" ht="13.15" hidden="1" customHeight="1">
      <c r="A2736" s="817" t="s">
        <v>2289</v>
      </c>
      <c r="B2736" s="618"/>
      <c r="C2736" s="618"/>
      <c r="D2736" s="618"/>
      <c r="E2736" s="1206" t="s">
        <v>1132</v>
      </c>
      <c r="F2736" s="1207"/>
      <c r="G2736" s="1207"/>
      <c r="H2736" s="1208">
        <f>A_InstallationData!H414</f>
        <v>2019</v>
      </c>
      <c r="I2736" s="1208">
        <f>A_InstallationData!I414</f>
        <v>2020</v>
      </c>
      <c r="J2736" s="1208">
        <f>A_InstallationData!J414</f>
        <v>2021</v>
      </c>
      <c r="K2736" s="1208">
        <f>A_InstallationData!K414</f>
        <v>2022</v>
      </c>
      <c r="L2736" s="1208">
        <f>A_InstallationData!L414</f>
        <v>2023</v>
      </c>
      <c r="M2736" s="1208">
        <f>A_InstallationData!M414</f>
        <v>2024</v>
      </c>
      <c r="N2736" s="1208">
        <f>A_InstallationData!N414</f>
        <v>2025</v>
      </c>
      <c r="O2736" s="618"/>
      <c r="P2736" s="1137"/>
      <c r="Q2736" s="1137"/>
      <c r="R2736" s="1137"/>
      <c r="S2736" s="1137"/>
      <c r="T2736" s="1137"/>
      <c r="U2736" s="1137"/>
      <c r="V2736" s="1137"/>
    </row>
    <row r="2737" spans="1:22" s="562" customFormat="1" ht="13.15" hidden="1" customHeight="1">
      <c r="A2737" s="817" t="s">
        <v>2289</v>
      </c>
      <c r="B2737" s="618"/>
      <c r="C2737" s="618"/>
      <c r="D2737" s="618"/>
      <c r="E2737" s="1206" t="s">
        <v>1131</v>
      </c>
      <c r="F2737" s="1207"/>
      <c r="G2737" s="1207"/>
      <c r="H2737" s="1208">
        <f>A_InstallationData!H415</f>
        <v>2024</v>
      </c>
      <c r="I2737" s="1208">
        <f>A_InstallationData!I415</f>
        <v>2025</v>
      </c>
      <c r="J2737" s="1208">
        <f>A_InstallationData!J415</f>
        <v>2026</v>
      </c>
      <c r="K2737" s="1208">
        <f>A_InstallationData!K415</f>
        <v>2027</v>
      </c>
      <c r="L2737" s="1208">
        <f>A_InstallationData!L415</f>
        <v>2028</v>
      </c>
      <c r="M2737" s="1208">
        <f>A_InstallationData!M415</f>
        <v>2029</v>
      </c>
      <c r="N2737" s="1208">
        <f>A_InstallationData!N415</f>
        <v>2030</v>
      </c>
      <c r="O2737" s="485"/>
      <c r="P2737" s="1137"/>
      <c r="Q2737" s="1137"/>
      <c r="R2737" s="1137"/>
      <c r="S2737" s="1137"/>
      <c r="T2737" s="1137"/>
      <c r="U2737" s="1137"/>
      <c r="V2737" s="1137"/>
    </row>
    <row r="2738" spans="1:22" s="562" customFormat="1" ht="13.15" hidden="1" customHeight="1">
      <c r="A2738" s="817" t="s">
        <v>2289</v>
      </c>
      <c r="B2738" s="618"/>
      <c r="C2738" s="618"/>
      <c r="D2738" s="618"/>
      <c r="E2738" s="1206" t="s">
        <v>544</v>
      </c>
      <c r="F2738" s="1207"/>
      <c r="G2738" s="1207"/>
      <c r="H2738" s="1207"/>
      <c r="I2738" s="1207"/>
      <c r="J2738" s="1208"/>
      <c r="K2738" s="1208"/>
      <c r="L2738" s="1208"/>
      <c r="M2738" s="1208"/>
      <c r="N2738" s="1208"/>
      <c r="O2738" s="618"/>
      <c r="P2738" s="1137"/>
      <c r="Q2738" s="1137"/>
      <c r="R2738" s="1137"/>
      <c r="S2738" s="1137"/>
      <c r="T2738" s="1137"/>
      <c r="U2738" s="1137"/>
      <c r="V2738" s="1137"/>
    </row>
    <row r="2739" spans="1:22" s="562" customFormat="1" ht="13.15" hidden="1" customHeight="1">
      <c r="A2739" s="817" t="s">
        <v>2289</v>
      </c>
      <c r="B2739" s="618"/>
      <c r="C2739" s="618"/>
      <c r="D2739" s="618"/>
      <c r="E2739" s="1206" t="s">
        <v>2541</v>
      </c>
      <c r="F2739" s="1207"/>
      <c r="G2739" s="1207"/>
      <c r="H2739" s="1207"/>
      <c r="I2739" s="1207"/>
      <c r="J2739" s="1207"/>
      <c r="K2739" s="1207"/>
      <c r="L2739" s="1207"/>
      <c r="M2739" s="1207"/>
      <c r="N2739" s="1207"/>
      <c r="O2739" s="618"/>
      <c r="P2739" s="1137"/>
      <c r="Q2739" s="1137"/>
      <c r="R2739" s="1137"/>
      <c r="S2739" s="1137"/>
      <c r="T2739" s="1137"/>
      <c r="U2739" s="1137"/>
      <c r="V2739" s="1137"/>
    </row>
    <row r="2740" spans="1:22" s="562" customFormat="1" ht="13.9" hidden="1" customHeight="1" thickBot="1">
      <c r="A2740" s="817" t="s">
        <v>2289</v>
      </c>
      <c r="B2740" s="618"/>
      <c r="C2740" s="618"/>
      <c r="D2740" s="618"/>
      <c r="E2740" s="1212" t="s">
        <v>543</v>
      </c>
      <c r="F2740" s="1213"/>
      <c r="G2740" s="1213"/>
      <c r="H2740" s="1213"/>
      <c r="I2740" s="1213"/>
      <c r="J2740" s="1213"/>
      <c r="K2740" s="1213"/>
      <c r="L2740" s="1213"/>
      <c r="M2740" s="1213"/>
      <c r="N2740" s="1213"/>
      <c r="O2740" s="618"/>
      <c r="P2740" s="1137"/>
      <c r="Q2740" s="1137"/>
      <c r="R2740" s="1137"/>
      <c r="S2740" s="1137"/>
      <c r="T2740" s="1137"/>
      <c r="U2740" s="1137"/>
      <c r="V2740" s="1137"/>
    </row>
    <row r="2741" spans="1:22" s="562" customFormat="1" ht="13.15" hidden="1" customHeight="1">
      <c r="A2741" s="817" t="s">
        <v>2289</v>
      </c>
      <c r="B2741" s="618"/>
      <c r="C2741" s="618"/>
      <c r="D2741" s="618"/>
      <c r="E2741" s="618"/>
      <c r="F2741" s="618"/>
      <c r="G2741" s="618"/>
      <c r="H2741" s="618"/>
      <c r="I2741" s="618"/>
      <c r="J2741" s="618"/>
      <c r="K2741" s="618"/>
      <c r="L2741" s="618"/>
      <c r="M2741" s="618"/>
      <c r="N2741" s="618"/>
      <c r="O2741" s="618"/>
      <c r="P2741" s="1137"/>
      <c r="Q2741" s="1137"/>
      <c r="R2741" s="1137"/>
      <c r="S2741" s="1137"/>
      <c r="T2741" s="1137"/>
      <c r="U2741" s="1137"/>
      <c r="V2741" s="1137"/>
    </row>
    <row r="2742" spans="1:22" s="562" customFormat="1" ht="13.15" hidden="1" customHeight="1">
      <c r="A2742" s="817" t="s">
        <v>2289</v>
      </c>
      <c r="B2742" s="618"/>
      <c r="C2742" s="618"/>
      <c r="D2742" s="618"/>
      <c r="E2742" s="618"/>
      <c r="F2742" s="618"/>
      <c r="G2742" s="618"/>
      <c r="H2742" s="618"/>
      <c r="I2742" s="618" t="str">
        <f>"NIMs BM OK?"</f>
        <v>NIMs BM OK?</v>
      </c>
      <c r="J2742" s="618" t="b">
        <v>1</v>
      </c>
      <c r="K2742" s="618"/>
      <c r="L2742" s="618"/>
      <c r="M2742" s="618"/>
      <c r="N2742" s="618"/>
      <c r="O2742" s="618"/>
      <c r="P2742" s="1137"/>
      <c r="Q2742" s="1137"/>
      <c r="R2742" s="1137"/>
      <c r="S2742" s="1137"/>
      <c r="T2742" s="1137"/>
      <c r="U2742" s="1137"/>
      <c r="V2742" s="1137"/>
    </row>
    <row r="2743" spans="1:22" s="562" customFormat="1" ht="13.15" hidden="1" customHeight="1">
      <c r="A2743" s="817" t="s">
        <v>2289</v>
      </c>
      <c r="B2743" s="618"/>
      <c r="C2743" s="618"/>
      <c r="D2743" s="618"/>
      <c r="E2743" s="618"/>
      <c r="F2743" s="618"/>
      <c r="G2743" s="618"/>
      <c r="H2743" s="618"/>
      <c r="I2743" s="618" t="str">
        <f>"CTRL_InputMethodNIMsvalues"</f>
        <v>CTRL_InputMethodNIMsvalues</v>
      </c>
      <c r="J2743" s="618">
        <f>CTRL_InputMethodNIMsvalues</f>
        <v>1</v>
      </c>
      <c r="K2743" s="618"/>
      <c r="L2743" s="618"/>
      <c r="M2743" s="618"/>
      <c r="N2743" s="618"/>
      <c r="O2743" s="618"/>
      <c r="P2743" s="1137"/>
      <c r="Q2743" s="1137"/>
      <c r="R2743" s="1137"/>
      <c r="S2743" s="1137"/>
      <c r="T2743" s="1137"/>
      <c r="U2743" s="1137"/>
      <c r="V2743" s="1137"/>
    </row>
    <row r="2744" spans="1:22" s="562" customFormat="1" ht="13.9" hidden="1" customHeight="1" thickBot="1">
      <c r="A2744" s="817" t="s">
        <v>2289</v>
      </c>
      <c r="B2744" s="618"/>
      <c r="C2744" s="618"/>
      <c r="D2744" s="618"/>
      <c r="E2744" s="618"/>
      <c r="F2744" s="618"/>
      <c r="G2744" s="618"/>
      <c r="H2744" s="618"/>
      <c r="I2744" s="618"/>
      <c r="J2744" s="618"/>
      <c r="K2744" s="618"/>
      <c r="L2744" s="618"/>
      <c r="M2744" s="618"/>
      <c r="N2744" s="618"/>
      <c r="O2744" s="618"/>
      <c r="P2744" s="1137"/>
      <c r="Q2744" s="1137"/>
      <c r="R2744" s="1137"/>
      <c r="S2744" s="1137"/>
      <c r="T2744" s="1137"/>
      <c r="U2744" s="1137"/>
      <c r="V2744" s="1137"/>
    </row>
    <row r="2745" spans="1:22" s="562" customFormat="1" ht="13.5" thickBot="1">
      <c r="A2745" s="817"/>
      <c r="E2745" s="2242"/>
      <c r="F2745" s="2243"/>
      <c r="G2745" s="2243"/>
      <c r="H2745" s="2243"/>
      <c r="I2745" s="2243"/>
      <c r="J2745" s="2243"/>
      <c r="K2745" s="2243"/>
      <c r="L2745" s="2243"/>
      <c r="M2745" s="2243"/>
      <c r="N2745" s="2244"/>
      <c r="P2745" s="1137"/>
      <c r="Q2745" s="1137"/>
      <c r="R2745" s="1137"/>
      <c r="S2745" s="1137"/>
      <c r="T2745" s="1137"/>
      <c r="U2745" s="1137"/>
      <c r="V2745" s="1137"/>
    </row>
    <row r="2746" spans="1:22" s="562" customFormat="1" ht="13.5" thickBot="1">
      <c r="A2746" s="817"/>
      <c r="E2746" s="2245"/>
      <c r="F2746" s="2246"/>
      <c r="G2746" s="2247" t="str">
        <f>"Allocation level change in this reporting year:"</f>
        <v>Allocation level change in this reporting year:</v>
      </c>
      <c r="H2746" s="2246"/>
      <c r="I2746" s="2246"/>
      <c r="J2746" s="2246"/>
      <c r="K2746" s="2248" t="b">
        <f>COUNTIFS(H479:H2499,EUconst_EUA,U479:U2499,TRUE)&gt;0</f>
        <v>0</v>
      </c>
      <c r="L2746" s="2246"/>
      <c r="M2746" s="2246"/>
      <c r="N2746" s="2249"/>
      <c r="P2746" s="1137"/>
      <c r="Q2746" s="1137"/>
      <c r="R2746" s="1137"/>
      <c r="S2746" s="1137"/>
      <c r="T2746" s="1137"/>
      <c r="U2746" s="1137"/>
      <c r="V2746" s="1137"/>
    </row>
    <row r="2747" spans="1:22" s="562" customFormat="1" ht="13.5" thickBot="1">
      <c r="A2747" s="817"/>
      <c r="E2747" s="2250"/>
      <c r="F2747" s="2251"/>
      <c r="G2747" s="2251"/>
      <c r="H2747" s="2251"/>
      <c r="I2747" s="2251"/>
      <c r="J2747" s="2251"/>
      <c r="K2747" s="2251"/>
      <c r="L2747" s="2251"/>
      <c r="M2747" s="2251"/>
      <c r="N2747" s="2252"/>
      <c r="P2747" s="1137"/>
      <c r="Q2747" s="1137"/>
      <c r="R2747" s="1137"/>
      <c r="S2747" s="1137"/>
      <c r="T2747" s="1137"/>
      <c r="U2747" s="1137"/>
      <c r="V2747" s="1137"/>
    </row>
    <row r="2748" spans="1:22" s="562" customFormat="1">
      <c r="A2748" s="817"/>
      <c r="P2748" s="1137"/>
      <c r="Q2748" s="1137"/>
      <c r="R2748" s="1137"/>
      <c r="S2748" s="1137"/>
      <c r="T2748" s="1137"/>
      <c r="U2748" s="1137"/>
      <c r="V2748" s="1137"/>
    </row>
    <row r="2749" spans="1:22" s="562" customFormat="1" hidden="1">
      <c r="A2749" s="817"/>
      <c r="B2749" s="618"/>
      <c r="C2749" s="618"/>
      <c r="D2749" s="618"/>
      <c r="E2749" s="618"/>
      <c r="F2749" s="618"/>
      <c r="G2749" s="618"/>
      <c r="H2749" s="618"/>
      <c r="I2749" s="618"/>
      <c r="J2749" s="618"/>
      <c r="K2749" s="618"/>
      <c r="L2749" s="618"/>
      <c r="M2749" s="618"/>
      <c r="N2749" s="618"/>
      <c r="O2749" s="618"/>
      <c r="P2749" s="1137"/>
      <c r="Q2749" s="1137"/>
      <c r="R2749" s="1137"/>
      <c r="S2749" s="1137"/>
      <c r="T2749" s="1137"/>
      <c r="U2749" s="1137"/>
      <c r="V2749" s="1137"/>
    </row>
  </sheetData>
  <sheetProtection algorithmName="SHA-512" hashValue="iK19rfHY3+VLzSEVJDqXl5+20q9jCmxSAGn7+xgQtNGfSQukXbNb14hdPt6PfqSdzFUJDKsOM2H2Gpc+vpvkwQ==" saltValue="WILrAn7ycTVYHSevgoe1+w==" spinCount="100000" sheet="1" formatCells="0" formatColumns="0" formatRows="0" insertHyperlinks="0"/>
  <mergeCells count="990">
    <mergeCell ref="P2612:U2612"/>
    <mergeCell ref="D2581:H2581"/>
    <mergeCell ref="D2582:H2582"/>
    <mergeCell ref="D2583:H2583"/>
    <mergeCell ref="D2584:H2584"/>
    <mergeCell ref="E2587:N2587"/>
    <mergeCell ref="D2589:H2589"/>
    <mergeCell ref="D2590:H2590"/>
    <mergeCell ref="D2591:H2591"/>
    <mergeCell ref="D2592:H2592"/>
    <mergeCell ref="E2611:N2611"/>
    <mergeCell ref="E221:F221"/>
    <mergeCell ref="E226:N226"/>
    <mergeCell ref="E227:F227"/>
    <mergeCell ref="E228:F228"/>
    <mergeCell ref="E229:F229"/>
    <mergeCell ref="E230:F230"/>
    <mergeCell ref="E231:F231"/>
    <mergeCell ref="E232:F232"/>
    <mergeCell ref="E233:F233"/>
    <mergeCell ref="E245:N245"/>
    <mergeCell ref="E328:F328"/>
    <mergeCell ref="E329:F329"/>
    <mergeCell ref="E343:F343"/>
    <mergeCell ref="D345:N345"/>
    <mergeCell ref="E315:F315"/>
    <mergeCell ref="E347:F347"/>
    <mergeCell ref="E348:F348"/>
    <mergeCell ref="E330:F330"/>
    <mergeCell ref="E331:F331"/>
    <mergeCell ref="E333:N333"/>
    <mergeCell ref="E335:F335"/>
    <mergeCell ref="E336:F336"/>
    <mergeCell ref="E338:N338"/>
    <mergeCell ref="E316:F316"/>
    <mergeCell ref="E318:N318"/>
    <mergeCell ref="E281:F281"/>
    <mergeCell ref="E282:F282"/>
    <mergeCell ref="E283:F283"/>
    <mergeCell ref="E284:F284"/>
    <mergeCell ref="E285:F285"/>
    <mergeCell ref="E286:F286"/>
    <mergeCell ref="E287:F287"/>
    <mergeCell ref="E288:F288"/>
    <mergeCell ref="E241:F241"/>
    <mergeCell ref="E240:F240"/>
    <mergeCell ref="E2:F2"/>
    <mergeCell ref="E211:F211"/>
    <mergeCell ref="D209:N209"/>
    <mergeCell ref="E217:F217"/>
    <mergeCell ref="E216:F216"/>
    <mergeCell ref="E215:F215"/>
    <mergeCell ref="E214:F214"/>
    <mergeCell ref="E213:F213"/>
    <mergeCell ref="E212:F212"/>
    <mergeCell ref="E67:F67"/>
    <mergeCell ref="F84:N84"/>
    <mergeCell ref="E102:F102"/>
    <mergeCell ref="E103:F103"/>
    <mergeCell ref="E104:F104"/>
    <mergeCell ref="E105:F105"/>
    <mergeCell ref="E106:F106"/>
    <mergeCell ref="E3:F3"/>
    <mergeCell ref="M3:N3"/>
    <mergeCell ref="F23:N23"/>
    <mergeCell ref="F24:N24"/>
    <mergeCell ref="F25:N25"/>
    <mergeCell ref="F26:N26"/>
    <mergeCell ref="F27:N27"/>
    <mergeCell ref="L42:N42"/>
    <mergeCell ref="E239:F239"/>
    <mergeCell ref="E238:F238"/>
    <mergeCell ref="E237:F237"/>
    <mergeCell ref="D243:N243"/>
    <mergeCell ref="E234:F234"/>
    <mergeCell ref="E235:F235"/>
    <mergeCell ref="E236:F236"/>
    <mergeCell ref="E45:H45"/>
    <mergeCell ref="F78:N78"/>
    <mergeCell ref="I35:K35"/>
    <mergeCell ref="L38:N38"/>
    <mergeCell ref="L36:N36"/>
    <mergeCell ref="E37:H37"/>
    <mergeCell ref="L39:N39"/>
    <mergeCell ref="E44:H44"/>
    <mergeCell ref="I44:K44"/>
    <mergeCell ref="I41:K41"/>
    <mergeCell ref="L41:N41"/>
    <mergeCell ref="E42:H42"/>
    <mergeCell ref="L45:N45"/>
    <mergeCell ref="E70:F70"/>
    <mergeCell ref="E71:F71"/>
    <mergeCell ref="D457:E457"/>
    <mergeCell ref="E319:F319"/>
    <mergeCell ref="E321:N321"/>
    <mergeCell ref="E322:F322"/>
    <mergeCell ref="E324:N324"/>
    <mergeCell ref="E325:F325"/>
    <mergeCell ref="E326:F326"/>
    <mergeCell ref="E327:F327"/>
    <mergeCell ref="D472:E472"/>
    <mergeCell ref="F472:N472"/>
    <mergeCell ref="F457:N457"/>
    <mergeCell ref="D469:E469"/>
    <mergeCell ref="F469:N469"/>
    <mergeCell ref="D454:N454"/>
    <mergeCell ref="F466:N466"/>
    <mergeCell ref="D467:E467"/>
    <mergeCell ref="F467:N467"/>
    <mergeCell ref="D468:E468"/>
    <mergeCell ref="D452:N452"/>
    <mergeCell ref="D459:E459"/>
    <mergeCell ref="F459:N459"/>
    <mergeCell ref="E362:F362"/>
    <mergeCell ref="E363:F363"/>
    <mergeCell ref="E364:F364"/>
    <mergeCell ref="F456:N456"/>
    <mergeCell ref="E365:F365"/>
    <mergeCell ref="E349:F349"/>
    <mergeCell ref="E339:F339"/>
    <mergeCell ref="E341:N341"/>
    <mergeCell ref="E256:N256"/>
    <mergeCell ref="E257:F257"/>
    <mergeCell ref="E261:F261"/>
    <mergeCell ref="E264:F264"/>
    <mergeCell ref="E258:F258"/>
    <mergeCell ref="E275:F275"/>
    <mergeCell ref="E276:F276"/>
    <mergeCell ref="E278:N278"/>
    <mergeCell ref="E280:F280"/>
    <mergeCell ref="E269:N269"/>
    <mergeCell ref="E266:N266"/>
    <mergeCell ref="E263:N263"/>
    <mergeCell ref="E260:F260"/>
    <mergeCell ref="E259:F259"/>
    <mergeCell ref="E367:N367"/>
    <mergeCell ref="E368:F368"/>
    <mergeCell ref="E356:F356"/>
    <mergeCell ref="E357:F357"/>
    <mergeCell ref="E358:F358"/>
    <mergeCell ref="E2161:F2161"/>
    <mergeCell ref="E2163:F2163"/>
    <mergeCell ref="E1120:F1120"/>
    <mergeCell ref="E1122:F1122"/>
    <mergeCell ref="E1124:F1124"/>
    <mergeCell ref="E1127:F1127"/>
    <mergeCell ref="E1105:F1105"/>
    <mergeCell ref="E1425:F1425"/>
    <mergeCell ref="E1427:F1427"/>
    <mergeCell ref="E1428:F1428"/>
    <mergeCell ref="E1430:F1430"/>
    <mergeCell ref="E1263:F1263"/>
    <mergeCell ref="E1264:F1264"/>
    <mergeCell ref="E1266:F1266"/>
    <mergeCell ref="E1267:F1267"/>
    <mergeCell ref="E1280:F1280"/>
    <mergeCell ref="E1281:F1281"/>
    <mergeCell ref="E1283:F1283"/>
    <mergeCell ref="E1284:F1284"/>
    <mergeCell ref="E1286:F1286"/>
    <mergeCell ref="E1288:F1288"/>
    <mergeCell ref="E1291:F1291"/>
    <mergeCell ref="D1297:H1297"/>
    <mergeCell ref="E1431:F1431"/>
    <mergeCell ref="E784:F784"/>
    <mergeCell ref="E785:F785"/>
    <mergeCell ref="E786:F786"/>
    <mergeCell ref="E788:F788"/>
    <mergeCell ref="E789:F789"/>
    <mergeCell ref="E791:F791"/>
    <mergeCell ref="E1117:F1117"/>
    <mergeCell ref="E1119:F1119"/>
    <mergeCell ref="E792:F792"/>
    <mergeCell ref="E794:F794"/>
    <mergeCell ref="E796:F796"/>
    <mergeCell ref="E799:F799"/>
    <mergeCell ref="E963:F963"/>
    <mergeCell ref="D969:H969"/>
    <mergeCell ref="E962:F962"/>
    <mergeCell ref="E961:F961"/>
    <mergeCell ref="E801:F801"/>
    <mergeCell ref="E800:F800"/>
    <mergeCell ref="E798:F798"/>
    <mergeCell ref="E797:F797"/>
    <mergeCell ref="E930:F930"/>
    <mergeCell ref="E931:F931"/>
    <mergeCell ref="E932:F932"/>
    <mergeCell ref="E933:F933"/>
    <mergeCell ref="M2120:N2120"/>
    <mergeCell ref="E761:F761"/>
    <mergeCell ref="E764:F764"/>
    <mergeCell ref="E766:F766"/>
    <mergeCell ref="D463:E463"/>
    <mergeCell ref="D464:E464"/>
    <mergeCell ref="F464:N464"/>
    <mergeCell ref="F463:N463"/>
    <mergeCell ref="F471:N471"/>
    <mergeCell ref="D466:E466"/>
    <mergeCell ref="F468:N468"/>
    <mergeCell ref="I641:N641"/>
    <mergeCell ref="E768:F768"/>
    <mergeCell ref="E769:F769"/>
    <mergeCell ref="E771:F771"/>
    <mergeCell ref="E772:F772"/>
    <mergeCell ref="E774:F774"/>
    <mergeCell ref="E775:F775"/>
    <mergeCell ref="E777:F777"/>
    <mergeCell ref="E778:F778"/>
    <mergeCell ref="E780:F780"/>
    <mergeCell ref="E781:F781"/>
    <mergeCell ref="E782:F782"/>
    <mergeCell ref="E783:F783"/>
    <mergeCell ref="E763:F763"/>
    <mergeCell ref="D475:N475"/>
    <mergeCell ref="D455:E455"/>
    <mergeCell ref="E98:F98"/>
    <mergeCell ref="E2166:F2166"/>
    <mergeCell ref="D2535:I2535"/>
    <mergeCell ref="E2512:N2512"/>
    <mergeCell ref="E2513:N2513"/>
    <mergeCell ref="E2519:N2519"/>
    <mergeCell ref="E2518:I2518"/>
    <mergeCell ref="D2524:I2524"/>
    <mergeCell ref="D2533:I2533"/>
    <mergeCell ref="E2517:I2517"/>
    <mergeCell ref="D2509:N2509"/>
    <mergeCell ref="F2507:N2507"/>
    <mergeCell ref="E2504:N2504"/>
    <mergeCell ref="F2506:N2506"/>
    <mergeCell ref="D2185:H2185"/>
    <mergeCell ref="I2185:L2185"/>
    <mergeCell ref="M2185:N2185"/>
    <mergeCell ref="E2233:F2233"/>
    <mergeCell ref="E2239:F2239"/>
    <mergeCell ref="E2240:F2240"/>
    <mergeCell ref="E101:F101"/>
    <mergeCell ref="D2536:I2536"/>
    <mergeCell ref="D2537:I2537"/>
    <mergeCell ref="D2531:I2531"/>
    <mergeCell ref="D2532:I2532"/>
    <mergeCell ref="D2530:I2530"/>
    <mergeCell ref="D2534:I2534"/>
    <mergeCell ref="E1096:F1096"/>
    <mergeCell ref="E1097:F1097"/>
    <mergeCell ref="E1099:F1099"/>
    <mergeCell ref="E1100:F1100"/>
    <mergeCell ref="E1102:F1102"/>
    <mergeCell ref="E2241:F2241"/>
    <mergeCell ref="E1109:F1109"/>
    <mergeCell ref="E1110:F1110"/>
    <mergeCell ref="E1111:F1111"/>
    <mergeCell ref="E1112:F1112"/>
    <mergeCell ref="E2165:F2165"/>
    <mergeCell ref="D2118:H2118"/>
    <mergeCell ref="I2118:L2118"/>
    <mergeCell ref="D1133:H1133"/>
    <mergeCell ref="I1133:N1133"/>
    <mergeCell ref="E2167:F2167"/>
    <mergeCell ref="F2505:N2505"/>
    <mergeCell ref="M2187:N2187"/>
    <mergeCell ref="E2168:F2168"/>
    <mergeCell ref="E2178:F2178"/>
    <mergeCell ref="E2242:F2242"/>
    <mergeCell ref="E2243:F2243"/>
    <mergeCell ref="E2307:F2307"/>
    <mergeCell ref="D2311:H2311"/>
    <mergeCell ref="I2311:L2311"/>
    <mergeCell ref="M2311:N2311"/>
    <mergeCell ref="M2313:N2313"/>
    <mergeCell ref="E2300:F2300"/>
    <mergeCell ref="E2170:F2170"/>
    <mergeCell ref="E2172:F2172"/>
    <mergeCell ref="E2179:F2179"/>
    <mergeCell ref="E2180:F2180"/>
    <mergeCell ref="E2181:F2181"/>
    <mergeCell ref="E2173:F2173"/>
    <mergeCell ref="E2174:F2174"/>
    <mergeCell ref="E2175:F2175"/>
    <mergeCell ref="E2176:F2176"/>
    <mergeCell ref="E2177:F2177"/>
    <mergeCell ref="E2301:F2301"/>
    <mergeCell ref="E2302:F2302"/>
    <mergeCell ref="E2303:F2303"/>
    <mergeCell ref="E2304:F2304"/>
    <mergeCell ref="E2727:N2727"/>
    <mergeCell ref="E54:M54"/>
    <mergeCell ref="E55:M55"/>
    <mergeCell ref="E57:L57"/>
    <mergeCell ref="F461:N461"/>
    <mergeCell ref="L37:N37"/>
    <mergeCell ref="I36:K36"/>
    <mergeCell ref="K2:L2"/>
    <mergeCell ref="E4:F4"/>
    <mergeCell ref="D460:E460"/>
    <mergeCell ref="F460:N460"/>
    <mergeCell ref="B2:D4"/>
    <mergeCell ref="G2:H2"/>
    <mergeCell ref="I2:J2"/>
    <mergeCell ref="E39:H39"/>
    <mergeCell ref="E40:H40"/>
    <mergeCell ref="I40:K40"/>
    <mergeCell ref="M2:N2"/>
    <mergeCell ref="D456:E456"/>
    <mergeCell ref="D49:N49"/>
    <mergeCell ref="E51:H51"/>
    <mergeCell ref="K51:L51"/>
    <mergeCell ref="E52:H52"/>
    <mergeCell ref="K3:L3"/>
    <mergeCell ref="I3:J3"/>
    <mergeCell ref="I42:K42"/>
    <mergeCell ref="G3:H3"/>
    <mergeCell ref="M4:N4"/>
    <mergeCell ref="G4:H4"/>
    <mergeCell ref="E38:H38"/>
    <mergeCell ref="I4:J4"/>
    <mergeCell ref="K4:L4"/>
    <mergeCell ref="I37:K37"/>
    <mergeCell ref="E41:H41"/>
    <mergeCell ref="D10:N10"/>
    <mergeCell ref="D34:N34"/>
    <mergeCell ref="E35:H35"/>
    <mergeCell ref="L40:N40"/>
    <mergeCell ref="E36:H36"/>
    <mergeCell ref="I38:K38"/>
    <mergeCell ref="H15:L15"/>
    <mergeCell ref="H16:L16"/>
    <mergeCell ref="H13:I13"/>
    <mergeCell ref="M13:N13"/>
    <mergeCell ref="H14:L14"/>
    <mergeCell ref="F22:N22"/>
    <mergeCell ref="I39:K39"/>
    <mergeCell ref="L35:N35"/>
    <mergeCell ref="E43:H43"/>
    <mergeCell ref="I43:K43"/>
    <mergeCell ref="E75:N75"/>
    <mergeCell ref="F82:N82"/>
    <mergeCell ref="E63:F63"/>
    <mergeCell ref="D61:N61"/>
    <mergeCell ref="L43:N43"/>
    <mergeCell ref="F80:N80"/>
    <mergeCell ref="F87:N87"/>
    <mergeCell ref="K52:L52"/>
    <mergeCell ref="I45:K45"/>
    <mergeCell ref="E65:F65"/>
    <mergeCell ref="E66:F66"/>
    <mergeCell ref="E68:F68"/>
    <mergeCell ref="E69:F69"/>
    <mergeCell ref="E64:F64"/>
    <mergeCell ref="E76:N76"/>
    <mergeCell ref="F77:N77"/>
    <mergeCell ref="L44:N44"/>
    <mergeCell ref="E115:F115"/>
    <mergeCell ref="E116:F116"/>
    <mergeCell ref="F79:N79"/>
    <mergeCell ref="E86:N86"/>
    <mergeCell ref="E89:N89"/>
    <mergeCell ref="F81:N81"/>
    <mergeCell ref="F88:N88"/>
    <mergeCell ref="E90:N90"/>
    <mergeCell ref="F83:N83"/>
    <mergeCell ref="F85:N85"/>
    <mergeCell ref="E108:F108"/>
    <mergeCell ref="E109:F109"/>
    <mergeCell ref="E111:F111"/>
    <mergeCell ref="E112:F112"/>
    <mergeCell ref="E113:F113"/>
    <mergeCell ref="E99:F99"/>
    <mergeCell ref="E100:F100"/>
    <mergeCell ref="E114:F114"/>
    <mergeCell ref="E126:F126"/>
    <mergeCell ref="E127:F127"/>
    <mergeCell ref="E597:F597"/>
    <mergeCell ref="E599:F599"/>
    <mergeCell ref="E253:F253"/>
    <mergeCell ref="E252:F252"/>
    <mergeCell ref="E107:F107"/>
    <mergeCell ref="E303:F303"/>
    <mergeCell ref="E304:F304"/>
    <mergeCell ref="E305:F305"/>
    <mergeCell ref="E306:F306"/>
    <mergeCell ref="E120:F120"/>
    <mergeCell ref="E128:F128"/>
    <mergeCell ref="E129:F129"/>
    <mergeCell ref="E121:F121"/>
    <mergeCell ref="E122:F122"/>
    <mergeCell ref="E123:F123"/>
    <mergeCell ref="E124:F124"/>
    <mergeCell ref="E125:F125"/>
    <mergeCell ref="F473:N473"/>
    <mergeCell ref="D473:E473"/>
    <mergeCell ref="D470:E470"/>
    <mergeCell ref="F470:N470"/>
    <mergeCell ref="D471:E471"/>
    <mergeCell ref="E2230:F2230"/>
    <mergeCell ref="E2232:F2232"/>
    <mergeCell ref="D477:H477"/>
    <mergeCell ref="I477:N477"/>
    <mergeCell ref="M479:N479"/>
    <mergeCell ref="D641:H641"/>
    <mergeCell ref="E91:F91"/>
    <mergeCell ref="E92:F92"/>
    <mergeCell ref="E93:F93"/>
    <mergeCell ref="E185:K185"/>
    <mergeCell ref="E186:G186"/>
    <mergeCell ref="E94:F94"/>
    <mergeCell ref="E95:F95"/>
    <mergeCell ref="E96:F96"/>
    <mergeCell ref="E97:F97"/>
    <mergeCell ref="E600:F600"/>
    <mergeCell ref="E117:F117"/>
    <mergeCell ref="E118:F118"/>
    <mergeCell ref="E119:F119"/>
    <mergeCell ref="E135:F135"/>
    <mergeCell ref="E136:F136"/>
    <mergeCell ref="E137:F137"/>
    <mergeCell ref="E138:F138"/>
    <mergeCell ref="E140:F140"/>
    <mergeCell ref="D2570:H2570"/>
    <mergeCell ref="D2571:H2571"/>
    <mergeCell ref="D2572:H2572"/>
    <mergeCell ref="D2573:H2573"/>
    <mergeCell ref="D2574:H2574"/>
    <mergeCell ref="E2561:I2561"/>
    <mergeCell ref="E2551:I2551"/>
    <mergeCell ref="D73:N73"/>
    <mergeCell ref="M643:N643"/>
    <mergeCell ref="D462:E462"/>
    <mergeCell ref="D465:E465"/>
    <mergeCell ref="F465:N465"/>
    <mergeCell ref="D2511:N2511"/>
    <mergeCell ref="E1089:F1089"/>
    <mergeCell ref="E1091:F1091"/>
    <mergeCell ref="E767:F767"/>
    <mergeCell ref="E1092:F1092"/>
    <mergeCell ref="E1094:F1094"/>
    <mergeCell ref="E1095:F1095"/>
    <mergeCell ref="E2234:F2234"/>
    <mergeCell ref="E2235:F2235"/>
    <mergeCell ref="E2237:F2237"/>
    <mergeCell ref="M2118:N2118"/>
    <mergeCell ref="E2228:F2228"/>
    <mergeCell ref="D2575:H2575"/>
    <mergeCell ref="D2576:H2576"/>
    <mergeCell ref="D2577:H2577"/>
    <mergeCell ref="D2578:H2578"/>
    <mergeCell ref="D2579:H2579"/>
    <mergeCell ref="D2580:H2580"/>
    <mergeCell ref="D2538:I2538"/>
    <mergeCell ref="D2539:I2539"/>
    <mergeCell ref="D2523:I2523"/>
    <mergeCell ref="D2525:I2525"/>
    <mergeCell ref="D2526:I2526"/>
    <mergeCell ref="D2527:I2527"/>
    <mergeCell ref="D2528:I2528"/>
    <mergeCell ref="D2529:I2529"/>
    <mergeCell ref="D2540:I2540"/>
    <mergeCell ref="E2559:N2559"/>
    <mergeCell ref="E2558:N2558"/>
    <mergeCell ref="D2541:I2541"/>
    <mergeCell ref="E2555:I2555"/>
    <mergeCell ref="E2547:I2547"/>
    <mergeCell ref="E2564:N2564"/>
    <mergeCell ref="D2567:H2567"/>
    <mergeCell ref="D2568:H2568"/>
    <mergeCell ref="D2569:H2569"/>
    <mergeCell ref="E133:L133"/>
    <mergeCell ref="D131:N131"/>
    <mergeCell ref="E149:F149"/>
    <mergeCell ref="E151:F151"/>
    <mergeCell ref="E152:F152"/>
    <mergeCell ref="E153:F153"/>
    <mergeCell ref="E155:F155"/>
    <mergeCell ref="E156:F156"/>
    <mergeCell ref="E142:F142"/>
    <mergeCell ref="E143:F143"/>
    <mergeCell ref="E145:F145"/>
    <mergeCell ref="E146:F146"/>
    <mergeCell ref="E147:F147"/>
    <mergeCell ref="E148:F148"/>
    <mergeCell ref="E141:F141"/>
    <mergeCell ref="E170:F170"/>
    <mergeCell ref="E171:F171"/>
    <mergeCell ref="E172:F172"/>
    <mergeCell ref="E173:F173"/>
    <mergeCell ref="E174:F174"/>
    <mergeCell ref="E158:L158"/>
    <mergeCell ref="E160:F160"/>
    <mergeCell ref="E161:F161"/>
    <mergeCell ref="E176:F176"/>
    <mergeCell ref="E162:F162"/>
    <mergeCell ref="E163:F163"/>
    <mergeCell ref="E165:F165"/>
    <mergeCell ref="E166:F166"/>
    <mergeCell ref="E167:F167"/>
    <mergeCell ref="E168:F168"/>
    <mergeCell ref="E177:F177"/>
    <mergeCell ref="E178:F178"/>
    <mergeCell ref="E180:F180"/>
    <mergeCell ref="E181:F181"/>
    <mergeCell ref="D183:N183"/>
    <mergeCell ref="D461:E461"/>
    <mergeCell ref="F462:N462"/>
    <mergeCell ref="D458:E458"/>
    <mergeCell ref="F458:N458"/>
    <mergeCell ref="E219:N219"/>
    <mergeCell ref="E222:F222"/>
    <mergeCell ref="E223:F223"/>
    <mergeCell ref="E224:F224"/>
    <mergeCell ref="E254:F254"/>
    <mergeCell ref="F455:N455"/>
    <mergeCell ref="E353:N353"/>
    <mergeCell ref="E354:F354"/>
    <mergeCell ref="E355:F355"/>
    <mergeCell ref="E195:H195"/>
    <mergeCell ref="E197:K197"/>
    <mergeCell ref="E198:G198"/>
    <mergeCell ref="E200:F200"/>
    <mergeCell ref="E201:F201"/>
    <mergeCell ref="E188:F188"/>
    <mergeCell ref="E610:F610"/>
    <mergeCell ref="E611:F611"/>
    <mergeCell ref="E613:F613"/>
    <mergeCell ref="E614:F614"/>
    <mergeCell ref="E616:F616"/>
    <mergeCell ref="E617:F617"/>
    <mergeCell ref="E602:F602"/>
    <mergeCell ref="E603:F603"/>
    <mergeCell ref="E604:F604"/>
    <mergeCell ref="E605:F605"/>
    <mergeCell ref="E607:F607"/>
    <mergeCell ref="E608:F608"/>
    <mergeCell ref="E625:F625"/>
    <mergeCell ref="E627:F627"/>
    <mergeCell ref="E628:F628"/>
    <mergeCell ref="E630:F630"/>
    <mergeCell ref="E632:F632"/>
    <mergeCell ref="E635:F635"/>
    <mergeCell ref="E618:F618"/>
    <mergeCell ref="E619:F619"/>
    <mergeCell ref="E620:F620"/>
    <mergeCell ref="E621:F621"/>
    <mergeCell ref="E622:F622"/>
    <mergeCell ref="E624:F624"/>
    <mergeCell ref="I969:N969"/>
    <mergeCell ref="M971:N971"/>
    <mergeCell ref="E2306:F2306"/>
    <mergeCell ref="E2305:F2305"/>
    <mergeCell ref="E2292:F2292"/>
    <mergeCell ref="E2293:F2293"/>
    <mergeCell ref="E2294:F2294"/>
    <mergeCell ref="E2296:F2296"/>
    <mergeCell ref="E2298:F2298"/>
    <mergeCell ref="E2299:F2299"/>
    <mergeCell ref="I2252:L2252"/>
    <mergeCell ref="M2252:N2252"/>
    <mergeCell ref="M2254:N2254"/>
    <mergeCell ref="E2287:F2287"/>
    <mergeCell ref="E2289:F2289"/>
    <mergeCell ref="E2291:F2291"/>
    <mergeCell ref="E2244:F2244"/>
    <mergeCell ref="E2245:F2245"/>
    <mergeCell ref="E2246:F2246"/>
    <mergeCell ref="E2247:F2247"/>
    <mergeCell ref="E2248:F2248"/>
    <mergeCell ref="D2252:H2252"/>
    <mergeCell ref="E1260:F1260"/>
    <mergeCell ref="E1261:F1261"/>
    <mergeCell ref="D2464:H2464"/>
    <mergeCell ref="I2464:L2464"/>
    <mergeCell ref="M2464:N2464"/>
    <mergeCell ref="M2466:N2466"/>
    <mergeCell ref="D805:H805"/>
    <mergeCell ref="I805:N805"/>
    <mergeCell ref="M807:N807"/>
    <mergeCell ref="E925:F925"/>
    <mergeCell ref="E927:F927"/>
    <mergeCell ref="E928:F928"/>
    <mergeCell ref="E935:F935"/>
    <mergeCell ref="E936:F936"/>
    <mergeCell ref="D2368:H2368"/>
    <mergeCell ref="I2368:L2368"/>
    <mergeCell ref="M2368:N2368"/>
    <mergeCell ref="M2370:N2370"/>
    <mergeCell ref="E946:F946"/>
    <mergeCell ref="E947:F947"/>
    <mergeCell ref="E948:F948"/>
    <mergeCell ref="E949:F949"/>
    <mergeCell ref="D2425:H2425"/>
    <mergeCell ref="I2425:L2425"/>
    <mergeCell ref="M2425:N2425"/>
    <mergeCell ref="M2427:N2427"/>
    <mergeCell ref="I1297:N1297"/>
    <mergeCell ref="E1293:F1293"/>
    <mergeCell ref="E1292:F1292"/>
    <mergeCell ref="E1290:F1290"/>
    <mergeCell ref="E1289:F1289"/>
    <mergeCell ref="E1424:F1424"/>
    <mergeCell ref="M1135:N1135"/>
    <mergeCell ref="E1253:F1253"/>
    <mergeCell ref="E1255:F1255"/>
    <mergeCell ref="E1256:F1256"/>
    <mergeCell ref="E1258:F1258"/>
    <mergeCell ref="E1259:F1259"/>
    <mergeCell ref="E1276:F1276"/>
    <mergeCell ref="E1277:F1277"/>
    <mergeCell ref="E1278:F1278"/>
    <mergeCell ref="E1269:F1269"/>
    <mergeCell ref="E1270:F1270"/>
    <mergeCell ref="E1272:F1272"/>
    <mergeCell ref="E1273:F1273"/>
    <mergeCell ref="E1274:F1274"/>
    <mergeCell ref="E1275:F1275"/>
    <mergeCell ref="M1299:N1299"/>
    <mergeCell ref="E1417:F1417"/>
    <mergeCell ref="E1419:F1419"/>
    <mergeCell ref="E1420:F1420"/>
    <mergeCell ref="E1422:F1422"/>
    <mergeCell ref="E1423:F1423"/>
    <mergeCell ref="E1440:F1440"/>
    <mergeCell ref="E1441:F1441"/>
    <mergeCell ref="E1442:F1442"/>
    <mergeCell ref="E1444:F1444"/>
    <mergeCell ref="E1445:F1445"/>
    <mergeCell ref="E1447:F1447"/>
    <mergeCell ref="E1433:F1433"/>
    <mergeCell ref="E1434:F1434"/>
    <mergeCell ref="E1436:F1436"/>
    <mergeCell ref="E1437:F1437"/>
    <mergeCell ref="E1438:F1438"/>
    <mergeCell ref="E1439:F1439"/>
    <mergeCell ref="E1448:F1448"/>
    <mergeCell ref="E1450:F1450"/>
    <mergeCell ref="E1452:F1452"/>
    <mergeCell ref="E1455:F1455"/>
    <mergeCell ref="D1461:H1461"/>
    <mergeCell ref="I1461:N1461"/>
    <mergeCell ref="E1457:F1457"/>
    <mergeCell ref="E1456:F1456"/>
    <mergeCell ref="E1454:F1454"/>
    <mergeCell ref="E1453:F1453"/>
    <mergeCell ref="E1588:F1588"/>
    <mergeCell ref="E1589:F1589"/>
    <mergeCell ref="E1591:F1591"/>
    <mergeCell ref="E1592:F1592"/>
    <mergeCell ref="E1594:F1594"/>
    <mergeCell ref="E1595:F1595"/>
    <mergeCell ref="M1463:N1463"/>
    <mergeCell ref="E1581:F1581"/>
    <mergeCell ref="E1583:F1583"/>
    <mergeCell ref="E1584:F1584"/>
    <mergeCell ref="E1586:F1586"/>
    <mergeCell ref="E1587:F1587"/>
    <mergeCell ref="E1604:F1604"/>
    <mergeCell ref="E1605:F1605"/>
    <mergeCell ref="E1606:F1606"/>
    <mergeCell ref="E1608:F1608"/>
    <mergeCell ref="E1609:F1609"/>
    <mergeCell ref="E1611:F1611"/>
    <mergeCell ref="E1597:F1597"/>
    <mergeCell ref="E1598:F1598"/>
    <mergeCell ref="E1600:F1600"/>
    <mergeCell ref="E1601:F1601"/>
    <mergeCell ref="E1602:F1602"/>
    <mergeCell ref="E1603:F1603"/>
    <mergeCell ref="E1612:F1612"/>
    <mergeCell ref="E1614:F1614"/>
    <mergeCell ref="E1616:F1616"/>
    <mergeCell ref="E1619:F1619"/>
    <mergeCell ref="D1625:H1625"/>
    <mergeCell ref="I1625:N1625"/>
    <mergeCell ref="E1621:F1621"/>
    <mergeCell ref="E1620:F1620"/>
    <mergeCell ref="E1618:F1618"/>
    <mergeCell ref="E1617:F1617"/>
    <mergeCell ref="E1752:F1752"/>
    <mergeCell ref="E1753:F1753"/>
    <mergeCell ref="E1755:F1755"/>
    <mergeCell ref="E1756:F1756"/>
    <mergeCell ref="E1758:F1758"/>
    <mergeCell ref="E1759:F1759"/>
    <mergeCell ref="M1627:N1627"/>
    <mergeCell ref="E1745:F1745"/>
    <mergeCell ref="E1747:F1747"/>
    <mergeCell ref="E1748:F1748"/>
    <mergeCell ref="E1750:F1750"/>
    <mergeCell ref="E1751:F1751"/>
    <mergeCell ref="E1768:F1768"/>
    <mergeCell ref="E1769:F1769"/>
    <mergeCell ref="E1770:F1770"/>
    <mergeCell ref="E1772:F1772"/>
    <mergeCell ref="E1773:F1773"/>
    <mergeCell ref="E1775:F1775"/>
    <mergeCell ref="E1761:F1761"/>
    <mergeCell ref="E1762:F1762"/>
    <mergeCell ref="E1764:F1764"/>
    <mergeCell ref="E1765:F1765"/>
    <mergeCell ref="E1766:F1766"/>
    <mergeCell ref="E1767:F1767"/>
    <mergeCell ref="M1791:N1791"/>
    <mergeCell ref="E1909:F1909"/>
    <mergeCell ref="E1911:F1911"/>
    <mergeCell ref="E1912:F1912"/>
    <mergeCell ref="E1914:F1914"/>
    <mergeCell ref="E1915:F1915"/>
    <mergeCell ref="E1776:F1776"/>
    <mergeCell ref="E1778:F1778"/>
    <mergeCell ref="E1780:F1780"/>
    <mergeCell ref="E1783:F1783"/>
    <mergeCell ref="D1789:H1789"/>
    <mergeCell ref="I1789:N1789"/>
    <mergeCell ref="E1784:F1784"/>
    <mergeCell ref="E1781:F1781"/>
    <mergeCell ref="E1782:F1782"/>
    <mergeCell ref="E1925:F1925"/>
    <mergeCell ref="E1926:F1926"/>
    <mergeCell ref="E1928:F1928"/>
    <mergeCell ref="E1929:F1929"/>
    <mergeCell ref="E1930:F1930"/>
    <mergeCell ref="E1931:F1931"/>
    <mergeCell ref="E1916:F1916"/>
    <mergeCell ref="E1917:F1917"/>
    <mergeCell ref="E1919:F1919"/>
    <mergeCell ref="E1920:F1920"/>
    <mergeCell ref="E1922:F1922"/>
    <mergeCell ref="E1923:F1923"/>
    <mergeCell ref="E1940:F1940"/>
    <mergeCell ref="E1942:F1942"/>
    <mergeCell ref="E1944:F1944"/>
    <mergeCell ref="E1947:F1947"/>
    <mergeCell ref="D1953:H1953"/>
    <mergeCell ref="I1953:N1953"/>
    <mergeCell ref="E1932:F1932"/>
    <mergeCell ref="E1933:F1933"/>
    <mergeCell ref="E1934:F1934"/>
    <mergeCell ref="E1936:F1936"/>
    <mergeCell ref="E1937:F1937"/>
    <mergeCell ref="E1939:F1939"/>
    <mergeCell ref="M1955:N1955"/>
    <mergeCell ref="E2073:F2073"/>
    <mergeCell ref="E2075:F2075"/>
    <mergeCell ref="E2076:F2076"/>
    <mergeCell ref="E2092:F2092"/>
    <mergeCell ref="E2093:F2093"/>
    <mergeCell ref="E2078:F2078"/>
    <mergeCell ref="E2079:F2079"/>
    <mergeCell ref="E2080:F2080"/>
    <mergeCell ref="E2081:F2081"/>
    <mergeCell ref="E2083:F2083"/>
    <mergeCell ref="E2084:F2084"/>
    <mergeCell ref="E2086:F2086"/>
    <mergeCell ref="E2087:F2087"/>
    <mergeCell ref="E2089:F2089"/>
    <mergeCell ref="E2090:F2090"/>
    <mergeCell ref="E2111:F2111"/>
    <mergeCell ref="E2094:F2094"/>
    <mergeCell ref="E2095:F2095"/>
    <mergeCell ref="E2096:F2096"/>
    <mergeCell ref="E2097:F2097"/>
    <mergeCell ref="E2098:F2098"/>
    <mergeCell ref="E2100:F2100"/>
    <mergeCell ref="E2101:F2101"/>
    <mergeCell ref="E2103:F2103"/>
    <mergeCell ref="E2104:F2104"/>
    <mergeCell ref="E2106:F2106"/>
    <mergeCell ref="E2108:F2108"/>
    <mergeCell ref="E189:F189"/>
    <mergeCell ref="E190:F190"/>
    <mergeCell ref="E191:F191"/>
    <mergeCell ref="E192:F192"/>
    <mergeCell ref="E193:F193"/>
    <mergeCell ref="E202:F202"/>
    <mergeCell ref="E203:F203"/>
    <mergeCell ref="E204:F204"/>
    <mergeCell ref="E205:F205"/>
    <mergeCell ref="E207:H207"/>
    <mergeCell ref="D351:N351"/>
    <mergeCell ref="E267:F267"/>
    <mergeCell ref="E270:F270"/>
    <mergeCell ref="E272:N272"/>
    <mergeCell ref="E274:F274"/>
    <mergeCell ref="E250:F250"/>
    <mergeCell ref="E249:N249"/>
    <mergeCell ref="E247:F247"/>
    <mergeCell ref="E251:F251"/>
    <mergeCell ref="E289:F289"/>
    <mergeCell ref="E290:F290"/>
    <mergeCell ref="E292:N292"/>
    <mergeCell ref="E293:F293"/>
    <mergeCell ref="E295:N295"/>
    <mergeCell ref="E296:F296"/>
    <mergeCell ref="E298:N298"/>
    <mergeCell ref="E299:F299"/>
    <mergeCell ref="E301:N301"/>
    <mergeCell ref="E302:F302"/>
    <mergeCell ref="E307:F307"/>
    <mergeCell ref="E308:F308"/>
    <mergeCell ref="E310:N310"/>
    <mergeCell ref="E313:F313"/>
    <mergeCell ref="E359:F359"/>
    <mergeCell ref="E360:F360"/>
    <mergeCell ref="E361:F361"/>
    <mergeCell ref="E377:F377"/>
    <mergeCell ref="E378:F378"/>
    <mergeCell ref="E379:F379"/>
    <mergeCell ref="E380:F380"/>
    <mergeCell ref="E381:F381"/>
    <mergeCell ref="E383:N383"/>
    <mergeCell ref="E369:F369"/>
    <mergeCell ref="E370:F370"/>
    <mergeCell ref="E371:F371"/>
    <mergeCell ref="E373:F373"/>
    <mergeCell ref="E374:F374"/>
    <mergeCell ref="E376:N376"/>
    <mergeCell ref="E391:F391"/>
    <mergeCell ref="E393:N393"/>
    <mergeCell ref="E394:F394"/>
    <mergeCell ref="E395:F395"/>
    <mergeCell ref="E396:F396"/>
    <mergeCell ref="E397:F397"/>
    <mergeCell ref="E384:F384"/>
    <mergeCell ref="E385:F385"/>
    <mergeCell ref="E386:F386"/>
    <mergeCell ref="E387:F387"/>
    <mergeCell ref="E388:F388"/>
    <mergeCell ref="E390:N390"/>
    <mergeCell ref="E417:F417"/>
    <mergeCell ref="E404:F404"/>
    <mergeCell ref="E405:F405"/>
    <mergeCell ref="E407:N407"/>
    <mergeCell ref="E408:F408"/>
    <mergeCell ref="E409:F409"/>
    <mergeCell ref="E410:F410"/>
    <mergeCell ref="E398:F398"/>
    <mergeCell ref="E399:F399"/>
    <mergeCell ref="E400:F400"/>
    <mergeCell ref="E401:F401"/>
    <mergeCell ref="E402:F402"/>
    <mergeCell ref="E403:F403"/>
    <mergeCell ref="E412:F412"/>
    <mergeCell ref="E413:F413"/>
    <mergeCell ref="E414:F414"/>
    <mergeCell ref="E416:N416"/>
    <mergeCell ref="H12:I12"/>
    <mergeCell ref="E2109:F2109"/>
    <mergeCell ref="E2110:F2110"/>
    <mergeCell ref="E2112:F2112"/>
    <mergeCell ref="E2113:F2113"/>
    <mergeCell ref="E1945:F1945"/>
    <mergeCell ref="E1946:F1946"/>
    <mergeCell ref="E1948:F1948"/>
    <mergeCell ref="E1949:F1949"/>
    <mergeCell ref="E1785:F1785"/>
    <mergeCell ref="E443:F443"/>
    <mergeCell ref="E444:F444"/>
    <mergeCell ref="E445:F445"/>
    <mergeCell ref="E446:F446"/>
    <mergeCell ref="E447:F447"/>
    <mergeCell ref="E431:F431"/>
    <mergeCell ref="E432:F432"/>
    <mergeCell ref="E434:N434"/>
    <mergeCell ref="E435:F435"/>
    <mergeCell ref="E436:F436"/>
    <mergeCell ref="D438:N438"/>
    <mergeCell ref="E425:F425"/>
    <mergeCell ref="E426:F426"/>
    <mergeCell ref="E427:F427"/>
    <mergeCell ref="E1129:F1129"/>
    <mergeCell ref="E1128:F1128"/>
    <mergeCell ref="E1126:F1126"/>
    <mergeCell ref="E1125:F1125"/>
    <mergeCell ref="E965:F965"/>
    <mergeCell ref="E964:F964"/>
    <mergeCell ref="E1103:F1103"/>
    <mergeCell ref="E1113:F1113"/>
    <mergeCell ref="E1106:F1106"/>
    <mergeCell ref="E1108:F1108"/>
    <mergeCell ref="E1114:F1114"/>
    <mergeCell ref="E1116:F1116"/>
    <mergeCell ref="E938:F938"/>
    <mergeCell ref="E939:F939"/>
    <mergeCell ref="E941:F941"/>
    <mergeCell ref="E942:F942"/>
    <mergeCell ref="E944:F944"/>
    <mergeCell ref="E945:F945"/>
    <mergeCell ref="E950:F950"/>
    <mergeCell ref="E952:F952"/>
    <mergeCell ref="E953:F953"/>
    <mergeCell ref="E955:F955"/>
    <mergeCell ref="E956:F956"/>
    <mergeCell ref="E958:F958"/>
    <mergeCell ref="E960:F960"/>
    <mergeCell ref="L185:N185"/>
    <mergeCell ref="L197:N197"/>
    <mergeCell ref="H186:N186"/>
    <mergeCell ref="H198:N198"/>
    <mergeCell ref="E637:F637"/>
    <mergeCell ref="E636:F636"/>
    <mergeCell ref="E634:F634"/>
    <mergeCell ref="E633:F633"/>
    <mergeCell ref="E448:F448"/>
    <mergeCell ref="E440:L440"/>
    <mergeCell ref="E428:F428"/>
    <mergeCell ref="E429:F429"/>
    <mergeCell ref="E430:F430"/>
    <mergeCell ref="E419:N419"/>
    <mergeCell ref="E420:F420"/>
    <mergeCell ref="E421:F421"/>
    <mergeCell ref="E422:F422"/>
    <mergeCell ref="E423:F423"/>
    <mergeCell ref="E424:F424"/>
    <mergeCell ref="E411:F411"/>
    <mergeCell ref="D2613:H2613"/>
    <mergeCell ref="D2614:H2614"/>
    <mergeCell ref="D2615:H2615"/>
    <mergeCell ref="D2616:H2616"/>
    <mergeCell ref="D2617:H2617"/>
    <mergeCell ref="D2618:H2618"/>
    <mergeCell ref="D2593:H2593"/>
    <mergeCell ref="D2594:H2594"/>
    <mergeCell ref="D2595:H2595"/>
    <mergeCell ref="D2596:H2596"/>
    <mergeCell ref="D2597:H2597"/>
    <mergeCell ref="D2598:H2598"/>
    <mergeCell ref="D2599:H2599"/>
    <mergeCell ref="D2600:H2600"/>
    <mergeCell ref="D2601:H2601"/>
    <mergeCell ref="D2602:H2602"/>
    <mergeCell ref="D2603:H2603"/>
    <mergeCell ref="D2604:H2604"/>
    <mergeCell ref="D2605:H2605"/>
    <mergeCell ref="D2606:H2606"/>
    <mergeCell ref="D2608:N2608"/>
    <mergeCell ref="D2619:H2619"/>
    <mergeCell ref="D2620:H2620"/>
    <mergeCell ref="D2621:H2621"/>
    <mergeCell ref="D2622:H2622"/>
    <mergeCell ref="D2623:H2623"/>
    <mergeCell ref="D2624:H2624"/>
    <mergeCell ref="D2625:H2625"/>
    <mergeCell ref="D2626:H2626"/>
    <mergeCell ref="D2627:H2627"/>
    <mergeCell ref="D2646:H2646"/>
    <mergeCell ref="D2647:H2647"/>
    <mergeCell ref="D2648:H2648"/>
    <mergeCell ref="D2628:H2628"/>
    <mergeCell ref="D2629:H2629"/>
    <mergeCell ref="D2630:H2630"/>
    <mergeCell ref="D2631:H2631"/>
    <mergeCell ref="E2634:N2634"/>
    <mergeCell ref="D2636:H2636"/>
    <mergeCell ref="D2637:H2637"/>
    <mergeCell ref="D2638:H2638"/>
    <mergeCell ref="D2639:H2639"/>
    <mergeCell ref="D2674:H2674"/>
    <mergeCell ref="D2675:H2675"/>
    <mergeCell ref="D2676:H2676"/>
    <mergeCell ref="D2677:H2677"/>
    <mergeCell ref="D2661:H2661"/>
    <mergeCell ref="D2662:H2662"/>
    <mergeCell ref="D2663:H2663"/>
    <mergeCell ref="D2664:H2664"/>
    <mergeCell ref="D2665:H2665"/>
    <mergeCell ref="D2666:H2666"/>
    <mergeCell ref="D2667:H2667"/>
    <mergeCell ref="D2668:H2668"/>
    <mergeCell ref="D2669:H2669"/>
    <mergeCell ref="D8:N8"/>
    <mergeCell ref="D47:N47"/>
    <mergeCell ref="D59:N59"/>
    <mergeCell ref="D450:N450"/>
    <mergeCell ref="D2502:N2502"/>
    <mergeCell ref="D2670:H2670"/>
    <mergeCell ref="D2671:H2671"/>
    <mergeCell ref="D2672:H2672"/>
    <mergeCell ref="D2673:H2673"/>
    <mergeCell ref="D2649:H2649"/>
    <mergeCell ref="D2650:H2650"/>
    <mergeCell ref="D2651:H2651"/>
    <mergeCell ref="D2652:H2652"/>
    <mergeCell ref="D2653:H2653"/>
    <mergeCell ref="D2654:H2654"/>
    <mergeCell ref="E2657:N2657"/>
    <mergeCell ref="D2659:H2659"/>
    <mergeCell ref="D2660:H2660"/>
    <mergeCell ref="D2640:H2640"/>
    <mergeCell ref="D2641:H2641"/>
    <mergeCell ref="D2642:H2642"/>
    <mergeCell ref="D2643:H2643"/>
    <mergeCell ref="D2644:H2644"/>
    <mergeCell ref="D2645:H2645"/>
  </mergeCells>
  <phoneticPr fontId="33" type="noConversion"/>
  <conditionalFormatting sqref="E54">
    <cfRule type="cellIs" dxfId="359" priority="359" stopIfTrue="1" operator="equal">
      <formula>EUconst_ERR_Mandatory_ef</formula>
    </cfRule>
  </conditionalFormatting>
  <conditionalFormatting sqref="E55">
    <cfRule type="cellIs" dxfId="358" priority="360" stopIfTrue="1" operator="equal">
      <formula>EUconst_ERR_Mandatory_g</formula>
    </cfRule>
  </conditionalFormatting>
  <conditionalFormatting sqref="H92:I109 H112:I129">
    <cfRule type="expression" dxfId="357" priority="358" stopIfTrue="1">
      <formula>H92=EUconst_NA</formula>
    </cfRule>
  </conditionalFormatting>
  <conditionalFormatting sqref="H227:I241">
    <cfRule type="expression" dxfId="356" priority="352" stopIfTrue="1">
      <formula>H227=0</formula>
    </cfRule>
  </conditionalFormatting>
  <conditionalFormatting sqref="H597:J597">
    <cfRule type="expression" dxfId="355" priority="321" stopIfTrue="1">
      <formula>H597=EUconst_NA</formula>
    </cfRule>
  </conditionalFormatting>
  <conditionalFormatting sqref="H597:J637">
    <cfRule type="expression" dxfId="354" priority="320" stopIfTrue="1">
      <formula>H597=0</formula>
    </cfRule>
  </conditionalFormatting>
  <conditionalFormatting sqref="H761:J761">
    <cfRule type="expression" dxfId="353" priority="357" stopIfTrue="1">
      <formula>H761=EUconst_NA</formula>
    </cfRule>
  </conditionalFormatting>
  <conditionalFormatting sqref="H761:J801">
    <cfRule type="expression" dxfId="352" priority="351" stopIfTrue="1">
      <formula>H761=0</formula>
    </cfRule>
  </conditionalFormatting>
  <conditionalFormatting sqref="H925:J925">
    <cfRule type="expression" dxfId="351" priority="233" stopIfTrue="1">
      <formula>H925=EUconst_NA</formula>
    </cfRule>
  </conditionalFormatting>
  <conditionalFormatting sqref="H925:J965">
    <cfRule type="expression" dxfId="350" priority="232" stopIfTrue="1">
      <formula>H925=0</formula>
    </cfRule>
  </conditionalFormatting>
  <conditionalFormatting sqref="H1089:J1089">
    <cfRule type="expression" dxfId="349" priority="211" stopIfTrue="1">
      <formula>H1089=EUconst_NA</formula>
    </cfRule>
  </conditionalFormatting>
  <conditionalFormatting sqref="H1089:J1129">
    <cfRule type="expression" dxfId="348" priority="210" stopIfTrue="1">
      <formula>H1089=0</formula>
    </cfRule>
  </conditionalFormatting>
  <conditionalFormatting sqref="H1253:J1253">
    <cfRule type="expression" dxfId="347" priority="189" stopIfTrue="1">
      <formula>H1253=EUconst_NA</formula>
    </cfRule>
  </conditionalFormatting>
  <conditionalFormatting sqref="H1253:J1293">
    <cfRule type="expression" dxfId="346" priority="188" stopIfTrue="1">
      <formula>H1253=0</formula>
    </cfRule>
  </conditionalFormatting>
  <conditionalFormatting sqref="H1417:J1417">
    <cfRule type="expression" dxfId="345" priority="167" stopIfTrue="1">
      <formula>H1417=EUconst_NA</formula>
    </cfRule>
  </conditionalFormatting>
  <conditionalFormatting sqref="H1417:J1457">
    <cfRule type="expression" dxfId="344" priority="166" stopIfTrue="1">
      <formula>H1417=0</formula>
    </cfRule>
  </conditionalFormatting>
  <conditionalFormatting sqref="H1581:J1581">
    <cfRule type="expression" dxfId="343" priority="145" stopIfTrue="1">
      <formula>H1581=EUconst_NA</formula>
    </cfRule>
  </conditionalFormatting>
  <conditionalFormatting sqref="H1581:J1621">
    <cfRule type="expression" dxfId="342" priority="144" stopIfTrue="1">
      <formula>H1581=0</formula>
    </cfRule>
  </conditionalFormatting>
  <conditionalFormatting sqref="H1745:J1745">
    <cfRule type="expression" dxfId="341" priority="123" stopIfTrue="1">
      <formula>H1745=EUconst_NA</formula>
    </cfRule>
  </conditionalFormatting>
  <conditionalFormatting sqref="H1745:J1785">
    <cfRule type="expression" dxfId="340" priority="122" stopIfTrue="1">
      <formula>H1745=0</formula>
    </cfRule>
  </conditionalFormatting>
  <conditionalFormatting sqref="H1909:J1909">
    <cfRule type="expression" dxfId="339" priority="101" stopIfTrue="1">
      <formula>H1909=EUconst_NA</formula>
    </cfRule>
  </conditionalFormatting>
  <conditionalFormatting sqref="H1909:J1949">
    <cfRule type="expression" dxfId="338" priority="100" stopIfTrue="1">
      <formula>H1909=0</formula>
    </cfRule>
  </conditionalFormatting>
  <conditionalFormatting sqref="H2073:J2073">
    <cfRule type="expression" dxfId="337" priority="79" stopIfTrue="1">
      <formula>H2073=EUconst_NA</formula>
    </cfRule>
  </conditionalFormatting>
  <conditionalFormatting sqref="H2073:J2113">
    <cfRule type="expression" dxfId="336" priority="78" stopIfTrue="1">
      <formula>H2073=0</formula>
    </cfRule>
  </conditionalFormatting>
  <conditionalFormatting sqref="H2161:J2162">
    <cfRule type="expression" dxfId="335" priority="353" stopIfTrue="1">
      <formula>H2161=0</formula>
    </cfRule>
  </conditionalFormatting>
  <conditionalFormatting sqref="H2163:J2163">
    <cfRule type="expression" dxfId="334" priority="355" stopIfTrue="1">
      <formula>H2163=EUconst_NA</formula>
    </cfRule>
    <cfRule type="expression" dxfId="333" priority="356" stopIfTrue="1">
      <formula>H2163=0</formula>
    </cfRule>
  </conditionalFormatting>
  <conditionalFormatting sqref="H2165:J2181">
    <cfRule type="expression" dxfId="332" priority="354" stopIfTrue="1">
      <formula>H2165=0</formula>
    </cfRule>
  </conditionalFormatting>
  <conditionalFormatting sqref="H2228:J2229">
    <cfRule type="expression" dxfId="331" priority="290" stopIfTrue="1">
      <formula>H2228=0</formula>
    </cfRule>
  </conditionalFormatting>
  <conditionalFormatting sqref="H2230:J2230">
    <cfRule type="expression" dxfId="330" priority="293" stopIfTrue="1">
      <formula>H2230=0</formula>
    </cfRule>
    <cfRule type="expression" dxfId="329" priority="292" stopIfTrue="1">
      <formula>H2230=EUconst_NA</formula>
    </cfRule>
  </conditionalFormatting>
  <conditionalFormatting sqref="H2232:J2248">
    <cfRule type="expression" dxfId="328" priority="291" stopIfTrue="1">
      <formula>H2232=0</formula>
    </cfRule>
  </conditionalFormatting>
  <conditionalFormatting sqref="H2287:J2288">
    <cfRule type="expression" dxfId="327" priority="277" stopIfTrue="1">
      <formula>H2287=0</formula>
    </cfRule>
  </conditionalFormatting>
  <conditionalFormatting sqref="H2289:J2289">
    <cfRule type="expression" dxfId="326" priority="279" stopIfTrue="1">
      <formula>H2289=EUconst_NA</formula>
    </cfRule>
    <cfRule type="expression" dxfId="325" priority="280" stopIfTrue="1">
      <formula>H2289=0</formula>
    </cfRule>
  </conditionalFormatting>
  <conditionalFormatting sqref="H2291:J2307">
    <cfRule type="expression" dxfId="324" priority="278" stopIfTrue="1">
      <formula>H2291=0</formula>
    </cfRule>
  </conditionalFormatting>
  <conditionalFormatting sqref="H2354:J2354">
    <cfRule type="expression" dxfId="323" priority="260" stopIfTrue="1">
      <formula>H2354=EUconst_NA</formula>
    </cfRule>
    <cfRule type="expression" dxfId="322" priority="261" stopIfTrue="1">
      <formula>H2354=0</formula>
    </cfRule>
  </conditionalFormatting>
  <conditionalFormatting sqref="H2356:J2364">
    <cfRule type="expression" dxfId="321" priority="259" stopIfTrue="1">
      <formula>H2356=0</formula>
    </cfRule>
  </conditionalFormatting>
  <conditionalFormatting sqref="H2411:J2411">
    <cfRule type="expression" dxfId="320" priority="57" stopIfTrue="1">
      <formula>H2411=0</formula>
    </cfRule>
    <cfRule type="expression" dxfId="319" priority="56" stopIfTrue="1">
      <formula>H2411=EUconst_NA</formula>
    </cfRule>
  </conditionalFormatting>
  <conditionalFormatting sqref="H2413:J2421">
    <cfRule type="expression" dxfId="318" priority="55" stopIfTrue="1">
      <formula>H2413=0</formula>
    </cfRule>
  </conditionalFormatting>
  <conditionalFormatting sqref="H2460:N2460">
    <cfRule type="expression" dxfId="317" priority="243" stopIfTrue="1">
      <formula>H2460=0</formula>
    </cfRule>
    <cfRule type="expression" dxfId="316" priority="242" stopIfTrue="1">
      <formula>H2460=EUconst_NA</formula>
    </cfRule>
  </conditionalFormatting>
  <conditionalFormatting sqref="H2499:N2499">
    <cfRule type="expression" dxfId="315" priority="235" stopIfTrue="1">
      <formula>H2499=0</formula>
    </cfRule>
    <cfRule type="expression" dxfId="314" priority="234" stopIfTrue="1">
      <formula>H2499=EUconst_NA</formula>
    </cfRule>
  </conditionalFormatting>
  <conditionalFormatting sqref="J487:J488">
    <cfRule type="expression" dxfId="313" priority="294" stopIfTrue="1">
      <formula>J487=TRUE</formula>
    </cfRule>
  </conditionalFormatting>
  <conditionalFormatting sqref="J501">
    <cfRule type="expression" dxfId="312" priority="309" stopIfTrue="1">
      <formula>J502=TRUE</formula>
    </cfRule>
  </conditionalFormatting>
  <conditionalFormatting sqref="J502">
    <cfRule type="expression" dxfId="311" priority="310" stopIfTrue="1">
      <formula>J502=TRUE</formula>
    </cfRule>
  </conditionalFormatting>
  <conditionalFormatting sqref="J510">
    <cfRule type="expression" dxfId="310" priority="319" stopIfTrue="1">
      <formula>J511=TRUE</formula>
    </cfRule>
  </conditionalFormatting>
  <conditionalFormatting sqref="J511">
    <cfRule type="expression" dxfId="309" priority="313" stopIfTrue="1">
      <formula>J511=TRUE</formula>
    </cfRule>
  </conditionalFormatting>
  <conditionalFormatting sqref="J519">
    <cfRule type="expression" dxfId="308" priority="308" stopIfTrue="1">
      <formula>J520=TRUE</formula>
    </cfRule>
  </conditionalFormatting>
  <conditionalFormatting sqref="J520">
    <cfRule type="expression" dxfId="307" priority="303" stopIfTrue="1">
      <formula>J520=TRUE</formula>
    </cfRule>
  </conditionalFormatting>
  <conditionalFormatting sqref="J524">
    <cfRule type="expression" dxfId="306" priority="318" stopIfTrue="1">
      <formula>J525=TRUE</formula>
    </cfRule>
  </conditionalFormatting>
  <conditionalFormatting sqref="J525">
    <cfRule type="expression" dxfId="305" priority="312" stopIfTrue="1">
      <formula>J525=TRUE</formula>
    </cfRule>
  </conditionalFormatting>
  <conditionalFormatting sqref="J530">
    <cfRule type="expression" dxfId="304" priority="304" stopIfTrue="1">
      <formula>J531=TRUE</formula>
    </cfRule>
  </conditionalFormatting>
  <conditionalFormatting sqref="J531">
    <cfRule type="expression" dxfId="303" priority="302" stopIfTrue="1">
      <formula>J531=TRUE</formula>
    </cfRule>
  </conditionalFormatting>
  <conditionalFormatting sqref="J538">
    <cfRule type="expression" dxfId="302" priority="317" stopIfTrue="1">
      <formula>J539=TRUE</formula>
    </cfRule>
  </conditionalFormatting>
  <conditionalFormatting sqref="J539">
    <cfRule type="expression" dxfId="301" priority="296" stopIfTrue="1">
      <formula>J539=TRUE</formula>
    </cfRule>
  </conditionalFormatting>
  <conditionalFormatting sqref="J546">
    <cfRule type="expression" dxfId="300" priority="307" stopIfTrue="1">
      <formula>J547=TRUE</formula>
    </cfRule>
  </conditionalFormatting>
  <conditionalFormatting sqref="J547">
    <cfRule type="expression" dxfId="299" priority="301" stopIfTrue="1">
      <formula>J547=TRUE</formula>
    </cfRule>
  </conditionalFormatting>
  <conditionalFormatting sqref="J552">
    <cfRule type="expression" dxfId="298" priority="316" stopIfTrue="1">
      <formula>J553=TRUE</formula>
    </cfRule>
  </conditionalFormatting>
  <conditionalFormatting sqref="J553">
    <cfRule type="expression" dxfId="297" priority="297" stopIfTrue="1">
      <formula>J553=TRUE</formula>
    </cfRule>
  </conditionalFormatting>
  <conditionalFormatting sqref="J562">
    <cfRule type="expression" dxfId="296" priority="306" stopIfTrue="1">
      <formula>J563=TRUE</formula>
    </cfRule>
  </conditionalFormatting>
  <conditionalFormatting sqref="J563">
    <cfRule type="expression" dxfId="295" priority="300" stopIfTrue="1">
      <formula>J563=TRUE</formula>
    </cfRule>
  </conditionalFormatting>
  <conditionalFormatting sqref="J566">
    <cfRule type="expression" dxfId="294" priority="315" stopIfTrue="1">
      <formula>J567=TRUE</formula>
    </cfRule>
  </conditionalFormatting>
  <conditionalFormatting sqref="J567">
    <cfRule type="expression" dxfId="293" priority="311" stopIfTrue="1">
      <formula>J567=TRUE</formula>
    </cfRule>
  </conditionalFormatting>
  <conditionalFormatting sqref="J573">
    <cfRule type="expression" dxfId="292" priority="305" stopIfTrue="1">
      <formula>J574=TRUE</formula>
    </cfRule>
  </conditionalFormatting>
  <conditionalFormatting sqref="J574">
    <cfRule type="expression" dxfId="291" priority="299" stopIfTrue="1">
      <formula>J574=TRUE</formula>
    </cfRule>
  </conditionalFormatting>
  <conditionalFormatting sqref="J580">
    <cfRule type="expression" dxfId="290" priority="314" stopIfTrue="1">
      <formula>J581=TRUE</formula>
    </cfRule>
  </conditionalFormatting>
  <conditionalFormatting sqref="J581">
    <cfRule type="expression" dxfId="289" priority="298" stopIfTrue="1">
      <formula>J581=TRUE</formula>
    </cfRule>
  </conditionalFormatting>
  <conditionalFormatting sqref="J586:J592">
    <cfRule type="expression" dxfId="288" priority="295" stopIfTrue="1">
      <formula>J491&lt;&gt;J586</formula>
    </cfRule>
  </conditionalFormatting>
  <conditionalFormatting sqref="J651:J652">
    <cfRule type="expression" dxfId="287" priority="325" stopIfTrue="1">
      <formula>J651=TRUE</formula>
    </cfRule>
  </conditionalFormatting>
  <conditionalFormatting sqref="J665">
    <cfRule type="expression" dxfId="286" priority="341" stopIfTrue="1">
      <formula>J666=TRUE</formula>
    </cfRule>
  </conditionalFormatting>
  <conditionalFormatting sqref="J666">
    <cfRule type="expression" dxfId="285" priority="342" stopIfTrue="1">
      <formula>J666=TRUE</formula>
    </cfRule>
  </conditionalFormatting>
  <conditionalFormatting sqref="J674">
    <cfRule type="expression" dxfId="284" priority="350" stopIfTrue="1">
      <formula>J675=TRUE</formula>
    </cfRule>
  </conditionalFormatting>
  <conditionalFormatting sqref="J675">
    <cfRule type="expression" dxfId="283" priority="345" stopIfTrue="1">
      <formula>J675=TRUE</formula>
    </cfRule>
  </conditionalFormatting>
  <conditionalFormatting sqref="J683">
    <cfRule type="expression" dxfId="282" priority="340" stopIfTrue="1">
      <formula>J684=TRUE</formula>
    </cfRule>
  </conditionalFormatting>
  <conditionalFormatting sqref="J684">
    <cfRule type="expression" dxfId="281" priority="337" stopIfTrue="1">
      <formula>J684=TRUE</formula>
    </cfRule>
  </conditionalFormatting>
  <conditionalFormatting sqref="J688">
    <cfRule type="expression" dxfId="280" priority="349" stopIfTrue="1">
      <formula>J689=TRUE</formula>
    </cfRule>
  </conditionalFormatting>
  <conditionalFormatting sqref="J689">
    <cfRule type="expression" dxfId="279" priority="344" stopIfTrue="1">
      <formula>J689=TRUE</formula>
    </cfRule>
  </conditionalFormatting>
  <conditionalFormatting sqref="J694">
    <cfRule type="expression" dxfId="278" priority="338" stopIfTrue="1">
      <formula>J695=TRUE</formula>
    </cfRule>
  </conditionalFormatting>
  <conditionalFormatting sqref="J695">
    <cfRule type="expression" dxfId="277" priority="336" stopIfTrue="1">
      <formula>J695=TRUE</formula>
    </cfRule>
  </conditionalFormatting>
  <conditionalFormatting sqref="J702">
    <cfRule type="expression" dxfId="276" priority="348" stopIfTrue="1">
      <formula>J703=TRUE</formula>
    </cfRule>
  </conditionalFormatting>
  <conditionalFormatting sqref="J703">
    <cfRule type="expression" dxfId="275" priority="333" stopIfTrue="1">
      <formula>J703=TRUE</formula>
    </cfRule>
  </conditionalFormatting>
  <conditionalFormatting sqref="J710">
    <cfRule type="expression" dxfId="274" priority="53" stopIfTrue="1">
      <formula>J711=TRUE</formula>
    </cfRule>
  </conditionalFormatting>
  <conditionalFormatting sqref="J711">
    <cfRule type="expression" dxfId="273" priority="51" stopIfTrue="1">
      <formula>J711=TRUE</formula>
    </cfRule>
  </conditionalFormatting>
  <conditionalFormatting sqref="J716">
    <cfRule type="expression" dxfId="272" priority="54" stopIfTrue="1">
      <formula>J717=TRUE</formula>
    </cfRule>
  </conditionalFormatting>
  <conditionalFormatting sqref="J717">
    <cfRule type="expression" dxfId="271" priority="49" stopIfTrue="1">
      <formula>J717=TRUE</formula>
    </cfRule>
  </conditionalFormatting>
  <conditionalFormatting sqref="J726">
    <cfRule type="expression" dxfId="270" priority="52" stopIfTrue="1">
      <formula>J727=TRUE</formula>
    </cfRule>
  </conditionalFormatting>
  <conditionalFormatting sqref="J727">
    <cfRule type="expression" dxfId="269" priority="50" stopIfTrue="1">
      <formula>J727=TRUE</formula>
    </cfRule>
  </conditionalFormatting>
  <conditionalFormatting sqref="J730">
    <cfRule type="expression" dxfId="268" priority="347" stopIfTrue="1">
      <formula>J731=TRUE</formula>
    </cfRule>
  </conditionalFormatting>
  <conditionalFormatting sqref="J731">
    <cfRule type="expression" dxfId="267" priority="343" stopIfTrue="1">
      <formula>J731=TRUE</formula>
    </cfRule>
  </conditionalFormatting>
  <conditionalFormatting sqref="J737">
    <cfRule type="expression" dxfId="266" priority="339" stopIfTrue="1">
      <formula>J738=TRUE</formula>
    </cfRule>
  </conditionalFormatting>
  <conditionalFormatting sqref="J738">
    <cfRule type="expression" dxfId="265" priority="335" stopIfTrue="1">
      <formula>J738=TRUE</formula>
    </cfRule>
  </conditionalFormatting>
  <conditionalFormatting sqref="J744">
    <cfRule type="expression" dxfId="264" priority="346" stopIfTrue="1">
      <formula>J745=TRUE</formula>
    </cfRule>
  </conditionalFormatting>
  <conditionalFormatting sqref="J745">
    <cfRule type="expression" dxfId="263" priority="334" stopIfTrue="1">
      <formula>J745=TRUE</formula>
    </cfRule>
  </conditionalFormatting>
  <conditionalFormatting sqref="J750:J756">
    <cfRule type="expression" dxfId="262" priority="327" stopIfTrue="1">
      <formula>J655&lt;&gt;J750</formula>
    </cfRule>
  </conditionalFormatting>
  <conditionalFormatting sqref="J815:J816">
    <cfRule type="expression" dxfId="261" priority="212" stopIfTrue="1">
      <formula>J815=TRUE</formula>
    </cfRule>
  </conditionalFormatting>
  <conditionalFormatting sqref="J829">
    <cfRule type="expression" dxfId="260" priority="222" stopIfTrue="1">
      <formula>J830=TRUE</formula>
    </cfRule>
  </conditionalFormatting>
  <conditionalFormatting sqref="J830">
    <cfRule type="expression" dxfId="259" priority="223" stopIfTrue="1">
      <formula>J830=TRUE</formula>
    </cfRule>
  </conditionalFormatting>
  <conditionalFormatting sqref="J838">
    <cfRule type="expression" dxfId="258" priority="231" stopIfTrue="1">
      <formula>J839=TRUE</formula>
    </cfRule>
  </conditionalFormatting>
  <conditionalFormatting sqref="J839">
    <cfRule type="expression" dxfId="257" priority="226" stopIfTrue="1">
      <formula>J839=TRUE</formula>
    </cfRule>
  </conditionalFormatting>
  <conditionalFormatting sqref="J847">
    <cfRule type="expression" dxfId="256" priority="221" stopIfTrue="1">
      <formula>J848=TRUE</formula>
    </cfRule>
  </conditionalFormatting>
  <conditionalFormatting sqref="J848">
    <cfRule type="expression" dxfId="255" priority="218" stopIfTrue="1">
      <formula>J848=TRUE</formula>
    </cfRule>
  </conditionalFormatting>
  <conditionalFormatting sqref="J852">
    <cfRule type="expression" dxfId="254" priority="230" stopIfTrue="1">
      <formula>J853=TRUE</formula>
    </cfRule>
  </conditionalFormatting>
  <conditionalFormatting sqref="J853">
    <cfRule type="expression" dxfId="253" priority="225" stopIfTrue="1">
      <formula>J853=TRUE</formula>
    </cfRule>
  </conditionalFormatting>
  <conditionalFormatting sqref="J858">
    <cfRule type="expression" dxfId="252" priority="219" stopIfTrue="1">
      <formula>J859=TRUE</formula>
    </cfRule>
  </conditionalFormatting>
  <conditionalFormatting sqref="J859">
    <cfRule type="expression" dxfId="251" priority="217" stopIfTrue="1">
      <formula>J859=TRUE</formula>
    </cfRule>
  </conditionalFormatting>
  <conditionalFormatting sqref="J866">
    <cfRule type="expression" dxfId="250" priority="229" stopIfTrue="1">
      <formula>J867=TRUE</formula>
    </cfRule>
  </conditionalFormatting>
  <conditionalFormatting sqref="J867">
    <cfRule type="expression" dxfId="249" priority="214" stopIfTrue="1">
      <formula>J867=TRUE</formula>
    </cfRule>
  </conditionalFormatting>
  <conditionalFormatting sqref="J874">
    <cfRule type="expression" dxfId="248" priority="47" stopIfTrue="1">
      <formula>J875=TRUE</formula>
    </cfRule>
  </conditionalFormatting>
  <conditionalFormatting sqref="J875">
    <cfRule type="expression" dxfId="247" priority="45" stopIfTrue="1">
      <formula>J875=TRUE</formula>
    </cfRule>
  </conditionalFormatting>
  <conditionalFormatting sqref="J880">
    <cfRule type="expression" dxfId="246" priority="48" stopIfTrue="1">
      <formula>J881=TRUE</formula>
    </cfRule>
  </conditionalFormatting>
  <conditionalFormatting sqref="J881">
    <cfRule type="expression" dxfId="245" priority="43" stopIfTrue="1">
      <formula>J881=TRUE</formula>
    </cfRule>
  </conditionalFormatting>
  <conditionalFormatting sqref="J890">
    <cfRule type="expression" dxfId="244" priority="46" stopIfTrue="1">
      <formula>J891=TRUE</formula>
    </cfRule>
  </conditionalFormatting>
  <conditionalFormatting sqref="J891">
    <cfRule type="expression" dxfId="243" priority="44" stopIfTrue="1">
      <formula>J891=TRUE</formula>
    </cfRule>
  </conditionalFormatting>
  <conditionalFormatting sqref="J894">
    <cfRule type="expression" dxfId="242" priority="228" stopIfTrue="1">
      <formula>J895=TRUE</formula>
    </cfRule>
  </conditionalFormatting>
  <conditionalFormatting sqref="J895">
    <cfRule type="expression" dxfId="241" priority="224" stopIfTrue="1">
      <formula>J895=TRUE</formula>
    </cfRule>
  </conditionalFormatting>
  <conditionalFormatting sqref="J901">
    <cfRule type="expression" dxfId="240" priority="220" stopIfTrue="1">
      <formula>J902=TRUE</formula>
    </cfRule>
  </conditionalFormatting>
  <conditionalFormatting sqref="J902">
    <cfRule type="expression" dxfId="239" priority="216" stopIfTrue="1">
      <formula>J902=TRUE</formula>
    </cfRule>
  </conditionalFormatting>
  <conditionalFormatting sqref="J908">
    <cfRule type="expression" dxfId="238" priority="227" stopIfTrue="1">
      <formula>J909=TRUE</formula>
    </cfRule>
  </conditionalFormatting>
  <conditionalFormatting sqref="J909">
    <cfRule type="expression" dxfId="237" priority="215" stopIfTrue="1">
      <formula>J909=TRUE</formula>
    </cfRule>
  </conditionalFormatting>
  <conditionalFormatting sqref="J914:J920">
    <cfRule type="expression" dxfId="236" priority="213" stopIfTrue="1">
      <formula>J819&lt;&gt;J914</formula>
    </cfRule>
  </conditionalFormatting>
  <conditionalFormatting sqref="J979:J980">
    <cfRule type="expression" dxfId="235" priority="190" stopIfTrue="1">
      <formula>J979=TRUE</formula>
    </cfRule>
  </conditionalFormatting>
  <conditionalFormatting sqref="J993">
    <cfRule type="expression" dxfId="234" priority="200" stopIfTrue="1">
      <formula>J994=TRUE</formula>
    </cfRule>
  </conditionalFormatting>
  <conditionalFormatting sqref="J994">
    <cfRule type="expression" dxfId="233" priority="201" stopIfTrue="1">
      <formula>J994=TRUE</formula>
    </cfRule>
  </conditionalFormatting>
  <conditionalFormatting sqref="J1002">
    <cfRule type="expression" dxfId="232" priority="209" stopIfTrue="1">
      <formula>J1003=TRUE</formula>
    </cfRule>
  </conditionalFormatting>
  <conditionalFormatting sqref="J1003">
    <cfRule type="expression" dxfId="231" priority="204" stopIfTrue="1">
      <formula>J1003=TRUE</formula>
    </cfRule>
  </conditionalFormatting>
  <conditionalFormatting sqref="J1011">
    <cfRule type="expression" dxfId="230" priority="199" stopIfTrue="1">
      <formula>J1012=TRUE</formula>
    </cfRule>
  </conditionalFormatting>
  <conditionalFormatting sqref="J1012">
    <cfRule type="expression" dxfId="229" priority="196" stopIfTrue="1">
      <formula>J1012=TRUE</formula>
    </cfRule>
  </conditionalFormatting>
  <conditionalFormatting sqref="J1016">
    <cfRule type="expression" dxfId="228" priority="208" stopIfTrue="1">
      <formula>J1017=TRUE</formula>
    </cfRule>
  </conditionalFormatting>
  <conditionalFormatting sqref="J1017">
    <cfRule type="expression" dxfId="227" priority="203" stopIfTrue="1">
      <formula>J1017=TRUE</formula>
    </cfRule>
  </conditionalFormatting>
  <conditionalFormatting sqref="J1022">
    <cfRule type="expression" dxfId="226" priority="197" stopIfTrue="1">
      <formula>J1023=TRUE</formula>
    </cfRule>
  </conditionalFormatting>
  <conditionalFormatting sqref="J1023">
    <cfRule type="expression" dxfId="225" priority="195" stopIfTrue="1">
      <formula>J1023=TRUE</formula>
    </cfRule>
  </conditionalFormatting>
  <conditionalFormatting sqref="J1030">
    <cfRule type="expression" dxfId="224" priority="207" stopIfTrue="1">
      <formula>J1031=TRUE</formula>
    </cfRule>
  </conditionalFormatting>
  <conditionalFormatting sqref="J1031">
    <cfRule type="expression" dxfId="223" priority="192" stopIfTrue="1">
      <formula>J1031=TRUE</formula>
    </cfRule>
  </conditionalFormatting>
  <conditionalFormatting sqref="J1038">
    <cfRule type="expression" dxfId="222" priority="41" stopIfTrue="1">
      <formula>J1039=TRUE</formula>
    </cfRule>
  </conditionalFormatting>
  <conditionalFormatting sqref="J1039">
    <cfRule type="expression" dxfId="221" priority="39" stopIfTrue="1">
      <formula>J1039=TRUE</formula>
    </cfRule>
  </conditionalFormatting>
  <conditionalFormatting sqref="J1044">
    <cfRule type="expression" dxfId="220" priority="42" stopIfTrue="1">
      <formula>J1045=TRUE</formula>
    </cfRule>
  </conditionalFormatting>
  <conditionalFormatting sqref="J1045">
    <cfRule type="expression" dxfId="219" priority="37" stopIfTrue="1">
      <formula>J1045=TRUE</formula>
    </cfRule>
  </conditionalFormatting>
  <conditionalFormatting sqref="J1054">
    <cfRule type="expression" dxfId="218" priority="40" stopIfTrue="1">
      <formula>J1055=TRUE</formula>
    </cfRule>
  </conditionalFormatting>
  <conditionalFormatting sqref="J1055">
    <cfRule type="expression" dxfId="217" priority="38" stopIfTrue="1">
      <formula>J1055=TRUE</formula>
    </cfRule>
  </conditionalFormatting>
  <conditionalFormatting sqref="J1058">
    <cfRule type="expression" dxfId="216" priority="206" stopIfTrue="1">
      <formula>J1059=TRUE</formula>
    </cfRule>
  </conditionalFormatting>
  <conditionalFormatting sqref="J1059">
    <cfRule type="expression" dxfId="215" priority="202" stopIfTrue="1">
      <formula>J1059=TRUE</formula>
    </cfRule>
  </conditionalFormatting>
  <conditionalFormatting sqref="J1065">
    <cfRule type="expression" dxfId="214" priority="198" stopIfTrue="1">
      <formula>J1066=TRUE</formula>
    </cfRule>
  </conditionalFormatting>
  <conditionalFormatting sqref="J1066">
    <cfRule type="expression" dxfId="213" priority="194" stopIfTrue="1">
      <formula>J1066=TRUE</formula>
    </cfRule>
  </conditionalFormatting>
  <conditionalFormatting sqref="J1072">
    <cfRule type="expression" dxfId="212" priority="205" stopIfTrue="1">
      <formula>J1073=TRUE</formula>
    </cfRule>
  </conditionalFormatting>
  <conditionalFormatting sqref="J1073">
    <cfRule type="expression" dxfId="211" priority="193" stopIfTrue="1">
      <formula>J1073=TRUE</formula>
    </cfRule>
  </conditionalFormatting>
  <conditionalFormatting sqref="J1078:J1084">
    <cfRule type="expression" dxfId="210" priority="191" stopIfTrue="1">
      <formula>J983&lt;&gt;J1078</formula>
    </cfRule>
  </conditionalFormatting>
  <conditionalFormatting sqref="J1143:J1144">
    <cfRule type="expression" dxfId="209" priority="168" stopIfTrue="1">
      <formula>J1143=TRUE</formula>
    </cfRule>
  </conditionalFormatting>
  <conditionalFormatting sqref="J1157">
    <cfRule type="expression" dxfId="208" priority="178" stopIfTrue="1">
      <formula>J1158=TRUE</formula>
    </cfRule>
  </conditionalFormatting>
  <conditionalFormatting sqref="J1158">
    <cfRule type="expression" dxfId="207" priority="179" stopIfTrue="1">
      <formula>J1158=TRUE</formula>
    </cfRule>
  </conditionalFormatting>
  <conditionalFormatting sqref="J1166">
    <cfRule type="expression" dxfId="206" priority="187" stopIfTrue="1">
      <formula>J1167=TRUE</formula>
    </cfRule>
  </conditionalFormatting>
  <conditionalFormatting sqref="J1167">
    <cfRule type="expression" dxfId="205" priority="182" stopIfTrue="1">
      <formula>J1167=TRUE</formula>
    </cfRule>
  </conditionalFormatting>
  <conditionalFormatting sqref="J1175">
    <cfRule type="expression" dxfId="204" priority="177" stopIfTrue="1">
      <formula>J1176=TRUE</formula>
    </cfRule>
  </conditionalFormatting>
  <conditionalFormatting sqref="J1176">
    <cfRule type="expression" dxfId="203" priority="174" stopIfTrue="1">
      <formula>J1176=TRUE</formula>
    </cfRule>
  </conditionalFormatting>
  <conditionalFormatting sqref="J1180">
    <cfRule type="expression" dxfId="202" priority="186" stopIfTrue="1">
      <formula>J1181=TRUE</formula>
    </cfRule>
  </conditionalFormatting>
  <conditionalFormatting sqref="J1181">
    <cfRule type="expression" dxfId="201" priority="181" stopIfTrue="1">
      <formula>J1181=TRUE</formula>
    </cfRule>
  </conditionalFormatting>
  <conditionalFormatting sqref="J1186">
    <cfRule type="expression" dxfId="200" priority="175" stopIfTrue="1">
      <formula>J1187=TRUE</formula>
    </cfRule>
  </conditionalFormatting>
  <conditionalFormatting sqref="J1187">
    <cfRule type="expression" dxfId="199" priority="173" stopIfTrue="1">
      <formula>J1187=TRUE</formula>
    </cfRule>
  </conditionalFormatting>
  <conditionalFormatting sqref="J1194">
    <cfRule type="expression" dxfId="198" priority="185" stopIfTrue="1">
      <formula>J1195=TRUE</formula>
    </cfRule>
  </conditionalFormatting>
  <conditionalFormatting sqref="J1195">
    <cfRule type="expression" dxfId="197" priority="170" stopIfTrue="1">
      <formula>J1195=TRUE</formula>
    </cfRule>
  </conditionalFormatting>
  <conditionalFormatting sqref="J1202">
    <cfRule type="expression" dxfId="196" priority="35" stopIfTrue="1">
      <formula>J1203=TRUE</formula>
    </cfRule>
  </conditionalFormatting>
  <conditionalFormatting sqref="J1203">
    <cfRule type="expression" dxfId="195" priority="33" stopIfTrue="1">
      <formula>J1203=TRUE</formula>
    </cfRule>
  </conditionalFormatting>
  <conditionalFormatting sqref="J1208">
    <cfRule type="expression" dxfId="194" priority="36" stopIfTrue="1">
      <formula>J1209=TRUE</formula>
    </cfRule>
  </conditionalFormatting>
  <conditionalFormatting sqref="J1209">
    <cfRule type="expression" dxfId="193" priority="31" stopIfTrue="1">
      <formula>J1209=TRUE</formula>
    </cfRule>
  </conditionalFormatting>
  <conditionalFormatting sqref="J1218">
    <cfRule type="expression" dxfId="192" priority="34" stopIfTrue="1">
      <formula>J1219=TRUE</formula>
    </cfRule>
  </conditionalFormatting>
  <conditionalFormatting sqref="J1219">
    <cfRule type="expression" dxfId="191" priority="32" stopIfTrue="1">
      <formula>J1219=TRUE</formula>
    </cfRule>
  </conditionalFormatting>
  <conditionalFormatting sqref="J1222">
    <cfRule type="expression" dxfId="190" priority="184" stopIfTrue="1">
      <formula>J1223=TRUE</formula>
    </cfRule>
  </conditionalFormatting>
  <conditionalFormatting sqref="J1223">
    <cfRule type="expression" dxfId="189" priority="180" stopIfTrue="1">
      <formula>J1223=TRUE</formula>
    </cfRule>
  </conditionalFormatting>
  <conditionalFormatting sqref="J1229">
    <cfRule type="expression" dxfId="188" priority="176" stopIfTrue="1">
      <formula>J1230=TRUE</formula>
    </cfRule>
  </conditionalFormatting>
  <conditionalFormatting sqref="J1230">
    <cfRule type="expression" dxfId="187" priority="172" stopIfTrue="1">
      <formula>J1230=TRUE</formula>
    </cfRule>
  </conditionalFormatting>
  <conditionalFormatting sqref="J1236">
    <cfRule type="expression" dxfId="186" priority="183" stopIfTrue="1">
      <formula>J1237=TRUE</formula>
    </cfRule>
  </conditionalFormatting>
  <conditionalFormatting sqref="J1237">
    <cfRule type="expression" dxfId="185" priority="171" stopIfTrue="1">
      <formula>J1237=TRUE</formula>
    </cfRule>
  </conditionalFormatting>
  <conditionalFormatting sqref="J1242:J1248">
    <cfRule type="expression" dxfId="184" priority="169" stopIfTrue="1">
      <formula>J1147&lt;&gt;J1242</formula>
    </cfRule>
  </conditionalFormatting>
  <conditionalFormatting sqref="J1307:J1308">
    <cfRule type="expression" dxfId="183" priority="146" stopIfTrue="1">
      <formula>J1307=TRUE</formula>
    </cfRule>
  </conditionalFormatting>
  <conditionalFormatting sqref="J1321">
    <cfRule type="expression" dxfId="182" priority="156" stopIfTrue="1">
      <formula>J1322=TRUE</formula>
    </cfRule>
  </conditionalFormatting>
  <conditionalFormatting sqref="J1322">
    <cfRule type="expression" dxfId="181" priority="157" stopIfTrue="1">
      <formula>J1322=TRUE</formula>
    </cfRule>
  </conditionalFormatting>
  <conditionalFormatting sqref="J1330">
    <cfRule type="expression" dxfId="180" priority="165" stopIfTrue="1">
      <formula>J1331=TRUE</formula>
    </cfRule>
  </conditionalFormatting>
  <conditionalFormatting sqref="J1331">
    <cfRule type="expression" dxfId="179" priority="160" stopIfTrue="1">
      <formula>J1331=TRUE</formula>
    </cfRule>
  </conditionalFormatting>
  <conditionalFormatting sqref="J1339">
    <cfRule type="expression" dxfId="178" priority="155" stopIfTrue="1">
      <formula>J1340=TRUE</formula>
    </cfRule>
  </conditionalFormatting>
  <conditionalFormatting sqref="J1340">
    <cfRule type="expression" dxfId="177" priority="152" stopIfTrue="1">
      <formula>J1340=TRUE</formula>
    </cfRule>
  </conditionalFormatting>
  <conditionalFormatting sqref="J1344">
    <cfRule type="expression" dxfId="176" priority="164" stopIfTrue="1">
      <formula>J1345=TRUE</formula>
    </cfRule>
  </conditionalFormatting>
  <conditionalFormatting sqref="J1345">
    <cfRule type="expression" dxfId="175" priority="159" stopIfTrue="1">
      <formula>J1345=TRUE</formula>
    </cfRule>
  </conditionalFormatting>
  <conditionalFormatting sqref="J1350">
    <cfRule type="expression" dxfId="174" priority="153" stopIfTrue="1">
      <formula>J1351=TRUE</formula>
    </cfRule>
  </conditionalFormatting>
  <conditionalFormatting sqref="J1351">
    <cfRule type="expression" dxfId="173" priority="151" stopIfTrue="1">
      <formula>J1351=TRUE</formula>
    </cfRule>
  </conditionalFormatting>
  <conditionalFormatting sqref="J1358">
    <cfRule type="expression" dxfId="172" priority="163" stopIfTrue="1">
      <formula>J1359=TRUE</formula>
    </cfRule>
  </conditionalFormatting>
  <conditionalFormatting sqref="J1359">
    <cfRule type="expression" dxfId="171" priority="148" stopIfTrue="1">
      <formula>J1359=TRUE</formula>
    </cfRule>
  </conditionalFormatting>
  <conditionalFormatting sqref="J1366">
    <cfRule type="expression" dxfId="170" priority="29" stopIfTrue="1">
      <formula>J1367=TRUE</formula>
    </cfRule>
  </conditionalFormatting>
  <conditionalFormatting sqref="J1367">
    <cfRule type="expression" dxfId="169" priority="27" stopIfTrue="1">
      <formula>J1367=TRUE</formula>
    </cfRule>
  </conditionalFormatting>
  <conditionalFormatting sqref="J1372">
    <cfRule type="expression" dxfId="168" priority="30" stopIfTrue="1">
      <formula>J1373=TRUE</formula>
    </cfRule>
  </conditionalFormatting>
  <conditionalFormatting sqref="J1373">
    <cfRule type="expression" dxfId="167" priority="25" stopIfTrue="1">
      <formula>J1373=TRUE</formula>
    </cfRule>
  </conditionalFormatting>
  <conditionalFormatting sqref="J1382">
    <cfRule type="expression" dxfId="166" priority="28" stopIfTrue="1">
      <formula>J1383=TRUE</formula>
    </cfRule>
  </conditionalFormatting>
  <conditionalFormatting sqref="J1383">
    <cfRule type="expression" dxfId="165" priority="26" stopIfTrue="1">
      <formula>J1383=TRUE</formula>
    </cfRule>
  </conditionalFormatting>
  <conditionalFormatting sqref="J1386">
    <cfRule type="expression" dxfId="164" priority="162" stopIfTrue="1">
      <formula>J1387=TRUE</formula>
    </cfRule>
  </conditionalFormatting>
  <conditionalFormatting sqref="J1387">
    <cfRule type="expression" dxfId="163" priority="158" stopIfTrue="1">
      <formula>J1387=TRUE</formula>
    </cfRule>
  </conditionalFormatting>
  <conditionalFormatting sqref="J1393">
    <cfRule type="expression" dxfId="162" priority="154" stopIfTrue="1">
      <formula>J1394=TRUE</formula>
    </cfRule>
  </conditionalFormatting>
  <conditionalFormatting sqref="J1394">
    <cfRule type="expression" dxfId="161" priority="150" stopIfTrue="1">
      <formula>J1394=TRUE</formula>
    </cfRule>
  </conditionalFormatting>
  <conditionalFormatting sqref="J1400">
    <cfRule type="expression" dxfId="160" priority="161" stopIfTrue="1">
      <formula>J1401=TRUE</formula>
    </cfRule>
  </conditionalFormatting>
  <conditionalFormatting sqref="J1401">
    <cfRule type="expression" dxfId="159" priority="149" stopIfTrue="1">
      <formula>J1401=TRUE</formula>
    </cfRule>
  </conditionalFormatting>
  <conditionalFormatting sqref="J1406:J1412">
    <cfRule type="expression" dxfId="158" priority="147" stopIfTrue="1">
      <formula>J1311&lt;&gt;J1406</formula>
    </cfRule>
  </conditionalFormatting>
  <conditionalFormatting sqref="J1471:J1472">
    <cfRule type="expression" dxfId="157" priority="124" stopIfTrue="1">
      <formula>J1471=TRUE</formula>
    </cfRule>
  </conditionalFormatting>
  <conditionalFormatting sqref="J1485">
    <cfRule type="expression" dxfId="156" priority="134" stopIfTrue="1">
      <formula>J1486=TRUE</formula>
    </cfRule>
  </conditionalFormatting>
  <conditionalFormatting sqref="J1486">
    <cfRule type="expression" dxfId="155" priority="135" stopIfTrue="1">
      <formula>J1486=TRUE</formula>
    </cfRule>
  </conditionalFormatting>
  <conditionalFormatting sqref="J1494">
    <cfRule type="expression" dxfId="154" priority="143" stopIfTrue="1">
      <formula>J1495=TRUE</formula>
    </cfRule>
  </conditionalFormatting>
  <conditionalFormatting sqref="J1495">
    <cfRule type="expression" dxfId="153" priority="138" stopIfTrue="1">
      <formula>J1495=TRUE</formula>
    </cfRule>
  </conditionalFormatting>
  <conditionalFormatting sqref="J1503">
    <cfRule type="expression" dxfId="152" priority="133" stopIfTrue="1">
      <formula>J1504=TRUE</formula>
    </cfRule>
  </conditionalFormatting>
  <conditionalFormatting sqref="J1504">
    <cfRule type="expression" dxfId="151" priority="130" stopIfTrue="1">
      <formula>J1504=TRUE</formula>
    </cfRule>
  </conditionalFormatting>
  <conditionalFormatting sqref="J1508">
    <cfRule type="expression" dxfId="150" priority="142" stopIfTrue="1">
      <formula>J1509=TRUE</formula>
    </cfRule>
  </conditionalFormatting>
  <conditionalFormatting sqref="J1509">
    <cfRule type="expression" dxfId="149" priority="137" stopIfTrue="1">
      <formula>J1509=TRUE</formula>
    </cfRule>
  </conditionalFormatting>
  <conditionalFormatting sqref="J1514">
    <cfRule type="expression" dxfId="148" priority="131" stopIfTrue="1">
      <formula>J1515=TRUE</formula>
    </cfRule>
  </conditionalFormatting>
  <conditionalFormatting sqref="J1515">
    <cfRule type="expression" dxfId="147" priority="129" stopIfTrue="1">
      <formula>J1515=TRUE</formula>
    </cfRule>
  </conditionalFormatting>
  <conditionalFormatting sqref="J1522">
    <cfRule type="expression" dxfId="146" priority="141" stopIfTrue="1">
      <formula>J1523=TRUE</formula>
    </cfRule>
  </conditionalFormatting>
  <conditionalFormatting sqref="J1523">
    <cfRule type="expression" dxfId="145" priority="126" stopIfTrue="1">
      <formula>J1523=TRUE</formula>
    </cfRule>
  </conditionalFormatting>
  <conditionalFormatting sqref="J1530">
    <cfRule type="expression" dxfId="144" priority="23" stopIfTrue="1">
      <formula>J1531=TRUE</formula>
    </cfRule>
  </conditionalFormatting>
  <conditionalFormatting sqref="J1531">
    <cfRule type="expression" dxfId="143" priority="21" stopIfTrue="1">
      <formula>J1531=TRUE</formula>
    </cfRule>
  </conditionalFormatting>
  <conditionalFormatting sqref="J1536">
    <cfRule type="expression" dxfId="142" priority="24" stopIfTrue="1">
      <formula>J1537=TRUE</formula>
    </cfRule>
  </conditionalFormatting>
  <conditionalFormatting sqref="J1537">
    <cfRule type="expression" dxfId="141" priority="19" stopIfTrue="1">
      <formula>J1537=TRUE</formula>
    </cfRule>
  </conditionalFormatting>
  <conditionalFormatting sqref="J1546">
    <cfRule type="expression" dxfId="140" priority="22" stopIfTrue="1">
      <formula>J1547=TRUE</formula>
    </cfRule>
  </conditionalFormatting>
  <conditionalFormatting sqref="J1547">
    <cfRule type="expression" dxfId="139" priority="20" stopIfTrue="1">
      <formula>J1547=TRUE</formula>
    </cfRule>
  </conditionalFormatting>
  <conditionalFormatting sqref="J1550">
    <cfRule type="expression" dxfId="138" priority="140" stopIfTrue="1">
      <formula>J1551=TRUE</formula>
    </cfRule>
  </conditionalFormatting>
  <conditionalFormatting sqref="J1551">
    <cfRule type="expression" dxfId="137" priority="136" stopIfTrue="1">
      <formula>J1551=TRUE</formula>
    </cfRule>
  </conditionalFormatting>
  <conditionalFormatting sqref="J1557">
    <cfRule type="expression" dxfId="136" priority="132" stopIfTrue="1">
      <formula>J1558=TRUE</formula>
    </cfRule>
  </conditionalFormatting>
  <conditionalFormatting sqref="J1558">
    <cfRule type="expression" dxfId="135" priority="128" stopIfTrue="1">
      <formula>J1558=TRUE</formula>
    </cfRule>
  </conditionalFormatting>
  <conditionalFormatting sqref="J1564">
    <cfRule type="expression" dxfId="134" priority="139" stopIfTrue="1">
      <formula>J1565=TRUE</formula>
    </cfRule>
  </conditionalFormatting>
  <conditionalFormatting sqref="J1565">
    <cfRule type="expression" dxfId="133" priority="127" stopIfTrue="1">
      <formula>J1565=TRUE</formula>
    </cfRule>
  </conditionalFormatting>
  <conditionalFormatting sqref="J1570:J1576">
    <cfRule type="expression" dxfId="132" priority="125" stopIfTrue="1">
      <formula>J1475&lt;&gt;J1570</formula>
    </cfRule>
  </conditionalFormatting>
  <conditionalFormatting sqref="J1635:J1636">
    <cfRule type="expression" dxfId="131" priority="102" stopIfTrue="1">
      <formula>J1635=TRUE</formula>
    </cfRule>
  </conditionalFormatting>
  <conditionalFormatting sqref="J1649">
    <cfRule type="expression" dxfId="130" priority="112" stopIfTrue="1">
      <formula>J1650=TRUE</formula>
    </cfRule>
  </conditionalFormatting>
  <conditionalFormatting sqref="J1650">
    <cfRule type="expression" dxfId="129" priority="113" stopIfTrue="1">
      <formula>J1650=TRUE</formula>
    </cfRule>
  </conditionalFormatting>
  <conditionalFormatting sqref="J1658">
    <cfRule type="expression" dxfId="128" priority="121" stopIfTrue="1">
      <formula>J1659=TRUE</formula>
    </cfRule>
  </conditionalFormatting>
  <conditionalFormatting sqref="J1659">
    <cfRule type="expression" dxfId="127" priority="116" stopIfTrue="1">
      <formula>J1659=TRUE</formula>
    </cfRule>
  </conditionalFormatting>
  <conditionalFormatting sqref="J1667">
    <cfRule type="expression" dxfId="126" priority="111" stopIfTrue="1">
      <formula>J1668=TRUE</formula>
    </cfRule>
  </conditionalFormatting>
  <conditionalFormatting sqref="J1668">
    <cfRule type="expression" dxfId="125" priority="108" stopIfTrue="1">
      <formula>J1668=TRUE</formula>
    </cfRule>
  </conditionalFormatting>
  <conditionalFormatting sqref="J1672">
    <cfRule type="expression" dxfId="124" priority="120" stopIfTrue="1">
      <formula>J1673=TRUE</formula>
    </cfRule>
  </conditionalFormatting>
  <conditionalFormatting sqref="J1673">
    <cfRule type="expression" dxfId="123" priority="115" stopIfTrue="1">
      <formula>J1673=TRUE</formula>
    </cfRule>
  </conditionalFormatting>
  <conditionalFormatting sqref="J1678">
    <cfRule type="expression" dxfId="122" priority="109" stopIfTrue="1">
      <formula>J1679=TRUE</formula>
    </cfRule>
  </conditionalFormatting>
  <conditionalFormatting sqref="J1679">
    <cfRule type="expression" dxfId="121" priority="107" stopIfTrue="1">
      <formula>J1679=TRUE</formula>
    </cfRule>
  </conditionalFormatting>
  <conditionalFormatting sqref="J1686">
    <cfRule type="expression" dxfId="120" priority="119" stopIfTrue="1">
      <formula>J1687=TRUE</formula>
    </cfRule>
  </conditionalFormatting>
  <conditionalFormatting sqref="J1687">
    <cfRule type="expression" dxfId="119" priority="104" stopIfTrue="1">
      <formula>J1687=TRUE</formula>
    </cfRule>
  </conditionalFormatting>
  <conditionalFormatting sqref="J1694">
    <cfRule type="expression" dxfId="118" priority="17" stopIfTrue="1">
      <formula>J1695=TRUE</formula>
    </cfRule>
  </conditionalFormatting>
  <conditionalFormatting sqref="J1695">
    <cfRule type="expression" dxfId="117" priority="15" stopIfTrue="1">
      <formula>J1695=TRUE</formula>
    </cfRule>
  </conditionalFormatting>
  <conditionalFormatting sqref="J1700">
    <cfRule type="expression" dxfId="116" priority="18" stopIfTrue="1">
      <formula>J1701=TRUE</formula>
    </cfRule>
  </conditionalFormatting>
  <conditionalFormatting sqref="J1701">
    <cfRule type="expression" dxfId="115" priority="13" stopIfTrue="1">
      <formula>J1701=TRUE</formula>
    </cfRule>
  </conditionalFormatting>
  <conditionalFormatting sqref="J1710">
    <cfRule type="expression" dxfId="114" priority="16" stopIfTrue="1">
      <formula>J1711=TRUE</formula>
    </cfRule>
  </conditionalFormatting>
  <conditionalFormatting sqref="J1711">
    <cfRule type="expression" dxfId="113" priority="14" stopIfTrue="1">
      <formula>J1711=TRUE</formula>
    </cfRule>
  </conditionalFormatting>
  <conditionalFormatting sqref="J1714">
    <cfRule type="expression" dxfId="112" priority="118" stopIfTrue="1">
      <formula>J1715=TRUE</formula>
    </cfRule>
  </conditionalFormatting>
  <conditionalFormatting sqref="J1715">
    <cfRule type="expression" dxfId="111" priority="114" stopIfTrue="1">
      <formula>J1715=TRUE</formula>
    </cfRule>
  </conditionalFormatting>
  <conditionalFormatting sqref="J1721">
    <cfRule type="expression" dxfId="110" priority="110" stopIfTrue="1">
      <formula>J1722=TRUE</formula>
    </cfRule>
  </conditionalFormatting>
  <conditionalFormatting sqref="J1722">
    <cfRule type="expression" dxfId="109" priority="106" stopIfTrue="1">
      <formula>J1722=TRUE</formula>
    </cfRule>
  </conditionalFormatting>
  <conditionalFormatting sqref="J1728">
    <cfRule type="expression" dxfId="108" priority="117" stopIfTrue="1">
      <formula>J1729=TRUE</formula>
    </cfRule>
  </conditionalFormatting>
  <conditionalFormatting sqref="J1729">
    <cfRule type="expression" dxfId="107" priority="105" stopIfTrue="1">
      <formula>J1729=TRUE</formula>
    </cfRule>
  </conditionalFormatting>
  <conditionalFormatting sqref="J1734:J1740">
    <cfRule type="expression" dxfId="106" priority="103" stopIfTrue="1">
      <formula>J1639&lt;&gt;J1734</formula>
    </cfRule>
  </conditionalFormatting>
  <conditionalFormatting sqref="J1799:J1800">
    <cfRule type="expression" dxfId="105" priority="80" stopIfTrue="1">
      <formula>J1799=TRUE</formula>
    </cfRule>
  </conditionalFormatting>
  <conditionalFormatting sqref="J1813">
    <cfRule type="expression" dxfId="104" priority="90" stopIfTrue="1">
      <formula>J1814=TRUE</formula>
    </cfRule>
  </conditionalFormatting>
  <conditionalFormatting sqref="J1814">
    <cfRule type="expression" dxfId="103" priority="91" stopIfTrue="1">
      <formula>J1814=TRUE</formula>
    </cfRule>
  </conditionalFormatting>
  <conditionalFormatting sqref="J1822">
    <cfRule type="expression" dxfId="102" priority="99" stopIfTrue="1">
      <formula>J1823=TRUE</formula>
    </cfRule>
  </conditionalFormatting>
  <conditionalFormatting sqref="J1823">
    <cfRule type="expression" dxfId="101" priority="94" stopIfTrue="1">
      <formula>J1823=TRUE</formula>
    </cfRule>
  </conditionalFormatting>
  <conditionalFormatting sqref="J1831">
    <cfRule type="expression" dxfId="100" priority="89" stopIfTrue="1">
      <formula>J1832=TRUE</formula>
    </cfRule>
  </conditionalFormatting>
  <conditionalFormatting sqref="J1832">
    <cfRule type="expression" dxfId="99" priority="86" stopIfTrue="1">
      <formula>J1832=TRUE</formula>
    </cfRule>
  </conditionalFormatting>
  <conditionalFormatting sqref="J1836">
    <cfRule type="expression" dxfId="98" priority="98" stopIfTrue="1">
      <formula>J1837=TRUE</formula>
    </cfRule>
  </conditionalFormatting>
  <conditionalFormatting sqref="J1837">
    <cfRule type="expression" dxfId="97" priority="93" stopIfTrue="1">
      <formula>J1837=TRUE</formula>
    </cfRule>
  </conditionalFormatting>
  <conditionalFormatting sqref="J1842">
    <cfRule type="expression" dxfId="96" priority="87" stopIfTrue="1">
      <formula>J1843=TRUE</formula>
    </cfRule>
  </conditionalFormatting>
  <conditionalFormatting sqref="J1843">
    <cfRule type="expression" dxfId="95" priority="85" stopIfTrue="1">
      <formula>J1843=TRUE</formula>
    </cfRule>
  </conditionalFormatting>
  <conditionalFormatting sqref="J1850">
    <cfRule type="expression" dxfId="94" priority="97" stopIfTrue="1">
      <formula>J1851=TRUE</formula>
    </cfRule>
  </conditionalFormatting>
  <conditionalFormatting sqref="J1851">
    <cfRule type="expression" dxfId="93" priority="82" stopIfTrue="1">
      <formula>J1851=TRUE</formula>
    </cfRule>
  </conditionalFormatting>
  <conditionalFormatting sqref="J1858">
    <cfRule type="expression" dxfId="92" priority="11" stopIfTrue="1">
      <formula>J1859=TRUE</formula>
    </cfRule>
  </conditionalFormatting>
  <conditionalFormatting sqref="J1859">
    <cfRule type="expression" dxfId="91" priority="9" stopIfTrue="1">
      <formula>J1859=TRUE</formula>
    </cfRule>
  </conditionalFormatting>
  <conditionalFormatting sqref="J1864">
    <cfRule type="expression" dxfId="90" priority="12" stopIfTrue="1">
      <formula>J1865=TRUE</formula>
    </cfRule>
  </conditionalFormatting>
  <conditionalFormatting sqref="J1865">
    <cfRule type="expression" dxfId="89" priority="7" stopIfTrue="1">
      <formula>J1865=TRUE</formula>
    </cfRule>
  </conditionalFormatting>
  <conditionalFormatting sqref="J1874">
    <cfRule type="expression" dxfId="88" priority="10" stopIfTrue="1">
      <formula>J1875=TRUE</formula>
    </cfRule>
  </conditionalFormatting>
  <conditionalFormatting sqref="J1875">
    <cfRule type="expression" dxfId="87" priority="8" stopIfTrue="1">
      <formula>J1875=TRUE</formula>
    </cfRule>
  </conditionalFormatting>
  <conditionalFormatting sqref="J1878">
    <cfRule type="expression" dxfId="86" priority="96" stopIfTrue="1">
      <formula>J1879=TRUE</formula>
    </cfRule>
  </conditionalFormatting>
  <conditionalFormatting sqref="J1879">
    <cfRule type="expression" dxfId="85" priority="92" stopIfTrue="1">
      <formula>J1879=TRUE</formula>
    </cfRule>
  </conditionalFormatting>
  <conditionalFormatting sqref="J1885">
    <cfRule type="expression" dxfId="84" priority="88" stopIfTrue="1">
      <formula>J1886=TRUE</formula>
    </cfRule>
  </conditionalFormatting>
  <conditionalFormatting sqref="J1886">
    <cfRule type="expression" dxfId="83" priority="84" stopIfTrue="1">
      <formula>J1886=TRUE</formula>
    </cfRule>
  </conditionalFormatting>
  <conditionalFormatting sqref="J1892">
    <cfRule type="expression" dxfId="82" priority="95" stopIfTrue="1">
      <formula>J1893=TRUE</formula>
    </cfRule>
  </conditionalFormatting>
  <conditionalFormatting sqref="J1893">
    <cfRule type="expression" dxfId="81" priority="83" stopIfTrue="1">
      <formula>J1893=TRUE</formula>
    </cfRule>
  </conditionalFormatting>
  <conditionalFormatting sqref="J1898:J1904">
    <cfRule type="expression" dxfId="80" priority="81" stopIfTrue="1">
      <formula>J1803&lt;&gt;J1898</formula>
    </cfRule>
  </conditionalFormatting>
  <conditionalFormatting sqref="J1963:J1964">
    <cfRule type="expression" dxfId="79" priority="58" stopIfTrue="1">
      <formula>J1963=TRUE</formula>
    </cfRule>
  </conditionalFormatting>
  <conditionalFormatting sqref="J1977">
    <cfRule type="expression" dxfId="78" priority="68" stopIfTrue="1">
      <formula>J1978=TRUE</formula>
    </cfRule>
  </conditionalFormatting>
  <conditionalFormatting sqref="J1978">
    <cfRule type="expression" dxfId="77" priority="69" stopIfTrue="1">
      <formula>J1978=TRUE</formula>
    </cfRule>
  </conditionalFormatting>
  <conditionalFormatting sqref="J1986">
    <cfRule type="expression" dxfId="76" priority="77" stopIfTrue="1">
      <formula>J1987=TRUE</formula>
    </cfRule>
  </conditionalFormatting>
  <conditionalFormatting sqref="J1987">
    <cfRule type="expression" dxfId="75" priority="72" stopIfTrue="1">
      <formula>J1987=TRUE</formula>
    </cfRule>
  </conditionalFormatting>
  <conditionalFormatting sqref="J1995">
    <cfRule type="expression" dxfId="74" priority="67" stopIfTrue="1">
      <formula>J1996=TRUE</formula>
    </cfRule>
  </conditionalFormatting>
  <conditionalFormatting sqref="J1996">
    <cfRule type="expression" dxfId="73" priority="64" stopIfTrue="1">
      <formula>J1996=TRUE</formula>
    </cfRule>
  </conditionalFormatting>
  <conditionalFormatting sqref="J2000">
    <cfRule type="expression" dxfId="72" priority="76" stopIfTrue="1">
      <formula>J2001=TRUE</formula>
    </cfRule>
  </conditionalFormatting>
  <conditionalFormatting sqref="J2001">
    <cfRule type="expression" dxfId="71" priority="71" stopIfTrue="1">
      <formula>J2001=TRUE</formula>
    </cfRule>
  </conditionalFormatting>
  <conditionalFormatting sqref="J2006">
    <cfRule type="expression" dxfId="70" priority="65" stopIfTrue="1">
      <formula>J2007=TRUE</formula>
    </cfRule>
  </conditionalFormatting>
  <conditionalFormatting sqref="J2007">
    <cfRule type="expression" dxfId="69" priority="63" stopIfTrue="1">
      <formula>J2007=TRUE</formula>
    </cfRule>
  </conditionalFormatting>
  <conditionalFormatting sqref="J2014">
    <cfRule type="expression" dxfId="68" priority="75" stopIfTrue="1">
      <formula>J2015=TRUE</formula>
    </cfRule>
  </conditionalFormatting>
  <conditionalFormatting sqref="J2015">
    <cfRule type="expression" dxfId="67" priority="60" stopIfTrue="1">
      <formula>J2015=TRUE</formula>
    </cfRule>
  </conditionalFormatting>
  <conditionalFormatting sqref="J2022">
    <cfRule type="expression" dxfId="66" priority="5" stopIfTrue="1">
      <formula>J2023=TRUE</formula>
    </cfRule>
  </conditionalFormatting>
  <conditionalFormatting sqref="J2023">
    <cfRule type="expression" dxfId="65" priority="3" stopIfTrue="1">
      <formula>J2023=TRUE</formula>
    </cfRule>
  </conditionalFormatting>
  <conditionalFormatting sqref="J2028">
    <cfRule type="expression" dxfId="64" priority="6" stopIfTrue="1">
      <formula>J2029=TRUE</formula>
    </cfRule>
  </conditionalFormatting>
  <conditionalFormatting sqref="J2029">
    <cfRule type="expression" dxfId="63" priority="1" stopIfTrue="1">
      <formula>J2029=TRUE</formula>
    </cfRule>
  </conditionalFormatting>
  <conditionalFormatting sqref="J2038">
    <cfRule type="expression" dxfId="62" priority="4" stopIfTrue="1">
      <formula>J2039=TRUE</formula>
    </cfRule>
  </conditionalFormatting>
  <conditionalFormatting sqref="J2039">
    <cfRule type="expression" dxfId="61" priority="2" stopIfTrue="1">
      <formula>J2039=TRUE</formula>
    </cfRule>
  </conditionalFormatting>
  <conditionalFormatting sqref="J2042">
    <cfRule type="expression" dxfId="60" priority="74" stopIfTrue="1">
      <formula>J2043=TRUE</formula>
    </cfRule>
  </conditionalFormatting>
  <conditionalFormatting sqref="J2043">
    <cfRule type="expression" dxfId="59" priority="70" stopIfTrue="1">
      <formula>J2043=TRUE</formula>
    </cfRule>
  </conditionalFormatting>
  <conditionalFormatting sqref="J2049">
    <cfRule type="expression" dxfId="58" priority="66" stopIfTrue="1">
      <formula>J2050=TRUE</formula>
    </cfRule>
  </conditionalFormatting>
  <conditionalFormatting sqref="J2050">
    <cfRule type="expression" dxfId="57" priority="62" stopIfTrue="1">
      <formula>J2050=TRUE</formula>
    </cfRule>
  </conditionalFormatting>
  <conditionalFormatting sqref="J2056">
    <cfRule type="expression" dxfId="56" priority="73" stopIfTrue="1">
      <formula>J2057=TRUE</formula>
    </cfRule>
  </conditionalFormatting>
  <conditionalFormatting sqref="J2057">
    <cfRule type="expression" dxfId="55" priority="61" stopIfTrue="1">
      <formula>J2057=TRUE</formula>
    </cfRule>
  </conditionalFormatting>
  <conditionalFormatting sqref="J2062:J2068">
    <cfRule type="expression" dxfId="54" priority="59" stopIfTrue="1">
      <formula>J1967&lt;&gt;J2062</formula>
    </cfRule>
  </conditionalFormatting>
  <conditionalFormatting sqref="J2129:J2131">
    <cfRule type="expression" dxfId="53" priority="332" stopIfTrue="1">
      <formula>J2129=TRUE</formula>
    </cfRule>
  </conditionalFormatting>
  <conditionalFormatting sqref="J2138">
    <cfRule type="expression" dxfId="52" priority="328" stopIfTrue="1">
      <formula>J2139=TRUE</formula>
    </cfRule>
  </conditionalFormatting>
  <conditionalFormatting sqref="J2139">
    <cfRule type="expression" dxfId="51" priority="329" stopIfTrue="1">
      <formula>J2139=TRUE</formula>
    </cfRule>
  </conditionalFormatting>
  <conditionalFormatting sqref="J2142">
    <cfRule type="expression" dxfId="50" priority="331" stopIfTrue="1">
      <formula>J2143=TRUE</formula>
    </cfRule>
  </conditionalFormatting>
  <conditionalFormatting sqref="J2143">
    <cfRule type="expression" dxfId="49" priority="330" stopIfTrue="1">
      <formula>J2143=TRUE</formula>
    </cfRule>
  </conditionalFormatting>
  <conditionalFormatting sqref="J2147">
    <cfRule type="expression" dxfId="48" priority="324" stopIfTrue="1">
      <formula>J2148=TRUE</formula>
    </cfRule>
  </conditionalFormatting>
  <conditionalFormatting sqref="J2148:J2149">
    <cfRule type="expression" dxfId="47" priority="326" stopIfTrue="1">
      <formula>J2148=TRUE</formula>
    </cfRule>
  </conditionalFormatting>
  <conditionalFormatting sqref="J2149">
    <cfRule type="containsText" dxfId="46" priority="322" stopIfTrue="1" operator="containsText" text="!">
      <formula>NOT(ISERROR(SEARCH("!",J2149)))</formula>
    </cfRule>
  </conditionalFormatting>
  <conditionalFormatting sqref="J2155:J2156">
    <cfRule type="expression" dxfId="45" priority="323" stopIfTrue="1">
      <formula>J2133&lt;&gt;J2155</formula>
    </cfRule>
  </conditionalFormatting>
  <conditionalFormatting sqref="J2196:J2198">
    <cfRule type="expression" dxfId="44" priority="289" stopIfTrue="1">
      <formula>J2196=TRUE</formula>
    </cfRule>
  </conditionalFormatting>
  <conditionalFormatting sqref="J2205">
    <cfRule type="expression" dxfId="43" priority="285" stopIfTrue="1">
      <formula>J2206=TRUE</formula>
    </cfRule>
  </conditionalFormatting>
  <conditionalFormatting sqref="J2206">
    <cfRule type="expression" dxfId="42" priority="286" stopIfTrue="1">
      <formula>J2206=TRUE</formula>
    </cfRule>
  </conditionalFormatting>
  <conditionalFormatting sqref="J2209">
    <cfRule type="expression" dxfId="41" priority="288" stopIfTrue="1">
      <formula>J2210=TRUE</formula>
    </cfRule>
  </conditionalFormatting>
  <conditionalFormatting sqref="J2210">
    <cfRule type="expression" dxfId="40" priority="287" stopIfTrue="1">
      <formula>J2210=TRUE</formula>
    </cfRule>
  </conditionalFormatting>
  <conditionalFormatting sqref="J2214">
    <cfRule type="expression" dxfId="39" priority="283" stopIfTrue="1">
      <formula>J2215=TRUE</formula>
    </cfRule>
  </conditionalFormatting>
  <conditionalFormatting sqref="J2215:J2216">
    <cfRule type="expression" dxfId="38" priority="284" stopIfTrue="1">
      <formula>J2215=TRUE</formula>
    </cfRule>
  </conditionalFormatting>
  <conditionalFormatting sqref="J2216">
    <cfRule type="containsText" dxfId="37" priority="281" stopIfTrue="1" operator="containsText" text="!">
      <formula>NOT(ISERROR(SEARCH("!",J2216)))</formula>
    </cfRule>
  </conditionalFormatting>
  <conditionalFormatting sqref="J2222:J2223">
    <cfRule type="expression" dxfId="36" priority="282" stopIfTrue="1">
      <formula>J2200&lt;&gt;J2222</formula>
    </cfRule>
  </conditionalFormatting>
  <conditionalFormatting sqref="J2262:J2264">
    <cfRule type="expression" dxfId="35" priority="276" stopIfTrue="1">
      <formula>J2262=TRUE</formula>
    </cfRule>
  </conditionalFormatting>
  <conditionalFormatting sqref="J2271">
    <cfRule type="expression" dxfId="34" priority="272" stopIfTrue="1">
      <formula>J2272=TRUE</formula>
    </cfRule>
  </conditionalFormatting>
  <conditionalFormatting sqref="J2272">
    <cfRule type="expression" dxfId="33" priority="273" stopIfTrue="1">
      <formula>J2272=TRUE</formula>
    </cfRule>
  </conditionalFormatting>
  <conditionalFormatting sqref="J2275">
    <cfRule type="expression" dxfId="32" priority="275" stopIfTrue="1">
      <formula>J2276=TRUE</formula>
    </cfRule>
  </conditionalFormatting>
  <conditionalFormatting sqref="J2276">
    <cfRule type="expression" dxfId="31" priority="274" stopIfTrue="1">
      <formula>J2276=TRUE</formula>
    </cfRule>
  </conditionalFormatting>
  <conditionalFormatting sqref="J2281:J2282">
    <cfRule type="expression" dxfId="30" priority="271" stopIfTrue="1">
      <formula>J2266&lt;&gt;J2281</formula>
    </cfRule>
  </conditionalFormatting>
  <conditionalFormatting sqref="J2322:J2324">
    <cfRule type="expression" dxfId="29" priority="270" stopIfTrue="1">
      <formula>J2322=TRUE</formula>
    </cfRule>
  </conditionalFormatting>
  <conditionalFormatting sqref="J2331">
    <cfRule type="expression" dxfId="28" priority="266" stopIfTrue="1">
      <formula>J2332=TRUE</formula>
    </cfRule>
  </conditionalFormatting>
  <conditionalFormatting sqref="J2332">
    <cfRule type="expression" dxfId="27" priority="267" stopIfTrue="1">
      <formula>J2332=TRUE</formula>
    </cfRule>
  </conditionalFormatting>
  <conditionalFormatting sqref="J2335">
    <cfRule type="expression" dxfId="26" priority="269" stopIfTrue="1">
      <formula>J2336=TRUE</formula>
    </cfRule>
  </conditionalFormatting>
  <conditionalFormatting sqref="J2336">
    <cfRule type="expression" dxfId="25" priority="268" stopIfTrue="1">
      <formula>J2336=TRUE</formula>
    </cfRule>
  </conditionalFormatting>
  <conditionalFormatting sqref="J2340">
    <cfRule type="expression" dxfId="24" priority="264" stopIfTrue="1">
      <formula>J2341=TRUE</formula>
    </cfRule>
  </conditionalFormatting>
  <conditionalFormatting sqref="J2341:J2342">
    <cfRule type="expression" dxfId="23" priority="265" stopIfTrue="1">
      <formula>J2341=TRUE</formula>
    </cfRule>
  </conditionalFormatting>
  <conditionalFormatting sqref="J2342">
    <cfRule type="containsText" dxfId="22" priority="262" stopIfTrue="1" operator="containsText" text="!">
      <formula>NOT(ISERROR(SEARCH("!",J2342)))</formula>
    </cfRule>
  </conditionalFormatting>
  <conditionalFormatting sqref="J2348:J2349">
    <cfRule type="expression" dxfId="21" priority="263" stopIfTrue="1">
      <formula>J2326&lt;&gt;J2348</formula>
    </cfRule>
  </conditionalFormatting>
  <conditionalFormatting sqref="J2379:J2381">
    <cfRule type="expression" dxfId="20" priority="258" stopIfTrue="1">
      <formula>J2379=TRUE</formula>
    </cfRule>
  </conditionalFormatting>
  <conditionalFormatting sqref="J2388">
    <cfRule type="expression" dxfId="19" priority="254" stopIfTrue="1">
      <formula>J2389=TRUE</formula>
    </cfRule>
  </conditionalFormatting>
  <conditionalFormatting sqref="J2389">
    <cfRule type="expression" dxfId="18" priority="255" stopIfTrue="1">
      <formula>J2389=TRUE</formula>
    </cfRule>
  </conditionalFormatting>
  <conditionalFormatting sqref="J2392">
    <cfRule type="expression" dxfId="17" priority="257" stopIfTrue="1">
      <formula>J2393=TRUE</formula>
    </cfRule>
  </conditionalFormatting>
  <conditionalFormatting sqref="J2393">
    <cfRule type="expression" dxfId="16" priority="256" stopIfTrue="1">
      <formula>J2393=TRUE</formula>
    </cfRule>
  </conditionalFormatting>
  <conditionalFormatting sqref="J2397">
    <cfRule type="expression" dxfId="15" priority="252" stopIfTrue="1">
      <formula>J2398=TRUE</formula>
    </cfRule>
  </conditionalFormatting>
  <conditionalFormatting sqref="J2398:J2399">
    <cfRule type="expression" dxfId="14" priority="253" stopIfTrue="1">
      <formula>J2398=TRUE</formula>
    </cfRule>
  </conditionalFormatting>
  <conditionalFormatting sqref="J2399">
    <cfRule type="containsText" dxfId="13" priority="250" stopIfTrue="1" operator="containsText" text="!">
      <formula>NOT(ISERROR(SEARCH("!",J2399)))</formula>
    </cfRule>
  </conditionalFormatting>
  <conditionalFormatting sqref="J2405:J2406">
    <cfRule type="expression" dxfId="12" priority="251" stopIfTrue="1">
      <formula>J2383&lt;&gt;J2405</formula>
    </cfRule>
  </conditionalFormatting>
  <conditionalFormatting sqref="J2435:N2437">
    <cfRule type="expression" dxfId="11" priority="249" stopIfTrue="1">
      <formula>J2435=TRUE</formula>
    </cfRule>
  </conditionalFormatting>
  <conditionalFormatting sqref="J2444:N2444">
    <cfRule type="expression" dxfId="10" priority="245" stopIfTrue="1">
      <formula>J2445=TRUE</formula>
    </cfRule>
  </conditionalFormatting>
  <conditionalFormatting sqref="J2445:N2445">
    <cfRule type="expression" dxfId="9" priority="246" stopIfTrue="1">
      <formula>J2445=TRUE</formula>
    </cfRule>
  </conditionalFormatting>
  <conditionalFormatting sqref="J2448:N2448">
    <cfRule type="expression" dxfId="8" priority="248" stopIfTrue="1">
      <formula>J2449=TRUE</formula>
    </cfRule>
  </conditionalFormatting>
  <conditionalFormatting sqref="J2449:N2449">
    <cfRule type="expression" dxfId="7" priority="247" stopIfTrue="1">
      <formula>J2449=TRUE</formula>
    </cfRule>
  </conditionalFormatting>
  <conditionalFormatting sqref="J2454:N2455">
    <cfRule type="expression" dxfId="6" priority="244" stopIfTrue="1">
      <formula>J2439&lt;&gt;J2454</formula>
    </cfRule>
  </conditionalFormatting>
  <conditionalFormatting sqref="J2474:N2476">
    <cfRule type="expression" dxfId="5" priority="241" stopIfTrue="1">
      <formula>J2474=TRUE</formula>
    </cfRule>
  </conditionalFormatting>
  <conditionalFormatting sqref="J2483:N2483">
    <cfRule type="expression" dxfId="4" priority="237" stopIfTrue="1">
      <formula>J2484=TRUE</formula>
    </cfRule>
  </conditionalFormatting>
  <conditionalFormatting sqref="J2484:N2484">
    <cfRule type="expression" dxfId="3" priority="238" stopIfTrue="1">
      <formula>J2484=TRUE</formula>
    </cfRule>
  </conditionalFormatting>
  <conditionalFormatting sqref="J2487:N2487">
    <cfRule type="expression" dxfId="2" priority="240" stopIfTrue="1">
      <formula>J2488=TRUE</formula>
    </cfRule>
  </conditionalFormatting>
  <conditionalFormatting sqref="J2488:N2488">
    <cfRule type="expression" dxfId="1" priority="239" stopIfTrue="1">
      <formula>J2488=TRUE</formula>
    </cfRule>
  </conditionalFormatting>
  <conditionalFormatting sqref="J2493:N2494">
    <cfRule type="expression" dxfId="0" priority="236" stopIfTrue="1">
      <formula>J2478&lt;&gt;J2493</formula>
    </cfRule>
  </conditionalFormatting>
  <hyperlinks>
    <hyperlink ref="G2:H2" location="a_Contents!B5" display="Table of contents" xr:uid="{B5494128-CE1E-421D-8603-CF25F98B7CE8}"/>
    <hyperlink ref="I2:J2" location="J_Comments!B5" display="Previous sheet" xr:uid="{1339E77D-FFBC-480A-913D-ED780B3AC22C}"/>
    <hyperlink ref="E3:F3" location="K_Summary!B5" display="Top of sheet" xr:uid="{AE6A5026-6060-45EC-A63F-AD0ADA27926B}"/>
    <hyperlink ref="E4:F4" location="K_Summary!B2747" display="End of sheet" xr:uid="{CDB01733-C7EF-4B17-8BEA-FD90480FD574}"/>
    <hyperlink ref="G3:H3" location="K_Summary!D8" display="Installation data" xr:uid="{744FA34C-745E-453C-8853-A3F19D12FA69}"/>
    <hyperlink ref="M3:N3" location="K_Summary!D450" display="Sub-installation Data" xr:uid="{8A2748F8-B9AC-4D8A-B16D-2B5737D13BF9}"/>
    <hyperlink ref="I3:J3" location="K_Summary!D47" display="Baseline Period &amp; Eligibility" xr:uid="{26DE81AD-DD16-4AC8-92A9-4D4CE7264269}"/>
    <hyperlink ref="K3:L3" location="K_Summary!D59" display="Emissions &amp; Energy Flows" xr:uid="{27693D03-F014-41BF-BCCF-B6C874F030CD}"/>
    <hyperlink ref="G4:H4" location="K_Summary!D2502" display="Preliminary allocation" xr:uid="{E413CC41-5660-41E3-860F-45B5928BCF06}"/>
  </hyperlinks>
  <pageMargins left="0.78740157480314965" right="0.78740157480314965" top="0.78740157480314965" bottom="0.78740157480314965" header="0.51181102362204722" footer="0.51181102362204722"/>
  <pageSetup paperSize="9" scale="56" fitToHeight="30" orientation="portrait" r:id="rId1"/>
  <headerFooter alignWithMargins="0">
    <oddHeader>&amp;L&amp;F; &amp;A&amp;R&amp;D; &amp;T</oddHeader>
    <oddFooter>&amp;C&amp;P / &amp;N</oddFooter>
  </headerFooter>
  <rowBreaks count="7" manualBreakCount="7">
    <brk id="71" min="2" max="13" man="1"/>
    <brk id="129" min="2" max="13" man="1"/>
    <brk id="207" min="2" max="13" man="1"/>
    <brk id="349" min="2" max="13" man="1"/>
    <brk id="448" min="2" max="13" man="1"/>
    <brk id="475" min="2" max="13" man="1"/>
    <brk id="582" min="2" max="13" man="1"/>
  </rowBreaks>
  <ignoredErrors>
    <ignoredError sqref="J2484:N2484 J2445:N2445" 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tabColor indexed="12"/>
    <pageSetUpPr fitToPage="1"/>
  </sheetPr>
  <dimension ref="A1:S311"/>
  <sheetViews>
    <sheetView topLeftCell="A49" zoomScaleNormal="100" workbookViewId="0">
      <selection activeCell="C70" sqref="C70"/>
    </sheetView>
  </sheetViews>
  <sheetFormatPr defaultColWidth="11.42578125" defaultRowHeight="12.75"/>
  <cols>
    <col min="1" max="1" width="54.42578125" customWidth="1"/>
    <col min="2" max="2" width="7.42578125" customWidth="1"/>
    <col min="3" max="3" width="14.42578125" customWidth="1"/>
    <col min="4" max="4" width="9.7109375" customWidth="1"/>
    <col min="5" max="5" width="47.42578125" customWidth="1"/>
    <col min="6" max="6" width="7.5703125" customWidth="1"/>
    <col min="7" max="7" width="8.7109375" customWidth="1"/>
    <col min="8" max="8" width="14.5703125" customWidth="1"/>
    <col min="9" max="10" width="11.42578125" customWidth="1"/>
    <col min="11" max="11" width="10" customWidth="1"/>
    <col min="12" max="12" width="9" customWidth="1"/>
    <col min="13" max="13" width="10.5703125" customWidth="1"/>
    <col min="14" max="15" width="9.28515625" customWidth="1"/>
    <col min="16" max="16" width="8.7109375" customWidth="1"/>
    <col min="17" max="17" width="10.7109375" customWidth="1"/>
    <col min="19" max="19" width="10.5703125" customWidth="1"/>
  </cols>
  <sheetData>
    <row r="1" spans="1:12">
      <c r="A1" s="2253" t="s">
        <v>869</v>
      </c>
      <c r="B1" s="2253" t="s">
        <v>870</v>
      </c>
      <c r="C1" s="2253" t="s">
        <v>871</v>
      </c>
      <c r="D1" s="2254"/>
      <c r="E1" s="2254"/>
      <c r="F1" s="2254"/>
      <c r="G1" s="2254"/>
      <c r="H1" s="2254"/>
    </row>
    <row r="2" spans="1:12">
      <c r="A2" s="2255" t="s">
        <v>1395</v>
      </c>
      <c r="B2" s="2256" t="b">
        <v>1</v>
      </c>
    </row>
    <row r="3" spans="1:12">
      <c r="A3" t="s">
        <v>872</v>
      </c>
      <c r="B3" s="2257">
        <v>2021</v>
      </c>
      <c r="C3" s="1249">
        <f>B3+1</f>
        <v>2022</v>
      </c>
      <c r="D3" s="1249">
        <f>C3+1</f>
        <v>2023</v>
      </c>
      <c r="E3" s="1249">
        <f>D3+1</f>
        <v>2024</v>
      </c>
      <c r="F3" s="1249">
        <f>E3+1</f>
        <v>2025</v>
      </c>
    </row>
    <row r="4" spans="1:12">
      <c r="A4" s="528" t="s">
        <v>1695</v>
      </c>
      <c r="B4" s="2257">
        <f>B3+5</f>
        <v>2026</v>
      </c>
      <c r="C4" s="2257">
        <f>C3+5</f>
        <v>2027</v>
      </c>
      <c r="D4" s="2257">
        <f>D3+5</f>
        <v>2028</v>
      </c>
      <c r="E4" s="2257">
        <f>E3+5</f>
        <v>2029</v>
      </c>
      <c r="F4" s="2257">
        <f>F3+5</f>
        <v>2030</v>
      </c>
    </row>
    <row r="5" spans="1:12">
      <c r="A5" s="528" t="s">
        <v>1165</v>
      </c>
      <c r="B5" s="2257">
        <v>2021</v>
      </c>
      <c r="C5" s="1249">
        <f t="shared" ref="C5:K5" si="0">B5+1</f>
        <v>2022</v>
      </c>
      <c r="D5" s="1249">
        <f t="shared" si="0"/>
        <v>2023</v>
      </c>
      <c r="E5" s="1249">
        <f t="shared" si="0"/>
        <v>2024</v>
      </c>
      <c r="F5" s="1249">
        <f t="shared" si="0"/>
        <v>2025</v>
      </c>
      <c r="G5" s="1249">
        <f t="shared" si="0"/>
        <v>2026</v>
      </c>
      <c r="H5" s="1249">
        <f t="shared" si="0"/>
        <v>2027</v>
      </c>
      <c r="I5" s="1249">
        <f t="shared" si="0"/>
        <v>2028</v>
      </c>
      <c r="J5" s="1249">
        <f t="shared" si="0"/>
        <v>2029</v>
      </c>
      <c r="K5" s="1249">
        <f t="shared" si="0"/>
        <v>2030</v>
      </c>
      <c r="L5">
        <v>2031</v>
      </c>
    </row>
    <row r="6" spans="1:12">
      <c r="A6" t="s">
        <v>912</v>
      </c>
      <c r="B6" s="1249" t="s">
        <v>1693</v>
      </c>
      <c r="C6" s="1249" t="s">
        <v>1694</v>
      </c>
      <c r="D6" s="467"/>
      <c r="E6" s="467"/>
      <c r="F6" s="467"/>
      <c r="G6" s="467"/>
    </row>
    <row r="7" spans="1:12">
      <c r="A7" t="s">
        <v>1016</v>
      </c>
      <c r="B7" s="2257" t="b">
        <v>1</v>
      </c>
      <c r="C7" s="2257" t="b">
        <v>0</v>
      </c>
    </row>
    <row r="8" spans="1:12">
      <c r="A8" t="s">
        <v>1017</v>
      </c>
      <c r="B8" s="2257" t="b">
        <v>1</v>
      </c>
      <c r="C8" s="2257" t="b">
        <v>0</v>
      </c>
      <c r="D8" s="2258" t="str">
        <f>EUconst_NA</f>
        <v>N.A.</v>
      </c>
    </row>
    <row r="9" spans="1:12">
      <c r="A9" t="s">
        <v>43</v>
      </c>
      <c r="B9" s="2257" t="s">
        <v>44</v>
      </c>
      <c r="C9" s="2257" t="s">
        <v>45</v>
      </c>
    </row>
    <row r="10" spans="1:12">
      <c r="A10" s="2255" t="s">
        <v>1768</v>
      </c>
      <c r="B10" s="1249" t="s">
        <v>2071</v>
      </c>
      <c r="C10" s="1249" t="s">
        <v>1769</v>
      </c>
    </row>
    <row r="11" spans="1:12">
      <c r="A11" t="s">
        <v>272</v>
      </c>
      <c r="B11" s="2257" t="s">
        <v>1015</v>
      </c>
    </row>
    <row r="12" spans="1:12">
      <c r="A12" t="s">
        <v>87</v>
      </c>
      <c r="B12" s="2257" t="s">
        <v>2090</v>
      </c>
    </row>
    <row r="13" spans="1:12">
      <c r="A13" t="s">
        <v>463</v>
      </c>
      <c r="B13" s="2257" t="s">
        <v>884</v>
      </c>
    </row>
    <row r="14" spans="1:12">
      <c r="A14" t="s">
        <v>446</v>
      </c>
      <c r="B14" s="2257" t="s">
        <v>447</v>
      </c>
    </row>
    <row r="15" spans="1:12">
      <c r="A15" t="s">
        <v>900</v>
      </c>
      <c r="B15" s="2257" t="s">
        <v>901</v>
      </c>
    </row>
    <row r="16" spans="1:12">
      <c r="A16" t="s">
        <v>127</v>
      </c>
      <c r="B16" s="2257" t="s">
        <v>128</v>
      </c>
    </row>
    <row r="17" spans="1:2">
      <c r="A17" t="s">
        <v>449</v>
      </c>
      <c r="B17" s="2257" t="s">
        <v>448</v>
      </c>
    </row>
    <row r="18" spans="1:2">
      <c r="A18" t="s">
        <v>109</v>
      </c>
      <c r="B18" s="2257" t="s">
        <v>1528</v>
      </c>
    </row>
    <row r="19" spans="1:2">
      <c r="A19" t="s">
        <v>827</v>
      </c>
      <c r="B19" s="2257" t="s">
        <v>826</v>
      </c>
    </row>
    <row r="20" spans="1:2">
      <c r="A20" t="s">
        <v>829</v>
      </c>
      <c r="B20" s="2257" t="s">
        <v>1020</v>
      </c>
    </row>
    <row r="21" spans="1:2">
      <c r="A21" t="s">
        <v>285</v>
      </c>
      <c r="B21" s="2257" t="s">
        <v>283</v>
      </c>
    </row>
    <row r="22" spans="1:2">
      <c r="A22" t="s">
        <v>464</v>
      </c>
      <c r="B22" s="2257" t="s">
        <v>465</v>
      </c>
    </row>
    <row r="23" spans="1:2">
      <c r="A23" t="s">
        <v>286</v>
      </c>
      <c r="B23" s="2257" t="s">
        <v>284</v>
      </c>
    </row>
    <row r="24" spans="1:2">
      <c r="A24" t="s">
        <v>470</v>
      </c>
      <c r="B24" s="2257" t="s">
        <v>471</v>
      </c>
    </row>
    <row r="25" spans="1:2">
      <c r="A25" t="s">
        <v>472</v>
      </c>
      <c r="B25" s="2257" t="s">
        <v>473</v>
      </c>
    </row>
    <row r="26" spans="1:2">
      <c r="A26" t="s">
        <v>143</v>
      </c>
      <c r="B26" s="2257" t="str">
        <f>EUconst_TJ&amp;" / "&amp;EUconst_Year</f>
        <v>TJ / year</v>
      </c>
    </row>
    <row r="27" spans="1:2">
      <c r="A27" t="s">
        <v>466</v>
      </c>
      <c r="B27" s="2257" t="s">
        <v>467</v>
      </c>
    </row>
    <row r="28" spans="1:2">
      <c r="A28" t="s">
        <v>137</v>
      </c>
      <c r="B28" s="2257" t="str">
        <f>EUconst_MWh&amp;" / "&amp;EUconst_Year</f>
        <v>MWh / year</v>
      </c>
    </row>
    <row r="29" spans="1:2">
      <c r="A29" t="s">
        <v>468</v>
      </c>
      <c r="B29" s="2257" t="s">
        <v>469</v>
      </c>
    </row>
    <row r="30" spans="1:2">
      <c r="A30" t="s">
        <v>138</v>
      </c>
      <c r="B30" s="2257" t="str">
        <f>EUconst_t&amp;" / "&amp;EUconst_Year</f>
        <v>t / year</v>
      </c>
    </row>
    <row r="31" spans="1:2">
      <c r="A31" t="s">
        <v>88</v>
      </c>
      <c r="B31" s="2257" t="str">
        <f>EUconst_EUA&amp;" / "&amp;EUconst_Year</f>
        <v>UKA / year</v>
      </c>
    </row>
    <row r="32" spans="1:2">
      <c r="A32" t="s">
        <v>89</v>
      </c>
      <c r="B32" s="2257" t="str">
        <f>EUconst_EUA&amp;" / "&amp;EUconst_t</f>
        <v>UKA / t</v>
      </c>
    </row>
    <row r="33" spans="1:5">
      <c r="A33" t="s">
        <v>139</v>
      </c>
      <c r="B33" s="2257" t="str">
        <f>EUconst_GJ&amp;" / "&amp;EUconst_t</f>
        <v>GJ / t</v>
      </c>
    </row>
    <row r="34" spans="1:5">
      <c r="A34" t="s">
        <v>903</v>
      </c>
      <c r="B34" s="2257" t="str">
        <f>EUconst_GJ&amp;" / "&amp;EUconst_Year</f>
        <v>GJ / year</v>
      </c>
    </row>
    <row r="35" spans="1:5">
      <c r="A35" t="s">
        <v>140</v>
      </c>
      <c r="B35" s="2257" t="str">
        <f>EUconst_tCO2&amp;" / "&amp;EUconst_TJ</f>
        <v>t CO2 / TJ</v>
      </c>
    </row>
    <row r="36" spans="1:5">
      <c r="A36" t="s">
        <v>141</v>
      </c>
      <c r="B36" s="2257" t="str">
        <f>EUconst_tCO2&amp;" / "&amp;EUconst_Year</f>
        <v>t CO2 / year</v>
      </c>
    </row>
    <row r="37" spans="1:5">
      <c r="A37" t="s">
        <v>142</v>
      </c>
      <c r="B37" s="2257" t="str">
        <f>EUconst_tCO2&amp;" / "&amp;EUconst_t</f>
        <v>t CO2 / t</v>
      </c>
    </row>
    <row r="38" spans="1:5">
      <c r="A38" t="s">
        <v>144</v>
      </c>
      <c r="B38" s="2257" t="str">
        <f>EUconst_tN2O&amp;" / "&amp;EUconst_Year</f>
        <v>t N2O / year</v>
      </c>
    </row>
    <row r="39" spans="1:5">
      <c r="A39" t="s">
        <v>145</v>
      </c>
      <c r="B39" s="2257" t="s">
        <v>936</v>
      </c>
    </row>
    <row r="40" spans="1:5">
      <c r="A40" t="s">
        <v>146</v>
      </c>
      <c r="B40" s="2257" t="str">
        <f>EUconst_tCO2e&amp;"/"&amp;EUconst_Year</f>
        <v>t CO2e/year</v>
      </c>
    </row>
    <row r="41" spans="1:5">
      <c r="A41" t="s">
        <v>147</v>
      </c>
      <c r="B41" s="2257" t="str">
        <f>EUconst_tCO2e&amp;"/"&amp;EUconst_t</f>
        <v>t CO2e/t</v>
      </c>
    </row>
    <row r="42" spans="1:5">
      <c r="A42" t="s">
        <v>474</v>
      </c>
      <c r="B42" s="2257" t="s">
        <v>475</v>
      </c>
    </row>
    <row r="43" spans="1:5">
      <c r="A43" t="s">
        <v>148</v>
      </c>
      <c r="B43" s="2257" t="str">
        <f>"% "&amp;EUconst_Or&amp;" "&amp;EUconst_TJpa</f>
        <v>% or TJ / year</v>
      </c>
    </row>
    <row r="44" spans="1:5">
      <c r="A44" t="s">
        <v>149</v>
      </c>
      <c r="B44" s="2257" t="str">
        <f>"% "&amp;EUconst_Or&amp;" "&amp;EUconst_MWhpa</f>
        <v>% or MWh / year</v>
      </c>
    </row>
    <row r="45" spans="1:5">
      <c r="A45" t="s">
        <v>150</v>
      </c>
      <c r="B45" s="2257" t="str">
        <f>"% "&amp;EUconst_Or&amp;" "&amp;EUconst_tCO2pa</f>
        <v>% or t CO2 / year</v>
      </c>
    </row>
    <row r="46" spans="1:5">
      <c r="A46" t="s">
        <v>534</v>
      </c>
      <c r="B46" s="2257" t="s">
        <v>530</v>
      </c>
      <c r="C46" s="2257" t="s">
        <v>531</v>
      </c>
      <c r="D46" s="2257" t="s">
        <v>1009</v>
      </c>
      <c r="E46" s="2257" t="s">
        <v>532</v>
      </c>
    </row>
    <row r="47" spans="1:5">
      <c r="A47" t="s">
        <v>535</v>
      </c>
      <c r="B47" s="2257" t="s">
        <v>49</v>
      </c>
      <c r="C47" s="2257" t="s">
        <v>533</v>
      </c>
      <c r="D47" s="1249" t="s">
        <v>1226</v>
      </c>
      <c r="E47" s="1249" t="s">
        <v>1529</v>
      </c>
    </row>
    <row r="48" spans="1:5">
      <c r="A48" t="s">
        <v>1071</v>
      </c>
      <c r="B48" s="2257" t="s">
        <v>1072</v>
      </c>
      <c r="C48" s="2257" t="s">
        <v>533</v>
      </c>
      <c r="D48" s="2257" t="s">
        <v>1073</v>
      </c>
      <c r="E48" s="1249" t="s">
        <v>2075</v>
      </c>
    </row>
    <row r="49" spans="1:10">
      <c r="A49" t="s">
        <v>1068</v>
      </c>
      <c r="B49" s="1198" t="s">
        <v>536</v>
      </c>
      <c r="C49" s="1198" t="s">
        <v>537</v>
      </c>
    </row>
    <row r="50" spans="1:10">
      <c r="A50" t="s">
        <v>486</v>
      </c>
      <c r="B50" s="2257" t="s">
        <v>487</v>
      </c>
    </row>
    <row r="51" spans="1:10">
      <c r="A51" t="s">
        <v>489</v>
      </c>
      <c r="B51" s="2257" t="s">
        <v>490</v>
      </c>
      <c r="C51" s="2257" t="s">
        <v>1007</v>
      </c>
      <c r="D51" s="2257" t="s">
        <v>491</v>
      </c>
      <c r="E51" s="2257" t="s">
        <v>492</v>
      </c>
      <c r="F51" s="2257" t="s">
        <v>493</v>
      </c>
    </row>
    <row r="52" spans="1:10">
      <c r="A52" t="s">
        <v>27</v>
      </c>
      <c r="B52" s="2257" t="s">
        <v>490</v>
      </c>
      <c r="C52" s="2257" t="s">
        <v>1007</v>
      </c>
      <c r="D52" s="2257" t="s">
        <v>491</v>
      </c>
      <c r="E52" s="2257" t="s">
        <v>492</v>
      </c>
    </row>
    <row r="53" spans="1:10">
      <c r="A53" t="s">
        <v>952</v>
      </c>
      <c r="B53" s="1198" t="s">
        <v>953</v>
      </c>
      <c r="C53" s="1198" t="s">
        <v>954</v>
      </c>
      <c r="D53" s="1249" t="s">
        <v>1341</v>
      </c>
      <c r="E53" s="2257" t="s">
        <v>955</v>
      </c>
      <c r="F53" s="2257" t="s">
        <v>956</v>
      </c>
      <c r="G53" s="2257" t="s">
        <v>957</v>
      </c>
      <c r="H53" s="2257" t="s">
        <v>994</v>
      </c>
      <c r="I53" s="2257" t="s">
        <v>995</v>
      </c>
      <c r="J53" s="2257" t="s">
        <v>645</v>
      </c>
    </row>
    <row r="54" spans="1:10">
      <c r="A54" t="s">
        <v>917</v>
      </c>
      <c r="B54" s="2259">
        <f>S304</f>
        <v>47.3</v>
      </c>
      <c r="C54" s="1116"/>
    </row>
    <row r="55" spans="1:10">
      <c r="A55" t="s">
        <v>918</v>
      </c>
      <c r="B55" s="1198">
        <v>0.376</v>
      </c>
      <c r="C55" s="1116"/>
    </row>
    <row r="56" spans="1:10">
      <c r="A56" t="s">
        <v>943</v>
      </c>
      <c r="B56" s="2259">
        <f>S307</f>
        <v>42.6</v>
      </c>
      <c r="C56" s="1116"/>
    </row>
    <row r="57" spans="1:10">
      <c r="A57" t="s">
        <v>1384</v>
      </c>
      <c r="B57" s="2260">
        <v>2E-3</v>
      </c>
      <c r="C57" s="2260">
        <v>1.6E-2</v>
      </c>
    </row>
    <row r="58" spans="1:10">
      <c r="A58" t="s">
        <v>651</v>
      </c>
      <c r="B58" s="1198" t="s">
        <v>653</v>
      </c>
      <c r="C58" s="1116"/>
    </row>
    <row r="59" spans="1:10">
      <c r="A59" t="s">
        <v>652</v>
      </c>
      <c r="B59" s="1198" t="s">
        <v>654</v>
      </c>
      <c r="C59" s="1116"/>
    </row>
    <row r="60" spans="1:10">
      <c r="A60" t="s">
        <v>1056</v>
      </c>
      <c r="B60" s="1198" t="str">
        <f>EUconst_Relevant</f>
        <v>relevant</v>
      </c>
      <c r="C60" s="1198" t="str">
        <f>EUconst_NotRelevant</f>
        <v>not relevant</v>
      </c>
    </row>
    <row r="61" spans="1:10">
      <c r="A61" t="s">
        <v>1059</v>
      </c>
      <c r="B61" s="1198" t="s">
        <v>1057</v>
      </c>
      <c r="C61" s="1198" t="s">
        <v>1058</v>
      </c>
    </row>
    <row r="62" spans="1:10">
      <c r="A62" t="s">
        <v>659</v>
      </c>
      <c r="B62" s="1198" t="str">
        <f>"1000Nm3/"&amp;EUconst_Year</f>
        <v>1000Nm3/year</v>
      </c>
      <c r="C62" s="1116"/>
    </row>
    <row r="63" spans="1:10">
      <c r="A63" t="s">
        <v>660</v>
      </c>
      <c r="B63" s="1198" t="str">
        <f>EUconst_tpa</f>
        <v>t / year</v>
      </c>
      <c r="C63" s="1198" t="str">
        <f>B62</f>
        <v>1000Nm3/year</v>
      </c>
    </row>
    <row r="64" spans="1:10">
      <c r="A64" t="s">
        <v>663</v>
      </c>
      <c r="B64" s="1198" t="str">
        <f>EUconst_GJpt</f>
        <v>GJ / t</v>
      </c>
      <c r="C64" s="1198" t="s">
        <v>664</v>
      </c>
    </row>
    <row r="65" spans="1:4">
      <c r="A65" t="s">
        <v>34</v>
      </c>
      <c r="B65" s="1198" t="str">
        <f>EUconst_tCO2pTJ</f>
        <v>t CO2 / TJ</v>
      </c>
      <c r="C65" s="1198" t="str">
        <f>B66</f>
        <v>t CO2/1000Nm3</v>
      </c>
      <c r="D65" s="2257" t="str">
        <f>EUconst_tCO2pt</f>
        <v>t CO2 / t</v>
      </c>
    </row>
    <row r="66" spans="1:4">
      <c r="A66" t="s">
        <v>987</v>
      </c>
      <c r="B66" s="1198" t="str">
        <f>EUconst_tCO2 &amp; "/1000Nm3"</f>
        <v>t CO2/1000Nm3</v>
      </c>
      <c r="C66" s="1198"/>
      <c r="D66" s="2257"/>
    </row>
    <row r="67" spans="1:4">
      <c r="A67" t="s">
        <v>665</v>
      </c>
      <c r="B67" s="1198" t="str">
        <f>EUconst_GJ&amp;" / "&amp;EUconst_Unit</f>
        <v>GJ / Unit</v>
      </c>
      <c r="C67" s="1116"/>
    </row>
    <row r="68" spans="1:4">
      <c r="A68" t="s">
        <v>863</v>
      </c>
      <c r="B68" s="1198" t="str">
        <f>"MNm3/"&amp;EUconst_Year</f>
        <v>MNm3/year</v>
      </c>
      <c r="C68" s="1116"/>
    </row>
    <row r="69" spans="1:4">
      <c r="A69" t="s">
        <v>424</v>
      </c>
      <c r="B69" s="1198" t="str">
        <f>"CWT / "&amp;EUconst_Year</f>
        <v>CWT / year</v>
      </c>
      <c r="C69" s="1116"/>
    </row>
    <row r="70" spans="1:4">
      <c r="A70" t="s">
        <v>236</v>
      </c>
      <c r="B70" s="1198" t="s">
        <v>235</v>
      </c>
      <c r="C70" s="1116"/>
    </row>
    <row r="71" spans="1:4">
      <c r="A71" t="s">
        <v>1076</v>
      </c>
      <c r="B71" s="1435" t="s">
        <v>2754</v>
      </c>
    </row>
    <row r="72" spans="1:4">
      <c r="A72" t="s">
        <v>1078</v>
      </c>
      <c r="B72" s="1435" t="s">
        <v>2755</v>
      </c>
    </row>
    <row r="73" spans="1:4">
      <c r="A73" t="s">
        <v>297</v>
      </c>
      <c r="B73" s="1435" t="s">
        <v>2287</v>
      </c>
    </row>
    <row r="74" spans="1:4">
      <c r="A74" t="s">
        <v>386</v>
      </c>
      <c r="B74" s="1198" t="s">
        <v>383</v>
      </c>
      <c r="C74" s="1116"/>
    </row>
    <row r="75" spans="1:4">
      <c r="A75" s="528" t="s">
        <v>1271</v>
      </c>
      <c r="B75" s="1435" t="s">
        <v>1272</v>
      </c>
      <c r="C75" s="1116"/>
    </row>
    <row r="76" spans="1:4">
      <c r="A76" t="s">
        <v>387</v>
      </c>
      <c r="B76" s="1198" t="s">
        <v>384</v>
      </c>
      <c r="C76" s="1116"/>
    </row>
    <row r="77" spans="1:4">
      <c r="A77" t="s">
        <v>388</v>
      </c>
      <c r="B77" s="1198" t="s">
        <v>385</v>
      </c>
      <c r="C77" s="1116"/>
    </row>
    <row r="78" spans="1:4">
      <c r="A78" t="s">
        <v>389</v>
      </c>
      <c r="B78" s="1198" t="s">
        <v>391</v>
      </c>
      <c r="C78" s="1116"/>
    </row>
    <row r="79" spans="1:4">
      <c r="A79" t="s">
        <v>390</v>
      </c>
      <c r="B79" s="1198" t="s">
        <v>392</v>
      </c>
      <c r="C79" s="1116"/>
    </row>
    <row r="80" spans="1:4">
      <c r="A80" s="528" t="s">
        <v>1721</v>
      </c>
      <c r="B80" s="1435" t="s">
        <v>1722</v>
      </c>
      <c r="C80" s="1116"/>
    </row>
    <row r="81" spans="1:3">
      <c r="A81" s="2261" t="s">
        <v>1729</v>
      </c>
      <c r="B81" s="1435" t="s">
        <v>1730</v>
      </c>
      <c r="C81" s="1116"/>
    </row>
    <row r="82" spans="1:3">
      <c r="A82" t="s">
        <v>547</v>
      </c>
      <c r="B82" s="1198" t="s">
        <v>548</v>
      </c>
      <c r="C82" s="1116"/>
    </row>
    <row r="83" spans="1:3">
      <c r="A83" s="2261" t="s">
        <v>1661</v>
      </c>
      <c r="B83" s="1435" t="s">
        <v>1662</v>
      </c>
      <c r="C83" s="1116"/>
    </row>
    <row r="84" spans="1:3">
      <c r="A84" s="2255" t="s">
        <v>1663</v>
      </c>
      <c r="B84" s="1435" t="s">
        <v>1664</v>
      </c>
      <c r="C84" s="1116"/>
    </row>
    <row r="85" spans="1:3">
      <c r="A85" t="s">
        <v>121</v>
      </c>
      <c r="B85" s="1198" t="s">
        <v>120</v>
      </c>
      <c r="C85" s="1116"/>
    </row>
    <row r="86" spans="1:3">
      <c r="A86" s="2255" t="s">
        <v>1718</v>
      </c>
      <c r="B86" s="1435" t="s">
        <v>1717</v>
      </c>
      <c r="C86" s="1116"/>
    </row>
    <row r="87" spans="1:3">
      <c r="A87" s="2255" t="s">
        <v>1735</v>
      </c>
      <c r="B87" s="1435" t="s">
        <v>1736</v>
      </c>
      <c r="C87" s="1116"/>
    </row>
    <row r="88" spans="1:3">
      <c r="A88" t="s">
        <v>549</v>
      </c>
      <c r="B88" s="1198" t="s">
        <v>550</v>
      </c>
      <c r="C88" s="1116"/>
    </row>
    <row r="89" spans="1:3">
      <c r="A89" s="2255" t="s">
        <v>1666</v>
      </c>
      <c r="B89" s="1435" t="s">
        <v>1669</v>
      </c>
      <c r="C89" s="1116"/>
    </row>
    <row r="90" spans="1:3">
      <c r="A90" s="2255" t="s">
        <v>1667</v>
      </c>
      <c r="B90" s="1435" t="s">
        <v>1668</v>
      </c>
      <c r="C90" s="1116"/>
    </row>
    <row r="91" spans="1:3">
      <c r="A91" s="2255" t="s">
        <v>1733</v>
      </c>
      <c r="B91" s="1435" t="s">
        <v>1734</v>
      </c>
      <c r="C91" s="1116"/>
    </row>
    <row r="92" spans="1:3">
      <c r="A92" t="s">
        <v>205</v>
      </c>
      <c r="B92" s="1198" t="s">
        <v>206</v>
      </c>
      <c r="C92" s="1116"/>
    </row>
    <row r="93" spans="1:3">
      <c r="A93" s="2255" t="s">
        <v>1680</v>
      </c>
      <c r="B93" s="1435" t="s">
        <v>1682</v>
      </c>
      <c r="C93" s="1116"/>
    </row>
    <row r="94" spans="1:3">
      <c r="A94" s="2255" t="s">
        <v>1681</v>
      </c>
      <c r="B94" s="1435" t="s">
        <v>1683</v>
      </c>
      <c r="C94" s="1116"/>
    </row>
    <row r="95" spans="1:3">
      <c r="A95" s="528" t="s">
        <v>1740</v>
      </c>
      <c r="B95" s="1435" t="s">
        <v>1739</v>
      </c>
      <c r="C95" s="1116"/>
    </row>
    <row r="96" spans="1:3">
      <c r="A96" t="s">
        <v>207</v>
      </c>
      <c r="B96" s="1198" t="s">
        <v>208</v>
      </c>
      <c r="C96" s="1116"/>
    </row>
    <row r="97" spans="1:3">
      <c r="A97" s="528" t="s">
        <v>1724</v>
      </c>
      <c r="B97" s="1435" t="s">
        <v>1726</v>
      </c>
      <c r="C97" s="1116"/>
    </row>
    <row r="98" spans="1:3">
      <c r="A98" s="528" t="s">
        <v>1725</v>
      </c>
      <c r="B98" s="1435" t="s">
        <v>1727</v>
      </c>
      <c r="C98" s="1116"/>
    </row>
    <row r="99" spans="1:3">
      <c r="A99" s="2255" t="s">
        <v>1737</v>
      </c>
      <c r="B99" s="1435" t="s">
        <v>1738</v>
      </c>
      <c r="C99" s="1116"/>
    </row>
    <row r="100" spans="1:3">
      <c r="A100" t="s">
        <v>211</v>
      </c>
      <c r="B100" s="1198" t="s">
        <v>212</v>
      </c>
      <c r="C100" s="1116"/>
    </row>
    <row r="101" spans="1:3">
      <c r="A101" s="2255" t="s">
        <v>1685</v>
      </c>
      <c r="B101" s="1435" t="s">
        <v>1687</v>
      </c>
      <c r="C101" s="1116"/>
    </row>
    <row r="102" spans="1:3">
      <c r="A102" s="2255" t="s">
        <v>1686</v>
      </c>
      <c r="B102" s="1435" t="s">
        <v>1688</v>
      </c>
      <c r="C102" s="1116"/>
    </row>
    <row r="103" spans="1:3">
      <c r="A103" t="s">
        <v>91</v>
      </c>
      <c r="B103" s="1198" t="s">
        <v>92</v>
      </c>
      <c r="C103" s="1116"/>
    </row>
    <row r="104" spans="1:3">
      <c r="A104" s="2255" t="s">
        <v>1792</v>
      </c>
      <c r="B104" s="1435" t="s">
        <v>1793</v>
      </c>
      <c r="C104" s="1116"/>
    </row>
    <row r="105" spans="1:3">
      <c r="A105" s="2255" t="s">
        <v>1706</v>
      </c>
      <c r="B105" s="1435" t="s">
        <v>1705</v>
      </c>
      <c r="C105" s="1116"/>
    </row>
    <row r="106" spans="1:3">
      <c r="A106" s="2255" t="s">
        <v>1707</v>
      </c>
      <c r="B106" s="1435" t="s">
        <v>1708</v>
      </c>
      <c r="C106" s="1116"/>
    </row>
    <row r="107" spans="1:3">
      <c r="A107" t="s">
        <v>1039</v>
      </c>
      <c r="B107" s="1198" t="s">
        <v>1040</v>
      </c>
      <c r="C107" s="1116"/>
    </row>
    <row r="108" spans="1:3">
      <c r="A108" s="2261" t="s">
        <v>1731</v>
      </c>
      <c r="B108" s="1198" t="s">
        <v>1732</v>
      </c>
      <c r="C108" s="1116"/>
    </row>
    <row r="109" spans="1:3">
      <c r="A109" t="s">
        <v>1210</v>
      </c>
      <c r="B109" s="1435" t="s">
        <v>1211</v>
      </c>
      <c r="C109" s="1116"/>
    </row>
    <row r="110" spans="1:3">
      <c r="A110" t="s">
        <v>690</v>
      </c>
      <c r="B110" s="1198" t="s">
        <v>691</v>
      </c>
      <c r="C110" s="1116"/>
    </row>
    <row r="111" spans="1:3">
      <c r="A111" t="s">
        <v>381</v>
      </c>
      <c r="B111" s="1198" t="s">
        <v>382</v>
      </c>
      <c r="C111" s="1116"/>
    </row>
    <row r="112" spans="1:3">
      <c r="A112" t="s">
        <v>985</v>
      </c>
      <c r="B112" s="1198" t="s">
        <v>986</v>
      </c>
      <c r="C112" s="1116"/>
    </row>
    <row r="113" spans="1:3">
      <c r="A113" t="s">
        <v>718</v>
      </c>
      <c r="B113" s="2257" t="s">
        <v>719</v>
      </c>
    </row>
    <row r="114" spans="1:3">
      <c r="A114" t="s">
        <v>454</v>
      </c>
      <c r="B114" s="2257" t="s">
        <v>455</v>
      </c>
    </row>
    <row r="115" spans="1:3">
      <c r="A115" t="s">
        <v>568</v>
      </c>
      <c r="B115" s="1249" t="s">
        <v>2076</v>
      </c>
    </row>
    <row r="116" spans="1:3">
      <c r="A116" t="s">
        <v>748</v>
      </c>
      <c r="B116" s="1198" t="s">
        <v>749</v>
      </c>
      <c r="C116" s="1116"/>
    </row>
    <row r="117" spans="1:3">
      <c r="A117" t="s">
        <v>784</v>
      </c>
      <c r="B117" s="2257" t="s">
        <v>968</v>
      </c>
    </row>
    <row r="118" spans="1:3">
      <c r="A118" t="s">
        <v>785</v>
      </c>
      <c r="B118" s="2257" t="s">
        <v>363</v>
      </c>
    </row>
    <row r="119" spans="1:3">
      <c r="A119" s="2261" t="s">
        <v>1283</v>
      </c>
      <c r="B119" s="1198" t="s">
        <v>1282</v>
      </c>
    </row>
    <row r="120" spans="1:3">
      <c r="A120" t="s">
        <v>886</v>
      </c>
      <c r="B120" s="1435" t="s">
        <v>1631</v>
      </c>
      <c r="C120" s="1116"/>
    </row>
    <row r="121" spans="1:3">
      <c r="A121" t="s">
        <v>699</v>
      </c>
      <c r="B121" s="1435" t="s">
        <v>1948</v>
      </c>
      <c r="C121" s="1116"/>
    </row>
    <row r="122" spans="1:3">
      <c r="A122" t="s">
        <v>885</v>
      </c>
      <c r="B122" s="1435" t="s">
        <v>1941</v>
      </c>
      <c r="C122" s="1116"/>
    </row>
    <row r="123" spans="1:3">
      <c r="A123" t="s">
        <v>888</v>
      </c>
      <c r="B123" s="1198" t="s">
        <v>887</v>
      </c>
      <c r="C123" s="1116"/>
    </row>
    <row r="124" spans="1:3">
      <c r="A124" t="s">
        <v>889</v>
      </c>
      <c r="B124" s="1435" t="s">
        <v>1942</v>
      </c>
      <c r="C124" s="1116"/>
    </row>
    <row r="125" spans="1:3">
      <c r="A125" t="s">
        <v>891</v>
      </c>
      <c r="B125" s="1198" t="s">
        <v>890</v>
      </c>
      <c r="C125" s="1116"/>
    </row>
    <row r="126" spans="1:3">
      <c r="A126" t="s">
        <v>895</v>
      </c>
      <c r="B126" s="1198" t="s">
        <v>894</v>
      </c>
      <c r="C126" s="1116"/>
    </row>
    <row r="127" spans="1:3">
      <c r="A127" t="s">
        <v>897</v>
      </c>
      <c r="B127" s="1198" t="s">
        <v>896</v>
      </c>
      <c r="C127" s="1116"/>
    </row>
    <row r="128" spans="1:3">
      <c r="A128" s="528" t="s">
        <v>899</v>
      </c>
      <c r="B128" s="1198" t="s">
        <v>898</v>
      </c>
      <c r="C128" s="1116"/>
    </row>
    <row r="129" spans="1:3">
      <c r="A129" t="s">
        <v>432</v>
      </c>
      <c r="B129" s="1198" t="s">
        <v>433</v>
      </c>
      <c r="C129" s="1116"/>
    </row>
    <row r="130" spans="1:3">
      <c r="A130" t="s">
        <v>431</v>
      </c>
      <c r="B130" s="1198" t="s">
        <v>430</v>
      </c>
      <c r="C130" s="1116"/>
    </row>
    <row r="131" spans="1:3">
      <c r="A131" s="2255" t="s">
        <v>1392</v>
      </c>
      <c r="B131" s="1435" t="s">
        <v>1520</v>
      </c>
      <c r="C131" s="1116"/>
    </row>
    <row r="132" spans="1:3">
      <c r="A132" s="2255" t="s">
        <v>1870</v>
      </c>
      <c r="B132" s="1435" t="s">
        <v>1869</v>
      </c>
      <c r="C132" s="1116"/>
    </row>
    <row r="133" spans="1:3">
      <c r="A133" s="2255" t="s">
        <v>1938</v>
      </c>
      <c r="B133" s="1435" t="s">
        <v>1937</v>
      </c>
      <c r="C133" s="1116"/>
    </row>
    <row r="134" spans="1:3">
      <c r="A134" t="s">
        <v>970</v>
      </c>
      <c r="B134" s="1198" t="s">
        <v>217</v>
      </c>
      <c r="C134" s="1116"/>
    </row>
    <row r="135" spans="1:3">
      <c r="A135" s="2255" t="s">
        <v>1401</v>
      </c>
      <c r="B135" s="1435" t="s">
        <v>1400</v>
      </c>
      <c r="C135" s="1116"/>
    </row>
    <row r="136" spans="1:3">
      <c r="A136" t="s">
        <v>972</v>
      </c>
      <c r="B136" s="1198" t="s">
        <v>971</v>
      </c>
      <c r="C136" s="1116"/>
    </row>
    <row r="137" spans="1:3">
      <c r="A137" t="s">
        <v>974</v>
      </c>
      <c r="B137" s="1198" t="s">
        <v>973</v>
      </c>
      <c r="C137" s="1116"/>
    </row>
    <row r="138" spans="1:3">
      <c r="A138" t="s">
        <v>975</v>
      </c>
      <c r="B138" s="1198" t="s">
        <v>976</v>
      </c>
      <c r="C138" s="1116"/>
    </row>
    <row r="139" spans="1:3">
      <c r="A139" t="s">
        <v>440</v>
      </c>
      <c r="B139" s="1198" t="s">
        <v>439</v>
      </c>
      <c r="C139" s="1116"/>
    </row>
    <row r="140" spans="1:3">
      <c r="A140" t="s">
        <v>443</v>
      </c>
      <c r="B140" s="1198" t="s">
        <v>442</v>
      </c>
      <c r="C140" s="1116"/>
    </row>
    <row r="141" spans="1:3">
      <c r="A141" t="s">
        <v>444</v>
      </c>
      <c r="B141" s="1198" t="s">
        <v>445</v>
      </c>
      <c r="C141" s="1116"/>
    </row>
    <row r="142" spans="1:3">
      <c r="A142" t="s">
        <v>451</v>
      </c>
      <c r="B142" s="1198" t="s">
        <v>450</v>
      </c>
      <c r="C142" s="1116"/>
    </row>
    <row r="143" spans="1:3">
      <c r="A143" t="s">
        <v>769</v>
      </c>
      <c r="B143" s="1198" t="s">
        <v>768</v>
      </c>
      <c r="C143" s="1116"/>
    </row>
    <row r="144" spans="1:3">
      <c r="A144" s="528" t="s">
        <v>110</v>
      </c>
      <c r="B144" s="1198" t="s">
        <v>111</v>
      </c>
      <c r="C144" s="1116"/>
    </row>
    <row r="145" spans="1:16">
      <c r="A145" t="s">
        <v>113</v>
      </c>
      <c r="B145" s="1198" t="s">
        <v>112</v>
      </c>
      <c r="C145" s="1116"/>
    </row>
    <row r="146" spans="1:16">
      <c r="A146" t="s">
        <v>118</v>
      </c>
      <c r="B146" s="1198" t="s">
        <v>119</v>
      </c>
      <c r="C146" s="1116"/>
    </row>
    <row r="147" spans="1:16">
      <c r="A147" t="s">
        <v>181</v>
      </c>
      <c r="B147" s="1198" t="s">
        <v>180</v>
      </c>
      <c r="C147" s="1116"/>
    </row>
    <row r="148" spans="1:16">
      <c r="A148" t="s">
        <v>182</v>
      </c>
      <c r="B148" s="1198" t="s">
        <v>179</v>
      </c>
      <c r="C148" s="1116"/>
    </row>
    <row r="149" spans="1:16">
      <c r="A149" s="2255" t="s">
        <v>1086</v>
      </c>
      <c r="B149" s="1435" t="s">
        <v>1085</v>
      </c>
      <c r="C149" s="1198"/>
      <c r="D149" s="1198"/>
      <c r="E149" s="1198"/>
      <c r="F149" s="1198"/>
      <c r="G149" s="1198"/>
      <c r="H149" s="1198"/>
      <c r="I149" s="1198"/>
      <c r="J149" s="1198"/>
      <c r="K149" s="1198"/>
      <c r="L149" s="1198"/>
      <c r="M149" s="1198"/>
      <c r="N149" s="1198"/>
      <c r="O149" s="1198"/>
      <c r="P149" s="1198"/>
    </row>
    <row r="150" spans="1:16">
      <c r="A150" s="2255" t="s">
        <v>1407</v>
      </c>
      <c r="B150" s="1435" t="s">
        <v>1408</v>
      </c>
      <c r="C150" s="1198"/>
      <c r="D150" s="1198"/>
      <c r="E150" s="1198"/>
      <c r="F150" s="1198"/>
      <c r="G150" s="1198"/>
      <c r="H150" s="1198"/>
      <c r="I150" s="1198"/>
      <c r="J150" s="1198"/>
      <c r="K150" s="1198"/>
      <c r="L150" s="1198"/>
      <c r="M150" s="1198"/>
      <c r="N150" s="1198"/>
      <c r="O150" s="1198"/>
      <c r="P150" s="1198"/>
    </row>
    <row r="151" spans="1:16">
      <c r="A151" s="2255" t="s">
        <v>1523</v>
      </c>
      <c r="B151" s="1435" t="s">
        <v>1524</v>
      </c>
      <c r="C151" s="1116"/>
    </row>
    <row r="152" spans="1:16">
      <c r="A152" s="2255" t="s">
        <v>1083</v>
      </c>
      <c r="B152" s="1435" t="s">
        <v>1081</v>
      </c>
      <c r="C152" s="1116"/>
    </row>
    <row r="153" spans="1:16">
      <c r="A153" s="2255" t="s">
        <v>1091</v>
      </c>
      <c r="B153" s="1435" t="s">
        <v>1090</v>
      </c>
      <c r="C153" s="1116"/>
    </row>
    <row r="154" spans="1:16">
      <c r="A154" s="2255" t="s">
        <v>1285</v>
      </c>
      <c r="B154" s="1435" t="s">
        <v>1286</v>
      </c>
      <c r="C154" s="1116"/>
    </row>
    <row r="155" spans="1:16">
      <c r="A155" s="2255" t="s">
        <v>1410</v>
      </c>
      <c r="B155" s="1435" t="s">
        <v>1411</v>
      </c>
      <c r="C155" s="1116"/>
    </row>
    <row r="156" spans="1:16">
      <c r="A156" s="2255" t="s">
        <v>1310</v>
      </c>
      <c r="B156" s="1435" t="s">
        <v>1311</v>
      </c>
      <c r="C156" s="1116"/>
    </row>
    <row r="157" spans="1:16">
      <c r="A157" s="2255" t="s">
        <v>1412</v>
      </c>
      <c r="B157" s="1435" t="s">
        <v>1413</v>
      </c>
      <c r="C157" s="1116"/>
    </row>
    <row r="158" spans="1:16">
      <c r="A158" s="2255" t="s">
        <v>1289</v>
      </c>
      <c r="B158" s="1435" t="s">
        <v>1290</v>
      </c>
      <c r="C158" s="1116"/>
    </row>
    <row r="159" spans="1:16">
      <c r="A159" s="2255" t="s">
        <v>1414</v>
      </c>
      <c r="B159" s="1435" t="s">
        <v>1415</v>
      </c>
      <c r="C159" s="1116"/>
    </row>
    <row r="160" spans="1:16">
      <c r="A160" s="2255" t="s">
        <v>1098</v>
      </c>
      <c r="B160" s="1435" t="s">
        <v>1101</v>
      </c>
      <c r="C160" s="1116"/>
    </row>
    <row r="161" spans="1:3">
      <c r="A161" s="2255" t="s">
        <v>1099</v>
      </c>
      <c r="B161" s="1435" t="s">
        <v>1100</v>
      </c>
      <c r="C161" s="1116"/>
    </row>
    <row r="162" spans="1:3">
      <c r="A162" s="2255" t="s">
        <v>1084</v>
      </c>
      <c r="B162" s="1435" t="s">
        <v>1082</v>
      </c>
      <c r="C162" s="1116"/>
    </row>
    <row r="163" spans="1:3">
      <c r="A163" s="2255" t="s">
        <v>1088</v>
      </c>
      <c r="B163" s="1435" t="s">
        <v>1089</v>
      </c>
      <c r="C163" s="1116"/>
    </row>
    <row r="164" spans="1:3">
      <c r="A164" s="2255" t="s">
        <v>1092</v>
      </c>
      <c r="B164" s="1435" t="s">
        <v>1093</v>
      </c>
      <c r="C164" s="1116"/>
    </row>
    <row r="165" spans="1:3">
      <c r="A165" s="2255" t="s">
        <v>1094</v>
      </c>
      <c r="B165" s="1435" t="s">
        <v>1095</v>
      </c>
      <c r="C165" s="1116"/>
    </row>
    <row r="166" spans="1:3">
      <c r="A166" s="2255" t="s">
        <v>1159</v>
      </c>
      <c r="B166" s="1435" t="s">
        <v>1160</v>
      </c>
      <c r="C166" s="1116"/>
    </row>
    <row r="167" spans="1:3">
      <c r="A167" s="2255" t="s">
        <v>1161</v>
      </c>
      <c r="B167" s="1435" t="s">
        <v>1162</v>
      </c>
      <c r="C167" s="1116"/>
    </row>
    <row r="168" spans="1:3">
      <c r="A168" s="2255" t="s">
        <v>1096</v>
      </c>
      <c r="B168" s="1435" t="s">
        <v>1097</v>
      </c>
      <c r="C168" s="1116"/>
    </row>
    <row r="169" spans="1:3">
      <c r="A169" s="2255" t="s">
        <v>1355</v>
      </c>
      <c r="B169" s="1435" t="s">
        <v>1356</v>
      </c>
      <c r="C169" s="1116"/>
    </row>
    <row r="170" spans="1:3">
      <c r="A170" s="2255" t="s">
        <v>1116</v>
      </c>
      <c r="B170" s="1435" t="s">
        <v>1409</v>
      </c>
      <c r="C170" s="1116"/>
    </row>
    <row r="171" spans="1:3">
      <c r="A171" s="2255" t="s">
        <v>1494</v>
      </c>
      <c r="B171" s="1435" t="s">
        <v>1497</v>
      </c>
      <c r="C171" s="1116"/>
    </row>
    <row r="172" spans="1:3">
      <c r="A172" s="2255" t="s">
        <v>1495</v>
      </c>
      <c r="B172" s="1435" t="s">
        <v>1498</v>
      </c>
      <c r="C172" s="1116"/>
    </row>
    <row r="173" spans="1:3">
      <c r="A173" s="2255" t="s">
        <v>1496</v>
      </c>
      <c r="B173" s="1435" t="s">
        <v>1499</v>
      </c>
      <c r="C173" s="1116"/>
    </row>
    <row r="174" spans="1:3">
      <c r="A174" s="2255" t="s">
        <v>1502</v>
      </c>
      <c r="B174" s="1435" t="s">
        <v>1500</v>
      </c>
      <c r="C174" s="1116"/>
    </row>
    <row r="175" spans="1:3">
      <c r="A175" s="2255" t="s">
        <v>1503</v>
      </c>
      <c r="B175" s="1435" t="s">
        <v>1501</v>
      </c>
      <c r="C175" s="1116"/>
    </row>
    <row r="176" spans="1:3">
      <c r="A176" s="2255" t="s">
        <v>1267</v>
      </c>
      <c r="B176" s="1435" t="s">
        <v>1265</v>
      </c>
      <c r="C176" s="1116"/>
    </row>
    <row r="177" spans="1:11">
      <c r="A177" s="2255" t="s">
        <v>1268</v>
      </c>
      <c r="B177" s="1435" t="s">
        <v>1266</v>
      </c>
      <c r="C177" s="1116"/>
    </row>
    <row r="178" spans="1:11">
      <c r="A178" s="2255" t="s">
        <v>1436</v>
      </c>
      <c r="B178" s="1435" t="s">
        <v>1438</v>
      </c>
      <c r="C178" s="1116"/>
    </row>
    <row r="179" spans="1:11">
      <c r="A179" s="2255" t="s">
        <v>1437</v>
      </c>
      <c r="B179" s="1435" t="s">
        <v>1439</v>
      </c>
      <c r="C179" s="1116"/>
    </row>
    <row r="180" spans="1:11">
      <c r="A180" s="2255" t="s">
        <v>1269</v>
      </c>
      <c r="B180" s="1435" t="s">
        <v>1270</v>
      </c>
      <c r="C180" s="1116"/>
    </row>
    <row r="181" spans="1:11">
      <c r="A181" s="2255" t="s">
        <v>1362</v>
      </c>
      <c r="B181" s="1435" t="s">
        <v>1363</v>
      </c>
      <c r="C181" s="1116"/>
    </row>
    <row r="182" spans="1:11">
      <c r="A182" s="2255" t="s">
        <v>1119</v>
      </c>
      <c r="B182" s="2257" t="str">
        <f>EUconst_tCO2&amp;" / "&amp;EUconst_MWh</f>
        <v>t CO2 / MWh</v>
      </c>
      <c r="C182" s="1116"/>
    </row>
    <row r="183" spans="1:11">
      <c r="A183" s="2255" t="s">
        <v>1124</v>
      </c>
      <c r="B183" s="1198">
        <v>56.1</v>
      </c>
      <c r="C183" s="1116"/>
    </row>
    <row r="184" spans="1:11">
      <c r="A184" s="2255" t="s">
        <v>1352</v>
      </c>
      <c r="B184" s="1198">
        <v>0.66700000000000004</v>
      </c>
      <c r="C184" s="1116"/>
    </row>
    <row r="185" spans="1:11">
      <c r="A185" s="2255" t="s">
        <v>1207</v>
      </c>
      <c r="B185" s="2262">
        <v>0.3</v>
      </c>
      <c r="C185" s="2262">
        <v>0.3</v>
      </c>
      <c r="D185" s="2262">
        <v>0.3</v>
      </c>
      <c r="E185" s="2262">
        <v>0.3</v>
      </c>
      <c r="F185" s="2262">
        <v>0.3</v>
      </c>
      <c r="G185" s="2262">
        <v>0.3</v>
      </c>
      <c r="H185" s="2262">
        <f>G185-25%*$G$186</f>
        <v>0.22499999999999998</v>
      </c>
      <c r="I185" s="2262">
        <f>H185-25%*$G$186</f>
        <v>0.14999999999999997</v>
      </c>
      <c r="J185" s="2262">
        <f>I185-25%*$G$186</f>
        <v>7.4999999999999969E-2</v>
      </c>
      <c r="K185" s="2262">
        <f>J185-25%*$G$186</f>
        <v>0</v>
      </c>
    </row>
    <row r="186" spans="1:11">
      <c r="A186" s="2255" t="s">
        <v>1208</v>
      </c>
      <c r="B186" s="2262">
        <v>0.3</v>
      </c>
      <c r="C186" s="2262">
        <v>0.3</v>
      </c>
      <c r="D186" s="2262">
        <v>0.3</v>
      </c>
      <c r="E186" s="2262">
        <v>0.3</v>
      </c>
      <c r="F186" s="2262">
        <v>0.3</v>
      </c>
      <c r="G186" s="2262">
        <v>0.3</v>
      </c>
      <c r="H186" s="2262">
        <v>0.3</v>
      </c>
      <c r="I186" s="2262">
        <v>0.3</v>
      </c>
      <c r="J186" s="2262">
        <v>0.3</v>
      </c>
      <c r="K186" s="2262">
        <v>0.3</v>
      </c>
    </row>
    <row r="187" spans="1:11">
      <c r="A187" s="2255" t="s">
        <v>1538</v>
      </c>
      <c r="B187" s="1249" t="s">
        <v>1539</v>
      </c>
      <c r="C187" s="1249" t="s">
        <v>1213</v>
      </c>
      <c r="D187" s="1249" t="s">
        <v>1540</v>
      </c>
      <c r="E187" s="2262"/>
      <c r="F187" s="2262"/>
      <c r="G187" s="2262"/>
      <c r="H187" s="2262"/>
      <c r="I187" s="2262"/>
      <c r="J187" s="2262"/>
      <c r="K187" s="2262"/>
    </row>
    <row r="188" spans="1:11">
      <c r="A188" s="2255" t="s">
        <v>1780</v>
      </c>
      <c r="B188" s="2263" t="s">
        <v>1781</v>
      </c>
      <c r="C188" s="2262"/>
      <c r="D188" s="2262"/>
      <c r="E188" s="2262"/>
      <c r="F188" s="2262"/>
      <c r="G188" s="2262"/>
      <c r="H188" s="2262"/>
      <c r="I188" s="2262"/>
      <c r="J188" s="2262"/>
      <c r="K188" s="2262"/>
    </row>
    <row r="189" spans="1:11">
      <c r="A189" s="2255" t="s">
        <v>1742</v>
      </c>
      <c r="B189" s="2263" t="s">
        <v>1743</v>
      </c>
      <c r="C189" s="2262"/>
      <c r="D189" s="2262"/>
      <c r="E189" s="2262"/>
      <c r="F189" s="2262"/>
      <c r="G189" s="2262"/>
      <c r="H189" s="2262"/>
      <c r="I189" s="2262"/>
      <c r="J189" s="2262"/>
      <c r="K189" s="2262"/>
    </row>
    <row r="190" spans="1:11">
      <c r="A190" s="2255" t="s">
        <v>1744</v>
      </c>
      <c r="B190" s="2263" t="s">
        <v>1745</v>
      </c>
      <c r="C190" s="2262"/>
      <c r="D190" s="2262"/>
      <c r="E190" s="2262"/>
      <c r="F190" s="2262"/>
      <c r="G190" s="2262"/>
      <c r="H190" s="2262"/>
      <c r="I190" s="2262"/>
      <c r="J190" s="2262"/>
      <c r="K190" s="2262"/>
    </row>
    <row r="191" spans="1:11">
      <c r="A191" s="2255" t="s">
        <v>1746</v>
      </c>
      <c r="B191" s="2263" t="s">
        <v>1747</v>
      </c>
      <c r="C191" s="2262"/>
      <c r="D191" s="2262"/>
      <c r="E191" s="2262"/>
      <c r="F191" s="2262"/>
      <c r="G191" s="2262"/>
      <c r="H191" s="2262"/>
      <c r="I191" s="2262"/>
      <c r="J191" s="2262"/>
      <c r="K191" s="2262"/>
    </row>
    <row r="192" spans="1:11">
      <c r="A192" s="2255" t="s">
        <v>1759</v>
      </c>
      <c r="B192" s="2263" t="s">
        <v>1760</v>
      </c>
      <c r="C192" s="2262"/>
      <c r="D192" s="2262"/>
      <c r="E192" s="2262"/>
      <c r="F192" s="2262"/>
      <c r="G192" s="2262"/>
      <c r="H192" s="2262"/>
      <c r="I192" s="2262"/>
      <c r="J192" s="2262"/>
      <c r="K192" s="2262"/>
    </row>
    <row r="193" spans="1:11">
      <c r="A193" s="2255" t="s">
        <v>1748</v>
      </c>
      <c r="B193" s="2263" t="s">
        <v>1749</v>
      </c>
      <c r="C193" s="2262"/>
      <c r="D193" s="2262"/>
      <c r="E193" s="2262"/>
      <c r="F193" s="2262"/>
      <c r="G193" s="2262"/>
      <c r="H193" s="2262"/>
      <c r="I193" s="2262"/>
      <c r="J193" s="2262"/>
      <c r="K193" s="2262"/>
    </row>
    <row r="194" spans="1:11">
      <c r="A194" s="2255" t="s">
        <v>1750</v>
      </c>
      <c r="B194" s="2263" t="s">
        <v>1751</v>
      </c>
      <c r="C194" s="2262"/>
      <c r="D194" s="2262"/>
      <c r="E194" s="2262"/>
      <c r="F194" s="2262"/>
      <c r="G194" s="2262"/>
      <c r="H194" s="2262"/>
      <c r="I194" s="2262"/>
      <c r="J194" s="2262"/>
      <c r="K194" s="2262"/>
    </row>
    <row r="195" spans="1:11">
      <c r="A195" s="2255" t="s">
        <v>1764</v>
      </c>
      <c r="B195" s="1435" t="s">
        <v>1765</v>
      </c>
      <c r="C195" s="1116"/>
    </row>
    <row r="196" spans="1:11">
      <c r="A196" s="2255" t="s">
        <v>1788</v>
      </c>
      <c r="B196" s="1435" t="s">
        <v>1789</v>
      </c>
      <c r="C196" s="1116"/>
    </row>
    <row r="197" spans="1:11">
      <c r="A197" s="2255" t="s">
        <v>1804</v>
      </c>
      <c r="B197" s="1435" t="s">
        <v>1805</v>
      </c>
      <c r="C197" s="1435" t="s">
        <v>1806</v>
      </c>
      <c r="D197" s="1435"/>
      <c r="E197" s="1435"/>
      <c r="F197" s="1435"/>
    </row>
    <row r="198" spans="1:11">
      <c r="A198" s="2255" t="s">
        <v>1961</v>
      </c>
      <c r="B198" s="528" t="s">
        <v>448</v>
      </c>
    </row>
    <row r="199" spans="1:11">
      <c r="A199" s="2255" t="s">
        <v>1962</v>
      </c>
      <c r="B199" s="528" t="s">
        <v>1528</v>
      </c>
    </row>
    <row r="216" spans="1:8" s="2264" customFormat="1">
      <c r="A216" s="2264" t="s">
        <v>713</v>
      </c>
      <c r="B216" s="2265" t="s">
        <v>1627</v>
      </c>
      <c r="C216" s="2265"/>
      <c r="D216" s="2265"/>
      <c r="E216" s="2265"/>
      <c r="F216" s="2265"/>
      <c r="G216" s="2265"/>
      <c r="H216" s="2265" t="s">
        <v>1628</v>
      </c>
    </row>
    <row r="217" spans="1:8">
      <c r="A217" s="2257" t="s">
        <v>905</v>
      </c>
      <c r="B217" s="2257" t="s">
        <v>155</v>
      </c>
      <c r="C217" s="2257"/>
      <c r="D217" s="2257"/>
      <c r="E217" s="2257"/>
      <c r="F217" s="2257"/>
      <c r="G217" s="2257"/>
      <c r="H217" s="2257"/>
    </row>
    <row r="218" spans="1:8">
      <c r="A218">
        <v>1</v>
      </c>
      <c r="B218" s="2257" t="str">
        <f>IF(LEN(H218)&gt;250,LEFT(H218,250),H218)</f>
        <v>Combustion of fuels in installations with a total rated thermal input exceeding 20 MW (except in installations for the incineration of hazardous or municipal waste)</v>
      </c>
      <c r="H218" s="2257" t="s">
        <v>714</v>
      </c>
    </row>
    <row r="219" spans="1:8">
      <c r="A219">
        <v>2</v>
      </c>
      <c r="B219" s="2257" t="str">
        <f t="shared" ref="B219:B245" si="1">IF(LEN(H219)&gt;250,LEFT(H219,250),H219)</f>
        <v xml:space="preserve">Refining of mineral oil </v>
      </c>
      <c r="H219" s="2266" t="s">
        <v>161</v>
      </c>
    </row>
    <row r="220" spans="1:8">
      <c r="A220">
        <v>3</v>
      </c>
      <c r="B220" s="2257" t="str">
        <f t="shared" si="1"/>
        <v xml:space="preserve">Production of coke </v>
      </c>
      <c r="H220" s="2266" t="s">
        <v>164</v>
      </c>
    </row>
    <row r="221" spans="1:8">
      <c r="A221">
        <v>4</v>
      </c>
      <c r="B221" s="2257" t="str">
        <f t="shared" si="1"/>
        <v xml:space="preserve">Metal ore (including sulphide ore) roasting or sintering, including pelletisation </v>
      </c>
      <c r="H221" s="2266" t="s">
        <v>166</v>
      </c>
    </row>
    <row r="222" spans="1:8">
      <c r="A222">
        <v>5</v>
      </c>
      <c r="B222" s="2257" t="str">
        <f t="shared" si="1"/>
        <v xml:space="preserve">Production of pig iron or steel (primary or secondary fusion) including continuous casting, with a capacity exceeding 2,5 tonnes per hour </v>
      </c>
      <c r="H222" s="2266" t="s">
        <v>168</v>
      </c>
    </row>
    <row r="223" spans="1:8">
      <c r="A223">
        <v>6</v>
      </c>
      <c r="B223" s="2257" t="str">
        <f t="shared" si="1"/>
        <v>Production or processing of ferrous metals (including ferro-alloys) where combustion units with a total rated thermal input exceeding 20 MW are operated. Processing includes, inter alia, rolling mills, re-heaters, annealing furnaces, smitheries, foun</v>
      </c>
      <c r="H223" s="2266" t="s">
        <v>1052</v>
      </c>
    </row>
    <row r="224" spans="1:8">
      <c r="A224">
        <v>7</v>
      </c>
      <c r="B224" s="2257" t="str">
        <f t="shared" si="1"/>
        <v xml:space="preserve">Production of primary aluminium </v>
      </c>
      <c r="H224" s="2266" t="s">
        <v>172</v>
      </c>
    </row>
    <row r="225" spans="1:8">
      <c r="A225">
        <v>8</v>
      </c>
      <c r="B225" s="2257" t="str">
        <f t="shared" si="1"/>
        <v>Production of secondary aluminium where combustion units with a total rated thermal input exceeding 20 MW are operated</v>
      </c>
      <c r="H225" s="2266" t="s">
        <v>716</v>
      </c>
    </row>
    <row r="226" spans="1:8">
      <c r="A226">
        <v>9</v>
      </c>
      <c r="B226" s="2257" t="str">
        <f t="shared" si="1"/>
        <v>Production or processing of non-ferrous metals, including production of alloys, refining, foundry casting, etc., where combustion units with a total rated thermal input (including fuels used as reducing agents) exceeding 20 MW are operated</v>
      </c>
      <c r="H226" s="2266" t="s">
        <v>247</v>
      </c>
    </row>
    <row r="227" spans="1:8">
      <c r="A227">
        <v>10</v>
      </c>
      <c r="B227" s="2257" t="str">
        <f t="shared" si="1"/>
        <v xml:space="preserve">Production of cement clinker in rotary kilns with a production capacity exceeding 500 tonnes per day or in other furnaces with a production capacity exceeding 50 tonnes per day </v>
      </c>
      <c r="H227" s="2266" t="s">
        <v>175</v>
      </c>
    </row>
    <row r="228" spans="1:8">
      <c r="A228">
        <v>11</v>
      </c>
      <c r="B228" s="2257" t="str">
        <f t="shared" si="1"/>
        <v xml:space="preserve">Production of lime or calcination of dolomite or magnesite in rotary kilns or in other furnaces with a production capacity exceeding 50 tonnes per day </v>
      </c>
      <c r="H228" s="2266" t="s">
        <v>637</v>
      </c>
    </row>
    <row r="229" spans="1:8">
      <c r="A229">
        <v>12</v>
      </c>
      <c r="B229" s="2257" t="str">
        <f t="shared" si="1"/>
        <v xml:space="preserve">Manufacture of glass including glass fibre with a melting capacity exceeding 20 tonnes per day </v>
      </c>
      <c r="H229" s="2266" t="s">
        <v>700</v>
      </c>
    </row>
    <row r="230" spans="1:8">
      <c r="A230">
        <v>13</v>
      </c>
      <c r="B230" s="2257" t="str">
        <f t="shared" si="1"/>
        <v xml:space="preserve">Manufacture of ceramic products by firing, in particular roofing tiles, bricks, refractory bricks, tiles, stoneware or porcelain, with a production capacity exceeding 75 tonnes per day </v>
      </c>
      <c r="H230" s="2266" t="s">
        <v>705</v>
      </c>
    </row>
    <row r="231" spans="1:8">
      <c r="A231">
        <v>14</v>
      </c>
      <c r="B231" s="2257" t="str">
        <f t="shared" si="1"/>
        <v xml:space="preserve">Manufacture of mineral wool insulation material using glass, rock or slag with a melting capacity exceeding 20 tonnes per day </v>
      </c>
      <c r="H231" s="2266" t="s">
        <v>710</v>
      </c>
    </row>
    <row r="232" spans="1:8">
      <c r="A232">
        <v>15</v>
      </c>
      <c r="B232" s="2257" t="str">
        <f t="shared" si="1"/>
        <v xml:space="preserve">Drying or calcination of gypsum or production of plaster boards and other gypsum products, where combustion units with a total rated thermal input exceeding 20 MW are operated </v>
      </c>
      <c r="H232" s="2266" t="s">
        <v>641</v>
      </c>
    </row>
    <row r="233" spans="1:8">
      <c r="A233">
        <v>16</v>
      </c>
      <c r="B233" s="2257" t="str">
        <f t="shared" si="1"/>
        <v xml:space="preserve">Production of pulp from timber or other fibrous materials </v>
      </c>
      <c r="H233" s="2266" t="s">
        <v>977</v>
      </c>
    </row>
    <row r="234" spans="1:8">
      <c r="A234">
        <v>17</v>
      </c>
      <c r="B234" s="2257" t="str">
        <f t="shared" si="1"/>
        <v xml:space="preserve">Production of paper or cardboard with a production capacity exceeding 20 tonnes per day </v>
      </c>
      <c r="H234" s="2266" t="s">
        <v>982</v>
      </c>
    </row>
    <row r="235" spans="1:8">
      <c r="A235">
        <v>18</v>
      </c>
      <c r="B235" s="2257" t="str">
        <f t="shared" si="1"/>
        <v xml:space="preserve">Production of carbon black involving the carbonisation of organic substances such as oils, tars, cracker and distillation residues, where combustion units with a total rated thermal input exceeding 20 MW are operated </v>
      </c>
      <c r="H235" s="2266" t="s">
        <v>802</v>
      </c>
    </row>
    <row r="236" spans="1:8">
      <c r="A236">
        <v>19</v>
      </c>
      <c r="B236" s="2257" t="str">
        <f t="shared" si="1"/>
        <v xml:space="preserve">Production of nitric acid </v>
      </c>
      <c r="H236" s="2266" t="s">
        <v>804</v>
      </c>
    </row>
    <row r="237" spans="1:8">
      <c r="A237">
        <v>20</v>
      </c>
      <c r="B237" s="2257" t="str">
        <f t="shared" si="1"/>
        <v xml:space="preserve">Production of adipic acid </v>
      </c>
      <c r="H237" s="2266" t="s">
        <v>806</v>
      </c>
    </row>
    <row r="238" spans="1:8">
      <c r="A238">
        <v>21</v>
      </c>
      <c r="B238" s="2257" t="str">
        <f t="shared" si="1"/>
        <v>Production of glyoxal and glyoxylic acid</v>
      </c>
      <c r="H238" s="2266" t="s">
        <v>715</v>
      </c>
    </row>
    <row r="239" spans="1:8">
      <c r="A239">
        <v>22</v>
      </c>
      <c r="B239" s="2257" t="str">
        <f t="shared" si="1"/>
        <v xml:space="preserve">Production of ammonia </v>
      </c>
      <c r="H239" s="2266" t="s">
        <v>808</v>
      </c>
    </row>
    <row r="240" spans="1:8">
      <c r="A240">
        <v>23</v>
      </c>
      <c r="B240" s="2257" t="str">
        <f t="shared" si="1"/>
        <v xml:space="preserve">Production of bulk organic chemicals by cracking, reforming, partial or full oxidation or by similar processes, with a production capacity exceeding 100 tonnes per day </v>
      </c>
      <c r="H240" s="2266" t="s">
        <v>810</v>
      </c>
    </row>
    <row r="241" spans="1:19">
      <c r="A241">
        <v>24</v>
      </c>
      <c r="B241" s="2257" t="str">
        <f t="shared" si="1"/>
        <v xml:space="preserve">Production of hydrogen (H2) and synthesis gas by reforming or partial oxidation with a production capacity exceeding 25 tonnes per day </v>
      </c>
      <c r="H241" s="2266" t="s">
        <v>819</v>
      </c>
    </row>
    <row r="242" spans="1:19">
      <c r="A242">
        <v>25</v>
      </c>
      <c r="B242" s="2257" t="str">
        <f t="shared" si="1"/>
        <v xml:space="preserve">Production of soda ash (Na2CO3) and sodium bicarbonate (NaHCO3) </v>
      </c>
      <c r="H242" s="2266" t="s">
        <v>822</v>
      </c>
    </row>
    <row r="243" spans="1:19">
      <c r="A243">
        <v>26</v>
      </c>
      <c r="B243" s="2257" t="str">
        <f t="shared" si="1"/>
        <v>Capture of greenhouse gases from installations covered by this Directive for the purpose of transport and geological storage in a storage site permitted under Directive 2009/31/EC</v>
      </c>
      <c r="H243" s="2266" t="s">
        <v>248</v>
      </c>
    </row>
    <row r="244" spans="1:19">
      <c r="A244">
        <v>27</v>
      </c>
      <c r="B244" s="2257" t="str">
        <f t="shared" si="1"/>
        <v>Transport of greenhouse gases by pipelines for geological storage in a storage site permitted under Directive 2009/31/EC</v>
      </c>
      <c r="H244" s="2266" t="s">
        <v>249</v>
      </c>
    </row>
    <row r="245" spans="1:19">
      <c r="A245">
        <v>28</v>
      </c>
      <c r="B245" s="2257" t="str">
        <f t="shared" si="1"/>
        <v>Geological storage of greenhouse gases in a storage site permitted under Directive 2009/31/EC</v>
      </c>
      <c r="H245" s="2266" t="s">
        <v>250</v>
      </c>
    </row>
    <row r="247" spans="1:19" s="2264" customFormat="1">
      <c r="A247" s="2264" t="s">
        <v>154</v>
      </c>
    </row>
    <row r="248" spans="1:19" s="515" customFormat="1" ht="51.75" thickBot="1">
      <c r="A248" s="2267" t="s">
        <v>155</v>
      </c>
      <c r="B248" s="2267" t="s">
        <v>905</v>
      </c>
      <c r="C248" s="2267" t="s">
        <v>156</v>
      </c>
      <c r="D248" s="2267" t="s">
        <v>157</v>
      </c>
      <c r="E248" s="2267" t="s">
        <v>158</v>
      </c>
      <c r="F248" s="2267" t="s">
        <v>884</v>
      </c>
      <c r="G248" s="2267" t="s">
        <v>159</v>
      </c>
      <c r="H248" s="2267" t="s">
        <v>160</v>
      </c>
      <c r="I248" s="2267" t="s">
        <v>924</v>
      </c>
      <c r="J248" s="2268" t="s">
        <v>438</v>
      </c>
      <c r="K248" s="2281" t="s">
        <v>1147</v>
      </c>
      <c r="L248" s="2281" t="s">
        <v>1198</v>
      </c>
      <c r="M248" s="2281" t="s">
        <v>1130</v>
      </c>
      <c r="N248" s="2281" t="s">
        <v>1385</v>
      </c>
      <c r="O248" s="2281" t="s">
        <v>1386</v>
      </c>
      <c r="P248" s="2282" t="s">
        <v>1396</v>
      </c>
      <c r="Q248" s="2269" t="s">
        <v>1388</v>
      </c>
      <c r="R248" s="2269" t="s">
        <v>1387</v>
      </c>
      <c r="S248" s="2269" t="s">
        <v>1394</v>
      </c>
    </row>
    <row r="249" spans="1:19">
      <c r="A249" s="2270" t="str">
        <f>VLOOKUP(B249,$A$218:$B$245,2,0)</f>
        <v xml:space="preserve">Refining of mineral oil </v>
      </c>
      <c r="B249" s="2271">
        <v>2</v>
      </c>
      <c r="C249" s="2271">
        <v>1</v>
      </c>
      <c r="D249" s="1938" t="str">
        <f t="shared" ref="D249:D280" si="2">CONCATENATE(TEXT(B249,"00"),".",TEXT(C249,"00"))</f>
        <v>02.01</v>
      </c>
      <c r="E249" s="2271" t="s">
        <v>162</v>
      </c>
      <c r="F249" s="2271" t="s">
        <v>163</v>
      </c>
      <c r="G249" s="2271" t="b">
        <v>1</v>
      </c>
      <c r="H249" s="2271" t="b">
        <v>1</v>
      </c>
      <c r="I249" s="2271" t="s">
        <v>906</v>
      </c>
      <c r="J249" s="2272" t="str">
        <f>"#JUMP_H_I"</f>
        <v>#JUMP_H_I</v>
      </c>
      <c r="K249" s="2271" t="b">
        <v>0</v>
      </c>
      <c r="L249" s="2271" t="b">
        <v>0</v>
      </c>
      <c r="M249" s="2283">
        <v>2.9499999999999998E-2</v>
      </c>
      <c r="N249" s="2284">
        <f t="shared" ref="N249:N280" si="3">INDEX(EUconst_BM_ARR_Range,1)</f>
        <v>2E-3</v>
      </c>
      <c r="O249" s="2285">
        <f t="shared" ref="O249:O280" si="4">IF(AND(C249=4,CNTR_SubPeriod=1),INDEX(EUconst_BM_ARR_Range,1),INDEX(EUconst_BM_ARR_Range,2))</f>
        <v>1.6E-2</v>
      </c>
      <c r="P249" s="2286">
        <v>1.511693494765688E-2</v>
      </c>
      <c r="Q249" s="2273">
        <f t="shared" ref="Q249:Q280" si="5">$M249*(1-N249*(15+(IF(CNTR_SubPeriod=EUconst_NA,1,CNTR_SubPeriod)-1)*5))</f>
        <v>2.8319999999999998E-2</v>
      </c>
      <c r="R249" s="2274">
        <f t="shared" ref="R249:R280" si="6">$M249*(1-O249*(15+(IF(CNTR_SubPeriod=EUconst_NA,1,CNTR_SubPeriod)-1)*5))</f>
        <v>2.0059999999999998E-2</v>
      </c>
      <c r="S249" s="2274">
        <f>0.0228</f>
        <v>2.2800000000000001E-2</v>
      </c>
    </row>
    <row r="250" spans="1:19">
      <c r="A250" s="2270" t="str">
        <f t="shared" ref="A250:A300" si="7">VLOOKUP(B250,$A$218:$B$245,2,0)</f>
        <v xml:space="preserve">Production of coke </v>
      </c>
      <c r="B250" s="2271">
        <v>3</v>
      </c>
      <c r="C250" s="2271">
        <f>C249+1</f>
        <v>2</v>
      </c>
      <c r="D250" s="1938" t="str">
        <f t="shared" si="2"/>
        <v>03.02</v>
      </c>
      <c r="E250" s="2271" t="s">
        <v>165</v>
      </c>
      <c r="F250" s="2271" t="str">
        <f t="shared" ref="F250:F274" si="8">EUconst_Tons</f>
        <v>tonnes</v>
      </c>
      <c r="G250" s="2271" t="b">
        <v>1</v>
      </c>
      <c r="H250" s="2271" t="b">
        <v>0</v>
      </c>
      <c r="I250" s="2271" t="str">
        <f>""</f>
        <v/>
      </c>
      <c r="J250" s="2272" t="str">
        <f>""</f>
        <v/>
      </c>
      <c r="K250" s="2271" t="b">
        <v>1</v>
      </c>
      <c r="L250" s="2271" t="b">
        <v>0</v>
      </c>
      <c r="M250" s="2283">
        <v>0.28599999999999998</v>
      </c>
      <c r="N250" s="2284">
        <f t="shared" si="3"/>
        <v>2E-3</v>
      </c>
      <c r="O250" s="2285">
        <f t="shared" si="4"/>
        <v>1.6E-2</v>
      </c>
      <c r="P250" s="2287">
        <v>1.6E-2</v>
      </c>
      <c r="Q250" s="2273">
        <f t="shared" si="5"/>
        <v>0.27455999999999997</v>
      </c>
      <c r="R250" s="2274">
        <f t="shared" si="6"/>
        <v>0.19447999999999996</v>
      </c>
      <c r="S250" s="2274">
        <f>0.217</f>
        <v>0.217</v>
      </c>
    </row>
    <row r="251" spans="1:19">
      <c r="A251" s="2270" t="str">
        <f t="shared" si="7"/>
        <v xml:space="preserve">Metal ore (including sulphide ore) roasting or sintering, including pelletisation </v>
      </c>
      <c r="B251" s="2271">
        <v>4</v>
      </c>
      <c r="C251" s="2271">
        <f t="shared" ref="C251:C300" si="9">C250+1</f>
        <v>3</v>
      </c>
      <c r="D251" s="1938" t="str">
        <f t="shared" si="2"/>
        <v>04.03</v>
      </c>
      <c r="E251" s="2271" t="s">
        <v>167</v>
      </c>
      <c r="F251" s="2271" t="str">
        <f t="shared" si="8"/>
        <v>tonnes</v>
      </c>
      <c r="G251" s="2271" t="b">
        <v>1</v>
      </c>
      <c r="H251" s="2271" t="b">
        <v>0</v>
      </c>
      <c r="I251" s="2271" t="str">
        <f>""</f>
        <v/>
      </c>
      <c r="J251" s="2272" t="str">
        <f>""</f>
        <v/>
      </c>
      <c r="K251" s="2271" t="b">
        <v>1</v>
      </c>
      <c r="L251" s="2271" t="b">
        <v>0</v>
      </c>
      <c r="M251" s="2283">
        <v>0.17100000000000001</v>
      </c>
      <c r="N251" s="2284">
        <f t="shared" si="3"/>
        <v>2E-3</v>
      </c>
      <c r="O251" s="2285">
        <f t="shared" si="4"/>
        <v>1.6E-2</v>
      </c>
      <c r="P251" s="2287">
        <v>5.2786614463260868E-3</v>
      </c>
      <c r="Q251" s="2273">
        <f t="shared" si="5"/>
        <v>0.16416</v>
      </c>
      <c r="R251" s="2274">
        <f t="shared" si="6"/>
        <v>0.11627999999999999</v>
      </c>
      <c r="S251" s="2274">
        <f>0.157</f>
        <v>0.157</v>
      </c>
    </row>
    <row r="252" spans="1:19">
      <c r="A252" s="2270" t="str">
        <f t="shared" si="7"/>
        <v xml:space="preserve">Production of pig iron or steel (primary or secondary fusion) including continuous casting, with a capacity exceeding 2,5 tonnes per hour </v>
      </c>
      <c r="B252" s="2271">
        <v>5</v>
      </c>
      <c r="C252" s="2271">
        <f t="shared" si="9"/>
        <v>4</v>
      </c>
      <c r="D252" s="1938" t="str">
        <f t="shared" si="2"/>
        <v>05.04</v>
      </c>
      <c r="E252" s="2271" t="s">
        <v>766</v>
      </c>
      <c r="F252" s="2271" t="str">
        <f t="shared" si="8"/>
        <v>tonnes</v>
      </c>
      <c r="G252" s="2271" t="b">
        <v>1</v>
      </c>
      <c r="H252" s="2271" t="b">
        <v>0</v>
      </c>
      <c r="I252" s="2271" t="str">
        <f>""</f>
        <v/>
      </c>
      <c r="J252" s="2272" t="str">
        <f>""</f>
        <v/>
      </c>
      <c r="K252" s="2271" t="b">
        <v>1</v>
      </c>
      <c r="L252" s="2271" t="b">
        <v>0</v>
      </c>
      <c r="M252" s="2283">
        <v>1.3280000000000001</v>
      </c>
      <c r="N252" s="2284">
        <f t="shared" si="3"/>
        <v>2E-3</v>
      </c>
      <c r="O252" s="2285">
        <f t="shared" si="4"/>
        <v>1.6E-2</v>
      </c>
      <c r="P252" s="2287">
        <v>2E-3</v>
      </c>
      <c r="Q252" s="2273">
        <f t="shared" si="5"/>
        <v>1.27488</v>
      </c>
      <c r="R252" s="2274">
        <f t="shared" si="6"/>
        <v>0.90303999999999995</v>
      </c>
      <c r="S252" s="2274">
        <f>1.288</f>
        <v>1.288</v>
      </c>
    </row>
    <row r="253" spans="1:19">
      <c r="A253" s="2270" t="str">
        <f t="shared" si="7"/>
        <v xml:space="preserve">Production of pig iron or steel (primary or secondary fusion) including continuous casting, with a capacity exceeding 2,5 tonnes per hour </v>
      </c>
      <c r="B253" s="2271">
        <v>5</v>
      </c>
      <c r="C253" s="2271">
        <f t="shared" si="9"/>
        <v>5</v>
      </c>
      <c r="D253" s="1938" t="str">
        <f t="shared" si="2"/>
        <v>05.05</v>
      </c>
      <c r="E253" s="2271" t="s">
        <v>169</v>
      </c>
      <c r="F253" s="2271" t="str">
        <f t="shared" si="8"/>
        <v>tonnes</v>
      </c>
      <c r="G253" s="2271" t="b">
        <v>1</v>
      </c>
      <c r="H253" s="2271" t="b">
        <v>1</v>
      </c>
      <c r="I253" s="2271" t="str">
        <f>""</f>
        <v/>
      </c>
      <c r="J253" s="2272" t="str">
        <f>""</f>
        <v/>
      </c>
      <c r="K253" s="2271" t="b">
        <v>1</v>
      </c>
      <c r="L253" s="2271" t="b">
        <v>0</v>
      </c>
      <c r="M253" s="2283">
        <v>0.28299999999999997</v>
      </c>
      <c r="N253" s="2284">
        <f t="shared" si="3"/>
        <v>2E-3</v>
      </c>
      <c r="O253" s="2285">
        <f t="shared" si="4"/>
        <v>1.6E-2</v>
      </c>
      <c r="P253" s="2287">
        <v>1.6E-2</v>
      </c>
      <c r="Q253" s="2273">
        <f t="shared" si="5"/>
        <v>0.27167999999999998</v>
      </c>
      <c r="R253" s="2274">
        <f t="shared" si="6"/>
        <v>0.19243999999999997</v>
      </c>
      <c r="S253" s="2274">
        <f>0.215</f>
        <v>0.215</v>
      </c>
    </row>
    <row r="254" spans="1:19">
      <c r="A254" s="2270" t="str">
        <f t="shared" si="7"/>
        <v xml:space="preserve">Production of pig iron or steel (primary or secondary fusion) including continuous casting, with a capacity exceeding 2,5 tonnes per hour </v>
      </c>
      <c r="B254" s="2271">
        <v>5</v>
      </c>
      <c r="C254" s="2271">
        <f t="shared" si="9"/>
        <v>6</v>
      </c>
      <c r="D254" s="1938" t="str">
        <f t="shared" si="2"/>
        <v>05.06</v>
      </c>
      <c r="E254" s="2271" t="s">
        <v>170</v>
      </c>
      <c r="F254" s="2271" t="str">
        <f t="shared" si="8"/>
        <v>tonnes</v>
      </c>
      <c r="G254" s="2271" t="b">
        <v>1</v>
      </c>
      <c r="H254" s="2271" t="b">
        <v>1</v>
      </c>
      <c r="I254" s="2271" t="str">
        <f>""</f>
        <v/>
      </c>
      <c r="J254" s="2272" t="str">
        <f>""</f>
        <v/>
      </c>
      <c r="K254" s="2271" t="b">
        <v>1</v>
      </c>
      <c r="L254" s="2271" t="b">
        <v>0</v>
      </c>
      <c r="M254" s="2283">
        <v>0.35199999999999998</v>
      </c>
      <c r="N254" s="2284">
        <f t="shared" si="3"/>
        <v>2E-3</v>
      </c>
      <c r="O254" s="2285">
        <f t="shared" si="4"/>
        <v>1.6E-2</v>
      </c>
      <c r="P254" s="2287">
        <v>1.6E-2</v>
      </c>
      <c r="Q254" s="2273">
        <f t="shared" si="5"/>
        <v>0.33791999999999994</v>
      </c>
      <c r="R254" s="2274">
        <f t="shared" si="6"/>
        <v>0.23935999999999996</v>
      </c>
      <c r="S254" s="2274">
        <f>0.268</f>
        <v>0.26800000000000002</v>
      </c>
    </row>
    <row r="255" spans="1:19">
      <c r="A255" s="2270" t="str">
        <f t="shared" si="7"/>
        <v>Production or processing of ferrous metals (including ferro-alloys) where combustion units with a total rated thermal input exceeding 20 MW are operated. Processing includes, inter alia, rolling mills, re-heaters, annealing furnaces, smitheries, foun</v>
      </c>
      <c r="B255" s="2271">
        <v>6</v>
      </c>
      <c r="C255" s="2271">
        <f t="shared" si="9"/>
        <v>7</v>
      </c>
      <c r="D255" s="1938" t="str">
        <f t="shared" si="2"/>
        <v>06.07</v>
      </c>
      <c r="E255" s="2271" t="s">
        <v>171</v>
      </c>
      <c r="F255" s="2271" t="str">
        <f t="shared" si="8"/>
        <v>tonnes</v>
      </c>
      <c r="G255" s="2271" t="b">
        <v>1</v>
      </c>
      <c r="H255" s="2271" t="b">
        <v>1</v>
      </c>
      <c r="I255" s="2271" t="str">
        <f>""</f>
        <v/>
      </c>
      <c r="J255" s="2272" t="str">
        <f>""</f>
        <v/>
      </c>
      <c r="K255" s="2271" t="b">
        <v>1</v>
      </c>
      <c r="L255" s="2271" t="b">
        <v>0</v>
      </c>
      <c r="M255" s="2283">
        <v>0.32500000000000001</v>
      </c>
      <c r="N255" s="2284">
        <f t="shared" si="3"/>
        <v>2E-3</v>
      </c>
      <c r="O255" s="2285">
        <f t="shared" si="4"/>
        <v>1.6E-2</v>
      </c>
      <c r="P255" s="2287">
        <v>8.903797357729195E-3</v>
      </c>
      <c r="Q255" s="2273">
        <f t="shared" si="5"/>
        <v>0.312</v>
      </c>
      <c r="R255" s="2274">
        <f t="shared" si="6"/>
        <v>0.22099999999999997</v>
      </c>
      <c r="S255" s="2274">
        <f>0.282</f>
        <v>0.28199999999999997</v>
      </c>
    </row>
    <row r="256" spans="1:19">
      <c r="A256" s="2270" t="str">
        <f t="shared" si="7"/>
        <v xml:space="preserve">Production of primary aluminium </v>
      </c>
      <c r="B256" s="2271">
        <v>7</v>
      </c>
      <c r="C256" s="2271">
        <f t="shared" si="9"/>
        <v>8</v>
      </c>
      <c r="D256" s="1938" t="str">
        <f t="shared" si="2"/>
        <v>07.08</v>
      </c>
      <c r="E256" s="2271" t="s">
        <v>173</v>
      </c>
      <c r="F256" s="2271" t="str">
        <f t="shared" si="8"/>
        <v>tonnes</v>
      </c>
      <c r="G256" s="2271" t="b">
        <v>1</v>
      </c>
      <c r="H256" s="2271" t="b">
        <v>0</v>
      </c>
      <c r="I256" s="2271" t="str">
        <f>""</f>
        <v/>
      </c>
      <c r="J256" s="2272" t="str">
        <f>""</f>
        <v/>
      </c>
      <c r="K256" s="2271" t="b">
        <v>1</v>
      </c>
      <c r="L256" s="2271" t="b">
        <v>0</v>
      </c>
      <c r="M256" s="2283">
        <v>0.32400000000000001</v>
      </c>
      <c r="N256" s="2284">
        <f t="shared" si="3"/>
        <v>2E-3</v>
      </c>
      <c r="O256" s="2285">
        <f t="shared" si="4"/>
        <v>1.6E-2</v>
      </c>
      <c r="P256" s="2287">
        <v>2.5579440618460994E-3</v>
      </c>
      <c r="Q256" s="2273">
        <f t="shared" si="5"/>
        <v>0.31103999999999998</v>
      </c>
      <c r="R256" s="2274">
        <f t="shared" si="6"/>
        <v>0.22031999999999999</v>
      </c>
      <c r="S256" s="2274">
        <f>0.312</f>
        <v>0.312</v>
      </c>
    </row>
    <row r="257" spans="1:19">
      <c r="A257" s="2270" t="str">
        <f t="shared" si="7"/>
        <v xml:space="preserve">Production of primary aluminium </v>
      </c>
      <c r="B257" s="2271">
        <v>7</v>
      </c>
      <c r="C257" s="2271">
        <f t="shared" si="9"/>
        <v>9</v>
      </c>
      <c r="D257" s="1938" t="str">
        <f t="shared" si="2"/>
        <v>07.09</v>
      </c>
      <c r="E257" s="2271" t="s">
        <v>174</v>
      </c>
      <c r="F257" s="2271" t="str">
        <f t="shared" si="8"/>
        <v>tonnes</v>
      </c>
      <c r="G257" s="2271" t="b">
        <v>1</v>
      </c>
      <c r="H257" s="2271" t="b">
        <v>0</v>
      </c>
      <c r="I257" s="2271" t="str">
        <f>""</f>
        <v/>
      </c>
      <c r="J257" s="2272" t="str">
        <f>""</f>
        <v/>
      </c>
      <c r="K257" s="2271" t="b">
        <v>1</v>
      </c>
      <c r="L257" s="2271" t="b">
        <v>0</v>
      </c>
      <c r="M257" s="2283">
        <v>1.514</v>
      </c>
      <c r="N257" s="2284">
        <f t="shared" si="3"/>
        <v>2E-3</v>
      </c>
      <c r="O257" s="2285">
        <f t="shared" si="4"/>
        <v>1.6E-2</v>
      </c>
      <c r="P257" s="2287">
        <v>2.1897986454517187E-3</v>
      </c>
      <c r="Q257" s="2273">
        <f t="shared" si="5"/>
        <v>1.4534400000000001</v>
      </c>
      <c r="R257" s="2274">
        <f t="shared" si="6"/>
        <v>1.02952</v>
      </c>
      <c r="S257" s="2274">
        <f>1.464</f>
        <v>1.464</v>
      </c>
    </row>
    <row r="258" spans="1:19">
      <c r="A258" s="2270" t="str">
        <f t="shared" si="7"/>
        <v xml:space="preserve">Production of cement clinker in rotary kilns with a production capacity exceeding 500 tonnes per day or in other furnaces with a production capacity exceeding 50 tonnes per day </v>
      </c>
      <c r="B258" s="2271">
        <v>10</v>
      </c>
      <c r="C258" s="2271">
        <f t="shared" si="9"/>
        <v>10</v>
      </c>
      <c r="D258" s="1938" t="str">
        <f t="shared" si="2"/>
        <v>10.10</v>
      </c>
      <c r="E258" s="2271" t="s">
        <v>176</v>
      </c>
      <c r="F258" s="2271" t="str">
        <f t="shared" si="8"/>
        <v>tonnes</v>
      </c>
      <c r="G258" s="2271" t="b">
        <v>1</v>
      </c>
      <c r="H258" s="2271" t="b">
        <v>0</v>
      </c>
      <c r="I258" s="2271" t="str">
        <f>""</f>
        <v/>
      </c>
      <c r="J258" s="2272" t="str">
        <f>""</f>
        <v/>
      </c>
      <c r="K258" s="2271" t="b">
        <v>1</v>
      </c>
      <c r="L258" s="2271" t="b">
        <v>0</v>
      </c>
      <c r="M258" s="2283">
        <v>0.76600000000000001</v>
      </c>
      <c r="N258" s="2284">
        <f t="shared" si="3"/>
        <v>2E-3</v>
      </c>
      <c r="O258" s="2285">
        <f t="shared" si="4"/>
        <v>1.6E-2</v>
      </c>
      <c r="P258" s="2287">
        <v>6.3297698343118452E-3</v>
      </c>
      <c r="Q258" s="2273">
        <f t="shared" si="5"/>
        <v>0.73536000000000001</v>
      </c>
      <c r="R258" s="2274">
        <f t="shared" si="6"/>
        <v>0.52088000000000001</v>
      </c>
      <c r="S258" s="2274">
        <f>0.693</f>
        <v>0.69299999999999995</v>
      </c>
    </row>
    <row r="259" spans="1:19">
      <c r="A259" s="2270" t="str">
        <f t="shared" si="7"/>
        <v xml:space="preserve">Production of cement clinker in rotary kilns with a production capacity exceeding 500 tonnes per day or in other furnaces with a production capacity exceeding 50 tonnes per day </v>
      </c>
      <c r="B259" s="2271">
        <v>10</v>
      </c>
      <c r="C259" s="2271">
        <f t="shared" si="9"/>
        <v>11</v>
      </c>
      <c r="D259" s="1938" t="str">
        <f t="shared" si="2"/>
        <v>10.11</v>
      </c>
      <c r="E259" s="2271" t="s">
        <v>177</v>
      </c>
      <c r="F259" s="2271" t="str">
        <f t="shared" si="8"/>
        <v>tonnes</v>
      </c>
      <c r="G259" s="2271" t="b">
        <v>1</v>
      </c>
      <c r="H259" s="2271" t="b">
        <v>0</v>
      </c>
      <c r="I259" s="2271" t="str">
        <f>""</f>
        <v/>
      </c>
      <c r="J259" s="2272" t="str">
        <f>""</f>
        <v/>
      </c>
      <c r="K259" s="2271" t="b">
        <v>1</v>
      </c>
      <c r="L259" s="2271" t="b">
        <v>0</v>
      </c>
      <c r="M259" s="2283">
        <v>0.98699999999999999</v>
      </c>
      <c r="N259" s="2284">
        <f t="shared" si="3"/>
        <v>2E-3</v>
      </c>
      <c r="O259" s="2285">
        <f t="shared" si="4"/>
        <v>1.6E-2</v>
      </c>
      <c r="P259" s="2287">
        <v>2E-3</v>
      </c>
      <c r="Q259" s="2273">
        <f t="shared" si="5"/>
        <v>0.94751999999999992</v>
      </c>
      <c r="R259" s="2274">
        <f t="shared" si="6"/>
        <v>0.67115999999999998</v>
      </c>
      <c r="S259" s="2274">
        <f>0.957</f>
        <v>0.95699999999999996</v>
      </c>
    </row>
    <row r="260" spans="1:19">
      <c r="A260" s="2270" t="str">
        <f t="shared" si="7"/>
        <v xml:space="preserve">Production of lime or calcination of dolomite or magnesite in rotary kilns or in other furnaces with a production capacity exceeding 50 tonnes per day </v>
      </c>
      <c r="B260" s="2271">
        <v>11</v>
      </c>
      <c r="C260" s="2271">
        <f t="shared" si="9"/>
        <v>12</v>
      </c>
      <c r="D260" s="1938" t="str">
        <f t="shared" si="2"/>
        <v>11.12</v>
      </c>
      <c r="E260" s="2271" t="s">
        <v>638</v>
      </c>
      <c r="F260" s="2271" t="str">
        <f t="shared" si="8"/>
        <v>tonnes</v>
      </c>
      <c r="G260" s="2271" t="b">
        <v>1</v>
      </c>
      <c r="H260" s="2271" t="b">
        <v>0</v>
      </c>
      <c r="I260" s="2271" t="s">
        <v>907</v>
      </c>
      <c r="J260" s="2272" t="str">
        <f>"#JUMP_H_II"</f>
        <v>#JUMP_H_II</v>
      </c>
      <c r="K260" s="2271" t="b">
        <v>1</v>
      </c>
      <c r="L260" s="2271" t="b">
        <v>0</v>
      </c>
      <c r="M260" s="2283">
        <v>0.95399999999999996</v>
      </c>
      <c r="N260" s="2284">
        <f t="shared" si="3"/>
        <v>2E-3</v>
      </c>
      <c r="O260" s="2285">
        <f t="shared" si="4"/>
        <v>1.6E-2</v>
      </c>
      <c r="P260" s="2287">
        <v>1.6E-2</v>
      </c>
      <c r="Q260" s="2273">
        <f t="shared" si="5"/>
        <v>0.91583999999999988</v>
      </c>
      <c r="R260" s="2274">
        <f t="shared" si="6"/>
        <v>0.64871999999999996</v>
      </c>
      <c r="S260" s="2274">
        <f>0.725</f>
        <v>0.72499999999999998</v>
      </c>
    </row>
    <row r="261" spans="1:19">
      <c r="A261" s="2270" t="str">
        <f t="shared" si="7"/>
        <v xml:space="preserve">Production of lime or calcination of dolomite or magnesite in rotary kilns or in other furnaces with a production capacity exceeding 50 tonnes per day </v>
      </c>
      <c r="B261" s="2271">
        <v>11</v>
      </c>
      <c r="C261" s="2271">
        <f t="shared" si="9"/>
        <v>13</v>
      </c>
      <c r="D261" s="1938" t="str">
        <f t="shared" si="2"/>
        <v>11.13</v>
      </c>
      <c r="E261" s="2271" t="s">
        <v>639</v>
      </c>
      <c r="F261" s="2271" t="str">
        <f t="shared" si="8"/>
        <v>tonnes</v>
      </c>
      <c r="G261" s="2271" t="b">
        <v>1</v>
      </c>
      <c r="H261" s="2271" t="b">
        <v>0</v>
      </c>
      <c r="I261" s="2271" t="s">
        <v>908</v>
      </c>
      <c r="J261" s="2272" t="str">
        <f>"#JUMP_H_III"</f>
        <v>#JUMP_H_III</v>
      </c>
      <c r="K261" s="2271" t="b">
        <v>1</v>
      </c>
      <c r="L261" s="2271" t="b">
        <v>0</v>
      </c>
      <c r="M261" s="2283">
        <v>1.0720000000000001</v>
      </c>
      <c r="N261" s="2284">
        <f t="shared" si="3"/>
        <v>2E-3</v>
      </c>
      <c r="O261" s="2285">
        <f t="shared" si="4"/>
        <v>1.6E-2</v>
      </c>
      <c r="P261" s="2287">
        <v>1.6E-2</v>
      </c>
      <c r="Q261" s="2273">
        <f t="shared" si="5"/>
        <v>1.02912</v>
      </c>
      <c r="R261" s="2274">
        <f t="shared" si="6"/>
        <v>0.72895999999999994</v>
      </c>
      <c r="S261" s="2274">
        <f>0.815</f>
        <v>0.81499999999999995</v>
      </c>
    </row>
    <row r="262" spans="1:19">
      <c r="A262" s="2270" t="str">
        <f t="shared" si="7"/>
        <v xml:space="preserve">Production of lime or calcination of dolomite or magnesite in rotary kilns or in other furnaces with a production capacity exceeding 50 tonnes per day </v>
      </c>
      <c r="B262" s="2271">
        <v>11</v>
      </c>
      <c r="C262" s="2271">
        <f t="shared" si="9"/>
        <v>14</v>
      </c>
      <c r="D262" s="1938" t="str">
        <f t="shared" si="2"/>
        <v>11.14</v>
      </c>
      <c r="E262" s="2271" t="s">
        <v>640</v>
      </c>
      <c r="F262" s="2271" t="str">
        <f t="shared" si="8"/>
        <v>tonnes</v>
      </c>
      <c r="G262" s="2271" t="b">
        <v>1</v>
      </c>
      <c r="H262" s="2271" t="b">
        <v>0</v>
      </c>
      <c r="I262" s="2271" t="str">
        <f>""</f>
        <v/>
      </c>
      <c r="J262" s="2272" t="str">
        <f>""</f>
        <v/>
      </c>
      <c r="K262" s="2271" t="b">
        <v>1</v>
      </c>
      <c r="L262" s="2271" t="b">
        <v>0</v>
      </c>
      <c r="M262" s="2283">
        <v>1.4490000000000001</v>
      </c>
      <c r="N262" s="2284">
        <f t="shared" si="3"/>
        <v>2E-3</v>
      </c>
      <c r="O262" s="2285">
        <f t="shared" si="4"/>
        <v>1.6E-2</v>
      </c>
      <c r="P262" s="2287">
        <v>2E-3</v>
      </c>
      <c r="Q262" s="2273">
        <f t="shared" si="5"/>
        <v>1.3910400000000001</v>
      </c>
      <c r="R262" s="2274">
        <f t="shared" si="6"/>
        <v>0.98531999999999997</v>
      </c>
      <c r="S262" s="2274">
        <f>1.406</f>
        <v>1.4059999999999999</v>
      </c>
    </row>
    <row r="263" spans="1:19">
      <c r="A263" s="2270" t="str">
        <f t="shared" si="7"/>
        <v xml:space="preserve">Manufacture of glass including glass fibre with a melting capacity exceeding 20 tonnes per day </v>
      </c>
      <c r="B263" s="2271">
        <v>12</v>
      </c>
      <c r="C263" s="2271">
        <f t="shared" si="9"/>
        <v>15</v>
      </c>
      <c r="D263" s="1938" t="str">
        <f t="shared" si="2"/>
        <v>12.15</v>
      </c>
      <c r="E263" s="2271" t="s">
        <v>701</v>
      </c>
      <c r="F263" s="2271" t="str">
        <f t="shared" si="8"/>
        <v>tonnes</v>
      </c>
      <c r="G263" s="2271" t="b">
        <v>1</v>
      </c>
      <c r="H263" s="2271" t="b">
        <v>0</v>
      </c>
      <c r="I263" s="2271" t="str">
        <f>""</f>
        <v/>
      </c>
      <c r="J263" s="2272" t="str">
        <f>""</f>
        <v/>
      </c>
      <c r="K263" s="2271" t="b">
        <v>1</v>
      </c>
      <c r="L263" s="2271" t="b">
        <v>0</v>
      </c>
      <c r="M263" s="2283">
        <v>0.45300000000000001</v>
      </c>
      <c r="N263" s="2284">
        <f t="shared" si="3"/>
        <v>2E-3</v>
      </c>
      <c r="O263" s="2285">
        <f t="shared" si="4"/>
        <v>1.6E-2</v>
      </c>
      <c r="P263" s="2287">
        <v>7.957760694729742E-3</v>
      </c>
      <c r="Q263" s="2273">
        <f t="shared" si="5"/>
        <v>0.43487999999999999</v>
      </c>
      <c r="R263" s="2274">
        <f t="shared" si="6"/>
        <v>0.30803999999999998</v>
      </c>
      <c r="S263" s="2274">
        <f>0.399</f>
        <v>0.39900000000000002</v>
      </c>
    </row>
    <row r="264" spans="1:19">
      <c r="A264" s="2270" t="str">
        <f t="shared" si="7"/>
        <v xml:space="preserve">Manufacture of glass including glass fibre with a melting capacity exceeding 20 tonnes per day </v>
      </c>
      <c r="B264" s="2271">
        <v>12</v>
      </c>
      <c r="C264" s="2271">
        <f t="shared" si="9"/>
        <v>16</v>
      </c>
      <c r="D264" s="1938" t="str">
        <f t="shared" si="2"/>
        <v>12.16</v>
      </c>
      <c r="E264" s="2271" t="s">
        <v>702</v>
      </c>
      <c r="F264" s="2271" t="str">
        <f t="shared" si="8"/>
        <v>tonnes</v>
      </c>
      <c r="G264" s="2271" t="b">
        <v>1</v>
      </c>
      <c r="H264" s="2271" t="b">
        <v>0</v>
      </c>
      <c r="I264" s="2271" t="str">
        <f>""</f>
        <v/>
      </c>
      <c r="J264" s="2272" t="str">
        <f>""</f>
        <v/>
      </c>
      <c r="K264" s="2271" t="b">
        <v>1</v>
      </c>
      <c r="L264" s="2271" t="b">
        <v>0</v>
      </c>
      <c r="M264" s="2283">
        <v>0.38200000000000001</v>
      </c>
      <c r="N264" s="2284">
        <f t="shared" si="3"/>
        <v>2E-3</v>
      </c>
      <c r="O264" s="2285">
        <f t="shared" si="4"/>
        <v>1.6E-2</v>
      </c>
      <c r="P264" s="2287">
        <v>1.6E-2</v>
      </c>
      <c r="Q264" s="2273">
        <f t="shared" si="5"/>
        <v>0.36671999999999999</v>
      </c>
      <c r="R264" s="2274">
        <f t="shared" si="6"/>
        <v>0.25975999999999999</v>
      </c>
      <c r="S264" s="2274">
        <f>0.29</f>
        <v>0.28999999999999998</v>
      </c>
    </row>
    <row r="265" spans="1:19">
      <c r="A265" s="2270" t="str">
        <f t="shared" si="7"/>
        <v xml:space="preserve">Manufacture of glass including glass fibre with a melting capacity exceeding 20 tonnes per day </v>
      </c>
      <c r="B265" s="2271">
        <v>12</v>
      </c>
      <c r="C265" s="2271">
        <f t="shared" si="9"/>
        <v>17</v>
      </c>
      <c r="D265" s="1938" t="str">
        <f t="shared" si="2"/>
        <v>12.17</v>
      </c>
      <c r="E265" s="2271" t="s">
        <v>703</v>
      </c>
      <c r="F265" s="2271" t="str">
        <f t="shared" si="8"/>
        <v>tonnes</v>
      </c>
      <c r="G265" s="2271" t="b">
        <v>1</v>
      </c>
      <c r="H265" s="2271" t="b">
        <v>0</v>
      </c>
      <c r="I265" s="2271" t="str">
        <f>""</f>
        <v/>
      </c>
      <c r="J265" s="2272" t="str">
        <f>""</f>
        <v/>
      </c>
      <c r="K265" s="2271" t="b">
        <v>1</v>
      </c>
      <c r="L265" s="2271" t="b">
        <v>0</v>
      </c>
      <c r="M265" s="2283">
        <v>0.30599999999999999</v>
      </c>
      <c r="N265" s="2284">
        <f t="shared" si="3"/>
        <v>2E-3</v>
      </c>
      <c r="O265" s="2285">
        <f t="shared" si="4"/>
        <v>1.6E-2</v>
      </c>
      <c r="P265" s="2287">
        <v>1.4967985131793069E-2</v>
      </c>
      <c r="Q265" s="2273">
        <f t="shared" si="5"/>
        <v>0.29375999999999997</v>
      </c>
      <c r="R265" s="2274">
        <f t="shared" si="6"/>
        <v>0.20807999999999999</v>
      </c>
      <c r="S265" s="2274">
        <f>0.237</f>
        <v>0.23699999999999999</v>
      </c>
    </row>
    <row r="266" spans="1:19">
      <c r="A266" s="2270" t="str">
        <f t="shared" si="7"/>
        <v xml:space="preserve">Manufacture of glass including glass fibre with a melting capacity exceeding 20 tonnes per day </v>
      </c>
      <c r="B266" s="2271">
        <v>12</v>
      </c>
      <c r="C266" s="2271">
        <f t="shared" si="9"/>
        <v>18</v>
      </c>
      <c r="D266" s="1938" t="str">
        <f t="shared" si="2"/>
        <v>12.18</v>
      </c>
      <c r="E266" s="2271" t="s">
        <v>704</v>
      </c>
      <c r="F266" s="2271" t="str">
        <f t="shared" si="8"/>
        <v>tonnes</v>
      </c>
      <c r="G266" s="2271" t="b">
        <v>1</v>
      </c>
      <c r="H266" s="2271" t="b">
        <v>0</v>
      </c>
      <c r="I266" s="2271" t="str">
        <f>""</f>
        <v/>
      </c>
      <c r="J266" s="2272" t="str">
        <f>""</f>
        <v/>
      </c>
      <c r="K266" s="2271" t="b">
        <v>1</v>
      </c>
      <c r="L266" s="2271" t="b">
        <v>0</v>
      </c>
      <c r="M266" s="2283">
        <v>0.40600000000000003</v>
      </c>
      <c r="N266" s="2284">
        <f t="shared" si="3"/>
        <v>2E-3</v>
      </c>
      <c r="O266" s="2285">
        <f t="shared" si="4"/>
        <v>1.6E-2</v>
      </c>
      <c r="P266" s="2287">
        <v>1.6E-2</v>
      </c>
      <c r="Q266" s="2273">
        <f t="shared" si="5"/>
        <v>0.38976</v>
      </c>
      <c r="R266" s="2274">
        <f t="shared" si="6"/>
        <v>0.27607999999999999</v>
      </c>
      <c r="S266" s="2274">
        <f>0.309</f>
        <v>0.309</v>
      </c>
    </row>
    <row r="267" spans="1:19">
      <c r="A267" s="2270" t="str">
        <f t="shared" si="7"/>
        <v xml:space="preserve">Manufacture of ceramic products by firing, in particular roofing tiles, bricks, refractory bricks, tiles, stoneware or porcelain, with a production capacity exceeding 75 tonnes per day </v>
      </c>
      <c r="B267" s="2271">
        <v>13</v>
      </c>
      <c r="C267" s="2271">
        <f t="shared" si="9"/>
        <v>19</v>
      </c>
      <c r="D267" s="1938" t="str">
        <f t="shared" si="2"/>
        <v>13.19</v>
      </c>
      <c r="E267" s="2271" t="s">
        <v>706</v>
      </c>
      <c r="F267" s="2271" t="str">
        <f t="shared" si="8"/>
        <v>tonnes</v>
      </c>
      <c r="G267" s="2271" t="b">
        <v>1</v>
      </c>
      <c r="H267" s="2271" t="b">
        <v>0</v>
      </c>
      <c r="I267" s="2271" t="str">
        <f>""</f>
        <v/>
      </c>
      <c r="J267" s="2272" t="str">
        <f>""</f>
        <v/>
      </c>
      <c r="K267" s="2271" t="b">
        <v>1</v>
      </c>
      <c r="L267" s="2271" t="b">
        <v>0</v>
      </c>
      <c r="M267" s="2283">
        <v>0.13900000000000001</v>
      </c>
      <c r="N267" s="2284">
        <f t="shared" si="3"/>
        <v>2E-3</v>
      </c>
      <c r="O267" s="2285">
        <f t="shared" si="4"/>
        <v>1.6E-2</v>
      </c>
      <c r="P267" s="2287">
        <v>1.6E-2</v>
      </c>
      <c r="Q267" s="2273">
        <f t="shared" si="5"/>
        <v>0.13344</v>
      </c>
      <c r="R267" s="2274">
        <f t="shared" si="6"/>
        <v>9.4519999999999993E-2</v>
      </c>
      <c r="S267" s="2274">
        <f>0.106</f>
        <v>0.106</v>
      </c>
    </row>
    <row r="268" spans="1:19">
      <c r="A268" s="2270" t="str">
        <f t="shared" si="7"/>
        <v xml:space="preserve">Manufacture of ceramic products by firing, in particular roofing tiles, bricks, refractory bricks, tiles, stoneware or porcelain, with a production capacity exceeding 75 tonnes per day </v>
      </c>
      <c r="B268" s="2271">
        <v>13</v>
      </c>
      <c r="C268" s="2271">
        <f t="shared" si="9"/>
        <v>20</v>
      </c>
      <c r="D268" s="1938" t="str">
        <f t="shared" si="2"/>
        <v>13.20</v>
      </c>
      <c r="E268" s="2271" t="s">
        <v>707</v>
      </c>
      <c r="F268" s="2271" t="str">
        <f t="shared" si="8"/>
        <v>tonnes</v>
      </c>
      <c r="G268" s="2271" t="b">
        <v>1</v>
      </c>
      <c r="H268" s="2271" t="b">
        <v>0</v>
      </c>
      <c r="I268" s="2271" t="str">
        <f>""</f>
        <v/>
      </c>
      <c r="J268" s="2272" t="str">
        <f>""</f>
        <v/>
      </c>
      <c r="K268" s="2271" t="b">
        <v>1</v>
      </c>
      <c r="L268" s="2271" t="b">
        <v>0</v>
      </c>
      <c r="M268" s="2283">
        <v>0.192</v>
      </c>
      <c r="N268" s="2284">
        <f t="shared" si="3"/>
        <v>2E-3</v>
      </c>
      <c r="O268" s="2285">
        <f t="shared" si="4"/>
        <v>1.6E-2</v>
      </c>
      <c r="P268" s="2287">
        <v>1.6E-2</v>
      </c>
      <c r="Q268" s="2273">
        <f t="shared" si="5"/>
        <v>0.18431999999999998</v>
      </c>
      <c r="R268" s="2274">
        <f t="shared" si="6"/>
        <v>0.13055999999999998</v>
      </c>
      <c r="S268" s="2274">
        <f>0.146</f>
        <v>0.14599999999999999</v>
      </c>
    </row>
    <row r="269" spans="1:19">
      <c r="A269" s="2270" t="str">
        <f t="shared" si="7"/>
        <v xml:space="preserve">Manufacture of ceramic products by firing, in particular roofing tiles, bricks, refractory bricks, tiles, stoneware or porcelain, with a production capacity exceeding 75 tonnes per day </v>
      </c>
      <c r="B269" s="2271">
        <v>13</v>
      </c>
      <c r="C269" s="2271">
        <f t="shared" si="9"/>
        <v>21</v>
      </c>
      <c r="D269" s="1938" t="str">
        <f t="shared" si="2"/>
        <v>13.21</v>
      </c>
      <c r="E269" s="2271" t="s">
        <v>708</v>
      </c>
      <c r="F269" s="2271" t="str">
        <f t="shared" si="8"/>
        <v>tonnes</v>
      </c>
      <c r="G269" s="2271" t="b">
        <v>1</v>
      </c>
      <c r="H269" s="2271" t="b">
        <v>0</v>
      </c>
      <c r="I269" s="2271" t="str">
        <f>""</f>
        <v/>
      </c>
      <c r="J269" s="2272" t="str">
        <f>""</f>
        <v/>
      </c>
      <c r="K269" s="2271" t="b">
        <v>1</v>
      </c>
      <c r="L269" s="2271" t="b">
        <v>0</v>
      </c>
      <c r="M269" s="2283">
        <v>0.14399999999999999</v>
      </c>
      <c r="N269" s="2284">
        <f t="shared" si="3"/>
        <v>2E-3</v>
      </c>
      <c r="O269" s="2285">
        <f t="shared" si="4"/>
        <v>1.6E-2</v>
      </c>
      <c r="P269" s="2287">
        <v>1.1108539831847293E-2</v>
      </c>
      <c r="Q269" s="2273">
        <f t="shared" si="5"/>
        <v>0.13823999999999997</v>
      </c>
      <c r="R269" s="2274">
        <f t="shared" si="6"/>
        <v>9.7919999999999979E-2</v>
      </c>
      <c r="S269" s="2274">
        <f>0.12</f>
        <v>0.12</v>
      </c>
    </row>
    <row r="270" spans="1:19">
      <c r="A270" s="2270" t="str">
        <f t="shared" si="7"/>
        <v xml:space="preserve">Manufacture of ceramic products by firing, in particular roofing tiles, bricks, refractory bricks, tiles, stoneware or porcelain, with a production capacity exceeding 75 tonnes per day </v>
      </c>
      <c r="B270" s="2271">
        <v>13</v>
      </c>
      <c r="C270" s="2271">
        <f t="shared" si="9"/>
        <v>22</v>
      </c>
      <c r="D270" s="1938" t="str">
        <f t="shared" si="2"/>
        <v>13.22</v>
      </c>
      <c r="E270" s="2271" t="s">
        <v>709</v>
      </c>
      <c r="F270" s="2271" t="str">
        <f t="shared" si="8"/>
        <v>tonnes</v>
      </c>
      <c r="G270" s="2271" t="b">
        <v>1</v>
      </c>
      <c r="H270" s="2271" t="b">
        <v>0</v>
      </c>
      <c r="I270" s="2271" t="str">
        <f>""</f>
        <v/>
      </c>
      <c r="J270" s="2272" t="str">
        <f>""</f>
        <v/>
      </c>
      <c r="K270" s="2271" t="b">
        <v>1</v>
      </c>
      <c r="L270" s="2271" t="b">
        <v>0</v>
      </c>
      <c r="M270" s="2283">
        <v>7.5999999999999998E-2</v>
      </c>
      <c r="N270" s="2284">
        <f t="shared" si="3"/>
        <v>2E-3</v>
      </c>
      <c r="O270" s="2285">
        <f t="shared" si="4"/>
        <v>1.6E-2</v>
      </c>
      <c r="P270" s="2287">
        <v>1.6E-2</v>
      </c>
      <c r="Q270" s="2273">
        <f t="shared" si="5"/>
        <v>7.2959999999999997E-2</v>
      </c>
      <c r="R270" s="2274">
        <f t="shared" si="6"/>
        <v>5.1679999999999997E-2</v>
      </c>
      <c r="S270" s="2274">
        <f>0.058</f>
        <v>5.8000000000000003E-2</v>
      </c>
    </row>
    <row r="271" spans="1:19">
      <c r="A271" s="2270" t="str">
        <f t="shared" si="7"/>
        <v xml:space="preserve">Manufacture of mineral wool insulation material using glass, rock or slag with a melting capacity exceeding 20 tonnes per day </v>
      </c>
      <c r="B271" s="2271">
        <v>14</v>
      </c>
      <c r="C271" s="2271">
        <f t="shared" si="9"/>
        <v>23</v>
      </c>
      <c r="D271" s="1938" t="str">
        <f t="shared" si="2"/>
        <v>14.23</v>
      </c>
      <c r="E271" s="2271" t="s">
        <v>711</v>
      </c>
      <c r="F271" s="2271" t="str">
        <f t="shared" si="8"/>
        <v>tonnes</v>
      </c>
      <c r="G271" s="2271" t="b">
        <v>1</v>
      </c>
      <c r="H271" s="2271" t="b">
        <v>1</v>
      </c>
      <c r="I271" s="2271" t="str">
        <f>""</f>
        <v/>
      </c>
      <c r="J271" s="2272" t="str">
        <f>""</f>
        <v/>
      </c>
      <c r="K271" s="2271" t="b">
        <v>1</v>
      </c>
      <c r="L271" s="2271" t="b">
        <v>0</v>
      </c>
      <c r="M271" s="2283">
        <v>0.68200000000000005</v>
      </c>
      <c r="N271" s="2284">
        <f t="shared" si="3"/>
        <v>2E-3</v>
      </c>
      <c r="O271" s="2285">
        <f t="shared" si="4"/>
        <v>1.6E-2</v>
      </c>
      <c r="P271" s="2287">
        <v>1.4249463393826021E-2</v>
      </c>
      <c r="Q271" s="2273">
        <f t="shared" si="5"/>
        <v>0.65472000000000008</v>
      </c>
      <c r="R271" s="2274">
        <f t="shared" si="6"/>
        <v>0.46376000000000001</v>
      </c>
      <c r="S271" s="2274">
        <f>0.536</f>
        <v>0.53600000000000003</v>
      </c>
    </row>
    <row r="272" spans="1:19">
      <c r="A272" s="2270" t="str">
        <f t="shared" si="7"/>
        <v xml:space="preserve">Drying or calcination of gypsum or production of plaster boards and other gypsum products, where combustion units with a total rated thermal input exceeding 20 MW are operated </v>
      </c>
      <c r="B272" s="2271">
        <v>15</v>
      </c>
      <c r="C272" s="2271">
        <f t="shared" si="9"/>
        <v>24</v>
      </c>
      <c r="D272" s="1938" t="str">
        <f t="shared" si="2"/>
        <v>15.24</v>
      </c>
      <c r="E272" s="2271" t="s">
        <v>642</v>
      </c>
      <c r="F272" s="2271" t="str">
        <f t="shared" si="8"/>
        <v>tonnes</v>
      </c>
      <c r="G272" s="2271" t="b">
        <v>1</v>
      </c>
      <c r="H272" s="2271" t="b">
        <v>0</v>
      </c>
      <c r="I272" s="2271" t="str">
        <f>""</f>
        <v/>
      </c>
      <c r="J272" s="2272" t="str">
        <f>""</f>
        <v/>
      </c>
      <c r="K272" s="2271" t="b">
        <v>1</v>
      </c>
      <c r="L272" s="2271" t="b">
        <v>0</v>
      </c>
      <c r="M272" s="2283">
        <v>4.8000000000000001E-2</v>
      </c>
      <c r="N272" s="2284">
        <f t="shared" si="3"/>
        <v>2E-3</v>
      </c>
      <c r="O272" s="2285">
        <f t="shared" si="4"/>
        <v>1.6E-2</v>
      </c>
      <c r="P272" s="2287">
        <v>2E-3</v>
      </c>
      <c r="Q272" s="2273">
        <f t="shared" si="5"/>
        <v>4.6079999999999996E-2</v>
      </c>
      <c r="R272" s="2274">
        <f t="shared" si="6"/>
        <v>3.2639999999999995E-2</v>
      </c>
      <c r="S272" s="2274">
        <f>0.047</f>
        <v>4.7E-2</v>
      </c>
    </row>
    <row r="273" spans="1:19">
      <c r="A273" s="2270" t="str">
        <f t="shared" si="7"/>
        <v xml:space="preserve">Drying or calcination of gypsum or production of plaster boards and other gypsum products, where combustion units with a total rated thermal input exceeding 20 MW are operated </v>
      </c>
      <c r="B273" s="2271">
        <v>15</v>
      </c>
      <c r="C273" s="2271">
        <f t="shared" si="9"/>
        <v>25</v>
      </c>
      <c r="D273" s="1938" t="str">
        <f t="shared" si="2"/>
        <v>15.25</v>
      </c>
      <c r="E273" s="2271" t="s">
        <v>643</v>
      </c>
      <c r="F273" s="2271" t="str">
        <f t="shared" si="8"/>
        <v>tonnes</v>
      </c>
      <c r="G273" s="2271" t="b">
        <v>1</v>
      </c>
      <c r="H273" s="2271" t="b">
        <v>0</v>
      </c>
      <c r="I273" s="2271" t="str">
        <f>""</f>
        <v/>
      </c>
      <c r="J273" s="2272" t="str">
        <f>""</f>
        <v/>
      </c>
      <c r="K273" s="2271" t="b">
        <v>1</v>
      </c>
      <c r="L273" s="2271" t="b">
        <v>0</v>
      </c>
      <c r="M273" s="2283">
        <v>1.7000000000000001E-2</v>
      </c>
      <c r="N273" s="2284">
        <f t="shared" si="3"/>
        <v>2E-3</v>
      </c>
      <c r="O273" s="2285">
        <f t="shared" si="4"/>
        <v>1.6E-2</v>
      </c>
      <c r="P273" s="2287">
        <v>1.6E-2</v>
      </c>
      <c r="Q273" s="2273">
        <f t="shared" si="5"/>
        <v>1.6320000000000001E-2</v>
      </c>
      <c r="R273" s="2274">
        <f t="shared" si="6"/>
        <v>1.1559999999999999E-2</v>
      </c>
      <c r="S273" s="2274">
        <f>0.013</f>
        <v>1.2999999999999999E-2</v>
      </c>
    </row>
    <row r="274" spans="1:19">
      <c r="A274" s="2270" t="str">
        <f t="shared" si="7"/>
        <v xml:space="preserve">Drying or calcination of gypsum or production of plaster boards and other gypsum products, where combustion units with a total rated thermal input exceeding 20 MW are operated </v>
      </c>
      <c r="B274" s="2271">
        <v>15</v>
      </c>
      <c r="C274" s="2271">
        <f t="shared" si="9"/>
        <v>26</v>
      </c>
      <c r="D274" s="1938" t="str">
        <f t="shared" si="2"/>
        <v>15.26</v>
      </c>
      <c r="E274" s="2271" t="s">
        <v>644</v>
      </c>
      <c r="F274" s="2271" t="str">
        <f t="shared" si="8"/>
        <v>tonnes</v>
      </c>
      <c r="G274" s="2271" t="b">
        <v>0</v>
      </c>
      <c r="H274" s="2271" t="b">
        <v>1</v>
      </c>
      <c r="I274" s="2271" t="str">
        <f>""</f>
        <v/>
      </c>
      <c r="J274" s="2272" t="str">
        <f>""</f>
        <v/>
      </c>
      <c r="K274" s="2271" t="b">
        <v>1</v>
      </c>
      <c r="L274" s="2271" t="b">
        <v>0</v>
      </c>
      <c r="M274" s="2283">
        <v>0.13100000000000001</v>
      </c>
      <c r="N274" s="2284">
        <f t="shared" si="3"/>
        <v>2E-3</v>
      </c>
      <c r="O274" s="2285">
        <f t="shared" si="4"/>
        <v>1.6E-2</v>
      </c>
      <c r="P274" s="2287">
        <v>1.0582385618580171E-2</v>
      </c>
      <c r="Q274" s="2273">
        <v>0.126</v>
      </c>
      <c r="R274" s="2274">
        <v>8.8999999999999996E-2</v>
      </c>
      <c r="S274" s="2274">
        <f>0.11</f>
        <v>0.11</v>
      </c>
    </row>
    <row r="275" spans="1:19">
      <c r="A275" s="2270" t="str">
        <f t="shared" si="7"/>
        <v xml:space="preserve">Production of pulp from timber or other fibrous materials </v>
      </c>
      <c r="B275" s="2271">
        <v>16</v>
      </c>
      <c r="C275" s="2271">
        <f t="shared" si="9"/>
        <v>27</v>
      </c>
      <c r="D275" s="1938" t="str">
        <f t="shared" si="2"/>
        <v>16.27</v>
      </c>
      <c r="E275" s="2271" t="s">
        <v>978</v>
      </c>
      <c r="F275" s="2271" t="s">
        <v>979</v>
      </c>
      <c r="G275" s="2271" t="b">
        <v>1</v>
      </c>
      <c r="H275" s="2271" t="b">
        <v>0</v>
      </c>
      <c r="I275" s="2275" t="s">
        <v>1564</v>
      </c>
      <c r="J275" s="2272" t="str">
        <f>""</f>
        <v/>
      </c>
      <c r="K275" s="2271" t="b">
        <v>1</v>
      </c>
      <c r="L275" s="2271" t="b">
        <v>1</v>
      </c>
      <c r="M275" s="2283">
        <v>0.12</v>
      </c>
      <c r="N275" s="2284">
        <f t="shared" si="3"/>
        <v>2E-3</v>
      </c>
      <c r="O275" s="2285">
        <f t="shared" si="4"/>
        <v>1.6E-2</v>
      </c>
      <c r="P275" s="2287">
        <v>1.6E-2</v>
      </c>
      <c r="Q275" s="2273">
        <f t="shared" si="5"/>
        <v>0.1152</v>
      </c>
      <c r="R275" s="2274">
        <f t="shared" si="6"/>
        <v>8.1599999999999992E-2</v>
      </c>
      <c r="S275" s="2274">
        <f>0.091</f>
        <v>9.0999999999999998E-2</v>
      </c>
    </row>
    <row r="276" spans="1:19">
      <c r="A276" s="2270" t="str">
        <f t="shared" si="7"/>
        <v xml:space="preserve">Production of pulp from timber or other fibrous materials </v>
      </c>
      <c r="B276" s="2271">
        <v>16</v>
      </c>
      <c r="C276" s="2271">
        <f t="shared" si="9"/>
        <v>28</v>
      </c>
      <c r="D276" s="1938" t="str">
        <f t="shared" si="2"/>
        <v>16.28</v>
      </c>
      <c r="E276" s="2271" t="s">
        <v>980</v>
      </c>
      <c r="F276" s="2271" t="s">
        <v>979</v>
      </c>
      <c r="G276" s="2271" t="b">
        <v>1</v>
      </c>
      <c r="H276" s="2271" t="b">
        <v>0</v>
      </c>
      <c r="I276" s="2275" t="s">
        <v>1564</v>
      </c>
      <c r="J276" s="2272" t="str">
        <f>""</f>
        <v/>
      </c>
      <c r="K276" s="2271" t="b">
        <v>1</v>
      </c>
      <c r="L276" s="2271" t="b">
        <v>1</v>
      </c>
      <c r="M276" s="2283">
        <v>0.06</v>
      </c>
      <c r="N276" s="2284">
        <f t="shared" si="3"/>
        <v>2E-3</v>
      </c>
      <c r="O276" s="2285">
        <f t="shared" si="4"/>
        <v>1.6E-2</v>
      </c>
      <c r="P276" s="2287">
        <v>1.6E-2</v>
      </c>
      <c r="Q276" s="2273">
        <f t="shared" si="5"/>
        <v>5.7599999999999998E-2</v>
      </c>
      <c r="R276" s="2274">
        <f t="shared" si="6"/>
        <v>4.0799999999999996E-2</v>
      </c>
      <c r="S276" s="2274">
        <f>0.046</f>
        <v>4.5999999999999999E-2</v>
      </c>
    </row>
    <row r="277" spans="1:19">
      <c r="A277" s="2270" t="str">
        <f t="shared" si="7"/>
        <v xml:space="preserve">Production of pulp from timber or other fibrous materials </v>
      </c>
      <c r="B277" s="2271">
        <v>16</v>
      </c>
      <c r="C277" s="2271">
        <f t="shared" si="9"/>
        <v>29</v>
      </c>
      <c r="D277" s="1938" t="str">
        <f t="shared" si="2"/>
        <v>16.29</v>
      </c>
      <c r="E277" s="2271" t="s">
        <v>981</v>
      </c>
      <c r="F277" s="2271" t="s">
        <v>979</v>
      </c>
      <c r="G277" s="2271" t="b">
        <v>1</v>
      </c>
      <c r="H277" s="2271" t="b">
        <v>0</v>
      </c>
      <c r="I277" s="2275" t="s">
        <v>1564</v>
      </c>
      <c r="J277" s="2272" t="str">
        <f>""</f>
        <v/>
      </c>
      <c r="K277" s="2271" t="b">
        <v>1</v>
      </c>
      <c r="L277" s="2271" t="b">
        <v>1</v>
      </c>
      <c r="M277" s="2283">
        <v>0.02</v>
      </c>
      <c r="N277" s="2284">
        <f t="shared" si="3"/>
        <v>2E-3</v>
      </c>
      <c r="O277" s="2285">
        <f t="shared" si="4"/>
        <v>1.6E-2</v>
      </c>
      <c r="P277" s="2287">
        <v>1.6E-2</v>
      </c>
      <c r="Q277" s="2273">
        <f t="shared" si="5"/>
        <v>1.9199999999999998E-2</v>
      </c>
      <c r="R277" s="2274">
        <f t="shared" si="6"/>
        <v>1.3599999999999999E-2</v>
      </c>
      <c r="S277" s="2274">
        <f>0.015</f>
        <v>1.4999999999999999E-2</v>
      </c>
    </row>
    <row r="278" spans="1:19">
      <c r="A278" s="2270" t="str">
        <f t="shared" si="7"/>
        <v xml:space="preserve">Production of pulp from timber or other fibrous materials </v>
      </c>
      <c r="B278" s="2271">
        <v>16</v>
      </c>
      <c r="C278" s="2271">
        <f t="shared" si="9"/>
        <v>30</v>
      </c>
      <c r="D278" s="1938" t="str">
        <f t="shared" si="2"/>
        <v>16.30</v>
      </c>
      <c r="E278" s="2271" t="s">
        <v>646</v>
      </c>
      <c r="F278" s="2271" t="s">
        <v>979</v>
      </c>
      <c r="G278" s="2271" t="b">
        <v>1</v>
      </c>
      <c r="H278" s="2271" t="b">
        <v>0</v>
      </c>
      <c r="I278" s="2271" t="str">
        <f>""</f>
        <v/>
      </c>
      <c r="J278" s="2272" t="str">
        <f>""</f>
        <v/>
      </c>
      <c r="K278" s="2271" t="b">
        <v>1</v>
      </c>
      <c r="L278" s="2271" t="b">
        <v>0</v>
      </c>
      <c r="M278" s="2283">
        <v>3.9E-2</v>
      </c>
      <c r="N278" s="2284">
        <f t="shared" si="3"/>
        <v>2E-3</v>
      </c>
      <c r="O278" s="2285">
        <f t="shared" si="4"/>
        <v>1.6E-2</v>
      </c>
      <c r="P278" s="2287">
        <v>1.6E-2</v>
      </c>
      <c r="Q278" s="2273">
        <f t="shared" si="5"/>
        <v>3.7440000000000001E-2</v>
      </c>
      <c r="R278" s="2274">
        <f t="shared" si="6"/>
        <v>2.6519999999999998E-2</v>
      </c>
      <c r="S278" s="2274">
        <f>0.03</f>
        <v>0.03</v>
      </c>
    </row>
    <row r="279" spans="1:19">
      <c r="A279" s="2270" t="str">
        <f t="shared" si="7"/>
        <v xml:space="preserve">Production of paper or cardboard with a production capacity exceeding 20 tonnes per day </v>
      </c>
      <c r="B279" s="2271">
        <v>17</v>
      </c>
      <c r="C279" s="2271">
        <f t="shared" si="9"/>
        <v>31</v>
      </c>
      <c r="D279" s="1938" t="str">
        <f t="shared" si="2"/>
        <v>17.31</v>
      </c>
      <c r="E279" s="2271" t="s">
        <v>983</v>
      </c>
      <c r="F279" s="2271" t="s">
        <v>979</v>
      </c>
      <c r="G279" s="2271" t="b">
        <v>1</v>
      </c>
      <c r="H279" s="2271" t="b">
        <v>0</v>
      </c>
      <c r="I279" s="2271" t="str">
        <f>""</f>
        <v/>
      </c>
      <c r="J279" s="2272" t="str">
        <f>""</f>
        <v/>
      </c>
      <c r="K279" s="2271" t="b">
        <v>1</v>
      </c>
      <c r="L279" s="2271" t="b">
        <v>0</v>
      </c>
      <c r="M279" s="2283">
        <v>0.29799999999999999</v>
      </c>
      <c r="N279" s="2284">
        <f t="shared" si="3"/>
        <v>2E-3</v>
      </c>
      <c r="O279" s="2285">
        <f t="shared" si="4"/>
        <v>1.6E-2</v>
      </c>
      <c r="P279" s="2287">
        <v>1.6E-2</v>
      </c>
      <c r="Q279" s="2273">
        <f t="shared" si="5"/>
        <v>0.28608</v>
      </c>
      <c r="R279" s="2274">
        <f t="shared" si="6"/>
        <v>0.20263999999999996</v>
      </c>
      <c r="S279" s="2274">
        <f>0.226</f>
        <v>0.22600000000000001</v>
      </c>
    </row>
    <row r="280" spans="1:19">
      <c r="A280" s="2270" t="str">
        <f t="shared" si="7"/>
        <v xml:space="preserve">Production of paper or cardboard with a production capacity exceeding 20 tonnes per day </v>
      </c>
      <c r="B280" s="2271">
        <v>17</v>
      </c>
      <c r="C280" s="2271">
        <f t="shared" si="9"/>
        <v>32</v>
      </c>
      <c r="D280" s="1938" t="str">
        <f t="shared" si="2"/>
        <v>17.32</v>
      </c>
      <c r="E280" s="2271" t="s">
        <v>984</v>
      </c>
      <c r="F280" s="2271" t="s">
        <v>979</v>
      </c>
      <c r="G280" s="2271" t="b">
        <v>1</v>
      </c>
      <c r="H280" s="2271" t="b">
        <v>0</v>
      </c>
      <c r="I280" s="2271" t="str">
        <f>""</f>
        <v/>
      </c>
      <c r="J280" s="2272" t="str">
        <f>""</f>
        <v/>
      </c>
      <c r="K280" s="2271" t="b">
        <v>1</v>
      </c>
      <c r="L280" s="2271" t="b">
        <v>0</v>
      </c>
      <c r="M280" s="2283">
        <v>0.318</v>
      </c>
      <c r="N280" s="2284">
        <f t="shared" si="3"/>
        <v>2E-3</v>
      </c>
      <c r="O280" s="2285">
        <f t="shared" si="4"/>
        <v>1.6E-2</v>
      </c>
      <c r="P280" s="2287">
        <v>1.6E-2</v>
      </c>
      <c r="Q280" s="2273">
        <f t="shared" si="5"/>
        <v>0.30528</v>
      </c>
      <c r="R280" s="2274">
        <f t="shared" si="6"/>
        <v>0.21623999999999999</v>
      </c>
      <c r="S280" s="2274">
        <f>0.242</f>
        <v>0.24199999999999999</v>
      </c>
    </row>
    <row r="281" spans="1:19">
      <c r="A281" s="2270" t="str">
        <f t="shared" si="7"/>
        <v xml:space="preserve">Production of paper or cardboard with a production capacity exceeding 20 tonnes per day </v>
      </c>
      <c r="B281" s="2271">
        <v>17</v>
      </c>
      <c r="C281" s="2271">
        <f t="shared" si="9"/>
        <v>33</v>
      </c>
      <c r="D281" s="1938" t="str">
        <f t="shared" ref="D281:D300" si="10">CONCATENATE(TEXT(B281,"00"),".",TEXT(C281,"00"))</f>
        <v>17.33</v>
      </c>
      <c r="E281" s="2271" t="s">
        <v>35</v>
      </c>
      <c r="F281" s="2271" t="s">
        <v>979</v>
      </c>
      <c r="G281" s="2271" t="b">
        <v>1</v>
      </c>
      <c r="H281" s="2271" t="b">
        <v>0</v>
      </c>
      <c r="I281" s="2271" t="str">
        <f>""</f>
        <v/>
      </c>
      <c r="J281" s="2272" t="str">
        <f>""</f>
        <v/>
      </c>
      <c r="K281" s="2271" t="b">
        <v>1</v>
      </c>
      <c r="L281" s="2271" t="b">
        <v>0</v>
      </c>
      <c r="M281" s="2283">
        <v>0.318</v>
      </c>
      <c r="N281" s="2284">
        <f t="shared" ref="N281:N300" si="11">INDEX(EUconst_BM_ARR_Range,1)</f>
        <v>2E-3</v>
      </c>
      <c r="O281" s="2285">
        <f t="shared" ref="O281:O300" si="12">IF(AND(C281=4,CNTR_SubPeriod=1),INDEX(EUconst_BM_ARR_Range,1),INDEX(EUconst_BM_ARR_Range,2))</f>
        <v>1.6E-2</v>
      </c>
      <c r="P281" s="2287">
        <v>1.6E-2</v>
      </c>
      <c r="Q281" s="2273">
        <f t="shared" ref="Q281:Q300" si="13">$M281*(1-N281*(15+(IF(CNTR_SubPeriod=EUconst_NA,1,CNTR_SubPeriod)-1)*5))</f>
        <v>0.30528</v>
      </c>
      <c r="R281" s="2274">
        <f t="shared" ref="R281:R300" si="14">$M281*(1-O281*(15+(IF(CNTR_SubPeriod=EUconst_NA,1,CNTR_SubPeriod)-1)*5))</f>
        <v>0.21623999999999999</v>
      </c>
      <c r="S281" s="2274">
        <f>0.242</f>
        <v>0.24199999999999999</v>
      </c>
    </row>
    <row r="282" spans="1:19">
      <c r="A282" s="2270" t="str">
        <f t="shared" si="7"/>
        <v xml:space="preserve">Production of paper or cardboard with a production capacity exceeding 20 tonnes per day </v>
      </c>
      <c r="B282" s="2271">
        <v>17</v>
      </c>
      <c r="C282" s="2271">
        <f t="shared" si="9"/>
        <v>34</v>
      </c>
      <c r="D282" s="1938" t="str">
        <f t="shared" si="10"/>
        <v>17.34</v>
      </c>
      <c r="E282" s="2271" t="s">
        <v>36</v>
      </c>
      <c r="F282" s="2271" t="str">
        <f>EUconst_Tons</f>
        <v>tonnes</v>
      </c>
      <c r="G282" s="2271" t="b">
        <v>1</v>
      </c>
      <c r="H282" s="2271" t="b">
        <v>0</v>
      </c>
      <c r="I282" s="2271" t="str">
        <f>""</f>
        <v/>
      </c>
      <c r="J282" s="2272" t="str">
        <f>""</f>
        <v/>
      </c>
      <c r="K282" s="2271" t="b">
        <v>1</v>
      </c>
      <c r="L282" s="2271" t="b">
        <v>0</v>
      </c>
      <c r="M282" s="2283">
        <v>0.33400000000000002</v>
      </c>
      <c r="N282" s="2284">
        <f t="shared" si="11"/>
        <v>2E-3</v>
      </c>
      <c r="O282" s="2285">
        <f t="shared" si="12"/>
        <v>1.6E-2</v>
      </c>
      <c r="P282" s="2287">
        <v>1.6E-2</v>
      </c>
      <c r="Q282" s="2273">
        <f t="shared" si="13"/>
        <v>0.32063999999999998</v>
      </c>
      <c r="R282" s="2274">
        <f t="shared" si="14"/>
        <v>0.22711999999999999</v>
      </c>
      <c r="S282" s="2274">
        <f>0.254</f>
        <v>0.254</v>
      </c>
    </row>
    <row r="283" spans="1:19">
      <c r="A283" s="2270" t="str">
        <f t="shared" si="7"/>
        <v xml:space="preserve">Production of paper or cardboard with a production capacity exceeding 20 tonnes per day </v>
      </c>
      <c r="B283" s="2271">
        <v>17</v>
      </c>
      <c r="C283" s="2271">
        <f t="shared" si="9"/>
        <v>35</v>
      </c>
      <c r="D283" s="1938" t="str">
        <f t="shared" si="10"/>
        <v>17.35</v>
      </c>
      <c r="E283" s="2271" t="s">
        <v>37</v>
      </c>
      <c r="F283" s="2271" t="s">
        <v>979</v>
      </c>
      <c r="G283" s="2271" t="b">
        <v>1</v>
      </c>
      <c r="H283" s="2271" t="b">
        <v>0</v>
      </c>
      <c r="I283" s="2271" t="str">
        <f>""</f>
        <v/>
      </c>
      <c r="J283" s="2272" t="str">
        <f>""</f>
        <v/>
      </c>
      <c r="K283" s="2271" t="b">
        <v>1</v>
      </c>
      <c r="L283" s="2271" t="b">
        <v>0</v>
      </c>
      <c r="M283" s="2283">
        <v>0.248</v>
      </c>
      <c r="N283" s="2284">
        <f t="shared" si="11"/>
        <v>2E-3</v>
      </c>
      <c r="O283" s="2285">
        <f t="shared" si="12"/>
        <v>1.6E-2</v>
      </c>
      <c r="P283" s="2287">
        <v>1.6E-2</v>
      </c>
      <c r="Q283" s="2273">
        <f t="shared" si="13"/>
        <v>0.23807999999999999</v>
      </c>
      <c r="R283" s="2274">
        <f t="shared" si="14"/>
        <v>0.16863999999999998</v>
      </c>
      <c r="S283" s="2274">
        <f>0.188</f>
        <v>0.188</v>
      </c>
    </row>
    <row r="284" spans="1:19">
      <c r="A284" s="2270" t="str">
        <f t="shared" si="7"/>
        <v xml:space="preserve">Production of paper or cardboard with a production capacity exceeding 20 tonnes per day </v>
      </c>
      <c r="B284" s="2271">
        <v>17</v>
      </c>
      <c r="C284" s="2271">
        <f t="shared" si="9"/>
        <v>36</v>
      </c>
      <c r="D284" s="1938" t="str">
        <f t="shared" si="10"/>
        <v>17.36</v>
      </c>
      <c r="E284" s="2271" t="s">
        <v>38</v>
      </c>
      <c r="F284" s="2271" t="s">
        <v>979</v>
      </c>
      <c r="G284" s="2271" t="b">
        <v>1</v>
      </c>
      <c r="H284" s="2271" t="b">
        <v>0</v>
      </c>
      <c r="I284" s="2271" t="str">
        <f>""</f>
        <v/>
      </c>
      <c r="J284" s="2272" t="str">
        <f>""</f>
        <v/>
      </c>
      <c r="K284" s="2271" t="b">
        <v>1</v>
      </c>
      <c r="L284" s="2271" t="b">
        <v>0</v>
      </c>
      <c r="M284" s="2283">
        <v>0.23699999999999999</v>
      </c>
      <c r="N284" s="2284">
        <f t="shared" si="11"/>
        <v>2E-3</v>
      </c>
      <c r="O284" s="2285">
        <f t="shared" si="12"/>
        <v>1.6E-2</v>
      </c>
      <c r="P284" s="2287">
        <v>1.6E-2</v>
      </c>
      <c r="Q284" s="2273">
        <f t="shared" si="13"/>
        <v>0.22751999999999997</v>
      </c>
      <c r="R284" s="2274">
        <f t="shared" si="14"/>
        <v>0.16115999999999997</v>
      </c>
      <c r="S284" s="2274">
        <f>0.18</f>
        <v>0.18</v>
      </c>
    </row>
    <row r="285" spans="1:19">
      <c r="A285" s="2270" t="str">
        <f t="shared" si="7"/>
        <v xml:space="preserve">Production of paper or cardboard with a production capacity exceeding 20 tonnes per day </v>
      </c>
      <c r="B285" s="2271">
        <v>17</v>
      </c>
      <c r="C285" s="2271">
        <f t="shared" si="9"/>
        <v>37</v>
      </c>
      <c r="D285" s="1938" t="str">
        <f t="shared" si="10"/>
        <v>17.37</v>
      </c>
      <c r="E285" s="2271" t="s">
        <v>39</v>
      </c>
      <c r="F285" s="2271" t="s">
        <v>979</v>
      </c>
      <c r="G285" s="2271" t="b">
        <v>1</v>
      </c>
      <c r="H285" s="2271" t="b">
        <v>0</v>
      </c>
      <c r="I285" s="2271" t="str">
        <f>""</f>
        <v/>
      </c>
      <c r="J285" s="2272" t="str">
        <f>""</f>
        <v/>
      </c>
      <c r="K285" s="2271" t="b">
        <v>1</v>
      </c>
      <c r="L285" s="2271" t="b">
        <v>0</v>
      </c>
      <c r="M285" s="2283">
        <v>0.27300000000000002</v>
      </c>
      <c r="N285" s="2284">
        <f t="shared" si="11"/>
        <v>2E-3</v>
      </c>
      <c r="O285" s="2285">
        <f t="shared" si="12"/>
        <v>1.6E-2</v>
      </c>
      <c r="P285" s="2287">
        <v>1.6E-2</v>
      </c>
      <c r="Q285" s="2273">
        <f t="shared" si="13"/>
        <v>0.26208000000000004</v>
      </c>
      <c r="R285" s="2274">
        <f t="shared" si="14"/>
        <v>0.18564</v>
      </c>
      <c r="S285" s="2274">
        <f>0.207</f>
        <v>0.20699999999999999</v>
      </c>
    </row>
    <row r="286" spans="1:19">
      <c r="A286" s="2270" t="str">
        <f t="shared" si="7"/>
        <v xml:space="preserve">Production of carbon black involving the carbonisation of organic substances such as oils, tars, cracker and distillation residues, where combustion units with a total rated thermal input exceeding 20 MW are operated </v>
      </c>
      <c r="B286" s="2271">
        <v>18</v>
      </c>
      <c r="C286" s="2271">
        <f t="shared" si="9"/>
        <v>38</v>
      </c>
      <c r="D286" s="1938" t="str">
        <f t="shared" si="10"/>
        <v>18.38</v>
      </c>
      <c r="E286" s="2271" t="s">
        <v>803</v>
      </c>
      <c r="F286" s="2271" t="str">
        <f>EUconst_Tons</f>
        <v>tonnes</v>
      </c>
      <c r="G286" s="2271" t="b">
        <v>1</v>
      </c>
      <c r="H286" s="2271" t="b">
        <v>1</v>
      </c>
      <c r="I286" s="2271" t="str">
        <f>""</f>
        <v/>
      </c>
      <c r="J286" s="2272" t="str">
        <f>""</f>
        <v/>
      </c>
      <c r="K286" s="2271" t="b">
        <v>1</v>
      </c>
      <c r="L286" s="2271" t="b">
        <v>0</v>
      </c>
      <c r="M286" s="2283">
        <v>1.954</v>
      </c>
      <c r="N286" s="2284">
        <f t="shared" si="11"/>
        <v>2E-3</v>
      </c>
      <c r="O286" s="2285">
        <f t="shared" si="12"/>
        <v>1.6E-2</v>
      </c>
      <c r="P286" s="2287">
        <v>1.6E-2</v>
      </c>
      <c r="Q286" s="2273">
        <f t="shared" si="13"/>
        <v>1.87584</v>
      </c>
      <c r="R286" s="2274">
        <f t="shared" si="14"/>
        <v>1.3287199999999999</v>
      </c>
      <c r="S286" s="2274">
        <f>1.485</f>
        <v>1.4850000000000001</v>
      </c>
    </row>
    <row r="287" spans="1:19">
      <c r="A287" s="2270" t="str">
        <f t="shared" si="7"/>
        <v xml:space="preserve">Production of nitric acid </v>
      </c>
      <c r="B287" s="2271">
        <v>19</v>
      </c>
      <c r="C287" s="2271">
        <f t="shared" si="9"/>
        <v>39</v>
      </c>
      <c r="D287" s="1938" t="str">
        <f t="shared" si="10"/>
        <v>19.39</v>
      </c>
      <c r="E287" s="2271" t="s">
        <v>805</v>
      </c>
      <c r="F287" s="2271" t="str">
        <f>EUconst_Tons</f>
        <v>tonnes</v>
      </c>
      <c r="G287" s="2271" t="b">
        <v>1</v>
      </c>
      <c r="H287" s="2271" t="b">
        <v>0</v>
      </c>
      <c r="I287" s="2275" t="s">
        <v>799</v>
      </c>
      <c r="J287" s="2272" t="str">
        <f>""</f>
        <v/>
      </c>
      <c r="K287" s="2271" t="b">
        <v>1</v>
      </c>
      <c r="L287" s="2271" t="b">
        <v>0</v>
      </c>
      <c r="M287" s="2283">
        <v>0.30199999999999999</v>
      </c>
      <c r="N287" s="2284">
        <f t="shared" si="11"/>
        <v>2E-3</v>
      </c>
      <c r="O287" s="2285">
        <f t="shared" si="12"/>
        <v>1.6E-2</v>
      </c>
      <c r="P287" s="2287">
        <v>1.6E-2</v>
      </c>
      <c r="Q287" s="2273">
        <f t="shared" si="13"/>
        <v>0.28991999999999996</v>
      </c>
      <c r="R287" s="2274">
        <f t="shared" si="14"/>
        <v>0.20535999999999999</v>
      </c>
      <c r="S287" s="2274">
        <f>0.23</f>
        <v>0.23</v>
      </c>
    </row>
    <row r="288" spans="1:19">
      <c r="A288" s="2270" t="str">
        <f t="shared" si="7"/>
        <v xml:space="preserve">Production of adipic acid </v>
      </c>
      <c r="B288" s="2271">
        <v>20</v>
      </c>
      <c r="C288" s="2271">
        <f t="shared" si="9"/>
        <v>40</v>
      </c>
      <c r="D288" s="1938" t="str">
        <f t="shared" si="10"/>
        <v>20.40</v>
      </c>
      <c r="E288" s="2271" t="s">
        <v>807</v>
      </c>
      <c r="F288" s="2271" t="str">
        <f>EUconst_Tons</f>
        <v>tonnes</v>
      </c>
      <c r="G288" s="2271" t="b">
        <v>1</v>
      </c>
      <c r="H288" s="2271" t="b">
        <v>0</v>
      </c>
      <c r="I288" s="2271" t="str">
        <f>""</f>
        <v/>
      </c>
      <c r="J288" s="2272" t="str">
        <f>""</f>
        <v/>
      </c>
      <c r="K288" s="2271" t="b">
        <v>1</v>
      </c>
      <c r="L288" s="2271" t="b">
        <v>0</v>
      </c>
      <c r="M288" s="2283">
        <v>2.79</v>
      </c>
      <c r="N288" s="2284">
        <f t="shared" si="11"/>
        <v>2E-3</v>
      </c>
      <c r="O288" s="2285">
        <f t="shared" si="12"/>
        <v>1.6E-2</v>
      </c>
      <c r="P288" s="2287">
        <v>1.6E-2</v>
      </c>
      <c r="Q288" s="2273">
        <f t="shared" si="13"/>
        <v>2.6783999999999999</v>
      </c>
      <c r="R288" s="2274">
        <f t="shared" si="14"/>
        <v>1.8971999999999998</v>
      </c>
      <c r="S288" s="2274">
        <f>2.12</f>
        <v>2.12</v>
      </c>
    </row>
    <row r="289" spans="1:19">
      <c r="A289" s="2270" t="str">
        <f t="shared" si="7"/>
        <v xml:space="preserve">Production of ammonia </v>
      </c>
      <c r="B289" s="2271">
        <v>22</v>
      </c>
      <c r="C289" s="2271">
        <f t="shared" si="9"/>
        <v>41</v>
      </c>
      <c r="D289" s="1938" t="str">
        <f t="shared" si="10"/>
        <v>22.41</v>
      </c>
      <c r="E289" s="2271" t="s">
        <v>809</v>
      </c>
      <c r="F289" s="2271" t="str">
        <f>EUconst_Tons</f>
        <v>tonnes</v>
      </c>
      <c r="G289" s="2271" t="b">
        <v>1</v>
      </c>
      <c r="H289" s="2271" t="b">
        <v>1</v>
      </c>
      <c r="I289" s="2271" t="str">
        <f>""</f>
        <v/>
      </c>
      <c r="J289" s="2272" t="str">
        <f>""</f>
        <v/>
      </c>
      <c r="K289" s="2271" t="b">
        <v>1</v>
      </c>
      <c r="L289" s="2271" t="b">
        <v>0</v>
      </c>
      <c r="M289" s="2283">
        <v>1.619</v>
      </c>
      <c r="N289" s="2284">
        <f t="shared" si="11"/>
        <v>2E-3</v>
      </c>
      <c r="O289" s="2285">
        <f t="shared" si="12"/>
        <v>1.6E-2</v>
      </c>
      <c r="P289" s="2287">
        <v>2E-3</v>
      </c>
      <c r="Q289" s="2273">
        <f t="shared" si="13"/>
        <v>1.5542399999999998</v>
      </c>
      <c r="R289" s="2274">
        <f t="shared" si="14"/>
        <v>1.1009199999999999</v>
      </c>
      <c r="S289" s="2274">
        <f>1.57</f>
        <v>1.57</v>
      </c>
    </row>
    <row r="290" spans="1:19">
      <c r="A290" s="2270" t="str">
        <f t="shared" si="7"/>
        <v xml:space="preserve">Production of bulk organic chemicals by cracking, reforming, partial or full oxidation or by similar processes, with a production capacity exceeding 100 tonnes per day </v>
      </c>
      <c r="B290" s="2271">
        <v>23</v>
      </c>
      <c r="C290" s="2271">
        <f t="shared" si="9"/>
        <v>42</v>
      </c>
      <c r="D290" s="1938" t="str">
        <f t="shared" si="10"/>
        <v>23.42</v>
      </c>
      <c r="E290" s="2271" t="s">
        <v>811</v>
      </c>
      <c r="F290" s="2271" t="str">
        <f>EUconst_Tons</f>
        <v>tonnes</v>
      </c>
      <c r="G290" s="2271" t="b">
        <v>1</v>
      </c>
      <c r="H290" s="2271" t="b">
        <v>1</v>
      </c>
      <c r="I290" s="2271" t="s">
        <v>234</v>
      </c>
      <c r="J290" s="2272" t="str">
        <f>"#JUMP_H_IV"</f>
        <v>#JUMP_H_IV</v>
      </c>
      <c r="K290" s="2271" t="b">
        <v>1</v>
      </c>
      <c r="L290" s="2271" t="b">
        <v>0</v>
      </c>
      <c r="M290" s="2283">
        <v>0.70199999999999996</v>
      </c>
      <c r="N290" s="2284">
        <f t="shared" si="11"/>
        <v>2E-3</v>
      </c>
      <c r="O290" s="2285">
        <f t="shared" si="12"/>
        <v>1.6E-2</v>
      </c>
      <c r="P290" s="2287">
        <v>2E-3</v>
      </c>
      <c r="Q290" s="2273">
        <f t="shared" si="13"/>
        <v>0.67391999999999996</v>
      </c>
      <c r="R290" s="2274">
        <f t="shared" si="14"/>
        <v>0.47735999999999995</v>
      </c>
      <c r="S290" s="2274">
        <f>0.681</f>
        <v>0.68100000000000005</v>
      </c>
    </row>
    <row r="291" spans="1:19">
      <c r="A291" s="2270" t="str">
        <f t="shared" si="7"/>
        <v xml:space="preserve">Production of bulk organic chemicals by cracking, reforming, partial or full oxidation or by similar processes, with a production capacity exceeding 100 tonnes per day </v>
      </c>
      <c r="B291" s="2271">
        <v>23</v>
      </c>
      <c r="C291" s="2271">
        <f t="shared" si="9"/>
        <v>43</v>
      </c>
      <c r="D291" s="1938" t="str">
        <f t="shared" si="10"/>
        <v>23.43</v>
      </c>
      <c r="E291" s="2271" t="s">
        <v>812</v>
      </c>
      <c r="F291" s="2271" t="s">
        <v>163</v>
      </c>
      <c r="G291" s="2271" t="b">
        <v>1</v>
      </c>
      <c r="H291" s="2271" t="b">
        <v>1</v>
      </c>
      <c r="I291" s="2271" t="s">
        <v>906</v>
      </c>
      <c r="J291" s="2272" t="str">
        <f>"#JUMP_H_V"</f>
        <v>#JUMP_H_V</v>
      </c>
      <c r="K291" s="2271" t="b">
        <v>0</v>
      </c>
      <c r="L291" s="2271" t="b">
        <v>0</v>
      </c>
      <c r="M291" s="2283">
        <v>2.9499999999999998E-2</v>
      </c>
      <c r="N291" s="2284">
        <f t="shared" si="11"/>
        <v>2E-3</v>
      </c>
      <c r="O291" s="2285">
        <f t="shared" si="12"/>
        <v>1.6E-2</v>
      </c>
      <c r="P291" s="2287">
        <v>1.511693494765688E-2</v>
      </c>
      <c r="Q291" s="2273">
        <f t="shared" si="13"/>
        <v>2.8319999999999998E-2</v>
      </c>
      <c r="R291" s="2274">
        <f t="shared" si="14"/>
        <v>2.0059999999999998E-2</v>
      </c>
      <c r="S291" s="2274">
        <f>0.0228</f>
        <v>2.2800000000000001E-2</v>
      </c>
    </row>
    <row r="292" spans="1:19">
      <c r="A292" s="2270" t="str">
        <f t="shared" si="7"/>
        <v xml:space="preserve">Production of bulk organic chemicals by cracking, reforming, partial or full oxidation or by similar processes, with a production capacity exceeding 100 tonnes per day </v>
      </c>
      <c r="B292" s="2271">
        <v>23</v>
      </c>
      <c r="C292" s="2271">
        <f t="shared" si="9"/>
        <v>44</v>
      </c>
      <c r="D292" s="1938" t="str">
        <f t="shared" si="10"/>
        <v>23.44</v>
      </c>
      <c r="E292" s="2271" t="s">
        <v>813</v>
      </c>
      <c r="F292" s="2271" t="str">
        <f t="shared" ref="F292:F300" si="15">EUconst_Tons</f>
        <v>tonnes</v>
      </c>
      <c r="G292" s="2271" t="b">
        <v>1</v>
      </c>
      <c r="H292" s="2271" t="b">
        <v>1</v>
      </c>
      <c r="I292" s="2271" t="str">
        <f>""</f>
        <v/>
      </c>
      <c r="J292" s="2272" t="str">
        <f>""</f>
        <v/>
      </c>
      <c r="K292" s="2271" t="b">
        <v>1</v>
      </c>
      <c r="L292" s="2271" t="b">
        <v>0</v>
      </c>
      <c r="M292" s="2283">
        <v>0.52700000000000002</v>
      </c>
      <c r="N292" s="2284">
        <f t="shared" si="11"/>
        <v>2E-3</v>
      </c>
      <c r="O292" s="2285">
        <f t="shared" si="12"/>
        <v>1.6E-2</v>
      </c>
      <c r="P292" s="2287">
        <v>1.6E-2</v>
      </c>
      <c r="Q292" s="2273">
        <f t="shared" si="13"/>
        <v>0.50592000000000004</v>
      </c>
      <c r="R292" s="2274">
        <f t="shared" si="14"/>
        <v>0.35835999999999996</v>
      </c>
      <c r="S292" s="2274">
        <f>0.401</f>
        <v>0.40100000000000002</v>
      </c>
    </row>
    <row r="293" spans="1:19">
      <c r="A293" s="2270" t="str">
        <f t="shared" si="7"/>
        <v xml:space="preserve">Production of bulk organic chemicals by cracking, reforming, partial or full oxidation or by similar processes, with a production capacity exceeding 100 tonnes per day </v>
      </c>
      <c r="B293" s="2271">
        <v>23</v>
      </c>
      <c r="C293" s="2271">
        <f t="shared" si="9"/>
        <v>45</v>
      </c>
      <c r="D293" s="1938" t="str">
        <f t="shared" si="10"/>
        <v>23.45</v>
      </c>
      <c r="E293" s="2271" t="s">
        <v>814</v>
      </c>
      <c r="F293" s="2271" t="str">
        <f t="shared" si="15"/>
        <v>tonnes</v>
      </c>
      <c r="G293" s="2271" t="b">
        <v>1</v>
      </c>
      <c r="H293" s="2271" t="b">
        <v>0</v>
      </c>
      <c r="I293" s="2271" t="str">
        <f>""</f>
        <v/>
      </c>
      <c r="J293" s="2272" t="str">
        <f>""</f>
        <v/>
      </c>
      <c r="K293" s="2271" t="b">
        <v>1</v>
      </c>
      <c r="L293" s="2271" t="b">
        <v>0</v>
      </c>
      <c r="M293" s="2283">
        <v>0.26600000000000001</v>
      </c>
      <c r="N293" s="2284">
        <f t="shared" si="11"/>
        <v>2E-3</v>
      </c>
      <c r="O293" s="2285">
        <f t="shared" si="12"/>
        <v>1.6E-2</v>
      </c>
      <c r="P293" s="2287">
        <v>9.0133547706168458E-3</v>
      </c>
      <c r="Q293" s="2273">
        <f t="shared" si="13"/>
        <v>0.25536000000000003</v>
      </c>
      <c r="R293" s="2274">
        <f t="shared" si="14"/>
        <v>0.18087999999999999</v>
      </c>
      <c r="S293" s="2274">
        <f>0.23</f>
        <v>0.23</v>
      </c>
    </row>
    <row r="294" spans="1:19">
      <c r="A294" s="2270" t="str">
        <f t="shared" si="7"/>
        <v xml:space="preserve">Production of bulk organic chemicals by cracking, reforming, partial or full oxidation or by similar processes, with a production capacity exceeding 100 tonnes per day </v>
      </c>
      <c r="B294" s="2271">
        <v>23</v>
      </c>
      <c r="C294" s="2271">
        <f t="shared" si="9"/>
        <v>46</v>
      </c>
      <c r="D294" s="1938" t="str">
        <f t="shared" si="10"/>
        <v>23.46</v>
      </c>
      <c r="E294" s="2271" t="s">
        <v>815</v>
      </c>
      <c r="F294" s="2271" t="str">
        <f t="shared" si="15"/>
        <v>tonnes</v>
      </c>
      <c r="G294" s="2271" t="b">
        <v>1</v>
      </c>
      <c r="H294" s="2271" t="b">
        <v>1</v>
      </c>
      <c r="I294" s="2271" t="s">
        <v>909</v>
      </c>
      <c r="J294" s="2272" t="str">
        <f>"#JUMP_H_VIII"</f>
        <v>#JUMP_H_VIII</v>
      </c>
      <c r="K294" s="2271" t="b">
        <v>1</v>
      </c>
      <c r="L294" s="2271" t="b">
        <v>0</v>
      </c>
      <c r="M294" s="2283">
        <v>0.51200000000000001</v>
      </c>
      <c r="N294" s="2284">
        <f t="shared" si="11"/>
        <v>2E-3</v>
      </c>
      <c r="O294" s="2285">
        <f t="shared" si="12"/>
        <v>1.6E-2</v>
      </c>
      <c r="P294" s="2287">
        <v>1.6E-2</v>
      </c>
      <c r="Q294" s="2273">
        <f t="shared" si="13"/>
        <v>0.49152000000000001</v>
      </c>
      <c r="R294" s="2274">
        <f t="shared" si="14"/>
        <v>0.34815999999999997</v>
      </c>
      <c r="S294" s="2274">
        <f>0.389</f>
        <v>0.38900000000000001</v>
      </c>
    </row>
    <row r="295" spans="1:19">
      <c r="A295" s="2270" t="str">
        <f t="shared" si="7"/>
        <v xml:space="preserve">Production of bulk organic chemicals by cracking, reforming, partial or full oxidation or by similar processes, with a production capacity exceeding 100 tonnes per day </v>
      </c>
      <c r="B295" s="2271">
        <v>23</v>
      </c>
      <c r="C295" s="2271">
        <f t="shared" si="9"/>
        <v>47</v>
      </c>
      <c r="D295" s="1938" t="str">
        <f t="shared" si="10"/>
        <v>23.47</v>
      </c>
      <c r="E295" s="2271" t="s">
        <v>816</v>
      </c>
      <c r="F295" s="2271" t="str">
        <f t="shared" si="15"/>
        <v>tonnes</v>
      </c>
      <c r="G295" s="2271" t="b">
        <v>1</v>
      </c>
      <c r="H295" s="2271" t="b">
        <v>0</v>
      </c>
      <c r="I295" s="2271" t="s">
        <v>233</v>
      </c>
      <c r="J295" s="2272" t="str">
        <f>"#JUMP_H_IX"</f>
        <v>#JUMP_H_IX</v>
      </c>
      <c r="K295" s="2271" t="b">
        <v>1</v>
      </c>
      <c r="L295" s="2271" t="b">
        <v>0</v>
      </c>
      <c r="M295" s="2283">
        <v>0.20399999999999999</v>
      </c>
      <c r="N295" s="2284">
        <f t="shared" si="11"/>
        <v>2E-3</v>
      </c>
      <c r="O295" s="2285">
        <f t="shared" si="12"/>
        <v>1.6E-2</v>
      </c>
      <c r="P295" s="2287">
        <v>1.6E-2</v>
      </c>
      <c r="Q295" s="2273">
        <f t="shared" si="13"/>
        <v>0.19583999999999999</v>
      </c>
      <c r="R295" s="2274">
        <f t="shared" si="14"/>
        <v>0.13871999999999998</v>
      </c>
      <c r="S295" s="2274">
        <f>0.155</f>
        <v>0.155</v>
      </c>
    </row>
    <row r="296" spans="1:19">
      <c r="A296" s="2270" t="str">
        <f t="shared" si="7"/>
        <v xml:space="preserve">Production of bulk organic chemicals by cracking, reforming, partial or full oxidation or by similar processes, with a production capacity exceeding 100 tonnes per day </v>
      </c>
      <c r="B296" s="2271">
        <v>23</v>
      </c>
      <c r="C296" s="2271">
        <f t="shared" si="9"/>
        <v>48</v>
      </c>
      <c r="D296" s="1938" t="str">
        <f t="shared" si="10"/>
        <v>23.48</v>
      </c>
      <c r="E296" s="2271" t="s">
        <v>817</v>
      </c>
      <c r="F296" s="2271" t="str">
        <f t="shared" si="15"/>
        <v>tonnes</v>
      </c>
      <c r="G296" s="2271" t="b">
        <v>1</v>
      </c>
      <c r="H296" s="2271" t="b">
        <v>0</v>
      </c>
      <c r="I296" s="2271" t="str">
        <f>""</f>
        <v/>
      </c>
      <c r="J296" s="2272" t="str">
        <f>""</f>
        <v/>
      </c>
      <c r="K296" s="2271" t="b">
        <v>1</v>
      </c>
      <c r="L296" s="2271" t="b">
        <v>0</v>
      </c>
      <c r="M296" s="2283">
        <v>8.5000000000000006E-2</v>
      </c>
      <c r="N296" s="2284">
        <f t="shared" si="11"/>
        <v>2E-3</v>
      </c>
      <c r="O296" s="2285">
        <f t="shared" si="12"/>
        <v>1.6E-2</v>
      </c>
      <c r="P296" s="2287">
        <v>1.5118962598975692E-2</v>
      </c>
      <c r="Q296" s="2273">
        <f t="shared" si="13"/>
        <v>8.1600000000000006E-2</v>
      </c>
      <c r="R296" s="2274">
        <f t="shared" si="14"/>
        <v>5.7799999999999997E-2</v>
      </c>
      <c r="S296" s="2274">
        <f>0.066</f>
        <v>6.6000000000000003E-2</v>
      </c>
    </row>
    <row r="297" spans="1:19">
      <c r="A297" s="2270" t="str">
        <f t="shared" si="7"/>
        <v xml:space="preserve">Production of bulk organic chemicals by cracking, reforming, partial or full oxidation or by similar processes, with a production capacity exceeding 100 tonnes per day </v>
      </c>
      <c r="B297" s="2271">
        <v>23</v>
      </c>
      <c r="C297" s="2271">
        <f t="shared" si="9"/>
        <v>49</v>
      </c>
      <c r="D297" s="1938" t="str">
        <f t="shared" si="10"/>
        <v>23.49</v>
      </c>
      <c r="E297" s="2271" t="s">
        <v>818</v>
      </c>
      <c r="F297" s="2271" t="str">
        <f t="shared" si="15"/>
        <v>tonnes</v>
      </c>
      <c r="G297" s="2271" t="b">
        <v>1</v>
      </c>
      <c r="H297" s="2271" t="b">
        <v>0</v>
      </c>
      <c r="I297" s="2271" t="str">
        <f>""</f>
        <v/>
      </c>
      <c r="J297" s="2272" t="str">
        <f>""</f>
        <v/>
      </c>
      <c r="K297" s="2271" t="b">
        <v>1</v>
      </c>
      <c r="L297" s="2271" t="b">
        <v>0</v>
      </c>
      <c r="M297" s="2283">
        <v>0.23799999999999999</v>
      </c>
      <c r="N297" s="2284">
        <f t="shared" si="11"/>
        <v>2E-3</v>
      </c>
      <c r="O297" s="2285">
        <f t="shared" si="12"/>
        <v>1.6E-2</v>
      </c>
      <c r="P297" s="2287">
        <v>1.6E-2</v>
      </c>
      <c r="Q297" s="2273">
        <f t="shared" si="13"/>
        <v>0.22847999999999999</v>
      </c>
      <c r="R297" s="2274">
        <f t="shared" si="14"/>
        <v>0.16183999999999998</v>
      </c>
      <c r="S297" s="2274">
        <f>0.181</f>
        <v>0.18099999999999999</v>
      </c>
    </row>
    <row r="298" spans="1:19">
      <c r="A298" s="2270" t="str">
        <f t="shared" si="7"/>
        <v xml:space="preserve">Production of hydrogen (H2) and synthesis gas by reforming or partial oxidation with a production capacity exceeding 25 tonnes per day </v>
      </c>
      <c r="B298" s="2271">
        <v>24</v>
      </c>
      <c r="C298" s="2271">
        <f t="shared" si="9"/>
        <v>50</v>
      </c>
      <c r="D298" s="1938" t="str">
        <f t="shared" si="10"/>
        <v>24.50</v>
      </c>
      <c r="E298" s="2271" t="s">
        <v>820</v>
      </c>
      <c r="F298" s="2271" t="str">
        <f t="shared" si="15"/>
        <v>tonnes</v>
      </c>
      <c r="G298" s="2271" t="b">
        <v>1</v>
      </c>
      <c r="H298" s="2271" t="b">
        <v>1</v>
      </c>
      <c r="I298" s="2271" t="s">
        <v>910</v>
      </c>
      <c r="J298" s="2272" t="str">
        <f>"#JUMP_H_VI"</f>
        <v>#JUMP_H_VI</v>
      </c>
      <c r="K298" s="2271" t="b">
        <v>1</v>
      </c>
      <c r="L298" s="2271" t="b">
        <v>0</v>
      </c>
      <c r="M298" s="2283">
        <v>8.85</v>
      </c>
      <c r="N298" s="2284">
        <f t="shared" si="11"/>
        <v>2E-3</v>
      </c>
      <c r="O298" s="2285">
        <f t="shared" si="12"/>
        <v>1.6E-2</v>
      </c>
      <c r="P298" s="2287">
        <v>1.511693494765688E-2</v>
      </c>
      <c r="Q298" s="2273">
        <f t="shared" si="13"/>
        <v>8.4959999999999987</v>
      </c>
      <c r="R298" s="2274">
        <f t="shared" si="14"/>
        <v>6.0179999999999989</v>
      </c>
      <c r="S298" s="2274">
        <f>6.84</f>
        <v>6.84</v>
      </c>
    </row>
    <row r="299" spans="1:19">
      <c r="A299" s="2270" t="str">
        <f t="shared" si="7"/>
        <v xml:space="preserve">Production of hydrogen (H2) and synthesis gas by reforming or partial oxidation with a production capacity exceeding 25 tonnes per day </v>
      </c>
      <c r="B299" s="2271">
        <v>24</v>
      </c>
      <c r="C299" s="2271">
        <f t="shared" si="9"/>
        <v>51</v>
      </c>
      <c r="D299" s="1938" t="str">
        <f t="shared" si="10"/>
        <v>24.51</v>
      </c>
      <c r="E299" s="2271" t="s">
        <v>821</v>
      </c>
      <c r="F299" s="2271" t="str">
        <f t="shared" si="15"/>
        <v>tonnes</v>
      </c>
      <c r="G299" s="2271" t="b">
        <v>1</v>
      </c>
      <c r="H299" s="2271" t="b">
        <v>1</v>
      </c>
      <c r="I299" s="2271" t="s">
        <v>911</v>
      </c>
      <c r="J299" s="2272" t="str">
        <f>"#JUMP_H_VII"</f>
        <v>#JUMP_H_VII</v>
      </c>
      <c r="K299" s="2271" t="b">
        <v>1</v>
      </c>
      <c r="L299" s="2271" t="b">
        <v>0</v>
      </c>
      <c r="M299" s="2283">
        <v>0.24199999999999999</v>
      </c>
      <c r="N299" s="2284">
        <f t="shared" si="11"/>
        <v>2E-3</v>
      </c>
      <c r="O299" s="2285">
        <f t="shared" si="12"/>
        <v>1.6E-2</v>
      </c>
      <c r="P299" s="2287">
        <v>1.511693494765688E-2</v>
      </c>
      <c r="Q299" s="2273">
        <f t="shared" si="13"/>
        <v>0.23231999999999997</v>
      </c>
      <c r="R299" s="2274">
        <f t="shared" si="14"/>
        <v>0.16455999999999998</v>
      </c>
      <c r="S299" s="2274">
        <f>0.187</f>
        <v>0.187</v>
      </c>
    </row>
    <row r="300" spans="1:19" ht="13.5" thickBot="1">
      <c r="A300" s="2270" t="str">
        <f t="shared" si="7"/>
        <v xml:space="preserve">Production of soda ash (Na2CO3) and sodium bicarbonate (NaHCO3) </v>
      </c>
      <c r="B300" s="2271">
        <v>25</v>
      </c>
      <c r="C300" s="2271">
        <f t="shared" si="9"/>
        <v>52</v>
      </c>
      <c r="D300" s="1938" t="str">
        <f t="shared" si="10"/>
        <v>25.52</v>
      </c>
      <c r="E300" s="2271" t="s">
        <v>823</v>
      </c>
      <c r="F300" s="2271" t="str">
        <f t="shared" si="15"/>
        <v>tonnes</v>
      </c>
      <c r="G300" s="2271" t="b">
        <v>1</v>
      </c>
      <c r="H300" s="2271" t="b">
        <v>0</v>
      </c>
      <c r="I300" s="2271" t="str">
        <f>""</f>
        <v/>
      </c>
      <c r="J300" s="2272" t="str">
        <f>""</f>
        <v/>
      </c>
      <c r="K300" s="2271" t="b">
        <v>1</v>
      </c>
      <c r="L300" s="2271" t="b">
        <v>0</v>
      </c>
      <c r="M300" s="2283">
        <v>0.84299999999999997</v>
      </c>
      <c r="N300" s="2284">
        <f t="shared" si="11"/>
        <v>2E-3</v>
      </c>
      <c r="O300" s="2285">
        <f t="shared" si="12"/>
        <v>1.6E-2</v>
      </c>
      <c r="P300" s="2288">
        <v>7.1434460909982995E-3</v>
      </c>
      <c r="Q300" s="2273">
        <f t="shared" si="13"/>
        <v>0.80927999999999989</v>
      </c>
      <c r="R300" s="2274">
        <f t="shared" si="14"/>
        <v>0.57323999999999997</v>
      </c>
      <c r="S300" s="2274">
        <f>0.753</f>
        <v>0.753</v>
      </c>
    </row>
    <row r="301" spans="1:19">
      <c r="A301" s="2276" t="s">
        <v>824</v>
      </c>
      <c r="B301" s="2277" t="s">
        <v>824</v>
      </c>
      <c r="C301" s="2277" t="s">
        <v>824</v>
      </c>
      <c r="D301" s="2277" t="s">
        <v>824</v>
      </c>
      <c r="E301" s="2277" t="s">
        <v>824</v>
      </c>
      <c r="F301" s="2277" t="s">
        <v>824</v>
      </c>
      <c r="G301" s="2277" t="s">
        <v>824</v>
      </c>
      <c r="H301" s="2277" t="s">
        <v>824</v>
      </c>
      <c r="I301" s="2277" t="s">
        <v>824</v>
      </c>
      <c r="J301" s="2277" t="s">
        <v>824</v>
      </c>
      <c r="K301" s="2277" t="s">
        <v>824</v>
      </c>
    </row>
    <row r="302" spans="1:19" s="2264" customFormat="1">
      <c r="A302" s="2264" t="s">
        <v>281</v>
      </c>
    </row>
    <row r="303" spans="1:19" ht="51.75" thickBot="1">
      <c r="B303" s="2271"/>
      <c r="C303" s="2271" t="s">
        <v>156</v>
      </c>
      <c r="D303" s="2271" t="s">
        <v>157</v>
      </c>
      <c r="E303" s="2271" t="s">
        <v>282</v>
      </c>
      <c r="F303" s="2271" t="s">
        <v>884</v>
      </c>
      <c r="G303" s="2271" t="s">
        <v>159</v>
      </c>
      <c r="H303" s="2271" t="s">
        <v>160</v>
      </c>
      <c r="I303" s="2271" t="s">
        <v>456</v>
      </c>
      <c r="M303" s="2289" t="s">
        <v>1130</v>
      </c>
      <c r="N303" s="2289" t="s">
        <v>1385</v>
      </c>
      <c r="O303" s="2289" t="s">
        <v>1386</v>
      </c>
      <c r="P303" s="2290" t="s">
        <v>1129</v>
      </c>
      <c r="Q303" s="2278" t="s">
        <v>1387</v>
      </c>
      <c r="R303" s="2278" t="s">
        <v>1388</v>
      </c>
      <c r="S303" s="1970" t="s">
        <v>1394</v>
      </c>
    </row>
    <row r="304" spans="1:19">
      <c r="B304" s="2271">
        <v>90</v>
      </c>
      <c r="C304" s="2271">
        <v>91</v>
      </c>
      <c r="D304" s="1938" t="str">
        <f t="shared" ref="D304:D310" si="16">CONCATENATE(TEXT(B304,"00"),".",TEXT(C304,"00"))</f>
        <v>90.91</v>
      </c>
      <c r="E304" s="2279" t="s">
        <v>275</v>
      </c>
      <c r="F304" s="1140" t="str">
        <f>EUconst_TJ</f>
        <v>TJ</v>
      </c>
      <c r="G304" s="1303" t="b">
        <v>1</v>
      </c>
      <c r="H304" s="2271"/>
      <c r="I304" s="1970" t="s">
        <v>1337</v>
      </c>
      <c r="M304" s="2283">
        <v>62.3</v>
      </c>
      <c r="N304" s="2284">
        <f>INDEX(EUconst_BM_ARR_Range,1)</f>
        <v>2E-3</v>
      </c>
      <c r="O304" s="2285">
        <f>IF(AND(C304=4,CNTR_SubPeriod=1),INDEX(EUconst_BM_ARR_Range,1),INDEX(EUconst_BM_ARR_Range,2))</f>
        <v>1.6E-2</v>
      </c>
      <c r="P304" s="2286">
        <v>1.6E-2</v>
      </c>
      <c r="Q304" s="2273">
        <f t="shared" ref="Q304:R310" si="17">$M304*(1-N304*(15+(IF(CNTR_SubPeriod=EUconst_NA,1,CNTR_SubPeriod)-1)*5))</f>
        <v>59.807999999999993</v>
      </c>
      <c r="R304" s="2274">
        <f t="shared" si="17"/>
        <v>42.363999999999997</v>
      </c>
      <c r="S304" s="2274">
        <f>47.3</f>
        <v>47.3</v>
      </c>
    </row>
    <row r="305" spans="1:19">
      <c r="B305" s="2271">
        <v>90</v>
      </c>
      <c r="C305" s="2271">
        <v>92</v>
      </c>
      <c r="D305" s="1938" t="str">
        <f t="shared" si="16"/>
        <v>90.92</v>
      </c>
      <c r="E305" s="2279" t="s">
        <v>276</v>
      </c>
      <c r="F305" s="1140" t="str">
        <f>EUconst_TJ</f>
        <v>TJ</v>
      </c>
      <c r="G305" s="1303" t="b">
        <v>0</v>
      </c>
      <c r="H305" s="2271"/>
      <c r="I305" s="1970" t="s">
        <v>1337</v>
      </c>
      <c r="M305" s="2283">
        <v>62.3</v>
      </c>
      <c r="N305" s="2284">
        <f>INDEX(EUconst_BM_ARR_Range,1)</f>
        <v>2E-3</v>
      </c>
      <c r="O305" s="2285">
        <f>IF(AND(C305=4,CNTR_SubPeriod=1),INDEX(EUconst_BM_ARR_Range,1),INDEX(EUconst_BM_ARR_Range,2))</f>
        <v>1.6E-2</v>
      </c>
      <c r="P305" s="2287">
        <v>1.6E-2</v>
      </c>
      <c r="Q305" s="2273">
        <f t="shared" si="17"/>
        <v>59.807999999999993</v>
      </c>
      <c r="R305" s="2274">
        <f t="shared" si="17"/>
        <v>42.363999999999997</v>
      </c>
      <c r="S305" s="2274">
        <f>47.3</f>
        <v>47.3</v>
      </c>
    </row>
    <row r="306" spans="1:19">
      <c r="B306" s="2271">
        <v>90</v>
      </c>
      <c r="C306" s="2271">
        <v>97</v>
      </c>
      <c r="D306" s="1938" t="str">
        <f>CONCATENATE(TEXT(B306,"00"),".",TEXT(C306,"00"))</f>
        <v>90.97</v>
      </c>
      <c r="E306" s="2280" t="s">
        <v>1209</v>
      </c>
      <c r="F306" s="1140" t="str">
        <f>EUconst_TJ</f>
        <v>TJ</v>
      </c>
      <c r="G306" s="1303" t="b">
        <v>0</v>
      </c>
      <c r="H306" s="2271"/>
      <c r="I306" s="1970" t="s">
        <v>1337</v>
      </c>
      <c r="M306" s="2283">
        <v>62.3</v>
      </c>
      <c r="N306" s="2284">
        <f>INDEX(EUconst_BM_ARR_Range,1)</f>
        <v>2E-3</v>
      </c>
      <c r="O306" s="2285">
        <f>IF(AND(C306=4,CNTR_SubPeriod=1),INDEX(EUconst_BM_ARR_Range,1),INDEX(EUconst_BM_ARR_Range,2))</f>
        <v>1.6E-2</v>
      </c>
      <c r="P306" s="2287">
        <v>1.6E-2</v>
      </c>
      <c r="Q306" s="2273">
        <f t="shared" si="17"/>
        <v>59.807999999999993</v>
      </c>
      <c r="R306" s="2274">
        <f t="shared" si="17"/>
        <v>42.363999999999997</v>
      </c>
      <c r="S306" s="2274">
        <f>47.3</f>
        <v>47.3</v>
      </c>
    </row>
    <row r="307" spans="1:19">
      <c r="B307" s="2271">
        <v>90</v>
      </c>
      <c r="C307" s="2271">
        <v>93</v>
      </c>
      <c r="D307" s="1938" t="str">
        <f t="shared" si="16"/>
        <v>90.93</v>
      </c>
      <c r="E307" s="2279" t="s">
        <v>277</v>
      </c>
      <c r="F307" s="1140" t="str">
        <f>EUconst_TJ</f>
        <v>TJ</v>
      </c>
      <c r="G307" s="1303" t="b">
        <v>1</v>
      </c>
      <c r="H307" s="2271"/>
      <c r="I307" s="1970" t="s">
        <v>1351</v>
      </c>
      <c r="M307" s="2283">
        <v>56.1</v>
      </c>
      <c r="N307" s="2284">
        <f>INDEX(EUconst_BM_ARR_Range,1)</f>
        <v>2E-3</v>
      </c>
      <c r="O307" s="2285">
        <f>IF(AND(C307=4,CNTR_SubPeriod=1),INDEX(EUconst_BM_ARR_Range,1),INDEX(EUconst_BM_ARR_Range,2))</f>
        <v>1.6E-2</v>
      </c>
      <c r="P307" s="2287">
        <v>1.6E-2</v>
      </c>
      <c r="Q307" s="2273">
        <f t="shared" si="17"/>
        <v>53.856000000000002</v>
      </c>
      <c r="R307" s="2274">
        <f t="shared" si="17"/>
        <v>38.147999999999996</v>
      </c>
      <c r="S307" s="2274">
        <f>42.6</f>
        <v>42.6</v>
      </c>
    </row>
    <row r="308" spans="1:19">
      <c r="B308" s="2271">
        <v>90</v>
      </c>
      <c r="C308" s="2271">
        <v>94</v>
      </c>
      <c r="D308" s="1938" t="str">
        <f t="shared" si="16"/>
        <v>90.94</v>
      </c>
      <c r="E308" s="2279" t="s">
        <v>278</v>
      </c>
      <c r="F308" s="1140" t="str">
        <f>EUconst_TJ</f>
        <v>TJ</v>
      </c>
      <c r="G308" s="1303" t="b">
        <v>0</v>
      </c>
      <c r="H308" s="2271"/>
      <c r="I308" s="1970" t="s">
        <v>1351</v>
      </c>
      <c r="M308" s="2283">
        <v>56.1</v>
      </c>
      <c r="N308" s="2284">
        <f>INDEX(EUconst_BM_ARR_Range,1)</f>
        <v>2E-3</v>
      </c>
      <c r="O308" s="2285">
        <f>IF(AND(C308=4,CNTR_SubPeriod=1),INDEX(EUconst_BM_ARR_Range,1),INDEX(EUconst_BM_ARR_Range,2))</f>
        <v>1.6E-2</v>
      </c>
      <c r="P308" s="2287">
        <v>1.6E-2</v>
      </c>
      <c r="Q308" s="2273">
        <f t="shared" si="17"/>
        <v>53.856000000000002</v>
      </c>
      <c r="R308" s="2274">
        <f t="shared" si="17"/>
        <v>38.147999999999996</v>
      </c>
      <c r="S308" s="2274">
        <f>42.6</f>
        <v>42.6</v>
      </c>
    </row>
    <row r="309" spans="1:19">
      <c r="B309" s="2271">
        <v>90</v>
      </c>
      <c r="C309" s="2271">
        <v>95</v>
      </c>
      <c r="D309" s="1938" t="str">
        <f t="shared" si="16"/>
        <v>90.95</v>
      </c>
      <c r="E309" s="2279" t="s">
        <v>279</v>
      </c>
      <c r="F309" s="1140" t="str">
        <f>EUconst_tCO2e</f>
        <v>t CO2e</v>
      </c>
      <c r="G309" s="1303" t="b">
        <v>1</v>
      </c>
      <c r="H309" s="2271"/>
      <c r="I309" s="1970" t="s">
        <v>1196</v>
      </c>
      <c r="M309" s="2283">
        <v>0.97</v>
      </c>
      <c r="N309" s="3">
        <v>0</v>
      </c>
      <c r="O309" s="5">
        <v>0</v>
      </c>
      <c r="P309" s="6">
        <v>0</v>
      </c>
      <c r="Q309" s="2273">
        <f t="shared" si="17"/>
        <v>0.97</v>
      </c>
      <c r="R309" s="2274">
        <f t="shared" si="17"/>
        <v>0.97</v>
      </c>
      <c r="S309" s="2274">
        <f t="shared" ref="S309:S310" si="18">ROUND(M309*(1-P309*(15+(IF(CNTR_SubPeriod=EUconst_NA,1,CNTR_SubPeriod)-1)*5)),3)</f>
        <v>0.97</v>
      </c>
    </row>
    <row r="310" spans="1:19" ht="13.5" thickBot="1">
      <c r="B310" s="2271">
        <v>90</v>
      </c>
      <c r="C310" s="2271">
        <v>96</v>
      </c>
      <c r="D310" s="1938" t="str">
        <f t="shared" si="16"/>
        <v>90.96</v>
      </c>
      <c r="E310" s="2279" t="s">
        <v>280</v>
      </c>
      <c r="F310" s="1140" t="str">
        <f>EUconst_tCO2e</f>
        <v>t CO2e</v>
      </c>
      <c r="G310" s="1303" t="b">
        <v>0</v>
      </c>
      <c r="H310" s="2271"/>
      <c r="I310" s="1970" t="s">
        <v>1196</v>
      </c>
      <c r="M310" s="2283">
        <v>0.97</v>
      </c>
      <c r="N310" s="3">
        <v>0</v>
      </c>
      <c r="O310" s="5">
        <v>0</v>
      </c>
      <c r="P310" s="7">
        <v>0</v>
      </c>
      <c r="Q310" s="2273">
        <f t="shared" si="17"/>
        <v>0.97</v>
      </c>
      <c r="R310" s="2274">
        <f t="shared" si="17"/>
        <v>0.97</v>
      </c>
      <c r="S310" s="2274">
        <f t="shared" si="18"/>
        <v>0.97</v>
      </c>
    </row>
    <row r="311" spans="1:19">
      <c r="A311" s="2276" t="s">
        <v>824</v>
      </c>
      <c r="B311" s="2277" t="s">
        <v>824</v>
      </c>
      <c r="C311" s="2277" t="s">
        <v>824</v>
      </c>
      <c r="D311" s="2277" t="s">
        <v>824</v>
      </c>
      <c r="E311" s="2277" t="s">
        <v>824</v>
      </c>
      <c r="F311" s="2277" t="s">
        <v>824</v>
      </c>
      <c r="G311" s="2277" t="s">
        <v>824</v>
      </c>
      <c r="H311" s="2277" t="s">
        <v>824</v>
      </c>
      <c r="I311" s="2277" t="s">
        <v>824</v>
      </c>
      <c r="J311" s="2277" t="s">
        <v>824</v>
      </c>
      <c r="K311" s="2277" t="s">
        <v>824</v>
      </c>
      <c r="L311" s="2277" t="s">
        <v>824</v>
      </c>
      <c r="M311" s="2277" t="s">
        <v>824</v>
      </c>
      <c r="N311" s="2277" t="s">
        <v>824</v>
      </c>
      <c r="O311" s="2277" t="s">
        <v>824</v>
      </c>
    </row>
  </sheetData>
  <sheetProtection algorithmName="SHA-512" hashValue="NyfWs3VwM4B0EvCyeOpRer4jdKHNXiEk0d4cDvGLpjZ+WsmOsfVoDkN7RTJJ8E2/LgS/JolHuGs1okf8iWj1Vw==" saltValue="JYwTYb/IINcROmvvr0E2gw==" spinCount="100000" sheet="1" formatCells="0" formatColumns="0" formatRows="0" insertHyperlinks="0"/>
  <phoneticPr fontId="33" type="noConversion"/>
  <dataValidations count="1">
    <dataValidation type="list" allowBlank="1" showInputMessage="1" showErrorMessage="1" sqref="B2" xr:uid="{00000000-0002-0000-0E00-000000000000}">
      <formula1>Euconst_TrueFalse</formula1>
    </dataValidation>
  </dataValidations>
  <pageMargins left="0.78740157499999996" right="0.78740157499999996" top="0.984251969" bottom="0.984251969" header="0.4921259845" footer="0.4921259845"/>
  <pageSetup paperSize="9" scale="21" fitToHeight="4" orientation="portrait" r:id="rId1"/>
  <headerFooter alignWithMargins="0">
    <oddHeader>&amp;L&amp;F; &amp;A&amp;R&amp;D ;&amp;T</oddHeader>
    <oddFooter>&amp;C&amp;P / &amp;N</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4">
    <tabColor indexed="12"/>
    <pageSetUpPr fitToPage="1"/>
  </sheetPr>
  <dimension ref="A1:E6"/>
  <sheetViews>
    <sheetView topLeftCell="B2" workbookViewId="0">
      <selection activeCell="K16" sqref="K16"/>
    </sheetView>
  </sheetViews>
  <sheetFormatPr defaultColWidth="11.42578125" defaultRowHeight="12.75"/>
  <cols>
    <col min="1" max="1" width="50.7109375" hidden="1" customWidth="1"/>
  </cols>
  <sheetData>
    <row r="1" spans="1:5" hidden="1">
      <c r="A1" s="2253" t="s">
        <v>869</v>
      </c>
      <c r="B1" s="2253" t="s">
        <v>870</v>
      </c>
      <c r="C1" s="2253" t="s">
        <v>871</v>
      </c>
      <c r="D1" s="2254"/>
      <c r="E1" s="2254" t="s">
        <v>90</v>
      </c>
    </row>
    <row r="2" spans="1:5">
      <c r="A2" t="s">
        <v>1547</v>
      </c>
      <c r="B2" s="2291" t="b">
        <v>0</v>
      </c>
      <c r="E2" s="2291" t="b">
        <v>0</v>
      </c>
    </row>
    <row r="3" spans="1:5">
      <c r="A3" s="528" t="s">
        <v>1763</v>
      </c>
      <c r="B3" s="2291" t="b">
        <v>1</v>
      </c>
      <c r="E3" s="2291" t="b">
        <v>1</v>
      </c>
    </row>
    <row r="4" spans="1:5">
      <c r="A4" s="528" t="s">
        <v>1766</v>
      </c>
      <c r="B4" s="2291" t="b">
        <v>0</v>
      </c>
      <c r="E4" s="2291" t="b">
        <v>0</v>
      </c>
    </row>
    <row r="5" spans="1:5">
      <c r="A5" s="528" t="s">
        <v>1975</v>
      </c>
      <c r="B5" s="2291" t="b">
        <v>1</v>
      </c>
      <c r="E5" s="2291" t="b">
        <v>1</v>
      </c>
    </row>
    <row r="6" spans="1:5">
      <c r="A6" s="528" t="s">
        <v>1919</v>
      </c>
      <c r="B6" s="2291" t="b">
        <v>0</v>
      </c>
      <c r="E6" s="2291" t="b">
        <v>0</v>
      </c>
    </row>
  </sheetData>
  <sheetProtection algorithmName="SHA-512" hashValue="PMqcC0G6pqm0n4KSP+gs0qN+wS0L0FSWOzXNTdzpMcvTOcQ3fLatDpIwQE1rhNKClxbUI4W1k8vAV90z9afbRQ==" saltValue="zSav4GMpWAtzLWaSLu8psw==" spinCount="100000" sheet="1" formatCells="0" formatColumns="0" formatRows="0" insertHyperlinks="0"/>
  <phoneticPr fontId="33" type="noConversion"/>
  <dataValidations count="1">
    <dataValidation type="list" allowBlank="1" showInputMessage="1" showErrorMessage="1" sqref="E2:E6 B2:B6" xr:uid="{00000000-0002-0000-0F00-000000000000}">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6">
    <tabColor indexed="57"/>
    <pageSetUpPr fitToPage="1"/>
  </sheetPr>
  <dimension ref="A1:E91"/>
  <sheetViews>
    <sheetView workbookViewId="0">
      <selection activeCell="D8" sqref="D8"/>
    </sheetView>
  </sheetViews>
  <sheetFormatPr defaultColWidth="11.42578125" defaultRowHeight="12.75"/>
  <cols>
    <col min="1" max="1" width="23.42578125" customWidth="1"/>
    <col min="2" max="2" width="34.7109375" customWidth="1"/>
    <col min="3" max="3" width="38.85546875" customWidth="1"/>
    <col min="4" max="4" width="22" customWidth="1"/>
    <col min="5" max="5" width="27" customWidth="1"/>
  </cols>
  <sheetData>
    <row r="1" spans="1:5" ht="13.5" thickBot="1">
      <c r="A1" s="2292" t="s">
        <v>722</v>
      </c>
    </row>
    <row r="2" spans="1:5" ht="13.5" thickBot="1">
      <c r="A2" s="2293" t="s">
        <v>723</v>
      </c>
      <c r="B2" s="2294" t="s">
        <v>2002</v>
      </c>
    </row>
    <row r="3" spans="1:5" ht="13.5" thickBot="1">
      <c r="A3" s="2295" t="s">
        <v>721</v>
      </c>
      <c r="B3" s="2296">
        <v>46058</v>
      </c>
      <c r="C3" s="2297" t="str">
        <f>IF(ISNUMBER(MATCH(B3,A15:A29,0)),VLOOKUP(B3,A15:B29,2,FALSE),"---")</f>
        <v>ALC UK ETS_Authority_en_20260205.xls</v>
      </c>
      <c r="D3" s="2298"/>
      <c r="E3" s="2299"/>
    </row>
    <row r="4" spans="1:5">
      <c r="A4" s="2300" t="s">
        <v>726</v>
      </c>
      <c r="B4" s="2301" t="s">
        <v>2004</v>
      </c>
    </row>
    <row r="5" spans="1:5" ht="13.5" thickBot="1">
      <c r="A5" s="2302" t="s">
        <v>725</v>
      </c>
      <c r="B5" s="2303" t="s">
        <v>741</v>
      </c>
    </row>
    <row r="7" spans="1:5">
      <c r="A7" s="2292" t="s">
        <v>724</v>
      </c>
    </row>
    <row r="8" spans="1:5">
      <c r="A8" s="2304" t="s">
        <v>1699</v>
      </c>
      <c r="B8" s="2305"/>
      <c r="C8" s="2304" t="s">
        <v>1702</v>
      </c>
    </row>
    <row r="9" spans="1:5">
      <c r="A9" s="2304" t="s">
        <v>1700</v>
      </c>
      <c r="B9" s="2305"/>
      <c r="C9" s="2304" t="s">
        <v>1703</v>
      </c>
    </row>
    <row r="10" spans="1:5">
      <c r="A10" s="2304" t="s">
        <v>1701</v>
      </c>
      <c r="B10" s="2305"/>
      <c r="C10" s="2304" t="s">
        <v>1704</v>
      </c>
    </row>
    <row r="11" spans="1:5">
      <c r="A11" s="2304" t="s">
        <v>2002</v>
      </c>
      <c r="B11" s="2305"/>
      <c r="C11" s="2304" t="s">
        <v>2003</v>
      </c>
    </row>
    <row r="12" spans="1:5">
      <c r="A12" s="2304"/>
      <c r="B12" s="2305"/>
      <c r="C12" s="2304"/>
    </row>
    <row r="14" spans="1:5">
      <c r="A14" s="2306" t="s">
        <v>2</v>
      </c>
      <c r="B14" s="2307" t="s">
        <v>336</v>
      </c>
      <c r="C14" s="2307" t="s">
        <v>93</v>
      </c>
      <c r="D14" s="2308"/>
    </row>
    <row r="15" spans="1:5">
      <c r="A15" s="2309">
        <v>44032</v>
      </c>
      <c r="B15" s="2310" t="str">
        <f t="shared" ref="B15:B29" si="0">IF(ISBLANK($A15),"---", VLOOKUP($B$2,$A$8:$C$11,3,0) &amp; "_" &amp; VLOOKUP($B$4,$A$32:$B$64,2,0)&amp;"_"&amp;VLOOKUP($B$5,$A$67:$B$91,2,0)&amp;"_"&amp; TEXT(YEAR($A15),"0###") &amp; TEXT(MONTH($A15),"0#") &amp; TEXT(DAY($A15),"0#")&amp;  ".xls")</f>
        <v>ALC UK ETS_Authority_en_20200720.xls</v>
      </c>
      <c r="C15" s="2311" t="s">
        <v>1963</v>
      </c>
      <c r="D15" s="2312"/>
    </row>
    <row r="16" spans="1:5">
      <c r="A16" s="2313">
        <v>44118</v>
      </c>
      <c r="B16" s="2314" t="str">
        <f t="shared" si="0"/>
        <v>ALC UK ETS_Authority_en_20201014.xls</v>
      </c>
      <c r="C16" s="2315" t="s">
        <v>1986</v>
      </c>
      <c r="D16" s="2316"/>
    </row>
    <row r="17" spans="1:5">
      <c r="A17" s="2313">
        <v>44152</v>
      </c>
      <c r="B17" s="2314" t="str">
        <f t="shared" si="0"/>
        <v>ALC UK ETS_Authority_en_20201117.xls</v>
      </c>
      <c r="C17" s="2315" t="s">
        <v>1989</v>
      </c>
      <c r="D17" s="2316"/>
    </row>
    <row r="18" spans="1:5">
      <c r="A18" s="2313">
        <v>44232</v>
      </c>
      <c r="B18" s="2314" t="str">
        <f t="shared" si="0"/>
        <v>ALC UK ETS_Authority_en_20210205.xls</v>
      </c>
      <c r="C18" s="2315" t="s">
        <v>2001</v>
      </c>
      <c r="D18" s="2316"/>
    </row>
    <row r="19" spans="1:5">
      <c r="A19" s="2313">
        <v>44235</v>
      </c>
      <c r="B19" s="2314" t="str">
        <f t="shared" si="0"/>
        <v>ALC UK ETS_Authority_en_20210208.xls</v>
      </c>
      <c r="C19" s="2315" t="s">
        <v>2006</v>
      </c>
      <c r="D19" s="2316"/>
    </row>
    <row r="20" spans="1:5">
      <c r="A20" s="2313">
        <v>44391.623379629629</v>
      </c>
      <c r="B20" s="2314" t="str">
        <f t="shared" si="0"/>
        <v>ALC UK ETS_Authority_en_20210714.xls</v>
      </c>
      <c r="C20" s="2317" t="s">
        <v>2008</v>
      </c>
      <c r="D20" s="2316"/>
      <c r="E20" t="s">
        <v>2009</v>
      </c>
    </row>
    <row r="21" spans="1:5">
      <c r="A21" s="2313">
        <v>44496.515034722222</v>
      </c>
      <c r="B21" s="2314" t="str">
        <f t="shared" si="0"/>
        <v>ALC UK ETS_Authority_en_20211027.xls</v>
      </c>
      <c r="C21" s="2315" t="s">
        <v>2010</v>
      </c>
      <c r="D21" s="2316"/>
      <c r="E21" t="s">
        <v>2011</v>
      </c>
    </row>
    <row r="22" spans="1:5">
      <c r="A22" s="2313">
        <v>46058</v>
      </c>
      <c r="B22" s="2314" t="str">
        <f t="shared" si="0"/>
        <v>ALC UK ETS_Authority_en_20260205.xls</v>
      </c>
      <c r="C22" s="2315" t="s">
        <v>2756</v>
      </c>
      <c r="D22" s="2316"/>
    </row>
    <row r="23" spans="1:5">
      <c r="A23" s="2313"/>
      <c r="B23" s="2314" t="str">
        <f t="shared" si="0"/>
        <v>---</v>
      </c>
      <c r="C23" s="2315"/>
      <c r="D23" s="2316"/>
    </row>
    <row r="24" spans="1:5">
      <c r="A24" s="2313"/>
      <c r="B24" s="2314" t="str">
        <f t="shared" si="0"/>
        <v>---</v>
      </c>
      <c r="C24" s="2315"/>
      <c r="D24" s="2316"/>
    </row>
    <row r="25" spans="1:5">
      <c r="A25" s="2313"/>
      <c r="B25" s="2314" t="str">
        <f t="shared" si="0"/>
        <v>---</v>
      </c>
      <c r="C25" s="2315"/>
      <c r="D25" s="2316"/>
    </row>
    <row r="26" spans="1:5">
      <c r="A26" s="2313"/>
      <c r="B26" s="2314" t="str">
        <f t="shared" si="0"/>
        <v>---</v>
      </c>
      <c r="C26" s="2315"/>
      <c r="D26" s="2316"/>
    </row>
    <row r="27" spans="1:5">
      <c r="A27" s="2313"/>
      <c r="B27" s="2314" t="str">
        <f t="shared" si="0"/>
        <v>---</v>
      </c>
      <c r="C27" s="2315"/>
      <c r="D27" s="2316"/>
    </row>
    <row r="28" spans="1:5">
      <c r="A28" s="2313"/>
      <c r="B28" s="2314" t="str">
        <f t="shared" si="0"/>
        <v>---</v>
      </c>
      <c r="C28" s="2315"/>
      <c r="D28" s="2316"/>
    </row>
    <row r="29" spans="1:5">
      <c r="A29" s="2318"/>
      <c r="B29" s="2319" t="str">
        <f t="shared" si="0"/>
        <v>---</v>
      </c>
      <c r="C29" s="2320"/>
      <c r="D29" s="2321"/>
    </row>
    <row r="31" spans="1:5">
      <c r="A31" s="2292" t="s">
        <v>726</v>
      </c>
    </row>
    <row r="32" spans="1:5">
      <c r="A32" s="2322" t="s">
        <v>2004</v>
      </c>
      <c r="B32" s="2322" t="s">
        <v>2005</v>
      </c>
    </row>
    <row r="33" spans="1:2">
      <c r="A33" s="2322" t="s">
        <v>965</v>
      </c>
      <c r="B33" s="2322" t="s">
        <v>868</v>
      </c>
    </row>
    <row r="34" spans="1:2">
      <c r="A34" s="2322" t="s">
        <v>403</v>
      </c>
      <c r="B34" s="2322" t="s">
        <v>337</v>
      </c>
    </row>
    <row r="35" spans="1:2">
      <c r="A35" s="2322" t="s">
        <v>404</v>
      </c>
      <c r="B35" s="2322" t="s">
        <v>338</v>
      </c>
    </row>
    <row r="36" spans="1:2">
      <c r="A36" s="2322" t="s">
        <v>405</v>
      </c>
      <c r="B36" s="2322" t="s">
        <v>339</v>
      </c>
    </row>
    <row r="37" spans="1:2">
      <c r="A37" s="2322" t="s">
        <v>1133</v>
      </c>
      <c r="B37" s="2322" t="s">
        <v>1134</v>
      </c>
    </row>
    <row r="38" spans="1:2">
      <c r="A38" s="2322" t="s">
        <v>406</v>
      </c>
      <c r="B38" s="2322" t="s">
        <v>340</v>
      </c>
    </row>
    <row r="39" spans="1:2">
      <c r="A39" s="2322" t="s">
        <v>407</v>
      </c>
      <c r="B39" s="2322" t="s">
        <v>341</v>
      </c>
    </row>
    <row r="40" spans="1:2">
      <c r="A40" s="2322" t="s">
        <v>408</v>
      </c>
      <c r="B40" s="2322" t="s">
        <v>342</v>
      </c>
    </row>
    <row r="41" spans="1:2">
      <c r="A41" s="2322" t="s">
        <v>409</v>
      </c>
      <c r="B41" s="2322" t="s">
        <v>343</v>
      </c>
    </row>
    <row r="42" spans="1:2">
      <c r="A42" s="2322" t="s">
        <v>410</v>
      </c>
      <c r="B42" s="2322" t="s">
        <v>344</v>
      </c>
    </row>
    <row r="43" spans="1:2">
      <c r="A43" s="2322" t="s">
        <v>411</v>
      </c>
      <c r="B43" s="2322" t="s">
        <v>345</v>
      </c>
    </row>
    <row r="44" spans="1:2">
      <c r="A44" s="2322" t="s">
        <v>412</v>
      </c>
      <c r="B44" s="2322" t="s">
        <v>346</v>
      </c>
    </row>
    <row r="45" spans="1:2">
      <c r="A45" s="2322" t="s">
        <v>413</v>
      </c>
      <c r="B45" s="2322" t="s">
        <v>347</v>
      </c>
    </row>
    <row r="46" spans="1:2">
      <c r="A46" s="2322" t="s">
        <v>414</v>
      </c>
      <c r="B46" s="2322" t="s">
        <v>348</v>
      </c>
    </row>
    <row r="47" spans="1:2">
      <c r="A47" s="2322" t="s">
        <v>423</v>
      </c>
      <c r="B47" s="2322" t="s">
        <v>1135</v>
      </c>
    </row>
    <row r="48" spans="1:2">
      <c r="A48" s="2322" t="s">
        <v>415</v>
      </c>
      <c r="B48" s="2322" t="s">
        <v>349</v>
      </c>
    </row>
    <row r="49" spans="1:2">
      <c r="A49" s="2322" t="s">
        <v>416</v>
      </c>
      <c r="B49" s="2322" t="s">
        <v>350</v>
      </c>
    </row>
    <row r="50" spans="1:2">
      <c r="A50" s="2322" t="s">
        <v>417</v>
      </c>
      <c r="B50" s="2322" t="s">
        <v>351</v>
      </c>
    </row>
    <row r="51" spans="1:2">
      <c r="A51" s="2322" t="s">
        <v>865</v>
      </c>
      <c r="B51" s="2322" t="s">
        <v>866</v>
      </c>
    </row>
    <row r="52" spans="1:2">
      <c r="A52" s="2322" t="s">
        <v>418</v>
      </c>
      <c r="B52" s="2322" t="s">
        <v>352</v>
      </c>
    </row>
    <row r="53" spans="1:2">
      <c r="A53" s="2322" t="s">
        <v>419</v>
      </c>
      <c r="B53" s="2322" t="s">
        <v>353</v>
      </c>
    </row>
    <row r="54" spans="1:2">
      <c r="A54" s="2322" t="s">
        <v>420</v>
      </c>
      <c r="B54" s="2322" t="s">
        <v>354</v>
      </c>
    </row>
    <row r="55" spans="1:2">
      <c r="A55" s="2322" t="s">
        <v>421</v>
      </c>
      <c r="B55" s="2322" t="s">
        <v>355</v>
      </c>
    </row>
    <row r="56" spans="1:2">
      <c r="A56" s="2322" t="s">
        <v>864</v>
      </c>
      <c r="B56" s="2322" t="s">
        <v>867</v>
      </c>
    </row>
    <row r="57" spans="1:2">
      <c r="A57" s="2322" t="s">
        <v>422</v>
      </c>
      <c r="B57" s="2322" t="s">
        <v>356</v>
      </c>
    </row>
    <row r="58" spans="1:2">
      <c r="A58" s="2322" t="s">
        <v>997</v>
      </c>
      <c r="B58" s="2322" t="s">
        <v>357</v>
      </c>
    </row>
    <row r="59" spans="1:2">
      <c r="A59" s="2322" t="s">
        <v>998</v>
      </c>
      <c r="B59" s="2322" t="s">
        <v>358</v>
      </c>
    </row>
    <row r="60" spans="1:2">
      <c r="A60" s="2322" t="s">
        <v>999</v>
      </c>
      <c r="B60" s="2322" t="s">
        <v>359</v>
      </c>
    </row>
    <row r="61" spans="1:2">
      <c r="A61" s="2322" t="s">
        <v>1000</v>
      </c>
      <c r="B61" s="2322" t="s">
        <v>360</v>
      </c>
    </row>
    <row r="62" spans="1:2">
      <c r="A62" s="2322" t="s">
        <v>966</v>
      </c>
      <c r="B62" s="2322" t="s">
        <v>361</v>
      </c>
    </row>
    <row r="63" spans="1:2">
      <c r="A63" s="2322" t="s">
        <v>967</v>
      </c>
      <c r="B63" s="2322" t="s">
        <v>362</v>
      </c>
    </row>
    <row r="64" spans="1:2">
      <c r="A64" s="2322" t="s">
        <v>968</v>
      </c>
      <c r="B64" s="2322" t="s">
        <v>363</v>
      </c>
    </row>
    <row r="66" spans="1:2">
      <c r="A66" s="2292" t="s">
        <v>3</v>
      </c>
    </row>
    <row r="67" spans="1:2">
      <c r="A67" s="2323" t="s">
        <v>727</v>
      </c>
      <c r="B67" s="2323" t="s">
        <v>728</v>
      </c>
    </row>
    <row r="68" spans="1:2">
      <c r="A68" s="2323" t="s">
        <v>729</v>
      </c>
      <c r="B68" s="2323" t="s">
        <v>730</v>
      </c>
    </row>
    <row r="69" spans="1:2">
      <c r="A69" s="2323" t="s">
        <v>1136</v>
      </c>
      <c r="B69" s="2323" t="s">
        <v>1137</v>
      </c>
    </row>
    <row r="70" spans="1:2">
      <c r="A70" s="2323" t="s">
        <v>731</v>
      </c>
      <c r="B70" s="2323" t="s">
        <v>732</v>
      </c>
    </row>
    <row r="71" spans="1:2">
      <c r="A71" s="2323" t="s">
        <v>733</v>
      </c>
      <c r="B71" s="2323" t="s">
        <v>734</v>
      </c>
    </row>
    <row r="72" spans="1:2">
      <c r="A72" s="2323" t="s">
        <v>735</v>
      </c>
      <c r="B72" s="2323" t="s">
        <v>736</v>
      </c>
    </row>
    <row r="73" spans="1:2">
      <c r="A73" s="2323" t="s">
        <v>737</v>
      </c>
      <c r="B73" s="2323" t="s">
        <v>738</v>
      </c>
    </row>
    <row r="74" spans="1:2">
      <c r="A74" s="2323" t="s">
        <v>739</v>
      </c>
      <c r="B74" s="2323" t="s">
        <v>740</v>
      </c>
    </row>
    <row r="75" spans="1:2">
      <c r="A75" s="2323" t="s">
        <v>741</v>
      </c>
      <c r="B75" s="2323" t="s">
        <v>742</v>
      </c>
    </row>
    <row r="76" spans="1:2">
      <c r="A76" s="2323" t="s">
        <v>743</v>
      </c>
      <c r="B76" s="2323" t="s">
        <v>744</v>
      </c>
    </row>
    <row r="77" spans="1:2">
      <c r="A77" s="2323" t="s">
        <v>1138</v>
      </c>
      <c r="B77" s="2323" t="s">
        <v>1139</v>
      </c>
    </row>
    <row r="78" spans="1:2">
      <c r="A78" s="2323" t="s">
        <v>745</v>
      </c>
      <c r="B78" s="2323" t="s">
        <v>746</v>
      </c>
    </row>
    <row r="79" spans="1:2">
      <c r="A79" s="2323" t="s">
        <v>747</v>
      </c>
      <c r="B79" s="2323" t="s">
        <v>313</v>
      </c>
    </row>
    <row r="80" spans="1:2">
      <c r="A80" s="2323" t="s">
        <v>314</v>
      </c>
      <c r="B80" s="2323" t="s">
        <v>315</v>
      </c>
    </row>
    <row r="81" spans="1:2">
      <c r="A81" s="2323" t="s">
        <v>316</v>
      </c>
      <c r="B81" s="2323" t="s">
        <v>317</v>
      </c>
    </row>
    <row r="82" spans="1:2">
      <c r="A82" s="2323" t="s">
        <v>318</v>
      </c>
      <c r="B82" s="2323" t="s">
        <v>319</v>
      </c>
    </row>
    <row r="83" spans="1:2">
      <c r="A83" s="2323" t="s">
        <v>928</v>
      </c>
      <c r="B83" s="2323" t="s">
        <v>929</v>
      </c>
    </row>
    <row r="84" spans="1:2">
      <c r="A84" s="2323" t="s">
        <v>320</v>
      </c>
      <c r="B84" s="2323" t="s">
        <v>321</v>
      </c>
    </row>
    <row r="85" spans="1:2">
      <c r="A85" s="2323" t="s">
        <v>322</v>
      </c>
      <c r="B85" s="2323" t="s">
        <v>323</v>
      </c>
    </row>
    <row r="86" spans="1:2">
      <c r="A86" s="2323" t="s">
        <v>324</v>
      </c>
      <c r="B86" s="2323" t="s">
        <v>325</v>
      </c>
    </row>
    <row r="87" spans="1:2">
      <c r="A87" s="2323" t="s">
        <v>326</v>
      </c>
      <c r="B87" s="2323" t="s">
        <v>327</v>
      </c>
    </row>
    <row r="88" spans="1:2">
      <c r="A88" s="2323" t="s">
        <v>328</v>
      </c>
      <c r="B88" s="2323" t="s">
        <v>329</v>
      </c>
    </row>
    <row r="89" spans="1:2">
      <c r="A89" s="2323" t="s">
        <v>330</v>
      </c>
      <c r="B89" s="2323" t="s">
        <v>331</v>
      </c>
    </row>
    <row r="90" spans="1:2">
      <c r="A90" s="2323" t="s">
        <v>332</v>
      </c>
      <c r="B90" s="2323" t="s">
        <v>333</v>
      </c>
    </row>
    <row r="91" spans="1:2">
      <c r="A91" s="2323" t="s">
        <v>334</v>
      </c>
      <c r="B91" s="2323" t="s">
        <v>335</v>
      </c>
    </row>
  </sheetData>
  <sheetProtection algorithmName="SHA-512" hashValue="l1vE98+usmx+n/C3TjgaX2QPoLivRyrRrikL0qEe79+1rqvUFANvMDJyfb+MyHMzW9UR9sYBHJS/ZcweB4/EBQ==" saltValue="y4oSc7ZgfcfVvSB+FpRs0g==" spinCount="100000" sheet="1" formatCells="0" formatColumns="0" formatRows="0" insertHyperlinks="0"/>
  <phoneticPr fontId="8" type="noConversion"/>
  <dataValidations count="4">
    <dataValidation type="list" allowBlank="1" showInputMessage="1" showErrorMessage="1" sqref="B5" xr:uid="{00000000-0002-0000-1100-000000000000}">
      <formula1>$A$67:$A$91</formula1>
    </dataValidation>
    <dataValidation type="list" allowBlank="1" showInputMessage="1" showErrorMessage="1" sqref="B4" xr:uid="{00000000-0002-0000-1100-000001000000}">
      <formula1>$A$32:$A$64</formula1>
    </dataValidation>
    <dataValidation type="list" allowBlank="1" showInputMessage="1" showErrorMessage="1" sqref="B2" xr:uid="{00000000-0002-0000-1100-000002000000}">
      <formula1>$A$8:$A$11</formula1>
    </dataValidation>
    <dataValidation type="list" allowBlank="1" showInputMessage="1" showErrorMessage="1" sqref="B3" xr:uid="{00000000-0002-0000-1100-000003000000}">
      <formula1>$A$15:$A$27</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R93"/>
  <sheetViews>
    <sheetView showGridLines="0" topLeftCell="B1" zoomScaleNormal="100" workbookViewId="0">
      <pane ySplit="4" topLeftCell="A5" activePane="bottomLeft" state="frozen"/>
      <selection pane="bottomLeft" activeCell="B5" sqref="B5"/>
    </sheetView>
  </sheetViews>
  <sheetFormatPr defaultColWidth="0" defaultRowHeight="12.75" zeroHeight="1"/>
  <cols>
    <col min="1" max="1" width="9.140625" style="500" hidden="1" customWidth="1"/>
    <col min="2" max="2" width="2.7109375" style="500" customWidth="1"/>
    <col min="3" max="3" width="5.7109375" style="500" customWidth="1"/>
    <col min="4" max="4" width="4.7109375" style="500" customWidth="1"/>
    <col min="5" max="5" width="30.7109375" style="500" customWidth="1"/>
    <col min="6" max="14" width="13.7109375" style="500" customWidth="1"/>
    <col min="15" max="15" width="4.7109375" style="500" customWidth="1"/>
    <col min="16" max="16" width="25.7109375" style="500" hidden="1" customWidth="1"/>
    <col min="17" max="17" width="4.7109375" style="500" hidden="1" customWidth="1"/>
    <col min="18" max="18" width="25.7109375" style="500" hidden="1" customWidth="1"/>
    <col min="19" max="16384" width="0" style="500" hidden="1"/>
  </cols>
  <sheetData>
    <row r="1" spans="2:18" ht="13.5" hidden="1" thickBot="1"/>
    <row r="2" spans="2:18" ht="13.5" customHeight="1" thickBot="1">
      <c r="B2" s="2348" t="s">
        <v>2266</v>
      </c>
      <c r="C2" s="2349"/>
      <c r="D2" s="2350"/>
      <c r="E2" s="2357" t="s">
        <v>572</v>
      </c>
      <c r="F2" s="2358"/>
      <c r="G2" s="2359" t="s">
        <v>573</v>
      </c>
      <c r="H2" s="2360"/>
      <c r="I2" s="2359" t="s">
        <v>578</v>
      </c>
      <c r="J2" s="2360"/>
      <c r="K2" s="2359" t="s">
        <v>574</v>
      </c>
      <c r="L2" s="2360"/>
      <c r="M2" s="2359" t="s">
        <v>575</v>
      </c>
      <c r="N2" s="2360"/>
      <c r="R2" s="501"/>
    </row>
    <row r="3" spans="2:18" ht="13.5" customHeight="1" thickBot="1">
      <c r="B3" s="2351"/>
      <c r="C3" s="2352"/>
      <c r="D3" s="2353"/>
      <c r="E3" s="2359" t="s">
        <v>576</v>
      </c>
      <c r="F3" s="2360"/>
      <c r="G3" s="2376"/>
      <c r="H3" s="2377"/>
      <c r="I3" s="2378"/>
      <c r="J3" s="2377"/>
      <c r="K3" s="2378"/>
      <c r="L3" s="2377"/>
      <c r="M3" s="2378"/>
      <c r="N3" s="2377"/>
      <c r="R3" s="501"/>
    </row>
    <row r="4" spans="2:18" ht="13.5" customHeight="1" thickBot="1">
      <c r="B4" s="2354"/>
      <c r="C4" s="2355"/>
      <c r="D4" s="2356"/>
      <c r="E4" s="2359" t="s">
        <v>577</v>
      </c>
      <c r="F4" s="2360"/>
      <c r="G4" s="2361"/>
      <c r="H4" s="2362"/>
      <c r="I4" s="2363"/>
      <c r="J4" s="2362"/>
      <c r="K4" s="2363"/>
      <c r="L4" s="2362"/>
      <c r="M4" s="2363"/>
      <c r="N4" s="2362"/>
    </row>
    <row r="5" spans="2:18">
      <c r="C5" s="467"/>
      <c r="D5" s="467"/>
      <c r="E5" s="467"/>
      <c r="F5" s="467"/>
      <c r="G5" s="467"/>
      <c r="H5" s="467"/>
      <c r="I5" s="467"/>
      <c r="J5" s="467"/>
      <c r="K5" s="467"/>
      <c r="L5" s="467"/>
      <c r="M5" s="467"/>
    </row>
    <row r="6" spans="2:18" ht="18">
      <c r="C6" s="482"/>
      <c r="D6" s="2424" t="s">
        <v>402</v>
      </c>
      <c r="E6" s="2424"/>
      <c r="F6" s="2424"/>
      <c r="G6" s="2424"/>
      <c r="H6" s="2424"/>
      <c r="I6" s="2424"/>
      <c r="J6" s="2424"/>
      <c r="K6" s="2424"/>
      <c r="L6" s="2424"/>
      <c r="M6" s="467"/>
    </row>
    <row r="7" spans="2:18">
      <c r="C7" s="482"/>
      <c r="D7" s="2404"/>
      <c r="E7" s="2404"/>
      <c r="F7" s="2404"/>
      <c r="G7" s="2404"/>
      <c r="H7" s="2404"/>
      <c r="I7" s="2404"/>
      <c r="J7" s="2404"/>
      <c r="K7" s="2404"/>
      <c r="L7" s="2404"/>
      <c r="M7" s="2404"/>
    </row>
    <row r="8" spans="2:18" ht="15.75">
      <c r="C8" s="503"/>
      <c r="D8" s="2429" t="s">
        <v>1991</v>
      </c>
      <c r="E8" s="2429"/>
      <c r="F8" s="2429"/>
      <c r="G8" s="2429"/>
      <c r="H8" s="2429"/>
      <c r="I8" s="2429"/>
      <c r="J8" s="2429"/>
      <c r="K8" s="2429"/>
      <c r="L8" s="2429"/>
      <c r="M8" s="2429"/>
    </row>
    <row r="9" spans="2:18">
      <c r="C9" s="503"/>
      <c r="D9" s="504"/>
      <c r="E9" s="504"/>
      <c r="F9" s="504"/>
      <c r="G9" s="504"/>
      <c r="H9" s="504"/>
      <c r="I9" s="504"/>
      <c r="J9" s="504"/>
      <c r="K9" s="504"/>
      <c r="L9" s="504"/>
      <c r="M9" s="504"/>
    </row>
    <row r="10" spans="2:18" customFormat="1">
      <c r="C10" s="505"/>
      <c r="D10" s="2380" t="s">
        <v>1994</v>
      </c>
      <c r="E10" s="2380"/>
      <c r="F10" s="2380"/>
      <c r="G10" s="2380"/>
      <c r="H10" s="2380"/>
      <c r="I10" s="2380"/>
      <c r="J10" s="2380"/>
      <c r="K10" s="2380"/>
      <c r="L10" s="2380"/>
      <c r="M10" s="2380"/>
    </row>
    <row r="11" spans="2:18">
      <c r="C11" s="505"/>
      <c r="D11" s="506"/>
      <c r="E11" s="506"/>
      <c r="F11" s="506"/>
      <c r="G11" s="506"/>
      <c r="H11" s="506"/>
      <c r="I11" s="506"/>
      <c r="J11" s="506"/>
      <c r="K11" s="506"/>
      <c r="L11" s="506"/>
      <c r="M11" s="506"/>
    </row>
    <row r="12" spans="2:18" ht="32.25" customHeight="1">
      <c r="C12" s="482"/>
      <c r="D12" s="2380" t="s">
        <v>2181</v>
      </c>
      <c r="E12" s="2391"/>
      <c r="F12" s="2391"/>
      <c r="G12" s="2391"/>
      <c r="H12" s="2391"/>
      <c r="I12" s="2391"/>
      <c r="J12" s="2391"/>
      <c r="K12" s="2391"/>
      <c r="L12" s="2391"/>
      <c r="M12" s="2391"/>
    </row>
    <row r="13" spans="2:18">
      <c r="C13" s="482"/>
      <c r="D13" s="2406" t="s">
        <v>2753</v>
      </c>
      <c r="E13" s="2406"/>
      <c r="F13" s="2406"/>
      <c r="G13" s="2406"/>
      <c r="H13" s="2406"/>
      <c r="I13" s="2406"/>
      <c r="J13" s="2406"/>
      <c r="K13" s="2406"/>
      <c r="L13" s="2406"/>
      <c r="M13" s="2406"/>
    </row>
    <row r="14" spans="2:18">
      <c r="C14" s="482"/>
      <c r="D14" s="2406"/>
      <c r="E14" s="2406"/>
      <c r="F14" s="2406"/>
      <c r="G14" s="2406"/>
      <c r="H14" s="2406"/>
      <c r="I14" s="2406"/>
      <c r="J14" s="2406"/>
      <c r="K14" s="2406"/>
      <c r="L14" s="2406"/>
      <c r="M14" s="2406"/>
    </row>
    <row r="15" spans="2:18" hidden="1">
      <c r="C15" s="482"/>
      <c r="D15" s="502"/>
      <c r="E15" s="502"/>
      <c r="F15" s="502"/>
      <c r="G15" s="502"/>
      <c r="H15" s="502"/>
      <c r="I15" s="502"/>
      <c r="J15" s="502"/>
      <c r="K15" s="502"/>
      <c r="L15" s="502"/>
      <c r="M15" s="502"/>
    </row>
    <row r="16" spans="2:18" ht="15.75">
      <c r="C16" s="507"/>
      <c r="D16" s="2408" t="s">
        <v>830</v>
      </c>
      <c r="E16" s="2408"/>
      <c r="F16" s="2408"/>
      <c r="G16" s="2408"/>
      <c r="H16" s="2408"/>
      <c r="I16" s="2408"/>
      <c r="J16" s="2408"/>
      <c r="K16" s="2408"/>
      <c r="L16" s="2408"/>
      <c r="M16" s="2408"/>
    </row>
    <row r="17" spans="3:15" ht="15.75">
      <c r="C17" s="507"/>
      <c r="D17" s="508"/>
      <c r="E17" s="508"/>
      <c r="F17" s="508"/>
      <c r="G17" s="508"/>
      <c r="H17" s="508"/>
      <c r="I17" s="508"/>
      <c r="J17" s="508"/>
      <c r="K17" s="508"/>
      <c r="L17" s="508"/>
      <c r="M17" s="508"/>
    </row>
    <row r="18" spans="3:15" ht="15.75" hidden="1">
      <c r="C18" s="509"/>
      <c r="D18" s="510"/>
      <c r="E18" s="510"/>
      <c r="F18" s="510"/>
      <c r="G18" s="510"/>
      <c r="H18" s="510"/>
      <c r="I18" s="510"/>
      <c r="J18" s="510"/>
      <c r="K18" s="510"/>
      <c r="L18" s="510"/>
      <c r="M18" s="510"/>
    </row>
    <row r="19" spans="3:15" ht="57.95" hidden="1" customHeight="1">
      <c r="C19" s="509"/>
      <c r="D19" s="2388" t="s">
        <v>2258</v>
      </c>
      <c r="E19" s="2388"/>
      <c r="F19" s="2388"/>
      <c r="G19" s="2388"/>
      <c r="H19" s="2388"/>
      <c r="I19" s="2388"/>
      <c r="J19" s="2388"/>
      <c r="K19" s="2388"/>
      <c r="L19" s="2388"/>
      <c r="M19" s="2388"/>
    </row>
    <row r="20" spans="3:15" ht="33" customHeight="1">
      <c r="C20" s="509"/>
      <c r="D20" s="2388" t="s">
        <v>2514</v>
      </c>
      <c r="E20" s="2388"/>
      <c r="F20" s="2388"/>
      <c r="G20" s="2388"/>
      <c r="H20" s="2388"/>
      <c r="I20" s="2388"/>
      <c r="J20" s="2388"/>
      <c r="K20" s="2388"/>
      <c r="L20" s="2388"/>
      <c r="M20" s="2388"/>
    </row>
    <row r="21" spans="3:15" ht="19.5" customHeight="1">
      <c r="C21" s="509"/>
      <c r="D21" s="2388" t="s">
        <v>2582</v>
      </c>
      <c r="E21" s="2388"/>
      <c r="F21" s="2388"/>
      <c r="G21" s="2388"/>
      <c r="H21" s="2388"/>
      <c r="I21" s="2388"/>
      <c r="J21" s="2388"/>
      <c r="K21" s="2388"/>
      <c r="L21" s="2388"/>
      <c r="M21" s="2388"/>
    </row>
    <row r="22" spans="3:15" ht="48.75" customHeight="1">
      <c r="C22" s="509"/>
      <c r="D22" s="2388" t="s">
        <v>2685</v>
      </c>
      <c r="E22" s="2388"/>
      <c r="F22" s="2388"/>
      <c r="G22" s="2388"/>
      <c r="H22" s="2388"/>
      <c r="I22" s="2388"/>
      <c r="J22" s="2388"/>
      <c r="K22" s="2388"/>
      <c r="L22" s="2388"/>
      <c r="M22" s="2388"/>
    </row>
    <row r="23" spans="3:15" ht="43.5" customHeight="1">
      <c r="C23" s="509"/>
      <c r="D23" s="2379" t="s">
        <v>2686</v>
      </c>
      <c r="E23" s="2379"/>
      <c r="F23" s="2379"/>
      <c r="G23" s="2379"/>
      <c r="H23" s="2379"/>
      <c r="I23" s="2379"/>
      <c r="J23" s="2379"/>
      <c r="K23" s="2379"/>
      <c r="L23" s="2379"/>
      <c r="M23" s="2379"/>
      <c r="N23" s="511" t="s">
        <v>2515</v>
      </c>
      <c r="O23" s="511" t="s">
        <v>2515</v>
      </c>
    </row>
    <row r="24" spans="3:15" ht="15.75">
      <c r="C24" s="507"/>
      <c r="D24" s="2408" t="s">
        <v>477</v>
      </c>
      <c r="E24" s="2408"/>
      <c r="F24" s="2408"/>
      <c r="G24" s="2408"/>
      <c r="H24" s="2408"/>
      <c r="I24" s="2408"/>
      <c r="J24" s="2408"/>
      <c r="K24" s="2408"/>
      <c r="L24" s="2408"/>
      <c r="M24" s="2408"/>
    </row>
    <row r="25" spans="3:15">
      <c r="C25" s="512"/>
      <c r="D25" s="512"/>
      <c r="E25" s="512"/>
      <c r="F25" s="512"/>
      <c r="G25" s="512"/>
      <c r="H25" s="512"/>
      <c r="I25" s="512"/>
      <c r="J25" s="512"/>
      <c r="K25" s="512"/>
      <c r="L25" s="468"/>
      <c r="M25" s="468"/>
    </row>
    <row r="26" spans="3:15">
      <c r="C26" s="513">
        <v>1</v>
      </c>
      <c r="D26" s="2390" t="s">
        <v>1329</v>
      </c>
      <c r="E26" s="2391"/>
      <c r="F26" s="2391"/>
      <c r="G26" s="2391"/>
      <c r="H26" s="2391"/>
      <c r="I26" s="2391"/>
      <c r="J26" s="2391"/>
      <c r="K26" s="2391"/>
      <c r="L26" s="2391"/>
      <c r="M26" s="2391"/>
    </row>
    <row r="27" spans="3:15" ht="41.45" customHeight="1">
      <c r="C27"/>
      <c r="D27" s="2390" t="s">
        <v>1858</v>
      </c>
      <c r="E27" s="2391"/>
      <c r="F27" s="2391"/>
      <c r="G27" s="2391"/>
      <c r="H27" s="2391"/>
      <c r="I27" s="2391"/>
      <c r="J27" s="2391"/>
      <c r="K27" s="2391"/>
      <c r="L27" s="2391"/>
      <c r="M27" s="2391"/>
    </row>
    <row r="28" spans="3:15" ht="40.15" customHeight="1">
      <c r="C28" s="513">
        <f>C26+1</f>
        <v>2</v>
      </c>
      <c r="D28" s="2390" t="s">
        <v>2182</v>
      </c>
      <c r="E28" s="2391"/>
      <c r="F28" s="2391"/>
      <c r="G28" s="2391"/>
      <c r="H28" s="2391"/>
      <c r="I28" s="2391"/>
      <c r="J28" s="2391"/>
      <c r="K28" s="2391"/>
      <c r="L28" s="2391"/>
      <c r="M28" s="2391"/>
    </row>
    <row r="29" spans="3:15" ht="40.15" customHeight="1">
      <c r="C29" s="513">
        <f>C28+1</f>
        <v>3</v>
      </c>
      <c r="D29" s="2390" t="s">
        <v>777</v>
      </c>
      <c r="E29" s="2391"/>
      <c r="F29" s="2391"/>
      <c r="G29" s="2391"/>
      <c r="H29" s="2391"/>
      <c r="I29" s="2391"/>
      <c r="J29" s="2391"/>
      <c r="K29" s="2391"/>
      <c r="L29" s="2391"/>
      <c r="M29" s="2391"/>
    </row>
    <row r="30" spans="3:15" ht="28.9" customHeight="1">
      <c r="C30" s="513">
        <f>C29+1</f>
        <v>4</v>
      </c>
      <c r="D30" s="2390" t="s">
        <v>2183</v>
      </c>
      <c r="E30" s="2391"/>
      <c r="F30" s="2391"/>
      <c r="G30" s="2391"/>
      <c r="H30" s="2391"/>
      <c r="I30" s="2391"/>
      <c r="J30" s="2391"/>
      <c r="K30" s="2391"/>
      <c r="L30" s="2391"/>
      <c r="M30" s="2391"/>
    </row>
    <row r="31" spans="3:15" ht="12.75" customHeight="1">
      <c r="C31" s="513"/>
      <c r="D31" s="2390" t="s">
        <v>630</v>
      </c>
      <c r="E31" s="2391"/>
      <c r="F31" s="2391"/>
      <c r="G31" s="2391"/>
      <c r="H31" s="2391"/>
      <c r="I31" s="2391"/>
      <c r="J31" s="2391"/>
      <c r="K31" s="2391"/>
      <c r="L31" s="2391"/>
      <c r="M31" s="2391"/>
    </row>
    <row r="32" spans="3:15" ht="12.75" customHeight="1">
      <c r="C32" s="513"/>
      <c r="D32" s="2431" t="s">
        <v>2184</v>
      </c>
      <c r="E32" s="2431"/>
      <c r="F32" s="2431"/>
      <c r="G32" s="2431"/>
      <c r="H32" s="2431"/>
      <c r="I32" s="2431"/>
      <c r="J32" s="2431"/>
      <c r="K32" s="2431"/>
      <c r="L32" s="2431"/>
      <c r="M32" s="2431"/>
    </row>
    <row r="33" spans="3:13" ht="12.75" customHeight="1">
      <c r="C33" s="513"/>
      <c r="D33" s="512"/>
      <c r="E33" s="514" t="str">
        <f>EUconst_Incomplete</f>
        <v>incomplete!</v>
      </c>
      <c r="F33" s="2409" t="s">
        <v>631</v>
      </c>
      <c r="G33" s="2410"/>
      <c r="H33" s="2410"/>
      <c r="I33" s="2410"/>
      <c r="J33" s="2410"/>
      <c r="K33" s="2410"/>
      <c r="L33" s="2410"/>
      <c r="M33" s="2410"/>
    </row>
    <row r="34" spans="3:13" ht="12.75" customHeight="1">
      <c r="C34" s="513"/>
      <c r="D34" s="512"/>
      <c r="E34" s="514" t="str">
        <f>EUconst_Inconsistent</f>
        <v>inconsistent!</v>
      </c>
      <c r="F34" s="2409" t="s">
        <v>902</v>
      </c>
      <c r="G34" s="2410"/>
      <c r="H34" s="2410"/>
      <c r="I34" s="2410"/>
      <c r="J34" s="2410"/>
      <c r="K34" s="2410"/>
      <c r="L34" s="2410"/>
      <c r="M34" s="2410"/>
    </row>
    <row r="35" spans="3:13" ht="12.75" customHeight="1">
      <c r="C35" s="513"/>
      <c r="D35" s="512"/>
      <c r="E35" s="514" t="str">
        <f>EUconst_Negative</f>
        <v>negative!</v>
      </c>
      <c r="F35" s="2409" t="s">
        <v>632</v>
      </c>
      <c r="G35" s="2410"/>
      <c r="H35" s="2410"/>
      <c r="I35" s="2410"/>
      <c r="J35" s="2410"/>
      <c r="K35" s="2410"/>
      <c r="L35" s="2410"/>
      <c r="M35" s="2410"/>
    </row>
    <row r="36" spans="3:13" ht="12.75" customHeight="1">
      <c r="C36" s="513"/>
      <c r="D36" s="512"/>
      <c r="E36" s="514" t="str">
        <f>EUconst_NotEligible</f>
        <v>A.IV.1.f! </v>
      </c>
      <c r="F36" s="2409" t="s">
        <v>633</v>
      </c>
      <c r="G36" s="2410"/>
      <c r="H36" s="2410"/>
      <c r="I36" s="2410"/>
      <c r="J36" s="2410"/>
      <c r="K36" s="2410"/>
      <c r="L36" s="2410"/>
      <c r="M36" s="2410"/>
    </row>
    <row r="37" spans="3:13" ht="12.75" customHeight="1">
      <c r="C37" s="513"/>
      <c r="D37" s="512"/>
      <c r="E37" s="512"/>
      <c r="F37" s="512"/>
      <c r="G37" s="512"/>
      <c r="H37" s="512"/>
      <c r="I37" s="512"/>
      <c r="J37" s="512"/>
      <c r="K37" s="512"/>
      <c r="L37" s="512"/>
      <c r="M37" s="512"/>
    </row>
    <row r="38" spans="3:13" s="516" customFormat="1" ht="12.75" customHeight="1">
      <c r="C38" s="513">
        <f>C30+1</f>
        <v>5</v>
      </c>
      <c r="D38" s="2433" t="s">
        <v>778</v>
      </c>
      <c r="E38" s="2400"/>
      <c r="F38" s="2400"/>
      <c r="G38" s="2400"/>
      <c r="H38" s="2400"/>
      <c r="I38" s="2400"/>
      <c r="J38" s="2400"/>
      <c r="K38" s="2400"/>
      <c r="L38" s="2400"/>
      <c r="M38" s="2400"/>
    </row>
    <row r="39" spans="3:13" s="516" customFormat="1" ht="12.75" customHeight="1">
      <c r="C39" s="479"/>
      <c r="D39" s="2373" t="s">
        <v>184</v>
      </c>
      <c r="E39" s="2400"/>
      <c r="F39" s="2385" t="s">
        <v>779</v>
      </c>
      <c r="G39" s="2385"/>
      <c r="H39" s="2385"/>
      <c r="I39" s="2385"/>
      <c r="J39" s="2385"/>
      <c r="K39" s="2385"/>
      <c r="L39" s="2385"/>
      <c r="M39" s="2385"/>
    </row>
    <row r="40" spans="3:13" s="516" customFormat="1">
      <c r="C40" s="479"/>
      <c r="D40" s="2420" t="s">
        <v>185</v>
      </c>
      <c r="E40" s="2421"/>
      <c r="F40" s="2385" t="s">
        <v>634</v>
      </c>
      <c r="G40" s="2385"/>
      <c r="H40" s="2385"/>
      <c r="I40" s="2385"/>
      <c r="J40" s="2385"/>
      <c r="K40" s="2385"/>
      <c r="L40" s="2385"/>
      <c r="M40" s="2385"/>
    </row>
    <row r="41" spans="3:13" s="516" customFormat="1" ht="12.95" customHeight="1">
      <c r="C41" s="479"/>
      <c r="D41" s="2413" t="s">
        <v>1861</v>
      </c>
      <c r="E41" s="2414"/>
      <c r="F41" s="2385" t="s">
        <v>308</v>
      </c>
      <c r="G41" s="2385"/>
      <c r="H41" s="2385"/>
      <c r="I41" s="2385"/>
      <c r="J41" s="2385"/>
      <c r="K41" s="2385"/>
      <c r="L41" s="2385"/>
      <c r="M41" s="2385"/>
    </row>
    <row r="42" spans="3:13" s="516" customFormat="1" ht="12.95" customHeight="1">
      <c r="C42" s="479"/>
      <c r="D42" s="2418" t="s">
        <v>1862</v>
      </c>
      <c r="E42" s="2414"/>
      <c r="F42" s="2427" t="s">
        <v>964</v>
      </c>
      <c r="G42" s="2400"/>
      <c r="H42" s="2400"/>
      <c r="I42" s="2400"/>
      <c r="J42" s="2400"/>
      <c r="K42" s="2400"/>
      <c r="L42" s="2400"/>
      <c r="M42" s="2400"/>
    </row>
    <row r="43" spans="3:13" s="516" customFormat="1" ht="12.95" customHeight="1">
      <c r="C43" s="479"/>
      <c r="D43" s="2428" t="s">
        <v>1964</v>
      </c>
      <c r="E43" s="2412"/>
      <c r="F43" s="2427" t="s">
        <v>893</v>
      </c>
      <c r="G43" s="2400"/>
      <c r="H43" s="2400"/>
      <c r="I43" s="2400"/>
      <c r="J43" s="2400"/>
      <c r="K43" s="2400"/>
      <c r="L43" s="2400"/>
      <c r="M43" s="2400"/>
    </row>
    <row r="44" spans="3:13" s="516" customFormat="1" ht="12.95" customHeight="1">
      <c r="C44" s="479"/>
      <c r="D44" s="2411" t="s">
        <v>1865</v>
      </c>
      <c r="E44" s="2412"/>
      <c r="F44" s="2385" t="s">
        <v>186</v>
      </c>
      <c r="G44" s="2385"/>
      <c r="H44" s="2385"/>
      <c r="I44" s="2385"/>
      <c r="J44" s="2385"/>
      <c r="K44" s="2385"/>
      <c r="L44" s="2385"/>
      <c r="M44" s="2385"/>
    </row>
    <row r="45" spans="3:13" s="516" customFormat="1" ht="12.95" customHeight="1">
      <c r="C45" s="479"/>
      <c r="D45" s="2415" t="s">
        <v>2262</v>
      </c>
      <c r="E45" s="2416"/>
      <c r="F45" s="2385" t="s">
        <v>2263</v>
      </c>
      <c r="G45" s="2385"/>
      <c r="H45" s="2385"/>
      <c r="I45" s="2385"/>
      <c r="J45" s="2385"/>
      <c r="K45" s="2385"/>
      <c r="L45" s="2385"/>
      <c r="M45" s="2385"/>
    </row>
    <row r="46" spans="3:13" s="516" customFormat="1" ht="27" customHeight="1">
      <c r="C46" s="479"/>
      <c r="D46" s="2417" t="s">
        <v>2237</v>
      </c>
      <c r="E46" s="2417"/>
      <c r="F46" s="2385" t="s">
        <v>2516</v>
      </c>
      <c r="G46" s="2385"/>
      <c r="H46" s="2385"/>
      <c r="I46" s="2385"/>
      <c r="J46" s="2385"/>
      <c r="K46" s="2385"/>
      <c r="L46" s="2385"/>
      <c r="M46" s="2385"/>
    </row>
    <row r="47" spans="3:13" s="516" customFormat="1" ht="12.95" customHeight="1">
      <c r="C47" s="479"/>
      <c r="D47" s="2422" t="s">
        <v>1863</v>
      </c>
      <c r="E47" s="2423"/>
      <c r="F47" s="2385" t="s">
        <v>1859</v>
      </c>
      <c r="G47" s="2400"/>
      <c r="H47" s="2400"/>
      <c r="I47" s="2400"/>
      <c r="J47" s="2400"/>
      <c r="K47" s="2400"/>
      <c r="L47" s="2400"/>
      <c r="M47" s="2400"/>
    </row>
    <row r="48" spans="3:13" s="516" customFormat="1" ht="12.95" customHeight="1">
      <c r="C48" s="479"/>
      <c r="D48" s="2398" t="s">
        <v>1690</v>
      </c>
      <c r="E48" s="2399"/>
      <c r="F48" s="2385" t="s">
        <v>1860</v>
      </c>
      <c r="G48" s="2400"/>
      <c r="H48" s="2400"/>
      <c r="I48" s="2400"/>
      <c r="J48" s="2400"/>
      <c r="K48" s="2400"/>
      <c r="L48" s="2400"/>
      <c r="M48" s="2400"/>
    </row>
    <row r="49" spans="3:13" s="516" customFormat="1" ht="12.95" customHeight="1">
      <c r="C49" s="479"/>
      <c r="D49" s="2430" t="s">
        <v>2238</v>
      </c>
      <c r="E49" s="2430"/>
      <c r="F49" s="2385" t="s">
        <v>2239</v>
      </c>
      <c r="G49" s="2400"/>
      <c r="H49" s="2400"/>
      <c r="I49" s="2400"/>
      <c r="J49" s="2400"/>
      <c r="K49" s="2400"/>
      <c r="L49" s="2400"/>
      <c r="M49" s="2400"/>
    </row>
    <row r="50" spans="3:13" s="516" customFormat="1" ht="12.95" customHeight="1">
      <c r="C50" s="479"/>
      <c r="D50" s="2389" t="s">
        <v>1864</v>
      </c>
      <c r="E50" s="2389"/>
      <c r="F50" s="2385" t="s">
        <v>595</v>
      </c>
      <c r="G50" s="2400"/>
      <c r="H50" s="2400"/>
      <c r="I50" s="2400"/>
      <c r="J50" s="2400"/>
      <c r="K50" s="2400"/>
      <c r="L50" s="2400"/>
      <c r="M50" s="2400"/>
    </row>
    <row r="51" spans="3:13" s="516" customFormat="1">
      <c r="C51" s="479"/>
      <c r="D51" s="519"/>
      <c r="E51" s="479"/>
      <c r="F51" s="479"/>
      <c r="G51" s="479"/>
      <c r="H51" s="479"/>
      <c r="I51" s="479"/>
      <c r="J51" s="479"/>
      <c r="K51" s="479"/>
      <c r="L51" s="479"/>
      <c r="M51" s="479"/>
    </row>
    <row r="52" spans="3:13" ht="40.15" customHeight="1">
      <c r="C52" s="513">
        <f>C38+1</f>
        <v>6</v>
      </c>
      <c r="D52" s="2390" t="s">
        <v>969</v>
      </c>
      <c r="E52" s="2391"/>
      <c r="F52" s="2391"/>
      <c r="G52" s="2391"/>
      <c r="H52" s="2391"/>
      <c r="I52" s="2391"/>
      <c r="J52" s="2391"/>
      <c r="K52" s="2391"/>
      <c r="L52" s="2391"/>
      <c r="M52" s="2391"/>
    </row>
    <row r="53" spans="3:13" ht="40.15" customHeight="1">
      <c r="C53" s="513">
        <f>C52+1</f>
        <v>7</v>
      </c>
      <c r="D53" s="2390" t="s">
        <v>635</v>
      </c>
      <c r="E53" s="2391"/>
      <c r="F53" s="2391"/>
      <c r="G53" s="2391"/>
      <c r="H53" s="2391"/>
      <c r="I53" s="2391"/>
      <c r="J53" s="2391"/>
      <c r="K53" s="2391"/>
      <c r="L53" s="2391"/>
      <c r="M53" s="2391"/>
    </row>
    <row r="54" spans="3:13" ht="40.15" customHeight="1">
      <c r="C54" s="513">
        <f>C53+1</f>
        <v>8</v>
      </c>
      <c r="D54" s="2392" t="s">
        <v>1626</v>
      </c>
      <c r="E54" s="2393"/>
      <c r="F54" s="2393"/>
      <c r="G54" s="2393"/>
      <c r="H54" s="2393"/>
      <c r="I54" s="2393"/>
      <c r="J54" s="2393"/>
      <c r="K54" s="2393"/>
      <c r="L54" s="2393"/>
      <c r="M54" s="2393"/>
    </row>
    <row r="55" spans="3:13" ht="46.5" customHeight="1" thickBot="1">
      <c r="C55" s="513">
        <f>C54+1</f>
        <v>9</v>
      </c>
      <c r="D55" s="2390" t="s">
        <v>1630</v>
      </c>
      <c r="E55" s="2391"/>
      <c r="F55" s="2391"/>
      <c r="G55" s="2391"/>
      <c r="H55" s="2391"/>
      <c r="I55" s="2391"/>
      <c r="J55" s="2391"/>
      <c r="K55" s="2391"/>
      <c r="L55" s="2391"/>
      <c r="M55" s="2391"/>
    </row>
    <row r="56" spans="3:13" ht="10.5" hidden="1" customHeight="1" thickBot="1">
      <c r="C56"/>
      <c r="D56" s="2390"/>
      <c r="E56" s="2391"/>
      <c r="F56" s="2391"/>
      <c r="G56" s="2391"/>
      <c r="H56" s="2391"/>
      <c r="I56" s="2391"/>
      <c r="J56" s="2391"/>
      <c r="K56" s="2391"/>
      <c r="L56" s="2391"/>
      <c r="M56" s="2391"/>
    </row>
    <row r="57" spans="3:13" ht="72" customHeight="1" thickBot="1">
      <c r="C57" s="513">
        <f>C55+1</f>
        <v>10</v>
      </c>
      <c r="D57" s="2395" t="s">
        <v>2079</v>
      </c>
      <c r="E57" s="2396"/>
      <c r="F57" s="2396"/>
      <c r="G57" s="2396"/>
      <c r="H57" s="2396"/>
      <c r="I57" s="2396"/>
      <c r="J57" s="2396"/>
      <c r="K57" s="2396"/>
      <c r="L57" s="2396"/>
      <c r="M57" s="2397"/>
    </row>
    <row r="58" spans="3:13" hidden="1">
      <c r="C58" s="467"/>
      <c r="D58" s="467"/>
      <c r="E58" s="467"/>
      <c r="F58" s="467"/>
      <c r="G58" s="467"/>
      <c r="H58" s="467"/>
      <c r="I58" s="467"/>
      <c r="J58" s="467"/>
      <c r="K58" s="467"/>
      <c r="L58" s="467"/>
      <c r="M58" s="467"/>
    </row>
    <row r="59" spans="3:13">
      <c r="C59" s="467"/>
      <c r="D59" s="467"/>
      <c r="E59" s="467"/>
      <c r="F59" s="467"/>
      <c r="G59" s="467"/>
      <c r="H59" s="467"/>
      <c r="I59" s="467"/>
      <c r="J59" s="467"/>
      <c r="K59" s="467"/>
      <c r="L59" s="467"/>
      <c r="M59" s="467"/>
    </row>
    <row r="60" spans="3:13" ht="15.75">
      <c r="C60" s="507"/>
      <c r="D60" s="2408" t="s">
        <v>1990</v>
      </c>
      <c r="E60" s="2408"/>
      <c r="F60" s="2408"/>
      <c r="G60" s="2408"/>
      <c r="H60" s="2408"/>
      <c r="I60" s="2408"/>
      <c r="J60" s="2408"/>
      <c r="K60" s="2408"/>
      <c r="L60" s="2408"/>
      <c r="M60" s="2408"/>
    </row>
    <row r="61" spans="3:13">
      <c r="C61" s="512"/>
      <c r="D61" s="2431"/>
      <c r="E61" s="2431"/>
      <c r="F61" s="2431"/>
      <c r="G61" s="2431"/>
      <c r="H61" s="2431"/>
      <c r="I61" s="2431"/>
      <c r="J61" s="2431"/>
      <c r="K61" s="2431"/>
      <c r="L61" s="2431"/>
      <c r="M61" s="2431"/>
    </row>
    <row r="62" spans="3:13" s="516" customFormat="1" ht="15" customHeight="1">
      <c r="C62" s="479"/>
      <c r="D62" s="2380" t="s">
        <v>2126</v>
      </c>
      <c r="E62" s="2380"/>
      <c r="F62" s="2380"/>
      <c r="G62" s="2380"/>
      <c r="H62" s="2380"/>
      <c r="I62" s="2380"/>
      <c r="J62" s="2380"/>
      <c r="K62" s="2380"/>
      <c r="L62" s="2380"/>
      <c r="M62" s="2380"/>
    </row>
    <row r="63" spans="3:13" ht="15" customHeight="1">
      <c r="D63" s="2432" t="s">
        <v>2290</v>
      </c>
      <c r="E63" s="2432"/>
      <c r="F63" s="2432"/>
      <c r="G63" s="2432"/>
      <c r="H63" s="2432"/>
      <c r="I63" s="2432"/>
      <c r="J63" s="2432"/>
      <c r="K63" s="2432"/>
      <c r="L63" s="2432"/>
      <c r="M63" s="2432"/>
    </row>
    <row r="64" spans="3:13" ht="15" customHeight="1">
      <c r="C64" s="467"/>
      <c r="D64" s="2401" t="s">
        <v>2517</v>
      </c>
      <c r="E64" s="2401"/>
      <c r="F64" s="2401"/>
      <c r="G64" s="2401"/>
      <c r="H64" s="2401"/>
      <c r="I64" s="2401"/>
      <c r="J64" s="2401"/>
      <c r="K64" s="2401"/>
      <c r="L64" s="2401"/>
      <c r="M64" s="2401"/>
    </row>
    <row r="65" spans="3:13" ht="15.75" customHeight="1">
      <c r="C65" s="467"/>
      <c r="D65" s="2380" t="s">
        <v>2164</v>
      </c>
      <c r="E65" s="2380"/>
      <c r="F65" s="2380"/>
      <c r="G65" s="2380"/>
      <c r="H65" s="2380"/>
      <c r="I65" s="2380"/>
      <c r="J65" s="2380"/>
      <c r="K65" s="2380"/>
      <c r="L65" s="2380"/>
      <c r="M65" s="2380"/>
    </row>
    <row r="66" spans="3:13" ht="42" customHeight="1">
      <c r="C66" s="467"/>
      <c r="D66" s="2386" t="s">
        <v>2165</v>
      </c>
      <c r="E66" s="2387"/>
      <c r="F66" s="2387"/>
      <c r="G66" s="2387"/>
      <c r="H66" s="2387"/>
      <c r="I66" s="2387"/>
      <c r="J66" s="2387"/>
      <c r="K66" s="2387"/>
      <c r="L66" s="2387"/>
      <c r="M66" s="2387"/>
    </row>
    <row r="67" spans="3:13" s="522" customFormat="1" ht="29.45" customHeight="1">
      <c r="C67" s="521"/>
      <c r="D67" s="2381" t="s">
        <v>2687</v>
      </c>
      <c r="E67" s="2381"/>
      <c r="F67" s="2381"/>
      <c r="G67" s="2381"/>
      <c r="H67" s="2381"/>
      <c r="I67" s="2381"/>
      <c r="J67" s="2381"/>
      <c r="K67" s="2381"/>
      <c r="L67" s="2381"/>
      <c r="M67" s="2381"/>
    </row>
    <row r="68" spans="3:13" ht="18.95" customHeight="1">
      <c r="C68" s="467"/>
      <c r="D68" s="2380" t="s">
        <v>2518</v>
      </c>
      <c r="E68" s="2380"/>
      <c r="F68" s="2380"/>
      <c r="G68" s="2380"/>
      <c r="H68" s="2380"/>
      <c r="I68" s="2380"/>
      <c r="J68" s="2380"/>
      <c r="K68" s="2380"/>
      <c r="L68" s="2380"/>
      <c r="M68" s="2380"/>
    </row>
    <row r="69" spans="3:13" hidden="1">
      <c r="C69" s="467"/>
      <c r="D69" s="2380" t="s">
        <v>2256</v>
      </c>
      <c r="E69" s="2380"/>
      <c r="F69" s="2380"/>
      <c r="G69" s="2380"/>
      <c r="H69" s="2380"/>
      <c r="I69" s="2380"/>
      <c r="J69" s="2380"/>
      <c r="K69" s="2380"/>
      <c r="L69" s="2380"/>
      <c r="M69" s="2380"/>
    </row>
    <row r="70" spans="3:13" ht="28.15" customHeight="1">
      <c r="C70" s="467"/>
      <c r="D70" s="2388" t="s">
        <v>2519</v>
      </c>
      <c r="E70" s="2388"/>
      <c r="F70" s="2388"/>
      <c r="G70" s="2388"/>
      <c r="H70" s="2388"/>
      <c r="I70" s="2388"/>
      <c r="J70" s="2388"/>
      <c r="K70" s="2388"/>
      <c r="L70" s="2388"/>
      <c r="M70" s="2388"/>
    </row>
    <row r="71" spans="3:13" ht="41.25" customHeight="1">
      <c r="C71" s="467"/>
      <c r="D71" s="2388" t="s">
        <v>2688</v>
      </c>
      <c r="E71" s="2388"/>
      <c r="F71" s="2388"/>
      <c r="G71" s="2388"/>
      <c r="H71" s="2388"/>
      <c r="I71" s="2388"/>
      <c r="J71" s="2388"/>
      <c r="K71" s="2388"/>
      <c r="L71" s="2388"/>
      <c r="M71" s="2388"/>
    </row>
    <row r="72" spans="3:13" hidden="1">
      <c r="C72" s="467"/>
      <c r="D72" s="2382"/>
      <c r="E72" s="2382"/>
      <c r="F72" s="2382"/>
      <c r="G72" s="2382"/>
      <c r="H72" s="2382"/>
      <c r="I72" s="2382"/>
      <c r="J72" s="2382"/>
      <c r="K72" s="2382"/>
      <c r="L72" s="2382"/>
      <c r="M72" s="2382"/>
    </row>
    <row r="73" spans="3:13" hidden="1">
      <c r="C73" s="467"/>
      <c r="D73" s="2394" t="s">
        <v>2239</v>
      </c>
      <c r="E73" s="2394"/>
      <c r="F73" s="2394"/>
      <c r="G73" s="2394"/>
      <c r="H73" s="2394"/>
      <c r="I73" s="2394"/>
      <c r="J73" s="2394"/>
      <c r="K73" s="2394"/>
      <c r="L73" s="2394"/>
      <c r="M73" s="479"/>
    </row>
    <row r="74" spans="3:13" hidden="1">
      <c r="C74" s="467"/>
      <c r="D74" s="2383"/>
      <c r="E74" s="2383"/>
      <c r="F74" s="2383"/>
      <c r="G74" s="2383"/>
      <c r="H74" s="2383"/>
      <c r="I74" s="2383"/>
      <c r="J74" s="2383"/>
      <c r="K74" s="2383"/>
      <c r="L74" s="2383"/>
      <c r="M74" s="2383"/>
    </row>
    <row r="75" spans="3:13" hidden="1">
      <c r="C75" s="467"/>
      <c r="D75" s="2384"/>
      <c r="E75" s="2384"/>
      <c r="F75" s="2384"/>
      <c r="G75" s="2384"/>
      <c r="H75" s="2384"/>
      <c r="I75" s="2384"/>
      <c r="J75" s="2384"/>
      <c r="K75" s="2384"/>
      <c r="L75" s="2384"/>
      <c r="M75" s="2384"/>
    </row>
    <row r="76" spans="3:13" ht="15.75">
      <c r="C76" s="467"/>
      <c r="D76" s="2426" t="s">
        <v>183</v>
      </c>
      <c r="E76" s="2426"/>
      <c r="F76" s="2426"/>
      <c r="G76" s="2426"/>
      <c r="H76" s="2426"/>
      <c r="I76" s="2426"/>
      <c r="J76" s="2426"/>
      <c r="K76" s="2426"/>
      <c r="L76" s="2426"/>
      <c r="M76" s="2426"/>
    </row>
    <row r="77" spans="3:13">
      <c r="C77" s="467"/>
      <c r="D77" s="2373" t="s">
        <v>1992</v>
      </c>
      <c r="E77" s="2373"/>
      <c r="F77" s="2373"/>
      <c r="G77" s="2373"/>
      <c r="H77" s="2373"/>
      <c r="I77" s="2373"/>
      <c r="J77" s="2373"/>
      <c r="K77" s="2373"/>
      <c r="L77" s="2373"/>
      <c r="M77" s="2373"/>
    </row>
    <row r="78" spans="3:13" ht="42" customHeight="1">
      <c r="C78" s="467"/>
      <c r="D78" s="2381" t="s">
        <v>2240</v>
      </c>
      <c r="E78" s="2381"/>
      <c r="F78" s="2381"/>
      <c r="G78" s="2381"/>
      <c r="H78" s="2381"/>
      <c r="I78" s="2381"/>
      <c r="J78" s="2381"/>
      <c r="K78" s="2381"/>
      <c r="L78" s="2381"/>
      <c r="M78" s="2381"/>
    </row>
    <row r="79" spans="3:13" ht="13.15" customHeight="1">
      <c r="C79" s="467"/>
      <c r="D79" s="2406" t="s">
        <v>2081</v>
      </c>
      <c r="E79" s="2406"/>
      <c r="F79" s="2406"/>
      <c r="G79" s="2406"/>
      <c r="H79" s="2406"/>
      <c r="I79" s="2406"/>
      <c r="J79" s="2406"/>
      <c r="K79" s="2406"/>
      <c r="L79" s="2406"/>
      <c r="M79" s="2406"/>
    </row>
    <row r="80" spans="3:13">
      <c r="C80" s="467"/>
      <c r="D80" s="2384" t="s">
        <v>2080</v>
      </c>
      <c r="E80" s="2384"/>
      <c r="F80" s="2384"/>
      <c r="G80" s="2384"/>
      <c r="H80" s="2384"/>
      <c r="I80" s="2384"/>
      <c r="J80" s="2384"/>
      <c r="K80" s="2384"/>
      <c r="L80" s="2384"/>
      <c r="M80" s="2384"/>
    </row>
    <row r="81" spans="3:13">
      <c r="C81" s="467"/>
      <c r="D81" s="2407" t="s">
        <v>2082</v>
      </c>
      <c r="E81" s="2407"/>
      <c r="F81" s="2407"/>
      <c r="G81" s="2407"/>
      <c r="H81" s="2407"/>
      <c r="I81" s="2407"/>
      <c r="J81" s="2407"/>
      <c r="K81" s="2407"/>
      <c r="L81" s="2407"/>
      <c r="M81" s="2407"/>
    </row>
    <row r="82" spans="3:13" ht="13.15" customHeight="1">
      <c r="C82" s="467"/>
      <c r="D82" s="2406" t="s">
        <v>2081</v>
      </c>
      <c r="E82" s="2406"/>
      <c r="F82" s="2406"/>
      <c r="G82" s="2406"/>
      <c r="H82" s="2406"/>
      <c r="I82" s="2406"/>
      <c r="J82" s="2406"/>
      <c r="K82" s="2406"/>
      <c r="L82" s="2406"/>
      <c r="M82" s="2406"/>
    </row>
    <row r="83" spans="3:13" ht="13.15" customHeight="1">
      <c r="C83" s="467"/>
      <c r="D83" s="2405" t="s">
        <v>2082</v>
      </c>
      <c r="E83" s="2405"/>
      <c r="F83" s="2405"/>
      <c r="G83" s="2405"/>
      <c r="H83" s="2405"/>
      <c r="I83" s="2405"/>
      <c r="J83" s="2405"/>
      <c r="K83" s="2405"/>
      <c r="L83" s="2405"/>
      <c r="M83" s="2405"/>
    </row>
    <row r="84" spans="3:13">
      <c r="C84" s="467"/>
      <c r="D84" s="2405" t="s">
        <v>1993</v>
      </c>
      <c r="E84" s="2405"/>
      <c r="F84" s="2405"/>
      <c r="G84" s="2405"/>
      <c r="H84" s="2405"/>
      <c r="I84" s="2405"/>
      <c r="J84" s="2405"/>
      <c r="K84" s="2405"/>
      <c r="L84" s="2405"/>
      <c r="M84" s="2405"/>
    </row>
    <row r="85" spans="3:13" ht="13.15" customHeight="1">
      <c r="C85" s="467"/>
      <c r="D85" s="2404" t="s">
        <v>2083</v>
      </c>
      <c r="E85" s="2404"/>
      <c r="F85" s="2404"/>
      <c r="G85" s="2404"/>
      <c r="H85" s="2404"/>
      <c r="I85" s="2404"/>
      <c r="J85" s="2404"/>
      <c r="K85" s="2404"/>
      <c r="L85" s="2404"/>
      <c r="M85" s="2404"/>
    </row>
    <row r="86" spans="3:13">
      <c r="C86" s="467"/>
      <c r="D86" s="2425" t="s">
        <v>2185</v>
      </c>
      <c r="E86" s="2402"/>
      <c r="F86" s="2402"/>
      <c r="G86" s="2402"/>
      <c r="H86" s="2402"/>
      <c r="I86" s="2402"/>
      <c r="J86" s="2402"/>
      <c r="K86" s="2402"/>
      <c r="L86" s="2402"/>
      <c r="M86" s="2402"/>
    </row>
    <row r="87" spans="3:13" ht="13.15" customHeight="1">
      <c r="C87" s="467"/>
      <c r="D87" s="2425" t="s">
        <v>2186</v>
      </c>
      <c r="E87" s="2425"/>
      <c r="F87" s="2425"/>
      <c r="G87" s="2425"/>
      <c r="H87" s="2425"/>
      <c r="I87" s="2425"/>
      <c r="J87" s="2425"/>
      <c r="K87" s="2425"/>
      <c r="L87" s="2425"/>
      <c r="M87" s="2425"/>
    </row>
    <row r="88" spans="3:13" ht="13.15" customHeight="1">
      <c r="C88" s="467"/>
      <c r="D88" s="2402" t="s">
        <v>2187</v>
      </c>
      <c r="E88" s="2402"/>
      <c r="F88" s="2402"/>
      <c r="G88" s="2402"/>
      <c r="H88" s="2402"/>
      <c r="I88" s="2402"/>
      <c r="J88" s="2402"/>
      <c r="K88" s="2402"/>
      <c r="L88" s="2402"/>
      <c r="M88" s="2402"/>
    </row>
    <row r="89" spans="3:13" ht="13.15" customHeight="1">
      <c r="C89" s="467"/>
      <c r="D89" s="2402" t="s">
        <v>2188</v>
      </c>
      <c r="E89" s="2402"/>
      <c r="F89" s="2402"/>
      <c r="G89" s="2402"/>
      <c r="H89" s="2402"/>
      <c r="I89" s="2402"/>
      <c r="J89" s="2402"/>
      <c r="K89" s="2402"/>
      <c r="L89" s="2402"/>
      <c r="M89" s="2402"/>
    </row>
    <row r="90" spans="3:13">
      <c r="C90" s="467"/>
      <c r="D90" s="2403" t="s">
        <v>2189</v>
      </c>
      <c r="E90" s="2403"/>
      <c r="F90" s="2403"/>
      <c r="G90" s="2403"/>
      <c r="H90" s="2403"/>
      <c r="I90" s="2403"/>
      <c r="J90" s="2403"/>
      <c r="K90" s="2403"/>
      <c r="L90" s="2403"/>
      <c r="M90" s="2403"/>
    </row>
    <row r="91" spans="3:13">
      <c r="C91" s="467"/>
      <c r="D91" s="479"/>
      <c r="E91" s="479"/>
      <c r="F91" s="479"/>
      <c r="G91" s="479"/>
      <c r="H91" s="479"/>
      <c r="I91" s="479"/>
      <c r="J91" s="479"/>
      <c r="K91" s="479"/>
      <c r="L91" s="479"/>
      <c r="M91" s="479"/>
    </row>
    <row r="92" spans="3:13">
      <c r="D92" s="2419" t="s">
        <v>1014</v>
      </c>
      <c r="E92" s="2419"/>
      <c r="F92" s="2419"/>
      <c r="G92" s="2419"/>
      <c r="H92" s="2419"/>
      <c r="I92" s="2419"/>
      <c r="J92" s="2419"/>
      <c r="K92" s="2419"/>
      <c r="L92" s="2419"/>
      <c r="M92" s="2419"/>
    </row>
    <row r="93" spans="3:13"/>
  </sheetData>
  <sheetProtection algorithmName="SHA-512" hashValue="sFcfFV7SYU2ebSfsVRZqIsZKhssLikhPsVLivHqvhDVh1jelEcH3hJh3zLtcBA0mz8RbgMJ9/uA7fbgMUYkNKA==" saltValue="bCO3UXiO1AHqKf0rjUsSrg==" spinCount="100000" sheet="1" formatCells="0" formatColumns="0" formatRows="0" insertHyperlinks="0"/>
  <mergeCells count="104">
    <mergeCell ref="D49:E49"/>
    <mergeCell ref="F36:M36"/>
    <mergeCell ref="D60:M60"/>
    <mergeCell ref="D56:M56"/>
    <mergeCell ref="D32:M32"/>
    <mergeCell ref="D61:M61"/>
    <mergeCell ref="D63:M63"/>
    <mergeCell ref="D38:M38"/>
    <mergeCell ref="B2:D4"/>
    <mergeCell ref="M2:N2"/>
    <mergeCell ref="M3:N3"/>
    <mergeCell ref="M4:N4"/>
    <mergeCell ref="G3:H3"/>
    <mergeCell ref="E3:F3"/>
    <mergeCell ref="K4:L4"/>
    <mergeCell ref="K2:L2"/>
    <mergeCell ref="I2:J2"/>
    <mergeCell ref="G2:H2"/>
    <mergeCell ref="E2:F2"/>
    <mergeCell ref="I4:J4"/>
    <mergeCell ref="G4:H4"/>
    <mergeCell ref="E4:F4"/>
    <mergeCell ref="K3:L3"/>
    <mergeCell ref="I3:J3"/>
    <mergeCell ref="D8:M8"/>
    <mergeCell ref="D13:M13"/>
    <mergeCell ref="D14:M14"/>
    <mergeCell ref="D10:M10"/>
    <mergeCell ref="D20:M20"/>
    <mergeCell ref="D21:M21"/>
    <mergeCell ref="D22:M22"/>
    <mergeCell ref="D12:M12"/>
    <mergeCell ref="D19:M19"/>
    <mergeCell ref="D92:M92"/>
    <mergeCell ref="F41:M41"/>
    <mergeCell ref="D40:E40"/>
    <mergeCell ref="D47:E47"/>
    <mergeCell ref="D39:E39"/>
    <mergeCell ref="D16:M16"/>
    <mergeCell ref="D6:L6"/>
    <mergeCell ref="D7:M7"/>
    <mergeCell ref="F44:M44"/>
    <mergeCell ref="D29:M29"/>
    <mergeCell ref="F45:M45"/>
    <mergeCell ref="F33:M33"/>
    <mergeCell ref="F34:M34"/>
    <mergeCell ref="D77:M77"/>
    <mergeCell ref="D86:M86"/>
    <mergeCell ref="D70:M70"/>
    <mergeCell ref="D76:M76"/>
    <mergeCell ref="D87:M87"/>
    <mergeCell ref="D84:M84"/>
    <mergeCell ref="D68:M68"/>
    <mergeCell ref="F42:M42"/>
    <mergeCell ref="F43:M43"/>
    <mergeCell ref="D43:E43"/>
    <mergeCell ref="D53:M53"/>
    <mergeCell ref="D24:M24"/>
    <mergeCell ref="D28:M28"/>
    <mergeCell ref="F35:M35"/>
    <mergeCell ref="D44:E44"/>
    <mergeCell ref="D41:E41"/>
    <mergeCell ref="D30:M30"/>
    <mergeCell ref="D31:M31"/>
    <mergeCell ref="D45:E45"/>
    <mergeCell ref="D46:E46"/>
    <mergeCell ref="D26:M26"/>
    <mergeCell ref="D27:M27"/>
    <mergeCell ref="D42:E42"/>
    <mergeCell ref="F50:M50"/>
    <mergeCell ref="D88:M88"/>
    <mergeCell ref="D89:M89"/>
    <mergeCell ref="D90:M90"/>
    <mergeCell ref="D85:M85"/>
    <mergeCell ref="D83:M83"/>
    <mergeCell ref="D82:M82"/>
    <mergeCell ref="D78:M78"/>
    <mergeCell ref="D79:M79"/>
    <mergeCell ref="D80:M80"/>
    <mergeCell ref="D81:M81"/>
    <mergeCell ref="D23:M23"/>
    <mergeCell ref="D65:M65"/>
    <mergeCell ref="D67:M67"/>
    <mergeCell ref="D69:M69"/>
    <mergeCell ref="D72:M72"/>
    <mergeCell ref="D74:M74"/>
    <mergeCell ref="D75:M75"/>
    <mergeCell ref="F40:M40"/>
    <mergeCell ref="F39:M39"/>
    <mergeCell ref="F46:M46"/>
    <mergeCell ref="D66:M66"/>
    <mergeCell ref="D71:M71"/>
    <mergeCell ref="D50:E50"/>
    <mergeCell ref="D52:M52"/>
    <mergeCell ref="D54:M54"/>
    <mergeCell ref="D73:L73"/>
    <mergeCell ref="D57:M57"/>
    <mergeCell ref="D48:E48"/>
    <mergeCell ref="F47:M47"/>
    <mergeCell ref="F48:M48"/>
    <mergeCell ref="D64:M64"/>
    <mergeCell ref="D55:M55"/>
    <mergeCell ref="D62:M62"/>
    <mergeCell ref="F49:M49"/>
  </mergeCells>
  <phoneticPr fontId="8" type="noConversion"/>
  <conditionalFormatting sqref="D46">
    <cfRule type="expression" dxfId="850" priority="10" stopIfTrue="1">
      <formula>Y46</formula>
    </cfRule>
  </conditionalFormatting>
  <conditionalFormatting sqref="G3:H3">
    <cfRule type="expression" dxfId="849" priority="8" stopIfTrue="1">
      <formula>$H$443</formula>
    </cfRule>
  </conditionalFormatting>
  <conditionalFormatting sqref="G4:H4">
    <cfRule type="expression" dxfId="848" priority="4" stopIfTrue="1">
      <formula>$H$447</formula>
    </cfRule>
  </conditionalFormatting>
  <conditionalFormatting sqref="I3:J3">
    <cfRule type="expression" dxfId="847" priority="7" stopIfTrue="1">
      <formula>$H$444</formula>
    </cfRule>
  </conditionalFormatting>
  <conditionalFormatting sqref="I4:J4">
    <cfRule type="expression" dxfId="846" priority="3" stopIfTrue="1">
      <formula>$H$448</formula>
    </cfRule>
  </conditionalFormatting>
  <conditionalFormatting sqref="K3:L3">
    <cfRule type="expression" dxfId="845" priority="6" stopIfTrue="1">
      <formula>$H$445</formula>
    </cfRule>
  </conditionalFormatting>
  <conditionalFormatting sqref="K4:L4">
    <cfRule type="expression" dxfId="844" priority="9" stopIfTrue="1">
      <formula>$H$442</formula>
    </cfRule>
  </conditionalFormatting>
  <conditionalFormatting sqref="M3:N3">
    <cfRule type="expression" dxfId="843" priority="5" stopIfTrue="1">
      <formula>$H$446</formula>
    </cfRule>
  </conditionalFormatting>
  <conditionalFormatting sqref="M4:N4">
    <cfRule type="expression" dxfId="842" priority="2" stopIfTrue="1">
      <formula>$H$449</formula>
    </cfRule>
  </conditionalFormatting>
  <hyperlinks>
    <hyperlink ref="D84" r:id="rId1" xr:uid="{00000000-0004-0000-0100-000007000000}"/>
    <hyperlink ref="D13" r:id="rId2" display="https://www.legislation.gov.uk/uksi/2020/1265/introduction/made" xr:uid="{00000000-0004-0000-0100-000008000000}"/>
    <hyperlink ref="D79" r:id="rId3" xr:uid="{D3F7A67F-8678-43E7-8CB0-E6BA7F2A3B3D}"/>
    <hyperlink ref="D92:M92" location="'Confidentiality Statement'!B5" display="&lt;&lt;&lt; Click here to proceed to next sheet &gt;&gt;&gt; " xr:uid="{F9AEA846-E691-48EE-8363-0F24900BC61E}"/>
    <hyperlink ref="K2:L2" location="'Confidentiality Statement'!B5" display="Next sheet" xr:uid="{A36452A4-E8AA-410F-ABB4-028E0BDA8666}"/>
    <hyperlink ref="M2:N2" location="K_Summary!B5" display="Summary" xr:uid="{2A7EED23-2383-443F-8848-44554BBBEB7E}"/>
    <hyperlink ref="I2:J2" location="a_Contents!B5" display="Previous sheet" xr:uid="{D794C617-CE63-47B2-81BA-D1A7DE3BABD4}"/>
    <hyperlink ref="G2:H2" location="a_Contents!B5" display="Table of contents" xr:uid="{4029A35D-9AAC-463F-9E00-0D40601C16C1}"/>
    <hyperlink ref="E3:F3" location="'b_Guidelines &amp; conditions'!B5" display="Top of sheet" xr:uid="{1B7FD933-422C-4E2B-A34D-2B4B505D41B5}"/>
    <hyperlink ref="E4:F4" location="'b_Guidelines &amp; conditions'!B92" display="End of sheet" xr:uid="{B3399DA2-8E9F-4CB0-A6E5-6A366B1B4F10}"/>
    <hyperlink ref="D13:M13" r:id="rId4" display="The Greenhouse Gas Emissions Trading Scheme Order 2020" xr:uid="{FB2A4226-DACB-4F20-8942-C5633C095777}"/>
  </hyperlinks>
  <pageMargins left="0.78740157480314965" right="0.78740157480314965" top="0.78740157480314965" bottom="0.78740157480314965" header="0.39370078740157483" footer="0.39370078740157483"/>
  <pageSetup paperSize="9" scale="64" fitToHeight="2" orientation="portrait" r:id="rId5"/>
  <headerFooter alignWithMargins="0">
    <oddHeader>&amp;L&amp;F; &amp;A&amp;R&amp;D; &amp;T</oddHeader>
    <oddFooter>&amp;C&amp;P / &amp;N</oddFooter>
  </headerFooter>
  <rowBreaks count="1" manualBreakCount="1">
    <brk id="63" min="2"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R24"/>
  <sheetViews>
    <sheetView showGridLines="0" topLeftCell="B2" zoomScaleNormal="100" workbookViewId="0">
      <pane ySplit="3" topLeftCell="A5" activePane="bottomLeft" state="frozen"/>
      <selection activeCell="B2" sqref="B2"/>
      <selection pane="bottomLeft" activeCell="B5" sqref="B5"/>
    </sheetView>
  </sheetViews>
  <sheetFormatPr defaultColWidth="0" defaultRowHeight="12.75" zeroHeight="1"/>
  <cols>
    <col min="1" max="1" width="9.140625" hidden="1" customWidth="1"/>
    <col min="2" max="2" width="2.7109375" customWidth="1"/>
    <col min="3" max="3" width="5.7109375" customWidth="1"/>
    <col min="4" max="4" width="4.7109375" customWidth="1"/>
    <col min="5" max="5" width="30.7109375" customWidth="1"/>
    <col min="6" max="14" width="13.7109375" customWidth="1"/>
    <col min="15" max="15" width="4.7109375" customWidth="1"/>
    <col min="16" max="16" width="25.7109375" hidden="1" customWidth="1"/>
  </cols>
  <sheetData>
    <row r="1" spans="2:18" ht="13.5" hidden="1" thickBot="1"/>
    <row r="2" spans="2:18" ht="13.5" thickBot="1">
      <c r="B2" s="2348" t="s">
        <v>2265</v>
      </c>
      <c r="C2" s="2443"/>
      <c r="D2" s="2444"/>
      <c r="E2" s="2357" t="s">
        <v>572</v>
      </c>
      <c r="F2" s="2358"/>
      <c r="G2" s="2360" t="s">
        <v>573</v>
      </c>
      <c r="H2" s="2451"/>
      <c r="I2" s="2451" t="s">
        <v>578</v>
      </c>
      <c r="J2" s="2451"/>
      <c r="K2" s="2451" t="s">
        <v>574</v>
      </c>
      <c r="L2" s="2451"/>
      <c r="M2" s="2451" t="s">
        <v>575</v>
      </c>
      <c r="N2" s="2451"/>
    </row>
    <row r="3" spans="2:18" ht="13.5" thickBot="1">
      <c r="B3" s="2445"/>
      <c r="C3" s="2446"/>
      <c r="D3" s="2447"/>
      <c r="E3" s="2451" t="s">
        <v>576</v>
      </c>
      <c r="F3" s="2454"/>
      <c r="G3" s="2455"/>
      <c r="H3" s="2456"/>
      <c r="I3" s="2456"/>
      <c r="J3" s="2456"/>
      <c r="K3" s="2456"/>
      <c r="L3" s="2456"/>
      <c r="M3" s="2456"/>
      <c r="N3" s="2456"/>
    </row>
    <row r="4" spans="2:18" ht="13.5" thickBot="1">
      <c r="B4" s="2448"/>
      <c r="C4" s="2449"/>
      <c r="D4" s="2450"/>
      <c r="E4" s="2451" t="s">
        <v>577</v>
      </c>
      <c r="F4" s="2451"/>
      <c r="G4" s="2452"/>
      <c r="H4" s="2453"/>
      <c r="I4" s="2453"/>
      <c r="J4" s="2453"/>
      <c r="K4" s="2453"/>
      <c r="L4" s="2453"/>
      <c r="M4" s="2453"/>
      <c r="N4" s="2453"/>
    </row>
    <row r="5" spans="2:18" ht="13.5" thickBot="1"/>
    <row r="6" spans="2:18">
      <c r="C6" s="525"/>
      <c r="D6" s="526"/>
      <c r="E6" s="526"/>
      <c r="F6" s="526"/>
      <c r="G6" s="526"/>
      <c r="H6" s="526"/>
      <c r="I6" s="526"/>
      <c r="J6" s="526"/>
      <c r="K6" s="526"/>
      <c r="L6" s="526"/>
      <c r="M6" s="526"/>
      <c r="N6" s="527"/>
      <c r="R6" s="528"/>
    </row>
    <row r="7" spans="2:18">
      <c r="C7" s="529"/>
      <c r="D7" s="2440" t="s">
        <v>2000</v>
      </c>
      <c r="E7" s="2440"/>
      <c r="F7" s="2440"/>
      <c r="G7" s="2440"/>
      <c r="H7" s="2440"/>
      <c r="I7" s="2440"/>
      <c r="J7" s="2440"/>
      <c r="K7" s="2440"/>
      <c r="L7" s="2440"/>
      <c r="M7" s="2440"/>
      <c r="N7" s="530"/>
      <c r="R7" s="528"/>
    </row>
    <row r="8" spans="2:18">
      <c r="C8" s="529"/>
      <c r="N8" s="530"/>
    </row>
    <row r="9" spans="2:18">
      <c r="C9" s="529"/>
      <c r="N9" s="530"/>
    </row>
    <row r="10" spans="2:18" ht="39.75" customHeight="1">
      <c r="C10" s="529"/>
      <c r="D10" s="2441" t="s">
        <v>2127</v>
      </c>
      <c r="E10" s="2441"/>
      <c r="F10" s="2441"/>
      <c r="G10" s="2441"/>
      <c r="H10" s="2441"/>
      <c r="I10" s="2441"/>
      <c r="J10" s="2441"/>
      <c r="K10" s="2441"/>
      <c r="L10" s="2441"/>
      <c r="M10" s="2441"/>
      <c r="N10" s="530"/>
    </row>
    <row r="11" spans="2:18" hidden="1">
      <c r="C11" s="529"/>
      <c r="N11" s="530"/>
    </row>
    <row r="12" spans="2:18" ht="41.25" customHeight="1">
      <c r="C12" s="529"/>
      <c r="D12" s="2388" t="s">
        <v>1996</v>
      </c>
      <c r="E12" s="2442"/>
      <c r="F12" s="2442"/>
      <c r="G12" s="2442"/>
      <c r="H12" s="2442"/>
      <c r="I12" s="2442"/>
      <c r="J12" s="2442"/>
      <c r="K12" s="2442"/>
      <c r="L12" s="2442"/>
      <c r="M12" s="2442"/>
      <c r="N12" s="530"/>
    </row>
    <row r="13" spans="2:18" ht="74.25" customHeight="1">
      <c r="C13" s="529"/>
      <c r="D13" s="2388" t="s">
        <v>1997</v>
      </c>
      <c r="E13" s="2442"/>
      <c r="F13" s="2442"/>
      <c r="G13" s="2442"/>
      <c r="H13" s="2442"/>
      <c r="I13" s="2442"/>
      <c r="J13" s="2442"/>
      <c r="K13" s="2442"/>
      <c r="L13" s="2442"/>
      <c r="M13" s="2442"/>
      <c r="N13" s="530"/>
    </row>
    <row r="14" spans="2:18" hidden="1">
      <c r="C14" s="529"/>
      <c r="N14" s="530"/>
    </row>
    <row r="15" spans="2:18" ht="39.75" customHeight="1">
      <c r="C15" s="529"/>
      <c r="D15" s="2388" t="s">
        <v>2520</v>
      </c>
      <c r="E15" s="2442"/>
      <c r="F15" s="2442"/>
      <c r="G15" s="2442"/>
      <c r="H15" s="2442"/>
      <c r="I15" s="2442"/>
      <c r="J15" s="2442"/>
      <c r="K15" s="2442"/>
      <c r="L15" s="2442"/>
      <c r="M15" s="2442"/>
      <c r="N15" s="530"/>
    </row>
    <row r="16" spans="2:18" hidden="1">
      <c r="C16" s="529"/>
      <c r="N16" s="530"/>
    </row>
    <row r="17" spans="3:14" hidden="1">
      <c r="C17" s="529"/>
      <c r="N17" s="530"/>
    </row>
    <row r="18" spans="3:14" ht="21" customHeight="1">
      <c r="C18" s="529"/>
      <c r="D18" s="2441" t="s">
        <v>1998</v>
      </c>
      <c r="E18" s="2441"/>
      <c r="F18" s="2441"/>
      <c r="G18" s="2441"/>
      <c r="H18" s="2441"/>
      <c r="I18" s="2441"/>
      <c r="J18" s="2441"/>
      <c r="K18" s="2441"/>
      <c r="L18" s="2441"/>
      <c r="M18" s="2441"/>
      <c r="N18" s="530"/>
    </row>
    <row r="19" spans="3:14">
      <c r="C19" s="529"/>
      <c r="N19" s="530"/>
    </row>
    <row r="20" spans="3:14" ht="73.5" customHeight="1">
      <c r="C20" s="529"/>
      <c r="D20" s="2380" t="s">
        <v>1999</v>
      </c>
      <c r="E20" s="2391"/>
      <c r="F20" s="2391"/>
      <c r="G20" s="2391"/>
      <c r="H20" s="2391"/>
      <c r="I20" s="2391"/>
      <c r="J20" s="2391"/>
      <c r="K20" s="2391"/>
      <c r="L20" s="2391"/>
      <c r="M20" s="2391"/>
      <c r="N20" s="530"/>
    </row>
    <row r="21" spans="3:14">
      <c r="C21" s="2434"/>
      <c r="D21" s="2435"/>
      <c r="E21" s="2435"/>
      <c r="F21" s="2435"/>
      <c r="G21" s="2435"/>
      <c r="H21" s="2435"/>
      <c r="I21" s="2435"/>
      <c r="J21" s="2435"/>
      <c r="K21" s="2435"/>
      <c r="L21" s="2435"/>
      <c r="M21" s="2435"/>
      <c r="N21" s="2436"/>
    </row>
    <row r="22" spans="3:14" ht="38.450000000000003" customHeight="1">
      <c r="C22" s="529"/>
      <c r="D22" s="532"/>
      <c r="E22" s="2388" t="s">
        <v>2521</v>
      </c>
      <c r="F22" s="2388"/>
      <c r="G22" s="2388"/>
      <c r="H22" s="2388"/>
      <c r="I22" s="2388"/>
      <c r="J22" s="2388"/>
      <c r="K22" s="2388"/>
      <c r="L22" s="2388"/>
      <c r="M22" s="2388"/>
      <c r="N22" s="530"/>
    </row>
    <row r="23" spans="3:14" ht="13.5" thickBot="1">
      <c r="C23" s="2437"/>
      <c r="D23" s="2438"/>
      <c r="E23" s="2438"/>
      <c r="F23" s="2438"/>
      <c r="G23" s="2438"/>
      <c r="H23" s="2438"/>
      <c r="I23" s="2438"/>
      <c r="J23" s="2438"/>
      <c r="K23" s="2438"/>
      <c r="L23" s="2438"/>
      <c r="M23" s="2438"/>
      <c r="N23" s="2439"/>
    </row>
    <row r="24" spans="3:14"/>
  </sheetData>
  <sheetProtection algorithmName="SHA-512" hashValue="Jm31mfx9Jug4GLGKbwItCW89PCK34UnUaJnxSLC9hkwGbDhv/avy3SILCCqCE7qbkl6PCOqPropdhnCXHwz7kA==" saltValue="0Ep3hIT2mnUlEdCg46TNxA==" spinCount="100000" sheet="1" formatCells="0" formatColumns="0" formatRows="0" insertHyperlinks="0"/>
  <mergeCells count="26">
    <mergeCell ref="M4:N4"/>
    <mergeCell ref="M2:N2"/>
    <mergeCell ref="E3:F3"/>
    <mergeCell ref="G3:H3"/>
    <mergeCell ref="I3:J3"/>
    <mergeCell ref="K3:L3"/>
    <mergeCell ref="M3:N3"/>
    <mergeCell ref="B2:D4"/>
    <mergeCell ref="E2:F2"/>
    <mergeCell ref="G2:H2"/>
    <mergeCell ref="I2:J2"/>
    <mergeCell ref="K2:L2"/>
    <mergeCell ref="E4:F4"/>
    <mergeCell ref="G4:H4"/>
    <mergeCell ref="I4:J4"/>
    <mergeCell ref="K4:L4"/>
    <mergeCell ref="C21:N21"/>
    <mergeCell ref="C23:N23"/>
    <mergeCell ref="D20:M20"/>
    <mergeCell ref="E22:M22"/>
    <mergeCell ref="D7:M7"/>
    <mergeCell ref="D10:M10"/>
    <mergeCell ref="D12:M12"/>
    <mergeCell ref="D13:M13"/>
    <mergeCell ref="D15:M15"/>
    <mergeCell ref="D18:M18"/>
  </mergeCells>
  <conditionalFormatting sqref="G3:H3">
    <cfRule type="expression" dxfId="841" priority="8" stopIfTrue="1">
      <formula>$G$443</formula>
    </cfRule>
  </conditionalFormatting>
  <conditionalFormatting sqref="G4:H4">
    <cfRule type="expression" dxfId="840" priority="4" stopIfTrue="1">
      <formula>$G$447</formula>
    </cfRule>
  </conditionalFormatting>
  <conditionalFormatting sqref="I3:J3">
    <cfRule type="expression" dxfId="839" priority="7" stopIfTrue="1">
      <formula>$G$444</formula>
    </cfRule>
  </conditionalFormatting>
  <conditionalFormatting sqref="I4:J4">
    <cfRule type="expression" dxfId="838" priority="3" stopIfTrue="1">
      <formula>$G$448</formula>
    </cfRule>
  </conditionalFormatting>
  <conditionalFormatting sqref="K3:L3">
    <cfRule type="expression" dxfId="837" priority="6" stopIfTrue="1">
      <formula>$G$445</formula>
    </cfRule>
  </conditionalFormatting>
  <conditionalFormatting sqref="K4:L4">
    <cfRule type="expression" dxfId="836" priority="9" stopIfTrue="1">
      <formula>$G$442</formula>
    </cfRule>
  </conditionalFormatting>
  <conditionalFormatting sqref="M3:N3">
    <cfRule type="expression" dxfId="835" priority="5" stopIfTrue="1">
      <formula>$G$446</formula>
    </cfRule>
  </conditionalFormatting>
  <conditionalFormatting sqref="M4:N4">
    <cfRule type="expression" dxfId="834" priority="2" stopIfTrue="1">
      <formula>$G$449</formula>
    </cfRule>
  </conditionalFormatting>
  <hyperlinks>
    <hyperlink ref="K2:L2" location="c_ALR2025!B5" display="Next sheet" xr:uid="{5EB383A8-56C1-473E-985A-AE01C41E5BB8}"/>
    <hyperlink ref="M2:N2" location="K_Summary!B5" display="Summary" xr:uid="{3A521E20-24EA-4D1D-B9B6-9A968D8F23E6}"/>
    <hyperlink ref="I2:J2" location="'b_Guidelines &amp; conditions'!B5" display="Previous sheet" xr:uid="{5A2B8A93-E78E-4777-BD26-F4C0620CCB30}"/>
    <hyperlink ref="G2:H2" location="a_Contents!B5" display="Table of contents" xr:uid="{CBCF1E1D-85BA-4522-8B70-DA99C6317198}"/>
    <hyperlink ref="E3:F3" location="'Confidentiality Statement'!B5" display="Top of sheet" xr:uid="{66142737-FDF7-43B6-A7CC-F915A8A1341D}"/>
    <hyperlink ref="E4:F4" location="'Confidentiality Statement'!B24" display="End of sheet" xr:uid="{A5E9E6C7-A499-4170-87FB-6A12616DBB6F}"/>
  </hyperlinks>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ECFF4-EB1D-404F-8DE9-7F332E012C4E}">
  <sheetPr codeName="Sheet2"/>
  <dimension ref="A1:P7076"/>
  <sheetViews>
    <sheetView showGridLines="0" tabSelected="1" topLeftCell="B1" zoomScaleNormal="100" workbookViewId="0">
      <pane ySplit="4" topLeftCell="A29" activePane="bottomLeft" state="frozen"/>
      <selection activeCell="B2" sqref="B2"/>
      <selection pane="bottomLeft" activeCell="F37" sqref="F37:N37"/>
    </sheetView>
  </sheetViews>
  <sheetFormatPr defaultColWidth="0" defaultRowHeight="12.75" zeroHeight="1"/>
  <cols>
    <col min="1" max="1" width="4.7109375" style="531" hidden="1" customWidth="1"/>
    <col min="2" max="2" width="2.7109375" customWidth="1"/>
    <col min="3" max="3" width="5.7109375" customWidth="1"/>
    <col min="4" max="4" width="4.7109375" customWidth="1"/>
    <col min="5" max="5" width="30.7109375" customWidth="1"/>
    <col min="6" max="14" width="13.7109375" customWidth="1"/>
    <col min="15" max="15" width="4.7109375" style="533" customWidth="1"/>
    <col min="16" max="16" width="25.7109375" hidden="1" customWidth="1"/>
  </cols>
  <sheetData>
    <row r="1" spans="1:15" ht="12.75" hidden="1" customHeight="1" thickBot="1">
      <c r="E1" s="2435"/>
      <c r="F1" s="2435"/>
    </row>
    <row r="2" spans="1:15" ht="12.75" customHeight="1" thickBot="1">
      <c r="B2" s="2348" t="s">
        <v>2264</v>
      </c>
      <c r="C2" s="2443"/>
      <c r="D2" s="2444"/>
      <c r="E2" s="2357" t="s">
        <v>572</v>
      </c>
      <c r="F2" s="2358"/>
      <c r="G2" s="2360" t="s">
        <v>573</v>
      </c>
      <c r="H2" s="2451"/>
      <c r="I2" s="2451" t="s">
        <v>578</v>
      </c>
      <c r="J2" s="2451"/>
      <c r="K2" s="2451" t="s">
        <v>574</v>
      </c>
      <c r="L2" s="2451"/>
      <c r="M2" s="2451" t="s">
        <v>575</v>
      </c>
      <c r="N2" s="2451"/>
    </row>
    <row r="3" spans="1:15" ht="12.75" customHeight="1" thickBot="1">
      <c r="B3" s="2445"/>
      <c r="C3" s="2446"/>
      <c r="D3" s="2447"/>
      <c r="E3" s="2451" t="s">
        <v>576</v>
      </c>
      <c r="F3" s="2454"/>
      <c r="G3" s="2455" t="s">
        <v>301</v>
      </c>
      <c r="H3" s="2456"/>
      <c r="I3" s="2456" t="s">
        <v>219</v>
      </c>
      <c r="J3" s="2456"/>
      <c r="K3" s="2456" t="s">
        <v>220</v>
      </c>
      <c r="L3" s="2456"/>
      <c r="M3" s="2456" t="s">
        <v>221</v>
      </c>
      <c r="N3" s="2456"/>
    </row>
    <row r="4" spans="1:15" ht="12.75" customHeight="1" thickBot="1">
      <c r="B4" s="2448"/>
      <c r="C4" s="2449"/>
      <c r="D4" s="2450"/>
      <c r="E4" s="2451" t="s">
        <v>577</v>
      </c>
      <c r="F4" s="2451"/>
      <c r="G4" s="2452" t="s">
        <v>222</v>
      </c>
      <c r="H4" s="2453"/>
      <c r="I4" s="2453"/>
      <c r="J4" s="2453"/>
      <c r="K4" s="2789"/>
      <c r="L4" s="2790"/>
      <c r="M4" s="2790"/>
      <c r="N4" s="2790"/>
    </row>
    <row r="5" spans="1:15" ht="12.75" customHeight="1" thickBot="1">
      <c r="E5" s="2435"/>
      <c r="F5" s="2435"/>
    </row>
    <row r="6" spans="1:15" ht="5.25" customHeight="1">
      <c r="D6" s="534"/>
      <c r="E6" s="535"/>
      <c r="F6" s="535"/>
      <c r="G6" s="535"/>
      <c r="H6" s="535"/>
      <c r="I6" s="535"/>
      <c r="J6" s="535"/>
      <c r="K6" s="535"/>
      <c r="L6" s="535"/>
      <c r="M6" s="536"/>
      <c r="N6" s="537"/>
    </row>
    <row r="7" spans="1:15" ht="12.75" customHeight="1">
      <c r="D7" s="538"/>
      <c r="E7" s="2458" t="s">
        <v>2281</v>
      </c>
      <c r="F7" s="2458"/>
      <c r="G7" s="2458"/>
      <c r="H7" s="2458"/>
      <c r="I7" s="2458"/>
      <c r="J7" s="2458"/>
      <c r="K7" s="2458"/>
      <c r="L7" s="2458"/>
      <c r="M7" s="2458"/>
      <c r="N7" s="2459"/>
    </row>
    <row r="8" spans="1:15" ht="68.25" customHeight="1">
      <c r="D8" s="539"/>
      <c r="E8" s="540"/>
      <c r="F8" s="541"/>
      <c r="G8" s="541"/>
      <c r="H8" s="2460"/>
      <c r="I8" s="2460"/>
      <c r="J8" s="2460"/>
      <c r="K8" s="2460"/>
      <c r="L8" s="541"/>
      <c r="M8" s="541"/>
      <c r="N8" s="542"/>
    </row>
    <row r="9" spans="1:15" s="544" customFormat="1" ht="25.5" customHeight="1">
      <c r="A9" s="543"/>
      <c r="D9" s="545"/>
      <c r="E9" s="546" t="s">
        <v>2285</v>
      </c>
      <c r="F9" s="2457" t="s">
        <v>2282</v>
      </c>
      <c r="G9" s="2457"/>
      <c r="H9" s="2457"/>
      <c r="I9" s="2457"/>
      <c r="J9" s="2457"/>
      <c r="K9" s="2457"/>
      <c r="L9" s="2457"/>
      <c r="M9" s="2457"/>
      <c r="N9" s="547"/>
      <c r="O9" s="533"/>
    </row>
    <row r="10" spans="1:15" s="544" customFormat="1">
      <c r="A10" s="543"/>
      <c r="D10" s="548"/>
      <c r="E10" s="546" t="s">
        <v>2269</v>
      </c>
      <c r="F10" s="2457" t="s">
        <v>2270</v>
      </c>
      <c r="G10" s="2457"/>
      <c r="H10" s="2457"/>
      <c r="I10" s="2457"/>
      <c r="J10" s="2457"/>
      <c r="K10" s="2457"/>
      <c r="L10" s="2457"/>
      <c r="M10" s="2457"/>
      <c r="N10" s="547"/>
      <c r="O10" s="533"/>
    </row>
    <row r="11" spans="1:15" s="544" customFormat="1" ht="12.75" customHeight="1">
      <c r="A11" s="543"/>
      <c r="D11" s="548"/>
      <c r="E11" s="546" t="s">
        <v>2271</v>
      </c>
      <c r="F11" s="2457" t="s">
        <v>2272</v>
      </c>
      <c r="G11" s="2457"/>
      <c r="H11" s="2457"/>
      <c r="I11" s="2457"/>
      <c r="J11" s="2457"/>
      <c r="K11" s="2457"/>
      <c r="L11" s="2457"/>
      <c r="M11" s="2457"/>
      <c r="N11" s="547"/>
      <c r="O11" s="533"/>
    </row>
    <row r="12" spans="1:15" s="544" customFormat="1" ht="25.5" customHeight="1">
      <c r="A12" s="543"/>
      <c r="D12" s="545"/>
      <c r="E12" s="546"/>
      <c r="F12" s="2463" t="s">
        <v>2273</v>
      </c>
      <c r="G12" s="2463"/>
      <c r="H12" s="2463"/>
      <c r="I12" s="2463"/>
      <c r="J12" s="2463"/>
      <c r="K12" s="2463"/>
      <c r="L12" s="2463"/>
      <c r="M12" s="2463"/>
      <c r="N12" s="549"/>
      <c r="O12" s="533"/>
    </row>
    <row r="13" spans="1:15" s="544" customFormat="1" ht="12.75" customHeight="1">
      <c r="A13" s="543"/>
      <c r="D13" s="548"/>
      <c r="E13" s="546" t="s">
        <v>2274</v>
      </c>
      <c r="F13" s="2457" t="s">
        <v>2283</v>
      </c>
      <c r="G13" s="2457"/>
      <c r="H13" s="2457"/>
      <c r="I13" s="2457"/>
      <c r="J13" s="2457"/>
      <c r="K13" s="2457"/>
      <c r="L13" s="2457"/>
      <c r="M13" s="2457"/>
      <c r="N13" s="547"/>
      <c r="O13" s="533"/>
    </row>
    <row r="14" spans="1:15" s="544" customFormat="1" ht="12.75" customHeight="1">
      <c r="A14" s="543"/>
      <c r="D14" s="545"/>
      <c r="E14" s="546" t="s">
        <v>2275</v>
      </c>
      <c r="F14" s="2457" t="s">
        <v>2276</v>
      </c>
      <c r="G14" s="2457"/>
      <c r="H14" s="2457"/>
      <c r="I14" s="2457"/>
      <c r="J14" s="2457"/>
      <c r="K14" s="2457"/>
      <c r="L14" s="2457"/>
      <c r="M14" s="2457"/>
      <c r="N14" s="547"/>
      <c r="O14" s="533"/>
    </row>
    <row r="15" spans="1:15" s="544" customFormat="1" ht="12.75" customHeight="1">
      <c r="A15" s="543"/>
      <c r="D15" s="545"/>
      <c r="E15" s="546"/>
      <c r="F15" s="2457" t="s">
        <v>2277</v>
      </c>
      <c r="G15" s="2457"/>
      <c r="H15" s="2457"/>
      <c r="I15" s="2457"/>
      <c r="J15" s="2457"/>
      <c r="K15" s="2457"/>
      <c r="L15" s="2457"/>
      <c r="M15" s="2457"/>
      <c r="N15" s="547"/>
      <c r="O15" s="533"/>
    </row>
    <row r="16" spans="1:15" s="544" customFormat="1" ht="12.75" customHeight="1">
      <c r="A16" s="543"/>
      <c r="D16" s="545"/>
      <c r="E16" s="546" t="s">
        <v>2278</v>
      </c>
      <c r="F16" s="2457" t="s">
        <v>2279</v>
      </c>
      <c r="G16" s="2457"/>
      <c r="H16" s="2457"/>
      <c r="I16" s="2457"/>
      <c r="J16" s="2457"/>
      <c r="K16" s="2457"/>
      <c r="L16" s="2457"/>
      <c r="M16" s="2457"/>
      <c r="N16" s="547"/>
      <c r="O16" s="533"/>
    </row>
    <row r="17" spans="1:15" s="544" customFormat="1" ht="12.75" customHeight="1">
      <c r="A17" s="543"/>
      <c r="D17" s="548"/>
      <c r="E17" s="546"/>
      <c r="F17" s="2462" t="s">
        <v>2284</v>
      </c>
      <c r="G17" s="2462"/>
      <c r="H17" s="2462"/>
      <c r="I17" s="2462"/>
      <c r="J17" s="2462"/>
      <c r="K17" s="2462"/>
      <c r="L17" s="2462"/>
      <c r="M17" s="82"/>
      <c r="N17" s="83"/>
      <c r="O17" s="533"/>
    </row>
    <row r="18" spans="1:15" s="544" customFormat="1" ht="12.75" customHeight="1">
      <c r="A18" s="543"/>
      <c r="D18" s="548"/>
      <c r="E18" s="550"/>
      <c r="F18" s="2461" t="s">
        <v>2280</v>
      </c>
      <c r="G18" s="2461"/>
      <c r="H18" s="2461"/>
      <c r="I18" s="2461"/>
      <c r="J18" s="2461"/>
      <c r="K18" s="2461"/>
      <c r="L18" s="2461"/>
      <c r="M18" s="2461"/>
      <c r="N18" s="551"/>
      <c r="O18" s="533"/>
    </row>
    <row r="19" spans="1:15" ht="6" customHeight="1" thickBot="1">
      <c r="D19" s="552"/>
      <c r="E19" s="553"/>
      <c r="F19" s="553"/>
      <c r="G19" s="553"/>
      <c r="H19" s="553"/>
      <c r="I19" s="553"/>
      <c r="J19" s="553"/>
      <c r="K19" s="553"/>
      <c r="L19" s="553"/>
      <c r="M19" s="554"/>
      <c r="N19" s="555"/>
    </row>
    <row r="20" spans="1:15" ht="12.75" customHeight="1">
      <c r="E20" s="2435"/>
      <c r="F20" s="2435"/>
    </row>
    <row r="21" spans="1:15" s="556" customFormat="1" ht="23.25" customHeight="1">
      <c r="A21" s="543"/>
      <c r="C21" s="2655" t="s">
        <v>2166</v>
      </c>
      <c r="D21" s="2655"/>
      <c r="E21" s="2655"/>
      <c r="F21" s="2655"/>
      <c r="G21" s="2655"/>
      <c r="H21" s="2655"/>
      <c r="I21" s="2655"/>
      <c r="J21" s="2655"/>
      <c r="K21" s="2655"/>
      <c r="L21" s="2655"/>
      <c r="M21" s="2655"/>
      <c r="N21" s="2655"/>
      <c r="O21" s="557"/>
    </row>
    <row r="22" spans="1:15">
      <c r="E22" s="2435"/>
      <c r="F22" s="2435"/>
    </row>
    <row r="23" spans="1:15" ht="15.75">
      <c r="C23" s="507" t="s">
        <v>1018</v>
      </c>
      <c r="D23" s="558" t="s">
        <v>301</v>
      </c>
      <c r="E23" s="558"/>
      <c r="F23" s="558"/>
      <c r="G23" s="558"/>
      <c r="H23" s="558"/>
      <c r="I23" s="558"/>
      <c r="J23" s="558"/>
      <c r="K23" s="558"/>
      <c r="L23" s="558"/>
      <c r="M23" s="558"/>
      <c r="N23" s="558"/>
    </row>
    <row r="24" spans="1:15">
      <c r="C24" s="467"/>
      <c r="D24" s="467"/>
      <c r="E24" s="467"/>
      <c r="F24" s="467"/>
      <c r="G24" s="467"/>
      <c r="H24" s="467"/>
      <c r="I24" s="467"/>
      <c r="J24" s="467"/>
      <c r="K24" s="467"/>
      <c r="L24" s="467"/>
      <c r="M24" s="481"/>
      <c r="N24" s="481"/>
    </row>
    <row r="25" spans="1:15" ht="15">
      <c r="C25" s="559">
        <v>1</v>
      </c>
      <c r="D25" s="2482" t="s">
        <v>263</v>
      </c>
      <c r="E25" s="2400"/>
      <c r="F25" s="2400"/>
      <c r="G25" s="2400"/>
      <c r="H25" s="2400"/>
      <c r="I25" s="2400"/>
      <c r="J25" s="2400"/>
      <c r="K25" s="2400"/>
      <c r="L25" s="2400"/>
      <c r="M25" s="2400"/>
      <c r="N25" s="2400"/>
    </row>
    <row r="26" spans="1:15">
      <c r="C26" s="485"/>
      <c r="D26" s="485"/>
      <c r="E26" s="561"/>
      <c r="F26" s="561"/>
      <c r="G26" s="561"/>
      <c r="H26" s="561"/>
      <c r="I26" s="561"/>
      <c r="J26" s="561"/>
      <c r="K26" s="561"/>
      <c r="L26" s="561"/>
      <c r="M26" s="561"/>
      <c r="N26" s="485"/>
    </row>
    <row r="27" spans="1:15">
      <c r="C27" s="485"/>
      <c r="D27" s="485"/>
      <c r="E27" s="496" t="s">
        <v>1672</v>
      </c>
      <c r="F27" s="561"/>
      <c r="G27" s="561"/>
      <c r="H27" s="2540" t="str">
        <f>IFERROR(IF([1]K_Summary!$H$12 = "", "", [1]K_Summary!$H$12 ),"")</f>
        <v/>
      </c>
      <c r="I27" s="2540"/>
      <c r="J27" s="561"/>
      <c r="K27" s="561"/>
      <c r="L27" s="561"/>
      <c r="M27" s="561"/>
      <c r="N27" s="485"/>
    </row>
    <row r="28" spans="1:15">
      <c r="C28" s="485"/>
      <c r="D28" s="485"/>
      <c r="E28" s="496" t="s">
        <v>2084</v>
      </c>
      <c r="F28" s="561"/>
      <c r="G28" s="561"/>
      <c r="H28" s="2541" t="str">
        <f>IFERROR(IF([1]K_Summary!$H$13 = "", "", [1]K_Summary!$H$13),"")</f>
        <v/>
      </c>
      <c r="I28" s="2541"/>
      <c r="J28" s="561"/>
      <c r="K28" s="562"/>
      <c r="L28" s="563"/>
      <c r="M28" s="2394"/>
      <c r="N28" s="2394"/>
    </row>
    <row r="29" spans="1:15">
      <c r="C29" s="485"/>
      <c r="D29" s="485"/>
      <c r="E29" s="496" t="s">
        <v>846</v>
      </c>
      <c r="F29" s="561"/>
      <c r="G29" s="561"/>
      <c r="H29" s="2542" t="str">
        <f>IFERROR(IF([1]K_Summary!$H$14 = "", "", [1]K_Summary!$H$14 ),"")</f>
        <v/>
      </c>
      <c r="I29" s="2542"/>
      <c r="J29" s="2542"/>
      <c r="K29" s="2542"/>
      <c r="L29" s="2542"/>
      <c r="M29" s="561"/>
      <c r="N29" s="485"/>
    </row>
    <row r="30" spans="1:15">
      <c r="C30" s="485"/>
      <c r="D30" s="485"/>
      <c r="E30" s="496" t="s">
        <v>786</v>
      </c>
      <c r="F30" s="561"/>
      <c r="G30" s="561"/>
      <c r="H30" s="2542">
        <f>IFERROR(IF([1]K_Summary!$H$15 = "", "", [1]K_Summary!$H$15 ),"")</f>
        <v>0</v>
      </c>
      <c r="I30" s="2542"/>
      <c r="J30" s="2542"/>
      <c r="K30" s="2542"/>
      <c r="L30" s="2542"/>
      <c r="M30" s="561"/>
      <c r="N30" s="485"/>
    </row>
    <row r="31" spans="1:15">
      <c r="C31" s="485"/>
      <c r="D31" s="485"/>
      <c r="E31" s="496" t="s">
        <v>559</v>
      </c>
      <c r="F31" s="561"/>
      <c r="G31" s="561"/>
      <c r="H31" s="2543" t="str">
        <f>IFERROR(IF([1]K_Summary!$H$16 = "", "", [1]K_Summary!$H$16 ),"")</f>
        <v/>
      </c>
      <c r="I31" s="2544"/>
      <c r="J31" s="2544"/>
      <c r="K31" s="2544"/>
      <c r="L31" s="2545"/>
      <c r="M31" s="561"/>
      <c r="N31" s="485"/>
    </row>
    <row r="32" spans="1:15"/>
    <row r="33" spans="5:14">
      <c r="E33" s="496" t="s">
        <v>557</v>
      </c>
      <c r="F33" s="561"/>
      <c r="G33" s="561"/>
      <c r="H33" s="120" t="str">
        <f>IFERROR(IF([1]K_Summary!$H$18 = "", "", [1]K_Summary!$H$18 ),"")</f>
        <v/>
      </c>
      <c r="I33" s="561"/>
      <c r="J33" s="562"/>
      <c r="K33" s="561"/>
      <c r="L33" s="563" t="s">
        <v>561</v>
      </c>
      <c r="M33" s="119" t="str">
        <f>IFERROR(IF([1]K_Summary!$M$18 = "", "", [1]K_Summary!$M$18 ),"")</f>
        <v/>
      </c>
      <c r="N33" s="485"/>
    </row>
    <row r="34" spans="5:14">
      <c r="E34" s="496" t="s">
        <v>558</v>
      </c>
      <c r="F34" s="561"/>
      <c r="G34" s="561"/>
      <c r="H34" s="53" t="str">
        <f>IFERROR(IF([1]K_Summary!$H$19 = "", "", [1]K_Summary!$H$19 ),"")</f>
        <v/>
      </c>
      <c r="I34" s="561"/>
      <c r="J34" s="561"/>
      <c r="K34" s="562"/>
      <c r="L34" s="563" t="s">
        <v>560</v>
      </c>
      <c r="M34" s="121" t="str">
        <f>IFERROR(IF([1]K_Summary!$M$19 = "", "", [1]K_Summary!$M$19 ),"")</f>
        <v/>
      </c>
      <c r="N34" s="485"/>
    </row>
    <row r="35" spans="5:14">
      <c r="E35" s="562"/>
      <c r="F35" s="562"/>
      <c r="G35" s="562"/>
      <c r="H35" s="562"/>
      <c r="I35" s="561"/>
      <c r="J35" s="561"/>
      <c r="K35" s="561"/>
      <c r="L35" s="561"/>
      <c r="M35" s="561"/>
      <c r="N35" s="485"/>
    </row>
    <row r="36" spans="5:14">
      <c r="E36" s="496" t="s">
        <v>2689</v>
      </c>
      <c r="F36" s="485"/>
      <c r="G36" s="485"/>
      <c r="H36" s="479"/>
      <c r="I36" s="479"/>
      <c r="J36" s="479"/>
      <c r="K36" s="479"/>
      <c r="L36" s="485"/>
      <c r="M36" s="568"/>
      <c r="N36" s="568"/>
    </row>
    <row r="37" spans="5:14">
      <c r="E37" s="569" t="s">
        <v>1378</v>
      </c>
      <c r="F37" s="2536" t="str">
        <f>IFERROR(IF([1]K_Summary!$F$22 = "", "", [1]K_Summary!$F$22 ),"")</f>
        <v/>
      </c>
      <c r="G37" s="2487"/>
      <c r="H37" s="2487"/>
      <c r="I37" s="2487"/>
      <c r="J37" s="2487"/>
      <c r="K37" s="2487"/>
      <c r="L37" s="2487"/>
      <c r="M37" s="2487"/>
      <c r="N37" s="2537"/>
    </row>
    <row r="38" spans="5:14">
      <c r="E38" s="569" t="s">
        <v>1379</v>
      </c>
      <c r="F38" s="2536" t="str">
        <f>IFERROR(IF([1]K_Summary!$F$23 = "", "", [1]K_Summary!$F$23 ),"")</f>
        <v/>
      </c>
      <c r="G38" s="2487"/>
      <c r="H38" s="2487"/>
      <c r="I38" s="2487"/>
      <c r="J38" s="2487"/>
      <c r="K38" s="2487"/>
      <c r="L38" s="2487"/>
      <c r="M38" s="2487"/>
      <c r="N38" s="2537"/>
    </row>
    <row r="39" spans="5:14">
      <c r="E39" s="569" t="s">
        <v>1380</v>
      </c>
      <c r="F39" s="2536" t="str">
        <f>IFERROR(IF([1]K_Summary!$F$24 = "", "", [1]K_Summary!$F$24 ),"")</f>
        <v/>
      </c>
      <c r="G39" s="2487"/>
      <c r="H39" s="2487"/>
      <c r="I39" s="2487"/>
      <c r="J39" s="2487"/>
      <c r="K39" s="2487"/>
      <c r="L39" s="2487"/>
      <c r="M39" s="2487"/>
      <c r="N39" s="2537"/>
    </row>
    <row r="40" spans="5:14">
      <c r="E40" s="569" t="s">
        <v>1381</v>
      </c>
      <c r="F40" s="2536" t="str">
        <f>IFERROR(IF([1]K_Summary!$F$25 = "", "", [1]K_Summary!$F$25 ),"")</f>
        <v/>
      </c>
      <c r="G40" s="2487"/>
      <c r="H40" s="2487"/>
      <c r="I40" s="2487"/>
      <c r="J40" s="2487"/>
      <c r="K40" s="2487"/>
      <c r="L40" s="2487"/>
      <c r="M40" s="2487"/>
      <c r="N40" s="2537"/>
    </row>
    <row r="41" spans="5:14">
      <c r="E41" s="569" t="s">
        <v>1382</v>
      </c>
      <c r="F41" s="2536" t="str">
        <f>IFERROR(IF([1]K_Summary!$F$26 = "", "", [1]K_Summary!$F$26 ),"")</f>
        <v/>
      </c>
      <c r="G41" s="2487"/>
      <c r="H41" s="2487"/>
      <c r="I41" s="2487"/>
      <c r="J41" s="2487"/>
      <c r="K41" s="2487"/>
      <c r="L41" s="2487"/>
      <c r="M41" s="2487"/>
      <c r="N41" s="2537"/>
    </row>
    <row r="42" spans="5:14">
      <c r="E42" s="569" t="s">
        <v>1383</v>
      </c>
      <c r="F42" s="2536" t="str">
        <f>IFERROR(IF([1]K_Summary!$F$27 = "", "", [1]K_Summary!$F$27 ),"")</f>
        <v/>
      </c>
      <c r="G42" s="2487"/>
      <c r="H42" s="2487"/>
      <c r="I42" s="2487"/>
      <c r="J42" s="2487"/>
      <c r="K42" s="2487"/>
      <c r="L42" s="2487"/>
      <c r="M42" s="2487"/>
      <c r="N42" s="2537"/>
    </row>
    <row r="43" spans="5:14">
      <c r="E43" s="561"/>
      <c r="F43" s="561"/>
      <c r="G43" s="561"/>
      <c r="H43" s="561"/>
      <c r="I43" s="561"/>
      <c r="J43" s="561"/>
      <c r="K43" s="561"/>
      <c r="L43" s="561"/>
      <c r="M43" s="561"/>
      <c r="N43" s="485"/>
    </row>
    <row r="44" spans="5:14">
      <c r="E44" s="570" t="s">
        <v>2128</v>
      </c>
      <c r="F44" s="562"/>
      <c r="G44" s="562"/>
      <c r="H44" s="562"/>
      <c r="I44" s="561" t="s">
        <v>1810</v>
      </c>
      <c r="J44" s="120" t="b">
        <f>IFERROR(IF([1]K_Summary!$J$29 = "", "", [1]K_Summary!$J$29 ),"")</f>
        <v>0</v>
      </c>
      <c r="K44" s="562"/>
      <c r="L44" s="561" t="s">
        <v>1814</v>
      </c>
      <c r="M44" s="120" t="b">
        <f>IFERROR(IF([1]K_Summary!$M$29 = "", "", [1]K_Summary!$M$29 ),"")</f>
        <v>0</v>
      </c>
      <c r="N44" s="562"/>
    </row>
    <row r="45" spans="5:14">
      <c r="E45" s="561"/>
      <c r="F45" s="562"/>
      <c r="G45" s="562"/>
      <c r="H45" s="562"/>
      <c r="I45" s="561" t="s">
        <v>1811</v>
      </c>
      <c r="J45" s="120" t="b">
        <f>IFERROR(IF([1]K_Summary!$J$30 = "", "", [1]K_Summary!$J$30 ),"")</f>
        <v>0</v>
      </c>
      <c r="K45" s="562"/>
      <c r="L45" s="561" t="s">
        <v>1815</v>
      </c>
      <c r="M45" s="120" t="b">
        <f>IFERROR(IF([1]K_Summary!$M$30 = "", "", [1]K_Summary!$M$30 ),"")</f>
        <v>0</v>
      </c>
      <c r="N45" s="562"/>
    </row>
    <row r="46" spans="5:14">
      <c r="E46" s="561"/>
      <c r="F46" s="562"/>
      <c r="G46" s="562"/>
      <c r="H46" s="562"/>
      <c r="I46" s="561" t="s">
        <v>1812</v>
      </c>
      <c r="J46" s="120" t="b">
        <f>IFERROR(IF([1]K_Summary!$J$31 = "", "", [1]K_Summary!$J$31 ),"")</f>
        <v>0</v>
      </c>
      <c r="K46" s="562"/>
      <c r="L46" s="561" t="s">
        <v>1816</v>
      </c>
      <c r="M46" s="120" t="b">
        <f>IFERROR(IF([1]K_Summary!$M$31 = "", "", [1]K_Summary!$M$31 ),"")</f>
        <v>0</v>
      </c>
      <c r="N46" s="485"/>
    </row>
    <row r="47" spans="5:14">
      <c r="E47" s="561"/>
      <c r="F47" s="561"/>
      <c r="G47" s="562"/>
      <c r="H47" s="562"/>
      <c r="I47" s="561" t="s">
        <v>1813</v>
      </c>
      <c r="J47" s="120" t="b">
        <f>IFERROR(IF([1]K_Summary!$J$32 = "", "", [1]K_Summary!$J$32 ),"")</f>
        <v>0</v>
      </c>
      <c r="K47" s="562"/>
      <c r="L47" s="562"/>
      <c r="M47" s="561"/>
      <c r="N47" s="485"/>
    </row>
    <row r="48" spans="5:14"/>
    <row r="49" spans="3:14" ht="15">
      <c r="C49" s="559">
        <v>2</v>
      </c>
      <c r="D49" s="2482" t="s">
        <v>1952</v>
      </c>
      <c r="E49" s="2400"/>
      <c r="F49" s="2400"/>
      <c r="G49" s="2400"/>
      <c r="H49" s="2400"/>
      <c r="I49" s="2400"/>
      <c r="J49" s="2400"/>
      <c r="K49" s="2400"/>
      <c r="L49" s="2400"/>
      <c r="M49" s="2400"/>
      <c r="N49" s="2400"/>
    </row>
    <row r="50" spans="3:14" ht="13.15" customHeight="1">
      <c r="C50" s="485"/>
      <c r="D50" s="485"/>
      <c r="E50" s="2531" t="s">
        <v>772</v>
      </c>
      <c r="F50" s="2532"/>
      <c r="G50" s="2532"/>
      <c r="H50" s="2605"/>
      <c r="I50" s="2531" t="s">
        <v>2085</v>
      </c>
      <c r="J50" s="2531"/>
      <c r="K50" s="2531"/>
      <c r="L50" s="2531" t="s">
        <v>773</v>
      </c>
      <c r="M50" s="2532"/>
      <c r="N50" s="2532"/>
    </row>
    <row r="51" spans="3:14">
      <c r="C51" s="485"/>
      <c r="D51" s="485">
        <v>1</v>
      </c>
      <c r="E51" s="2533" t="str">
        <f>IFERROR(IF([1]K_Summary!$E$36 = "", "", [1]K_Summary!$E$36 ),"")</f>
        <v/>
      </c>
      <c r="F51" s="2534"/>
      <c r="G51" s="2534"/>
      <c r="H51" s="2535"/>
      <c r="I51" s="2536" t="str">
        <f>IFERROR(IF([1]K_Summary!$I$36 = "", "", [1]K_Summary!$I$36 ),"")</f>
        <v/>
      </c>
      <c r="J51" s="2487"/>
      <c r="K51" s="2537"/>
      <c r="L51" s="2533" t="str">
        <f>IFERROR(IF([1]K_Summary!$L$36 = "", "", [1]K_Summary!$L$36 ),"")</f>
        <v/>
      </c>
      <c r="M51" s="2538"/>
      <c r="N51" s="2539"/>
    </row>
    <row r="52" spans="3:14">
      <c r="C52" s="485"/>
      <c r="D52" s="485">
        <v>2</v>
      </c>
      <c r="E52" s="2533" t="str">
        <f>IFERROR(IF([1]K_Summary!$E$37 = "", "", [1]K_Summary!$E$37 ),"")</f>
        <v/>
      </c>
      <c r="F52" s="2534"/>
      <c r="G52" s="2534"/>
      <c r="H52" s="2535"/>
      <c r="I52" s="2536" t="str">
        <f>IFERROR(IF([1]K_Summary!$I$37 = "", "", [1]K_Summary!$I$37 ),"")</f>
        <v/>
      </c>
      <c r="J52" s="2487"/>
      <c r="K52" s="2537"/>
      <c r="L52" s="2533" t="str">
        <f>IFERROR(IF([1]K_Summary!$L$37 = "", "", [1]K_Summary!$L$37 ),"")</f>
        <v/>
      </c>
      <c r="M52" s="2538"/>
      <c r="N52" s="2539"/>
    </row>
    <row r="53" spans="3:14">
      <c r="C53" s="485"/>
      <c r="D53" s="485">
        <v>3</v>
      </c>
      <c r="E53" s="2533" t="str">
        <f>IFERROR(IF([1]K_Summary!$E$38 = "", "", [1]K_Summary!$E$38 ),"")</f>
        <v/>
      </c>
      <c r="F53" s="2534"/>
      <c r="G53" s="2534"/>
      <c r="H53" s="2535"/>
      <c r="I53" s="2536" t="str">
        <f>IFERROR(IF([1]K_Summary!$I$38 = "", "", [1]K_Summary!$I$38 ),"")</f>
        <v/>
      </c>
      <c r="J53" s="2487"/>
      <c r="K53" s="2537"/>
      <c r="L53" s="2533" t="str">
        <f>IFERROR(IF([1]K_Summary!$L$38 = "", "", [1]K_Summary!$L$38 ),"")</f>
        <v/>
      </c>
      <c r="M53" s="2538"/>
      <c r="N53" s="2539"/>
    </row>
    <row r="54" spans="3:14">
      <c r="C54" s="485"/>
      <c r="D54" s="485">
        <v>4</v>
      </c>
      <c r="E54" s="2533" t="str">
        <f>IFERROR(IF([1]K_Summary!$E$39 = "", "", [1]K_Summary!$E$39 ),"")</f>
        <v/>
      </c>
      <c r="F54" s="2534"/>
      <c r="G54" s="2534"/>
      <c r="H54" s="2535"/>
      <c r="I54" s="2536" t="str">
        <f>IFERROR(IF([1]K_Summary!$I$39 = "", "", [1]K_Summary!$I$39 ),"")</f>
        <v/>
      </c>
      <c r="J54" s="2487"/>
      <c r="K54" s="2537"/>
      <c r="L54" s="2533" t="str">
        <f>IFERROR(IF([1]K_Summary!$L$39 = "", "", [1]K_Summary!$L$39 ),"")</f>
        <v/>
      </c>
      <c r="M54" s="2538"/>
      <c r="N54" s="2539"/>
    </row>
    <row r="55" spans="3:14">
      <c r="C55" s="485"/>
      <c r="D55" s="485">
        <v>5</v>
      </c>
      <c r="E55" s="2533" t="str">
        <f>IFERROR(IF([1]K_Summary!$E$40 = "", "", [1]K_Summary!$E$40 ),"")</f>
        <v/>
      </c>
      <c r="F55" s="2534"/>
      <c r="G55" s="2534"/>
      <c r="H55" s="2535"/>
      <c r="I55" s="2536" t="str">
        <f>IFERROR(IF([1]K_Summary!$I$40 = "", "", [1]K_Summary!$I$40 ),"")</f>
        <v/>
      </c>
      <c r="J55" s="2487"/>
      <c r="K55" s="2537"/>
      <c r="L55" s="2533" t="str">
        <f>IFERROR(IF([1]K_Summary!$L$40 = "", "", [1]K_Summary!$L$40 ),"")</f>
        <v/>
      </c>
      <c r="M55" s="2538"/>
      <c r="N55" s="2539"/>
    </row>
    <row r="56" spans="3:14">
      <c r="C56" s="485"/>
      <c r="D56" s="485">
        <v>6</v>
      </c>
      <c r="E56" s="2533" t="str">
        <f>IFERROR(IF([1]K_Summary!$E$41 = "", "", [1]K_Summary!$E$41 ),"")</f>
        <v/>
      </c>
      <c r="F56" s="2534"/>
      <c r="G56" s="2534"/>
      <c r="H56" s="2535"/>
      <c r="I56" s="2536" t="str">
        <f>IFERROR(IF([1]K_Summary!$I$41 = "", "", [1]K_Summary!$I$41 ),"")</f>
        <v/>
      </c>
      <c r="J56" s="2487"/>
      <c r="K56" s="2537"/>
      <c r="L56" s="2533" t="str">
        <f>IFERROR(IF([1]K_Summary!$L$41 = "", "", [1]K_Summary!$L$41 ),"")</f>
        <v/>
      </c>
      <c r="M56" s="2538"/>
      <c r="N56" s="2539"/>
    </row>
    <row r="57" spans="3:14">
      <c r="C57" s="485"/>
      <c r="D57" s="485">
        <v>7</v>
      </c>
      <c r="E57" s="2533" t="str">
        <f>IFERROR(IF([1]K_Summary!$E$42 = "", "", [1]K_Summary!$E$42 ),"")</f>
        <v/>
      </c>
      <c r="F57" s="2534"/>
      <c r="G57" s="2534"/>
      <c r="H57" s="2535"/>
      <c r="I57" s="2536" t="str">
        <f>IFERROR(IF([1]K_Summary!$I$42 = "", "", [1]K_Summary!$I$42 ),"")</f>
        <v/>
      </c>
      <c r="J57" s="2487"/>
      <c r="K57" s="2537"/>
      <c r="L57" s="2533" t="str">
        <f>IFERROR(IF([1]K_Summary!$L$42 = "", "", [1]K_Summary!$L$42 ),"")</f>
        <v/>
      </c>
      <c r="M57" s="2538"/>
      <c r="N57" s="2539"/>
    </row>
    <row r="58" spans="3:14">
      <c r="C58" s="485"/>
      <c r="D58" s="485">
        <v>8</v>
      </c>
      <c r="E58" s="2533" t="str">
        <f>IFERROR(IF([1]K_Summary!$E$43 = "", "", [1]K_Summary!$E$43 ),"")</f>
        <v/>
      </c>
      <c r="F58" s="2534"/>
      <c r="G58" s="2534"/>
      <c r="H58" s="2535"/>
      <c r="I58" s="2536" t="str">
        <f>IFERROR(IF([1]K_Summary!$I$43 = "", "", [1]K_Summary!$I$43 ),"")</f>
        <v/>
      </c>
      <c r="J58" s="2487"/>
      <c r="K58" s="2537"/>
      <c r="L58" s="2533" t="str">
        <f>IFERROR(IF([1]K_Summary!$L$43 = "", "", [1]K_Summary!$L$43 ),"")</f>
        <v/>
      </c>
      <c r="M58" s="2538"/>
      <c r="N58" s="2539"/>
    </row>
    <row r="59" spans="3:14">
      <c r="C59" s="485"/>
      <c r="D59" s="485">
        <v>9</v>
      </c>
      <c r="E59" s="2533" t="str">
        <f>IFERROR(IF([1]K_Summary!$E$44 = "", "", [1]K_Summary!$E$44 ),"")</f>
        <v/>
      </c>
      <c r="F59" s="2534"/>
      <c r="G59" s="2534"/>
      <c r="H59" s="2535"/>
      <c r="I59" s="2536" t="str">
        <f>IFERROR(IF([1]K_Summary!$I$44 = "", "", [1]K_Summary!$I$44 ),"")</f>
        <v/>
      </c>
      <c r="J59" s="2487"/>
      <c r="K59" s="2537"/>
      <c r="L59" s="2533" t="str">
        <f>IFERROR(IF([1]K_Summary!$L$44 = "", "", [1]K_Summary!$L$44 ),"")</f>
        <v/>
      </c>
      <c r="M59" s="2538"/>
      <c r="N59" s="2539"/>
    </row>
    <row r="60" spans="3:14">
      <c r="C60" s="485"/>
      <c r="D60" s="485">
        <v>10</v>
      </c>
      <c r="E60" s="2533" t="str">
        <f>IFERROR(IF([1]K_Summary!$E$45 = "", "", [1]K_Summary!$E$45 ),"")</f>
        <v/>
      </c>
      <c r="F60" s="2534"/>
      <c r="G60" s="2534"/>
      <c r="H60" s="2535"/>
      <c r="I60" s="2536" t="str">
        <f>IFERROR(IF([1]K_Summary!$I$45 = "", "", [1]K_Summary!$I$45 ),"")</f>
        <v/>
      </c>
      <c r="J60" s="2487"/>
      <c r="K60" s="2537"/>
      <c r="L60" s="2533" t="str">
        <f>IFERROR(IF([1]K_Summary!$L$45 = "", "", [1]K_Summary!$L$45 ),"")</f>
        <v/>
      </c>
      <c r="M60" s="2538"/>
      <c r="N60" s="2539"/>
    </row>
    <row r="61" spans="3:14">
      <c r="C61" s="485"/>
      <c r="D61" s="485"/>
      <c r="E61" s="485"/>
      <c r="F61" s="485"/>
      <c r="G61" s="485"/>
      <c r="H61" s="485"/>
      <c r="I61" s="485"/>
      <c r="J61" s="485"/>
      <c r="K61" s="485"/>
      <c r="L61" s="485"/>
      <c r="M61" s="485"/>
      <c r="N61" s="485"/>
    </row>
    <row r="62" spans="3:14" ht="15.75">
      <c r="C62" s="507" t="s">
        <v>875</v>
      </c>
      <c r="D62" s="558" t="s">
        <v>591</v>
      </c>
      <c r="E62" s="558"/>
      <c r="F62" s="558"/>
      <c r="G62" s="558"/>
      <c r="H62" s="558"/>
      <c r="I62" s="558"/>
      <c r="J62" s="558"/>
      <c r="K62" s="558"/>
      <c r="L62" s="558"/>
      <c r="M62" s="558"/>
      <c r="N62" s="558"/>
    </row>
    <row r="63" spans="3:14"/>
    <row r="64" spans="3:14" ht="15">
      <c r="C64" s="559">
        <v>1</v>
      </c>
      <c r="D64" s="2464" t="s">
        <v>2179</v>
      </c>
      <c r="E64" s="2464"/>
      <c r="F64" s="2464"/>
      <c r="G64" s="2464"/>
      <c r="H64" s="2464"/>
      <c r="I64" s="2464"/>
      <c r="J64" s="2464"/>
      <c r="K64" s="2464"/>
      <c r="L64" s="2464"/>
      <c r="M64" s="2464"/>
      <c r="N64" s="2464"/>
    </row>
    <row r="65" spans="3:14">
      <c r="C65" s="467"/>
      <c r="D65" s="467"/>
      <c r="E65" s="467"/>
      <c r="F65" s="467"/>
      <c r="G65" s="467"/>
      <c r="H65" s="467"/>
      <c r="I65" s="467"/>
      <c r="J65" s="467"/>
      <c r="K65" s="467"/>
      <c r="L65" s="467"/>
      <c r="M65" s="481"/>
      <c r="N65" s="481"/>
    </row>
    <row r="66" spans="3:14">
      <c r="C66" s="485"/>
      <c r="D66" s="485"/>
      <c r="E66" s="2401" t="s">
        <v>30</v>
      </c>
      <c r="F66" s="2401"/>
      <c r="G66" s="2401"/>
      <c r="H66" s="2583"/>
      <c r="I66" s="122" t="str">
        <f>IFERROR(IF([1]K_Summary!$I$51 = "", "", [1]K_Summary!$I$51 ),"")</f>
        <v/>
      </c>
      <c r="J66" s="485"/>
      <c r="K66" s="2584" t="s">
        <v>31</v>
      </c>
      <c r="L66" s="2585"/>
      <c r="M66" s="122" t="str">
        <f>IFERROR(IF([1]K_Summary!$M$51 = "", "", [1]K_Summary!$M$51 ),"")</f>
        <v/>
      </c>
      <c r="N66" s="485"/>
    </row>
    <row r="67" spans="3:14" ht="13.15" customHeight="1">
      <c r="C67" s="485"/>
      <c r="D67" s="485"/>
      <c r="E67" s="2401" t="s">
        <v>2129</v>
      </c>
      <c r="F67" s="2401"/>
      <c r="G67" s="2401"/>
      <c r="H67" s="2592"/>
      <c r="I67" s="123" t="str">
        <f>IFERROR(IF([1]K_Summary!$I$52 = "", "", [1]K_Summary!$I$52 ),"")</f>
        <v/>
      </c>
      <c r="J67" s="485"/>
      <c r="K67" s="2584" t="s">
        <v>2180</v>
      </c>
      <c r="L67" s="2585"/>
      <c r="M67" s="122" t="str">
        <f>IFERROR(IF([1]K_Summary!$M$52 = "", "", [1]K_Summary!$M$52 ),"")</f>
        <v/>
      </c>
      <c r="N67" s="485"/>
    </row>
    <row r="68" spans="3:14">
      <c r="C68" s="467"/>
      <c r="D68" s="467"/>
      <c r="E68" s="467"/>
      <c r="F68" s="467"/>
      <c r="G68" s="467"/>
      <c r="H68" s="467"/>
      <c r="I68" s="467"/>
      <c r="J68" s="467"/>
      <c r="K68" s="467"/>
      <c r="L68" s="467"/>
      <c r="M68" s="481"/>
      <c r="N68" s="481"/>
    </row>
    <row r="69" spans="3:14">
      <c r="C69" s="485"/>
      <c r="D69" s="485"/>
      <c r="E69" s="2533" t="str">
        <f>IFERROR(IF([1]K_Summary!$E$54 = "", "", [1]K_Summary!$E$54 ),"")</f>
        <v/>
      </c>
      <c r="F69" s="2534"/>
      <c r="G69" s="2534"/>
      <c r="H69" s="2534"/>
      <c r="I69" s="2534"/>
      <c r="J69" s="2534"/>
      <c r="K69" s="2534"/>
      <c r="L69" s="2534"/>
      <c r="M69" s="2535"/>
      <c r="N69" s="485"/>
    </row>
    <row r="70" spans="3:14">
      <c r="C70" s="485"/>
      <c r="D70" s="485"/>
      <c r="E70" s="2533" t="str">
        <f>IFERROR(IF([1]K_Summary!$E$55 = "", "", [1]K_Summary!$E$55 ),"")</f>
        <v/>
      </c>
      <c r="F70" s="2534"/>
      <c r="G70" s="2534"/>
      <c r="H70" s="2534"/>
      <c r="I70" s="2534"/>
      <c r="J70" s="2534"/>
      <c r="K70" s="2534"/>
      <c r="L70" s="2534"/>
      <c r="M70" s="2535"/>
      <c r="N70" s="485"/>
    </row>
    <row r="71" spans="3:14" ht="13.5" thickBot="1">
      <c r="C71" s="467"/>
      <c r="D71" s="467"/>
      <c r="E71" s="481"/>
      <c r="F71" s="481"/>
      <c r="G71" s="481"/>
      <c r="H71" s="481"/>
      <c r="I71" s="481"/>
      <c r="J71" s="481"/>
      <c r="K71" s="481"/>
      <c r="L71" s="481"/>
      <c r="M71" s="481"/>
      <c r="N71" s="481"/>
    </row>
    <row r="72" spans="3:14" ht="13.9" customHeight="1" thickBot="1">
      <c r="C72" s="485"/>
      <c r="D72" s="485"/>
      <c r="E72" s="2508" t="s">
        <v>2086</v>
      </c>
      <c r="F72" s="2508"/>
      <c r="G72" s="2508"/>
      <c r="H72" s="2508"/>
      <c r="I72" s="2508"/>
      <c r="J72" s="2508"/>
      <c r="K72" s="2508"/>
      <c r="L72" s="2593"/>
      <c r="M72" s="124" t="b">
        <f>IFERROR(IF([1]K_Summary!$M$57 = "", "", [1]K_Summary!$M$57 ),"")</f>
        <v>0</v>
      </c>
      <c r="N72" s="485"/>
    </row>
    <row r="73" spans="3:14">
      <c r="C73" s="485"/>
      <c r="D73" s="485"/>
      <c r="E73" s="485"/>
      <c r="F73" s="485"/>
      <c r="G73" s="485"/>
      <c r="H73" s="485"/>
      <c r="I73" s="485"/>
      <c r="J73" s="485"/>
      <c r="K73" s="485"/>
      <c r="L73" s="485"/>
      <c r="M73" s="485"/>
      <c r="N73" s="485"/>
    </row>
    <row r="74" spans="3:14" ht="15.75">
      <c r="C74" s="507" t="s">
        <v>883</v>
      </c>
      <c r="D74" s="558" t="s">
        <v>304</v>
      </c>
      <c r="E74" s="558"/>
      <c r="F74" s="558"/>
      <c r="G74" s="558"/>
      <c r="H74" s="558"/>
      <c r="I74" s="558"/>
      <c r="J74" s="558"/>
      <c r="K74" s="558"/>
      <c r="L74" s="558"/>
      <c r="M74" s="558"/>
      <c r="N74" s="558"/>
    </row>
    <row r="75" spans="3:14">
      <c r="C75" s="485"/>
      <c r="D75" s="485"/>
      <c r="E75" s="485"/>
      <c r="F75" s="485"/>
      <c r="G75" s="485"/>
      <c r="H75" s="485"/>
      <c r="I75" s="485"/>
      <c r="J75" s="485"/>
      <c r="K75" s="485"/>
      <c r="L75" s="485"/>
      <c r="M75" s="485"/>
      <c r="N75" s="485"/>
    </row>
    <row r="76" spans="3:14" ht="15">
      <c r="C76" s="559">
        <v>1</v>
      </c>
      <c r="D76" s="2482" t="s">
        <v>1399</v>
      </c>
      <c r="E76" s="2400"/>
      <c r="F76" s="2400"/>
      <c r="G76" s="2400"/>
      <c r="H76" s="2400"/>
      <c r="I76" s="2400"/>
      <c r="J76" s="2400"/>
      <c r="K76" s="2400"/>
      <c r="L76" s="2400"/>
      <c r="M76" s="2400"/>
      <c r="N76" s="2400"/>
    </row>
    <row r="77" spans="3:14">
      <c r="C77" s="485"/>
      <c r="D77" s="485"/>
      <c r="E77" s="485"/>
      <c r="F77" s="485"/>
      <c r="G77" s="485"/>
      <c r="H77" s="485"/>
      <c r="I77" s="485"/>
      <c r="J77" s="485"/>
      <c r="K77" s="485"/>
      <c r="L77" s="485"/>
      <c r="M77" s="485"/>
      <c r="N77" s="485"/>
    </row>
    <row r="78" spans="3:14">
      <c r="C78" s="485"/>
      <c r="D78" s="485"/>
      <c r="E78" s="2509" t="s">
        <v>937</v>
      </c>
      <c r="F78" s="2509"/>
      <c r="G78" s="577" t="s">
        <v>884</v>
      </c>
      <c r="H78" s="578">
        <v>2019</v>
      </c>
      <c r="I78" s="578">
        <v>2020</v>
      </c>
      <c r="J78" s="578">
        <v>2021</v>
      </c>
      <c r="K78" s="578">
        <v>2022</v>
      </c>
      <c r="L78" s="578">
        <v>2023</v>
      </c>
      <c r="M78" s="578">
        <v>2024</v>
      </c>
      <c r="N78" s="578">
        <v>2025</v>
      </c>
    </row>
    <row r="79" spans="3:14">
      <c r="C79" s="485"/>
      <c r="D79" s="485"/>
      <c r="E79" s="2606" t="s">
        <v>935</v>
      </c>
      <c r="F79" s="2472"/>
      <c r="G79" s="579" t="s">
        <v>2015</v>
      </c>
      <c r="H79" s="125" t="str">
        <f>IFERROR(IF([1]K_Summary!$H$64 = "", "", [1]K_Summary!$H$64 ),"")</f>
        <v/>
      </c>
      <c r="I79" s="54" t="str">
        <f>IFERROR(IF([1]K_Summary!$I$64 = "", "", [1]K_Summary!$I$64 ),"")</f>
        <v/>
      </c>
      <c r="J79" s="54" t="str">
        <f>IFERROR(IF([1]K_Summary!$J$64 = "", "", [1]K_Summary!$J$64 ),"")</f>
        <v/>
      </c>
      <c r="K79" s="54" t="str">
        <f>IFERROR(IF([1]K_Summary!$K$64 = "", "", [1]K_Summary!$K$64 ),"")</f>
        <v/>
      </c>
      <c r="L79" s="54" t="str">
        <f>IFERROR(IF([1]K_Summary!$L$64 = "", "", [1]K_Summary!$L$64 ),"")</f>
        <v/>
      </c>
      <c r="M79" s="54" t="str">
        <f>IFERROR(IF([1]K_Summary!$M$64 = "", "", [1]K_Summary!$M$64 ),"")</f>
        <v/>
      </c>
      <c r="N79" s="54" t="str">
        <f>IFERROR(IF([1]K_Summary!$N$64 = "", "", [1]K_Summary!$N$64 ),"")</f>
        <v/>
      </c>
    </row>
    <row r="80" spans="3:14">
      <c r="C80" s="485"/>
      <c r="D80" s="485"/>
      <c r="E80" s="2607" t="s">
        <v>1603</v>
      </c>
      <c r="F80" s="2608"/>
      <c r="G80" s="581" t="s">
        <v>2015</v>
      </c>
      <c r="H80" s="55" t="str">
        <f>IFERROR(IF([1]K_Summary!$H$65 = "", "", [1]K_Summary!$H$65 ),"")</f>
        <v/>
      </c>
      <c r="I80" s="55" t="str">
        <f>IFERROR(IF([1]K_Summary!$I$65 = "", "", [1]K_Summary!$I$65 ),"")</f>
        <v/>
      </c>
      <c r="J80" s="55" t="str">
        <f>IFERROR(IF([1]K_Summary!$J$65 = "", "", [1]K_Summary!$J$65 ),"")</f>
        <v/>
      </c>
      <c r="K80" s="55" t="str">
        <f>IFERROR(IF([1]K_Summary!$K$65 = "", "", [1]K_Summary!$K$65 ),"")</f>
        <v/>
      </c>
      <c r="L80" s="55" t="str">
        <f>IFERROR(IF([1]K_Summary!$L$65 = "", "", [1]K_Summary!$L$65 ),"")</f>
        <v/>
      </c>
      <c r="M80" s="55" t="str">
        <f>IFERROR(IF([1]K_Summary!$M$65 = "", "", [1]K_Summary!$M$65 ),"")</f>
        <v/>
      </c>
      <c r="N80" s="55" t="str">
        <f>IFERROR(IF([1]K_Summary!$N$65 = "", "", [1]K_Summary!$N$65 ),"")</f>
        <v/>
      </c>
    </row>
    <row r="81" spans="3:14">
      <c r="C81" s="485"/>
      <c r="D81" s="485"/>
      <c r="E81" s="2609" t="s">
        <v>933</v>
      </c>
      <c r="F81" s="2608"/>
      <c r="G81" s="582" t="s">
        <v>2016</v>
      </c>
      <c r="H81" s="56" t="str">
        <f>IFERROR(IF([1]K_Summary!$H$66 = "", "", [1]K_Summary!$H$66 ),"")</f>
        <v/>
      </c>
      <c r="I81" s="56" t="str">
        <f>IFERROR(IF([1]K_Summary!$I$66 = "", "", [1]K_Summary!$I$66 ),"")</f>
        <v/>
      </c>
      <c r="J81" s="56" t="str">
        <f>IFERROR(IF([1]K_Summary!$J$66 = "", "", [1]K_Summary!$J$66 ),"")</f>
        <v/>
      </c>
      <c r="K81" s="56" t="str">
        <f>IFERROR(IF([1]K_Summary!$K$66 = "", "", [1]K_Summary!$K$66 ),"")</f>
        <v/>
      </c>
      <c r="L81" s="56" t="str">
        <f>IFERROR(IF([1]K_Summary!$L$66 = "", "", [1]K_Summary!$L$66 ),"")</f>
        <v/>
      </c>
      <c r="M81" s="56" t="str">
        <f>IFERROR(IF([1]K_Summary!$M$66 = "", "", [1]K_Summary!$M$66 ),"")</f>
        <v/>
      </c>
      <c r="N81" s="56" t="str">
        <f>IFERROR(IF([1]K_Summary!$N$66 = "", "", [1]K_Summary!$N$66 ),"")</f>
        <v/>
      </c>
    </row>
    <row r="82" spans="3:14">
      <c r="C82" s="485"/>
      <c r="D82" s="485"/>
      <c r="E82" s="2586" t="s">
        <v>934</v>
      </c>
      <c r="F82" s="2474"/>
      <c r="G82" s="584" t="s">
        <v>2016</v>
      </c>
      <c r="H82" s="57" t="str">
        <f>IFERROR(IF([1]K_Summary!$H$67 = "", "", [1]K_Summary!$H$67 ),"")</f>
        <v/>
      </c>
      <c r="I82" s="57" t="str">
        <f>IFERROR(IF([1]K_Summary!$I$67 = "", "", [1]K_Summary!$I$67 ),"")</f>
        <v/>
      </c>
      <c r="J82" s="57" t="str">
        <f>IFERROR(IF([1]K_Summary!$J$67 = "", "", [1]K_Summary!$J$67 ),"")</f>
        <v/>
      </c>
      <c r="K82" s="57" t="str">
        <f>IFERROR(IF([1]K_Summary!$K$67 = "", "", [1]K_Summary!$K$67 ),"")</f>
        <v/>
      </c>
      <c r="L82" s="57" t="str">
        <f>IFERROR(IF([1]K_Summary!$L$67 = "", "", [1]K_Summary!$L$67 ),"")</f>
        <v/>
      </c>
      <c r="M82" s="57" t="str">
        <f>IFERROR(IF([1]K_Summary!$M$67 = "", "", [1]K_Summary!$M$67 ),"")</f>
        <v/>
      </c>
      <c r="N82" s="57" t="str">
        <f>IFERROR(IF([1]K_Summary!$N$67 = "", "", [1]K_Summary!$N$67 ),"")</f>
        <v/>
      </c>
    </row>
    <row r="83" spans="3:14">
      <c r="C83" s="485"/>
      <c r="D83" s="485"/>
      <c r="E83" s="2587" t="s">
        <v>1274</v>
      </c>
      <c r="F83" s="2410"/>
      <c r="G83" s="586" t="s">
        <v>2016</v>
      </c>
      <c r="H83" s="58" t="str">
        <f>IFERROR(IF([1]K_Summary!$H$68 = "", "", [1]K_Summary!$H$68 ),"")</f>
        <v/>
      </c>
      <c r="I83" s="58" t="str">
        <f>IFERROR(IF([1]K_Summary!$I$68 = "", "", [1]K_Summary!$I$68 ),"")</f>
        <v/>
      </c>
      <c r="J83" s="58" t="str">
        <f>IFERROR(IF([1]K_Summary!$J$68 = "", "", [1]K_Summary!$J$68 ),"")</f>
        <v/>
      </c>
      <c r="K83" s="58" t="str">
        <f>IFERROR(IF([1]K_Summary!$K$68 = "", "", [1]K_Summary!$K$68 ),"")</f>
        <v/>
      </c>
      <c r="L83" s="58" t="str">
        <f>IFERROR(IF([1]K_Summary!$L$68 = "", "", [1]K_Summary!$L$68 ),"")</f>
        <v/>
      </c>
      <c r="M83" s="58" t="str">
        <f>IFERROR(IF([1]K_Summary!$M$68 = "", "", [1]K_Summary!$M$68 ),"")</f>
        <v/>
      </c>
      <c r="N83" s="58" t="str">
        <f>IFERROR(IF([1]K_Summary!$N$68 = "", "", [1]K_Summary!$N$68 ),"")</f>
        <v/>
      </c>
    </row>
    <row r="84" spans="3:14" ht="13.5" thickBot="1">
      <c r="C84" s="485"/>
      <c r="D84" s="485"/>
      <c r="E84" s="2588" t="s">
        <v>1273</v>
      </c>
      <c r="F84" s="2589"/>
      <c r="G84" s="588" t="s">
        <v>2015</v>
      </c>
      <c r="H84" s="59" t="str">
        <f>IFERROR(IF([1]K_Summary!$H$69 = "", "", [1]K_Summary!$H$69 ),"")</f>
        <v/>
      </c>
      <c r="I84" s="59" t="str">
        <f>IFERROR(IF([1]K_Summary!$I$69 = "", "", [1]K_Summary!$I$69 ),"")</f>
        <v/>
      </c>
      <c r="J84" s="59" t="str">
        <f>IFERROR(IF([1]K_Summary!$J$69 = "", "", [1]K_Summary!$J$69 ),"")</f>
        <v/>
      </c>
      <c r="K84" s="59" t="str">
        <f>IFERROR(IF([1]K_Summary!$K$69 = "", "", [1]K_Summary!$K$69 ),"")</f>
        <v/>
      </c>
      <c r="L84" s="59" t="str">
        <f>IFERROR(IF([1]K_Summary!$L$69 = "", "", [1]K_Summary!$L$69 ),"")</f>
        <v/>
      </c>
      <c r="M84" s="59" t="str">
        <f>IFERROR(IF([1]K_Summary!$M$69 = "", "", [1]K_Summary!$M$69 ),"")</f>
        <v/>
      </c>
      <c r="N84" s="59" t="str">
        <f>IFERROR(IF([1]K_Summary!$N$69 = "", "", [1]K_Summary!$N$69 ),"")</f>
        <v/>
      </c>
    </row>
    <row r="85" spans="3:14" ht="13.5" thickBot="1">
      <c r="C85" s="485"/>
      <c r="D85" s="485"/>
      <c r="E85" s="2590" t="s">
        <v>915</v>
      </c>
      <c r="F85" s="2591"/>
      <c r="G85" s="590" t="s">
        <v>2016</v>
      </c>
      <c r="H85" s="60" t="str">
        <f>IFERROR(IF([1]K_Summary!$H$70 = "", "", [1]K_Summary!$H$70 ),"")</f>
        <v/>
      </c>
      <c r="I85" s="60" t="str">
        <f>IFERROR(IF([1]K_Summary!$I$70 = "", "", [1]K_Summary!$I$70 ),"")</f>
        <v/>
      </c>
      <c r="J85" s="60" t="str">
        <f>IFERROR(IF([1]K_Summary!$J$70 = "", "", [1]K_Summary!$J$70 ),"")</f>
        <v/>
      </c>
      <c r="K85" s="60" t="str">
        <f>IFERROR(IF([1]K_Summary!$K$70 = "", "", [1]K_Summary!$K$70 ),"")</f>
        <v/>
      </c>
      <c r="L85" s="60" t="str">
        <f>IFERROR(IF([1]K_Summary!$L$70 = "", "", [1]K_Summary!$L$70 ),"")</f>
        <v/>
      </c>
      <c r="M85" s="60" t="str">
        <f>IFERROR(IF([1]K_Summary!$M$70 = "", "", [1]K_Summary!$M$70 ),"")</f>
        <v/>
      </c>
      <c r="N85" s="60" t="str">
        <f>IFERROR(IF([1]K_Summary!$N$70 = "", "", [1]K_Summary!$N$70 ),"")</f>
        <v/>
      </c>
    </row>
    <row r="86" spans="3:14" ht="13.5" thickBot="1">
      <c r="C86" s="485"/>
      <c r="D86" s="485"/>
      <c r="E86" s="2590" t="s">
        <v>938</v>
      </c>
      <c r="F86" s="2591"/>
      <c r="G86" s="590" t="s">
        <v>2017</v>
      </c>
      <c r="H86" s="61" t="str">
        <f>IFERROR(IF([1]K_Summary!$H$71 = "", "", [1]K_Summary!$H$71 ),"")</f>
        <v/>
      </c>
      <c r="I86" s="61" t="str">
        <f>IFERROR(IF([1]K_Summary!$I$71 = "", "", [1]K_Summary!$I$71 ),"")</f>
        <v/>
      </c>
      <c r="J86" s="61" t="str">
        <f>IFERROR(IF([1]K_Summary!$J$71 = "", "", [1]K_Summary!$J$71 ),"")</f>
        <v/>
      </c>
      <c r="K86" s="61" t="str">
        <f>IFERROR(IF([1]K_Summary!$K$71 = "", "", [1]K_Summary!$K$71 ),"")</f>
        <v/>
      </c>
      <c r="L86" s="61" t="str">
        <f>IFERROR(IF([1]K_Summary!$L$71 = "", "", [1]K_Summary!$L$71 ),"")</f>
        <v/>
      </c>
      <c r="M86" s="61" t="str">
        <f>IFERROR(IF([1]K_Summary!$M$71 = "", "", [1]K_Summary!$M$71 ),"")</f>
        <v/>
      </c>
      <c r="N86" s="61" t="str">
        <f>IFERROR(IF([1]K_Summary!$N$71 = "", "", [1]K_Summary!$N$71 ),"")</f>
        <v/>
      </c>
    </row>
    <row r="87" spans="3:14">
      <c r="C87" s="485"/>
      <c r="D87" s="485"/>
      <c r="E87" s="485"/>
      <c r="F87" s="485"/>
      <c r="G87" s="485"/>
      <c r="H87" s="485"/>
      <c r="I87" s="485"/>
      <c r="J87" s="485"/>
      <c r="K87" s="485"/>
      <c r="L87" s="485"/>
      <c r="M87" s="485"/>
      <c r="N87" s="485"/>
    </row>
    <row r="88" spans="3:14" ht="15">
      <c r="C88" s="559">
        <v>2</v>
      </c>
      <c r="D88" s="2482" t="s">
        <v>774</v>
      </c>
      <c r="E88" s="2400"/>
      <c r="F88" s="2400"/>
      <c r="G88" s="2400"/>
      <c r="H88" s="2400"/>
      <c r="I88" s="2400"/>
      <c r="J88" s="2400"/>
      <c r="K88" s="2400"/>
      <c r="L88" s="2400"/>
      <c r="M88" s="2400"/>
      <c r="N88" s="2400"/>
    </row>
    <row r="89" spans="3:14">
      <c r="C89" s="467"/>
      <c r="D89" s="467"/>
      <c r="E89" s="467"/>
      <c r="F89" s="467"/>
      <c r="G89" s="467"/>
      <c r="H89" s="467"/>
      <c r="I89" s="467"/>
      <c r="J89" s="467"/>
      <c r="K89" s="467"/>
      <c r="L89" s="467"/>
      <c r="M89" s="481"/>
      <c r="N89" s="481"/>
    </row>
    <row r="90" spans="3:14">
      <c r="C90" s="467"/>
      <c r="D90" s="485"/>
      <c r="E90" s="2465" t="s">
        <v>1578</v>
      </c>
      <c r="F90" s="2400"/>
      <c r="G90" s="2400"/>
      <c r="H90" s="2400"/>
      <c r="I90" s="2400"/>
      <c r="J90" s="2400"/>
      <c r="K90" s="2400"/>
      <c r="L90" s="2400"/>
      <c r="M90" s="2400"/>
      <c r="N90" s="2400"/>
    </row>
    <row r="91" spans="3:14">
      <c r="C91" s="467"/>
      <c r="D91" s="485"/>
      <c r="E91" s="2465" t="s">
        <v>1451</v>
      </c>
      <c r="F91" s="2400"/>
      <c r="G91" s="2400"/>
      <c r="H91" s="2400"/>
      <c r="I91" s="2400"/>
      <c r="J91" s="2400"/>
      <c r="K91" s="2400"/>
      <c r="L91" s="2400"/>
      <c r="M91" s="2400"/>
      <c r="N91" s="2400"/>
    </row>
    <row r="92" spans="3:14">
      <c r="C92" s="467"/>
      <c r="D92" s="485"/>
      <c r="E92" s="594" t="s">
        <v>1449</v>
      </c>
      <c r="F92" s="2581" t="s">
        <v>1262</v>
      </c>
      <c r="G92" s="2581"/>
      <c r="H92" s="2581"/>
      <c r="I92" s="2581"/>
      <c r="J92" s="2581"/>
      <c r="K92" s="2581"/>
      <c r="L92" s="2581"/>
      <c r="M92" s="2581"/>
      <c r="N92" s="2581"/>
    </row>
    <row r="93" spans="3:14">
      <c r="C93" s="467"/>
      <c r="D93" s="485"/>
      <c r="E93" s="595" t="s">
        <v>1452</v>
      </c>
      <c r="F93" s="2581" t="s">
        <v>1579</v>
      </c>
      <c r="G93" s="2581"/>
      <c r="H93" s="2581"/>
      <c r="I93" s="2581"/>
      <c r="J93" s="2581"/>
      <c r="K93" s="2581"/>
      <c r="L93" s="2581"/>
      <c r="M93" s="2581"/>
      <c r="N93" s="2581"/>
    </row>
    <row r="94" spans="3:14">
      <c r="C94" s="467"/>
      <c r="D94" s="485"/>
      <c r="E94" s="595" t="s">
        <v>1452</v>
      </c>
      <c r="F94" s="2581" t="s">
        <v>1580</v>
      </c>
      <c r="G94" s="2581"/>
      <c r="H94" s="2581"/>
      <c r="I94" s="2581"/>
      <c r="J94" s="2581"/>
      <c r="K94" s="2581"/>
      <c r="L94" s="2581"/>
      <c r="M94" s="2581"/>
      <c r="N94" s="2581"/>
    </row>
    <row r="95" spans="3:14">
      <c r="C95" s="467"/>
      <c r="D95" s="485"/>
      <c r="E95" s="595" t="s">
        <v>1450</v>
      </c>
      <c r="F95" s="2581" t="s">
        <v>2291</v>
      </c>
      <c r="G95" s="2581"/>
      <c r="H95" s="2581"/>
      <c r="I95" s="2581"/>
      <c r="J95" s="2581"/>
      <c r="K95" s="2581"/>
      <c r="L95" s="2581"/>
      <c r="M95" s="2581"/>
      <c r="N95" s="2581"/>
    </row>
    <row r="96" spans="3:14">
      <c r="E96" s="595" t="s">
        <v>1021</v>
      </c>
      <c r="F96" s="2581" t="s">
        <v>2292</v>
      </c>
      <c r="G96" s="2581"/>
      <c r="H96" s="2581"/>
      <c r="I96" s="2581"/>
      <c r="J96" s="2581"/>
      <c r="K96" s="2581"/>
      <c r="L96" s="2581"/>
      <c r="M96" s="2581"/>
      <c r="N96" s="2581"/>
    </row>
    <row r="97" spans="1:15">
      <c r="E97" s="595" t="s">
        <v>1450</v>
      </c>
      <c r="F97" s="2581" t="s">
        <v>2293</v>
      </c>
      <c r="G97" s="2581"/>
      <c r="H97" s="2581"/>
      <c r="I97" s="2581"/>
      <c r="J97" s="2581"/>
      <c r="K97" s="2581"/>
      <c r="L97" s="2581"/>
      <c r="M97" s="2581"/>
      <c r="N97" s="2581"/>
    </row>
    <row r="98" spans="1:15" ht="24" customHeight="1">
      <c r="E98" s="595" t="s">
        <v>1021</v>
      </c>
      <c r="F98" s="2581" t="s">
        <v>2690</v>
      </c>
      <c r="G98" s="2581"/>
      <c r="H98" s="2581"/>
      <c r="I98" s="2581"/>
      <c r="J98" s="2581"/>
      <c r="K98" s="2581"/>
      <c r="L98" s="2581"/>
      <c r="M98" s="2581"/>
      <c r="N98" s="2581"/>
    </row>
    <row r="99" spans="1:15">
      <c r="E99" s="595" t="s">
        <v>1450</v>
      </c>
      <c r="F99" s="2581" t="s">
        <v>1581</v>
      </c>
      <c r="G99" s="2581"/>
      <c r="H99" s="2581"/>
      <c r="I99" s="2581"/>
      <c r="J99" s="2581"/>
      <c r="K99" s="2581"/>
      <c r="L99" s="2581"/>
      <c r="M99" s="2581"/>
      <c r="N99" s="2581"/>
    </row>
    <row r="100" spans="1:15">
      <c r="E100" s="595" t="s">
        <v>1021</v>
      </c>
      <c r="F100" s="2581" t="s">
        <v>1582</v>
      </c>
      <c r="G100" s="2581"/>
      <c r="H100" s="2581"/>
      <c r="I100" s="2581"/>
      <c r="J100" s="2581"/>
      <c r="K100" s="2581"/>
      <c r="L100" s="2581"/>
      <c r="M100" s="2581"/>
      <c r="N100" s="2581"/>
    </row>
    <row r="101" spans="1:15">
      <c r="E101" s="2466" t="s">
        <v>1953</v>
      </c>
      <c r="F101" s="2467"/>
      <c r="G101" s="2467"/>
      <c r="H101" s="2467"/>
      <c r="I101" s="2467"/>
      <c r="J101" s="2467"/>
      <c r="K101" s="2467"/>
      <c r="L101" s="2467"/>
      <c r="M101" s="2467"/>
      <c r="N101" s="2467"/>
    </row>
    <row r="102" spans="1:15">
      <c r="E102" s="595" t="s">
        <v>1021</v>
      </c>
      <c r="F102" s="2581" t="s">
        <v>1583</v>
      </c>
      <c r="G102" s="2581"/>
      <c r="H102" s="2581"/>
      <c r="I102" s="2581"/>
      <c r="J102" s="2581"/>
      <c r="K102" s="2581"/>
      <c r="L102" s="2581"/>
      <c r="M102" s="2581"/>
      <c r="N102" s="2581"/>
    </row>
    <row r="103" spans="1:15">
      <c r="E103" s="595" t="s">
        <v>1021</v>
      </c>
      <c r="F103" s="2581" t="s">
        <v>1584</v>
      </c>
      <c r="G103" s="2581"/>
      <c r="H103" s="2581"/>
      <c r="I103" s="2581"/>
      <c r="J103" s="2581"/>
      <c r="K103" s="2581"/>
      <c r="L103" s="2581"/>
      <c r="M103" s="2581"/>
      <c r="N103" s="2581"/>
    </row>
    <row r="104" spans="1:15">
      <c r="E104" s="2465" t="s">
        <v>1585</v>
      </c>
      <c r="F104" s="2400"/>
      <c r="G104" s="2400"/>
      <c r="H104" s="2400"/>
      <c r="I104" s="2400"/>
      <c r="J104" s="2400"/>
      <c r="K104" s="2400"/>
      <c r="L104" s="2400"/>
      <c r="M104" s="2400"/>
      <c r="N104" s="2400"/>
    </row>
    <row r="105" spans="1:15">
      <c r="E105" s="2465" t="s">
        <v>1586</v>
      </c>
      <c r="F105" s="2400"/>
      <c r="G105" s="2400"/>
      <c r="H105" s="2400"/>
      <c r="I105" s="2400"/>
      <c r="J105" s="2400"/>
      <c r="K105" s="2400"/>
      <c r="L105" s="2400"/>
      <c r="M105" s="2400"/>
      <c r="N105" s="2400"/>
    </row>
    <row r="106" spans="1:15">
      <c r="E106" s="2509" t="s">
        <v>1277</v>
      </c>
      <c r="F106" s="2509"/>
      <c r="G106" s="577" t="s">
        <v>884</v>
      </c>
      <c r="H106" s="578">
        <v>2019</v>
      </c>
      <c r="I106" s="578">
        <v>2020</v>
      </c>
      <c r="J106" s="578">
        <v>2021</v>
      </c>
      <c r="K106" s="578">
        <v>2022</v>
      </c>
      <c r="L106" s="578">
        <v>2023</v>
      </c>
      <c r="M106" s="578">
        <v>2024</v>
      </c>
      <c r="N106" s="578">
        <v>2025</v>
      </c>
    </row>
    <row r="107" spans="1:15" s="598" customFormat="1">
      <c r="A107" s="597"/>
      <c r="E107" s="2513" t="str">
        <f>IFERROR(IF([1]K_Summary!$E$92 = "", "", [1]K_Summary!$E$92 ),"")</f>
        <v/>
      </c>
      <c r="F107" s="2582"/>
      <c r="G107" s="599" t="s">
        <v>2016</v>
      </c>
      <c r="H107" s="84" t="str">
        <f>IFERROR(IF([1]K_Summary!$H$92 = "", "", [1]K_Summary!$H$92 ),"")</f>
        <v/>
      </c>
      <c r="I107" s="84" t="str">
        <f>IFERROR(IF([1]K_Summary!$I$92 = "", "", [1]K_Summary!$I$92 ),"")</f>
        <v/>
      </c>
      <c r="J107" s="84" t="str">
        <f>IFERROR(IF([1]K_Summary!$J$92 = "", "", [1]K_Summary!$J$92 ),"")</f>
        <v/>
      </c>
      <c r="K107" s="84" t="str">
        <f>IFERROR(IF([1]K_Summary!$K$92 = "", "", [1]K_Summary!$K$92 ),"")</f>
        <v/>
      </c>
      <c r="L107" s="84" t="str">
        <f>IFERROR(IF([1]K_Summary!$L$92 = "", "", [1]K_Summary!$L$92 ),"")</f>
        <v/>
      </c>
      <c r="M107" s="84" t="str">
        <f>IFERROR(IF([1]K_Summary!$M$92 = "", "", [1]K_Summary!$M$92 ),"")</f>
        <v/>
      </c>
      <c r="N107" s="84" t="str">
        <f>IFERROR(IF([1]K_Summary!$N$92 = "", "", [1]K_Summary!$N$92 ),"")</f>
        <v/>
      </c>
      <c r="O107" s="601"/>
    </row>
    <row r="108" spans="1:15" s="598" customFormat="1">
      <c r="A108" s="597"/>
      <c r="E108" s="2506" t="str">
        <f>IFERROR(IF([1]K_Summary!$E$93 = "", "", [1]K_Summary!$E$93 ),"")</f>
        <v/>
      </c>
      <c r="F108" s="2507"/>
      <c r="G108" s="602" t="s">
        <v>2016</v>
      </c>
      <c r="H108" s="85" t="str">
        <f>IFERROR(IF([1]K_Summary!$H$93 = "", "", [1]K_Summary!$H$93 ),"")</f>
        <v/>
      </c>
      <c r="I108" s="85" t="str">
        <f>IFERROR(IF([1]K_Summary!$I$93 = "", "", [1]K_Summary!$I$93 ),"")</f>
        <v/>
      </c>
      <c r="J108" s="85" t="str">
        <f>IFERROR(IF([1]K_Summary!$J$93 = "", "", [1]K_Summary!$J$93 ),"")</f>
        <v/>
      </c>
      <c r="K108" s="85" t="str">
        <f>IFERROR(IF([1]K_Summary!$K$93 = "", "", [1]K_Summary!$K$93 ),"")</f>
        <v/>
      </c>
      <c r="L108" s="85" t="str">
        <f>IFERROR(IF([1]K_Summary!$L$93 = "", "", [1]K_Summary!$L$93 ),"")</f>
        <v/>
      </c>
      <c r="M108" s="85" t="str">
        <f>IFERROR(IF([1]K_Summary!$M$93 = "", "", [1]K_Summary!$M$93 ),"")</f>
        <v/>
      </c>
      <c r="N108" s="85" t="str">
        <f>IFERROR(IF([1]K_Summary!$N$93 = "", "", [1]K_Summary!$N$93 ),"")</f>
        <v/>
      </c>
      <c r="O108" s="601"/>
    </row>
    <row r="109" spans="1:15" s="598" customFormat="1">
      <c r="A109" s="597"/>
      <c r="E109" s="2506" t="str">
        <f>IFERROR(IF([1]K_Summary!$E$94 = "", "", [1]K_Summary!$E$94 ),"")</f>
        <v/>
      </c>
      <c r="F109" s="2507"/>
      <c r="G109" s="602" t="s">
        <v>2016</v>
      </c>
      <c r="H109" s="85" t="str">
        <f>IFERROR(IF([1]K_Summary!$H$94 = "", "", [1]K_Summary!$H$94 ),"")</f>
        <v/>
      </c>
      <c r="I109" s="85" t="str">
        <f>IFERROR(IF([1]K_Summary!$I$94 = "", "", [1]K_Summary!$I$94 ),"")</f>
        <v/>
      </c>
      <c r="J109" s="85" t="str">
        <f>IFERROR(IF([1]K_Summary!$J$94 = "", "", [1]K_Summary!$J$94 ),"")</f>
        <v/>
      </c>
      <c r="K109" s="85" t="str">
        <f>IFERROR(IF([1]K_Summary!$K$94 = "", "", [1]K_Summary!$K$94 ),"")</f>
        <v/>
      </c>
      <c r="L109" s="85" t="str">
        <f>IFERROR(IF([1]K_Summary!$L$94 = "", "", [1]K_Summary!$L$94 ),"")</f>
        <v/>
      </c>
      <c r="M109" s="85" t="str">
        <f>IFERROR(IF([1]K_Summary!$M$94 = "", "", [1]K_Summary!$M$94 ),"")</f>
        <v/>
      </c>
      <c r="N109" s="85" t="str">
        <f>IFERROR(IF([1]K_Summary!$N$94 = "", "", [1]K_Summary!$N$94 ),"")</f>
        <v/>
      </c>
      <c r="O109" s="601"/>
    </row>
    <row r="110" spans="1:15" s="598" customFormat="1">
      <c r="A110" s="597"/>
      <c r="E110" s="2506" t="str">
        <f>IFERROR(IF([1]K_Summary!$E$95 = "", "", [1]K_Summary!$E$95 ),"")</f>
        <v/>
      </c>
      <c r="F110" s="2507"/>
      <c r="G110" s="602" t="s">
        <v>2016</v>
      </c>
      <c r="H110" s="85" t="str">
        <f>IFERROR(IF([1]K_Summary!$H$95 = "", "", [1]K_Summary!$H$95 ),"")</f>
        <v/>
      </c>
      <c r="I110" s="85" t="str">
        <f>IFERROR(IF([1]K_Summary!$I$95 = "", "", [1]K_Summary!$I$95 ),"")</f>
        <v/>
      </c>
      <c r="J110" s="85" t="str">
        <f>IFERROR(IF([1]K_Summary!$J$95 = "", "", [1]K_Summary!$J$95 ),"")</f>
        <v/>
      </c>
      <c r="K110" s="85" t="str">
        <f>IFERROR(IF([1]K_Summary!$K$95 = "", "", [1]K_Summary!$K$95 ),"")</f>
        <v/>
      </c>
      <c r="L110" s="85" t="str">
        <f>IFERROR(IF([1]K_Summary!$L$95 = "", "", [1]K_Summary!$L$95 ),"")</f>
        <v/>
      </c>
      <c r="M110" s="85" t="str">
        <f>IFERROR(IF([1]K_Summary!$M$95 = "", "", [1]K_Summary!$M$95 ),"")</f>
        <v/>
      </c>
      <c r="N110" s="85" t="str">
        <f>IFERROR(IF([1]K_Summary!$N$95 = "", "", [1]K_Summary!$N$95 ),"")</f>
        <v/>
      </c>
      <c r="O110" s="601"/>
    </row>
    <row r="111" spans="1:15" s="598" customFormat="1">
      <c r="A111" s="597"/>
      <c r="E111" s="2506" t="str">
        <f>IFERROR(IF([1]K_Summary!$E$96 = "", "", [1]K_Summary!$E$96 ),"")</f>
        <v/>
      </c>
      <c r="F111" s="2507"/>
      <c r="G111" s="602" t="s">
        <v>2016</v>
      </c>
      <c r="H111" s="85" t="str">
        <f>IFERROR(IF([1]K_Summary!$H$96 = "", "", [1]K_Summary!$H$96 ),"")</f>
        <v/>
      </c>
      <c r="I111" s="85" t="str">
        <f>IFERROR(IF([1]K_Summary!$I$96 = "", "", [1]K_Summary!$I$96 ),"")</f>
        <v/>
      </c>
      <c r="J111" s="85" t="str">
        <f>IFERROR(IF([1]K_Summary!$J$96 = "", "", [1]K_Summary!$J$96 ),"")</f>
        <v/>
      </c>
      <c r="K111" s="85" t="str">
        <f>IFERROR(IF([1]K_Summary!$K$96 = "", "", [1]K_Summary!$K$96 ),"")</f>
        <v/>
      </c>
      <c r="L111" s="85" t="str">
        <f>IFERROR(IF([1]K_Summary!$L$96 = "", "", [1]K_Summary!$L$96 ),"")</f>
        <v/>
      </c>
      <c r="M111" s="85" t="str">
        <f>IFERROR(IF([1]K_Summary!$M$96 = "", "", [1]K_Summary!$M$96 ),"")</f>
        <v/>
      </c>
      <c r="N111" s="85" t="str">
        <f>IFERROR(IF([1]K_Summary!$N$96 = "", "", [1]K_Summary!$N$96 ),"")</f>
        <v/>
      </c>
      <c r="O111" s="601"/>
    </row>
    <row r="112" spans="1:15" s="598" customFormat="1">
      <c r="A112" s="597"/>
      <c r="E112" s="2506" t="str">
        <f>IFERROR(IF([1]K_Summary!$E$97 = "", "", [1]K_Summary!$E$97 ),"")</f>
        <v/>
      </c>
      <c r="F112" s="2507"/>
      <c r="G112" s="602" t="s">
        <v>2016</v>
      </c>
      <c r="H112" s="85" t="str">
        <f>IFERROR(IF([1]K_Summary!$H$97 = "", "", [1]K_Summary!$H$97 ),"")</f>
        <v/>
      </c>
      <c r="I112" s="85" t="str">
        <f>IFERROR(IF([1]K_Summary!$I$97 = "", "", [1]K_Summary!$I$97 ),"")</f>
        <v/>
      </c>
      <c r="J112" s="85" t="str">
        <f>IFERROR(IF([1]K_Summary!$J$97 = "", "", [1]K_Summary!$J$97 ),"")</f>
        <v/>
      </c>
      <c r="K112" s="85" t="str">
        <f>IFERROR(IF([1]K_Summary!$K$97 = "", "", [1]K_Summary!$K$97 ),"")</f>
        <v/>
      </c>
      <c r="L112" s="85" t="str">
        <f>IFERROR(IF([1]K_Summary!$L$97 = "", "", [1]K_Summary!$L$97 ),"")</f>
        <v/>
      </c>
      <c r="M112" s="85" t="str">
        <f>IFERROR(IF([1]K_Summary!$M$97 = "", "", [1]K_Summary!$M$97 ),"")</f>
        <v/>
      </c>
      <c r="N112" s="85" t="str">
        <f>IFERROR(IF([1]K_Summary!$N$97 = "", "", [1]K_Summary!$N$97 ),"")</f>
        <v/>
      </c>
      <c r="O112" s="601"/>
    </row>
    <row r="113" spans="1:15" s="598" customFormat="1">
      <c r="A113" s="597"/>
      <c r="E113" s="2506" t="str">
        <f>IFERROR(IF([1]K_Summary!$E$98 = "", "", [1]K_Summary!$E$98 ),"")</f>
        <v/>
      </c>
      <c r="F113" s="2507"/>
      <c r="G113" s="602" t="s">
        <v>2016</v>
      </c>
      <c r="H113" s="85" t="str">
        <f>IFERROR(IF([1]K_Summary!$H$98 = "", "", [1]K_Summary!$H$98 ),"")</f>
        <v/>
      </c>
      <c r="I113" s="85" t="str">
        <f>IFERROR(IF([1]K_Summary!$I$98 = "", "", [1]K_Summary!$I$98 ),"")</f>
        <v/>
      </c>
      <c r="J113" s="85" t="str">
        <f>IFERROR(IF([1]K_Summary!$J$98 = "", "", [1]K_Summary!$J$98 ),"")</f>
        <v/>
      </c>
      <c r="K113" s="85" t="str">
        <f>IFERROR(IF([1]K_Summary!$K$98 = "", "", [1]K_Summary!$K$98 ),"")</f>
        <v/>
      </c>
      <c r="L113" s="85" t="str">
        <f>IFERROR(IF([1]K_Summary!$L$98 = "", "", [1]K_Summary!$L$98 ),"")</f>
        <v/>
      </c>
      <c r="M113" s="85" t="str">
        <f>IFERROR(IF([1]K_Summary!$M$98 = "", "", [1]K_Summary!$M$98 ),"")</f>
        <v/>
      </c>
      <c r="N113" s="85" t="str">
        <f>IFERROR(IF([1]K_Summary!$N$98 = "", "", [1]K_Summary!$N$98 ),"")</f>
        <v/>
      </c>
      <c r="O113" s="601"/>
    </row>
    <row r="114" spans="1:15" s="598" customFormat="1">
      <c r="A114" s="597"/>
      <c r="E114" s="2506" t="str">
        <f>IFERROR(IF([1]K_Summary!$E$99 = "", "", [1]K_Summary!$E$99 ),"")</f>
        <v/>
      </c>
      <c r="F114" s="2507"/>
      <c r="G114" s="602" t="s">
        <v>2016</v>
      </c>
      <c r="H114" s="85" t="str">
        <f>IFERROR(IF([1]K_Summary!$H$99 = "", "", [1]K_Summary!$H$99 ),"")</f>
        <v/>
      </c>
      <c r="I114" s="85" t="str">
        <f>IFERROR(IF([1]K_Summary!$I$99 = "", "", [1]K_Summary!$I$99 ),"")</f>
        <v/>
      </c>
      <c r="J114" s="85" t="str">
        <f>IFERROR(IF([1]K_Summary!$J$99 = "", "", [1]K_Summary!$J$99 ),"")</f>
        <v/>
      </c>
      <c r="K114" s="85" t="str">
        <f>IFERROR(IF([1]K_Summary!$K$99 = "", "", [1]K_Summary!$K$99 ),"")</f>
        <v/>
      </c>
      <c r="L114" s="85" t="str">
        <f>IFERROR(IF([1]K_Summary!$L$99 = "", "", [1]K_Summary!$L$99 ),"")</f>
        <v/>
      </c>
      <c r="M114" s="85" t="str">
        <f>IFERROR(IF([1]K_Summary!$M$99 = "", "", [1]K_Summary!$M$99 ),"")</f>
        <v/>
      </c>
      <c r="N114" s="85" t="str">
        <f>IFERROR(IF([1]K_Summary!$N$99 = "", "", [1]K_Summary!$N$99 ),"")</f>
        <v/>
      </c>
      <c r="O114" s="601"/>
    </row>
    <row r="115" spans="1:15" s="598" customFormat="1">
      <c r="A115" s="597"/>
      <c r="E115" s="2506" t="str">
        <f>IFERROR(IF([1]K_Summary!$E$100 = "", "", [1]K_Summary!$E$100 ),"")</f>
        <v/>
      </c>
      <c r="F115" s="2507"/>
      <c r="G115" s="602" t="s">
        <v>2016</v>
      </c>
      <c r="H115" s="85" t="str">
        <f>IFERROR(IF([1]K_Summary!$H$100 = "", "", [1]K_Summary!$H$100 ),"")</f>
        <v/>
      </c>
      <c r="I115" s="85" t="str">
        <f>IFERROR(IF([1]K_Summary!$I$100 = "", "", [1]K_Summary!$I$100 ),"")</f>
        <v/>
      </c>
      <c r="J115" s="85" t="str">
        <f>IFERROR(IF([1]K_Summary!$J$100 = "", "", [1]K_Summary!$J$100 ),"")</f>
        <v/>
      </c>
      <c r="K115" s="85" t="str">
        <f>IFERROR(IF([1]K_Summary!$K$100 = "", "", [1]K_Summary!$K$100 ),"")</f>
        <v/>
      </c>
      <c r="L115" s="85" t="str">
        <f>IFERROR(IF([1]K_Summary!$L$100 = "", "", [1]K_Summary!$L$100 ),"")</f>
        <v/>
      </c>
      <c r="M115" s="85" t="str">
        <f>IFERROR(IF([1]K_Summary!$M$100 = "", "", [1]K_Summary!$M$100 ),"")</f>
        <v/>
      </c>
      <c r="N115" s="85" t="str">
        <f>IFERROR(IF([1]K_Summary!$N$100 = "", "", [1]K_Summary!$N$100 ),"")</f>
        <v/>
      </c>
      <c r="O115" s="601"/>
    </row>
    <row r="116" spans="1:15" s="598" customFormat="1">
      <c r="A116" s="597"/>
      <c r="E116" s="2520" t="str">
        <f>IFERROR(IF([1]K_Summary!$E$101 = "", "", [1]K_Summary!$E$101 ),"")</f>
        <v/>
      </c>
      <c r="F116" s="2521"/>
      <c r="G116" s="604" t="s">
        <v>2016</v>
      </c>
      <c r="H116" s="86" t="str">
        <f>IFERROR(IF([1]K_Summary!$H$101 = "", "", [1]K_Summary!$H$101 ),"")</f>
        <v/>
      </c>
      <c r="I116" s="86" t="str">
        <f>IFERROR(IF([1]K_Summary!$I$101 = "", "", [1]K_Summary!$I$101 ),"")</f>
        <v/>
      </c>
      <c r="J116" s="86" t="str">
        <f>IFERROR(IF([1]K_Summary!$J$101 = "", "", [1]K_Summary!$J$101 ),"")</f>
        <v/>
      </c>
      <c r="K116" s="86" t="str">
        <f>IFERROR(IF([1]K_Summary!$K$101 = "", "", [1]K_Summary!$K$101 ),"")</f>
        <v/>
      </c>
      <c r="L116" s="86" t="str">
        <f>IFERROR(IF([1]K_Summary!$L$101 = "", "", [1]K_Summary!$L$101 ),"")</f>
        <v/>
      </c>
      <c r="M116" s="86" t="str">
        <f>IFERROR(IF([1]K_Summary!$M$101 = "", "", [1]K_Summary!$M$101 ),"")</f>
        <v/>
      </c>
      <c r="N116" s="86" t="str">
        <f>IFERROR(IF([1]K_Summary!$N$101 = "", "", [1]K_Summary!$N$101 ),"")</f>
        <v/>
      </c>
      <c r="O116" s="601"/>
    </row>
    <row r="117" spans="1:15" s="598" customFormat="1">
      <c r="A117" s="597"/>
      <c r="E117" s="2523" t="s">
        <v>275</v>
      </c>
      <c r="F117" s="2500"/>
      <c r="G117" s="602" t="s">
        <v>2016</v>
      </c>
      <c r="H117" s="85" t="str">
        <f>IFERROR(IF([1]K_Summary!$H$102 = "", "", [1]K_Summary!$H$102 ),"")</f>
        <v/>
      </c>
      <c r="I117" s="85" t="str">
        <f>IFERROR(IF([1]K_Summary!$I$102 = "", "", [1]K_Summary!$I$102 ),"")</f>
        <v/>
      </c>
      <c r="J117" s="85" t="str">
        <f>IFERROR(IF([1]K_Summary!$J$102 = "", "", [1]K_Summary!$J$102 ),"")</f>
        <v/>
      </c>
      <c r="K117" s="85" t="str">
        <f>IFERROR(IF([1]K_Summary!$K$102 = "", "", [1]K_Summary!$K$102 ),"")</f>
        <v/>
      </c>
      <c r="L117" s="85" t="str">
        <f>IFERROR(IF([1]K_Summary!$L$102 = "", "", [1]K_Summary!$L$102 ),"")</f>
        <v/>
      </c>
      <c r="M117" s="85" t="str">
        <f>IFERROR(IF([1]K_Summary!$M$102 = "", "", [1]K_Summary!$M$102 ),"")</f>
        <v/>
      </c>
      <c r="N117" s="85" t="str">
        <f>IFERROR(IF([1]K_Summary!$N$102 = "", "", [1]K_Summary!$N$102 ),"")</f>
        <v/>
      </c>
      <c r="O117" s="601"/>
    </row>
    <row r="118" spans="1:15" s="598" customFormat="1">
      <c r="A118" s="597"/>
      <c r="E118" s="2515" t="s">
        <v>276</v>
      </c>
      <c r="F118" s="2516"/>
      <c r="G118" s="606" t="s">
        <v>2016</v>
      </c>
      <c r="H118" s="87" t="str">
        <f>IFERROR(IF([1]K_Summary!$H$103 = "", "", [1]K_Summary!$H$103 ),"")</f>
        <v/>
      </c>
      <c r="I118" s="87" t="str">
        <f>IFERROR(IF([1]K_Summary!$I$103 = "", "", [1]K_Summary!$I$103 ),"")</f>
        <v/>
      </c>
      <c r="J118" s="87" t="str">
        <f>IFERROR(IF([1]K_Summary!$J$103 = "", "", [1]K_Summary!$J$103 ),"")</f>
        <v/>
      </c>
      <c r="K118" s="87" t="str">
        <f>IFERROR(IF([1]K_Summary!$K$103 = "", "", [1]K_Summary!$K$103 ),"")</f>
        <v/>
      </c>
      <c r="L118" s="87" t="str">
        <f>IFERROR(IF([1]K_Summary!$L$103 = "", "", [1]K_Summary!$L$103 ),"")</f>
        <v/>
      </c>
      <c r="M118" s="87" t="str">
        <f>IFERROR(IF([1]K_Summary!$M$103 = "", "", [1]K_Summary!$M$103 ),"")</f>
        <v/>
      </c>
      <c r="N118" s="87" t="str">
        <f>IFERROR(IF([1]K_Summary!$N$103 = "", "", [1]K_Summary!$N$103 ),"")</f>
        <v/>
      </c>
      <c r="O118" s="601"/>
    </row>
    <row r="119" spans="1:15" s="598" customFormat="1">
      <c r="A119" s="597"/>
      <c r="E119" s="2515" t="s">
        <v>1209</v>
      </c>
      <c r="F119" s="2516"/>
      <c r="G119" s="608" t="s">
        <v>2016</v>
      </c>
      <c r="H119" s="87" t="str">
        <f>IFERROR(IF([1]K_Summary!$H$104 = "", "", [1]K_Summary!$H$104 ),"")</f>
        <v/>
      </c>
      <c r="I119" s="87" t="str">
        <f>IFERROR(IF([1]K_Summary!$I$104 = "", "", [1]K_Summary!$I$104 ),"")</f>
        <v/>
      </c>
      <c r="J119" s="87" t="str">
        <f>IFERROR(IF([1]K_Summary!$J$104 = "", "", [1]K_Summary!$J$104 ),"")</f>
        <v/>
      </c>
      <c r="K119" s="87" t="str">
        <f>IFERROR(IF([1]K_Summary!$K$104 = "", "", [1]K_Summary!$K$104 ),"")</f>
        <v/>
      </c>
      <c r="L119" s="87" t="str">
        <f>IFERROR(IF([1]K_Summary!$L$104 = "", "", [1]K_Summary!$L$104 ),"")</f>
        <v/>
      </c>
      <c r="M119" s="87" t="str">
        <f>IFERROR(IF([1]K_Summary!$M$104 = "", "", [1]K_Summary!$M$104 ),"")</f>
        <v/>
      </c>
      <c r="N119" s="87" t="str">
        <f>IFERROR(IF([1]K_Summary!$N$104 = "", "", [1]K_Summary!$N$104 ),"")</f>
        <v/>
      </c>
      <c r="O119" s="601"/>
    </row>
    <row r="120" spans="1:15" s="598" customFormat="1">
      <c r="A120" s="597"/>
      <c r="E120" s="2515" t="s">
        <v>277</v>
      </c>
      <c r="F120" s="2516"/>
      <c r="G120" s="606" t="s">
        <v>2016</v>
      </c>
      <c r="H120" s="88" t="str">
        <f>IFERROR(IF([1]K_Summary!$H$105 = "", "", [1]K_Summary!$H$105 ),"")</f>
        <v/>
      </c>
      <c r="I120" s="88" t="str">
        <f>IFERROR(IF([1]K_Summary!$I$105 = "", "", [1]K_Summary!$I$105 ),"")</f>
        <v/>
      </c>
      <c r="J120" s="88" t="str">
        <f>IFERROR(IF([1]K_Summary!$J$105 = "", "", [1]K_Summary!$J$105 ),"")</f>
        <v/>
      </c>
      <c r="K120" s="88" t="str">
        <f>IFERROR(IF([1]K_Summary!$K$105 = "", "", [1]K_Summary!$K$105 ),"")</f>
        <v/>
      </c>
      <c r="L120" s="88" t="str">
        <f>IFERROR(IF([1]K_Summary!$L$105 = "", "", [1]K_Summary!$L$105 ),"")</f>
        <v/>
      </c>
      <c r="M120" s="88" t="str">
        <f>IFERROR(IF([1]K_Summary!$M$105 = "", "", [1]K_Summary!$M$105 ),"")</f>
        <v/>
      </c>
      <c r="N120" s="88" t="str">
        <f>IFERROR(IF([1]K_Summary!$N$105 = "", "", [1]K_Summary!$N$105 ),"")</f>
        <v/>
      </c>
      <c r="O120" s="601"/>
    </row>
    <row r="121" spans="1:15" s="598" customFormat="1" ht="13.5" thickBot="1">
      <c r="A121" s="597"/>
      <c r="E121" s="2524" t="s">
        <v>278</v>
      </c>
      <c r="F121" s="2525"/>
      <c r="G121" s="610" t="s">
        <v>2016</v>
      </c>
      <c r="H121" s="89" t="str">
        <f>IFERROR(IF([1]K_Summary!$H$106 = "", "", [1]K_Summary!$H$106 ),"")</f>
        <v/>
      </c>
      <c r="I121" s="89" t="str">
        <f>IFERROR(IF([1]K_Summary!$I$106 = "", "", [1]K_Summary!$I$106 ),"")</f>
        <v/>
      </c>
      <c r="J121" s="89" t="str">
        <f>IFERROR(IF([1]K_Summary!$J$106 = "", "", [1]K_Summary!$J$106 ),"")</f>
        <v/>
      </c>
      <c r="K121" s="89" t="str">
        <f>IFERROR(IF([1]K_Summary!$K$106 = "", "", [1]K_Summary!$K$106 ),"")</f>
        <v/>
      </c>
      <c r="L121" s="89" t="str">
        <f>IFERROR(IF([1]K_Summary!$L$106 = "", "", [1]K_Summary!$L$106 ),"")</f>
        <v/>
      </c>
      <c r="M121" s="89" t="str">
        <f>IFERROR(IF([1]K_Summary!$M$106 = "", "", [1]K_Summary!$M$106 ),"")</f>
        <v/>
      </c>
      <c r="N121" s="89" t="str">
        <f>IFERROR(IF([1]K_Summary!$N$106 = "", "", [1]K_Summary!$N$106 ),"")</f>
        <v/>
      </c>
      <c r="O121" s="601"/>
    </row>
    <row r="122" spans="1:15" s="598" customFormat="1">
      <c r="A122" s="597"/>
      <c r="E122" s="2526" t="s">
        <v>279</v>
      </c>
      <c r="F122" s="2527"/>
      <c r="G122" s="612" t="s">
        <v>2016</v>
      </c>
      <c r="H122" s="90" t="str">
        <f>IFERROR(IF([1]K_Summary!$H$107 = "", "", [1]K_Summary!$H$107 ),"")</f>
        <v/>
      </c>
      <c r="I122" s="90" t="str">
        <f>IFERROR(IF([1]K_Summary!$I$107 = "", "", [1]K_Summary!$I$107 ),"")</f>
        <v/>
      </c>
      <c r="J122" s="90" t="str">
        <f>IFERROR(IF([1]K_Summary!$J$107 = "", "", [1]K_Summary!$J$107 ),"")</f>
        <v/>
      </c>
      <c r="K122" s="90" t="str">
        <f>IFERROR(IF([1]K_Summary!$K$107 = "", "", [1]K_Summary!$K$107 ),"")</f>
        <v/>
      </c>
      <c r="L122" s="90" t="str">
        <f>IFERROR(IF([1]K_Summary!$L$107 = "", "", [1]K_Summary!$L$107 ),"")</f>
        <v/>
      </c>
      <c r="M122" s="90" t="str">
        <f>IFERROR(IF([1]K_Summary!$M$107 = "", "", [1]K_Summary!$M$107 ),"")</f>
        <v/>
      </c>
      <c r="N122" s="90" t="str">
        <f>IFERROR(IF([1]K_Summary!$N$107 = "", "", [1]K_Summary!$N$107 ),"")</f>
        <v/>
      </c>
      <c r="O122" s="601"/>
    </row>
    <row r="123" spans="1:15" s="598" customFormat="1" ht="13.5" thickBot="1">
      <c r="A123" s="597"/>
      <c r="E123" s="2528" t="s">
        <v>280</v>
      </c>
      <c r="F123" s="2525"/>
      <c r="G123" s="614" t="s">
        <v>2016</v>
      </c>
      <c r="H123" s="91" t="str">
        <f>IFERROR(IF([1]K_Summary!$H$108 = "", "", [1]K_Summary!$H$108 ),"")</f>
        <v/>
      </c>
      <c r="I123" s="91" t="str">
        <f>IFERROR(IF([1]K_Summary!$I$108 = "", "", [1]K_Summary!$I$108 ),"")</f>
        <v/>
      </c>
      <c r="J123" s="91" t="str">
        <f>IFERROR(IF([1]K_Summary!$J$108 = "", "", [1]K_Summary!$J$108 ),"")</f>
        <v/>
      </c>
      <c r="K123" s="91" t="str">
        <f>IFERROR(IF([1]K_Summary!$K$108 = "", "", [1]K_Summary!$K$108 ),"")</f>
        <v/>
      </c>
      <c r="L123" s="91" t="str">
        <f>IFERROR(IF([1]K_Summary!$L$108 = "", "", [1]K_Summary!$L$108 ),"")</f>
        <v/>
      </c>
      <c r="M123" s="91" t="str">
        <f>IFERROR(IF([1]K_Summary!$M$108 = "", "", [1]K_Summary!$M$108 ),"")</f>
        <v/>
      </c>
      <c r="N123" s="91" t="str">
        <f>IFERROR(IF([1]K_Summary!$N$108 = "", "", [1]K_Summary!$N$108 ),"")</f>
        <v/>
      </c>
      <c r="O123" s="601"/>
    </row>
    <row r="124" spans="1:15" s="598" customFormat="1">
      <c r="A124" s="597"/>
      <c r="E124" s="2529" t="s">
        <v>1263</v>
      </c>
      <c r="F124" s="2530"/>
      <c r="G124" s="604" t="s">
        <v>2016</v>
      </c>
      <c r="H124" s="92" t="str">
        <f>IFERROR(IF([1]K_Summary!$H$109 = "", "", [1]K_Summary!$H$109 ),"")</f>
        <v/>
      </c>
      <c r="I124" s="92" t="str">
        <f>IFERROR(IF([1]K_Summary!$I$109 = "", "", [1]K_Summary!$I$109 ),"")</f>
        <v/>
      </c>
      <c r="J124" s="92" t="str">
        <f>IFERROR(IF([1]K_Summary!$J$109 = "", "", [1]K_Summary!$J$109 ),"")</f>
        <v/>
      </c>
      <c r="K124" s="92" t="str">
        <f>IFERROR(IF([1]K_Summary!$K$109 = "", "", [1]K_Summary!$K$109 ),"")</f>
        <v/>
      </c>
      <c r="L124" s="92" t="str">
        <f>IFERROR(IF([1]K_Summary!$L$109 = "", "", [1]K_Summary!$L$109 ),"")</f>
        <v/>
      </c>
      <c r="M124" s="92" t="str">
        <f>IFERROR(IF([1]K_Summary!$M$109 = "", "", [1]K_Summary!$M$109 ),"")</f>
        <v/>
      </c>
      <c r="N124" s="92" t="str">
        <f>IFERROR(IF([1]K_Summary!$N$109 = "", "", [1]K_Summary!$N$109 ),"")</f>
        <v/>
      </c>
      <c r="O124" s="601"/>
    </row>
    <row r="125" spans="1:15">
      <c r="E125" s="617"/>
      <c r="F125" s="617"/>
      <c r="G125" s="617"/>
      <c r="H125" s="618"/>
      <c r="I125" s="617"/>
      <c r="J125" s="468"/>
      <c r="K125" s="468"/>
      <c r="L125" s="468"/>
      <c r="M125" s="481"/>
      <c r="N125" s="481"/>
    </row>
    <row r="126" spans="1:15">
      <c r="E126" s="2509" t="s">
        <v>1277</v>
      </c>
      <c r="F126" s="2493"/>
      <c r="G126" s="577" t="s">
        <v>884</v>
      </c>
      <c r="H126" s="578">
        <v>2019</v>
      </c>
      <c r="I126" s="578">
        <v>2020</v>
      </c>
      <c r="J126" s="578">
        <v>2021</v>
      </c>
      <c r="K126" s="578">
        <v>2022</v>
      </c>
      <c r="L126" s="578">
        <v>2023</v>
      </c>
      <c r="M126" s="578">
        <v>2024</v>
      </c>
      <c r="N126" s="578">
        <v>2025</v>
      </c>
    </row>
    <row r="127" spans="1:15" s="598" customFormat="1">
      <c r="A127" s="597"/>
      <c r="E127" s="2513" t="str">
        <f>IFERROR(IF([1]K_Summary!$E$112 = "", "", [1]K_Summary!$E$112 ),"")</f>
        <v/>
      </c>
      <c r="F127" s="2514"/>
      <c r="G127" s="599" t="s">
        <v>1022</v>
      </c>
      <c r="H127" s="84" t="str">
        <f>IFERROR(IF([1]K_Summary!$H$112 = "", "", [1]K_Summary!$H$112 ),"")</f>
        <v/>
      </c>
      <c r="I127" s="84" t="str">
        <f>IFERROR(IF([1]K_Summary!$I$112 = "", "", [1]K_Summary!$I$112 ),"")</f>
        <v/>
      </c>
      <c r="J127" s="84" t="str">
        <f>IFERROR(IF([1]K_Summary!$J$112 = "", "", [1]K_Summary!$J$112 ),"")</f>
        <v/>
      </c>
      <c r="K127" s="84" t="str">
        <f>IFERROR(IF([1]K_Summary!$K$112 = "", "", [1]K_Summary!$K$112 ),"")</f>
        <v/>
      </c>
      <c r="L127" s="84" t="str">
        <f>IFERROR(IF([1]K_Summary!$L$112 = "", "", [1]K_Summary!$L$112 ),"")</f>
        <v/>
      </c>
      <c r="M127" s="84" t="str">
        <f>IFERROR(IF([1]K_Summary!$M$112 = "", "", [1]K_Summary!$M$112 ),"")</f>
        <v/>
      </c>
      <c r="N127" s="84" t="str">
        <f>IFERROR(IF([1]K_Summary!$N$112 = "", "", [1]K_Summary!$N$112 ),"")</f>
        <v/>
      </c>
      <c r="O127" s="601"/>
    </row>
    <row r="128" spans="1:15" s="598" customFormat="1">
      <c r="A128" s="597"/>
      <c r="E128" s="2506" t="str">
        <f>IFERROR(IF([1]K_Summary!$E$113 = "", "", [1]K_Summary!$E$113 ),"")</f>
        <v/>
      </c>
      <c r="F128" s="2507"/>
      <c r="G128" s="602" t="s">
        <v>1022</v>
      </c>
      <c r="H128" s="85" t="str">
        <f>IFERROR(IF([1]K_Summary!$H$113 = "", "", [1]K_Summary!$H$113 ),"")</f>
        <v/>
      </c>
      <c r="I128" s="85" t="str">
        <f>IFERROR(IF([1]K_Summary!$I$113 = "", "", [1]K_Summary!$I$113 ),"")</f>
        <v/>
      </c>
      <c r="J128" s="85" t="str">
        <f>IFERROR(IF([1]K_Summary!$J$113 = "", "", [1]K_Summary!$J$113 ),"")</f>
        <v/>
      </c>
      <c r="K128" s="85" t="str">
        <f>IFERROR(IF([1]K_Summary!$K$113 = "", "", [1]K_Summary!$K$113 ),"")</f>
        <v/>
      </c>
      <c r="L128" s="85" t="str">
        <f>IFERROR(IF([1]K_Summary!$L$113 = "", "", [1]K_Summary!$L$113 ),"")</f>
        <v/>
      </c>
      <c r="M128" s="85" t="str">
        <f>IFERROR(IF([1]K_Summary!$M$113 = "", "", [1]K_Summary!$M$113 ),"")</f>
        <v/>
      </c>
      <c r="N128" s="85" t="str">
        <f>IFERROR(IF([1]K_Summary!$N$113 = "", "", [1]K_Summary!$N$113 ),"")</f>
        <v/>
      </c>
      <c r="O128" s="601"/>
    </row>
    <row r="129" spans="1:15" s="598" customFormat="1">
      <c r="A129" s="597"/>
      <c r="E129" s="2506" t="str">
        <f>IFERROR(IF([1]K_Summary!$E$114 = "", "", [1]K_Summary!$E$114 ),"")</f>
        <v/>
      </c>
      <c r="F129" s="2507"/>
      <c r="G129" s="602" t="s">
        <v>1022</v>
      </c>
      <c r="H129" s="85" t="str">
        <f>IFERROR(IF([1]K_Summary!$H$114 = "", "", [1]K_Summary!$H$114 ),"")</f>
        <v/>
      </c>
      <c r="I129" s="85" t="str">
        <f>IFERROR(IF([1]K_Summary!$I$114 = "", "", [1]K_Summary!$I$114 ),"")</f>
        <v/>
      </c>
      <c r="J129" s="85" t="str">
        <f>IFERROR(IF([1]K_Summary!$J$114 = "", "", [1]K_Summary!$J$114 ),"")</f>
        <v/>
      </c>
      <c r="K129" s="85" t="str">
        <f>IFERROR(IF([1]K_Summary!$K$114 = "", "", [1]K_Summary!$K$114 ),"")</f>
        <v/>
      </c>
      <c r="L129" s="85" t="str">
        <f>IFERROR(IF([1]K_Summary!$L$114 = "", "", [1]K_Summary!$L$114 ),"")</f>
        <v/>
      </c>
      <c r="M129" s="85" t="str">
        <f>IFERROR(IF([1]K_Summary!$M$114 = "", "", [1]K_Summary!$M$114 ),"")</f>
        <v/>
      </c>
      <c r="N129" s="85" t="str">
        <f>IFERROR(IF([1]K_Summary!$N$114 = "", "", [1]K_Summary!$N$114 ),"")</f>
        <v/>
      </c>
      <c r="O129" s="601"/>
    </row>
    <row r="130" spans="1:15" s="598" customFormat="1">
      <c r="A130" s="597"/>
      <c r="E130" s="2506" t="str">
        <f>IFERROR(IF([1]K_Summary!$E$115 = "", "", [1]K_Summary!$E$115 ),"")</f>
        <v/>
      </c>
      <c r="F130" s="2507"/>
      <c r="G130" s="602" t="s">
        <v>1022</v>
      </c>
      <c r="H130" s="85" t="str">
        <f>IFERROR(IF([1]K_Summary!$H$115 = "", "", [1]K_Summary!$H$115 ),"")</f>
        <v/>
      </c>
      <c r="I130" s="85" t="str">
        <f>IFERROR(IF([1]K_Summary!$I$115 = "", "", [1]K_Summary!$I$115 ),"")</f>
        <v/>
      </c>
      <c r="J130" s="85" t="str">
        <f>IFERROR(IF([1]K_Summary!$J$115 = "", "", [1]K_Summary!$J$115 ),"")</f>
        <v/>
      </c>
      <c r="K130" s="85" t="str">
        <f>IFERROR(IF([1]K_Summary!$K$115 = "", "", [1]K_Summary!$K$115 ),"")</f>
        <v/>
      </c>
      <c r="L130" s="85" t="str">
        <f>IFERROR(IF([1]K_Summary!$L$115 = "", "", [1]K_Summary!$L$115 ),"")</f>
        <v/>
      </c>
      <c r="M130" s="85" t="str">
        <f>IFERROR(IF([1]K_Summary!$M$115 = "", "", [1]K_Summary!$M$115 ),"")</f>
        <v/>
      </c>
      <c r="N130" s="85" t="str">
        <f>IFERROR(IF([1]K_Summary!$N$115 = "", "", [1]K_Summary!$N$115 ),"")</f>
        <v/>
      </c>
      <c r="O130" s="601"/>
    </row>
    <row r="131" spans="1:15" s="598" customFormat="1">
      <c r="A131" s="597"/>
      <c r="E131" s="2506" t="str">
        <f>IFERROR(IF([1]K_Summary!$E$116 = "", "", [1]K_Summary!$E$116 ),"")</f>
        <v/>
      </c>
      <c r="F131" s="2507"/>
      <c r="G131" s="602" t="s">
        <v>1022</v>
      </c>
      <c r="H131" s="85" t="str">
        <f>IFERROR(IF([1]K_Summary!$H$116 = "", "", [1]K_Summary!$H$116 ),"")</f>
        <v/>
      </c>
      <c r="I131" s="85" t="str">
        <f>IFERROR(IF([1]K_Summary!$I$116 = "", "", [1]K_Summary!$I$116 ),"")</f>
        <v/>
      </c>
      <c r="J131" s="85" t="str">
        <f>IFERROR(IF([1]K_Summary!$J$116 = "", "", [1]K_Summary!$J$116 ),"")</f>
        <v/>
      </c>
      <c r="K131" s="85" t="str">
        <f>IFERROR(IF([1]K_Summary!$K$116 = "", "", [1]K_Summary!$K$116 ),"")</f>
        <v/>
      </c>
      <c r="L131" s="85" t="str">
        <f>IFERROR(IF([1]K_Summary!$L$116 = "", "", [1]K_Summary!$L$116 ),"")</f>
        <v/>
      </c>
      <c r="M131" s="85" t="str">
        <f>IFERROR(IF([1]K_Summary!$M$116 = "", "", [1]K_Summary!$M$116 ),"")</f>
        <v/>
      </c>
      <c r="N131" s="85" t="str">
        <f>IFERROR(IF([1]K_Summary!$N$116 = "", "", [1]K_Summary!$N$116 ),"")</f>
        <v/>
      </c>
      <c r="O131" s="601"/>
    </row>
    <row r="132" spans="1:15" s="598" customFormat="1">
      <c r="A132" s="597"/>
      <c r="E132" s="2506" t="str">
        <f>IFERROR(IF([1]K_Summary!$E$117 = "", "", [1]K_Summary!$E$117 ),"")</f>
        <v/>
      </c>
      <c r="F132" s="2507"/>
      <c r="G132" s="602" t="s">
        <v>1022</v>
      </c>
      <c r="H132" s="85" t="str">
        <f>IFERROR(IF([1]K_Summary!$H$117 = "", "", [1]K_Summary!$H$117 ),"")</f>
        <v/>
      </c>
      <c r="I132" s="85" t="str">
        <f>IFERROR(IF([1]K_Summary!$I$117 = "", "", [1]K_Summary!$I$117 ),"")</f>
        <v/>
      </c>
      <c r="J132" s="85" t="str">
        <f>IFERROR(IF([1]K_Summary!$J$117 = "", "", [1]K_Summary!$J$117 ),"")</f>
        <v/>
      </c>
      <c r="K132" s="85" t="str">
        <f>IFERROR(IF([1]K_Summary!$K$117 = "", "", [1]K_Summary!$K$117 ),"")</f>
        <v/>
      </c>
      <c r="L132" s="85" t="str">
        <f>IFERROR(IF([1]K_Summary!$L$117 = "", "", [1]K_Summary!$L$117 ),"")</f>
        <v/>
      </c>
      <c r="M132" s="85" t="str">
        <f>IFERROR(IF([1]K_Summary!$M$117 = "", "", [1]K_Summary!$M$117 ),"")</f>
        <v/>
      </c>
      <c r="N132" s="85" t="str">
        <f>IFERROR(IF([1]K_Summary!$N$117 = "", "", [1]K_Summary!$N$117 ),"")</f>
        <v/>
      </c>
      <c r="O132" s="601"/>
    </row>
    <row r="133" spans="1:15" s="598" customFormat="1">
      <c r="A133" s="597"/>
      <c r="E133" s="2506" t="str">
        <f>IFERROR(IF([1]K_Summary!$E$118 = "", "", [1]K_Summary!$E$118 ),"")</f>
        <v/>
      </c>
      <c r="F133" s="2507"/>
      <c r="G133" s="602" t="s">
        <v>1022</v>
      </c>
      <c r="H133" s="85" t="str">
        <f>IFERROR(IF([1]K_Summary!$H$118 = "", "", [1]K_Summary!$H$118 ),"")</f>
        <v/>
      </c>
      <c r="I133" s="85" t="str">
        <f>IFERROR(IF([1]K_Summary!$I$118 = "", "", [1]K_Summary!$I$118 ),"")</f>
        <v/>
      </c>
      <c r="J133" s="85" t="str">
        <f>IFERROR(IF([1]K_Summary!$J$118 = "", "", [1]K_Summary!$J$118 ),"")</f>
        <v/>
      </c>
      <c r="K133" s="85" t="str">
        <f>IFERROR(IF([1]K_Summary!$K$118 = "", "", [1]K_Summary!$K$118 ),"")</f>
        <v/>
      </c>
      <c r="L133" s="85" t="str">
        <f>IFERROR(IF([1]K_Summary!$L$118 = "", "", [1]K_Summary!$L$118 ),"")</f>
        <v/>
      </c>
      <c r="M133" s="85" t="str">
        <f>IFERROR(IF([1]K_Summary!$M$118 = "", "", [1]K_Summary!$M$118 ),"")</f>
        <v/>
      </c>
      <c r="N133" s="85" t="str">
        <f>IFERROR(IF([1]K_Summary!$N$118 = "", "", [1]K_Summary!$N$118 ),"")</f>
        <v/>
      </c>
      <c r="O133" s="601"/>
    </row>
    <row r="134" spans="1:15" s="598" customFormat="1">
      <c r="A134" s="597"/>
      <c r="E134" s="2506" t="str">
        <f>IFERROR(IF([1]K_Summary!$E$119 = "", "", [1]K_Summary!$E$119 ),"")</f>
        <v/>
      </c>
      <c r="F134" s="2507"/>
      <c r="G134" s="602" t="s">
        <v>1022</v>
      </c>
      <c r="H134" s="85" t="str">
        <f>IFERROR(IF([1]K_Summary!$H$119 = "", "", [1]K_Summary!$H$119 ),"")</f>
        <v/>
      </c>
      <c r="I134" s="85" t="str">
        <f>IFERROR(IF([1]K_Summary!$I$119 = "", "", [1]K_Summary!$I$119 ),"")</f>
        <v/>
      </c>
      <c r="J134" s="85" t="str">
        <f>IFERROR(IF([1]K_Summary!$J$119 = "", "", [1]K_Summary!$J$119 ),"")</f>
        <v/>
      </c>
      <c r="K134" s="85" t="str">
        <f>IFERROR(IF([1]K_Summary!$K$119 = "", "", [1]K_Summary!$K$119 ),"")</f>
        <v/>
      </c>
      <c r="L134" s="85" t="str">
        <f>IFERROR(IF([1]K_Summary!$L$119 = "", "", [1]K_Summary!$L$119 ),"")</f>
        <v/>
      </c>
      <c r="M134" s="85" t="str">
        <f>IFERROR(IF([1]K_Summary!$M$119 = "", "", [1]K_Summary!$M$119 ),"")</f>
        <v/>
      </c>
      <c r="N134" s="85" t="str">
        <f>IFERROR(IF([1]K_Summary!$N$119 = "", "", [1]K_Summary!$N$119 ),"")</f>
        <v/>
      </c>
      <c r="O134" s="601"/>
    </row>
    <row r="135" spans="1:15" s="598" customFormat="1">
      <c r="A135" s="597"/>
      <c r="E135" s="2506" t="str">
        <f>IFERROR(IF([1]K_Summary!$E$120 = "", "", [1]K_Summary!$E$120 ),"")</f>
        <v/>
      </c>
      <c r="F135" s="2507"/>
      <c r="G135" s="602" t="s">
        <v>1022</v>
      </c>
      <c r="H135" s="85" t="str">
        <f>IFERROR(IF([1]K_Summary!$H$120 = "", "", [1]K_Summary!$H$120 ),"")</f>
        <v/>
      </c>
      <c r="I135" s="85" t="str">
        <f>IFERROR(IF([1]K_Summary!$I$120 = "", "", [1]K_Summary!$I$120 ),"")</f>
        <v/>
      </c>
      <c r="J135" s="85" t="str">
        <f>IFERROR(IF([1]K_Summary!$J$120 = "", "", [1]K_Summary!$J$120 ),"")</f>
        <v/>
      </c>
      <c r="K135" s="85" t="str">
        <f>IFERROR(IF([1]K_Summary!$K$120 = "", "", [1]K_Summary!$K$120 ),"")</f>
        <v/>
      </c>
      <c r="L135" s="85" t="str">
        <f>IFERROR(IF([1]K_Summary!$L$120 = "", "", [1]K_Summary!$L$120 ),"")</f>
        <v/>
      </c>
      <c r="M135" s="85" t="str">
        <f>IFERROR(IF([1]K_Summary!$M$120 = "", "", [1]K_Summary!$M$120 ),"")</f>
        <v/>
      </c>
      <c r="N135" s="85" t="str">
        <f>IFERROR(IF([1]K_Summary!$N$120 = "", "", [1]K_Summary!$N$120 ),"")</f>
        <v/>
      </c>
      <c r="O135" s="601"/>
    </row>
    <row r="136" spans="1:15" s="598" customFormat="1">
      <c r="A136" s="597"/>
      <c r="E136" s="2520" t="str">
        <f>IFERROR(IF([1]K_Summary!$E$121 = "", "", [1]K_Summary!$E$121 ),"")</f>
        <v/>
      </c>
      <c r="F136" s="2521"/>
      <c r="G136" s="619" t="s">
        <v>1022</v>
      </c>
      <c r="H136" s="86" t="str">
        <f>IFERROR(IF([1]K_Summary!$H$121 = "", "", [1]K_Summary!$H$121 ),"")</f>
        <v/>
      </c>
      <c r="I136" s="86" t="str">
        <f>IFERROR(IF([1]K_Summary!$I$121 = "", "", [1]K_Summary!$I$121 ),"")</f>
        <v/>
      </c>
      <c r="J136" s="86" t="str">
        <f>IFERROR(IF([1]K_Summary!$J$121 = "", "", [1]K_Summary!$J$121 ),"")</f>
        <v/>
      </c>
      <c r="K136" s="86" t="str">
        <f>IFERROR(IF([1]K_Summary!$K$121 = "", "", [1]K_Summary!$K$121 ),"")</f>
        <v/>
      </c>
      <c r="L136" s="86" t="str">
        <f>IFERROR(IF([1]K_Summary!$L$121 = "", "", [1]K_Summary!$L$121 ),"")</f>
        <v/>
      </c>
      <c r="M136" s="86" t="str">
        <f>IFERROR(IF([1]K_Summary!$M$121 = "", "", [1]K_Summary!$M$121 ),"")</f>
        <v/>
      </c>
      <c r="N136" s="86" t="str">
        <f>IFERROR(IF([1]K_Summary!$N$121 = "", "", [1]K_Summary!$N$121 ),"")</f>
        <v/>
      </c>
      <c r="O136" s="601"/>
    </row>
    <row r="137" spans="1:15" s="598" customFormat="1">
      <c r="A137" s="597"/>
      <c r="E137" s="2523" t="s">
        <v>275</v>
      </c>
      <c r="F137" s="2500"/>
      <c r="G137" s="602" t="s">
        <v>1022</v>
      </c>
      <c r="H137" s="85" t="str">
        <f>IFERROR(IF([1]K_Summary!$H$122 = "", "", [1]K_Summary!$H$122 ),"")</f>
        <v/>
      </c>
      <c r="I137" s="85" t="str">
        <f>IFERROR(IF([1]K_Summary!$I$122 = "", "", [1]K_Summary!$I$122 ),"")</f>
        <v/>
      </c>
      <c r="J137" s="85" t="str">
        <f>IFERROR(IF([1]K_Summary!$J$122 = "", "", [1]K_Summary!$J$122 ),"")</f>
        <v/>
      </c>
      <c r="K137" s="85" t="str">
        <f>IFERROR(IF([1]K_Summary!$K$122 = "", "", [1]K_Summary!$K$122 ),"")</f>
        <v/>
      </c>
      <c r="L137" s="85" t="str">
        <f>IFERROR(IF([1]K_Summary!$L$122 = "", "", [1]K_Summary!$L$122 ),"")</f>
        <v/>
      </c>
      <c r="M137" s="85" t="str">
        <f>IFERROR(IF([1]K_Summary!$M$122 = "", "", [1]K_Summary!$M$122 ),"")</f>
        <v/>
      </c>
      <c r="N137" s="85" t="str">
        <f>IFERROR(IF([1]K_Summary!$N$122 = "", "", [1]K_Summary!$N$122 ),"")</f>
        <v/>
      </c>
      <c r="O137" s="601"/>
    </row>
    <row r="138" spans="1:15" s="598" customFormat="1">
      <c r="A138" s="597"/>
      <c r="E138" s="2515" t="s">
        <v>276</v>
      </c>
      <c r="F138" s="2516"/>
      <c r="G138" s="608" t="s">
        <v>1022</v>
      </c>
      <c r="H138" s="87" t="str">
        <f>IFERROR(IF([1]K_Summary!$H$123 = "", "", [1]K_Summary!$H$123 ),"")</f>
        <v/>
      </c>
      <c r="I138" s="87" t="str">
        <f>IFERROR(IF([1]K_Summary!$I$123 = "", "", [1]K_Summary!$I$123 ),"")</f>
        <v/>
      </c>
      <c r="J138" s="87" t="str">
        <f>IFERROR(IF([1]K_Summary!$J$123 = "", "", [1]K_Summary!$J$123 ),"")</f>
        <v/>
      </c>
      <c r="K138" s="87" t="str">
        <f>IFERROR(IF([1]K_Summary!$K$123 = "", "", [1]K_Summary!$K$123 ),"")</f>
        <v/>
      </c>
      <c r="L138" s="87" t="str">
        <f>IFERROR(IF([1]K_Summary!$L$123 = "", "", [1]K_Summary!$L$123 ),"")</f>
        <v/>
      </c>
      <c r="M138" s="87" t="str">
        <f>IFERROR(IF([1]K_Summary!$M$123 = "", "", [1]K_Summary!$M$123 ),"")</f>
        <v/>
      </c>
      <c r="N138" s="87" t="str">
        <f>IFERROR(IF([1]K_Summary!$N$123 = "", "", [1]K_Summary!$N$123 ),"")</f>
        <v/>
      </c>
      <c r="O138" s="601"/>
    </row>
    <row r="139" spans="1:15" s="598" customFormat="1">
      <c r="A139" s="597"/>
      <c r="E139" s="2515" t="s">
        <v>1209</v>
      </c>
      <c r="F139" s="2516"/>
      <c r="G139" s="608" t="s">
        <v>1022</v>
      </c>
      <c r="H139" s="87" t="str">
        <f>IFERROR(IF([1]K_Summary!$H$124 = "", "", [1]K_Summary!$H$124 ),"")</f>
        <v/>
      </c>
      <c r="I139" s="87" t="str">
        <f>IFERROR(IF([1]K_Summary!$I$124 = "", "", [1]K_Summary!$I$124 ),"")</f>
        <v/>
      </c>
      <c r="J139" s="87" t="str">
        <f>IFERROR(IF([1]K_Summary!$J$124 = "", "", [1]K_Summary!$J$124 ),"")</f>
        <v/>
      </c>
      <c r="K139" s="87" t="str">
        <f>IFERROR(IF([1]K_Summary!$K$124 = "", "", [1]K_Summary!$K$124 ),"")</f>
        <v/>
      </c>
      <c r="L139" s="87" t="str">
        <f>IFERROR(IF([1]K_Summary!$L$124 = "", "", [1]K_Summary!$L$124 ),"")</f>
        <v/>
      </c>
      <c r="M139" s="87" t="str">
        <f>IFERROR(IF([1]K_Summary!$M$124 = "", "", [1]K_Summary!$M$124 ),"")</f>
        <v/>
      </c>
      <c r="N139" s="87" t="str">
        <f>IFERROR(IF([1]K_Summary!$N$124 = "", "", [1]K_Summary!$N$124 ),"")</f>
        <v/>
      </c>
      <c r="O139" s="601"/>
    </row>
    <row r="140" spans="1:15" s="598" customFormat="1">
      <c r="A140" s="597"/>
      <c r="E140" s="2515" t="s">
        <v>277</v>
      </c>
      <c r="F140" s="2516"/>
      <c r="G140" s="608" t="s">
        <v>1022</v>
      </c>
      <c r="H140" s="88" t="str">
        <f>IFERROR(IF([1]K_Summary!$H$125 = "", "", [1]K_Summary!$H$125 ),"")</f>
        <v/>
      </c>
      <c r="I140" s="88" t="str">
        <f>IFERROR(IF([1]K_Summary!$I$125 = "", "", [1]K_Summary!$I$125 ),"")</f>
        <v/>
      </c>
      <c r="J140" s="88" t="str">
        <f>IFERROR(IF([1]K_Summary!$J$125 = "", "", [1]K_Summary!$J$125 ),"")</f>
        <v/>
      </c>
      <c r="K140" s="88" t="str">
        <f>IFERROR(IF([1]K_Summary!$K$125 = "", "", [1]K_Summary!$K$125 ),"")</f>
        <v/>
      </c>
      <c r="L140" s="88" t="str">
        <f>IFERROR(IF([1]K_Summary!$L$125 = "", "", [1]K_Summary!$L$125 ),"")</f>
        <v/>
      </c>
      <c r="M140" s="88" t="str">
        <f>IFERROR(IF([1]K_Summary!$M$125 = "", "", [1]K_Summary!$M$125 ),"")</f>
        <v/>
      </c>
      <c r="N140" s="88" t="str">
        <f>IFERROR(IF([1]K_Summary!$N$125 = "", "", [1]K_Summary!$N$125 ),"")</f>
        <v/>
      </c>
      <c r="O140" s="601"/>
    </row>
    <row r="141" spans="1:15" s="598" customFormat="1" ht="13.5" thickBot="1">
      <c r="A141" s="597"/>
      <c r="E141" s="2524" t="s">
        <v>278</v>
      </c>
      <c r="F141" s="2525"/>
      <c r="G141" s="610" t="s">
        <v>1022</v>
      </c>
      <c r="H141" s="89" t="str">
        <f>IFERROR(IF([1]K_Summary!$H$126 = "", "", [1]K_Summary!$H$126 ),"")</f>
        <v/>
      </c>
      <c r="I141" s="89" t="str">
        <f>IFERROR(IF([1]K_Summary!$I$126 = "", "", [1]K_Summary!$I$126 ),"")</f>
        <v/>
      </c>
      <c r="J141" s="89" t="str">
        <f>IFERROR(IF([1]K_Summary!$J$126 = "", "", [1]K_Summary!$J$126 ),"")</f>
        <v/>
      </c>
      <c r="K141" s="89" t="str">
        <f>IFERROR(IF([1]K_Summary!$K$126 = "", "", [1]K_Summary!$K$126 ),"")</f>
        <v/>
      </c>
      <c r="L141" s="89" t="str">
        <f>IFERROR(IF([1]K_Summary!$L$126 = "", "", [1]K_Summary!$L$126 ),"")</f>
        <v/>
      </c>
      <c r="M141" s="89" t="str">
        <f>IFERROR(IF([1]K_Summary!$M$126 = "", "", [1]K_Summary!$M$126 ),"")</f>
        <v/>
      </c>
      <c r="N141" s="89" t="str">
        <f>IFERROR(IF([1]K_Summary!$N$126 = "", "", [1]K_Summary!$N$126 ),"")</f>
        <v/>
      </c>
      <c r="O141" s="601"/>
    </row>
    <row r="142" spans="1:15" s="598" customFormat="1">
      <c r="A142" s="597"/>
      <c r="E142" s="2526" t="s">
        <v>279</v>
      </c>
      <c r="F142" s="2527"/>
      <c r="G142" s="612" t="s">
        <v>1022</v>
      </c>
      <c r="H142" s="90" t="str">
        <f>IFERROR(IF([1]K_Summary!$H$127 = "", "", [1]K_Summary!$H$127 ),"")</f>
        <v/>
      </c>
      <c r="I142" s="90" t="str">
        <f>IFERROR(IF([1]K_Summary!$I$127 = "", "", [1]K_Summary!$I$127 ),"")</f>
        <v/>
      </c>
      <c r="J142" s="90" t="str">
        <f>IFERROR(IF([1]K_Summary!$J$127 = "", "", [1]K_Summary!$J$127 ),"")</f>
        <v/>
      </c>
      <c r="K142" s="90" t="str">
        <f>IFERROR(IF([1]K_Summary!$K$127 = "", "", [1]K_Summary!$K$127 ),"")</f>
        <v/>
      </c>
      <c r="L142" s="90" t="str">
        <f>IFERROR(IF([1]K_Summary!$L$127 = "", "", [1]K_Summary!$L$127 ),"")</f>
        <v/>
      </c>
      <c r="M142" s="90" t="str">
        <f>IFERROR(IF([1]K_Summary!$M$127 = "", "", [1]K_Summary!$M$127 ),"")</f>
        <v/>
      </c>
      <c r="N142" s="90" t="str">
        <f>IFERROR(IF([1]K_Summary!$N$127 = "", "", [1]K_Summary!$N$127 ),"")</f>
        <v/>
      </c>
      <c r="O142" s="601"/>
    </row>
    <row r="143" spans="1:15" s="598" customFormat="1" ht="13.5" thickBot="1">
      <c r="A143" s="597"/>
      <c r="E143" s="2528" t="s">
        <v>280</v>
      </c>
      <c r="F143" s="2525"/>
      <c r="G143" s="614" t="s">
        <v>1022</v>
      </c>
      <c r="H143" s="91" t="str">
        <f>IFERROR(IF([1]K_Summary!$H$128 = "", "", [1]K_Summary!$H$128 ),"")</f>
        <v/>
      </c>
      <c r="I143" s="91" t="str">
        <f>IFERROR(IF([1]K_Summary!$I$128 = "", "", [1]K_Summary!$I$128 ),"")</f>
        <v/>
      </c>
      <c r="J143" s="91" t="str">
        <f>IFERROR(IF([1]K_Summary!$J$128 = "", "", [1]K_Summary!$J$128 ),"")</f>
        <v/>
      </c>
      <c r="K143" s="91" t="str">
        <f>IFERROR(IF([1]K_Summary!$K$128 = "", "", [1]K_Summary!$K$128 ),"")</f>
        <v/>
      </c>
      <c r="L143" s="91" t="str">
        <f>IFERROR(IF([1]K_Summary!$L$128 = "", "", [1]K_Summary!$L$128 ),"")</f>
        <v/>
      </c>
      <c r="M143" s="91" t="str">
        <f>IFERROR(IF([1]K_Summary!$M$128 = "", "", [1]K_Summary!$M$128 ),"")</f>
        <v/>
      </c>
      <c r="N143" s="91" t="str">
        <f>IFERROR(IF([1]K_Summary!$N$128 = "", "", [1]K_Summary!$N$128 ),"")</f>
        <v/>
      </c>
      <c r="O143" s="601"/>
    </row>
    <row r="144" spans="1:15" s="598" customFormat="1">
      <c r="A144" s="597"/>
      <c r="C144" s="620"/>
      <c r="D144" s="621"/>
      <c r="E144" s="2529" t="s">
        <v>1263</v>
      </c>
      <c r="F144" s="2530"/>
      <c r="G144" s="604" t="s">
        <v>1022</v>
      </c>
      <c r="H144" s="92" t="str">
        <f>IFERROR(IF([1]K_Summary!$H$129 = "", "", [1]K_Summary!$H$129 ),"")</f>
        <v/>
      </c>
      <c r="I144" s="92" t="str">
        <f>IFERROR(IF([1]K_Summary!$I$129 = "", "", [1]K_Summary!$I$129 ),"")</f>
        <v/>
      </c>
      <c r="J144" s="92" t="str">
        <f>IFERROR(IF([1]K_Summary!$J$129 = "", "", [1]K_Summary!$J$129 ),"")</f>
        <v/>
      </c>
      <c r="K144" s="92" t="str">
        <f>IFERROR(IF([1]K_Summary!$K$129 = "", "", [1]K_Summary!$K$129 ),"")</f>
        <v/>
      </c>
      <c r="L144" s="92" t="str">
        <f>IFERROR(IF([1]K_Summary!$L$129 = "", "", [1]K_Summary!$L$129 ),"")</f>
        <v/>
      </c>
      <c r="M144" s="92" t="str">
        <f>IFERROR(IF([1]K_Summary!$M$129 = "", "", [1]K_Summary!$M$129 ),"")</f>
        <v/>
      </c>
      <c r="N144" s="92" t="str">
        <f>IFERROR(IF([1]K_Summary!$N$129 = "", "", [1]K_Summary!$N$129 ),"")</f>
        <v/>
      </c>
      <c r="O144" s="601"/>
    </row>
    <row r="145" spans="1:15">
      <c r="C145" s="485"/>
      <c r="D145" s="485"/>
      <c r="E145" s="485"/>
      <c r="F145" s="485"/>
      <c r="G145" s="485"/>
      <c r="H145" s="485"/>
      <c r="I145" s="485"/>
      <c r="J145" s="485"/>
      <c r="K145" s="485"/>
      <c r="L145" s="485"/>
      <c r="M145" s="485"/>
      <c r="N145" s="485"/>
    </row>
    <row r="146" spans="1:15" ht="15">
      <c r="C146" s="559">
        <v>3</v>
      </c>
      <c r="D146" s="2464" t="s">
        <v>1417</v>
      </c>
      <c r="E146" s="2391"/>
      <c r="F146" s="2391"/>
      <c r="G146" s="2391"/>
      <c r="H146" s="2391"/>
      <c r="I146" s="2391"/>
      <c r="J146" s="2391"/>
      <c r="K146" s="2391"/>
      <c r="L146" s="2391"/>
      <c r="M146" s="2391"/>
      <c r="N146" s="2391"/>
    </row>
    <row r="147" spans="1:15">
      <c r="C147" s="467"/>
      <c r="D147" s="467"/>
      <c r="E147" s="467"/>
      <c r="F147" s="467"/>
      <c r="G147" s="467"/>
      <c r="H147" s="467"/>
      <c r="I147" s="467"/>
      <c r="J147" s="467"/>
      <c r="K147" s="467"/>
      <c r="L147" s="467"/>
      <c r="M147" s="481"/>
      <c r="N147" s="481"/>
    </row>
    <row r="148" spans="1:15">
      <c r="C148" s="467"/>
      <c r="D148" s="482" t="s">
        <v>400</v>
      </c>
      <c r="E148" s="2508" t="s">
        <v>1404</v>
      </c>
      <c r="F148" s="2391"/>
      <c r="G148" s="2391"/>
      <c r="H148" s="2391"/>
      <c r="I148" s="2391"/>
      <c r="J148" s="2391"/>
      <c r="K148" s="2391"/>
      <c r="L148" s="2512"/>
      <c r="M148" s="120" t="str">
        <f>IFERROR(IF([1]K_Summary!$M$133 = "", "", [1]K_Summary!$M$133 ),"")</f>
        <v/>
      </c>
      <c r="N148" s="515"/>
    </row>
    <row r="149" spans="1:15">
      <c r="C149" s="485"/>
      <c r="D149" s="485"/>
      <c r="E149" s="485"/>
      <c r="F149" s="485"/>
      <c r="G149" s="485"/>
      <c r="H149" s="485"/>
      <c r="I149" s="485"/>
      <c r="J149" s="485"/>
      <c r="K149" s="485"/>
      <c r="L149" s="485"/>
      <c r="M149" s="485"/>
      <c r="N149" s="485"/>
    </row>
    <row r="150" spans="1:15">
      <c r="C150" s="485"/>
      <c r="D150" s="485"/>
      <c r="E150" s="2509" t="s">
        <v>1402</v>
      </c>
      <c r="F150" s="2493"/>
      <c r="G150" s="577" t="s">
        <v>884</v>
      </c>
      <c r="H150" s="578">
        <v>2019</v>
      </c>
      <c r="I150" s="578">
        <v>2020</v>
      </c>
      <c r="J150" s="578">
        <v>2021</v>
      </c>
      <c r="K150" s="578">
        <v>2022</v>
      </c>
      <c r="L150" s="578">
        <v>2023</v>
      </c>
      <c r="M150" s="578">
        <v>2024</v>
      </c>
      <c r="N150" s="578">
        <v>2025</v>
      </c>
    </row>
    <row r="151" spans="1:15" s="598" customFormat="1">
      <c r="A151" s="597"/>
      <c r="C151" s="620"/>
      <c r="D151" s="620"/>
      <c r="E151" s="2519" t="s">
        <v>1121</v>
      </c>
      <c r="F151" s="2498"/>
      <c r="G151" s="622" t="s">
        <v>2017</v>
      </c>
      <c r="H151" s="126" t="str">
        <f>IFERROR(IF([1]K_Summary!$H$136 = "", "", [1]K_Summary!$H$136 ),"")</f>
        <v/>
      </c>
      <c r="I151" s="126" t="str">
        <f>IFERROR(IF([1]K_Summary!$I$136 = "", "", [1]K_Summary!$I$136 ),"")</f>
        <v/>
      </c>
      <c r="J151" s="126" t="str">
        <f>IFERROR(IF([1]K_Summary!$J$136 = "", "", [1]K_Summary!$J$136 ),"")</f>
        <v/>
      </c>
      <c r="K151" s="126" t="str">
        <f>IFERROR(IF([1]K_Summary!$K$136 = "", "", [1]K_Summary!$K$136 ),"")</f>
        <v/>
      </c>
      <c r="L151" s="126" t="str">
        <f>IFERROR(IF([1]K_Summary!$L$136 = "", "", [1]K_Summary!$L$136 ),"")</f>
        <v/>
      </c>
      <c r="M151" s="126" t="str">
        <f>IFERROR(IF([1]K_Summary!$M$136 = "", "", [1]K_Summary!$M$136 ),"")</f>
        <v/>
      </c>
      <c r="N151" s="126" t="str">
        <f>IFERROR(IF([1]K_Summary!$N$136 = "", "", [1]K_Summary!$N$136 ),"")</f>
        <v/>
      </c>
      <c r="O151" s="601"/>
    </row>
    <row r="152" spans="1:15" s="598" customFormat="1">
      <c r="A152" s="597"/>
      <c r="C152" s="620"/>
      <c r="D152" s="620"/>
      <c r="E152" s="2523" t="s">
        <v>1122</v>
      </c>
      <c r="F152" s="2500"/>
      <c r="G152" s="624" t="s">
        <v>2017</v>
      </c>
      <c r="H152" s="127" t="str">
        <f>IFERROR(IF([1]K_Summary!$H$137 = "", "", [1]K_Summary!$H$137 ),"")</f>
        <v/>
      </c>
      <c r="I152" s="127" t="str">
        <f>IFERROR(IF([1]K_Summary!$I$137 = "", "", [1]K_Summary!$I$137 ),"")</f>
        <v/>
      </c>
      <c r="J152" s="127" t="str">
        <f>IFERROR(IF([1]K_Summary!$J$137 = "", "", [1]K_Summary!$J$137 ),"")</f>
        <v/>
      </c>
      <c r="K152" s="127" t="str">
        <f>IFERROR(IF([1]K_Summary!$K$137 = "", "", [1]K_Summary!$K$137 ),"")</f>
        <v/>
      </c>
      <c r="L152" s="127" t="str">
        <f>IFERROR(IF([1]K_Summary!$L$137 = "", "", [1]K_Summary!$L$137 ),"")</f>
        <v/>
      </c>
      <c r="M152" s="127" t="str">
        <f>IFERROR(IF([1]K_Summary!$M$137 = "", "", [1]K_Summary!$M$137 ),"")</f>
        <v/>
      </c>
      <c r="N152" s="127" t="str">
        <f>IFERROR(IF([1]K_Summary!$N$137 = "", "", [1]K_Summary!$N$137 ),"")</f>
        <v/>
      </c>
      <c r="O152" s="601"/>
    </row>
    <row r="153" spans="1:15" s="598" customFormat="1">
      <c r="A153" s="597"/>
      <c r="C153" s="620"/>
      <c r="D153" s="620"/>
      <c r="E153" s="2517" t="s">
        <v>1424</v>
      </c>
      <c r="F153" s="2518"/>
      <c r="G153" s="626" t="s">
        <v>2017</v>
      </c>
      <c r="H153" s="128" t="str">
        <f>IFERROR(IF([1]K_Summary!$H$138 = "", "", [1]K_Summary!$H$138 ),"")</f>
        <v/>
      </c>
      <c r="I153" s="128" t="str">
        <f>IFERROR(IF([1]K_Summary!$I$138 = "", "", [1]K_Summary!$I$138 ),"")</f>
        <v/>
      </c>
      <c r="J153" s="128" t="str">
        <f>IFERROR(IF([1]K_Summary!$J$138 = "", "", [1]K_Summary!$J$138 ),"")</f>
        <v/>
      </c>
      <c r="K153" s="128" t="str">
        <f>IFERROR(IF([1]K_Summary!$K$138 = "", "", [1]K_Summary!$K$138 ),"")</f>
        <v/>
      </c>
      <c r="L153" s="128" t="str">
        <f>IFERROR(IF([1]K_Summary!$L$138 = "", "", [1]K_Summary!$L$138 ),"")</f>
        <v/>
      </c>
      <c r="M153" s="128" t="str">
        <f>IFERROR(IF([1]K_Summary!$M$138 = "", "", [1]K_Summary!$M$138 ),"")</f>
        <v/>
      </c>
      <c r="N153" s="128" t="str">
        <f>IFERROR(IF([1]K_Summary!$N$138 = "", "", [1]K_Summary!$N$138 ),"")</f>
        <v/>
      </c>
      <c r="O153" s="601"/>
    </row>
    <row r="154" spans="1:15">
      <c r="C154" s="485"/>
      <c r="D154" s="485"/>
      <c r="E154" s="485"/>
      <c r="F154" s="485"/>
      <c r="G154" s="485"/>
      <c r="H154" s="485"/>
      <c r="I154" s="485"/>
      <c r="J154" s="485"/>
      <c r="K154" s="485"/>
      <c r="L154" s="485"/>
      <c r="M154" s="485"/>
      <c r="N154" s="485"/>
    </row>
    <row r="155" spans="1:15">
      <c r="C155" s="485"/>
      <c r="D155" s="485"/>
      <c r="E155" s="2509" t="s">
        <v>1054</v>
      </c>
      <c r="F155" s="2493"/>
      <c r="G155" s="577" t="s">
        <v>884</v>
      </c>
      <c r="H155" s="578">
        <v>2019</v>
      </c>
      <c r="I155" s="578">
        <v>2020</v>
      </c>
      <c r="J155" s="578">
        <v>2021</v>
      </c>
      <c r="K155" s="578">
        <v>2022</v>
      </c>
      <c r="L155" s="578">
        <v>2023</v>
      </c>
      <c r="M155" s="578">
        <v>2024</v>
      </c>
      <c r="N155" s="578">
        <v>2025</v>
      </c>
    </row>
    <row r="156" spans="1:15" s="598" customFormat="1">
      <c r="A156" s="597"/>
      <c r="C156" s="620"/>
      <c r="D156" s="620"/>
      <c r="E156" s="2523" t="s">
        <v>1167</v>
      </c>
      <c r="F156" s="2500"/>
      <c r="G156" s="624" t="s">
        <v>2015</v>
      </c>
      <c r="H156" s="127" t="str">
        <f>IFERROR(IF([1]K_Summary!$H$141 = "", "", [1]K_Summary!$H$141 ),"")</f>
        <v/>
      </c>
      <c r="I156" s="127" t="str">
        <f>IFERROR(IF([1]K_Summary!$I$141 = "", "", [1]K_Summary!$I$141 ),"")</f>
        <v/>
      </c>
      <c r="J156" s="127" t="str">
        <f>IFERROR(IF([1]K_Summary!$J$141 = "", "", [1]K_Summary!$J$141 ),"")</f>
        <v/>
      </c>
      <c r="K156" s="127" t="str">
        <f>IFERROR(IF([1]K_Summary!$K$141 = "", "", [1]K_Summary!$K$141 ),"")</f>
        <v/>
      </c>
      <c r="L156" s="127" t="str">
        <f>IFERROR(IF([1]K_Summary!$L$141 = "", "", [1]K_Summary!$L$141 ),"")</f>
        <v/>
      </c>
      <c r="M156" s="127" t="str">
        <f>IFERROR(IF([1]K_Summary!$M$141 = "", "", [1]K_Summary!$M$141 ),"")</f>
        <v/>
      </c>
      <c r="N156" s="127" t="str">
        <f>IFERROR(IF([1]K_Summary!$N$141 = "", "", [1]K_Summary!$N$141 ),"")</f>
        <v/>
      </c>
      <c r="O156" s="601"/>
    </row>
    <row r="157" spans="1:15" s="598" customFormat="1">
      <c r="A157" s="597"/>
      <c r="C157" s="620"/>
      <c r="D157" s="620"/>
      <c r="E157" s="2517" t="s">
        <v>1168</v>
      </c>
      <c r="F157" s="2518"/>
      <c r="G157" s="626" t="s">
        <v>2015</v>
      </c>
      <c r="H157" s="128" t="str">
        <f>IFERROR(IF([1]K_Summary!$H$142 = "", "", [1]K_Summary!$H$142 ),"")</f>
        <v/>
      </c>
      <c r="I157" s="128" t="str">
        <f>IFERROR(IF([1]K_Summary!$I$142 = "", "", [1]K_Summary!$I$142 ),"")</f>
        <v/>
      </c>
      <c r="J157" s="128" t="str">
        <f>IFERROR(IF([1]K_Summary!$J$142 = "", "", [1]K_Summary!$J$142 ),"")</f>
        <v/>
      </c>
      <c r="K157" s="128" t="str">
        <f>IFERROR(IF([1]K_Summary!$K$142 = "", "", [1]K_Summary!$K$142 ),"")</f>
        <v/>
      </c>
      <c r="L157" s="128" t="str">
        <f>IFERROR(IF([1]K_Summary!$L$142 = "", "", [1]K_Summary!$L$142 ),"")</f>
        <v/>
      </c>
      <c r="M157" s="128" t="str">
        <f>IFERROR(IF([1]K_Summary!$M$142 = "", "", [1]K_Summary!$M$142 ),"")</f>
        <v/>
      </c>
      <c r="N157" s="128" t="str">
        <f>IFERROR(IF([1]K_Summary!$N$142 = "", "", [1]K_Summary!$N$142 ),"")</f>
        <v/>
      </c>
      <c r="O157" s="601"/>
    </row>
    <row r="158" spans="1:15" s="598" customFormat="1">
      <c r="A158" s="597"/>
      <c r="C158" s="620"/>
      <c r="D158" s="620"/>
      <c r="E158" s="2519" t="s">
        <v>203</v>
      </c>
      <c r="F158" s="2498"/>
      <c r="G158" s="622" t="s">
        <v>2015</v>
      </c>
      <c r="H158" s="126" t="str">
        <f>IFERROR(IF([1]K_Summary!$H$143 = "", "", [1]K_Summary!$H$143 ),"")</f>
        <v/>
      </c>
      <c r="I158" s="126" t="str">
        <f>IFERROR(IF([1]K_Summary!$I$143 = "", "", [1]K_Summary!$I$143 ),"")</f>
        <v/>
      </c>
      <c r="J158" s="126" t="str">
        <f>IFERROR(IF([1]K_Summary!$J$143 = "", "", [1]K_Summary!$J$143 ),"")</f>
        <v/>
      </c>
      <c r="K158" s="126" t="str">
        <f>IFERROR(IF([1]K_Summary!$K$143 = "", "", [1]K_Summary!$K$143 ),"")</f>
        <v/>
      </c>
      <c r="L158" s="126" t="str">
        <f>IFERROR(IF([1]K_Summary!$L$143 = "", "", [1]K_Summary!$L$143 ),"")</f>
        <v/>
      </c>
      <c r="M158" s="126" t="str">
        <f>IFERROR(IF([1]K_Summary!$M$143 = "", "", [1]K_Summary!$M$143 ),"")</f>
        <v/>
      </c>
      <c r="N158" s="126" t="str">
        <f>IFERROR(IF([1]K_Summary!$N$143 = "", "", [1]K_Summary!$N$143 ),"")</f>
        <v/>
      </c>
      <c r="O158" s="601"/>
    </row>
    <row r="159" spans="1:15"/>
    <row r="160" spans="1:15">
      <c r="D160" s="485"/>
      <c r="E160" s="2509" t="s">
        <v>1403</v>
      </c>
      <c r="F160" s="2493"/>
      <c r="G160" s="577" t="s">
        <v>884</v>
      </c>
      <c r="H160" s="578">
        <v>2019</v>
      </c>
      <c r="I160" s="578">
        <v>2020</v>
      </c>
      <c r="J160" s="578">
        <v>2021</v>
      </c>
      <c r="K160" s="578">
        <v>2022</v>
      </c>
      <c r="L160" s="578">
        <v>2023</v>
      </c>
      <c r="M160" s="578">
        <v>2024</v>
      </c>
      <c r="N160" s="578">
        <v>2025</v>
      </c>
    </row>
    <row r="161" spans="1:15" s="598" customFormat="1">
      <c r="A161" s="597"/>
      <c r="D161" s="620"/>
      <c r="E161" s="2523" t="s">
        <v>1126</v>
      </c>
      <c r="F161" s="2500"/>
      <c r="G161" s="628" t="s">
        <v>1021</v>
      </c>
      <c r="H161" s="129" t="str">
        <f>IFERROR(IF([1]K_Summary!$H$146 = "", "", [1]K_Summary!$H$146 ),"")</f>
        <v/>
      </c>
      <c r="I161" s="129" t="str">
        <f>IFERROR(IF([1]K_Summary!$I$146 = "", "", [1]K_Summary!$I$146 ),"")</f>
        <v/>
      </c>
      <c r="J161" s="129" t="str">
        <f>IFERROR(IF([1]K_Summary!$J$146 = "", "", [1]K_Summary!$J$146 ),"")</f>
        <v/>
      </c>
      <c r="K161" s="129" t="str">
        <f>IFERROR(IF([1]K_Summary!$K$146 = "", "", [1]K_Summary!$K$146 ),"")</f>
        <v/>
      </c>
      <c r="L161" s="129" t="str">
        <f>IFERROR(IF([1]K_Summary!$L$146 = "", "", [1]K_Summary!$L$146 ),"")</f>
        <v/>
      </c>
      <c r="M161" s="129" t="str">
        <f>IFERROR(IF([1]K_Summary!$M$146 = "", "", [1]K_Summary!$M$146 ),"")</f>
        <v/>
      </c>
      <c r="N161" s="129" t="str">
        <f>IFERROR(IF([1]K_Summary!$N$146 = "", "", [1]K_Summary!$N$146 ),"")</f>
        <v/>
      </c>
      <c r="O161" s="601"/>
    </row>
    <row r="162" spans="1:15" s="598" customFormat="1">
      <c r="A162" s="597"/>
      <c r="D162" s="620"/>
      <c r="E162" s="2517" t="s">
        <v>1127</v>
      </c>
      <c r="F162" s="2518"/>
      <c r="G162" s="630" t="s">
        <v>1021</v>
      </c>
      <c r="H162" s="130" t="str">
        <f>IFERROR(IF([1]K_Summary!$H$147 = "", "", [1]K_Summary!$H$147 ),"")</f>
        <v/>
      </c>
      <c r="I162" s="130" t="str">
        <f>IFERROR(IF([1]K_Summary!$I$147 = "", "", [1]K_Summary!$I$147 ),"")</f>
        <v/>
      </c>
      <c r="J162" s="130" t="str">
        <f>IFERROR(IF([1]K_Summary!$J$147 = "", "", [1]K_Summary!$J$147 ),"")</f>
        <v/>
      </c>
      <c r="K162" s="130" t="str">
        <f>IFERROR(IF([1]K_Summary!$K$147 = "", "", [1]K_Summary!$K$147 ),"")</f>
        <v/>
      </c>
      <c r="L162" s="130" t="str">
        <f>IFERROR(IF([1]K_Summary!$L$147 = "", "", [1]K_Summary!$L$147 ),"")</f>
        <v/>
      </c>
      <c r="M162" s="130" t="str">
        <f>IFERROR(IF([1]K_Summary!$M$147 = "", "", [1]K_Summary!$M$147 ),"")</f>
        <v/>
      </c>
      <c r="N162" s="130" t="str">
        <f>IFERROR(IF([1]K_Summary!$N$147 = "", "", [1]K_Summary!$N$147 ),"")</f>
        <v/>
      </c>
      <c r="O162" s="601"/>
    </row>
    <row r="163" spans="1:15" s="598" customFormat="1">
      <c r="A163" s="597"/>
      <c r="D163" s="620"/>
      <c r="E163" s="2523" t="s">
        <v>1454</v>
      </c>
      <c r="F163" s="2500"/>
      <c r="G163" s="628" t="s">
        <v>1021</v>
      </c>
      <c r="H163" s="131" t="str">
        <f>IFERROR(IF([1]K_Summary!$H$148 = "", "", [1]K_Summary!$H$148 ),"")</f>
        <v/>
      </c>
      <c r="I163" s="131" t="str">
        <f>IFERROR(IF([1]K_Summary!$I$148 = "", "", [1]K_Summary!$I$148 ),"")</f>
        <v/>
      </c>
      <c r="J163" s="131" t="str">
        <f>IFERROR(IF([1]K_Summary!$J$148 = "", "", [1]K_Summary!$J$148 ),"")</f>
        <v/>
      </c>
      <c r="K163" s="131" t="str">
        <f>IFERROR(IF([1]K_Summary!$K$148 = "", "", [1]K_Summary!$K$148 ),"")</f>
        <v/>
      </c>
      <c r="L163" s="131" t="str">
        <f>IFERROR(IF([1]K_Summary!$L$148 = "", "", [1]K_Summary!$L$148 ),"")</f>
        <v/>
      </c>
      <c r="M163" s="131" t="str">
        <f>IFERROR(IF([1]K_Summary!$M$148 = "", "", [1]K_Summary!$M$148 ),"")</f>
        <v/>
      </c>
      <c r="N163" s="131" t="str">
        <f>IFERROR(IF([1]K_Summary!$N$148 = "", "", [1]K_Summary!$N$148 ),"")</f>
        <v/>
      </c>
      <c r="O163" s="601"/>
    </row>
    <row r="164" spans="1:15" s="598" customFormat="1">
      <c r="A164" s="597"/>
      <c r="D164" s="620"/>
      <c r="E164" s="2517" t="s">
        <v>1453</v>
      </c>
      <c r="F164" s="2518"/>
      <c r="G164" s="630" t="s">
        <v>1021</v>
      </c>
      <c r="H164" s="132" t="str">
        <f>IFERROR(IF([1]K_Summary!$H$149 = "", "", [1]K_Summary!$H$149 ),"")</f>
        <v/>
      </c>
      <c r="I164" s="132" t="str">
        <f>IFERROR(IF([1]K_Summary!$I$149 = "", "", [1]K_Summary!$I$149 ),"")</f>
        <v/>
      </c>
      <c r="J164" s="132" t="str">
        <f>IFERROR(IF([1]K_Summary!$J$149 = "", "", [1]K_Summary!$J$149 ),"")</f>
        <v/>
      </c>
      <c r="K164" s="132" t="str">
        <f>IFERROR(IF([1]K_Summary!$K$149 = "", "", [1]K_Summary!$K$149 ),"")</f>
        <v/>
      </c>
      <c r="L164" s="132" t="str">
        <f>IFERROR(IF([1]K_Summary!$L$149 = "", "", [1]K_Summary!$L$149 ),"")</f>
        <v/>
      </c>
      <c r="M164" s="132" t="str">
        <f>IFERROR(IF([1]K_Summary!$M$149 = "", "", [1]K_Summary!$M$149 ),"")</f>
        <v/>
      </c>
      <c r="N164" s="132" t="str">
        <f>IFERROR(IF([1]K_Summary!$N$149 = "", "", [1]K_Summary!$N$149 ),"")</f>
        <v/>
      </c>
      <c r="O164" s="601"/>
    </row>
    <row r="165" spans="1:15">
      <c r="D165" s="485"/>
      <c r="E165" s="485"/>
      <c r="F165" s="485"/>
      <c r="G165" s="485"/>
      <c r="H165" s="485"/>
      <c r="I165" s="485"/>
      <c r="J165" s="485"/>
      <c r="K165" s="485"/>
      <c r="L165" s="485"/>
      <c r="M165" s="485"/>
      <c r="N165" s="485"/>
    </row>
    <row r="166" spans="1:15">
      <c r="D166" s="485"/>
      <c r="E166" s="2509" t="s">
        <v>1419</v>
      </c>
      <c r="F166" s="2493"/>
      <c r="G166" s="577" t="s">
        <v>884</v>
      </c>
      <c r="H166" s="578">
        <v>2019</v>
      </c>
      <c r="I166" s="578">
        <v>2020</v>
      </c>
      <c r="J166" s="578">
        <v>2021</v>
      </c>
      <c r="K166" s="578">
        <v>2022</v>
      </c>
      <c r="L166" s="578">
        <v>2023</v>
      </c>
      <c r="M166" s="578">
        <v>2024</v>
      </c>
      <c r="N166" s="578">
        <v>2025</v>
      </c>
    </row>
    <row r="167" spans="1:15" s="598" customFormat="1">
      <c r="A167" s="597"/>
      <c r="D167" s="620"/>
      <c r="E167" s="2522" t="s">
        <v>1120</v>
      </c>
      <c r="F167" s="2498"/>
      <c r="G167" s="634" t="s">
        <v>2015</v>
      </c>
      <c r="H167" s="133" t="str">
        <f>IFERROR(IF([1]K_Summary!$H$152 = "", "", [1]K_Summary!$H$152 ),"")</f>
        <v/>
      </c>
      <c r="I167" s="133" t="str">
        <f>IFERROR(IF([1]K_Summary!$I$152 = "", "", [1]K_Summary!$I$152 ),"")</f>
        <v/>
      </c>
      <c r="J167" s="133" t="str">
        <f>IFERROR(IF([1]K_Summary!$J$152 = "", "", [1]K_Summary!$J$152 ),"")</f>
        <v/>
      </c>
      <c r="K167" s="133" t="str">
        <f>IFERROR(IF([1]K_Summary!$K$152 = "", "", [1]K_Summary!$K$152 ),"")</f>
        <v/>
      </c>
      <c r="L167" s="133" t="str">
        <f>IFERROR(IF([1]K_Summary!$L$152 = "", "", [1]K_Summary!$L$152 ),"")</f>
        <v/>
      </c>
      <c r="M167" s="133" t="str">
        <f>IFERROR(IF([1]K_Summary!$M$152 = "", "", [1]K_Summary!$M$152 ),"")</f>
        <v/>
      </c>
      <c r="N167" s="133" t="str">
        <f>IFERROR(IF([1]K_Summary!$N$152 = "", "", [1]K_Summary!$N$152 ),"")</f>
        <v/>
      </c>
      <c r="O167" s="601"/>
    </row>
    <row r="168" spans="1:15" s="598" customFormat="1">
      <c r="A168" s="597"/>
      <c r="D168" s="620"/>
      <c r="E168" s="2519" t="s">
        <v>1292</v>
      </c>
      <c r="F168" s="2498"/>
      <c r="G168" s="622" t="s">
        <v>2018</v>
      </c>
      <c r="H168" s="126" t="str">
        <f>IFERROR(IF([1]K_Summary!$H$153 = "", "", [1]K_Summary!$H$153 ),"")</f>
        <v/>
      </c>
      <c r="I168" s="126" t="str">
        <f>IFERROR(IF([1]K_Summary!$I$153 = "", "", [1]K_Summary!$I$153 ),"")</f>
        <v/>
      </c>
      <c r="J168" s="126" t="str">
        <f>IFERROR(IF([1]K_Summary!$J$153 = "", "", [1]K_Summary!$J$153 ),"")</f>
        <v/>
      </c>
      <c r="K168" s="126" t="str">
        <f>IFERROR(IF([1]K_Summary!$K$153 = "", "", [1]K_Summary!$K$153 ),"")</f>
        <v/>
      </c>
      <c r="L168" s="126" t="str">
        <f>IFERROR(IF([1]K_Summary!$L$153 = "", "", [1]K_Summary!$L$153 ),"")</f>
        <v/>
      </c>
      <c r="M168" s="126" t="str">
        <f>IFERROR(IF([1]K_Summary!$M$153 = "", "", [1]K_Summary!$M$153 ),"")</f>
        <v/>
      </c>
      <c r="N168" s="126" t="str">
        <f>IFERROR(IF([1]K_Summary!$N$153 = "", "", [1]K_Summary!$N$153 ),"")</f>
        <v/>
      </c>
      <c r="O168" s="601"/>
    </row>
    <row r="169" spans="1:15">
      <c r="D169" s="485"/>
      <c r="E169" s="485"/>
      <c r="F169" s="485"/>
      <c r="G169" s="485"/>
      <c r="H169" s="485"/>
      <c r="I169" s="485"/>
      <c r="J169" s="485"/>
      <c r="K169" s="485"/>
      <c r="L169" s="485"/>
      <c r="M169" s="485"/>
      <c r="N169" s="485"/>
    </row>
    <row r="170" spans="1:15" s="598" customFormat="1">
      <c r="A170" s="597"/>
      <c r="D170" s="620"/>
      <c r="E170" s="2523" t="s">
        <v>1346</v>
      </c>
      <c r="F170" s="2500"/>
      <c r="G170" s="624" t="s">
        <v>2017</v>
      </c>
      <c r="H170" s="127" t="str">
        <f>IFERROR(IF([1]K_Summary!$H$155 = "", "", [1]K_Summary!$H$155 ),"")</f>
        <v/>
      </c>
      <c r="I170" s="127" t="str">
        <f>IFERROR(IF([1]K_Summary!$I$155 = "", "", [1]K_Summary!$I$155 ),"")</f>
        <v/>
      </c>
      <c r="J170" s="127" t="str">
        <f>IFERROR(IF([1]K_Summary!$J$155 = "", "", [1]K_Summary!$J$155 ),"")</f>
        <v/>
      </c>
      <c r="K170" s="127" t="str">
        <f>IFERROR(IF([1]K_Summary!$K$155 = "", "", [1]K_Summary!$K$155 ),"")</f>
        <v/>
      </c>
      <c r="L170" s="127" t="str">
        <f>IFERROR(IF([1]K_Summary!$L$155 = "", "", [1]K_Summary!$L$155 ),"")</f>
        <v/>
      </c>
      <c r="M170" s="127" t="str">
        <f>IFERROR(IF([1]K_Summary!$M$155 = "", "", [1]K_Summary!$M$155 ),"")</f>
        <v/>
      </c>
      <c r="N170" s="127" t="str">
        <f>IFERROR(IF([1]K_Summary!$N$155 = "", "", [1]K_Summary!$N$155 ),"")</f>
        <v/>
      </c>
      <c r="O170" s="601"/>
    </row>
    <row r="171" spans="1:15" s="598" customFormat="1">
      <c r="A171" s="597"/>
      <c r="D171" s="620"/>
      <c r="E171" s="2517" t="s">
        <v>1347</v>
      </c>
      <c r="F171" s="2518"/>
      <c r="G171" s="626" t="s">
        <v>2017</v>
      </c>
      <c r="H171" s="128" t="str">
        <f>IFERROR(IF([1]K_Summary!$H$156 = "", "", [1]K_Summary!$H$156 ),"")</f>
        <v/>
      </c>
      <c r="I171" s="128" t="str">
        <f>IFERROR(IF([1]K_Summary!$I$156 = "", "", [1]K_Summary!$I$156 ),"")</f>
        <v/>
      </c>
      <c r="J171" s="128" t="str">
        <f>IFERROR(IF([1]K_Summary!$J$156 = "", "", [1]K_Summary!$J$156 ),"")</f>
        <v/>
      </c>
      <c r="K171" s="128" t="str">
        <f>IFERROR(IF([1]K_Summary!$K$156 = "", "", [1]K_Summary!$K$156 ),"")</f>
        <v/>
      </c>
      <c r="L171" s="128" t="str">
        <f>IFERROR(IF([1]K_Summary!$L$156 = "", "", [1]K_Summary!$L$156 ),"")</f>
        <v/>
      </c>
      <c r="M171" s="128" t="str">
        <f>IFERROR(IF([1]K_Summary!$M$156 = "", "", [1]K_Summary!$M$156 ),"")</f>
        <v/>
      </c>
      <c r="N171" s="128" t="str">
        <f>IFERROR(IF([1]K_Summary!$N$156 = "", "", [1]K_Summary!$N$156 ),"")</f>
        <v/>
      </c>
      <c r="O171" s="601"/>
    </row>
    <row r="172" spans="1:15">
      <c r="D172" s="467"/>
      <c r="E172" s="467"/>
      <c r="F172" s="467"/>
      <c r="G172" s="467"/>
      <c r="H172" s="467"/>
      <c r="I172" s="467"/>
      <c r="J172" s="467"/>
      <c r="K172" s="467"/>
      <c r="L172" s="467"/>
      <c r="M172" s="481"/>
      <c r="N172" s="481"/>
    </row>
    <row r="173" spans="1:15">
      <c r="D173" s="482" t="s">
        <v>876</v>
      </c>
      <c r="E173" s="2508" t="s">
        <v>1405</v>
      </c>
      <c r="F173" s="2391"/>
      <c r="G173" s="2391"/>
      <c r="H173" s="2391"/>
      <c r="I173" s="2391"/>
      <c r="J173" s="2391"/>
      <c r="K173" s="2391"/>
      <c r="L173" s="2512"/>
      <c r="M173" s="120" t="str">
        <f>IFERROR(IF([1]K_Summary!$M$158 = "", "", [1]K_Summary!$M$158 ),"")</f>
        <v/>
      </c>
      <c r="N173" s="515"/>
    </row>
    <row r="174" spans="1:15">
      <c r="D174" s="485"/>
      <c r="E174" s="485"/>
      <c r="F174" s="485"/>
      <c r="G174" s="485"/>
      <c r="H174" s="485"/>
      <c r="I174" s="485"/>
      <c r="J174" s="485"/>
      <c r="K174" s="485"/>
      <c r="L174" s="485"/>
      <c r="M174" s="485"/>
      <c r="N174" s="485"/>
    </row>
    <row r="175" spans="1:15">
      <c r="D175" s="485"/>
      <c r="E175" s="2509" t="s">
        <v>1402</v>
      </c>
      <c r="F175" s="2493"/>
      <c r="G175" s="577" t="s">
        <v>884</v>
      </c>
      <c r="H175" s="578">
        <v>2019</v>
      </c>
      <c r="I175" s="578">
        <v>2020</v>
      </c>
      <c r="J175" s="578">
        <v>2021</v>
      </c>
      <c r="K175" s="578">
        <v>2022</v>
      </c>
      <c r="L175" s="578">
        <v>2023</v>
      </c>
      <c r="M175" s="578">
        <v>2024</v>
      </c>
      <c r="N175" s="578">
        <v>2025</v>
      </c>
    </row>
    <row r="176" spans="1:15" s="598" customFormat="1">
      <c r="A176" s="597"/>
      <c r="E176" s="2519" t="s">
        <v>1121</v>
      </c>
      <c r="F176" s="2498"/>
      <c r="G176" s="622" t="s">
        <v>2017</v>
      </c>
      <c r="H176" s="126" t="str">
        <f>IFERROR(IF([1]K_Summary!$H$161 = "", "", [1]K_Summary!$H$161 ),"")</f>
        <v/>
      </c>
      <c r="I176" s="126" t="str">
        <f>IFERROR(IF([1]K_Summary!$I$161 = "", "", [1]K_Summary!$I$161 ),"")</f>
        <v/>
      </c>
      <c r="J176" s="126" t="str">
        <f>IFERROR(IF([1]K_Summary!$J$161 = "", "", [1]K_Summary!$J$161 ),"")</f>
        <v/>
      </c>
      <c r="K176" s="126" t="str">
        <f>IFERROR(IF([1]K_Summary!$K$161 = "", "", [1]K_Summary!$K$161 ),"")</f>
        <v/>
      </c>
      <c r="L176" s="126" t="str">
        <f>IFERROR(IF([1]K_Summary!$L$161 = "", "", [1]K_Summary!$L$161 ),"")</f>
        <v/>
      </c>
      <c r="M176" s="126" t="str">
        <f>IFERROR(IF([1]K_Summary!$M$161 = "", "", [1]K_Summary!$M$161 ),"")</f>
        <v/>
      </c>
      <c r="N176" s="126" t="str">
        <f>IFERROR(IF([1]K_Summary!$N$161 = "", "", [1]K_Summary!$N$161 ),"")</f>
        <v/>
      </c>
      <c r="O176" s="601"/>
    </row>
    <row r="177" spans="1:15" s="598" customFormat="1">
      <c r="A177" s="597"/>
      <c r="E177" s="2523" t="s">
        <v>1122</v>
      </c>
      <c r="F177" s="2500"/>
      <c r="G177" s="624" t="s">
        <v>2017</v>
      </c>
      <c r="H177" s="127" t="str">
        <f>IFERROR(IF([1]K_Summary!$H$162 = "", "", [1]K_Summary!$H$162 ),"")</f>
        <v/>
      </c>
      <c r="I177" s="127" t="str">
        <f>IFERROR(IF([1]K_Summary!$I$162 = "", "", [1]K_Summary!$I$162 ),"")</f>
        <v/>
      </c>
      <c r="J177" s="127" t="str">
        <f>IFERROR(IF([1]K_Summary!$J$162 = "", "", [1]K_Summary!$J$162 ),"")</f>
        <v/>
      </c>
      <c r="K177" s="127" t="str">
        <f>IFERROR(IF([1]K_Summary!$K$162 = "", "", [1]K_Summary!$K$162 ),"")</f>
        <v/>
      </c>
      <c r="L177" s="127" t="str">
        <f>IFERROR(IF([1]K_Summary!$L$162 = "", "", [1]K_Summary!$L$162 ),"")</f>
        <v/>
      </c>
      <c r="M177" s="127" t="str">
        <f>IFERROR(IF([1]K_Summary!$M$162 = "", "", [1]K_Summary!$M$162 ),"")</f>
        <v/>
      </c>
      <c r="N177" s="127" t="str">
        <f>IFERROR(IF([1]K_Summary!$N$162 = "", "", [1]K_Summary!$N$162 ),"")</f>
        <v/>
      </c>
      <c r="O177" s="601"/>
    </row>
    <row r="178" spans="1:15" s="598" customFormat="1">
      <c r="A178" s="597"/>
      <c r="E178" s="2517" t="s">
        <v>1123</v>
      </c>
      <c r="F178" s="2518"/>
      <c r="G178" s="626" t="s">
        <v>2017</v>
      </c>
      <c r="H178" s="128" t="str">
        <f>IFERROR(IF([1]K_Summary!$H$163 = "", "", [1]K_Summary!$H$163 ),"")</f>
        <v/>
      </c>
      <c r="I178" s="128" t="str">
        <f>IFERROR(IF([1]K_Summary!$I$163 = "", "", [1]K_Summary!$I$163 ),"")</f>
        <v/>
      </c>
      <c r="J178" s="128" t="str">
        <f>IFERROR(IF([1]K_Summary!$J$163 = "", "", [1]K_Summary!$J$163 ),"")</f>
        <v/>
      </c>
      <c r="K178" s="128" t="str">
        <f>IFERROR(IF([1]K_Summary!$K$163 = "", "", [1]K_Summary!$K$163 ),"")</f>
        <v/>
      </c>
      <c r="L178" s="128" t="str">
        <f>IFERROR(IF([1]K_Summary!$L$163 = "", "", [1]K_Summary!$L$163 ),"")</f>
        <v/>
      </c>
      <c r="M178" s="128" t="str">
        <f>IFERROR(IF([1]K_Summary!$M$163 = "", "", [1]K_Summary!$M$163 ),"")</f>
        <v/>
      </c>
      <c r="N178" s="128" t="str">
        <f>IFERROR(IF([1]K_Summary!$N$163 = "", "", [1]K_Summary!$N$163 ),"")</f>
        <v/>
      </c>
      <c r="O178" s="601"/>
    </row>
    <row r="179" spans="1:15">
      <c r="E179" s="485"/>
      <c r="F179" s="485"/>
      <c r="G179" s="485"/>
      <c r="H179" s="485"/>
      <c r="I179" s="485"/>
      <c r="J179" s="485"/>
      <c r="K179" s="485"/>
      <c r="L179" s="485"/>
      <c r="M179" s="485"/>
      <c r="N179" s="485"/>
    </row>
    <row r="180" spans="1:15">
      <c r="E180" s="2509" t="s">
        <v>1054</v>
      </c>
      <c r="F180" s="2493"/>
      <c r="G180" s="577" t="s">
        <v>884</v>
      </c>
      <c r="H180" s="578">
        <v>2019</v>
      </c>
      <c r="I180" s="578">
        <v>2020</v>
      </c>
      <c r="J180" s="578">
        <v>2021</v>
      </c>
      <c r="K180" s="578">
        <v>2022</v>
      </c>
      <c r="L180" s="578">
        <v>2023</v>
      </c>
      <c r="M180" s="578">
        <v>2024</v>
      </c>
      <c r="N180" s="578">
        <v>2025</v>
      </c>
    </row>
    <row r="181" spans="1:15" s="598" customFormat="1">
      <c r="A181" s="597"/>
      <c r="E181" s="2523" t="s">
        <v>1167</v>
      </c>
      <c r="F181" s="2500"/>
      <c r="G181" s="624" t="s">
        <v>2015</v>
      </c>
      <c r="H181" s="127" t="str">
        <f>IFERROR(IF([1]K_Summary!$H$166 = "", "", [1]K_Summary!$H$166 ),"")</f>
        <v/>
      </c>
      <c r="I181" s="127" t="str">
        <f>IFERROR(IF([1]K_Summary!$I$166 = "", "", [1]K_Summary!$I$166 ),"")</f>
        <v/>
      </c>
      <c r="J181" s="127" t="str">
        <f>IFERROR(IF([1]K_Summary!$J$166 = "", "", [1]K_Summary!$J$166 ),"")</f>
        <v/>
      </c>
      <c r="K181" s="127" t="str">
        <f>IFERROR(IF([1]K_Summary!$K$166 = "", "", [1]K_Summary!$K$166 ),"")</f>
        <v/>
      </c>
      <c r="L181" s="127" t="str">
        <f>IFERROR(IF([1]K_Summary!$L$166 = "", "", [1]K_Summary!$L$166 ),"")</f>
        <v/>
      </c>
      <c r="M181" s="127" t="str">
        <f>IFERROR(IF([1]K_Summary!$M$166 = "", "", [1]K_Summary!$M$166 ),"")</f>
        <v/>
      </c>
      <c r="N181" s="127" t="str">
        <f>IFERROR(IF([1]K_Summary!$N$166 = "", "", [1]K_Summary!$N$166 ),"")</f>
        <v/>
      </c>
      <c r="O181" s="601"/>
    </row>
    <row r="182" spans="1:15" s="598" customFormat="1">
      <c r="A182" s="597"/>
      <c r="E182" s="2517" t="s">
        <v>1168</v>
      </c>
      <c r="F182" s="2518"/>
      <c r="G182" s="626" t="s">
        <v>2015</v>
      </c>
      <c r="H182" s="128" t="str">
        <f>IFERROR(IF([1]K_Summary!$H$167 = "", "", [1]K_Summary!$H$167 ),"")</f>
        <v/>
      </c>
      <c r="I182" s="128" t="str">
        <f>IFERROR(IF([1]K_Summary!$I$167 = "", "", [1]K_Summary!$I$167 ),"")</f>
        <v/>
      </c>
      <c r="J182" s="128" t="str">
        <f>IFERROR(IF([1]K_Summary!$J$167 = "", "", [1]K_Summary!$J$167 ),"")</f>
        <v/>
      </c>
      <c r="K182" s="128" t="str">
        <f>IFERROR(IF([1]K_Summary!$K$167 = "", "", [1]K_Summary!$K$167 ),"")</f>
        <v/>
      </c>
      <c r="L182" s="128" t="str">
        <f>IFERROR(IF([1]K_Summary!$L$167 = "", "", [1]K_Summary!$L$167 ),"")</f>
        <v/>
      </c>
      <c r="M182" s="128" t="str">
        <f>IFERROR(IF([1]K_Summary!$M$167 = "", "", [1]K_Summary!$M$167 ),"")</f>
        <v/>
      </c>
      <c r="N182" s="128" t="str">
        <f>IFERROR(IF([1]K_Summary!$N$167 = "", "", [1]K_Summary!$N$167 ),"")</f>
        <v/>
      </c>
      <c r="O182" s="601"/>
    </row>
    <row r="183" spans="1:15" s="598" customFormat="1">
      <c r="A183" s="597"/>
      <c r="E183" s="2519" t="s">
        <v>203</v>
      </c>
      <c r="F183" s="2498"/>
      <c r="G183" s="622" t="s">
        <v>2015</v>
      </c>
      <c r="H183" s="126" t="str">
        <f>IFERROR(IF([1]K_Summary!$H$168 = "", "", [1]K_Summary!$H$168 ),"")</f>
        <v/>
      </c>
      <c r="I183" s="126" t="str">
        <f>IFERROR(IF([1]K_Summary!$I$168 = "", "", [1]K_Summary!$I$168 ),"")</f>
        <v/>
      </c>
      <c r="J183" s="126" t="str">
        <f>IFERROR(IF([1]K_Summary!$J$168 = "", "", [1]K_Summary!$J$168 ),"")</f>
        <v/>
      </c>
      <c r="K183" s="126" t="str">
        <f>IFERROR(IF([1]K_Summary!$K$168 = "", "", [1]K_Summary!$K$168 ),"")</f>
        <v/>
      </c>
      <c r="L183" s="126" t="str">
        <f>IFERROR(IF([1]K_Summary!$L$168 = "", "", [1]K_Summary!$L$168 ),"")</f>
        <v/>
      </c>
      <c r="M183" s="126" t="str">
        <f>IFERROR(IF([1]K_Summary!$M$168 = "", "", [1]K_Summary!$M$168 ),"")</f>
        <v/>
      </c>
      <c r="N183" s="126" t="str">
        <f>IFERROR(IF([1]K_Summary!$N$168 = "", "", [1]K_Summary!$N$168 ),"")</f>
        <v/>
      </c>
      <c r="O183" s="601"/>
    </row>
    <row r="184" spans="1:15">
      <c r="E184" s="562"/>
      <c r="F184" s="562"/>
      <c r="G184" s="562"/>
      <c r="H184" s="562"/>
      <c r="I184" s="562"/>
      <c r="J184" s="562"/>
      <c r="K184" s="562"/>
      <c r="L184" s="562"/>
      <c r="M184" s="562"/>
      <c r="N184" s="562"/>
    </row>
    <row r="185" spans="1:15">
      <c r="E185" s="2509" t="s">
        <v>1403</v>
      </c>
      <c r="F185" s="2493"/>
      <c r="G185" s="577" t="s">
        <v>884</v>
      </c>
      <c r="H185" s="578">
        <v>2019</v>
      </c>
      <c r="I185" s="578">
        <v>2020</v>
      </c>
      <c r="J185" s="578">
        <v>2021</v>
      </c>
      <c r="K185" s="578">
        <v>2022</v>
      </c>
      <c r="L185" s="578">
        <v>2023</v>
      </c>
      <c r="M185" s="578">
        <v>2024</v>
      </c>
      <c r="N185" s="578">
        <v>2025</v>
      </c>
    </row>
    <row r="186" spans="1:15" s="598" customFormat="1">
      <c r="A186" s="597"/>
      <c r="E186" s="2523" t="s">
        <v>1126</v>
      </c>
      <c r="F186" s="2500"/>
      <c r="G186" s="628" t="s">
        <v>1021</v>
      </c>
      <c r="H186" s="129" t="str">
        <f>IFERROR(IF([1]K_Summary!$H$171 = "", "", [1]K_Summary!$H$171 ),"")</f>
        <v/>
      </c>
      <c r="I186" s="129" t="str">
        <f>IFERROR(IF([1]K_Summary!$I$171 = "", "", [1]K_Summary!$I$171 ),"")</f>
        <v/>
      </c>
      <c r="J186" s="129" t="str">
        <f>IFERROR(IF([1]K_Summary!$J$171 = "", "", [1]K_Summary!$J$171 ),"")</f>
        <v/>
      </c>
      <c r="K186" s="129" t="str">
        <f>IFERROR(IF([1]K_Summary!$K$171 = "", "", [1]K_Summary!$K$171 ),"")</f>
        <v/>
      </c>
      <c r="L186" s="129" t="str">
        <f>IFERROR(IF([1]K_Summary!$L$171 = "", "", [1]K_Summary!$L$171 ),"")</f>
        <v/>
      </c>
      <c r="M186" s="129" t="str">
        <f>IFERROR(IF([1]K_Summary!$M$171 = "", "", [1]K_Summary!$M$171 ),"")</f>
        <v/>
      </c>
      <c r="N186" s="129" t="str">
        <f>IFERROR(IF([1]K_Summary!$N$171 = "", "", [1]K_Summary!$N$171 ),"")</f>
        <v/>
      </c>
      <c r="O186" s="601"/>
    </row>
    <row r="187" spans="1:15" s="598" customFormat="1">
      <c r="A187" s="597"/>
      <c r="E187" s="2517" t="s">
        <v>1127</v>
      </c>
      <c r="F187" s="2518"/>
      <c r="G187" s="630" t="s">
        <v>1021</v>
      </c>
      <c r="H187" s="130" t="str">
        <f>IFERROR(IF([1]K_Summary!$H$172 = "", "", [1]K_Summary!$H$172 ),"")</f>
        <v/>
      </c>
      <c r="I187" s="130" t="str">
        <f>IFERROR(IF([1]K_Summary!$I$172 = "", "", [1]K_Summary!$I$172 ),"")</f>
        <v/>
      </c>
      <c r="J187" s="130" t="str">
        <f>IFERROR(IF([1]K_Summary!$J$172 = "", "", [1]K_Summary!$J$172 ),"")</f>
        <v/>
      </c>
      <c r="K187" s="130" t="str">
        <f>IFERROR(IF([1]K_Summary!$K$172 = "", "", [1]K_Summary!$K$172 ),"")</f>
        <v/>
      </c>
      <c r="L187" s="130" t="str">
        <f>IFERROR(IF([1]K_Summary!$L$172 = "", "", [1]K_Summary!$L$172 ),"")</f>
        <v/>
      </c>
      <c r="M187" s="130" t="str">
        <f>IFERROR(IF([1]K_Summary!$M$172 = "", "", [1]K_Summary!$M$172 ),"")</f>
        <v/>
      </c>
      <c r="N187" s="130" t="str">
        <f>IFERROR(IF([1]K_Summary!$N$172 = "", "", [1]K_Summary!$N$172 ),"")</f>
        <v/>
      </c>
      <c r="O187" s="601"/>
    </row>
    <row r="188" spans="1:15" s="598" customFormat="1">
      <c r="A188" s="597"/>
      <c r="E188" s="2523" t="s">
        <v>1454</v>
      </c>
      <c r="F188" s="2500"/>
      <c r="G188" s="628" t="s">
        <v>1021</v>
      </c>
      <c r="H188" s="131" t="str">
        <f>IFERROR(IF([1]K_Summary!$H$173 = "", "", [1]K_Summary!$H$173 ),"")</f>
        <v/>
      </c>
      <c r="I188" s="131" t="str">
        <f>IFERROR(IF([1]K_Summary!$I$173 = "", "", [1]K_Summary!$I$173 ),"")</f>
        <v/>
      </c>
      <c r="J188" s="131" t="str">
        <f>IFERROR(IF([1]K_Summary!$J$173 = "", "", [1]K_Summary!$J$173 ),"")</f>
        <v/>
      </c>
      <c r="K188" s="131" t="str">
        <f>IFERROR(IF([1]K_Summary!$K$173 = "", "", [1]K_Summary!$K$173 ),"")</f>
        <v/>
      </c>
      <c r="L188" s="131" t="str">
        <f>IFERROR(IF([1]K_Summary!$L$173 = "", "", [1]K_Summary!$L$173 ),"")</f>
        <v/>
      </c>
      <c r="M188" s="131" t="str">
        <f>IFERROR(IF([1]K_Summary!$M$173 = "", "", [1]K_Summary!$M$173 ),"")</f>
        <v/>
      </c>
      <c r="N188" s="131" t="str">
        <f>IFERROR(IF([1]K_Summary!$N$173 = "", "", [1]K_Summary!$N$173 ),"")</f>
        <v/>
      </c>
      <c r="O188" s="601"/>
    </row>
    <row r="189" spans="1:15" s="598" customFormat="1">
      <c r="A189" s="597"/>
      <c r="E189" s="2517" t="s">
        <v>1453</v>
      </c>
      <c r="F189" s="2518"/>
      <c r="G189" s="630" t="s">
        <v>1021</v>
      </c>
      <c r="H189" s="132" t="str">
        <f>IFERROR(IF([1]K_Summary!$H$174 = "", "", [1]K_Summary!$H$174 ),"")</f>
        <v/>
      </c>
      <c r="I189" s="132" t="str">
        <f>IFERROR(IF([1]K_Summary!$I$174 = "", "", [1]K_Summary!$I$174 ),"")</f>
        <v/>
      </c>
      <c r="J189" s="132" t="str">
        <f>IFERROR(IF([1]K_Summary!$J$174 = "", "", [1]K_Summary!$J$174 ),"")</f>
        <v/>
      </c>
      <c r="K189" s="132" t="str">
        <f>IFERROR(IF([1]K_Summary!$K$174 = "", "", [1]K_Summary!$K$174 ),"")</f>
        <v/>
      </c>
      <c r="L189" s="132" t="str">
        <f>IFERROR(IF([1]K_Summary!$L$174 = "", "", [1]K_Summary!$L$174 ),"")</f>
        <v/>
      </c>
      <c r="M189" s="132" t="str">
        <f>IFERROR(IF([1]K_Summary!$M$174 = "", "", [1]K_Summary!$M$174 ),"")</f>
        <v/>
      </c>
      <c r="N189" s="132" t="str">
        <f>IFERROR(IF([1]K_Summary!$N$174 = "", "", [1]K_Summary!$N$174 ),"")</f>
        <v/>
      </c>
      <c r="O189" s="601"/>
    </row>
    <row r="190" spans="1:15">
      <c r="E190" s="485"/>
      <c r="F190" s="485"/>
      <c r="G190" s="485"/>
      <c r="H190" s="485"/>
      <c r="I190" s="485"/>
      <c r="J190" s="485"/>
      <c r="K190" s="485"/>
      <c r="L190" s="485"/>
      <c r="M190" s="485"/>
      <c r="N190" s="485"/>
    </row>
    <row r="191" spans="1:15">
      <c r="E191" s="2509" t="s">
        <v>1419</v>
      </c>
      <c r="F191" s="2493"/>
      <c r="G191" s="577" t="s">
        <v>884</v>
      </c>
      <c r="H191" s="578">
        <v>2019</v>
      </c>
      <c r="I191" s="578">
        <v>2020</v>
      </c>
      <c r="J191" s="578">
        <v>2021</v>
      </c>
      <c r="K191" s="578">
        <v>2022</v>
      </c>
      <c r="L191" s="578">
        <v>2023</v>
      </c>
      <c r="M191" s="578">
        <v>2024</v>
      </c>
      <c r="N191" s="578">
        <v>2025</v>
      </c>
    </row>
    <row r="192" spans="1:15" s="598" customFormat="1">
      <c r="A192" s="597"/>
      <c r="C192" s="620"/>
      <c r="D192" s="620"/>
      <c r="E192" s="2522" t="s">
        <v>1120</v>
      </c>
      <c r="F192" s="2498"/>
      <c r="G192" s="634" t="s">
        <v>2015</v>
      </c>
      <c r="H192" s="133" t="str">
        <f>IFERROR(IF([1]K_Summary!$H$177 = "", "", [1]K_Summary!$H$177 ),"")</f>
        <v/>
      </c>
      <c r="I192" s="133" t="str">
        <f>IFERROR(IF([1]K_Summary!$I$177 = "", "", [1]K_Summary!$I$177 ),"")</f>
        <v/>
      </c>
      <c r="J192" s="133" t="str">
        <f>IFERROR(IF([1]K_Summary!$J$177 = "", "", [1]K_Summary!$J$177 ),"")</f>
        <v/>
      </c>
      <c r="K192" s="133" t="str">
        <f>IFERROR(IF([1]K_Summary!$K$177 = "", "", [1]K_Summary!$K$177 ),"")</f>
        <v/>
      </c>
      <c r="L192" s="133" t="str">
        <f>IFERROR(IF([1]K_Summary!$L$177 = "", "", [1]K_Summary!$L$177 ),"")</f>
        <v/>
      </c>
      <c r="M192" s="133" t="str">
        <f>IFERROR(IF([1]K_Summary!$M$177 = "", "", [1]K_Summary!$M$177 ),"")</f>
        <v/>
      </c>
      <c r="N192" s="133" t="str">
        <f>IFERROR(IF([1]K_Summary!$N$177 = "", "", [1]K_Summary!$N$177 ),"")</f>
        <v/>
      </c>
      <c r="O192" s="601"/>
    </row>
    <row r="193" spans="1:15" s="598" customFormat="1">
      <c r="A193" s="597"/>
      <c r="C193" s="620"/>
      <c r="D193" s="620"/>
      <c r="E193" s="2519" t="s">
        <v>1292</v>
      </c>
      <c r="F193" s="2498"/>
      <c r="G193" s="622" t="s">
        <v>2018</v>
      </c>
      <c r="H193" s="126" t="str">
        <f>IFERROR(IF([1]K_Summary!$H$178 = "", "", [1]K_Summary!$H$178 ),"")</f>
        <v/>
      </c>
      <c r="I193" s="126" t="str">
        <f>IFERROR(IF([1]K_Summary!$I$178 = "", "", [1]K_Summary!$I$178 ),"")</f>
        <v/>
      </c>
      <c r="J193" s="126" t="str">
        <f>IFERROR(IF([1]K_Summary!$J$178 = "", "", [1]K_Summary!$J$178 ),"")</f>
        <v/>
      </c>
      <c r="K193" s="126" t="str">
        <f>IFERROR(IF([1]K_Summary!$K$178 = "", "", [1]K_Summary!$K$178 ),"")</f>
        <v/>
      </c>
      <c r="L193" s="126" t="str">
        <f>IFERROR(IF([1]K_Summary!$L$178 = "", "", [1]K_Summary!$L$178 ),"")</f>
        <v/>
      </c>
      <c r="M193" s="126" t="str">
        <f>IFERROR(IF([1]K_Summary!$M$178 = "", "", [1]K_Summary!$M$178 ),"")</f>
        <v/>
      </c>
      <c r="N193" s="126" t="str">
        <f>IFERROR(IF([1]K_Summary!$N$178 = "", "", [1]K_Summary!$N$178 ),"")</f>
        <v/>
      </c>
      <c r="O193" s="601"/>
    </row>
    <row r="194" spans="1:15">
      <c r="C194" s="485"/>
      <c r="D194" s="485"/>
      <c r="E194" s="485"/>
      <c r="F194" s="485"/>
      <c r="G194" s="485"/>
      <c r="H194" s="485"/>
      <c r="I194" s="485"/>
      <c r="J194" s="485"/>
      <c r="K194" s="485"/>
      <c r="L194" s="485"/>
      <c r="M194" s="485"/>
      <c r="N194" s="485"/>
    </row>
    <row r="195" spans="1:15" s="598" customFormat="1">
      <c r="A195" s="597"/>
      <c r="C195" s="620"/>
      <c r="D195" s="620"/>
      <c r="E195" s="2523" t="s">
        <v>1346</v>
      </c>
      <c r="F195" s="2500"/>
      <c r="G195" s="624" t="s">
        <v>2017</v>
      </c>
      <c r="H195" s="127" t="str">
        <f>IFERROR(IF([1]K_Summary!$H$180 = "", "", [1]K_Summary!$H$180 ),"")</f>
        <v/>
      </c>
      <c r="I195" s="127" t="str">
        <f>IFERROR(IF([1]K_Summary!$I$180 = "", "", [1]K_Summary!$I$180 ),"")</f>
        <v/>
      </c>
      <c r="J195" s="127" t="str">
        <f>IFERROR(IF([1]K_Summary!$J$180 = "", "", [1]K_Summary!$J$180 ),"")</f>
        <v/>
      </c>
      <c r="K195" s="127" t="str">
        <f>IFERROR(IF([1]K_Summary!$K$180 = "", "", [1]K_Summary!$K$180 ),"")</f>
        <v/>
      </c>
      <c r="L195" s="127" t="str">
        <f>IFERROR(IF([1]K_Summary!$L$180 = "", "", [1]K_Summary!$L$180 ),"")</f>
        <v/>
      </c>
      <c r="M195" s="127" t="str">
        <f>IFERROR(IF([1]K_Summary!$M$180 = "", "", [1]K_Summary!$M$180 ),"")</f>
        <v/>
      </c>
      <c r="N195" s="127" t="str">
        <f>IFERROR(IF([1]K_Summary!$N$180 = "", "", [1]K_Summary!$N$180 ),"")</f>
        <v/>
      </c>
      <c r="O195" s="601"/>
    </row>
    <row r="196" spans="1:15" s="598" customFormat="1">
      <c r="A196" s="597"/>
      <c r="C196" s="620"/>
      <c r="D196" s="620"/>
      <c r="E196" s="2517" t="s">
        <v>1347</v>
      </c>
      <c r="F196" s="2518"/>
      <c r="G196" s="626" t="s">
        <v>2017</v>
      </c>
      <c r="H196" s="128" t="str">
        <f>IFERROR(IF([1]K_Summary!$H$181 = "", "", [1]K_Summary!$H$181 ),"")</f>
        <v/>
      </c>
      <c r="I196" s="128" t="str">
        <f>IFERROR(IF([1]K_Summary!$I$181 = "", "", [1]K_Summary!$I$181 ),"")</f>
        <v/>
      </c>
      <c r="J196" s="128" t="str">
        <f>IFERROR(IF([1]K_Summary!$J$181 = "", "", [1]K_Summary!$J$181 ),"")</f>
        <v/>
      </c>
      <c r="K196" s="128" t="str">
        <f>IFERROR(IF([1]K_Summary!$K$181 = "", "", [1]K_Summary!$K$181 ),"")</f>
        <v/>
      </c>
      <c r="L196" s="128" t="str">
        <f>IFERROR(IF([1]K_Summary!$L$181 = "", "", [1]K_Summary!$L$181 ),"")</f>
        <v/>
      </c>
      <c r="M196" s="128" t="str">
        <f>IFERROR(IF([1]K_Summary!$M$181 = "", "", [1]K_Summary!$M$181 ),"")</f>
        <v/>
      </c>
      <c r="N196" s="128" t="str">
        <f>IFERROR(IF([1]K_Summary!$N$181 = "", "", [1]K_Summary!$N$181 ),"")</f>
        <v/>
      </c>
      <c r="O196" s="601"/>
    </row>
    <row r="197" spans="1:15">
      <c r="C197" s="485"/>
      <c r="D197" s="485"/>
      <c r="E197" s="485"/>
      <c r="F197" s="485"/>
      <c r="G197" s="485"/>
      <c r="H197" s="485"/>
      <c r="I197" s="485"/>
      <c r="J197" s="485"/>
      <c r="K197" s="485"/>
      <c r="L197" s="485"/>
      <c r="M197" s="485"/>
      <c r="N197" s="485"/>
    </row>
    <row r="198" spans="1:15" ht="15">
      <c r="C198" s="559">
        <v>4</v>
      </c>
      <c r="D198" s="2464" t="s">
        <v>1418</v>
      </c>
      <c r="E198" s="2391"/>
      <c r="F198" s="2391"/>
      <c r="G198" s="2391"/>
      <c r="H198" s="2391"/>
      <c r="I198" s="2391"/>
      <c r="J198" s="2391"/>
      <c r="K198" s="2391"/>
      <c r="L198" s="2391"/>
      <c r="M198" s="2391"/>
      <c r="N198" s="2391"/>
    </row>
    <row r="199" spans="1:15">
      <c r="C199" s="467"/>
      <c r="D199" s="467"/>
      <c r="E199" s="467"/>
      <c r="F199" s="467"/>
      <c r="G199" s="467"/>
      <c r="H199" s="467"/>
      <c r="I199" s="467"/>
      <c r="J199" s="467"/>
      <c r="K199" s="467"/>
      <c r="L199" s="467"/>
      <c r="M199" s="481"/>
      <c r="N199" s="481"/>
    </row>
    <row r="200" spans="1:15" ht="14.25">
      <c r="C200" s="467"/>
      <c r="D200" s="482" t="s">
        <v>400</v>
      </c>
      <c r="E200" s="2508" t="s">
        <v>992</v>
      </c>
      <c r="F200" s="2508"/>
      <c r="G200" s="2508"/>
      <c r="H200" s="2508"/>
      <c r="I200" s="2508"/>
      <c r="J200" s="2508"/>
      <c r="K200" s="2580"/>
      <c r="L200" s="2572" t="str">
        <f>IFERROR(IF([1]K_Summary!$L$185 = "", "", [1]K_Summary!$L$185 ),"")</f>
        <v/>
      </c>
      <c r="M200" s="2573"/>
      <c r="N200" s="2574"/>
    </row>
    <row r="201" spans="1:15">
      <c r="C201" s="467"/>
      <c r="D201" s="482"/>
      <c r="E201" s="2508" t="s">
        <v>1062</v>
      </c>
      <c r="F201" s="2391"/>
      <c r="G201" s="2512"/>
      <c r="H201" s="2543" t="str">
        <f>IFERROR(IF([1]K_Summary!$H$186 = "", "", [1]K_Summary!$H$186 ),"")</f>
        <v/>
      </c>
      <c r="I201" s="2544"/>
      <c r="J201" s="2544"/>
      <c r="K201" s="2544"/>
      <c r="L201" s="2544"/>
      <c r="M201" s="2544"/>
      <c r="N201" s="2545"/>
    </row>
    <row r="202" spans="1:15">
      <c r="C202" s="485"/>
      <c r="D202" s="485"/>
      <c r="E202" s="636"/>
      <c r="F202" s="637"/>
      <c r="G202" s="577" t="s">
        <v>884</v>
      </c>
      <c r="H202" s="578">
        <v>2019</v>
      </c>
      <c r="I202" s="578">
        <v>2020</v>
      </c>
      <c r="J202" s="578">
        <v>2021</v>
      </c>
      <c r="K202" s="578">
        <v>2022</v>
      </c>
      <c r="L202" s="578">
        <v>2023</v>
      </c>
      <c r="M202" s="578">
        <v>2024</v>
      </c>
      <c r="N202" s="578">
        <v>2025</v>
      </c>
    </row>
    <row r="203" spans="1:15" s="598" customFormat="1">
      <c r="A203" s="597"/>
      <c r="C203" s="620"/>
      <c r="D203" s="620"/>
      <c r="E203" s="2510" t="s">
        <v>373</v>
      </c>
      <c r="F203" s="2498"/>
      <c r="G203" s="622" t="s">
        <v>2016</v>
      </c>
      <c r="H203" s="62" t="str">
        <f>IFERROR(IF([1]K_Summary!$H$188 = "", "", [1]K_Summary!$H$188 ),"")</f>
        <v/>
      </c>
      <c r="I203" s="62" t="str">
        <f>IFERROR(IF([1]K_Summary!$I$188 = "", "", [1]K_Summary!$I$188 ),"")</f>
        <v/>
      </c>
      <c r="J203" s="62" t="str">
        <f>IFERROR(IF([1]K_Summary!$J$188 = "", "", [1]K_Summary!$J$188 ),"")</f>
        <v/>
      </c>
      <c r="K203" s="62" t="str">
        <f>IFERROR(IF([1]K_Summary!$K$188 = "", "", [1]K_Summary!$K$188 ),"")</f>
        <v/>
      </c>
      <c r="L203" s="62" t="str">
        <f>IFERROR(IF([1]K_Summary!$L$188 = "", "", [1]K_Summary!$L$188 ),"")</f>
        <v/>
      </c>
      <c r="M203" s="62" t="str">
        <f>IFERROR(IF([1]K_Summary!$M$188 = "", "", [1]K_Summary!$M$188 ),"")</f>
        <v/>
      </c>
      <c r="N203" s="62" t="str">
        <f>IFERROR(IF([1]K_Summary!$N$188 = "", "", [1]K_Summary!$N$188 ),"")</f>
        <v/>
      </c>
      <c r="O203" s="601"/>
    </row>
    <row r="204" spans="1:15" s="598" customFormat="1">
      <c r="A204" s="597"/>
      <c r="C204" s="620"/>
      <c r="D204" s="620"/>
      <c r="E204" s="2510" t="s">
        <v>657</v>
      </c>
      <c r="F204" s="2498"/>
      <c r="G204" s="622" t="s">
        <v>2016</v>
      </c>
      <c r="H204" s="62" t="str">
        <f>IFERROR(IF([1]K_Summary!$H$189 = "", "", [1]K_Summary!$H$189 ),"")</f>
        <v/>
      </c>
      <c r="I204" s="62" t="str">
        <f>IFERROR(IF([1]K_Summary!$I$189 = "", "", [1]K_Summary!$I$189 ),"")</f>
        <v/>
      </c>
      <c r="J204" s="62" t="str">
        <f>IFERROR(IF([1]K_Summary!$J$189 = "", "", [1]K_Summary!$J$189 ),"")</f>
        <v/>
      </c>
      <c r="K204" s="62" t="str">
        <f>IFERROR(IF([1]K_Summary!$K$189 = "", "", [1]K_Summary!$K$189 ),"")</f>
        <v/>
      </c>
      <c r="L204" s="62" t="str">
        <f>IFERROR(IF([1]K_Summary!$L$189 = "", "", [1]K_Summary!$L$189 ),"")</f>
        <v/>
      </c>
      <c r="M204" s="62" t="str">
        <f>IFERROR(IF([1]K_Summary!$M$189 = "", "", [1]K_Summary!$M$189 ),"")</f>
        <v/>
      </c>
      <c r="N204" s="62" t="str">
        <f>IFERROR(IF([1]K_Summary!$N$189 = "", "", [1]K_Summary!$N$189 ),"")</f>
        <v/>
      </c>
      <c r="O204" s="601"/>
    </row>
    <row r="205" spans="1:15" s="598" customFormat="1">
      <c r="A205" s="597"/>
      <c r="C205" s="620"/>
      <c r="D205" s="620"/>
      <c r="E205" s="2510" t="s">
        <v>376</v>
      </c>
      <c r="F205" s="2498"/>
      <c r="G205" s="63" t="str">
        <f>IFERROR(IF([1]K_Summary!$G$190 = "", "", [1]K_Summary!$G$190 ),"")</f>
        <v/>
      </c>
      <c r="H205" s="62" t="str">
        <f>IFERROR(IF([1]K_Summary!$H$190 = "", "", [1]K_Summary!$H$190 ),"")</f>
        <v/>
      </c>
      <c r="I205" s="62" t="str">
        <f>IFERROR(IF([1]K_Summary!$I$190 = "", "", [1]K_Summary!$I$190 ),"")</f>
        <v/>
      </c>
      <c r="J205" s="62" t="str">
        <f>IFERROR(IF([1]K_Summary!$J$190 = "", "", [1]K_Summary!$J$190 ),"")</f>
        <v/>
      </c>
      <c r="K205" s="62" t="str">
        <f>IFERROR(IF([1]K_Summary!$K$190 = "", "", [1]K_Summary!$K$190 ),"")</f>
        <v/>
      </c>
      <c r="L205" s="62" t="str">
        <f>IFERROR(IF([1]K_Summary!$L$190 = "", "", [1]K_Summary!$L$190 ),"")</f>
        <v/>
      </c>
      <c r="M205" s="62" t="str">
        <f>IFERROR(IF([1]K_Summary!$M$190 = "", "", [1]K_Summary!$M$190 ),"")</f>
        <v/>
      </c>
      <c r="N205" s="62" t="str">
        <f>IFERROR(IF([1]K_Summary!$N$190 = "", "", [1]K_Summary!$N$190 ),"")</f>
        <v/>
      </c>
      <c r="O205" s="601"/>
    </row>
    <row r="206" spans="1:15" s="598" customFormat="1">
      <c r="A206" s="597"/>
      <c r="C206" s="620"/>
      <c r="D206" s="620"/>
      <c r="E206" s="2510" t="s">
        <v>661</v>
      </c>
      <c r="F206" s="2498"/>
      <c r="G206" s="640" t="s">
        <v>2019</v>
      </c>
      <c r="H206" s="62" t="str">
        <f>IFERROR(IF([1]K_Summary!$H$191 = "", "", [1]K_Summary!$H$191 ),"")</f>
        <v/>
      </c>
      <c r="I206" s="62" t="str">
        <f>IFERROR(IF([1]K_Summary!$I$191 = "", "", [1]K_Summary!$I$191 ),"")</f>
        <v/>
      </c>
      <c r="J206" s="62" t="str">
        <f>IFERROR(IF([1]K_Summary!$J$191 = "", "", [1]K_Summary!$J$191 ),"")</f>
        <v/>
      </c>
      <c r="K206" s="62" t="str">
        <f>IFERROR(IF([1]K_Summary!$K$191 = "", "", [1]K_Summary!$K$191 ),"")</f>
        <v/>
      </c>
      <c r="L206" s="62" t="str">
        <f>IFERROR(IF([1]K_Summary!$L$191 = "", "", [1]K_Summary!$L$191 ),"")</f>
        <v/>
      </c>
      <c r="M206" s="62" t="str">
        <f>IFERROR(IF([1]K_Summary!$M$191 = "", "", [1]K_Summary!$M$191 ),"")</f>
        <v/>
      </c>
      <c r="N206" s="62" t="str">
        <f>IFERROR(IF([1]K_Summary!$N$191 = "", "", [1]K_Summary!$N$191 ),"")</f>
        <v/>
      </c>
      <c r="O206" s="601"/>
    </row>
    <row r="207" spans="1:15" s="598" customFormat="1">
      <c r="A207" s="597"/>
      <c r="C207" s="620"/>
      <c r="D207" s="620"/>
      <c r="E207" s="2522" t="s">
        <v>377</v>
      </c>
      <c r="F207" s="2498"/>
      <c r="G207" s="634" t="s">
        <v>2015</v>
      </c>
      <c r="H207" s="96" t="str">
        <f>IFERROR(IF([1]K_Summary!$H$192 = "", "", [1]K_Summary!$H$192 ),"")</f>
        <v/>
      </c>
      <c r="I207" s="96" t="str">
        <f>IFERROR(IF([1]K_Summary!$I$192 = "", "", [1]K_Summary!$I$192 ),"")</f>
        <v/>
      </c>
      <c r="J207" s="96" t="str">
        <f>IFERROR(IF([1]K_Summary!$J$192 = "", "", [1]K_Summary!$J$192 ),"")</f>
        <v/>
      </c>
      <c r="K207" s="96" t="str">
        <f>IFERROR(IF([1]K_Summary!$K$192 = "", "", [1]K_Summary!$K$192 ),"")</f>
        <v/>
      </c>
      <c r="L207" s="96" t="str">
        <f>IFERROR(IF([1]K_Summary!$L$192 = "", "", [1]K_Summary!$L$192 ),"")</f>
        <v/>
      </c>
      <c r="M207" s="96" t="str">
        <f>IFERROR(IF([1]K_Summary!$M$192 = "", "", [1]K_Summary!$M$192 ),"")</f>
        <v/>
      </c>
      <c r="N207" s="96" t="str">
        <f>IFERROR(IF([1]K_Summary!$N$192 = "", "", [1]K_Summary!$N$192 ),"")</f>
        <v/>
      </c>
      <c r="O207" s="601"/>
    </row>
    <row r="208" spans="1:15" s="598" customFormat="1">
      <c r="A208" s="597"/>
      <c r="D208" s="620"/>
      <c r="E208" s="2522" t="s">
        <v>673</v>
      </c>
      <c r="F208" s="2498"/>
      <c r="G208" s="642" t="s">
        <v>2015</v>
      </c>
      <c r="H208" s="96" t="str">
        <f>IFERROR(IF([1]K_Summary!$H$193 = "", "", [1]K_Summary!$H$193 ),"")</f>
        <v/>
      </c>
      <c r="I208" s="96" t="str">
        <f>IFERROR(IF([1]K_Summary!$I$193 = "", "", [1]K_Summary!$I$193 ),"")</f>
        <v/>
      </c>
      <c r="J208" s="96" t="str">
        <f>IFERROR(IF([1]K_Summary!$J$193 = "", "", [1]K_Summary!$J$193 ),"")</f>
        <v/>
      </c>
      <c r="K208" s="96" t="str">
        <f>IFERROR(IF([1]K_Summary!$K$193 = "", "", [1]K_Summary!$K$193 ),"")</f>
        <v/>
      </c>
      <c r="L208" s="96" t="str">
        <f>IFERROR(IF([1]K_Summary!$L$193 = "", "", [1]K_Summary!$L$193 ),"")</f>
        <v/>
      </c>
      <c r="M208" s="96" t="str">
        <f>IFERROR(IF([1]K_Summary!$M$193 = "", "", [1]K_Summary!$M$193 ),"")</f>
        <v/>
      </c>
      <c r="N208" s="96" t="str">
        <f>IFERROR(IF([1]K_Summary!$N$193 = "", "", [1]K_Summary!$N$193 ),"")</f>
        <v/>
      </c>
      <c r="O208" s="601"/>
    </row>
    <row r="209" spans="1:15">
      <c r="D209" s="485"/>
      <c r="E209" s="485"/>
      <c r="F209" s="485"/>
      <c r="G209" s="485"/>
      <c r="H209" s="485"/>
      <c r="I209" s="485"/>
      <c r="J209" s="485"/>
      <c r="K209" s="485"/>
      <c r="L209" s="485"/>
      <c r="M209" s="485"/>
      <c r="N209" s="485"/>
    </row>
    <row r="210" spans="1:15">
      <c r="D210" s="485"/>
      <c r="E210" s="2575" t="s">
        <v>667</v>
      </c>
      <c r="F210" s="2575"/>
      <c r="G210" s="2575"/>
      <c r="H210" s="2575"/>
      <c r="I210" s="643"/>
      <c r="J210" s="643" t="s">
        <v>668</v>
      </c>
      <c r="K210" s="64" t="str">
        <f>IFERROR(IF([1]K_Summary!$K$195 = "", "", [1]K_Summary!$K$195 ),"")</f>
        <v/>
      </c>
      <c r="L210" s="645"/>
      <c r="M210" s="643" t="s">
        <v>669</v>
      </c>
      <c r="N210" s="64" t="str">
        <f>IFERROR(IF([1]K_Summary!$N$195 = "", "", [1]K_Summary!$N$195 ),"")</f>
        <v/>
      </c>
    </row>
    <row r="211" spans="1:15">
      <c r="D211" s="467"/>
      <c r="E211" s="467"/>
      <c r="F211" s="467"/>
      <c r="G211" s="467"/>
      <c r="H211" s="467"/>
      <c r="I211" s="467"/>
      <c r="J211" s="467"/>
      <c r="K211" s="467"/>
      <c r="L211" s="467"/>
      <c r="M211" s="481"/>
      <c r="N211" s="481"/>
    </row>
    <row r="212" spans="1:15" ht="14.25">
      <c r="D212" s="482" t="s">
        <v>876</v>
      </c>
      <c r="E212" s="2508" t="s">
        <v>992</v>
      </c>
      <c r="F212" s="2391"/>
      <c r="G212" s="2391"/>
      <c r="H212" s="2391"/>
      <c r="I212" s="2391"/>
      <c r="J212" s="2391"/>
      <c r="K212" s="2512"/>
      <c r="L212" s="2572" t="str">
        <f>IFERROR(IF([1]K_Summary!$L$197 = "", "", [1]K_Summary!$L$197 ),"")</f>
        <v/>
      </c>
      <c r="M212" s="2573"/>
      <c r="N212" s="2574"/>
    </row>
    <row r="213" spans="1:15">
      <c r="D213" s="482"/>
      <c r="E213" s="2508" t="s">
        <v>1062</v>
      </c>
      <c r="F213" s="2391"/>
      <c r="G213" s="2512"/>
      <c r="H213" s="2543" t="str">
        <f>IFERROR(IF([1]K_Summary!$H$198 = "", "", [1]K_Summary!$H$198 ),"")</f>
        <v/>
      </c>
      <c r="I213" s="2544"/>
      <c r="J213" s="2544"/>
      <c r="K213" s="2544"/>
      <c r="L213" s="2544"/>
      <c r="M213" s="2544"/>
      <c r="N213" s="2545"/>
    </row>
    <row r="214" spans="1:15">
      <c r="D214" s="482"/>
      <c r="E214" s="636"/>
      <c r="F214" s="637"/>
      <c r="G214" s="577" t="s">
        <v>884</v>
      </c>
      <c r="H214" s="578">
        <v>2019</v>
      </c>
      <c r="I214" s="578">
        <v>2020</v>
      </c>
      <c r="J214" s="578">
        <v>2021</v>
      </c>
      <c r="K214" s="578">
        <v>2022</v>
      </c>
      <c r="L214" s="578">
        <v>2023</v>
      </c>
      <c r="M214" s="578">
        <v>2024</v>
      </c>
      <c r="N214" s="578">
        <v>2025</v>
      </c>
    </row>
    <row r="215" spans="1:15" s="598" customFormat="1">
      <c r="A215" s="597"/>
      <c r="D215" s="620"/>
      <c r="E215" s="2510" t="s">
        <v>373</v>
      </c>
      <c r="F215" s="2498"/>
      <c r="G215" s="622" t="s">
        <v>2016</v>
      </c>
      <c r="H215" s="62" t="str">
        <f>IFERROR(IF([1]K_Summary!$H$200 = "", "", [1]K_Summary!$H$200 ),"")</f>
        <v/>
      </c>
      <c r="I215" s="62" t="str">
        <f>IFERROR(IF([1]K_Summary!$I$200 = "", "", [1]K_Summary!$I$200 ),"")</f>
        <v/>
      </c>
      <c r="J215" s="62" t="str">
        <f>IFERROR(IF([1]K_Summary!$J$200 = "", "", [1]K_Summary!$J$200 ),"")</f>
        <v/>
      </c>
      <c r="K215" s="62" t="str">
        <f>IFERROR(IF([1]K_Summary!$K$200 = "", "", [1]K_Summary!$K$200 ),"")</f>
        <v/>
      </c>
      <c r="L215" s="62" t="str">
        <f>IFERROR(IF([1]K_Summary!$L$200 = "", "", [1]K_Summary!$L$200 ),"")</f>
        <v/>
      </c>
      <c r="M215" s="62" t="str">
        <f>IFERROR(IF([1]K_Summary!$M$200 = "", "", [1]K_Summary!$M$200 ),"")</f>
        <v/>
      </c>
      <c r="N215" s="62" t="str">
        <f>IFERROR(IF([1]K_Summary!$N$200 = "", "", [1]K_Summary!$N$200 ),"")</f>
        <v/>
      </c>
      <c r="O215" s="601"/>
    </row>
    <row r="216" spans="1:15" s="598" customFormat="1">
      <c r="A216" s="597"/>
      <c r="D216" s="620"/>
      <c r="E216" s="2510" t="s">
        <v>657</v>
      </c>
      <c r="F216" s="2498"/>
      <c r="G216" s="622" t="s">
        <v>2016</v>
      </c>
      <c r="H216" s="62" t="str">
        <f>IFERROR(IF([1]K_Summary!$H$201 = "", "", [1]K_Summary!$H$201 ),"")</f>
        <v/>
      </c>
      <c r="I216" s="62" t="str">
        <f>IFERROR(IF([1]K_Summary!$I$201 = "", "", [1]K_Summary!$I$201 ),"")</f>
        <v/>
      </c>
      <c r="J216" s="62" t="str">
        <f>IFERROR(IF([1]K_Summary!$J$201 = "", "", [1]K_Summary!$J$201 ),"")</f>
        <v/>
      </c>
      <c r="K216" s="62" t="str">
        <f>IFERROR(IF([1]K_Summary!$K$201 = "", "", [1]K_Summary!$K$201 ),"")</f>
        <v/>
      </c>
      <c r="L216" s="62" t="str">
        <f>IFERROR(IF([1]K_Summary!$L$201 = "", "", [1]K_Summary!$L$201 ),"")</f>
        <v/>
      </c>
      <c r="M216" s="62" t="str">
        <f>IFERROR(IF([1]K_Summary!$M$201 = "", "", [1]K_Summary!$M$201 ),"")</f>
        <v/>
      </c>
      <c r="N216" s="62" t="str">
        <f>IFERROR(IF([1]K_Summary!$N$201 = "", "", [1]K_Summary!$N$201 ),"")</f>
        <v/>
      </c>
      <c r="O216" s="601"/>
    </row>
    <row r="217" spans="1:15" s="598" customFormat="1">
      <c r="A217" s="597"/>
      <c r="D217" s="620"/>
      <c r="E217" s="2510" t="s">
        <v>376</v>
      </c>
      <c r="F217" s="2498"/>
      <c r="G217" s="63" t="str">
        <f>IFERROR(IF([1]K_Summary!$G$202 = "", "", [1]K_Summary!$G$202 ),"")</f>
        <v/>
      </c>
      <c r="H217" s="62" t="str">
        <f>IFERROR(IF([1]K_Summary!$H$202 = "", "", [1]K_Summary!$H$202 ),"")</f>
        <v/>
      </c>
      <c r="I217" s="62" t="str">
        <f>IFERROR(IF([1]K_Summary!$I$202 = "", "", [1]K_Summary!$I$202 ),"")</f>
        <v/>
      </c>
      <c r="J217" s="62" t="str">
        <f>IFERROR(IF([1]K_Summary!$J$202 = "", "", [1]K_Summary!$J$202 ),"")</f>
        <v/>
      </c>
      <c r="K217" s="62" t="str">
        <f>IFERROR(IF([1]K_Summary!$K$202 = "", "", [1]K_Summary!$K$202 ),"")</f>
        <v/>
      </c>
      <c r="L217" s="62" t="str">
        <f>IFERROR(IF([1]K_Summary!$L$202 = "", "", [1]K_Summary!$L$202 ),"")</f>
        <v/>
      </c>
      <c r="M217" s="62" t="str">
        <f>IFERROR(IF([1]K_Summary!$M$202 = "", "", [1]K_Summary!$M$202 ),"")</f>
        <v/>
      </c>
      <c r="N217" s="62" t="str">
        <f>IFERROR(IF([1]K_Summary!$N$202 = "", "", [1]K_Summary!$N$202 ),"")</f>
        <v/>
      </c>
      <c r="O217" s="601"/>
    </row>
    <row r="218" spans="1:15" s="598" customFormat="1">
      <c r="A218" s="597"/>
      <c r="D218" s="620"/>
      <c r="E218" s="2510" t="s">
        <v>661</v>
      </c>
      <c r="F218" s="2498"/>
      <c r="G218" s="640" t="s">
        <v>2020</v>
      </c>
      <c r="H218" s="62" t="str">
        <f>IFERROR(IF([1]K_Summary!$H$203 = "", "", [1]K_Summary!$H$203 ),"")</f>
        <v/>
      </c>
      <c r="I218" s="62" t="str">
        <f>IFERROR(IF([1]K_Summary!$I$203 = "", "", [1]K_Summary!$I$203 ),"")</f>
        <v/>
      </c>
      <c r="J218" s="62" t="str">
        <f>IFERROR(IF([1]K_Summary!$J$203 = "", "", [1]K_Summary!$J$203 ),"")</f>
        <v/>
      </c>
      <c r="K218" s="62" t="str">
        <f>IFERROR(IF([1]K_Summary!$K$203 = "", "", [1]K_Summary!$K$203 ),"")</f>
        <v/>
      </c>
      <c r="L218" s="62" t="str">
        <f>IFERROR(IF([1]K_Summary!$L$203 = "", "", [1]K_Summary!$L$203 ),"")</f>
        <v/>
      </c>
      <c r="M218" s="62" t="str">
        <f>IFERROR(IF([1]K_Summary!$M$203 = "", "", [1]K_Summary!$M$203 ),"")</f>
        <v/>
      </c>
      <c r="N218" s="62" t="str">
        <f>IFERROR(IF([1]K_Summary!$N$203 = "", "", [1]K_Summary!$N$203 ),"")</f>
        <v/>
      </c>
      <c r="O218" s="601"/>
    </row>
    <row r="219" spans="1:15" s="598" customFormat="1">
      <c r="A219" s="597"/>
      <c r="D219" s="620"/>
      <c r="E219" s="2522" t="s">
        <v>377</v>
      </c>
      <c r="F219" s="2498"/>
      <c r="G219" s="634" t="s">
        <v>2015</v>
      </c>
      <c r="H219" s="96" t="str">
        <f>IFERROR(IF([1]K_Summary!$H$204 = "", "", [1]K_Summary!$H$204 ),"")</f>
        <v/>
      </c>
      <c r="I219" s="96" t="str">
        <f>IFERROR(IF([1]K_Summary!$I$204 = "", "", [1]K_Summary!$I$204 ),"")</f>
        <v/>
      </c>
      <c r="J219" s="96" t="str">
        <f>IFERROR(IF([1]K_Summary!$J$204 = "", "", [1]K_Summary!$J$204 ),"")</f>
        <v/>
      </c>
      <c r="K219" s="96" t="str">
        <f>IFERROR(IF([1]K_Summary!$K$204 = "", "", [1]K_Summary!$K$204 ),"")</f>
        <v/>
      </c>
      <c r="L219" s="96" t="str">
        <f>IFERROR(IF([1]K_Summary!$L$204 = "", "", [1]K_Summary!$L$204 ),"")</f>
        <v/>
      </c>
      <c r="M219" s="96" t="str">
        <f>IFERROR(IF([1]K_Summary!$M$204 = "", "", [1]K_Summary!$M$204 ),"")</f>
        <v/>
      </c>
      <c r="N219" s="96" t="str">
        <f>IFERROR(IF([1]K_Summary!$N$204 = "", "", [1]K_Summary!$N$204 ),"")</f>
        <v/>
      </c>
      <c r="O219" s="601"/>
    </row>
    <row r="220" spans="1:15" s="598" customFormat="1">
      <c r="A220" s="597"/>
      <c r="D220" s="620"/>
      <c r="E220" s="2522" t="s">
        <v>673</v>
      </c>
      <c r="F220" s="2498"/>
      <c r="G220" s="642" t="s">
        <v>2015</v>
      </c>
      <c r="H220" s="96" t="str">
        <f>IFERROR(IF([1]K_Summary!$H$205 = "", "", [1]K_Summary!$H$205 ),"")</f>
        <v/>
      </c>
      <c r="I220" s="96" t="str">
        <f>IFERROR(IF([1]K_Summary!$I$205 = "", "", [1]K_Summary!$I$205 ),"")</f>
        <v/>
      </c>
      <c r="J220" s="96" t="str">
        <f>IFERROR(IF([1]K_Summary!$J$205 = "", "", [1]K_Summary!$J$205 ),"")</f>
        <v/>
      </c>
      <c r="K220" s="96" t="str">
        <f>IFERROR(IF([1]K_Summary!$K$205 = "", "", [1]K_Summary!$K$205 ),"")</f>
        <v/>
      </c>
      <c r="L220" s="96" t="str">
        <f>IFERROR(IF([1]K_Summary!$L$205 = "", "", [1]K_Summary!$L$205 ),"")</f>
        <v/>
      </c>
      <c r="M220" s="96" t="str">
        <f>IFERROR(IF([1]K_Summary!$M$205 = "", "", [1]K_Summary!$M$205 ),"")</f>
        <v/>
      </c>
      <c r="N220" s="96" t="str">
        <f>IFERROR(IF([1]K_Summary!$N$205 = "", "", [1]K_Summary!$N$205 ),"")</f>
        <v/>
      </c>
      <c r="O220" s="601"/>
    </row>
    <row r="221" spans="1:15">
      <c r="D221" s="467"/>
      <c r="E221" s="467"/>
      <c r="F221" s="467"/>
      <c r="G221" s="467"/>
      <c r="H221" s="467"/>
      <c r="I221" s="467"/>
      <c r="J221" s="467"/>
      <c r="K221" s="467"/>
      <c r="L221" s="467"/>
      <c r="M221" s="481"/>
      <c r="N221" s="481"/>
    </row>
    <row r="222" spans="1:15">
      <c r="D222" s="485"/>
      <c r="E222" s="2575" t="s">
        <v>667</v>
      </c>
      <c r="F222" s="2578"/>
      <c r="G222" s="2578"/>
      <c r="H222" s="2578"/>
      <c r="I222" s="643"/>
      <c r="J222" s="643" t="s">
        <v>668</v>
      </c>
      <c r="K222" s="64" t="str">
        <f>IFERROR(IF([1]K_Summary!$K$207 = "", "", [1]K_Summary!$K$207 ),"")</f>
        <v/>
      </c>
      <c r="L222" s="645"/>
      <c r="M222" s="643" t="s">
        <v>669</v>
      </c>
      <c r="N222" s="64" t="str">
        <f>IFERROR(IF([1]K_Summary!$N$207 = "", "", [1]K_Summary!$N$207 ),"")</f>
        <v/>
      </c>
    </row>
    <row r="223" spans="1:15"/>
    <row r="224" spans="1:15" ht="15">
      <c r="C224" s="559">
        <v>5</v>
      </c>
      <c r="D224" s="2464" t="s">
        <v>775</v>
      </c>
      <c r="E224" s="2391"/>
      <c r="F224" s="2391"/>
      <c r="G224" s="2391"/>
      <c r="H224" s="2391"/>
      <c r="I224" s="2391"/>
      <c r="J224" s="2391"/>
      <c r="K224" s="2391"/>
      <c r="L224" s="2391"/>
      <c r="M224" s="2391"/>
      <c r="N224" s="2391"/>
    </row>
    <row r="225" spans="1:15">
      <c r="C225" s="467"/>
      <c r="D225" s="467"/>
      <c r="E225" s="467"/>
      <c r="F225" s="467"/>
      <c r="G225" s="467"/>
      <c r="H225" s="467"/>
      <c r="I225" s="467"/>
      <c r="J225" s="467"/>
      <c r="K225" s="467"/>
      <c r="L225" s="467"/>
      <c r="M225" s="481"/>
      <c r="N225" s="481"/>
    </row>
    <row r="226" spans="1:15">
      <c r="C226" s="485"/>
      <c r="D226" s="482" t="s">
        <v>400</v>
      </c>
      <c r="E226" s="2509" t="s">
        <v>50</v>
      </c>
      <c r="F226" s="2493"/>
      <c r="G226" s="482" t="s">
        <v>884</v>
      </c>
      <c r="H226" s="578">
        <v>2019</v>
      </c>
      <c r="I226" s="578">
        <v>2020</v>
      </c>
      <c r="J226" s="578">
        <v>2021</v>
      </c>
      <c r="K226" s="578">
        <v>2022</v>
      </c>
      <c r="L226" s="578">
        <v>2023</v>
      </c>
      <c r="M226" s="578">
        <v>2024</v>
      </c>
      <c r="N226" s="578">
        <v>2025</v>
      </c>
    </row>
    <row r="227" spans="1:15" s="598" customFormat="1">
      <c r="A227" s="597"/>
      <c r="C227" s="620"/>
      <c r="D227" s="621"/>
      <c r="E227" s="2519" t="s">
        <v>11</v>
      </c>
      <c r="F227" s="2498"/>
      <c r="G227" s="622" t="s">
        <v>2017</v>
      </c>
      <c r="H227" s="93" t="str">
        <f>IFERROR(IF([1]K_Summary!$H$212 = "", "", [1]K_Summary!$H$212 ),"")</f>
        <v/>
      </c>
      <c r="I227" s="93" t="str">
        <f>IFERROR(IF([1]K_Summary!$I$212 = "", "", [1]K_Summary!$I$212 ),"")</f>
        <v/>
      </c>
      <c r="J227" s="93" t="str">
        <f>IFERROR(IF([1]K_Summary!$J$212 = "", "", [1]K_Summary!$J$212 ),"")</f>
        <v/>
      </c>
      <c r="K227" s="93" t="str">
        <f>IFERROR(IF([1]K_Summary!$K$212 = "", "", [1]K_Summary!$K$212 ),"")</f>
        <v/>
      </c>
      <c r="L227" s="93" t="str">
        <f>IFERROR(IF([1]K_Summary!$L$212 = "", "", [1]K_Summary!$L$212 ),"")</f>
        <v/>
      </c>
      <c r="M227" s="93" t="str">
        <f>IFERROR(IF([1]K_Summary!$M$212 = "", "", [1]K_Summary!$M$212 ),"")</f>
        <v/>
      </c>
      <c r="N227" s="93" t="str">
        <f>IFERROR(IF([1]K_Summary!$N$212 = "", "", [1]K_Summary!$N$212 ),"")</f>
        <v/>
      </c>
      <c r="O227" s="601"/>
    </row>
    <row r="228" spans="1:15" s="598" customFormat="1">
      <c r="A228" s="597"/>
      <c r="C228" s="620"/>
      <c r="D228" s="621"/>
      <c r="E228" s="2519" t="s">
        <v>1532</v>
      </c>
      <c r="F228" s="2498"/>
      <c r="G228" s="622" t="s">
        <v>2017</v>
      </c>
      <c r="H228" s="92" t="str">
        <f>IFERROR(IF([1]K_Summary!$H$213 = "", "", [1]K_Summary!$H$213 ),"")</f>
        <v/>
      </c>
      <c r="I228" s="92" t="str">
        <f>IFERROR(IF([1]K_Summary!$I$213 = "", "", [1]K_Summary!$I$213 ),"")</f>
        <v/>
      </c>
      <c r="J228" s="92" t="str">
        <f>IFERROR(IF([1]K_Summary!$J$213 = "", "", [1]K_Summary!$J$213 ),"")</f>
        <v/>
      </c>
      <c r="K228" s="92" t="str">
        <f>IFERROR(IF([1]K_Summary!$K$213 = "", "", [1]K_Summary!$K$213 ),"")</f>
        <v/>
      </c>
      <c r="L228" s="92" t="str">
        <f>IFERROR(IF([1]K_Summary!$L$213 = "", "", [1]K_Summary!$L$213 ),"")</f>
        <v/>
      </c>
      <c r="M228" s="92" t="str">
        <f>IFERROR(IF([1]K_Summary!$M$213 = "", "", [1]K_Summary!$M$213 ),"")</f>
        <v/>
      </c>
      <c r="N228" s="92" t="str">
        <f>IFERROR(IF([1]K_Summary!$N$213 = "", "", [1]K_Summary!$N$213 ),"")</f>
        <v/>
      </c>
      <c r="O228" s="601"/>
    </row>
    <row r="229" spans="1:15" s="598" customFormat="1" ht="13.5" thickBot="1">
      <c r="A229" s="597"/>
      <c r="C229" s="620"/>
      <c r="D229" s="621"/>
      <c r="E229" s="2579" t="s">
        <v>1349</v>
      </c>
      <c r="F229" s="2563"/>
      <c r="G229" s="647" t="s">
        <v>2017</v>
      </c>
      <c r="H229" s="97" t="str">
        <f>IFERROR(IF([1]K_Summary!$H$214 = "", "", [1]K_Summary!$H$214 ),"")</f>
        <v/>
      </c>
      <c r="I229" s="97" t="str">
        <f>IFERROR(IF([1]K_Summary!$I$214 = "", "", [1]K_Summary!$I$214 ),"")</f>
        <v/>
      </c>
      <c r="J229" s="97" t="str">
        <f>IFERROR(IF([1]K_Summary!$J$214 = "", "", [1]K_Summary!$J$214 ),"")</f>
        <v/>
      </c>
      <c r="K229" s="97" t="str">
        <f>IFERROR(IF([1]K_Summary!$K$214 = "", "", [1]K_Summary!$K$214 ),"")</f>
        <v/>
      </c>
      <c r="L229" s="97" t="str">
        <f>IFERROR(IF([1]K_Summary!$L$214 = "", "", [1]K_Summary!$L$214 ),"")</f>
        <v/>
      </c>
      <c r="M229" s="97" t="str">
        <f>IFERROR(IF([1]K_Summary!$M$214 = "", "", [1]K_Summary!$M$214 ),"")</f>
        <v/>
      </c>
      <c r="N229" s="97" t="str">
        <f>IFERROR(IF([1]K_Summary!$N$214 = "", "", [1]K_Summary!$N$214 ),"")</f>
        <v/>
      </c>
      <c r="O229" s="601"/>
    </row>
    <row r="230" spans="1:15" s="598" customFormat="1">
      <c r="A230" s="597"/>
      <c r="C230" s="620"/>
      <c r="D230" s="621"/>
      <c r="E230" s="2526" t="s">
        <v>277</v>
      </c>
      <c r="F230" s="2527"/>
      <c r="G230" s="649" t="s">
        <v>2017</v>
      </c>
      <c r="H230" s="98" t="str">
        <f>IFERROR(IF([1]K_Summary!$H$215 = "", "", [1]K_Summary!$H$215 ),"")</f>
        <v/>
      </c>
      <c r="I230" s="98" t="str">
        <f>IFERROR(IF([1]K_Summary!$I$215 = "", "", [1]K_Summary!$I$215 ),"")</f>
        <v/>
      </c>
      <c r="J230" s="98" t="str">
        <f>IFERROR(IF([1]K_Summary!$J$215 = "", "", [1]K_Summary!$J$215 ),"")</f>
        <v/>
      </c>
      <c r="K230" s="98" t="str">
        <f>IFERROR(IF([1]K_Summary!$K$215 = "", "", [1]K_Summary!$K$215 ),"")</f>
        <v/>
      </c>
      <c r="L230" s="98" t="str">
        <f>IFERROR(IF([1]K_Summary!$L$215 = "", "", [1]K_Summary!$L$215 ),"")</f>
        <v/>
      </c>
      <c r="M230" s="98" t="str">
        <f>IFERROR(IF([1]K_Summary!$M$215 = "", "", [1]K_Summary!$M$215 ),"")</f>
        <v/>
      </c>
      <c r="N230" s="99" t="str">
        <f>IFERROR(IF([1]K_Summary!$N$215 = "", "", [1]K_Summary!$N$215 ),"")</f>
        <v/>
      </c>
      <c r="O230" s="601"/>
    </row>
    <row r="231" spans="1:15" s="598" customFormat="1" ht="13.5" thickBot="1">
      <c r="A231" s="597"/>
      <c r="C231" s="620"/>
      <c r="D231" s="621"/>
      <c r="E231" s="2528" t="s">
        <v>278</v>
      </c>
      <c r="F231" s="2525"/>
      <c r="G231" s="651" t="s">
        <v>2017</v>
      </c>
      <c r="H231" s="91" t="str">
        <f>IFERROR(IF([1]K_Summary!$H$216 = "", "", [1]K_Summary!$H$216 ),"")</f>
        <v/>
      </c>
      <c r="I231" s="91" t="str">
        <f>IFERROR(IF([1]K_Summary!$I$216 = "", "", [1]K_Summary!$I$216 ),"")</f>
        <v/>
      </c>
      <c r="J231" s="91" t="str">
        <f>IFERROR(IF([1]K_Summary!$J$216 = "", "", [1]K_Summary!$J$216 ),"")</f>
        <v/>
      </c>
      <c r="K231" s="91" t="str">
        <f>IFERROR(IF([1]K_Summary!$K$216 = "", "", [1]K_Summary!$K$216 ),"")</f>
        <v/>
      </c>
      <c r="L231" s="91" t="str">
        <f>IFERROR(IF([1]K_Summary!$L$216 = "", "", [1]K_Summary!$L$216 ),"")</f>
        <v/>
      </c>
      <c r="M231" s="91" t="str">
        <f>IFERROR(IF([1]K_Summary!$M$216 = "", "", [1]K_Summary!$M$216 ),"")</f>
        <v/>
      </c>
      <c r="N231" s="100" t="str">
        <f>IFERROR(IF([1]K_Summary!$N$216 = "", "", [1]K_Summary!$N$216 ),"")</f>
        <v/>
      </c>
      <c r="O231" s="601"/>
    </row>
    <row r="232" spans="1:15" s="598" customFormat="1">
      <c r="A232" s="597"/>
      <c r="C232" s="620"/>
      <c r="D232" s="621"/>
      <c r="E232" s="2529" t="s">
        <v>1004</v>
      </c>
      <c r="F232" s="2530"/>
      <c r="G232" s="652" t="s">
        <v>2017</v>
      </c>
      <c r="H232" s="92" t="str">
        <f>IFERROR(IF([1]K_Summary!$H$217 = "", "", [1]K_Summary!$H$217 ),"")</f>
        <v/>
      </c>
      <c r="I232" s="92" t="str">
        <f>IFERROR(IF([1]K_Summary!$I$217 = "", "", [1]K_Summary!$I$217 ),"")</f>
        <v/>
      </c>
      <c r="J232" s="92" t="str">
        <f>IFERROR(IF([1]K_Summary!$J$217 = "", "", [1]K_Summary!$J$217 ),"")</f>
        <v/>
      </c>
      <c r="K232" s="92" t="str">
        <f>IFERROR(IF([1]K_Summary!$K$217 = "", "", [1]K_Summary!$K$217 ),"")</f>
        <v/>
      </c>
      <c r="L232" s="92" t="str">
        <f>IFERROR(IF([1]K_Summary!$L$217 = "", "", [1]K_Summary!$L$217 ),"")</f>
        <v/>
      </c>
      <c r="M232" s="92" t="str">
        <f>IFERROR(IF([1]K_Summary!$M$217 = "", "", [1]K_Summary!$M$217 ),"")</f>
        <v/>
      </c>
      <c r="N232" s="92" t="str">
        <f>IFERROR(IF([1]K_Summary!$N$217 = "", "", [1]K_Summary!$N$217 ),"")</f>
        <v/>
      </c>
      <c r="O232" s="601"/>
    </row>
    <row r="233" spans="1:15">
      <c r="C233" s="485"/>
      <c r="D233" s="561"/>
      <c r="E233" s="561"/>
      <c r="F233" s="561"/>
      <c r="G233" s="561"/>
      <c r="H233" s="561"/>
      <c r="I233" s="561"/>
      <c r="J233" s="561"/>
      <c r="K233" s="561"/>
      <c r="L233" s="561"/>
      <c r="M233" s="561"/>
      <c r="N233" s="561"/>
    </row>
    <row r="234" spans="1:15">
      <c r="C234" s="467"/>
      <c r="D234" s="482" t="s">
        <v>876</v>
      </c>
      <c r="E234" s="2576" t="s">
        <v>1800</v>
      </c>
      <c r="F234" s="2577"/>
      <c r="G234" s="2577"/>
      <c r="H234" s="2577"/>
      <c r="I234" s="2577"/>
      <c r="J234" s="2577"/>
      <c r="K234" s="2577"/>
      <c r="L234" s="2577"/>
      <c r="M234" s="2577"/>
      <c r="N234" s="2577"/>
    </row>
    <row r="235" spans="1:15">
      <c r="C235" s="467"/>
      <c r="D235" s="467"/>
      <c r="E235" s="467"/>
      <c r="F235" s="467"/>
      <c r="G235" s="467"/>
      <c r="H235" s="467"/>
      <c r="I235" s="467"/>
      <c r="J235" s="467"/>
      <c r="K235" s="467"/>
      <c r="L235" s="467"/>
      <c r="M235" s="467"/>
      <c r="N235" s="467"/>
    </row>
    <row r="236" spans="1:15">
      <c r="C236" s="485"/>
      <c r="D236" s="485"/>
      <c r="E236" s="2509" t="s">
        <v>1984</v>
      </c>
      <c r="F236" s="2493"/>
      <c r="G236" s="482" t="s">
        <v>884</v>
      </c>
      <c r="H236" s="578">
        <v>2019</v>
      </c>
      <c r="I236" s="578">
        <v>2020</v>
      </c>
      <c r="J236" s="578">
        <v>2021</v>
      </c>
      <c r="K236" s="578">
        <v>2022</v>
      </c>
      <c r="L236" s="578">
        <v>2023</v>
      </c>
      <c r="M236" s="578">
        <v>2024</v>
      </c>
      <c r="N236" s="578">
        <v>2025</v>
      </c>
    </row>
    <row r="237" spans="1:15" s="598" customFormat="1">
      <c r="A237" s="597"/>
      <c r="C237" s="620"/>
      <c r="D237" s="621" t="s">
        <v>6</v>
      </c>
      <c r="E237" s="2568" t="s">
        <v>1882</v>
      </c>
      <c r="F237" s="2568"/>
      <c r="G237" s="655" t="s">
        <v>2018</v>
      </c>
      <c r="H237" s="94" t="str">
        <f>IFERROR(IF([1]K_Summary!$H$222 = "", "", [1]K_Summary!$H$222 ),"")</f>
        <v/>
      </c>
      <c r="I237" s="94" t="str">
        <f>IFERROR(IF([1]K_Summary!$I$222 = "", "", [1]K_Summary!$I$222 ),"")</f>
        <v/>
      </c>
      <c r="J237" s="94" t="str">
        <f>IFERROR(IF([1]K_Summary!$J$222 = "", "", [1]K_Summary!$J$222 ),"")</f>
        <v/>
      </c>
      <c r="K237" s="94" t="str">
        <f>IFERROR(IF([1]K_Summary!$K$222 = "", "", [1]K_Summary!$K$222 ),"")</f>
        <v/>
      </c>
      <c r="L237" s="94" t="str">
        <f>IFERROR(IF([1]K_Summary!$L$222 = "", "", [1]K_Summary!$L$222 ),"")</f>
        <v/>
      </c>
      <c r="M237" s="94" t="str">
        <f>IFERROR(IF([1]K_Summary!$M$222 = "", "", [1]K_Summary!$M$222 ),"")</f>
        <v/>
      </c>
      <c r="N237" s="94" t="str">
        <f>IFERROR(IF([1]K_Summary!$N$222 = "", "", [1]K_Summary!$N$222 ),"")</f>
        <v/>
      </c>
      <c r="O237" s="601"/>
    </row>
    <row r="238" spans="1:15" s="598" customFormat="1">
      <c r="A238" s="597"/>
      <c r="C238" s="620"/>
      <c r="D238" s="621" t="s">
        <v>7</v>
      </c>
      <c r="E238" s="2569" t="s">
        <v>1802</v>
      </c>
      <c r="F238" s="2569"/>
      <c r="G238" s="657" t="s">
        <v>2018</v>
      </c>
      <c r="H238" s="101" t="str">
        <f>IFERROR(IF([1]K_Summary!$H$223 = "", "", [1]K_Summary!$H$223 ),"")</f>
        <v/>
      </c>
      <c r="I238" s="101" t="str">
        <f>IFERROR(IF([1]K_Summary!$I$223 = "", "", [1]K_Summary!$I$223 ),"")</f>
        <v/>
      </c>
      <c r="J238" s="101" t="str">
        <f>IFERROR(IF([1]K_Summary!$J$223 = "", "", [1]K_Summary!$J$223 ),"")</f>
        <v/>
      </c>
      <c r="K238" s="101" t="str">
        <f>IFERROR(IF([1]K_Summary!$K$223 = "", "", [1]K_Summary!$K$223 ),"")</f>
        <v/>
      </c>
      <c r="L238" s="101" t="str">
        <f>IFERROR(IF([1]K_Summary!$L$223 = "", "", [1]K_Summary!$L$223 ),"")</f>
        <v/>
      </c>
      <c r="M238" s="101" t="str">
        <f>IFERROR(IF([1]K_Summary!$M$223 = "", "", [1]K_Summary!$M$223 ),"")</f>
        <v/>
      </c>
      <c r="N238" s="101" t="str">
        <f>IFERROR(IF([1]K_Summary!$N$223 = "", "", [1]K_Summary!$N$223 ),"")</f>
        <v/>
      </c>
      <c r="O238" s="601"/>
    </row>
    <row r="239" spans="1:15" s="598" customFormat="1">
      <c r="A239" s="597"/>
      <c r="C239" s="620"/>
      <c r="D239" s="621" t="s">
        <v>8</v>
      </c>
      <c r="E239" s="2570" t="s">
        <v>1801</v>
      </c>
      <c r="F239" s="2571"/>
      <c r="G239" s="659" t="s">
        <v>2018</v>
      </c>
      <c r="H239" s="95" t="str">
        <f>IFERROR(IF([1]K_Summary!$H$224 = "", "", [1]K_Summary!$H$224 ),"")</f>
        <v/>
      </c>
      <c r="I239" s="95" t="str">
        <f>IFERROR(IF([1]K_Summary!$I$224 = "", "", [1]K_Summary!$I$224 ),"")</f>
        <v/>
      </c>
      <c r="J239" s="95" t="str">
        <f>IFERROR(IF([1]K_Summary!$J$224 = "", "", [1]K_Summary!$J$224 ),"")</f>
        <v/>
      </c>
      <c r="K239" s="95" t="str">
        <f>IFERROR(IF([1]K_Summary!$K$224 = "", "", [1]K_Summary!$K$224 ),"")</f>
        <v/>
      </c>
      <c r="L239" s="95" t="str">
        <f>IFERROR(IF([1]K_Summary!$L$224 = "", "", [1]K_Summary!$L$224 ),"")</f>
        <v/>
      </c>
      <c r="M239" s="95" t="str">
        <f>IFERROR(IF([1]K_Summary!$M$224 = "", "", [1]K_Summary!$M$224 ),"")</f>
        <v/>
      </c>
      <c r="N239" s="95" t="str">
        <f>IFERROR(IF([1]K_Summary!$N$224 = "", "", [1]K_Summary!$N$224 ),"")</f>
        <v/>
      </c>
      <c r="O239" s="601"/>
    </row>
    <row r="240" spans="1:15"/>
    <row r="241" spans="1:15">
      <c r="D241" s="482" t="s">
        <v>48</v>
      </c>
      <c r="E241" s="2509" t="s">
        <v>1587</v>
      </c>
      <c r="F241" s="2493"/>
      <c r="G241" s="2493"/>
      <c r="H241" s="2493"/>
      <c r="I241" s="2493"/>
      <c r="J241" s="2493"/>
      <c r="K241" s="2493"/>
      <c r="L241" s="2493"/>
      <c r="M241" s="2493"/>
      <c r="N241" s="2493"/>
    </row>
    <row r="242" spans="1:15" s="598" customFormat="1">
      <c r="A242" s="597"/>
      <c r="D242" s="620"/>
      <c r="E242" s="2513" t="str">
        <f>IFERROR(IF([1]K_Summary!$E$227 = "", "", [1]K_Summary!$E$227 ),"")</f>
        <v/>
      </c>
      <c r="F242" s="2514"/>
      <c r="G242" s="624" t="s">
        <v>2017</v>
      </c>
      <c r="H242" s="127" t="str">
        <f>IFERROR(IF([1]K_Summary!$H$227 = "", "", [1]K_Summary!$H$227 ),"")</f>
        <v/>
      </c>
      <c r="I242" s="127" t="str">
        <f>IFERROR(IF([1]K_Summary!$I$227 = "", "", [1]K_Summary!$I$227 ),"")</f>
        <v/>
      </c>
      <c r="J242" s="127" t="str">
        <f>IFERROR(IF([1]K_Summary!$J$227 = "", "", [1]K_Summary!$J$227 ),"")</f>
        <v/>
      </c>
      <c r="K242" s="127" t="str">
        <f>IFERROR(IF([1]K_Summary!$K$227 = "", "", [1]K_Summary!$K$227 ),"")</f>
        <v/>
      </c>
      <c r="L242" s="127" t="str">
        <f>IFERROR(IF([1]K_Summary!$L$227 = "", "", [1]K_Summary!$L$227 ),"")</f>
        <v/>
      </c>
      <c r="M242" s="127" t="str">
        <f>IFERROR(IF([1]K_Summary!$M$227 = "", "", [1]K_Summary!$M$227 ),"")</f>
        <v/>
      </c>
      <c r="N242" s="127" t="str">
        <f>IFERROR(IF([1]K_Summary!$N$227 = "", "", [1]K_Summary!$N$227 ),"")</f>
        <v/>
      </c>
      <c r="O242" s="601"/>
    </row>
    <row r="243" spans="1:15" s="598" customFormat="1">
      <c r="A243" s="597"/>
      <c r="D243" s="620"/>
      <c r="E243" s="2506" t="str">
        <f>IFERROR(IF([1]K_Summary!$E$228 = "", "", [1]K_Summary!$E$228 ),"")</f>
        <v/>
      </c>
      <c r="F243" s="2507"/>
      <c r="G243" s="661" t="s">
        <v>2017</v>
      </c>
      <c r="H243" s="134" t="str">
        <f>IFERROR(IF([1]K_Summary!$H$228 = "", "", [1]K_Summary!$H$228 ),"")</f>
        <v/>
      </c>
      <c r="I243" s="134" t="str">
        <f>IFERROR(IF([1]K_Summary!$I$228 = "", "", [1]K_Summary!$I$228 ),"")</f>
        <v/>
      </c>
      <c r="J243" s="134" t="str">
        <f>IFERROR(IF([1]K_Summary!$J$228 = "", "", [1]K_Summary!$J$228 ),"")</f>
        <v/>
      </c>
      <c r="K243" s="134" t="str">
        <f>IFERROR(IF([1]K_Summary!$K$228 = "", "", [1]K_Summary!$K$228 ),"")</f>
        <v/>
      </c>
      <c r="L243" s="134" t="str">
        <f>IFERROR(IF([1]K_Summary!$L$228 = "", "", [1]K_Summary!$L$228 ),"")</f>
        <v/>
      </c>
      <c r="M243" s="134" t="str">
        <f>IFERROR(IF([1]K_Summary!$M$228 = "", "", [1]K_Summary!$M$228 ),"")</f>
        <v/>
      </c>
      <c r="N243" s="134" t="str">
        <f>IFERROR(IF([1]K_Summary!$N$228 = "", "", [1]K_Summary!$N$228 ),"")</f>
        <v/>
      </c>
      <c r="O243" s="601"/>
    </row>
    <row r="244" spans="1:15" s="598" customFormat="1">
      <c r="A244" s="597"/>
      <c r="D244" s="620"/>
      <c r="E244" s="2506" t="str">
        <f>IFERROR(IF([1]K_Summary!$E$229 = "", "", [1]K_Summary!$E$229 ),"")</f>
        <v/>
      </c>
      <c r="F244" s="2507"/>
      <c r="G244" s="661" t="s">
        <v>2017</v>
      </c>
      <c r="H244" s="134" t="str">
        <f>IFERROR(IF([1]K_Summary!$H$229 = "", "", [1]K_Summary!$H$229 ),"")</f>
        <v/>
      </c>
      <c r="I244" s="134" t="str">
        <f>IFERROR(IF([1]K_Summary!$I$229 = "", "", [1]K_Summary!$I$229 ),"")</f>
        <v/>
      </c>
      <c r="J244" s="134" t="str">
        <f>IFERROR(IF([1]K_Summary!$J$229 = "", "", [1]K_Summary!$J$229 ),"")</f>
        <v/>
      </c>
      <c r="K244" s="134" t="str">
        <f>IFERROR(IF([1]K_Summary!$K$229 = "", "", [1]K_Summary!$K$229 ),"")</f>
        <v/>
      </c>
      <c r="L244" s="134" t="str">
        <f>IFERROR(IF([1]K_Summary!$L$229 = "", "", [1]K_Summary!$L$229 ),"")</f>
        <v/>
      </c>
      <c r="M244" s="134" t="str">
        <f>IFERROR(IF([1]K_Summary!$M$229 = "", "", [1]K_Summary!$M$229 ),"")</f>
        <v/>
      </c>
      <c r="N244" s="134" t="str">
        <f>IFERROR(IF([1]K_Summary!$N$229 = "", "", [1]K_Summary!$N$229 ),"")</f>
        <v/>
      </c>
      <c r="O244" s="601"/>
    </row>
    <row r="245" spans="1:15" s="598" customFormat="1">
      <c r="A245" s="597"/>
      <c r="D245" s="620"/>
      <c r="E245" s="2506" t="str">
        <f>IFERROR(IF([1]K_Summary!$E$230 = "", "", [1]K_Summary!$E$230 ),"")</f>
        <v/>
      </c>
      <c r="F245" s="2507"/>
      <c r="G245" s="661" t="s">
        <v>2017</v>
      </c>
      <c r="H245" s="134" t="str">
        <f>IFERROR(IF([1]K_Summary!$H$230 = "", "", [1]K_Summary!$H$230 ),"")</f>
        <v/>
      </c>
      <c r="I245" s="134" t="str">
        <f>IFERROR(IF([1]K_Summary!$I$230 = "", "", [1]K_Summary!$I$230 ),"")</f>
        <v/>
      </c>
      <c r="J245" s="134" t="str">
        <f>IFERROR(IF([1]K_Summary!$J$230 = "", "", [1]K_Summary!$J$230 ),"")</f>
        <v/>
      </c>
      <c r="K245" s="134" t="str">
        <f>IFERROR(IF([1]K_Summary!$K$230 = "", "", [1]K_Summary!$K$230 ),"")</f>
        <v/>
      </c>
      <c r="L245" s="134" t="str">
        <f>IFERROR(IF([1]K_Summary!$L$230 = "", "", [1]K_Summary!$L$230 ),"")</f>
        <v/>
      </c>
      <c r="M245" s="134" t="str">
        <f>IFERROR(IF([1]K_Summary!$M$230 = "", "", [1]K_Summary!$M$230 ),"")</f>
        <v/>
      </c>
      <c r="N245" s="134" t="str">
        <f>IFERROR(IF([1]K_Summary!$N$230 = "", "", [1]K_Summary!$N$230 ),"")</f>
        <v/>
      </c>
      <c r="O245" s="601"/>
    </row>
    <row r="246" spans="1:15" s="598" customFormat="1">
      <c r="A246" s="597"/>
      <c r="D246" s="620"/>
      <c r="E246" s="2506" t="str">
        <f>IFERROR(IF([1]K_Summary!$E$231 = "", "", [1]K_Summary!$E$231 ),"")</f>
        <v/>
      </c>
      <c r="F246" s="2507"/>
      <c r="G246" s="661" t="s">
        <v>2017</v>
      </c>
      <c r="H246" s="134" t="str">
        <f>IFERROR(IF([1]K_Summary!$H$231 = "", "", [1]K_Summary!$H$231 ),"")</f>
        <v/>
      </c>
      <c r="I246" s="134" t="str">
        <f>IFERROR(IF([1]K_Summary!$I$231 = "", "", [1]K_Summary!$I$231 ),"")</f>
        <v/>
      </c>
      <c r="J246" s="134" t="str">
        <f>IFERROR(IF([1]K_Summary!$J$231 = "", "", [1]K_Summary!$J$231 ),"")</f>
        <v/>
      </c>
      <c r="K246" s="134" t="str">
        <f>IFERROR(IF([1]K_Summary!$K$231 = "", "", [1]K_Summary!$K$231 ),"")</f>
        <v/>
      </c>
      <c r="L246" s="134" t="str">
        <f>IFERROR(IF([1]K_Summary!$L$231 = "", "", [1]K_Summary!$L$231 ),"")</f>
        <v/>
      </c>
      <c r="M246" s="134" t="str">
        <f>IFERROR(IF([1]K_Summary!$M$231 = "", "", [1]K_Summary!$M$231 ),"")</f>
        <v/>
      </c>
      <c r="N246" s="134" t="str">
        <f>IFERROR(IF([1]K_Summary!$N$231 = "", "", [1]K_Summary!$N$231 ),"")</f>
        <v/>
      </c>
      <c r="O246" s="601"/>
    </row>
    <row r="247" spans="1:15" s="598" customFormat="1">
      <c r="A247" s="597"/>
      <c r="D247" s="620"/>
      <c r="E247" s="2506" t="str">
        <f>IFERROR(IF([1]K_Summary!$E$232 = "", "", [1]K_Summary!$E$232 ),"")</f>
        <v/>
      </c>
      <c r="F247" s="2507"/>
      <c r="G247" s="661" t="s">
        <v>2017</v>
      </c>
      <c r="H247" s="134" t="str">
        <f>IFERROR(IF([1]K_Summary!$H$232 = "", "", [1]K_Summary!$H$232 ),"")</f>
        <v/>
      </c>
      <c r="I247" s="134" t="str">
        <f>IFERROR(IF([1]K_Summary!$I$232 = "", "", [1]K_Summary!$I$232 ),"")</f>
        <v/>
      </c>
      <c r="J247" s="134" t="str">
        <f>IFERROR(IF([1]K_Summary!$J$232 = "", "", [1]K_Summary!$J$232 ),"")</f>
        <v/>
      </c>
      <c r="K247" s="134" t="str">
        <f>IFERROR(IF([1]K_Summary!$K$232 = "", "", [1]K_Summary!$K$232 ),"")</f>
        <v/>
      </c>
      <c r="L247" s="134" t="str">
        <f>IFERROR(IF([1]K_Summary!$L$232 = "", "", [1]K_Summary!$L$232 ),"")</f>
        <v/>
      </c>
      <c r="M247" s="134" t="str">
        <f>IFERROR(IF([1]K_Summary!$M$232 = "", "", [1]K_Summary!$M$232 ),"")</f>
        <v/>
      </c>
      <c r="N247" s="134" t="str">
        <f>IFERROR(IF([1]K_Summary!$N$232 = "", "", [1]K_Summary!$N$232 ),"")</f>
        <v/>
      </c>
      <c r="O247" s="601"/>
    </row>
    <row r="248" spans="1:15" s="598" customFormat="1">
      <c r="A248" s="597"/>
      <c r="D248" s="620"/>
      <c r="E248" s="2506" t="str">
        <f>IFERROR(IF([1]K_Summary!$E$233 = "", "", [1]K_Summary!$E$233 ),"")</f>
        <v/>
      </c>
      <c r="F248" s="2507"/>
      <c r="G248" s="661" t="s">
        <v>2017</v>
      </c>
      <c r="H248" s="134" t="str">
        <f>IFERROR(IF([1]K_Summary!$H$233 = "", "", [1]K_Summary!$H$233 ),"")</f>
        <v/>
      </c>
      <c r="I248" s="134" t="str">
        <f>IFERROR(IF([1]K_Summary!$I$233 = "", "", [1]K_Summary!$I$233 ),"")</f>
        <v/>
      </c>
      <c r="J248" s="134" t="str">
        <f>IFERROR(IF([1]K_Summary!$J$233 = "", "", [1]K_Summary!$J$233 ),"")</f>
        <v/>
      </c>
      <c r="K248" s="134" t="str">
        <f>IFERROR(IF([1]K_Summary!$K$233 = "", "", [1]K_Summary!$K$233 ),"")</f>
        <v/>
      </c>
      <c r="L248" s="134" t="str">
        <f>IFERROR(IF([1]K_Summary!$L$233 = "", "", [1]K_Summary!$L$233 ),"")</f>
        <v/>
      </c>
      <c r="M248" s="134" t="str">
        <f>IFERROR(IF([1]K_Summary!$M$233 = "", "", [1]K_Summary!$M$233 ),"")</f>
        <v/>
      </c>
      <c r="N248" s="134" t="str">
        <f>IFERROR(IF([1]K_Summary!$N$233 = "", "", [1]K_Summary!$N$233 ),"")</f>
        <v/>
      </c>
      <c r="O248" s="601"/>
    </row>
    <row r="249" spans="1:15" s="598" customFormat="1">
      <c r="A249" s="597"/>
      <c r="D249" s="620"/>
      <c r="E249" s="2506" t="str">
        <f>IFERROR(IF([1]K_Summary!$E$234 = "", "", [1]K_Summary!$E$234 ),"")</f>
        <v/>
      </c>
      <c r="F249" s="2507"/>
      <c r="G249" s="661" t="s">
        <v>2017</v>
      </c>
      <c r="H249" s="134" t="str">
        <f>IFERROR(IF([1]K_Summary!$H$234 = "", "", [1]K_Summary!$H$234 ),"")</f>
        <v/>
      </c>
      <c r="I249" s="134" t="str">
        <f>IFERROR(IF([1]K_Summary!$I$234 = "", "", [1]K_Summary!$I$234 ),"")</f>
        <v/>
      </c>
      <c r="J249" s="134" t="str">
        <f>IFERROR(IF([1]K_Summary!$J$234 = "", "", [1]K_Summary!$J$234 ),"")</f>
        <v/>
      </c>
      <c r="K249" s="134" t="str">
        <f>IFERROR(IF([1]K_Summary!$K$234 = "", "", [1]K_Summary!$K$234 ),"")</f>
        <v/>
      </c>
      <c r="L249" s="134" t="str">
        <f>IFERROR(IF([1]K_Summary!$L$234 = "", "", [1]K_Summary!$L$234 ),"")</f>
        <v/>
      </c>
      <c r="M249" s="134" t="str">
        <f>IFERROR(IF([1]K_Summary!$M$234 = "", "", [1]K_Summary!$M$234 ),"")</f>
        <v/>
      </c>
      <c r="N249" s="134" t="str">
        <f>IFERROR(IF([1]K_Summary!$N$234 = "", "", [1]K_Summary!$N$234 ),"")</f>
        <v/>
      </c>
      <c r="O249" s="601"/>
    </row>
    <row r="250" spans="1:15" s="598" customFormat="1">
      <c r="A250" s="597"/>
      <c r="D250" s="620"/>
      <c r="E250" s="2506" t="str">
        <f>IFERROR(IF([1]K_Summary!$E$235 = "", "", [1]K_Summary!$E$235 ),"")</f>
        <v/>
      </c>
      <c r="F250" s="2507"/>
      <c r="G250" s="661" t="s">
        <v>2017</v>
      </c>
      <c r="H250" s="134" t="str">
        <f>IFERROR(IF([1]K_Summary!$H$235 = "", "", [1]K_Summary!$H$235 ),"")</f>
        <v/>
      </c>
      <c r="I250" s="134" t="str">
        <f>IFERROR(IF([1]K_Summary!$I$235 = "", "", [1]K_Summary!$I$235 ),"")</f>
        <v/>
      </c>
      <c r="J250" s="134" t="str">
        <f>IFERROR(IF([1]K_Summary!$J$235 = "", "", [1]K_Summary!$J$235 ),"")</f>
        <v/>
      </c>
      <c r="K250" s="134" t="str">
        <f>IFERROR(IF([1]K_Summary!$K$235 = "", "", [1]K_Summary!$K$235 ),"")</f>
        <v/>
      </c>
      <c r="L250" s="134" t="str">
        <f>IFERROR(IF([1]K_Summary!$L$235 = "", "", [1]K_Summary!$L$235 ),"")</f>
        <v/>
      </c>
      <c r="M250" s="134" t="str">
        <f>IFERROR(IF([1]K_Summary!$M$235 = "", "", [1]K_Summary!$M$235 ),"")</f>
        <v/>
      </c>
      <c r="N250" s="134" t="str">
        <f>IFERROR(IF([1]K_Summary!$N$235 = "", "", [1]K_Summary!$N$235 ),"")</f>
        <v/>
      </c>
      <c r="O250" s="601"/>
    </row>
    <row r="251" spans="1:15" s="598" customFormat="1">
      <c r="A251" s="597"/>
      <c r="D251" s="620"/>
      <c r="E251" s="2520" t="str">
        <f>IFERROR(IF([1]K_Summary!$E$236 = "", "", [1]K_Summary!$E$236 ),"")</f>
        <v/>
      </c>
      <c r="F251" s="2521"/>
      <c r="G251" s="626" t="s">
        <v>2017</v>
      </c>
      <c r="H251" s="128" t="str">
        <f>IFERROR(IF([1]K_Summary!$H$236 = "", "", [1]K_Summary!$H$236 ),"")</f>
        <v/>
      </c>
      <c r="I251" s="128" t="str">
        <f>IFERROR(IF([1]K_Summary!$I$236 = "", "", [1]K_Summary!$I$236 ),"")</f>
        <v/>
      </c>
      <c r="J251" s="128" t="str">
        <f>IFERROR(IF([1]K_Summary!$J$236 = "", "", [1]K_Summary!$J$236 ),"")</f>
        <v/>
      </c>
      <c r="K251" s="128" t="str">
        <f>IFERROR(IF([1]K_Summary!$K$236 = "", "", [1]K_Summary!$K$236 ),"")</f>
        <v/>
      </c>
      <c r="L251" s="128" t="str">
        <f>IFERROR(IF([1]K_Summary!$L$236 = "", "", [1]K_Summary!$L$236 ),"")</f>
        <v/>
      </c>
      <c r="M251" s="128" t="str">
        <f>IFERROR(IF([1]K_Summary!$M$236 = "", "", [1]K_Summary!$M$236 ),"")</f>
        <v/>
      </c>
      <c r="N251" s="128" t="str">
        <f>IFERROR(IF([1]K_Summary!$N$236 = "", "", [1]K_Summary!$N$236 ),"")</f>
        <v/>
      </c>
      <c r="O251" s="601"/>
    </row>
    <row r="252" spans="1:15" s="598" customFormat="1">
      <c r="A252" s="597"/>
      <c r="D252" s="620"/>
      <c r="E252" s="2523" t="s">
        <v>275</v>
      </c>
      <c r="F252" s="2500"/>
      <c r="G252" s="599" t="s">
        <v>2017</v>
      </c>
      <c r="H252" s="127" t="str">
        <f>IFERROR(IF([1]K_Summary!$H$237 = "", "", [1]K_Summary!$H$237 ),"")</f>
        <v/>
      </c>
      <c r="I252" s="127" t="str">
        <f>IFERROR(IF([1]K_Summary!$I$237 = "", "", [1]K_Summary!$I$237 ),"")</f>
        <v/>
      </c>
      <c r="J252" s="127" t="str">
        <f>IFERROR(IF([1]K_Summary!$J$237 = "", "", [1]K_Summary!$J$237 ),"")</f>
        <v/>
      </c>
      <c r="K252" s="127" t="str">
        <f>IFERROR(IF([1]K_Summary!$K$237 = "", "", [1]K_Summary!$K$237 ),"")</f>
        <v/>
      </c>
      <c r="L252" s="127" t="str">
        <f>IFERROR(IF([1]K_Summary!$L$237 = "", "", [1]K_Summary!$L$237 ),"")</f>
        <v/>
      </c>
      <c r="M252" s="127" t="str">
        <f>IFERROR(IF([1]K_Summary!$M$237 = "", "", [1]K_Summary!$M$237 ),"")</f>
        <v/>
      </c>
      <c r="N252" s="127" t="str">
        <f>IFERROR(IF([1]K_Summary!$N$237 = "", "", [1]K_Summary!$N$237 ),"")</f>
        <v/>
      </c>
      <c r="O252" s="601"/>
    </row>
    <row r="253" spans="1:15" s="598" customFormat="1">
      <c r="A253" s="597"/>
      <c r="D253" s="620"/>
      <c r="E253" s="2515" t="s">
        <v>276</v>
      </c>
      <c r="F253" s="2516"/>
      <c r="G253" s="608" t="s">
        <v>2017</v>
      </c>
      <c r="H253" s="134" t="str">
        <f>IFERROR(IF([1]K_Summary!$H$238 = "", "", [1]K_Summary!$H$238 ),"")</f>
        <v/>
      </c>
      <c r="I253" s="134" t="str">
        <f>IFERROR(IF([1]K_Summary!$I$238 = "", "", [1]K_Summary!$I$238 ),"")</f>
        <v/>
      </c>
      <c r="J253" s="134" t="str">
        <f>IFERROR(IF([1]K_Summary!$J$238 = "", "", [1]K_Summary!$J$238 ),"")</f>
        <v/>
      </c>
      <c r="K253" s="134" t="str">
        <f>IFERROR(IF([1]K_Summary!$K$238 = "", "", [1]K_Summary!$K$238 ),"")</f>
        <v/>
      </c>
      <c r="L253" s="134" t="str">
        <f>IFERROR(IF([1]K_Summary!$L$238 = "", "", [1]K_Summary!$L$238 ),"")</f>
        <v/>
      </c>
      <c r="M253" s="134" t="str">
        <f>IFERROR(IF([1]K_Summary!$M$238 = "", "", [1]K_Summary!$M$238 ),"")</f>
        <v/>
      </c>
      <c r="N253" s="134" t="str">
        <f>IFERROR(IF([1]K_Summary!$N$238 = "", "", [1]K_Summary!$N$238 ),"")</f>
        <v/>
      </c>
      <c r="O253" s="601"/>
    </row>
    <row r="254" spans="1:15" s="598" customFormat="1">
      <c r="A254" s="597"/>
      <c r="D254" s="620"/>
      <c r="E254" s="2515" t="s">
        <v>1209</v>
      </c>
      <c r="F254" s="2516"/>
      <c r="G254" s="608" t="s">
        <v>2017</v>
      </c>
      <c r="H254" s="134" t="str">
        <f>IFERROR(IF([1]K_Summary!$H$239 = "", "", [1]K_Summary!$H$239 ),"")</f>
        <v/>
      </c>
      <c r="I254" s="134" t="str">
        <f>IFERROR(IF([1]K_Summary!$I$239 = "", "", [1]K_Summary!$I$239 ),"")</f>
        <v/>
      </c>
      <c r="J254" s="134" t="str">
        <f>IFERROR(IF([1]K_Summary!$J$239 = "", "", [1]K_Summary!$J$239 ),"")</f>
        <v/>
      </c>
      <c r="K254" s="134" t="str">
        <f>IFERROR(IF([1]K_Summary!$K$239 = "", "", [1]K_Summary!$K$239 ),"")</f>
        <v/>
      </c>
      <c r="L254" s="134" t="str">
        <f>IFERROR(IF([1]K_Summary!$L$239 = "", "", [1]K_Summary!$L$239 ),"")</f>
        <v/>
      </c>
      <c r="M254" s="134" t="str">
        <f>IFERROR(IF([1]K_Summary!$M$239 = "", "", [1]K_Summary!$M$239 ),"")</f>
        <v/>
      </c>
      <c r="N254" s="134" t="str">
        <f>IFERROR(IF([1]K_Summary!$N$239 = "", "", [1]K_Summary!$N$239 ),"")</f>
        <v/>
      </c>
      <c r="O254" s="601"/>
    </row>
    <row r="255" spans="1:15" s="598" customFormat="1">
      <c r="A255" s="597"/>
      <c r="D255" s="620"/>
      <c r="E255" s="2515" t="s">
        <v>277</v>
      </c>
      <c r="F255" s="2516"/>
      <c r="G255" s="608" t="s">
        <v>2017</v>
      </c>
      <c r="H255" s="134" t="str">
        <f>IFERROR(IF([1]K_Summary!$H$240 = "", "", [1]K_Summary!$H$240 ),"")</f>
        <v/>
      </c>
      <c r="I255" s="134" t="str">
        <f>IFERROR(IF([1]K_Summary!$I$240 = "", "", [1]K_Summary!$I$240 ),"")</f>
        <v/>
      </c>
      <c r="J255" s="134" t="str">
        <f>IFERROR(IF([1]K_Summary!$J$240 = "", "", [1]K_Summary!$J$240 ),"")</f>
        <v/>
      </c>
      <c r="K255" s="134" t="str">
        <f>IFERROR(IF([1]K_Summary!$K$240 = "", "", [1]K_Summary!$K$240 ),"")</f>
        <v/>
      </c>
      <c r="L255" s="134" t="str">
        <f>IFERROR(IF([1]K_Summary!$L$240 = "", "", [1]K_Summary!$L$240 ),"")</f>
        <v/>
      </c>
      <c r="M255" s="134" t="str">
        <f>IFERROR(IF([1]K_Summary!$M$240 = "", "", [1]K_Summary!$M$240 ),"")</f>
        <v/>
      </c>
      <c r="N255" s="134" t="str">
        <f>IFERROR(IF([1]K_Summary!$N$240 = "", "", [1]K_Summary!$N$240 ),"")</f>
        <v/>
      </c>
      <c r="O255" s="601"/>
    </row>
    <row r="256" spans="1:15" s="598" customFormat="1">
      <c r="A256" s="597"/>
      <c r="C256" s="620"/>
      <c r="D256" s="620"/>
      <c r="E256" s="2517" t="s">
        <v>278</v>
      </c>
      <c r="F256" s="2518"/>
      <c r="G256" s="619" t="s">
        <v>2017</v>
      </c>
      <c r="H256" s="128" t="str">
        <f>IFERROR(IF([1]K_Summary!$H$241 = "", "", [1]K_Summary!$H$241 ),"")</f>
        <v/>
      </c>
      <c r="I256" s="128" t="str">
        <f>IFERROR(IF([1]K_Summary!$I$241 = "", "", [1]K_Summary!$I$241 ),"")</f>
        <v/>
      </c>
      <c r="J256" s="128" t="str">
        <f>IFERROR(IF([1]K_Summary!$J$241 = "", "", [1]K_Summary!$J$241 ),"")</f>
        <v/>
      </c>
      <c r="K256" s="128" t="str">
        <f>IFERROR(IF([1]K_Summary!$K$241 = "", "", [1]K_Summary!$K$241 ),"")</f>
        <v/>
      </c>
      <c r="L256" s="128" t="str">
        <f>IFERROR(IF([1]K_Summary!$L$241 = "", "", [1]K_Summary!$L$241 ),"")</f>
        <v/>
      </c>
      <c r="M256" s="128" t="str">
        <f>IFERROR(IF([1]K_Summary!$M$241 = "", "", [1]K_Summary!$M$241 ),"")</f>
        <v/>
      </c>
      <c r="N256" s="128" t="str">
        <f>IFERROR(IF([1]K_Summary!$N$241 = "", "", [1]K_Summary!$N$241 ),"")</f>
        <v/>
      </c>
      <c r="O256" s="601"/>
    </row>
    <row r="257" spans="1:15">
      <c r="C257" s="485"/>
      <c r="D257" s="485"/>
      <c r="E257" s="485"/>
      <c r="F257" s="485"/>
      <c r="G257" s="485"/>
      <c r="H257" s="485"/>
      <c r="I257" s="485"/>
      <c r="J257" s="485"/>
      <c r="K257" s="485"/>
      <c r="L257" s="485"/>
      <c r="M257" s="485"/>
      <c r="N257" s="485"/>
    </row>
    <row r="258" spans="1:15" ht="15">
      <c r="C258" s="559">
        <v>6</v>
      </c>
      <c r="D258" s="2464" t="s">
        <v>776</v>
      </c>
      <c r="E258" s="2464"/>
      <c r="F258" s="2464"/>
      <c r="G258" s="2464"/>
      <c r="H258" s="2464"/>
      <c r="I258" s="2464"/>
      <c r="J258" s="2464"/>
      <c r="K258" s="2464"/>
      <c r="L258" s="2464"/>
      <c r="M258" s="2464"/>
      <c r="N258" s="2464"/>
    </row>
    <row r="259" spans="1:15">
      <c r="C259" s="467"/>
      <c r="D259" s="467"/>
      <c r="E259" s="467"/>
      <c r="F259" s="467"/>
      <c r="G259" s="467"/>
      <c r="H259" s="467"/>
      <c r="I259" s="467"/>
      <c r="J259" s="467"/>
      <c r="K259" s="467"/>
      <c r="L259" s="467"/>
      <c r="M259" s="481"/>
      <c r="N259" s="481"/>
    </row>
    <row r="260" spans="1:15">
      <c r="C260" s="482"/>
      <c r="D260" s="482" t="s">
        <v>400</v>
      </c>
      <c r="E260" s="2508" t="s">
        <v>51</v>
      </c>
      <c r="F260" s="2391"/>
      <c r="G260" s="2391"/>
      <c r="H260" s="2391"/>
      <c r="I260" s="2391"/>
      <c r="J260" s="2391"/>
      <c r="K260" s="2391"/>
      <c r="L260" s="2391"/>
      <c r="M260" s="2391"/>
      <c r="N260" s="2391"/>
    </row>
    <row r="261" spans="1:15">
      <c r="C261" s="485"/>
      <c r="D261" s="485"/>
      <c r="E261" s="636"/>
      <c r="F261" s="637"/>
      <c r="G261" s="663" t="s">
        <v>884</v>
      </c>
      <c r="H261" s="578">
        <v>2019</v>
      </c>
      <c r="I261" s="578">
        <v>2020</v>
      </c>
      <c r="J261" s="578">
        <v>2021</v>
      </c>
      <c r="K261" s="578">
        <v>2022</v>
      </c>
      <c r="L261" s="578">
        <v>2023</v>
      </c>
      <c r="M261" s="578">
        <v>2024</v>
      </c>
      <c r="N261" s="578">
        <v>2025</v>
      </c>
    </row>
    <row r="262" spans="1:15" s="598" customFormat="1">
      <c r="A262" s="597"/>
      <c r="C262" s="620"/>
      <c r="D262" s="620"/>
      <c r="E262" s="2510" t="s">
        <v>52</v>
      </c>
      <c r="F262" s="2498"/>
      <c r="G262" s="622" t="s">
        <v>2017</v>
      </c>
      <c r="H262" s="126" t="str">
        <f>IFERROR(IF([1]K_Summary!$H$247 = "", "", [1]K_Summary!$H$247 ),"")</f>
        <v/>
      </c>
      <c r="I262" s="126" t="str">
        <f>IFERROR(IF([1]K_Summary!$I$247 = "", "", [1]K_Summary!$I$247 ),"")</f>
        <v/>
      </c>
      <c r="J262" s="126" t="str">
        <f>IFERROR(IF([1]K_Summary!$J$247 = "", "", [1]K_Summary!$J$247 ),"")</f>
        <v/>
      </c>
      <c r="K262" s="93" t="str">
        <f>IFERROR(IF([1]K_Summary!$K$247 = "", "", [1]K_Summary!$K$247 ),"")</f>
        <v/>
      </c>
      <c r="L262" s="93" t="str">
        <f>IFERROR(IF([1]K_Summary!$L$247 = "", "", [1]K_Summary!$L$247 ),"")</f>
        <v/>
      </c>
      <c r="M262" s="93" t="str">
        <f>IFERROR(IF([1]K_Summary!$M$247 = "", "", [1]K_Summary!$M$247 ),"")</f>
        <v/>
      </c>
      <c r="N262" s="93" t="str">
        <f>IFERROR(IF([1]K_Summary!$N$247 = "", "", [1]K_Summary!$N$247 ),"")</f>
        <v/>
      </c>
      <c r="O262" s="601"/>
    </row>
    <row r="263" spans="1:15">
      <c r="C263" s="467"/>
      <c r="D263" s="467"/>
      <c r="E263" s="467"/>
      <c r="F263" s="467"/>
      <c r="G263" s="467"/>
      <c r="H263" s="467"/>
      <c r="I263" s="467"/>
      <c r="J263" s="467"/>
      <c r="K263" s="467"/>
      <c r="L263" s="467"/>
      <c r="M263" s="467"/>
      <c r="N263" s="467"/>
    </row>
    <row r="264" spans="1:15" ht="13.15" customHeight="1">
      <c r="C264" s="482"/>
      <c r="D264" s="482" t="s">
        <v>876</v>
      </c>
      <c r="E264" s="575" t="s">
        <v>2087</v>
      </c>
      <c r="F264" s="2508"/>
      <c r="G264" s="2508"/>
      <c r="H264" s="2508"/>
      <c r="I264" s="2508"/>
      <c r="J264" s="2508"/>
      <c r="K264" s="2508"/>
      <c r="L264" s="2508"/>
      <c r="M264" s="2508"/>
      <c r="N264" s="2508"/>
    </row>
    <row r="265" spans="1:15">
      <c r="C265" s="485"/>
      <c r="D265" s="485"/>
      <c r="E265" s="2509" t="s">
        <v>54</v>
      </c>
      <c r="F265" s="2493"/>
      <c r="G265" s="663" t="s">
        <v>884</v>
      </c>
      <c r="H265" s="578">
        <v>2019</v>
      </c>
      <c r="I265" s="578">
        <v>2020</v>
      </c>
      <c r="J265" s="578">
        <v>2021</v>
      </c>
      <c r="K265" s="578">
        <v>2022</v>
      </c>
      <c r="L265" s="578">
        <v>2023</v>
      </c>
      <c r="M265" s="578">
        <v>2024</v>
      </c>
      <c r="N265" s="578">
        <v>2025</v>
      </c>
    </row>
    <row r="266" spans="1:15" s="598" customFormat="1">
      <c r="A266" s="597"/>
      <c r="C266" s="621"/>
      <c r="D266" s="621"/>
      <c r="E266" s="2513" t="str">
        <f>IFERROR(IF([1]K_Summary!$E$251 = "", "", [1]K_Summary!$E$251 ),"")</f>
        <v/>
      </c>
      <c r="F266" s="2514"/>
      <c r="G266" s="664" t="s">
        <v>2017</v>
      </c>
      <c r="H266" s="127" t="str">
        <f>IFERROR(IF([1]K_Summary!$H$251 = "", "", [1]K_Summary!$H$251 ),"")</f>
        <v/>
      </c>
      <c r="I266" s="127" t="str">
        <f>IFERROR(IF([1]K_Summary!$I$251 = "", "", [1]K_Summary!$I$251 ),"")</f>
        <v/>
      </c>
      <c r="J266" s="127" t="str">
        <f>IFERROR(IF([1]K_Summary!$J$251 = "", "", [1]K_Summary!$J$251 ),"")</f>
        <v/>
      </c>
      <c r="K266" s="94" t="str">
        <f>IFERROR(IF([1]K_Summary!$K$251 = "", "", [1]K_Summary!$K$251 ),"")</f>
        <v/>
      </c>
      <c r="L266" s="94" t="str">
        <f>IFERROR(IF([1]K_Summary!$L$251 = "", "", [1]K_Summary!$L$251 ),"")</f>
        <v/>
      </c>
      <c r="M266" s="94" t="str">
        <f>IFERROR(IF([1]K_Summary!$M$251 = "", "", [1]K_Summary!$M$251 ),"")</f>
        <v/>
      </c>
      <c r="N266" s="94" t="str">
        <f>IFERROR(IF([1]K_Summary!$N$251 = "", "", [1]K_Summary!$N$251 ),"")</f>
        <v/>
      </c>
      <c r="O266" s="601"/>
    </row>
    <row r="267" spans="1:15" s="598" customFormat="1">
      <c r="A267" s="597"/>
      <c r="C267" s="621"/>
      <c r="D267" s="621"/>
      <c r="E267" s="2506" t="str">
        <f>IFERROR(IF([1]K_Summary!$E$252 = "", "", [1]K_Summary!$E$252 ),"")</f>
        <v/>
      </c>
      <c r="F267" s="2507"/>
      <c r="G267" s="665" t="s">
        <v>2017</v>
      </c>
      <c r="H267" s="134" t="str">
        <f>IFERROR(IF([1]K_Summary!$H$252 = "", "", [1]K_Summary!$H$252 ),"")</f>
        <v/>
      </c>
      <c r="I267" s="134" t="str">
        <f>IFERROR(IF([1]K_Summary!$I$252 = "", "", [1]K_Summary!$I$252 ),"")</f>
        <v/>
      </c>
      <c r="J267" s="134" t="str">
        <f>IFERROR(IF([1]K_Summary!$J$252 = "", "", [1]K_Summary!$J$252 ),"")</f>
        <v/>
      </c>
      <c r="K267" s="101" t="str">
        <f>IFERROR(IF([1]K_Summary!$K$252 = "", "", [1]K_Summary!$K$252 ),"")</f>
        <v/>
      </c>
      <c r="L267" s="101" t="str">
        <f>IFERROR(IF([1]K_Summary!$L$252 = "", "", [1]K_Summary!$L$252 ),"")</f>
        <v/>
      </c>
      <c r="M267" s="101" t="str">
        <f>IFERROR(IF([1]K_Summary!$M$252 = "", "", [1]K_Summary!$M$252 ),"")</f>
        <v/>
      </c>
      <c r="N267" s="101" t="str">
        <f>IFERROR(IF([1]K_Summary!$N$252 = "", "", [1]K_Summary!$N$252 ),"")</f>
        <v/>
      </c>
      <c r="O267" s="601"/>
    </row>
    <row r="268" spans="1:15" s="598" customFormat="1">
      <c r="A268" s="597"/>
      <c r="C268" s="621"/>
      <c r="D268" s="621"/>
      <c r="E268" s="2520" t="str">
        <f>IFERROR(IF([1]K_Summary!$E$253 = "", "", [1]K_Summary!$E$253 ),"")</f>
        <v/>
      </c>
      <c r="F268" s="2521"/>
      <c r="G268" s="666" t="s">
        <v>2017</v>
      </c>
      <c r="H268" s="128" t="str">
        <f>IFERROR(IF([1]K_Summary!$H$253 = "", "", [1]K_Summary!$H$253 ),"")</f>
        <v/>
      </c>
      <c r="I268" s="128" t="str">
        <f>IFERROR(IF([1]K_Summary!$I$253 = "", "", [1]K_Summary!$I$253 ),"")</f>
        <v/>
      </c>
      <c r="J268" s="128" t="str">
        <f>IFERROR(IF([1]K_Summary!$J$253 = "", "", [1]K_Summary!$J$253 ),"")</f>
        <v/>
      </c>
      <c r="K268" s="95" t="str">
        <f>IFERROR(IF([1]K_Summary!$K$253 = "", "", [1]K_Summary!$K$253 ),"")</f>
        <v/>
      </c>
      <c r="L268" s="95" t="str">
        <f>IFERROR(IF([1]K_Summary!$L$253 = "", "", [1]K_Summary!$L$253 ),"")</f>
        <v/>
      </c>
      <c r="M268" s="95" t="str">
        <f>IFERROR(IF([1]K_Summary!$M$253 = "", "", [1]K_Summary!$M$253 ),"")</f>
        <v/>
      </c>
      <c r="N268" s="95" t="str">
        <f>IFERROR(IF([1]K_Summary!$N$253 = "", "", [1]K_Summary!$N$253 ),"")</f>
        <v/>
      </c>
      <c r="O268" s="601"/>
    </row>
    <row r="269" spans="1:15" s="598" customFormat="1">
      <c r="A269" s="597"/>
      <c r="C269" s="621"/>
      <c r="D269" s="621"/>
      <c r="E269" s="2510" t="s">
        <v>627</v>
      </c>
      <c r="F269" s="2498"/>
      <c r="G269" s="667" t="s">
        <v>2017</v>
      </c>
      <c r="H269" s="126" t="str">
        <f>IFERROR(IF([1]K_Summary!$H$254 = "", "", [1]K_Summary!$H$254 ),"")</f>
        <v/>
      </c>
      <c r="I269" s="126" t="str">
        <f>IFERROR(IF([1]K_Summary!$I$254 = "", "", [1]K_Summary!$I$254 ),"")</f>
        <v/>
      </c>
      <c r="J269" s="126" t="str">
        <f>IFERROR(IF([1]K_Summary!$J$254 = "", "", [1]K_Summary!$J$254 ),"")</f>
        <v/>
      </c>
      <c r="K269" s="102" t="str">
        <f>IFERROR(IF([1]K_Summary!$K$254 = "", "", [1]K_Summary!$K$254 ),"")</f>
        <v/>
      </c>
      <c r="L269" s="102" t="str">
        <f>IFERROR(IF([1]K_Summary!$L$254 = "", "", [1]K_Summary!$L$254 ),"")</f>
        <v/>
      </c>
      <c r="M269" s="102" t="str">
        <f>IFERROR(IF([1]K_Summary!$M$254 = "", "", [1]K_Summary!$M$254 ),"")</f>
        <v/>
      </c>
      <c r="N269" s="102" t="str">
        <f>IFERROR(IF([1]K_Summary!$N$254 = "", "", [1]K_Summary!$N$254 ),"")</f>
        <v/>
      </c>
      <c r="O269" s="601"/>
    </row>
    <row r="270" spans="1:15">
      <c r="C270" s="467"/>
      <c r="D270" s="467"/>
      <c r="E270" s="467"/>
      <c r="F270" s="467"/>
      <c r="G270" s="467"/>
      <c r="H270" s="467"/>
      <c r="I270" s="467"/>
      <c r="J270" s="467"/>
      <c r="K270" s="467"/>
      <c r="L270" s="467"/>
      <c r="M270" s="467"/>
      <c r="N270" s="467"/>
    </row>
    <row r="271" spans="1:15" ht="13.15" customHeight="1">
      <c r="C271" s="482"/>
      <c r="D271" s="482" t="s">
        <v>48</v>
      </c>
      <c r="E271" s="575" t="s">
        <v>2088</v>
      </c>
      <c r="F271" s="2508"/>
      <c r="G271" s="2508"/>
      <c r="H271" s="2508"/>
      <c r="I271" s="2508"/>
      <c r="J271" s="2508"/>
      <c r="K271" s="2508"/>
      <c r="L271" s="2508"/>
      <c r="M271" s="2508"/>
      <c r="N271" s="2508"/>
    </row>
    <row r="272" spans="1:15">
      <c r="D272" s="485"/>
      <c r="E272" s="2509" t="s">
        <v>524</v>
      </c>
      <c r="F272" s="2493"/>
      <c r="G272" s="663" t="s">
        <v>884</v>
      </c>
      <c r="H272" s="578">
        <v>2019</v>
      </c>
      <c r="I272" s="578">
        <v>2020</v>
      </c>
      <c r="J272" s="578">
        <v>2021</v>
      </c>
      <c r="K272" s="578">
        <v>2022</v>
      </c>
      <c r="L272" s="578">
        <v>2023</v>
      </c>
      <c r="M272" s="578">
        <v>2024</v>
      </c>
      <c r="N272" s="578">
        <v>2025</v>
      </c>
    </row>
    <row r="273" spans="1:15" s="598" customFormat="1">
      <c r="A273" s="597"/>
      <c r="D273" s="621"/>
      <c r="E273" s="2513" t="str">
        <f>IFERROR(IF([1]K_Summary!$E$258 = "", "", [1]K_Summary!$E$258 ),"")</f>
        <v/>
      </c>
      <c r="F273" s="2514"/>
      <c r="G273" s="664" t="s">
        <v>2017</v>
      </c>
      <c r="H273" s="127" t="str">
        <f>IFERROR(IF([1]K_Summary!$H$258 = "", "", [1]K_Summary!$H$258 ),"")</f>
        <v/>
      </c>
      <c r="I273" s="127" t="str">
        <f>IFERROR(IF([1]K_Summary!$I$258 = "", "", [1]K_Summary!$I$258 ),"")</f>
        <v/>
      </c>
      <c r="J273" s="127" t="str">
        <f>IFERROR(IF([1]K_Summary!$J$258 = "", "", [1]K_Summary!$J$258 ),"")</f>
        <v/>
      </c>
      <c r="K273" s="94" t="str">
        <f>IFERROR(IF([1]K_Summary!$K$258 = "", "", [1]K_Summary!$K$258 ),"")</f>
        <v/>
      </c>
      <c r="L273" s="94" t="str">
        <f>IFERROR(IF([1]K_Summary!$L$258 = "", "", [1]K_Summary!$L$258 ),"")</f>
        <v/>
      </c>
      <c r="M273" s="94" t="str">
        <f>IFERROR(IF([1]K_Summary!$M$258 = "", "", [1]K_Summary!$M$258 ),"")</f>
        <v/>
      </c>
      <c r="N273" s="103" t="str">
        <f>IFERROR(IF([1]K_Summary!$N$258 = "", "", [1]K_Summary!$N$258 ),"")</f>
        <v/>
      </c>
      <c r="O273" s="601"/>
    </row>
    <row r="274" spans="1:15" s="598" customFormat="1">
      <c r="A274" s="597"/>
      <c r="D274" s="621"/>
      <c r="E274" s="2506" t="str">
        <f>IFERROR(IF([1]K_Summary!$E$259 = "", "", [1]K_Summary!$E$259 ),"")</f>
        <v/>
      </c>
      <c r="F274" s="2507"/>
      <c r="G274" s="665" t="s">
        <v>2017</v>
      </c>
      <c r="H274" s="134" t="str">
        <f>IFERROR(IF([1]K_Summary!$H$259 = "", "", [1]K_Summary!$H$259 ),"")</f>
        <v/>
      </c>
      <c r="I274" s="134" t="str">
        <f>IFERROR(IF([1]K_Summary!$I$259 = "", "", [1]K_Summary!$I$259 ),"")</f>
        <v/>
      </c>
      <c r="J274" s="134" t="str">
        <f>IFERROR(IF([1]K_Summary!$J$259 = "", "", [1]K_Summary!$J$259 ),"")</f>
        <v/>
      </c>
      <c r="K274" s="101" t="str">
        <f>IFERROR(IF([1]K_Summary!$K$259 = "", "", [1]K_Summary!$K$259 ),"")</f>
        <v/>
      </c>
      <c r="L274" s="101" t="str">
        <f>IFERROR(IF([1]K_Summary!$L$259 = "", "", [1]K_Summary!$L$259 ),"")</f>
        <v/>
      </c>
      <c r="M274" s="101" t="str">
        <f>IFERROR(IF([1]K_Summary!$M$259 = "", "", [1]K_Summary!$M$259 ),"")</f>
        <v/>
      </c>
      <c r="N274" s="104" t="str">
        <f>IFERROR(IF([1]K_Summary!$N$259 = "", "", [1]K_Summary!$N$259 ),"")</f>
        <v/>
      </c>
      <c r="O274" s="601"/>
    </row>
    <row r="275" spans="1:15" s="598" customFormat="1">
      <c r="A275" s="597"/>
      <c r="D275" s="621"/>
      <c r="E275" s="2520" t="str">
        <f>IFERROR(IF([1]K_Summary!$E$260 = "", "", [1]K_Summary!$E$260 ),"")</f>
        <v/>
      </c>
      <c r="F275" s="2521"/>
      <c r="G275" s="666" t="s">
        <v>2017</v>
      </c>
      <c r="H275" s="128" t="str">
        <f>IFERROR(IF([1]K_Summary!$H$260 = "", "", [1]K_Summary!$H$260 ),"")</f>
        <v/>
      </c>
      <c r="I275" s="128" t="str">
        <f>IFERROR(IF([1]K_Summary!$I$260 = "", "", [1]K_Summary!$I$260 ),"")</f>
        <v/>
      </c>
      <c r="J275" s="128" t="str">
        <f>IFERROR(IF([1]K_Summary!$J$260 = "", "", [1]K_Summary!$J$260 ),"")</f>
        <v/>
      </c>
      <c r="K275" s="95" t="str">
        <f>IFERROR(IF([1]K_Summary!$K$260 = "", "", [1]K_Summary!$K$260 ),"")</f>
        <v/>
      </c>
      <c r="L275" s="95" t="str">
        <f>IFERROR(IF([1]K_Summary!$L$260 = "", "", [1]K_Summary!$L$260 ),"")</f>
        <v/>
      </c>
      <c r="M275" s="95" t="str">
        <f>IFERROR(IF([1]K_Summary!$M$260 = "", "", [1]K_Summary!$M$260 ),"")</f>
        <v/>
      </c>
      <c r="N275" s="105" t="str">
        <f>IFERROR(IF([1]K_Summary!$N$260 = "", "", [1]K_Summary!$N$260 ),"")</f>
        <v/>
      </c>
      <c r="O275" s="601"/>
    </row>
    <row r="276" spans="1:15" s="598" customFormat="1">
      <c r="A276" s="597"/>
      <c r="D276" s="621"/>
      <c r="E276" s="2510" t="s">
        <v>627</v>
      </c>
      <c r="F276" s="2498"/>
      <c r="G276" s="667" t="s">
        <v>2017</v>
      </c>
      <c r="H276" s="126" t="str">
        <f>IFERROR(IF([1]K_Summary!$H$261 = "", "", [1]K_Summary!$H$261 ),"")</f>
        <v/>
      </c>
      <c r="I276" s="126" t="str">
        <f>IFERROR(IF([1]K_Summary!$I$261 = "", "", [1]K_Summary!$I$261 ),"")</f>
        <v/>
      </c>
      <c r="J276" s="126" t="str">
        <f>IFERROR(IF([1]K_Summary!$J$261 = "", "", [1]K_Summary!$J$261 ),"")</f>
        <v/>
      </c>
      <c r="K276" s="102" t="str">
        <f>IFERROR(IF([1]K_Summary!$K$261 = "", "", [1]K_Summary!$K$261 ),"")</f>
        <v/>
      </c>
      <c r="L276" s="102" t="str">
        <f>IFERROR(IF([1]K_Summary!$L$261 = "", "", [1]K_Summary!$L$261 ),"")</f>
        <v/>
      </c>
      <c r="M276" s="102" t="str">
        <f>IFERROR(IF([1]K_Summary!$M$261 = "", "", [1]K_Summary!$M$261 ),"")</f>
        <v/>
      </c>
      <c r="N276" s="106" t="str">
        <f>IFERROR(IF([1]K_Summary!$N$261 = "", "", [1]K_Summary!$N$261 ),"")</f>
        <v/>
      </c>
      <c r="O276" s="601"/>
    </row>
    <row r="277" spans="1:15">
      <c r="D277" s="467"/>
      <c r="E277" s="467"/>
      <c r="F277" s="467"/>
      <c r="G277" s="467"/>
      <c r="H277" s="467"/>
      <c r="I277" s="467"/>
      <c r="J277" s="467"/>
      <c r="K277" s="467"/>
      <c r="L277" s="467"/>
      <c r="M277" s="467"/>
      <c r="N277" s="467"/>
    </row>
    <row r="278" spans="1:15">
      <c r="D278" s="482" t="s">
        <v>881</v>
      </c>
      <c r="E278" s="2509" t="s">
        <v>1170</v>
      </c>
      <c r="F278" s="2493"/>
      <c r="G278" s="2493"/>
      <c r="H278" s="2493"/>
      <c r="I278" s="2493"/>
      <c r="J278" s="2493"/>
      <c r="K278" s="2493"/>
      <c r="L278" s="2493"/>
      <c r="M278" s="2493"/>
      <c r="N278" s="2493"/>
    </row>
    <row r="279" spans="1:15" s="598" customFormat="1">
      <c r="A279" s="597"/>
      <c r="D279" s="620"/>
      <c r="E279" s="2519" t="s">
        <v>1171</v>
      </c>
      <c r="F279" s="2498"/>
      <c r="G279" s="622" t="s">
        <v>2017</v>
      </c>
      <c r="H279" s="126" t="str">
        <f>IFERROR(IF([1]K_Summary!$H$264 = "", "", [1]K_Summary!$H$264 ),"")</f>
        <v/>
      </c>
      <c r="I279" s="126" t="str">
        <f>IFERROR(IF([1]K_Summary!$I$264 = "", "", [1]K_Summary!$I$264 ),"")</f>
        <v/>
      </c>
      <c r="J279" s="126" t="str">
        <f>IFERROR(IF([1]K_Summary!$J$264 = "", "", [1]K_Summary!$J$264 ),"")</f>
        <v/>
      </c>
      <c r="K279" s="93" t="str">
        <f>IFERROR(IF([1]K_Summary!$K$264 = "", "", [1]K_Summary!$K$264 ),"")</f>
        <v/>
      </c>
      <c r="L279" s="93" t="str">
        <f>IFERROR(IF([1]K_Summary!$L$264 = "", "", [1]K_Summary!$L$264 ),"")</f>
        <v/>
      </c>
      <c r="M279" s="93" t="str">
        <f>IFERROR(IF([1]K_Summary!$M$264 = "", "", [1]K_Summary!$M$264 ),"")</f>
        <v/>
      </c>
      <c r="N279" s="93" t="str">
        <f>IFERROR(IF([1]K_Summary!$N$264 = "", "", [1]K_Summary!$N$264 ),"")</f>
        <v/>
      </c>
      <c r="O279" s="601"/>
    </row>
    <row r="280" spans="1:15">
      <c r="D280" s="467"/>
      <c r="E280" s="467"/>
      <c r="F280" s="467"/>
      <c r="G280" s="467"/>
      <c r="H280" s="467"/>
      <c r="I280" s="467"/>
      <c r="J280" s="467"/>
      <c r="K280" s="467"/>
      <c r="L280" s="467"/>
      <c r="M280" s="467"/>
      <c r="N280" s="467"/>
    </row>
    <row r="281" spans="1:15">
      <c r="D281" s="482" t="s">
        <v>57</v>
      </c>
      <c r="E281" s="2509" t="s">
        <v>56</v>
      </c>
      <c r="F281" s="2493"/>
      <c r="G281" s="2493"/>
      <c r="H281" s="2493"/>
      <c r="I281" s="2493"/>
      <c r="J281" s="2493"/>
      <c r="K281" s="2493"/>
      <c r="L281" s="2493"/>
      <c r="M281" s="2493"/>
      <c r="N281" s="2493"/>
    </row>
    <row r="282" spans="1:15" s="598" customFormat="1">
      <c r="A282" s="597"/>
      <c r="D282" s="620"/>
      <c r="E282" s="2510" t="s">
        <v>55</v>
      </c>
      <c r="F282" s="2498"/>
      <c r="G282" s="667" t="s">
        <v>2017</v>
      </c>
      <c r="H282" s="126" t="str">
        <f>IFERROR(IF([1]K_Summary!$H$267 = "", "", [1]K_Summary!$H$267 ),"")</f>
        <v/>
      </c>
      <c r="I282" s="126" t="str">
        <f>IFERROR(IF([1]K_Summary!$I$267 = "", "", [1]K_Summary!$I$267 ),"")</f>
        <v/>
      </c>
      <c r="J282" s="126" t="str">
        <f>IFERROR(IF([1]K_Summary!$J$267 = "", "", [1]K_Summary!$J$267 ),"")</f>
        <v/>
      </c>
      <c r="K282" s="102" t="str">
        <f>IFERROR(IF([1]K_Summary!$K$267 = "", "", [1]K_Summary!$K$267 ),"")</f>
        <v/>
      </c>
      <c r="L282" s="102" t="str">
        <f>IFERROR(IF([1]K_Summary!$L$267 = "", "", [1]K_Summary!$L$267 ),"")</f>
        <v/>
      </c>
      <c r="M282" s="102" t="str">
        <f>IFERROR(IF([1]K_Summary!$M$267 = "", "", [1]K_Summary!$M$267 ),"")</f>
        <v/>
      </c>
      <c r="N282" s="102" t="str">
        <f>IFERROR(IF([1]K_Summary!$N$267 = "", "", [1]K_Summary!$N$267 ),"")</f>
        <v/>
      </c>
      <c r="O282" s="601"/>
    </row>
    <row r="283" spans="1:15">
      <c r="D283" s="467"/>
      <c r="E283" s="467"/>
      <c r="F283" s="467"/>
      <c r="G283" s="467"/>
      <c r="H283" s="467"/>
      <c r="I283" s="467"/>
      <c r="J283" s="467"/>
      <c r="K283" s="467"/>
      <c r="L283" s="467"/>
      <c r="M283" s="467"/>
      <c r="N283" s="467"/>
    </row>
    <row r="284" spans="1:15">
      <c r="D284" s="482" t="s">
        <v>58</v>
      </c>
      <c r="E284" s="2509" t="s">
        <v>757</v>
      </c>
      <c r="F284" s="2493"/>
      <c r="G284" s="2493"/>
      <c r="H284" s="2493"/>
      <c r="I284" s="2493"/>
      <c r="J284" s="2493"/>
      <c r="K284" s="2493"/>
      <c r="L284" s="2493"/>
      <c r="M284" s="2493"/>
      <c r="N284" s="2493"/>
    </row>
    <row r="285" spans="1:15" s="598" customFormat="1">
      <c r="A285" s="597"/>
      <c r="D285" s="620"/>
      <c r="E285" s="2510" t="s">
        <v>67</v>
      </c>
      <c r="F285" s="2498"/>
      <c r="G285" s="667" t="s">
        <v>1022</v>
      </c>
      <c r="H285" s="135" t="str">
        <f>IFERROR(IF([1]K_Summary!$H$270 = "", "", [1]K_Summary!$H$270 ),"")</f>
        <v/>
      </c>
      <c r="I285" s="135" t="str">
        <f>IFERROR(IF([1]K_Summary!$I$270 = "", "", [1]K_Summary!$I$270 ),"")</f>
        <v/>
      </c>
      <c r="J285" s="135" t="str">
        <f>IFERROR(IF([1]K_Summary!$J$270 = "", "", [1]K_Summary!$J$270 ),"")</f>
        <v/>
      </c>
      <c r="K285" s="107" t="str">
        <f>IFERROR(IF([1]K_Summary!$K$270 = "", "", [1]K_Summary!$K$270 ),"")</f>
        <v/>
      </c>
      <c r="L285" s="107" t="str">
        <f>IFERROR(IF([1]K_Summary!$L$270 = "", "", [1]K_Summary!$L$270 ),"")</f>
        <v/>
      </c>
      <c r="M285" s="107" t="str">
        <f>IFERROR(IF([1]K_Summary!$M$270 = "", "", [1]K_Summary!$M$270 ),"")</f>
        <v/>
      </c>
      <c r="N285" s="107" t="str">
        <f>IFERROR(IF([1]K_Summary!$N$270 = "", "", [1]K_Summary!$N$270 ),"")</f>
        <v/>
      </c>
      <c r="O285" s="601"/>
    </row>
    <row r="286" spans="1:15">
      <c r="D286" s="467"/>
      <c r="E286" s="467"/>
      <c r="F286" s="467"/>
      <c r="G286" s="467"/>
      <c r="H286" s="467"/>
      <c r="I286" s="467"/>
      <c r="J286" s="467"/>
      <c r="K286" s="467"/>
      <c r="L286" s="467"/>
      <c r="M286" s="467"/>
      <c r="N286" s="467"/>
    </row>
    <row r="287" spans="1:15">
      <c r="D287" s="482" t="s">
        <v>266</v>
      </c>
      <c r="E287" s="2508" t="s">
        <v>69</v>
      </c>
      <c r="F287" s="2391"/>
      <c r="G287" s="2391"/>
      <c r="H287" s="2391"/>
      <c r="I287" s="2391"/>
      <c r="J287" s="2391"/>
      <c r="K287" s="2391"/>
      <c r="L287" s="2391"/>
      <c r="M287" s="2391"/>
      <c r="N287" s="2391"/>
    </row>
    <row r="288" spans="1:15">
      <c r="D288" s="485"/>
      <c r="E288" s="636"/>
      <c r="F288" s="637"/>
      <c r="G288" s="663"/>
      <c r="H288" s="578">
        <v>2019</v>
      </c>
      <c r="I288" s="578">
        <v>2020</v>
      </c>
      <c r="J288" s="578">
        <v>2021</v>
      </c>
      <c r="K288" s="578">
        <v>2022</v>
      </c>
      <c r="L288" s="578">
        <v>2023</v>
      </c>
      <c r="M288" s="578">
        <v>2024</v>
      </c>
      <c r="N288" s="578">
        <v>2025</v>
      </c>
    </row>
    <row r="289" spans="1:15" s="598" customFormat="1">
      <c r="A289" s="597"/>
      <c r="D289" s="621"/>
      <c r="E289" s="2510" t="s">
        <v>53</v>
      </c>
      <c r="F289" s="2498"/>
      <c r="G289" s="667" t="s">
        <v>2017</v>
      </c>
      <c r="H289" s="126" t="str">
        <f>IFERROR(IF([1]K_Summary!$H$274 = "", "", [1]K_Summary!$H$274 ),"")</f>
        <v/>
      </c>
      <c r="I289" s="126" t="str">
        <f>IFERROR(IF([1]K_Summary!$I$274 = "", "", [1]K_Summary!$I$274 ),"")</f>
        <v/>
      </c>
      <c r="J289" s="126" t="str">
        <f>IFERROR(IF([1]K_Summary!$J$274 = "", "", [1]K_Summary!$J$274 ),"")</f>
        <v/>
      </c>
      <c r="K289" s="93" t="str">
        <f>IFERROR(IF([1]K_Summary!$K$274 = "", "", [1]K_Summary!$K$274 ),"")</f>
        <v/>
      </c>
      <c r="L289" s="93" t="str">
        <f>IFERROR(IF([1]K_Summary!$L$274 = "", "", [1]K_Summary!$L$274 ),"")</f>
        <v/>
      </c>
      <c r="M289" s="93" t="str">
        <f>IFERROR(IF([1]K_Summary!$M$274 = "", "", [1]K_Summary!$M$274 ),"")</f>
        <v/>
      </c>
      <c r="N289" s="93" t="str">
        <f>IFERROR(IF([1]K_Summary!$N$274 = "", "", [1]K_Summary!$N$274 ),"")</f>
        <v/>
      </c>
      <c r="O289" s="601"/>
    </row>
    <row r="290" spans="1:15" s="598" customFormat="1">
      <c r="A290" s="597"/>
      <c r="D290" s="621"/>
      <c r="E290" s="2510" t="s">
        <v>427</v>
      </c>
      <c r="F290" s="2498"/>
      <c r="G290" s="669" t="s">
        <v>2017</v>
      </c>
      <c r="H290" s="135" t="str">
        <f>IFERROR(IF([1]K_Summary!$H$275 = "", "", [1]K_Summary!$H$275 ),"")</f>
        <v/>
      </c>
      <c r="I290" s="135" t="str">
        <f>IFERROR(IF([1]K_Summary!$I$275 = "", "", [1]K_Summary!$I$275 ),"")</f>
        <v/>
      </c>
      <c r="J290" s="135" t="str">
        <f>IFERROR(IF([1]K_Summary!$J$275 = "", "", [1]K_Summary!$J$275 ),"")</f>
        <v/>
      </c>
      <c r="K290" s="107" t="str">
        <f>IFERROR(IF([1]K_Summary!$K$275 = "", "", [1]K_Summary!$K$275 ),"")</f>
        <v/>
      </c>
      <c r="L290" s="107" t="str">
        <f>IFERROR(IF([1]K_Summary!$L$275 = "", "", [1]K_Summary!$L$275 ),"")</f>
        <v/>
      </c>
      <c r="M290" s="107" t="str">
        <f>IFERROR(IF([1]K_Summary!$M$275 = "", "", [1]K_Summary!$M$275 ),"")</f>
        <v/>
      </c>
      <c r="N290" s="107" t="str">
        <f>IFERROR(IF([1]K_Summary!$N$275 = "", "", [1]K_Summary!$N$275 ),"")</f>
        <v/>
      </c>
      <c r="O290" s="601"/>
    </row>
    <row r="291" spans="1:15" s="598" customFormat="1">
      <c r="A291" s="597"/>
      <c r="D291" s="621"/>
      <c r="E291" s="2510" t="s">
        <v>428</v>
      </c>
      <c r="F291" s="2498"/>
      <c r="G291" s="669" t="s">
        <v>2017</v>
      </c>
      <c r="H291" s="126" t="str">
        <f>IFERROR(IF([1]K_Summary!$H$276 = "", "", [1]K_Summary!$H$276 ),"")</f>
        <v/>
      </c>
      <c r="I291" s="126" t="str">
        <f>IFERROR(IF([1]K_Summary!$I$276 = "", "", [1]K_Summary!$I$276 ),"")</f>
        <v/>
      </c>
      <c r="J291" s="126" t="str">
        <f>IFERROR(IF([1]K_Summary!$J$276 = "", "", [1]K_Summary!$J$276 ),"")</f>
        <v/>
      </c>
      <c r="K291" s="93" t="str">
        <f>IFERROR(IF([1]K_Summary!$K$276 = "", "", [1]K_Summary!$K$276 ),"")</f>
        <v/>
      </c>
      <c r="L291" s="93" t="str">
        <f>IFERROR(IF([1]K_Summary!$L$276 = "", "", [1]K_Summary!$L$276 ),"")</f>
        <v/>
      </c>
      <c r="M291" s="93" t="str">
        <f>IFERROR(IF([1]K_Summary!$M$276 = "", "", [1]K_Summary!$M$276 ),"")</f>
        <v/>
      </c>
      <c r="N291" s="93" t="str">
        <f>IFERROR(IF([1]K_Summary!$N$276 = "", "", [1]K_Summary!$N$276 ),"")</f>
        <v/>
      </c>
      <c r="O291" s="601"/>
    </row>
    <row r="292" spans="1:15">
      <c r="D292" s="467"/>
      <c r="E292" s="467"/>
      <c r="F292" s="467"/>
      <c r="G292" s="467"/>
      <c r="H292" s="467"/>
      <c r="I292" s="467"/>
      <c r="J292" s="467"/>
      <c r="K292" s="467"/>
      <c r="L292" s="467"/>
      <c r="M292" s="467"/>
      <c r="N292" s="467"/>
    </row>
    <row r="293" spans="1:15">
      <c r="D293" s="482" t="s">
        <v>269</v>
      </c>
      <c r="E293" s="2508" t="s">
        <v>647</v>
      </c>
      <c r="F293" s="2391"/>
      <c r="G293" s="2391"/>
      <c r="H293" s="2391"/>
      <c r="I293" s="2391"/>
      <c r="J293" s="2391"/>
      <c r="K293" s="2391"/>
      <c r="L293" s="2391"/>
      <c r="M293" s="2391"/>
      <c r="N293" s="2391"/>
    </row>
    <row r="294" spans="1:15">
      <c r="D294" s="485"/>
      <c r="E294" s="636"/>
      <c r="F294" s="637"/>
      <c r="G294" s="663" t="s">
        <v>884</v>
      </c>
      <c r="H294" s="578">
        <v>2019</v>
      </c>
      <c r="I294" s="578">
        <v>2020</v>
      </c>
      <c r="J294" s="578">
        <v>2021</v>
      </c>
      <c r="K294" s="578">
        <v>2022</v>
      </c>
      <c r="L294" s="578">
        <v>2023</v>
      </c>
      <c r="M294" s="578">
        <v>2024</v>
      </c>
      <c r="N294" s="578">
        <v>2025</v>
      </c>
    </row>
    <row r="295" spans="1:15" s="598" customFormat="1">
      <c r="A295" s="597"/>
      <c r="D295" s="621"/>
      <c r="E295" s="2513" t="str">
        <f>IFERROR(IF([1]K_Summary!$E$280 = "", "", [1]K_Summary!$E$280 ),"")</f>
        <v/>
      </c>
      <c r="F295" s="2514"/>
      <c r="G295" s="599" t="s">
        <v>2017</v>
      </c>
      <c r="H295" s="127" t="str">
        <f>IFERROR(IF([1]K_Summary!$H$280 = "", "", [1]K_Summary!$H$280 ),"")</f>
        <v/>
      </c>
      <c r="I295" s="127" t="str">
        <f>IFERROR(IF([1]K_Summary!$I$280 = "", "", [1]K_Summary!$I$280 ),"")</f>
        <v/>
      </c>
      <c r="J295" s="127" t="str">
        <f>IFERROR(IF([1]K_Summary!$J$280 = "", "", [1]K_Summary!$J$280 ),"")</f>
        <v/>
      </c>
      <c r="K295" s="94" t="str">
        <f>IFERROR(IF([1]K_Summary!$K$280 = "", "", [1]K_Summary!$K$280 ),"")</f>
        <v/>
      </c>
      <c r="L295" s="94" t="str">
        <f>IFERROR(IF([1]K_Summary!$L$280 = "", "", [1]K_Summary!$L$280 ),"")</f>
        <v/>
      </c>
      <c r="M295" s="94" t="str">
        <f>IFERROR(IF([1]K_Summary!$M$280 = "", "", [1]K_Summary!$M$280 ),"")</f>
        <v/>
      </c>
      <c r="N295" s="94" t="str">
        <f>IFERROR(IF([1]K_Summary!$N$280 = "", "", [1]K_Summary!$N$280 ),"")</f>
        <v/>
      </c>
      <c r="O295" s="601"/>
    </row>
    <row r="296" spans="1:15" s="598" customFormat="1">
      <c r="A296" s="597"/>
      <c r="D296" s="621"/>
      <c r="E296" s="2506" t="str">
        <f>IFERROR(IF([1]K_Summary!$E$281 = "", "", [1]K_Summary!$E$281 ),"")</f>
        <v/>
      </c>
      <c r="F296" s="2507"/>
      <c r="G296" s="608" t="s">
        <v>2017</v>
      </c>
      <c r="H296" s="134" t="str">
        <f>IFERROR(IF([1]K_Summary!$H$281 = "", "", [1]K_Summary!$H$281 ),"")</f>
        <v/>
      </c>
      <c r="I296" s="134" t="str">
        <f>IFERROR(IF([1]K_Summary!$I$281 = "", "", [1]K_Summary!$I$281 ),"")</f>
        <v/>
      </c>
      <c r="J296" s="134" t="str">
        <f>IFERROR(IF([1]K_Summary!$J$281 = "", "", [1]K_Summary!$J$281 ),"")</f>
        <v/>
      </c>
      <c r="K296" s="101" t="str">
        <f>IFERROR(IF([1]K_Summary!$K$281 = "", "", [1]K_Summary!$K$281 ),"")</f>
        <v/>
      </c>
      <c r="L296" s="101" t="str">
        <f>IFERROR(IF([1]K_Summary!$L$281 = "", "", [1]K_Summary!$L$281 ),"")</f>
        <v/>
      </c>
      <c r="M296" s="101" t="str">
        <f>IFERROR(IF([1]K_Summary!$M$281 = "", "", [1]K_Summary!$M$281 ),"")</f>
        <v/>
      </c>
      <c r="N296" s="101" t="str">
        <f>IFERROR(IF([1]K_Summary!$N$281 = "", "", [1]K_Summary!$N$281 ),"")</f>
        <v/>
      </c>
      <c r="O296" s="601"/>
    </row>
    <row r="297" spans="1:15" s="598" customFormat="1">
      <c r="A297" s="597"/>
      <c r="D297" s="621"/>
      <c r="E297" s="2506" t="str">
        <f>IFERROR(IF([1]K_Summary!$E$282 = "", "", [1]K_Summary!$E$282 ),"")</f>
        <v/>
      </c>
      <c r="F297" s="2507"/>
      <c r="G297" s="608" t="s">
        <v>2017</v>
      </c>
      <c r="H297" s="134" t="str">
        <f>IFERROR(IF([1]K_Summary!$H$282 = "", "", [1]K_Summary!$H$282 ),"")</f>
        <v/>
      </c>
      <c r="I297" s="134" t="str">
        <f>IFERROR(IF([1]K_Summary!$I$282 = "", "", [1]K_Summary!$I$282 ),"")</f>
        <v/>
      </c>
      <c r="J297" s="134" t="str">
        <f>IFERROR(IF([1]K_Summary!$J$282 = "", "", [1]K_Summary!$J$282 ),"")</f>
        <v/>
      </c>
      <c r="K297" s="101" t="str">
        <f>IFERROR(IF([1]K_Summary!$K$282 = "", "", [1]K_Summary!$K$282 ),"")</f>
        <v/>
      </c>
      <c r="L297" s="101" t="str">
        <f>IFERROR(IF([1]K_Summary!$L$282 = "", "", [1]K_Summary!$L$282 ),"")</f>
        <v/>
      </c>
      <c r="M297" s="101" t="str">
        <f>IFERROR(IF([1]K_Summary!$M$282 = "", "", [1]K_Summary!$M$282 ),"")</f>
        <v/>
      </c>
      <c r="N297" s="101" t="str">
        <f>IFERROR(IF([1]K_Summary!$N$282 = "", "", [1]K_Summary!$N$282 ),"")</f>
        <v/>
      </c>
      <c r="O297" s="601"/>
    </row>
    <row r="298" spans="1:15" s="598" customFormat="1">
      <c r="A298" s="597"/>
      <c r="D298" s="621"/>
      <c r="E298" s="2506" t="str">
        <f>IFERROR(IF([1]K_Summary!$E$283 = "", "", [1]K_Summary!$E$283 ),"")</f>
        <v/>
      </c>
      <c r="F298" s="2507"/>
      <c r="G298" s="608" t="s">
        <v>2017</v>
      </c>
      <c r="H298" s="134" t="str">
        <f>IFERROR(IF([1]K_Summary!$H$283 = "", "", [1]K_Summary!$H$283 ),"")</f>
        <v/>
      </c>
      <c r="I298" s="134" t="str">
        <f>IFERROR(IF([1]K_Summary!$I$283 = "", "", [1]K_Summary!$I$283 ),"")</f>
        <v/>
      </c>
      <c r="J298" s="134" t="str">
        <f>IFERROR(IF([1]K_Summary!$J$283 = "", "", [1]K_Summary!$J$283 ),"")</f>
        <v/>
      </c>
      <c r="K298" s="101" t="str">
        <f>IFERROR(IF([1]K_Summary!$K$283 = "", "", [1]K_Summary!$K$283 ),"")</f>
        <v/>
      </c>
      <c r="L298" s="101" t="str">
        <f>IFERROR(IF([1]K_Summary!$L$283 = "", "", [1]K_Summary!$L$283 ),"")</f>
        <v/>
      </c>
      <c r="M298" s="101" t="str">
        <f>IFERROR(IF([1]K_Summary!$M$283 = "", "", [1]K_Summary!$M$283 ),"")</f>
        <v/>
      </c>
      <c r="N298" s="101" t="str">
        <f>IFERROR(IF([1]K_Summary!$N$283 = "", "", [1]K_Summary!$N$283 ),"")</f>
        <v/>
      </c>
      <c r="O298" s="601"/>
    </row>
    <row r="299" spans="1:15" s="598" customFormat="1">
      <c r="A299" s="597"/>
      <c r="D299" s="621"/>
      <c r="E299" s="2506" t="str">
        <f>IFERROR(IF([1]K_Summary!$E$284 = "", "", [1]K_Summary!$E$284 ),"")</f>
        <v/>
      </c>
      <c r="F299" s="2507"/>
      <c r="G299" s="608" t="s">
        <v>2017</v>
      </c>
      <c r="H299" s="134" t="str">
        <f>IFERROR(IF([1]K_Summary!$H$284 = "", "", [1]K_Summary!$H$284 ),"")</f>
        <v/>
      </c>
      <c r="I299" s="134" t="str">
        <f>IFERROR(IF([1]K_Summary!$I$284 = "", "", [1]K_Summary!$I$284 ),"")</f>
        <v/>
      </c>
      <c r="J299" s="134" t="str">
        <f>IFERROR(IF([1]K_Summary!$J$284 = "", "", [1]K_Summary!$J$284 ),"")</f>
        <v/>
      </c>
      <c r="K299" s="101" t="str">
        <f>IFERROR(IF([1]K_Summary!$K$284 = "", "", [1]K_Summary!$K$284 ),"")</f>
        <v/>
      </c>
      <c r="L299" s="101" t="str">
        <f>IFERROR(IF([1]K_Summary!$L$284 = "", "", [1]K_Summary!$L$284 ),"")</f>
        <v/>
      </c>
      <c r="M299" s="101" t="str">
        <f>IFERROR(IF([1]K_Summary!$M$284 = "", "", [1]K_Summary!$M$284 ),"")</f>
        <v/>
      </c>
      <c r="N299" s="101" t="str">
        <f>IFERROR(IF([1]K_Summary!$N$284 = "", "", [1]K_Summary!$N$284 ),"")</f>
        <v/>
      </c>
      <c r="O299" s="601"/>
    </row>
    <row r="300" spans="1:15" s="598" customFormat="1">
      <c r="A300" s="597"/>
      <c r="D300" s="621"/>
      <c r="E300" s="2506" t="str">
        <f>IFERROR(IF([1]K_Summary!$E$285 = "", "", [1]K_Summary!$E$285 ),"")</f>
        <v/>
      </c>
      <c r="F300" s="2507"/>
      <c r="G300" s="608" t="s">
        <v>2017</v>
      </c>
      <c r="H300" s="134" t="str">
        <f>IFERROR(IF([1]K_Summary!$H$285 = "", "", [1]K_Summary!$H$285 ),"")</f>
        <v/>
      </c>
      <c r="I300" s="134" t="str">
        <f>IFERROR(IF([1]K_Summary!$I$285 = "", "", [1]K_Summary!$I$285 ),"")</f>
        <v/>
      </c>
      <c r="J300" s="134" t="str">
        <f>IFERROR(IF([1]K_Summary!$J$285 = "", "", [1]K_Summary!$J$285 ),"")</f>
        <v/>
      </c>
      <c r="K300" s="101" t="str">
        <f>IFERROR(IF([1]K_Summary!$K$285 = "", "", [1]K_Summary!$K$285 ),"")</f>
        <v/>
      </c>
      <c r="L300" s="101" t="str">
        <f>IFERROR(IF([1]K_Summary!$L$285 = "", "", [1]K_Summary!$L$285 ),"")</f>
        <v/>
      </c>
      <c r="M300" s="101" t="str">
        <f>IFERROR(IF([1]K_Summary!$M$285 = "", "", [1]K_Summary!$M$285 ),"")</f>
        <v/>
      </c>
      <c r="N300" s="101" t="str">
        <f>IFERROR(IF([1]K_Summary!$N$285 = "", "", [1]K_Summary!$N$285 ),"")</f>
        <v/>
      </c>
      <c r="O300" s="601"/>
    </row>
    <row r="301" spans="1:15" s="598" customFormat="1">
      <c r="A301" s="597"/>
      <c r="D301" s="621"/>
      <c r="E301" s="2506" t="str">
        <f>IFERROR(IF([1]K_Summary!$E$286 = "", "", [1]K_Summary!$E$286 ),"")</f>
        <v/>
      </c>
      <c r="F301" s="2507"/>
      <c r="G301" s="608" t="s">
        <v>2017</v>
      </c>
      <c r="H301" s="134" t="str">
        <f>IFERROR(IF([1]K_Summary!$H$286 = "", "", [1]K_Summary!$H$286 ),"")</f>
        <v/>
      </c>
      <c r="I301" s="134" t="str">
        <f>IFERROR(IF([1]K_Summary!$I$286 = "", "", [1]K_Summary!$I$286 ),"")</f>
        <v/>
      </c>
      <c r="J301" s="134" t="str">
        <f>IFERROR(IF([1]K_Summary!$J$286 = "", "", [1]K_Summary!$J$286 ),"")</f>
        <v/>
      </c>
      <c r="K301" s="101" t="str">
        <f>IFERROR(IF([1]K_Summary!$K$286 = "", "", [1]K_Summary!$K$286 ),"")</f>
        <v/>
      </c>
      <c r="L301" s="101" t="str">
        <f>IFERROR(IF([1]K_Summary!$L$286 = "", "", [1]K_Summary!$L$286 ),"")</f>
        <v/>
      </c>
      <c r="M301" s="101" t="str">
        <f>IFERROR(IF([1]K_Summary!$M$286 = "", "", [1]K_Summary!$M$286 ),"")</f>
        <v/>
      </c>
      <c r="N301" s="101" t="str">
        <f>IFERROR(IF([1]K_Summary!$N$286 = "", "", [1]K_Summary!$N$286 ),"")</f>
        <v/>
      </c>
      <c r="O301" s="601"/>
    </row>
    <row r="302" spans="1:15" s="598" customFormat="1">
      <c r="A302" s="597"/>
      <c r="D302" s="621"/>
      <c r="E302" s="2506" t="str">
        <f>IFERROR(IF([1]K_Summary!$E$287 = "", "", [1]K_Summary!$E$287 ),"")</f>
        <v/>
      </c>
      <c r="F302" s="2507"/>
      <c r="G302" s="608" t="s">
        <v>2017</v>
      </c>
      <c r="H302" s="134" t="str">
        <f>IFERROR(IF([1]K_Summary!$H$287 = "", "", [1]K_Summary!$H$287 ),"")</f>
        <v/>
      </c>
      <c r="I302" s="134" t="str">
        <f>IFERROR(IF([1]K_Summary!$I$287 = "", "", [1]K_Summary!$I$287 ),"")</f>
        <v/>
      </c>
      <c r="J302" s="134" t="str">
        <f>IFERROR(IF([1]K_Summary!$J$287 = "", "", [1]K_Summary!$J$287 ),"")</f>
        <v/>
      </c>
      <c r="K302" s="101" t="str">
        <f>IFERROR(IF([1]K_Summary!$K$287 = "", "", [1]K_Summary!$K$287 ),"")</f>
        <v/>
      </c>
      <c r="L302" s="101" t="str">
        <f>IFERROR(IF([1]K_Summary!$L$287 = "", "", [1]K_Summary!$L$287 ),"")</f>
        <v/>
      </c>
      <c r="M302" s="101" t="str">
        <f>IFERROR(IF([1]K_Summary!$M$287 = "", "", [1]K_Summary!$M$287 ),"")</f>
        <v/>
      </c>
      <c r="N302" s="101" t="str">
        <f>IFERROR(IF([1]K_Summary!$N$287 = "", "", [1]K_Summary!$N$287 ),"")</f>
        <v/>
      </c>
      <c r="O302" s="601"/>
    </row>
    <row r="303" spans="1:15" s="598" customFormat="1">
      <c r="A303" s="597"/>
      <c r="D303" s="621"/>
      <c r="E303" s="2506" t="str">
        <f>IFERROR(IF([1]K_Summary!$E$288 = "", "", [1]K_Summary!$E$288 ),"")</f>
        <v/>
      </c>
      <c r="F303" s="2507"/>
      <c r="G303" s="608" t="s">
        <v>2017</v>
      </c>
      <c r="H303" s="134" t="str">
        <f>IFERROR(IF([1]K_Summary!$H$288 = "", "", [1]K_Summary!$H$288 ),"")</f>
        <v/>
      </c>
      <c r="I303" s="134" t="str">
        <f>IFERROR(IF([1]K_Summary!$I$288 = "", "", [1]K_Summary!$I$288 ),"")</f>
        <v/>
      </c>
      <c r="J303" s="134" t="str">
        <f>IFERROR(IF([1]K_Summary!$J$288 = "", "", [1]K_Summary!$J$288 ),"")</f>
        <v/>
      </c>
      <c r="K303" s="101" t="str">
        <f>IFERROR(IF([1]K_Summary!$K$288 = "", "", [1]K_Summary!$K$288 ),"")</f>
        <v/>
      </c>
      <c r="L303" s="101" t="str">
        <f>IFERROR(IF([1]K_Summary!$L$288 = "", "", [1]K_Summary!$L$288 ),"")</f>
        <v/>
      </c>
      <c r="M303" s="101" t="str">
        <f>IFERROR(IF([1]K_Summary!$M$288 = "", "", [1]K_Summary!$M$288 ),"")</f>
        <v/>
      </c>
      <c r="N303" s="101" t="str">
        <f>IFERROR(IF([1]K_Summary!$N$288 = "", "", [1]K_Summary!$N$288 ),"")</f>
        <v/>
      </c>
      <c r="O303" s="601"/>
    </row>
    <row r="304" spans="1:15" s="598" customFormat="1">
      <c r="A304" s="597"/>
      <c r="D304" s="621"/>
      <c r="E304" s="2520" t="str">
        <f>IFERROR(IF([1]K_Summary!$E$289 = "", "", [1]K_Summary!$E$289 ),"")</f>
        <v/>
      </c>
      <c r="F304" s="2521"/>
      <c r="G304" s="619" t="s">
        <v>2017</v>
      </c>
      <c r="H304" s="128" t="str">
        <f>IFERROR(IF([1]K_Summary!$H$289 = "", "", [1]K_Summary!$H$289 ),"")</f>
        <v/>
      </c>
      <c r="I304" s="128" t="str">
        <f>IFERROR(IF([1]K_Summary!$I$289 = "", "", [1]K_Summary!$I$289 ),"")</f>
        <v/>
      </c>
      <c r="J304" s="128" t="str">
        <f>IFERROR(IF([1]K_Summary!$J$289 = "", "", [1]K_Summary!$J$289 ),"")</f>
        <v/>
      </c>
      <c r="K304" s="95" t="str">
        <f>IFERROR(IF([1]K_Summary!$K$289 = "", "", [1]K_Summary!$K$289 ),"")</f>
        <v/>
      </c>
      <c r="L304" s="95" t="str">
        <f>IFERROR(IF([1]K_Summary!$L$289 = "", "", [1]K_Summary!$L$289 ),"")</f>
        <v/>
      </c>
      <c r="M304" s="95" t="str">
        <f>IFERROR(IF([1]K_Summary!$M$289 = "", "", [1]K_Summary!$M$289 ),"")</f>
        <v/>
      </c>
      <c r="N304" s="95" t="str">
        <f>IFERROR(IF([1]K_Summary!$N$289 = "", "", [1]K_Summary!$N$289 ),"")</f>
        <v/>
      </c>
      <c r="O304" s="601"/>
    </row>
    <row r="305" spans="1:15" s="598" customFormat="1">
      <c r="A305" s="597"/>
      <c r="D305" s="621"/>
      <c r="E305" s="2510" t="s">
        <v>627</v>
      </c>
      <c r="F305" s="2498"/>
      <c r="G305" s="666" t="s">
        <v>2017</v>
      </c>
      <c r="H305" s="126" t="str">
        <f>IFERROR(IF([1]K_Summary!$H$290 = "", "", [1]K_Summary!$H$290 ),"")</f>
        <v/>
      </c>
      <c r="I305" s="126" t="str">
        <f>IFERROR(IF([1]K_Summary!$I$290 = "", "", [1]K_Summary!$I$290 ),"")</f>
        <v/>
      </c>
      <c r="J305" s="126" t="str">
        <f>IFERROR(IF([1]K_Summary!$J$290 = "", "", [1]K_Summary!$J$290 ),"")</f>
        <v/>
      </c>
      <c r="K305" s="93" t="str">
        <f>IFERROR(IF([1]K_Summary!$K$290 = "", "", [1]K_Summary!$K$290 ),"")</f>
        <v/>
      </c>
      <c r="L305" s="93" t="str">
        <f>IFERROR(IF([1]K_Summary!$L$290 = "", "", [1]K_Summary!$L$290 ),"")</f>
        <v/>
      </c>
      <c r="M305" s="93" t="str">
        <f>IFERROR(IF([1]K_Summary!$M$290 = "", "", [1]K_Summary!$M$290 ),"")</f>
        <v/>
      </c>
      <c r="N305" s="93" t="str">
        <f>IFERROR(IF([1]K_Summary!$N$290 = "", "", [1]K_Summary!$N$290 ),"")</f>
        <v/>
      </c>
      <c r="O305" s="601"/>
    </row>
    <row r="306" spans="1:15">
      <c r="D306" s="467"/>
      <c r="E306" s="467"/>
      <c r="F306" s="467"/>
      <c r="G306" s="467"/>
      <c r="H306" s="467"/>
      <c r="I306" s="467"/>
      <c r="J306" s="467"/>
      <c r="K306" s="467"/>
      <c r="L306" s="467"/>
      <c r="M306" s="467"/>
      <c r="N306" s="467"/>
    </row>
    <row r="307" spans="1:15">
      <c r="D307" s="485"/>
      <c r="E307" s="2509" t="s">
        <v>562</v>
      </c>
      <c r="F307" s="2493"/>
      <c r="G307" s="2493"/>
      <c r="H307" s="2493"/>
      <c r="I307" s="2493"/>
      <c r="J307" s="2493"/>
      <c r="K307" s="2493"/>
      <c r="L307" s="2493"/>
      <c r="M307" s="2493"/>
      <c r="N307" s="2493"/>
    </row>
    <row r="308" spans="1:15" s="598" customFormat="1">
      <c r="A308" s="597"/>
      <c r="D308" s="621"/>
      <c r="E308" s="2510" t="s">
        <v>427</v>
      </c>
      <c r="F308" s="2498"/>
      <c r="G308" s="669" t="s">
        <v>2017</v>
      </c>
      <c r="H308" s="135" t="str">
        <f>IFERROR(IF([1]K_Summary!$H$293 = "", "", [1]K_Summary!$H$293 ),"")</f>
        <v/>
      </c>
      <c r="I308" s="135" t="str">
        <f>IFERROR(IF([1]K_Summary!$I$293 = "", "", [1]K_Summary!$I$293 ),"")</f>
        <v/>
      </c>
      <c r="J308" s="135" t="str">
        <f>IFERROR(IF([1]K_Summary!$J$293 = "", "", [1]K_Summary!$J$293 ),"")</f>
        <v/>
      </c>
      <c r="K308" s="107" t="str">
        <f>IFERROR(IF([1]K_Summary!$K$293 = "", "", [1]K_Summary!$K$293 ),"")</f>
        <v/>
      </c>
      <c r="L308" s="107" t="str">
        <f>IFERROR(IF([1]K_Summary!$L$293 = "", "", [1]K_Summary!$L$293 ),"")</f>
        <v/>
      </c>
      <c r="M308" s="107" t="str">
        <f>IFERROR(IF([1]K_Summary!$M$293 = "", "", [1]K_Summary!$M$293 ),"")</f>
        <v/>
      </c>
      <c r="N308" s="107" t="str">
        <f>IFERROR(IF([1]K_Summary!$N$293 = "", "", [1]K_Summary!$N$293 ),"")</f>
        <v/>
      </c>
      <c r="O308" s="601"/>
    </row>
    <row r="309" spans="1:15">
      <c r="D309" s="467"/>
      <c r="E309" s="467"/>
      <c r="F309" s="467"/>
      <c r="G309" s="467"/>
      <c r="H309" s="467"/>
      <c r="I309" s="467"/>
      <c r="J309" s="467"/>
      <c r="K309" s="467"/>
      <c r="L309" s="467"/>
      <c r="M309" s="467"/>
      <c r="N309" s="467"/>
    </row>
    <row r="310" spans="1:15">
      <c r="D310" s="485"/>
      <c r="E310" s="2509" t="s">
        <v>191</v>
      </c>
      <c r="F310" s="2493"/>
      <c r="G310" s="2493"/>
      <c r="H310" s="2493"/>
      <c r="I310" s="2493"/>
      <c r="J310" s="2493"/>
      <c r="K310" s="2493"/>
      <c r="L310" s="2493"/>
      <c r="M310" s="2493"/>
      <c r="N310" s="2493"/>
    </row>
    <row r="311" spans="1:15" s="598" customFormat="1">
      <c r="A311" s="597"/>
      <c r="D311" s="621"/>
      <c r="E311" s="2519" t="s">
        <v>1242</v>
      </c>
      <c r="F311" s="2498"/>
      <c r="G311" s="667" t="s">
        <v>1022</v>
      </c>
      <c r="H311" s="135" t="str">
        <f>IFERROR(IF([1]K_Summary!$H$296 = "", "", [1]K_Summary!$H$296 ),"")</f>
        <v/>
      </c>
      <c r="I311" s="135" t="str">
        <f>IFERROR(IF([1]K_Summary!$I$296 = "", "", [1]K_Summary!$I$296 ),"")</f>
        <v/>
      </c>
      <c r="J311" s="135" t="str">
        <f>IFERROR(IF([1]K_Summary!$J$296 = "", "", [1]K_Summary!$J$296 ),"")</f>
        <v/>
      </c>
      <c r="K311" s="107" t="str">
        <f>IFERROR(IF([1]K_Summary!$K$296 = "", "", [1]K_Summary!$K$296 ),"")</f>
        <v/>
      </c>
      <c r="L311" s="107" t="str">
        <f>IFERROR(IF([1]K_Summary!$L$296 = "", "", [1]K_Summary!$L$296 ),"")</f>
        <v/>
      </c>
      <c r="M311" s="107" t="str">
        <f>IFERROR(IF([1]K_Summary!$M$296 = "", "", [1]K_Summary!$M$296 ),"")</f>
        <v/>
      </c>
      <c r="N311" s="107" t="str">
        <f>IFERROR(IF([1]K_Summary!$N$296 = "", "", [1]K_Summary!$N$296 ),"")</f>
        <v/>
      </c>
      <c r="O311" s="601"/>
    </row>
    <row r="312" spans="1:15">
      <c r="D312" s="670"/>
      <c r="E312" s="467"/>
      <c r="F312" s="467"/>
      <c r="G312" s="467"/>
      <c r="H312" s="467"/>
      <c r="I312" s="467"/>
      <c r="J312" s="467"/>
      <c r="K312" s="467"/>
      <c r="L312" s="467"/>
      <c r="M312" s="467"/>
      <c r="N312" s="467"/>
    </row>
    <row r="313" spans="1:15">
      <c r="D313" s="561"/>
      <c r="E313" s="2509" t="s">
        <v>190</v>
      </c>
      <c r="F313" s="2493"/>
      <c r="G313" s="2493"/>
      <c r="H313" s="2493"/>
      <c r="I313" s="2493"/>
      <c r="J313" s="2493"/>
      <c r="K313" s="2493"/>
      <c r="L313" s="2493"/>
      <c r="M313" s="2493"/>
      <c r="N313" s="2493"/>
    </row>
    <row r="314" spans="1:15" s="598" customFormat="1">
      <c r="A314" s="597"/>
      <c r="D314" s="621"/>
      <c r="E314" s="2519" t="s">
        <v>1243</v>
      </c>
      <c r="F314" s="2498"/>
      <c r="G314" s="667" t="s">
        <v>1022</v>
      </c>
      <c r="H314" s="135" t="str">
        <f>IFERROR(IF([1]K_Summary!$H$299 = "", "", [1]K_Summary!$H$299 ),"")</f>
        <v/>
      </c>
      <c r="I314" s="135" t="str">
        <f>IFERROR(IF([1]K_Summary!$I$299 = "", "", [1]K_Summary!$I$299 ),"")</f>
        <v/>
      </c>
      <c r="J314" s="135" t="str">
        <f>IFERROR(IF([1]K_Summary!$J$299 = "", "", [1]K_Summary!$J$299 ),"")</f>
        <v/>
      </c>
      <c r="K314" s="107" t="str">
        <f>IFERROR(IF([1]K_Summary!$K$299 = "", "", [1]K_Summary!$K$299 ),"")</f>
        <v/>
      </c>
      <c r="L314" s="107" t="str">
        <f>IFERROR(IF([1]K_Summary!$L$299 = "", "", [1]K_Summary!$L$299 ),"")</f>
        <v/>
      </c>
      <c r="M314" s="107" t="str">
        <f>IFERROR(IF([1]K_Summary!$M$299 = "", "", [1]K_Summary!$M$299 ),"")</f>
        <v/>
      </c>
      <c r="N314" s="107" t="str">
        <f>IFERROR(IF([1]K_Summary!$N$299 = "", "", [1]K_Summary!$N$299 ),"")</f>
        <v/>
      </c>
      <c r="O314" s="601"/>
    </row>
    <row r="315" spans="1:15">
      <c r="D315" s="485"/>
      <c r="E315" s="485"/>
      <c r="F315" s="485"/>
      <c r="G315" s="485"/>
      <c r="H315" s="485"/>
      <c r="I315" s="485"/>
      <c r="J315" s="485"/>
      <c r="K315" s="485"/>
      <c r="L315" s="485"/>
      <c r="M315" s="485"/>
      <c r="N315" s="485"/>
    </row>
    <row r="316" spans="1:15">
      <c r="D316" s="482" t="s">
        <v>271</v>
      </c>
      <c r="E316" s="2508" t="s">
        <v>264</v>
      </c>
      <c r="F316" s="2391"/>
      <c r="G316" s="2391"/>
      <c r="H316" s="2391"/>
      <c r="I316" s="2391"/>
      <c r="J316" s="2391"/>
      <c r="K316" s="2391"/>
      <c r="L316" s="2391"/>
      <c r="M316" s="2391"/>
      <c r="N316" s="2391"/>
    </row>
    <row r="317" spans="1:15">
      <c r="D317" s="485"/>
      <c r="E317" s="2509" t="s">
        <v>54</v>
      </c>
      <c r="F317" s="2493"/>
      <c r="G317" s="663" t="s">
        <v>884</v>
      </c>
      <c r="H317" s="671">
        <v>2019</v>
      </c>
      <c r="I317" s="671">
        <v>2020</v>
      </c>
      <c r="J317" s="671">
        <v>2021</v>
      </c>
      <c r="K317" s="671">
        <v>2022</v>
      </c>
      <c r="L317" s="671">
        <v>2023</v>
      </c>
      <c r="M317" s="671">
        <v>2024</v>
      </c>
      <c r="N317" s="671">
        <v>2025</v>
      </c>
    </row>
    <row r="318" spans="1:15" s="598" customFormat="1">
      <c r="A318" s="597"/>
      <c r="D318" s="621"/>
      <c r="E318" s="2513" t="str">
        <f>IFERROR(IF([1]K_Summary!$E$303 = "", "", [1]K_Summary!$E$303 ),"")</f>
        <v/>
      </c>
      <c r="F318" s="2514"/>
      <c r="G318" s="672" t="s">
        <v>2017</v>
      </c>
      <c r="H318" s="136" t="str">
        <f>IFERROR(IF([1]K_Summary!$H$303 = "", "", [1]K_Summary!$H$303 ),"")</f>
        <v/>
      </c>
      <c r="I318" s="136" t="str">
        <f>IFERROR(IF([1]K_Summary!$I$303 = "", "", [1]K_Summary!$I$303 ),"")</f>
        <v/>
      </c>
      <c r="J318" s="136" t="str">
        <f>IFERROR(IF([1]K_Summary!$J$303 = "", "", [1]K_Summary!$J$303 ),"")</f>
        <v/>
      </c>
      <c r="K318" s="108" t="str">
        <f>IFERROR(IF([1]K_Summary!$K$303 = "", "", [1]K_Summary!$K$303 ),"")</f>
        <v/>
      </c>
      <c r="L318" s="108" t="str">
        <f>IFERROR(IF([1]K_Summary!$L$303 = "", "", [1]K_Summary!$L$303 ),"")</f>
        <v/>
      </c>
      <c r="M318" s="108" t="str">
        <f>IFERROR(IF([1]K_Summary!$M$303 = "", "", [1]K_Summary!$M$303 ),"")</f>
        <v/>
      </c>
      <c r="N318" s="108" t="str">
        <f>IFERROR(IF([1]K_Summary!$N$303 = "", "", [1]K_Summary!$N$303 ),"")</f>
        <v/>
      </c>
      <c r="O318" s="601"/>
    </row>
    <row r="319" spans="1:15" s="598" customFormat="1">
      <c r="A319" s="597"/>
      <c r="D319" s="621"/>
      <c r="E319" s="2506" t="str">
        <f>IFERROR(IF([1]K_Summary!$E$304 = "", "", [1]K_Summary!$E$304 ),"")</f>
        <v/>
      </c>
      <c r="F319" s="2507"/>
      <c r="G319" s="665" t="s">
        <v>2017</v>
      </c>
      <c r="H319" s="134" t="str">
        <f>IFERROR(IF([1]K_Summary!$H$304 = "", "", [1]K_Summary!$H$304 ),"")</f>
        <v/>
      </c>
      <c r="I319" s="134" t="str">
        <f>IFERROR(IF([1]K_Summary!$I$304 = "", "", [1]K_Summary!$I$304 ),"")</f>
        <v/>
      </c>
      <c r="J319" s="134" t="str">
        <f>IFERROR(IF([1]K_Summary!$J$304 = "", "", [1]K_Summary!$J$304 ),"")</f>
        <v/>
      </c>
      <c r="K319" s="101" t="str">
        <f>IFERROR(IF([1]K_Summary!$K$304 = "", "", [1]K_Summary!$K$304 ),"")</f>
        <v/>
      </c>
      <c r="L319" s="101" t="str">
        <f>IFERROR(IF([1]K_Summary!$L$304 = "", "", [1]K_Summary!$L$304 ),"")</f>
        <v/>
      </c>
      <c r="M319" s="101" t="str">
        <f>IFERROR(IF([1]K_Summary!$M$304 = "", "", [1]K_Summary!$M$304 ),"")</f>
        <v/>
      </c>
      <c r="N319" s="101" t="str">
        <f>IFERROR(IF([1]K_Summary!$N$304 = "", "", [1]K_Summary!$N$304 ),"")</f>
        <v/>
      </c>
      <c r="O319" s="601"/>
    </row>
    <row r="320" spans="1:15" s="598" customFormat="1">
      <c r="A320" s="597"/>
      <c r="D320" s="621"/>
      <c r="E320" s="2506" t="str">
        <f>IFERROR(IF([1]K_Summary!$E$305 = "", "", [1]K_Summary!$E$305 ),"")</f>
        <v/>
      </c>
      <c r="F320" s="2507"/>
      <c r="G320" s="665" t="s">
        <v>2017</v>
      </c>
      <c r="H320" s="134" t="str">
        <f>IFERROR(IF([1]K_Summary!$H$305 = "", "", [1]K_Summary!$H$305 ),"")</f>
        <v/>
      </c>
      <c r="I320" s="134" t="str">
        <f>IFERROR(IF([1]K_Summary!$I$305 = "", "", [1]K_Summary!$I$305 ),"")</f>
        <v/>
      </c>
      <c r="J320" s="134" t="str">
        <f>IFERROR(IF([1]K_Summary!$J$305 = "", "", [1]K_Summary!$J$305 ),"")</f>
        <v/>
      </c>
      <c r="K320" s="101" t="str">
        <f>IFERROR(IF([1]K_Summary!$K$305 = "", "", [1]K_Summary!$K$305 ),"")</f>
        <v/>
      </c>
      <c r="L320" s="101" t="str">
        <f>IFERROR(IF([1]K_Summary!$L$305 = "", "", [1]K_Summary!$L$305 ),"")</f>
        <v/>
      </c>
      <c r="M320" s="101" t="str">
        <f>IFERROR(IF([1]K_Summary!$M$305 = "", "", [1]K_Summary!$M$305 ),"")</f>
        <v/>
      </c>
      <c r="N320" s="101" t="str">
        <f>IFERROR(IF([1]K_Summary!$N$305 = "", "", [1]K_Summary!$N$305 ),"")</f>
        <v/>
      </c>
      <c r="O320" s="601"/>
    </row>
    <row r="321" spans="1:15" s="598" customFormat="1">
      <c r="A321" s="597"/>
      <c r="D321" s="621"/>
      <c r="E321" s="2506" t="str">
        <f>IFERROR(IF([1]K_Summary!$E$306 = "", "", [1]K_Summary!$E$306 ),"")</f>
        <v/>
      </c>
      <c r="F321" s="2507"/>
      <c r="G321" s="665" t="s">
        <v>2017</v>
      </c>
      <c r="H321" s="134" t="str">
        <f>IFERROR(IF([1]K_Summary!$H$306 = "", "", [1]K_Summary!$H$306 ),"")</f>
        <v/>
      </c>
      <c r="I321" s="134" t="str">
        <f>IFERROR(IF([1]K_Summary!$I$306 = "", "", [1]K_Summary!$I$306 ),"")</f>
        <v/>
      </c>
      <c r="J321" s="134" t="str">
        <f>IFERROR(IF([1]K_Summary!$J$306 = "", "", [1]K_Summary!$J$306 ),"")</f>
        <v/>
      </c>
      <c r="K321" s="101" t="str">
        <f>IFERROR(IF([1]K_Summary!$K$306 = "", "", [1]K_Summary!$K$306 ),"")</f>
        <v/>
      </c>
      <c r="L321" s="101" t="str">
        <f>IFERROR(IF([1]K_Summary!$L$306 = "", "", [1]K_Summary!$L$306 ),"")</f>
        <v/>
      </c>
      <c r="M321" s="101" t="str">
        <f>IFERROR(IF([1]K_Summary!$M$306 = "", "", [1]K_Summary!$M$306 ),"")</f>
        <v/>
      </c>
      <c r="N321" s="101" t="str">
        <f>IFERROR(IF([1]K_Summary!$N$306 = "", "", [1]K_Summary!$N$306 ),"")</f>
        <v/>
      </c>
      <c r="O321" s="601"/>
    </row>
    <row r="322" spans="1:15" s="598" customFormat="1">
      <c r="A322" s="597"/>
      <c r="D322" s="621"/>
      <c r="E322" s="2520" t="str">
        <f>IFERROR(IF([1]K_Summary!$E$307 = "", "", [1]K_Summary!$E$307 ),"")</f>
        <v/>
      </c>
      <c r="F322" s="2521"/>
      <c r="G322" s="666" t="s">
        <v>2017</v>
      </c>
      <c r="H322" s="128" t="str">
        <f>IFERROR(IF([1]K_Summary!$H$307 = "", "", [1]K_Summary!$H$307 ),"")</f>
        <v/>
      </c>
      <c r="I322" s="128" t="str">
        <f>IFERROR(IF([1]K_Summary!$I$307 = "", "", [1]K_Summary!$I$307 ),"")</f>
        <v/>
      </c>
      <c r="J322" s="128" t="str">
        <f>IFERROR(IF([1]K_Summary!$J$307 = "", "", [1]K_Summary!$J$307 ),"")</f>
        <v/>
      </c>
      <c r="K322" s="95" t="str">
        <f>IFERROR(IF([1]K_Summary!$K$307 = "", "", [1]K_Summary!$K$307 ),"")</f>
        <v/>
      </c>
      <c r="L322" s="95" t="str">
        <f>IFERROR(IF([1]K_Summary!$L$307 = "", "", [1]K_Summary!$L$307 ),"")</f>
        <v/>
      </c>
      <c r="M322" s="95" t="str">
        <f>IFERROR(IF([1]K_Summary!$M$307 = "", "", [1]K_Summary!$M$307 ),"")</f>
        <v/>
      </c>
      <c r="N322" s="95" t="str">
        <f>IFERROR(IF([1]K_Summary!$N$307 = "", "", [1]K_Summary!$N$307 ),"")</f>
        <v/>
      </c>
      <c r="O322" s="601"/>
    </row>
    <row r="323" spans="1:15" s="598" customFormat="1">
      <c r="A323" s="597"/>
      <c r="D323" s="621"/>
      <c r="E323" s="2510" t="s">
        <v>59</v>
      </c>
      <c r="F323" s="2498"/>
      <c r="G323" s="675" t="s">
        <v>2017</v>
      </c>
      <c r="H323" s="137" t="str">
        <f>IFERROR(IF([1]K_Summary!$H$308 = "", "", [1]K_Summary!$H$308 ),"")</f>
        <v/>
      </c>
      <c r="I323" s="137" t="str">
        <f>IFERROR(IF([1]K_Summary!$I$308 = "", "", [1]K_Summary!$I$308 ),"")</f>
        <v/>
      </c>
      <c r="J323" s="137" t="str">
        <f>IFERROR(IF([1]K_Summary!$J$308 = "", "", [1]K_Summary!$J$308 ),"")</f>
        <v/>
      </c>
      <c r="K323" s="92" t="str">
        <f>IFERROR(IF([1]K_Summary!$K$308 = "", "", [1]K_Summary!$K$308 ),"")</f>
        <v/>
      </c>
      <c r="L323" s="92" t="str">
        <f>IFERROR(IF([1]K_Summary!$L$308 = "", "", [1]K_Summary!$L$308 ),"")</f>
        <v/>
      </c>
      <c r="M323" s="92" t="str">
        <f>IFERROR(IF([1]K_Summary!$M$308 = "", "", [1]K_Summary!$M$308 ),"")</f>
        <v/>
      </c>
      <c r="N323" s="92" t="str">
        <f>IFERROR(IF([1]K_Summary!$N$308 = "", "", [1]K_Summary!$N$308 ),"")</f>
        <v/>
      </c>
      <c r="O323" s="601"/>
    </row>
    <row r="324" spans="1:15">
      <c r="D324" s="467"/>
      <c r="E324" s="467"/>
      <c r="F324" s="467"/>
      <c r="G324" s="467"/>
      <c r="H324" s="467"/>
      <c r="I324" s="467"/>
      <c r="J324" s="467"/>
      <c r="K324" s="467"/>
      <c r="L324" s="467"/>
      <c r="M324" s="467"/>
      <c r="N324" s="467"/>
    </row>
    <row r="325" spans="1:15">
      <c r="D325" s="482" t="s">
        <v>478</v>
      </c>
      <c r="E325" s="2508" t="s">
        <v>1332</v>
      </c>
      <c r="F325" s="2391"/>
      <c r="G325" s="2391"/>
      <c r="H325" s="2391"/>
      <c r="I325" s="2391"/>
      <c r="J325" s="2391"/>
      <c r="K325" s="2391"/>
      <c r="L325" s="2391"/>
      <c r="M325" s="2391"/>
      <c r="N325" s="2391"/>
    </row>
    <row r="326" spans="1:15">
      <c r="D326" s="467"/>
      <c r="E326" s="467"/>
      <c r="F326" s="467"/>
      <c r="G326" s="467"/>
      <c r="H326" s="467"/>
      <c r="I326" s="467"/>
      <c r="J326" s="467"/>
      <c r="K326" s="467"/>
      <c r="L326" s="467"/>
      <c r="M326" s="467"/>
      <c r="N326" s="467"/>
    </row>
    <row r="327" spans="1:15">
      <c r="D327" s="485"/>
      <c r="E327" s="636"/>
      <c r="F327" s="637"/>
      <c r="G327" s="663" t="s">
        <v>884</v>
      </c>
      <c r="H327" s="578">
        <v>2019</v>
      </c>
      <c r="I327" s="578">
        <v>2020</v>
      </c>
      <c r="J327" s="578">
        <v>2021</v>
      </c>
      <c r="K327" s="578">
        <v>2022</v>
      </c>
      <c r="L327" s="578">
        <v>2023</v>
      </c>
      <c r="M327" s="578">
        <v>2024</v>
      </c>
      <c r="N327" s="578">
        <v>2025</v>
      </c>
    </row>
    <row r="328" spans="1:15" s="598" customFormat="1">
      <c r="A328" s="597"/>
      <c r="D328" s="621"/>
      <c r="E328" s="2519" t="s">
        <v>265</v>
      </c>
      <c r="F328" s="2498"/>
      <c r="G328" s="667" t="s">
        <v>2017</v>
      </c>
      <c r="H328" s="126" t="str">
        <f>IFERROR(IF([1]K_Summary!$H$313 = "", "", [1]K_Summary!$H$313 ),"")</f>
        <v/>
      </c>
      <c r="I328" s="126" t="str">
        <f>IFERROR(IF([1]K_Summary!$I$313 = "", "", [1]K_Summary!$I$313 ),"")</f>
        <v/>
      </c>
      <c r="J328" s="126" t="str">
        <f>IFERROR(IF([1]K_Summary!$J$313 = "", "", [1]K_Summary!$J$313 ),"")</f>
        <v/>
      </c>
      <c r="K328" s="102" t="str">
        <f>IFERROR(IF([1]K_Summary!$K$313 = "", "", [1]K_Summary!$K$313 ),"")</f>
        <v/>
      </c>
      <c r="L328" s="102" t="str">
        <f>IFERROR(IF([1]K_Summary!$L$313 = "", "", [1]K_Summary!$L$313 ),"")</f>
        <v/>
      </c>
      <c r="M328" s="102" t="str">
        <f>IFERROR(IF([1]K_Summary!$M$313 = "", "", [1]K_Summary!$M$313 ),"")</f>
        <v/>
      </c>
      <c r="N328" s="102" t="str">
        <f>IFERROR(IF([1]K_Summary!$N$313 = "", "", [1]K_Summary!$N$313 ),"")</f>
        <v/>
      </c>
      <c r="O328" s="601"/>
    </row>
    <row r="329" spans="1:15">
      <c r="D329" s="467"/>
      <c r="E329" s="467"/>
      <c r="F329" s="467"/>
      <c r="G329" s="467"/>
      <c r="H329" s="467"/>
      <c r="I329" s="467"/>
      <c r="J329" s="467"/>
      <c r="K329" s="467"/>
      <c r="L329" s="467"/>
      <c r="M329" s="467"/>
      <c r="N329" s="467"/>
    </row>
    <row r="330" spans="1:15" s="598" customFormat="1">
      <c r="A330" s="597"/>
      <c r="D330" s="621"/>
      <c r="E330" s="2523" t="s">
        <v>188</v>
      </c>
      <c r="F330" s="2500"/>
      <c r="G330" s="664" t="s">
        <v>2017</v>
      </c>
      <c r="H330" s="127" t="str">
        <f>IFERROR(IF([1]K_Summary!$H$315 = "", "", [1]K_Summary!$H$315 ),"")</f>
        <v/>
      </c>
      <c r="I330" s="127" t="str">
        <f>IFERROR(IF([1]K_Summary!$I$315 = "", "", [1]K_Summary!$I$315 ),"")</f>
        <v/>
      </c>
      <c r="J330" s="127" t="str">
        <f>IFERROR(IF([1]K_Summary!$J$315 = "", "", [1]K_Summary!$J$315 ),"")</f>
        <v/>
      </c>
      <c r="K330" s="84" t="str">
        <f>IFERROR(IF([1]K_Summary!$K$315 = "", "", [1]K_Summary!$K$315 ),"")</f>
        <v/>
      </c>
      <c r="L330" s="84" t="str">
        <f>IFERROR(IF([1]K_Summary!$L$315 = "", "", [1]K_Summary!$L$315 ),"")</f>
        <v/>
      </c>
      <c r="M330" s="84" t="str">
        <f>IFERROR(IF([1]K_Summary!$M$315 = "", "", [1]K_Summary!$M$315 ),"")</f>
        <v/>
      </c>
      <c r="N330" s="84" t="str">
        <f>IFERROR(IF([1]K_Summary!$N$315 = "", "", [1]K_Summary!$N$315 ),"")</f>
        <v/>
      </c>
      <c r="O330" s="601"/>
    </row>
    <row r="331" spans="1:15" s="598" customFormat="1">
      <c r="A331" s="597"/>
      <c r="D331" s="621"/>
      <c r="E331" s="2517" t="s">
        <v>189</v>
      </c>
      <c r="F331" s="2518"/>
      <c r="G331" s="666" t="s">
        <v>2017</v>
      </c>
      <c r="H331" s="128" t="str">
        <f>IFERROR(IF([1]K_Summary!$H$316 = "", "", [1]K_Summary!$H$316 ),"")</f>
        <v/>
      </c>
      <c r="I331" s="128" t="str">
        <f>IFERROR(IF([1]K_Summary!$I$316 = "", "", [1]K_Summary!$I$316 ),"")</f>
        <v/>
      </c>
      <c r="J331" s="128" t="str">
        <f>IFERROR(IF([1]K_Summary!$J$316 = "", "", [1]K_Summary!$J$316 ),"")</f>
        <v/>
      </c>
      <c r="K331" s="86" t="str">
        <f>IFERROR(IF([1]K_Summary!$K$316 = "", "", [1]K_Summary!$K$316 ),"")</f>
        <v/>
      </c>
      <c r="L331" s="86" t="str">
        <f>IFERROR(IF([1]K_Summary!$L$316 = "", "", [1]K_Summary!$L$316 ),"")</f>
        <v/>
      </c>
      <c r="M331" s="86" t="str">
        <f>IFERROR(IF([1]K_Summary!$M$316 = "", "", [1]K_Summary!$M$316 ),"")</f>
        <v/>
      </c>
      <c r="N331" s="86" t="str">
        <f>IFERROR(IF([1]K_Summary!$N$316 = "", "", [1]K_Summary!$N$316 ),"")</f>
        <v/>
      </c>
      <c r="O331" s="601"/>
    </row>
    <row r="332" spans="1:15">
      <c r="D332" s="485"/>
      <c r="E332" s="485"/>
      <c r="F332" s="485"/>
      <c r="G332" s="485"/>
      <c r="H332" s="485"/>
      <c r="I332" s="485"/>
      <c r="J332" s="485"/>
      <c r="K332" s="485"/>
      <c r="L332" s="485"/>
      <c r="M332" s="485"/>
      <c r="N332" s="485"/>
    </row>
    <row r="333" spans="1:15">
      <c r="D333" s="482" t="s">
        <v>479</v>
      </c>
      <c r="E333" s="2509" t="s">
        <v>1232</v>
      </c>
      <c r="F333" s="2493"/>
      <c r="G333" s="2493"/>
      <c r="H333" s="2493"/>
      <c r="I333" s="2493"/>
      <c r="J333" s="2493"/>
      <c r="K333" s="2493"/>
      <c r="L333" s="2493"/>
      <c r="M333" s="2493"/>
      <c r="N333" s="2493"/>
    </row>
    <row r="334" spans="1:15" s="598" customFormat="1">
      <c r="A334" s="597"/>
      <c r="D334" s="621"/>
      <c r="E334" s="2522" t="s">
        <v>1233</v>
      </c>
      <c r="F334" s="2498"/>
      <c r="G334" s="634" t="s">
        <v>1022</v>
      </c>
      <c r="H334" s="133" t="str">
        <f>IFERROR(IF([1]K_Summary!$H$319 = "", "", [1]K_Summary!$H$319 ),"")</f>
        <v/>
      </c>
      <c r="I334" s="133" t="str">
        <f>IFERROR(IF([1]K_Summary!$I$319 = "", "", [1]K_Summary!$I$319 ),"")</f>
        <v/>
      </c>
      <c r="J334" s="133" t="str">
        <f>IFERROR(IF([1]K_Summary!$J$319 = "", "", [1]K_Summary!$J$319 ),"")</f>
        <v/>
      </c>
      <c r="K334" s="96" t="str">
        <f>IFERROR(IF([1]K_Summary!$K$319 = "", "", [1]K_Summary!$K$319 ),"")</f>
        <v/>
      </c>
      <c r="L334" s="96" t="str">
        <f>IFERROR(IF([1]K_Summary!$L$319 = "", "", [1]K_Summary!$L$319 ),"")</f>
        <v/>
      </c>
      <c r="M334" s="96" t="str">
        <f>IFERROR(IF([1]K_Summary!$M$319 = "", "", [1]K_Summary!$M$319 ),"")</f>
        <v/>
      </c>
      <c r="N334" s="96" t="str">
        <f>IFERROR(IF([1]K_Summary!$N$319 = "", "", [1]K_Summary!$N$319 ),"")</f>
        <v/>
      </c>
      <c r="O334" s="601"/>
    </row>
    <row r="335" spans="1:15"/>
    <row r="336" spans="1:15">
      <c r="D336" s="482" t="s">
        <v>481</v>
      </c>
      <c r="E336" s="2509" t="s">
        <v>626</v>
      </c>
      <c r="F336" s="2493"/>
      <c r="G336" s="2493"/>
      <c r="H336" s="2493"/>
      <c r="I336" s="2493"/>
      <c r="J336" s="2493"/>
      <c r="K336" s="2493"/>
      <c r="L336" s="2493"/>
      <c r="M336" s="2493"/>
      <c r="N336" s="2493"/>
    </row>
    <row r="337" spans="1:15" s="598" customFormat="1">
      <c r="A337" s="597"/>
      <c r="D337" s="620"/>
      <c r="E337" s="2519" t="s">
        <v>214</v>
      </c>
      <c r="F337" s="2498"/>
      <c r="G337" s="667" t="s">
        <v>2017</v>
      </c>
      <c r="H337" s="126" t="str">
        <f>IFERROR(IF([1]K_Summary!$H$322 = "", "", [1]K_Summary!$H$322 ),"")</f>
        <v/>
      </c>
      <c r="I337" s="126" t="str">
        <f>IFERROR(IF([1]K_Summary!$I$322 = "", "", [1]K_Summary!$I$322 ),"")</f>
        <v/>
      </c>
      <c r="J337" s="126" t="str">
        <f>IFERROR(IF([1]K_Summary!$J$322 = "", "", [1]K_Summary!$J$322 ),"")</f>
        <v/>
      </c>
      <c r="K337" s="93" t="str">
        <f>IFERROR(IF([1]K_Summary!$K$322 = "", "", [1]K_Summary!$K$322 ),"")</f>
        <v/>
      </c>
      <c r="L337" s="93" t="str">
        <f>IFERROR(IF([1]K_Summary!$L$322 = "", "", [1]K_Summary!$L$322 ),"")</f>
        <v/>
      </c>
      <c r="M337" s="93" t="str">
        <f>IFERROR(IF([1]K_Summary!$M$322 = "", "", [1]K_Summary!$M$322 ),"")</f>
        <v/>
      </c>
      <c r="N337" s="93" t="str">
        <f>IFERROR(IF([1]K_Summary!$N$322 = "", "", [1]K_Summary!$N$322 ),"")</f>
        <v/>
      </c>
      <c r="O337" s="601"/>
    </row>
    <row r="338" spans="1:15">
      <c r="D338" s="467"/>
      <c r="E338" s="467"/>
      <c r="F338" s="467"/>
      <c r="G338" s="467"/>
      <c r="H338" s="467"/>
      <c r="I338" s="467"/>
      <c r="J338" s="467"/>
      <c r="K338" s="467"/>
      <c r="L338" s="467"/>
      <c r="M338" s="467"/>
      <c r="N338" s="467"/>
    </row>
    <row r="339" spans="1:15" ht="13.15" customHeight="1">
      <c r="D339" s="482" t="s">
        <v>482</v>
      </c>
      <c r="E339" s="575" t="s">
        <v>2089</v>
      </c>
      <c r="F339" s="575"/>
      <c r="G339" s="575"/>
      <c r="H339" s="575"/>
      <c r="I339" s="2508"/>
      <c r="J339" s="2508"/>
      <c r="K339" s="2508"/>
      <c r="L339" s="2508"/>
      <c r="M339" s="2508"/>
      <c r="N339" s="2508"/>
    </row>
    <row r="340" spans="1:15">
      <c r="D340" s="485"/>
      <c r="E340" s="2509" t="s">
        <v>267</v>
      </c>
      <c r="F340" s="2493"/>
      <c r="G340" s="663" t="s">
        <v>884</v>
      </c>
      <c r="H340" s="671">
        <v>2019</v>
      </c>
      <c r="I340" s="671">
        <v>2020</v>
      </c>
      <c r="J340" s="671">
        <v>2021</v>
      </c>
      <c r="K340" s="671">
        <v>2022</v>
      </c>
      <c r="L340" s="671">
        <v>2023</v>
      </c>
      <c r="M340" s="671">
        <v>2024</v>
      </c>
      <c r="N340" s="671">
        <v>2025</v>
      </c>
    </row>
    <row r="341" spans="1:15" s="598" customFormat="1">
      <c r="A341" s="597"/>
      <c r="D341" s="621"/>
      <c r="E341" s="2513" t="str">
        <f>IFERROR(IF([1]K_Summary!$E$326 = "", "", [1]K_Summary!$E$326 ),"")</f>
        <v/>
      </c>
      <c r="F341" s="2514"/>
      <c r="G341" s="665" t="s">
        <v>2017</v>
      </c>
      <c r="H341" s="136" t="str">
        <f>IFERROR(IF([1]K_Summary!$H$326 = "", "", [1]K_Summary!$H$326 ),"")</f>
        <v/>
      </c>
      <c r="I341" s="136" t="str">
        <f>IFERROR(IF([1]K_Summary!$I$326 = "", "", [1]K_Summary!$I$326 ),"")</f>
        <v/>
      </c>
      <c r="J341" s="136" t="str">
        <f>IFERROR(IF([1]K_Summary!$J$326 = "", "", [1]K_Summary!$J$326 ),"")</f>
        <v/>
      </c>
      <c r="K341" s="108" t="str">
        <f>IFERROR(IF([1]K_Summary!$K$326 = "", "", [1]K_Summary!$K$326 ),"")</f>
        <v/>
      </c>
      <c r="L341" s="108" t="str">
        <f>IFERROR(IF([1]K_Summary!$L$326 = "", "", [1]K_Summary!$L$326 ),"")</f>
        <v/>
      </c>
      <c r="M341" s="108" t="str">
        <f>IFERROR(IF([1]K_Summary!$M$326 = "", "", [1]K_Summary!$M$326 ),"")</f>
        <v/>
      </c>
      <c r="N341" s="108" t="str">
        <f>IFERROR(IF([1]K_Summary!$N$326 = "", "", [1]K_Summary!$N$326 ),"")</f>
        <v/>
      </c>
      <c r="O341" s="601"/>
    </row>
    <row r="342" spans="1:15" s="598" customFormat="1">
      <c r="A342" s="597"/>
      <c r="D342" s="621"/>
      <c r="E342" s="2506" t="str">
        <f>IFERROR(IF([1]K_Summary!$E$327 = "", "", [1]K_Summary!$E$327 ),"")</f>
        <v/>
      </c>
      <c r="F342" s="2507"/>
      <c r="G342" s="665" t="s">
        <v>2017</v>
      </c>
      <c r="H342" s="134" t="str">
        <f>IFERROR(IF([1]K_Summary!$H$327 = "", "", [1]K_Summary!$H$327 ),"")</f>
        <v/>
      </c>
      <c r="I342" s="134" t="str">
        <f>IFERROR(IF([1]K_Summary!$I$327 = "", "", [1]K_Summary!$I$327 ),"")</f>
        <v/>
      </c>
      <c r="J342" s="134" t="str">
        <f>IFERROR(IF([1]K_Summary!$J$327 = "", "", [1]K_Summary!$J$327 ),"")</f>
        <v/>
      </c>
      <c r="K342" s="101" t="str">
        <f>IFERROR(IF([1]K_Summary!$K$327 = "", "", [1]K_Summary!$K$327 ),"")</f>
        <v/>
      </c>
      <c r="L342" s="101" t="str">
        <f>IFERROR(IF([1]K_Summary!$L$327 = "", "", [1]K_Summary!$L$327 ),"")</f>
        <v/>
      </c>
      <c r="M342" s="101" t="str">
        <f>IFERROR(IF([1]K_Summary!$M$327 = "", "", [1]K_Summary!$M$327 ),"")</f>
        <v/>
      </c>
      <c r="N342" s="101" t="str">
        <f>IFERROR(IF([1]K_Summary!$N$327 = "", "", [1]K_Summary!$N$327 ),"")</f>
        <v/>
      </c>
      <c r="O342" s="601"/>
    </row>
    <row r="343" spans="1:15" s="598" customFormat="1">
      <c r="A343" s="597"/>
      <c r="D343" s="621"/>
      <c r="E343" s="2506" t="str">
        <f>IFERROR(IF([1]K_Summary!$E$328 = "", "", [1]K_Summary!$E$328 ),"")</f>
        <v/>
      </c>
      <c r="F343" s="2507"/>
      <c r="G343" s="665" t="s">
        <v>2017</v>
      </c>
      <c r="H343" s="134" t="str">
        <f>IFERROR(IF([1]K_Summary!$H$328 = "", "", [1]K_Summary!$H$328 ),"")</f>
        <v/>
      </c>
      <c r="I343" s="134" t="str">
        <f>IFERROR(IF([1]K_Summary!$I$328 = "", "", [1]K_Summary!$I$328 ),"")</f>
        <v/>
      </c>
      <c r="J343" s="134" t="str">
        <f>IFERROR(IF([1]K_Summary!$J$328 = "", "", [1]K_Summary!$J$328 ),"")</f>
        <v/>
      </c>
      <c r="K343" s="101" t="str">
        <f>IFERROR(IF([1]K_Summary!$K$328 = "", "", [1]K_Summary!$K$328 ),"")</f>
        <v/>
      </c>
      <c r="L343" s="101" t="str">
        <f>IFERROR(IF([1]K_Summary!$L$328 = "", "", [1]K_Summary!$L$328 ),"")</f>
        <v/>
      </c>
      <c r="M343" s="101" t="str">
        <f>IFERROR(IF([1]K_Summary!$M$328 = "", "", [1]K_Summary!$M$328 ),"")</f>
        <v/>
      </c>
      <c r="N343" s="101" t="str">
        <f>IFERROR(IF([1]K_Summary!$N$328 = "", "", [1]K_Summary!$N$328 ),"")</f>
        <v/>
      </c>
      <c r="O343" s="601"/>
    </row>
    <row r="344" spans="1:15" s="598" customFormat="1">
      <c r="A344" s="597"/>
      <c r="D344" s="621"/>
      <c r="E344" s="2506" t="str">
        <f>IFERROR(IF([1]K_Summary!$E$329 = "", "", [1]K_Summary!$E$329 ),"")</f>
        <v/>
      </c>
      <c r="F344" s="2507"/>
      <c r="G344" s="665" t="s">
        <v>2017</v>
      </c>
      <c r="H344" s="134" t="str">
        <f>IFERROR(IF([1]K_Summary!$H$329 = "", "", [1]K_Summary!$H$329 ),"")</f>
        <v/>
      </c>
      <c r="I344" s="134" t="str">
        <f>IFERROR(IF([1]K_Summary!$I$329 = "", "", [1]K_Summary!$I$329 ),"")</f>
        <v/>
      </c>
      <c r="J344" s="134" t="str">
        <f>IFERROR(IF([1]K_Summary!$J$329 = "", "", [1]K_Summary!$J$329 ),"")</f>
        <v/>
      </c>
      <c r="K344" s="101" t="str">
        <f>IFERROR(IF([1]K_Summary!$K$329 = "", "", [1]K_Summary!$K$329 ),"")</f>
        <v/>
      </c>
      <c r="L344" s="101" t="str">
        <f>IFERROR(IF([1]K_Summary!$L$329 = "", "", [1]K_Summary!$L$329 ),"")</f>
        <v/>
      </c>
      <c r="M344" s="101" t="str">
        <f>IFERROR(IF([1]K_Summary!$M$329 = "", "", [1]K_Summary!$M$329 ),"")</f>
        <v/>
      </c>
      <c r="N344" s="101" t="str">
        <f>IFERROR(IF([1]K_Summary!$N$329 = "", "", [1]K_Summary!$N$329 ),"")</f>
        <v/>
      </c>
      <c r="O344" s="601"/>
    </row>
    <row r="345" spans="1:15" s="598" customFormat="1">
      <c r="A345" s="597"/>
      <c r="D345" s="621"/>
      <c r="E345" s="2520" t="str">
        <f>IFERROR(IF([1]K_Summary!$E$330 = "", "", [1]K_Summary!$E$330 ),"")</f>
        <v/>
      </c>
      <c r="F345" s="2521"/>
      <c r="G345" s="666" t="s">
        <v>2017</v>
      </c>
      <c r="H345" s="128" t="str">
        <f>IFERROR(IF([1]K_Summary!$H$330 = "", "", [1]K_Summary!$H$330 ),"")</f>
        <v/>
      </c>
      <c r="I345" s="128" t="str">
        <f>IFERROR(IF([1]K_Summary!$I$330 = "", "", [1]K_Summary!$I$330 ),"")</f>
        <v/>
      </c>
      <c r="J345" s="128" t="str">
        <f>IFERROR(IF([1]K_Summary!$J$330 = "", "", [1]K_Summary!$J$330 ),"")</f>
        <v/>
      </c>
      <c r="K345" s="95" t="str">
        <f>IFERROR(IF([1]K_Summary!$K$330 = "", "", [1]K_Summary!$K$330 ),"")</f>
        <v/>
      </c>
      <c r="L345" s="95" t="str">
        <f>IFERROR(IF([1]K_Summary!$L$330 = "", "", [1]K_Summary!$L$330 ),"")</f>
        <v/>
      </c>
      <c r="M345" s="95" t="str">
        <f>IFERROR(IF([1]K_Summary!$M$330 = "", "", [1]K_Summary!$M$330 ),"")</f>
        <v/>
      </c>
      <c r="N345" s="95" t="str">
        <f>IFERROR(IF([1]K_Summary!$N$330 = "", "", [1]K_Summary!$N$330 ),"")</f>
        <v/>
      </c>
      <c r="O345" s="601"/>
    </row>
    <row r="346" spans="1:15" s="598" customFormat="1">
      <c r="A346" s="597"/>
      <c r="D346" s="621"/>
      <c r="E346" s="2510" t="s">
        <v>268</v>
      </c>
      <c r="F346" s="2498"/>
      <c r="G346" s="675" t="s">
        <v>2017</v>
      </c>
      <c r="H346" s="92" t="str">
        <f>IFERROR(IF([1]K_Summary!$H$331 = "", "", [1]K_Summary!$H$331 ),"")</f>
        <v/>
      </c>
      <c r="I346" s="92" t="str">
        <f>IFERROR(IF([1]K_Summary!$I$331 = "", "", [1]K_Summary!$I$331 ),"")</f>
        <v/>
      </c>
      <c r="J346" s="92" t="str">
        <f>IFERROR(IF([1]K_Summary!$J$331 = "", "", [1]K_Summary!$J$331 ),"")</f>
        <v/>
      </c>
      <c r="K346" s="92" t="str">
        <f>IFERROR(IF([1]K_Summary!$K$331 = "", "", [1]K_Summary!$K$331 ),"")</f>
        <v/>
      </c>
      <c r="L346" s="92" t="str">
        <f>IFERROR(IF([1]K_Summary!$L$331 = "", "", [1]K_Summary!$L$331 ),"")</f>
        <v/>
      </c>
      <c r="M346" s="92" t="str">
        <f>IFERROR(IF([1]K_Summary!$M$331 = "", "", [1]K_Summary!$M$331 ),"")</f>
        <v/>
      </c>
      <c r="N346" s="92" t="str">
        <f>IFERROR(IF([1]K_Summary!$N$331 = "", "", [1]K_Summary!$N$331 ),"")</f>
        <v/>
      </c>
      <c r="O346" s="601"/>
    </row>
    <row r="347" spans="1:15">
      <c r="D347" s="467"/>
      <c r="E347" s="467"/>
      <c r="F347" s="467"/>
      <c r="G347" s="467"/>
      <c r="H347" s="467"/>
      <c r="I347" s="467"/>
      <c r="J347" s="467"/>
      <c r="K347" s="467"/>
      <c r="L347" s="467"/>
      <c r="M347" s="467"/>
      <c r="N347" s="467"/>
    </row>
    <row r="348" spans="1:15">
      <c r="D348" s="482" t="s">
        <v>245</v>
      </c>
      <c r="E348" s="2508" t="s">
        <v>1234</v>
      </c>
      <c r="F348" s="2391"/>
      <c r="G348" s="2391"/>
      <c r="H348" s="2391"/>
      <c r="I348" s="2391"/>
      <c r="J348" s="2391"/>
      <c r="K348" s="2391"/>
      <c r="L348" s="2391"/>
      <c r="M348" s="2391"/>
      <c r="N348" s="2391"/>
    </row>
    <row r="349" spans="1:15">
      <c r="D349" s="485"/>
      <c r="E349" s="636"/>
      <c r="F349" s="637"/>
      <c r="G349" s="663" t="s">
        <v>884</v>
      </c>
      <c r="H349" s="578">
        <v>2019</v>
      </c>
      <c r="I349" s="578">
        <v>2020</v>
      </c>
      <c r="J349" s="578">
        <v>2021</v>
      </c>
      <c r="K349" s="578">
        <v>2022</v>
      </c>
      <c r="L349" s="578">
        <v>2023</v>
      </c>
      <c r="M349" s="578">
        <v>2024</v>
      </c>
      <c r="N349" s="578">
        <v>2025</v>
      </c>
    </row>
    <row r="350" spans="1:15" s="598" customFormat="1">
      <c r="A350" s="597"/>
      <c r="D350" s="621"/>
      <c r="E350" s="2519" t="s">
        <v>648</v>
      </c>
      <c r="F350" s="2498"/>
      <c r="G350" s="667" t="s">
        <v>2017</v>
      </c>
      <c r="H350" s="126" t="str">
        <f>IFERROR(IF([1]K_Summary!$H$335 = "", "", [1]K_Summary!$H$335 ),"")</f>
        <v/>
      </c>
      <c r="I350" s="126" t="str">
        <f>IFERROR(IF([1]K_Summary!$I$335 = "", "", [1]K_Summary!$I$335 ),"")</f>
        <v/>
      </c>
      <c r="J350" s="126" t="str">
        <f>IFERROR(IF([1]K_Summary!$J$335 = "", "", [1]K_Summary!$J$335 ),"")</f>
        <v/>
      </c>
      <c r="K350" s="102" t="str">
        <f>IFERROR(IF([1]K_Summary!$K$335 = "", "", [1]K_Summary!$K$335 ),"")</f>
        <v/>
      </c>
      <c r="L350" s="102" t="str">
        <f>IFERROR(IF([1]K_Summary!$L$335 = "", "", [1]K_Summary!$L$335 ),"")</f>
        <v/>
      </c>
      <c r="M350" s="102" t="str">
        <f>IFERROR(IF([1]K_Summary!$M$335 = "", "", [1]K_Summary!$M$335 ),"")</f>
        <v/>
      </c>
      <c r="N350" s="102" t="str">
        <f>IFERROR(IF([1]K_Summary!$N$335 = "", "", [1]K_Summary!$N$335 ),"")</f>
        <v/>
      </c>
      <c r="O350" s="601"/>
    </row>
    <row r="351" spans="1:15" s="598" customFormat="1">
      <c r="A351" s="597"/>
      <c r="D351" s="621"/>
      <c r="E351" s="2519" t="s">
        <v>1235</v>
      </c>
      <c r="F351" s="2498"/>
      <c r="G351" s="667" t="s">
        <v>1022</v>
      </c>
      <c r="H351" s="126" t="str">
        <f>IFERROR(IF([1]K_Summary!$H$336 = "", "", [1]K_Summary!$H$336 ),"")</f>
        <v/>
      </c>
      <c r="I351" s="126" t="str">
        <f>IFERROR(IF([1]K_Summary!$I$336 = "", "", [1]K_Summary!$I$336 ),"")</f>
        <v/>
      </c>
      <c r="J351" s="126" t="str">
        <f>IFERROR(IF([1]K_Summary!$J$336 = "", "", [1]K_Summary!$J$336 ),"")</f>
        <v/>
      </c>
      <c r="K351" s="102" t="str">
        <f>IFERROR(IF([1]K_Summary!$K$336 = "", "", [1]K_Summary!$K$336 ),"")</f>
        <v/>
      </c>
      <c r="L351" s="102" t="str">
        <f>IFERROR(IF([1]K_Summary!$L$336 = "", "", [1]K_Summary!$L$336 ),"")</f>
        <v/>
      </c>
      <c r="M351" s="102" t="str">
        <f>IFERROR(IF([1]K_Summary!$M$336 = "", "", [1]K_Summary!$M$336 ),"")</f>
        <v/>
      </c>
      <c r="N351" s="102" t="str">
        <f>IFERROR(IF([1]K_Summary!$N$336 = "", "", [1]K_Summary!$N$336 ),"")</f>
        <v/>
      </c>
      <c r="O351" s="601"/>
    </row>
    <row r="352" spans="1:15"/>
    <row r="353" spans="1:15">
      <c r="C353" s="482"/>
      <c r="D353" s="482" t="s">
        <v>832</v>
      </c>
      <c r="E353" s="2509" t="s">
        <v>1333</v>
      </c>
      <c r="F353" s="2493"/>
      <c r="G353" s="2493"/>
      <c r="H353" s="2493"/>
      <c r="I353" s="2493"/>
      <c r="J353" s="2493"/>
      <c r="K353" s="2493"/>
      <c r="L353" s="2493"/>
      <c r="M353" s="2493"/>
      <c r="N353" s="2493"/>
    </row>
    <row r="354" spans="1:15" s="598" customFormat="1">
      <c r="A354" s="597"/>
      <c r="C354" s="620"/>
      <c r="D354" s="620"/>
      <c r="E354" s="2519" t="s">
        <v>270</v>
      </c>
      <c r="F354" s="2498"/>
      <c r="G354" s="667" t="s">
        <v>2017</v>
      </c>
      <c r="H354" s="126" t="str">
        <f>IFERROR(IF([1]K_Summary!$H$339 = "", "", [1]K_Summary!$H$339 ),"")</f>
        <v/>
      </c>
      <c r="I354" s="126" t="str">
        <f>IFERROR(IF([1]K_Summary!$I$339 = "", "", [1]K_Summary!$I$339 ),"")</f>
        <v/>
      </c>
      <c r="J354" s="126" t="str">
        <f>IFERROR(IF([1]K_Summary!$J$339 = "", "", [1]K_Summary!$J$339 ),"")</f>
        <v/>
      </c>
      <c r="K354" s="102" t="str">
        <f>IFERROR(IF([1]K_Summary!$K$339 = "", "", [1]K_Summary!$K$339 ),"")</f>
        <v/>
      </c>
      <c r="L354" s="102" t="str">
        <f>IFERROR(IF([1]K_Summary!$L$339 = "", "", [1]K_Summary!$L$339 ),"")</f>
        <v/>
      </c>
      <c r="M354" s="102" t="str">
        <f>IFERROR(IF([1]K_Summary!$M$339 = "", "", [1]K_Summary!$M$339 ),"")</f>
        <v/>
      </c>
      <c r="N354" s="102" t="str">
        <f>IFERROR(IF([1]K_Summary!$N$339 = "", "", [1]K_Summary!$N$339 ),"")</f>
        <v/>
      </c>
      <c r="O354" s="601"/>
    </row>
    <row r="355" spans="1:15">
      <c r="C355" s="467"/>
      <c r="D355" s="467"/>
      <c r="E355" s="467"/>
      <c r="F355" s="467"/>
      <c r="G355" s="467"/>
      <c r="H355" s="467"/>
      <c r="I355" s="467"/>
      <c r="J355" s="467"/>
      <c r="K355" s="467"/>
      <c r="L355" s="467"/>
      <c r="M355" s="467"/>
      <c r="N355" s="467"/>
    </row>
    <row r="356" spans="1:15">
      <c r="C356" s="482"/>
      <c r="D356" s="482" t="s">
        <v>833</v>
      </c>
      <c r="E356" s="2508" t="s">
        <v>1334</v>
      </c>
      <c r="F356" s="2391"/>
      <c r="G356" s="2391"/>
      <c r="H356" s="2391"/>
      <c r="I356" s="2391"/>
      <c r="J356" s="2391"/>
      <c r="K356" s="2391"/>
      <c r="L356" s="2391"/>
      <c r="M356" s="2391"/>
      <c r="N356" s="2391"/>
    </row>
    <row r="357" spans="1:15">
      <c r="C357" s="485"/>
      <c r="D357" s="485"/>
      <c r="E357" s="636"/>
      <c r="F357" s="637"/>
      <c r="G357" s="663" t="s">
        <v>884</v>
      </c>
      <c r="H357" s="578">
        <v>2019</v>
      </c>
      <c r="I357" s="578">
        <v>2020</v>
      </c>
      <c r="J357" s="578">
        <v>2021</v>
      </c>
      <c r="K357" s="578">
        <v>2022</v>
      </c>
      <c r="L357" s="578">
        <v>2023</v>
      </c>
      <c r="M357" s="578">
        <v>2024</v>
      </c>
      <c r="N357" s="578">
        <v>2025</v>
      </c>
    </row>
    <row r="358" spans="1:15" s="598" customFormat="1">
      <c r="A358" s="597"/>
      <c r="C358" s="620"/>
      <c r="D358" s="620"/>
      <c r="E358" s="2519" t="s">
        <v>1260</v>
      </c>
      <c r="F358" s="2498"/>
      <c r="G358" s="642" t="s">
        <v>2017</v>
      </c>
      <c r="H358" s="96" t="str">
        <f>IFERROR(IF([1]K_Summary!$H$343 = "", "", [1]K_Summary!$H$343 ),"")</f>
        <v/>
      </c>
      <c r="I358" s="96" t="str">
        <f>IFERROR(IF([1]K_Summary!$I$343 = "", "", [1]K_Summary!$I$343 ),"")</f>
        <v/>
      </c>
      <c r="J358" s="96" t="str">
        <f>IFERROR(IF([1]K_Summary!$J$343 = "", "", [1]K_Summary!$J$343 ),"")</f>
        <v/>
      </c>
      <c r="K358" s="96" t="str">
        <f>IFERROR(IF([1]K_Summary!$K$343 = "", "", [1]K_Summary!$K$343 ),"")</f>
        <v/>
      </c>
      <c r="L358" s="96" t="str">
        <f>IFERROR(IF([1]K_Summary!$L$343 = "", "", [1]K_Summary!$L$343 ),"")</f>
        <v/>
      </c>
      <c r="M358" s="96" t="str">
        <f>IFERROR(IF([1]K_Summary!$M$343 = "", "", [1]K_Summary!$M$343 ),"")</f>
        <v/>
      </c>
      <c r="N358" s="96" t="str">
        <f>IFERROR(IF([1]K_Summary!$N$343 = "", "", [1]K_Summary!$N$343 ),"")</f>
        <v/>
      </c>
      <c r="O358" s="601"/>
    </row>
    <row r="359" spans="1:15">
      <c r="C359" s="485"/>
      <c r="D359" s="485"/>
      <c r="E359" s="485"/>
      <c r="F359" s="485"/>
      <c r="G359" s="485"/>
      <c r="H359" s="485"/>
      <c r="I359" s="485"/>
      <c r="J359" s="485"/>
      <c r="K359" s="485"/>
      <c r="L359" s="485"/>
      <c r="M359" s="485"/>
      <c r="N359" s="485"/>
    </row>
    <row r="360" spans="1:15" ht="15">
      <c r="C360" s="559"/>
      <c r="D360" s="2464" t="s">
        <v>1428</v>
      </c>
      <c r="E360" s="2391"/>
      <c r="F360" s="2391"/>
      <c r="G360" s="2391"/>
      <c r="H360" s="2391"/>
      <c r="I360" s="2391"/>
      <c r="J360" s="2391"/>
      <c r="K360" s="2391"/>
      <c r="L360" s="2391"/>
      <c r="M360" s="2391"/>
      <c r="N360" s="2391"/>
    </row>
    <row r="361" spans="1:15" ht="13.5" thickBot="1">
      <c r="C361" s="485"/>
      <c r="D361" s="485"/>
      <c r="E361" s="570"/>
      <c r="F361" s="485"/>
      <c r="G361" s="577" t="s">
        <v>884</v>
      </c>
      <c r="H361" s="578">
        <v>2019</v>
      </c>
      <c r="I361" s="578">
        <v>2020</v>
      </c>
      <c r="J361" s="578">
        <v>2021</v>
      </c>
      <c r="K361" s="578">
        <v>2022</v>
      </c>
      <c r="L361" s="578">
        <v>2023</v>
      </c>
      <c r="M361" s="578">
        <v>2024</v>
      </c>
      <c r="N361" s="578">
        <v>2025</v>
      </c>
    </row>
    <row r="362" spans="1:15" s="598" customFormat="1">
      <c r="A362" s="597"/>
      <c r="C362" s="620"/>
      <c r="D362" s="621"/>
      <c r="E362" s="2564" t="s">
        <v>275</v>
      </c>
      <c r="F362" s="2530"/>
      <c r="G362" s="677" t="s">
        <v>2017</v>
      </c>
      <c r="H362" s="138" t="str">
        <f>IFERROR(IF([1]K_Summary!$H$347 = "", "", [1]K_Summary!$H$347 ),"")</f>
        <v/>
      </c>
      <c r="I362" s="138" t="str">
        <f>IFERROR(IF([1]K_Summary!$I$347 = "", "", [1]K_Summary!$I$347 ),"")</f>
        <v/>
      </c>
      <c r="J362" s="138" t="str">
        <f>IFERROR(IF([1]K_Summary!$J$347 = "", "", [1]K_Summary!$J$347 ),"")</f>
        <v/>
      </c>
      <c r="K362" s="138" t="str">
        <f>IFERROR(IF([1]K_Summary!$K$347 = "", "", [1]K_Summary!$K$347 ),"")</f>
        <v/>
      </c>
      <c r="L362" s="138" t="str">
        <f>IFERROR(IF([1]K_Summary!$L$347 = "", "", [1]K_Summary!$L$347 ),"")</f>
        <v/>
      </c>
      <c r="M362" s="138" t="str">
        <f>IFERROR(IF([1]K_Summary!$M$347 = "", "", [1]K_Summary!$M$347 ),"")</f>
        <v/>
      </c>
      <c r="N362" s="139" t="str">
        <f>IFERROR(IF([1]K_Summary!$N$347 = "", "", [1]K_Summary!$N$347 ),"")</f>
        <v/>
      </c>
      <c r="O362" s="601"/>
    </row>
    <row r="363" spans="1:15" s="598" customFormat="1">
      <c r="A363" s="597"/>
      <c r="C363" s="620"/>
      <c r="D363" s="621"/>
      <c r="E363" s="2565" t="s">
        <v>276</v>
      </c>
      <c r="F363" s="2498"/>
      <c r="G363" s="679" t="s">
        <v>2017</v>
      </c>
      <c r="H363" s="126" t="str">
        <f>IFERROR(IF([1]K_Summary!$H$348 = "", "", [1]K_Summary!$H$348 ),"")</f>
        <v/>
      </c>
      <c r="I363" s="126" t="str">
        <f>IFERROR(IF([1]K_Summary!$I$348 = "", "", [1]K_Summary!$I$348 ),"")</f>
        <v/>
      </c>
      <c r="J363" s="126" t="str">
        <f>IFERROR(IF([1]K_Summary!$J$348 = "", "", [1]K_Summary!$J$348 ),"")</f>
        <v/>
      </c>
      <c r="K363" s="126" t="str">
        <f>IFERROR(IF([1]K_Summary!$K$348 = "", "", [1]K_Summary!$K$348 ),"")</f>
        <v/>
      </c>
      <c r="L363" s="126" t="str">
        <f>IFERROR(IF([1]K_Summary!$L$348 = "", "", [1]K_Summary!$L$348 ),"")</f>
        <v/>
      </c>
      <c r="M363" s="126" t="str">
        <f>IFERROR(IF([1]K_Summary!$M$348 = "", "", [1]K_Summary!$M$348 ),"")</f>
        <v/>
      </c>
      <c r="N363" s="140" t="str">
        <f>IFERROR(IF([1]K_Summary!$N$348 = "", "", [1]K_Summary!$N$348 ),"")</f>
        <v/>
      </c>
      <c r="O363" s="601"/>
    </row>
    <row r="364" spans="1:15" s="598" customFormat="1" ht="13.5" thickBot="1">
      <c r="A364" s="597"/>
      <c r="C364" s="620"/>
      <c r="D364" s="620"/>
      <c r="E364" s="2562" t="s">
        <v>1209</v>
      </c>
      <c r="F364" s="2563"/>
      <c r="G364" s="680" t="s">
        <v>2017</v>
      </c>
      <c r="H364" s="141" t="str">
        <f>IFERROR(IF([1]K_Summary!$H$349 = "", "", [1]K_Summary!$H$349 ),"")</f>
        <v/>
      </c>
      <c r="I364" s="141" t="str">
        <f>IFERROR(IF([1]K_Summary!$I$349 = "", "", [1]K_Summary!$I$349 ),"")</f>
        <v/>
      </c>
      <c r="J364" s="141" t="str">
        <f>IFERROR(IF([1]K_Summary!$J$349 = "", "", [1]K_Summary!$J$349 ),"")</f>
        <v/>
      </c>
      <c r="K364" s="141" t="str">
        <f>IFERROR(IF([1]K_Summary!$K$349 = "", "", [1]K_Summary!$K$349 ),"")</f>
        <v/>
      </c>
      <c r="L364" s="141" t="str">
        <f>IFERROR(IF([1]K_Summary!$L$349 = "", "", [1]K_Summary!$L$349 ),"")</f>
        <v/>
      </c>
      <c r="M364" s="141" t="str">
        <f>IFERROR(IF([1]K_Summary!$M$349 = "", "", [1]K_Summary!$M$349 ),"")</f>
        <v/>
      </c>
      <c r="N364" s="142" t="str">
        <f>IFERROR(IF([1]K_Summary!$N$349 = "", "", [1]K_Summary!$N$349 ),"")</f>
        <v/>
      </c>
      <c r="O364" s="601"/>
    </row>
    <row r="365" spans="1:15">
      <c r="C365" s="485"/>
      <c r="D365" s="485"/>
      <c r="E365" s="485"/>
      <c r="F365" s="485"/>
      <c r="G365" s="485"/>
      <c r="H365" s="485"/>
      <c r="I365" s="485"/>
      <c r="J365" s="485"/>
      <c r="K365" s="485"/>
      <c r="L365" s="485"/>
      <c r="M365" s="485"/>
      <c r="N365" s="485"/>
    </row>
    <row r="366" spans="1:15" ht="15">
      <c r="C366" s="559">
        <v>7</v>
      </c>
      <c r="D366" s="2464" t="s">
        <v>1187</v>
      </c>
      <c r="E366" s="2391"/>
      <c r="F366" s="2391"/>
      <c r="G366" s="2391"/>
      <c r="H366" s="2391"/>
      <c r="I366" s="2391"/>
      <c r="J366" s="2391"/>
      <c r="K366" s="2391"/>
      <c r="L366" s="2391"/>
      <c r="M366" s="2391"/>
      <c r="N366" s="2391"/>
    </row>
    <row r="367" spans="1:15"/>
    <row r="368" spans="1:15">
      <c r="D368" s="482" t="s">
        <v>400</v>
      </c>
      <c r="E368" s="2508" t="s">
        <v>1193</v>
      </c>
      <c r="F368" s="2391"/>
      <c r="G368" s="2391"/>
      <c r="H368" s="2391"/>
      <c r="I368" s="2391"/>
      <c r="J368" s="2391"/>
      <c r="K368" s="2391"/>
      <c r="L368" s="2391"/>
      <c r="M368" s="2391"/>
      <c r="N368" s="2391"/>
    </row>
    <row r="369" spans="1:15">
      <c r="D369" s="485"/>
      <c r="E369" s="2509" t="s">
        <v>831</v>
      </c>
      <c r="F369" s="2493"/>
      <c r="G369" s="663" t="s">
        <v>884</v>
      </c>
      <c r="H369" s="578">
        <v>2019</v>
      </c>
      <c r="I369" s="578">
        <v>2020</v>
      </c>
      <c r="J369" s="578">
        <v>2021</v>
      </c>
      <c r="K369" s="578">
        <v>2022</v>
      </c>
      <c r="L369" s="578">
        <v>2023</v>
      </c>
      <c r="M369" s="578">
        <v>2024</v>
      </c>
      <c r="N369" s="682">
        <v>2025</v>
      </c>
    </row>
    <row r="370" spans="1:15" s="598" customFormat="1">
      <c r="A370" s="597"/>
      <c r="D370" s="621"/>
      <c r="E370" s="2513" t="str">
        <f>IFERROR(IF([1]K_Summary!$E$355 = "", "", [1]K_Summary!$E$355 ),"")</f>
        <v/>
      </c>
      <c r="F370" s="2514"/>
      <c r="G370" s="624" t="s">
        <v>2017</v>
      </c>
      <c r="H370" s="94" t="str">
        <f>IFERROR(IF([1]K_Summary!$H$355 = "", "", [1]K_Summary!$H$355 ),"")</f>
        <v/>
      </c>
      <c r="I370" s="94" t="str">
        <f>IFERROR(IF([1]K_Summary!$I$355 = "", "", [1]K_Summary!$I$355 ),"")</f>
        <v/>
      </c>
      <c r="J370" s="94" t="str">
        <f>IFERROR(IF([1]K_Summary!$J$355 = "", "", [1]K_Summary!$J$355 ),"")</f>
        <v/>
      </c>
      <c r="K370" s="94" t="str">
        <f>IFERROR(IF([1]K_Summary!$K$355 = "", "", [1]K_Summary!$K$355 ),"")</f>
        <v/>
      </c>
      <c r="L370" s="94" t="str">
        <f>IFERROR(IF([1]K_Summary!$L$355 = "", "", [1]K_Summary!$L$355 ),"")</f>
        <v/>
      </c>
      <c r="M370" s="94" t="str">
        <f>IFERROR(IF([1]K_Summary!$M$355 = "", "", [1]K_Summary!$M$355 ),"")</f>
        <v/>
      </c>
      <c r="N370" s="94" t="str">
        <f>IFERROR(IF([1]K_Summary!$N$355 = "", "", [1]K_Summary!$N$355 ),"")</f>
        <v/>
      </c>
      <c r="O370" s="601"/>
    </row>
    <row r="371" spans="1:15" s="598" customFormat="1">
      <c r="A371" s="597"/>
      <c r="D371" s="621"/>
      <c r="E371" s="2506" t="str">
        <f>IFERROR(IF([1]K_Summary!$E$356 = "", "", [1]K_Summary!$E$356 ),"")</f>
        <v/>
      </c>
      <c r="F371" s="2507"/>
      <c r="G371" s="661" t="s">
        <v>2017</v>
      </c>
      <c r="H371" s="101" t="str">
        <f>IFERROR(IF([1]K_Summary!$H$356 = "", "", [1]K_Summary!$H$356 ),"")</f>
        <v/>
      </c>
      <c r="I371" s="101" t="str">
        <f>IFERROR(IF([1]K_Summary!$I$356 = "", "", [1]K_Summary!$I$356 ),"")</f>
        <v/>
      </c>
      <c r="J371" s="101" t="str">
        <f>IFERROR(IF([1]K_Summary!$J$356 = "", "", [1]K_Summary!$J$356 ),"")</f>
        <v/>
      </c>
      <c r="K371" s="101" t="str">
        <f>IFERROR(IF([1]K_Summary!$K$356 = "", "", [1]K_Summary!$K$356 ),"")</f>
        <v/>
      </c>
      <c r="L371" s="101" t="str">
        <f>IFERROR(IF([1]K_Summary!$L$356 = "", "", [1]K_Summary!$L$356 ),"")</f>
        <v/>
      </c>
      <c r="M371" s="101" t="str">
        <f>IFERROR(IF([1]K_Summary!$M$356 = "", "", [1]K_Summary!$M$356 ),"")</f>
        <v/>
      </c>
      <c r="N371" s="101" t="str">
        <f>IFERROR(IF([1]K_Summary!$N$356 = "", "", [1]K_Summary!$N$356 ),"")</f>
        <v/>
      </c>
      <c r="O371" s="601"/>
    </row>
    <row r="372" spans="1:15" s="598" customFormat="1">
      <c r="A372" s="597"/>
      <c r="D372" s="621"/>
      <c r="E372" s="2506" t="str">
        <f>IFERROR(IF([1]K_Summary!$E$357 = "", "", [1]K_Summary!$E$357 ),"")</f>
        <v/>
      </c>
      <c r="F372" s="2507"/>
      <c r="G372" s="661" t="s">
        <v>2017</v>
      </c>
      <c r="H372" s="101" t="str">
        <f>IFERROR(IF([1]K_Summary!$H$357 = "", "", [1]K_Summary!$H$357 ),"")</f>
        <v/>
      </c>
      <c r="I372" s="101" t="str">
        <f>IFERROR(IF([1]K_Summary!$I$357 = "", "", [1]K_Summary!$I$357 ),"")</f>
        <v/>
      </c>
      <c r="J372" s="101" t="str">
        <f>IFERROR(IF([1]K_Summary!$J$357 = "", "", [1]K_Summary!$J$357 ),"")</f>
        <v/>
      </c>
      <c r="K372" s="101" t="str">
        <f>IFERROR(IF([1]K_Summary!$K$357 = "", "", [1]K_Summary!$K$357 ),"")</f>
        <v/>
      </c>
      <c r="L372" s="101" t="str">
        <f>IFERROR(IF([1]K_Summary!$L$357 = "", "", [1]K_Summary!$L$357 ),"")</f>
        <v/>
      </c>
      <c r="M372" s="101" t="str">
        <f>IFERROR(IF([1]K_Summary!$M$357 = "", "", [1]K_Summary!$M$357 ),"")</f>
        <v/>
      </c>
      <c r="N372" s="101" t="str">
        <f>IFERROR(IF([1]K_Summary!$N$357 = "", "", [1]K_Summary!$N$357 ),"")</f>
        <v/>
      </c>
      <c r="O372" s="601"/>
    </row>
    <row r="373" spans="1:15" s="598" customFormat="1">
      <c r="A373" s="597"/>
      <c r="D373" s="621"/>
      <c r="E373" s="2506" t="str">
        <f>IFERROR(IF([1]K_Summary!$E$358 = "", "", [1]K_Summary!$E$358 ),"")</f>
        <v/>
      </c>
      <c r="F373" s="2507"/>
      <c r="G373" s="661" t="s">
        <v>2017</v>
      </c>
      <c r="H373" s="101" t="str">
        <f>IFERROR(IF([1]K_Summary!$H$358 = "", "", [1]K_Summary!$H$358 ),"")</f>
        <v/>
      </c>
      <c r="I373" s="101" t="str">
        <f>IFERROR(IF([1]K_Summary!$I$358 = "", "", [1]K_Summary!$I$358 ),"")</f>
        <v/>
      </c>
      <c r="J373" s="101" t="str">
        <f>IFERROR(IF([1]K_Summary!$J$358 = "", "", [1]K_Summary!$J$358 ),"")</f>
        <v/>
      </c>
      <c r="K373" s="101" t="str">
        <f>IFERROR(IF([1]K_Summary!$K$358 = "", "", [1]K_Summary!$K$358 ),"")</f>
        <v/>
      </c>
      <c r="L373" s="101" t="str">
        <f>IFERROR(IF([1]K_Summary!$L$358 = "", "", [1]K_Summary!$L$358 ),"")</f>
        <v/>
      </c>
      <c r="M373" s="101" t="str">
        <f>IFERROR(IF([1]K_Summary!$M$358 = "", "", [1]K_Summary!$M$358 ),"")</f>
        <v/>
      </c>
      <c r="N373" s="101" t="str">
        <f>IFERROR(IF([1]K_Summary!$N$358 = "", "", [1]K_Summary!$N$358 ),"")</f>
        <v/>
      </c>
      <c r="O373" s="601"/>
    </row>
    <row r="374" spans="1:15" s="598" customFormat="1">
      <c r="A374" s="597"/>
      <c r="D374" s="621"/>
      <c r="E374" s="2506" t="str">
        <f>IFERROR(IF([1]K_Summary!$E$359 = "", "", [1]K_Summary!$E$359 ),"")</f>
        <v/>
      </c>
      <c r="F374" s="2507"/>
      <c r="G374" s="661" t="s">
        <v>2017</v>
      </c>
      <c r="H374" s="101" t="str">
        <f>IFERROR(IF([1]K_Summary!$H$359 = "", "", [1]K_Summary!$H$359 ),"")</f>
        <v/>
      </c>
      <c r="I374" s="101" t="str">
        <f>IFERROR(IF([1]K_Summary!$I$359 = "", "", [1]K_Summary!$I$359 ),"")</f>
        <v/>
      </c>
      <c r="J374" s="101" t="str">
        <f>IFERROR(IF([1]K_Summary!$J$359 = "", "", [1]K_Summary!$J$359 ),"")</f>
        <v/>
      </c>
      <c r="K374" s="101" t="str">
        <f>IFERROR(IF([1]K_Summary!$K$359 = "", "", [1]K_Summary!$K$359 ),"")</f>
        <v/>
      </c>
      <c r="L374" s="101" t="str">
        <f>IFERROR(IF([1]K_Summary!$L$359 = "", "", [1]K_Summary!$L$359 ),"")</f>
        <v/>
      </c>
      <c r="M374" s="101" t="str">
        <f>IFERROR(IF([1]K_Summary!$M$359 = "", "", [1]K_Summary!$M$359 ),"")</f>
        <v/>
      </c>
      <c r="N374" s="101" t="str">
        <f>IFERROR(IF([1]K_Summary!$N$359 = "", "", [1]K_Summary!$N$359 ),"")</f>
        <v/>
      </c>
      <c r="O374" s="601"/>
    </row>
    <row r="375" spans="1:15" s="598" customFormat="1">
      <c r="A375" s="597"/>
      <c r="D375" s="621"/>
      <c r="E375" s="2506" t="str">
        <f>IFERROR(IF([1]K_Summary!$E$360 = "", "", [1]K_Summary!$E$360 ),"")</f>
        <v/>
      </c>
      <c r="F375" s="2507"/>
      <c r="G375" s="661" t="s">
        <v>2017</v>
      </c>
      <c r="H375" s="101" t="str">
        <f>IFERROR(IF([1]K_Summary!$H$360 = "", "", [1]K_Summary!$H$360 ),"")</f>
        <v/>
      </c>
      <c r="I375" s="101" t="str">
        <f>IFERROR(IF([1]K_Summary!$I$360 = "", "", [1]K_Summary!$I$360 ),"")</f>
        <v/>
      </c>
      <c r="J375" s="101" t="str">
        <f>IFERROR(IF([1]K_Summary!$J$360 = "", "", [1]K_Summary!$J$360 ),"")</f>
        <v/>
      </c>
      <c r="K375" s="101" t="str">
        <f>IFERROR(IF([1]K_Summary!$K$360 = "", "", [1]K_Summary!$K$360 ),"")</f>
        <v/>
      </c>
      <c r="L375" s="101" t="str">
        <f>IFERROR(IF([1]K_Summary!$L$360 = "", "", [1]K_Summary!$L$360 ),"")</f>
        <v/>
      </c>
      <c r="M375" s="101" t="str">
        <f>IFERROR(IF([1]K_Summary!$M$360 = "", "", [1]K_Summary!$M$360 ),"")</f>
        <v/>
      </c>
      <c r="N375" s="101" t="str">
        <f>IFERROR(IF([1]K_Summary!$N$360 = "", "", [1]K_Summary!$N$360 ),"")</f>
        <v/>
      </c>
      <c r="O375" s="601"/>
    </row>
    <row r="376" spans="1:15" s="598" customFormat="1">
      <c r="A376" s="597"/>
      <c r="D376" s="621"/>
      <c r="E376" s="2506" t="str">
        <f>IFERROR(IF([1]K_Summary!$E$361 = "", "", [1]K_Summary!$E$361 ),"")</f>
        <v/>
      </c>
      <c r="F376" s="2507"/>
      <c r="G376" s="661" t="s">
        <v>2017</v>
      </c>
      <c r="H376" s="101" t="str">
        <f>IFERROR(IF([1]K_Summary!$H$361 = "", "", [1]K_Summary!$H$361 ),"")</f>
        <v/>
      </c>
      <c r="I376" s="101" t="str">
        <f>IFERROR(IF([1]K_Summary!$I$361 = "", "", [1]K_Summary!$I$361 ),"")</f>
        <v/>
      </c>
      <c r="J376" s="101" t="str">
        <f>IFERROR(IF([1]K_Summary!$J$361 = "", "", [1]K_Summary!$J$361 ),"")</f>
        <v/>
      </c>
      <c r="K376" s="101" t="str">
        <f>IFERROR(IF([1]K_Summary!$K$361 = "", "", [1]K_Summary!$K$361 ),"")</f>
        <v/>
      </c>
      <c r="L376" s="101" t="str">
        <f>IFERROR(IF([1]K_Summary!$L$361 = "", "", [1]K_Summary!$L$361 ),"")</f>
        <v/>
      </c>
      <c r="M376" s="101" t="str">
        <f>IFERROR(IF([1]K_Summary!$M$361 = "", "", [1]K_Summary!$M$361 ),"")</f>
        <v/>
      </c>
      <c r="N376" s="101" t="str">
        <f>IFERROR(IF([1]K_Summary!$N$361 = "", "", [1]K_Summary!$N$361 ),"")</f>
        <v/>
      </c>
      <c r="O376" s="601"/>
    </row>
    <row r="377" spans="1:15" s="598" customFormat="1">
      <c r="A377" s="597"/>
      <c r="D377" s="621"/>
      <c r="E377" s="2506" t="str">
        <f>IFERROR(IF([1]K_Summary!$E$362 = "", "", [1]K_Summary!$E$362 ),"")</f>
        <v/>
      </c>
      <c r="F377" s="2507"/>
      <c r="G377" s="661" t="s">
        <v>2017</v>
      </c>
      <c r="H377" s="101" t="str">
        <f>IFERROR(IF([1]K_Summary!$H$362 = "", "", [1]K_Summary!$H$362 ),"")</f>
        <v/>
      </c>
      <c r="I377" s="101" t="str">
        <f>IFERROR(IF([1]K_Summary!$I$362 = "", "", [1]K_Summary!$I$362 ),"")</f>
        <v/>
      </c>
      <c r="J377" s="101" t="str">
        <f>IFERROR(IF([1]K_Summary!$J$362 = "", "", [1]K_Summary!$J$362 ),"")</f>
        <v/>
      </c>
      <c r="K377" s="101" t="str">
        <f>IFERROR(IF([1]K_Summary!$K$362 = "", "", [1]K_Summary!$K$362 ),"")</f>
        <v/>
      </c>
      <c r="L377" s="101" t="str">
        <f>IFERROR(IF([1]K_Summary!$L$362 = "", "", [1]K_Summary!$L$362 ),"")</f>
        <v/>
      </c>
      <c r="M377" s="101" t="str">
        <f>IFERROR(IF([1]K_Summary!$M$362 = "", "", [1]K_Summary!$M$362 ),"")</f>
        <v/>
      </c>
      <c r="N377" s="101" t="str">
        <f>IFERROR(IF([1]K_Summary!$N$362 = "", "", [1]K_Summary!$N$362 ),"")</f>
        <v/>
      </c>
      <c r="O377" s="601"/>
    </row>
    <row r="378" spans="1:15" s="598" customFormat="1">
      <c r="A378" s="597"/>
      <c r="D378" s="621"/>
      <c r="E378" s="2506" t="str">
        <f>IFERROR(IF([1]K_Summary!$E$363 = "", "", [1]K_Summary!$E$363 ),"")</f>
        <v/>
      </c>
      <c r="F378" s="2507"/>
      <c r="G378" s="661" t="s">
        <v>2017</v>
      </c>
      <c r="H378" s="101" t="str">
        <f>IFERROR(IF([1]K_Summary!$H$363 = "", "", [1]K_Summary!$H$363 ),"")</f>
        <v/>
      </c>
      <c r="I378" s="101" t="str">
        <f>IFERROR(IF([1]K_Summary!$I$363 = "", "", [1]K_Summary!$I$363 ),"")</f>
        <v/>
      </c>
      <c r="J378" s="101" t="str">
        <f>IFERROR(IF([1]K_Summary!$J$363 = "", "", [1]K_Summary!$J$363 ),"")</f>
        <v/>
      </c>
      <c r="K378" s="101" t="str">
        <f>IFERROR(IF([1]K_Summary!$K$363 = "", "", [1]K_Summary!$K$363 ),"")</f>
        <v/>
      </c>
      <c r="L378" s="101" t="str">
        <f>IFERROR(IF([1]K_Summary!$L$363 = "", "", [1]K_Summary!$L$363 ),"")</f>
        <v/>
      </c>
      <c r="M378" s="101" t="str">
        <f>IFERROR(IF([1]K_Summary!$M$363 = "", "", [1]K_Summary!$M$363 ),"")</f>
        <v/>
      </c>
      <c r="N378" s="101" t="str">
        <f>IFERROR(IF([1]K_Summary!$N$363 = "", "", [1]K_Summary!$N$363 ),"")</f>
        <v/>
      </c>
      <c r="O378" s="601"/>
    </row>
    <row r="379" spans="1:15" s="598" customFormat="1">
      <c r="A379" s="597"/>
      <c r="D379" s="621"/>
      <c r="E379" s="2520" t="str">
        <f>IFERROR(IF([1]K_Summary!$E$364 = "", "", [1]K_Summary!$E$364 ),"")</f>
        <v/>
      </c>
      <c r="F379" s="2521"/>
      <c r="G379" s="626" t="s">
        <v>2017</v>
      </c>
      <c r="H379" s="95" t="str">
        <f>IFERROR(IF([1]K_Summary!$H$364 = "", "", [1]K_Summary!$H$364 ),"")</f>
        <v/>
      </c>
      <c r="I379" s="95" t="str">
        <f>IFERROR(IF([1]K_Summary!$I$364 = "", "", [1]K_Summary!$I$364 ),"")</f>
        <v/>
      </c>
      <c r="J379" s="95" t="str">
        <f>IFERROR(IF([1]K_Summary!$J$364 = "", "", [1]K_Summary!$J$364 ),"")</f>
        <v/>
      </c>
      <c r="K379" s="95" t="str">
        <f>IFERROR(IF([1]K_Summary!$K$364 = "", "", [1]K_Summary!$K$364 ),"")</f>
        <v/>
      </c>
      <c r="L379" s="95" t="str">
        <f>IFERROR(IF([1]K_Summary!$L$364 = "", "", [1]K_Summary!$L$364 ),"")</f>
        <v/>
      </c>
      <c r="M379" s="95" t="str">
        <f>IFERROR(IF([1]K_Summary!$M$364 = "", "", [1]K_Summary!$M$364 ),"")</f>
        <v/>
      </c>
      <c r="N379" s="95" t="str">
        <f>IFERROR(IF([1]K_Summary!$N$364 = "", "", [1]K_Summary!$N$364 ),"")</f>
        <v/>
      </c>
      <c r="O379" s="601"/>
    </row>
    <row r="380" spans="1:15" s="598" customFormat="1">
      <c r="A380" s="597"/>
      <c r="D380" s="621"/>
      <c r="E380" s="2510" t="s">
        <v>627</v>
      </c>
      <c r="F380" s="2498"/>
      <c r="G380" s="622" t="s">
        <v>2017</v>
      </c>
      <c r="H380" s="102" t="str">
        <f>IFERROR(IF([1]K_Summary!$H$365 = "", "", [1]K_Summary!$H$365 ),"")</f>
        <v/>
      </c>
      <c r="I380" s="102" t="str">
        <f>IFERROR(IF([1]K_Summary!$I$365 = "", "", [1]K_Summary!$I$365 ),"")</f>
        <v/>
      </c>
      <c r="J380" s="102" t="str">
        <f>IFERROR(IF([1]K_Summary!$J$365 = "", "", [1]K_Summary!$J$365 ),"")</f>
        <v/>
      </c>
      <c r="K380" s="102" t="str">
        <f>IFERROR(IF([1]K_Summary!$K$365 = "", "", [1]K_Summary!$K$365 ),"")</f>
        <v/>
      </c>
      <c r="L380" s="102" t="str">
        <f>IFERROR(IF([1]K_Summary!$L$365 = "", "", [1]K_Summary!$L$365 ),"")</f>
        <v/>
      </c>
      <c r="M380" s="102" t="str">
        <f>IFERROR(IF([1]K_Summary!$M$365 = "", "", [1]K_Summary!$M$365 ),"")</f>
        <v/>
      </c>
      <c r="N380" s="102" t="str">
        <f>IFERROR(IF([1]K_Summary!$N$365 = "", "", [1]K_Summary!$N$365 ),"")</f>
        <v/>
      </c>
      <c r="O380" s="601"/>
    </row>
    <row r="381" spans="1:15">
      <c r="D381" s="467"/>
      <c r="E381" s="467"/>
      <c r="F381" s="467"/>
      <c r="G381" s="467"/>
      <c r="H381" s="467"/>
      <c r="I381" s="467"/>
      <c r="J381" s="467"/>
      <c r="K381" s="467"/>
      <c r="L381" s="467"/>
      <c r="M381" s="467"/>
      <c r="N381" s="467"/>
    </row>
    <row r="382" spans="1:15">
      <c r="D382" s="482" t="s">
        <v>876</v>
      </c>
      <c r="E382" s="2508" t="s">
        <v>1194</v>
      </c>
      <c r="F382" s="2391"/>
      <c r="G382" s="2391"/>
      <c r="H382" s="2391"/>
      <c r="I382" s="2391"/>
      <c r="J382" s="2391"/>
      <c r="K382" s="2391"/>
      <c r="L382" s="2391"/>
      <c r="M382" s="2391"/>
      <c r="N382" s="2391"/>
    </row>
    <row r="383" spans="1:15">
      <c r="D383" s="485"/>
      <c r="E383" s="2509" t="s">
        <v>1320</v>
      </c>
      <c r="F383" s="2493"/>
      <c r="G383" s="663" t="s">
        <v>884</v>
      </c>
      <c r="H383" s="578">
        <v>2019</v>
      </c>
      <c r="I383" s="578">
        <v>2020</v>
      </c>
      <c r="J383" s="578">
        <v>2021</v>
      </c>
      <c r="K383" s="578">
        <v>2022</v>
      </c>
      <c r="L383" s="578">
        <v>2023</v>
      </c>
      <c r="M383" s="578">
        <v>2024</v>
      </c>
      <c r="N383" s="682">
        <v>2025</v>
      </c>
    </row>
    <row r="384" spans="1:15" s="598" customFormat="1">
      <c r="A384" s="597"/>
      <c r="D384" s="621"/>
      <c r="E384" s="2566" t="s">
        <v>1318</v>
      </c>
      <c r="F384" s="2500"/>
      <c r="G384" s="624" t="s">
        <v>2017</v>
      </c>
      <c r="H384" s="94" t="str">
        <f>IFERROR(IF([1]K_Summary!$H$369 = "", "", [1]K_Summary!$H$369 ),"")</f>
        <v/>
      </c>
      <c r="I384" s="94" t="str">
        <f>IFERROR(IF([1]K_Summary!$I$369 = "", "", [1]K_Summary!$I$369 ),"")</f>
        <v/>
      </c>
      <c r="J384" s="94" t="str">
        <f>IFERROR(IF([1]K_Summary!$J$369 = "", "", [1]K_Summary!$J$369 ),"")</f>
        <v/>
      </c>
      <c r="K384" s="94" t="str">
        <f>IFERROR(IF([1]K_Summary!$K$369 = "", "", [1]K_Summary!$K$369 ),"")</f>
        <v/>
      </c>
      <c r="L384" s="94" t="str">
        <f>IFERROR(IF([1]K_Summary!$L$369 = "", "", [1]K_Summary!$L$369 ),"")</f>
        <v/>
      </c>
      <c r="M384" s="94" t="str">
        <f>IFERROR(IF([1]K_Summary!$M$369 = "", "", [1]K_Summary!$M$369 ),"")</f>
        <v/>
      </c>
      <c r="N384" s="94" t="str">
        <f>IFERROR(IF([1]K_Summary!$N$369 = "", "", [1]K_Summary!$N$369 ),"")</f>
        <v/>
      </c>
      <c r="O384" s="601"/>
    </row>
    <row r="385" spans="1:15" s="598" customFormat="1">
      <c r="A385" s="597"/>
      <c r="D385" s="621"/>
      <c r="E385" s="2567" t="s">
        <v>1319</v>
      </c>
      <c r="F385" s="2518"/>
      <c r="G385" s="661" t="s">
        <v>2017</v>
      </c>
      <c r="H385" s="95" t="str">
        <f>IFERROR(IF([1]K_Summary!$H$370 = "", "", [1]K_Summary!$H$370 ),"")</f>
        <v/>
      </c>
      <c r="I385" s="95" t="str">
        <f>IFERROR(IF([1]K_Summary!$I$370 = "", "", [1]K_Summary!$I$370 ),"")</f>
        <v/>
      </c>
      <c r="J385" s="95" t="str">
        <f>IFERROR(IF([1]K_Summary!$J$370 = "", "", [1]K_Summary!$J$370 ),"")</f>
        <v/>
      </c>
      <c r="K385" s="95" t="str">
        <f>IFERROR(IF([1]K_Summary!$K$370 = "", "", [1]K_Summary!$K$370 ),"")</f>
        <v/>
      </c>
      <c r="L385" s="95" t="str">
        <f>IFERROR(IF([1]K_Summary!$L$370 = "", "", [1]K_Summary!$L$370 ),"")</f>
        <v/>
      </c>
      <c r="M385" s="95" t="str">
        <f>IFERROR(IF([1]K_Summary!$M$370 = "", "", [1]K_Summary!$M$370 ),"")</f>
        <v/>
      </c>
      <c r="N385" s="95" t="str">
        <f>IFERROR(IF([1]K_Summary!$N$370 = "", "", [1]K_Summary!$N$370 ),"")</f>
        <v/>
      </c>
      <c r="O385" s="601"/>
    </row>
    <row r="386" spans="1:15" s="598" customFormat="1">
      <c r="A386" s="597"/>
      <c r="D386" s="621"/>
      <c r="E386" s="2510" t="s">
        <v>627</v>
      </c>
      <c r="F386" s="2498"/>
      <c r="G386" s="622" t="s">
        <v>2017</v>
      </c>
      <c r="H386" s="102" t="str">
        <f>IFERROR(IF([1]K_Summary!$H$371 = "", "", [1]K_Summary!$H$371 ),"")</f>
        <v/>
      </c>
      <c r="I386" s="102" t="str">
        <f>IFERROR(IF([1]K_Summary!$I$371 = "", "", [1]K_Summary!$I$371 ),"")</f>
        <v/>
      </c>
      <c r="J386" s="102" t="str">
        <f>IFERROR(IF([1]K_Summary!$J$371 = "", "", [1]K_Summary!$J$371 ),"")</f>
        <v/>
      </c>
      <c r="K386" s="102" t="str">
        <f>IFERROR(IF([1]K_Summary!$K$371 = "", "", [1]K_Summary!$K$371 ),"")</f>
        <v/>
      </c>
      <c r="L386" s="102" t="str">
        <f>IFERROR(IF([1]K_Summary!$L$371 = "", "", [1]K_Summary!$L$371 ),"")</f>
        <v/>
      </c>
      <c r="M386" s="102" t="str">
        <f>IFERROR(IF([1]K_Summary!$M$371 = "", "", [1]K_Summary!$M$371 ),"")</f>
        <v/>
      </c>
      <c r="N386" s="102" t="str">
        <f>IFERROR(IF([1]K_Summary!$N$371 = "", "", [1]K_Summary!$N$371 ),"")</f>
        <v/>
      </c>
      <c r="O386" s="601"/>
    </row>
    <row r="387" spans="1:15">
      <c r="D387" s="467"/>
      <c r="E387" s="467"/>
      <c r="F387" s="467"/>
      <c r="G387" s="467"/>
      <c r="H387" s="467"/>
      <c r="I387" s="467"/>
      <c r="J387" s="467"/>
      <c r="K387" s="467"/>
      <c r="L387" s="467"/>
      <c r="M387" s="467"/>
      <c r="N387" s="467"/>
    </row>
    <row r="388" spans="1:15">
      <c r="D388" s="482" t="s">
        <v>48</v>
      </c>
      <c r="E388" s="2509" t="s">
        <v>1512</v>
      </c>
      <c r="F388" s="2493"/>
      <c r="G388" s="654"/>
      <c r="H388" s="654"/>
      <c r="I388" s="654"/>
      <c r="J388" s="654"/>
      <c r="K388" s="654"/>
      <c r="L388" s="654"/>
      <c r="M388" s="654"/>
      <c r="N388" s="654"/>
    </row>
    <row r="389" spans="1:15" s="598" customFormat="1">
      <c r="A389" s="597"/>
      <c r="D389" s="620"/>
      <c r="E389" s="2519" t="s">
        <v>1192</v>
      </c>
      <c r="F389" s="2498"/>
      <c r="G389" s="667" t="s">
        <v>2017</v>
      </c>
      <c r="H389" s="102" t="str">
        <f>IFERROR(IF([1]K_Summary!$H$374 = "", "", [1]K_Summary!$H$374 ),"")</f>
        <v/>
      </c>
      <c r="I389" s="102" t="str">
        <f>IFERROR(IF([1]K_Summary!$I$374 = "", "", [1]K_Summary!$I$374 ),"")</f>
        <v/>
      </c>
      <c r="J389" s="102" t="str">
        <f>IFERROR(IF([1]K_Summary!$J$374 = "", "", [1]K_Summary!$J$374 ),"")</f>
        <v/>
      </c>
      <c r="K389" s="102" t="str">
        <f>IFERROR(IF([1]K_Summary!$K$374 = "", "", [1]K_Summary!$K$374 ),"")</f>
        <v/>
      </c>
      <c r="L389" s="102" t="str">
        <f>IFERROR(IF([1]K_Summary!$L$374 = "", "", [1]K_Summary!$L$374 ),"")</f>
        <v/>
      </c>
      <c r="M389" s="102" t="str">
        <f>IFERROR(IF([1]K_Summary!$M$374 = "", "", [1]K_Summary!$M$374 ),"")</f>
        <v/>
      </c>
      <c r="N389" s="102" t="str">
        <f>IFERROR(IF([1]K_Summary!$N$374 = "", "", [1]K_Summary!$N$374 ),"")</f>
        <v/>
      </c>
      <c r="O389" s="601"/>
    </row>
    <row r="390" spans="1:15">
      <c r="D390" s="485"/>
      <c r="E390" s="485"/>
      <c r="F390" s="485"/>
      <c r="G390" s="485"/>
      <c r="H390" s="485"/>
      <c r="I390" s="485"/>
      <c r="J390" s="485"/>
      <c r="K390" s="485"/>
      <c r="L390" s="485"/>
      <c r="M390" s="485"/>
      <c r="N390" s="485"/>
    </row>
    <row r="391" spans="1:15">
      <c r="D391" s="482" t="s">
        <v>881</v>
      </c>
      <c r="E391" s="2508" t="s">
        <v>1173</v>
      </c>
      <c r="F391" s="2391"/>
      <c r="G391" s="2391"/>
      <c r="H391" s="2391"/>
      <c r="I391" s="2391"/>
      <c r="J391" s="2391"/>
      <c r="K391" s="2391"/>
      <c r="L391" s="2391"/>
      <c r="M391" s="2391"/>
      <c r="N391" s="2391"/>
    </row>
    <row r="392" spans="1:15">
      <c r="D392" s="485"/>
      <c r="E392" s="2509" t="s">
        <v>524</v>
      </c>
      <c r="F392" s="2493"/>
      <c r="G392" s="663" t="s">
        <v>884</v>
      </c>
      <c r="H392" s="578">
        <v>2019</v>
      </c>
      <c r="I392" s="578">
        <v>2020</v>
      </c>
      <c r="J392" s="578">
        <v>2021</v>
      </c>
      <c r="K392" s="578">
        <v>2022</v>
      </c>
      <c r="L392" s="578">
        <v>2023</v>
      </c>
      <c r="M392" s="578">
        <v>2024</v>
      </c>
      <c r="N392" s="682">
        <v>2025</v>
      </c>
    </row>
    <row r="393" spans="1:15" s="598" customFormat="1">
      <c r="A393" s="597"/>
      <c r="D393" s="621"/>
      <c r="E393" s="2513" t="str">
        <f>IFERROR(IF([1]K_Summary!$E$378 = "", "", [1]K_Summary!$E$378 ),"")</f>
        <v/>
      </c>
      <c r="F393" s="2514"/>
      <c r="G393" s="664" t="s">
        <v>2017</v>
      </c>
      <c r="H393" s="94" t="str">
        <f>IFERROR(IF([1]K_Summary!$H$378 = "", "", [1]K_Summary!$H$378 ),"")</f>
        <v/>
      </c>
      <c r="I393" s="94" t="str">
        <f>IFERROR(IF([1]K_Summary!$I$378 = "", "", [1]K_Summary!$I$378 ),"")</f>
        <v/>
      </c>
      <c r="J393" s="94" t="str">
        <f>IFERROR(IF([1]K_Summary!$J$378 = "", "", [1]K_Summary!$J$378 ),"")</f>
        <v/>
      </c>
      <c r="K393" s="94" t="str">
        <f>IFERROR(IF([1]K_Summary!$K$378 = "", "", [1]K_Summary!$K$378 ),"")</f>
        <v/>
      </c>
      <c r="L393" s="94" t="str">
        <f>IFERROR(IF([1]K_Summary!$L$378 = "", "", [1]K_Summary!$L$378 ),"")</f>
        <v/>
      </c>
      <c r="M393" s="94" t="str">
        <f>IFERROR(IF([1]K_Summary!$M$378 = "", "", [1]K_Summary!$M$378 ),"")</f>
        <v/>
      </c>
      <c r="N393" s="94" t="str">
        <f>IFERROR(IF([1]K_Summary!$N$378 = "", "", [1]K_Summary!$N$378 ),"")</f>
        <v/>
      </c>
      <c r="O393" s="601"/>
    </row>
    <row r="394" spans="1:15" s="598" customFormat="1">
      <c r="A394" s="597"/>
      <c r="D394" s="621"/>
      <c r="E394" s="2506" t="str">
        <f>IFERROR(IF([1]K_Summary!$E$379 = "", "", [1]K_Summary!$E$379 ),"")</f>
        <v/>
      </c>
      <c r="F394" s="2507"/>
      <c r="G394" s="665" t="s">
        <v>2017</v>
      </c>
      <c r="H394" s="101" t="str">
        <f>IFERROR(IF([1]K_Summary!$H$379 = "", "", [1]K_Summary!$H$379 ),"")</f>
        <v/>
      </c>
      <c r="I394" s="101" t="str">
        <f>IFERROR(IF([1]K_Summary!$I$379 = "", "", [1]K_Summary!$I$379 ),"")</f>
        <v/>
      </c>
      <c r="J394" s="101" t="str">
        <f>IFERROR(IF([1]K_Summary!$J$379 = "", "", [1]K_Summary!$J$379 ),"")</f>
        <v/>
      </c>
      <c r="K394" s="101" t="str">
        <f>IFERROR(IF([1]K_Summary!$K$379 = "", "", [1]K_Summary!$K$379 ),"")</f>
        <v/>
      </c>
      <c r="L394" s="101" t="str">
        <f>IFERROR(IF([1]K_Summary!$L$379 = "", "", [1]K_Summary!$L$379 ),"")</f>
        <v/>
      </c>
      <c r="M394" s="101" t="str">
        <f>IFERROR(IF([1]K_Summary!$M$379 = "", "", [1]K_Summary!$M$379 ),"")</f>
        <v/>
      </c>
      <c r="N394" s="101" t="str">
        <f>IFERROR(IF([1]K_Summary!$N$379 = "", "", [1]K_Summary!$N$379 ),"")</f>
        <v/>
      </c>
      <c r="O394" s="601"/>
    </row>
    <row r="395" spans="1:15" s="598" customFormat="1">
      <c r="A395" s="597"/>
      <c r="D395" s="621"/>
      <c r="E395" s="2520" t="str">
        <f>IFERROR(IF([1]K_Summary!$E$380 = "", "", [1]K_Summary!$E$380 ),"")</f>
        <v/>
      </c>
      <c r="F395" s="2521"/>
      <c r="G395" s="666" t="s">
        <v>2017</v>
      </c>
      <c r="H395" s="95" t="str">
        <f>IFERROR(IF([1]K_Summary!$H$380 = "", "", [1]K_Summary!$H$380 ),"")</f>
        <v/>
      </c>
      <c r="I395" s="95" t="str">
        <f>IFERROR(IF([1]K_Summary!$I$380 = "", "", [1]K_Summary!$I$380 ),"")</f>
        <v/>
      </c>
      <c r="J395" s="95" t="str">
        <f>IFERROR(IF([1]K_Summary!$J$380 = "", "", [1]K_Summary!$J$380 ),"")</f>
        <v/>
      </c>
      <c r="K395" s="95" t="str">
        <f>IFERROR(IF([1]K_Summary!$K$380 = "", "", [1]K_Summary!$K$380 ),"")</f>
        <v/>
      </c>
      <c r="L395" s="95" t="str">
        <f>IFERROR(IF([1]K_Summary!$L$380 = "", "", [1]K_Summary!$L$380 ),"")</f>
        <v/>
      </c>
      <c r="M395" s="95" t="str">
        <f>IFERROR(IF([1]K_Summary!$M$380 = "", "", [1]K_Summary!$M$380 ),"")</f>
        <v/>
      </c>
      <c r="N395" s="95" t="str">
        <f>IFERROR(IF([1]K_Summary!$N$380 = "", "", [1]K_Summary!$N$380 ),"")</f>
        <v/>
      </c>
      <c r="O395" s="601"/>
    </row>
    <row r="396" spans="1:15" s="598" customFormat="1">
      <c r="A396" s="597"/>
      <c r="D396" s="621"/>
      <c r="E396" s="2510" t="s">
        <v>627</v>
      </c>
      <c r="F396" s="2498"/>
      <c r="G396" s="667" t="s">
        <v>2017</v>
      </c>
      <c r="H396" s="102" t="str">
        <f>IFERROR(IF([1]K_Summary!$H$381 = "", "", [1]K_Summary!$H$381 ),"")</f>
        <v/>
      </c>
      <c r="I396" s="102" t="str">
        <f>IFERROR(IF([1]K_Summary!$I$381 = "", "", [1]K_Summary!$I$381 ),"")</f>
        <v/>
      </c>
      <c r="J396" s="102" t="str">
        <f>IFERROR(IF([1]K_Summary!$J$381 = "", "", [1]K_Summary!$J$381 ),"")</f>
        <v/>
      </c>
      <c r="K396" s="102" t="str">
        <f>IFERROR(IF([1]K_Summary!$K$381 = "", "", [1]K_Summary!$K$381 ),"")</f>
        <v/>
      </c>
      <c r="L396" s="102" t="str">
        <f>IFERROR(IF([1]K_Summary!$L$381 = "", "", [1]K_Summary!$L$381 ),"")</f>
        <v/>
      </c>
      <c r="M396" s="102" t="str">
        <f>IFERROR(IF([1]K_Summary!$M$381 = "", "", [1]K_Summary!$M$381 ),"")</f>
        <v/>
      </c>
      <c r="N396" s="102" t="str">
        <f>IFERROR(IF([1]K_Summary!$N$381 = "", "", [1]K_Summary!$N$381 ),"")</f>
        <v/>
      </c>
      <c r="O396" s="601"/>
    </row>
    <row r="397" spans="1:15">
      <c r="D397" s="467"/>
      <c r="E397" s="467"/>
      <c r="F397" s="467"/>
      <c r="G397" s="467"/>
      <c r="H397" s="467"/>
      <c r="I397" s="467"/>
      <c r="J397" s="467"/>
      <c r="K397" s="467"/>
      <c r="L397" s="467"/>
      <c r="M397" s="467"/>
      <c r="N397" s="467"/>
    </row>
    <row r="398" spans="1:15">
      <c r="D398" s="482" t="s">
        <v>57</v>
      </c>
      <c r="E398" s="2508" t="s">
        <v>1174</v>
      </c>
      <c r="F398" s="2391"/>
      <c r="G398" s="2391"/>
      <c r="H398" s="2391"/>
      <c r="I398" s="2391"/>
      <c r="J398" s="2391"/>
      <c r="K398" s="2391"/>
      <c r="L398" s="2391"/>
      <c r="M398" s="2391"/>
      <c r="N398" s="2391"/>
    </row>
    <row r="399" spans="1:15">
      <c r="D399" s="485"/>
      <c r="E399" s="2509" t="s">
        <v>524</v>
      </c>
      <c r="F399" s="2493"/>
      <c r="G399" s="663" t="s">
        <v>884</v>
      </c>
      <c r="H399" s="578">
        <v>2019</v>
      </c>
      <c r="I399" s="578">
        <v>2020</v>
      </c>
      <c r="J399" s="578">
        <v>2021</v>
      </c>
      <c r="K399" s="578">
        <v>2022</v>
      </c>
      <c r="L399" s="578">
        <v>2023</v>
      </c>
      <c r="M399" s="578">
        <v>2024</v>
      </c>
      <c r="N399" s="682">
        <v>2025</v>
      </c>
    </row>
    <row r="400" spans="1:15" s="598" customFormat="1">
      <c r="A400" s="597"/>
      <c r="D400" s="621"/>
      <c r="E400" s="2513" t="str">
        <f>IFERROR(IF([1]K_Summary!$E$385 = "", "", [1]K_Summary!$E$385 ),"")</f>
        <v/>
      </c>
      <c r="F400" s="2514"/>
      <c r="G400" s="664" t="s">
        <v>2017</v>
      </c>
      <c r="H400" s="94" t="str">
        <f>IFERROR(IF([1]K_Summary!$H$385 = "", "", [1]K_Summary!$H$385 ),"")</f>
        <v/>
      </c>
      <c r="I400" s="94" t="str">
        <f>IFERROR(IF([1]K_Summary!$I$385 = "", "", [1]K_Summary!$I$385 ),"")</f>
        <v/>
      </c>
      <c r="J400" s="94" t="str">
        <f>IFERROR(IF([1]K_Summary!$J$385 = "", "", [1]K_Summary!$J$385 ),"")</f>
        <v/>
      </c>
      <c r="K400" s="94" t="str">
        <f>IFERROR(IF([1]K_Summary!$K$385 = "", "", [1]K_Summary!$K$385 ),"")</f>
        <v/>
      </c>
      <c r="L400" s="94" t="str">
        <f>IFERROR(IF([1]K_Summary!$L$385 = "", "", [1]K_Summary!$L$385 ),"")</f>
        <v/>
      </c>
      <c r="M400" s="94" t="str">
        <f>IFERROR(IF([1]K_Summary!$M$385 = "", "", [1]K_Summary!$M$385 ),"")</f>
        <v/>
      </c>
      <c r="N400" s="103" t="str">
        <f>IFERROR(IF([1]K_Summary!$N$385 = "", "", [1]K_Summary!$N$385 ),"")</f>
        <v/>
      </c>
      <c r="O400" s="601"/>
    </row>
    <row r="401" spans="1:15" s="598" customFormat="1">
      <c r="A401" s="597"/>
      <c r="D401" s="621"/>
      <c r="E401" s="2506" t="str">
        <f>IFERROR(IF([1]K_Summary!$E$386 = "", "", [1]K_Summary!$E$386 ),"")</f>
        <v/>
      </c>
      <c r="F401" s="2507"/>
      <c r="G401" s="665" t="s">
        <v>2017</v>
      </c>
      <c r="H401" s="101" t="str">
        <f>IFERROR(IF([1]K_Summary!$H$386 = "", "", [1]K_Summary!$H$386 ),"")</f>
        <v/>
      </c>
      <c r="I401" s="101" t="str">
        <f>IFERROR(IF([1]K_Summary!$I$386 = "", "", [1]K_Summary!$I$386 ),"")</f>
        <v/>
      </c>
      <c r="J401" s="101" t="str">
        <f>IFERROR(IF([1]K_Summary!$J$386 = "", "", [1]K_Summary!$J$386 ),"")</f>
        <v/>
      </c>
      <c r="K401" s="101" t="str">
        <f>IFERROR(IF([1]K_Summary!$K$386 = "", "", [1]K_Summary!$K$386 ),"")</f>
        <v/>
      </c>
      <c r="L401" s="101" t="str">
        <f>IFERROR(IF([1]K_Summary!$L$386 = "", "", [1]K_Summary!$L$386 ),"")</f>
        <v/>
      </c>
      <c r="M401" s="101" t="str">
        <f>IFERROR(IF([1]K_Summary!$M$386 = "", "", [1]K_Summary!$M$386 ),"")</f>
        <v/>
      </c>
      <c r="N401" s="104" t="str">
        <f>IFERROR(IF([1]K_Summary!$N$386 = "", "", [1]K_Summary!$N$386 ),"")</f>
        <v/>
      </c>
      <c r="O401" s="601"/>
    </row>
    <row r="402" spans="1:15" s="598" customFormat="1">
      <c r="A402" s="597"/>
      <c r="D402" s="621"/>
      <c r="E402" s="2520" t="str">
        <f>IFERROR(IF([1]K_Summary!$E$387 = "", "", [1]K_Summary!$E$387 ),"")</f>
        <v/>
      </c>
      <c r="F402" s="2521"/>
      <c r="G402" s="666" t="s">
        <v>2017</v>
      </c>
      <c r="H402" s="95" t="str">
        <f>IFERROR(IF([1]K_Summary!$H$387 = "", "", [1]K_Summary!$H$387 ),"")</f>
        <v/>
      </c>
      <c r="I402" s="95" t="str">
        <f>IFERROR(IF([1]K_Summary!$I$387 = "", "", [1]K_Summary!$I$387 ),"")</f>
        <v/>
      </c>
      <c r="J402" s="95" t="str">
        <f>IFERROR(IF([1]K_Summary!$J$387 = "", "", [1]K_Summary!$J$387 ),"")</f>
        <v/>
      </c>
      <c r="K402" s="95" t="str">
        <f>IFERROR(IF([1]K_Summary!$K$387 = "", "", [1]K_Summary!$K$387 ),"")</f>
        <v/>
      </c>
      <c r="L402" s="95" t="str">
        <f>IFERROR(IF([1]K_Summary!$L$387 = "", "", [1]K_Summary!$L$387 ),"")</f>
        <v/>
      </c>
      <c r="M402" s="95" t="str">
        <f>IFERROR(IF([1]K_Summary!$M$387 = "", "", [1]K_Summary!$M$387 ),"")</f>
        <v/>
      </c>
      <c r="N402" s="105" t="str">
        <f>IFERROR(IF([1]K_Summary!$N$387 = "", "", [1]K_Summary!$N$387 ),"")</f>
        <v/>
      </c>
      <c r="O402" s="601"/>
    </row>
    <row r="403" spans="1:15" s="598" customFormat="1">
      <c r="A403" s="597"/>
      <c r="D403" s="621"/>
      <c r="E403" s="2510" t="s">
        <v>627</v>
      </c>
      <c r="F403" s="2498"/>
      <c r="G403" s="667" t="s">
        <v>2017</v>
      </c>
      <c r="H403" s="102" t="str">
        <f>IFERROR(IF([1]K_Summary!$H$388 = "", "", [1]K_Summary!$H$388 ),"")</f>
        <v/>
      </c>
      <c r="I403" s="102" t="str">
        <f>IFERROR(IF([1]K_Summary!$I$388 = "", "", [1]K_Summary!$I$388 ),"")</f>
        <v/>
      </c>
      <c r="J403" s="102" t="str">
        <f>IFERROR(IF([1]K_Summary!$J$388 = "", "", [1]K_Summary!$J$388 ),"")</f>
        <v/>
      </c>
      <c r="K403" s="102" t="str">
        <f>IFERROR(IF([1]K_Summary!$K$388 = "", "", [1]K_Summary!$K$388 ),"")</f>
        <v/>
      </c>
      <c r="L403" s="102" t="str">
        <f>IFERROR(IF([1]K_Summary!$L$388 = "", "", [1]K_Summary!$L$388 ),"")</f>
        <v/>
      </c>
      <c r="M403" s="102" t="str">
        <f>IFERROR(IF([1]K_Summary!$M$388 = "", "", [1]K_Summary!$M$388 ),"")</f>
        <v/>
      </c>
      <c r="N403" s="106" t="str">
        <f>IFERROR(IF([1]K_Summary!$N$388 = "", "", [1]K_Summary!$N$388 ),"")</f>
        <v/>
      </c>
      <c r="O403" s="601"/>
    </row>
    <row r="404" spans="1:15">
      <c r="D404" s="467"/>
      <c r="E404" s="467"/>
      <c r="F404" s="467"/>
      <c r="G404" s="467"/>
      <c r="H404" s="467"/>
      <c r="I404" s="467"/>
      <c r="J404" s="467"/>
      <c r="K404" s="467"/>
      <c r="L404" s="467"/>
      <c r="M404" s="467"/>
      <c r="N404" s="467"/>
    </row>
    <row r="405" spans="1:15">
      <c r="D405" s="482" t="s">
        <v>58</v>
      </c>
      <c r="E405" s="2509" t="s">
        <v>1195</v>
      </c>
      <c r="F405" s="2493"/>
      <c r="G405" s="2493"/>
      <c r="H405" s="2493"/>
      <c r="I405" s="2493"/>
      <c r="J405" s="2493"/>
      <c r="K405" s="2493"/>
      <c r="L405" s="2493"/>
      <c r="M405" s="2493"/>
      <c r="N405" s="2493"/>
    </row>
    <row r="406" spans="1:15" s="598" customFormat="1">
      <c r="A406" s="597"/>
      <c r="D406" s="620"/>
      <c r="E406" s="2519" t="s">
        <v>1175</v>
      </c>
      <c r="F406" s="2498"/>
      <c r="G406" s="667" t="s">
        <v>2017</v>
      </c>
      <c r="H406" s="102" t="str">
        <f>IFERROR(IF([1]K_Summary!$H$391 = "", "", [1]K_Summary!$H$391 ),"")</f>
        <v/>
      </c>
      <c r="I406" s="102" t="str">
        <f>IFERROR(IF([1]K_Summary!$I$391 = "", "", [1]K_Summary!$I$391 ),"")</f>
        <v/>
      </c>
      <c r="J406" s="102" t="str">
        <f>IFERROR(IF([1]K_Summary!$J$391 = "", "", [1]K_Summary!$J$391 ),"")</f>
        <v/>
      </c>
      <c r="K406" s="102" t="str">
        <f>IFERROR(IF([1]K_Summary!$K$391 = "", "", [1]K_Summary!$K$391 ),"")</f>
        <v/>
      </c>
      <c r="L406" s="102" t="str">
        <f>IFERROR(IF([1]K_Summary!$L$391 = "", "", [1]K_Summary!$L$391 ),"")</f>
        <v/>
      </c>
      <c r="M406" s="102" t="str">
        <f>IFERROR(IF([1]K_Summary!$M$391 = "", "", [1]K_Summary!$M$391 ),"")</f>
        <v/>
      </c>
      <c r="N406" s="102" t="str">
        <f>IFERROR(IF([1]K_Summary!$N$391 = "", "", [1]K_Summary!$N$391 ),"")</f>
        <v/>
      </c>
      <c r="O406" s="601"/>
    </row>
    <row r="407" spans="1:15">
      <c r="D407" s="485"/>
      <c r="E407" s="485"/>
      <c r="F407" s="485"/>
      <c r="G407" s="485"/>
      <c r="H407" s="485"/>
      <c r="I407" s="485"/>
      <c r="J407" s="485"/>
      <c r="K407" s="485"/>
      <c r="L407" s="485"/>
      <c r="M407" s="485"/>
      <c r="N407" s="485"/>
    </row>
    <row r="408" spans="1:15">
      <c r="D408" s="482" t="s">
        <v>266</v>
      </c>
      <c r="E408" s="2508" t="s">
        <v>1183</v>
      </c>
      <c r="F408" s="2391"/>
      <c r="G408" s="2391"/>
      <c r="H408" s="2391"/>
      <c r="I408" s="2391"/>
      <c r="J408" s="2391"/>
      <c r="K408" s="2391"/>
      <c r="L408" s="2391"/>
      <c r="M408" s="2391"/>
      <c r="N408" s="2391"/>
    </row>
    <row r="409" spans="1:15">
      <c r="D409" s="485"/>
      <c r="E409" s="2509" t="s">
        <v>1184</v>
      </c>
      <c r="F409" s="2493"/>
      <c r="G409" s="663" t="s">
        <v>884</v>
      </c>
      <c r="H409" s="578">
        <v>2019</v>
      </c>
      <c r="I409" s="578">
        <v>2020</v>
      </c>
      <c r="J409" s="578">
        <v>2021</v>
      </c>
      <c r="K409" s="578">
        <v>2022</v>
      </c>
      <c r="L409" s="578">
        <v>2023</v>
      </c>
      <c r="M409" s="578">
        <v>2024</v>
      </c>
      <c r="N409" s="578">
        <v>2025</v>
      </c>
    </row>
    <row r="410" spans="1:15" s="598" customFormat="1">
      <c r="A410" s="597"/>
      <c r="D410" s="621"/>
      <c r="E410" s="2513" t="str">
        <f>IFERROR(IF([1]K_Summary!$E$395 = "", "", [1]K_Summary!$E$395 ),"")</f>
        <v/>
      </c>
      <c r="F410" s="2514"/>
      <c r="G410" s="599" t="s">
        <v>2017</v>
      </c>
      <c r="H410" s="94" t="str">
        <f>IFERROR(IF([1]K_Summary!$H$395 = "", "", [1]K_Summary!$H$395 ),"")</f>
        <v/>
      </c>
      <c r="I410" s="94" t="str">
        <f>IFERROR(IF([1]K_Summary!$I$395 = "", "", [1]K_Summary!$I$395 ),"")</f>
        <v/>
      </c>
      <c r="J410" s="94" t="str">
        <f>IFERROR(IF([1]K_Summary!$J$395 = "", "", [1]K_Summary!$J$395 ),"")</f>
        <v/>
      </c>
      <c r="K410" s="94" t="str">
        <f>IFERROR(IF([1]K_Summary!$K$395 = "", "", [1]K_Summary!$K$395 ),"")</f>
        <v/>
      </c>
      <c r="L410" s="94" t="str">
        <f>IFERROR(IF([1]K_Summary!$L$395 = "", "", [1]K_Summary!$L$395 ),"")</f>
        <v/>
      </c>
      <c r="M410" s="94" t="str">
        <f>IFERROR(IF([1]K_Summary!$M$395 = "", "", [1]K_Summary!$M$395 ),"")</f>
        <v/>
      </c>
      <c r="N410" s="94" t="str">
        <f>IFERROR(IF([1]K_Summary!$N$395 = "", "", [1]K_Summary!$N$395 ),"")</f>
        <v/>
      </c>
      <c r="O410" s="601"/>
    </row>
    <row r="411" spans="1:15" s="598" customFormat="1">
      <c r="A411" s="597"/>
      <c r="D411" s="621"/>
      <c r="E411" s="2506" t="str">
        <f>IFERROR(IF([1]K_Summary!$E$396 = "", "", [1]K_Summary!$E$396 ),"")</f>
        <v/>
      </c>
      <c r="F411" s="2507"/>
      <c r="G411" s="608" t="s">
        <v>2017</v>
      </c>
      <c r="H411" s="101" t="str">
        <f>IFERROR(IF([1]K_Summary!$H$396 = "", "", [1]K_Summary!$H$396 ),"")</f>
        <v/>
      </c>
      <c r="I411" s="101" t="str">
        <f>IFERROR(IF([1]K_Summary!$I$396 = "", "", [1]K_Summary!$I$396 ),"")</f>
        <v/>
      </c>
      <c r="J411" s="101" t="str">
        <f>IFERROR(IF([1]K_Summary!$J$396 = "", "", [1]K_Summary!$J$396 ),"")</f>
        <v/>
      </c>
      <c r="K411" s="101" t="str">
        <f>IFERROR(IF([1]K_Summary!$K$396 = "", "", [1]K_Summary!$K$396 ),"")</f>
        <v/>
      </c>
      <c r="L411" s="101" t="str">
        <f>IFERROR(IF([1]K_Summary!$L$396 = "", "", [1]K_Summary!$L$396 ),"")</f>
        <v/>
      </c>
      <c r="M411" s="101" t="str">
        <f>IFERROR(IF([1]K_Summary!$M$396 = "", "", [1]K_Summary!$M$396 ),"")</f>
        <v/>
      </c>
      <c r="N411" s="101" t="str">
        <f>IFERROR(IF([1]K_Summary!$N$396 = "", "", [1]K_Summary!$N$396 ),"")</f>
        <v/>
      </c>
      <c r="O411" s="601"/>
    </row>
    <row r="412" spans="1:15" s="598" customFormat="1">
      <c r="A412" s="597"/>
      <c r="D412" s="621"/>
      <c r="E412" s="2506" t="str">
        <f>IFERROR(IF([1]K_Summary!$E$397 = "", "", [1]K_Summary!$E$397 ),"")</f>
        <v/>
      </c>
      <c r="F412" s="2507"/>
      <c r="G412" s="608" t="s">
        <v>2017</v>
      </c>
      <c r="H412" s="101" t="str">
        <f>IFERROR(IF([1]K_Summary!$H$397 = "", "", [1]K_Summary!$H$397 ),"")</f>
        <v/>
      </c>
      <c r="I412" s="101" t="str">
        <f>IFERROR(IF([1]K_Summary!$I$397 = "", "", [1]K_Summary!$I$397 ),"")</f>
        <v/>
      </c>
      <c r="J412" s="101" t="str">
        <f>IFERROR(IF([1]K_Summary!$J$397 = "", "", [1]K_Summary!$J$397 ),"")</f>
        <v/>
      </c>
      <c r="K412" s="101" t="str">
        <f>IFERROR(IF([1]K_Summary!$K$397 = "", "", [1]K_Summary!$K$397 ),"")</f>
        <v/>
      </c>
      <c r="L412" s="101" t="str">
        <f>IFERROR(IF([1]K_Summary!$L$397 = "", "", [1]K_Summary!$L$397 ),"")</f>
        <v/>
      </c>
      <c r="M412" s="101" t="str">
        <f>IFERROR(IF([1]K_Summary!$M$397 = "", "", [1]K_Summary!$M$397 ),"")</f>
        <v/>
      </c>
      <c r="N412" s="101" t="str">
        <f>IFERROR(IF([1]K_Summary!$N$397 = "", "", [1]K_Summary!$N$397 ),"")</f>
        <v/>
      </c>
      <c r="O412" s="601"/>
    </row>
    <row r="413" spans="1:15" s="598" customFormat="1">
      <c r="A413" s="597"/>
      <c r="D413" s="621"/>
      <c r="E413" s="2506" t="str">
        <f>IFERROR(IF([1]K_Summary!$E$398 = "", "", [1]K_Summary!$E$398 ),"")</f>
        <v/>
      </c>
      <c r="F413" s="2507"/>
      <c r="G413" s="608" t="s">
        <v>2017</v>
      </c>
      <c r="H413" s="101" t="str">
        <f>IFERROR(IF([1]K_Summary!$H$398 = "", "", [1]K_Summary!$H$398 ),"")</f>
        <v/>
      </c>
      <c r="I413" s="101" t="str">
        <f>IFERROR(IF([1]K_Summary!$I$398 = "", "", [1]K_Summary!$I$398 ),"")</f>
        <v/>
      </c>
      <c r="J413" s="101" t="str">
        <f>IFERROR(IF([1]K_Summary!$J$398 = "", "", [1]K_Summary!$J$398 ),"")</f>
        <v/>
      </c>
      <c r="K413" s="101" t="str">
        <f>IFERROR(IF([1]K_Summary!$K$398 = "", "", [1]K_Summary!$K$398 ),"")</f>
        <v/>
      </c>
      <c r="L413" s="101" t="str">
        <f>IFERROR(IF([1]K_Summary!$L$398 = "", "", [1]K_Summary!$L$398 ),"")</f>
        <v/>
      </c>
      <c r="M413" s="101" t="str">
        <f>IFERROR(IF([1]K_Summary!$M$398 = "", "", [1]K_Summary!$M$398 ),"")</f>
        <v/>
      </c>
      <c r="N413" s="101" t="str">
        <f>IFERROR(IF([1]K_Summary!$N$398 = "", "", [1]K_Summary!$N$398 ),"")</f>
        <v/>
      </c>
      <c r="O413" s="601"/>
    </row>
    <row r="414" spans="1:15" s="598" customFormat="1">
      <c r="A414" s="597"/>
      <c r="D414" s="621"/>
      <c r="E414" s="2506" t="str">
        <f>IFERROR(IF([1]K_Summary!$E$399 = "", "", [1]K_Summary!$E$399 ),"")</f>
        <v/>
      </c>
      <c r="F414" s="2507"/>
      <c r="G414" s="608" t="s">
        <v>2017</v>
      </c>
      <c r="H414" s="101" t="str">
        <f>IFERROR(IF([1]K_Summary!$H$399 = "", "", [1]K_Summary!$H$399 ),"")</f>
        <v/>
      </c>
      <c r="I414" s="101" t="str">
        <f>IFERROR(IF([1]K_Summary!$I$399 = "", "", [1]K_Summary!$I$399 ),"")</f>
        <v/>
      </c>
      <c r="J414" s="101" t="str">
        <f>IFERROR(IF([1]K_Summary!$J$399 = "", "", [1]K_Summary!$J$399 ),"")</f>
        <v/>
      </c>
      <c r="K414" s="101" t="str">
        <f>IFERROR(IF([1]K_Summary!$K$399 = "", "", [1]K_Summary!$K$399 ),"")</f>
        <v/>
      </c>
      <c r="L414" s="101" t="str">
        <f>IFERROR(IF([1]K_Summary!$L$399 = "", "", [1]K_Summary!$L$399 ),"")</f>
        <v/>
      </c>
      <c r="M414" s="101" t="str">
        <f>IFERROR(IF([1]K_Summary!$M$399 = "", "", [1]K_Summary!$M$399 ),"")</f>
        <v/>
      </c>
      <c r="N414" s="101" t="str">
        <f>IFERROR(IF([1]K_Summary!$N$399 = "", "", [1]K_Summary!$N$399 ),"")</f>
        <v/>
      </c>
      <c r="O414" s="601"/>
    </row>
    <row r="415" spans="1:15" s="598" customFormat="1">
      <c r="A415" s="597"/>
      <c r="D415" s="621"/>
      <c r="E415" s="2506" t="str">
        <f>IFERROR(IF([1]K_Summary!$E$400 = "", "", [1]K_Summary!$E$400 ),"")</f>
        <v/>
      </c>
      <c r="F415" s="2507"/>
      <c r="G415" s="608" t="s">
        <v>2017</v>
      </c>
      <c r="H415" s="101" t="str">
        <f>IFERROR(IF([1]K_Summary!$H$400 = "", "", [1]K_Summary!$H$400 ),"")</f>
        <v/>
      </c>
      <c r="I415" s="101" t="str">
        <f>IFERROR(IF([1]K_Summary!$I$400 = "", "", [1]K_Summary!$I$400 ),"")</f>
        <v/>
      </c>
      <c r="J415" s="101" t="str">
        <f>IFERROR(IF([1]K_Summary!$J$400 = "", "", [1]K_Summary!$J$400 ),"")</f>
        <v/>
      </c>
      <c r="K415" s="101" t="str">
        <f>IFERROR(IF([1]K_Summary!$K$400 = "", "", [1]K_Summary!$K$400 ),"")</f>
        <v/>
      </c>
      <c r="L415" s="101" t="str">
        <f>IFERROR(IF([1]K_Summary!$L$400 = "", "", [1]K_Summary!$L$400 ),"")</f>
        <v/>
      </c>
      <c r="M415" s="101" t="str">
        <f>IFERROR(IF([1]K_Summary!$M$400 = "", "", [1]K_Summary!$M$400 ),"")</f>
        <v/>
      </c>
      <c r="N415" s="101" t="str">
        <f>IFERROR(IF([1]K_Summary!$N$400 = "", "", [1]K_Summary!$N$400 ),"")</f>
        <v/>
      </c>
      <c r="O415" s="601"/>
    </row>
    <row r="416" spans="1:15" s="598" customFormat="1">
      <c r="A416" s="597"/>
      <c r="D416" s="621"/>
      <c r="E416" s="2506" t="str">
        <f>IFERROR(IF([1]K_Summary!$E$401 = "", "", [1]K_Summary!$E$401 ),"")</f>
        <v/>
      </c>
      <c r="F416" s="2507"/>
      <c r="G416" s="608" t="s">
        <v>2017</v>
      </c>
      <c r="H416" s="101" t="str">
        <f>IFERROR(IF([1]K_Summary!$H$401 = "", "", [1]K_Summary!$H$401 ),"")</f>
        <v/>
      </c>
      <c r="I416" s="101" t="str">
        <f>IFERROR(IF([1]K_Summary!$I$401 = "", "", [1]K_Summary!$I$401 ),"")</f>
        <v/>
      </c>
      <c r="J416" s="101" t="str">
        <f>IFERROR(IF([1]K_Summary!$J$401 = "", "", [1]K_Summary!$J$401 ),"")</f>
        <v/>
      </c>
      <c r="K416" s="101" t="str">
        <f>IFERROR(IF([1]K_Summary!$K$401 = "", "", [1]K_Summary!$K$401 ),"")</f>
        <v/>
      </c>
      <c r="L416" s="101" t="str">
        <f>IFERROR(IF([1]K_Summary!$L$401 = "", "", [1]K_Summary!$L$401 ),"")</f>
        <v/>
      </c>
      <c r="M416" s="101" t="str">
        <f>IFERROR(IF([1]K_Summary!$M$401 = "", "", [1]K_Summary!$M$401 ),"")</f>
        <v/>
      </c>
      <c r="N416" s="101" t="str">
        <f>IFERROR(IF([1]K_Summary!$N$401 = "", "", [1]K_Summary!$N$401 ),"")</f>
        <v/>
      </c>
      <c r="O416" s="601"/>
    </row>
    <row r="417" spans="1:15" s="598" customFormat="1">
      <c r="A417" s="597"/>
      <c r="D417" s="621"/>
      <c r="E417" s="2506" t="str">
        <f>IFERROR(IF([1]K_Summary!$E$402 = "", "", [1]K_Summary!$E$402 ),"")</f>
        <v/>
      </c>
      <c r="F417" s="2507"/>
      <c r="G417" s="608" t="s">
        <v>2017</v>
      </c>
      <c r="H417" s="101" t="str">
        <f>IFERROR(IF([1]K_Summary!$H$402 = "", "", [1]K_Summary!$H$402 ),"")</f>
        <v/>
      </c>
      <c r="I417" s="101" t="str">
        <f>IFERROR(IF([1]K_Summary!$I$402 = "", "", [1]K_Summary!$I$402 ),"")</f>
        <v/>
      </c>
      <c r="J417" s="101" t="str">
        <f>IFERROR(IF([1]K_Summary!$J$402 = "", "", [1]K_Summary!$J$402 ),"")</f>
        <v/>
      </c>
      <c r="K417" s="101" t="str">
        <f>IFERROR(IF([1]K_Summary!$K$402 = "", "", [1]K_Summary!$K$402 ),"")</f>
        <v/>
      </c>
      <c r="L417" s="101" t="str">
        <f>IFERROR(IF([1]K_Summary!$L$402 = "", "", [1]K_Summary!$L$402 ),"")</f>
        <v/>
      </c>
      <c r="M417" s="101" t="str">
        <f>IFERROR(IF([1]K_Summary!$M$402 = "", "", [1]K_Summary!$M$402 ),"")</f>
        <v/>
      </c>
      <c r="N417" s="101" t="str">
        <f>IFERROR(IF([1]K_Summary!$N$402 = "", "", [1]K_Summary!$N$402 ),"")</f>
        <v/>
      </c>
      <c r="O417" s="601"/>
    </row>
    <row r="418" spans="1:15" s="598" customFormat="1">
      <c r="A418" s="597"/>
      <c r="D418" s="621"/>
      <c r="E418" s="2506" t="str">
        <f>IFERROR(IF([1]K_Summary!$E$403 = "", "", [1]K_Summary!$E$403 ),"")</f>
        <v/>
      </c>
      <c r="F418" s="2507"/>
      <c r="G418" s="608" t="s">
        <v>2017</v>
      </c>
      <c r="H418" s="101" t="str">
        <f>IFERROR(IF([1]K_Summary!$H$403 = "", "", [1]K_Summary!$H$403 ),"")</f>
        <v/>
      </c>
      <c r="I418" s="101" t="str">
        <f>IFERROR(IF([1]K_Summary!$I$403 = "", "", [1]K_Summary!$I$403 ),"")</f>
        <v/>
      </c>
      <c r="J418" s="101" t="str">
        <f>IFERROR(IF([1]K_Summary!$J$403 = "", "", [1]K_Summary!$J$403 ),"")</f>
        <v/>
      </c>
      <c r="K418" s="101" t="str">
        <f>IFERROR(IF([1]K_Summary!$K$403 = "", "", [1]K_Summary!$K$403 ),"")</f>
        <v/>
      </c>
      <c r="L418" s="101" t="str">
        <f>IFERROR(IF([1]K_Summary!$L$403 = "", "", [1]K_Summary!$L$403 ),"")</f>
        <v/>
      </c>
      <c r="M418" s="101" t="str">
        <f>IFERROR(IF([1]K_Summary!$M$403 = "", "", [1]K_Summary!$M$403 ),"")</f>
        <v/>
      </c>
      <c r="N418" s="101" t="str">
        <f>IFERROR(IF([1]K_Summary!$N$403 = "", "", [1]K_Summary!$N$403 ),"")</f>
        <v/>
      </c>
      <c r="O418" s="601"/>
    </row>
    <row r="419" spans="1:15" s="598" customFormat="1">
      <c r="A419" s="597"/>
      <c r="D419" s="621"/>
      <c r="E419" s="2520" t="str">
        <f>IFERROR(IF([1]K_Summary!$E$404 = "", "", [1]K_Summary!$E$404 ),"")</f>
        <v/>
      </c>
      <c r="F419" s="2521"/>
      <c r="G419" s="619" t="s">
        <v>2017</v>
      </c>
      <c r="H419" s="95" t="str">
        <f>IFERROR(IF([1]K_Summary!$H$404 = "", "", [1]K_Summary!$H$404 ),"")</f>
        <v/>
      </c>
      <c r="I419" s="95" t="str">
        <f>IFERROR(IF([1]K_Summary!$I$404 = "", "", [1]K_Summary!$I$404 ),"")</f>
        <v/>
      </c>
      <c r="J419" s="95" t="str">
        <f>IFERROR(IF([1]K_Summary!$J$404 = "", "", [1]K_Summary!$J$404 ),"")</f>
        <v/>
      </c>
      <c r="K419" s="95" t="str">
        <f>IFERROR(IF([1]K_Summary!$K$404 = "", "", [1]K_Summary!$K$404 ),"")</f>
        <v/>
      </c>
      <c r="L419" s="95" t="str">
        <f>IFERROR(IF([1]K_Summary!$L$404 = "", "", [1]K_Summary!$L$404 ),"")</f>
        <v/>
      </c>
      <c r="M419" s="95" t="str">
        <f>IFERROR(IF([1]K_Summary!$M$404 = "", "", [1]K_Summary!$M$404 ),"")</f>
        <v/>
      </c>
      <c r="N419" s="95" t="str">
        <f>IFERROR(IF([1]K_Summary!$N$404 = "", "", [1]K_Summary!$N$404 ),"")</f>
        <v/>
      </c>
      <c r="O419" s="601"/>
    </row>
    <row r="420" spans="1:15" s="598" customFormat="1">
      <c r="A420" s="597"/>
      <c r="D420" s="621"/>
      <c r="E420" s="2510" t="s">
        <v>627</v>
      </c>
      <c r="F420" s="2498"/>
      <c r="G420" s="666" t="s">
        <v>2017</v>
      </c>
      <c r="H420" s="93" t="str">
        <f>IFERROR(IF([1]K_Summary!$H$405 = "", "", [1]K_Summary!$H$405 ),"")</f>
        <v/>
      </c>
      <c r="I420" s="93" t="str">
        <f>IFERROR(IF([1]K_Summary!$I$405 = "", "", [1]K_Summary!$I$405 ),"")</f>
        <v/>
      </c>
      <c r="J420" s="93" t="str">
        <f>IFERROR(IF([1]K_Summary!$J$405 = "", "", [1]K_Summary!$J$405 ),"")</f>
        <v/>
      </c>
      <c r="K420" s="93" t="str">
        <f>IFERROR(IF([1]K_Summary!$K$405 = "", "", [1]K_Summary!$K$405 ),"")</f>
        <v/>
      </c>
      <c r="L420" s="93" t="str">
        <f>IFERROR(IF([1]K_Summary!$L$405 = "", "", [1]K_Summary!$L$405 ),"")</f>
        <v/>
      </c>
      <c r="M420" s="93" t="str">
        <f>IFERROR(IF([1]K_Summary!$M$405 = "", "", [1]K_Summary!$M$405 ),"")</f>
        <v/>
      </c>
      <c r="N420" s="93" t="str">
        <f>IFERROR(IF([1]K_Summary!$N$405 = "", "", [1]K_Summary!$N$405 ),"")</f>
        <v/>
      </c>
      <c r="O420" s="601"/>
    </row>
    <row r="421" spans="1:15">
      <c r="D421" s="467"/>
      <c r="E421" s="467"/>
      <c r="F421" s="467"/>
      <c r="G421" s="467"/>
      <c r="H421" s="467"/>
      <c r="I421" s="467"/>
      <c r="J421" s="467"/>
      <c r="K421" s="467"/>
      <c r="L421" s="467"/>
      <c r="M421" s="467"/>
      <c r="N421" s="467"/>
    </row>
    <row r="422" spans="1:15">
      <c r="D422" s="482" t="s">
        <v>269</v>
      </c>
      <c r="E422" s="2508" t="s">
        <v>1176</v>
      </c>
      <c r="F422" s="2391"/>
      <c r="G422" s="2391"/>
      <c r="H422" s="2391"/>
      <c r="I422" s="2391"/>
      <c r="J422" s="2391"/>
      <c r="K422" s="2391"/>
      <c r="L422" s="2391"/>
      <c r="M422" s="2391"/>
      <c r="N422" s="2391"/>
    </row>
    <row r="423" spans="1:15">
      <c r="D423" s="485"/>
      <c r="E423" s="2509" t="s">
        <v>1185</v>
      </c>
      <c r="F423" s="2493"/>
      <c r="G423" s="482" t="s">
        <v>884</v>
      </c>
      <c r="H423" s="578">
        <v>2019</v>
      </c>
      <c r="I423" s="578">
        <v>2020</v>
      </c>
      <c r="J423" s="578">
        <v>2021</v>
      </c>
      <c r="K423" s="578">
        <v>2022</v>
      </c>
      <c r="L423" s="578">
        <v>2023</v>
      </c>
      <c r="M423" s="578">
        <v>2024</v>
      </c>
      <c r="N423" s="682">
        <v>2025</v>
      </c>
    </row>
    <row r="424" spans="1:15" s="598" customFormat="1">
      <c r="A424" s="597"/>
      <c r="D424" s="621"/>
      <c r="E424" s="2523" t="s">
        <v>275</v>
      </c>
      <c r="F424" s="2500"/>
      <c r="G424" s="599" t="s">
        <v>2017</v>
      </c>
      <c r="H424" s="94" t="str">
        <f>IFERROR(IF([1]K_Summary!$H$409 = "", "", [1]K_Summary!$H$409 ),"")</f>
        <v/>
      </c>
      <c r="I424" s="94" t="str">
        <f>IFERROR(IF([1]K_Summary!$I$409 = "", "", [1]K_Summary!$I$409 ),"")</f>
        <v/>
      </c>
      <c r="J424" s="94" t="str">
        <f>IFERROR(IF([1]K_Summary!$J$409 = "", "", [1]K_Summary!$J$409 ),"")</f>
        <v/>
      </c>
      <c r="K424" s="94" t="str">
        <f>IFERROR(IF([1]K_Summary!$K$409 = "", "", [1]K_Summary!$K$409 ),"")</f>
        <v/>
      </c>
      <c r="L424" s="94" t="str">
        <f>IFERROR(IF([1]K_Summary!$L$409 = "", "", [1]K_Summary!$L$409 ),"")</f>
        <v/>
      </c>
      <c r="M424" s="94" t="str">
        <f>IFERROR(IF([1]K_Summary!$M$409 = "", "", [1]K_Summary!$M$409 ),"")</f>
        <v/>
      </c>
      <c r="N424" s="94" t="str">
        <f>IFERROR(IF([1]K_Summary!$N$409 = "", "", [1]K_Summary!$N$409 ),"")</f>
        <v/>
      </c>
      <c r="O424" s="601"/>
    </row>
    <row r="425" spans="1:15" s="598" customFormat="1">
      <c r="A425" s="597"/>
      <c r="D425" s="621"/>
      <c r="E425" s="2515" t="s">
        <v>276</v>
      </c>
      <c r="F425" s="2516"/>
      <c r="G425" s="608" t="s">
        <v>2017</v>
      </c>
      <c r="H425" s="101" t="str">
        <f>IFERROR(IF([1]K_Summary!$H$410 = "", "", [1]K_Summary!$H$410 ),"")</f>
        <v/>
      </c>
      <c r="I425" s="101" t="str">
        <f>IFERROR(IF([1]K_Summary!$I$410 = "", "", [1]K_Summary!$I$410 ),"")</f>
        <v/>
      </c>
      <c r="J425" s="101" t="str">
        <f>IFERROR(IF([1]K_Summary!$J$410 = "", "", [1]K_Summary!$J$410 ),"")</f>
        <v/>
      </c>
      <c r="K425" s="101" t="str">
        <f>IFERROR(IF([1]K_Summary!$K$410 = "", "", [1]K_Summary!$K$410 ),"")</f>
        <v/>
      </c>
      <c r="L425" s="101" t="str">
        <f>IFERROR(IF([1]K_Summary!$L$410 = "", "", [1]K_Summary!$L$410 ),"")</f>
        <v/>
      </c>
      <c r="M425" s="101" t="str">
        <f>IFERROR(IF([1]K_Summary!$M$410 = "", "", [1]K_Summary!$M$410 ),"")</f>
        <v/>
      </c>
      <c r="N425" s="101" t="str">
        <f>IFERROR(IF([1]K_Summary!$N$410 = "", "", [1]K_Summary!$N$410 ),"")</f>
        <v/>
      </c>
      <c r="O425" s="601"/>
    </row>
    <row r="426" spans="1:15" s="598" customFormat="1">
      <c r="A426" s="597"/>
      <c r="D426" s="621"/>
      <c r="E426" s="2515" t="s">
        <v>1209</v>
      </c>
      <c r="F426" s="2516"/>
      <c r="G426" s="608" t="s">
        <v>2017</v>
      </c>
      <c r="H426" s="101" t="str">
        <f>IFERROR(IF([1]K_Summary!$H$411 = "", "", [1]K_Summary!$H$411 ),"")</f>
        <v/>
      </c>
      <c r="I426" s="101" t="str">
        <f>IFERROR(IF([1]K_Summary!$I$411 = "", "", [1]K_Summary!$I$411 ),"")</f>
        <v/>
      </c>
      <c r="J426" s="101" t="str">
        <f>IFERROR(IF([1]K_Summary!$J$411 = "", "", [1]K_Summary!$J$411 ),"")</f>
        <v/>
      </c>
      <c r="K426" s="101" t="str">
        <f>IFERROR(IF([1]K_Summary!$K$411 = "", "", [1]K_Summary!$K$411 ),"")</f>
        <v/>
      </c>
      <c r="L426" s="101" t="str">
        <f>IFERROR(IF([1]K_Summary!$L$411 = "", "", [1]K_Summary!$L$411 ),"")</f>
        <v/>
      </c>
      <c r="M426" s="101" t="str">
        <f>IFERROR(IF([1]K_Summary!$M$411 = "", "", [1]K_Summary!$M$411 ),"")</f>
        <v/>
      </c>
      <c r="N426" s="101" t="str">
        <f>IFERROR(IF([1]K_Summary!$N$411 = "", "", [1]K_Summary!$N$411 ),"")</f>
        <v/>
      </c>
      <c r="O426" s="601"/>
    </row>
    <row r="427" spans="1:15" s="598" customFormat="1">
      <c r="A427" s="597"/>
      <c r="D427" s="621"/>
      <c r="E427" s="2515" t="s">
        <v>277</v>
      </c>
      <c r="F427" s="2516"/>
      <c r="G427" s="608" t="s">
        <v>2017</v>
      </c>
      <c r="H427" s="101" t="str">
        <f>IFERROR(IF([1]K_Summary!$H$412 = "", "", [1]K_Summary!$H$412 ),"")</f>
        <v/>
      </c>
      <c r="I427" s="101" t="str">
        <f>IFERROR(IF([1]K_Summary!$I$412 = "", "", [1]K_Summary!$I$412 ),"")</f>
        <v/>
      </c>
      <c r="J427" s="101" t="str">
        <f>IFERROR(IF([1]K_Summary!$J$412 = "", "", [1]K_Summary!$J$412 ),"")</f>
        <v/>
      </c>
      <c r="K427" s="101" t="str">
        <f>IFERROR(IF([1]K_Summary!$K$412 = "", "", [1]K_Summary!$K$412 ),"")</f>
        <v/>
      </c>
      <c r="L427" s="101" t="str">
        <f>IFERROR(IF([1]K_Summary!$L$412 = "", "", [1]K_Summary!$L$412 ),"")</f>
        <v/>
      </c>
      <c r="M427" s="101" t="str">
        <f>IFERROR(IF([1]K_Summary!$M$412 = "", "", [1]K_Summary!$M$412 ),"")</f>
        <v/>
      </c>
      <c r="N427" s="101" t="str">
        <f>IFERROR(IF([1]K_Summary!$N$412 = "", "", [1]K_Summary!$N$412 ),"")</f>
        <v/>
      </c>
      <c r="O427" s="601"/>
    </row>
    <row r="428" spans="1:15" s="598" customFormat="1">
      <c r="A428" s="597"/>
      <c r="D428" s="621"/>
      <c r="E428" s="2517" t="s">
        <v>278</v>
      </c>
      <c r="F428" s="2518"/>
      <c r="G428" s="619" t="s">
        <v>2017</v>
      </c>
      <c r="H428" s="95" t="str">
        <f>IFERROR(IF([1]K_Summary!$H$413 = "", "", [1]K_Summary!$H$413 ),"")</f>
        <v/>
      </c>
      <c r="I428" s="95" t="str">
        <f>IFERROR(IF([1]K_Summary!$I$413 = "", "", [1]K_Summary!$I$413 ),"")</f>
        <v/>
      </c>
      <c r="J428" s="95" t="str">
        <f>IFERROR(IF([1]K_Summary!$J$413 = "", "", [1]K_Summary!$J$413 ),"")</f>
        <v/>
      </c>
      <c r="K428" s="95" t="str">
        <f>IFERROR(IF([1]K_Summary!$K$413 = "", "", [1]K_Summary!$K$413 ),"")</f>
        <v/>
      </c>
      <c r="L428" s="95" t="str">
        <f>IFERROR(IF([1]K_Summary!$L$413 = "", "", [1]K_Summary!$L$413 ),"")</f>
        <v/>
      </c>
      <c r="M428" s="95" t="str">
        <f>IFERROR(IF([1]K_Summary!$M$413 = "", "", [1]K_Summary!$M$413 ),"")</f>
        <v/>
      </c>
      <c r="N428" s="95" t="str">
        <f>IFERROR(IF([1]K_Summary!$N$413 = "", "", [1]K_Summary!$N$413 ),"")</f>
        <v/>
      </c>
      <c r="O428" s="601"/>
    </row>
    <row r="429" spans="1:15" s="598" customFormat="1">
      <c r="A429" s="597"/>
      <c r="D429" s="621"/>
      <c r="E429" s="2510" t="s">
        <v>627</v>
      </c>
      <c r="F429" s="2498"/>
      <c r="G429" s="652" t="s">
        <v>2017</v>
      </c>
      <c r="H429" s="92" t="str">
        <f>IFERROR(IF([1]K_Summary!$H$414 = "", "", [1]K_Summary!$H$414 ),"")</f>
        <v/>
      </c>
      <c r="I429" s="92" t="str">
        <f>IFERROR(IF([1]K_Summary!$I$414 = "", "", [1]K_Summary!$I$414 ),"")</f>
        <v/>
      </c>
      <c r="J429" s="92" t="str">
        <f>IFERROR(IF([1]K_Summary!$J$414 = "", "", [1]K_Summary!$J$414 ),"")</f>
        <v/>
      </c>
      <c r="K429" s="92" t="str">
        <f>IFERROR(IF([1]K_Summary!$K$414 = "", "", [1]K_Summary!$K$414 ),"")</f>
        <v/>
      </c>
      <c r="L429" s="92" t="str">
        <f>IFERROR(IF([1]K_Summary!$L$414 = "", "", [1]K_Summary!$L$414 ),"")</f>
        <v/>
      </c>
      <c r="M429" s="92" t="str">
        <f>IFERROR(IF([1]K_Summary!$M$414 = "", "", [1]K_Summary!$M$414 ),"")</f>
        <v/>
      </c>
      <c r="N429" s="92" t="str">
        <f>IFERROR(IF([1]K_Summary!$N$414 = "", "", [1]K_Summary!$N$414 ),"")</f>
        <v/>
      </c>
      <c r="O429" s="601"/>
    </row>
    <row r="430" spans="1:15">
      <c r="D430" s="485"/>
      <c r="E430" s="485"/>
      <c r="F430" s="485"/>
      <c r="G430" s="485"/>
      <c r="H430" s="485"/>
      <c r="I430" s="485"/>
      <c r="J430" s="485"/>
      <c r="K430" s="485"/>
      <c r="L430" s="485"/>
      <c r="M430" s="485"/>
      <c r="N430" s="485"/>
    </row>
    <row r="431" spans="1:15">
      <c r="D431" s="482" t="s">
        <v>271</v>
      </c>
      <c r="E431" s="2509" t="s">
        <v>1177</v>
      </c>
      <c r="F431" s="2493"/>
      <c r="G431" s="2493"/>
      <c r="H431" s="2493"/>
      <c r="I431" s="2493"/>
      <c r="J431" s="2493"/>
      <c r="K431" s="2493"/>
      <c r="L431" s="2493"/>
      <c r="M431" s="2493"/>
      <c r="N431" s="2493"/>
    </row>
    <row r="432" spans="1:15" s="598" customFormat="1">
      <c r="A432" s="597"/>
      <c r="D432" s="620"/>
      <c r="E432" s="2519" t="s">
        <v>1178</v>
      </c>
      <c r="F432" s="2498"/>
      <c r="G432" s="667" t="s">
        <v>2017</v>
      </c>
      <c r="H432" s="93" t="str">
        <f>IFERROR(IF([1]K_Summary!$H$417 = "", "", [1]K_Summary!$H$417 ),"")</f>
        <v/>
      </c>
      <c r="I432" s="93" t="str">
        <f>IFERROR(IF([1]K_Summary!$I$417 = "", "", [1]K_Summary!$I$417 ),"")</f>
        <v/>
      </c>
      <c r="J432" s="93" t="str">
        <f>IFERROR(IF([1]K_Summary!$J$417 = "", "", [1]K_Summary!$J$417 ),"")</f>
        <v/>
      </c>
      <c r="K432" s="93" t="str">
        <f>IFERROR(IF([1]K_Summary!$K$417 = "", "", [1]K_Summary!$K$417 ),"")</f>
        <v/>
      </c>
      <c r="L432" s="93" t="str">
        <f>IFERROR(IF([1]K_Summary!$L$417 = "", "", [1]K_Summary!$L$417 ),"")</f>
        <v/>
      </c>
      <c r="M432" s="93" t="str">
        <f>IFERROR(IF([1]K_Summary!$M$417 = "", "", [1]K_Summary!$M$417 ),"")</f>
        <v/>
      </c>
      <c r="N432" s="93" t="str">
        <f>IFERROR(IF([1]K_Summary!$N$417 = "", "", [1]K_Summary!$N$417 ),"")</f>
        <v/>
      </c>
      <c r="O432" s="601"/>
    </row>
    <row r="433" spans="1:15">
      <c r="D433" s="467"/>
      <c r="E433" s="467"/>
      <c r="F433" s="467"/>
      <c r="G433" s="467"/>
      <c r="H433" s="467"/>
      <c r="I433" s="467"/>
      <c r="J433" s="467"/>
      <c r="K433" s="467"/>
      <c r="L433" s="467"/>
      <c r="M433" s="467"/>
      <c r="N433" s="467"/>
    </row>
    <row r="434" spans="1:15">
      <c r="D434" s="482" t="s">
        <v>478</v>
      </c>
      <c r="E434" s="2508" t="s">
        <v>1181</v>
      </c>
      <c r="F434" s="2391"/>
      <c r="G434" s="2391"/>
      <c r="H434" s="2391"/>
      <c r="I434" s="2391"/>
      <c r="J434" s="2391"/>
      <c r="K434" s="2391"/>
      <c r="L434" s="2391"/>
      <c r="M434" s="2391"/>
      <c r="N434" s="2391"/>
    </row>
    <row r="435" spans="1:15">
      <c r="D435" s="485"/>
      <c r="E435" s="2509" t="s">
        <v>831</v>
      </c>
      <c r="F435" s="2493"/>
      <c r="G435" s="663" t="s">
        <v>884</v>
      </c>
      <c r="H435" s="671">
        <v>2019</v>
      </c>
      <c r="I435" s="671">
        <v>2020</v>
      </c>
      <c r="J435" s="671">
        <v>2021</v>
      </c>
      <c r="K435" s="671">
        <v>2022</v>
      </c>
      <c r="L435" s="671">
        <v>2023</v>
      </c>
      <c r="M435" s="671">
        <v>2024</v>
      </c>
      <c r="N435" s="671">
        <v>2025</v>
      </c>
    </row>
    <row r="436" spans="1:15" s="598" customFormat="1">
      <c r="A436" s="597"/>
      <c r="D436" s="621"/>
      <c r="E436" s="2513" t="str">
        <f>IFERROR(IF([1]K_Summary!$E$421 = "", "", [1]K_Summary!$E$421 ),"")</f>
        <v/>
      </c>
      <c r="F436" s="2514"/>
      <c r="G436" s="599" t="s">
        <v>2017</v>
      </c>
      <c r="H436" s="94" t="str">
        <f>IFERROR(IF([1]K_Summary!$H$421 = "", "", [1]K_Summary!$H$421 ),"")</f>
        <v/>
      </c>
      <c r="I436" s="94" t="str">
        <f>IFERROR(IF([1]K_Summary!$I$421 = "", "", [1]K_Summary!$I$421 ),"")</f>
        <v/>
      </c>
      <c r="J436" s="94" t="str">
        <f>IFERROR(IF([1]K_Summary!$J$421 = "", "", [1]K_Summary!$J$421 ),"")</f>
        <v/>
      </c>
      <c r="K436" s="94" t="str">
        <f>IFERROR(IF([1]K_Summary!$K$421 = "", "", [1]K_Summary!$K$421 ),"")</f>
        <v/>
      </c>
      <c r="L436" s="94" t="str">
        <f>IFERROR(IF([1]K_Summary!$L$421 = "", "", [1]K_Summary!$L$421 ),"")</f>
        <v/>
      </c>
      <c r="M436" s="94" t="str">
        <f>IFERROR(IF([1]K_Summary!$M$421 = "", "", [1]K_Summary!$M$421 ),"")</f>
        <v/>
      </c>
      <c r="N436" s="94" t="str">
        <f>IFERROR(IF([1]K_Summary!$N$421 = "", "", [1]K_Summary!$N$421 ),"")</f>
        <v/>
      </c>
      <c r="O436" s="601"/>
    </row>
    <row r="437" spans="1:15" s="598" customFormat="1">
      <c r="A437" s="597"/>
      <c r="D437" s="621"/>
      <c r="E437" s="2506" t="str">
        <f>IFERROR(IF([1]K_Summary!$E$422 = "", "", [1]K_Summary!$E$422 ),"")</f>
        <v/>
      </c>
      <c r="F437" s="2507"/>
      <c r="G437" s="608" t="s">
        <v>2017</v>
      </c>
      <c r="H437" s="101" t="str">
        <f>IFERROR(IF([1]K_Summary!$H$422 = "", "", [1]K_Summary!$H$422 ),"")</f>
        <v/>
      </c>
      <c r="I437" s="101" t="str">
        <f>IFERROR(IF([1]K_Summary!$I$422 = "", "", [1]K_Summary!$I$422 ),"")</f>
        <v/>
      </c>
      <c r="J437" s="101" t="str">
        <f>IFERROR(IF([1]K_Summary!$J$422 = "", "", [1]K_Summary!$J$422 ),"")</f>
        <v/>
      </c>
      <c r="K437" s="101" t="str">
        <f>IFERROR(IF([1]K_Summary!$K$422 = "", "", [1]K_Summary!$K$422 ),"")</f>
        <v/>
      </c>
      <c r="L437" s="101" t="str">
        <f>IFERROR(IF([1]K_Summary!$L$422 = "", "", [1]K_Summary!$L$422 ),"")</f>
        <v/>
      </c>
      <c r="M437" s="101" t="str">
        <f>IFERROR(IF([1]K_Summary!$M$422 = "", "", [1]K_Summary!$M$422 ),"")</f>
        <v/>
      </c>
      <c r="N437" s="101" t="str">
        <f>IFERROR(IF([1]K_Summary!$N$422 = "", "", [1]K_Summary!$N$422 ),"")</f>
        <v/>
      </c>
      <c r="O437" s="601"/>
    </row>
    <row r="438" spans="1:15" s="598" customFormat="1">
      <c r="A438" s="597"/>
      <c r="D438" s="621"/>
      <c r="E438" s="2506" t="str">
        <f>IFERROR(IF([1]K_Summary!$E$423 = "", "", [1]K_Summary!$E$423 ),"")</f>
        <v/>
      </c>
      <c r="F438" s="2507"/>
      <c r="G438" s="608" t="s">
        <v>2017</v>
      </c>
      <c r="H438" s="101" t="str">
        <f>IFERROR(IF([1]K_Summary!$H$423 = "", "", [1]K_Summary!$H$423 ),"")</f>
        <v/>
      </c>
      <c r="I438" s="101" t="str">
        <f>IFERROR(IF([1]K_Summary!$I$423 = "", "", [1]K_Summary!$I$423 ),"")</f>
        <v/>
      </c>
      <c r="J438" s="101" t="str">
        <f>IFERROR(IF([1]K_Summary!$J$423 = "", "", [1]K_Summary!$J$423 ),"")</f>
        <v/>
      </c>
      <c r="K438" s="101" t="str">
        <f>IFERROR(IF([1]K_Summary!$K$423 = "", "", [1]K_Summary!$K$423 ),"")</f>
        <v/>
      </c>
      <c r="L438" s="101" t="str">
        <f>IFERROR(IF([1]K_Summary!$L$423 = "", "", [1]K_Summary!$L$423 ),"")</f>
        <v/>
      </c>
      <c r="M438" s="101" t="str">
        <f>IFERROR(IF([1]K_Summary!$M$423 = "", "", [1]K_Summary!$M$423 ),"")</f>
        <v/>
      </c>
      <c r="N438" s="101" t="str">
        <f>IFERROR(IF([1]K_Summary!$N$423 = "", "", [1]K_Summary!$N$423 ),"")</f>
        <v/>
      </c>
      <c r="O438" s="601"/>
    </row>
    <row r="439" spans="1:15" s="598" customFormat="1">
      <c r="A439" s="597"/>
      <c r="D439" s="621"/>
      <c r="E439" s="2506" t="str">
        <f>IFERROR(IF([1]K_Summary!$E$424 = "", "", [1]K_Summary!$E$424 ),"")</f>
        <v/>
      </c>
      <c r="F439" s="2507"/>
      <c r="G439" s="608" t="s">
        <v>2017</v>
      </c>
      <c r="H439" s="101" t="str">
        <f>IFERROR(IF([1]K_Summary!$H$424 = "", "", [1]K_Summary!$H$424 ),"")</f>
        <v/>
      </c>
      <c r="I439" s="101" t="str">
        <f>IFERROR(IF([1]K_Summary!$I$424 = "", "", [1]K_Summary!$I$424 ),"")</f>
        <v/>
      </c>
      <c r="J439" s="101" t="str">
        <f>IFERROR(IF([1]K_Summary!$J$424 = "", "", [1]K_Summary!$J$424 ),"")</f>
        <v/>
      </c>
      <c r="K439" s="101" t="str">
        <f>IFERROR(IF([1]K_Summary!$K$424 = "", "", [1]K_Summary!$K$424 ),"")</f>
        <v/>
      </c>
      <c r="L439" s="101" t="str">
        <f>IFERROR(IF([1]K_Summary!$L$424 = "", "", [1]K_Summary!$L$424 ),"")</f>
        <v/>
      </c>
      <c r="M439" s="101" t="str">
        <f>IFERROR(IF([1]K_Summary!$M$424 = "", "", [1]K_Summary!$M$424 ),"")</f>
        <v/>
      </c>
      <c r="N439" s="101" t="str">
        <f>IFERROR(IF([1]K_Summary!$N$424 = "", "", [1]K_Summary!$N$424 ),"")</f>
        <v/>
      </c>
      <c r="O439" s="601"/>
    </row>
    <row r="440" spans="1:15" s="598" customFormat="1">
      <c r="A440" s="597"/>
      <c r="D440" s="621"/>
      <c r="E440" s="2506" t="str">
        <f>IFERROR(IF([1]K_Summary!$E$425 = "", "", [1]K_Summary!$E$425 ),"")</f>
        <v/>
      </c>
      <c r="F440" s="2507"/>
      <c r="G440" s="608" t="s">
        <v>2017</v>
      </c>
      <c r="H440" s="101" t="str">
        <f>IFERROR(IF([1]K_Summary!$H$425 = "", "", [1]K_Summary!$H$425 ),"")</f>
        <v/>
      </c>
      <c r="I440" s="101" t="str">
        <f>IFERROR(IF([1]K_Summary!$I$425 = "", "", [1]K_Summary!$I$425 ),"")</f>
        <v/>
      </c>
      <c r="J440" s="101" t="str">
        <f>IFERROR(IF([1]K_Summary!$J$425 = "", "", [1]K_Summary!$J$425 ),"")</f>
        <v/>
      </c>
      <c r="K440" s="101" t="str">
        <f>IFERROR(IF([1]K_Summary!$K$425 = "", "", [1]K_Summary!$K$425 ),"")</f>
        <v/>
      </c>
      <c r="L440" s="101" t="str">
        <f>IFERROR(IF([1]K_Summary!$L$425 = "", "", [1]K_Summary!$L$425 ),"")</f>
        <v/>
      </c>
      <c r="M440" s="101" t="str">
        <f>IFERROR(IF([1]K_Summary!$M$425 = "", "", [1]K_Summary!$M$425 ),"")</f>
        <v/>
      </c>
      <c r="N440" s="101" t="str">
        <f>IFERROR(IF([1]K_Summary!$N$425 = "", "", [1]K_Summary!$N$425 ),"")</f>
        <v/>
      </c>
      <c r="O440" s="601"/>
    </row>
    <row r="441" spans="1:15" s="598" customFormat="1">
      <c r="A441" s="597"/>
      <c r="D441" s="621"/>
      <c r="E441" s="2506" t="str">
        <f>IFERROR(IF([1]K_Summary!$E$426 = "", "", [1]K_Summary!$E$426 ),"")</f>
        <v/>
      </c>
      <c r="F441" s="2507"/>
      <c r="G441" s="608" t="s">
        <v>2017</v>
      </c>
      <c r="H441" s="101" t="str">
        <f>IFERROR(IF([1]K_Summary!$H$426 = "", "", [1]K_Summary!$H$426 ),"")</f>
        <v/>
      </c>
      <c r="I441" s="101" t="str">
        <f>IFERROR(IF([1]K_Summary!$I$426 = "", "", [1]K_Summary!$I$426 ),"")</f>
        <v/>
      </c>
      <c r="J441" s="101" t="str">
        <f>IFERROR(IF([1]K_Summary!$J$426 = "", "", [1]K_Summary!$J$426 ),"")</f>
        <v/>
      </c>
      <c r="K441" s="101" t="str">
        <f>IFERROR(IF([1]K_Summary!$K$426 = "", "", [1]K_Summary!$K$426 ),"")</f>
        <v/>
      </c>
      <c r="L441" s="101" t="str">
        <f>IFERROR(IF([1]K_Summary!$L$426 = "", "", [1]K_Summary!$L$426 ),"")</f>
        <v/>
      </c>
      <c r="M441" s="101" t="str">
        <f>IFERROR(IF([1]K_Summary!$M$426 = "", "", [1]K_Summary!$M$426 ),"")</f>
        <v/>
      </c>
      <c r="N441" s="101" t="str">
        <f>IFERROR(IF([1]K_Summary!$N$426 = "", "", [1]K_Summary!$N$426 ),"")</f>
        <v/>
      </c>
      <c r="O441" s="601"/>
    </row>
    <row r="442" spans="1:15" s="598" customFormat="1">
      <c r="A442" s="597"/>
      <c r="D442" s="621"/>
      <c r="E442" s="2506" t="str">
        <f>IFERROR(IF([1]K_Summary!$E$427 = "", "", [1]K_Summary!$E$427 ),"")</f>
        <v/>
      </c>
      <c r="F442" s="2507"/>
      <c r="G442" s="608" t="s">
        <v>2017</v>
      </c>
      <c r="H442" s="101" t="str">
        <f>IFERROR(IF([1]K_Summary!$H$427 = "", "", [1]K_Summary!$H$427 ),"")</f>
        <v/>
      </c>
      <c r="I442" s="101" t="str">
        <f>IFERROR(IF([1]K_Summary!$I$427 = "", "", [1]K_Summary!$I$427 ),"")</f>
        <v/>
      </c>
      <c r="J442" s="101" t="str">
        <f>IFERROR(IF([1]K_Summary!$J$427 = "", "", [1]K_Summary!$J$427 ),"")</f>
        <v/>
      </c>
      <c r="K442" s="101" t="str">
        <f>IFERROR(IF([1]K_Summary!$K$427 = "", "", [1]K_Summary!$K$427 ),"")</f>
        <v/>
      </c>
      <c r="L442" s="101" t="str">
        <f>IFERROR(IF([1]K_Summary!$L$427 = "", "", [1]K_Summary!$L$427 ),"")</f>
        <v/>
      </c>
      <c r="M442" s="101" t="str">
        <f>IFERROR(IF([1]K_Summary!$M$427 = "", "", [1]K_Summary!$M$427 ),"")</f>
        <v/>
      </c>
      <c r="N442" s="101" t="str">
        <f>IFERROR(IF([1]K_Summary!$N$427 = "", "", [1]K_Summary!$N$427 ),"")</f>
        <v/>
      </c>
      <c r="O442" s="601"/>
    </row>
    <row r="443" spans="1:15" s="598" customFormat="1">
      <c r="A443" s="597"/>
      <c r="D443" s="621"/>
      <c r="E443" s="2506" t="str">
        <f>IFERROR(IF([1]K_Summary!$E$428 = "", "", [1]K_Summary!$E$428 ),"")</f>
        <v/>
      </c>
      <c r="F443" s="2507"/>
      <c r="G443" s="608" t="s">
        <v>2017</v>
      </c>
      <c r="H443" s="101" t="str">
        <f>IFERROR(IF([1]K_Summary!$H$428 = "", "", [1]K_Summary!$H$428 ),"")</f>
        <v/>
      </c>
      <c r="I443" s="101" t="str">
        <f>IFERROR(IF([1]K_Summary!$I$428 = "", "", [1]K_Summary!$I$428 ),"")</f>
        <v/>
      </c>
      <c r="J443" s="101" t="str">
        <f>IFERROR(IF([1]K_Summary!$J$428 = "", "", [1]K_Summary!$J$428 ),"")</f>
        <v/>
      </c>
      <c r="K443" s="101" t="str">
        <f>IFERROR(IF([1]K_Summary!$K$428 = "", "", [1]K_Summary!$K$428 ),"")</f>
        <v/>
      </c>
      <c r="L443" s="101" t="str">
        <f>IFERROR(IF([1]K_Summary!$L$428 = "", "", [1]K_Summary!$L$428 ),"")</f>
        <v/>
      </c>
      <c r="M443" s="101" t="str">
        <f>IFERROR(IF([1]K_Summary!$M$428 = "", "", [1]K_Summary!$M$428 ),"")</f>
        <v/>
      </c>
      <c r="N443" s="101" t="str">
        <f>IFERROR(IF([1]K_Summary!$N$428 = "", "", [1]K_Summary!$N$428 ),"")</f>
        <v/>
      </c>
      <c r="O443" s="601"/>
    </row>
    <row r="444" spans="1:15" s="598" customFormat="1">
      <c r="A444" s="597"/>
      <c r="D444" s="621"/>
      <c r="E444" s="2506" t="str">
        <f>IFERROR(IF([1]K_Summary!$E$429 = "", "", [1]K_Summary!$E$429 ),"")</f>
        <v/>
      </c>
      <c r="F444" s="2507"/>
      <c r="G444" s="608" t="s">
        <v>2017</v>
      </c>
      <c r="H444" s="101" t="str">
        <f>IFERROR(IF([1]K_Summary!$H$429 = "", "", [1]K_Summary!$H$429 ),"")</f>
        <v/>
      </c>
      <c r="I444" s="101" t="str">
        <f>IFERROR(IF([1]K_Summary!$I$429 = "", "", [1]K_Summary!$I$429 ),"")</f>
        <v/>
      </c>
      <c r="J444" s="101" t="str">
        <f>IFERROR(IF([1]K_Summary!$J$429 = "", "", [1]K_Summary!$J$429 ),"")</f>
        <v/>
      </c>
      <c r="K444" s="101" t="str">
        <f>IFERROR(IF([1]K_Summary!$K$429 = "", "", [1]K_Summary!$K$429 ),"")</f>
        <v/>
      </c>
      <c r="L444" s="101" t="str">
        <f>IFERROR(IF([1]K_Summary!$L$429 = "", "", [1]K_Summary!$L$429 ),"")</f>
        <v/>
      </c>
      <c r="M444" s="101" t="str">
        <f>IFERROR(IF([1]K_Summary!$M$429 = "", "", [1]K_Summary!$M$429 ),"")</f>
        <v/>
      </c>
      <c r="N444" s="101" t="str">
        <f>IFERROR(IF([1]K_Summary!$N$429 = "", "", [1]K_Summary!$N$429 ),"")</f>
        <v/>
      </c>
      <c r="O444" s="601"/>
    </row>
    <row r="445" spans="1:15" s="598" customFormat="1">
      <c r="A445" s="597"/>
      <c r="D445" s="621"/>
      <c r="E445" s="2520" t="str">
        <f>IFERROR(IF([1]K_Summary!$E$430 = "", "", [1]K_Summary!$E$430 ),"")</f>
        <v/>
      </c>
      <c r="F445" s="2521"/>
      <c r="G445" s="619" t="s">
        <v>2017</v>
      </c>
      <c r="H445" s="95" t="str">
        <f>IFERROR(IF([1]K_Summary!$H$430 = "", "", [1]K_Summary!$H$430 ),"")</f>
        <v/>
      </c>
      <c r="I445" s="95" t="str">
        <f>IFERROR(IF([1]K_Summary!$I$430 = "", "", [1]K_Summary!$I$430 ),"")</f>
        <v/>
      </c>
      <c r="J445" s="95" t="str">
        <f>IFERROR(IF([1]K_Summary!$J$430 = "", "", [1]K_Summary!$J$430 ),"")</f>
        <v/>
      </c>
      <c r="K445" s="95" t="str">
        <f>IFERROR(IF([1]K_Summary!$K$430 = "", "", [1]K_Summary!$K$430 ),"")</f>
        <v/>
      </c>
      <c r="L445" s="95" t="str">
        <f>IFERROR(IF([1]K_Summary!$L$430 = "", "", [1]K_Summary!$L$430 ),"")</f>
        <v/>
      </c>
      <c r="M445" s="95" t="str">
        <f>IFERROR(IF([1]K_Summary!$M$430 = "", "", [1]K_Summary!$M$430 ),"")</f>
        <v/>
      </c>
      <c r="N445" s="95" t="str">
        <f>IFERROR(IF([1]K_Summary!$N$430 = "", "", [1]K_Summary!$N$430 ),"")</f>
        <v/>
      </c>
      <c r="O445" s="601"/>
    </row>
    <row r="446" spans="1:15" s="598" customFormat="1">
      <c r="A446" s="597"/>
      <c r="D446" s="621"/>
      <c r="E446" s="2519" t="s">
        <v>1186</v>
      </c>
      <c r="F446" s="2498"/>
      <c r="G446" s="675" t="s">
        <v>2017</v>
      </c>
      <c r="H446" s="109" t="str">
        <f>IFERROR(IF([1]K_Summary!$H$431 = "", "", [1]K_Summary!$H$431 ),"")</f>
        <v/>
      </c>
      <c r="I446" s="109" t="str">
        <f>IFERROR(IF([1]K_Summary!$I$431 = "", "", [1]K_Summary!$I$431 ),"")</f>
        <v/>
      </c>
      <c r="J446" s="109" t="str">
        <f>IFERROR(IF([1]K_Summary!$J$431 = "", "", [1]K_Summary!$J$431 ),"")</f>
        <v/>
      </c>
      <c r="K446" s="109" t="str">
        <f>IFERROR(IF([1]K_Summary!$K$431 = "", "", [1]K_Summary!$K$431 ),"")</f>
        <v/>
      </c>
      <c r="L446" s="109" t="str">
        <f>IFERROR(IF([1]K_Summary!$L$431 = "", "", [1]K_Summary!$L$431 ),"")</f>
        <v/>
      </c>
      <c r="M446" s="109" t="str">
        <f>IFERROR(IF([1]K_Summary!$M$431 = "", "", [1]K_Summary!$M$431 ),"")</f>
        <v/>
      </c>
      <c r="N446" s="109" t="str">
        <f>IFERROR(IF([1]K_Summary!$N$431 = "", "", [1]K_Summary!$N$431 ),"")</f>
        <v/>
      </c>
      <c r="O446" s="601"/>
    </row>
    <row r="447" spans="1:15" s="598" customFormat="1">
      <c r="A447" s="597"/>
      <c r="D447" s="621"/>
      <c r="E447" s="2510" t="s">
        <v>627</v>
      </c>
      <c r="F447" s="2498"/>
      <c r="G447" s="667" t="s">
        <v>2017</v>
      </c>
      <c r="H447" s="102" t="str">
        <f>IFERROR(IF([1]K_Summary!$H$432 = "", "", [1]K_Summary!$H$432 ),"")</f>
        <v/>
      </c>
      <c r="I447" s="102" t="str">
        <f>IFERROR(IF([1]K_Summary!$I$432 = "", "", [1]K_Summary!$I$432 ),"")</f>
        <v/>
      </c>
      <c r="J447" s="102" t="str">
        <f>IFERROR(IF([1]K_Summary!$J$432 = "", "", [1]K_Summary!$J$432 ),"")</f>
        <v/>
      </c>
      <c r="K447" s="102" t="str">
        <f>IFERROR(IF([1]K_Summary!$K$432 = "", "", [1]K_Summary!$K$432 ),"")</f>
        <v/>
      </c>
      <c r="L447" s="102" t="str">
        <f>IFERROR(IF([1]K_Summary!$L$432 = "", "", [1]K_Summary!$L$432 ),"")</f>
        <v/>
      </c>
      <c r="M447" s="102" t="str">
        <f>IFERROR(IF([1]K_Summary!$M$432 = "", "", [1]K_Summary!$M$432 ),"")</f>
        <v/>
      </c>
      <c r="N447" s="102" t="str">
        <f>IFERROR(IF([1]K_Summary!$N$432 = "", "", [1]K_Summary!$N$432 ),"")</f>
        <v/>
      </c>
      <c r="O447" s="601"/>
    </row>
    <row r="448" spans="1:15"/>
    <row r="449" spans="1:15">
      <c r="C449" s="482"/>
      <c r="D449" s="482" t="s">
        <v>479</v>
      </c>
      <c r="E449" s="2509" t="s">
        <v>1179</v>
      </c>
      <c r="F449" s="2493"/>
      <c r="G449" s="2493"/>
      <c r="H449" s="2493"/>
      <c r="I449" s="2493"/>
      <c r="J449" s="2493"/>
      <c r="K449" s="2493"/>
      <c r="L449" s="2493"/>
      <c r="M449" s="2493"/>
      <c r="N449" s="2493"/>
    </row>
    <row r="450" spans="1:15" s="598" customFormat="1">
      <c r="A450" s="597"/>
      <c r="C450" s="620"/>
      <c r="D450" s="621"/>
      <c r="E450" s="2519" t="s">
        <v>1180</v>
      </c>
      <c r="F450" s="2498"/>
      <c r="G450" s="667" t="s">
        <v>2017</v>
      </c>
      <c r="H450" s="102" t="str">
        <f>IFERROR(IF([1]K_Summary!$H$435 = "", "", [1]K_Summary!$H$435 ),"")</f>
        <v/>
      </c>
      <c r="I450" s="102" t="str">
        <f>IFERROR(IF([1]K_Summary!$I$435 = "", "", [1]K_Summary!$I$435 ),"")</f>
        <v/>
      </c>
      <c r="J450" s="102" t="str">
        <f>IFERROR(IF([1]K_Summary!$J$435 = "", "", [1]K_Summary!$J$435 ),"")</f>
        <v/>
      </c>
      <c r="K450" s="102" t="str">
        <f>IFERROR(IF([1]K_Summary!$K$435 = "", "", [1]K_Summary!$K$435 ),"")</f>
        <v/>
      </c>
      <c r="L450" s="102" t="str">
        <f>IFERROR(IF([1]K_Summary!$L$435 = "", "", [1]K_Summary!$L$435 ),"")</f>
        <v/>
      </c>
      <c r="M450" s="102" t="str">
        <f>IFERROR(IF([1]K_Summary!$M$435 = "", "", [1]K_Summary!$M$435 ),"")</f>
        <v/>
      </c>
      <c r="N450" s="102" t="str">
        <f>IFERROR(IF([1]K_Summary!$N$435 = "", "", [1]K_Summary!$N$435 ),"")</f>
        <v/>
      </c>
      <c r="O450" s="601"/>
    </row>
    <row r="451" spans="1:15" s="598" customFormat="1">
      <c r="A451" s="597"/>
      <c r="C451" s="620"/>
      <c r="D451" s="621"/>
      <c r="E451" s="2519" t="s">
        <v>1335</v>
      </c>
      <c r="F451" s="2498"/>
      <c r="G451" s="667" t="s">
        <v>1022</v>
      </c>
      <c r="H451" s="92" t="str">
        <f>IFERROR(IF([1]K_Summary!$H$436 = "", "", [1]K_Summary!$H$436 ),"")</f>
        <v/>
      </c>
      <c r="I451" s="92" t="str">
        <f>IFERROR(IF([1]K_Summary!$I$436 = "", "", [1]K_Summary!$I$436 ),"")</f>
        <v/>
      </c>
      <c r="J451" s="92" t="str">
        <f>IFERROR(IF([1]K_Summary!$J$436 = "", "", [1]K_Summary!$J$436 ),"")</f>
        <v/>
      </c>
      <c r="K451" s="92" t="str">
        <f>IFERROR(IF([1]K_Summary!$K$436 = "", "", [1]K_Summary!$K$436 ),"")</f>
        <v/>
      </c>
      <c r="L451" s="92" t="str">
        <f>IFERROR(IF([1]K_Summary!$L$436 = "", "", [1]K_Summary!$L$436 ),"")</f>
        <v/>
      </c>
      <c r="M451" s="92" t="str">
        <f>IFERROR(IF([1]K_Summary!$M$436 = "", "", [1]K_Summary!$M$436 ),"")</f>
        <v/>
      </c>
      <c r="N451" s="92" t="str">
        <f>IFERROR(IF([1]K_Summary!$N$436 = "", "", [1]K_Summary!$N$436 ),"")</f>
        <v/>
      </c>
      <c r="O451" s="601"/>
    </row>
    <row r="452" spans="1:15">
      <c r="C452" s="485"/>
      <c r="D452" s="485"/>
      <c r="E452" s="485"/>
      <c r="F452" s="485"/>
      <c r="G452" s="485"/>
      <c r="H452" s="485"/>
      <c r="I452" s="485"/>
      <c r="J452" s="485"/>
      <c r="K452" s="485"/>
      <c r="L452" s="485"/>
      <c r="M452" s="485"/>
      <c r="N452" s="485"/>
    </row>
    <row r="453" spans="1:15" ht="15">
      <c r="C453" s="559">
        <v>8</v>
      </c>
      <c r="D453" s="2464" t="s">
        <v>434</v>
      </c>
      <c r="E453" s="2391"/>
      <c r="F453" s="2391"/>
      <c r="G453" s="2391"/>
      <c r="H453" s="2391"/>
      <c r="I453" s="2391"/>
      <c r="J453" s="2391"/>
      <c r="K453" s="2391"/>
      <c r="L453" s="2391"/>
      <c r="M453" s="2391"/>
      <c r="N453" s="2391"/>
    </row>
    <row r="454" spans="1:15">
      <c r="C454" s="467"/>
      <c r="D454" s="467"/>
      <c r="E454" s="467"/>
      <c r="F454" s="467"/>
      <c r="G454" s="467"/>
      <c r="H454" s="467"/>
      <c r="I454" s="467"/>
      <c r="J454" s="467"/>
      <c r="K454" s="467"/>
      <c r="L454" s="467"/>
      <c r="M454" s="467"/>
      <c r="N454" s="467"/>
    </row>
    <row r="455" spans="1:15">
      <c r="C455" s="485"/>
      <c r="D455" s="482"/>
      <c r="E455" s="2508" t="s">
        <v>1163</v>
      </c>
      <c r="F455" s="2391"/>
      <c r="G455" s="2391"/>
      <c r="H455" s="2391"/>
      <c r="I455" s="2391"/>
      <c r="J455" s="2391"/>
      <c r="K455" s="2391"/>
      <c r="L455" s="2512"/>
      <c r="M455" s="65" t="str">
        <f>IFERROR(IF([1]K_Summary!$M$440 = "", "", [1]K_Summary!$M$440 ),"")</f>
        <v/>
      </c>
      <c r="N455" s="50"/>
    </row>
    <row r="456" spans="1:15">
      <c r="C456" s="467"/>
      <c r="D456" s="482"/>
      <c r="E456" s="653"/>
      <c r="F456" s="654"/>
      <c r="G456" s="654"/>
      <c r="H456" s="654"/>
      <c r="I456" s="654"/>
      <c r="J456" s="654"/>
      <c r="K456" s="654"/>
      <c r="L456" s="654"/>
      <c r="M456" s="654"/>
      <c r="N456" s="654"/>
    </row>
    <row r="457" spans="1:15">
      <c r="C457" s="485"/>
      <c r="D457" s="485"/>
      <c r="E457" s="636"/>
      <c r="F457" s="637"/>
      <c r="G457" s="663" t="s">
        <v>884</v>
      </c>
      <c r="H457" s="578">
        <v>2019</v>
      </c>
      <c r="I457" s="578">
        <v>2020</v>
      </c>
      <c r="J457" s="578">
        <v>2021</v>
      </c>
      <c r="K457" s="578">
        <v>2022</v>
      </c>
      <c r="L457" s="578">
        <v>2023</v>
      </c>
      <c r="M457" s="578">
        <v>2024</v>
      </c>
      <c r="N457" s="578">
        <v>2025</v>
      </c>
    </row>
    <row r="458" spans="1:15" s="598" customFormat="1">
      <c r="A458" s="597"/>
      <c r="C458" s="620"/>
      <c r="D458" s="621"/>
      <c r="E458" s="2510" t="s">
        <v>12</v>
      </c>
      <c r="F458" s="2498"/>
      <c r="G458" s="622" t="s">
        <v>2021</v>
      </c>
      <c r="H458" s="93" t="str">
        <f>IFERROR(IF([1]K_Summary!$H$443 = "", "", [1]K_Summary!$H$443 ),"")</f>
        <v/>
      </c>
      <c r="I458" s="93" t="str">
        <f>IFERROR(IF([1]K_Summary!$I$443 = "", "", [1]K_Summary!$I$443 ),"")</f>
        <v/>
      </c>
      <c r="J458" s="93" t="str">
        <f>IFERROR(IF([1]K_Summary!$J$443 = "", "", [1]K_Summary!$J$443 ),"")</f>
        <v/>
      </c>
      <c r="K458" s="93" t="str">
        <f>IFERROR(IF([1]K_Summary!$K$443 = "", "", [1]K_Summary!$K$443 ),"")</f>
        <v/>
      </c>
      <c r="L458" s="93" t="str">
        <f>IFERROR(IF([1]K_Summary!$L$443 = "", "", [1]K_Summary!$L$443 ),"")</f>
        <v/>
      </c>
      <c r="M458" s="93" t="str">
        <f>IFERROR(IF([1]K_Summary!$M$443 = "", "", [1]K_Summary!$M$443 ),"")</f>
        <v/>
      </c>
      <c r="N458" s="93" t="str">
        <f>IFERROR(IF([1]K_Summary!$N$443 = "", "", [1]K_Summary!$N$443 ),"")</f>
        <v/>
      </c>
      <c r="O458" s="601"/>
    </row>
    <row r="459" spans="1:15" s="598" customFormat="1">
      <c r="A459" s="597"/>
      <c r="C459" s="620"/>
      <c r="D459" s="621"/>
      <c r="E459" s="2510" t="s">
        <v>134</v>
      </c>
      <c r="F459" s="2498"/>
      <c r="G459" s="622" t="s">
        <v>2021</v>
      </c>
      <c r="H459" s="93" t="str">
        <f>IFERROR(IF([1]K_Summary!$H$444 = "", "", [1]K_Summary!$H$444 ),"")</f>
        <v/>
      </c>
      <c r="I459" s="93" t="str">
        <f>IFERROR(IF([1]K_Summary!$I$444 = "", "", [1]K_Summary!$I$444 ),"")</f>
        <v/>
      </c>
      <c r="J459" s="93" t="str">
        <f>IFERROR(IF([1]K_Summary!$J$444 = "", "", [1]K_Summary!$J$444 ),"")</f>
        <v/>
      </c>
      <c r="K459" s="93" t="str">
        <f>IFERROR(IF([1]K_Summary!$K$444 = "", "", [1]K_Summary!$K$444 ),"")</f>
        <v/>
      </c>
      <c r="L459" s="93" t="str">
        <f>IFERROR(IF([1]K_Summary!$L$444 = "", "", [1]K_Summary!$L$444 ),"")</f>
        <v/>
      </c>
      <c r="M459" s="93" t="str">
        <f>IFERROR(IF([1]K_Summary!$M$444 = "", "", [1]K_Summary!$M$444 ),"")</f>
        <v/>
      </c>
      <c r="N459" s="93" t="str">
        <f>IFERROR(IF([1]K_Summary!$N$444 = "", "", [1]K_Summary!$N$444 ),"")</f>
        <v/>
      </c>
      <c r="O459" s="601"/>
    </row>
    <row r="460" spans="1:15" s="598" customFormat="1">
      <c r="A460" s="597"/>
      <c r="C460" s="620"/>
      <c r="D460" s="620"/>
      <c r="E460" s="2510" t="s">
        <v>132</v>
      </c>
      <c r="F460" s="2498"/>
      <c r="G460" s="622" t="s">
        <v>2021</v>
      </c>
      <c r="H460" s="93" t="str">
        <f>IFERROR(IF([1]K_Summary!$H$445 = "", "", [1]K_Summary!$H$445 ),"")</f>
        <v/>
      </c>
      <c r="I460" s="93" t="str">
        <f>IFERROR(IF([1]K_Summary!$I$445 = "", "", [1]K_Summary!$I$445 ),"")</f>
        <v/>
      </c>
      <c r="J460" s="93" t="str">
        <f>IFERROR(IF([1]K_Summary!$J$445 = "", "", [1]K_Summary!$J$445 ),"")</f>
        <v/>
      </c>
      <c r="K460" s="93" t="str">
        <f>IFERROR(IF([1]K_Summary!$K$445 = "", "", [1]K_Summary!$K$445 ),"")</f>
        <v/>
      </c>
      <c r="L460" s="93" t="str">
        <f>IFERROR(IF([1]K_Summary!$L$445 = "", "", [1]K_Summary!$L$445 ),"")</f>
        <v/>
      </c>
      <c r="M460" s="93" t="str">
        <f>IFERROR(IF([1]K_Summary!$M$445 = "", "", [1]K_Summary!$M$445 ),"")</f>
        <v/>
      </c>
      <c r="N460" s="93" t="str">
        <f>IFERROR(IF([1]K_Summary!$N$445 = "", "", [1]K_Summary!$N$445 ),"")</f>
        <v/>
      </c>
      <c r="O460" s="601"/>
    </row>
    <row r="461" spans="1:15" s="598" customFormat="1">
      <c r="A461" s="597"/>
      <c r="C461" s="620"/>
      <c r="D461" s="620"/>
      <c r="E461" s="2510" t="s">
        <v>1067</v>
      </c>
      <c r="F461" s="2498"/>
      <c r="G461" s="622" t="s">
        <v>2021</v>
      </c>
      <c r="H461" s="93" t="str">
        <f>IFERROR(IF([1]K_Summary!$H$446 = "", "", [1]K_Summary!$H$446 ),"")</f>
        <v/>
      </c>
      <c r="I461" s="93" t="str">
        <f>IFERROR(IF([1]K_Summary!$I$446 = "", "", [1]K_Summary!$I$446 ),"")</f>
        <v/>
      </c>
      <c r="J461" s="93" t="str">
        <f>IFERROR(IF([1]K_Summary!$J$446 = "", "", [1]K_Summary!$J$446 ),"")</f>
        <v/>
      </c>
      <c r="K461" s="93" t="str">
        <f>IFERROR(IF([1]K_Summary!$K$446 = "", "", [1]K_Summary!$K$446 ),"")</f>
        <v/>
      </c>
      <c r="L461" s="93" t="str">
        <f>IFERROR(IF([1]K_Summary!$L$446 = "", "", [1]K_Summary!$L$446 ),"")</f>
        <v/>
      </c>
      <c r="M461" s="93" t="str">
        <f>IFERROR(IF([1]K_Summary!$M$446 = "", "", [1]K_Summary!$M$446 ),"")</f>
        <v/>
      </c>
      <c r="N461" s="93" t="str">
        <f>IFERROR(IF([1]K_Summary!$N$446 = "", "", [1]K_Summary!$N$446 ),"")</f>
        <v/>
      </c>
      <c r="O461" s="601"/>
    </row>
    <row r="462" spans="1:15" s="598" customFormat="1">
      <c r="A462" s="597"/>
      <c r="C462" s="620"/>
      <c r="D462" s="620"/>
      <c r="E462" s="2510" t="s">
        <v>135</v>
      </c>
      <c r="F462" s="2498"/>
      <c r="G462" s="622" t="s">
        <v>2021</v>
      </c>
      <c r="H462" s="102" t="str">
        <f>IFERROR(IF([1]K_Summary!$H$447 = "", "", [1]K_Summary!$H$447 ),"")</f>
        <v/>
      </c>
      <c r="I462" s="102" t="str">
        <f>IFERROR(IF([1]K_Summary!$I$447 = "", "", [1]K_Summary!$I$447 ),"")</f>
        <v/>
      </c>
      <c r="J462" s="102" t="str">
        <f>IFERROR(IF([1]K_Summary!$J$447 = "", "", [1]K_Summary!$J$447 ),"")</f>
        <v/>
      </c>
      <c r="K462" s="102" t="str">
        <f>IFERROR(IF([1]K_Summary!$K$447 = "", "", [1]K_Summary!$K$447 ),"")</f>
        <v/>
      </c>
      <c r="L462" s="102" t="str">
        <f>IFERROR(IF([1]K_Summary!$L$447 = "", "", [1]K_Summary!$L$447 ),"")</f>
        <v/>
      </c>
      <c r="M462" s="102" t="str">
        <f>IFERROR(IF([1]K_Summary!$M$447 = "", "", [1]K_Summary!$M$447 ),"")</f>
        <v/>
      </c>
      <c r="N462" s="102" t="str">
        <f>IFERROR(IF([1]K_Summary!$N$447 = "", "", [1]K_Summary!$N$447 ),"")</f>
        <v/>
      </c>
      <c r="O462" s="601"/>
    </row>
    <row r="463" spans="1:15" s="598" customFormat="1">
      <c r="A463" s="597"/>
      <c r="C463" s="620"/>
      <c r="D463" s="620"/>
      <c r="E463" s="2510" t="s">
        <v>437</v>
      </c>
      <c r="F463" s="2498"/>
      <c r="G463" s="622" t="s">
        <v>2021</v>
      </c>
      <c r="H463" s="93" t="str">
        <f>IFERROR(IF([1]K_Summary!$H$448 = "", "", [1]K_Summary!$H$448 ),"")</f>
        <v/>
      </c>
      <c r="I463" s="93" t="str">
        <f>IFERROR(IF([1]K_Summary!$I$448 = "", "", [1]K_Summary!$I$448 ),"")</f>
        <v/>
      </c>
      <c r="J463" s="93" t="str">
        <f>IFERROR(IF([1]K_Summary!$J$448 = "", "", [1]K_Summary!$J$448 ),"")</f>
        <v/>
      </c>
      <c r="K463" s="93" t="str">
        <f>IFERROR(IF([1]K_Summary!$K$448 = "", "", [1]K_Summary!$K$448 ),"")</f>
        <v/>
      </c>
      <c r="L463" s="93" t="str">
        <f>IFERROR(IF([1]K_Summary!$L$448 = "", "", [1]K_Summary!$L$448 ),"")</f>
        <v/>
      </c>
      <c r="M463" s="93" t="str">
        <f>IFERROR(IF([1]K_Summary!$M$448 = "", "", [1]K_Summary!$M$448 ),"")</f>
        <v/>
      </c>
      <c r="N463" s="93" t="str">
        <f>IFERROR(IF([1]K_Summary!$N$448 = "", "", [1]K_Summary!$N$448 ),"")</f>
        <v/>
      </c>
      <c r="O463" s="601"/>
    </row>
    <row r="464" spans="1:15"/>
    <row r="465" spans="3:14" ht="16.5" thickBot="1">
      <c r="C465" s="507" t="s">
        <v>10</v>
      </c>
      <c r="D465" s="558" t="s">
        <v>1455</v>
      </c>
      <c r="E465" s="558"/>
      <c r="F465" s="558"/>
      <c r="G465" s="558"/>
      <c r="H465" s="558"/>
      <c r="I465" s="558"/>
      <c r="J465" s="558"/>
      <c r="K465" s="558"/>
      <c r="L465" s="558"/>
      <c r="M465" s="558"/>
      <c r="N465" s="558"/>
    </row>
    <row r="466" spans="3:14">
      <c r="C466" s="686"/>
      <c r="D466" s="686"/>
      <c r="E466" s="686"/>
      <c r="F466" s="686"/>
      <c r="G466" s="686"/>
      <c r="H466" s="686"/>
      <c r="I466" s="686"/>
      <c r="J466" s="686"/>
      <c r="K466" s="686"/>
      <c r="L466" s="686"/>
      <c r="M466" s="686"/>
      <c r="N466" s="686"/>
    </row>
    <row r="467" spans="3:14" ht="15">
      <c r="C467" s="485"/>
      <c r="D467" s="2482" t="s">
        <v>1429</v>
      </c>
      <c r="E467" s="2482"/>
      <c r="F467" s="2482"/>
      <c r="G467" s="2482"/>
      <c r="H467" s="2482"/>
      <c r="I467" s="2482"/>
      <c r="J467" s="2482"/>
      <c r="K467" s="2482"/>
      <c r="L467" s="2482"/>
      <c r="M467" s="2482"/>
      <c r="N467" s="2482"/>
    </row>
    <row r="468" spans="3:14">
      <c r="C468" s="467"/>
      <c r="D468" s="467"/>
      <c r="E468" s="467"/>
      <c r="F468" s="467"/>
      <c r="G468" s="467"/>
      <c r="H468" s="467"/>
      <c r="I468" s="467"/>
      <c r="J468" s="467"/>
      <c r="K468" s="467"/>
      <c r="L468" s="467"/>
      <c r="M468" s="467"/>
      <c r="N468" s="467"/>
    </row>
    <row r="469" spans="3:14">
      <c r="C469" s="467"/>
      <c r="D469" s="2511" t="s">
        <v>457</v>
      </c>
      <c r="E469" s="2511"/>
      <c r="F469" s="2511"/>
      <c r="G469" s="2511"/>
      <c r="H469" s="2511"/>
      <c r="I469" s="2511"/>
      <c r="J469" s="2511"/>
      <c r="K469" s="2511"/>
      <c r="L469" s="2511"/>
      <c r="M469" s="2511"/>
      <c r="N469" s="2511"/>
    </row>
    <row r="470" spans="3:14">
      <c r="C470" s="467"/>
      <c r="D470" s="2494" t="s">
        <v>458</v>
      </c>
      <c r="E470" s="2494"/>
      <c r="F470" s="2495" t="s">
        <v>459</v>
      </c>
      <c r="G470" s="2495"/>
      <c r="H470" s="2495"/>
      <c r="I470" s="2495"/>
      <c r="J470" s="2495"/>
      <c r="K470" s="2495"/>
      <c r="L470" s="2495"/>
      <c r="M470" s="2495"/>
      <c r="N470" s="2495"/>
    </row>
    <row r="471" spans="3:14">
      <c r="C471" s="467"/>
      <c r="D471" s="2494" t="s">
        <v>156</v>
      </c>
      <c r="E471" s="2494"/>
      <c r="F471" s="2495" t="s">
        <v>460</v>
      </c>
      <c r="G471" s="2495"/>
      <c r="H471" s="2495"/>
      <c r="I471" s="2495"/>
      <c r="J471" s="2495"/>
      <c r="K471" s="2495"/>
      <c r="L471" s="2495"/>
      <c r="M471" s="2495"/>
      <c r="N471" s="2495"/>
    </row>
    <row r="472" spans="3:14">
      <c r="C472" s="467"/>
      <c r="D472" s="2494" t="s">
        <v>1434</v>
      </c>
      <c r="E472" s="2494"/>
      <c r="F472" s="2495" t="s">
        <v>1435</v>
      </c>
      <c r="G472" s="2495"/>
      <c r="H472" s="2495"/>
      <c r="I472" s="2495"/>
      <c r="J472" s="2495"/>
      <c r="K472" s="2495"/>
      <c r="L472" s="2495"/>
      <c r="M472" s="2495"/>
      <c r="N472" s="2495"/>
    </row>
    <row r="473" spans="3:14">
      <c r="C473" s="467"/>
      <c r="D473" s="2494" t="s">
        <v>1684</v>
      </c>
      <c r="E473" s="2494"/>
      <c r="F473" s="2495" t="s">
        <v>1849</v>
      </c>
      <c r="G473" s="2495"/>
      <c r="H473" s="2495"/>
      <c r="I473" s="2495"/>
      <c r="J473" s="2495"/>
      <c r="K473" s="2495"/>
      <c r="L473" s="2495"/>
      <c r="M473" s="2495"/>
      <c r="N473" s="2495"/>
    </row>
    <row r="474" spans="3:14">
      <c r="C474" s="467"/>
      <c r="D474" s="2494" t="s">
        <v>302</v>
      </c>
      <c r="E474" s="2505"/>
      <c r="F474" s="2495" t="s">
        <v>1944</v>
      </c>
      <c r="G474" s="2495"/>
      <c r="H474" s="2495"/>
      <c r="I474" s="2495"/>
      <c r="J474" s="2495"/>
      <c r="K474" s="2495"/>
      <c r="L474" s="2495"/>
      <c r="M474" s="2495"/>
      <c r="N474" s="2495"/>
    </row>
    <row r="475" spans="3:14">
      <c r="C475" s="467"/>
      <c r="D475" s="2494" t="s">
        <v>1256</v>
      </c>
      <c r="E475" s="2494"/>
      <c r="F475" s="2495" t="s">
        <v>1591</v>
      </c>
      <c r="G475" s="2495"/>
      <c r="H475" s="2495"/>
      <c r="I475" s="2495"/>
      <c r="J475" s="2495"/>
      <c r="K475" s="2495"/>
      <c r="L475" s="2495"/>
      <c r="M475" s="2495"/>
      <c r="N475" s="2495"/>
    </row>
    <row r="476" spans="3:14">
      <c r="C476" s="467"/>
      <c r="D476" s="2494" t="s">
        <v>1389</v>
      </c>
      <c r="E476" s="2494"/>
      <c r="F476" s="2495" t="s">
        <v>1592</v>
      </c>
      <c r="G476" s="2495"/>
      <c r="H476" s="2495"/>
      <c r="I476" s="2495"/>
      <c r="J476" s="2495"/>
      <c r="K476" s="2495"/>
      <c r="L476" s="2495"/>
      <c r="M476" s="2495"/>
      <c r="N476" s="2495"/>
    </row>
    <row r="477" spans="3:14">
      <c r="C477" s="467"/>
      <c r="D477" s="2494" t="s">
        <v>303</v>
      </c>
      <c r="E477" s="2494"/>
      <c r="F477" s="2495" t="s">
        <v>1423</v>
      </c>
      <c r="G477" s="2495"/>
      <c r="H477" s="2495"/>
      <c r="I477" s="2495"/>
      <c r="J477" s="2495"/>
      <c r="K477" s="2495"/>
      <c r="L477" s="2495"/>
      <c r="M477" s="2495"/>
      <c r="N477" s="2495"/>
    </row>
    <row r="478" spans="3:14">
      <c r="C478" s="467"/>
      <c r="D478" s="2494" t="s">
        <v>1422</v>
      </c>
      <c r="E478" s="2494"/>
      <c r="F478" s="2495" t="s">
        <v>1430</v>
      </c>
      <c r="G478" s="2495"/>
      <c r="H478" s="2495"/>
      <c r="I478" s="2495"/>
      <c r="J478" s="2495"/>
      <c r="K478" s="2495"/>
      <c r="L478" s="2495"/>
      <c r="M478" s="2495"/>
      <c r="N478" s="2495"/>
    </row>
    <row r="479" spans="3:14">
      <c r="C479" s="467"/>
      <c r="D479" s="2494" t="s">
        <v>1390</v>
      </c>
      <c r="E479" s="2494"/>
      <c r="F479" s="2495" t="s">
        <v>1398</v>
      </c>
      <c r="G479" s="2495"/>
      <c r="H479" s="2495"/>
      <c r="I479" s="2495"/>
      <c r="J479" s="2495"/>
      <c r="K479" s="2495"/>
      <c r="L479" s="2495"/>
      <c r="M479" s="2495"/>
      <c r="N479" s="2495"/>
    </row>
    <row r="480" spans="3:14">
      <c r="C480" s="467"/>
      <c r="D480" s="2494" t="s">
        <v>1391</v>
      </c>
      <c r="E480" s="2494"/>
      <c r="F480" s="2495" t="s">
        <v>1397</v>
      </c>
      <c r="G480" s="2495"/>
      <c r="H480" s="2495"/>
      <c r="I480" s="2495"/>
      <c r="J480" s="2495"/>
      <c r="K480" s="2495"/>
      <c r="L480" s="2495"/>
      <c r="M480" s="2495"/>
      <c r="N480" s="2495"/>
    </row>
    <row r="481" spans="3:14">
      <c r="C481" s="687"/>
      <c r="D481" s="2495" t="s">
        <v>1691</v>
      </c>
      <c r="E481" s="2495"/>
      <c r="F481" s="2495" t="s">
        <v>2691</v>
      </c>
      <c r="G481" s="2495"/>
      <c r="H481" s="2495"/>
      <c r="I481" s="2495"/>
      <c r="J481" s="2495"/>
      <c r="K481" s="2495"/>
      <c r="L481" s="2495"/>
      <c r="M481" s="2495"/>
      <c r="N481" s="2495"/>
    </row>
    <row r="482" spans="3:14">
      <c r="C482" s="687"/>
      <c r="D482" s="2496" t="s">
        <v>1783</v>
      </c>
      <c r="E482" s="2496"/>
      <c r="F482" s="2495" t="s">
        <v>2692</v>
      </c>
      <c r="G482" s="2495"/>
      <c r="H482" s="2495"/>
      <c r="I482" s="2495"/>
      <c r="J482" s="2495"/>
      <c r="K482" s="2495"/>
      <c r="L482" s="2495"/>
      <c r="M482" s="2495"/>
      <c r="N482" s="2495"/>
    </row>
    <row r="483" spans="3:14">
      <c r="C483" s="687"/>
      <c r="D483" s="2496" t="s">
        <v>1784</v>
      </c>
      <c r="E483" s="2496"/>
      <c r="F483" s="2495" t="s">
        <v>2693</v>
      </c>
      <c r="G483" s="2495"/>
      <c r="H483" s="2495"/>
      <c r="I483" s="2495"/>
      <c r="J483" s="2495"/>
      <c r="K483" s="2495"/>
      <c r="L483" s="2495"/>
      <c r="M483" s="2495"/>
      <c r="N483" s="2495"/>
    </row>
    <row r="484" spans="3:14">
      <c r="C484" s="687"/>
      <c r="D484" s="2496" t="s">
        <v>1850</v>
      </c>
      <c r="E484" s="2496"/>
      <c r="F484" s="2495" t="s">
        <v>2338</v>
      </c>
      <c r="G484" s="2495"/>
      <c r="H484" s="2495"/>
      <c r="I484" s="2495"/>
      <c r="J484" s="2495"/>
      <c r="K484" s="2495"/>
      <c r="L484" s="2495"/>
      <c r="M484" s="2495"/>
      <c r="N484" s="2495"/>
    </row>
    <row r="485" spans="3:14">
      <c r="C485" s="687"/>
      <c r="D485" s="2496" t="s">
        <v>2130</v>
      </c>
      <c r="E485" s="2496"/>
      <c r="F485" s="2495" t="s">
        <v>2339</v>
      </c>
      <c r="G485" s="2495"/>
      <c r="H485" s="2495"/>
      <c r="I485" s="2495"/>
      <c r="J485" s="2495"/>
      <c r="K485" s="2495"/>
      <c r="L485" s="2495"/>
      <c r="M485" s="2495"/>
      <c r="N485" s="2495"/>
    </row>
    <row r="486" spans="3:14" ht="20.45" customHeight="1">
      <c r="C486" s="687"/>
      <c r="D486" s="2496" t="s">
        <v>2694</v>
      </c>
      <c r="E486" s="2496"/>
      <c r="F486" s="2495" t="s">
        <v>2340</v>
      </c>
      <c r="G486" s="2495"/>
      <c r="H486" s="2495"/>
      <c r="I486" s="2495"/>
      <c r="J486" s="2495"/>
      <c r="K486" s="2495"/>
      <c r="L486" s="2495"/>
      <c r="M486" s="2495"/>
      <c r="N486" s="2495"/>
    </row>
    <row r="487" spans="3:14">
      <c r="C487" s="687"/>
      <c r="D487" s="2496" t="s">
        <v>2695</v>
      </c>
      <c r="E487" s="2496"/>
      <c r="F487" s="2495" t="s">
        <v>2341</v>
      </c>
      <c r="G487" s="2495"/>
      <c r="H487" s="2495"/>
      <c r="I487" s="2495"/>
      <c r="J487" s="2495"/>
      <c r="K487" s="2495"/>
      <c r="L487" s="2495"/>
      <c r="M487" s="2495"/>
      <c r="N487" s="2495"/>
    </row>
    <row r="488" spans="3:14" ht="21.95" customHeight="1">
      <c r="C488" s="687"/>
      <c r="D488" s="2495" t="s">
        <v>222</v>
      </c>
      <c r="E488" s="2495"/>
      <c r="F488" s="2504" t="s">
        <v>2696</v>
      </c>
      <c r="G488" s="2504"/>
      <c r="H488" s="2504"/>
      <c r="I488" s="2504"/>
      <c r="J488" s="2504"/>
      <c r="K488" s="2504"/>
      <c r="L488" s="2504"/>
      <c r="M488" s="2504"/>
      <c r="N488" s="2504"/>
    </row>
    <row r="489" spans="3:14" ht="13.5" thickBot="1">
      <c r="C489" s="467"/>
      <c r="D489" s="485"/>
      <c r="E489" s="485"/>
      <c r="F489" s="485"/>
      <c r="G489" s="485"/>
      <c r="H489" s="485"/>
      <c r="I489" s="485"/>
      <c r="J489" s="485"/>
      <c r="K489" s="485"/>
      <c r="L489" s="485"/>
      <c r="M489" s="485"/>
      <c r="N489" s="485"/>
    </row>
    <row r="490" spans="3:14" ht="64.5" customHeight="1" thickBot="1">
      <c r="C490" s="467"/>
      <c r="D490" s="2501" t="s">
        <v>1588</v>
      </c>
      <c r="E490" s="2502"/>
      <c r="F490" s="2502"/>
      <c r="G490" s="2502"/>
      <c r="H490" s="2502"/>
      <c r="I490" s="2502"/>
      <c r="J490" s="2502"/>
      <c r="K490" s="2502"/>
      <c r="L490" s="2502"/>
      <c r="M490" s="2502"/>
      <c r="N490" s="2503"/>
    </row>
    <row r="491" spans="3:14">
      <c r="C491" s="485"/>
      <c r="D491" s="485"/>
      <c r="E491" s="485"/>
      <c r="F491" s="485"/>
      <c r="G491" s="485"/>
      <c r="H491" s="485"/>
      <c r="I491" s="485"/>
      <c r="J491" s="485"/>
      <c r="K491" s="485"/>
      <c r="L491" s="485"/>
      <c r="M491" s="485"/>
      <c r="N491" s="485"/>
    </row>
    <row r="492" spans="3:14" ht="13.9" customHeight="1">
      <c r="C492" s="559">
        <v>1</v>
      </c>
      <c r="D492" s="2482" t="s">
        <v>2022</v>
      </c>
      <c r="E492" s="2482"/>
      <c r="F492" s="2482"/>
      <c r="G492" s="2482"/>
      <c r="H492" s="2483"/>
      <c r="I492" s="2489" t="str">
        <f>IFERROR(IF([1]K_Summary!$I$477 = "", "", [1]K_Summary!$I$477 ),"")</f>
        <v/>
      </c>
      <c r="J492" s="2490"/>
      <c r="K492" s="2490"/>
      <c r="L492" s="2490"/>
      <c r="M492" s="2490"/>
      <c r="N492" s="2491"/>
    </row>
    <row r="493" spans="3:14" ht="15">
      <c r="C493" s="559"/>
      <c r="D493" s="559"/>
      <c r="E493" s="559"/>
      <c r="F493" s="559"/>
      <c r="G493" s="559"/>
      <c r="H493" s="559"/>
      <c r="I493" s="559"/>
      <c r="J493" s="559"/>
      <c r="K493" s="559"/>
      <c r="L493" s="559"/>
      <c r="M493" s="559"/>
      <c r="N493" s="559"/>
    </row>
    <row r="494" spans="3:14" ht="15">
      <c r="C494" s="559"/>
      <c r="D494" s="559"/>
      <c r="E494" s="559"/>
      <c r="F494" s="559"/>
      <c r="G494" s="562"/>
      <c r="H494" s="688" t="s">
        <v>458</v>
      </c>
      <c r="I494" s="688" t="s">
        <v>1256</v>
      </c>
      <c r="J494" s="688" t="s">
        <v>1434</v>
      </c>
      <c r="K494" s="688" t="s">
        <v>1684</v>
      </c>
      <c r="L494" s="689" t="s">
        <v>156</v>
      </c>
      <c r="M494" s="2469" t="s">
        <v>302</v>
      </c>
      <c r="N494" s="2469"/>
    </row>
    <row r="495" spans="3:14" ht="15">
      <c r="C495" s="559"/>
      <c r="D495" s="559"/>
      <c r="E495" s="66" t="str">
        <f>IFERROR(IF([1]K_Summary!$E$480 = "", "", [1]K_Summary!$E$480 ),"")</f>
        <v/>
      </c>
      <c r="F495" s="51"/>
      <c r="G495" s="51"/>
      <c r="H495" s="143" t="str">
        <f>IFERROR(IF([1]K_Summary!$H$480 = "", "", [1]K_Summary!$H$480 ),"")</f>
        <v>N.A.</v>
      </c>
      <c r="I495" s="143" t="str">
        <f>IFERROR(IF([1]K_Summary!$I$480 = "", "", [1]K_Summary!$I$480 ),"")</f>
        <v/>
      </c>
      <c r="J495" s="53" t="str">
        <f>IFERROR(IF([1]K_Summary!$J$480 = "", "", [1]K_Summary!$J$480 ),"")</f>
        <v>N.A.</v>
      </c>
      <c r="K495" s="53" t="str">
        <f>IFERROR(IF([1]K_Summary!$K$480 = "", "", [1]K_Summary!$K$480 ),"")</f>
        <v>N.A.</v>
      </c>
      <c r="L495" s="144" t="str">
        <f>IFERROR(IF([1]K_Summary!$L$480 = "", "", [1]K_Summary!$L$480 ),"")</f>
        <v>N.A.</v>
      </c>
      <c r="M495" s="145" t="str">
        <f>IFERROR(IF([1]K_Summary!$M$480 = "", "", [1]K_Summary!$M$480 ),"")</f>
        <v>N.A.</v>
      </c>
      <c r="N495" s="50" t="str">
        <f>IFERROR(IF([1]K_Summary!$N$480 = "", "", [1]K_Summary!$N$480 ),"")</f>
        <v>EUA/tonnes</v>
      </c>
    </row>
    <row r="496" spans="3:14" ht="15">
      <c r="C496" s="485"/>
      <c r="D496" s="485"/>
      <c r="E496" s="559"/>
      <c r="F496" s="562"/>
      <c r="G496" s="562"/>
      <c r="H496" s="562"/>
      <c r="I496" s="562"/>
      <c r="J496" s="485"/>
      <c r="K496" s="485"/>
      <c r="L496" s="485"/>
      <c r="M496" s="485"/>
      <c r="N496" s="485"/>
    </row>
    <row r="497" spans="1:14">
      <c r="C497" s="485"/>
      <c r="D497" s="485"/>
      <c r="E497" s="496"/>
      <c r="F497" s="482" t="s">
        <v>884</v>
      </c>
      <c r="G497" s="695" t="s">
        <v>1646</v>
      </c>
      <c r="H497" s="696">
        <v>2019</v>
      </c>
      <c r="I497" s="697">
        <v>2020</v>
      </c>
      <c r="J497" s="696">
        <v>2021</v>
      </c>
      <c r="K497" s="578">
        <v>2022</v>
      </c>
      <c r="L497" s="578">
        <v>2023</v>
      </c>
      <c r="M497" s="578">
        <v>2024</v>
      </c>
      <c r="N497" s="578">
        <v>2025</v>
      </c>
    </row>
    <row r="498" spans="1:14">
      <c r="C498" s="485"/>
      <c r="D498" s="485"/>
      <c r="E498" s="698" t="s">
        <v>1665</v>
      </c>
      <c r="F498" s="146" t="str">
        <f>IFERROR(IF([1]K_Summary!$F$483 = "", "", [1]K_Summary!$F$483 ),"")</f>
        <v>tonnes</v>
      </c>
      <c r="G498" s="147" t="str">
        <f>IFERROR(IF([1]K_Summary!$G$483 = "", "", [1]K_Summary!$G$483 ),"")</f>
        <v/>
      </c>
      <c r="H498" s="148" t="str">
        <f>IFERROR(IF([1]K_Summary!$H$483 = "", "", [1]K_Summary!$H$483 ),"")</f>
        <v/>
      </c>
      <c r="I498" s="149" t="str">
        <f>IFERROR(IF([1]K_Summary!$I$483 = "", "", [1]K_Summary!$I$483 ),"")</f>
        <v/>
      </c>
      <c r="J498" s="148" t="str">
        <f>IFERROR(IF([1]K_Summary!$J$483 = "", "", [1]K_Summary!$J$483 ),"")</f>
        <v/>
      </c>
      <c r="K498" s="150" t="str">
        <f>IFERROR(IF([1]K_Summary!$K$483 = "", "", [1]K_Summary!$K$483 ),"")</f>
        <v/>
      </c>
      <c r="L498" s="150" t="str">
        <f>IFERROR(IF([1]K_Summary!$L$483 = "", "", [1]K_Summary!$L$483 ),"")</f>
        <v/>
      </c>
      <c r="M498" s="150" t="str">
        <f>IFERROR(IF([1]K_Summary!$M$483 = "", "", [1]K_Summary!$M$483 ),"")</f>
        <v/>
      </c>
      <c r="N498" s="150" t="str">
        <f>IFERROR(IF([1]K_Summary!$N$483 = "", "", [1]K_Summary!$N$483 ),"")</f>
        <v/>
      </c>
    </row>
    <row r="499" spans="1:14" ht="15.75" thickBot="1">
      <c r="C499" s="559"/>
      <c r="D499" s="559"/>
      <c r="E499" s="559"/>
      <c r="F499" s="559"/>
      <c r="G499" s="559"/>
      <c r="H499" s="559"/>
      <c r="I499" s="559"/>
      <c r="J499" s="559"/>
      <c r="K499" s="559"/>
      <c r="L499" s="559"/>
      <c r="M499" s="559"/>
      <c r="N499" s="559"/>
    </row>
    <row r="500" spans="1:14" ht="15">
      <c r="C500" s="559"/>
      <c r="D500" s="703"/>
      <c r="E500" s="704"/>
      <c r="F500" s="704"/>
      <c r="G500" s="704"/>
      <c r="H500" s="704"/>
      <c r="I500" s="704"/>
      <c r="J500" s="704"/>
      <c r="K500" s="704"/>
      <c r="L500" s="704"/>
      <c r="M500" s="704"/>
      <c r="N500" s="705"/>
    </row>
    <row r="501" spans="1:14" ht="15">
      <c r="C501" s="559"/>
      <c r="D501" s="706"/>
      <c r="E501" s="707" t="s">
        <v>1787</v>
      </c>
      <c r="F501" s="637"/>
      <c r="G501" s="637"/>
      <c r="H501" s="663"/>
      <c r="I501" s="708"/>
      <c r="J501" s="709">
        <v>2021</v>
      </c>
      <c r="K501" s="671">
        <v>2022</v>
      </c>
      <c r="L501" s="671">
        <v>2023</v>
      </c>
      <c r="M501" s="671">
        <v>2024</v>
      </c>
      <c r="N501" s="710">
        <v>2025</v>
      </c>
    </row>
    <row r="502" spans="1:14" ht="15">
      <c r="C502" s="559"/>
      <c r="D502" s="706"/>
      <c r="E502" s="711" t="s">
        <v>1783</v>
      </c>
      <c r="F502" s="712"/>
      <c r="G502" s="712"/>
      <c r="H502" s="713"/>
      <c r="I502" s="712"/>
      <c r="J502" s="151" t="str">
        <f>IFERROR(IF([1]K_Summary!$J$487 = "", "", [1]K_Summary!$J$487 ),"")</f>
        <v/>
      </c>
      <c r="K502" s="152" t="str">
        <f>IFERROR(IF([1]K_Summary!$K$487 = "", "", [1]K_Summary!$K$487 ),"")</f>
        <v/>
      </c>
      <c r="L502" s="152" t="str">
        <f>IFERROR(IF([1]K_Summary!$L$487 = "", "", [1]K_Summary!$L$487 ),"")</f>
        <v/>
      </c>
      <c r="M502" s="152" t="str">
        <f>IFERROR(IF([1]K_Summary!$M$487 = "", "", [1]K_Summary!$M$487 ),"")</f>
        <v/>
      </c>
      <c r="N502" s="153" t="str">
        <f>IFERROR(IF([1]K_Summary!$N$487 = "", "", [1]K_Summary!$N$487 ),"")</f>
        <v/>
      </c>
    </row>
    <row r="503" spans="1:14" ht="15">
      <c r="C503" s="559"/>
      <c r="D503" s="706"/>
      <c r="E503" s="714" t="s">
        <v>1784</v>
      </c>
      <c r="F503" s="715"/>
      <c r="G503" s="715"/>
      <c r="H503" s="716"/>
      <c r="I503" s="715"/>
      <c r="J503" s="154" t="str">
        <f>IFERROR(IF([1]K_Summary!$J$488 = "", "", [1]K_Summary!$J$488 ),"")</f>
        <v/>
      </c>
      <c r="K503" s="155" t="str">
        <f>IFERROR(IF([1]K_Summary!$K$488 = "", "", [1]K_Summary!$K$488 ),"")</f>
        <v/>
      </c>
      <c r="L503" s="155" t="str">
        <f>IFERROR(IF([1]K_Summary!$L$488 = "", "", [1]K_Summary!$L$488 ),"")</f>
        <v/>
      </c>
      <c r="M503" s="155" t="str">
        <f>IFERROR(IF([1]K_Summary!$M$488 = "", "", [1]K_Summary!$M$488 ),"")</f>
        <v/>
      </c>
      <c r="N503" s="156" t="str">
        <f>IFERROR(IF([1]K_Summary!$N$488 = "", "", [1]K_Summary!$N$488 ),"")</f>
        <v/>
      </c>
    </row>
    <row r="504" spans="1:14" ht="15">
      <c r="C504" s="559"/>
      <c r="D504" s="706"/>
      <c r="E504" s="559"/>
      <c r="F504" s="559"/>
      <c r="G504" s="559"/>
      <c r="H504" s="559"/>
      <c r="I504" s="559"/>
      <c r="J504" s="559"/>
      <c r="K504" s="559"/>
      <c r="L504" s="559"/>
      <c r="M504" s="559"/>
      <c r="N504" s="717"/>
    </row>
    <row r="505" spans="1:14" ht="15">
      <c r="C505" s="559"/>
      <c r="D505" s="706"/>
      <c r="E505" s="496" t="s">
        <v>1762</v>
      </c>
      <c r="F505" s="485"/>
      <c r="G505" s="485"/>
      <c r="H505" s="663" t="s">
        <v>884</v>
      </c>
      <c r="I505" s="708"/>
      <c r="J505" s="696">
        <v>2021</v>
      </c>
      <c r="K505" s="578">
        <v>2022</v>
      </c>
      <c r="L505" s="578">
        <v>2023</v>
      </c>
      <c r="M505" s="578">
        <v>2024</v>
      </c>
      <c r="N505" s="718">
        <v>2025</v>
      </c>
    </row>
    <row r="506" spans="1:14" ht="15" hidden="1">
      <c r="A506" s="719" t="s">
        <v>2289</v>
      </c>
      <c r="C506" s="559"/>
      <c r="D506" s="706"/>
      <c r="E506" s="698" t="s">
        <v>1714</v>
      </c>
      <c r="F506" s="698"/>
      <c r="G506" s="698"/>
      <c r="H506" s="63" t="str">
        <f>IFERROR(IF([1]K_Summary!$H$491 = "", "", [1]K_Summary!$H$491 ),"")</f>
        <v>tonnes</v>
      </c>
      <c r="I506" s="698"/>
      <c r="J506" s="157" t="str">
        <f>IFERROR(IF([1]K_Summary!$J$491 = "", "", [1]K_Summary!$J$491 ),"")</f>
        <v/>
      </c>
      <c r="K506" s="147" t="str">
        <f>IFERROR(IF([1]K_Summary!$K$491 = "", "", [1]K_Summary!$K$491 ),"")</f>
        <v/>
      </c>
      <c r="L506" s="147" t="str">
        <f>IFERROR(IF([1]K_Summary!$L$491 = "", "", [1]K_Summary!$L$491 ),"")</f>
        <v/>
      </c>
      <c r="M506" s="147" t="str">
        <f>IFERROR(IF([1]K_Summary!$M$491 = "", "", [1]K_Summary!$M$491 ),"")</f>
        <v/>
      </c>
      <c r="N506" s="158" t="str">
        <f>IFERROR(IF([1]K_Summary!$N$491 = "", "", [1]K_Summary!$N$491 ),"")</f>
        <v/>
      </c>
    </row>
    <row r="507" spans="1:14" ht="15" hidden="1">
      <c r="A507" s="719" t="s">
        <v>2289</v>
      </c>
      <c r="C507" s="559"/>
      <c r="D507" s="706"/>
      <c r="E507" s="720" t="s">
        <v>303</v>
      </c>
      <c r="F507" s="720"/>
      <c r="G507" s="720"/>
      <c r="H507" s="721" t="s">
        <v>2090</v>
      </c>
      <c r="I507" s="722"/>
      <c r="J507" s="159" t="str">
        <f>IFERROR(IF([1]K_Summary!$J$492 = "", "", [1]K_Summary!$J$492 ),"")</f>
        <v/>
      </c>
      <c r="K507" s="160" t="str">
        <f>IFERROR(IF([1]K_Summary!$K$492 = "", "", [1]K_Summary!$K$492 ),"")</f>
        <v/>
      </c>
      <c r="L507" s="160" t="str">
        <f>IFERROR(IF([1]K_Summary!$L$492 = "", "", [1]K_Summary!$L$492 ),"")</f>
        <v/>
      </c>
      <c r="M507" s="160" t="str">
        <f>IFERROR(IF([1]K_Summary!$M$492 = "", "", [1]K_Summary!$M$492 ),"")</f>
        <v/>
      </c>
      <c r="N507" s="161" t="str">
        <f>IFERROR(IF([1]K_Summary!$N$492 = "", "", [1]K_Summary!$N$492 ),"")</f>
        <v/>
      </c>
    </row>
    <row r="508" spans="1:14" ht="15" hidden="1">
      <c r="A508" s="719" t="s">
        <v>2289</v>
      </c>
      <c r="C508" s="559"/>
      <c r="D508" s="706"/>
      <c r="E508" s="723" t="s">
        <v>1422</v>
      </c>
      <c r="F508" s="723"/>
      <c r="G508" s="723"/>
      <c r="H508" s="724" t="s">
        <v>2090</v>
      </c>
      <c r="I508" s="725"/>
      <c r="J508" s="162" t="str">
        <f>IFERROR(IF([1]K_Summary!$J$493 = "", "", [1]K_Summary!$J$493 ),"")</f>
        <v/>
      </c>
      <c r="K508" s="163" t="str">
        <f>IFERROR(IF([1]K_Summary!$K$493 = "", "", [1]K_Summary!$K$493 ),"")</f>
        <v/>
      </c>
      <c r="L508" s="163" t="str">
        <f>IFERROR(IF([1]K_Summary!$L$493 = "", "", [1]K_Summary!$L$493 ),"")</f>
        <v/>
      </c>
      <c r="M508" s="163" t="str">
        <f>IFERROR(IF([1]K_Summary!$M$493 = "", "", [1]K_Summary!$M$493 ),"")</f>
        <v/>
      </c>
      <c r="N508" s="164" t="str">
        <f>IFERROR(IF([1]K_Summary!$N$493 = "", "", [1]K_Summary!$N$493 ),"")</f>
        <v/>
      </c>
    </row>
    <row r="509" spans="1:14" ht="15" hidden="1">
      <c r="A509" s="719" t="s">
        <v>2289</v>
      </c>
      <c r="C509" s="559"/>
      <c r="D509" s="706"/>
      <c r="E509" s="723" t="s">
        <v>1390</v>
      </c>
      <c r="F509" s="723"/>
      <c r="G509" s="723"/>
      <c r="H509" s="724" t="s">
        <v>2090</v>
      </c>
      <c r="I509" s="725"/>
      <c r="J509" s="162" t="str">
        <f>IFERROR(IF([1]K_Summary!$J$494 = "", "", [1]K_Summary!$J$494 ),"")</f>
        <v/>
      </c>
      <c r="K509" s="163" t="str">
        <f>IFERROR(IF([1]K_Summary!$K$494 = "", "", [1]K_Summary!$K$494 ),"")</f>
        <v/>
      </c>
      <c r="L509" s="163" t="str">
        <f>IFERROR(IF([1]K_Summary!$L$494 = "", "", [1]K_Summary!$L$494 ),"")</f>
        <v/>
      </c>
      <c r="M509" s="163" t="str">
        <f>IFERROR(IF([1]K_Summary!$M$494 = "", "", [1]K_Summary!$M$494 ),"")</f>
        <v/>
      </c>
      <c r="N509" s="164" t="str">
        <f>IFERROR(IF([1]K_Summary!$N$494 = "", "", [1]K_Summary!$N$494 ),"")</f>
        <v/>
      </c>
    </row>
    <row r="510" spans="1:14" ht="15" hidden="1">
      <c r="A510" s="719" t="s">
        <v>2289</v>
      </c>
      <c r="C510" s="559"/>
      <c r="D510" s="706"/>
      <c r="E510" s="723" t="s">
        <v>1389</v>
      </c>
      <c r="F510" s="723"/>
      <c r="G510" s="723"/>
      <c r="H510" s="726" t="s">
        <v>1021</v>
      </c>
      <c r="I510" s="725"/>
      <c r="J510" s="165" t="str">
        <f>IFERROR(IF([1]K_Summary!$J$495 = "", "", [1]K_Summary!$J$495 ),"")</f>
        <v/>
      </c>
      <c r="K510" s="166" t="str">
        <f>IFERROR(IF([1]K_Summary!$K$495 = "", "", [1]K_Summary!$K$495 ),"")</f>
        <v/>
      </c>
      <c r="L510" s="166" t="str">
        <f>IFERROR(IF([1]K_Summary!$L$495 = "", "", [1]K_Summary!$L$495 ),"")</f>
        <v/>
      </c>
      <c r="M510" s="166" t="str">
        <f>IFERROR(IF([1]K_Summary!$M$495 = "", "", [1]K_Summary!$M$495 ),"")</f>
        <v/>
      </c>
      <c r="N510" s="167" t="str">
        <f>IFERROR(IF([1]K_Summary!$N$495 = "", "", [1]K_Summary!$N$495 ),"")</f>
        <v/>
      </c>
    </row>
    <row r="511" spans="1:14" ht="15" hidden="1">
      <c r="A511" s="719" t="s">
        <v>2289</v>
      </c>
      <c r="C511" s="559"/>
      <c r="D511" s="706"/>
      <c r="E511" s="727" t="s">
        <v>1391</v>
      </c>
      <c r="F511" s="727"/>
      <c r="G511" s="727"/>
      <c r="H511" s="728" t="s">
        <v>1021</v>
      </c>
      <c r="I511" s="729"/>
      <c r="J511" s="168" t="str">
        <f>IFERROR(IF([1]K_Summary!$J$496 = "", "", [1]K_Summary!$J$496 ),"")</f>
        <v/>
      </c>
      <c r="K511" s="169" t="str">
        <f>IFERROR(IF([1]K_Summary!$K$496 = "", "", [1]K_Summary!$K$496 ),"")</f>
        <v/>
      </c>
      <c r="L511" s="169" t="str">
        <f>IFERROR(IF([1]K_Summary!$L$496 = "", "", [1]K_Summary!$L$496 ),"")</f>
        <v/>
      </c>
      <c r="M511" s="169" t="str">
        <f>IFERROR(IF([1]K_Summary!$M$496 = "", "", [1]K_Summary!$M$496 ),"")</f>
        <v/>
      </c>
      <c r="N511" s="170" t="str">
        <f>IFERROR(IF([1]K_Summary!$N$496 = "", "", [1]K_Summary!$N$496 ),"")</f>
        <v/>
      </c>
    </row>
    <row r="512" spans="1:14" ht="15">
      <c r="C512" s="559"/>
      <c r="D512" s="706"/>
      <c r="E512" s="698" t="s">
        <v>1671</v>
      </c>
      <c r="F512" s="698"/>
      <c r="G512" s="698"/>
      <c r="H512" s="730" t="s">
        <v>2090</v>
      </c>
      <c r="I512" s="731"/>
      <c r="J512" s="148" t="str">
        <f>IFERROR(IF([1]K_Summary!$J$497 = "", "", [1]K_Summary!$J$497 ),"")</f>
        <v/>
      </c>
      <c r="K512" s="150" t="str">
        <f>IFERROR(IF([1]K_Summary!$K$497 = "", "", [1]K_Summary!$K$497 ),"")</f>
        <v/>
      </c>
      <c r="L512" s="150" t="str">
        <f>IFERROR(IF([1]K_Summary!$L$497 = "", "", [1]K_Summary!$L$497 ),"")</f>
        <v/>
      </c>
      <c r="M512" s="150" t="str">
        <f>IFERROR(IF([1]K_Summary!$M$497 = "", "", [1]K_Summary!$M$497 ),"")</f>
        <v/>
      </c>
      <c r="N512" s="171" t="str">
        <f>IFERROR(IF([1]K_Summary!$N$497 = "", "", [1]K_Summary!$N$497 ),"")</f>
        <v/>
      </c>
    </row>
    <row r="513" spans="1:14" ht="15">
      <c r="C513" s="559"/>
      <c r="D513" s="706"/>
      <c r="E513" s="559"/>
      <c r="F513" s="559"/>
      <c r="G513" s="559"/>
      <c r="H513" s="559"/>
      <c r="I513" s="559"/>
      <c r="J513" s="559"/>
      <c r="K513" s="559"/>
      <c r="L513" s="559"/>
      <c r="M513" s="559"/>
      <c r="N513" s="717"/>
    </row>
    <row r="514" spans="1:14" ht="15">
      <c r="C514" s="559"/>
      <c r="D514" s="706"/>
      <c r="E514" s="707" t="s">
        <v>1752</v>
      </c>
      <c r="F514" s="637"/>
      <c r="G514" s="637"/>
      <c r="H514" s="663" t="s">
        <v>884</v>
      </c>
      <c r="I514" s="708"/>
      <c r="J514" s="709">
        <v>2021</v>
      </c>
      <c r="K514" s="671">
        <v>2022</v>
      </c>
      <c r="L514" s="671">
        <v>2023</v>
      </c>
      <c r="M514" s="671">
        <v>2024</v>
      </c>
      <c r="N514" s="710">
        <v>2025</v>
      </c>
    </row>
    <row r="515" spans="1:14" ht="15">
      <c r="C515" s="559"/>
      <c r="D515" s="706"/>
      <c r="E515" s="720" t="s">
        <v>1691</v>
      </c>
      <c r="F515" s="720"/>
      <c r="G515" s="720"/>
      <c r="H515" s="67" t="str">
        <f>IFERROR(IF([1]K_Summary!$H$500 = "", "", [1]K_Summary!$H$500 ),"")</f>
        <v>tonnes</v>
      </c>
      <c r="I515" s="733"/>
      <c r="J515" s="172" t="str">
        <f>IFERROR(IF([1]K_Summary!$J$500 = "", "", [1]K_Summary!$J$500 ),"")</f>
        <v/>
      </c>
      <c r="K515" s="54" t="str">
        <f>IFERROR(IF([1]K_Summary!$K$500 = "", "", [1]K_Summary!$K$500 ),"")</f>
        <v/>
      </c>
      <c r="L515" s="54" t="str">
        <f>IFERROR(IF([1]K_Summary!$L$500 = "", "", [1]K_Summary!$L$500 ),"")</f>
        <v/>
      </c>
      <c r="M515" s="54" t="str">
        <f>IFERROR(IF([1]K_Summary!$M$500 = "", "", [1]K_Summary!$M$500 ),"")</f>
        <v/>
      </c>
      <c r="N515" s="173" t="str">
        <f>IFERROR(IF([1]K_Summary!$N$500 = "", "", [1]K_Summary!$N$500 ),"")</f>
        <v/>
      </c>
    </row>
    <row r="516" spans="1:14" ht="15">
      <c r="C516" s="559"/>
      <c r="D516" s="706"/>
      <c r="E516" s="723" t="s">
        <v>1648</v>
      </c>
      <c r="F516" s="723"/>
      <c r="G516" s="723"/>
      <c r="H516" s="734" t="s">
        <v>1021</v>
      </c>
      <c r="I516" s="735"/>
      <c r="J516" s="174" t="str">
        <f>IFERROR(IF([1]K_Summary!$J$501 = "", "", [1]K_Summary!$J$501 ),"")</f>
        <v/>
      </c>
      <c r="K516" s="175" t="str">
        <f>IFERROR(IF([1]K_Summary!$K$501 = "", "", [1]K_Summary!$K$501 ),"")</f>
        <v/>
      </c>
      <c r="L516" s="175" t="str">
        <f>IFERROR(IF([1]K_Summary!$L$501 = "", "", [1]K_Summary!$L$501 ),"")</f>
        <v/>
      </c>
      <c r="M516" s="175" t="str">
        <f>IFERROR(IF([1]K_Summary!$M$501 = "", "", [1]K_Summary!$M$501 ),"")</f>
        <v/>
      </c>
      <c r="N516" s="176" t="str">
        <f>IFERROR(IF([1]K_Summary!$N$501 = "", "", [1]K_Summary!$N$501 ),"")</f>
        <v/>
      </c>
    </row>
    <row r="517" spans="1:14" ht="15">
      <c r="C517" s="559"/>
      <c r="D517" s="706"/>
      <c r="E517" s="736" t="s">
        <v>1850</v>
      </c>
      <c r="F517" s="736"/>
      <c r="G517" s="736"/>
      <c r="H517" s="737" t="s">
        <v>1021</v>
      </c>
      <c r="I517" s="738"/>
      <c r="J517" s="177" t="str">
        <f>IFERROR(IF([1]K_Summary!$J$502 = "", "", [1]K_Summary!$J$502 ),"")</f>
        <v/>
      </c>
      <c r="K517" s="178" t="str">
        <f>IFERROR(IF([1]K_Summary!$K$502 = "", "", [1]K_Summary!$K$502 ),"")</f>
        <v/>
      </c>
      <c r="L517" s="178" t="str">
        <f>IFERROR(IF([1]K_Summary!$L$502 = "", "", [1]K_Summary!$L$502 ),"")</f>
        <v/>
      </c>
      <c r="M517" s="178" t="str">
        <f>IFERROR(IF([1]K_Summary!$M$502 = "", "", [1]K_Summary!$M$502 ),"")</f>
        <v/>
      </c>
      <c r="N517" s="179" t="str">
        <f>IFERROR(IF([1]K_Summary!$N$502 = "", "", [1]K_Summary!$N$502 ),"")</f>
        <v/>
      </c>
    </row>
    <row r="518" spans="1:14" ht="15">
      <c r="C518" s="559"/>
      <c r="D518" s="706"/>
      <c r="E518" s="727" t="s">
        <v>1689</v>
      </c>
      <c r="F518" s="727"/>
      <c r="G518" s="727"/>
      <c r="H518" s="68" t="str">
        <f>IFERROR(IF([1]K_Summary!$H$503 = "", "", [1]K_Summary!$H$503 ),"")</f>
        <v>tonnes</v>
      </c>
      <c r="I518" s="727"/>
      <c r="J518" s="180" t="str">
        <f>IFERROR(IF([1]K_Summary!$J$503 = "", "", [1]K_Summary!$J$503 ),"")</f>
        <v/>
      </c>
      <c r="K518" s="181" t="str">
        <f>IFERROR(IF([1]K_Summary!$K$503 = "", "", [1]K_Summary!$K$503 ),"")</f>
        <v/>
      </c>
      <c r="L518" s="181" t="str">
        <f>IFERROR(IF([1]K_Summary!$L$503 = "", "", [1]K_Summary!$L$503 ),"")</f>
        <v/>
      </c>
      <c r="M518" s="181" t="str">
        <f>IFERROR(IF([1]K_Summary!$M$503 = "", "", [1]K_Summary!$M$503 ),"")</f>
        <v/>
      </c>
      <c r="N518" s="182" t="str">
        <f>IFERROR(IF([1]K_Summary!$N$503 = "", "", [1]K_Summary!$N$503 ),"")</f>
        <v/>
      </c>
    </row>
    <row r="519" spans="1:14" ht="15" hidden="1">
      <c r="A519" s="719" t="s">
        <v>2289</v>
      </c>
      <c r="C519" s="559"/>
      <c r="D519" s="706"/>
      <c r="E519" s="720" t="s">
        <v>303</v>
      </c>
      <c r="F519" s="720"/>
      <c r="G519" s="720"/>
      <c r="H519" s="721" t="s">
        <v>2090</v>
      </c>
      <c r="I519" s="722"/>
      <c r="J519" s="159" t="str">
        <f>IFERROR(IF([1]K_Summary!$J$504 = "", "", [1]K_Summary!$J$504 ),"")</f>
        <v/>
      </c>
      <c r="K519" s="160" t="str">
        <f>IFERROR(IF([1]K_Summary!$K$504 = "", "", [1]K_Summary!$K$504 ),"")</f>
        <v/>
      </c>
      <c r="L519" s="160" t="str">
        <f>IFERROR(IF([1]K_Summary!$L$504 = "", "", [1]K_Summary!$L$504 ),"")</f>
        <v/>
      </c>
      <c r="M519" s="160" t="str">
        <f>IFERROR(IF([1]K_Summary!$M$504 = "", "", [1]K_Summary!$M$504 ),"")</f>
        <v/>
      </c>
      <c r="N519" s="161" t="str">
        <f>IFERROR(IF([1]K_Summary!$N$504 = "", "", [1]K_Summary!$N$504 ),"")</f>
        <v/>
      </c>
    </row>
    <row r="520" spans="1:14" ht="15" hidden="1">
      <c r="A520" s="719" t="s">
        <v>2289</v>
      </c>
      <c r="C520" s="559"/>
      <c r="D520" s="706"/>
      <c r="E520" s="723" t="s">
        <v>1422</v>
      </c>
      <c r="F520" s="723"/>
      <c r="G520" s="723"/>
      <c r="H520" s="724" t="s">
        <v>2090</v>
      </c>
      <c r="I520" s="725"/>
      <c r="J520" s="162" t="str">
        <f>IFERROR(IF([1]K_Summary!$J$505 = "", "", [1]K_Summary!$J$505 ),"")</f>
        <v/>
      </c>
      <c r="K520" s="163" t="str">
        <f>IFERROR(IF([1]K_Summary!$K$505 = "", "", [1]K_Summary!$K$505 ),"")</f>
        <v/>
      </c>
      <c r="L520" s="163" t="str">
        <f>IFERROR(IF([1]K_Summary!$L$505 = "", "", [1]K_Summary!$L$505 ),"")</f>
        <v/>
      </c>
      <c r="M520" s="163" t="str">
        <f>IFERROR(IF([1]K_Summary!$M$505 = "", "", [1]K_Summary!$M$505 ),"")</f>
        <v/>
      </c>
      <c r="N520" s="164" t="str">
        <f>IFERROR(IF([1]K_Summary!$N$505 = "", "", [1]K_Summary!$N$505 ),"")</f>
        <v/>
      </c>
    </row>
    <row r="521" spans="1:14" ht="15" hidden="1">
      <c r="A521" s="719" t="s">
        <v>2289</v>
      </c>
      <c r="C521" s="559"/>
      <c r="D521" s="706"/>
      <c r="E521" s="723" t="s">
        <v>1390</v>
      </c>
      <c r="F521" s="723"/>
      <c r="G521" s="723"/>
      <c r="H521" s="724" t="s">
        <v>2090</v>
      </c>
      <c r="I521" s="725"/>
      <c r="J521" s="162" t="str">
        <f>IFERROR(IF([1]K_Summary!$J$506 = "", "", [1]K_Summary!$J$506 ),"")</f>
        <v/>
      </c>
      <c r="K521" s="163" t="str">
        <f>IFERROR(IF([1]K_Summary!$K$506 = "", "", [1]K_Summary!$K$506 ),"")</f>
        <v/>
      </c>
      <c r="L521" s="163" t="str">
        <f>IFERROR(IF([1]K_Summary!$L$506 = "", "", [1]K_Summary!$L$506 ),"")</f>
        <v/>
      </c>
      <c r="M521" s="163" t="str">
        <f>IFERROR(IF([1]K_Summary!$M$506 = "", "", [1]K_Summary!$M$506 ),"")</f>
        <v/>
      </c>
      <c r="N521" s="164" t="str">
        <f>IFERROR(IF([1]K_Summary!$N$506 = "", "", [1]K_Summary!$N$506 ),"")</f>
        <v/>
      </c>
    </row>
    <row r="522" spans="1:14" ht="15" hidden="1">
      <c r="A522" s="719" t="s">
        <v>2289</v>
      </c>
      <c r="C522" s="559"/>
      <c r="D522" s="706"/>
      <c r="E522" s="723" t="s">
        <v>1389</v>
      </c>
      <c r="F522" s="723"/>
      <c r="G522" s="723"/>
      <c r="H522" s="726" t="s">
        <v>1021</v>
      </c>
      <c r="I522" s="725"/>
      <c r="J522" s="165" t="str">
        <f>IFERROR(IF([1]K_Summary!$J$507 = "", "", [1]K_Summary!$J$507 ),"")</f>
        <v/>
      </c>
      <c r="K522" s="166" t="str">
        <f>IFERROR(IF([1]K_Summary!$K$507 = "", "", [1]K_Summary!$K$507 ),"")</f>
        <v/>
      </c>
      <c r="L522" s="166" t="str">
        <f>IFERROR(IF([1]K_Summary!$L$507 = "", "", [1]K_Summary!$L$507 ),"")</f>
        <v/>
      </c>
      <c r="M522" s="166" t="str">
        <f>IFERROR(IF([1]K_Summary!$M$507 = "", "", [1]K_Summary!$M$507 ),"")</f>
        <v/>
      </c>
      <c r="N522" s="167" t="str">
        <f>IFERROR(IF([1]K_Summary!$N$507 = "", "", [1]K_Summary!$N$507 ),"")</f>
        <v/>
      </c>
    </row>
    <row r="523" spans="1:14" ht="15" hidden="1">
      <c r="A523" s="719" t="s">
        <v>2289</v>
      </c>
      <c r="C523" s="559"/>
      <c r="D523" s="706"/>
      <c r="E523" s="727" t="s">
        <v>1391</v>
      </c>
      <c r="F523" s="727"/>
      <c r="G523" s="727"/>
      <c r="H523" s="728" t="s">
        <v>1021</v>
      </c>
      <c r="I523" s="729"/>
      <c r="J523" s="168" t="str">
        <f>IFERROR(IF([1]K_Summary!$J$508 = "", "", [1]K_Summary!$J$508 ),"")</f>
        <v/>
      </c>
      <c r="K523" s="169" t="str">
        <f>IFERROR(IF([1]K_Summary!$K$508 = "", "", [1]K_Summary!$K$508 ),"")</f>
        <v/>
      </c>
      <c r="L523" s="169" t="str">
        <f>IFERROR(IF([1]K_Summary!$L$508 = "", "", [1]K_Summary!$L$508 ),"")</f>
        <v/>
      </c>
      <c r="M523" s="169" t="str">
        <f>IFERROR(IF([1]K_Summary!$M$508 = "", "", [1]K_Summary!$M$508 ),"")</f>
        <v/>
      </c>
      <c r="N523" s="170" t="str">
        <f>IFERROR(IF([1]K_Summary!$N$508 = "", "", [1]K_Summary!$N$508 ),"")</f>
        <v/>
      </c>
    </row>
    <row r="524" spans="1:14" ht="15">
      <c r="C524" s="559"/>
      <c r="D524" s="706"/>
      <c r="E524" s="698" t="s">
        <v>1671</v>
      </c>
      <c r="F524" s="698"/>
      <c r="G524" s="698"/>
      <c r="H524" s="730" t="s">
        <v>2090</v>
      </c>
      <c r="I524" s="731"/>
      <c r="J524" s="148" t="str">
        <f>IFERROR(IF([1]K_Summary!$J$509 = "", "", [1]K_Summary!$J$509 ),"")</f>
        <v/>
      </c>
      <c r="K524" s="150" t="str">
        <f>IFERROR(IF([1]K_Summary!$K$509 = "", "", [1]K_Summary!$K$509 ),"")</f>
        <v/>
      </c>
      <c r="L524" s="150" t="str">
        <f>IFERROR(IF([1]K_Summary!$L$509 = "", "", [1]K_Summary!$L$509 ),"")</f>
        <v/>
      </c>
      <c r="M524" s="150" t="str">
        <f>IFERROR(IF([1]K_Summary!$M$509 = "", "", [1]K_Summary!$M$509 ),"")</f>
        <v/>
      </c>
      <c r="N524" s="171" t="str">
        <f>IFERROR(IF([1]K_Summary!$N$509 = "", "", [1]K_Summary!$N$509 ),"")</f>
        <v/>
      </c>
    </row>
    <row r="525" spans="1:14" ht="15">
      <c r="C525" s="559"/>
      <c r="D525" s="706"/>
      <c r="E525" s="698" t="s">
        <v>1670</v>
      </c>
      <c r="F525" s="698"/>
      <c r="G525" s="698"/>
      <c r="H525" s="730" t="s">
        <v>2090</v>
      </c>
      <c r="I525" s="731"/>
      <c r="J525" s="148" t="str">
        <f>IFERROR(IF([1]K_Summary!$J$510 = "", "", [1]K_Summary!$J$510 ),"")</f>
        <v/>
      </c>
      <c r="K525" s="150" t="str">
        <f>IFERROR(IF([1]K_Summary!$K$510 = "", "", [1]K_Summary!$K$510 ),"")</f>
        <v/>
      </c>
      <c r="L525" s="150" t="str">
        <f>IFERROR(IF([1]K_Summary!$L$510 = "", "", [1]K_Summary!$L$510 ),"")</f>
        <v/>
      </c>
      <c r="M525" s="150" t="str">
        <f>IFERROR(IF([1]K_Summary!$M$510 = "", "", [1]K_Summary!$M$510 ),"")</f>
        <v/>
      </c>
      <c r="N525" s="171" t="str">
        <f>IFERROR(IF([1]K_Summary!$N$510 = "", "", [1]K_Summary!$N$510 ),"")</f>
        <v/>
      </c>
    </row>
    <row r="526" spans="1:14" ht="15">
      <c r="C526" s="559"/>
      <c r="D526" s="706"/>
      <c r="E526" s="740" t="s">
        <v>2130</v>
      </c>
      <c r="F526" s="740"/>
      <c r="G526" s="740"/>
      <c r="H526" s="741" t="s">
        <v>1021</v>
      </c>
      <c r="I526" s="742"/>
      <c r="J526" s="183" t="str">
        <f>IFERROR(IF([1]K_Summary!$J$511 = "", "", [1]K_Summary!$J$511 ),"")</f>
        <v/>
      </c>
      <c r="K526" s="184" t="str">
        <f>IFERROR(IF([1]K_Summary!$K$511 = "", "", [1]K_Summary!$K$511 ),"")</f>
        <v/>
      </c>
      <c r="L526" s="184" t="str">
        <f>IFERROR(IF([1]K_Summary!$L$511 = "", "", [1]K_Summary!$L$511 ),"")</f>
        <v/>
      </c>
      <c r="M526" s="184" t="str">
        <f>IFERROR(IF([1]K_Summary!$M$511 = "", "", [1]K_Summary!$M$511 ),"")</f>
        <v/>
      </c>
      <c r="N526" s="185" t="str">
        <f>IFERROR(IF([1]K_Summary!$N$511 = "", "", [1]K_Summary!$N$511 ),"")</f>
        <v/>
      </c>
    </row>
    <row r="527" spans="1:14" ht="15">
      <c r="C527" s="559"/>
      <c r="D527" s="706"/>
      <c r="E527" s="485"/>
      <c r="F527" s="485"/>
      <c r="G527" s="485"/>
      <c r="H527" s="485"/>
      <c r="I527" s="743"/>
      <c r="J527" s="485"/>
      <c r="K527" s="485"/>
      <c r="L527" s="485"/>
      <c r="M527" s="485"/>
      <c r="N527" s="744"/>
    </row>
    <row r="528" spans="1:14" ht="15">
      <c r="C528" s="559"/>
      <c r="D528" s="706"/>
      <c r="E528" s="707" t="s">
        <v>1753</v>
      </c>
      <c r="F528" s="637"/>
      <c r="G528" s="637"/>
      <c r="H528" s="663" t="s">
        <v>884</v>
      </c>
      <c r="I528" s="708"/>
      <c r="J528" s="709">
        <v>2021</v>
      </c>
      <c r="K528" s="671">
        <v>2022</v>
      </c>
      <c r="L528" s="671">
        <v>2023</v>
      </c>
      <c r="M528" s="671">
        <v>2024</v>
      </c>
      <c r="N528" s="710">
        <v>2025</v>
      </c>
    </row>
    <row r="529" spans="1:14" ht="15" hidden="1">
      <c r="A529" s="719" t="s">
        <v>2289</v>
      </c>
      <c r="C529" s="559"/>
      <c r="D529" s="706"/>
      <c r="E529" s="698" t="s">
        <v>1714</v>
      </c>
      <c r="F529" s="698"/>
      <c r="G529" s="698"/>
      <c r="H529" s="63" t="str">
        <f>IFERROR(IF([1]K_Summary!$H$514 = "", "", [1]K_Summary!$H$514 ),"")</f>
        <v>tonnes</v>
      </c>
      <c r="I529" s="698"/>
      <c r="J529" s="157" t="str">
        <f>IFERROR(IF([1]K_Summary!$J$514 = "", "", [1]K_Summary!$J$514 ),"")</f>
        <v/>
      </c>
      <c r="K529" s="147" t="str">
        <f>IFERROR(IF([1]K_Summary!$K$514 = "", "", [1]K_Summary!$K$514 ),"")</f>
        <v/>
      </c>
      <c r="L529" s="147" t="str">
        <f>IFERROR(IF([1]K_Summary!$L$514 = "", "", [1]K_Summary!$L$514 ),"")</f>
        <v/>
      </c>
      <c r="M529" s="147" t="str">
        <f>IFERROR(IF([1]K_Summary!$M$514 = "", "", [1]K_Summary!$M$514 ),"")</f>
        <v/>
      </c>
      <c r="N529" s="158" t="str">
        <f>IFERROR(IF([1]K_Summary!$N$514 = "", "", [1]K_Summary!$N$514 ),"")</f>
        <v/>
      </c>
    </row>
    <row r="530" spans="1:14" ht="15" hidden="1">
      <c r="A530" s="719" t="s">
        <v>2289</v>
      </c>
      <c r="C530" s="559"/>
      <c r="D530" s="706"/>
      <c r="E530" s="720" t="s">
        <v>303</v>
      </c>
      <c r="F530" s="720"/>
      <c r="G530" s="720"/>
      <c r="H530" s="721" t="s">
        <v>2090</v>
      </c>
      <c r="I530" s="722"/>
      <c r="J530" s="159" t="str">
        <f>IFERROR(IF([1]K_Summary!$J$515 = "", "", [1]K_Summary!$J$515 ),"")</f>
        <v/>
      </c>
      <c r="K530" s="160" t="str">
        <f>IFERROR(IF([1]K_Summary!$K$515 = "", "", [1]K_Summary!$K$515 ),"")</f>
        <v/>
      </c>
      <c r="L530" s="160" t="str">
        <f>IFERROR(IF([1]K_Summary!$L$515 = "", "", [1]K_Summary!$L$515 ),"")</f>
        <v/>
      </c>
      <c r="M530" s="160" t="str">
        <f>IFERROR(IF([1]K_Summary!$M$515 = "", "", [1]K_Summary!$M$515 ),"")</f>
        <v/>
      </c>
      <c r="N530" s="161" t="str">
        <f>IFERROR(IF([1]K_Summary!$N$515 = "", "", [1]K_Summary!$N$515 ),"")</f>
        <v/>
      </c>
    </row>
    <row r="531" spans="1:14" ht="15" hidden="1">
      <c r="A531" s="719" t="s">
        <v>2289</v>
      </c>
      <c r="C531" s="559"/>
      <c r="D531" s="706"/>
      <c r="E531" s="723" t="s">
        <v>1422</v>
      </c>
      <c r="F531" s="723"/>
      <c r="G531" s="723"/>
      <c r="H531" s="724" t="s">
        <v>2090</v>
      </c>
      <c r="I531" s="725"/>
      <c r="J531" s="162" t="str">
        <f>IFERROR(IF([1]K_Summary!$J$516 = "", "", [1]K_Summary!$J$516 ),"")</f>
        <v/>
      </c>
      <c r="K531" s="163" t="str">
        <f>IFERROR(IF([1]K_Summary!$K$516 = "", "", [1]K_Summary!$K$516 ),"")</f>
        <v/>
      </c>
      <c r="L531" s="163" t="str">
        <f>IFERROR(IF([1]K_Summary!$L$516 = "", "", [1]K_Summary!$L$516 ),"")</f>
        <v/>
      </c>
      <c r="M531" s="163" t="str">
        <f>IFERROR(IF([1]K_Summary!$M$516 = "", "", [1]K_Summary!$M$516 ),"")</f>
        <v/>
      </c>
      <c r="N531" s="164" t="str">
        <f>IFERROR(IF([1]K_Summary!$N$516 = "", "", [1]K_Summary!$N$516 ),"")</f>
        <v/>
      </c>
    </row>
    <row r="532" spans="1:14" ht="15" hidden="1">
      <c r="A532" s="719" t="s">
        <v>2289</v>
      </c>
      <c r="C532" s="559"/>
      <c r="D532" s="706"/>
      <c r="E532" s="745" t="s">
        <v>1390</v>
      </c>
      <c r="F532" s="745"/>
      <c r="G532" s="745"/>
      <c r="H532" s="746" t="s">
        <v>2090</v>
      </c>
      <c r="I532" s="747"/>
      <c r="J532" s="186" t="str">
        <f>IFERROR(IF([1]K_Summary!$J$517 = "", "", [1]K_Summary!$J$517 ),"")</f>
        <v/>
      </c>
      <c r="K532" s="187" t="str">
        <f>IFERROR(IF([1]K_Summary!$K$517 = "", "", [1]K_Summary!$K$517 ),"")</f>
        <v/>
      </c>
      <c r="L532" s="187" t="str">
        <f>IFERROR(IF([1]K_Summary!$L$517 = "", "", [1]K_Summary!$L$517 ),"")</f>
        <v/>
      </c>
      <c r="M532" s="187" t="str">
        <f>IFERROR(IF([1]K_Summary!$M$517 = "", "", [1]K_Summary!$M$517 ),"")</f>
        <v/>
      </c>
      <c r="N532" s="188" t="str">
        <f>IFERROR(IF([1]K_Summary!$N$517 = "", "", [1]K_Summary!$N$517 ),"")</f>
        <v/>
      </c>
    </row>
    <row r="533" spans="1:14" ht="15">
      <c r="C533" s="559"/>
      <c r="D533" s="706"/>
      <c r="E533" s="720" t="s">
        <v>1691</v>
      </c>
      <c r="F533" s="720"/>
      <c r="G533" s="720"/>
      <c r="H533" s="748" t="s">
        <v>1021</v>
      </c>
      <c r="I533" s="722"/>
      <c r="J533" s="189" t="str">
        <f>IFERROR(IF([1]K_Summary!$J$518 = "", "", [1]K_Summary!$J$518 ),"")</f>
        <v/>
      </c>
      <c r="K533" s="190" t="str">
        <f>IFERROR(IF([1]K_Summary!$K$518 = "", "", [1]K_Summary!$K$518 ),"")</f>
        <v/>
      </c>
      <c r="L533" s="190" t="str">
        <f>IFERROR(IF([1]K_Summary!$L$518 = "", "", [1]K_Summary!$L$518 ),"")</f>
        <v/>
      </c>
      <c r="M533" s="190" t="str">
        <f>IFERROR(IF([1]K_Summary!$M$518 = "", "", [1]K_Summary!$M$518 ),"")</f>
        <v/>
      </c>
      <c r="N533" s="191" t="str">
        <f>IFERROR(IF([1]K_Summary!$N$518 = "", "", [1]K_Summary!$N$518 ),"")</f>
        <v/>
      </c>
    </row>
    <row r="534" spans="1:14" ht="15">
      <c r="C534" s="559"/>
      <c r="D534" s="706"/>
      <c r="E534" s="723" t="s">
        <v>1648</v>
      </c>
      <c r="F534" s="723"/>
      <c r="G534" s="723"/>
      <c r="H534" s="734" t="s">
        <v>1021</v>
      </c>
      <c r="I534" s="735"/>
      <c r="J534" s="174" t="str">
        <f>IFERROR(IF([1]K_Summary!$J$519 = "", "", [1]K_Summary!$J$519 ),"")</f>
        <v/>
      </c>
      <c r="K534" s="175" t="str">
        <f>IFERROR(IF([1]K_Summary!$K$519 = "", "", [1]K_Summary!$K$519 ),"")</f>
        <v/>
      </c>
      <c r="L534" s="175" t="str">
        <f>IFERROR(IF([1]K_Summary!$L$519 = "", "", [1]K_Summary!$L$519 ),"")</f>
        <v/>
      </c>
      <c r="M534" s="175" t="str">
        <f>IFERROR(IF([1]K_Summary!$M$519 = "", "", [1]K_Summary!$M$519 ),"")</f>
        <v/>
      </c>
      <c r="N534" s="176" t="str">
        <f>IFERROR(IF([1]K_Summary!$N$519 = "", "", [1]K_Summary!$N$519 ),"")</f>
        <v/>
      </c>
    </row>
    <row r="535" spans="1:14" ht="15">
      <c r="C535" s="559"/>
      <c r="D535" s="706"/>
      <c r="E535" s="736" t="s">
        <v>1852</v>
      </c>
      <c r="F535" s="736"/>
      <c r="G535" s="736"/>
      <c r="H535" s="737" t="s">
        <v>1021</v>
      </c>
      <c r="I535" s="738"/>
      <c r="J535" s="177" t="str">
        <f>IFERROR(IF([1]K_Summary!$J$520 = "", "", [1]K_Summary!$J$520 ),"")</f>
        <v/>
      </c>
      <c r="K535" s="178" t="str">
        <f>IFERROR(IF([1]K_Summary!$K$520 = "", "", [1]K_Summary!$K$520 ),"")</f>
        <v/>
      </c>
      <c r="L535" s="178" t="str">
        <f>IFERROR(IF([1]K_Summary!$L$520 = "", "", [1]K_Summary!$L$520 ),"")</f>
        <v/>
      </c>
      <c r="M535" s="178" t="str">
        <f>IFERROR(IF([1]K_Summary!$M$520 = "", "", [1]K_Summary!$M$520 ),"")</f>
        <v/>
      </c>
      <c r="N535" s="179" t="str">
        <f>IFERROR(IF([1]K_Summary!$N$520 = "", "", [1]K_Summary!$N$520 ),"")</f>
        <v/>
      </c>
    </row>
    <row r="536" spans="1:14" ht="15">
      <c r="C536" s="559"/>
      <c r="D536" s="706"/>
      <c r="E536" s="727" t="s">
        <v>1689</v>
      </c>
      <c r="F536" s="727"/>
      <c r="G536" s="727"/>
      <c r="H536" s="749" t="s">
        <v>1021</v>
      </c>
      <c r="I536" s="727"/>
      <c r="J536" s="192" t="str">
        <f>IFERROR(IF([1]K_Summary!$J$521 = "", "", [1]K_Summary!$J$521 ),"")</f>
        <v/>
      </c>
      <c r="K536" s="193" t="str">
        <f>IFERROR(IF([1]K_Summary!$K$521 = "", "", [1]K_Summary!$K$521 ),"")</f>
        <v/>
      </c>
      <c r="L536" s="193" t="str">
        <f>IFERROR(IF([1]K_Summary!$L$521 = "", "", [1]K_Summary!$L$521 ),"")</f>
        <v/>
      </c>
      <c r="M536" s="193" t="str">
        <f>IFERROR(IF([1]K_Summary!$M$521 = "", "", [1]K_Summary!$M$521 ),"")</f>
        <v/>
      </c>
      <c r="N536" s="194" t="str">
        <f>IFERROR(IF([1]K_Summary!$N$521 = "", "", [1]K_Summary!$N$521 ),"")</f>
        <v/>
      </c>
    </row>
    <row r="537" spans="1:14" ht="15" hidden="1">
      <c r="A537" s="719" t="s">
        <v>2289</v>
      </c>
      <c r="C537" s="559"/>
      <c r="D537" s="706"/>
      <c r="E537" s="727" t="s">
        <v>1391</v>
      </c>
      <c r="F537" s="727"/>
      <c r="G537" s="727"/>
      <c r="H537" s="750" t="s">
        <v>1021</v>
      </c>
      <c r="I537" s="729"/>
      <c r="J537" s="168" t="str">
        <f>IFERROR(IF([1]K_Summary!$J$522 = "", "", [1]K_Summary!$J$522 ),"")</f>
        <v/>
      </c>
      <c r="K537" s="169" t="str">
        <f>IFERROR(IF([1]K_Summary!$K$522 = "", "", [1]K_Summary!$K$522 ),"")</f>
        <v/>
      </c>
      <c r="L537" s="169" t="str">
        <f>IFERROR(IF([1]K_Summary!$L$522 = "", "", [1]K_Summary!$L$522 ),"")</f>
        <v/>
      </c>
      <c r="M537" s="169" t="str">
        <f>IFERROR(IF([1]K_Summary!$M$522 = "", "", [1]K_Summary!$M$522 ),"")</f>
        <v/>
      </c>
      <c r="N537" s="170" t="str">
        <f>IFERROR(IF([1]K_Summary!$N$522 = "", "", [1]K_Summary!$N$522 ),"")</f>
        <v/>
      </c>
    </row>
    <row r="538" spans="1:14" ht="15">
      <c r="C538" s="559"/>
      <c r="D538" s="706"/>
      <c r="E538" s="698" t="s">
        <v>1671</v>
      </c>
      <c r="F538" s="698"/>
      <c r="G538" s="698"/>
      <c r="H538" s="730" t="s">
        <v>2090</v>
      </c>
      <c r="I538" s="731"/>
      <c r="J538" s="148" t="str">
        <f>IFERROR(IF([1]K_Summary!$J$523 = "", "", [1]K_Summary!$J$523 ),"")</f>
        <v/>
      </c>
      <c r="K538" s="150" t="str">
        <f>IFERROR(IF([1]K_Summary!$K$523 = "", "", [1]K_Summary!$K$523 ),"")</f>
        <v/>
      </c>
      <c r="L538" s="150" t="str">
        <f>IFERROR(IF([1]K_Summary!$L$523 = "", "", [1]K_Summary!$L$523 ),"")</f>
        <v/>
      </c>
      <c r="M538" s="150" t="str">
        <f>IFERROR(IF([1]K_Summary!$M$523 = "", "", [1]K_Summary!$M$523 ),"")</f>
        <v/>
      </c>
      <c r="N538" s="171" t="str">
        <f>IFERROR(IF([1]K_Summary!$N$523 = "", "", [1]K_Summary!$N$523 ),"")</f>
        <v/>
      </c>
    </row>
    <row r="539" spans="1:14" ht="15">
      <c r="C539" s="559"/>
      <c r="D539" s="706"/>
      <c r="E539" s="698" t="s">
        <v>1670</v>
      </c>
      <c r="F539" s="698"/>
      <c r="G539" s="698"/>
      <c r="H539" s="730" t="s">
        <v>2090</v>
      </c>
      <c r="I539" s="731"/>
      <c r="J539" s="148" t="str">
        <f>IFERROR(IF([1]K_Summary!$J$524 = "", "", [1]K_Summary!$J$524 ),"")</f>
        <v/>
      </c>
      <c r="K539" s="150" t="str">
        <f>IFERROR(IF([1]K_Summary!$K$524 = "", "", [1]K_Summary!$K$524 ),"")</f>
        <v/>
      </c>
      <c r="L539" s="150" t="str">
        <f>IFERROR(IF([1]K_Summary!$L$524 = "", "", [1]K_Summary!$L$524 ),"")</f>
        <v/>
      </c>
      <c r="M539" s="150" t="str">
        <f>IFERROR(IF([1]K_Summary!$M$524 = "", "", [1]K_Summary!$M$524 ),"")</f>
        <v/>
      </c>
      <c r="N539" s="171" t="str">
        <f>IFERROR(IF([1]K_Summary!$N$524 = "", "", [1]K_Summary!$N$524 ),"")</f>
        <v/>
      </c>
    </row>
    <row r="540" spans="1:14" ht="15">
      <c r="C540" s="559"/>
      <c r="D540" s="706"/>
      <c r="E540" s="740" t="s">
        <v>2131</v>
      </c>
      <c r="F540" s="740"/>
      <c r="G540" s="740"/>
      <c r="H540" s="741" t="s">
        <v>1021</v>
      </c>
      <c r="I540" s="742"/>
      <c r="J540" s="183" t="str">
        <f>IFERROR(IF([1]K_Summary!$J$525 = "", "", [1]K_Summary!$J$525 ),"")</f>
        <v/>
      </c>
      <c r="K540" s="184" t="str">
        <f>IFERROR(IF([1]K_Summary!$K$525 = "", "", [1]K_Summary!$K$525 ),"")</f>
        <v/>
      </c>
      <c r="L540" s="184" t="str">
        <f>IFERROR(IF([1]K_Summary!$L$525 = "", "", [1]K_Summary!$L$525 ),"")</f>
        <v/>
      </c>
      <c r="M540" s="184" t="str">
        <f>IFERROR(IF([1]K_Summary!$M$525 = "", "", [1]K_Summary!$M$525 ),"")</f>
        <v/>
      </c>
      <c r="N540" s="185" t="str">
        <f>IFERROR(IF([1]K_Summary!$N$525 = "", "", [1]K_Summary!$N$525 ),"")</f>
        <v/>
      </c>
    </row>
    <row r="541" spans="1:14" ht="15">
      <c r="C541" s="559"/>
      <c r="D541" s="706"/>
      <c r="E541" s="485"/>
      <c r="F541" s="485"/>
      <c r="G541" s="485"/>
      <c r="H541" s="485"/>
      <c r="I541" s="743"/>
      <c r="J541" s="485"/>
      <c r="K541" s="485"/>
      <c r="L541" s="485"/>
      <c r="M541" s="485"/>
      <c r="N541" s="744"/>
    </row>
    <row r="542" spans="1:14" ht="15">
      <c r="C542" s="559"/>
      <c r="D542" s="706"/>
      <c r="E542" s="707" t="s">
        <v>1754</v>
      </c>
      <c r="F542" s="637"/>
      <c r="G542" s="637"/>
      <c r="H542" s="663" t="s">
        <v>884</v>
      </c>
      <c r="I542" s="708"/>
      <c r="J542" s="709">
        <v>2021</v>
      </c>
      <c r="K542" s="671">
        <v>2022</v>
      </c>
      <c r="L542" s="671">
        <v>2023</v>
      </c>
      <c r="M542" s="671">
        <v>2024</v>
      </c>
      <c r="N542" s="710">
        <v>2025</v>
      </c>
    </row>
    <row r="543" spans="1:14" ht="15" hidden="1">
      <c r="A543" s="719" t="s">
        <v>2289</v>
      </c>
      <c r="C543" s="559"/>
      <c r="D543" s="706"/>
      <c r="E543" s="698" t="s">
        <v>1714</v>
      </c>
      <c r="F543" s="698"/>
      <c r="G543" s="698"/>
      <c r="H543" s="63" t="str">
        <f>IFERROR(IF([1]K_Summary!$H$528 = "", "", [1]K_Summary!$H$528 ),"")</f>
        <v>tonnes</v>
      </c>
      <c r="I543" s="698"/>
      <c r="J543" s="157" t="str">
        <f>IFERROR(IF([1]K_Summary!$J$528 = "", "", [1]K_Summary!$J$528 ),"")</f>
        <v/>
      </c>
      <c r="K543" s="147" t="str">
        <f>IFERROR(IF([1]K_Summary!$K$528 = "", "", [1]K_Summary!$K$528 ),"")</f>
        <v/>
      </c>
      <c r="L543" s="147" t="str">
        <f>IFERROR(IF([1]K_Summary!$L$528 = "", "", [1]K_Summary!$L$528 ),"")</f>
        <v/>
      </c>
      <c r="M543" s="147" t="str">
        <f>IFERROR(IF([1]K_Summary!$M$528 = "", "", [1]K_Summary!$M$528 ),"")</f>
        <v/>
      </c>
      <c r="N543" s="158" t="str">
        <f>IFERROR(IF([1]K_Summary!$N$528 = "", "", [1]K_Summary!$N$528 ),"")</f>
        <v/>
      </c>
    </row>
    <row r="544" spans="1:14" ht="15">
      <c r="C544" s="559"/>
      <c r="D544" s="706"/>
      <c r="E544" s="720" t="s">
        <v>1691</v>
      </c>
      <c r="F544" s="720"/>
      <c r="G544" s="720"/>
      <c r="H544" s="748" t="s">
        <v>2090</v>
      </c>
      <c r="I544" s="722"/>
      <c r="J544" s="172" t="str">
        <f>IFERROR(IF([1]K_Summary!$J$529 = "", "", [1]K_Summary!$J$529 ),"")</f>
        <v/>
      </c>
      <c r="K544" s="54" t="str">
        <f>IFERROR(IF([1]K_Summary!$K$529 = "", "", [1]K_Summary!$K$529 ),"")</f>
        <v/>
      </c>
      <c r="L544" s="54" t="str">
        <f>IFERROR(IF([1]K_Summary!$L$529 = "", "", [1]K_Summary!$L$529 ),"")</f>
        <v/>
      </c>
      <c r="M544" s="54" t="str">
        <f>IFERROR(IF([1]K_Summary!$M$529 = "", "", [1]K_Summary!$M$529 ),"")</f>
        <v/>
      </c>
      <c r="N544" s="173" t="str">
        <f>IFERROR(IF([1]K_Summary!$N$529 = "", "", [1]K_Summary!$N$529 ),"")</f>
        <v/>
      </c>
    </row>
    <row r="545" spans="1:14" ht="15">
      <c r="C545" s="559"/>
      <c r="D545" s="706"/>
      <c r="E545" s="723" t="s">
        <v>1648</v>
      </c>
      <c r="F545" s="723"/>
      <c r="G545" s="723"/>
      <c r="H545" s="734" t="s">
        <v>1021</v>
      </c>
      <c r="I545" s="735"/>
      <c r="J545" s="174" t="str">
        <f>IFERROR(IF([1]K_Summary!$J$530 = "", "", [1]K_Summary!$J$530 ),"")</f>
        <v/>
      </c>
      <c r="K545" s="175" t="str">
        <f>IFERROR(IF([1]K_Summary!$K$530 = "", "", [1]K_Summary!$K$530 ),"")</f>
        <v/>
      </c>
      <c r="L545" s="175" t="str">
        <f>IFERROR(IF([1]K_Summary!$L$530 = "", "", [1]K_Summary!$L$530 ),"")</f>
        <v/>
      </c>
      <c r="M545" s="175" t="str">
        <f>IFERROR(IF([1]K_Summary!$M$530 = "", "", [1]K_Summary!$M$530 ),"")</f>
        <v/>
      </c>
      <c r="N545" s="176" t="str">
        <f>IFERROR(IF([1]K_Summary!$N$530 = "", "", [1]K_Summary!$N$530 ),"")</f>
        <v/>
      </c>
    </row>
    <row r="546" spans="1:14" ht="15">
      <c r="C546" s="559"/>
      <c r="D546" s="706"/>
      <c r="E546" s="736" t="s">
        <v>1853</v>
      </c>
      <c r="F546" s="736"/>
      <c r="G546" s="736"/>
      <c r="H546" s="737" t="s">
        <v>1021</v>
      </c>
      <c r="I546" s="738"/>
      <c r="J546" s="177" t="str">
        <f>IFERROR(IF([1]K_Summary!$J$531 = "", "", [1]K_Summary!$J$531 ),"")</f>
        <v/>
      </c>
      <c r="K546" s="178" t="str">
        <f>IFERROR(IF([1]K_Summary!$K$531 = "", "", [1]K_Summary!$K$531 ),"")</f>
        <v/>
      </c>
      <c r="L546" s="178" t="str">
        <f>IFERROR(IF([1]K_Summary!$L$531 = "", "", [1]K_Summary!$L$531 ),"")</f>
        <v/>
      </c>
      <c r="M546" s="178" t="str">
        <f>IFERROR(IF([1]K_Summary!$M$531 = "", "", [1]K_Summary!$M$531 ),"")</f>
        <v/>
      </c>
      <c r="N546" s="179" t="str">
        <f>IFERROR(IF([1]K_Summary!$N$531 = "", "", [1]K_Summary!$N$531 ),"")</f>
        <v/>
      </c>
    </row>
    <row r="547" spans="1:14" ht="15">
      <c r="C547" s="559"/>
      <c r="D547" s="706"/>
      <c r="E547" s="727" t="s">
        <v>1689</v>
      </c>
      <c r="F547" s="727"/>
      <c r="G547" s="727"/>
      <c r="H547" s="749" t="s">
        <v>2090</v>
      </c>
      <c r="I547" s="727"/>
      <c r="J547" s="180" t="str">
        <f>IFERROR(IF([1]K_Summary!$J$532 = "", "", [1]K_Summary!$J$532 ),"")</f>
        <v/>
      </c>
      <c r="K547" s="181" t="str">
        <f>IFERROR(IF([1]K_Summary!$K$532 = "", "", [1]K_Summary!$K$532 ),"")</f>
        <v/>
      </c>
      <c r="L547" s="181" t="str">
        <f>IFERROR(IF([1]K_Summary!$L$532 = "", "", [1]K_Summary!$L$532 ),"")</f>
        <v/>
      </c>
      <c r="M547" s="181" t="str">
        <f>IFERROR(IF([1]K_Summary!$M$532 = "", "", [1]K_Summary!$M$532 ),"")</f>
        <v/>
      </c>
      <c r="N547" s="182" t="str">
        <f>IFERROR(IF([1]K_Summary!$N$532 = "", "", [1]K_Summary!$N$532 ),"")</f>
        <v/>
      </c>
    </row>
    <row r="548" spans="1:14" ht="15" hidden="1">
      <c r="A548" s="719" t="s">
        <v>2289</v>
      </c>
      <c r="C548" s="559"/>
      <c r="D548" s="706"/>
      <c r="E548" s="723" t="s">
        <v>1422</v>
      </c>
      <c r="F548" s="723"/>
      <c r="G548" s="723"/>
      <c r="H548" s="724" t="s">
        <v>2090</v>
      </c>
      <c r="I548" s="725"/>
      <c r="J548" s="162" t="str">
        <f>IFERROR(IF([1]K_Summary!$J$533 = "", "", [1]K_Summary!$J$533 ),"")</f>
        <v/>
      </c>
      <c r="K548" s="163" t="str">
        <f>IFERROR(IF([1]K_Summary!$K$533 = "", "", [1]K_Summary!$K$533 ),"")</f>
        <v/>
      </c>
      <c r="L548" s="163" t="str">
        <f>IFERROR(IF([1]K_Summary!$L$533 = "", "", [1]K_Summary!$L$533 ),"")</f>
        <v/>
      </c>
      <c r="M548" s="163" t="str">
        <f>IFERROR(IF([1]K_Summary!$M$533 = "", "", [1]K_Summary!$M$533 ),"")</f>
        <v/>
      </c>
      <c r="N548" s="164" t="str">
        <f>IFERROR(IF([1]K_Summary!$N$533 = "", "", [1]K_Summary!$N$533 ),"")</f>
        <v/>
      </c>
    </row>
    <row r="549" spans="1:14" ht="15" hidden="1">
      <c r="A549" s="719" t="s">
        <v>2289</v>
      </c>
      <c r="C549" s="559"/>
      <c r="D549" s="706"/>
      <c r="E549" s="723" t="s">
        <v>1390</v>
      </c>
      <c r="F549" s="723"/>
      <c r="G549" s="723"/>
      <c r="H549" s="724" t="s">
        <v>2090</v>
      </c>
      <c r="I549" s="725"/>
      <c r="J549" s="162" t="str">
        <f>IFERROR(IF([1]K_Summary!$J$534 = "", "", [1]K_Summary!$J$534 ),"")</f>
        <v/>
      </c>
      <c r="K549" s="163" t="str">
        <f>IFERROR(IF([1]K_Summary!$K$534 = "", "", [1]K_Summary!$K$534 ),"")</f>
        <v/>
      </c>
      <c r="L549" s="163" t="str">
        <f>IFERROR(IF([1]K_Summary!$L$534 = "", "", [1]K_Summary!$L$534 ),"")</f>
        <v/>
      </c>
      <c r="M549" s="163" t="str">
        <f>IFERROR(IF([1]K_Summary!$M$534 = "", "", [1]K_Summary!$M$534 ),"")</f>
        <v/>
      </c>
      <c r="N549" s="164" t="str">
        <f>IFERROR(IF([1]K_Summary!$N$534 = "", "", [1]K_Summary!$N$534 ),"")</f>
        <v/>
      </c>
    </row>
    <row r="550" spans="1:14" ht="15" hidden="1">
      <c r="A550" s="719" t="s">
        <v>2289</v>
      </c>
      <c r="C550" s="559"/>
      <c r="D550" s="706"/>
      <c r="E550" s="723" t="s">
        <v>1389</v>
      </c>
      <c r="F550" s="723"/>
      <c r="G550" s="723"/>
      <c r="H550" s="726" t="s">
        <v>1021</v>
      </c>
      <c r="I550" s="725"/>
      <c r="J550" s="165" t="str">
        <f>IFERROR(IF([1]K_Summary!$J$535 = "", "", [1]K_Summary!$J$535 ),"")</f>
        <v/>
      </c>
      <c r="K550" s="166" t="str">
        <f>IFERROR(IF([1]K_Summary!$K$535 = "", "", [1]K_Summary!$K$535 ),"")</f>
        <v/>
      </c>
      <c r="L550" s="166" t="str">
        <f>IFERROR(IF([1]K_Summary!$L$535 = "", "", [1]K_Summary!$L$535 ),"")</f>
        <v/>
      </c>
      <c r="M550" s="166" t="str">
        <f>IFERROR(IF([1]K_Summary!$M$535 = "", "", [1]K_Summary!$M$535 ),"")</f>
        <v/>
      </c>
      <c r="N550" s="167" t="str">
        <f>IFERROR(IF([1]K_Summary!$N$535 = "", "", [1]K_Summary!$N$535 ),"")</f>
        <v/>
      </c>
    </row>
    <row r="551" spans="1:14" ht="15" hidden="1">
      <c r="A551" s="719" t="s">
        <v>2289</v>
      </c>
      <c r="C551" s="559"/>
      <c r="D551" s="706"/>
      <c r="E551" s="727" t="s">
        <v>1391</v>
      </c>
      <c r="F551" s="727"/>
      <c r="G551" s="727"/>
      <c r="H551" s="728" t="s">
        <v>1021</v>
      </c>
      <c r="I551" s="729"/>
      <c r="J551" s="168" t="str">
        <f>IFERROR(IF([1]K_Summary!$J$536 = "", "", [1]K_Summary!$J$536 ),"")</f>
        <v/>
      </c>
      <c r="K551" s="169" t="str">
        <f>IFERROR(IF([1]K_Summary!$K$536 = "", "", [1]K_Summary!$K$536 ),"")</f>
        <v/>
      </c>
      <c r="L551" s="169" t="str">
        <f>IFERROR(IF([1]K_Summary!$L$536 = "", "", [1]K_Summary!$L$536 ),"")</f>
        <v/>
      </c>
      <c r="M551" s="169" t="str">
        <f>IFERROR(IF([1]K_Summary!$M$536 = "", "", [1]K_Summary!$M$536 ),"")</f>
        <v/>
      </c>
      <c r="N551" s="170" t="str">
        <f>IFERROR(IF([1]K_Summary!$N$536 = "", "", [1]K_Summary!$N$536 ),"")</f>
        <v/>
      </c>
    </row>
    <row r="552" spans="1:14" ht="15">
      <c r="C552" s="559"/>
      <c r="D552" s="706"/>
      <c r="E552" s="698" t="s">
        <v>1671</v>
      </c>
      <c r="F552" s="698"/>
      <c r="G552" s="698"/>
      <c r="H552" s="730" t="s">
        <v>2090</v>
      </c>
      <c r="I552" s="731"/>
      <c r="J552" s="148" t="str">
        <f>IFERROR(IF([1]K_Summary!$J$537 = "", "", [1]K_Summary!$J$537 ),"")</f>
        <v/>
      </c>
      <c r="K552" s="150" t="str">
        <f>IFERROR(IF([1]K_Summary!$K$537 = "", "", [1]K_Summary!$K$537 ),"")</f>
        <v/>
      </c>
      <c r="L552" s="150" t="str">
        <f>IFERROR(IF([1]K_Summary!$L$537 = "", "", [1]K_Summary!$L$537 ),"")</f>
        <v/>
      </c>
      <c r="M552" s="150" t="str">
        <f>IFERROR(IF([1]K_Summary!$M$537 = "", "", [1]K_Summary!$M$537 ),"")</f>
        <v/>
      </c>
      <c r="N552" s="171" t="str">
        <f>IFERROR(IF([1]K_Summary!$N$537 = "", "", [1]K_Summary!$N$537 ),"")</f>
        <v/>
      </c>
    </row>
    <row r="553" spans="1:14" ht="15">
      <c r="C553" s="559"/>
      <c r="D553" s="706"/>
      <c r="E553" s="698" t="s">
        <v>1670</v>
      </c>
      <c r="F553" s="698"/>
      <c r="G553" s="698"/>
      <c r="H553" s="730" t="s">
        <v>2090</v>
      </c>
      <c r="I553" s="731"/>
      <c r="J553" s="148" t="str">
        <f>IFERROR(IF([1]K_Summary!$J$538 = "", "", [1]K_Summary!$J$538 ),"")</f>
        <v/>
      </c>
      <c r="K553" s="150" t="str">
        <f>IFERROR(IF([1]K_Summary!$K$538 = "", "", [1]K_Summary!$K$538 ),"")</f>
        <v/>
      </c>
      <c r="L553" s="150" t="str">
        <f>IFERROR(IF([1]K_Summary!$L$538 = "", "", [1]K_Summary!$L$538 ),"")</f>
        <v/>
      </c>
      <c r="M553" s="150" t="str">
        <f>IFERROR(IF([1]K_Summary!$M$538 = "", "", [1]K_Summary!$M$538 ),"")</f>
        <v/>
      </c>
      <c r="N553" s="171" t="str">
        <f>IFERROR(IF([1]K_Summary!$N$538 = "", "", [1]K_Summary!$N$538 ),"")</f>
        <v/>
      </c>
    </row>
    <row r="554" spans="1:14" ht="15">
      <c r="C554" s="559"/>
      <c r="D554" s="706"/>
      <c r="E554" s="740" t="s">
        <v>2132</v>
      </c>
      <c r="F554" s="740"/>
      <c r="G554" s="740"/>
      <c r="H554" s="741" t="s">
        <v>1021</v>
      </c>
      <c r="I554" s="742"/>
      <c r="J554" s="183" t="str">
        <f>IFERROR(IF([1]K_Summary!$J$539 = "", "", [1]K_Summary!$J$539 ),"")</f>
        <v/>
      </c>
      <c r="K554" s="184" t="str">
        <f>IFERROR(IF([1]K_Summary!$K$539 = "", "", [1]K_Summary!$K$539 ),"")</f>
        <v/>
      </c>
      <c r="L554" s="184" t="str">
        <f>IFERROR(IF([1]K_Summary!$L$539 = "", "", [1]K_Summary!$L$539 ),"")</f>
        <v/>
      </c>
      <c r="M554" s="184" t="str">
        <f>IFERROR(IF([1]K_Summary!$M$539 = "", "", [1]K_Summary!$M$539 ),"")</f>
        <v/>
      </c>
      <c r="N554" s="185" t="str">
        <f>IFERROR(IF([1]K_Summary!$N$539 = "", "", [1]K_Summary!$N$539 ),"")</f>
        <v/>
      </c>
    </row>
    <row r="555" spans="1:14" ht="15">
      <c r="C555" s="559"/>
      <c r="D555" s="706"/>
      <c r="E555" s="485"/>
      <c r="F555" s="485"/>
      <c r="G555" s="485"/>
      <c r="H555" s="485"/>
      <c r="I555" s="743"/>
      <c r="J555" s="485"/>
      <c r="K555" s="485"/>
      <c r="L555" s="485"/>
      <c r="M555" s="485"/>
      <c r="N555" s="744"/>
    </row>
    <row r="556" spans="1:14" ht="15">
      <c r="C556" s="559"/>
      <c r="D556" s="706"/>
      <c r="E556" s="707" t="s">
        <v>1755</v>
      </c>
      <c r="F556" s="637"/>
      <c r="G556" s="637"/>
      <c r="H556" s="663" t="s">
        <v>884</v>
      </c>
      <c r="I556" s="708"/>
      <c r="J556" s="709">
        <v>2021</v>
      </c>
      <c r="K556" s="671">
        <v>2022</v>
      </c>
      <c r="L556" s="671">
        <v>2023</v>
      </c>
      <c r="M556" s="671">
        <v>2024</v>
      </c>
      <c r="N556" s="710">
        <v>2025</v>
      </c>
    </row>
    <row r="557" spans="1:14" ht="15" hidden="1">
      <c r="A557" s="719" t="s">
        <v>2289</v>
      </c>
      <c r="C557" s="559"/>
      <c r="D557" s="706"/>
      <c r="E557" s="698" t="s">
        <v>1714</v>
      </c>
      <c r="F557" s="698"/>
      <c r="G557" s="698"/>
      <c r="H557" s="63" t="str">
        <f>IFERROR(IF([1]K_Summary!$H$542 = "", "", [1]K_Summary!$H$542 ),"")</f>
        <v>tonnes</v>
      </c>
      <c r="I557" s="698"/>
      <c r="J557" s="157" t="str">
        <f>IFERROR(IF([1]K_Summary!$J$542 = "", "", [1]K_Summary!$J$542 ),"")</f>
        <v/>
      </c>
      <c r="K557" s="147" t="str">
        <f>IFERROR(IF([1]K_Summary!$K$542 = "", "", [1]K_Summary!$K$542 ),"")</f>
        <v/>
      </c>
      <c r="L557" s="147" t="str">
        <f>IFERROR(IF([1]K_Summary!$L$542 = "", "", [1]K_Summary!$L$542 ),"")</f>
        <v/>
      </c>
      <c r="M557" s="147" t="str">
        <f>IFERROR(IF([1]K_Summary!$M$542 = "", "", [1]K_Summary!$M$542 ),"")</f>
        <v/>
      </c>
      <c r="N557" s="158" t="str">
        <f>IFERROR(IF([1]K_Summary!$N$542 = "", "", [1]K_Summary!$N$542 ),"")</f>
        <v/>
      </c>
    </row>
    <row r="558" spans="1:14" ht="15" hidden="1">
      <c r="A558" s="719" t="s">
        <v>2289</v>
      </c>
      <c r="C558" s="559"/>
      <c r="D558" s="706"/>
      <c r="E558" s="720" t="s">
        <v>303</v>
      </c>
      <c r="F558" s="720"/>
      <c r="G558" s="720"/>
      <c r="H558" s="721" t="s">
        <v>2090</v>
      </c>
      <c r="I558" s="722"/>
      <c r="J558" s="159" t="str">
        <f>IFERROR(IF([1]K_Summary!$J$543 = "", "", [1]K_Summary!$J$543 ),"")</f>
        <v/>
      </c>
      <c r="K558" s="160" t="str">
        <f>IFERROR(IF([1]K_Summary!$K$543 = "", "", [1]K_Summary!$K$543 ),"")</f>
        <v/>
      </c>
      <c r="L558" s="160" t="str">
        <f>IFERROR(IF([1]K_Summary!$L$543 = "", "", [1]K_Summary!$L$543 ),"")</f>
        <v/>
      </c>
      <c r="M558" s="160" t="str">
        <f>IFERROR(IF([1]K_Summary!$M$543 = "", "", [1]K_Summary!$M$543 ),"")</f>
        <v/>
      </c>
      <c r="N558" s="161" t="str">
        <f>IFERROR(IF([1]K_Summary!$N$543 = "", "", [1]K_Summary!$N$543 ),"")</f>
        <v/>
      </c>
    </row>
    <row r="559" spans="1:14" ht="15" hidden="1">
      <c r="A559" s="719" t="s">
        <v>2289</v>
      </c>
      <c r="C559" s="559"/>
      <c r="D559" s="706"/>
      <c r="E559" s="745" t="s">
        <v>1422</v>
      </c>
      <c r="F559" s="745"/>
      <c r="G559" s="745"/>
      <c r="H559" s="746" t="s">
        <v>2090</v>
      </c>
      <c r="I559" s="747"/>
      <c r="J559" s="186" t="str">
        <f>IFERROR(IF([1]K_Summary!$J$544 = "", "", [1]K_Summary!$J$544 ),"")</f>
        <v/>
      </c>
      <c r="K559" s="187" t="str">
        <f>IFERROR(IF([1]K_Summary!$K$544 = "", "", [1]K_Summary!$K$544 ),"")</f>
        <v/>
      </c>
      <c r="L559" s="187" t="str">
        <f>IFERROR(IF([1]K_Summary!$L$544 = "", "", [1]K_Summary!$L$544 ),"")</f>
        <v/>
      </c>
      <c r="M559" s="187" t="str">
        <f>IFERROR(IF([1]K_Summary!$M$544 = "", "", [1]K_Summary!$M$544 ),"")</f>
        <v/>
      </c>
      <c r="N559" s="188" t="str">
        <f>IFERROR(IF([1]K_Summary!$N$544 = "", "", [1]K_Summary!$N$544 ),"")</f>
        <v/>
      </c>
    </row>
    <row r="560" spans="1:14" ht="15">
      <c r="C560" s="559"/>
      <c r="D560" s="706"/>
      <c r="E560" s="720" t="s">
        <v>1691</v>
      </c>
      <c r="F560" s="720"/>
      <c r="G560" s="720"/>
      <c r="H560" s="721" t="s">
        <v>2090</v>
      </c>
      <c r="I560" s="722"/>
      <c r="J560" s="195" t="str">
        <f>IFERROR(IF([1]K_Summary!$J$545 = "", "", [1]K_Summary!$J$545 ),"")</f>
        <v/>
      </c>
      <c r="K560" s="196" t="str">
        <f>IFERROR(IF([1]K_Summary!$K$545 = "", "", [1]K_Summary!$K$545 ),"")</f>
        <v/>
      </c>
      <c r="L560" s="196" t="str">
        <f>IFERROR(IF([1]K_Summary!$L$545 = "", "", [1]K_Summary!$L$545 ),"")</f>
        <v/>
      </c>
      <c r="M560" s="196" t="str">
        <f>IFERROR(IF([1]K_Summary!$M$545 = "", "", [1]K_Summary!$M$545 ),"")</f>
        <v/>
      </c>
      <c r="N560" s="197" t="str">
        <f>IFERROR(IF([1]K_Summary!$N$545 = "", "", [1]K_Summary!$N$545 ),"")</f>
        <v/>
      </c>
    </row>
    <row r="561" spans="1:14" ht="15">
      <c r="C561" s="559"/>
      <c r="D561" s="706"/>
      <c r="E561" s="723" t="s">
        <v>1648</v>
      </c>
      <c r="F561" s="723"/>
      <c r="G561" s="723"/>
      <c r="H561" s="751" t="s">
        <v>1021</v>
      </c>
      <c r="I561" s="735"/>
      <c r="J561" s="174" t="str">
        <f>IFERROR(IF([1]K_Summary!$J$546 = "", "", [1]K_Summary!$J$546 ),"")</f>
        <v/>
      </c>
      <c r="K561" s="175" t="str">
        <f>IFERROR(IF([1]K_Summary!$K$546 = "", "", [1]K_Summary!$K$546 ),"")</f>
        <v/>
      </c>
      <c r="L561" s="175" t="str">
        <f>IFERROR(IF([1]K_Summary!$L$546 = "", "", [1]K_Summary!$L$546 ),"")</f>
        <v/>
      </c>
      <c r="M561" s="175" t="str">
        <f>IFERROR(IF([1]K_Summary!$M$546 = "", "", [1]K_Summary!$M$546 ),"")</f>
        <v/>
      </c>
      <c r="N561" s="176" t="str">
        <f>IFERROR(IF([1]K_Summary!$N$546 = "", "", [1]K_Summary!$N$546 ),"")</f>
        <v/>
      </c>
    </row>
    <row r="562" spans="1:14" ht="15">
      <c r="C562" s="559"/>
      <c r="D562" s="706"/>
      <c r="E562" s="736" t="s">
        <v>1854</v>
      </c>
      <c r="F562" s="736"/>
      <c r="G562" s="736"/>
      <c r="H562" s="738" t="s">
        <v>1021</v>
      </c>
      <c r="I562" s="738"/>
      <c r="J562" s="177" t="str">
        <f>IFERROR(IF([1]K_Summary!$J$547 = "", "", [1]K_Summary!$J$547 ),"")</f>
        <v/>
      </c>
      <c r="K562" s="178" t="str">
        <f>IFERROR(IF([1]K_Summary!$K$547 = "", "", [1]K_Summary!$K$547 ),"")</f>
        <v/>
      </c>
      <c r="L562" s="178" t="str">
        <f>IFERROR(IF([1]K_Summary!$L$547 = "", "", [1]K_Summary!$L$547 ),"")</f>
        <v/>
      </c>
      <c r="M562" s="178" t="str">
        <f>IFERROR(IF([1]K_Summary!$M$547 = "", "", [1]K_Summary!$M$547 ),"")</f>
        <v/>
      </c>
      <c r="N562" s="179" t="str">
        <f>IFERROR(IF([1]K_Summary!$N$547 = "", "", [1]K_Summary!$N$547 ),"")</f>
        <v/>
      </c>
    </row>
    <row r="563" spans="1:14" ht="15">
      <c r="C563" s="559"/>
      <c r="D563" s="706"/>
      <c r="E563" s="727" t="s">
        <v>1689</v>
      </c>
      <c r="F563" s="727"/>
      <c r="G563" s="727"/>
      <c r="H563" s="728" t="s">
        <v>2090</v>
      </c>
      <c r="I563" s="729"/>
      <c r="J563" s="198" t="str">
        <f>IFERROR(IF([1]K_Summary!$J$548 = "", "", [1]K_Summary!$J$548 ),"")</f>
        <v/>
      </c>
      <c r="K563" s="199" t="str">
        <f>IFERROR(IF([1]K_Summary!$K$548 = "", "", [1]K_Summary!$K$548 ),"")</f>
        <v/>
      </c>
      <c r="L563" s="199" t="str">
        <f>IFERROR(IF([1]K_Summary!$L$548 = "", "", [1]K_Summary!$L$548 ),"")</f>
        <v/>
      </c>
      <c r="M563" s="199" t="str">
        <f>IFERROR(IF([1]K_Summary!$M$548 = "", "", [1]K_Summary!$M$548 ),"")</f>
        <v/>
      </c>
      <c r="N563" s="200" t="str">
        <f>IFERROR(IF([1]K_Summary!$N$548 = "", "", [1]K_Summary!$N$548 ),"")</f>
        <v/>
      </c>
    </row>
    <row r="564" spans="1:14" ht="15" hidden="1">
      <c r="A564" s="719" t="s">
        <v>2289</v>
      </c>
      <c r="C564" s="559"/>
      <c r="D564" s="706"/>
      <c r="E564" s="645" t="s">
        <v>1389</v>
      </c>
      <c r="F564" s="645"/>
      <c r="G564" s="645"/>
      <c r="H564" s="752" t="s">
        <v>1021</v>
      </c>
      <c r="I564" s="753"/>
      <c r="J564" s="201" t="str">
        <f>IFERROR(IF([1]K_Summary!$J$549 = "", "", [1]K_Summary!$J$549 ),"")</f>
        <v/>
      </c>
      <c r="K564" s="202" t="str">
        <f>IFERROR(IF([1]K_Summary!$K$549 = "", "", [1]K_Summary!$K$549 ),"")</f>
        <v/>
      </c>
      <c r="L564" s="202" t="str">
        <f>IFERROR(IF([1]K_Summary!$L$549 = "", "", [1]K_Summary!$L$549 ),"")</f>
        <v/>
      </c>
      <c r="M564" s="202" t="str">
        <f>IFERROR(IF([1]K_Summary!$M$549 = "", "", [1]K_Summary!$M$549 ),"")</f>
        <v/>
      </c>
      <c r="N564" s="203" t="str">
        <f>IFERROR(IF([1]K_Summary!$N$549 = "", "", [1]K_Summary!$N$549 ),"")</f>
        <v/>
      </c>
    </row>
    <row r="565" spans="1:14" ht="15" hidden="1">
      <c r="A565" s="719" t="s">
        <v>2289</v>
      </c>
      <c r="C565" s="559"/>
      <c r="D565" s="706"/>
      <c r="E565" s="727" t="s">
        <v>1391</v>
      </c>
      <c r="F565" s="727"/>
      <c r="G565" s="727"/>
      <c r="H565" s="728" t="s">
        <v>1021</v>
      </c>
      <c r="I565" s="729"/>
      <c r="J565" s="168" t="str">
        <f>IFERROR(IF([1]K_Summary!$J$550 = "", "", [1]K_Summary!$J$550 ),"")</f>
        <v/>
      </c>
      <c r="K565" s="169" t="str">
        <f>IFERROR(IF([1]K_Summary!$K$550 = "", "", [1]K_Summary!$K$550 ),"")</f>
        <v/>
      </c>
      <c r="L565" s="169" t="str">
        <f>IFERROR(IF([1]K_Summary!$L$550 = "", "", [1]K_Summary!$L$550 ),"")</f>
        <v/>
      </c>
      <c r="M565" s="169" t="str">
        <f>IFERROR(IF([1]K_Summary!$M$550 = "", "", [1]K_Summary!$M$550 ),"")</f>
        <v/>
      </c>
      <c r="N565" s="170" t="str">
        <f>IFERROR(IF([1]K_Summary!$N$550 = "", "", [1]K_Summary!$N$550 ),"")</f>
        <v/>
      </c>
    </row>
    <row r="566" spans="1:14" ht="15">
      <c r="C566" s="559"/>
      <c r="D566" s="706"/>
      <c r="E566" s="698" t="s">
        <v>1671</v>
      </c>
      <c r="F566" s="698"/>
      <c r="G566" s="698"/>
      <c r="H566" s="730" t="s">
        <v>2090</v>
      </c>
      <c r="I566" s="731"/>
      <c r="J566" s="148" t="str">
        <f>IFERROR(IF([1]K_Summary!$J$551 = "", "", [1]K_Summary!$J$551 ),"")</f>
        <v/>
      </c>
      <c r="K566" s="150" t="str">
        <f>IFERROR(IF([1]K_Summary!$K$551 = "", "", [1]K_Summary!$K$551 ),"")</f>
        <v/>
      </c>
      <c r="L566" s="150" t="str">
        <f>IFERROR(IF([1]K_Summary!$L$551 = "", "", [1]K_Summary!$L$551 ),"")</f>
        <v/>
      </c>
      <c r="M566" s="150" t="str">
        <f>IFERROR(IF([1]K_Summary!$M$551 = "", "", [1]K_Summary!$M$551 ),"")</f>
        <v/>
      </c>
      <c r="N566" s="171" t="str">
        <f>IFERROR(IF([1]K_Summary!$N$551 = "", "", [1]K_Summary!$N$551 ),"")</f>
        <v/>
      </c>
    </row>
    <row r="567" spans="1:14" ht="15">
      <c r="C567" s="559"/>
      <c r="D567" s="706"/>
      <c r="E567" s="698" t="s">
        <v>1670</v>
      </c>
      <c r="F567" s="698"/>
      <c r="G567" s="698"/>
      <c r="H567" s="730" t="s">
        <v>2090</v>
      </c>
      <c r="I567" s="731"/>
      <c r="J567" s="148" t="str">
        <f>IFERROR(IF([1]K_Summary!$J$552 = "", "", [1]K_Summary!$J$552 ),"")</f>
        <v/>
      </c>
      <c r="K567" s="150" t="str">
        <f>IFERROR(IF([1]K_Summary!$K$552 = "", "", [1]K_Summary!$K$552 ),"")</f>
        <v/>
      </c>
      <c r="L567" s="150" t="str">
        <f>IFERROR(IF([1]K_Summary!$L$552 = "", "", [1]K_Summary!$L$552 ),"")</f>
        <v/>
      </c>
      <c r="M567" s="150" t="str">
        <f>IFERROR(IF([1]K_Summary!$M$552 = "", "", [1]K_Summary!$M$552 ),"")</f>
        <v/>
      </c>
      <c r="N567" s="171" t="str">
        <f>IFERROR(IF([1]K_Summary!$N$552 = "", "", [1]K_Summary!$N$552 ),"")</f>
        <v/>
      </c>
    </row>
    <row r="568" spans="1:14" ht="15">
      <c r="C568" s="559"/>
      <c r="D568" s="706"/>
      <c r="E568" s="740" t="s">
        <v>2133</v>
      </c>
      <c r="F568" s="698"/>
      <c r="G568" s="698"/>
      <c r="H568" s="741" t="s">
        <v>1021</v>
      </c>
      <c r="I568" s="742"/>
      <c r="J568" s="183" t="str">
        <f>IFERROR(IF([1]K_Summary!$J$553 = "", "", [1]K_Summary!$J$553 ),"")</f>
        <v/>
      </c>
      <c r="K568" s="184" t="str">
        <f>IFERROR(IF([1]K_Summary!$K$553 = "", "", [1]K_Summary!$K$553 ),"")</f>
        <v/>
      </c>
      <c r="L568" s="184" t="str">
        <f>IFERROR(IF([1]K_Summary!$L$553 = "", "", [1]K_Summary!$L$553 ),"")</f>
        <v/>
      </c>
      <c r="M568" s="184" t="str">
        <f>IFERROR(IF([1]K_Summary!$M$553 = "", "", [1]K_Summary!$M$553 ),"")</f>
        <v/>
      </c>
      <c r="N568" s="185" t="str">
        <f>IFERROR(IF([1]K_Summary!$N$553 = "", "", [1]K_Summary!$N$553 ),"")</f>
        <v/>
      </c>
    </row>
    <row r="569" spans="1:14" ht="15">
      <c r="C569" s="559"/>
      <c r="D569" s="706"/>
      <c r="E569" s="485"/>
      <c r="F569" s="485"/>
      <c r="G569" s="485"/>
      <c r="H569" s="485"/>
      <c r="I569" s="743"/>
      <c r="J569" s="485"/>
      <c r="K569" s="485"/>
      <c r="L569" s="485"/>
      <c r="M569" s="485"/>
      <c r="N569" s="744"/>
    </row>
    <row r="570" spans="1:14" ht="15">
      <c r="C570" s="559"/>
      <c r="D570" s="706"/>
      <c r="E570" s="707" t="s">
        <v>1756</v>
      </c>
      <c r="F570" s="637"/>
      <c r="G570" s="637"/>
      <c r="H570" s="663" t="s">
        <v>884</v>
      </c>
      <c r="I570" s="708"/>
      <c r="J570" s="709">
        <v>2021</v>
      </c>
      <c r="K570" s="671">
        <v>2022</v>
      </c>
      <c r="L570" s="671">
        <v>2023</v>
      </c>
      <c r="M570" s="671">
        <v>2024</v>
      </c>
      <c r="N570" s="710">
        <v>2025</v>
      </c>
    </row>
    <row r="571" spans="1:14" ht="15" hidden="1">
      <c r="A571" s="719" t="s">
        <v>2289</v>
      </c>
      <c r="C571" s="559"/>
      <c r="D571" s="706"/>
      <c r="E571" s="698" t="s">
        <v>1714</v>
      </c>
      <c r="F571" s="698"/>
      <c r="G571" s="698"/>
      <c r="H571" s="63" t="str">
        <f>IFERROR(IF([1]K_Summary!$H$556 = "", "", [1]K_Summary!$H$556 ),"")</f>
        <v>tonnes</v>
      </c>
      <c r="I571" s="698"/>
      <c r="J571" s="157" t="str">
        <f>IFERROR(IF([1]K_Summary!$J$556 = "", "", [1]K_Summary!$J$556 ),"")</f>
        <v/>
      </c>
      <c r="K571" s="147" t="str">
        <f>IFERROR(IF([1]K_Summary!$K$556 = "", "", [1]K_Summary!$K$556 ),"")</f>
        <v/>
      </c>
      <c r="L571" s="147" t="str">
        <f>IFERROR(IF([1]K_Summary!$L$556 = "", "", [1]K_Summary!$L$556 ),"")</f>
        <v/>
      </c>
      <c r="M571" s="147" t="str">
        <f>IFERROR(IF([1]K_Summary!$M$556 = "", "", [1]K_Summary!$M$556 ),"")</f>
        <v/>
      </c>
      <c r="N571" s="158" t="str">
        <f>IFERROR(IF([1]K_Summary!$N$556 = "", "", [1]K_Summary!$N$556 ),"")</f>
        <v/>
      </c>
    </row>
    <row r="572" spans="1:14" ht="15" hidden="1">
      <c r="A572" s="719" t="s">
        <v>2289</v>
      </c>
      <c r="C572" s="559"/>
      <c r="D572" s="706"/>
      <c r="E572" s="720" t="s">
        <v>303</v>
      </c>
      <c r="F572" s="720"/>
      <c r="G572" s="720"/>
      <c r="H572" s="721" t="s">
        <v>2090</v>
      </c>
      <c r="I572" s="722"/>
      <c r="J572" s="159" t="str">
        <f>IFERROR(IF([1]K_Summary!$J$557 = "", "", [1]K_Summary!$J$557 ),"")</f>
        <v/>
      </c>
      <c r="K572" s="160" t="str">
        <f>IFERROR(IF([1]K_Summary!$K$557 = "", "", [1]K_Summary!$K$557 ),"")</f>
        <v/>
      </c>
      <c r="L572" s="160" t="str">
        <f>IFERROR(IF([1]K_Summary!$L$557 = "", "", [1]K_Summary!$L$557 ),"")</f>
        <v/>
      </c>
      <c r="M572" s="160" t="str">
        <f>IFERROR(IF([1]K_Summary!$M$557 = "", "", [1]K_Summary!$M$557 ),"")</f>
        <v/>
      </c>
      <c r="N572" s="161" t="str">
        <f>IFERROR(IF([1]K_Summary!$N$557 = "", "", [1]K_Summary!$N$557 ),"")</f>
        <v/>
      </c>
    </row>
    <row r="573" spans="1:14" ht="15" hidden="1">
      <c r="A573" s="719" t="s">
        <v>2289</v>
      </c>
      <c r="C573" s="559"/>
      <c r="D573" s="706"/>
      <c r="E573" s="723" t="s">
        <v>1422</v>
      </c>
      <c r="F573" s="723"/>
      <c r="G573" s="723"/>
      <c r="H573" s="724" t="s">
        <v>2090</v>
      </c>
      <c r="I573" s="725"/>
      <c r="J573" s="162" t="str">
        <f>IFERROR(IF([1]K_Summary!$J$558 = "", "", [1]K_Summary!$J$558 ),"")</f>
        <v/>
      </c>
      <c r="K573" s="163" t="str">
        <f>IFERROR(IF([1]K_Summary!$K$558 = "", "", [1]K_Summary!$K$558 ),"")</f>
        <v/>
      </c>
      <c r="L573" s="163" t="str">
        <f>IFERROR(IF([1]K_Summary!$L$558 = "", "", [1]K_Summary!$L$558 ),"")</f>
        <v/>
      </c>
      <c r="M573" s="163" t="str">
        <f>IFERROR(IF([1]K_Summary!$M$558 = "", "", [1]K_Summary!$M$558 ),"")</f>
        <v/>
      </c>
      <c r="N573" s="164" t="str">
        <f>IFERROR(IF([1]K_Summary!$N$558 = "", "", [1]K_Summary!$N$558 ),"")</f>
        <v/>
      </c>
    </row>
    <row r="574" spans="1:14" ht="15" hidden="1">
      <c r="A574" s="719" t="s">
        <v>2289</v>
      </c>
      <c r="C574" s="559"/>
      <c r="D574" s="706"/>
      <c r="E574" s="723" t="s">
        <v>1390</v>
      </c>
      <c r="F574" s="723"/>
      <c r="G574" s="723"/>
      <c r="H574" s="724" t="s">
        <v>2090</v>
      </c>
      <c r="I574" s="725"/>
      <c r="J574" s="162" t="str">
        <f>IFERROR(IF([1]K_Summary!$J$559 = "", "", [1]K_Summary!$J$559 ),"")</f>
        <v/>
      </c>
      <c r="K574" s="163" t="str">
        <f>IFERROR(IF([1]K_Summary!$K$559 = "", "", [1]K_Summary!$K$559 ),"")</f>
        <v/>
      </c>
      <c r="L574" s="163" t="str">
        <f>IFERROR(IF([1]K_Summary!$L$559 = "", "", [1]K_Summary!$L$559 ),"")</f>
        <v/>
      </c>
      <c r="M574" s="163" t="str">
        <f>IFERROR(IF([1]K_Summary!$M$559 = "", "", [1]K_Summary!$M$559 ),"")</f>
        <v/>
      </c>
      <c r="N574" s="164" t="str">
        <f>IFERROR(IF([1]K_Summary!$N$559 = "", "", [1]K_Summary!$N$559 ),"")</f>
        <v/>
      </c>
    </row>
    <row r="575" spans="1:14" ht="15" hidden="1">
      <c r="A575" s="719" t="s">
        <v>2289</v>
      </c>
      <c r="C575" s="559"/>
      <c r="D575" s="706"/>
      <c r="E575" s="745" t="s">
        <v>1389</v>
      </c>
      <c r="F575" s="745"/>
      <c r="G575" s="745"/>
      <c r="H575" s="754" t="s">
        <v>1021</v>
      </c>
      <c r="I575" s="747"/>
      <c r="J575" s="204" t="str">
        <f>IFERROR(IF([1]K_Summary!$J$560 = "", "", [1]K_Summary!$J$560 ),"")</f>
        <v/>
      </c>
      <c r="K575" s="205" t="str">
        <f>IFERROR(IF([1]K_Summary!$K$560 = "", "", [1]K_Summary!$K$560 ),"")</f>
        <v/>
      </c>
      <c r="L575" s="205" t="str">
        <f>IFERROR(IF([1]K_Summary!$L$560 = "", "", [1]K_Summary!$L$560 ),"")</f>
        <v/>
      </c>
      <c r="M575" s="205" t="str">
        <f>IFERROR(IF([1]K_Summary!$M$560 = "", "", [1]K_Summary!$M$560 ),"")</f>
        <v/>
      </c>
      <c r="N575" s="206" t="str">
        <f>IFERROR(IF([1]K_Summary!$N$560 = "", "", [1]K_Summary!$N$560 ),"")</f>
        <v/>
      </c>
    </row>
    <row r="576" spans="1:14" ht="15">
      <c r="C576" s="559"/>
      <c r="D576" s="706"/>
      <c r="E576" s="720" t="s">
        <v>1691</v>
      </c>
      <c r="F576" s="720"/>
      <c r="G576" s="720"/>
      <c r="H576" s="748" t="s">
        <v>1021</v>
      </c>
      <c r="I576" s="722"/>
      <c r="J576" s="189" t="str">
        <f>IFERROR(IF([1]K_Summary!$J$561 = "", "", [1]K_Summary!$J$561 ),"")</f>
        <v/>
      </c>
      <c r="K576" s="190" t="str">
        <f>IFERROR(IF([1]K_Summary!$K$561 = "", "", [1]K_Summary!$K$561 ),"")</f>
        <v/>
      </c>
      <c r="L576" s="190" t="str">
        <f>IFERROR(IF([1]K_Summary!$L$561 = "", "", [1]K_Summary!$L$561 ),"")</f>
        <v/>
      </c>
      <c r="M576" s="190" t="str">
        <f>IFERROR(IF([1]K_Summary!$M$561 = "", "", [1]K_Summary!$M$561 ),"")</f>
        <v/>
      </c>
      <c r="N576" s="191" t="str">
        <f>IFERROR(IF([1]K_Summary!$N$561 = "", "", [1]K_Summary!$N$561 ),"")</f>
        <v/>
      </c>
    </row>
    <row r="577" spans="1:14" ht="15">
      <c r="C577" s="559"/>
      <c r="D577" s="706"/>
      <c r="E577" s="723" t="s">
        <v>1648</v>
      </c>
      <c r="F577" s="723"/>
      <c r="G577" s="723"/>
      <c r="H577" s="751" t="s">
        <v>1021</v>
      </c>
      <c r="I577" s="735"/>
      <c r="J577" s="174" t="str">
        <f>IFERROR(IF([1]K_Summary!$J$562 = "", "", [1]K_Summary!$J$562 ),"")</f>
        <v/>
      </c>
      <c r="K577" s="175" t="str">
        <f>IFERROR(IF([1]K_Summary!$K$562 = "", "", [1]K_Summary!$K$562 ),"")</f>
        <v/>
      </c>
      <c r="L577" s="175" t="str">
        <f>IFERROR(IF([1]K_Summary!$L$562 = "", "", [1]K_Summary!$L$562 ),"")</f>
        <v/>
      </c>
      <c r="M577" s="175" t="str">
        <f>IFERROR(IF([1]K_Summary!$M$562 = "", "", [1]K_Summary!$M$562 ),"")</f>
        <v/>
      </c>
      <c r="N577" s="176" t="str">
        <f>IFERROR(IF([1]K_Summary!$N$562 = "", "", [1]K_Summary!$N$562 ),"")</f>
        <v/>
      </c>
    </row>
    <row r="578" spans="1:14" ht="15">
      <c r="C578" s="559"/>
      <c r="D578" s="706"/>
      <c r="E578" s="736" t="s">
        <v>1855</v>
      </c>
      <c r="F578" s="736"/>
      <c r="G578" s="736"/>
      <c r="H578" s="738" t="s">
        <v>1021</v>
      </c>
      <c r="I578" s="738"/>
      <c r="J578" s="177" t="str">
        <f>IFERROR(IF([1]K_Summary!$J$563 = "", "", [1]K_Summary!$J$563 ),"")</f>
        <v/>
      </c>
      <c r="K578" s="178" t="str">
        <f>IFERROR(IF([1]K_Summary!$K$563 = "", "", [1]K_Summary!$K$563 ),"")</f>
        <v/>
      </c>
      <c r="L578" s="178" t="str">
        <f>IFERROR(IF([1]K_Summary!$L$563 = "", "", [1]K_Summary!$L$563 ),"")</f>
        <v/>
      </c>
      <c r="M578" s="178" t="str">
        <f>IFERROR(IF([1]K_Summary!$M$563 = "", "", [1]K_Summary!$M$563 ),"")</f>
        <v/>
      </c>
      <c r="N578" s="179" t="str">
        <f>IFERROR(IF([1]K_Summary!$N$563 = "", "", [1]K_Summary!$N$563 ),"")</f>
        <v/>
      </c>
    </row>
    <row r="579" spans="1:14" ht="15">
      <c r="C579" s="559"/>
      <c r="D579" s="706"/>
      <c r="E579" s="727" t="s">
        <v>1689</v>
      </c>
      <c r="F579" s="727"/>
      <c r="G579" s="727"/>
      <c r="H579" s="728" t="s">
        <v>1021</v>
      </c>
      <c r="I579" s="729"/>
      <c r="J579" s="192" t="str">
        <f>IFERROR(IF([1]K_Summary!$J$564 = "", "", [1]K_Summary!$J$564 ),"")</f>
        <v/>
      </c>
      <c r="K579" s="193" t="str">
        <f>IFERROR(IF([1]K_Summary!$K$564 = "", "", [1]K_Summary!$K$564 ),"")</f>
        <v/>
      </c>
      <c r="L579" s="193" t="str">
        <f>IFERROR(IF([1]K_Summary!$L$564 = "", "", [1]K_Summary!$L$564 ),"")</f>
        <v/>
      </c>
      <c r="M579" s="193" t="str">
        <f>IFERROR(IF([1]K_Summary!$M$564 = "", "", [1]K_Summary!$M$564 ),"")</f>
        <v/>
      </c>
      <c r="N579" s="194" t="str">
        <f>IFERROR(IF([1]K_Summary!$N$564 = "", "", [1]K_Summary!$N$564 ),"")</f>
        <v/>
      </c>
    </row>
    <row r="580" spans="1:14" ht="15">
      <c r="C580" s="559"/>
      <c r="D580" s="706"/>
      <c r="E580" s="698" t="s">
        <v>1671</v>
      </c>
      <c r="F580" s="698"/>
      <c r="G580" s="698"/>
      <c r="H580" s="730" t="s">
        <v>2090</v>
      </c>
      <c r="I580" s="731"/>
      <c r="J580" s="148" t="str">
        <f>IFERROR(IF([1]K_Summary!$J$565 = "", "", [1]K_Summary!$J$565 ),"")</f>
        <v/>
      </c>
      <c r="K580" s="150" t="str">
        <f>IFERROR(IF([1]K_Summary!$K$565 = "", "", [1]K_Summary!$K$565 ),"")</f>
        <v/>
      </c>
      <c r="L580" s="150" t="str">
        <f>IFERROR(IF([1]K_Summary!$L$565 = "", "", [1]K_Summary!$L$565 ),"")</f>
        <v/>
      </c>
      <c r="M580" s="150" t="str">
        <f>IFERROR(IF([1]K_Summary!$M$565 = "", "", [1]K_Summary!$M$565 ),"")</f>
        <v/>
      </c>
      <c r="N580" s="171" t="str">
        <f>IFERROR(IF([1]K_Summary!$N$565 = "", "", [1]K_Summary!$N$565 ),"")</f>
        <v/>
      </c>
    </row>
    <row r="581" spans="1:14" ht="15">
      <c r="C581" s="559"/>
      <c r="D581" s="706"/>
      <c r="E581" s="698" t="s">
        <v>1670</v>
      </c>
      <c r="F581" s="698"/>
      <c r="G581" s="698"/>
      <c r="H581" s="730" t="s">
        <v>2090</v>
      </c>
      <c r="I581" s="731"/>
      <c r="J581" s="148" t="str">
        <f>IFERROR(IF([1]K_Summary!$J$566 = "", "", [1]K_Summary!$J$566 ),"")</f>
        <v/>
      </c>
      <c r="K581" s="150" t="str">
        <f>IFERROR(IF([1]K_Summary!$K$566 = "", "", [1]K_Summary!$K$566 ),"")</f>
        <v/>
      </c>
      <c r="L581" s="150" t="str">
        <f>IFERROR(IF([1]K_Summary!$L$566 = "", "", [1]K_Summary!$L$566 ),"")</f>
        <v/>
      </c>
      <c r="M581" s="150" t="str">
        <f>IFERROR(IF([1]K_Summary!$M$566 = "", "", [1]K_Summary!$M$566 ),"")</f>
        <v/>
      </c>
      <c r="N581" s="171" t="str">
        <f>IFERROR(IF([1]K_Summary!$N$566 = "", "", [1]K_Summary!$N$566 ),"")</f>
        <v/>
      </c>
    </row>
    <row r="582" spans="1:14" ht="15">
      <c r="C582" s="559"/>
      <c r="D582" s="706"/>
      <c r="E582" s="740" t="s">
        <v>2134</v>
      </c>
      <c r="F582" s="698"/>
      <c r="G582" s="698"/>
      <c r="H582" s="741" t="s">
        <v>1021</v>
      </c>
      <c r="I582" s="742"/>
      <c r="J582" s="183" t="str">
        <f>IFERROR(IF([1]K_Summary!$J$567 = "", "", [1]K_Summary!$J$567 ),"")</f>
        <v/>
      </c>
      <c r="K582" s="184" t="str">
        <f>IFERROR(IF([1]K_Summary!$K$567 = "", "", [1]K_Summary!$K$567 ),"")</f>
        <v/>
      </c>
      <c r="L582" s="184" t="str">
        <f>IFERROR(IF([1]K_Summary!$L$567 = "", "", [1]K_Summary!$L$567 ),"")</f>
        <v/>
      </c>
      <c r="M582" s="184" t="str">
        <f>IFERROR(IF([1]K_Summary!$M$567 = "", "", [1]K_Summary!$M$567 ),"")</f>
        <v/>
      </c>
      <c r="N582" s="185" t="str">
        <f>IFERROR(IF([1]K_Summary!$N$567 = "", "", [1]K_Summary!$N$567 ),"")</f>
        <v/>
      </c>
    </row>
    <row r="583" spans="1:14" ht="15">
      <c r="C583" s="559"/>
      <c r="D583" s="706"/>
      <c r="E583" s="485"/>
      <c r="F583" s="485"/>
      <c r="G583" s="485"/>
      <c r="H583" s="485"/>
      <c r="I583" s="743"/>
      <c r="J583" s="485"/>
      <c r="K583" s="485"/>
      <c r="L583" s="485"/>
      <c r="M583" s="485"/>
      <c r="N583" s="744"/>
    </row>
    <row r="584" spans="1:14" ht="15">
      <c r="C584" s="559"/>
      <c r="D584" s="706"/>
      <c r="E584" s="707" t="s">
        <v>1757</v>
      </c>
      <c r="F584" s="637"/>
      <c r="G584" s="637"/>
      <c r="H584" s="663" t="s">
        <v>884</v>
      </c>
      <c r="I584" s="708"/>
      <c r="J584" s="709">
        <v>2021</v>
      </c>
      <c r="K584" s="671">
        <v>2022</v>
      </c>
      <c r="L584" s="671">
        <v>2023</v>
      </c>
      <c r="M584" s="671">
        <v>2024</v>
      </c>
      <c r="N584" s="710">
        <v>2025</v>
      </c>
    </row>
    <row r="585" spans="1:14" ht="15" hidden="1">
      <c r="A585" s="719" t="s">
        <v>2289</v>
      </c>
      <c r="C585" s="559"/>
      <c r="D585" s="706"/>
      <c r="E585" s="698" t="s">
        <v>1714</v>
      </c>
      <c r="F585" s="698"/>
      <c r="G585" s="698"/>
      <c r="H585" s="63" t="str">
        <f>IFERROR(IF([1]K_Summary!$H$570 = "", "", [1]K_Summary!$H$570 ),"")</f>
        <v>tonnes</v>
      </c>
      <c r="I585" s="698"/>
      <c r="J585" s="157" t="str">
        <f>IFERROR(IF([1]K_Summary!$J$570 = "", "", [1]K_Summary!$J$570 ),"")</f>
        <v/>
      </c>
      <c r="K585" s="147" t="str">
        <f>IFERROR(IF([1]K_Summary!$K$570 = "", "", [1]K_Summary!$K$570 ),"")</f>
        <v/>
      </c>
      <c r="L585" s="147" t="str">
        <f>IFERROR(IF([1]K_Summary!$L$570 = "", "", [1]K_Summary!$L$570 ),"")</f>
        <v/>
      </c>
      <c r="M585" s="147" t="str">
        <f>IFERROR(IF([1]K_Summary!$M$570 = "", "", [1]K_Summary!$M$570 ),"")</f>
        <v/>
      </c>
      <c r="N585" s="158" t="str">
        <f>IFERROR(IF([1]K_Summary!$N$570 = "", "", [1]K_Summary!$N$570 ),"")</f>
        <v/>
      </c>
    </row>
    <row r="586" spans="1:14" ht="15" hidden="1">
      <c r="A586" s="719" t="s">
        <v>2289</v>
      </c>
      <c r="C586" s="559"/>
      <c r="D586" s="706"/>
      <c r="E586" s="720" t="s">
        <v>303</v>
      </c>
      <c r="F586" s="720"/>
      <c r="G586" s="720"/>
      <c r="H586" s="721" t="s">
        <v>2090</v>
      </c>
      <c r="I586" s="722"/>
      <c r="J586" s="159" t="str">
        <f>IFERROR(IF([1]K_Summary!$J$571 = "", "", [1]K_Summary!$J$571 ),"")</f>
        <v/>
      </c>
      <c r="K586" s="160" t="str">
        <f>IFERROR(IF([1]K_Summary!$K$571 = "", "", [1]K_Summary!$K$571 ),"")</f>
        <v/>
      </c>
      <c r="L586" s="160" t="str">
        <f>IFERROR(IF([1]K_Summary!$L$571 = "", "", [1]K_Summary!$L$571 ),"")</f>
        <v/>
      </c>
      <c r="M586" s="160" t="str">
        <f>IFERROR(IF([1]K_Summary!$M$571 = "", "", [1]K_Summary!$M$571 ),"")</f>
        <v/>
      </c>
      <c r="N586" s="161" t="str">
        <f>IFERROR(IF([1]K_Summary!$N$571 = "", "", [1]K_Summary!$N$571 ),"")</f>
        <v/>
      </c>
    </row>
    <row r="587" spans="1:14" ht="15">
      <c r="C587" s="559"/>
      <c r="D587" s="706"/>
      <c r="E587" s="720" t="s">
        <v>1691</v>
      </c>
      <c r="F587" s="720"/>
      <c r="G587" s="720"/>
      <c r="H587" s="748" t="s">
        <v>471</v>
      </c>
      <c r="I587" s="722"/>
      <c r="J587" s="172" t="str">
        <f>IFERROR(IF([1]K_Summary!$J$572 = "", "", [1]K_Summary!$J$572 ),"")</f>
        <v/>
      </c>
      <c r="K587" s="54" t="str">
        <f>IFERROR(IF([1]K_Summary!$K$572 = "", "", [1]K_Summary!$K$572 ),"")</f>
        <v/>
      </c>
      <c r="L587" s="54" t="str">
        <f>IFERROR(IF([1]K_Summary!$L$572 = "", "", [1]K_Summary!$L$572 ),"")</f>
        <v/>
      </c>
      <c r="M587" s="54" t="str">
        <f>IFERROR(IF([1]K_Summary!$M$572 = "", "", [1]K_Summary!$M$572 ),"")</f>
        <v/>
      </c>
      <c r="N587" s="173" t="str">
        <f>IFERROR(IF([1]K_Summary!$N$572 = "", "", [1]K_Summary!$N$572 ),"")</f>
        <v/>
      </c>
    </row>
    <row r="588" spans="1:14" ht="15">
      <c r="C588" s="559"/>
      <c r="D588" s="706"/>
      <c r="E588" s="723" t="s">
        <v>1648</v>
      </c>
      <c r="F588" s="723"/>
      <c r="G588" s="723"/>
      <c r="H588" s="734" t="s">
        <v>1021</v>
      </c>
      <c r="I588" s="735"/>
      <c r="J588" s="174" t="str">
        <f>IFERROR(IF([1]K_Summary!$J$573 = "", "", [1]K_Summary!$J$573 ),"")</f>
        <v/>
      </c>
      <c r="K588" s="175" t="str">
        <f>IFERROR(IF([1]K_Summary!$K$573 = "", "", [1]K_Summary!$K$573 ),"")</f>
        <v/>
      </c>
      <c r="L588" s="175" t="str">
        <f>IFERROR(IF([1]K_Summary!$L$573 = "", "", [1]K_Summary!$L$573 ),"")</f>
        <v/>
      </c>
      <c r="M588" s="175" t="str">
        <f>IFERROR(IF([1]K_Summary!$M$573 = "", "", [1]K_Summary!$M$573 ),"")</f>
        <v/>
      </c>
      <c r="N588" s="176" t="str">
        <f>IFERROR(IF([1]K_Summary!$N$573 = "", "", [1]K_Summary!$N$573 ),"")</f>
        <v/>
      </c>
    </row>
    <row r="589" spans="1:14" ht="15">
      <c r="C589" s="559"/>
      <c r="D589" s="706"/>
      <c r="E589" s="736" t="s">
        <v>1856</v>
      </c>
      <c r="F589" s="736"/>
      <c r="G589" s="736"/>
      <c r="H589" s="737" t="s">
        <v>1021</v>
      </c>
      <c r="I589" s="738"/>
      <c r="J589" s="177" t="str">
        <f>IFERROR(IF([1]K_Summary!$J$574 = "", "", [1]K_Summary!$J$574 ),"")</f>
        <v/>
      </c>
      <c r="K589" s="178" t="str">
        <f>IFERROR(IF([1]K_Summary!$K$574 = "", "", [1]K_Summary!$K$574 ),"")</f>
        <v/>
      </c>
      <c r="L589" s="178" t="str">
        <f>IFERROR(IF([1]K_Summary!$L$574 = "", "", [1]K_Summary!$L$574 ),"")</f>
        <v/>
      </c>
      <c r="M589" s="178" t="str">
        <f>IFERROR(IF([1]K_Summary!$M$574 = "", "", [1]K_Summary!$M$574 ),"")</f>
        <v/>
      </c>
      <c r="N589" s="179" t="str">
        <f>IFERROR(IF([1]K_Summary!$N$574 = "", "", [1]K_Summary!$N$574 ),"")</f>
        <v/>
      </c>
    </row>
    <row r="590" spans="1:14" ht="15">
      <c r="C590" s="559"/>
      <c r="D590" s="706"/>
      <c r="E590" s="727" t="s">
        <v>1689</v>
      </c>
      <c r="F590" s="727"/>
      <c r="G590" s="727"/>
      <c r="H590" s="728" t="s">
        <v>471</v>
      </c>
      <c r="I590" s="729"/>
      <c r="J590" s="180" t="str">
        <f>IFERROR(IF([1]K_Summary!$J$575 = "", "", [1]K_Summary!$J$575 ),"")</f>
        <v/>
      </c>
      <c r="K590" s="181" t="str">
        <f>IFERROR(IF([1]K_Summary!$K$575 = "", "", [1]K_Summary!$K$575 ),"")</f>
        <v/>
      </c>
      <c r="L590" s="181" t="str">
        <f>IFERROR(IF([1]K_Summary!$L$575 = "", "", [1]K_Summary!$L$575 ),"")</f>
        <v/>
      </c>
      <c r="M590" s="181" t="str">
        <f>IFERROR(IF([1]K_Summary!$M$575 = "", "", [1]K_Summary!$M$575 ),"")</f>
        <v/>
      </c>
      <c r="N590" s="182" t="str">
        <f>IFERROR(IF([1]K_Summary!$N$575 = "", "", [1]K_Summary!$N$575 ),"")</f>
        <v/>
      </c>
    </row>
    <row r="591" spans="1:14" ht="15" hidden="1">
      <c r="A591" s="719" t="s">
        <v>2289</v>
      </c>
      <c r="C591" s="559"/>
      <c r="D591" s="706"/>
      <c r="E591" s="723" t="s">
        <v>1390</v>
      </c>
      <c r="F591" s="723"/>
      <c r="G591" s="723"/>
      <c r="H591" s="724" t="s">
        <v>2090</v>
      </c>
      <c r="I591" s="725"/>
      <c r="J591" s="162" t="str">
        <f>IFERROR(IF([1]K_Summary!$J$576 = "", "", [1]K_Summary!$J$576 ),"")</f>
        <v/>
      </c>
      <c r="K591" s="163" t="str">
        <f>IFERROR(IF([1]K_Summary!$K$576 = "", "", [1]K_Summary!$K$576 ),"")</f>
        <v/>
      </c>
      <c r="L591" s="163" t="str">
        <f>IFERROR(IF([1]K_Summary!$L$576 = "", "", [1]K_Summary!$L$576 ),"")</f>
        <v/>
      </c>
      <c r="M591" s="163" t="str">
        <f>IFERROR(IF([1]K_Summary!$M$576 = "", "", [1]K_Summary!$M$576 ),"")</f>
        <v/>
      </c>
      <c r="N591" s="164" t="str">
        <f>IFERROR(IF([1]K_Summary!$N$576 = "", "", [1]K_Summary!$N$576 ),"")</f>
        <v/>
      </c>
    </row>
    <row r="592" spans="1:14" ht="15" hidden="1">
      <c r="A592" s="719" t="s">
        <v>2289</v>
      </c>
      <c r="C592" s="559"/>
      <c r="D592" s="706"/>
      <c r="E592" s="723" t="s">
        <v>1389</v>
      </c>
      <c r="F592" s="723"/>
      <c r="G592" s="723"/>
      <c r="H592" s="726" t="s">
        <v>1021</v>
      </c>
      <c r="I592" s="725"/>
      <c r="J592" s="165" t="str">
        <f>IFERROR(IF([1]K_Summary!$J$577 = "", "", [1]K_Summary!$J$577 ),"")</f>
        <v/>
      </c>
      <c r="K592" s="166" t="str">
        <f>IFERROR(IF([1]K_Summary!$K$577 = "", "", [1]K_Summary!$K$577 ),"")</f>
        <v/>
      </c>
      <c r="L592" s="166" t="str">
        <f>IFERROR(IF([1]K_Summary!$L$577 = "", "", [1]K_Summary!$L$577 ),"")</f>
        <v/>
      </c>
      <c r="M592" s="166" t="str">
        <f>IFERROR(IF([1]K_Summary!$M$577 = "", "", [1]K_Summary!$M$577 ),"")</f>
        <v/>
      </c>
      <c r="N592" s="167" t="str">
        <f>IFERROR(IF([1]K_Summary!$N$577 = "", "", [1]K_Summary!$N$577 ),"")</f>
        <v/>
      </c>
    </row>
    <row r="593" spans="1:14" ht="15" hidden="1">
      <c r="A593" s="719" t="s">
        <v>2289</v>
      </c>
      <c r="C593" s="559"/>
      <c r="D593" s="706"/>
      <c r="E593" s="727" t="s">
        <v>1391</v>
      </c>
      <c r="F593" s="727"/>
      <c r="G593" s="727"/>
      <c r="H593" s="728" t="s">
        <v>1021</v>
      </c>
      <c r="I593" s="729"/>
      <c r="J593" s="168" t="str">
        <f>IFERROR(IF([1]K_Summary!$J$578 = "", "", [1]K_Summary!$J$578 ),"")</f>
        <v/>
      </c>
      <c r="K593" s="169" t="str">
        <f>IFERROR(IF([1]K_Summary!$K$578 = "", "", [1]K_Summary!$K$578 ),"")</f>
        <v/>
      </c>
      <c r="L593" s="169" t="str">
        <f>IFERROR(IF([1]K_Summary!$L$578 = "", "", [1]K_Summary!$L$578 ),"")</f>
        <v/>
      </c>
      <c r="M593" s="169" t="str">
        <f>IFERROR(IF([1]K_Summary!$M$578 = "", "", [1]K_Summary!$M$578 ),"")</f>
        <v/>
      </c>
      <c r="N593" s="170" t="str">
        <f>IFERROR(IF([1]K_Summary!$N$578 = "", "", [1]K_Summary!$N$578 ),"")</f>
        <v/>
      </c>
    </row>
    <row r="594" spans="1:14" ht="15">
      <c r="C594" s="559"/>
      <c r="D594" s="706"/>
      <c r="E594" s="698" t="s">
        <v>1671</v>
      </c>
      <c r="F594" s="698"/>
      <c r="G594" s="698"/>
      <c r="H594" s="730" t="s">
        <v>2090</v>
      </c>
      <c r="I594" s="731"/>
      <c r="J594" s="148" t="str">
        <f>IFERROR(IF([1]K_Summary!$J$579 = "", "", [1]K_Summary!$J$579 ),"")</f>
        <v/>
      </c>
      <c r="K594" s="150" t="str">
        <f>IFERROR(IF([1]K_Summary!$K$579 = "", "", [1]K_Summary!$K$579 ),"")</f>
        <v/>
      </c>
      <c r="L594" s="150" t="str">
        <f>IFERROR(IF([1]K_Summary!$L$579 = "", "", [1]K_Summary!$L$579 ),"")</f>
        <v/>
      </c>
      <c r="M594" s="150" t="str">
        <f>IFERROR(IF([1]K_Summary!$M$579 = "", "", [1]K_Summary!$M$579 ),"")</f>
        <v/>
      </c>
      <c r="N594" s="171" t="str">
        <f>IFERROR(IF([1]K_Summary!$N$579 = "", "", [1]K_Summary!$N$579 ),"")</f>
        <v/>
      </c>
    </row>
    <row r="595" spans="1:14" ht="15">
      <c r="C595" s="559"/>
      <c r="D595" s="706"/>
      <c r="E595" s="698" t="s">
        <v>1670</v>
      </c>
      <c r="F595" s="698"/>
      <c r="G595" s="698"/>
      <c r="H595" s="730" t="s">
        <v>2090</v>
      </c>
      <c r="I595" s="731"/>
      <c r="J595" s="148" t="str">
        <f>IFERROR(IF([1]K_Summary!$J$580 = "", "", [1]K_Summary!$J$580 ),"")</f>
        <v/>
      </c>
      <c r="K595" s="150" t="str">
        <f>IFERROR(IF([1]K_Summary!$K$580 = "", "", [1]K_Summary!$K$580 ),"")</f>
        <v/>
      </c>
      <c r="L595" s="150" t="str">
        <f>IFERROR(IF([1]K_Summary!$L$580 = "", "", [1]K_Summary!$L$580 ),"")</f>
        <v/>
      </c>
      <c r="M595" s="150" t="str">
        <f>IFERROR(IF([1]K_Summary!$M$580 = "", "", [1]K_Summary!$M$580 ),"")</f>
        <v/>
      </c>
      <c r="N595" s="171" t="str">
        <f>IFERROR(IF([1]K_Summary!$N$580 = "", "", [1]K_Summary!$N$580 ),"")</f>
        <v/>
      </c>
    </row>
    <row r="596" spans="1:14" ht="15">
      <c r="C596" s="559"/>
      <c r="D596" s="706"/>
      <c r="E596" s="740" t="s">
        <v>2135</v>
      </c>
      <c r="F596" s="698"/>
      <c r="G596" s="698"/>
      <c r="H596" s="741" t="s">
        <v>1021</v>
      </c>
      <c r="I596" s="742"/>
      <c r="J596" s="183" t="str">
        <f>IFERROR(IF([1]K_Summary!$J$581 = "", "", [1]K_Summary!$J$581 ),"")</f>
        <v/>
      </c>
      <c r="K596" s="184" t="str">
        <f>IFERROR(IF([1]K_Summary!$K$581 = "", "", [1]K_Summary!$K$581 ),"")</f>
        <v/>
      </c>
      <c r="L596" s="184" t="str">
        <f>IFERROR(IF([1]K_Summary!$L$581 = "", "", [1]K_Summary!$L$581 ),"")</f>
        <v/>
      </c>
      <c r="M596" s="184" t="str">
        <f>IFERROR(IF([1]K_Summary!$M$581 = "", "", [1]K_Summary!$M$581 ),"")</f>
        <v/>
      </c>
      <c r="N596" s="185" t="str">
        <f>IFERROR(IF([1]K_Summary!$N$581 = "", "", [1]K_Summary!$N$581 ),"")</f>
        <v/>
      </c>
    </row>
    <row r="597" spans="1:14" ht="15.75" thickBot="1">
      <c r="C597" s="559"/>
      <c r="D597" s="755"/>
      <c r="E597" s="756"/>
      <c r="F597" s="756"/>
      <c r="G597" s="756"/>
      <c r="H597" s="756"/>
      <c r="I597" s="757"/>
      <c r="J597" s="756"/>
      <c r="K597" s="756"/>
      <c r="L597" s="756"/>
      <c r="M597" s="756"/>
      <c r="N597" s="758"/>
    </row>
    <row r="598" spans="1:14" ht="15.75" thickBot="1">
      <c r="C598" s="559"/>
      <c r="D598" s="559"/>
      <c r="E598" s="485"/>
      <c r="F598" s="485"/>
      <c r="G598" s="485"/>
      <c r="H598" s="485"/>
      <c r="I598" s="743"/>
      <c r="J598" s="485"/>
      <c r="K598" s="485"/>
      <c r="L598" s="485"/>
      <c r="M598" s="485"/>
      <c r="N598" s="485"/>
    </row>
    <row r="599" spans="1:14">
      <c r="C599" s="485"/>
      <c r="D599" s="759"/>
      <c r="E599" s="760"/>
      <c r="F599" s="760"/>
      <c r="G599" s="760"/>
      <c r="H599" s="760"/>
      <c r="I599" s="761"/>
      <c r="J599" s="760"/>
      <c r="K599" s="760"/>
      <c r="L599" s="760"/>
      <c r="M599" s="760"/>
      <c r="N599" s="762"/>
    </row>
    <row r="600" spans="1:14">
      <c r="C600" s="485"/>
      <c r="D600" s="539"/>
      <c r="E600" s="496" t="s">
        <v>1786</v>
      </c>
      <c r="F600" s="485"/>
      <c r="G600" s="485"/>
      <c r="H600" s="663" t="s">
        <v>884</v>
      </c>
      <c r="I600" s="763" t="s">
        <v>1675</v>
      </c>
      <c r="J600" s="709">
        <v>2021</v>
      </c>
      <c r="K600" s="671">
        <v>2022</v>
      </c>
      <c r="L600" s="671">
        <v>2023</v>
      </c>
      <c r="M600" s="671">
        <v>2024</v>
      </c>
      <c r="N600" s="710">
        <v>2025</v>
      </c>
    </row>
    <row r="601" spans="1:14">
      <c r="C601" s="485"/>
      <c r="D601" s="539"/>
      <c r="E601" s="720" t="s">
        <v>1714</v>
      </c>
      <c r="F601" s="720"/>
      <c r="G601" s="720"/>
      <c r="H601" s="67" t="str">
        <f>IFERROR(IF([1]K_Summary!$H$586 = "", "", [1]K_Summary!$H$586 ),"")</f>
        <v>tonnes</v>
      </c>
      <c r="I601" s="207" t="str">
        <f>IFERROR(IF([1]K_Summary!$I$586 = "", "", [1]K_Summary!$I$586 ),"")</f>
        <v/>
      </c>
      <c r="J601" s="172" t="str">
        <f>IFERROR(IF([1]K_Summary!$J$586 = "", "", [1]K_Summary!$J$586 ),"")</f>
        <v/>
      </c>
      <c r="K601" s="54" t="str">
        <f>IFERROR(IF([1]K_Summary!$K$586 = "", "", [1]K_Summary!$K$586 ),"")</f>
        <v/>
      </c>
      <c r="L601" s="54" t="str">
        <f>IFERROR(IF([1]K_Summary!$L$586 = "", "", [1]K_Summary!$L$586 ),"")</f>
        <v/>
      </c>
      <c r="M601" s="54" t="str">
        <f>IFERROR(IF([1]K_Summary!$M$586 = "", "", [1]K_Summary!$M$586 ),"")</f>
        <v/>
      </c>
      <c r="N601" s="173" t="str">
        <f>IFERROR(IF([1]K_Summary!$N$586 = "", "", [1]K_Summary!$N$586 ),"")</f>
        <v/>
      </c>
    </row>
    <row r="602" spans="1:14">
      <c r="C602" s="485"/>
      <c r="D602" s="539"/>
      <c r="E602" s="645" t="s">
        <v>303</v>
      </c>
      <c r="F602" s="645"/>
      <c r="G602" s="645"/>
      <c r="H602" s="765" t="s">
        <v>2090</v>
      </c>
      <c r="I602" s="208" t="str">
        <f>IFERROR(IF([1]K_Summary!$I$587 = "", "", [1]K_Summary!$I$587 ),"")</f>
        <v/>
      </c>
      <c r="J602" s="209" t="str">
        <f>IFERROR(IF([1]K_Summary!$J$587 = "", "", [1]K_Summary!$J$587 ),"")</f>
        <v/>
      </c>
      <c r="K602" s="210" t="str">
        <f>IFERROR(IF([1]K_Summary!$K$587 = "", "", [1]K_Summary!$K$587 ),"")</f>
        <v/>
      </c>
      <c r="L602" s="210" t="str">
        <f>IFERROR(IF([1]K_Summary!$L$587 = "", "", [1]K_Summary!$L$587 ),"")</f>
        <v/>
      </c>
      <c r="M602" s="210" t="str">
        <f>IFERROR(IF([1]K_Summary!$M$587 = "", "", [1]K_Summary!$M$587 ),"")</f>
        <v/>
      </c>
      <c r="N602" s="211" t="str">
        <f>IFERROR(IF([1]K_Summary!$N$587 = "", "", [1]K_Summary!$N$587 ),"")</f>
        <v/>
      </c>
    </row>
    <row r="603" spans="1:14">
      <c r="C603" s="485"/>
      <c r="D603" s="539"/>
      <c r="E603" s="723" t="s">
        <v>1422</v>
      </c>
      <c r="F603" s="723"/>
      <c r="G603" s="723"/>
      <c r="H603" s="724" t="s">
        <v>2090</v>
      </c>
      <c r="I603" s="212" t="str">
        <f>IFERROR(IF([1]K_Summary!$I$588 = "", "", [1]K_Summary!$I$588 ),"")</f>
        <v/>
      </c>
      <c r="J603" s="213" t="str">
        <f>IFERROR(IF([1]K_Summary!$J$588 = "", "", [1]K_Summary!$J$588 ),"")</f>
        <v/>
      </c>
      <c r="K603" s="214" t="str">
        <f>IFERROR(IF([1]K_Summary!$K$588 = "", "", [1]K_Summary!$K$588 ),"")</f>
        <v/>
      </c>
      <c r="L603" s="214" t="str">
        <f>IFERROR(IF([1]K_Summary!$L$588 = "", "", [1]K_Summary!$L$588 ),"")</f>
        <v/>
      </c>
      <c r="M603" s="214" t="str">
        <f>IFERROR(IF([1]K_Summary!$M$588 = "", "", [1]K_Summary!$M$588 ),"")</f>
        <v/>
      </c>
      <c r="N603" s="215" t="str">
        <f>IFERROR(IF([1]K_Summary!$N$588 = "", "", [1]K_Summary!$N$588 ),"")</f>
        <v/>
      </c>
    </row>
    <row r="604" spans="1:14">
      <c r="C604" s="485"/>
      <c r="D604" s="539"/>
      <c r="E604" s="723" t="s">
        <v>1390</v>
      </c>
      <c r="F604" s="723"/>
      <c r="G604" s="723"/>
      <c r="H604" s="724" t="s">
        <v>2090</v>
      </c>
      <c r="I604" s="212" t="str">
        <f>IFERROR(IF([1]K_Summary!$I$589 = "", "", [1]K_Summary!$I$589 ),"")</f>
        <v/>
      </c>
      <c r="J604" s="213" t="str">
        <f>IFERROR(IF([1]K_Summary!$J$589 = "", "", [1]K_Summary!$J$589 ),"")</f>
        <v/>
      </c>
      <c r="K604" s="214" t="str">
        <f>IFERROR(IF([1]K_Summary!$K$589 = "", "", [1]K_Summary!$K$589 ),"")</f>
        <v/>
      </c>
      <c r="L604" s="214" t="str">
        <f>IFERROR(IF([1]K_Summary!$L$589 = "", "", [1]K_Summary!$L$589 ),"")</f>
        <v/>
      </c>
      <c r="M604" s="214" t="str">
        <f>IFERROR(IF([1]K_Summary!$M$589 = "", "", [1]K_Summary!$M$589 ),"")</f>
        <v/>
      </c>
      <c r="N604" s="215" t="str">
        <f>IFERROR(IF([1]K_Summary!$N$589 = "", "", [1]K_Summary!$N$589 ),"")</f>
        <v/>
      </c>
    </row>
    <row r="605" spans="1:14">
      <c r="C605" s="485"/>
      <c r="D605" s="539"/>
      <c r="E605" s="723" t="s">
        <v>1389</v>
      </c>
      <c r="F605" s="723"/>
      <c r="G605" s="723"/>
      <c r="H605" s="726" t="s">
        <v>1021</v>
      </c>
      <c r="I605" s="216" t="str">
        <f>IFERROR(IF([1]K_Summary!$I$590 = "", "", [1]K_Summary!$I$590 ),"")</f>
        <v/>
      </c>
      <c r="J605" s="217" t="str">
        <f>IFERROR(IF([1]K_Summary!$J$590 = "", "", [1]K_Summary!$J$590 ),"")</f>
        <v/>
      </c>
      <c r="K605" s="218" t="str">
        <f>IFERROR(IF([1]K_Summary!$K$590 = "", "", [1]K_Summary!$K$590 ),"")</f>
        <v/>
      </c>
      <c r="L605" s="218" t="str">
        <f>IFERROR(IF([1]K_Summary!$L$590 = "", "", [1]K_Summary!$L$590 ),"")</f>
        <v/>
      </c>
      <c r="M605" s="218" t="str">
        <f>IFERROR(IF([1]K_Summary!$M$590 = "", "", [1]K_Summary!$M$590 ),"")</f>
        <v/>
      </c>
      <c r="N605" s="219" t="str">
        <f>IFERROR(IF([1]K_Summary!$N$590 = "", "", [1]K_Summary!$N$590 ),"")</f>
        <v/>
      </c>
    </row>
    <row r="606" spans="1:14">
      <c r="C606" s="485"/>
      <c r="D606" s="539"/>
      <c r="E606" s="727" t="s">
        <v>1391</v>
      </c>
      <c r="F606" s="727"/>
      <c r="G606" s="727"/>
      <c r="H606" s="728" t="s">
        <v>1021</v>
      </c>
      <c r="I606" s="220" t="str">
        <f>IFERROR(IF([1]K_Summary!$I$591 = "", "", [1]K_Summary!$I$591 ),"")</f>
        <v/>
      </c>
      <c r="J606" s="221" t="str">
        <f>IFERROR(IF([1]K_Summary!$J$591 = "", "", [1]K_Summary!$J$591 ),"")</f>
        <v/>
      </c>
      <c r="K606" s="222" t="str">
        <f>IFERROR(IF([1]K_Summary!$K$591 = "", "", [1]K_Summary!$K$591 ),"")</f>
        <v/>
      </c>
      <c r="L606" s="222" t="str">
        <f>IFERROR(IF([1]K_Summary!$L$591 = "", "", [1]K_Summary!$L$591 ),"")</f>
        <v/>
      </c>
      <c r="M606" s="222" t="str">
        <f>IFERROR(IF([1]K_Summary!$M$591 = "", "", [1]K_Summary!$M$591 ),"")</f>
        <v/>
      </c>
      <c r="N606" s="223" t="str">
        <f>IFERROR(IF([1]K_Summary!$N$591 = "", "", [1]K_Summary!$N$591 ),"")</f>
        <v/>
      </c>
    </row>
    <row r="607" spans="1:14">
      <c r="C607" s="485"/>
      <c r="D607" s="539"/>
      <c r="E607" s="698" t="s">
        <v>222</v>
      </c>
      <c r="F607" s="698"/>
      <c r="G607" s="698"/>
      <c r="H607" s="730" t="s">
        <v>2090</v>
      </c>
      <c r="I607" s="224" t="str">
        <f>IFERROR(IF([1]K_Summary!$I$592 = "", "", [1]K_Summary!$I$592 ),"")</f>
        <v/>
      </c>
      <c r="J607" s="148" t="str">
        <f>IFERROR(IF([1]K_Summary!$J$592 = "", "", [1]K_Summary!$J$592 ),"")</f>
        <v/>
      </c>
      <c r="K607" s="150" t="str">
        <f>IFERROR(IF([1]K_Summary!$K$592 = "", "", [1]K_Summary!$K$592 ),"")</f>
        <v/>
      </c>
      <c r="L607" s="150" t="str">
        <f>IFERROR(IF([1]K_Summary!$L$592 = "", "", [1]K_Summary!$L$592 ),"")</f>
        <v/>
      </c>
      <c r="M607" s="150" t="str">
        <f>IFERROR(IF([1]K_Summary!$M$592 = "", "", [1]K_Summary!$M$592 ),"")</f>
        <v/>
      </c>
      <c r="N607" s="171" t="str">
        <f>IFERROR(IF([1]K_Summary!$N$592 = "", "", [1]K_Summary!$N$592 ),"")</f>
        <v/>
      </c>
    </row>
    <row r="608" spans="1:14" ht="13.5" thickBot="1">
      <c r="C608" s="485"/>
      <c r="D608" s="771"/>
      <c r="E608" s="756"/>
      <c r="F608" s="756"/>
      <c r="G608" s="756"/>
      <c r="H608" s="756"/>
      <c r="I608" s="756"/>
      <c r="J608" s="756"/>
      <c r="K608" s="756"/>
      <c r="L608" s="756"/>
      <c r="M608" s="756"/>
      <c r="N608" s="758"/>
    </row>
    <row r="609" spans="1:15" ht="13.5" thickBot="1">
      <c r="C609" s="485"/>
      <c r="D609" s="562"/>
      <c r="E609" s="561"/>
      <c r="F609" s="485"/>
      <c r="G609" s="485"/>
      <c r="H609" s="485"/>
      <c r="I609" s="485"/>
      <c r="J609" s="485"/>
      <c r="K609" s="485"/>
      <c r="L609" s="485"/>
      <c r="M609" s="485"/>
      <c r="N609" s="485"/>
    </row>
    <row r="610" spans="1:15">
      <c r="C610" s="485"/>
      <c r="D610" s="772"/>
      <c r="E610" s="773"/>
      <c r="F610" s="773"/>
      <c r="G610" s="774"/>
      <c r="H610" s="774"/>
      <c r="I610" s="774"/>
      <c r="J610" s="774"/>
      <c r="K610" s="774"/>
      <c r="L610" s="774"/>
      <c r="M610" s="774"/>
      <c r="N610" s="775"/>
    </row>
    <row r="611" spans="1:15" ht="13.5" thickBot="1">
      <c r="C611" s="485"/>
      <c r="D611" s="776"/>
      <c r="E611" s="777"/>
      <c r="F611" s="777"/>
      <c r="G611" s="778" t="s">
        <v>884</v>
      </c>
      <c r="H611" s="779">
        <v>2019</v>
      </c>
      <c r="I611" s="780">
        <v>2020</v>
      </c>
      <c r="J611" s="781">
        <v>2021</v>
      </c>
      <c r="K611" s="782">
        <v>2022</v>
      </c>
      <c r="L611" s="782">
        <v>2023</v>
      </c>
      <c r="M611" s="782">
        <v>2024</v>
      </c>
      <c r="N611" s="783">
        <v>2025</v>
      </c>
    </row>
    <row r="612" spans="1:15" s="598" customFormat="1" ht="13.5" thickBot="1">
      <c r="A612" s="597"/>
      <c r="C612" s="620"/>
      <c r="D612" s="784"/>
      <c r="E612" s="2561" t="s">
        <v>1504</v>
      </c>
      <c r="F612" s="2561"/>
      <c r="G612" s="785" t="s">
        <v>2016</v>
      </c>
      <c r="H612" s="225" t="str">
        <f>IFERROR(IF([1]K_Summary!$H$597 = "", "", [1]K_Summary!$H$597 ),"")</f>
        <v/>
      </c>
      <c r="I612" s="226" t="str">
        <f>IFERROR(IF([1]K_Summary!$I$597 = "", "", [1]K_Summary!$I$597 ),"")</f>
        <v/>
      </c>
      <c r="J612" s="225" t="str">
        <f>IFERROR(IF([1]K_Summary!$J$597 = "", "", [1]K_Summary!$J$597 ),"")</f>
        <v/>
      </c>
      <c r="K612" s="227" t="str">
        <f>IFERROR(IF([1]K_Summary!$K$597 = "", "", [1]K_Summary!$K$597 ),"")</f>
        <v/>
      </c>
      <c r="L612" s="227" t="str">
        <f>IFERROR(IF([1]K_Summary!$L$597 = "", "", [1]K_Summary!$L$597 ),"")</f>
        <v/>
      </c>
      <c r="M612" s="227" t="str">
        <f>IFERROR(IF([1]K_Summary!$M$597 = "", "", [1]K_Summary!$M$597 ),"")</f>
        <v/>
      </c>
      <c r="N612" s="228" t="str">
        <f>IFERROR(IF([1]K_Summary!$N$597 = "", "", [1]K_Summary!$N$597 ),"")</f>
        <v/>
      </c>
      <c r="O612" s="601"/>
    </row>
    <row r="613" spans="1:15" s="598" customFormat="1">
      <c r="A613" s="597"/>
      <c r="C613" s="620"/>
      <c r="D613" s="784"/>
      <c r="E613" s="790"/>
      <c r="F613" s="790"/>
      <c r="G613" s="791"/>
      <c r="H613" s="791"/>
      <c r="I613" s="791"/>
      <c r="J613" s="791"/>
      <c r="K613" s="791"/>
      <c r="L613" s="791"/>
      <c r="M613" s="791"/>
      <c r="N613" s="792"/>
      <c r="O613" s="601"/>
    </row>
    <row r="614" spans="1:15" s="598" customFormat="1">
      <c r="A614" s="597"/>
      <c r="C614" s="620"/>
      <c r="D614" s="784"/>
      <c r="E614" s="2499" t="s">
        <v>1344</v>
      </c>
      <c r="F614" s="2500"/>
      <c r="G614" s="793" t="s">
        <v>2017</v>
      </c>
      <c r="H614" s="127" t="str">
        <f>IFERROR(IF([1]K_Summary!$H$599 = "", "", [1]K_Summary!$H$599 ),"")</f>
        <v/>
      </c>
      <c r="I614" s="229" t="str">
        <f>IFERROR(IF([1]K_Summary!$I$599 = "", "", [1]K_Summary!$I$599 ),"")</f>
        <v/>
      </c>
      <c r="J614" s="230" t="str">
        <f>IFERROR(IF([1]K_Summary!$J$599 = "", "", [1]K_Summary!$J$599 ),"")</f>
        <v/>
      </c>
      <c r="K614" s="127" t="str">
        <f>IFERROR(IF([1]K_Summary!$K$599 = "", "", [1]K_Summary!$K$599 ),"")</f>
        <v/>
      </c>
      <c r="L614" s="127" t="str">
        <f>IFERROR(IF([1]K_Summary!$L$599 = "", "", [1]K_Summary!$L$599 ),"")</f>
        <v/>
      </c>
      <c r="M614" s="127" t="str">
        <f>IFERROR(IF([1]K_Summary!$M$599 = "", "", [1]K_Summary!$M$599 ),"")</f>
        <v/>
      </c>
      <c r="N614" s="231" t="str">
        <f>IFERROR(IF([1]K_Summary!$N$599 = "", "", [1]K_Summary!$N$599 ),"")</f>
        <v/>
      </c>
      <c r="O614" s="601"/>
    </row>
    <row r="615" spans="1:15" s="598" customFormat="1">
      <c r="A615" s="597"/>
      <c r="C615" s="620"/>
      <c r="D615" s="784"/>
      <c r="E615" s="2560" t="s">
        <v>1182</v>
      </c>
      <c r="F615" s="2518"/>
      <c r="G615" s="795" t="s">
        <v>2018</v>
      </c>
      <c r="H615" s="128" t="str">
        <f>IFERROR(IF([1]K_Summary!$H$600 = "", "", [1]K_Summary!$H$600 ),"")</f>
        <v/>
      </c>
      <c r="I615" s="232" t="str">
        <f>IFERROR(IF([1]K_Summary!$I$600 = "", "", [1]K_Summary!$I$600 ),"")</f>
        <v/>
      </c>
      <c r="J615" s="233" t="str">
        <f>IFERROR(IF([1]K_Summary!$J$600 = "", "", [1]K_Summary!$J$600 ),"")</f>
        <v/>
      </c>
      <c r="K615" s="128" t="str">
        <f>IFERROR(IF([1]K_Summary!$K$600 = "", "", [1]K_Summary!$K$600 ),"")</f>
        <v/>
      </c>
      <c r="L615" s="128" t="str">
        <f>IFERROR(IF([1]K_Summary!$L$600 = "", "", [1]K_Summary!$L$600 ),"")</f>
        <v/>
      </c>
      <c r="M615" s="128" t="str">
        <f>IFERROR(IF([1]K_Summary!$M$600 = "", "", [1]K_Summary!$M$600 ),"")</f>
        <v/>
      </c>
      <c r="N615" s="234" t="str">
        <f>IFERROR(IF([1]K_Summary!$N$600 = "", "", [1]K_Summary!$N$600 ),"")</f>
        <v/>
      </c>
      <c r="O615" s="601"/>
    </row>
    <row r="616" spans="1:15" s="598" customFormat="1">
      <c r="A616" s="597"/>
      <c r="C616" s="620"/>
      <c r="D616" s="784"/>
      <c r="E616" s="790"/>
      <c r="F616" s="790"/>
      <c r="G616" s="797"/>
      <c r="H616" s="797"/>
      <c r="I616" s="797"/>
      <c r="J616" s="797"/>
      <c r="K616" s="797"/>
      <c r="L616" s="797"/>
      <c r="M616" s="797"/>
      <c r="N616" s="798"/>
      <c r="O616" s="601"/>
    </row>
    <row r="617" spans="1:15" s="598" customFormat="1">
      <c r="A617" s="597"/>
      <c r="C617" s="620"/>
      <c r="D617" s="784"/>
      <c r="E617" s="2497" t="s">
        <v>63</v>
      </c>
      <c r="F617" s="2498"/>
      <c r="G617" s="799" t="s">
        <v>2015</v>
      </c>
      <c r="H617" s="126" t="str">
        <f>IFERROR(IF([1]K_Summary!$H$602 = "", "", [1]K_Summary!$H$602 ),"")</f>
        <v/>
      </c>
      <c r="I617" s="235" t="str">
        <f>IFERROR(IF([1]K_Summary!$I$602 = "", "", [1]K_Summary!$I$602 ),"")</f>
        <v/>
      </c>
      <c r="J617" s="236" t="str">
        <f>IFERROR(IF([1]K_Summary!$J$602 = "", "", [1]K_Summary!$J$602 ),"")</f>
        <v/>
      </c>
      <c r="K617" s="126" t="str">
        <f>IFERROR(IF([1]K_Summary!$K$602 = "", "", [1]K_Summary!$K$602 ),"")</f>
        <v/>
      </c>
      <c r="L617" s="126" t="str">
        <f>IFERROR(IF([1]K_Summary!$L$602 = "", "", [1]K_Summary!$L$602 ),"")</f>
        <v/>
      </c>
      <c r="M617" s="126" t="str">
        <f>IFERROR(IF([1]K_Summary!$M$602 = "", "", [1]K_Summary!$M$602 ),"")</f>
        <v/>
      </c>
      <c r="N617" s="237" t="str">
        <f>IFERROR(IF([1]K_Summary!$N$602 = "", "", [1]K_Summary!$N$602 ),"")</f>
        <v/>
      </c>
      <c r="O617" s="601"/>
    </row>
    <row r="618" spans="1:15" s="598" customFormat="1">
      <c r="A618" s="597"/>
      <c r="C618" s="620"/>
      <c r="D618" s="784"/>
      <c r="E618" s="2497" t="s">
        <v>1154</v>
      </c>
      <c r="F618" s="2498"/>
      <c r="G618" s="799" t="s">
        <v>2015</v>
      </c>
      <c r="H618" s="126" t="str">
        <f>IFERROR(IF([1]K_Summary!$H$603 = "", "", [1]K_Summary!$H$603 ),"")</f>
        <v/>
      </c>
      <c r="I618" s="235" t="str">
        <f>IFERROR(IF([1]K_Summary!$I$603 = "", "", [1]K_Summary!$I$603 ),"")</f>
        <v/>
      </c>
      <c r="J618" s="236" t="str">
        <f>IFERROR(IF([1]K_Summary!$J$603 = "", "", [1]K_Summary!$J$603 ),"")</f>
        <v/>
      </c>
      <c r="K618" s="126" t="str">
        <f>IFERROR(IF([1]K_Summary!$K$603 = "", "", [1]K_Summary!$K$603 ),"")</f>
        <v/>
      </c>
      <c r="L618" s="126" t="str">
        <f>IFERROR(IF([1]K_Summary!$L$603 = "", "", [1]K_Summary!$L$603 ),"")</f>
        <v/>
      </c>
      <c r="M618" s="126" t="str">
        <f>IFERROR(IF([1]K_Summary!$M$603 = "", "", [1]K_Summary!$M$603 ),"")</f>
        <v/>
      </c>
      <c r="N618" s="237" t="str">
        <f>IFERROR(IF([1]K_Summary!$N$603 = "", "", [1]K_Summary!$N$603 ),"")</f>
        <v/>
      </c>
      <c r="O618" s="601"/>
    </row>
    <row r="619" spans="1:15" s="598" customFormat="1">
      <c r="A619" s="597"/>
      <c r="C619" s="620"/>
      <c r="D619" s="784"/>
      <c r="E619" s="2497" t="s">
        <v>1155</v>
      </c>
      <c r="F619" s="2498"/>
      <c r="G619" s="799" t="s">
        <v>2015</v>
      </c>
      <c r="H619" s="126" t="str">
        <f>IFERROR(IF([1]K_Summary!$H$604 = "", "", [1]K_Summary!$H$604 ),"")</f>
        <v/>
      </c>
      <c r="I619" s="235" t="str">
        <f>IFERROR(IF([1]K_Summary!$I$604 = "", "", [1]K_Summary!$I$604 ),"")</f>
        <v/>
      </c>
      <c r="J619" s="236" t="str">
        <f>IFERROR(IF([1]K_Summary!$J$604 = "", "", [1]K_Summary!$J$604 ),"")</f>
        <v/>
      </c>
      <c r="K619" s="126" t="str">
        <f>IFERROR(IF([1]K_Summary!$K$604 = "", "", [1]K_Summary!$K$604 ),"")</f>
        <v/>
      </c>
      <c r="L619" s="126" t="str">
        <f>IFERROR(IF([1]K_Summary!$L$604 = "", "", [1]K_Summary!$L$604 ),"")</f>
        <v/>
      </c>
      <c r="M619" s="126" t="str">
        <f>IFERROR(IF([1]K_Summary!$M$604 = "", "", [1]K_Summary!$M$604 ),"")</f>
        <v/>
      </c>
      <c r="N619" s="237" t="str">
        <f>IFERROR(IF([1]K_Summary!$N$604 = "", "", [1]K_Summary!$N$604 ),"")</f>
        <v/>
      </c>
      <c r="O619" s="601"/>
    </row>
    <row r="620" spans="1:15" s="598" customFormat="1">
      <c r="A620" s="597"/>
      <c r="C620" s="620"/>
      <c r="D620" s="784"/>
      <c r="E620" s="2497" t="s">
        <v>1156</v>
      </c>
      <c r="F620" s="2498"/>
      <c r="G620" s="799" t="s">
        <v>2016</v>
      </c>
      <c r="H620" s="126" t="str">
        <f>IFERROR(IF([1]K_Summary!$H$605 = "", "", [1]K_Summary!$H$605 ),"")</f>
        <v/>
      </c>
      <c r="I620" s="235" t="str">
        <f>IFERROR(IF([1]K_Summary!$I$605 = "", "", [1]K_Summary!$I$605 ),"")</f>
        <v/>
      </c>
      <c r="J620" s="236" t="str">
        <f>IFERROR(IF([1]K_Summary!$J$605 = "", "", [1]K_Summary!$J$605 ),"")</f>
        <v/>
      </c>
      <c r="K620" s="126" t="str">
        <f>IFERROR(IF([1]K_Summary!$K$605 = "", "", [1]K_Summary!$K$605 ),"")</f>
        <v/>
      </c>
      <c r="L620" s="126" t="str">
        <f>IFERROR(IF([1]K_Summary!$L$605 = "", "", [1]K_Summary!$L$605 ),"")</f>
        <v/>
      </c>
      <c r="M620" s="126" t="str">
        <f>IFERROR(IF([1]K_Summary!$M$605 = "", "", [1]K_Summary!$M$605 ),"")</f>
        <v/>
      </c>
      <c r="N620" s="237" t="str">
        <f>IFERROR(IF([1]K_Summary!$N$605 = "", "", [1]K_Summary!$N$605 ),"")</f>
        <v/>
      </c>
      <c r="O620" s="601"/>
    </row>
    <row r="621" spans="1:15" s="598" customFormat="1">
      <c r="A621" s="597"/>
      <c r="C621" s="620"/>
      <c r="D621" s="784"/>
      <c r="E621" s="790"/>
      <c r="F621" s="790"/>
      <c r="G621" s="797"/>
      <c r="H621" s="797"/>
      <c r="I621" s="797"/>
      <c r="J621" s="797"/>
      <c r="K621" s="797"/>
      <c r="L621" s="797"/>
      <c r="M621" s="797"/>
      <c r="N621" s="798"/>
      <c r="O621" s="601"/>
    </row>
    <row r="622" spans="1:15" s="598" customFormat="1">
      <c r="A622" s="597"/>
      <c r="C622" s="620"/>
      <c r="D622" s="784"/>
      <c r="E622" s="2499" t="s">
        <v>1087</v>
      </c>
      <c r="F622" s="2500"/>
      <c r="G622" s="793" t="s">
        <v>2017</v>
      </c>
      <c r="H622" s="127" t="str">
        <f>IFERROR(IF([1]K_Summary!$H$607 = "", "", [1]K_Summary!$H$607 ),"")</f>
        <v/>
      </c>
      <c r="I622" s="229" t="str">
        <f>IFERROR(IF([1]K_Summary!$I$607 = "", "", [1]K_Summary!$I$607 ),"")</f>
        <v/>
      </c>
      <c r="J622" s="230" t="str">
        <f>IFERROR(IF([1]K_Summary!$J$607 = "", "", [1]K_Summary!$J$607 ),"")</f>
        <v/>
      </c>
      <c r="K622" s="127" t="str">
        <f>IFERROR(IF([1]K_Summary!$K$607 = "", "", [1]K_Summary!$K$607 ),"")</f>
        <v/>
      </c>
      <c r="L622" s="127" t="str">
        <f>IFERROR(IF([1]K_Summary!$L$607 = "", "", [1]K_Summary!$L$607 ),"")</f>
        <v/>
      </c>
      <c r="M622" s="127" t="str">
        <f>IFERROR(IF([1]K_Summary!$M$607 = "", "", [1]K_Summary!$M$607 ),"")</f>
        <v/>
      </c>
      <c r="N622" s="231" t="str">
        <f>IFERROR(IF([1]K_Summary!$N$607 = "", "", [1]K_Summary!$N$607 ),"")</f>
        <v/>
      </c>
      <c r="O622" s="601"/>
    </row>
    <row r="623" spans="1:15" s="598" customFormat="1">
      <c r="A623" s="597"/>
      <c r="C623" s="620"/>
      <c r="D623" s="784"/>
      <c r="E623" s="2560" t="s">
        <v>1103</v>
      </c>
      <c r="F623" s="2518"/>
      <c r="G623" s="795" t="s">
        <v>2018</v>
      </c>
      <c r="H623" s="128" t="str">
        <f>IFERROR(IF([1]K_Summary!$H$608 = "", "", [1]K_Summary!$H$608 ),"")</f>
        <v/>
      </c>
      <c r="I623" s="232" t="str">
        <f>IFERROR(IF([1]K_Summary!$I$608 = "", "", [1]K_Summary!$I$608 ),"")</f>
        <v/>
      </c>
      <c r="J623" s="233" t="str">
        <f>IFERROR(IF([1]K_Summary!$J$608 = "", "", [1]K_Summary!$J$608 ),"")</f>
        <v/>
      </c>
      <c r="K623" s="128" t="str">
        <f>IFERROR(IF([1]K_Summary!$K$608 = "", "", [1]K_Summary!$K$608 ),"")</f>
        <v/>
      </c>
      <c r="L623" s="128" t="str">
        <f>IFERROR(IF([1]K_Summary!$L$608 = "", "", [1]K_Summary!$L$608 ),"")</f>
        <v/>
      </c>
      <c r="M623" s="128" t="str">
        <f>IFERROR(IF([1]K_Summary!$M$608 = "", "", [1]K_Summary!$M$608 ),"")</f>
        <v/>
      </c>
      <c r="N623" s="234" t="str">
        <f>IFERROR(IF([1]K_Summary!$N$608 = "", "", [1]K_Summary!$N$608 ),"")</f>
        <v/>
      </c>
      <c r="O623" s="601"/>
    </row>
    <row r="624" spans="1:15" s="598" customFormat="1">
      <c r="A624" s="597"/>
      <c r="C624" s="620"/>
      <c r="D624" s="784"/>
      <c r="E624" s="790"/>
      <c r="F624" s="790"/>
      <c r="G624" s="797"/>
      <c r="H624" s="797"/>
      <c r="I624" s="797"/>
      <c r="J624" s="797"/>
      <c r="K624" s="797"/>
      <c r="L624" s="797"/>
      <c r="M624" s="797"/>
      <c r="N624" s="798"/>
      <c r="O624" s="601"/>
    </row>
    <row r="625" spans="1:15" s="598" customFormat="1">
      <c r="A625" s="597"/>
      <c r="C625" s="620"/>
      <c r="D625" s="784"/>
      <c r="E625" s="2497" t="s">
        <v>1150</v>
      </c>
      <c r="F625" s="2498"/>
      <c r="G625" s="799" t="s">
        <v>2017</v>
      </c>
      <c r="H625" s="126" t="str">
        <f>IFERROR(IF([1]K_Summary!$H$610 = "", "", [1]K_Summary!$H$610 ),"")</f>
        <v/>
      </c>
      <c r="I625" s="235" t="str">
        <f>IFERROR(IF([1]K_Summary!$I$610 = "", "", [1]K_Summary!$I$610 ),"")</f>
        <v/>
      </c>
      <c r="J625" s="236" t="str">
        <f>IFERROR(IF([1]K_Summary!$J$610 = "", "", [1]K_Summary!$J$610 ),"")</f>
        <v/>
      </c>
      <c r="K625" s="126" t="str">
        <f>IFERROR(IF([1]K_Summary!$K$610 = "", "", [1]K_Summary!$K$610 ),"")</f>
        <v/>
      </c>
      <c r="L625" s="126" t="str">
        <f>IFERROR(IF([1]K_Summary!$L$610 = "", "", [1]K_Summary!$L$610 ),"")</f>
        <v/>
      </c>
      <c r="M625" s="126" t="str">
        <f>IFERROR(IF([1]K_Summary!$M$610 = "", "", [1]K_Summary!$M$610 ),"")</f>
        <v/>
      </c>
      <c r="N625" s="237" t="str">
        <f>IFERROR(IF([1]K_Summary!$N$610 = "", "", [1]K_Summary!$N$610 ),"")</f>
        <v/>
      </c>
      <c r="O625" s="601"/>
    </row>
    <row r="626" spans="1:15" s="598" customFormat="1" ht="13.15" customHeight="1">
      <c r="A626" s="597"/>
      <c r="C626" s="620"/>
      <c r="D626" s="784"/>
      <c r="E626" s="2497" t="s">
        <v>1149</v>
      </c>
      <c r="F626" s="2498"/>
      <c r="G626" s="799" t="s">
        <v>2017</v>
      </c>
      <c r="H626" s="126" t="str">
        <f>IFERROR(IF([1]K_Summary!$H$611 = "", "", [1]K_Summary!$H$611 ),"")</f>
        <v/>
      </c>
      <c r="I626" s="235" t="str">
        <f>IFERROR(IF([1]K_Summary!$I$611 = "", "", [1]K_Summary!$I$611 ),"")</f>
        <v/>
      </c>
      <c r="J626" s="236" t="str">
        <f>IFERROR(IF([1]K_Summary!$J$611 = "", "", [1]K_Summary!$J$611 ),"")</f>
        <v/>
      </c>
      <c r="K626" s="126" t="str">
        <f>IFERROR(IF([1]K_Summary!$K$611 = "", "", [1]K_Summary!$K$611 ),"")</f>
        <v/>
      </c>
      <c r="L626" s="126" t="str">
        <f>IFERROR(IF([1]K_Summary!$L$611 = "", "", [1]K_Summary!$L$611 ),"")</f>
        <v/>
      </c>
      <c r="M626" s="126" t="str">
        <f>IFERROR(IF([1]K_Summary!$M$611 = "", "", [1]K_Summary!$M$611 ),"")</f>
        <v/>
      </c>
      <c r="N626" s="237" t="str">
        <f>IFERROR(IF([1]K_Summary!$N$611 = "", "", [1]K_Summary!$N$611 ),"")</f>
        <v/>
      </c>
      <c r="O626" s="601"/>
    </row>
    <row r="627" spans="1:15" s="598" customFormat="1">
      <c r="A627" s="597"/>
      <c r="C627" s="620"/>
      <c r="D627" s="784"/>
      <c r="E627" s="790"/>
      <c r="F627" s="790"/>
      <c r="G627" s="791"/>
      <c r="H627" s="797"/>
      <c r="I627" s="797"/>
      <c r="J627" s="797"/>
      <c r="K627" s="797"/>
      <c r="L627" s="797"/>
      <c r="M627" s="797"/>
      <c r="N627" s="798"/>
      <c r="O627" s="601"/>
    </row>
    <row r="628" spans="1:15" s="598" customFormat="1">
      <c r="A628" s="597"/>
      <c r="C628" s="620"/>
      <c r="D628" s="784"/>
      <c r="E628" s="2499" t="s">
        <v>1079</v>
      </c>
      <c r="F628" s="2500"/>
      <c r="G628" s="793" t="s">
        <v>2017</v>
      </c>
      <c r="H628" s="127" t="str">
        <f>IFERROR(IF([1]K_Summary!$H$613 = "", "", [1]K_Summary!$H$613 ),"")</f>
        <v/>
      </c>
      <c r="I628" s="229" t="str">
        <f>IFERROR(IF([1]K_Summary!$I$613 = "", "", [1]K_Summary!$I$613 ),"")</f>
        <v/>
      </c>
      <c r="J628" s="230" t="str">
        <f>IFERROR(IF([1]K_Summary!$J$613 = "", "", [1]K_Summary!$J$613 ),"")</f>
        <v/>
      </c>
      <c r="K628" s="127" t="str">
        <f>IFERROR(IF([1]K_Summary!$K$613 = "", "", [1]K_Summary!$K$613 ),"")</f>
        <v/>
      </c>
      <c r="L628" s="127" t="str">
        <f>IFERROR(IF([1]K_Summary!$L$613 = "", "", [1]K_Summary!$L$613 ),"")</f>
        <v/>
      </c>
      <c r="M628" s="127" t="str">
        <f>IFERROR(IF([1]K_Summary!$M$613 = "", "", [1]K_Summary!$M$613 ),"")</f>
        <v/>
      </c>
      <c r="N628" s="231" t="str">
        <f>IFERROR(IF([1]K_Summary!$N$613 = "", "", [1]K_Summary!$N$613 ),"")</f>
        <v/>
      </c>
      <c r="O628" s="601"/>
    </row>
    <row r="629" spans="1:15" s="598" customFormat="1">
      <c r="A629" s="597"/>
      <c r="C629" s="620"/>
      <c r="D629" s="784"/>
      <c r="E629" s="2560" t="s">
        <v>1104</v>
      </c>
      <c r="F629" s="2518"/>
      <c r="G629" s="795" t="s">
        <v>2018</v>
      </c>
      <c r="H629" s="128" t="str">
        <f>IFERROR(IF([1]K_Summary!$H$614 = "", "", [1]K_Summary!$H$614 ),"")</f>
        <v/>
      </c>
      <c r="I629" s="232" t="str">
        <f>IFERROR(IF([1]K_Summary!$I$614 = "", "", [1]K_Summary!$I$614 ),"")</f>
        <v/>
      </c>
      <c r="J629" s="233" t="str">
        <f>IFERROR(IF([1]K_Summary!$J$614 = "", "", [1]K_Summary!$J$614 ),"")</f>
        <v/>
      </c>
      <c r="K629" s="128" t="str">
        <f>IFERROR(IF([1]K_Summary!$K$614 = "", "", [1]K_Summary!$K$614 ),"")</f>
        <v/>
      </c>
      <c r="L629" s="128" t="str">
        <f>IFERROR(IF([1]K_Summary!$L$614 = "", "", [1]K_Summary!$L$614 ),"")</f>
        <v/>
      </c>
      <c r="M629" s="128" t="str">
        <f>IFERROR(IF([1]K_Summary!$M$614 = "", "", [1]K_Summary!$M$614 ),"")</f>
        <v/>
      </c>
      <c r="N629" s="234" t="str">
        <f>IFERROR(IF([1]K_Summary!$N$614 = "", "", [1]K_Summary!$N$614 ),"")</f>
        <v/>
      </c>
      <c r="O629" s="601"/>
    </row>
    <row r="630" spans="1:15" s="598" customFormat="1">
      <c r="A630" s="597"/>
      <c r="C630" s="620"/>
      <c r="D630" s="784"/>
      <c r="E630" s="790"/>
      <c r="F630" s="790"/>
      <c r="G630" s="791"/>
      <c r="H630" s="797"/>
      <c r="I630" s="797"/>
      <c r="J630" s="797"/>
      <c r="K630" s="797"/>
      <c r="L630" s="797"/>
      <c r="M630" s="797"/>
      <c r="N630" s="798"/>
      <c r="O630" s="601"/>
    </row>
    <row r="631" spans="1:15" s="598" customFormat="1">
      <c r="A631" s="597"/>
      <c r="C631" s="620"/>
      <c r="D631" s="784"/>
      <c r="E631" s="2499" t="s">
        <v>1141</v>
      </c>
      <c r="F631" s="2500"/>
      <c r="G631" s="793" t="s">
        <v>2017</v>
      </c>
      <c r="H631" s="127" t="str">
        <f>IFERROR(IF([1]K_Summary!$H$616 = "", "", [1]K_Summary!$H$616 ),"")</f>
        <v/>
      </c>
      <c r="I631" s="229" t="str">
        <f>IFERROR(IF([1]K_Summary!$I$616 = "", "", [1]K_Summary!$I$616 ),"")</f>
        <v/>
      </c>
      <c r="J631" s="230" t="str">
        <f>IFERROR(IF([1]K_Summary!$J$616 = "", "", [1]K_Summary!$J$616 ),"")</f>
        <v/>
      </c>
      <c r="K631" s="127" t="str">
        <f>IFERROR(IF([1]K_Summary!$K$616 = "", "", [1]K_Summary!$K$616 ),"")</f>
        <v/>
      </c>
      <c r="L631" s="127" t="str">
        <f>IFERROR(IF([1]K_Summary!$L$616 = "", "", [1]K_Summary!$L$616 ),"")</f>
        <v/>
      </c>
      <c r="M631" s="127" t="str">
        <f>IFERROR(IF([1]K_Summary!$M$616 = "", "", [1]K_Summary!$M$616 ),"")</f>
        <v/>
      </c>
      <c r="N631" s="231" t="str">
        <f>IFERROR(IF([1]K_Summary!$N$616 = "", "", [1]K_Summary!$N$616 ),"")</f>
        <v/>
      </c>
      <c r="O631" s="601"/>
    </row>
    <row r="632" spans="1:15" s="598" customFormat="1" ht="13.15" customHeight="1">
      <c r="A632" s="597"/>
      <c r="C632" s="620"/>
      <c r="D632" s="784"/>
      <c r="E632" s="2560" t="s">
        <v>1258</v>
      </c>
      <c r="F632" s="2518"/>
      <c r="G632" s="795" t="s">
        <v>2018</v>
      </c>
      <c r="H632" s="128" t="str">
        <f>IFERROR(IF([1]K_Summary!$H$617 = "", "", [1]K_Summary!$H$617 ),"")</f>
        <v/>
      </c>
      <c r="I632" s="232" t="str">
        <f>IFERROR(IF([1]K_Summary!$I$617 = "", "", [1]K_Summary!$I$617 ),"")</f>
        <v/>
      </c>
      <c r="J632" s="233" t="str">
        <f>IFERROR(IF([1]K_Summary!$J$617 = "", "", [1]K_Summary!$J$617 ),"")</f>
        <v/>
      </c>
      <c r="K632" s="128" t="str">
        <f>IFERROR(IF([1]K_Summary!$K$617 = "", "", [1]K_Summary!$K$617 ),"")</f>
        <v/>
      </c>
      <c r="L632" s="128" t="str">
        <f>IFERROR(IF([1]K_Summary!$L$617 = "", "", [1]K_Summary!$L$617 ),"")</f>
        <v/>
      </c>
      <c r="M632" s="128" t="str">
        <f>IFERROR(IF([1]K_Summary!$M$617 = "", "", [1]K_Summary!$M$617 ),"")</f>
        <v/>
      </c>
      <c r="N632" s="234" t="str">
        <f>IFERROR(IF([1]K_Summary!$N$617 = "", "", [1]K_Summary!$N$617 ),"")</f>
        <v/>
      </c>
      <c r="O632" s="601"/>
    </row>
    <row r="633" spans="1:15" s="598" customFormat="1">
      <c r="A633" s="597"/>
      <c r="C633" s="620"/>
      <c r="D633" s="784"/>
      <c r="E633" s="2499" t="s">
        <v>1309</v>
      </c>
      <c r="F633" s="2500"/>
      <c r="G633" s="793" t="s">
        <v>2017</v>
      </c>
      <c r="H633" s="127" t="str">
        <f>IFERROR(IF([1]K_Summary!$H$618 = "", "", [1]K_Summary!$H$618 ),"")</f>
        <v/>
      </c>
      <c r="I633" s="229" t="str">
        <f>IFERROR(IF([1]K_Summary!$I$618 = "", "", [1]K_Summary!$I$618 ),"")</f>
        <v/>
      </c>
      <c r="J633" s="230" t="str">
        <f>IFERROR(IF([1]K_Summary!$J$618 = "", "", [1]K_Summary!$J$618 ),"")</f>
        <v/>
      </c>
      <c r="K633" s="127" t="str">
        <f>IFERROR(IF([1]K_Summary!$K$618 = "", "", [1]K_Summary!$K$618 ),"")</f>
        <v/>
      </c>
      <c r="L633" s="127" t="str">
        <f>IFERROR(IF([1]K_Summary!$L$618 = "", "", [1]K_Summary!$L$618 ),"")</f>
        <v/>
      </c>
      <c r="M633" s="127" t="str">
        <f>IFERROR(IF([1]K_Summary!$M$618 = "", "", [1]K_Summary!$M$618 ),"")</f>
        <v/>
      </c>
      <c r="N633" s="231" t="str">
        <f>IFERROR(IF([1]K_Summary!$N$618 = "", "", [1]K_Summary!$N$618 ),"")</f>
        <v/>
      </c>
      <c r="O633" s="601"/>
    </row>
    <row r="634" spans="1:15" s="598" customFormat="1" ht="13.15" customHeight="1">
      <c r="A634" s="597"/>
      <c r="C634" s="620"/>
      <c r="D634" s="784"/>
      <c r="E634" s="2560" t="s">
        <v>1307</v>
      </c>
      <c r="F634" s="2518"/>
      <c r="G634" s="795" t="s">
        <v>2018</v>
      </c>
      <c r="H634" s="128" t="str">
        <f>IFERROR(IF([1]K_Summary!$H$619 = "", "", [1]K_Summary!$H$619 ),"")</f>
        <v/>
      </c>
      <c r="I634" s="232" t="str">
        <f>IFERROR(IF([1]K_Summary!$I$619 = "", "", [1]K_Summary!$I$619 ),"")</f>
        <v/>
      </c>
      <c r="J634" s="233" t="str">
        <f>IFERROR(IF([1]K_Summary!$J$619 = "", "", [1]K_Summary!$J$619 ),"")</f>
        <v/>
      </c>
      <c r="K634" s="128" t="str">
        <f>IFERROR(IF([1]K_Summary!$K$619 = "", "", [1]K_Summary!$K$619 ),"")</f>
        <v/>
      </c>
      <c r="L634" s="128" t="str">
        <f>IFERROR(IF([1]K_Summary!$L$619 = "", "", [1]K_Summary!$L$619 ),"")</f>
        <v/>
      </c>
      <c r="M634" s="128" t="str">
        <f>IFERROR(IF([1]K_Summary!$M$619 = "", "", [1]K_Summary!$M$619 ),"")</f>
        <v/>
      </c>
      <c r="N634" s="234" t="str">
        <f>IFERROR(IF([1]K_Summary!$N$619 = "", "", [1]K_Summary!$N$619 ),"")</f>
        <v/>
      </c>
      <c r="O634" s="601"/>
    </row>
    <row r="635" spans="1:15" s="598" customFormat="1">
      <c r="A635" s="597"/>
      <c r="C635" s="620"/>
      <c r="D635" s="784"/>
      <c r="E635" s="2499" t="s">
        <v>1288</v>
      </c>
      <c r="F635" s="2500"/>
      <c r="G635" s="793" t="s">
        <v>2017</v>
      </c>
      <c r="H635" s="127" t="str">
        <f>IFERROR(IF([1]K_Summary!$H$620 = "", "", [1]K_Summary!$H$620 ),"")</f>
        <v/>
      </c>
      <c r="I635" s="229" t="str">
        <f>IFERROR(IF([1]K_Summary!$I$620 = "", "", [1]K_Summary!$I$620 ),"")</f>
        <v/>
      </c>
      <c r="J635" s="230" t="str">
        <f>IFERROR(IF([1]K_Summary!$J$620 = "", "", [1]K_Summary!$J$620 ),"")</f>
        <v/>
      </c>
      <c r="K635" s="127" t="str">
        <f>IFERROR(IF([1]K_Summary!$K$620 = "", "", [1]K_Summary!$K$620 ),"")</f>
        <v/>
      </c>
      <c r="L635" s="127" t="str">
        <f>IFERROR(IF([1]K_Summary!$L$620 = "", "", [1]K_Summary!$L$620 ),"")</f>
        <v/>
      </c>
      <c r="M635" s="127" t="str">
        <f>IFERROR(IF([1]K_Summary!$M$620 = "", "", [1]K_Summary!$M$620 ),"")</f>
        <v/>
      </c>
      <c r="N635" s="231" t="str">
        <f>IFERROR(IF([1]K_Summary!$N$620 = "", "", [1]K_Summary!$N$620 ),"")</f>
        <v/>
      </c>
      <c r="O635" s="601"/>
    </row>
    <row r="636" spans="1:15" s="598" customFormat="1">
      <c r="A636" s="597"/>
      <c r="C636" s="620"/>
      <c r="D636" s="784"/>
      <c r="E636" s="2560" t="s">
        <v>1308</v>
      </c>
      <c r="F636" s="2518"/>
      <c r="G636" s="795" t="s">
        <v>2018</v>
      </c>
      <c r="H636" s="128" t="str">
        <f>IFERROR(IF([1]K_Summary!$H$621 = "", "", [1]K_Summary!$H$621 ),"")</f>
        <v/>
      </c>
      <c r="I636" s="232" t="str">
        <f>IFERROR(IF([1]K_Summary!$I$621 = "", "", [1]K_Summary!$I$621 ),"")</f>
        <v/>
      </c>
      <c r="J636" s="233" t="str">
        <f>IFERROR(IF([1]K_Summary!$J$621 = "", "", [1]K_Summary!$J$621 ),"")</f>
        <v/>
      </c>
      <c r="K636" s="128" t="str">
        <f>IFERROR(IF([1]K_Summary!$K$621 = "", "", [1]K_Summary!$K$621 ),"")</f>
        <v/>
      </c>
      <c r="L636" s="128" t="str">
        <f>IFERROR(IF([1]K_Summary!$L$621 = "", "", [1]K_Summary!$L$621 ),"")</f>
        <v/>
      </c>
      <c r="M636" s="128" t="str">
        <f>IFERROR(IF([1]K_Summary!$M$621 = "", "", [1]K_Summary!$M$621 ),"")</f>
        <v/>
      </c>
      <c r="N636" s="234" t="str">
        <f>IFERROR(IF([1]K_Summary!$N$621 = "", "", [1]K_Summary!$N$621 ),"")</f>
        <v/>
      </c>
      <c r="O636" s="601"/>
    </row>
    <row r="637" spans="1:15" s="598" customFormat="1">
      <c r="A637" s="597"/>
      <c r="C637" s="620"/>
      <c r="D637" s="784"/>
      <c r="E637" s="2499" t="s">
        <v>1102</v>
      </c>
      <c r="F637" s="2500"/>
      <c r="G637" s="793" t="s">
        <v>2017</v>
      </c>
      <c r="H637" s="127" t="str">
        <f>IFERROR(IF([1]K_Summary!$H$622 = "", "", [1]K_Summary!$H$622 ),"")</f>
        <v/>
      </c>
      <c r="I637" s="229" t="str">
        <f>IFERROR(IF([1]K_Summary!$I$622 = "", "", [1]K_Summary!$I$622 ),"")</f>
        <v/>
      </c>
      <c r="J637" s="230" t="str">
        <f>IFERROR(IF([1]K_Summary!$J$622 = "", "", [1]K_Summary!$J$622 ),"")</f>
        <v/>
      </c>
      <c r="K637" s="127" t="str">
        <f>IFERROR(IF([1]K_Summary!$K$622 = "", "", [1]K_Summary!$K$622 ),"")</f>
        <v/>
      </c>
      <c r="L637" s="127" t="str">
        <f>IFERROR(IF([1]K_Summary!$L$622 = "", "", [1]K_Summary!$L$622 ),"")</f>
        <v/>
      </c>
      <c r="M637" s="127" t="str">
        <f>IFERROR(IF([1]K_Summary!$M$622 = "", "", [1]K_Summary!$M$622 ),"")</f>
        <v/>
      </c>
      <c r="N637" s="231" t="str">
        <f>IFERROR(IF([1]K_Summary!$N$622 = "", "", [1]K_Summary!$N$622 ),"")</f>
        <v/>
      </c>
      <c r="O637" s="601"/>
    </row>
    <row r="638" spans="1:15" s="598" customFormat="1">
      <c r="A638" s="597"/>
      <c r="C638" s="620"/>
      <c r="D638" s="784"/>
      <c r="E638" s="801" t="s">
        <v>1275</v>
      </c>
      <c r="F638" s="801"/>
      <c r="G638" s="795" t="s">
        <v>2018</v>
      </c>
      <c r="H638" s="128" t="str">
        <f>IFERROR(IF([1]K_Summary!$H$623 = "", "", [1]K_Summary!$H$623 ),"")</f>
        <v/>
      </c>
      <c r="I638" s="232" t="str">
        <f>IFERROR(IF([1]K_Summary!$I$623 = "", "", [1]K_Summary!$I$623 ),"")</f>
        <v/>
      </c>
      <c r="J638" s="233" t="str">
        <f>IFERROR(IF([1]K_Summary!$J$623 = "", "", [1]K_Summary!$J$623 ),"")</f>
        <v/>
      </c>
      <c r="K638" s="128" t="str">
        <f>IFERROR(IF([1]K_Summary!$K$623 = "", "", [1]K_Summary!$K$623 ),"")</f>
        <v/>
      </c>
      <c r="L638" s="128" t="str">
        <f>IFERROR(IF([1]K_Summary!$L$623 = "", "", [1]K_Summary!$L$623 ),"")</f>
        <v/>
      </c>
      <c r="M638" s="128" t="str">
        <f>IFERROR(IF([1]K_Summary!$M$623 = "", "", [1]K_Summary!$M$623 ),"")</f>
        <v/>
      </c>
      <c r="N638" s="234" t="str">
        <f>IFERROR(IF([1]K_Summary!$N$623 = "", "", [1]K_Summary!$N$623 ),"")</f>
        <v/>
      </c>
      <c r="O638" s="601"/>
    </row>
    <row r="639" spans="1:15" s="598" customFormat="1">
      <c r="A639" s="597"/>
      <c r="C639" s="620"/>
      <c r="D639" s="784"/>
      <c r="E639" s="2499" t="s">
        <v>1080</v>
      </c>
      <c r="F639" s="2500"/>
      <c r="G639" s="793" t="s">
        <v>2017</v>
      </c>
      <c r="H639" s="127" t="str">
        <f>IFERROR(IF([1]K_Summary!$H$624 = "", "", [1]K_Summary!$H$624 ),"")</f>
        <v/>
      </c>
      <c r="I639" s="229" t="str">
        <f>IFERROR(IF([1]K_Summary!$I$624 = "", "", [1]K_Summary!$I$624 ),"")</f>
        <v/>
      </c>
      <c r="J639" s="230" t="str">
        <f>IFERROR(IF([1]K_Summary!$J$624 = "", "", [1]K_Summary!$J$624 ),"")</f>
        <v/>
      </c>
      <c r="K639" s="127" t="str">
        <f>IFERROR(IF([1]K_Summary!$K$624 = "", "", [1]K_Summary!$K$624 ),"")</f>
        <v/>
      </c>
      <c r="L639" s="127" t="str">
        <f>IFERROR(IF([1]K_Summary!$L$624 = "", "", [1]K_Summary!$L$624 ),"")</f>
        <v/>
      </c>
      <c r="M639" s="127" t="str">
        <f>IFERROR(IF([1]K_Summary!$M$624 = "", "", [1]K_Summary!$M$624 ),"")</f>
        <v/>
      </c>
      <c r="N639" s="231" t="str">
        <f>IFERROR(IF([1]K_Summary!$N$624 = "", "", [1]K_Summary!$N$624 ),"")</f>
        <v/>
      </c>
      <c r="O639" s="601"/>
    </row>
    <row r="640" spans="1:15" s="598" customFormat="1">
      <c r="A640" s="597"/>
      <c r="C640" s="620"/>
      <c r="D640" s="784"/>
      <c r="E640" s="2560" t="s">
        <v>1276</v>
      </c>
      <c r="F640" s="2518"/>
      <c r="G640" s="795" t="s">
        <v>2018</v>
      </c>
      <c r="H640" s="128" t="str">
        <f>IFERROR(IF([1]K_Summary!$H$625 = "", "", [1]K_Summary!$H$625 ),"")</f>
        <v/>
      </c>
      <c r="I640" s="232" t="str">
        <f>IFERROR(IF([1]K_Summary!$I$625 = "", "", [1]K_Summary!$I$625 ),"")</f>
        <v/>
      </c>
      <c r="J640" s="233" t="str">
        <f>IFERROR(IF([1]K_Summary!$J$625 = "", "", [1]K_Summary!$J$625 ),"")</f>
        <v/>
      </c>
      <c r="K640" s="128" t="str">
        <f>IFERROR(IF([1]K_Summary!$K$625 = "", "", [1]K_Summary!$K$625 ),"")</f>
        <v/>
      </c>
      <c r="L640" s="128" t="str">
        <f>IFERROR(IF([1]K_Summary!$L$625 = "", "", [1]K_Summary!$L$625 ),"")</f>
        <v/>
      </c>
      <c r="M640" s="128" t="str">
        <f>IFERROR(IF([1]K_Summary!$M$625 = "", "", [1]K_Summary!$M$625 ),"")</f>
        <v/>
      </c>
      <c r="N640" s="234" t="str">
        <f>IFERROR(IF([1]K_Summary!$N$625 = "", "", [1]K_Summary!$N$625 ),"")</f>
        <v/>
      </c>
      <c r="O640" s="601"/>
    </row>
    <row r="641" spans="1:15" s="598" customFormat="1">
      <c r="A641" s="597"/>
      <c r="C641" s="620"/>
      <c r="D641" s="784"/>
      <c r="E641" s="790"/>
      <c r="F641" s="790"/>
      <c r="G641" s="791"/>
      <c r="H641" s="797"/>
      <c r="I641" s="797"/>
      <c r="J641" s="797"/>
      <c r="K641" s="797"/>
      <c r="L641" s="797"/>
      <c r="M641" s="797"/>
      <c r="N641" s="798"/>
      <c r="O641" s="601"/>
    </row>
    <row r="642" spans="1:15" s="598" customFormat="1">
      <c r="A642" s="597"/>
      <c r="C642" s="620"/>
      <c r="D642" s="784"/>
      <c r="E642" s="2497" t="s">
        <v>914</v>
      </c>
      <c r="F642" s="2498"/>
      <c r="G642" s="799" t="s">
        <v>2021</v>
      </c>
      <c r="H642" s="126" t="str">
        <f>IFERROR(IF([1]K_Summary!$H$627 = "", "", [1]K_Summary!$H$627 ),"")</f>
        <v/>
      </c>
      <c r="I642" s="235" t="str">
        <f>IFERROR(IF([1]K_Summary!$I$627 = "", "", [1]K_Summary!$I$627 ),"")</f>
        <v/>
      </c>
      <c r="J642" s="236" t="str">
        <f>IFERROR(IF([1]K_Summary!$J$627 = "", "", [1]K_Summary!$J$627 ),"")</f>
        <v/>
      </c>
      <c r="K642" s="126" t="str">
        <f>IFERROR(IF([1]K_Summary!$K$627 = "", "", [1]K_Summary!$K$627 ),"")</f>
        <v/>
      </c>
      <c r="L642" s="126" t="str">
        <f>IFERROR(IF([1]K_Summary!$L$627 = "", "", [1]K_Summary!$L$627 ),"")</f>
        <v/>
      </c>
      <c r="M642" s="126" t="str">
        <f>IFERROR(IF([1]K_Summary!$M$627 = "", "", [1]K_Summary!$M$627 ),"")</f>
        <v/>
      </c>
      <c r="N642" s="237" t="str">
        <f>IFERROR(IF([1]K_Summary!$N$627 = "", "", [1]K_Summary!$N$627 ),"")</f>
        <v/>
      </c>
      <c r="O642" s="601"/>
    </row>
    <row r="643" spans="1:15" s="598" customFormat="1">
      <c r="A643" s="597"/>
      <c r="C643" s="620"/>
      <c r="D643" s="784"/>
      <c r="E643" s="2497" t="s">
        <v>1354</v>
      </c>
      <c r="F643" s="2498"/>
      <c r="G643" s="799" t="s">
        <v>2021</v>
      </c>
      <c r="H643" s="126" t="str">
        <f>IFERROR(IF([1]K_Summary!$H$628 = "", "", [1]K_Summary!$H$628 ),"")</f>
        <v/>
      </c>
      <c r="I643" s="235" t="str">
        <f>IFERROR(IF([1]K_Summary!$I$628 = "", "", [1]K_Summary!$I$628 ),"")</f>
        <v/>
      </c>
      <c r="J643" s="236" t="str">
        <f>IFERROR(IF([1]K_Summary!$J$628 = "", "", [1]K_Summary!$J$628 ),"")</f>
        <v/>
      </c>
      <c r="K643" s="126" t="str">
        <f>IFERROR(IF([1]K_Summary!$K$628 = "", "", [1]K_Summary!$K$628 ),"")</f>
        <v/>
      </c>
      <c r="L643" s="126" t="str">
        <f>IFERROR(IF([1]K_Summary!$L$628 = "", "", [1]K_Summary!$L$628 ),"")</f>
        <v/>
      </c>
      <c r="M643" s="126" t="str">
        <f>IFERROR(IF([1]K_Summary!$M$628 = "", "", [1]K_Summary!$M$628 ),"")</f>
        <v/>
      </c>
      <c r="N643" s="237" t="str">
        <f>IFERROR(IF([1]K_Summary!$N$628 = "", "", [1]K_Summary!$N$628 ),"")</f>
        <v/>
      </c>
      <c r="O643" s="601"/>
    </row>
    <row r="644" spans="1:15" s="598" customFormat="1">
      <c r="A644" s="597"/>
      <c r="C644" s="620"/>
      <c r="D644" s="784"/>
      <c r="E644" s="790"/>
      <c r="F644" s="790"/>
      <c r="G644" s="791"/>
      <c r="H644" s="797"/>
      <c r="I644" s="797"/>
      <c r="J644" s="797"/>
      <c r="K644" s="797"/>
      <c r="L644" s="797"/>
      <c r="M644" s="797"/>
      <c r="N644" s="798"/>
      <c r="O644" s="601"/>
    </row>
    <row r="645" spans="1:15" s="598" customFormat="1">
      <c r="A645" s="597"/>
      <c r="C645" s="620"/>
      <c r="D645" s="784"/>
      <c r="E645" s="2497" t="s">
        <v>1157</v>
      </c>
      <c r="F645" s="2498"/>
      <c r="G645" s="799" t="s">
        <v>1020</v>
      </c>
      <c r="H645" s="126" t="str">
        <f>IFERROR(IF([1]K_Summary!$H$630 = "", "", [1]K_Summary!$H$630 ),"")</f>
        <v/>
      </c>
      <c r="I645" s="235" t="str">
        <f>IFERROR(IF([1]K_Summary!$I$630 = "", "", [1]K_Summary!$I$630 ),"")</f>
        <v/>
      </c>
      <c r="J645" s="236" t="str">
        <f>IFERROR(IF([1]K_Summary!$J$630 = "", "", [1]K_Summary!$J$630 ),"")</f>
        <v/>
      </c>
      <c r="K645" s="126" t="str">
        <f>IFERROR(IF([1]K_Summary!$K$630 = "", "", [1]K_Summary!$K$630 ),"")</f>
        <v/>
      </c>
      <c r="L645" s="126" t="str">
        <f>IFERROR(IF([1]K_Summary!$L$630 = "", "", [1]K_Summary!$L$630 ),"")</f>
        <v/>
      </c>
      <c r="M645" s="126" t="str">
        <f>IFERROR(IF([1]K_Summary!$M$630 = "", "", [1]K_Summary!$M$630 ),"")</f>
        <v/>
      </c>
      <c r="N645" s="237" t="str">
        <f>IFERROR(IF([1]K_Summary!$N$630 = "", "", [1]K_Summary!$N$630 ),"")</f>
        <v/>
      </c>
      <c r="O645" s="601"/>
    </row>
    <row r="646" spans="1:15" s="598" customFormat="1">
      <c r="A646" s="597"/>
      <c r="C646" s="620"/>
      <c r="D646" s="784"/>
      <c r="E646" s="790"/>
      <c r="F646" s="790"/>
      <c r="G646" s="791"/>
      <c r="H646" s="797"/>
      <c r="I646" s="797"/>
      <c r="J646" s="797"/>
      <c r="K646" s="797"/>
      <c r="L646" s="797"/>
      <c r="M646" s="797"/>
      <c r="N646" s="798"/>
      <c r="O646" s="601"/>
    </row>
    <row r="647" spans="1:15" s="598" customFormat="1">
      <c r="A647" s="597"/>
      <c r="C647" s="620"/>
      <c r="D647" s="784"/>
      <c r="E647" s="2557" t="s">
        <v>1440</v>
      </c>
      <c r="F647" s="2558"/>
      <c r="G647" s="791"/>
      <c r="H647" s="797"/>
      <c r="I647" s="797"/>
      <c r="J647" s="797"/>
      <c r="K647" s="797"/>
      <c r="L647" s="797"/>
      <c r="M647" s="797"/>
      <c r="N647" s="798"/>
      <c r="O647" s="601"/>
    </row>
    <row r="648" spans="1:15" s="598" customFormat="1">
      <c r="A648" s="597"/>
      <c r="C648" s="620"/>
      <c r="D648" s="784"/>
      <c r="E648" s="2487" t="str">
        <f>IFERROR(IF([1]K_Summary!$E$633 = "", "", [1]K_Summary!$E$633 ),"")</f>
        <v/>
      </c>
      <c r="F648" s="2559"/>
      <c r="G648" s="799" t="s">
        <v>1020</v>
      </c>
      <c r="H648" s="126" t="str">
        <f>IFERROR(IF([1]K_Summary!$H$633 = "", "", [1]K_Summary!$H$633 ),"")</f>
        <v/>
      </c>
      <c r="I648" s="235" t="str">
        <f>IFERROR(IF([1]K_Summary!$I$633 = "", "", [1]K_Summary!$I$633 ),"")</f>
        <v/>
      </c>
      <c r="J648" s="236" t="str">
        <f>IFERROR(IF([1]K_Summary!$J$633 = "", "", [1]K_Summary!$J$633 ),"")</f>
        <v/>
      </c>
      <c r="K648" s="126" t="str">
        <f>IFERROR(IF([1]K_Summary!$K$633 = "", "", [1]K_Summary!$K$633 ),"")</f>
        <v/>
      </c>
      <c r="L648" s="126" t="str">
        <f>IFERROR(IF([1]K_Summary!$L$633 = "", "", [1]K_Summary!$L$633 ),"")</f>
        <v/>
      </c>
      <c r="M648" s="126" t="str">
        <f>IFERROR(IF([1]K_Summary!$M$633 = "", "", [1]K_Summary!$M$633 ),"")</f>
        <v/>
      </c>
      <c r="N648" s="237" t="str">
        <f>IFERROR(IF([1]K_Summary!$N$633 = "", "", [1]K_Summary!$N$633 ),"")</f>
        <v/>
      </c>
      <c r="O648" s="601"/>
    </row>
    <row r="649" spans="1:15" s="598" customFormat="1">
      <c r="A649" s="597"/>
      <c r="C649" s="620"/>
      <c r="D649" s="784"/>
      <c r="E649" s="2487" t="str">
        <f>IFERROR(IF([1]K_Summary!$E$634 = "", "", [1]K_Summary!$E$634 ),"")</f>
        <v/>
      </c>
      <c r="F649" s="2559"/>
      <c r="G649" s="799" t="s">
        <v>1020</v>
      </c>
      <c r="H649" s="126" t="str">
        <f>IFERROR(IF([1]K_Summary!$H$634 = "", "", [1]K_Summary!$H$634 ),"")</f>
        <v/>
      </c>
      <c r="I649" s="235" t="str">
        <f>IFERROR(IF([1]K_Summary!$I$634 = "", "", [1]K_Summary!$I$634 ),"")</f>
        <v/>
      </c>
      <c r="J649" s="236" t="str">
        <f>IFERROR(IF([1]K_Summary!$J$634 = "", "", [1]K_Summary!$J$634 ),"")</f>
        <v/>
      </c>
      <c r="K649" s="126" t="str">
        <f>IFERROR(IF([1]K_Summary!$K$634 = "", "", [1]K_Summary!$K$634 ),"")</f>
        <v/>
      </c>
      <c r="L649" s="126" t="str">
        <f>IFERROR(IF([1]K_Summary!$L$634 = "", "", [1]K_Summary!$L$634 ),"")</f>
        <v/>
      </c>
      <c r="M649" s="126" t="str">
        <f>IFERROR(IF([1]K_Summary!$M$634 = "", "", [1]K_Summary!$M$634 ),"")</f>
        <v/>
      </c>
      <c r="N649" s="237" t="str">
        <f>IFERROR(IF([1]K_Summary!$N$634 = "", "", [1]K_Summary!$N$634 ),"")</f>
        <v/>
      </c>
      <c r="O649" s="601"/>
    </row>
    <row r="650" spans="1:15" s="598" customFormat="1">
      <c r="A650" s="597"/>
      <c r="C650" s="620"/>
      <c r="D650" s="784"/>
      <c r="E650" s="2497" t="s">
        <v>1441</v>
      </c>
      <c r="F650" s="2498"/>
      <c r="G650" s="791"/>
      <c r="H650" s="797"/>
      <c r="I650" s="797"/>
      <c r="J650" s="797"/>
      <c r="K650" s="797"/>
      <c r="L650" s="797"/>
      <c r="M650" s="797"/>
      <c r="N650" s="798"/>
      <c r="O650" s="601"/>
    </row>
    <row r="651" spans="1:15" s="598" customFormat="1">
      <c r="A651" s="597"/>
      <c r="C651" s="620"/>
      <c r="D651" s="784"/>
      <c r="E651" s="2487" t="str">
        <f>IFERROR(IF([1]K_Summary!$E$636 = "", "", [1]K_Summary!$E$636 ),"")</f>
        <v/>
      </c>
      <c r="F651" s="2559"/>
      <c r="G651" s="799" t="s">
        <v>1020</v>
      </c>
      <c r="H651" s="126" t="str">
        <f>IFERROR(IF([1]K_Summary!$H$636 = "", "", [1]K_Summary!$H$636 ),"")</f>
        <v/>
      </c>
      <c r="I651" s="235" t="str">
        <f>IFERROR(IF([1]K_Summary!$I$636 = "", "", [1]K_Summary!$I$636 ),"")</f>
        <v/>
      </c>
      <c r="J651" s="236" t="str">
        <f>IFERROR(IF([1]K_Summary!$J$636 = "", "", [1]K_Summary!$J$636 ),"")</f>
        <v/>
      </c>
      <c r="K651" s="126" t="str">
        <f>IFERROR(IF([1]K_Summary!$K$636 = "", "", [1]K_Summary!$K$636 ),"")</f>
        <v/>
      </c>
      <c r="L651" s="126" t="str">
        <f>IFERROR(IF([1]K_Summary!$L$636 = "", "", [1]K_Summary!$L$636 ),"")</f>
        <v/>
      </c>
      <c r="M651" s="126" t="str">
        <f>IFERROR(IF([1]K_Summary!$M$636 = "", "", [1]K_Summary!$M$636 ),"")</f>
        <v/>
      </c>
      <c r="N651" s="237" t="str">
        <f>IFERROR(IF([1]K_Summary!$N$636 = "", "", [1]K_Summary!$N$636 ),"")</f>
        <v/>
      </c>
      <c r="O651" s="601"/>
    </row>
    <row r="652" spans="1:15" s="598" customFormat="1">
      <c r="A652" s="597"/>
      <c r="C652" s="620"/>
      <c r="D652" s="784"/>
      <c r="E652" s="2487" t="str">
        <f>IFERROR(IF([1]K_Summary!$E$637 = "", "", [1]K_Summary!$E$637 ),"")</f>
        <v/>
      </c>
      <c r="F652" s="2559"/>
      <c r="G652" s="799" t="s">
        <v>1020</v>
      </c>
      <c r="H652" s="126" t="str">
        <f>IFERROR(IF([1]K_Summary!$H$637 = "", "", [1]K_Summary!$H$637 ),"")</f>
        <v/>
      </c>
      <c r="I652" s="235" t="str">
        <f>IFERROR(IF([1]K_Summary!$I$637 = "", "", [1]K_Summary!$I$637 ),"")</f>
        <v/>
      </c>
      <c r="J652" s="236" t="str">
        <f>IFERROR(IF([1]K_Summary!$J$637 = "", "", [1]K_Summary!$J$637 ),"")</f>
        <v/>
      </c>
      <c r="K652" s="126" t="str">
        <f>IFERROR(IF([1]K_Summary!$K$637 = "", "", [1]K_Summary!$K$637 ),"")</f>
        <v/>
      </c>
      <c r="L652" s="126" t="str">
        <f>IFERROR(IF([1]K_Summary!$L$637 = "", "", [1]K_Summary!$L$637 ),"")</f>
        <v/>
      </c>
      <c r="M652" s="126" t="str">
        <f>IFERROR(IF([1]K_Summary!$M$637 = "", "", [1]K_Summary!$M$637 ),"")</f>
        <v/>
      </c>
      <c r="N652" s="237" t="str">
        <f>IFERROR(IF([1]K_Summary!$N$637 = "", "", [1]K_Summary!$N$637 ),"")</f>
        <v/>
      </c>
      <c r="O652" s="601"/>
    </row>
    <row r="653" spans="1:15" ht="13.5" thickBot="1">
      <c r="C653" s="485"/>
      <c r="D653" s="802"/>
      <c r="E653" s="803"/>
      <c r="F653" s="803"/>
      <c r="G653" s="804"/>
      <c r="H653" s="804"/>
      <c r="I653" s="805"/>
      <c r="J653" s="805"/>
      <c r="K653" s="805"/>
      <c r="L653" s="805"/>
      <c r="M653" s="805"/>
      <c r="N653" s="806"/>
    </row>
    <row r="654" spans="1:15">
      <c r="C654" s="485"/>
      <c r="D654" s="485"/>
      <c r="E654" s="807"/>
      <c r="F654" s="562"/>
      <c r="G654" s="562"/>
      <c r="H654" s="562"/>
      <c r="I654" s="562"/>
      <c r="J654" s="562"/>
      <c r="K654" s="562"/>
      <c r="L654" s="562"/>
      <c r="M654" s="562"/>
      <c r="N654" s="562"/>
    </row>
    <row r="655" spans="1:15"/>
    <row r="656" spans="1:15" ht="13.9" customHeight="1">
      <c r="C656" s="559">
        <v>2</v>
      </c>
      <c r="D656" s="2482" t="s">
        <v>2023</v>
      </c>
      <c r="E656" s="2482"/>
      <c r="F656" s="2482"/>
      <c r="G656" s="2482"/>
      <c r="H656" s="2483"/>
      <c r="I656" s="2489" t="str">
        <f>IFERROR(IF([1]K_Summary!$I$641 = "", "", [1]K_Summary!$I$641 ),"")</f>
        <v/>
      </c>
      <c r="J656" s="2490"/>
      <c r="K656" s="2490"/>
      <c r="L656" s="2490"/>
      <c r="M656" s="2490"/>
      <c r="N656" s="2491"/>
    </row>
    <row r="657" spans="1:14" ht="15">
      <c r="C657" s="559"/>
      <c r="D657" s="559"/>
      <c r="E657" s="559"/>
      <c r="F657" s="559"/>
      <c r="G657" s="559"/>
      <c r="H657" s="559"/>
      <c r="I657" s="559"/>
      <c r="J657" s="559"/>
      <c r="K657" s="559"/>
      <c r="L657" s="559"/>
      <c r="M657" s="559"/>
      <c r="N657" s="559"/>
    </row>
    <row r="658" spans="1:14" ht="15">
      <c r="C658" s="559"/>
      <c r="D658" s="559"/>
      <c r="E658" s="559"/>
      <c r="F658" s="559"/>
      <c r="G658" s="562"/>
      <c r="H658" s="688" t="s">
        <v>458</v>
      </c>
      <c r="I658" s="688" t="s">
        <v>1256</v>
      </c>
      <c r="J658" s="688" t="s">
        <v>1434</v>
      </c>
      <c r="K658" s="688" t="s">
        <v>1684</v>
      </c>
      <c r="L658" s="689" t="s">
        <v>156</v>
      </c>
      <c r="M658" s="2469" t="s">
        <v>302</v>
      </c>
      <c r="N658" s="2469"/>
    </row>
    <row r="659" spans="1:14" ht="15">
      <c r="C659" s="559"/>
      <c r="D659" s="559"/>
      <c r="E659" s="66" t="str">
        <f>IFERROR(IF([1]K_Summary!$E$644 = "", "", [1]K_Summary!$E$644 ),"")</f>
        <v/>
      </c>
      <c r="F659" s="51"/>
      <c r="G659" s="51"/>
      <c r="H659" s="143" t="str">
        <f>IFERROR(IF([1]K_Summary!$H$644 = "", "", [1]K_Summary!$H$644 ),"")</f>
        <v>N.A.</v>
      </c>
      <c r="I659" s="143" t="str">
        <f>IFERROR(IF([1]K_Summary!$I$644 = "", "", [1]K_Summary!$I$644 ),"")</f>
        <v/>
      </c>
      <c r="J659" s="53" t="str">
        <f>IFERROR(IF([1]K_Summary!$J$644 = "", "", [1]K_Summary!$J$644 ),"")</f>
        <v>N.A.</v>
      </c>
      <c r="K659" s="53" t="str">
        <f>IFERROR(IF([1]K_Summary!$K$644 = "", "", [1]K_Summary!$K$644 ),"")</f>
        <v>N.A.</v>
      </c>
      <c r="L659" s="144" t="str">
        <f>IFERROR(IF([1]K_Summary!$L$644 = "", "", [1]K_Summary!$L$644 ),"")</f>
        <v>N.A.</v>
      </c>
      <c r="M659" s="145" t="str">
        <f>IFERROR(IF([1]K_Summary!$M$644 = "", "", [1]K_Summary!$M$644 ),"")</f>
        <v>N.A.</v>
      </c>
      <c r="N659" s="50" t="str">
        <f>IFERROR(IF([1]K_Summary!$N$644 = "", "", [1]K_Summary!$N$644 ),"")</f>
        <v>EUA/tonnes</v>
      </c>
    </row>
    <row r="660" spans="1:14" ht="15">
      <c r="C660" s="485"/>
      <c r="D660" s="485"/>
      <c r="E660" s="559"/>
      <c r="F660" s="562"/>
      <c r="G660" s="562"/>
      <c r="H660" s="562"/>
      <c r="I660" s="562"/>
      <c r="J660" s="485"/>
      <c r="K660" s="485"/>
      <c r="L660" s="485"/>
      <c r="M660" s="485"/>
      <c r="N660" s="485"/>
    </row>
    <row r="661" spans="1:14">
      <c r="C661" s="485"/>
      <c r="D661" s="485"/>
      <c r="E661" s="496"/>
      <c r="F661" s="482" t="s">
        <v>884</v>
      </c>
      <c r="G661" s="695" t="s">
        <v>1646</v>
      </c>
      <c r="H661" s="696">
        <v>2019</v>
      </c>
      <c r="I661" s="697">
        <v>2020</v>
      </c>
      <c r="J661" s="696">
        <v>2021</v>
      </c>
      <c r="K661" s="578">
        <v>2022</v>
      </c>
      <c r="L661" s="578">
        <v>2023</v>
      </c>
      <c r="M661" s="578">
        <v>2024</v>
      </c>
      <c r="N661" s="578">
        <v>2025</v>
      </c>
    </row>
    <row r="662" spans="1:14">
      <c r="C662" s="485"/>
      <c r="D662" s="485"/>
      <c r="E662" s="698" t="s">
        <v>1665</v>
      </c>
      <c r="F662" s="146" t="str">
        <f>IFERROR(IF([1]K_Summary!$F$647 = "", "", [1]K_Summary!$F$647 ),"")</f>
        <v>tonnes</v>
      </c>
      <c r="G662" s="147" t="str">
        <f>IFERROR(IF([1]K_Summary!$G$647 = "", "", [1]K_Summary!$G$647 ),"")</f>
        <v/>
      </c>
      <c r="H662" s="148" t="str">
        <f>IFERROR(IF([1]K_Summary!$H$647 = "", "", [1]K_Summary!$H$647 ),"")</f>
        <v/>
      </c>
      <c r="I662" s="149" t="str">
        <f>IFERROR(IF([1]K_Summary!$I$647 = "", "", [1]K_Summary!$I$647 ),"")</f>
        <v/>
      </c>
      <c r="J662" s="148" t="str">
        <f>IFERROR(IF([1]K_Summary!$J$647 = "", "", [1]K_Summary!$J$647 ),"")</f>
        <v/>
      </c>
      <c r="K662" s="150" t="str">
        <f>IFERROR(IF([1]K_Summary!$K$647 = "", "", [1]K_Summary!$K$647 ),"")</f>
        <v/>
      </c>
      <c r="L662" s="150" t="str">
        <f>IFERROR(IF([1]K_Summary!$L$647 = "", "", [1]K_Summary!$L$647 ),"")</f>
        <v/>
      </c>
      <c r="M662" s="150" t="str">
        <f>IFERROR(IF([1]K_Summary!$M$647 = "", "", [1]K_Summary!$M$647 ),"")</f>
        <v/>
      </c>
      <c r="N662" s="150" t="str">
        <f>IFERROR(IF([1]K_Summary!$N$647 = "", "", [1]K_Summary!$N$647 ),"")</f>
        <v/>
      </c>
    </row>
    <row r="663" spans="1:14" ht="15.75" thickBot="1">
      <c r="C663" s="559"/>
      <c r="D663" s="559"/>
      <c r="E663" s="559"/>
      <c r="F663" s="559"/>
      <c r="G663" s="559"/>
      <c r="H663" s="559"/>
      <c r="I663" s="559"/>
      <c r="J663" s="559"/>
      <c r="K663" s="559"/>
      <c r="L663" s="559"/>
      <c r="M663" s="559"/>
      <c r="N663" s="559"/>
    </row>
    <row r="664" spans="1:14" ht="15">
      <c r="C664" s="559"/>
      <c r="D664" s="703"/>
      <c r="E664" s="704"/>
      <c r="F664" s="704"/>
      <c r="G664" s="704"/>
      <c r="H664" s="704"/>
      <c r="I664" s="704"/>
      <c r="J664" s="704"/>
      <c r="K664" s="704"/>
      <c r="L664" s="704"/>
      <c r="M664" s="704"/>
      <c r="N664" s="705"/>
    </row>
    <row r="665" spans="1:14" ht="15">
      <c r="C665" s="559"/>
      <c r="D665" s="706"/>
      <c r="E665" s="707" t="s">
        <v>1787</v>
      </c>
      <c r="F665" s="637"/>
      <c r="G665" s="637"/>
      <c r="H665" s="663"/>
      <c r="I665" s="708"/>
      <c r="J665" s="709">
        <v>2021</v>
      </c>
      <c r="K665" s="671">
        <v>2022</v>
      </c>
      <c r="L665" s="671">
        <v>2023</v>
      </c>
      <c r="M665" s="671">
        <v>2024</v>
      </c>
      <c r="N665" s="710">
        <v>2025</v>
      </c>
    </row>
    <row r="666" spans="1:14" ht="15">
      <c r="C666" s="559"/>
      <c r="D666" s="706"/>
      <c r="E666" s="711" t="s">
        <v>1783</v>
      </c>
      <c r="F666" s="712"/>
      <c r="G666" s="712"/>
      <c r="H666" s="713"/>
      <c r="I666" s="712"/>
      <c r="J666" s="151" t="str">
        <f>IFERROR(IF([1]K_Summary!$J$651 = "", "", [1]K_Summary!$J$651 ),"")</f>
        <v/>
      </c>
      <c r="K666" s="152" t="str">
        <f>IFERROR(IF([1]K_Summary!$K$651 = "", "", [1]K_Summary!$K$651 ),"")</f>
        <v/>
      </c>
      <c r="L666" s="152" t="str">
        <f>IFERROR(IF([1]K_Summary!$L$651 = "", "", [1]K_Summary!$L$651 ),"")</f>
        <v/>
      </c>
      <c r="M666" s="152" t="str">
        <f>IFERROR(IF([1]K_Summary!$M$651 = "", "", [1]K_Summary!$M$651 ),"")</f>
        <v/>
      </c>
      <c r="N666" s="153" t="str">
        <f>IFERROR(IF([1]K_Summary!$N$651 = "", "", [1]K_Summary!$N$651 ),"")</f>
        <v/>
      </c>
    </row>
    <row r="667" spans="1:14" ht="15">
      <c r="C667" s="559"/>
      <c r="D667" s="706"/>
      <c r="E667" s="714" t="s">
        <v>1784</v>
      </c>
      <c r="F667" s="715"/>
      <c r="G667" s="715"/>
      <c r="H667" s="716"/>
      <c r="I667" s="715"/>
      <c r="J667" s="154" t="str">
        <f>IFERROR(IF([1]K_Summary!$J$652 = "", "", [1]K_Summary!$J$652 ),"")</f>
        <v/>
      </c>
      <c r="K667" s="155" t="str">
        <f>IFERROR(IF([1]K_Summary!$K$652 = "", "", [1]K_Summary!$K$652 ),"")</f>
        <v/>
      </c>
      <c r="L667" s="155" t="str">
        <f>IFERROR(IF([1]K_Summary!$L$652 = "", "", [1]K_Summary!$L$652 ),"")</f>
        <v/>
      </c>
      <c r="M667" s="155" t="str">
        <f>IFERROR(IF([1]K_Summary!$M$652 = "", "", [1]K_Summary!$M$652 ),"")</f>
        <v/>
      </c>
      <c r="N667" s="156" t="str">
        <f>IFERROR(IF([1]K_Summary!$N$652 = "", "", [1]K_Summary!$N$652 ),"")</f>
        <v/>
      </c>
    </row>
    <row r="668" spans="1:14" ht="15">
      <c r="C668" s="559"/>
      <c r="D668" s="706"/>
      <c r="E668" s="559"/>
      <c r="F668" s="559"/>
      <c r="G668" s="559"/>
      <c r="H668" s="559"/>
      <c r="I668" s="559"/>
      <c r="J668" s="559"/>
      <c r="K668" s="559"/>
      <c r="L668" s="559"/>
      <c r="M668" s="559"/>
      <c r="N668" s="717"/>
    </row>
    <row r="669" spans="1:14" ht="15">
      <c r="C669" s="559"/>
      <c r="D669" s="706"/>
      <c r="E669" s="496" t="s">
        <v>1762</v>
      </c>
      <c r="F669" s="485"/>
      <c r="G669" s="485"/>
      <c r="H669" s="663" t="s">
        <v>884</v>
      </c>
      <c r="I669" s="708"/>
      <c r="J669" s="696">
        <v>2021</v>
      </c>
      <c r="K669" s="578">
        <v>2022</v>
      </c>
      <c r="L669" s="578">
        <v>2023</v>
      </c>
      <c r="M669" s="578">
        <v>2024</v>
      </c>
      <c r="N669" s="718">
        <v>2025</v>
      </c>
    </row>
    <row r="670" spans="1:14" ht="15" hidden="1">
      <c r="A670" s="719" t="s">
        <v>2289</v>
      </c>
      <c r="C670" s="559"/>
      <c r="D670" s="706"/>
      <c r="E670" s="698" t="s">
        <v>1714</v>
      </c>
      <c r="F670" s="698"/>
      <c r="G670" s="698"/>
      <c r="H670" s="63" t="str">
        <f>IFERROR(IF([1]K_Summary!$H$655 = "", "", [1]K_Summary!$H$655 ),"")</f>
        <v>tonnes</v>
      </c>
      <c r="I670" s="698"/>
      <c r="J670" s="157" t="str">
        <f>IFERROR(IF([1]K_Summary!$J$655 = "", "", [1]K_Summary!$J$655 ),"")</f>
        <v/>
      </c>
      <c r="K670" s="147" t="str">
        <f>IFERROR(IF([1]K_Summary!$K$655 = "", "", [1]K_Summary!$K$655 ),"")</f>
        <v/>
      </c>
      <c r="L670" s="147" t="str">
        <f>IFERROR(IF([1]K_Summary!$L$655 = "", "", [1]K_Summary!$L$655 ),"")</f>
        <v/>
      </c>
      <c r="M670" s="147" t="str">
        <f>IFERROR(IF([1]K_Summary!$M$655 = "", "", [1]K_Summary!$M$655 ),"")</f>
        <v/>
      </c>
      <c r="N670" s="158" t="str">
        <f>IFERROR(IF([1]K_Summary!$N$655 = "", "", [1]K_Summary!$N$655 ),"")</f>
        <v/>
      </c>
    </row>
    <row r="671" spans="1:14" ht="15" hidden="1">
      <c r="A671" s="719" t="s">
        <v>2289</v>
      </c>
      <c r="C671" s="559"/>
      <c r="D671" s="706"/>
      <c r="E671" s="720" t="s">
        <v>303</v>
      </c>
      <c r="F671" s="720"/>
      <c r="G671" s="720"/>
      <c r="H671" s="721" t="s">
        <v>2090</v>
      </c>
      <c r="I671" s="722"/>
      <c r="J671" s="159" t="str">
        <f>IFERROR(IF([1]K_Summary!$J$656 = "", "", [1]K_Summary!$J$656 ),"")</f>
        <v/>
      </c>
      <c r="K671" s="160" t="str">
        <f>IFERROR(IF([1]K_Summary!$K$656 = "", "", [1]K_Summary!$K$656 ),"")</f>
        <v/>
      </c>
      <c r="L671" s="160" t="str">
        <f>IFERROR(IF([1]K_Summary!$L$656 = "", "", [1]K_Summary!$L$656 ),"")</f>
        <v/>
      </c>
      <c r="M671" s="160" t="str">
        <f>IFERROR(IF([1]K_Summary!$M$656 = "", "", [1]K_Summary!$M$656 ),"")</f>
        <v/>
      </c>
      <c r="N671" s="161" t="str">
        <f>IFERROR(IF([1]K_Summary!$N$656 = "", "", [1]K_Summary!$N$656 ),"")</f>
        <v/>
      </c>
    </row>
    <row r="672" spans="1:14" ht="15" hidden="1">
      <c r="A672" s="719" t="s">
        <v>2289</v>
      </c>
      <c r="C672" s="559"/>
      <c r="D672" s="706"/>
      <c r="E672" s="723" t="s">
        <v>1422</v>
      </c>
      <c r="F672" s="723"/>
      <c r="G672" s="723"/>
      <c r="H672" s="724" t="s">
        <v>2090</v>
      </c>
      <c r="I672" s="725"/>
      <c r="J672" s="162" t="str">
        <f>IFERROR(IF([1]K_Summary!$J$657 = "", "", [1]K_Summary!$J$657 ),"")</f>
        <v/>
      </c>
      <c r="K672" s="163" t="str">
        <f>IFERROR(IF([1]K_Summary!$K$657 = "", "", [1]K_Summary!$K$657 ),"")</f>
        <v/>
      </c>
      <c r="L672" s="163" t="str">
        <f>IFERROR(IF([1]K_Summary!$L$657 = "", "", [1]K_Summary!$L$657 ),"")</f>
        <v/>
      </c>
      <c r="M672" s="163" t="str">
        <f>IFERROR(IF([1]K_Summary!$M$657 = "", "", [1]K_Summary!$M$657 ),"")</f>
        <v/>
      </c>
      <c r="N672" s="164" t="str">
        <f>IFERROR(IF([1]K_Summary!$N$657 = "", "", [1]K_Summary!$N$657 ),"")</f>
        <v/>
      </c>
    </row>
    <row r="673" spans="1:14" ht="15" hidden="1">
      <c r="A673" s="719" t="s">
        <v>2289</v>
      </c>
      <c r="C673" s="559"/>
      <c r="D673" s="706"/>
      <c r="E673" s="723" t="s">
        <v>1390</v>
      </c>
      <c r="F673" s="723"/>
      <c r="G673" s="723"/>
      <c r="H673" s="724" t="s">
        <v>2090</v>
      </c>
      <c r="I673" s="725"/>
      <c r="J673" s="162" t="str">
        <f>IFERROR(IF([1]K_Summary!$J$658 = "", "", [1]K_Summary!$J$658 ),"")</f>
        <v/>
      </c>
      <c r="K673" s="163" t="str">
        <f>IFERROR(IF([1]K_Summary!$K$658 = "", "", [1]K_Summary!$K$658 ),"")</f>
        <v/>
      </c>
      <c r="L673" s="163" t="str">
        <f>IFERROR(IF([1]K_Summary!$L$658 = "", "", [1]K_Summary!$L$658 ),"")</f>
        <v/>
      </c>
      <c r="M673" s="163" t="str">
        <f>IFERROR(IF([1]K_Summary!$M$658 = "", "", [1]K_Summary!$M$658 ),"")</f>
        <v/>
      </c>
      <c r="N673" s="164" t="str">
        <f>IFERROR(IF([1]K_Summary!$N$658 = "", "", [1]K_Summary!$N$658 ),"")</f>
        <v/>
      </c>
    </row>
    <row r="674" spans="1:14" ht="15" hidden="1">
      <c r="A674" s="719" t="s">
        <v>2289</v>
      </c>
      <c r="C674" s="559"/>
      <c r="D674" s="706"/>
      <c r="E674" s="723" t="s">
        <v>1389</v>
      </c>
      <c r="F674" s="723"/>
      <c r="G674" s="723"/>
      <c r="H674" s="726" t="s">
        <v>1021</v>
      </c>
      <c r="I674" s="725"/>
      <c r="J674" s="165" t="str">
        <f>IFERROR(IF([1]K_Summary!$J$659 = "", "", [1]K_Summary!$J$659 ),"")</f>
        <v/>
      </c>
      <c r="K674" s="166" t="str">
        <f>IFERROR(IF([1]K_Summary!$K$659 = "", "", [1]K_Summary!$K$659 ),"")</f>
        <v/>
      </c>
      <c r="L674" s="166" t="str">
        <f>IFERROR(IF([1]K_Summary!$L$659 = "", "", [1]K_Summary!$L$659 ),"")</f>
        <v/>
      </c>
      <c r="M674" s="166" t="str">
        <f>IFERROR(IF([1]K_Summary!$M$659 = "", "", [1]K_Summary!$M$659 ),"")</f>
        <v/>
      </c>
      <c r="N674" s="167" t="str">
        <f>IFERROR(IF([1]K_Summary!$N$659 = "", "", [1]K_Summary!$N$659 ),"")</f>
        <v/>
      </c>
    </row>
    <row r="675" spans="1:14" ht="15" hidden="1">
      <c r="A675" s="719" t="s">
        <v>2289</v>
      </c>
      <c r="C675" s="559"/>
      <c r="D675" s="706"/>
      <c r="E675" s="727" t="s">
        <v>1391</v>
      </c>
      <c r="F675" s="727"/>
      <c r="G675" s="727"/>
      <c r="H675" s="728" t="s">
        <v>1021</v>
      </c>
      <c r="I675" s="729"/>
      <c r="J675" s="168" t="str">
        <f>IFERROR(IF([1]K_Summary!$J$660 = "", "", [1]K_Summary!$J$660 ),"")</f>
        <v/>
      </c>
      <c r="K675" s="169" t="str">
        <f>IFERROR(IF([1]K_Summary!$K$660 = "", "", [1]K_Summary!$K$660 ),"")</f>
        <v/>
      </c>
      <c r="L675" s="169" t="str">
        <f>IFERROR(IF([1]K_Summary!$L$660 = "", "", [1]K_Summary!$L$660 ),"")</f>
        <v/>
      </c>
      <c r="M675" s="169" t="str">
        <f>IFERROR(IF([1]K_Summary!$M$660 = "", "", [1]K_Summary!$M$660 ),"")</f>
        <v/>
      </c>
      <c r="N675" s="170" t="str">
        <f>IFERROR(IF([1]K_Summary!$N$660 = "", "", [1]K_Summary!$N$660 ),"")</f>
        <v/>
      </c>
    </row>
    <row r="676" spans="1:14" ht="15">
      <c r="C676" s="559"/>
      <c r="D676" s="706"/>
      <c r="E676" s="698" t="s">
        <v>1671</v>
      </c>
      <c r="F676" s="698"/>
      <c r="G676" s="698"/>
      <c r="H676" s="730" t="s">
        <v>2090</v>
      </c>
      <c r="I676" s="731"/>
      <c r="J676" s="148" t="str">
        <f>IFERROR(IF([1]K_Summary!$J$661 = "", "", [1]K_Summary!$J$661 ),"")</f>
        <v/>
      </c>
      <c r="K676" s="150" t="str">
        <f>IFERROR(IF([1]K_Summary!$K$661 = "", "", [1]K_Summary!$K$661 ),"")</f>
        <v/>
      </c>
      <c r="L676" s="150" t="str">
        <f>IFERROR(IF([1]K_Summary!$L$661 = "", "", [1]K_Summary!$L$661 ),"")</f>
        <v/>
      </c>
      <c r="M676" s="150" t="str">
        <f>IFERROR(IF([1]K_Summary!$M$661 = "", "", [1]K_Summary!$M$661 ),"")</f>
        <v/>
      </c>
      <c r="N676" s="171" t="str">
        <f>IFERROR(IF([1]K_Summary!$N$661 = "", "", [1]K_Summary!$N$661 ),"")</f>
        <v/>
      </c>
    </row>
    <row r="677" spans="1:14" ht="15">
      <c r="C677" s="559"/>
      <c r="D677" s="706"/>
      <c r="E677" s="559"/>
      <c r="F677" s="559"/>
      <c r="G677" s="559"/>
      <c r="H677" s="559"/>
      <c r="I677" s="559"/>
      <c r="J677" s="559"/>
      <c r="K677" s="559"/>
      <c r="L677" s="559"/>
      <c r="M677" s="559"/>
      <c r="N677" s="717"/>
    </row>
    <row r="678" spans="1:14" ht="15">
      <c r="C678" s="559"/>
      <c r="D678" s="706"/>
      <c r="E678" s="707" t="s">
        <v>1752</v>
      </c>
      <c r="F678" s="637"/>
      <c r="G678" s="637"/>
      <c r="H678" s="663" t="s">
        <v>884</v>
      </c>
      <c r="I678" s="708"/>
      <c r="J678" s="709">
        <v>2021</v>
      </c>
      <c r="K678" s="671">
        <v>2022</v>
      </c>
      <c r="L678" s="671">
        <v>2023</v>
      </c>
      <c r="M678" s="671">
        <v>2024</v>
      </c>
      <c r="N678" s="710">
        <v>2025</v>
      </c>
    </row>
    <row r="679" spans="1:14" ht="15">
      <c r="C679" s="559"/>
      <c r="D679" s="706"/>
      <c r="E679" s="720" t="s">
        <v>1691</v>
      </c>
      <c r="F679" s="720"/>
      <c r="G679" s="720"/>
      <c r="H679" s="67" t="str">
        <f>IFERROR(IF([1]K_Summary!$H$664 = "", "", [1]K_Summary!$H$664 ),"")</f>
        <v>tonnes</v>
      </c>
      <c r="I679" s="733"/>
      <c r="J679" s="172" t="str">
        <f>IFERROR(IF([1]K_Summary!$J$664 = "", "", [1]K_Summary!$J$664 ),"")</f>
        <v/>
      </c>
      <c r="K679" s="54" t="str">
        <f>IFERROR(IF([1]K_Summary!$K$664 = "", "", [1]K_Summary!$K$664 ),"")</f>
        <v/>
      </c>
      <c r="L679" s="54" t="str">
        <f>IFERROR(IF([1]K_Summary!$L$664 = "", "", [1]K_Summary!$L$664 ),"")</f>
        <v/>
      </c>
      <c r="M679" s="54" t="str">
        <f>IFERROR(IF([1]K_Summary!$M$664 = "", "", [1]K_Summary!$M$664 ),"")</f>
        <v/>
      </c>
      <c r="N679" s="173" t="str">
        <f>IFERROR(IF([1]K_Summary!$N$664 = "", "", [1]K_Summary!$N$664 ),"")</f>
        <v/>
      </c>
    </row>
    <row r="680" spans="1:14" ht="15">
      <c r="C680" s="559"/>
      <c r="D680" s="706"/>
      <c r="E680" s="723" t="s">
        <v>1648</v>
      </c>
      <c r="F680" s="723"/>
      <c r="G680" s="723"/>
      <c r="H680" s="734" t="s">
        <v>1021</v>
      </c>
      <c r="I680" s="735"/>
      <c r="J680" s="174" t="str">
        <f>IFERROR(IF([1]K_Summary!$J$665 = "", "", [1]K_Summary!$J$665 ),"")</f>
        <v/>
      </c>
      <c r="K680" s="175" t="str">
        <f>IFERROR(IF([1]K_Summary!$K$665 = "", "", [1]K_Summary!$K$665 ),"")</f>
        <v/>
      </c>
      <c r="L680" s="175" t="str">
        <f>IFERROR(IF([1]K_Summary!$L$665 = "", "", [1]K_Summary!$L$665 ),"")</f>
        <v/>
      </c>
      <c r="M680" s="175" t="str">
        <f>IFERROR(IF([1]K_Summary!$M$665 = "", "", [1]K_Summary!$M$665 ),"")</f>
        <v/>
      </c>
      <c r="N680" s="176" t="str">
        <f>IFERROR(IF([1]K_Summary!$N$665 = "", "", [1]K_Summary!$N$665 ),"")</f>
        <v/>
      </c>
    </row>
    <row r="681" spans="1:14" ht="15">
      <c r="C681" s="559"/>
      <c r="D681" s="706"/>
      <c r="E681" s="736" t="s">
        <v>1850</v>
      </c>
      <c r="F681" s="736"/>
      <c r="G681" s="736"/>
      <c r="H681" s="737" t="s">
        <v>1021</v>
      </c>
      <c r="I681" s="738"/>
      <c r="J681" s="177" t="str">
        <f>IFERROR(IF([1]K_Summary!$J$666 = "", "", [1]K_Summary!$J$666 ),"")</f>
        <v/>
      </c>
      <c r="K681" s="178" t="str">
        <f>IFERROR(IF([1]K_Summary!$K$666 = "", "", [1]K_Summary!$K$666 ),"")</f>
        <v/>
      </c>
      <c r="L681" s="178" t="str">
        <f>IFERROR(IF([1]K_Summary!$L$666 = "", "", [1]K_Summary!$L$666 ),"")</f>
        <v/>
      </c>
      <c r="M681" s="178" t="str">
        <f>IFERROR(IF([1]K_Summary!$M$666 = "", "", [1]K_Summary!$M$666 ),"")</f>
        <v/>
      </c>
      <c r="N681" s="179" t="str">
        <f>IFERROR(IF([1]K_Summary!$N$666 = "", "", [1]K_Summary!$N$666 ),"")</f>
        <v/>
      </c>
    </row>
    <row r="682" spans="1:14" ht="15">
      <c r="C682" s="559"/>
      <c r="D682" s="706"/>
      <c r="E682" s="727" t="s">
        <v>1689</v>
      </c>
      <c r="F682" s="727"/>
      <c r="G682" s="727"/>
      <c r="H682" s="68" t="str">
        <f>IFERROR(IF([1]K_Summary!$H$667 = "", "", [1]K_Summary!$H$667 ),"")</f>
        <v>tonnes</v>
      </c>
      <c r="I682" s="727"/>
      <c r="J682" s="180" t="str">
        <f>IFERROR(IF([1]K_Summary!$J$667 = "", "", [1]K_Summary!$J$667 ),"")</f>
        <v/>
      </c>
      <c r="K682" s="181" t="str">
        <f>IFERROR(IF([1]K_Summary!$K$667 = "", "", [1]K_Summary!$K$667 ),"")</f>
        <v/>
      </c>
      <c r="L682" s="181" t="str">
        <f>IFERROR(IF([1]K_Summary!$L$667 = "", "", [1]K_Summary!$L$667 ),"")</f>
        <v/>
      </c>
      <c r="M682" s="181" t="str">
        <f>IFERROR(IF([1]K_Summary!$M$667 = "", "", [1]K_Summary!$M$667 ),"")</f>
        <v/>
      </c>
      <c r="N682" s="182" t="str">
        <f>IFERROR(IF([1]K_Summary!$N$667 = "", "", [1]K_Summary!$N$667 ),"")</f>
        <v/>
      </c>
    </row>
    <row r="683" spans="1:14" ht="15" hidden="1">
      <c r="A683" s="719" t="s">
        <v>2289</v>
      </c>
      <c r="C683" s="559"/>
      <c r="D683" s="706"/>
      <c r="E683" s="720" t="s">
        <v>303</v>
      </c>
      <c r="F683" s="720"/>
      <c r="G683" s="720"/>
      <c r="H683" s="721" t="s">
        <v>2090</v>
      </c>
      <c r="I683" s="722"/>
      <c r="J683" s="159" t="str">
        <f>IFERROR(IF([1]K_Summary!$J$668 = "", "", [1]K_Summary!$J$668 ),"")</f>
        <v/>
      </c>
      <c r="K683" s="160" t="str">
        <f>IFERROR(IF([1]K_Summary!$K$668 = "", "", [1]K_Summary!$K$668 ),"")</f>
        <v/>
      </c>
      <c r="L683" s="160" t="str">
        <f>IFERROR(IF([1]K_Summary!$L$668 = "", "", [1]K_Summary!$L$668 ),"")</f>
        <v/>
      </c>
      <c r="M683" s="160" t="str">
        <f>IFERROR(IF([1]K_Summary!$M$668 = "", "", [1]K_Summary!$M$668 ),"")</f>
        <v/>
      </c>
      <c r="N683" s="161" t="str">
        <f>IFERROR(IF([1]K_Summary!$N$668 = "", "", [1]K_Summary!$N$668 ),"")</f>
        <v/>
      </c>
    </row>
    <row r="684" spans="1:14" ht="15" hidden="1">
      <c r="A684" s="719" t="s">
        <v>2289</v>
      </c>
      <c r="C684" s="559"/>
      <c r="D684" s="706"/>
      <c r="E684" s="723" t="s">
        <v>1422</v>
      </c>
      <c r="F684" s="723"/>
      <c r="G684" s="723"/>
      <c r="H684" s="724" t="s">
        <v>2090</v>
      </c>
      <c r="I684" s="725"/>
      <c r="J684" s="162" t="str">
        <f>IFERROR(IF([1]K_Summary!$J$669 = "", "", [1]K_Summary!$J$669 ),"")</f>
        <v/>
      </c>
      <c r="K684" s="163" t="str">
        <f>IFERROR(IF([1]K_Summary!$K$669 = "", "", [1]K_Summary!$K$669 ),"")</f>
        <v/>
      </c>
      <c r="L684" s="163" t="str">
        <f>IFERROR(IF([1]K_Summary!$L$669 = "", "", [1]K_Summary!$L$669 ),"")</f>
        <v/>
      </c>
      <c r="M684" s="163" t="str">
        <f>IFERROR(IF([1]K_Summary!$M$669 = "", "", [1]K_Summary!$M$669 ),"")</f>
        <v/>
      </c>
      <c r="N684" s="164" t="str">
        <f>IFERROR(IF([1]K_Summary!$N$669 = "", "", [1]K_Summary!$N$669 ),"")</f>
        <v/>
      </c>
    </row>
    <row r="685" spans="1:14" ht="15" hidden="1">
      <c r="A685" s="719" t="s">
        <v>2289</v>
      </c>
      <c r="C685" s="559"/>
      <c r="D685" s="706"/>
      <c r="E685" s="723" t="s">
        <v>1390</v>
      </c>
      <c r="F685" s="723"/>
      <c r="G685" s="723"/>
      <c r="H685" s="724" t="s">
        <v>2090</v>
      </c>
      <c r="I685" s="725"/>
      <c r="J685" s="162" t="str">
        <f>IFERROR(IF([1]K_Summary!$J$670 = "", "", [1]K_Summary!$J$670 ),"")</f>
        <v/>
      </c>
      <c r="K685" s="163" t="str">
        <f>IFERROR(IF([1]K_Summary!$K$670 = "", "", [1]K_Summary!$K$670 ),"")</f>
        <v/>
      </c>
      <c r="L685" s="163" t="str">
        <f>IFERROR(IF([1]K_Summary!$L$670 = "", "", [1]K_Summary!$L$670 ),"")</f>
        <v/>
      </c>
      <c r="M685" s="163" t="str">
        <f>IFERROR(IF([1]K_Summary!$M$670 = "", "", [1]K_Summary!$M$670 ),"")</f>
        <v/>
      </c>
      <c r="N685" s="164" t="str">
        <f>IFERROR(IF([1]K_Summary!$N$670 = "", "", [1]K_Summary!$N$670 ),"")</f>
        <v/>
      </c>
    </row>
    <row r="686" spans="1:14" ht="15" hidden="1">
      <c r="A686" s="719" t="s">
        <v>2289</v>
      </c>
      <c r="C686" s="559"/>
      <c r="D686" s="706"/>
      <c r="E686" s="723" t="s">
        <v>1389</v>
      </c>
      <c r="F686" s="723"/>
      <c r="G686" s="723"/>
      <c r="H686" s="726" t="s">
        <v>1021</v>
      </c>
      <c r="I686" s="725"/>
      <c r="J686" s="165" t="str">
        <f>IFERROR(IF([1]K_Summary!$J$671 = "", "", [1]K_Summary!$J$671 ),"")</f>
        <v/>
      </c>
      <c r="K686" s="166" t="str">
        <f>IFERROR(IF([1]K_Summary!$K$671 = "", "", [1]K_Summary!$K$671 ),"")</f>
        <v/>
      </c>
      <c r="L686" s="166" t="str">
        <f>IFERROR(IF([1]K_Summary!$L$671 = "", "", [1]K_Summary!$L$671 ),"")</f>
        <v/>
      </c>
      <c r="M686" s="166" t="str">
        <f>IFERROR(IF([1]K_Summary!$M$671 = "", "", [1]K_Summary!$M$671 ),"")</f>
        <v/>
      </c>
      <c r="N686" s="167" t="str">
        <f>IFERROR(IF([1]K_Summary!$N$671 = "", "", [1]K_Summary!$N$671 ),"")</f>
        <v/>
      </c>
    </row>
    <row r="687" spans="1:14" ht="15" hidden="1">
      <c r="A687" s="719" t="s">
        <v>2289</v>
      </c>
      <c r="C687" s="559"/>
      <c r="D687" s="706"/>
      <c r="E687" s="727" t="s">
        <v>1391</v>
      </c>
      <c r="F687" s="727"/>
      <c r="G687" s="727"/>
      <c r="H687" s="728" t="s">
        <v>1021</v>
      </c>
      <c r="I687" s="729"/>
      <c r="J687" s="168" t="str">
        <f>IFERROR(IF([1]K_Summary!$J$672 = "", "", [1]K_Summary!$J$672 ),"")</f>
        <v/>
      </c>
      <c r="K687" s="169" t="str">
        <f>IFERROR(IF([1]K_Summary!$K$672 = "", "", [1]K_Summary!$K$672 ),"")</f>
        <v/>
      </c>
      <c r="L687" s="169" t="str">
        <f>IFERROR(IF([1]K_Summary!$L$672 = "", "", [1]K_Summary!$L$672 ),"")</f>
        <v/>
      </c>
      <c r="M687" s="169" t="str">
        <f>IFERROR(IF([1]K_Summary!$M$672 = "", "", [1]K_Summary!$M$672 ),"")</f>
        <v/>
      </c>
      <c r="N687" s="170" t="str">
        <f>IFERROR(IF([1]K_Summary!$N$672 = "", "", [1]K_Summary!$N$672 ),"")</f>
        <v/>
      </c>
    </row>
    <row r="688" spans="1:14" ht="15">
      <c r="C688" s="559"/>
      <c r="D688" s="706"/>
      <c r="E688" s="698" t="s">
        <v>1671</v>
      </c>
      <c r="F688" s="698"/>
      <c r="G688" s="698"/>
      <c r="H688" s="730" t="s">
        <v>2090</v>
      </c>
      <c r="I688" s="731"/>
      <c r="J688" s="148" t="str">
        <f>IFERROR(IF([1]K_Summary!$J$673 = "", "", [1]K_Summary!$J$673 ),"")</f>
        <v/>
      </c>
      <c r="K688" s="150" t="str">
        <f>IFERROR(IF([1]K_Summary!$K$673 = "", "", [1]K_Summary!$K$673 ),"")</f>
        <v/>
      </c>
      <c r="L688" s="150" t="str">
        <f>IFERROR(IF([1]K_Summary!$L$673 = "", "", [1]K_Summary!$L$673 ),"")</f>
        <v/>
      </c>
      <c r="M688" s="150" t="str">
        <f>IFERROR(IF([1]K_Summary!$M$673 = "", "", [1]K_Summary!$M$673 ),"")</f>
        <v/>
      </c>
      <c r="N688" s="171" t="str">
        <f>IFERROR(IF([1]K_Summary!$N$673 = "", "", [1]K_Summary!$N$673 ),"")</f>
        <v/>
      </c>
    </row>
    <row r="689" spans="1:14" ht="15">
      <c r="C689" s="559"/>
      <c r="D689" s="706"/>
      <c r="E689" s="698" t="s">
        <v>1670</v>
      </c>
      <c r="F689" s="698"/>
      <c r="G689" s="698"/>
      <c r="H689" s="730" t="s">
        <v>2090</v>
      </c>
      <c r="I689" s="731"/>
      <c r="J689" s="148" t="str">
        <f>IFERROR(IF([1]K_Summary!$J$674 = "", "", [1]K_Summary!$J$674 ),"")</f>
        <v/>
      </c>
      <c r="K689" s="150" t="str">
        <f>IFERROR(IF([1]K_Summary!$K$674 = "", "", [1]K_Summary!$K$674 ),"")</f>
        <v/>
      </c>
      <c r="L689" s="150" t="str">
        <f>IFERROR(IF([1]K_Summary!$L$674 = "", "", [1]K_Summary!$L$674 ),"")</f>
        <v/>
      </c>
      <c r="M689" s="150" t="str">
        <f>IFERROR(IF([1]K_Summary!$M$674 = "", "", [1]K_Summary!$M$674 ),"")</f>
        <v/>
      </c>
      <c r="N689" s="171" t="str">
        <f>IFERROR(IF([1]K_Summary!$N$674 = "", "", [1]K_Summary!$N$674 ),"")</f>
        <v/>
      </c>
    </row>
    <row r="690" spans="1:14" ht="15">
      <c r="C690" s="559"/>
      <c r="D690" s="706"/>
      <c r="E690" s="740" t="s">
        <v>2130</v>
      </c>
      <c r="F690" s="740"/>
      <c r="G690" s="740"/>
      <c r="H690" s="741" t="s">
        <v>1021</v>
      </c>
      <c r="I690" s="742"/>
      <c r="J690" s="183" t="str">
        <f>IFERROR(IF([1]K_Summary!$J$675 = "", "", [1]K_Summary!$J$675 ),"")</f>
        <v/>
      </c>
      <c r="K690" s="184" t="str">
        <f>IFERROR(IF([1]K_Summary!$K$675 = "", "", [1]K_Summary!$K$675 ),"")</f>
        <v/>
      </c>
      <c r="L690" s="184" t="str">
        <f>IFERROR(IF([1]K_Summary!$L$675 = "", "", [1]K_Summary!$L$675 ),"")</f>
        <v/>
      </c>
      <c r="M690" s="184" t="str">
        <f>IFERROR(IF([1]K_Summary!$M$675 = "", "", [1]K_Summary!$M$675 ),"")</f>
        <v/>
      </c>
      <c r="N690" s="185" t="str">
        <f>IFERROR(IF([1]K_Summary!$N$675 = "", "", [1]K_Summary!$N$675 ),"")</f>
        <v/>
      </c>
    </row>
    <row r="691" spans="1:14" ht="15">
      <c r="C691" s="559"/>
      <c r="D691" s="706"/>
      <c r="E691" s="485"/>
      <c r="F691" s="485"/>
      <c r="G691" s="485"/>
      <c r="H691" s="485"/>
      <c r="I691" s="743"/>
      <c r="J691" s="485"/>
      <c r="K691" s="485"/>
      <c r="L691" s="485"/>
      <c r="M691" s="485"/>
      <c r="N691" s="744"/>
    </row>
    <row r="692" spans="1:14" ht="15">
      <c r="C692" s="559"/>
      <c r="D692" s="706"/>
      <c r="E692" s="707" t="s">
        <v>1753</v>
      </c>
      <c r="F692" s="637"/>
      <c r="G692" s="637"/>
      <c r="H692" s="663" t="s">
        <v>884</v>
      </c>
      <c r="I692" s="708"/>
      <c r="J692" s="709">
        <v>2021</v>
      </c>
      <c r="K692" s="671">
        <v>2022</v>
      </c>
      <c r="L692" s="671">
        <v>2023</v>
      </c>
      <c r="M692" s="671">
        <v>2024</v>
      </c>
      <c r="N692" s="710">
        <v>2025</v>
      </c>
    </row>
    <row r="693" spans="1:14" ht="15" hidden="1">
      <c r="A693" s="719" t="s">
        <v>2289</v>
      </c>
      <c r="C693" s="559"/>
      <c r="D693" s="706"/>
      <c r="E693" s="698" t="s">
        <v>1714</v>
      </c>
      <c r="F693" s="698"/>
      <c r="G693" s="698"/>
      <c r="H693" s="63" t="str">
        <f>IFERROR(IF([1]K_Summary!$H$678 = "", "", [1]K_Summary!$H$678 ),"")</f>
        <v>tonnes</v>
      </c>
      <c r="I693" s="698"/>
      <c r="J693" s="157" t="str">
        <f>IFERROR(IF([1]K_Summary!$J$678 = "", "", [1]K_Summary!$J$678 ),"")</f>
        <v/>
      </c>
      <c r="K693" s="147" t="str">
        <f>IFERROR(IF([1]K_Summary!$K$678 = "", "", [1]K_Summary!$K$678 ),"")</f>
        <v/>
      </c>
      <c r="L693" s="147" t="str">
        <f>IFERROR(IF([1]K_Summary!$L$678 = "", "", [1]K_Summary!$L$678 ),"")</f>
        <v/>
      </c>
      <c r="M693" s="147" t="str">
        <f>IFERROR(IF([1]K_Summary!$M$678 = "", "", [1]K_Summary!$M$678 ),"")</f>
        <v/>
      </c>
      <c r="N693" s="158" t="str">
        <f>IFERROR(IF([1]K_Summary!$N$678 = "", "", [1]K_Summary!$N$678 ),"")</f>
        <v/>
      </c>
    </row>
    <row r="694" spans="1:14" ht="15" hidden="1">
      <c r="A694" s="719" t="s">
        <v>2289</v>
      </c>
      <c r="C694" s="559"/>
      <c r="D694" s="706"/>
      <c r="E694" s="720" t="s">
        <v>303</v>
      </c>
      <c r="F694" s="720"/>
      <c r="G694" s="720"/>
      <c r="H694" s="721" t="s">
        <v>2090</v>
      </c>
      <c r="I694" s="722"/>
      <c r="J694" s="159" t="str">
        <f>IFERROR(IF([1]K_Summary!$J$679 = "", "", [1]K_Summary!$J$679 ),"")</f>
        <v/>
      </c>
      <c r="K694" s="160" t="str">
        <f>IFERROR(IF([1]K_Summary!$K$679 = "", "", [1]K_Summary!$K$679 ),"")</f>
        <v/>
      </c>
      <c r="L694" s="160" t="str">
        <f>IFERROR(IF([1]K_Summary!$L$679 = "", "", [1]K_Summary!$L$679 ),"")</f>
        <v/>
      </c>
      <c r="M694" s="160" t="str">
        <f>IFERROR(IF([1]K_Summary!$M$679 = "", "", [1]K_Summary!$M$679 ),"")</f>
        <v/>
      </c>
      <c r="N694" s="161" t="str">
        <f>IFERROR(IF([1]K_Summary!$N$679 = "", "", [1]K_Summary!$N$679 ),"")</f>
        <v/>
      </c>
    </row>
    <row r="695" spans="1:14" ht="15" hidden="1">
      <c r="A695" s="719" t="s">
        <v>2289</v>
      </c>
      <c r="C695" s="559"/>
      <c r="D695" s="706"/>
      <c r="E695" s="723" t="s">
        <v>1422</v>
      </c>
      <c r="F695" s="723"/>
      <c r="G695" s="723"/>
      <c r="H695" s="724" t="s">
        <v>2090</v>
      </c>
      <c r="I695" s="725"/>
      <c r="J695" s="162" t="str">
        <f>IFERROR(IF([1]K_Summary!$J$680 = "", "", [1]K_Summary!$J$680 ),"")</f>
        <v/>
      </c>
      <c r="K695" s="163" t="str">
        <f>IFERROR(IF([1]K_Summary!$K$680 = "", "", [1]K_Summary!$K$680 ),"")</f>
        <v/>
      </c>
      <c r="L695" s="163" t="str">
        <f>IFERROR(IF([1]K_Summary!$L$680 = "", "", [1]K_Summary!$L$680 ),"")</f>
        <v/>
      </c>
      <c r="M695" s="163" t="str">
        <f>IFERROR(IF([1]K_Summary!$M$680 = "", "", [1]K_Summary!$M$680 ),"")</f>
        <v/>
      </c>
      <c r="N695" s="164" t="str">
        <f>IFERROR(IF([1]K_Summary!$N$680 = "", "", [1]K_Summary!$N$680 ),"")</f>
        <v/>
      </c>
    </row>
    <row r="696" spans="1:14" ht="15" hidden="1">
      <c r="A696" s="719" t="s">
        <v>2289</v>
      </c>
      <c r="C696" s="559"/>
      <c r="D696" s="706"/>
      <c r="E696" s="745" t="s">
        <v>1390</v>
      </c>
      <c r="F696" s="745"/>
      <c r="G696" s="745"/>
      <c r="H696" s="746" t="s">
        <v>2090</v>
      </c>
      <c r="I696" s="747"/>
      <c r="J696" s="186" t="str">
        <f>IFERROR(IF([1]K_Summary!$J$681 = "", "", [1]K_Summary!$J$681 ),"")</f>
        <v/>
      </c>
      <c r="K696" s="187" t="str">
        <f>IFERROR(IF([1]K_Summary!$K$681 = "", "", [1]K_Summary!$K$681 ),"")</f>
        <v/>
      </c>
      <c r="L696" s="187" t="str">
        <f>IFERROR(IF([1]K_Summary!$L$681 = "", "", [1]K_Summary!$L$681 ),"")</f>
        <v/>
      </c>
      <c r="M696" s="187" t="str">
        <f>IFERROR(IF([1]K_Summary!$M$681 = "", "", [1]K_Summary!$M$681 ),"")</f>
        <v/>
      </c>
      <c r="N696" s="188" t="str">
        <f>IFERROR(IF([1]K_Summary!$N$681 = "", "", [1]K_Summary!$N$681 ),"")</f>
        <v/>
      </c>
    </row>
    <row r="697" spans="1:14" ht="15">
      <c r="C697" s="559"/>
      <c r="D697" s="706"/>
      <c r="E697" s="720" t="s">
        <v>1691</v>
      </c>
      <c r="F697" s="720"/>
      <c r="G697" s="720"/>
      <c r="H697" s="748" t="s">
        <v>1021</v>
      </c>
      <c r="I697" s="722"/>
      <c r="J697" s="189" t="str">
        <f>IFERROR(IF([1]K_Summary!$J$682 = "", "", [1]K_Summary!$J$682 ),"")</f>
        <v/>
      </c>
      <c r="K697" s="190" t="str">
        <f>IFERROR(IF([1]K_Summary!$K$682 = "", "", [1]K_Summary!$K$682 ),"")</f>
        <v/>
      </c>
      <c r="L697" s="190" t="str">
        <f>IFERROR(IF([1]K_Summary!$L$682 = "", "", [1]K_Summary!$L$682 ),"")</f>
        <v/>
      </c>
      <c r="M697" s="190" t="str">
        <f>IFERROR(IF([1]K_Summary!$M$682 = "", "", [1]K_Summary!$M$682 ),"")</f>
        <v/>
      </c>
      <c r="N697" s="191" t="str">
        <f>IFERROR(IF([1]K_Summary!$N$682 = "", "", [1]K_Summary!$N$682 ),"")</f>
        <v/>
      </c>
    </row>
    <row r="698" spans="1:14" ht="15">
      <c r="C698" s="559"/>
      <c r="D698" s="706"/>
      <c r="E698" s="723" t="s">
        <v>1648</v>
      </c>
      <c r="F698" s="723"/>
      <c r="G698" s="723"/>
      <c r="H698" s="734" t="s">
        <v>1021</v>
      </c>
      <c r="I698" s="735"/>
      <c r="J698" s="174" t="str">
        <f>IFERROR(IF([1]K_Summary!$J$683 = "", "", [1]K_Summary!$J$683 ),"")</f>
        <v/>
      </c>
      <c r="K698" s="175" t="str">
        <f>IFERROR(IF([1]K_Summary!$K$683 = "", "", [1]K_Summary!$K$683 ),"")</f>
        <v/>
      </c>
      <c r="L698" s="175" t="str">
        <f>IFERROR(IF([1]K_Summary!$L$683 = "", "", [1]K_Summary!$L$683 ),"")</f>
        <v/>
      </c>
      <c r="M698" s="175" t="str">
        <f>IFERROR(IF([1]K_Summary!$M$683 = "", "", [1]K_Summary!$M$683 ),"")</f>
        <v/>
      </c>
      <c r="N698" s="176" t="str">
        <f>IFERROR(IF([1]K_Summary!$N$683 = "", "", [1]K_Summary!$N$683 ),"")</f>
        <v/>
      </c>
    </row>
    <row r="699" spans="1:14" ht="15">
      <c r="C699" s="559"/>
      <c r="D699" s="706"/>
      <c r="E699" s="736" t="s">
        <v>1852</v>
      </c>
      <c r="F699" s="736"/>
      <c r="G699" s="736"/>
      <c r="H699" s="737" t="s">
        <v>1021</v>
      </c>
      <c r="I699" s="738"/>
      <c r="J699" s="177" t="str">
        <f>IFERROR(IF([1]K_Summary!$J$684 = "", "", [1]K_Summary!$J$684 ),"")</f>
        <v/>
      </c>
      <c r="K699" s="178" t="str">
        <f>IFERROR(IF([1]K_Summary!$K$684 = "", "", [1]K_Summary!$K$684 ),"")</f>
        <v/>
      </c>
      <c r="L699" s="178" t="str">
        <f>IFERROR(IF([1]K_Summary!$L$684 = "", "", [1]K_Summary!$L$684 ),"")</f>
        <v/>
      </c>
      <c r="M699" s="178" t="str">
        <f>IFERROR(IF([1]K_Summary!$M$684 = "", "", [1]K_Summary!$M$684 ),"")</f>
        <v/>
      </c>
      <c r="N699" s="179" t="str">
        <f>IFERROR(IF([1]K_Summary!$N$684 = "", "", [1]K_Summary!$N$684 ),"")</f>
        <v/>
      </c>
    </row>
    <row r="700" spans="1:14" ht="15">
      <c r="C700" s="559"/>
      <c r="D700" s="706"/>
      <c r="E700" s="727" t="s">
        <v>1689</v>
      </c>
      <c r="F700" s="727"/>
      <c r="G700" s="727"/>
      <c r="H700" s="749" t="s">
        <v>1021</v>
      </c>
      <c r="I700" s="727"/>
      <c r="J700" s="192" t="str">
        <f>IFERROR(IF([1]K_Summary!$J$685 = "", "", [1]K_Summary!$J$685 ),"")</f>
        <v/>
      </c>
      <c r="K700" s="193" t="str">
        <f>IFERROR(IF([1]K_Summary!$K$685 = "", "", [1]K_Summary!$K$685 ),"")</f>
        <v/>
      </c>
      <c r="L700" s="193" t="str">
        <f>IFERROR(IF([1]K_Summary!$L$685 = "", "", [1]K_Summary!$L$685 ),"")</f>
        <v/>
      </c>
      <c r="M700" s="193" t="str">
        <f>IFERROR(IF([1]K_Summary!$M$685 = "", "", [1]K_Summary!$M$685 ),"")</f>
        <v/>
      </c>
      <c r="N700" s="194" t="str">
        <f>IFERROR(IF([1]K_Summary!$N$685 = "", "", [1]K_Summary!$N$685 ),"")</f>
        <v/>
      </c>
    </row>
    <row r="701" spans="1:14" ht="15" hidden="1">
      <c r="A701" s="719" t="s">
        <v>2289</v>
      </c>
      <c r="C701" s="559"/>
      <c r="D701" s="706"/>
      <c r="E701" s="727" t="s">
        <v>1391</v>
      </c>
      <c r="F701" s="727"/>
      <c r="G701" s="727"/>
      <c r="H701" s="750" t="s">
        <v>1021</v>
      </c>
      <c r="I701" s="729"/>
      <c r="J701" s="168" t="str">
        <f>IFERROR(IF([1]K_Summary!$J$686 = "", "", [1]K_Summary!$J$686 ),"")</f>
        <v/>
      </c>
      <c r="K701" s="169" t="str">
        <f>IFERROR(IF([1]K_Summary!$K$686 = "", "", [1]K_Summary!$K$686 ),"")</f>
        <v/>
      </c>
      <c r="L701" s="169" t="str">
        <f>IFERROR(IF([1]K_Summary!$L$686 = "", "", [1]K_Summary!$L$686 ),"")</f>
        <v/>
      </c>
      <c r="M701" s="169" t="str">
        <f>IFERROR(IF([1]K_Summary!$M$686 = "", "", [1]K_Summary!$M$686 ),"")</f>
        <v/>
      </c>
      <c r="N701" s="170" t="str">
        <f>IFERROR(IF([1]K_Summary!$N$686 = "", "", [1]K_Summary!$N$686 ),"")</f>
        <v/>
      </c>
    </row>
    <row r="702" spans="1:14" ht="15">
      <c r="C702" s="559"/>
      <c r="D702" s="706"/>
      <c r="E702" s="698" t="s">
        <v>1671</v>
      </c>
      <c r="F702" s="698"/>
      <c r="G702" s="698"/>
      <c r="H702" s="730" t="s">
        <v>2090</v>
      </c>
      <c r="I702" s="731"/>
      <c r="J702" s="148" t="str">
        <f>IFERROR(IF([1]K_Summary!$J$687 = "", "", [1]K_Summary!$J$687 ),"")</f>
        <v/>
      </c>
      <c r="K702" s="150" t="str">
        <f>IFERROR(IF([1]K_Summary!$K$687 = "", "", [1]K_Summary!$K$687 ),"")</f>
        <v/>
      </c>
      <c r="L702" s="150" t="str">
        <f>IFERROR(IF([1]K_Summary!$L$687 = "", "", [1]K_Summary!$L$687 ),"")</f>
        <v/>
      </c>
      <c r="M702" s="150" t="str">
        <f>IFERROR(IF([1]K_Summary!$M$687 = "", "", [1]K_Summary!$M$687 ),"")</f>
        <v/>
      </c>
      <c r="N702" s="171" t="str">
        <f>IFERROR(IF([1]K_Summary!$N$687 = "", "", [1]K_Summary!$N$687 ),"")</f>
        <v/>
      </c>
    </row>
    <row r="703" spans="1:14" ht="15">
      <c r="C703" s="559"/>
      <c r="D703" s="706"/>
      <c r="E703" s="698" t="s">
        <v>1670</v>
      </c>
      <c r="F703" s="698"/>
      <c r="G703" s="698"/>
      <c r="H703" s="730" t="s">
        <v>2090</v>
      </c>
      <c r="I703" s="731"/>
      <c r="J703" s="148" t="str">
        <f>IFERROR(IF([1]K_Summary!$J$688 = "", "", [1]K_Summary!$J$688 ),"")</f>
        <v/>
      </c>
      <c r="K703" s="150" t="str">
        <f>IFERROR(IF([1]K_Summary!$K$688 = "", "", [1]K_Summary!$K$688 ),"")</f>
        <v/>
      </c>
      <c r="L703" s="150" t="str">
        <f>IFERROR(IF([1]K_Summary!$L$688 = "", "", [1]K_Summary!$L$688 ),"")</f>
        <v/>
      </c>
      <c r="M703" s="150" t="str">
        <f>IFERROR(IF([1]K_Summary!$M$688 = "", "", [1]K_Summary!$M$688 ),"")</f>
        <v/>
      </c>
      <c r="N703" s="171" t="str">
        <f>IFERROR(IF([1]K_Summary!$N$688 = "", "", [1]K_Summary!$N$688 ),"")</f>
        <v/>
      </c>
    </row>
    <row r="704" spans="1:14" ht="15">
      <c r="C704" s="559"/>
      <c r="D704" s="706"/>
      <c r="E704" s="740" t="s">
        <v>2131</v>
      </c>
      <c r="F704" s="740"/>
      <c r="G704" s="740"/>
      <c r="H704" s="741" t="s">
        <v>1021</v>
      </c>
      <c r="I704" s="742"/>
      <c r="J704" s="183" t="str">
        <f>IFERROR(IF([1]K_Summary!$J$689 = "", "", [1]K_Summary!$J$689 ),"")</f>
        <v/>
      </c>
      <c r="K704" s="184" t="str">
        <f>IFERROR(IF([1]K_Summary!$K$689 = "", "", [1]K_Summary!$K$689 ),"")</f>
        <v/>
      </c>
      <c r="L704" s="184" t="str">
        <f>IFERROR(IF([1]K_Summary!$L$689 = "", "", [1]K_Summary!$L$689 ),"")</f>
        <v/>
      </c>
      <c r="M704" s="184" t="str">
        <f>IFERROR(IF([1]K_Summary!$M$689 = "", "", [1]K_Summary!$M$689 ),"")</f>
        <v/>
      </c>
      <c r="N704" s="185" t="str">
        <f>IFERROR(IF([1]K_Summary!$N$689 = "", "", [1]K_Summary!$N$689 ),"")</f>
        <v/>
      </c>
    </row>
    <row r="705" spans="1:14" ht="15">
      <c r="C705" s="559"/>
      <c r="D705" s="706"/>
      <c r="E705" s="485"/>
      <c r="F705" s="485"/>
      <c r="G705" s="485"/>
      <c r="H705" s="485"/>
      <c r="I705" s="743"/>
      <c r="J705" s="485"/>
      <c r="K705" s="485"/>
      <c r="L705" s="485"/>
      <c r="M705" s="485"/>
      <c r="N705" s="744"/>
    </row>
    <row r="706" spans="1:14" ht="15">
      <c r="C706" s="559"/>
      <c r="D706" s="706"/>
      <c r="E706" s="707" t="s">
        <v>1754</v>
      </c>
      <c r="F706" s="637"/>
      <c r="G706" s="637"/>
      <c r="H706" s="663" t="s">
        <v>884</v>
      </c>
      <c r="I706" s="708"/>
      <c r="J706" s="709">
        <v>2021</v>
      </c>
      <c r="K706" s="671">
        <v>2022</v>
      </c>
      <c r="L706" s="671">
        <v>2023</v>
      </c>
      <c r="M706" s="671">
        <v>2024</v>
      </c>
      <c r="N706" s="710">
        <v>2025</v>
      </c>
    </row>
    <row r="707" spans="1:14" ht="15" hidden="1">
      <c r="A707" s="719" t="s">
        <v>2289</v>
      </c>
      <c r="C707" s="559"/>
      <c r="D707" s="706"/>
      <c r="E707" s="698" t="s">
        <v>1714</v>
      </c>
      <c r="F707" s="698"/>
      <c r="G707" s="698"/>
      <c r="H707" s="63" t="str">
        <f>IFERROR(IF([1]K_Summary!$H$692 = "", "", [1]K_Summary!$H$692 ),"")</f>
        <v>tonnes</v>
      </c>
      <c r="I707" s="698"/>
      <c r="J707" s="157" t="str">
        <f>IFERROR(IF([1]K_Summary!$J$692 = "", "", [1]K_Summary!$J$692 ),"")</f>
        <v/>
      </c>
      <c r="K707" s="147" t="str">
        <f>IFERROR(IF([1]K_Summary!$K$692 = "", "", [1]K_Summary!$K$692 ),"")</f>
        <v/>
      </c>
      <c r="L707" s="147" t="str">
        <f>IFERROR(IF([1]K_Summary!$L$692 = "", "", [1]K_Summary!$L$692 ),"")</f>
        <v/>
      </c>
      <c r="M707" s="147" t="str">
        <f>IFERROR(IF([1]K_Summary!$M$692 = "", "", [1]K_Summary!$M$692 ),"")</f>
        <v/>
      </c>
      <c r="N707" s="158" t="str">
        <f>IFERROR(IF([1]K_Summary!$N$692 = "", "", [1]K_Summary!$N$692 ),"")</f>
        <v/>
      </c>
    </row>
    <row r="708" spans="1:14" ht="15">
      <c r="C708" s="559"/>
      <c r="D708" s="706"/>
      <c r="E708" s="720" t="s">
        <v>1691</v>
      </c>
      <c r="F708" s="720"/>
      <c r="G708" s="720"/>
      <c r="H708" s="748" t="s">
        <v>2090</v>
      </c>
      <c r="I708" s="722"/>
      <c r="J708" s="172" t="str">
        <f>IFERROR(IF([1]K_Summary!$J$693 = "", "", [1]K_Summary!$J$693 ),"")</f>
        <v/>
      </c>
      <c r="K708" s="54" t="str">
        <f>IFERROR(IF([1]K_Summary!$K$693 = "", "", [1]K_Summary!$K$693 ),"")</f>
        <v/>
      </c>
      <c r="L708" s="54" t="str">
        <f>IFERROR(IF([1]K_Summary!$L$693 = "", "", [1]K_Summary!$L$693 ),"")</f>
        <v/>
      </c>
      <c r="M708" s="54" t="str">
        <f>IFERROR(IF([1]K_Summary!$M$693 = "", "", [1]K_Summary!$M$693 ),"")</f>
        <v/>
      </c>
      <c r="N708" s="173" t="str">
        <f>IFERROR(IF([1]K_Summary!$N$693 = "", "", [1]K_Summary!$N$693 ),"")</f>
        <v/>
      </c>
    </row>
    <row r="709" spans="1:14" ht="15">
      <c r="C709" s="559"/>
      <c r="D709" s="706"/>
      <c r="E709" s="723" t="s">
        <v>1648</v>
      </c>
      <c r="F709" s="723"/>
      <c r="G709" s="723"/>
      <c r="H709" s="734" t="s">
        <v>1021</v>
      </c>
      <c r="I709" s="735"/>
      <c r="J709" s="174" t="str">
        <f>IFERROR(IF([1]K_Summary!$J$694 = "", "", [1]K_Summary!$J$694 ),"")</f>
        <v/>
      </c>
      <c r="K709" s="175" t="str">
        <f>IFERROR(IF([1]K_Summary!$K$694 = "", "", [1]K_Summary!$K$694 ),"")</f>
        <v/>
      </c>
      <c r="L709" s="175" t="str">
        <f>IFERROR(IF([1]K_Summary!$L$694 = "", "", [1]K_Summary!$L$694 ),"")</f>
        <v/>
      </c>
      <c r="M709" s="175" t="str">
        <f>IFERROR(IF([1]K_Summary!$M$694 = "", "", [1]K_Summary!$M$694 ),"")</f>
        <v/>
      </c>
      <c r="N709" s="176" t="str">
        <f>IFERROR(IF([1]K_Summary!$N$694 = "", "", [1]K_Summary!$N$694 ),"")</f>
        <v/>
      </c>
    </row>
    <row r="710" spans="1:14" ht="15">
      <c r="C710" s="559"/>
      <c r="D710" s="706"/>
      <c r="E710" s="736" t="s">
        <v>1853</v>
      </c>
      <c r="F710" s="736"/>
      <c r="G710" s="736"/>
      <c r="H710" s="737" t="s">
        <v>1021</v>
      </c>
      <c r="I710" s="738"/>
      <c r="J710" s="177" t="str">
        <f>IFERROR(IF([1]K_Summary!$J$695 = "", "", [1]K_Summary!$J$695 ),"")</f>
        <v/>
      </c>
      <c r="K710" s="178" t="str">
        <f>IFERROR(IF([1]K_Summary!$K$695 = "", "", [1]K_Summary!$K$695 ),"")</f>
        <v/>
      </c>
      <c r="L710" s="178" t="str">
        <f>IFERROR(IF([1]K_Summary!$L$695 = "", "", [1]K_Summary!$L$695 ),"")</f>
        <v/>
      </c>
      <c r="M710" s="178" t="str">
        <f>IFERROR(IF([1]K_Summary!$M$695 = "", "", [1]K_Summary!$M$695 ),"")</f>
        <v/>
      </c>
      <c r="N710" s="179" t="str">
        <f>IFERROR(IF([1]K_Summary!$N$695 = "", "", [1]K_Summary!$N$695 ),"")</f>
        <v/>
      </c>
    </row>
    <row r="711" spans="1:14" ht="15">
      <c r="C711" s="559"/>
      <c r="D711" s="706"/>
      <c r="E711" s="727" t="s">
        <v>1689</v>
      </c>
      <c r="F711" s="727"/>
      <c r="G711" s="727"/>
      <c r="H711" s="749" t="s">
        <v>2090</v>
      </c>
      <c r="I711" s="727"/>
      <c r="J711" s="180" t="str">
        <f>IFERROR(IF([1]K_Summary!$J$696 = "", "", [1]K_Summary!$J$696 ),"")</f>
        <v/>
      </c>
      <c r="K711" s="181" t="str">
        <f>IFERROR(IF([1]K_Summary!$K$696 = "", "", [1]K_Summary!$K$696 ),"")</f>
        <v/>
      </c>
      <c r="L711" s="181" t="str">
        <f>IFERROR(IF([1]K_Summary!$L$696 = "", "", [1]K_Summary!$L$696 ),"")</f>
        <v/>
      </c>
      <c r="M711" s="181" t="str">
        <f>IFERROR(IF([1]K_Summary!$M$696 = "", "", [1]K_Summary!$M$696 ),"")</f>
        <v/>
      </c>
      <c r="N711" s="182" t="str">
        <f>IFERROR(IF([1]K_Summary!$N$696 = "", "", [1]K_Summary!$N$696 ),"")</f>
        <v/>
      </c>
    </row>
    <row r="712" spans="1:14" ht="15" hidden="1">
      <c r="A712" s="719" t="s">
        <v>2289</v>
      </c>
      <c r="C712" s="559"/>
      <c r="D712" s="706"/>
      <c r="E712" s="723" t="s">
        <v>1422</v>
      </c>
      <c r="F712" s="723"/>
      <c r="G712" s="723"/>
      <c r="H712" s="724" t="s">
        <v>2090</v>
      </c>
      <c r="I712" s="725"/>
      <c r="J712" s="162" t="str">
        <f>IFERROR(IF([1]K_Summary!$J$697 = "", "", [1]K_Summary!$J$697 ),"")</f>
        <v/>
      </c>
      <c r="K712" s="163" t="str">
        <f>IFERROR(IF([1]K_Summary!$K$697 = "", "", [1]K_Summary!$K$697 ),"")</f>
        <v/>
      </c>
      <c r="L712" s="163" t="str">
        <f>IFERROR(IF([1]K_Summary!$L$697 = "", "", [1]K_Summary!$L$697 ),"")</f>
        <v/>
      </c>
      <c r="M712" s="163" t="str">
        <f>IFERROR(IF([1]K_Summary!$M$697 = "", "", [1]K_Summary!$M$697 ),"")</f>
        <v/>
      </c>
      <c r="N712" s="164" t="str">
        <f>IFERROR(IF([1]K_Summary!$N$697 = "", "", [1]K_Summary!$N$697 ),"")</f>
        <v/>
      </c>
    </row>
    <row r="713" spans="1:14" ht="15" hidden="1">
      <c r="A713" s="719" t="s">
        <v>2289</v>
      </c>
      <c r="C713" s="559"/>
      <c r="D713" s="706"/>
      <c r="E713" s="723" t="s">
        <v>1390</v>
      </c>
      <c r="F713" s="723"/>
      <c r="G713" s="723"/>
      <c r="H713" s="724" t="s">
        <v>2090</v>
      </c>
      <c r="I713" s="725"/>
      <c r="J713" s="162" t="str">
        <f>IFERROR(IF([1]K_Summary!$J$698 = "", "", [1]K_Summary!$J$698 ),"")</f>
        <v/>
      </c>
      <c r="K713" s="163" t="str">
        <f>IFERROR(IF([1]K_Summary!$K$698 = "", "", [1]K_Summary!$K$698 ),"")</f>
        <v/>
      </c>
      <c r="L713" s="163" t="str">
        <f>IFERROR(IF([1]K_Summary!$L$698 = "", "", [1]K_Summary!$L$698 ),"")</f>
        <v/>
      </c>
      <c r="M713" s="163" t="str">
        <f>IFERROR(IF([1]K_Summary!$M$698 = "", "", [1]K_Summary!$M$698 ),"")</f>
        <v/>
      </c>
      <c r="N713" s="164" t="str">
        <f>IFERROR(IF([1]K_Summary!$N$698 = "", "", [1]K_Summary!$N$698 ),"")</f>
        <v/>
      </c>
    </row>
    <row r="714" spans="1:14" ht="15" hidden="1">
      <c r="A714" s="719" t="s">
        <v>2289</v>
      </c>
      <c r="C714" s="559"/>
      <c r="D714" s="706"/>
      <c r="E714" s="723" t="s">
        <v>1389</v>
      </c>
      <c r="F714" s="723"/>
      <c r="G714" s="723"/>
      <c r="H714" s="726" t="s">
        <v>1021</v>
      </c>
      <c r="I714" s="725"/>
      <c r="J714" s="165" t="str">
        <f>IFERROR(IF([1]K_Summary!$J$699 = "", "", [1]K_Summary!$J$699 ),"")</f>
        <v/>
      </c>
      <c r="K714" s="166" t="str">
        <f>IFERROR(IF([1]K_Summary!$K$699 = "", "", [1]K_Summary!$K$699 ),"")</f>
        <v/>
      </c>
      <c r="L714" s="166" t="str">
        <f>IFERROR(IF([1]K_Summary!$L$699 = "", "", [1]K_Summary!$L$699 ),"")</f>
        <v/>
      </c>
      <c r="M714" s="166" t="str">
        <f>IFERROR(IF([1]K_Summary!$M$699 = "", "", [1]K_Summary!$M$699 ),"")</f>
        <v/>
      </c>
      <c r="N714" s="167" t="str">
        <f>IFERROR(IF([1]K_Summary!$N$699 = "", "", [1]K_Summary!$N$699 ),"")</f>
        <v/>
      </c>
    </row>
    <row r="715" spans="1:14" ht="15" hidden="1">
      <c r="A715" s="719" t="s">
        <v>2289</v>
      </c>
      <c r="C715" s="559"/>
      <c r="D715" s="706"/>
      <c r="E715" s="727" t="s">
        <v>1391</v>
      </c>
      <c r="F715" s="727"/>
      <c r="G715" s="727"/>
      <c r="H715" s="728" t="s">
        <v>1021</v>
      </c>
      <c r="I715" s="729"/>
      <c r="J715" s="168" t="str">
        <f>IFERROR(IF([1]K_Summary!$J$700 = "", "", [1]K_Summary!$J$700 ),"")</f>
        <v/>
      </c>
      <c r="K715" s="169" t="str">
        <f>IFERROR(IF([1]K_Summary!$K$700 = "", "", [1]K_Summary!$K$700 ),"")</f>
        <v/>
      </c>
      <c r="L715" s="169" t="str">
        <f>IFERROR(IF([1]K_Summary!$L$700 = "", "", [1]K_Summary!$L$700 ),"")</f>
        <v/>
      </c>
      <c r="M715" s="169" t="str">
        <f>IFERROR(IF([1]K_Summary!$M$700 = "", "", [1]K_Summary!$M$700 ),"")</f>
        <v/>
      </c>
      <c r="N715" s="170" t="str">
        <f>IFERROR(IF([1]K_Summary!$N$700 = "", "", [1]K_Summary!$N$700 ),"")</f>
        <v/>
      </c>
    </row>
    <row r="716" spans="1:14" ht="15">
      <c r="C716" s="559"/>
      <c r="D716" s="706"/>
      <c r="E716" s="698" t="s">
        <v>1671</v>
      </c>
      <c r="F716" s="698"/>
      <c r="G716" s="698"/>
      <c r="H716" s="730" t="s">
        <v>2090</v>
      </c>
      <c r="I716" s="731"/>
      <c r="J716" s="148" t="str">
        <f>IFERROR(IF([1]K_Summary!$J$701 = "", "", [1]K_Summary!$J$701 ),"")</f>
        <v/>
      </c>
      <c r="K716" s="150" t="str">
        <f>IFERROR(IF([1]K_Summary!$K$701 = "", "", [1]K_Summary!$K$701 ),"")</f>
        <v/>
      </c>
      <c r="L716" s="150" t="str">
        <f>IFERROR(IF([1]K_Summary!$L$701 = "", "", [1]K_Summary!$L$701 ),"")</f>
        <v/>
      </c>
      <c r="M716" s="150" t="str">
        <f>IFERROR(IF([1]K_Summary!$M$701 = "", "", [1]K_Summary!$M$701 ),"")</f>
        <v/>
      </c>
      <c r="N716" s="171" t="str">
        <f>IFERROR(IF([1]K_Summary!$N$701 = "", "", [1]K_Summary!$N$701 ),"")</f>
        <v/>
      </c>
    </row>
    <row r="717" spans="1:14" ht="15">
      <c r="C717" s="559"/>
      <c r="D717" s="706"/>
      <c r="E717" s="698" t="s">
        <v>1670</v>
      </c>
      <c r="F717" s="698"/>
      <c r="G717" s="698"/>
      <c r="H717" s="730" t="s">
        <v>2090</v>
      </c>
      <c r="I717" s="731"/>
      <c r="J717" s="148" t="str">
        <f>IFERROR(IF([1]K_Summary!$J$702 = "", "", [1]K_Summary!$J$702 ),"")</f>
        <v/>
      </c>
      <c r="K717" s="150" t="str">
        <f>IFERROR(IF([1]K_Summary!$K$702 = "", "", [1]K_Summary!$K$702 ),"")</f>
        <v/>
      </c>
      <c r="L717" s="150" t="str">
        <f>IFERROR(IF([1]K_Summary!$L$702 = "", "", [1]K_Summary!$L$702 ),"")</f>
        <v/>
      </c>
      <c r="M717" s="150" t="str">
        <f>IFERROR(IF([1]K_Summary!$M$702 = "", "", [1]K_Summary!$M$702 ),"")</f>
        <v/>
      </c>
      <c r="N717" s="171" t="str">
        <f>IFERROR(IF([1]K_Summary!$N$702 = "", "", [1]K_Summary!$N$702 ),"")</f>
        <v/>
      </c>
    </row>
    <row r="718" spans="1:14" ht="15">
      <c r="C718" s="559"/>
      <c r="D718" s="706"/>
      <c r="E718" s="740" t="s">
        <v>2132</v>
      </c>
      <c r="F718" s="740"/>
      <c r="G718" s="740"/>
      <c r="H718" s="741" t="s">
        <v>1021</v>
      </c>
      <c r="I718" s="742"/>
      <c r="J718" s="183" t="str">
        <f>IFERROR(IF([1]K_Summary!$J$703 = "", "", [1]K_Summary!$J$703 ),"")</f>
        <v/>
      </c>
      <c r="K718" s="184" t="str">
        <f>IFERROR(IF([1]K_Summary!$K$703 = "", "", [1]K_Summary!$K$703 ),"")</f>
        <v/>
      </c>
      <c r="L718" s="184" t="str">
        <f>IFERROR(IF([1]K_Summary!$L$703 = "", "", [1]K_Summary!$L$703 ),"")</f>
        <v/>
      </c>
      <c r="M718" s="184" t="str">
        <f>IFERROR(IF([1]K_Summary!$M$703 = "", "", [1]K_Summary!$M$703 ),"")</f>
        <v/>
      </c>
      <c r="N718" s="185" t="str">
        <f>IFERROR(IF([1]K_Summary!$N$703 = "", "", [1]K_Summary!$N$703 ),"")</f>
        <v/>
      </c>
    </row>
    <row r="719" spans="1:14" ht="15">
      <c r="C719" s="559"/>
      <c r="D719" s="706"/>
      <c r="E719" s="485"/>
      <c r="F719" s="485"/>
      <c r="G719" s="485"/>
      <c r="H719" s="485"/>
      <c r="I719" s="743"/>
      <c r="J719" s="485"/>
      <c r="K719" s="485"/>
      <c r="L719" s="485"/>
      <c r="M719" s="485"/>
      <c r="N719" s="744"/>
    </row>
    <row r="720" spans="1:14" ht="15">
      <c r="C720" s="559"/>
      <c r="D720" s="706"/>
      <c r="E720" s="707" t="s">
        <v>1755</v>
      </c>
      <c r="F720" s="637"/>
      <c r="G720" s="637"/>
      <c r="H720" s="663" t="s">
        <v>884</v>
      </c>
      <c r="I720" s="708"/>
      <c r="J720" s="709">
        <v>2021</v>
      </c>
      <c r="K720" s="671">
        <v>2022</v>
      </c>
      <c r="L720" s="671">
        <v>2023</v>
      </c>
      <c r="M720" s="671">
        <v>2024</v>
      </c>
      <c r="N720" s="710">
        <v>2025</v>
      </c>
    </row>
    <row r="721" spans="1:14" ht="15" hidden="1">
      <c r="A721" s="719" t="s">
        <v>2289</v>
      </c>
      <c r="C721" s="559"/>
      <c r="D721" s="706"/>
      <c r="E721" s="698" t="s">
        <v>1714</v>
      </c>
      <c r="F721" s="698"/>
      <c r="G721" s="698"/>
      <c r="H721" s="63" t="str">
        <f>IFERROR(IF([1]K_Summary!$H$706 = "", "", [1]K_Summary!$H$706 ),"")</f>
        <v>tonnes</v>
      </c>
      <c r="I721" s="698"/>
      <c r="J721" s="157" t="str">
        <f>IFERROR(IF([1]K_Summary!$J$706 = "", "", [1]K_Summary!$J$706 ),"")</f>
        <v/>
      </c>
      <c r="K721" s="147" t="str">
        <f>IFERROR(IF([1]K_Summary!$K$706 = "", "", [1]K_Summary!$K$706 ),"")</f>
        <v/>
      </c>
      <c r="L721" s="147" t="str">
        <f>IFERROR(IF([1]K_Summary!$L$706 = "", "", [1]K_Summary!$L$706 ),"")</f>
        <v/>
      </c>
      <c r="M721" s="147" t="str">
        <f>IFERROR(IF([1]K_Summary!$M$706 = "", "", [1]K_Summary!$M$706 ),"")</f>
        <v/>
      </c>
      <c r="N721" s="158" t="str">
        <f>IFERROR(IF([1]K_Summary!$N$706 = "", "", [1]K_Summary!$N$706 ),"")</f>
        <v/>
      </c>
    </row>
    <row r="722" spans="1:14" ht="15" hidden="1">
      <c r="A722" s="719" t="s">
        <v>2289</v>
      </c>
      <c r="C722" s="559"/>
      <c r="D722" s="706"/>
      <c r="E722" s="720" t="s">
        <v>303</v>
      </c>
      <c r="F722" s="720"/>
      <c r="G722" s="720"/>
      <c r="H722" s="721" t="s">
        <v>2090</v>
      </c>
      <c r="I722" s="722"/>
      <c r="J722" s="159" t="str">
        <f>IFERROR(IF([1]K_Summary!$J$707 = "", "", [1]K_Summary!$J$707 ),"")</f>
        <v/>
      </c>
      <c r="K722" s="160" t="str">
        <f>IFERROR(IF([1]K_Summary!$K$707 = "", "", [1]K_Summary!$K$707 ),"")</f>
        <v/>
      </c>
      <c r="L722" s="160" t="str">
        <f>IFERROR(IF([1]K_Summary!$L$707 = "", "", [1]K_Summary!$L$707 ),"")</f>
        <v/>
      </c>
      <c r="M722" s="160" t="str">
        <f>IFERROR(IF([1]K_Summary!$M$707 = "", "", [1]K_Summary!$M$707 ),"")</f>
        <v/>
      </c>
      <c r="N722" s="161" t="str">
        <f>IFERROR(IF([1]K_Summary!$N$707 = "", "", [1]K_Summary!$N$707 ),"")</f>
        <v/>
      </c>
    </row>
    <row r="723" spans="1:14" ht="15" hidden="1">
      <c r="A723" s="719" t="s">
        <v>2289</v>
      </c>
      <c r="C723" s="559"/>
      <c r="D723" s="706"/>
      <c r="E723" s="745" t="s">
        <v>1422</v>
      </c>
      <c r="F723" s="745"/>
      <c r="G723" s="745"/>
      <c r="H723" s="746" t="s">
        <v>2090</v>
      </c>
      <c r="I723" s="747"/>
      <c r="J723" s="186" t="str">
        <f>IFERROR(IF([1]K_Summary!$J$708 = "", "", [1]K_Summary!$J$708 ),"")</f>
        <v/>
      </c>
      <c r="K723" s="187" t="str">
        <f>IFERROR(IF([1]K_Summary!$K$708 = "", "", [1]K_Summary!$K$708 ),"")</f>
        <v/>
      </c>
      <c r="L723" s="187" t="str">
        <f>IFERROR(IF([1]K_Summary!$L$708 = "", "", [1]K_Summary!$L$708 ),"")</f>
        <v/>
      </c>
      <c r="M723" s="187" t="str">
        <f>IFERROR(IF([1]K_Summary!$M$708 = "", "", [1]K_Summary!$M$708 ),"")</f>
        <v/>
      </c>
      <c r="N723" s="188" t="str">
        <f>IFERROR(IF([1]K_Summary!$N$708 = "", "", [1]K_Summary!$N$708 ),"")</f>
        <v/>
      </c>
    </row>
    <row r="724" spans="1:14" ht="15">
      <c r="C724" s="559"/>
      <c r="D724" s="706"/>
      <c r="E724" s="720" t="s">
        <v>1691</v>
      </c>
      <c r="F724" s="720"/>
      <c r="G724" s="720"/>
      <c r="H724" s="721" t="s">
        <v>2090</v>
      </c>
      <c r="I724" s="722"/>
      <c r="J724" s="195" t="str">
        <f>IFERROR(IF([1]K_Summary!$J$709 = "", "", [1]K_Summary!$J$709 ),"")</f>
        <v/>
      </c>
      <c r="K724" s="196" t="str">
        <f>IFERROR(IF([1]K_Summary!$K$709 = "", "", [1]K_Summary!$K$709 ),"")</f>
        <v/>
      </c>
      <c r="L724" s="196" t="str">
        <f>IFERROR(IF([1]K_Summary!$L$709 = "", "", [1]K_Summary!$L$709 ),"")</f>
        <v/>
      </c>
      <c r="M724" s="196" t="str">
        <f>IFERROR(IF([1]K_Summary!$M$709 = "", "", [1]K_Summary!$M$709 ),"")</f>
        <v/>
      </c>
      <c r="N724" s="197" t="str">
        <f>IFERROR(IF([1]K_Summary!$N$709 = "", "", [1]K_Summary!$N$709 ),"")</f>
        <v/>
      </c>
    </row>
    <row r="725" spans="1:14" ht="15">
      <c r="C725" s="559"/>
      <c r="D725" s="706"/>
      <c r="E725" s="723" t="s">
        <v>1648</v>
      </c>
      <c r="F725" s="723"/>
      <c r="G725" s="723"/>
      <c r="H725" s="751" t="s">
        <v>1021</v>
      </c>
      <c r="I725" s="735"/>
      <c r="J725" s="174" t="str">
        <f>IFERROR(IF([1]K_Summary!$J$710 = "", "", [1]K_Summary!$J$710 ),"")</f>
        <v/>
      </c>
      <c r="K725" s="175" t="str">
        <f>IFERROR(IF([1]K_Summary!$K$710 = "", "", [1]K_Summary!$K$710 ),"")</f>
        <v/>
      </c>
      <c r="L725" s="175" t="str">
        <f>IFERROR(IF([1]K_Summary!$L$710 = "", "", [1]K_Summary!$L$710 ),"")</f>
        <v/>
      </c>
      <c r="M725" s="175" t="str">
        <f>IFERROR(IF([1]K_Summary!$M$710 = "", "", [1]K_Summary!$M$710 ),"")</f>
        <v/>
      </c>
      <c r="N725" s="176" t="str">
        <f>IFERROR(IF([1]K_Summary!$N$710 = "", "", [1]K_Summary!$N$710 ),"")</f>
        <v/>
      </c>
    </row>
    <row r="726" spans="1:14" ht="15">
      <c r="C726" s="559"/>
      <c r="D726" s="706"/>
      <c r="E726" s="736" t="s">
        <v>1854</v>
      </c>
      <c r="F726" s="736"/>
      <c r="G726" s="736"/>
      <c r="H726" s="738" t="s">
        <v>1021</v>
      </c>
      <c r="I726" s="738"/>
      <c r="J726" s="177" t="str">
        <f>IFERROR(IF([1]K_Summary!$J$711 = "", "", [1]K_Summary!$J$711 ),"")</f>
        <v/>
      </c>
      <c r="K726" s="178" t="str">
        <f>IFERROR(IF([1]K_Summary!$K$711 = "", "", [1]K_Summary!$K$711 ),"")</f>
        <v/>
      </c>
      <c r="L726" s="178" t="str">
        <f>IFERROR(IF([1]K_Summary!$L$711 = "", "", [1]K_Summary!$L$711 ),"")</f>
        <v/>
      </c>
      <c r="M726" s="178" t="str">
        <f>IFERROR(IF([1]K_Summary!$M$711 = "", "", [1]K_Summary!$M$711 ),"")</f>
        <v/>
      </c>
      <c r="N726" s="179" t="str">
        <f>IFERROR(IF([1]K_Summary!$N$711 = "", "", [1]K_Summary!$N$711 ),"")</f>
        <v/>
      </c>
    </row>
    <row r="727" spans="1:14" ht="15">
      <c r="C727" s="559"/>
      <c r="D727" s="706"/>
      <c r="E727" s="727" t="s">
        <v>1689</v>
      </c>
      <c r="F727" s="727"/>
      <c r="G727" s="727"/>
      <c r="H727" s="728" t="s">
        <v>2090</v>
      </c>
      <c r="I727" s="729"/>
      <c r="J727" s="198" t="str">
        <f>IFERROR(IF([1]K_Summary!$J$712 = "", "", [1]K_Summary!$J$712 ),"")</f>
        <v/>
      </c>
      <c r="K727" s="199" t="str">
        <f>IFERROR(IF([1]K_Summary!$K$712 = "", "", [1]K_Summary!$K$712 ),"")</f>
        <v/>
      </c>
      <c r="L727" s="199" t="str">
        <f>IFERROR(IF([1]K_Summary!$L$712 = "", "", [1]K_Summary!$L$712 ),"")</f>
        <v/>
      </c>
      <c r="M727" s="199" t="str">
        <f>IFERROR(IF([1]K_Summary!$M$712 = "", "", [1]K_Summary!$M$712 ),"")</f>
        <v/>
      </c>
      <c r="N727" s="200" t="str">
        <f>IFERROR(IF([1]K_Summary!$N$712 = "", "", [1]K_Summary!$N$712 ),"")</f>
        <v/>
      </c>
    </row>
    <row r="728" spans="1:14" ht="15" hidden="1">
      <c r="A728" s="719" t="s">
        <v>2289</v>
      </c>
      <c r="C728" s="559"/>
      <c r="D728" s="706"/>
      <c r="E728" s="645" t="s">
        <v>1389</v>
      </c>
      <c r="F728" s="645"/>
      <c r="G728" s="645"/>
      <c r="H728" s="752" t="s">
        <v>1021</v>
      </c>
      <c r="I728" s="753"/>
      <c r="J728" s="201" t="str">
        <f>IFERROR(IF([1]K_Summary!$J$713 = "", "", [1]K_Summary!$J$713 ),"")</f>
        <v/>
      </c>
      <c r="K728" s="202" t="str">
        <f>IFERROR(IF([1]K_Summary!$K$713 = "", "", [1]K_Summary!$K$713 ),"")</f>
        <v/>
      </c>
      <c r="L728" s="202" t="str">
        <f>IFERROR(IF([1]K_Summary!$L$713 = "", "", [1]K_Summary!$L$713 ),"")</f>
        <v/>
      </c>
      <c r="M728" s="202" t="str">
        <f>IFERROR(IF([1]K_Summary!$M$713 = "", "", [1]K_Summary!$M$713 ),"")</f>
        <v/>
      </c>
      <c r="N728" s="203" t="str">
        <f>IFERROR(IF([1]K_Summary!$N$713 = "", "", [1]K_Summary!$N$713 ),"")</f>
        <v/>
      </c>
    </row>
    <row r="729" spans="1:14" ht="15" hidden="1">
      <c r="A729" s="719" t="s">
        <v>2289</v>
      </c>
      <c r="C729" s="559"/>
      <c r="D729" s="706"/>
      <c r="E729" s="727" t="s">
        <v>1391</v>
      </c>
      <c r="F729" s="727"/>
      <c r="G729" s="727"/>
      <c r="H729" s="728" t="s">
        <v>1021</v>
      </c>
      <c r="I729" s="729"/>
      <c r="J729" s="168" t="str">
        <f>IFERROR(IF([1]K_Summary!$J$714 = "", "", [1]K_Summary!$J$714 ),"")</f>
        <v/>
      </c>
      <c r="K729" s="169" t="str">
        <f>IFERROR(IF([1]K_Summary!$K$714 = "", "", [1]K_Summary!$K$714 ),"")</f>
        <v/>
      </c>
      <c r="L729" s="169" t="str">
        <f>IFERROR(IF([1]K_Summary!$L$714 = "", "", [1]K_Summary!$L$714 ),"")</f>
        <v/>
      </c>
      <c r="M729" s="169" t="str">
        <f>IFERROR(IF([1]K_Summary!$M$714 = "", "", [1]K_Summary!$M$714 ),"")</f>
        <v/>
      </c>
      <c r="N729" s="170" t="str">
        <f>IFERROR(IF([1]K_Summary!$N$714 = "", "", [1]K_Summary!$N$714 ),"")</f>
        <v/>
      </c>
    </row>
    <row r="730" spans="1:14" ht="15">
      <c r="C730" s="559"/>
      <c r="D730" s="706"/>
      <c r="E730" s="698" t="s">
        <v>1671</v>
      </c>
      <c r="F730" s="698"/>
      <c r="G730" s="698"/>
      <c r="H730" s="730" t="s">
        <v>2090</v>
      </c>
      <c r="I730" s="731"/>
      <c r="J730" s="148" t="str">
        <f>IFERROR(IF([1]K_Summary!$J$715 = "", "", [1]K_Summary!$J$715 ),"")</f>
        <v/>
      </c>
      <c r="K730" s="150" t="str">
        <f>IFERROR(IF([1]K_Summary!$K$715 = "", "", [1]K_Summary!$K$715 ),"")</f>
        <v/>
      </c>
      <c r="L730" s="150" t="str">
        <f>IFERROR(IF([1]K_Summary!$L$715 = "", "", [1]K_Summary!$L$715 ),"")</f>
        <v/>
      </c>
      <c r="M730" s="150" t="str">
        <f>IFERROR(IF([1]K_Summary!$M$715 = "", "", [1]K_Summary!$M$715 ),"")</f>
        <v/>
      </c>
      <c r="N730" s="171" t="str">
        <f>IFERROR(IF([1]K_Summary!$N$715 = "", "", [1]K_Summary!$N$715 ),"")</f>
        <v/>
      </c>
    </row>
    <row r="731" spans="1:14" ht="15">
      <c r="C731" s="559"/>
      <c r="D731" s="706"/>
      <c r="E731" s="698" t="s">
        <v>1670</v>
      </c>
      <c r="F731" s="698"/>
      <c r="G731" s="698"/>
      <c r="H731" s="730" t="s">
        <v>2090</v>
      </c>
      <c r="I731" s="731"/>
      <c r="J731" s="148" t="str">
        <f>IFERROR(IF([1]K_Summary!$J$716 = "", "", [1]K_Summary!$J$716 ),"")</f>
        <v/>
      </c>
      <c r="K731" s="150" t="str">
        <f>IFERROR(IF([1]K_Summary!$K$716 = "", "", [1]K_Summary!$K$716 ),"")</f>
        <v/>
      </c>
      <c r="L731" s="150" t="str">
        <f>IFERROR(IF([1]K_Summary!$L$716 = "", "", [1]K_Summary!$L$716 ),"")</f>
        <v/>
      </c>
      <c r="M731" s="150" t="str">
        <f>IFERROR(IF([1]K_Summary!$M$716 = "", "", [1]K_Summary!$M$716 ),"")</f>
        <v/>
      </c>
      <c r="N731" s="171" t="str">
        <f>IFERROR(IF([1]K_Summary!$N$716 = "", "", [1]K_Summary!$N$716 ),"")</f>
        <v/>
      </c>
    </row>
    <row r="732" spans="1:14" ht="15">
      <c r="C732" s="559"/>
      <c r="D732" s="706"/>
      <c r="E732" s="740" t="s">
        <v>2133</v>
      </c>
      <c r="F732" s="698"/>
      <c r="G732" s="698"/>
      <c r="H732" s="741" t="s">
        <v>1021</v>
      </c>
      <c r="I732" s="742"/>
      <c r="J732" s="183" t="str">
        <f>IFERROR(IF([1]K_Summary!$J$717 = "", "", [1]K_Summary!$J$717 ),"")</f>
        <v/>
      </c>
      <c r="K732" s="184" t="str">
        <f>IFERROR(IF([1]K_Summary!$K$717 = "", "", [1]K_Summary!$K$717 ),"")</f>
        <v/>
      </c>
      <c r="L732" s="184" t="str">
        <f>IFERROR(IF([1]K_Summary!$L$717 = "", "", [1]K_Summary!$L$717 ),"")</f>
        <v/>
      </c>
      <c r="M732" s="184" t="str">
        <f>IFERROR(IF([1]K_Summary!$M$717 = "", "", [1]K_Summary!$M$717 ),"")</f>
        <v/>
      </c>
      <c r="N732" s="185" t="str">
        <f>IFERROR(IF([1]K_Summary!$N$717 = "", "", [1]K_Summary!$N$717 ),"")</f>
        <v/>
      </c>
    </row>
    <row r="733" spans="1:14" ht="15">
      <c r="C733" s="559"/>
      <c r="D733" s="706"/>
      <c r="E733" s="485"/>
      <c r="F733" s="485"/>
      <c r="G733" s="485"/>
      <c r="H733" s="485"/>
      <c r="I733" s="743"/>
      <c r="J733" s="485"/>
      <c r="K733" s="485"/>
      <c r="L733" s="485"/>
      <c r="M733" s="485"/>
      <c r="N733" s="744"/>
    </row>
    <row r="734" spans="1:14" ht="15">
      <c r="C734" s="559"/>
      <c r="D734" s="706"/>
      <c r="E734" s="707" t="s">
        <v>1756</v>
      </c>
      <c r="F734" s="637"/>
      <c r="G734" s="637"/>
      <c r="H734" s="663" t="s">
        <v>884</v>
      </c>
      <c r="I734" s="708"/>
      <c r="J734" s="709">
        <v>2021</v>
      </c>
      <c r="K734" s="671">
        <v>2022</v>
      </c>
      <c r="L734" s="671">
        <v>2023</v>
      </c>
      <c r="M734" s="671">
        <v>2024</v>
      </c>
      <c r="N734" s="710">
        <v>2025</v>
      </c>
    </row>
    <row r="735" spans="1:14" ht="15" hidden="1">
      <c r="A735" s="719" t="s">
        <v>2289</v>
      </c>
      <c r="C735" s="559"/>
      <c r="D735" s="706"/>
      <c r="E735" s="698" t="s">
        <v>1714</v>
      </c>
      <c r="F735" s="698"/>
      <c r="G735" s="698"/>
      <c r="H735" s="63" t="str">
        <f>IFERROR(IF([1]K_Summary!$H$720 = "", "", [1]K_Summary!$H$720 ),"")</f>
        <v>tonnes</v>
      </c>
      <c r="I735" s="698"/>
      <c r="J735" s="157" t="str">
        <f>IFERROR(IF([1]K_Summary!$J$720 = "", "", [1]K_Summary!$J$720 ),"")</f>
        <v/>
      </c>
      <c r="K735" s="147" t="str">
        <f>IFERROR(IF([1]K_Summary!$K$720 = "", "", [1]K_Summary!$K$720 ),"")</f>
        <v/>
      </c>
      <c r="L735" s="147" t="str">
        <f>IFERROR(IF([1]K_Summary!$L$720 = "", "", [1]K_Summary!$L$720 ),"")</f>
        <v/>
      </c>
      <c r="M735" s="147" t="str">
        <f>IFERROR(IF([1]K_Summary!$M$720 = "", "", [1]K_Summary!$M$720 ),"")</f>
        <v/>
      </c>
      <c r="N735" s="158" t="str">
        <f>IFERROR(IF([1]K_Summary!$N$720 = "", "", [1]K_Summary!$N$720 ),"")</f>
        <v/>
      </c>
    </row>
    <row r="736" spans="1:14" ht="15" hidden="1">
      <c r="A736" s="719" t="s">
        <v>2289</v>
      </c>
      <c r="C736" s="559"/>
      <c r="D736" s="706"/>
      <c r="E736" s="720" t="s">
        <v>303</v>
      </c>
      <c r="F736" s="720"/>
      <c r="G736" s="720"/>
      <c r="H736" s="721" t="s">
        <v>2090</v>
      </c>
      <c r="I736" s="722"/>
      <c r="J736" s="159" t="str">
        <f>IFERROR(IF([1]K_Summary!$J$721 = "", "", [1]K_Summary!$J$721 ),"")</f>
        <v/>
      </c>
      <c r="K736" s="160" t="str">
        <f>IFERROR(IF([1]K_Summary!$K$721 = "", "", [1]K_Summary!$K$721 ),"")</f>
        <v/>
      </c>
      <c r="L736" s="160" t="str">
        <f>IFERROR(IF([1]K_Summary!$L$721 = "", "", [1]K_Summary!$L$721 ),"")</f>
        <v/>
      </c>
      <c r="M736" s="160" t="str">
        <f>IFERROR(IF([1]K_Summary!$M$721 = "", "", [1]K_Summary!$M$721 ),"")</f>
        <v/>
      </c>
      <c r="N736" s="161" t="str">
        <f>IFERROR(IF([1]K_Summary!$N$721 = "", "", [1]K_Summary!$N$721 ),"")</f>
        <v/>
      </c>
    </row>
    <row r="737" spans="1:14" ht="15" hidden="1">
      <c r="A737" s="719" t="s">
        <v>2289</v>
      </c>
      <c r="C737" s="559"/>
      <c r="D737" s="706"/>
      <c r="E737" s="723" t="s">
        <v>1422</v>
      </c>
      <c r="F737" s="723"/>
      <c r="G737" s="723"/>
      <c r="H737" s="724" t="s">
        <v>2090</v>
      </c>
      <c r="I737" s="725"/>
      <c r="J737" s="162" t="str">
        <f>IFERROR(IF([1]K_Summary!$J$722 = "", "", [1]K_Summary!$J$722 ),"")</f>
        <v/>
      </c>
      <c r="K737" s="163" t="str">
        <f>IFERROR(IF([1]K_Summary!$K$722 = "", "", [1]K_Summary!$K$722 ),"")</f>
        <v/>
      </c>
      <c r="L737" s="163" t="str">
        <f>IFERROR(IF([1]K_Summary!$L$722 = "", "", [1]K_Summary!$L$722 ),"")</f>
        <v/>
      </c>
      <c r="M737" s="163" t="str">
        <f>IFERROR(IF([1]K_Summary!$M$722 = "", "", [1]K_Summary!$M$722 ),"")</f>
        <v/>
      </c>
      <c r="N737" s="164" t="str">
        <f>IFERROR(IF([1]K_Summary!$N$722 = "", "", [1]K_Summary!$N$722 ),"")</f>
        <v/>
      </c>
    </row>
    <row r="738" spans="1:14" ht="15" hidden="1">
      <c r="A738" s="719" t="s">
        <v>2289</v>
      </c>
      <c r="C738" s="559"/>
      <c r="D738" s="706"/>
      <c r="E738" s="723" t="s">
        <v>1390</v>
      </c>
      <c r="F738" s="723"/>
      <c r="G738" s="723"/>
      <c r="H738" s="724" t="s">
        <v>2090</v>
      </c>
      <c r="I738" s="725"/>
      <c r="J738" s="162" t="str">
        <f>IFERROR(IF([1]K_Summary!$J$723 = "", "", [1]K_Summary!$J$723 ),"")</f>
        <v/>
      </c>
      <c r="K738" s="163" t="str">
        <f>IFERROR(IF([1]K_Summary!$K$723 = "", "", [1]K_Summary!$K$723 ),"")</f>
        <v/>
      </c>
      <c r="L738" s="163" t="str">
        <f>IFERROR(IF([1]K_Summary!$L$723 = "", "", [1]K_Summary!$L$723 ),"")</f>
        <v/>
      </c>
      <c r="M738" s="163" t="str">
        <f>IFERROR(IF([1]K_Summary!$M$723 = "", "", [1]K_Summary!$M$723 ),"")</f>
        <v/>
      </c>
      <c r="N738" s="164" t="str">
        <f>IFERROR(IF([1]K_Summary!$N$723 = "", "", [1]K_Summary!$N$723 ),"")</f>
        <v/>
      </c>
    </row>
    <row r="739" spans="1:14" ht="15" hidden="1">
      <c r="A739" s="719" t="s">
        <v>2289</v>
      </c>
      <c r="C739" s="559"/>
      <c r="D739" s="706"/>
      <c r="E739" s="745" t="s">
        <v>1389</v>
      </c>
      <c r="F739" s="745"/>
      <c r="G739" s="745"/>
      <c r="H739" s="754" t="s">
        <v>1021</v>
      </c>
      <c r="I739" s="747"/>
      <c r="J739" s="204" t="str">
        <f>IFERROR(IF([1]K_Summary!$J$724 = "", "", [1]K_Summary!$J$724 ),"")</f>
        <v/>
      </c>
      <c r="K739" s="205" t="str">
        <f>IFERROR(IF([1]K_Summary!$K$724 = "", "", [1]K_Summary!$K$724 ),"")</f>
        <v/>
      </c>
      <c r="L739" s="205" t="str">
        <f>IFERROR(IF([1]K_Summary!$L$724 = "", "", [1]K_Summary!$L$724 ),"")</f>
        <v/>
      </c>
      <c r="M739" s="205" t="str">
        <f>IFERROR(IF([1]K_Summary!$M$724 = "", "", [1]K_Summary!$M$724 ),"")</f>
        <v/>
      </c>
      <c r="N739" s="206" t="str">
        <f>IFERROR(IF([1]K_Summary!$N$724 = "", "", [1]K_Summary!$N$724 ),"")</f>
        <v/>
      </c>
    </row>
    <row r="740" spans="1:14" ht="15">
      <c r="C740" s="559"/>
      <c r="D740" s="706"/>
      <c r="E740" s="720" t="s">
        <v>1691</v>
      </c>
      <c r="F740" s="720"/>
      <c r="G740" s="720"/>
      <c r="H740" s="748" t="s">
        <v>1021</v>
      </c>
      <c r="I740" s="722"/>
      <c r="J740" s="189" t="str">
        <f>IFERROR(IF([1]K_Summary!$J$725 = "", "", [1]K_Summary!$J$725 ),"")</f>
        <v/>
      </c>
      <c r="K740" s="190" t="str">
        <f>IFERROR(IF([1]K_Summary!$K$725 = "", "", [1]K_Summary!$K$725 ),"")</f>
        <v/>
      </c>
      <c r="L740" s="190" t="str">
        <f>IFERROR(IF([1]K_Summary!$L$725 = "", "", [1]K_Summary!$L$725 ),"")</f>
        <v/>
      </c>
      <c r="M740" s="190" t="str">
        <f>IFERROR(IF([1]K_Summary!$M$725 = "", "", [1]K_Summary!$M$725 ),"")</f>
        <v/>
      </c>
      <c r="N740" s="191" t="str">
        <f>IFERROR(IF([1]K_Summary!$N$725 = "", "", [1]K_Summary!$N$725 ),"")</f>
        <v/>
      </c>
    </row>
    <row r="741" spans="1:14" ht="15">
      <c r="C741" s="559"/>
      <c r="D741" s="706"/>
      <c r="E741" s="723" t="s">
        <v>1648</v>
      </c>
      <c r="F741" s="723"/>
      <c r="G741" s="723"/>
      <c r="H741" s="751" t="s">
        <v>1021</v>
      </c>
      <c r="I741" s="735"/>
      <c r="J741" s="174" t="str">
        <f>IFERROR(IF([1]K_Summary!$J$726 = "", "", [1]K_Summary!$J$726 ),"")</f>
        <v/>
      </c>
      <c r="K741" s="175" t="str">
        <f>IFERROR(IF([1]K_Summary!$K$726 = "", "", [1]K_Summary!$K$726 ),"")</f>
        <v/>
      </c>
      <c r="L741" s="175" t="str">
        <f>IFERROR(IF([1]K_Summary!$L$726 = "", "", [1]K_Summary!$L$726 ),"")</f>
        <v/>
      </c>
      <c r="M741" s="175" t="str">
        <f>IFERROR(IF([1]K_Summary!$M$726 = "", "", [1]K_Summary!$M$726 ),"")</f>
        <v/>
      </c>
      <c r="N741" s="176" t="str">
        <f>IFERROR(IF([1]K_Summary!$N$726 = "", "", [1]K_Summary!$N$726 ),"")</f>
        <v/>
      </c>
    </row>
    <row r="742" spans="1:14" ht="15">
      <c r="C742" s="559"/>
      <c r="D742" s="706"/>
      <c r="E742" s="736" t="s">
        <v>1855</v>
      </c>
      <c r="F742" s="736"/>
      <c r="G742" s="736"/>
      <c r="H742" s="738" t="s">
        <v>1021</v>
      </c>
      <c r="I742" s="738"/>
      <c r="J742" s="177" t="str">
        <f>IFERROR(IF([1]K_Summary!$J$727 = "", "", [1]K_Summary!$J$727 ),"")</f>
        <v/>
      </c>
      <c r="K742" s="178" t="str">
        <f>IFERROR(IF([1]K_Summary!$K$727 = "", "", [1]K_Summary!$K$727 ),"")</f>
        <v/>
      </c>
      <c r="L742" s="178" t="str">
        <f>IFERROR(IF([1]K_Summary!$L$727 = "", "", [1]K_Summary!$L$727 ),"")</f>
        <v/>
      </c>
      <c r="M742" s="178" t="str">
        <f>IFERROR(IF([1]K_Summary!$M$727 = "", "", [1]K_Summary!$M$727 ),"")</f>
        <v/>
      </c>
      <c r="N742" s="179" t="str">
        <f>IFERROR(IF([1]K_Summary!$N$727 = "", "", [1]K_Summary!$N$727 ),"")</f>
        <v/>
      </c>
    </row>
    <row r="743" spans="1:14" ht="15">
      <c r="C743" s="559"/>
      <c r="D743" s="706"/>
      <c r="E743" s="727" t="s">
        <v>1689</v>
      </c>
      <c r="F743" s="727"/>
      <c r="G743" s="727"/>
      <c r="H743" s="728" t="s">
        <v>1021</v>
      </c>
      <c r="I743" s="729"/>
      <c r="J743" s="192" t="str">
        <f>IFERROR(IF([1]K_Summary!$J$728 = "", "", [1]K_Summary!$J$728 ),"")</f>
        <v/>
      </c>
      <c r="K743" s="193" t="str">
        <f>IFERROR(IF([1]K_Summary!$K$728 = "", "", [1]K_Summary!$K$728 ),"")</f>
        <v/>
      </c>
      <c r="L743" s="193" t="str">
        <f>IFERROR(IF([1]K_Summary!$L$728 = "", "", [1]K_Summary!$L$728 ),"")</f>
        <v/>
      </c>
      <c r="M743" s="193" t="str">
        <f>IFERROR(IF([1]K_Summary!$M$728 = "", "", [1]K_Summary!$M$728 ),"")</f>
        <v/>
      </c>
      <c r="N743" s="194" t="str">
        <f>IFERROR(IF([1]K_Summary!$N$728 = "", "", [1]K_Summary!$N$728 ),"")</f>
        <v/>
      </c>
    </row>
    <row r="744" spans="1:14" ht="15">
      <c r="C744" s="559"/>
      <c r="D744" s="706"/>
      <c r="E744" s="698" t="s">
        <v>1671</v>
      </c>
      <c r="F744" s="698"/>
      <c r="G744" s="698"/>
      <c r="H744" s="730" t="s">
        <v>2090</v>
      </c>
      <c r="I744" s="731"/>
      <c r="J744" s="148" t="str">
        <f>IFERROR(IF([1]K_Summary!$J$729 = "", "", [1]K_Summary!$J$729 ),"")</f>
        <v/>
      </c>
      <c r="K744" s="150" t="str">
        <f>IFERROR(IF([1]K_Summary!$K$729 = "", "", [1]K_Summary!$K$729 ),"")</f>
        <v/>
      </c>
      <c r="L744" s="150" t="str">
        <f>IFERROR(IF([1]K_Summary!$L$729 = "", "", [1]K_Summary!$L$729 ),"")</f>
        <v/>
      </c>
      <c r="M744" s="150" t="str">
        <f>IFERROR(IF([1]K_Summary!$M$729 = "", "", [1]K_Summary!$M$729 ),"")</f>
        <v/>
      </c>
      <c r="N744" s="171" t="str">
        <f>IFERROR(IF([1]K_Summary!$N$729 = "", "", [1]K_Summary!$N$729 ),"")</f>
        <v/>
      </c>
    </row>
    <row r="745" spans="1:14" ht="15">
      <c r="C745" s="559"/>
      <c r="D745" s="706"/>
      <c r="E745" s="698" t="s">
        <v>1670</v>
      </c>
      <c r="F745" s="698"/>
      <c r="G745" s="698"/>
      <c r="H745" s="730" t="s">
        <v>2090</v>
      </c>
      <c r="I745" s="731"/>
      <c r="J745" s="148" t="str">
        <f>IFERROR(IF([1]K_Summary!$J$730 = "", "", [1]K_Summary!$J$730 ),"")</f>
        <v/>
      </c>
      <c r="K745" s="150" t="str">
        <f>IFERROR(IF([1]K_Summary!$K$730 = "", "", [1]K_Summary!$K$730 ),"")</f>
        <v/>
      </c>
      <c r="L745" s="150" t="str">
        <f>IFERROR(IF([1]K_Summary!$L$730 = "", "", [1]K_Summary!$L$730 ),"")</f>
        <v/>
      </c>
      <c r="M745" s="150" t="str">
        <f>IFERROR(IF([1]K_Summary!$M$730 = "", "", [1]K_Summary!$M$730 ),"")</f>
        <v/>
      </c>
      <c r="N745" s="171" t="str">
        <f>IFERROR(IF([1]K_Summary!$N$730 = "", "", [1]K_Summary!$N$730 ),"")</f>
        <v/>
      </c>
    </row>
    <row r="746" spans="1:14" ht="15">
      <c r="C746" s="559"/>
      <c r="D746" s="706"/>
      <c r="E746" s="740" t="s">
        <v>2134</v>
      </c>
      <c r="F746" s="698"/>
      <c r="G746" s="698"/>
      <c r="H746" s="741" t="s">
        <v>1021</v>
      </c>
      <c r="I746" s="742"/>
      <c r="J746" s="183" t="str">
        <f>IFERROR(IF([1]K_Summary!$J$731 = "", "", [1]K_Summary!$J$731 ),"")</f>
        <v/>
      </c>
      <c r="K746" s="184" t="str">
        <f>IFERROR(IF([1]K_Summary!$K$731 = "", "", [1]K_Summary!$K$731 ),"")</f>
        <v/>
      </c>
      <c r="L746" s="184" t="str">
        <f>IFERROR(IF([1]K_Summary!$L$731 = "", "", [1]K_Summary!$L$731 ),"")</f>
        <v/>
      </c>
      <c r="M746" s="184" t="str">
        <f>IFERROR(IF([1]K_Summary!$M$731 = "", "", [1]K_Summary!$M$731 ),"")</f>
        <v/>
      </c>
      <c r="N746" s="185" t="str">
        <f>IFERROR(IF([1]K_Summary!$N$731 = "", "", [1]K_Summary!$N$731 ),"")</f>
        <v/>
      </c>
    </row>
    <row r="747" spans="1:14" ht="15">
      <c r="C747" s="559"/>
      <c r="D747" s="706"/>
      <c r="E747" s="485"/>
      <c r="F747" s="485"/>
      <c r="G747" s="485"/>
      <c r="H747" s="485"/>
      <c r="I747" s="743"/>
      <c r="J747" s="485"/>
      <c r="K747" s="485"/>
      <c r="L747" s="485"/>
      <c r="M747" s="485"/>
      <c r="N747" s="744"/>
    </row>
    <row r="748" spans="1:14" ht="15">
      <c r="C748" s="559"/>
      <c r="D748" s="706"/>
      <c r="E748" s="707" t="s">
        <v>1757</v>
      </c>
      <c r="F748" s="637"/>
      <c r="G748" s="637"/>
      <c r="H748" s="663" t="s">
        <v>884</v>
      </c>
      <c r="I748" s="708"/>
      <c r="J748" s="709">
        <v>2021</v>
      </c>
      <c r="K748" s="671">
        <v>2022</v>
      </c>
      <c r="L748" s="671">
        <v>2023</v>
      </c>
      <c r="M748" s="671">
        <v>2024</v>
      </c>
      <c r="N748" s="710">
        <v>2025</v>
      </c>
    </row>
    <row r="749" spans="1:14" ht="15" hidden="1">
      <c r="A749" s="719" t="s">
        <v>2289</v>
      </c>
      <c r="C749" s="559"/>
      <c r="D749" s="706"/>
      <c r="E749" s="698" t="s">
        <v>1714</v>
      </c>
      <c r="F749" s="698"/>
      <c r="G749" s="698"/>
      <c r="H749" s="63" t="str">
        <f>IFERROR(IF([1]K_Summary!$H$734 = "", "", [1]K_Summary!$H$734 ),"")</f>
        <v>tonnes</v>
      </c>
      <c r="I749" s="698"/>
      <c r="J749" s="157" t="str">
        <f>IFERROR(IF([1]K_Summary!$J$734 = "", "", [1]K_Summary!$J$734 ),"")</f>
        <v/>
      </c>
      <c r="K749" s="147" t="str">
        <f>IFERROR(IF([1]K_Summary!$K$734 = "", "", [1]K_Summary!$K$734 ),"")</f>
        <v/>
      </c>
      <c r="L749" s="147" t="str">
        <f>IFERROR(IF([1]K_Summary!$L$734 = "", "", [1]K_Summary!$L$734 ),"")</f>
        <v/>
      </c>
      <c r="M749" s="147" t="str">
        <f>IFERROR(IF([1]K_Summary!$M$734 = "", "", [1]K_Summary!$M$734 ),"")</f>
        <v/>
      </c>
      <c r="N749" s="158" t="str">
        <f>IFERROR(IF([1]K_Summary!$N$734 = "", "", [1]K_Summary!$N$734 ),"")</f>
        <v/>
      </c>
    </row>
    <row r="750" spans="1:14" ht="15" hidden="1">
      <c r="A750" s="719" t="s">
        <v>2289</v>
      </c>
      <c r="C750" s="559"/>
      <c r="D750" s="706"/>
      <c r="E750" s="720" t="s">
        <v>303</v>
      </c>
      <c r="F750" s="720"/>
      <c r="G750" s="720"/>
      <c r="H750" s="721" t="s">
        <v>2090</v>
      </c>
      <c r="I750" s="722"/>
      <c r="J750" s="159" t="str">
        <f>IFERROR(IF([1]K_Summary!$J$735 = "", "", [1]K_Summary!$J$735 ),"")</f>
        <v/>
      </c>
      <c r="K750" s="160" t="str">
        <f>IFERROR(IF([1]K_Summary!$K$735 = "", "", [1]K_Summary!$K$735 ),"")</f>
        <v/>
      </c>
      <c r="L750" s="160" t="str">
        <f>IFERROR(IF([1]K_Summary!$L$735 = "", "", [1]K_Summary!$L$735 ),"")</f>
        <v/>
      </c>
      <c r="M750" s="160" t="str">
        <f>IFERROR(IF([1]K_Summary!$M$735 = "", "", [1]K_Summary!$M$735 ),"")</f>
        <v/>
      </c>
      <c r="N750" s="161" t="str">
        <f>IFERROR(IF([1]K_Summary!$N$735 = "", "", [1]K_Summary!$N$735 ),"")</f>
        <v/>
      </c>
    </row>
    <row r="751" spans="1:14" ht="15">
      <c r="C751" s="559"/>
      <c r="D751" s="706"/>
      <c r="E751" s="720" t="s">
        <v>1691</v>
      </c>
      <c r="F751" s="720"/>
      <c r="G751" s="720"/>
      <c r="H751" s="748" t="s">
        <v>471</v>
      </c>
      <c r="I751" s="722"/>
      <c r="J751" s="172" t="str">
        <f>IFERROR(IF([1]K_Summary!$J$736 = "", "", [1]K_Summary!$J$736 ),"")</f>
        <v/>
      </c>
      <c r="K751" s="54" t="str">
        <f>IFERROR(IF([1]K_Summary!$K$736 = "", "", [1]K_Summary!$K$736 ),"")</f>
        <v/>
      </c>
      <c r="L751" s="54" t="str">
        <f>IFERROR(IF([1]K_Summary!$L$736 = "", "", [1]K_Summary!$L$736 ),"")</f>
        <v/>
      </c>
      <c r="M751" s="54" t="str">
        <f>IFERROR(IF([1]K_Summary!$M$736 = "", "", [1]K_Summary!$M$736 ),"")</f>
        <v/>
      </c>
      <c r="N751" s="173" t="str">
        <f>IFERROR(IF([1]K_Summary!$N$736 = "", "", [1]K_Summary!$N$736 ),"")</f>
        <v/>
      </c>
    </row>
    <row r="752" spans="1:14" ht="15">
      <c r="C752" s="559"/>
      <c r="D752" s="706"/>
      <c r="E752" s="723" t="s">
        <v>1648</v>
      </c>
      <c r="F752" s="723"/>
      <c r="G752" s="723"/>
      <c r="H752" s="734" t="s">
        <v>1021</v>
      </c>
      <c r="I752" s="735"/>
      <c r="J752" s="174" t="str">
        <f>IFERROR(IF([1]K_Summary!$J$737 = "", "", [1]K_Summary!$J$737 ),"")</f>
        <v/>
      </c>
      <c r="K752" s="175" t="str">
        <f>IFERROR(IF([1]K_Summary!$K$737 = "", "", [1]K_Summary!$K$737 ),"")</f>
        <v/>
      </c>
      <c r="L752" s="175" t="str">
        <f>IFERROR(IF([1]K_Summary!$L$737 = "", "", [1]K_Summary!$L$737 ),"")</f>
        <v/>
      </c>
      <c r="M752" s="175" t="str">
        <f>IFERROR(IF([1]K_Summary!$M$737 = "", "", [1]K_Summary!$M$737 ),"")</f>
        <v/>
      </c>
      <c r="N752" s="176" t="str">
        <f>IFERROR(IF([1]K_Summary!$N$737 = "", "", [1]K_Summary!$N$737 ),"")</f>
        <v/>
      </c>
    </row>
    <row r="753" spans="1:14" ht="15">
      <c r="C753" s="559"/>
      <c r="D753" s="706"/>
      <c r="E753" s="736" t="s">
        <v>1856</v>
      </c>
      <c r="F753" s="736"/>
      <c r="G753" s="736"/>
      <c r="H753" s="737" t="s">
        <v>1021</v>
      </c>
      <c r="I753" s="738"/>
      <c r="J753" s="177" t="str">
        <f>IFERROR(IF([1]K_Summary!$J$738 = "", "", [1]K_Summary!$J$738 ),"")</f>
        <v/>
      </c>
      <c r="K753" s="178" t="str">
        <f>IFERROR(IF([1]K_Summary!$K$738 = "", "", [1]K_Summary!$K$738 ),"")</f>
        <v/>
      </c>
      <c r="L753" s="178" t="str">
        <f>IFERROR(IF([1]K_Summary!$L$738 = "", "", [1]K_Summary!$L$738 ),"")</f>
        <v/>
      </c>
      <c r="M753" s="178" t="str">
        <f>IFERROR(IF([1]K_Summary!$M$738 = "", "", [1]K_Summary!$M$738 ),"")</f>
        <v/>
      </c>
      <c r="N753" s="179" t="str">
        <f>IFERROR(IF([1]K_Summary!$N$738 = "", "", [1]K_Summary!$N$738 ),"")</f>
        <v/>
      </c>
    </row>
    <row r="754" spans="1:14" ht="15">
      <c r="C754" s="559"/>
      <c r="D754" s="706"/>
      <c r="E754" s="727" t="s">
        <v>1689</v>
      </c>
      <c r="F754" s="727"/>
      <c r="G754" s="727"/>
      <c r="H754" s="728" t="s">
        <v>471</v>
      </c>
      <c r="I754" s="729"/>
      <c r="J754" s="180" t="str">
        <f>IFERROR(IF([1]K_Summary!$J$739 = "", "", [1]K_Summary!$J$739 ),"")</f>
        <v/>
      </c>
      <c r="K754" s="181" t="str">
        <f>IFERROR(IF([1]K_Summary!$K$739 = "", "", [1]K_Summary!$K$739 ),"")</f>
        <v/>
      </c>
      <c r="L754" s="181" t="str">
        <f>IFERROR(IF([1]K_Summary!$L$739 = "", "", [1]K_Summary!$L$739 ),"")</f>
        <v/>
      </c>
      <c r="M754" s="181" t="str">
        <f>IFERROR(IF([1]K_Summary!$M$739 = "", "", [1]K_Summary!$M$739 ),"")</f>
        <v/>
      </c>
      <c r="N754" s="182" t="str">
        <f>IFERROR(IF([1]K_Summary!$N$739 = "", "", [1]K_Summary!$N$739 ),"")</f>
        <v/>
      </c>
    </row>
    <row r="755" spans="1:14" ht="15" hidden="1">
      <c r="A755" s="719" t="s">
        <v>2289</v>
      </c>
      <c r="C755" s="559"/>
      <c r="D755" s="706"/>
      <c r="E755" s="723" t="s">
        <v>1390</v>
      </c>
      <c r="F755" s="723"/>
      <c r="G755" s="723"/>
      <c r="H755" s="724" t="s">
        <v>2090</v>
      </c>
      <c r="I755" s="725"/>
      <c r="J755" s="162" t="str">
        <f>IFERROR(IF([1]K_Summary!$J$740 = "", "", [1]K_Summary!$J$740 ),"")</f>
        <v/>
      </c>
      <c r="K755" s="163" t="str">
        <f>IFERROR(IF([1]K_Summary!$K$740 = "", "", [1]K_Summary!$K$740 ),"")</f>
        <v/>
      </c>
      <c r="L755" s="163" t="str">
        <f>IFERROR(IF([1]K_Summary!$L$740 = "", "", [1]K_Summary!$L$740 ),"")</f>
        <v/>
      </c>
      <c r="M755" s="163" t="str">
        <f>IFERROR(IF([1]K_Summary!$M$740 = "", "", [1]K_Summary!$M$740 ),"")</f>
        <v/>
      </c>
      <c r="N755" s="164" t="str">
        <f>IFERROR(IF([1]K_Summary!$N$740 = "", "", [1]K_Summary!$N$740 ),"")</f>
        <v/>
      </c>
    </row>
    <row r="756" spans="1:14" ht="15" hidden="1">
      <c r="A756" s="719" t="s">
        <v>2289</v>
      </c>
      <c r="C756" s="559"/>
      <c r="D756" s="706"/>
      <c r="E756" s="723" t="s">
        <v>1389</v>
      </c>
      <c r="F756" s="723"/>
      <c r="G756" s="723"/>
      <c r="H756" s="726" t="s">
        <v>1021</v>
      </c>
      <c r="I756" s="725"/>
      <c r="J756" s="165" t="str">
        <f>IFERROR(IF([1]K_Summary!$J$741 = "", "", [1]K_Summary!$J$741 ),"")</f>
        <v/>
      </c>
      <c r="K756" s="166" t="str">
        <f>IFERROR(IF([1]K_Summary!$K$741 = "", "", [1]K_Summary!$K$741 ),"")</f>
        <v/>
      </c>
      <c r="L756" s="166" t="str">
        <f>IFERROR(IF([1]K_Summary!$L$741 = "", "", [1]K_Summary!$L$741 ),"")</f>
        <v/>
      </c>
      <c r="M756" s="166" t="str">
        <f>IFERROR(IF([1]K_Summary!$M$741 = "", "", [1]K_Summary!$M$741 ),"")</f>
        <v/>
      </c>
      <c r="N756" s="167" t="str">
        <f>IFERROR(IF([1]K_Summary!$N$741 = "", "", [1]K_Summary!$N$741 ),"")</f>
        <v/>
      </c>
    </row>
    <row r="757" spans="1:14" ht="15" hidden="1">
      <c r="A757" s="719" t="s">
        <v>2289</v>
      </c>
      <c r="C757" s="559"/>
      <c r="D757" s="706"/>
      <c r="E757" s="727" t="s">
        <v>1391</v>
      </c>
      <c r="F757" s="727"/>
      <c r="G757" s="727"/>
      <c r="H757" s="728" t="s">
        <v>1021</v>
      </c>
      <c r="I757" s="729"/>
      <c r="J757" s="168" t="str">
        <f>IFERROR(IF([1]K_Summary!$J$742 = "", "", [1]K_Summary!$J$742 ),"")</f>
        <v/>
      </c>
      <c r="K757" s="169" t="str">
        <f>IFERROR(IF([1]K_Summary!$K$742 = "", "", [1]K_Summary!$K$742 ),"")</f>
        <v/>
      </c>
      <c r="L757" s="169" t="str">
        <f>IFERROR(IF([1]K_Summary!$L$742 = "", "", [1]K_Summary!$L$742 ),"")</f>
        <v/>
      </c>
      <c r="M757" s="169" t="str">
        <f>IFERROR(IF([1]K_Summary!$M$742 = "", "", [1]K_Summary!$M$742 ),"")</f>
        <v/>
      </c>
      <c r="N757" s="170" t="str">
        <f>IFERROR(IF([1]K_Summary!$N$742 = "", "", [1]K_Summary!$N$742 ),"")</f>
        <v/>
      </c>
    </row>
    <row r="758" spans="1:14" ht="15">
      <c r="C758" s="559"/>
      <c r="D758" s="706"/>
      <c r="E758" s="698" t="s">
        <v>1671</v>
      </c>
      <c r="F758" s="698"/>
      <c r="G758" s="698"/>
      <c r="H758" s="730" t="s">
        <v>2090</v>
      </c>
      <c r="I758" s="731"/>
      <c r="J758" s="148" t="str">
        <f>IFERROR(IF([1]K_Summary!$J$743 = "", "", [1]K_Summary!$J$743 ),"")</f>
        <v/>
      </c>
      <c r="K758" s="150" t="str">
        <f>IFERROR(IF([1]K_Summary!$K$743 = "", "", [1]K_Summary!$K$743 ),"")</f>
        <v/>
      </c>
      <c r="L758" s="150" t="str">
        <f>IFERROR(IF([1]K_Summary!$L$743 = "", "", [1]K_Summary!$L$743 ),"")</f>
        <v/>
      </c>
      <c r="M758" s="150" t="str">
        <f>IFERROR(IF([1]K_Summary!$M$743 = "", "", [1]K_Summary!$M$743 ),"")</f>
        <v/>
      </c>
      <c r="N758" s="171" t="str">
        <f>IFERROR(IF([1]K_Summary!$N$743 = "", "", [1]K_Summary!$N$743 ),"")</f>
        <v/>
      </c>
    </row>
    <row r="759" spans="1:14" ht="15">
      <c r="C759" s="559"/>
      <c r="D759" s="706"/>
      <c r="E759" s="698" t="s">
        <v>1670</v>
      </c>
      <c r="F759" s="698"/>
      <c r="G759" s="698"/>
      <c r="H759" s="730" t="s">
        <v>2090</v>
      </c>
      <c r="I759" s="731"/>
      <c r="J759" s="148" t="str">
        <f>IFERROR(IF([1]K_Summary!$J$744 = "", "", [1]K_Summary!$J$744 ),"")</f>
        <v/>
      </c>
      <c r="K759" s="150" t="str">
        <f>IFERROR(IF([1]K_Summary!$K$744 = "", "", [1]K_Summary!$K$744 ),"")</f>
        <v/>
      </c>
      <c r="L759" s="150" t="str">
        <f>IFERROR(IF([1]K_Summary!$L$744 = "", "", [1]K_Summary!$L$744 ),"")</f>
        <v/>
      </c>
      <c r="M759" s="150" t="str">
        <f>IFERROR(IF([1]K_Summary!$M$744 = "", "", [1]K_Summary!$M$744 ),"")</f>
        <v/>
      </c>
      <c r="N759" s="171" t="str">
        <f>IFERROR(IF([1]K_Summary!$N$744 = "", "", [1]K_Summary!$N$744 ),"")</f>
        <v/>
      </c>
    </row>
    <row r="760" spans="1:14" ht="15">
      <c r="C760" s="559"/>
      <c r="D760" s="706"/>
      <c r="E760" s="740" t="s">
        <v>2135</v>
      </c>
      <c r="F760" s="698"/>
      <c r="G760" s="698"/>
      <c r="H760" s="741" t="s">
        <v>1021</v>
      </c>
      <c r="I760" s="742"/>
      <c r="J760" s="183" t="str">
        <f>IFERROR(IF([1]K_Summary!$J$745 = "", "", [1]K_Summary!$J$745 ),"")</f>
        <v/>
      </c>
      <c r="K760" s="184" t="str">
        <f>IFERROR(IF([1]K_Summary!$K$745 = "", "", [1]K_Summary!$K$745 ),"")</f>
        <v/>
      </c>
      <c r="L760" s="184" t="str">
        <f>IFERROR(IF([1]K_Summary!$L$745 = "", "", [1]K_Summary!$L$745 ),"")</f>
        <v/>
      </c>
      <c r="M760" s="184" t="str">
        <f>IFERROR(IF([1]K_Summary!$M$745 = "", "", [1]K_Summary!$M$745 ),"")</f>
        <v/>
      </c>
      <c r="N760" s="185" t="str">
        <f>IFERROR(IF([1]K_Summary!$N$745 = "", "", [1]K_Summary!$N$745 ),"")</f>
        <v/>
      </c>
    </row>
    <row r="761" spans="1:14" ht="15.75" thickBot="1">
      <c r="C761" s="559"/>
      <c r="D761" s="755"/>
      <c r="E761" s="756"/>
      <c r="F761" s="756"/>
      <c r="G761" s="756"/>
      <c r="H761" s="756"/>
      <c r="I761" s="757"/>
      <c r="J761" s="756"/>
      <c r="K761" s="756"/>
      <c r="L761" s="756"/>
      <c r="M761" s="756"/>
      <c r="N761" s="758"/>
    </row>
    <row r="762" spans="1:14" ht="15.75" thickBot="1">
      <c r="C762" s="559"/>
      <c r="D762" s="559"/>
      <c r="E762" s="485"/>
      <c r="F762" s="485"/>
      <c r="G762" s="485"/>
      <c r="H762" s="485"/>
      <c r="I762" s="743"/>
      <c r="J762" s="485"/>
      <c r="K762" s="485"/>
      <c r="L762" s="485"/>
      <c r="M762" s="485"/>
      <c r="N762" s="485"/>
    </row>
    <row r="763" spans="1:14">
      <c r="C763" s="485"/>
      <c r="D763" s="759"/>
      <c r="E763" s="760"/>
      <c r="F763" s="760"/>
      <c r="G763" s="760"/>
      <c r="H763" s="760"/>
      <c r="I763" s="761"/>
      <c r="J763" s="760"/>
      <c r="K763" s="760"/>
      <c r="L763" s="760"/>
      <c r="M763" s="760"/>
      <c r="N763" s="762"/>
    </row>
    <row r="764" spans="1:14">
      <c r="C764" s="485"/>
      <c r="D764" s="539"/>
      <c r="E764" s="496" t="s">
        <v>1786</v>
      </c>
      <c r="F764" s="485"/>
      <c r="G764" s="485"/>
      <c r="H764" s="663" t="s">
        <v>884</v>
      </c>
      <c r="I764" s="763" t="s">
        <v>1675</v>
      </c>
      <c r="J764" s="709">
        <v>2021</v>
      </c>
      <c r="K764" s="671">
        <v>2022</v>
      </c>
      <c r="L764" s="671">
        <v>2023</v>
      </c>
      <c r="M764" s="671">
        <v>2024</v>
      </c>
      <c r="N764" s="710">
        <v>2025</v>
      </c>
    </row>
    <row r="765" spans="1:14">
      <c r="C765" s="485"/>
      <c r="D765" s="539"/>
      <c r="E765" s="720" t="s">
        <v>1714</v>
      </c>
      <c r="F765" s="720"/>
      <c r="G765" s="720"/>
      <c r="H765" s="67" t="str">
        <f>IFERROR(IF([1]K_Summary!$H$750 = "", "", [1]K_Summary!$H$750 ),"")</f>
        <v>tonnes</v>
      </c>
      <c r="I765" s="207" t="str">
        <f>IFERROR(IF([1]K_Summary!$I$750 = "", "", [1]K_Summary!$I$750 ),"")</f>
        <v/>
      </c>
      <c r="J765" s="172" t="str">
        <f>IFERROR(IF([1]K_Summary!$J$750 = "", "", [1]K_Summary!$J$750 ),"")</f>
        <v/>
      </c>
      <c r="K765" s="54" t="str">
        <f>IFERROR(IF([1]K_Summary!$K$750 = "", "", [1]K_Summary!$K$750 ),"")</f>
        <v/>
      </c>
      <c r="L765" s="54" t="str">
        <f>IFERROR(IF([1]K_Summary!$L$750 = "", "", [1]K_Summary!$L$750 ),"")</f>
        <v/>
      </c>
      <c r="M765" s="54" t="str">
        <f>IFERROR(IF([1]K_Summary!$M$750 = "", "", [1]K_Summary!$M$750 ),"")</f>
        <v/>
      </c>
      <c r="N765" s="173" t="str">
        <f>IFERROR(IF([1]K_Summary!$N$750 = "", "", [1]K_Summary!$N$750 ),"")</f>
        <v/>
      </c>
    </row>
    <row r="766" spans="1:14">
      <c r="C766" s="485"/>
      <c r="D766" s="539"/>
      <c r="E766" s="645" t="s">
        <v>303</v>
      </c>
      <c r="F766" s="645"/>
      <c r="G766" s="645"/>
      <c r="H766" s="765" t="s">
        <v>2090</v>
      </c>
      <c r="I766" s="208" t="str">
        <f>IFERROR(IF([1]K_Summary!$I$751 = "", "", [1]K_Summary!$I$751 ),"")</f>
        <v/>
      </c>
      <c r="J766" s="209" t="str">
        <f>IFERROR(IF([1]K_Summary!$J$751 = "", "", [1]K_Summary!$J$751 ),"")</f>
        <v/>
      </c>
      <c r="K766" s="210" t="str">
        <f>IFERROR(IF([1]K_Summary!$K$751 = "", "", [1]K_Summary!$K$751 ),"")</f>
        <v/>
      </c>
      <c r="L766" s="210" t="str">
        <f>IFERROR(IF([1]K_Summary!$L$751 = "", "", [1]K_Summary!$L$751 ),"")</f>
        <v/>
      </c>
      <c r="M766" s="210" t="str">
        <f>IFERROR(IF([1]K_Summary!$M$751 = "", "", [1]K_Summary!$M$751 ),"")</f>
        <v/>
      </c>
      <c r="N766" s="211" t="str">
        <f>IFERROR(IF([1]K_Summary!$N$751 = "", "", [1]K_Summary!$N$751 ),"")</f>
        <v/>
      </c>
    </row>
    <row r="767" spans="1:14">
      <c r="C767" s="485"/>
      <c r="D767" s="539"/>
      <c r="E767" s="723" t="s">
        <v>1422</v>
      </c>
      <c r="F767" s="723"/>
      <c r="G767" s="723"/>
      <c r="H767" s="724" t="s">
        <v>2090</v>
      </c>
      <c r="I767" s="212" t="str">
        <f>IFERROR(IF([1]K_Summary!$I$752 = "", "", [1]K_Summary!$I$752 ),"")</f>
        <v/>
      </c>
      <c r="J767" s="213" t="str">
        <f>IFERROR(IF([1]K_Summary!$J$752 = "", "", [1]K_Summary!$J$752 ),"")</f>
        <v/>
      </c>
      <c r="K767" s="214" t="str">
        <f>IFERROR(IF([1]K_Summary!$K$752 = "", "", [1]K_Summary!$K$752 ),"")</f>
        <v/>
      </c>
      <c r="L767" s="214" t="str">
        <f>IFERROR(IF([1]K_Summary!$L$752 = "", "", [1]K_Summary!$L$752 ),"")</f>
        <v/>
      </c>
      <c r="M767" s="214" t="str">
        <f>IFERROR(IF([1]K_Summary!$M$752 = "", "", [1]K_Summary!$M$752 ),"")</f>
        <v/>
      </c>
      <c r="N767" s="215" t="str">
        <f>IFERROR(IF([1]K_Summary!$N$752 = "", "", [1]K_Summary!$N$752 ),"")</f>
        <v/>
      </c>
    </row>
    <row r="768" spans="1:14">
      <c r="C768" s="485"/>
      <c r="D768" s="539"/>
      <c r="E768" s="723" t="s">
        <v>1390</v>
      </c>
      <c r="F768" s="723"/>
      <c r="G768" s="723"/>
      <c r="H768" s="724" t="s">
        <v>2090</v>
      </c>
      <c r="I768" s="212" t="str">
        <f>IFERROR(IF([1]K_Summary!$I$753 = "", "", [1]K_Summary!$I$753 ),"")</f>
        <v/>
      </c>
      <c r="J768" s="213" t="str">
        <f>IFERROR(IF([1]K_Summary!$J$753 = "", "", [1]K_Summary!$J$753 ),"")</f>
        <v/>
      </c>
      <c r="K768" s="214" t="str">
        <f>IFERROR(IF([1]K_Summary!$K$753 = "", "", [1]K_Summary!$K$753 ),"")</f>
        <v/>
      </c>
      <c r="L768" s="214" t="str">
        <f>IFERROR(IF([1]K_Summary!$L$753 = "", "", [1]K_Summary!$L$753 ),"")</f>
        <v/>
      </c>
      <c r="M768" s="214" t="str">
        <f>IFERROR(IF([1]K_Summary!$M$753 = "", "", [1]K_Summary!$M$753 ),"")</f>
        <v/>
      </c>
      <c r="N768" s="215" t="str">
        <f>IFERROR(IF([1]K_Summary!$N$753 = "", "", [1]K_Summary!$N$753 ),"")</f>
        <v/>
      </c>
    </row>
    <row r="769" spans="3:14">
      <c r="C769" s="485"/>
      <c r="D769" s="539"/>
      <c r="E769" s="723" t="s">
        <v>1389</v>
      </c>
      <c r="F769" s="723"/>
      <c r="G769" s="723"/>
      <c r="H769" s="726" t="s">
        <v>1021</v>
      </c>
      <c r="I769" s="216" t="str">
        <f>IFERROR(IF([1]K_Summary!$I$754 = "", "", [1]K_Summary!$I$754 ),"")</f>
        <v/>
      </c>
      <c r="J769" s="217" t="str">
        <f>IFERROR(IF([1]K_Summary!$J$754 = "", "", [1]K_Summary!$J$754 ),"")</f>
        <v/>
      </c>
      <c r="K769" s="218" t="str">
        <f>IFERROR(IF([1]K_Summary!$K$754 = "", "", [1]K_Summary!$K$754 ),"")</f>
        <v/>
      </c>
      <c r="L769" s="218" t="str">
        <f>IFERROR(IF([1]K_Summary!$L$754 = "", "", [1]K_Summary!$L$754 ),"")</f>
        <v/>
      </c>
      <c r="M769" s="218" t="str">
        <f>IFERROR(IF([1]K_Summary!$M$754 = "", "", [1]K_Summary!$M$754 ),"")</f>
        <v/>
      </c>
      <c r="N769" s="219" t="str">
        <f>IFERROR(IF([1]K_Summary!$N$754 = "", "", [1]K_Summary!$N$754 ),"")</f>
        <v/>
      </c>
    </row>
    <row r="770" spans="3:14">
      <c r="C770" s="485"/>
      <c r="D770" s="539"/>
      <c r="E770" s="727" t="s">
        <v>1391</v>
      </c>
      <c r="F770" s="727"/>
      <c r="G770" s="727"/>
      <c r="H770" s="728" t="s">
        <v>1021</v>
      </c>
      <c r="I770" s="220" t="str">
        <f>IFERROR(IF([1]K_Summary!$I$755 = "", "", [1]K_Summary!$I$755 ),"")</f>
        <v/>
      </c>
      <c r="J770" s="221" t="str">
        <f>IFERROR(IF([1]K_Summary!$J$755 = "", "", [1]K_Summary!$J$755 ),"")</f>
        <v/>
      </c>
      <c r="K770" s="222" t="str">
        <f>IFERROR(IF([1]K_Summary!$K$755 = "", "", [1]K_Summary!$K$755 ),"")</f>
        <v/>
      </c>
      <c r="L770" s="222" t="str">
        <f>IFERROR(IF([1]K_Summary!$L$755 = "", "", [1]K_Summary!$L$755 ),"")</f>
        <v/>
      </c>
      <c r="M770" s="222" t="str">
        <f>IFERROR(IF([1]K_Summary!$M$755 = "", "", [1]K_Summary!$M$755 ),"")</f>
        <v/>
      </c>
      <c r="N770" s="223" t="str">
        <f>IFERROR(IF([1]K_Summary!$N$755 = "", "", [1]K_Summary!$N$755 ),"")</f>
        <v/>
      </c>
    </row>
    <row r="771" spans="3:14">
      <c r="C771" s="485"/>
      <c r="D771" s="539"/>
      <c r="E771" s="698" t="s">
        <v>222</v>
      </c>
      <c r="F771" s="698"/>
      <c r="G771" s="698"/>
      <c r="H771" s="730" t="s">
        <v>2090</v>
      </c>
      <c r="I771" s="224" t="str">
        <f>IFERROR(IF([1]K_Summary!$I$756 = "", "", [1]K_Summary!$I$756 ),"")</f>
        <v/>
      </c>
      <c r="J771" s="148" t="str">
        <f>IFERROR(IF([1]K_Summary!$J$756 = "", "", [1]K_Summary!$J$756 ),"")</f>
        <v/>
      </c>
      <c r="K771" s="150" t="str">
        <f>IFERROR(IF([1]K_Summary!$K$756 = "", "", [1]K_Summary!$K$756 ),"")</f>
        <v/>
      </c>
      <c r="L771" s="150" t="str">
        <f>IFERROR(IF([1]K_Summary!$L$756 = "", "", [1]K_Summary!$L$756 ),"")</f>
        <v/>
      </c>
      <c r="M771" s="150" t="str">
        <f>IFERROR(IF([1]K_Summary!$M$756 = "", "", [1]K_Summary!$M$756 ),"")</f>
        <v/>
      </c>
      <c r="N771" s="171" t="str">
        <f>IFERROR(IF([1]K_Summary!$N$756 = "", "", [1]K_Summary!$N$756 ),"")</f>
        <v/>
      </c>
    </row>
    <row r="772" spans="3:14" ht="13.5" thickBot="1">
      <c r="C772" s="485"/>
      <c r="D772" s="771"/>
      <c r="E772" s="756"/>
      <c r="F772" s="756"/>
      <c r="G772" s="756"/>
      <c r="H772" s="756"/>
      <c r="I772" s="756"/>
      <c r="J772" s="756"/>
      <c r="K772" s="756"/>
      <c r="L772" s="756"/>
      <c r="M772" s="756"/>
      <c r="N772" s="758"/>
    </row>
    <row r="773" spans="3:14" ht="13.5" thickBot="1">
      <c r="C773" s="485"/>
      <c r="D773" s="562"/>
      <c r="E773" s="561"/>
      <c r="F773" s="485"/>
      <c r="G773" s="485"/>
      <c r="H773" s="485"/>
      <c r="I773" s="485"/>
      <c r="J773" s="485"/>
      <c r="K773" s="485"/>
      <c r="L773" s="485"/>
      <c r="M773" s="485"/>
      <c r="N773" s="485"/>
    </row>
    <row r="774" spans="3:14">
      <c r="C774" s="485"/>
      <c r="D774" s="772"/>
      <c r="E774" s="773"/>
      <c r="F774" s="773"/>
      <c r="G774" s="774"/>
      <c r="H774" s="774"/>
      <c r="I774" s="774"/>
      <c r="J774" s="774"/>
      <c r="K774" s="774"/>
      <c r="L774" s="774"/>
      <c r="M774" s="774"/>
      <c r="N774" s="775"/>
    </row>
    <row r="775" spans="3:14" ht="13.5" thickBot="1">
      <c r="C775" s="485"/>
      <c r="D775" s="776"/>
      <c r="E775" s="777"/>
      <c r="F775" s="777"/>
      <c r="G775" s="778" t="s">
        <v>884</v>
      </c>
      <c r="H775" s="779">
        <v>2019</v>
      </c>
      <c r="I775" s="780">
        <v>2020</v>
      </c>
      <c r="J775" s="781">
        <v>2021</v>
      </c>
      <c r="K775" s="782">
        <v>2022</v>
      </c>
      <c r="L775" s="782">
        <v>2023</v>
      </c>
      <c r="M775" s="782">
        <v>2024</v>
      </c>
      <c r="N775" s="783">
        <v>2025</v>
      </c>
    </row>
    <row r="776" spans="3:14" ht="13.5" thickBot="1">
      <c r="C776" s="485"/>
      <c r="D776" s="776"/>
      <c r="E776" s="2470" t="s">
        <v>1504</v>
      </c>
      <c r="F776" s="2470"/>
      <c r="G776" s="808" t="s">
        <v>2016</v>
      </c>
      <c r="H776" s="225" t="str">
        <f>IFERROR(IF([1]K_Summary!$H$761 = "", "", [1]K_Summary!$H$761 ),"")</f>
        <v/>
      </c>
      <c r="I776" s="226" t="str">
        <f>IFERROR(IF([1]K_Summary!$I$761 = "", "", [1]K_Summary!$I$761 ),"")</f>
        <v/>
      </c>
      <c r="J776" s="225" t="str">
        <f>IFERROR(IF([1]K_Summary!$J$761 = "", "", [1]K_Summary!$J$761 ),"")</f>
        <v/>
      </c>
      <c r="K776" s="227" t="str">
        <f>IFERROR(IF([1]K_Summary!$K$761 = "", "", [1]K_Summary!$K$761 ),"")</f>
        <v/>
      </c>
      <c r="L776" s="227" t="str">
        <f>IFERROR(IF([1]K_Summary!$L$761 = "", "", [1]K_Summary!$L$761 ),"")</f>
        <v/>
      </c>
      <c r="M776" s="227" t="str">
        <f>IFERROR(IF([1]K_Summary!$M$761 = "", "", [1]K_Summary!$M$761 ),"")</f>
        <v/>
      </c>
      <c r="N776" s="228" t="str">
        <f>IFERROR(IF([1]K_Summary!$N$761 = "", "", [1]K_Summary!$N$761 ),"")</f>
        <v/>
      </c>
    </row>
    <row r="777" spans="3:14">
      <c r="C777" s="485"/>
      <c r="D777" s="776"/>
      <c r="E777" s="809"/>
      <c r="F777" s="809"/>
      <c r="G777" s="777"/>
      <c r="H777" s="777"/>
      <c r="I777" s="777"/>
      <c r="J777" s="777"/>
      <c r="K777" s="777"/>
      <c r="L777" s="777"/>
      <c r="M777" s="777"/>
      <c r="N777" s="810"/>
    </row>
    <row r="778" spans="3:14">
      <c r="C778" s="485"/>
      <c r="D778" s="776"/>
      <c r="E778" s="2471" t="s">
        <v>1344</v>
      </c>
      <c r="F778" s="2472"/>
      <c r="G778" s="811" t="s">
        <v>2017</v>
      </c>
      <c r="H778" s="127" t="str">
        <f>IFERROR(IF([1]K_Summary!$H$763 = "", "", [1]K_Summary!$H$763 ),"")</f>
        <v/>
      </c>
      <c r="I778" s="229" t="str">
        <f>IFERROR(IF([1]K_Summary!$I$763 = "", "", [1]K_Summary!$I$763 ),"")</f>
        <v/>
      </c>
      <c r="J778" s="230" t="str">
        <f>IFERROR(IF([1]K_Summary!$J$763 = "", "", [1]K_Summary!$J$763 ),"")</f>
        <v/>
      </c>
      <c r="K778" s="127" t="str">
        <f>IFERROR(IF([1]K_Summary!$K$763 = "", "", [1]K_Summary!$K$763 ),"")</f>
        <v/>
      </c>
      <c r="L778" s="127" t="str">
        <f>IFERROR(IF([1]K_Summary!$L$763 = "", "", [1]K_Summary!$L$763 ),"")</f>
        <v/>
      </c>
      <c r="M778" s="127" t="str">
        <f>IFERROR(IF([1]K_Summary!$M$763 = "", "", [1]K_Summary!$M$763 ),"")</f>
        <v/>
      </c>
      <c r="N778" s="231" t="str">
        <f>IFERROR(IF([1]K_Summary!$N$763 = "", "", [1]K_Summary!$N$763 ),"")</f>
        <v/>
      </c>
    </row>
    <row r="779" spans="3:14">
      <c r="C779" s="485"/>
      <c r="D779" s="776"/>
      <c r="E779" s="2473" t="s">
        <v>1182</v>
      </c>
      <c r="F779" s="2474"/>
      <c r="G779" s="812" t="s">
        <v>2018</v>
      </c>
      <c r="H779" s="128" t="str">
        <f>IFERROR(IF([1]K_Summary!$H$764 = "", "", [1]K_Summary!$H$764 ),"")</f>
        <v/>
      </c>
      <c r="I779" s="232" t="str">
        <f>IFERROR(IF([1]K_Summary!$I$764 = "", "", [1]K_Summary!$I$764 ),"")</f>
        <v/>
      </c>
      <c r="J779" s="233" t="str">
        <f>IFERROR(IF([1]K_Summary!$J$764 = "", "", [1]K_Summary!$J$764 ),"")</f>
        <v/>
      </c>
      <c r="K779" s="128" t="str">
        <f>IFERROR(IF([1]K_Summary!$K$764 = "", "", [1]K_Summary!$K$764 ),"")</f>
        <v/>
      </c>
      <c r="L779" s="128" t="str">
        <f>IFERROR(IF([1]K_Summary!$L$764 = "", "", [1]K_Summary!$L$764 ),"")</f>
        <v/>
      </c>
      <c r="M779" s="128" t="str">
        <f>IFERROR(IF([1]K_Summary!$M$764 = "", "", [1]K_Summary!$M$764 ),"")</f>
        <v/>
      </c>
      <c r="N779" s="234" t="str">
        <f>IFERROR(IF([1]K_Summary!$N$764 = "", "", [1]K_Summary!$N$764 ),"")</f>
        <v/>
      </c>
    </row>
    <row r="780" spans="3:14">
      <c r="C780" s="485"/>
      <c r="D780" s="776"/>
      <c r="E780" s="809"/>
      <c r="F780" s="809"/>
      <c r="G780" s="813"/>
      <c r="H780" s="813"/>
      <c r="I780" s="813"/>
      <c r="J780" s="813"/>
      <c r="K780" s="813"/>
      <c r="L780" s="813"/>
      <c r="M780" s="813"/>
      <c r="N780" s="814"/>
    </row>
    <row r="781" spans="3:14">
      <c r="C781" s="485"/>
      <c r="D781" s="776"/>
      <c r="E781" s="2475" t="s">
        <v>63</v>
      </c>
      <c r="F781" s="2410"/>
      <c r="G781" s="815" t="s">
        <v>2015</v>
      </c>
      <c r="H781" s="126" t="str">
        <f>IFERROR(IF([1]K_Summary!$H$766 = "", "", [1]K_Summary!$H$766 ),"")</f>
        <v/>
      </c>
      <c r="I781" s="235" t="str">
        <f>IFERROR(IF([1]K_Summary!$I$766 = "", "", [1]K_Summary!$I$766 ),"")</f>
        <v/>
      </c>
      <c r="J781" s="236" t="str">
        <f>IFERROR(IF([1]K_Summary!$J$766 = "", "", [1]K_Summary!$J$766 ),"")</f>
        <v/>
      </c>
      <c r="K781" s="126" t="str">
        <f>IFERROR(IF([1]K_Summary!$K$766 = "", "", [1]K_Summary!$K$766 ),"")</f>
        <v/>
      </c>
      <c r="L781" s="126" t="str">
        <f>IFERROR(IF([1]K_Summary!$L$766 = "", "", [1]K_Summary!$L$766 ),"")</f>
        <v/>
      </c>
      <c r="M781" s="126" t="str">
        <f>IFERROR(IF([1]K_Summary!$M$766 = "", "", [1]K_Summary!$M$766 ),"")</f>
        <v/>
      </c>
      <c r="N781" s="237" t="str">
        <f>IFERROR(IF([1]K_Summary!$N$766 = "", "", [1]K_Summary!$N$766 ),"")</f>
        <v/>
      </c>
    </row>
    <row r="782" spans="3:14">
      <c r="C782" s="485"/>
      <c r="D782" s="776"/>
      <c r="E782" s="2475" t="s">
        <v>1154</v>
      </c>
      <c r="F782" s="2410"/>
      <c r="G782" s="815" t="s">
        <v>2015</v>
      </c>
      <c r="H782" s="126" t="str">
        <f>IFERROR(IF([1]K_Summary!$H$767 = "", "", [1]K_Summary!$H$767 ),"")</f>
        <v/>
      </c>
      <c r="I782" s="235" t="str">
        <f>IFERROR(IF([1]K_Summary!$I$767 = "", "", [1]K_Summary!$I$767 ),"")</f>
        <v/>
      </c>
      <c r="J782" s="236" t="str">
        <f>IFERROR(IF([1]K_Summary!$J$767 = "", "", [1]K_Summary!$J$767 ),"")</f>
        <v/>
      </c>
      <c r="K782" s="126" t="str">
        <f>IFERROR(IF([1]K_Summary!$K$767 = "", "", [1]K_Summary!$K$767 ),"")</f>
        <v/>
      </c>
      <c r="L782" s="126" t="str">
        <f>IFERROR(IF([1]K_Summary!$L$767 = "", "", [1]K_Summary!$L$767 ),"")</f>
        <v/>
      </c>
      <c r="M782" s="126" t="str">
        <f>IFERROR(IF([1]K_Summary!$M$767 = "", "", [1]K_Summary!$M$767 ),"")</f>
        <v/>
      </c>
      <c r="N782" s="237" t="str">
        <f>IFERROR(IF([1]K_Summary!$N$767 = "", "", [1]K_Summary!$N$767 ),"")</f>
        <v/>
      </c>
    </row>
    <row r="783" spans="3:14">
      <c r="C783" s="485"/>
      <c r="D783" s="776"/>
      <c r="E783" s="2475" t="s">
        <v>1155</v>
      </c>
      <c r="F783" s="2410"/>
      <c r="G783" s="815" t="s">
        <v>2015</v>
      </c>
      <c r="H783" s="126" t="str">
        <f>IFERROR(IF([1]K_Summary!$H$768 = "", "", [1]K_Summary!$H$768 ),"")</f>
        <v/>
      </c>
      <c r="I783" s="235" t="str">
        <f>IFERROR(IF([1]K_Summary!$I$768 = "", "", [1]K_Summary!$I$768 ),"")</f>
        <v/>
      </c>
      <c r="J783" s="236" t="str">
        <f>IFERROR(IF([1]K_Summary!$J$768 = "", "", [1]K_Summary!$J$768 ),"")</f>
        <v/>
      </c>
      <c r="K783" s="126" t="str">
        <f>IFERROR(IF([1]K_Summary!$K$768 = "", "", [1]K_Summary!$K$768 ),"")</f>
        <v/>
      </c>
      <c r="L783" s="126" t="str">
        <f>IFERROR(IF([1]K_Summary!$L$768 = "", "", [1]K_Summary!$L$768 ),"")</f>
        <v/>
      </c>
      <c r="M783" s="126" t="str">
        <f>IFERROR(IF([1]K_Summary!$M$768 = "", "", [1]K_Summary!$M$768 ),"")</f>
        <v/>
      </c>
      <c r="N783" s="237" t="str">
        <f>IFERROR(IF([1]K_Summary!$N$768 = "", "", [1]K_Summary!$N$768 ),"")</f>
        <v/>
      </c>
    </row>
    <row r="784" spans="3:14">
      <c r="C784" s="485"/>
      <c r="D784" s="776"/>
      <c r="E784" s="2475" t="s">
        <v>1156</v>
      </c>
      <c r="F784" s="2410"/>
      <c r="G784" s="815" t="s">
        <v>2016</v>
      </c>
      <c r="H784" s="126" t="str">
        <f>IFERROR(IF([1]K_Summary!$H$769 = "", "", [1]K_Summary!$H$769 ),"")</f>
        <v/>
      </c>
      <c r="I784" s="235" t="str">
        <f>IFERROR(IF([1]K_Summary!$I$769 = "", "", [1]K_Summary!$I$769 ),"")</f>
        <v/>
      </c>
      <c r="J784" s="236" t="str">
        <f>IFERROR(IF([1]K_Summary!$J$769 = "", "", [1]K_Summary!$J$769 ),"")</f>
        <v/>
      </c>
      <c r="K784" s="126" t="str">
        <f>IFERROR(IF([1]K_Summary!$K$769 = "", "", [1]K_Summary!$K$769 ),"")</f>
        <v/>
      </c>
      <c r="L784" s="126" t="str">
        <f>IFERROR(IF([1]K_Summary!$L$769 = "", "", [1]K_Summary!$L$769 ),"")</f>
        <v/>
      </c>
      <c r="M784" s="126" t="str">
        <f>IFERROR(IF([1]K_Summary!$M$769 = "", "", [1]K_Summary!$M$769 ),"")</f>
        <v/>
      </c>
      <c r="N784" s="237" t="str">
        <f>IFERROR(IF([1]K_Summary!$N$769 = "", "", [1]K_Summary!$N$769 ),"")</f>
        <v/>
      </c>
    </row>
    <row r="785" spans="3:14">
      <c r="C785" s="485"/>
      <c r="D785" s="776"/>
      <c r="E785" s="809"/>
      <c r="F785" s="809"/>
      <c r="G785" s="813"/>
      <c r="H785" s="813"/>
      <c r="I785" s="813"/>
      <c r="J785" s="813"/>
      <c r="K785" s="813"/>
      <c r="L785" s="813"/>
      <c r="M785" s="813"/>
      <c r="N785" s="814"/>
    </row>
    <row r="786" spans="3:14">
      <c r="C786" s="485"/>
      <c r="D786" s="776"/>
      <c r="E786" s="2471" t="s">
        <v>1087</v>
      </c>
      <c r="F786" s="2472"/>
      <c r="G786" s="811" t="s">
        <v>2017</v>
      </c>
      <c r="H786" s="127" t="str">
        <f>IFERROR(IF([1]K_Summary!$H$771 = "", "", [1]K_Summary!$H$771 ),"")</f>
        <v/>
      </c>
      <c r="I786" s="229" t="str">
        <f>IFERROR(IF([1]K_Summary!$I$771 = "", "", [1]K_Summary!$I$771 ),"")</f>
        <v/>
      </c>
      <c r="J786" s="230" t="str">
        <f>IFERROR(IF([1]K_Summary!$J$771 = "", "", [1]K_Summary!$J$771 ),"")</f>
        <v/>
      </c>
      <c r="K786" s="127" t="str">
        <f>IFERROR(IF([1]K_Summary!$K$771 = "", "", [1]K_Summary!$K$771 ),"")</f>
        <v/>
      </c>
      <c r="L786" s="127" t="str">
        <f>IFERROR(IF([1]K_Summary!$L$771 = "", "", [1]K_Summary!$L$771 ),"")</f>
        <v/>
      </c>
      <c r="M786" s="127" t="str">
        <f>IFERROR(IF([1]K_Summary!$M$771 = "", "", [1]K_Summary!$M$771 ),"")</f>
        <v/>
      </c>
      <c r="N786" s="231" t="str">
        <f>IFERROR(IF([1]K_Summary!$N$771 = "", "", [1]K_Summary!$N$771 ),"")</f>
        <v/>
      </c>
    </row>
    <row r="787" spans="3:14">
      <c r="C787" s="485"/>
      <c r="D787" s="776"/>
      <c r="E787" s="2473" t="s">
        <v>1103</v>
      </c>
      <c r="F787" s="2474"/>
      <c r="G787" s="812" t="s">
        <v>2018</v>
      </c>
      <c r="H787" s="128" t="str">
        <f>IFERROR(IF([1]K_Summary!$H$772 = "", "", [1]K_Summary!$H$772 ),"")</f>
        <v/>
      </c>
      <c r="I787" s="232" t="str">
        <f>IFERROR(IF([1]K_Summary!$I$772 = "", "", [1]K_Summary!$I$772 ),"")</f>
        <v/>
      </c>
      <c r="J787" s="233" t="str">
        <f>IFERROR(IF([1]K_Summary!$J$772 = "", "", [1]K_Summary!$J$772 ),"")</f>
        <v/>
      </c>
      <c r="K787" s="128" t="str">
        <f>IFERROR(IF([1]K_Summary!$K$772 = "", "", [1]K_Summary!$K$772 ),"")</f>
        <v/>
      </c>
      <c r="L787" s="128" t="str">
        <f>IFERROR(IF([1]K_Summary!$L$772 = "", "", [1]K_Summary!$L$772 ),"")</f>
        <v/>
      </c>
      <c r="M787" s="128" t="str">
        <f>IFERROR(IF([1]K_Summary!$M$772 = "", "", [1]K_Summary!$M$772 ),"")</f>
        <v/>
      </c>
      <c r="N787" s="234" t="str">
        <f>IFERROR(IF([1]K_Summary!$N$772 = "", "", [1]K_Summary!$N$772 ),"")</f>
        <v/>
      </c>
    </row>
    <row r="788" spans="3:14">
      <c r="C788" s="485"/>
      <c r="D788" s="776"/>
      <c r="E788" s="809"/>
      <c r="F788" s="809"/>
      <c r="G788" s="813"/>
      <c r="H788" s="813"/>
      <c r="I788" s="813"/>
      <c r="J788" s="813"/>
      <c r="K788" s="813"/>
      <c r="L788" s="813"/>
      <c r="M788" s="813"/>
      <c r="N788" s="814"/>
    </row>
    <row r="789" spans="3:14">
      <c r="C789" s="485"/>
      <c r="D789" s="776"/>
      <c r="E789" s="2475" t="s">
        <v>1150</v>
      </c>
      <c r="F789" s="2410"/>
      <c r="G789" s="815" t="s">
        <v>2017</v>
      </c>
      <c r="H789" s="126" t="str">
        <f>IFERROR(IF([1]K_Summary!$H$774 = "", "", [1]K_Summary!$H$774 ),"")</f>
        <v/>
      </c>
      <c r="I789" s="235" t="str">
        <f>IFERROR(IF([1]K_Summary!$I$774 = "", "", [1]K_Summary!$I$774 ),"")</f>
        <v/>
      </c>
      <c r="J789" s="236" t="str">
        <f>IFERROR(IF([1]K_Summary!$J$774 = "", "", [1]K_Summary!$J$774 ),"")</f>
        <v/>
      </c>
      <c r="K789" s="126" t="str">
        <f>IFERROR(IF([1]K_Summary!$K$774 = "", "", [1]K_Summary!$K$774 ),"")</f>
        <v/>
      </c>
      <c r="L789" s="126" t="str">
        <f>IFERROR(IF([1]K_Summary!$L$774 = "", "", [1]K_Summary!$L$774 ),"")</f>
        <v/>
      </c>
      <c r="M789" s="126" t="str">
        <f>IFERROR(IF([1]K_Summary!$M$774 = "", "", [1]K_Summary!$M$774 ),"")</f>
        <v/>
      </c>
      <c r="N789" s="237" t="str">
        <f>IFERROR(IF([1]K_Summary!$N$774 = "", "", [1]K_Summary!$N$774 ),"")</f>
        <v/>
      </c>
    </row>
    <row r="790" spans="3:14" ht="13.15" customHeight="1">
      <c r="C790" s="485"/>
      <c r="D790" s="776"/>
      <c r="E790" s="2475" t="s">
        <v>1149</v>
      </c>
      <c r="F790" s="2410"/>
      <c r="G790" s="815" t="s">
        <v>2017</v>
      </c>
      <c r="H790" s="126" t="str">
        <f>IFERROR(IF([1]K_Summary!$H$775 = "", "", [1]K_Summary!$H$775 ),"")</f>
        <v/>
      </c>
      <c r="I790" s="235" t="str">
        <f>IFERROR(IF([1]K_Summary!$I$775 = "", "", [1]K_Summary!$I$775 ),"")</f>
        <v/>
      </c>
      <c r="J790" s="236" t="str">
        <f>IFERROR(IF([1]K_Summary!$J$775 = "", "", [1]K_Summary!$J$775 ),"")</f>
        <v/>
      </c>
      <c r="K790" s="126" t="str">
        <f>IFERROR(IF([1]K_Summary!$K$775 = "", "", [1]K_Summary!$K$775 ),"")</f>
        <v/>
      </c>
      <c r="L790" s="126" t="str">
        <f>IFERROR(IF([1]K_Summary!$L$775 = "", "", [1]K_Summary!$L$775 ),"")</f>
        <v/>
      </c>
      <c r="M790" s="126" t="str">
        <f>IFERROR(IF([1]K_Summary!$M$775 = "", "", [1]K_Summary!$M$775 ),"")</f>
        <v/>
      </c>
      <c r="N790" s="237" t="str">
        <f>IFERROR(IF([1]K_Summary!$N$775 = "", "", [1]K_Summary!$N$775 ),"")</f>
        <v/>
      </c>
    </row>
    <row r="791" spans="3:14">
      <c r="C791" s="485"/>
      <c r="D791" s="776"/>
      <c r="E791" s="809"/>
      <c r="F791" s="809"/>
      <c r="G791" s="777"/>
      <c r="H791" s="813"/>
      <c r="I791" s="813"/>
      <c r="J791" s="813"/>
      <c r="K791" s="813"/>
      <c r="L791" s="813"/>
      <c r="M791" s="813"/>
      <c r="N791" s="814"/>
    </row>
    <row r="792" spans="3:14">
      <c r="C792" s="485"/>
      <c r="D792" s="776"/>
      <c r="E792" s="2471" t="s">
        <v>1079</v>
      </c>
      <c r="F792" s="2472"/>
      <c r="G792" s="811" t="s">
        <v>2017</v>
      </c>
      <c r="H792" s="127" t="str">
        <f>IFERROR(IF([1]K_Summary!$H$777 = "", "", [1]K_Summary!$H$777 ),"")</f>
        <v/>
      </c>
      <c r="I792" s="229" t="str">
        <f>IFERROR(IF([1]K_Summary!$I$777 = "", "", [1]K_Summary!$I$777 ),"")</f>
        <v/>
      </c>
      <c r="J792" s="230" t="str">
        <f>IFERROR(IF([1]K_Summary!$J$777 = "", "", [1]K_Summary!$J$777 ),"")</f>
        <v/>
      </c>
      <c r="K792" s="127" t="str">
        <f>IFERROR(IF([1]K_Summary!$K$777 = "", "", [1]K_Summary!$K$777 ),"")</f>
        <v/>
      </c>
      <c r="L792" s="127" t="str">
        <f>IFERROR(IF([1]K_Summary!$L$777 = "", "", [1]K_Summary!$L$777 ),"")</f>
        <v/>
      </c>
      <c r="M792" s="127" t="str">
        <f>IFERROR(IF([1]K_Summary!$M$777 = "", "", [1]K_Summary!$M$777 ),"")</f>
        <v/>
      </c>
      <c r="N792" s="231" t="str">
        <f>IFERROR(IF([1]K_Summary!$N$777 = "", "", [1]K_Summary!$N$777 ),"")</f>
        <v/>
      </c>
    </row>
    <row r="793" spans="3:14">
      <c r="C793" s="485"/>
      <c r="D793" s="776"/>
      <c r="E793" s="2473" t="s">
        <v>1104</v>
      </c>
      <c r="F793" s="2474"/>
      <c r="G793" s="812" t="s">
        <v>2018</v>
      </c>
      <c r="H793" s="128" t="str">
        <f>IFERROR(IF([1]K_Summary!$H$778 = "", "", [1]K_Summary!$H$778 ),"")</f>
        <v/>
      </c>
      <c r="I793" s="232" t="str">
        <f>IFERROR(IF([1]K_Summary!$I$778 = "", "", [1]K_Summary!$I$778 ),"")</f>
        <v/>
      </c>
      <c r="J793" s="233" t="str">
        <f>IFERROR(IF([1]K_Summary!$J$778 = "", "", [1]K_Summary!$J$778 ),"")</f>
        <v/>
      </c>
      <c r="K793" s="128" t="str">
        <f>IFERROR(IF([1]K_Summary!$K$778 = "", "", [1]K_Summary!$K$778 ),"")</f>
        <v/>
      </c>
      <c r="L793" s="128" t="str">
        <f>IFERROR(IF([1]K_Summary!$L$778 = "", "", [1]K_Summary!$L$778 ),"")</f>
        <v/>
      </c>
      <c r="M793" s="128" t="str">
        <f>IFERROR(IF([1]K_Summary!$M$778 = "", "", [1]K_Summary!$M$778 ),"")</f>
        <v/>
      </c>
      <c r="N793" s="234" t="str">
        <f>IFERROR(IF([1]K_Summary!$N$778 = "", "", [1]K_Summary!$N$778 ),"")</f>
        <v/>
      </c>
    </row>
    <row r="794" spans="3:14">
      <c r="C794" s="485"/>
      <c r="D794" s="776"/>
      <c r="E794" s="809"/>
      <c r="F794" s="809"/>
      <c r="G794" s="777"/>
      <c r="H794" s="813"/>
      <c r="I794" s="813"/>
      <c r="J794" s="813"/>
      <c r="K794" s="813"/>
      <c r="L794" s="813"/>
      <c r="M794" s="813"/>
      <c r="N794" s="814"/>
    </row>
    <row r="795" spans="3:14">
      <c r="C795" s="485"/>
      <c r="D795" s="776"/>
      <c r="E795" s="2471" t="s">
        <v>1141</v>
      </c>
      <c r="F795" s="2472"/>
      <c r="G795" s="811" t="s">
        <v>2017</v>
      </c>
      <c r="H795" s="127" t="str">
        <f>IFERROR(IF([1]K_Summary!$H$780 = "", "", [1]K_Summary!$H$780 ),"")</f>
        <v/>
      </c>
      <c r="I795" s="229" t="str">
        <f>IFERROR(IF([1]K_Summary!$I$780 = "", "", [1]K_Summary!$I$780 ),"")</f>
        <v/>
      </c>
      <c r="J795" s="230" t="str">
        <f>IFERROR(IF([1]K_Summary!$J$780 = "", "", [1]K_Summary!$J$780 ),"")</f>
        <v/>
      </c>
      <c r="K795" s="127" t="str">
        <f>IFERROR(IF([1]K_Summary!$K$780 = "", "", [1]K_Summary!$K$780 ),"")</f>
        <v/>
      </c>
      <c r="L795" s="127" t="str">
        <f>IFERROR(IF([1]K_Summary!$L$780 = "", "", [1]K_Summary!$L$780 ),"")</f>
        <v/>
      </c>
      <c r="M795" s="127" t="str">
        <f>IFERROR(IF([1]K_Summary!$M$780 = "", "", [1]K_Summary!$M$780 ),"")</f>
        <v/>
      </c>
      <c r="N795" s="231" t="str">
        <f>IFERROR(IF([1]K_Summary!$N$780 = "", "", [1]K_Summary!$N$780 ),"")</f>
        <v/>
      </c>
    </row>
    <row r="796" spans="3:14" ht="13.15" customHeight="1">
      <c r="C796" s="485"/>
      <c r="D796" s="776"/>
      <c r="E796" s="2473" t="s">
        <v>1258</v>
      </c>
      <c r="F796" s="2474"/>
      <c r="G796" s="812" t="s">
        <v>2018</v>
      </c>
      <c r="H796" s="128" t="str">
        <f>IFERROR(IF([1]K_Summary!$H$781 = "", "", [1]K_Summary!$H$781 ),"")</f>
        <v/>
      </c>
      <c r="I796" s="232" t="str">
        <f>IFERROR(IF([1]K_Summary!$I$781 = "", "", [1]K_Summary!$I$781 ),"")</f>
        <v/>
      </c>
      <c r="J796" s="233" t="str">
        <f>IFERROR(IF([1]K_Summary!$J$781 = "", "", [1]K_Summary!$J$781 ),"")</f>
        <v/>
      </c>
      <c r="K796" s="128" t="str">
        <f>IFERROR(IF([1]K_Summary!$K$781 = "", "", [1]K_Summary!$K$781 ),"")</f>
        <v/>
      </c>
      <c r="L796" s="128" t="str">
        <f>IFERROR(IF([1]K_Summary!$L$781 = "", "", [1]K_Summary!$L$781 ),"")</f>
        <v/>
      </c>
      <c r="M796" s="128" t="str">
        <f>IFERROR(IF([1]K_Summary!$M$781 = "", "", [1]K_Summary!$M$781 ),"")</f>
        <v/>
      </c>
      <c r="N796" s="234" t="str">
        <f>IFERROR(IF([1]K_Summary!$N$781 = "", "", [1]K_Summary!$N$781 ),"")</f>
        <v/>
      </c>
    </row>
    <row r="797" spans="3:14">
      <c r="C797" s="485"/>
      <c r="D797" s="776"/>
      <c r="E797" s="2471" t="s">
        <v>1309</v>
      </c>
      <c r="F797" s="2472"/>
      <c r="G797" s="811" t="s">
        <v>2017</v>
      </c>
      <c r="H797" s="127" t="str">
        <f>IFERROR(IF([1]K_Summary!$H$782 = "", "", [1]K_Summary!$H$782 ),"")</f>
        <v/>
      </c>
      <c r="I797" s="229" t="str">
        <f>IFERROR(IF([1]K_Summary!$I$782 = "", "", [1]K_Summary!$I$782 ),"")</f>
        <v/>
      </c>
      <c r="J797" s="230" t="str">
        <f>IFERROR(IF([1]K_Summary!$J$782 = "", "", [1]K_Summary!$J$782 ),"")</f>
        <v/>
      </c>
      <c r="K797" s="127" t="str">
        <f>IFERROR(IF([1]K_Summary!$K$782 = "", "", [1]K_Summary!$K$782 ),"")</f>
        <v/>
      </c>
      <c r="L797" s="127" t="str">
        <f>IFERROR(IF([1]K_Summary!$L$782 = "", "", [1]K_Summary!$L$782 ),"")</f>
        <v/>
      </c>
      <c r="M797" s="127" t="str">
        <f>IFERROR(IF([1]K_Summary!$M$782 = "", "", [1]K_Summary!$M$782 ),"")</f>
        <v/>
      </c>
      <c r="N797" s="231" t="str">
        <f>IFERROR(IF([1]K_Summary!$N$782 = "", "", [1]K_Summary!$N$782 ),"")</f>
        <v/>
      </c>
    </row>
    <row r="798" spans="3:14" ht="13.15" customHeight="1">
      <c r="C798" s="485"/>
      <c r="D798" s="776"/>
      <c r="E798" s="2473" t="s">
        <v>1307</v>
      </c>
      <c r="F798" s="2474"/>
      <c r="G798" s="812" t="s">
        <v>2018</v>
      </c>
      <c r="H798" s="128" t="str">
        <f>IFERROR(IF([1]K_Summary!$H$783 = "", "", [1]K_Summary!$H$783 ),"")</f>
        <v/>
      </c>
      <c r="I798" s="232" t="str">
        <f>IFERROR(IF([1]K_Summary!$I$783 = "", "", [1]K_Summary!$I$783 ),"")</f>
        <v/>
      </c>
      <c r="J798" s="233" t="str">
        <f>IFERROR(IF([1]K_Summary!$J$783 = "", "", [1]K_Summary!$J$783 ),"")</f>
        <v/>
      </c>
      <c r="K798" s="128" t="str">
        <f>IFERROR(IF([1]K_Summary!$K$783 = "", "", [1]K_Summary!$K$783 ),"")</f>
        <v/>
      </c>
      <c r="L798" s="128" t="str">
        <f>IFERROR(IF([1]K_Summary!$L$783 = "", "", [1]K_Summary!$L$783 ),"")</f>
        <v/>
      </c>
      <c r="M798" s="128" t="str">
        <f>IFERROR(IF([1]K_Summary!$M$783 = "", "", [1]K_Summary!$M$783 ),"")</f>
        <v/>
      </c>
      <c r="N798" s="234" t="str">
        <f>IFERROR(IF([1]K_Summary!$N$783 = "", "", [1]K_Summary!$N$783 ),"")</f>
        <v/>
      </c>
    </row>
    <row r="799" spans="3:14">
      <c r="C799" s="485"/>
      <c r="D799" s="776"/>
      <c r="E799" s="2471" t="s">
        <v>1288</v>
      </c>
      <c r="F799" s="2472"/>
      <c r="G799" s="811" t="s">
        <v>2017</v>
      </c>
      <c r="H799" s="127" t="str">
        <f>IFERROR(IF([1]K_Summary!$H$784 = "", "", [1]K_Summary!$H$784 ),"")</f>
        <v/>
      </c>
      <c r="I799" s="229" t="str">
        <f>IFERROR(IF([1]K_Summary!$I$784 = "", "", [1]K_Summary!$I$784 ),"")</f>
        <v/>
      </c>
      <c r="J799" s="230" t="str">
        <f>IFERROR(IF([1]K_Summary!$J$784 = "", "", [1]K_Summary!$J$784 ),"")</f>
        <v/>
      </c>
      <c r="K799" s="127" t="str">
        <f>IFERROR(IF([1]K_Summary!$K$784 = "", "", [1]K_Summary!$K$784 ),"")</f>
        <v/>
      </c>
      <c r="L799" s="127" t="str">
        <f>IFERROR(IF([1]K_Summary!$L$784 = "", "", [1]K_Summary!$L$784 ),"")</f>
        <v/>
      </c>
      <c r="M799" s="127" t="str">
        <f>IFERROR(IF([1]K_Summary!$M$784 = "", "", [1]K_Summary!$M$784 ),"")</f>
        <v/>
      </c>
      <c r="N799" s="231" t="str">
        <f>IFERROR(IF([1]K_Summary!$N$784 = "", "", [1]K_Summary!$N$784 ),"")</f>
        <v/>
      </c>
    </row>
    <row r="800" spans="3:14">
      <c r="C800" s="485"/>
      <c r="D800" s="776"/>
      <c r="E800" s="2473" t="s">
        <v>1308</v>
      </c>
      <c r="F800" s="2474"/>
      <c r="G800" s="812" t="s">
        <v>2018</v>
      </c>
      <c r="H800" s="128" t="str">
        <f>IFERROR(IF([1]K_Summary!$H$785 = "", "", [1]K_Summary!$H$785 ),"")</f>
        <v/>
      </c>
      <c r="I800" s="232" t="str">
        <f>IFERROR(IF([1]K_Summary!$I$785 = "", "", [1]K_Summary!$I$785 ),"")</f>
        <v/>
      </c>
      <c r="J800" s="233" t="str">
        <f>IFERROR(IF([1]K_Summary!$J$785 = "", "", [1]K_Summary!$J$785 ),"")</f>
        <v/>
      </c>
      <c r="K800" s="128" t="str">
        <f>IFERROR(IF([1]K_Summary!$K$785 = "", "", [1]K_Summary!$K$785 ),"")</f>
        <v/>
      </c>
      <c r="L800" s="128" t="str">
        <f>IFERROR(IF([1]K_Summary!$L$785 = "", "", [1]K_Summary!$L$785 ),"")</f>
        <v/>
      </c>
      <c r="M800" s="128" t="str">
        <f>IFERROR(IF([1]K_Summary!$M$785 = "", "", [1]K_Summary!$M$785 ),"")</f>
        <v/>
      </c>
      <c r="N800" s="234" t="str">
        <f>IFERROR(IF([1]K_Summary!$N$785 = "", "", [1]K_Summary!$N$785 ),"")</f>
        <v/>
      </c>
    </row>
    <row r="801" spans="3:14">
      <c r="C801" s="485"/>
      <c r="D801" s="776"/>
      <c r="E801" s="2471" t="s">
        <v>1102</v>
      </c>
      <c r="F801" s="2472"/>
      <c r="G801" s="811" t="s">
        <v>2017</v>
      </c>
      <c r="H801" s="127" t="str">
        <f>IFERROR(IF([1]K_Summary!$H$786 = "", "", [1]K_Summary!$H$786 ),"")</f>
        <v/>
      </c>
      <c r="I801" s="229" t="str">
        <f>IFERROR(IF([1]K_Summary!$I$786 = "", "", [1]K_Summary!$I$786 ),"")</f>
        <v/>
      </c>
      <c r="J801" s="230" t="str">
        <f>IFERROR(IF([1]K_Summary!$J$786 = "", "", [1]K_Summary!$J$786 ),"")</f>
        <v/>
      </c>
      <c r="K801" s="127" t="str">
        <f>IFERROR(IF([1]K_Summary!$K$786 = "", "", [1]K_Summary!$K$786 ),"")</f>
        <v/>
      </c>
      <c r="L801" s="127" t="str">
        <f>IFERROR(IF([1]K_Summary!$L$786 = "", "", [1]K_Summary!$L$786 ),"")</f>
        <v/>
      </c>
      <c r="M801" s="127" t="str">
        <f>IFERROR(IF([1]K_Summary!$M$786 = "", "", [1]K_Summary!$M$786 ),"")</f>
        <v/>
      </c>
      <c r="N801" s="231" t="str">
        <f>IFERROR(IF([1]K_Summary!$N$786 = "", "", [1]K_Summary!$N$786 ),"")</f>
        <v/>
      </c>
    </row>
    <row r="802" spans="3:14">
      <c r="C802" s="485"/>
      <c r="D802" s="776"/>
      <c r="E802" s="816" t="s">
        <v>1275</v>
      </c>
      <c r="F802" s="816"/>
      <c r="G802" s="812" t="s">
        <v>2018</v>
      </c>
      <c r="H802" s="128" t="str">
        <f>IFERROR(IF([1]K_Summary!$H$787 = "", "", [1]K_Summary!$H$787 ),"")</f>
        <v/>
      </c>
      <c r="I802" s="232" t="str">
        <f>IFERROR(IF([1]K_Summary!$I$787 = "", "", [1]K_Summary!$I$787 ),"")</f>
        <v/>
      </c>
      <c r="J802" s="233" t="str">
        <f>IFERROR(IF([1]K_Summary!$J$787 = "", "", [1]K_Summary!$J$787 ),"")</f>
        <v/>
      </c>
      <c r="K802" s="128" t="str">
        <f>IFERROR(IF([1]K_Summary!$K$787 = "", "", [1]K_Summary!$K$787 ),"")</f>
        <v/>
      </c>
      <c r="L802" s="128" t="str">
        <f>IFERROR(IF([1]K_Summary!$L$787 = "", "", [1]K_Summary!$L$787 ),"")</f>
        <v/>
      </c>
      <c r="M802" s="128" t="str">
        <f>IFERROR(IF([1]K_Summary!$M$787 = "", "", [1]K_Summary!$M$787 ),"")</f>
        <v/>
      </c>
      <c r="N802" s="234" t="str">
        <f>IFERROR(IF([1]K_Summary!$N$787 = "", "", [1]K_Summary!$N$787 ),"")</f>
        <v/>
      </c>
    </row>
    <row r="803" spans="3:14">
      <c r="C803" s="485"/>
      <c r="D803" s="776"/>
      <c r="E803" s="2471" t="s">
        <v>1080</v>
      </c>
      <c r="F803" s="2472"/>
      <c r="G803" s="811" t="s">
        <v>2017</v>
      </c>
      <c r="H803" s="127" t="str">
        <f>IFERROR(IF([1]K_Summary!$H$788 = "", "", [1]K_Summary!$H$788 ),"")</f>
        <v/>
      </c>
      <c r="I803" s="229" t="str">
        <f>IFERROR(IF([1]K_Summary!$I$788 = "", "", [1]K_Summary!$I$788 ),"")</f>
        <v/>
      </c>
      <c r="J803" s="230" t="str">
        <f>IFERROR(IF([1]K_Summary!$J$788 = "", "", [1]K_Summary!$J$788 ),"")</f>
        <v/>
      </c>
      <c r="K803" s="127" t="str">
        <f>IFERROR(IF([1]K_Summary!$K$788 = "", "", [1]K_Summary!$K$788 ),"")</f>
        <v/>
      </c>
      <c r="L803" s="127" t="str">
        <f>IFERROR(IF([1]K_Summary!$L$788 = "", "", [1]K_Summary!$L$788 ),"")</f>
        <v/>
      </c>
      <c r="M803" s="127" t="str">
        <f>IFERROR(IF([1]K_Summary!$M$788 = "", "", [1]K_Summary!$M$788 ),"")</f>
        <v/>
      </c>
      <c r="N803" s="231" t="str">
        <f>IFERROR(IF([1]K_Summary!$N$788 = "", "", [1]K_Summary!$N$788 ),"")</f>
        <v/>
      </c>
    </row>
    <row r="804" spans="3:14">
      <c r="C804" s="485"/>
      <c r="D804" s="776"/>
      <c r="E804" s="2473" t="s">
        <v>1276</v>
      </c>
      <c r="F804" s="2474"/>
      <c r="G804" s="812" t="s">
        <v>2018</v>
      </c>
      <c r="H804" s="128" t="str">
        <f>IFERROR(IF([1]K_Summary!$H$789 = "", "", [1]K_Summary!$H$789 ),"")</f>
        <v/>
      </c>
      <c r="I804" s="232" t="str">
        <f>IFERROR(IF([1]K_Summary!$I$789 = "", "", [1]K_Summary!$I$789 ),"")</f>
        <v/>
      </c>
      <c r="J804" s="233" t="str">
        <f>IFERROR(IF([1]K_Summary!$J$789 = "", "", [1]K_Summary!$J$789 ),"")</f>
        <v/>
      </c>
      <c r="K804" s="128" t="str">
        <f>IFERROR(IF([1]K_Summary!$K$789 = "", "", [1]K_Summary!$K$789 ),"")</f>
        <v/>
      </c>
      <c r="L804" s="128" t="str">
        <f>IFERROR(IF([1]K_Summary!$L$789 = "", "", [1]K_Summary!$L$789 ),"")</f>
        <v/>
      </c>
      <c r="M804" s="128" t="str">
        <f>IFERROR(IF([1]K_Summary!$M$789 = "", "", [1]K_Summary!$M$789 ),"")</f>
        <v/>
      </c>
      <c r="N804" s="234" t="str">
        <f>IFERROR(IF([1]K_Summary!$N$789 = "", "", [1]K_Summary!$N$789 ),"")</f>
        <v/>
      </c>
    </row>
    <row r="805" spans="3:14">
      <c r="C805" s="485"/>
      <c r="D805" s="776"/>
      <c r="E805" s="809"/>
      <c r="F805" s="809"/>
      <c r="G805" s="777"/>
      <c r="H805" s="813"/>
      <c r="I805" s="813"/>
      <c r="J805" s="813"/>
      <c r="K805" s="813"/>
      <c r="L805" s="813"/>
      <c r="M805" s="813"/>
      <c r="N805" s="814"/>
    </row>
    <row r="806" spans="3:14">
      <c r="C806" s="485"/>
      <c r="D806" s="776"/>
      <c r="E806" s="2475" t="s">
        <v>914</v>
      </c>
      <c r="F806" s="2410"/>
      <c r="G806" s="815" t="s">
        <v>2021</v>
      </c>
      <c r="H806" s="126" t="str">
        <f>IFERROR(IF([1]K_Summary!$H$791 = "", "", [1]K_Summary!$H$791 ),"")</f>
        <v/>
      </c>
      <c r="I806" s="235" t="str">
        <f>IFERROR(IF([1]K_Summary!$I$791 = "", "", [1]K_Summary!$I$791 ),"")</f>
        <v/>
      </c>
      <c r="J806" s="236" t="str">
        <f>IFERROR(IF([1]K_Summary!$J$791 = "", "", [1]K_Summary!$J$791 ),"")</f>
        <v/>
      </c>
      <c r="K806" s="126" t="str">
        <f>IFERROR(IF([1]K_Summary!$K$791 = "", "", [1]K_Summary!$K$791 ),"")</f>
        <v/>
      </c>
      <c r="L806" s="126" t="str">
        <f>IFERROR(IF([1]K_Summary!$L$791 = "", "", [1]K_Summary!$L$791 ),"")</f>
        <v/>
      </c>
      <c r="M806" s="126" t="str">
        <f>IFERROR(IF([1]K_Summary!$M$791 = "", "", [1]K_Summary!$M$791 ),"")</f>
        <v/>
      </c>
      <c r="N806" s="237" t="str">
        <f>IFERROR(IF([1]K_Summary!$N$791 = "", "", [1]K_Summary!$N$791 ),"")</f>
        <v/>
      </c>
    </row>
    <row r="807" spans="3:14">
      <c r="C807" s="485"/>
      <c r="D807" s="776"/>
      <c r="E807" s="2475" t="s">
        <v>1354</v>
      </c>
      <c r="F807" s="2410"/>
      <c r="G807" s="815" t="s">
        <v>2021</v>
      </c>
      <c r="H807" s="126" t="str">
        <f>IFERROR(IF([1]K_Summary!$H$792 = "", "", [1]K_Summary!$H$792 ),"")</f>
        <v/>
      </c>
      <c r="I807" s="235" t="str">
        <f>IFERROR(IF([1]K_Summary!$I$792 = "", "", [1]K_Summary!$I$792 ),"")</f>
        <v/>
      </c>
      <c r="J807" s="236" t="str">
        <f>IFERROR(IF([1]K_Summary!$J$792 = "", "", [1]K_Summary!$J$792 ),"")</f>
        <v/>
      </c>
      <c r="K807" s="126" t="str">
        <f>IFERROR(IF([1]K_Summary!$K$792 = "", "", [1]K_Summary!$K$792 ),"")</f>
        <v/>
      </c>
      <c r="L807" s="126" t="str">
        <f>IFERROR(IF([1]K_Summary!$L$792 = "", "", [1]K_Summary!$L$792 ),"")</f>
        <v/>
      </c>
      <c r="M807" s="126" t="str">
        <f>IFERROR(IF([1]K_Summary!$M$792 = "", "", [1]K_Summary!$M$792 ),"")</f>
        <v/>
      </c>
      <c r="N807" s="237" t="str">
        <f>IFERROR(IF([1]K_Summary!$N$792 = "", "", [1]K_Summary!$N$792 ),"")</f>
        <v/>
      </c>
    </row>
    <row r="808" spans="3:14">
      <c r="C808" s="485"/>
      <c r="D808" s="776"/>
      <c r="E808" s="809"/>
      <c r="F808" s="809"/>
      <c r="G808" s="777"/>
      <c r="H808" s="813"/>
      <c r="I808" s="813"/>
      <c r="J808" s="813"/>
      <c r="K808" s="813"/>
      <c r="L808" s="813"/>
      <c r="M808" s="813"/>
      <c r="N808" s="814"/>
    </row>
    <row r="809" spans="3:14">
      <c r="C809" s="485"/>
      <c r="D809" s="776"/>
      <c r="E809" s="2475" t="s">
        <v>1157</v>
      </c>
      <c r="F809" s="2410"/>
      <c r="G809" s="815" t="s">
        <v>1020</v>
      </c>
      <c r="H809" s="126" t="str">
        <f>IFERROR(IF([1]K_Summary!$H$794 = "", "", [1]K_Summary!$H$794 ),"")</f>
        <v/>
      </c>
      <c r="I809" s="235" t="str">
        <f>IFERROR(IF([1]K_Summary!$I$794 = "", "", [1]K_Summary!$I$794 ),"")</f>
        <v/>
      </c>
      <c r="J809" s="236" t="str">
        <f>IFERROR(IF([1]K_Summary!$J$794 = "", "", [1]K_Summary!$J$794 ),"")</f>
        <v/>
      </c>
      <c r="K809" s="126" t="str">
        <f>IFERROR(IF([1]K_Summary!$K$794 = "", "", [1]K_Summary!$K$794 ),"")</f>
        <v/>
      </c>
      <c r="L809" s="126" t="str">
        <f>IFERROR(IF([1]K_Summary!$L$794 = "", "", [1]K_Summary!$L$794 ),"")</f>
        <v/>
      </c>
      <c r="M809" s="126" t="str">
        <f>IFERROR(IF([1]K_Summary!$M$794 = "", "", [1]K_Summary!$M$794 ),"")</f>
        <v/>
      </c>
      <c r="N809" s="237" t="str">
        <f>IFERROR(IF([1]K_Summary!$N$794 = "", "", [1]K_Summary!$N$794 ),"")</f>
        <v/>
      </c>
    </row>
    <row r="810" spans="3:14">
      <c r="C810" s="485"/>
      <c r="D810" s="776"/>
      <c r="E810" s="809"/>
      <c r="F810" s="809"/>
      <c r="G810" s="777"/>
      <c r="H810" s="813"/>
      <c r="I810" s="813"/>
      <c r="J810" s="813"/>
      <c r="K810" s="813"/>
      <c r="L810" s="813"/>
      <c r="M810" s="813"/>
      <c r="N810" s="814"/>
    </row>
    <row r="811" spans="3:14">
      <c r="C811" s="485"/>
      <c r="D811" s="776"/>
      <c r="E811" s="2492" t="s">
        <v>1440</v>
      </c>
      <c r="F811" s="2493"/>
      <c r="G811" s="777"/>
      <c r="H811" s="813"/>
      <c r="I811" s="813"/>
      <c r="J811" s="813"/>
      <c r="K811" s="813"/>
      <c r="L811" s="813"/>
      <c r="M811" s="813"/>
      <c r="N811" s="814"/>
    </row>
    <row r="812" spans="3:14">
      <c r="C812" s="485"/>
      <c r="D812" s="776"/>
      <c r="E812" s="2487" t="str">
        <f>IFERROR(IF([1]K_Summary!$E$797 = "", "", [1]K_Summary!$E$797 ),"")</f>
        <v/>
      </c>
      <c r="F812" s="2488"/>
      <c r="G812" s="815" t="s">
        <v>1020</v>
      </c>
      <c r="H812" s="126" t="str">
        <f>IFERROR(IF([1]K_Summary!$H$797 = "", "", [1]K_Summary!$H$797 ),"")</f>
        <v/>
      </c>
      <c r="I812" s="235" t="str">
        <f>IFERROR(IF([1]K_Summary!$I$797 = "", "", [1]K_Summary!$I$797 ),"")</f>
        <v/>
      </c>
      <c r="J812" s="236" t="str">
        <f>IFERROR(IF([1]K_Summary!$J$797 = "", "", [1]K_Summary!$J$797 ),"")</f>
        <v/>
      </c>
      <c r="K812" s="126" t="str">
        <f>IFERROR(IF([1]K_Summary!$K$797 = "", "", [1]K_Summary!$K$797 ),"")</f>
        <v/>
      </c>
      <c r="L812" s="126" t="str">
        <f>IFERROR(IF([1]K_Summary!$L$797 = "", "", [1]K_Summary!$L$797 ),"")</f>
        <v/>
      </c>
      <c r="M812" s="126" t="str">
        <f>IFERROR(IF([1]K_Summary!$M$797 = "", "", [1]K_Summary!$M$797 ),"")</f>
        <v/>
      </c>
      <c r="N812" s="237" t="str">
        <f>IFERROR(IF([1]K_Summary!$N$797 = "", "", [1]K_Summary!$N$797 ),"")</f>
        <v/>
      </c>
    </row>
    <row r="813" spans="3:14">
      <c r="C813" s="485"/>
      <c r="D813" s="776"/>
      <c r="E813" s="2487" t="str">
        <f>IFERROR(IF([1]K_Summary!$E$798 = "", "", [1]K_Summary!$E$798 ),"")</f>
        <v/>
      </c>
      <c r="F813" s="2488"/>
      <c r="G813" s="815" t="s">
        <v>1020</v>
      </c>
      <c r="H813" s="126" t="str">
        <f>IFERROR(IF([1]K_Summary!$H$798 = "", "", [1]K_Summary!$H$798 ),"")</f>
        <v/>
      </c>
      <c r="I813" s="235" t="str">
        <f>IFERROR(IF([1]K_Summary!$I$798 = "", "", [1]K_Summary!$I$798 ),"")</f>
        <v/>
      </c>
      <c r="J813" s="236" t="str">
        <f>IFERROR(IF([1]K_Summary!$J$798 = "", "", [1]K_Summary!$J$798 ),"")</f>
        <v/>
      </c>
      <c r="K813" s="126" t="str">
        <f>IFERROR(IF([1]K_Summary!$K$798 = "", "", [1]K_Summary!$K$798 ),"")</f>
        <v/>
      </c>
      <c r="L813" s="126" t="str">
        <f>IFERROR(IF([1]K_Summary!$L$798 = "", "", [1]K_Summary!$L$798 ),"")</f>
        <v/>
      </c>
      <c r="M813" s="126" t="str">
        <f>IFERROR(IF([1]K_Summary!$M$798 = "", "", [1]K_Summary!$M$798 ),"")</f>
        <v/>
      </c>
      <c r="N813" s="237" t="str">
        <f>IFERROR(IF([1]K_Summary!$N$798 = "", "", [1]K_Summary!$N$798 ),"")</f>
        <v/>
      </c>
    </row>
    <row r="814" spans="3:14">
      <c r="C814" s="485"/>
      <c r="D814" s="776"/>
      <c r="E814" s="2475" t="s">
        <v>1441</v>
      </c>
      <c r="F814" s="2410"/>
      <c r="G814" s="777"/>
      <c r="H814" s="813"/>
      <c r="I814" s="813"/>
      <c r="J814" s="813"/>
      <c r="K814" s="813"/>
      <c r="L814" s="813"/>
      <c r="M814" s="813"/>
      <c r="N814" s="814"/>
    </row>
    <row r="815" spans="3:14">
      <c r="C815" s="485"/>
      <c r="D815" s="776"/>
      <c r="E815" s="2487" t="str">
        <f>IFERROR(IF([1]K_Summary!$E$800 = "", "", [1]K_Summary!$E$800 ),"")</f>
        <v/>
      </c>
      <c r="F815" s="2488"/>
      <c r="G815" s="815" t="s">
        <v>1020</v>
      </c>
      <c r="H815" s="126" t="str">
        <f>IFERROR(IF([1]K_Summary!$H$800 = "", "", [1]K_Summary!$H$800 ),"")</f>
        <v/>
      </c>
      <c r="I815" s="235" t="str">
        <f>IFERROR(IF([1]K_Summary!$I$800 = "", "", [1]K_Summary!$I$800 ),"")</f>
        <v/>
      </c>
      <c r="J815" s="236" t="str">
        <f>IFERROR(IF([1]K_Summary!$J$800 = "", "", [1]K_Summary!$J$800 ),"")</f>
        <v/>
      </c>
      <c r="K815" s="126" t="str">
        <f>IFERROR(IF([1]K_Summary!$K$800 = "", "", [1]K_Summary!$K$800 ),"")</f>
        <v/>
      </c>
      <c r="L815" s="126" t="str">
        <f>IFERROR(IF([1]K_Summary!$L$800 = "", "", [1]K_Summary!$L$800 ),"")</f>
        <v/>
      </c>
      <c r="M815" s="126" t="str">
        <f>IFERROR(IF([1]K_Summary!$M$800 = "", "", [1]K_Summary!$M$800 ),"")</f>
        <v/>
      </c>
      <c r="N815" s="237" t="str">
        <f>IFERROR(IF([1]K_Summary!$N$800 = "", "", [1]K_Summary!$N$800 ),"")</f>
        <v/>
      </c>
    </row>
    <row r="816" spans="3:14">
      <c r="C816" s="485"/>
      <c r="D816" s="776"/>
      <c r="E816" s="2487" t="str">
        <f>IFERROR(IF([1]K_Summary!$E$801 = "", "", [1]K_Summary!$E$801 ),"")</f>
        <v/>
      </c>
      <c r="F816" s="2488"/>
      <c r="G816" s="815" t="s">
        <v>1020</v>
      </c>
      <c r="H816" s="126" t="str">
        <f>IFERROR(IF([1]K_Summary!$H$801 = "", "", [1]K_Summary!$H$801 ),"")</f>
        <v/>
      </c>
      <c r="I816" s="235" t="str">
        <f>IFERROR(IF([1]K_Summary!$I$801 = "", "", [1]K_Summary!$I$801 ),"")</f>
        <v/>
      </c>
      <c r="J816" s="236" t="str">
        <f>IFERROR(IF([1]K_Summary!$J$801 = "", "", [1]K_Summary!$J$801 ),"")</f>
        <v/>
      </c>
      <c r="K816" s="126" t="str">
        <f>IFERROR(IF([1]K_Summary!$K$801 = "", "", [1]K_Summary!$K$801 ),"")</f>
        <v/>
      </c>
      <c r="L816" s="126" t="str">
        <f>IFERROR(IF([1]K_Summary!$L$801 = "", "", [1]K_Summary!$L$801 ),"")</f>
        <v/>
      </c>
      <c r="M816" s="126" t="str">
        <f>IFERROR(IF([1]K_Summary!$M$801 = "", "", [1]K_Summary!$M$801 ),"")</f>
        <v/>
      </c>
      <c r="N816" s="237" t="str">
        <f>IFERROR(IF([1]K_Summary!$N$801 = "", "", [1]K_Summary!$N$801 ),"")</f>
        <v/>
      </c>
    </row>
    <row r="817" spans="3:14" ht="13.5" thickBot="1">
      <c r="C817" s="485"/>
      <c r="D817" s="802"/>
      <c r="E817" s="803"/>
      <c r="F817" s="803"/>
      <c r="G817" s="804"/>
      <c r="H817" s="804"/>
      <c r="I817" s="805"/>
      <c r="J817" s="805"/>
      <c r="K817" s="805"/>
      <c r="L817" s="805"/>
      <c r="M817" s="805"/>
      <c r="N817" s="806"/>
    </row>
    <row r="818" spans="3:14" ht="13.5" thickBot="1">
      <c r="C818" s="485"/>
      <c r="D818" s="485"/>
      <c r="E818" s="807"/>
      <c r="F818" s="562"/>
      <c r="G818" s="562"/>
      <c r="H818" s="562"/>
      <c r="I818" s="562"/>
      <c r="J818" s="562"/>
      <c r="K818" s="562"/>
      <c r="L818" s="562"/>
      <c r="M818" s="562"/>
      <c r="N818" s="562"/>
    </row>
    <row r="819" spans="3:14">
      <c r="C819" s="686"/>
      <c r="D819" s="686"/>
      <c r="E819" s="686"/>
      <c r="F819" s="686"/>
      <c r="G819" s="686"/>
      <c r="H819" s="686"/>
      <c r="I819" s="686"/>
      <c r="J819" s="686"/>
      <c r="K819" s="686"/>
      <c r="L819" s="686"/>
      <c r="M819" s="686"/>
      <c r="N819" s="686"/>
    </row>
    <row r="820" spans="3:14" ht="13.9" customHeight="1">
      <c r="C820" s="559">
        <v>3</v>
      </c>
      <c r="D820" s="2482" t="s">
        <v>2024</v>
      </c>
      <c r="E820" s="2482"/>
      <c r="F820" s="2482"/>
      <c r="G820" s="2482"/>
      <c r="H820" s="2483"/>
      <c r="I820" s="2489" t="str">
        <f>IFERROR(IF([1]K_Summary!$I$805 = "", "", [1]K_Summary!$I$805 ),"")</f>
        <v/>
      </c>
      <c r="J820" s="2490"/>
      <c r="K820" s="2490"/>
      <c r="L820" s="2490"/>
      <c r="M820" s="2490"/>
      <c r="N820" s="2491"/>
    </row>
    <row r="821" spans="3:14" ht="15">
      <c r="C821" s="559"/>
      <c r="D821" s="559"/>
      <c r="E821" s="559"/>
      <c r="F821" s="559"/>
      <c r="G821" s="559"/>
      <c r="H821" s="559"/>
      <c r="I821" s="559"/>
      <c r="J821" s="559"/>
      <c r="K821" s="559"/>
      <c r="L821" s="559"/>
      <c r="M821" s="559"/>
      <c r="N821" s="559"/>
    </row>
    <row r="822" spans="3:14" ht="15">
      <c r="C822" s="559"/>
      <c r="D822" s="559"/>
      <c r="E822" s="559"/>
      <c r="F822" s="559"/>
      <c r="G822" s="562"/>
      <c r="H822" s="688" t="s">
        <v>458</v>
      </c>
      <c r="I822" s="688" t="s">
        <v>1256</v>
      </c>
      <c r="J822" s="688" t="s">
        <v>1434</v>
      </c>
      <c r="K822" s="688" t="s">
        <v>1684</v>
      </c>
      <c r="L822" s="689" t="s">
        <v>156</v>
      </c>
      <c r="M822" s="2469" t="s">
        <v>302</v>
      </c>
      <c r="N822" s="2469"/>
    </row>
    <row r="823" spans="3:14" ht="15">
      <c r="C823" s="559"/>
      <c r="D823" s="559"/>
      <c r="E823" s="66" t="str">
        <f>IFERROR(IF([1]K_Summary!$E$808 = "", "", [1]K_Summary!$E$808 ),"")</f>
        <v/>
      </c>
      <c r="F823" s="51"/>
      <c r="G823" s="51"/>
      <c r="H823" s="143" t="str">
        <f>IFERROR(IF([1]K_Summary!$H$808 = "", "", [1]K_Summary!$H$808 ),"")</f>
        <v>N.A.</v>
      </c>
      <c r="I823" s="143" t="str">
        <f>IFERROR(IF([1]K_Summary!$I$808 = "", "", [1]K_Summary!$I$808 ),"")</f>
        <v/>
      </c>
      <c r="J823" s="53" t="str">
        <f>IFERROR(IF([1]K_Summary!$J$808 = "", "", [1]K_Summary!$J$808 ),"")</f>
        <v>N.A.</v>
      </c>
      <c r="K823" s="53" t="str">
        <f>IFERROR(IF([1]K_Summary!$K$808 = "", "", [1]K_Summary!$K$808 ),"")</f>
        <v>N.A.</v>
      </c>
      <c r="L823" s="144" t="str">
        <f>IFERROR(IF([1]K_Summary!$L$808 = "", "", [1]K_Summary!$L$808 ),"")</f>
        <v>N.A.</v>
      </c>
      <c r="M823" s="145" t="str">
        <f>IFERROR(IF([1]K_Summary!$M$808 = "", "", [1]K_Summary!$M$808 ),"")</f>
        <v>N.A.</v>
      </c>
      <c r="N823" s="50" t="str">
        <f>IFERROR(IF([1]K_Summary!$N$808 = "", "", [1]K_Summary!$N$808 ),"")</f>
        <v>EUA/tonnes</v>
      </c>
    </row>
    <row r="824" spans="3:14" ht="15">
      <c r="C824" s="485"/>
      <c r="D824" s="485"/>
      <c r="E824" s="559"/>
      <c r="F824" s="562"/>
      <c r="G824" s="562"/>
      <c r="H824" s="562"/>
      <c r="I824" s="562"/>
      <c r="J824" s="485"/>
      <c r="K824" s="485"/>
      <c r="L824" s="485"/>
      <c r="M824" s="485"/>
      <c r="N824" s="485"/>
    </row>
    <row r="825" spans="3:14">
      <c r="C825" s="485"/>
      <c r="D825" s="485"/>
      <c r="E825" s="496"/>
      <c r="F825" s="482" t="s">
        <v>884</v>
      </c>
      <c r="G825" s="695" t="s">
        <v>1646</v>
      </c>
      <c r="H825" s="696">
        <v>2019</v>
      </c>
      <c r="I825" s="697">
        <v>2020</v>
      </c>
      <c r="J825" s="696">
        <v>2021</v>
      </c>
      <c r="K825" s="578">
        <v>2022</v>
      </c>
      <c r="L825" s="578">
        <v>2023</v>
      </c>
      <c r="M825" s="578">
        <v>2024</v>
      </c>
      <c r="N825" s="578">
        <v>2025</v>
      </c>
    </row>
    <row r="826" spans="3:14">
      <c r="C826" s="485"/>
      <c r="D826" s="485"/>
      <c r="E826" s="698" t="s">
        <v>1665</v>
      </c>
      <c r="F826" s="146" t="str">
        <f>IFERROR(IF([1]K_Summary!$F$811 = "", "", [1]K_Summary!$F$811 ),"")</f>
        <v>tonnes</v>
      </c>
      <c r="G826" s="147" t="str">
        <f>IFERROR(IF([1]K_Summary!$G$811 = "", "", [1]K_Summary!$G$811 ),"")</f>
        <v/>
      </c>
      <c r="H826" s="148" t="str">
        <f>IFERROR(IF([1]K_Summary!$H$811 = "", "", [1]K_Summary!$H$811 ),"")</f>
        <v/>
      </c>
      <c r="I826" s="149" t="str">
        <f>IFERROR(IF([1]K_Summary!$I$811 = "", "", [1]K_Summary!$I$811 ),"")</f>
        <v/>
      </c>
      <c r="J826" s="148" t="str">
        <f>IFERROR(IF([1]K_Summary!$J$811 = "", "", [1]K_Summary!$J$811 ),"")</f>
        <v/>
      </c>
      <c r="K826" s="150" t="str">
        <f>IFERROR(IF([1]K_Summary!$K$811 = "", "", [1]K_Summary!$K$811 ),"")</f>
        <v/>
      </c>
      <c r="L826" s="150" t="str">
        <f>IFERROR(IF([1]K_Summary!$L$811 = "", "", [1]K_Summary!$L$811 ),"")</f>
        <v/>
      </c>
      <c r="M826" s="150" t="str">
        <f>IFERROR(IF([1]K_Summary!$M$811 = "", "", [1]K_Summary!$M$811 ),"")</f>
        <v/>
      </c>
      <c r="N826" s="150" t="str">
        <f>IFERROR(IF([1]K_Summary!$N$811 = "", "", [1]K_Summary!$N$811 ),"")</f>
        <v/>
      </c>
    </row>
    <row r="827" spans="3:14" ht="15.75" thickBot="1">
      <c r="C827" s="559"/>
      <c r="D827" s="559"/>
      <c r="E827" s="559"/>
      <c r="F827" s="559"/>
      <c r="G827" s="559"/>
      <c r="H827" s="559"/>
      <c r="I827" s="559"/>
      <c r="J827" s="559"/>
      <c r="K827" s="559"/>
      <c r="L827" s="559"/>
      <c r="M827" s="559"/>
      <c r="N827" s="559"/>
    </row>
    <row r="828" spans="3:14" ht="15">
      <c r="C828" s="559"/>
      <c r="D828" s="703"/>
      <c r="E828" s="704"/>
      <c r="F828" s="704"/>
      <c r="G828" s="704"/>
      <c r="H828" s="704"/>
      <c r="I828" s="704"/>
      <c r="J828" s="704"/>
      <c r="K828" s="704"/>
      <c r="L828" s="704"/>
      <c r="M828" s="704"/>
      <c r="N828" s="705"/>
    </row>
    <row r="829" spans="3:14" ht="15">
      <c r="C829" s="559"/>
      <c r="D829" s="706"/>
      <c r="E829" s="707" t="s">
        <v>1787</v>
      </c>
      <c r="F829" s="637"/>
      <c r="G829" s="637"/>
      <c r="H829" s="663"/>
      <c r="I829" s="708"/>
      <c r="J829" s="709">
        <v>2021</v>
      </c>
      <c r="K829" s="671">
        <v>2022</v>
      </c>
      <c r="L829" s="671">
        <v>2023</v>
      </c>
      <c r="M829" s="671">
        <v>2024</v>
      </c>
      <c r="N829" s="710">
        <v>2025</v>
      </c>
    </row>
    <row r="830" spans="3:14" ht="15">
      <c r="C830" s="559"/>
      <c r="D830" s="706"/>
      <c r="E830" s="711" t="s">
        <v>1783</v>
      </c>
      <c r="F830" s="712"/>
      <c r="G830" s="712"/>
      <c r="H830" s="713"/>
      <c r="I830" s="712"/>
      <c r="J830" s="151" t="str">
        <f>IFERROR(IF([1]K_Summary!$J$815 = "", "", [1]K_Summary!$J$815 ),"")</f>
        <v/>
      </c>
      <c r="K830" s="152" t="str">
        <f>IFERROR(IF([1]K_Summary!$K$815 = "", "", [1]K_Summary!$K$815 ),"")</f>
        <v/>
      </c>
      <c r="L830" s="152" t="str">
        <f>IFERROR(IF([1]K_Summary!$L$815 = "", "", [1]K_Summary!$L$815 ),"")</f>
        <v/>
      </c>
      <c r="M830" s="152" t="str">
        <f>IFERROR(IF([1]K_Summary!$M$815 = "", "", [1]K_Summary!$M$815 ),"")</f>
        <v/>
      </c>
      <c r="N830" s="153" t="str">
        <f>IFERROR(IF([1]K_Summary!$N$815 = "", "", [1]K_Summary!$N$815 ),"")</f>
        <v/>
      </c>
    </row>
    <row r="831" spans="3:14" ht="15">
      <c r="C831" s="559"/>
      <c r="D831" s="706"/>
      <c r="E831" s="714" t="s">
        <v>1784</v>
      </c>
      <c r="F831" s="715"/>
      <c r="G831" s="715"/>
      <c r="H831" s="716"/>
      <c r="I831" s="715"/>
      <c r="J831" s="154" t="str">
        <f>IFERROR(IF([1]K_Summary!$J$816 = "", "", [1]K_Summary!$J$816 ),"")</f>
        <v/>
      </c>
      <c r="K831" s="155" t="str">
        <f>IFERROR(IF([1]K_Summary!$K$816 = "", "", [1]K_Summary!$K$816 ),"")</f>
        <v/>
      </c>
      <c r="L831" s="155" t="str">
        <f>IFERROR(IF([1]K_Summary!$L$816 = "", "", [1]K_Summary!$L$816 ),"")</f>
        <v/>
      </c>
      <c r="M831" s="155" t="str">
        <f>IFERROR(IF([1]K_Summary!$M$816 = "", "", [1]K_Summary!$M$816 ),"")</f>
        <v/>
      </c>
      <c r="N831" s="156" t="str">
        <f>IFERROR(IF([1]K_Summary!$N$816 = "", "", [1]K_Summary!$N$816 ),"")</f>
        <v/>
      </c>
    </row>
    <row r="832" spans="3:14" ht="15">
      <c r="C832" s="559"/>
      <c r="D832" s="706"/>
      <c r="E832" s="559"/>
      <c r="F832" s="559"/>
      <c r="G832" s="559"/>
      <c r="H832" s="559"/>
      <c r="I832" s="559"/>
      <c r="J832" s="559"/>
      <c r="K832" s="559"/>
      <c r="L832" s="559"/>
      <c r="M832" s="559"/>
      <c r="N832" s="717"/>
    </row>
    <row r="833" spans="1:14" ht="15">
      <c r="C833" s="559"/>
      <c r="D833" s="706"/>
      <c r="E833" s="496" t="s">
        <v>1762</v>
      </c>
      <c r="F833" s="485"/>
      <c r="G833" s="485"/>
      <c r="H833" s="663" t="s">
        <v>884</v>
      </c>
      <c r="I833" s="708"/>
      <c r="J833" s="696">
        <v>2021</v>
      </c>
      <c r="K833" s="578">
        <v>2022</v>
      </c>
      <c r="L833" s="578">
        <v>2023</v>
      </c>
      <c r="M833" s="578">
        <v>2024</v>
      </c>
      <c r="N833" s="718">
        <v>2025</v>
      </c>
    </row>
    <row r="834" spans="1:14" ht="15" hidden="1">
      <c r="A834" s="719" t="s">
        <v>2289</v>
      </c>
      <c r="C834" s="559"/>
      <c r="D834" s="706"/>
      <c r="E834" s="698" t="s">
        <v>1714</v>
      </c>
      <c r="F834" s="698"/>
      <c r="G834" s="698"/>
      <c r="H834" s="63" t="str">
        <f>IFERROR(IF([1]K_Summary!$H$819 = "", "", [1]K_Summary!$H$819 ),"")</f>
        <v>tonnes</v>
      </c>
      <c r="I834" s="698"/>
      <c r="J834" s="157" t="str">
        <f>IFERROR(IF([1]K_Summary!$J$819 = "", "", [1]K_Summary!$J$819 ),"")</f>
        <v/>
      </c>
      <c r="K834" s="147" t="str">
        <f>IFERROR(IF([1]K_Summary!$K$819 = "", "", [1]K_Summary!$K$819 ),"")</f>
        <v/>
      </c>
      <c r="L834" s="147" t="str">
        <f>IFERROR(IF([1]K_Summary!$L$819 = "", "", [1]K_Summary!$L$819 ),"")</f>
        <v/>
      </c>
      <c r="M834" s="147" t="str">
        <f>IFERROR(IF([1]K_Summary!$M$819 = "", "", [1]K_Summary!$M$819 ),"")</f>
        <v/>
      </c>
      <c r="N834" s="158" t="str">
        <f>IFERROR(IF([1]K_Summary!$N$819 = "", "", [1]K_Summary!$N$819 ),"")</f>
        <v/>
      </c>
    </row>
    <row r="835" spans="1:14" ht="15" hidden="1">
      <c r="A835" s="719" t="s">
        <v>2289</v>
      </c>
      <c r="C835" s="559"/>
      <c r="D835" s="706"/>
      <c r="E835" s="720" t="s">
        <v>303</v>
      </c>
      <c r="F835" s="720"/>
      <c r="G835" s="720"/>
      <c r="H835" s="721" t="s">
        <v>2090</v>
      </c>
      <c r="I835" s="722"/>
      <c r="J835" s="159" t="str">
        <f>IFERROR(IF([1]K_Summary!$J$820 = "", "", [1]K_Summary!$J$820 ),"")</f>
        <v/>
      </c>
      <c r="K835" s="160" t="str">
        <f>IFERROR(IF([1]K_Summary!$K$820 = "", "", [1]K_Summary!$K$820 ),"")</f>
        <v/>
      </c>
      <c r="L835" s="160" t="str">
        <f>IFERROR(IF([1]K_Summary!$L$820 = "", "", [1]K_Summary!$L$820 ),"")</f>
        <v/>
      </c>
      <c r="M835" s="160" t="str">
        <f>IFERROR(IF([1]K_Summary!$M$820 = "", "", [1]K_Summary!$M$820 ),"")</f>
        <v/>
      </c>
      <c r="N835" s="161" t="str">
        <f>IFERROR(IF([1]K_Summary!$N$820 = "", "", [1]K_Summary!$N$820 ),"")</f>
        <v/>
      </c>
    </row>
    <row r="836" spans="1:14" ht="15" hidden="1">
      <c r="A836" s="719" t="s">
        <v>2289</v>
      </c>
      <c r="C836" s="559"/>
      <c r="D836" s="706"/>
      <c r="E836" s="723" t="s">
        <v>1422</v>
      </c>
      <c r="F836" s="723"/>
      <c r="G836" s="723"/>
      <c r="H836" s="724" t="s">
        <v>2090</v>
      </c>
      <c r="I836" s="725"/>
      <c r="J836" s="162" t="str">
        <f>IFERROR(IF([1]K_Summary!$J$821 = "", "", [1]K_Summary!$J$821 ),"")</f>
        <v/>
      </c>
      <c r="K836" s="163" t="str">
        <f>IFERROR(IF([1]K_Summary!$K$821 = "", "", [1]K_Summary!$K$821 ),"")</f>
        <v/>
      </c>
      <c r="L836" s="163" t="str">
        <f>IFERROR(IF([1]K_Summary!$L$821 = "", "", [1]K_Summary!$L$821 ),"")</f>
        <v/>
      </c>
      <c r="M836" s="163" t="str">
        <f>IFERROR(IF([1]K_Summary!$M$821 = "", "", [1]K_Summary!$M$821 ),"")</f>
        <v/>
      </c>
      <c r="N836" s="164" t="str">
        <f>IFERROR(IF([1]K_Summary!$N$821 = "", "", [1]K_Summary!$N$821 ),"")</f>
        <v/>
      </c>
    </row>
    <row r="837" spans="1:14" ht="15" hidden="1">
      <c r="A837" s="719" t="s">
        <v>2289</v>
      </c>
      <c r="C837" s="559"/>
      <c r="D837" s="706"/>
      <c r="E837" s="723" t="s">
        <v>1390</v>
      </c>
      <c r="F837" s="723"/>
      <c r="G837" s="723"/>
      <c r="H837" s="724" t="s">
        <v>2090</v>
      </c>
      <c r="I837" s="725"/>
      <c r="J837" s="162" t="str">
        <f>IFERROR(IF([1]K_Summary!$J$822 = "", "", [1]K_Summary!$J$822 ),"")</f>
        <v/>
      </c>
      <c r="K837" s="163" t="str">
        <f>IFERROR(IF([1]K_Summary!$K$822 = "", "", [1]K_Summary!$K$822 ),"")</f>
        <v/>
      </c>
      <c r="L837" s="163" t="str">
        <f>IFERROR(IF([1]K_Summary!$L$822 = "", "", [1]K_Summary!$L$822 ),"")</f>
        <v/>
      </c>
      <c r="M837" s="163" t="str">
        <f>IFERROR(IF([1]K_Summary!$M$822 = "", "", [1]K_Summary!$M$822 ),"")</f>
        <v/>
      </c>
      <c r="N837" s="164" t="str">
        <f>IFERROR(IF([1]K_Summary!$N$822 = "", "", [1]K_Summary!$N$822 ),"")</f>
        <v/>
      </c>
    </row>
    <row r="838" spans="1:14" ht="15" hidden="1">
      <c r="A838" s="719" t="s">
        <v>2289</v>
      </c>
      <c r="C838" s="559"/>
      <c r="D838" s="706"/>
      <c r="E838" s="723" t="s">
        <v>1389</v>
      </c>
      <c r="F838" s="723"/>
      <c r="G838" s="723"/>
      <c r="H838" s="726" t="s">
        <v>1021</v>
      </c>
      <c r="I838" s="725"/>
      <c r="J838" s="165" t="str">
        <f>IFERROR(IF([1]K_Summary!$J$823 = "", "", [1]K_Summary!$J$823 ),"")</f>
        <v/>
      </c>
      <c r="K838" s="166" t="str">
        <f>IFERROR(IF([1]K_Summary!$K$823 = "", "", [1]K_Summary!$K$823 ),"")</f>
        <v/>
      </c>
      <c r="L838" s="166" t="str">
        <f>IFERROR(IF([1]K_Summary!$L$823 = "", "", [1]K_Summary!$L$823 ),"")</f>
        <v/>
      </c>
      <c r="M838" s="166" t="str">
        <f>IFERROR(IF([1]K_Summary!$M$823 = "", "", [1]K_Summary!$M$823 ),"")</f>
        <v/>
      </c>
      <c r="N838" s="167" t="str">
        <f>IFERROR(IF([1]K_Summary!$N$823 = "", "", [1]K_Summary!$N$823 ),"")</f>
        <v/>
      </c>
    </row>
    <row r="839" spans="1:14" ht="15" hidden="1">
      <c r="A839" s="719" t="s">
        <v>2289</v>
      </c>
      <c r="C839" s="559"/>
      <c r="D839" s="706"/>
      <c r="E839" s="727" t="s">
        <v>1391</v>
      </c>
      <c r="F839" s="727"/>
      <c r="G839" s="727"/>
      <c r="H839" s="728" t="s">
        <v>1021</v>
      </c>
      <c r="I839" s="729"/>
      <c r="J839" s="168" t="str">
        <f>IFERROR(IF([1]K_Summary!$J$824 = "", "", [1]K_Summary!$J$824 ),"")</f>
        <v/>
      </c>
      <c r="K839" s="169" t="str">
        <f>IFERROR(IF([1]K_Summary!$K$824 = "", "", [1]K_Summary!$K$824 ),"")</f>
        <v/>
      </c>
      <c r="L839" s="169" t="str">
        <f>IFERROR(IF([1]K_Summary!$L$824 = "", "", [1]K_Summary!$L$824 ),"")</f>
        <v/>
      </c>
      <c r="M839" s="169" t="str">
        <f>IFERROR(IF([1]K_Summary!$M$824 = "", "", [1]K_Summary!$M$824 ),"")</f>
        <v/>
      </c>
      <c r="N839" s="170" t="str">
        <f>IFERROR(IF([1]K_Summary!$N$824 = "", "", [1]K_Summary!$N$824 ),"")</f>
        <v/>
      </c>
    </row>
    <row r="840" spans="1:14" ht="15">
      <c r="C840" s="559"/>
      <c r="D840" s="706"/>
      <c r="E840" s="698" t="s">
        <v>1671</v>
      </c>
      <c r="F840" s="698"/>
      <c r="G840" s="698"/>
      <c r="H840" s="730" t="s">
        <v>2090</v>
      </c>
      <c r="I840" s="731"/>
      <c r="J840" s="148" t="str">
        <f>IFERROR(IF([1]K_Summary!$J$825 = "", "", [1]K_Summary!$J$825 ),"")</f>
        <v/>
      </c>
      <c r="K840" s="150" t="str">
        <f>IFERROR(IF([1]K_Summary!$K$825 = "", "", [1]K_Summary!$K$825 ),"")</f>
        <v/>
      </c>
      <c r="L840" s="150" t="str">
        <f>IFERROR(IF([1]K_Summary!$L$825 = "", "", [1]K_Summary!$L$825 ),"")</f>
        <v/>
      </c>
      <c r="M840" s="150" t="str">
        <f>IFERROR(IF([1]K_Summary!$M$825 = "", "", [1]K_Summary!$M$825 ),"")</f>
        <v/>
      </c>
      <c r="N840" s="171" t="str">
        <f>IFERROR(IF([1]K_Summary!$N$825 = "", "", [1]K_Summary!$N$825 ),"")</f>
        <v/>
      </c>
    </row>
    <row r="841" spans="1:14" ht="15">
      <c r="C841" s="559"/>
      <c r="D841" s="706"/>
      <c r="E841" s="559"/>
      <c r="F841" s="559"/>
      <c r="G841" s="559"/>
      <c r="H841" s="559"/>
      <c r="I841" s="559"/>
      <c r="J841" s="559"/>
      <c r="K841" s="559"/>
      <c r="L841" s="559"/>
      <c r="M841" s="559"/>
      <c r="N841" s="717"/>
    </row>
    <row r="842" spans="1:14" ht="15">
      <c r="C842" s="559"/>
      <c r="D842" s="706"/>
      <c r="E842" s="707" t="s">
        <v>1752</v>
      </c>
      <c r="F842" s="637"/>
      <c r="G842" s="637"/>
      <c r="H842" s="663" t="s">
        <v>884</v>
      </c>
      <c r="I842" s="708"/>
      <c r="J842" s="709">
        <v>2021</v>
      </c>
      <c r="K842" s="671">
        <v>2022</v>
      </c>
      <c r="L842" s="671">
        <v>2023</v>
      </c>
      <c r="M842" s="671">
        <v>2024</v>
      </c>
      <c r="N842" s="710">
        <v>2025</v>
      </c>
    </row>
    <row r="843" spans="1:14" ht="15">
      <c r="C843" s="559"/>
      <c r="D843" s="706"/>
      <c r="E843" s="720" t="s">
        <v>1691</v>
      </c>
      <c r="F843" s="720"/>
      <c r="G843" s="720"/>
      <c r="H843" s="67" t="str">
        <f>IFERROR(IF([1]K_Summary!$H$828 = "", "", [1]K_Summary!$H$828 ),"")</f>
        <v>tonnes</v>
      </c>
      <c r="I843" s="733"/>
      <c r="J843" s="172" t="str">
        <f>IFERROR(IF([1]K_Summary!$J$828 = "", "", [1]K_Summary!$J$828 ),"")</f>
        <v/>
      </c>
      <c r="K843" s="54" t="str">
        <f>IFERROR(IF([1]K_Summary!$K$828 = "", "", [1]K_Summary!$K$828 ),"")</f>
        <v/>
      </c>
      <c r="L843" s="54" t="str">
        <f>IFERROR(IF([1]K_Summary!$L$828 = "", "", [1]K_Summary!$L$828 ),"")</f>
        <v/>
      </c>
      <c r="M843" s="54" t="str">
        <f>IFERROR(IF([1]K_Summary!$M$828 = "", "", [1]K_Summary!$M$828 ),"")</f>
        <v/>
      </c>
      <c r="N843" s="173" t="str">
        <f>IFERROR(IF([1]K_Summary!$N$828 = "", "", [1]K_Summary!$N$828 ),"")</f>
        <v/>
      </c>
    </row>
    <row r="844" spans="1:14" ht="15">
      <c r="C844" s="559"/>
      <c r="D844" s="706"/>
      <c r="E844" s="723" t="s">
        <v>1648</v>
      </c>
      <c r="F844" s="723"/>
      <c r="G844" s="723"/>
      <c r="H844" s="734" t="s">
        <v>1021</v>
      </c>
      <c r="I844" s="735"/>
      <c r="J844" s="174" t="str">
        <f>IFERROR(IF([1]K_Summary!$J$829 = "", "", [1]K_Summary!$J$829 ),"")</f>
        <v/>
      </c>
      <c r="K844" s="175" t="str">
        <f>IFERROR(IF([1]K_Summary!$K$829 = "", "", [1]K_Summary!$K$829 ),"")</f>
        <v/>
      </c>
      <c r="L844" s="175" t="str">
        <f>IFERROR(IF([1]K_Summary!$L$829 = "", "", [1]K_Summary!$L$829 ),"")</f>
        <v/>
      </c>
      <c r="M844" s="175" t="str">
        <f>IFERROR(IF([1]K_Summary!$M$829 = "", "", [1]K_Summary!$M$829 ),"")</f>
        <v/>
      </c>
      <c r="N844" s="176" t="str">
        <f>IFERROR(IF([1]K_Summary!$N$829 = "", "", [1]K_Summary!$N$829 ),"")</f>
        <v/>
      </c>
    </row>
    <row r="845" spans="1:14" ht="15">
      <c r="C845" s="559"/>
      <c r="D845" s="706"/>
      <c r="E845" s="736" t="s">
        <v>1850</v>
      </c>
      <c r="F845" s="736"/>
      <c r="G845" s="736"/>
      <c r="H845" s="737" t="s">
        <v>1021</v>
      </c>
      <c r="I845" s="738"/>
      <c r="J845" s="177" t="str">
        <f>IFERROR(IF([1]K_Summary!$J$830 = "", "", [1]K_Summary!$J$830 ),"")</f>
        <v/>
      </c>
      <c r="K845" s="178" t="str">
        <f>IFERROR(IF([1]K_Summary!$K$830 = "", "", [1]K_Summary!$K$830 ),"")</f>
        <v/>
      </c>
      <c r="L845" s="178" t="str">
        <f>IFERROR(IF([1]K_Summary!$L$830 = "", "", [1]K_Summary!$L$830 ),"")</f>
        <v/>
      </c>
      <c r="M845" s="178" t="str">
        <f>IFERROR(IF([1]K_Summary!$M$830 = "", "", [1]K_Summary!$M$830 ),"")</f>
        <v/>
      </c>
      <c r="N845" s="179" t="str">
        <f>IFERROR(IF([1]K_Summary!$N$830 = "", "", [1]K_Summary!$N$830 ),"")</f>
        <v/>
      </c>
    </row>
    <row r="846" spans="1:14" ht="15">
      <c r="C846" s="559"/>
      <c r="D846" s="706"/>
      <c r="E846" s="727" t="s">
        <v>1689</v>
      </c>
      <c r="F846" s="727"/>
      <c r="G846" s="727"/>
      <c r="H846" s="68" t="str">
        <f>IFERROR(IF([1]K_Summary!$H$831 = "", "", [1]K_Summary!$H$831 ),"")</f>
        <v>tonnes</v>
      </c>
      <c r="I846" s="727"/>
      <c r="J846" s="180" t="str">
        <f>IFERROR(IF([1]K_Summary!$J$831 = "", "", [1]K_Summary!$J$831 ),"")</f>
        <v/>
      </c>
      <c r="K846" s="181" t="str">
        <f>IFERROR(IF([1]K_Summary!$K$831 = "", "", [1]K_Summary!$K$831 ),"")</f>
        <v/>
      </c>
      <c r="L846" s="181" t="str">
        <f>IFERROR(IF([1]K_Summary!$L$831 = "", "", [1]K_Summary!$L$831 ),"")</f>
        <v/>
      </c>
      <c r="M846" s="181" t="str">
        <f>IFERROR(IF([1]K_Summary!$M$831 = "", "", [1]K_Summary!$M$831 ),"")</f>
        <v/>
      </c>
      <c r="N846" s="182" t="str">
        <f>IFERROR(IF([1]K_Summary!$N$831 = "", "", [1]K_Summary!$N$831 ),"")</f>
        <v/>
      </c>
    </row>
    <row r="847" spans="1:14" ht="15" hidden="1">
      <c r="A847" s="719" t="s">
        <v>2289</v>
      </c>
      <c r="C847" s="559"/>
      <c r="D847" s="706"/>
      <c r="E847" s="720" t="s">
        <v>303</v>
      </c>
      <c r="F847" s="720"/>
      <c r="G847" s="720"/>
      <c r="H847" s="721" t="s">
        <v>2090</v>
      </c>
      <c r="I847" s="722"/>
      <c r="J847" s="159" t="str">
        <f>IFERROR(IF([1]K_Summary!$J$832 = "", "", [1]K_Summary!$J$832 ),"")</f>
        <v/>
      </c>
      <c r="K847" s="160" t="str">
        <f>IFERROR(IF([1]K_Summary!$K$832 = "", "", [1]K_Summary!$K$832 ),"")</f>
        <v/>
      </c>
      <c r="L847" s="160" t="str">
        <f>IFERROR(IF([1]K_Summary!$L$832 = "", "", [1]K_Summary!$L$832 ),"")</f>
        <v/>
      </c>
      <c r="M847" s="160" t="str">
        <f>IFERROR(IF([1]K_Summary!$M$832 = "", "", [1]K_Summary!$M$832 ),"")</f>
        <v/>
      </c>
      <c r="N847" s="161" t="str">
        <f>IFERROR(IF([1]K_Summary!$N$832 = "", "", [1]K_Summary!$N$832 ),"")</f>
        <v/>
      </c>
    </row>
    <row r="848" spans="1:14" ht="15" hidden="1">
      <c r="A848" s="719" t="s">
        <v>2289</v>
      </c>
      <c r="C848" s="559"/>
      <c r="D848" s="706"/>
      <c r="E848" s="723" t="s">
        <v>1422</v>
      </c>
      <c r="F848" s="723"/>
      <c r="G848" s="723"/>
      <c r="H848" s="724" t="s">
        <v>2090</v>
      </c>
      <c r="I848" s="725"/>
      <c r="J848" s="162" t="str">
        <f>IFERROR(IF([1]K_Summary!$J$833 = "", "", [1]K_Summary!$J$833 ),"")</f>
        <v/>
      </c>
      <c r="K848" s="163" t="str">
        <f>IFERROR(IF([1]K_Summary!$K$833 = "", "", [1]K_Summary!$K$833 ),"")</f>
        <v/>
      </c>
      <c r="L848" s="163" t="str">
        <f>IFERROR(IF([1]K_Summary!$L$833 = "", "", [1]K_Summary!$L$833 ),"")</f>
        <v/>
      </c>
      <c r="M848" s="163" t="str">
        <f>IFERROR(IF([1]K_Summary!$M$833 = "", "", [1]K_Summary!$M$833 ),"")</f>
        <v/>
      </c>
      <c r="N848" s="164" t="str">
        <f>IFERROR(IF([1]K_Summary!$N$833 = "", "", [1]K_Summary!$N$833 ),"")</f>
        <v/>
      </c>
    </row>
    <row r="849" spans="1:14" ht="15" hidden="1">
      <c r="A849" s="719" t="s">
        <v>2289</v>
      </c>
      <c r="C849" s="559"/>
      <c r="D849" s="706"/>
      <c r="E849" s="723" t="s">
        <v>1390</v>
      </c>
      <c r="F849" s="723"/>
      <c r="G849" s="723"/>
      <c r="H849" s="724" t="s">
        <v>2090</v>
      </c>
      <c r="I849" s="725"/>
      <c r="J849" s="162" t="str">
        <f>IFERROR(IF([1]K_Summary!$J$834 = "", "", [1]K_Summary!$J$834 ),"")</f>
        <v/>
      </c>
      <c r="K849" s="163" t="str">
        <f>IFERROR(IF([1]K_Summary!$K$834 = "", "", [1]K_Summary!$K$834 ),"")</f>
        <v/>
      </c>
      <c r="L849" s="163" t="str">
        <f>IFERROR(IF([1]K_Summary!$L$834 = "", "", [1]K_Summary!$L$834 ),"")</f>
        <v/>
      </c>
      <c r="M849" s="163" t="str">
        <f>IFERROR(IF([1]K_Summary!$M$834 = "", "", [1]K_Summary!$M$834 ),"")</f>
        <v/>
      </c>
      <c r="N849" s="164" t="str">
        <f>IFERROR(IF([1]K_Summary!$N$834 = "", "", [1]K_Summary!$N$834 ),"")</f>
        <v/>
      </c>
    </row>
    <row r="850" spans="1:14" ht="15" hidden="1">
      <c r="A850" s="719" t="s">
        <v>2289</v>
      </c>
      <c r="C850" s="559"/>
      <c r="D850" s="706"/>
      <c r="E850" s="723" t="s">
        <v>1389</v>
      </c>
      <c r="F850" s="723"/>
      <c r="G850" s="723"/>
      <c r="H850" s="726" t="s">
        <v>1021</v>
      </c>
      <c r="I850" s="725"/>
      <c r="J850" s="165" t="str">
        <f>IFERROR(IF([1]K_Summary!$J$835 = "", "", [1]K_Summary!$J$835 ),"")</f>
        <v/>
      </c>
      <c r="K850" s="166" t="str">
        <f>IFERROR(IF([1]K_Summary!$K$835 = "", "", [1]K_Summary!$K$835 ),"")</f>
        <v/>
      </c>
      <c r="L850" s="166" t="str">
        <f>IFERROR(IF([1]K_Summary!$L$835 = "", "", [1]K_Summary!$L$835 ),"")</f>
        <v/>
      </c>
      <c r="M850" s="166" t="str">
        <f>IFERROR(IF([1]K_Summary!$M$835 = "", "", [1]K_Summary!$M$835 ),"")</f>
        <v/>
      </c>
      <c r="N850" s="167" t="str">
        <f>IFERROR(IF([1]K_Summary!$N$835 = "", "", [1]K_Summary!$N$835 ),"")</f>
        <v/>
      </c>
    </row>
    <row r="851" spans="1:14" ht="15" hidden="1">
      <c r="A851" s="719" t="s">
        <v>2289</v>
      </c>
      <c r="C851" s="559"/>
      <c r="D851" s="706"/>
      <c r="E851" s="727" t="s">
        <v>1391</v>
      </c>
      <c r="F851" s="727"/>
      <c r="G851" s="727"/>
      <c r="H851" s="728" t="s">
        <v>1021</v>
      </c>
      <c r="I851" s="729"/>
      <c r="J851" s="168" t="str">
        <f>IFERROR(IF([1]K_Summary!$J$836 = "", "", [1]K_Summary!$J$836 ),"")</f>
        <v/>
      </c>
      <c r="K851" s="169" t="str">
        <f>IFERROR(IF([1]K_Summary!$K$836 = "", "", [1]K_Summary!$K$836 ),"")</f>
        <v/>
      </c>
      <c r="L851" s="169" t="str">
        <f>IFERROR(IF([1]K_Summary!$L$836 = "", "", [1]K_Summary!$L$836 ),"")</f>
        <v/>
      </c>
      <c r="M851" s="169" t="str">
        <f>IFERROR(IF([1]K_Summary!$M$836 = "", "", [1]K_Summary!$M$836 ),"")</f>
        <v/>
      </c>
      <c r="N851" s="170" t="str">
        <f>IFERROR(IF([1]K_Summary!$N$836 = "", "", [1]K_Summary!$N$836 ),"")</f>
        <v/>
      </c>
    </row>
    <row r="852" spans="1:14" ht="15">
      <c r="C852" s="559"/>
      <c r="D852" s="706"/>
      <c r="E852" s="698" t="s">
        <v>1671</v>
      </c>
      <c r="F852" s="698"/>
      <c r="G852" s="698"/>
      <c r="H852" s="730" t="s">
        <v>2090</v>
      </c>
      <c r="I852" s="731"/>
      <c r="J852" s="148" t="str">
        <f>IFERROR(IF([1]K_Summary!$J$837 = "", "", [1]K_Summary!$J$837 ),"")</f>
        <v/>
      </c>
      <c r="K852" s="150" t="str">
        <f>IFERROR(IF([1]K_Summary!$K$837 = "", "", [1]K_Summary!$K$837 ),"")</f>
        <v/>
      </c>
      <c r="L852" s="150" t="str">
        <f>IFERROR(IF([1]K_Summary!$L$837 = "", "", [1]K_Summary!$L$837 ),"")</f>
        <v/>
      </c>
      <c r="M852" s="150" t="str">
        <f>IFERROR(IF([1]K_Summary!$M$837 = "", "", [1]K_Summary!$M$837 ),"")</f>
        <v/>
      </c>
      <c r="N852" s="171" t="str">
        <f>IFERROR(IF([1]K_Summary!$N$837 = "", "", [1]K_Summary!$N$837 ),"")</f>
        <v/>
      </c>
    </row>
    <row r="853" spans="1:14" ht="15">
      <c r="C853" s="559"/>
      <c r="D853" s="706"/>
      <c r="E853" s="698" t="s">
        <v>1670</v>
      </c>
      <c r="F853" s="698"/>
      <c r="G853" s="698"/>
      <c r="H853" s="730" t="s">
        <v>2090</v>
      </c>
      <c r="I853" s="731"/>
      <c r="J853" s="148" t="str">
        <f>IFERROR(IF([1]K_Summary!$J$838 = "", "", [1]K_Summary!$J$838 ),"")</f>
        <v/>
      </c>
      <c r="K853" s="150" t="str">
        <f>IFERROR(IF([1]K_Summary!$K$838 = "", "", [1]K_Summary!$K$838 ),"")</f>
        <v/>
      </c>
      <c r="L853" s="150" t="str">
        <f>IFERROR(IF([1]K_Summary!$L$838 = "", "", [1]K_Summary!$L$838 ),"")</f>
        <v/>
      </c>
      <c r="M853" s="150" t="str">
        <f>IFERROR(IF([1]K_Summary!$M$838 = "", "", [1]K_Summary!$M$838 ),"")</f>
        <v/>
      </c>
      <c r="N853" s="171" t="str">
        <f>IFERROR(IF([1]K_Summary!$N$838 = "", "", [1]K_Summary!$N$838 ),"")</f>
        <v/>
      </c>
    </row>
    <row r="854" spans="1:14" ht="15">
      <c r="C854" s="559"/>
      <c r="D854" s="706"/>
      <c r="E854" s="740" t="s">
        <v>2130</v>
      </c>
      <c r="F854" s="740"/>
      <c r="G854" s="740"/>
      <c r="H854" s="741" t="s">
        <v>1021</v>
      </c>
      <c r="I854" s="742"/>
      <c r="J854" s="183" t="str">
        <f>IFERROR(IF([1]K_Summary!$J$839 = "", "", [1]K_Summary!$J$839 ),"")</f>
        <v/>
      </c>
      <c r="K854" s="184" t="str">
        <f>IFERROR(IF([1]K_Summary!$K$839 = "", "", [1]K_Summary!$K$839 ),"")</f>
        <v/>
      </c>
      <c r="L854" s="184" t="str">
        <f>IFERROR(IF([1]K_Summary!$L$839 = "", "", [1]K_Summary!$L$839 ),"")</f>
        <v/>
      </c>
      <c r="M854" s="184" t="str">
        <f>IFERROR(IF([1]K_Summary!$M$839 = "", "", [1]K_Summary!$M$839 ),"")</f>
        <v/>
      </c>
      <c r="N854" s="185" t="str">
        <f>IFERROR(IF([1]K_Summary!$N$839 = "", "", [1]K_Summary!$N$839 ),"")</f>
        <v/>
      </c>
    </row>
    <row r="855" spans="1:14" ht="15">
      <c r="C855" s="559"/>
      <c r="D855" s="706"/>
      <c r="E855" s="485"/>
      <c r="F855" s="485"/>
      <c r="G855" s="485"/>
      <c r="H855" s="485"/>
      <c r="I855" s="743"/>
      <c r="J855" s="485"/>
      <c r="K855" s="485"/>
      <c r="L855" s="485"/>
      <c r="M855" s="485"/>
      <c r="N855" s="744"/>
    </row>
    <row r="856" spans="1:14" ht="15">
      <c r="C856" s="559"/>
      <c r="D856" s="706"/>
      <c r="E856" s="707" t="s">
        <v>1753</v>
      </c>
      <c r="F856" s="637"/>
      <c r="G856" s="637"/>
      <c r="H856" s="663" t="s">
        <v>884</v>
      </c>
      <c r="I856" s="708"/>
      <c r="J856" s="709">
        <v>2021</v>
      </c>
      <c r="K856" s="671">
        <v>2022</v>
      </c>
      <c r="L856" s="671">
        <v>2023</v>
      </c>
      <c r="M856" s="671">
        <v>2024</v>
      </c>
      <c r="N856" s="710">
        <v>2025</v>
      </c>
    </row>
    <row r="857" spans="1:14" ht="15" hidden="1">
      <c r="A857" s="719" t="s">
        <v>2289</v>
      </c>
      <c r="C857" s="559"/>
      <c r="D857" s="706"/>
      <c r="E857" s="698" t="s">
        <v>1714</v>
      </c>
      <c r="F857" s="698"/>
      <c r="G857" s="698"/>
      <c r="H857" s="63" t="str">
        <f>IFERROR(IF([1]K_Summary!$H$842 = "", "", [1]K_Summary!$H$842 ),"")</f>
        <v>tonnes</v>
      </c>
      <c r="I857" s="698"/>
      <c r="J857" s="157" t="str">
        <f>IFERROR(IF([1]K_Summary!$J$842 = "", "", [1]K_Summary!$J$842 ),"")</f>
        <v/>
      </c>
      <c r="K857" s="147" t="str">
        <f>IFERROR(IF([1]K_Summary!$K$842 = "", "", [1]K_Summary!$K$842 ),"")</f>
        <v/>
      </c>
      <c r="L857" s="147" t="str">
        <f>IFERROR(IF([1]K_Summary!$L$842 = "", "", [1]K_Summary!$L$842 ),"")</f>
        <v/>
      </c>
      <c r="M857" s="147" t="str">
        <f>IFERROR(IF([1]K_Summary!$M$842 = "", "", [1]K_Summary!$M$842 ),"")</f>
        <v/>
      </c>
      <c r="N857" s="158" t="str">
        <f>IFERROR(IF([1]K_Summary!$N$842 = "", "", [1]K_Summary!$N$842 ),"")</f>
        <v/>
      </c>
    </row>
    <row r="858" spans="1:14" ht="15" hidden="1">
      <c r="A858" s="719" t="s">
        <v>2289</v>
      </c>
      <c r="C858" s="559"/>
      <c r="D858" s="706"/>
      <c r="E858" s="720" t="s">
        <v>303</v>
      </c>
      <c r="F858" s="720"/>
      <c r="G858" s="720"/>
      <c r="H858" s="721" t="s">
        <v>2090</v>
      </c>
      <c r="I858" s="722"/>
      <c r="J858" s="159" t="str">
        <f>IFERROR(IF([1]K_Summary!$J$843 = "", "", [1]K_Summary!$J$843 ),"")</f>
        <v/>
      </c>
      <c r="K858" s="160" t="str">
        <f>IFERROR(IF([1]K_Summary!$K$843 = "", "", [1]K_Summary!$K$843 ),"")</f>
        <v/>
      </c>
      <c r="L858" s="160" t="str">
        <f>IFERROR(IF([1]K_Summary!$L$843 = "", "", [1]K_Summary!$L$843 ),"")</f>
        <v/>
      </c>
      <c r="M858" s="160" t="str">
        <f>IFERROR(IF([1]K_Summary!$M$843 = "", "", [1]K_Summary!$M$843 ),"")</f>
        <v/>
      </c>
      <c r="N858" s="161" t="str">
        <f>IFERROR(IF([1]K_Summary!$N$843 = "", "", [1]K_Summary!$N$843 ),"")</f>
        <v/>
      </c>
    </row>
    <row r="859" spans="1:14" ht="15" hidden="1">
      <c r="A859" s="719" t="s">
        <v>2289</v>
      </c>
      <c r="C859" s="559"/>
      <c r="D859" s="706"/>
      <c r="E859" s="723" t="s">
        <v>1422</v>
      </c>
      <c r="F859" s="723"/>
      <c r="G859" s="723"/>
      <c r="H859" s="724" t="s">
        <v>2090</v>
      </c>
      <c r="I859" s="725"/>
      <c r="J859" s="162" t="str">
        <f>IFERROR(IF([1]K_Summary!$J$844 = "", "", [1]K_Summary!$J$844 ),"")</f>
        <v/>
      </c>
      <c r="K859" s="163" t="str">
        <f>IFERROR(IF([1]K_Summary!$K$844 = "", "", [1]K_Summary!$K$844 ),"")</f>
        <v/>
      </c>
      <c r="L859" s="163" t="str">
        <f>IFERROR(IF([1]K_Summary!$L$844 = "", "", [1]K_Summary!$L$844 ),"")</f>
        <v/>
      </c>
      <c r="M859" s="163" t="str">
        <f>IFERROR(IF([1]K_Summary!$M$844 = "", "", [1]K_Summary!$M$844 ),"")</f>
        <v/>
      </c>
      <c r="N859" s="164" t="str">
        <f>IFERROR(IF([1]K_Summary!$N$844 = "", "", [1]K_Summary!$N$844 ),"")</f>
        <v/>
      </c>
    </row>
    <row r="860" spans="1:14" ht="15" hidden="1">
      <c r="A860" s="719" t="s">
        <v>2289</v>
      </c>
      <c r="C860" s="559"/>
      <c r="D860" s="706"/>
      <c r="E860" s="745" t="s">
        <v>1390</v>
      </c>
      <c r="F860" s="745"/>
      <c r="G860" s="745"/>
      <c r="H860" s="746" t="s">
        <v>2090</v>
      </c>
      <c r="I860" s="747"/>
      <c r="J860" s="186" t="str">
        <f>IFERROR(IF([1]K_Summary!$J$845 = "", "", [1]K_Summary!$J$845 ),"")</f>
        <v/>
      </c>
      <c r="K860" s="187" t="str">
        <f>IFERROR(IF([1]K_Summary!$K$845 = "", "", [1]K_Summary!$K$845 ),"")</f>
        <v/>
      </c>
      <c r="L860" s="187" t="str">
        <f>IFERROR(IF([1]K_Summary!$L$845 = "", "", [1]K_Summary!$L$845 ),"")</f>
        <v/>
      </c>
      <c r="M860" s="187" t="str">
        <f>IFERROR(IF([1]K_Summary!$M$845 = "", "", [1]K_Summary!$M$845 ),"")</f>
        <v/>
      </c>
      <c r="N860" s="188" t="str">
        <f>IFERROR(IF([1]K_Summary!$N$845 = "", "", [1]K_Summary!$N$845 ),"")</f>
        <v/>
      </c>
    </row>
    <row r="861" spans="1:14" ht="15">
      <c r="C861" s="559"/>
      <c r="D861" s="706"/>
      <c r="E861" s="720" t="s">
        <v>1691</v>
      </c>
      <c r="F861" s="720"/>
      <c r="G861" s="720"/>
      <c r="H861" s="748" t="s">
        <v>1021</v>
      </c>
      <c r="I861" s="722"/>
      <c r="J861" s="189" t="str">
        <f>IFERROR(IF([1]K_Summary!$J$846 = "", "", [1]K_Summary!$J$846 ),"")</f>
        <v/>
      </c>
      <c r="K861" s="190" t="str">
        <f>IFERROR(IF([1]K_Summary!$K$846 = "", "", [1]K_Summary!$K$846 ),"")</f>
        <v/>
      </c>
      <c r="L861" s="190" t="str">
        <f>IFERROR(IF([1]K_Summary!$L$846 = "", "", [1]K_Summary!$L$846 ),"")</f>
        <v/>
      </c>
      <c r="M861" s="190" t="str">
        <f>IFERROR(IF([1]K_Summary!$M$846 = "", "", [1]K_Summary!$M$846 ),"")</f>
        <v/>
      </c>
      <c r="N861" s="191" t="str">
        <f>IFERROR(IF([1]K_Summary!$N$846 = "", "", [1]K_Summary!$N$846 ),"")</f>
        <v/>
      </c>
    </row>
    <row r="862" spans="1:14" ht="15">
      <c r="C862" s="559"/>
      <c r="D862" s="706"/>
      <c r="E862" s="723" t="s">
        <v>1648</v>
      </c>
      <c r="F862" s="723"/>
      <c r="G862" s="723"/>
      <c r="H862" s="734" t="s">
        <v>1021</v>
      </c>
      <c r="I862" s="735"/>
      <c r="J862" s="174" t="str">
        <f>IFERROR(IF([1]K_Summary!$J$847 = "", "", [1]K_Summary!$J$847 ),"")</f>
        <v/>
      </c>
      <c r="K862" s="175" t="str">
        <f>IFERROR(IF([1]K_Summary!$K$847 = "", "", [1]K_Summary!$K$847 ),"")</f>
        <v/>
      </c>
      <c r="L862" s="175" t="str">
        <f>IFERROR(IF([1]K_Summary!$L$847 = "", "", [1]K_Summary!$L$847 ),"")</f>
        <v/>
      </c>
      <c r="M862" s="175" t="str">
        <f>IFERROR(IF([1]K_Summary!$M$847 = "", "", [1]K_Summary!$M$847 ),"")</f>
        <v/>
      </c>
      <c r="N862" s="176" t="str">
        <f>IFERROR(IF([1]K_Summary!$N$847 = "", "", [1]K_Summary!$N$847 ),"")</f>
        <v/>
      </c>
    </row>
    <row r="863" spans="1:14" ht="15">
      <c r="C863" s="559"/>
      <c r="D863" s="706"/>
      <c r="E863" s="736" t="s">
        <v>1852</v>
      </c>
      <c r="F863" s="736"/>
      <c r="G863" s="736"/>
      <c r="H863" s="737" t="s">
        <v>1021</v>
      </c>
      <c r="I863" s="738"/>
      <c r="J863" s="177" t="str">
        <f>IFERROR(IF([1]K_Summary!$J$848 = "", "", [1]K_Summary!$J$848 ),"")</f>
        <v/>
      </c>
      <c r="K863" s="178" t="str">
        <f>IFERROR(IF([1]K_Summary!$K$848 = "", "", [1]K_Summary!$K$848 ),"")</f>
        <v/>
      </c>
      <c r="L863" s="178" t="str">
        <f>IFERROR(IF([1]K_Summary!$L$848 = "", "", [1]K_Summary!$L$848 ),"")</f>
        <v/>
      </c>
      <c r="M863" s="178" t="str">
        <f>IFERROR(IF([1]K_Summary!$M$848 = "", "", [1]K_Summary!$M$848 ),"")</f>
        <v/>
      </c>
      <c r="N863" s="179" t="str">
        <f>IFERROR(IF([1]K_Summary!$N$848 = "", "", [1]K_Summary!$N$848 ),"")</f>
        <v/>
      </c>
    </row>
    <row r="864" spans="1:14" ht="15">
      <c r="C864" s="559"/>
      <c r="D864" s="706"/>
      <c r="E864" s="727" t="s">
        <v>1689</v>
      </c>
      <c r="F864" s="727"/>
      <c r="G864" s="727"/>
      <c r="H864" s="749" t="s">
        <v>1021</v>
      </c>
      <c r="I864" s="727"/>
      <c r="J864" s="192" t="str">
        <f>IFERROR(IF([1]K_Summary!$J$849 = "", "", [1]K_Summary!$J$849 ),"")</f>
        <v/>
      </c>
      <c r="K864" s="193" t="str">
        <f>IFERROR(IF([1]K_Summary!$K$849 = "", "", [1]K_Summary!$K$849 ),"")</f>
        <v/>
      </c>
      <c r="L864" s="193" t="str">
        <f>IFERROR(IF([1]K_Summary!$L$849 = "", "", [1]K_Summary!$L$849 ),"")</f>
        <v/>
      </c>
      <c r="M864" s="193" t="str">
        <f>IFERROR(IF([1]K_Summary!$M$849 = "", "", [1]K_Summary!$M$849 ),"")</f>
        <v/>
      </c>
      <c r="N864" s="194" t="str">
        <f>IFERROR(IF([1]K_Summary!$N$849 = "", "", [1]K_Summary!$N$849 ),"")</f>
        <v/>
      </c>
    </row>
    <row r="865" spans="1:14" ht="15" hidden="1">
      <c r="A865" s="719" t="s">
        <v>2289</v>
      </c>
      <c r="C865" s="559"/>
      <c r="D865" s="706"/>
      <c r="E865" s="727" t="s">
        <v>1391</v>
      </c>
      <c r="F865" s="727"/>
      <c r="G865" s="727"/>
      <c r="H865" s="750" t="s">
        <v>1021</v>
      </c>
      <c r="I865" s="729"/>
      <c r="J865" s="168" t="str">
        <f>IFERROR(IF([1]K_Summary!$J$850 = "", "", [1]K_Summary!$J$850 ),"")</f>
        <v/>
      </c>
      <c r="K865" s="169" t="str">
        <f>IFERROR(IF([1]K_Summary!$K$850 = "", "", [1]K_Summary!$K$850 ),"")</f>
        <v/>
      </c>
      <c r="L865" s="169" t="str">
        <f>IFERROR(IF([1]K_Summary!$L$850 = "", "", [1]K_Summary!$L$850 ),"")</f>
        <v/>
      </c>
      <c r="M865" s="169" t="str">
        <f>IFERROR(IF([1]K_Summary!$M$850 = "", "", [1]K_Summary!$M$850 ),"")</f>
        <v/>
      </c>
      <c r="N865" s="170" t="str">
        <f>IFERROR(IF([1]K_Summary!$N$850 = "", "", [1]K_Summary!$N$850 ),"")</f>
        <v/>
      </c>
    </row>
    <row r="866" spans="1:14" ht="15">
      <c r="C866" s="559"/>
      <c r="D866" s="706"/>
      <c r="E866" s="698" t="s">
        <v>1671</v>
      </c>
      <c r="F866" s="698"/>
      <c r="G866" s="698"/>
      <c r="H866" s="730" t="s">
        <v>2090</v>
      </c>
      <c r="I866" s="731"/>
      <c r="J866" s="148" t="str">
        <f>IFERROR(IF([1]K_Summary!$J$851 = "", "", [1]K_Summary!$J$851 ),"")</f>
        <v/>
      </c>
      <c r="K866" s="150" t="str">
        <f>IFERROR(IF([1]K_Summary!$K$851 = "", "", [1]K_Summary!$K$851 ),"")</f>
        <v/>
      </c>
      <c r="L866" s="150" t="str">
        <f>IFERROR(IF([1]K_Summary!$L$851 = "", "", [1]K_Summary!$L$851 ),"")</f>
        <v/>
      </c>
      <c r="M866" s="150" t="str">
        <f>IFERROR(IF([1]K_Summary!$M$851 = "", "", [1]K_Summary!$M$851 ),"")</f>
        <v/>
      </c>
      <c r="N866" s="171" t="str">
        <f>IFERROR(IF([1]K_Summary!$N$851 = "", "", [1]K_Summary!$N$851 ),"")</f>
        <v/>
      </c>
    </row>
    <row r="867" spans="1:14" ht="15">
      <c r="C867" s="559"/>
      <c r="D867" s="706"/>
      <c r="E867" s="698" t="s">
        <v>1670</v>
      </c>
      <c r="F867" s="698"/>
      <c r="G867" s="698"/>
      <c r="H867" s="730" t="s">
        <v>2090</v>
      </c>
      <c r="I867" s="731"/>
      <c r="J867" s="148" t="str">
        <f>IFERROR(IF([1]K_Summary!$J$852 = "", "", [1]K_Summary!$J$852 ),"")</f>
        <v/>
      </c>
      <c r="K867" s="150" t="str">
        <f>IFERROR(IF([1]K_Summary!$K$852 = "", "", [1]K_Summary!$K$852 ),"")</f>
        <v/>
      </c>
      <c r="L867" s="150" t="str">
        <f>IFERROR(IF([1]K_Summary!$L$852 = "", "", [1]K_Summary!$L$852 ),"")</f>
        <v/>
      </c>
      <c r="M867" s="150" t="str">
        <f>IFERROR(IF([1]K_Summary!$M$852 = "", "", [1]K_Summary!$M$852 ),"")</f>
        <v/>
      </c>
      <c r="N867" s="171" t="str">
        <f>IFERROR(IF([1]K_Summary!$N$852 = "", "", [1]K_Summary!$N$852 ),"")</f>
        <v/>
      </c>
    </row>
    <row r="868" spans="1:14" ht="15">
      <c r="C868" s="559"/>
      <c r="D868" s="706"/>
      <c r="E868" s="740" t="s">
        <v>2131</v>
      </c>
      <c r="F868" s="740"/>
      <c r="G868" s="740"/>
      <c r="H868" s="741" t="s">
        <v>1021</v>
      </c>
      <c r="I868" s="742"/>
      <c r="J868" s="183" t="str">
        <f>IFERROR(IF([1]K_Summary!$J$853 = "", "", [1]K_Summary!$J$853 ),"")</f>
        <v/>
      </c>
      <c r="K868" s="184" t="str">
        <f>IFERROR(IF([1]K_Summary!$K$853 = "", "", [1]K_Summary!$K$853 ),"")</f>
        <v/>
      </c>
      <c r="L868" s="184" t="str">
        <f>IFERROR(IF([1]K_Summary!$L$853 = "", "", [1]K_Summary!$L$853 ),"")</f>
        <v/>
      </c>
      <c r="M868" s="184" t="str">
        <f>IFERROR(IF([1]K_Summary!$M$853 = "", "", [1]K_Summary!$M$853 ),"")</f>
        <v/>
      </c>
      <c r="N868" s="185" t="str">
        <f>IFERROR(IF([1]K_Summary!$N$853 = "", "", [1]K_Summary!$N$853 ),"")</f>
        <v/>
      </c>
    </row>
    <row r="869" spans="1:14" ht="15">
      <c r="C869" s="559"/>
      <c r="D869" s="706"/>
      <c r="E869" s="485"/>
      <c r="F869" s="485"/>
      <c r="G869" s="485"/>
      <c r="H869" s="485"/>
      <c r="I869" s="743"/>
      <c r="J869" s="485"/>
      <c r="K869" s="485"/>
      <c r="L869" s="485"/>
      <c r="M869" s="485"/>
      <c r="N869" s="744"/>
    </row>
    <row r="870" spans="1:14" ht="15">
      <c r="C870" s="559"/>
      <c r="D870" s="706"/>
      <c r="E870" s="707" t="s">
        <v>1754</v>
      </c>
      <c r="F870" s="637"/>
      <c r="G870" s="637"/>
      <c r="H870" s="663" t="s">
        <v>884</v>
      </c>
      <c r="I870" s="708"/>
      <c r="J870" s="709">
        <v>2021</v>
      </c>
      <c r="K870" s="671">
        <v>2022</v>
      </c>
      <c r="L870" s="671">
        <v>2023</v>
      </c>
      <c r="M870" s="671">
        <v>2024</v>
      </c>
      <c r="N870" s="710">
        <v>2025</v>
      </c>
    </row>
    <row r="871" spans="1:14" ht="15" hidden="1">
      <c r="A871" s="719" t="s">
        <v>2289</v>
      </c>
      <c r="C871" s="559"/>
      <c r="D871" s="706"/>
      <c r="E871" s="698" t="s">
        <v>1714</v>
      </c>
      <c r="F871" s="698"/>
      <c r="G871" s="698"/>
      <c r="H871" s="63" t="str">
        <f>IFERROR(IF([1]K_Summary!$H$856 = "", "", [1]K_Summary!$H$856 ),"")</f>
        <v>tonnes</v>
      </c>
      <c r="I871" s="698"/>
      <c r="J871" s="157" t="str">
        <f>IFERROR(IF([1]K_Summary!$J$856 = "", "", [1]K_Summary!$J$856 ),"")</f>
        <v/>
      </c>
      <c r="K871" s="147" t="str">
        <f>IFERROR(IF([1]K_Summary!$K$856 = "", "", [1]K_Summary!$K$856 ),"")</f>
        <v/>
      </c>
      <c r="L871" s="147" t="str">
        <f>IFERROR(IF([1]K_Summary!$L$856 = "", "", [1]K_Summary!$L$856 ),"")</f>
        <v/>
      </c>
      <c r="M871" s="147" t="str">
        <f>IFERROR(IF([1]K_Summary!$M$856 = "", "", [1]K_Summary!$M$856 ),"")</f>
        <v/>
      </c>
      <c r="N871" s="158" t="str">
        <f>IFERROR(IF([1]K_Summary!$N$856 = "", "", [1]K_Summary!$N$856 ),"")</f>
        <v/>
      </c>
    </row>
    <row r="872" spans="1:14" ht="15">
      <c r="C872" s="559"/>
      <c r="D872" s="706"/>
      <c r="E872" s="720" t="s">
        <v>1691</v>
      </c>
      <c r="F872" s="720"/>
      <c r="G872" s="720"/>
      <c r="H872" s="748" t="s">
        <v>2090</v>
      </c>
      <c r="I872" s="722"/>
      <c r="J872" s="172" t="str">
        <f>IFERROR(IF([1]K_Summary!$J$857 = "", "", [1]K_Summary!$J$857 ),"")</f>
        <v/>
      </c>
      <c r="K872" s="54" t="str">
        <f>IFERROR(IF([1]K_Summary!$K$857 = "", "", [1]K_Summary!$K$857 ),"")</f>
        <v/>
      </c>
      <c r="L872" s="54" t="str">
        <f>IFERROR(IF([1]K_Summary!$L$857 = "", "", [1]K_Summary!$L$857 ),"")</f>
        <v/>
      </c>
      <c r="M872" s="54" t="str">
        <f>IFERROR(IF([1]K_Summary!$M$857 = "", "", [1]K_Summary!$M$857 ),"")</f>
        <v/>
      </c>
      <c r="N872" s="173" t="str">
        <f>IFERROR(IF([1]K_Summary!$N$857 = "", "", [1]K_Summary!$N$857 ),"")</f>
        <v/>
      </c>
    </row>
    <row r="873" spans="1:14" ht="15">
      <c r="C873" s="559"/>
      <c r="D873" s="706"/>
      <c r="E873" s="723" t="s">
        <v>1648</v>
      </c>
      <c r="F873" s="723"/>
      <c r="G873" s="723"/>
      <c r="H873" s="734" t="s">
        <v>1021</v>
      </c>
      <c r="I873" s="735"/>
      <c r="J873" s="174" t="str">
        <f>IFERROR(IF([1]K_Summary!$J$858 = "", "", [1]K_Summary!$J$858 ),"")</f>
        <v/>
      </c>
      <c r="K873" s="175" t="str">
        <f>IFERROR(IF([1]K_Summary!$K$858 = "", "", [1]K_Summary!$K$858 ),"")</f>
        <v/>
      </c>
      <c r="L873" s="175" t="str">
        <f>IFERROR(IF([1]K_Summary!$L$858 = "", "", [1]K_Summary!$L$858 ),"")</f>
        <v/>
      </c>
      <c r="M873" s="175" t="str">
        <f>IFERROR(IF([1]K_Summary!$M$858 = "", "", [1]K_Summary!$M$858 ),"")</f>
        <v/>
      </c>
      <c r="N873" s="176" t="str">
        <f>IFERROR(IF([1]K_Summary!$N$858 = "", "", [1]K_Summary!$N$858 ),"")</f>
        <v/>
      </c>
    </row>
    <row r="874" spans="1:14" ht="15">
      <c r="C874" s="559"/>
      <c r="D874" s="706"/>
      <c r="E874" s="736" t="s">
        <v>1853</v>
      </c>
      <c r="F874" s="736"/>
      <c r="G874" s="736"/>
      <c r="H874" s="737" t="s">
        <v>1021</v>
      </c>
      <c r="I874" s="738"/>
      <c r="J874" s="177" t="str">
        <f>IFERROR(IF([1]K_Summary!$J$859 = "", "", [1]K_Summary!$J$859 ),"")</f>
        <v/>
      </c>
      <c r="K874" s="178" t="str">
        <f>IFERROR(IF([1]K_Summary!$K$859 = "", "", [1]K_Summary!$K$859 ),"")</f>
        <v/>
      </c>
      <c r="L874" s="178" t="str">
        <f>IFERROR(IF([1]K_Summary!$L$859 = "", "", [1]K_Summary!$L$859 ),"")</f>
        <v/>
      </c>
      <c r="M874" s="178" t="str">
        <f>IFERROR(IF([1]K_Summary!$M$859 = "", "", [1]K_Summary!$M$859 ),"")</f>
        <v/>
      </c>
      <c r="N874" s="179" t="str">
        <f>IFERROR(IF([1]K_Summary!$N$859 = "", "", [1]K_Summary!$N$859 ),"")</f>
        <v/>
      </c>
    </row>
    <row r="875" spans="1:14" ht="15">
      <c r="C875" s="559"/>
      <c r="D875" s="706"/>
      <c r="E875" s="727" t="s">
        <v>1689</v>
      </c>
      <c r="F875" s="727"/>
      <c r="G875" s="727"/>
      <c r="H875" s="749" t="s">
        <v>2090</v>
      </c>
      <c r="I875" s="727"/>
      <c r="J875" s="180" t="str">
        <f>IFERROR(IF([1]K_Summary!$J$860 = "", "", [1]K_Summary!$J$860 ),"")</f>
        <v/>
      </c>
      <c r="K875" s="181" t="str">
        <f>IFERROR(IF([1]K_Summary!$K$860 = "", "", [1]K_Summary!$K$860 ),"")</f>
        <v/>
      </c>
      <c r="L875" s="181" t="str">
        <f>IFERROR(IF([1]K_Summary!$L$860 = "", "", [1]K_Summary!$L$860 ),"")</f>
        <v/>
      </c>
      <c r="M875" s="181" t="str">
        <f>IFERROR(IF([1]K_Summary!$M$860 = "", "", [1]K_Summary!$M$860 ),"")</f>
        <v/>
      </c>
      <c r="N875" s="182" t="str">
        <f>IFERROR(IF([1]K_Summary!$N$860 = "", "", [1]K_Summary!$N$860 ),"")</f>
        <v/>
      </c>
    </row>
    <row r="876" spans="1:14" ht="15" hidden="1">
      <c r="A876" s="719" t="s">
        <v>2289</v>
      </c>
      <c r="C876" s="559"/>
      <c r="D876" s="706"/>
      <c r="E876" s="723" t="s">
        <v>1422</v>
      </c>
      <c r="F876" s="723"/>
      <c r="G876" s="723"/>
      <c r="H876" s="724" t="s">
        <v>2090</v>
      </c>
      <c r="I876" s="725"/>
      <c r="J876" s="162" t="str">
        <f>IFERROR(IF([1]K_Summary!$J$861 = "", "", [1]K_Summary!$J$861 ),"")</f>
        <v/>
      </c>
      <c r="K876" s="163" t="str">
        <f>IFERROR(IF([1]K_Summary!$K$861 = "", "", [1]K_Summary!$K$861 ),"")</f>
        <v/>
      </c>
      <c r="L876" s="163" t="str">
        <f>IFERROR(IF([1]K_Summary!$L$861 = "", "", [1]K_Summary!$L$861 ),"")</f>
        <v/>
      </c>
      <c r="M876" s="163" t="str">
        <f>IFERROR(IF([1]K_Summary!$M$861 = "", "", [1]K_Summary!$M$861 ),"")</f>
        <v/>
      </c>
      <c r="N876" s="164" t="str">
        <f>IFERROR(IF([1]K_Summary!$N$861 = "", "", [1]K_Summary!$N$861 ),"")</f>
        <v/>
      </c>
    </row>
    <row r="877" spans="1:14" ht="15" hidden="1">
      <c r="A877" s="719" t="s">
        <v>2289</v>
      </c>
      <c r="C877" s="559"/>
      <c r="D877" s="706"/>
      <c r="E877" s="723" t="s">
        <v>1390</v>
      </c>
      <c r="F877" s="723"/>
      <c r="G877" s="723"/>
      <c r="H877" s="724" t="s">
        <v>2090</v>
      </c>
      <c r="I877" s="725"/>
      <c r="J877" s="162" t="str">
        <f>IFERROR(IF([1]K_Summary!$J$862 = "", "", [1]K_Summary!$J$862 ),"")</f>
        <v/>
      </c>
      <c r="K877" s="163" t="str">
        <f>IFERROR(IF([1]K_Summary!$K$862 = "", "", [1]K_Summary!$K$862 ),"")</f>
        <v/>
      </c>
      <c r="L877" s="163" t="str">
        <f>IFERROR(IF([1]K_Summary!$L$862 = "", "", [1]K_Summary!$L$862 ),"")</f>
        <v/>
      </c>
      <c r="M877" s="163" t="str">
        <f>IFERROR(IF([1]K_Summary!$M$862 = "", "", [1]K_Summary!$M$862 ),"")</f>
        <v/>
      </c>
      <c r="N877" s="164" t="str">
        <f>IFERROR(IF([1]K_Summary!$N$862 = "", "", [1]K_Summary!$N$862 ),"")</f>
        <v/>
      </c>
    </row>
    <row r="878" spans="1:14" ht="15" hidden="1">
      <c r="A878" s="719" t="s">
        <v>2289</v>
      </c>
      <c r="C878" s="559"/>
      <c r="D878" s="706"/>
      <c r="E878" s="723" t="s">
        <v>1389</v>
      </c>
      <c r="F878" s="723"/>
      <c r="G878" s="723"/>
      <c r="H878" s="726" t="s">
        <v>1021</v>
      </c>
      <c r="I878" s="725"/>
      <c r="J878" s="165" t="str">
        <f>IFERROR(IF([1]K_Summary!$J$863 = "", "", [1]K_Summary!$J$863 ),"")</f>
        <v/>
      </c>
      <c r="K878" s="166" t="str">
        <f>IFERROR(IF([1]K_Summary!$K$863 = "", "", [1]K_Summary!$K$863 ),"")</f>
        <v/>
      </c>
      <c r="L878" s="166" t="str">
        <f>IFERROR(IF([1]K_Summary!$L$863 = "", "", [1]K_Summary!$L$863 ),"")</f>
        <v/>
      </c>
      <c r="M878" s="166" t="str">
        <f>IFERROR(IF([1]K_Summary!$M$863 = "", "", [1]K_Summary!$M$863 ),"")</f>
        <v/>
      </c>
      <c r="N878" s="167" t="str">
        <f>IFERROR(IF([1]K_Summary!$N$863 = "", "", [1]K_Summary!$N$863 ),"")</f>
        <v/>
      </c>
    </row>
    <row r="879" spans="1:14" ht="15" hidden="1">
      <c r="A879" s="719" t="s">
        <v>2289</v>
      </c>
      <c r="C879" s="559"/>
      <c r="D879" s="706"/>
      <c r="E879" s="727" t="s">
        <v>1391</v>
      </c>
      <c r="F879" s="727"/>
      <c r="G879" s="727"/>
      <c r="H879" s="728" t="s">
        <v>1021</v>
      </c>
      <c r="I879" s="729"/>
      <c r="J879" s="168" t="str">
        <f>IFERROR(IF([1]K_Summary!$J$864 = "", "", [1]K_Summary!$J$864 ),"")</f>
        <v/>
      </c>
      <c r="K879" s="169" t="str">
        <f>IFERROR(IF([1]K_Summary!$K$864 = "", "", [1]K_Summary!$K$864 ),"")</f>
        <v/>
      </c>
      <c r="L879" s="169" t="str">
        <f>IFERROR(IF([1]K_Summary!$L$864 = "", "", [1]K_Summary!$L$864 ),"")</f>
        <v/>
      </c>
      <c r="M879" s="169" t="str">
        <f>IFERROR(IF([1]K_Summary!$M$864 = "", "", [1]K_Summary!$M$864 ),"")</f>
        <v/>
      </c>
      <c r="N879" s="170" t="str">
        <f>IFERROR(IF([1]K_Summary!$N$864 = "", "", [1]K_Summary!$N$864 ),"")</f>
        <v/>
      </c>
    </row>
    <row r="880" spans="1:14" ht="15">
      <c r="C880" s="559"/>
      <c r="D880" s="706"/>
      <c r="E880" s="698" t="s">
        <v>1671</v>
      </c>
      <c r="F880" s="698"/>
      <c r="G880" s="698"/>
      <c r="H880" s="730" t="s">
        <v>2090</v>
      </c>
      <c r="I880" s="731"/>
      <c r="J880" s="148" t="str">
        <f>IFERROR(IF([1]K_Summary!$J$865 = "", "", [1]K_Summary!$J$865 ),"")</f>
        <v/>
      </c>
      <c r="K880" s="150" t="str">
        <f>IFERROR(IF([1]K_Summary!$K$865 = "", "", [1]K_Summary!$K$865 ),"")</f>
        <v/>
      </c>
      <c r="L880" s="150" t="str">
        <f>IFERROR(IF([1]K_Summary!$L$865 = "", "", [1]K_Summary!$L$865 ),"")</f>
        <v/>
      </c>
      <c r="M880" s="150" t="str">
        <f>IFERROR(IF([1]K_Summary!$M$865 = "", "", [1]K_Summary!$M$865 ),"")</f>
        <v/>
      </c>
      <c r="N880" s="171" t="str">
        <f>IFERROR(IF([1]K_Summary!$N$865 = "", "", [1]K_Summary!$N$865 ),"")</f>
        <v/>
      </c>
    </row>
    <row r="881" spans="1:14" ht="15">
      <c r="C881" s="559"/>
      <c r="D881" s="706"/>
      <c r="E881" s="698" t="s">
        <v>1670</v>
      </c>
      <c r="F881" s="698"/>
      <c r="G881" s="698"/>
      <c r="H881" s="730" t="s">
        <v>2090</v>
      </c>
      <c r="I881" s="731"/>
      <c r="J881" s="148" t="str">
        <f>IFERROR(IF([1]K_Summary!$J$866 = "", "", [1]K_Summary!$J$866 ),"")</f>
        <v/>
      </c>
      <c r="K881" s="150" t="str">
        <f>IFERROR(IF([1]K_Summary!$K$866 = "", "", [1]K_Summary!$K$866 ),"")</f>
        <v/>
      </c>
      <c r="L881" s="150" t="str">
        <f>IFERROR(IF([1]K_Summary!$L$866 = "", "", [1]K_Summary!$L$866 ),"")</f>
        <v/>
      </c>
      <c r="M881" s="150" t="str">
        <f>IFERROR(IF([1]K_Summary!$M$866 = "", "", [1]K_Summary!$M$866 ),"")</f>
        <v/>
      </c>
      <c r="N881" s="171" t="str">
        <f>IFERROR(IF([1]K_Summary!$N$866 = "", "", [1]K_Summary!$N$866 ),"")</f>
        <v/>
      </c>
    </row>
    <row r="882" spans="1:14" ht="15">
      <c r="C882" s="559"/>
      <c r="D882" s="706"/>
      <c r="E882" s="740" t="s">
        <v>2132</v>
      </c>
      <c r="F882" s="740"/>
      <c r="G882" s="740"/>
      <c r="H882" s="741" t="s">
        <v>1021</v>
      </c>
      <c r="I882" s="742"/>
      <c r="J882" s="183" t="str">
        <f>IFERROR(IF([1]K_Summary!$J$867 = "", "", [1]K_Summary!$J$867 ),"")</f>
        <v/>
      </c>
      <c r="K882" s="184" t="str">
        <f>IFERROR(IF([1]K_Summary!$K$867 = "", "", [1]K_Summary!$K$867 ),"")</f>
        <v/>
      </c>
      <c r="L882" s="184" t="str">
        <f>IFERROR(IF([1]K_Summary!$L$867 = "", "", [1]K_Summary!$L$867 ),"")</f>
        <v/>
      </c>
      <c r="M882" s="184" t="str">
        <f>IFERROR(IF([1]K_Summary!$M$867 = "", "", [1]K_Summary!$M$867 ),"")</f>
        <v/>
      </c>
      <c r="N882" s="185" t="str">
        <f>IFERROR(IF([1]K_Summary!$N$867 = "", "", [1]K_Summary!$N$867 ),"")</f>
        <v/>
      </c>
    </row>
    <row r="883" spans="1:14" ht="15">
      <c r="C883" s="559"/>
      <c r="D883" s="706"/>
      <c r="E883" s="485"/>
      <c r="F883" s="485"/>
      <c r="G883" s="485"/>
      <c r="H883" s="485"/>
      <c r="I883" s="743"/>
      <c r="J883" s="485"/>
      <c r="K883" s="485"/>
      <c r="L883" s="485"/>
      <c r="M883" s="485"/>
      <c r="N883" s="744"/>
    </row>
    <row r="884" spans="1:14" ht="15">
      <c r="C884" s="559"/>
      <c r="D884" s="706"/>
      <c r="E884" s="707" t="s">
        <v>1755</v>
      </c>
      <c r="F884" s="637"/>
      <c r="G884" s="637"/>
      <c r="H884" s="663" t="s">
        <v>884</v>
      </c>
      <c r="I884" s="708"/>
      <c r="J884" s="709">
        <v>2021</v>
      </c>
      <c r="K884" s="671">
        <v>2022</v>
      </c>
      <c r="L884" s="671">
        <v>2023</v>
      </c>
      <c r="M884" s="671">
        <v>2024</v>
      </c>
      <c r="N884" s="710">
        <v>2025</v>
      </c>
    </row>
    <row r="885" spans="1:14" ht="15" hidden="1">
      <c r="A885" s="719" t="s">
        <v>2289</v>
      </c>
      <c r="C885" s="559"/>
      <c r="D885" s="706"/>
      <c r="E885" s="698" t="s">
        <v>1714</v>
      </c>
      <c r="F885" s="698"/>
      <c r="G885" s="698"/>
      <c r="H885" s="63" t="str">
        <f>IFERROR(IF([1]K_Summary!$H$870 = "", "", [1]K_Summary!$H$870 ),"")</f>
        <v>tonnes</v>
      </c>
      <c r="I885" s="698"/>
      <c r="J885" s="157" t="str">
        <f>IFERROR(IF([1]K_Summary!$J$870 = "", "", [1]K_Summary!$J$870 ),"")</f>
        <v/>
      </c>
      <c r="K885" s="147" t="str">
        <f>IFERROR(IF([1]K_Summary!$K$870 = "", "", [1]K_Summary!$K$870 ),"")</f>
        <v/>
      </c>
      <c r="L885" s="147" t="str">
        <f>IFERROR(IF([1]K_Summary!$L$870 = "", "", [1]K_Summary!$L$870 ),"")</f>
        <v/>
      </c>
      <c r="M885" s="147" t="str">
        <f>IFERROR(IF([1]K_Summary!$M$870 = "", "", [1]K_Summary!$M$870 ),"")</f>
        <v/>
      </c>
      <c r="N885" s="158" t="str">
        <f>IFERROR(IF([1]K_Summary!$N$870 = "", "", [1]K_Summary!$N$870 ),"")</f>
        <v/>
      </c>
    </row>
    <row r="886" spans="1:14" ht="15" hidden="1">
      <c r="A886" s="719" t="s">
        <v>2289</v>
      </c>
      <c r="C886" s="559"/>
      <c r="D886" s="706"/>
      <c r="E886" s="720" t="s">
        <v>303</v>
      </c>
      <c r="F886" s="720"/>
      <c r="G886" s="720"/>
      <c r="H886" s="721" t="s">
        <v>2090</v>
      </c>
      <c r="I886" s="722"/>
      <c r="J886" s="159" t="str">
        <f>IFERROR(IF([1]K_Summary!$J$871 = "", "", [1]K_Summary!$J$871 ),"")</f>
        <v/>
      </c>
      <c r="K886" s="160" t="str">
        <f>IFERROR(IF([1]K_Summary!$K$871 = "", "", [1]K_Summary!$K$871 ),"")</f>
        <v/>
      </c>
      <c r="L886" s="160" t="str">
        <f>IFERROR(IF([1]K_Summary!$L$871 = "", "", [1]K_Summary!$L$871 ),"")</f>
        <v/>
      </c>
      <c r="M886" s="160" t="str">
        <f>IFERROR(IF([1]K_Summary!$M$871 = "", "", [1]K_Summary!$M$871 ),"")</f>
        <v/>
      </c>
      <c r="N886" s="161" t="str">
        <f>IFERROR(IF([1]K_Summary!$N$871 = "", "", [1]K_Summary!$N$871 ),"")</f>
        <v/>
      </c>
    </row>
    <row r="887" spans="1:14" ht="15" hidden="1">
      <c r="A887" s="719" t="s">
        <v>2289</v>
      </c>
      <c r="C887" s="559"/>
      <c r="D887" s="706"/>
      <c r="E887" s="745" t="s">
        <v>1422</v>
      </c>
      <c r="F887" s="745"/>
      <c r="G887" s="745"/>
      <c r="H887" s="746" t="s">
        <v>2090</v>
      </c>
      <c r="I887" s="747"/>
      <c r="J887" s="186" t="str">
        <f>IFERROR(IF([1]K_Summary!$J$872 = "", "", [1]K_Summary!$J$872 ),"")</f>
        <v/>
      </c>
      <c r="K887" s="187" t="str">
        <f>IFERROR(IF([1]K_Summary!$K$872 = "", "", [1]K_Summary!$K$872 ),"")</f>
        <v/>
      </c>
      <c r="L887" s="187" t="str">
        <f>IFERROR(IF([1]K_Summary!$L$872 = "", "", [1]K_Summary!$L$872 ),"")</f>
        <v/>
      </c>
      <c r="M887" s="187" t="str">
        <f>IFERROR(IF([1]K_Summary!$M$872 = "", "", [1]K_Summary!$M$872 ),"")</f>
        <v/>
      </c>
      <c r="N887" s="188" t="str">
        <f>IFERROR(IF([1]K_Summary!$N$872 = "", "", [1]K_Summary!$N$872 ),"")</f>
        <v/>
      </c>
    </row>
    <row r="888" spans="1:14" ht="15">
      <c r="C888" s="559"/>
      <c r="D888" s="706"/>
      <c r="E888" s="720" t="s">
        <v>1691</v>
      </c>
      <c r="F888" s="720"/>
      <c r="G888" s="720"/>
      <c r="H888" s="721" t="s">
        <v>2090</v>
      </c>
      <c r="I888" s="722"/>
      <c r="J888" s="195" t="str">
        <f>IFERROR(IF([1]K_Summary!$J$873 = "", "", [1]K_Summary!$J$873 ),"")</f>
        <v/>
      </c>
      <c r="K888" s="196" t="str">
        <f>IFERROR(IF([1]K_Summary!$K$873 = "", "", [1]K_Summary!$K$873 ),"")</f>
        <v/>
      </c>
      <c r="L888" s="196" t="str">
        <f>IFERROR(IF([1]K_Summary!$L$873 = "", "", [1]K_Summary!$L$873 ),"")</f>
        <v/>
      </c>
      <c r="M888" s="196" t="str">
        <f>IFERROR(IF([1]K_Summary!$M$873 = "", "", [1]K_Summary!$M$873 ),"")</f>
        <v/>
      </c>
      <c r="N888" s="197" t="str">
        <f>IFERROR(IF([1]K_Summary!$N$873 = "", "", [1]K_Summary!$N$873 ),"")</f>
        <v/>
      </c>
    </row>
    <row r="889" spans="1:14" ht="15">
      <c r="C889" s="559"/>
      <c r="D889" s="706"/>
      <c r="E889" s="723" t="s">
        <v>1648</v>
      </c>
      <c r="F889" s="723"/>
      <c r="G889" s="723"/>
      <c r="H889" s="751" t="s">
        <v>1021</v>
      </c>
      <c r="I889" s="735"/>
      <c r="J889" s="174" t="str">
        <f>IFERROR(IF([1]K_Summary!$J$874 = "", "", [1]K_Summary!$J$874 ),"")</f>
        <v/>
      </c>
      <c r="K889" s="175" t="str">
        <f>IFERROR(IF([1]K_Summary!$K$874 = "", "", [1]K_Summary!$K$874 ),"")</f>
        <v/>
      </c>
      <c r="L889" s="175" t="str">
        <f>IFERROR(IF([1]K_Summary!$L$874 = "", "", [1]K_Summary!$L$874 ),"")</f>
        <v/>
      </c>
      <c r="M889" s="175" t="str">
        <f>IFERROR(IF([1]K_Summary!$M$874 = "", "", [1]K_Summary!$M$874 ),"")</f>
        <v/>
      </c>
      <c r="N889" s="176" t="str">
        <f>IFERROR(IF([1]K_Summary!$N$874 = "", "", [1]K_Summary!$N$874 ),"")</f>
        <v/>
      </c>
    </row>
    <row r="890" spans="1:14" ht="15">
      <c r="C890" s="559"/>
      <c r="D890" s="706"/>
      <c r="E890" s="736" t="s">
        <v>1854</v>
      </c>
      <c r="F890" s="736"/>
      <c r="G890" s="736"/>
      <c r="H890" s="738" t="s">
        <v>1021</v>
      </c>
      <c r="I890" s="738"/>
      <c r="J890" s="177" t="str">
        <f>IFERROR(IF([1]K_Summary!$J$875 = "", "", [1]K_Summary!$J$875 ),"")</f>
        <v/>
      </c>
      <c r="K890" s="178" t="str">
        <f>IFERROR(IF([1]K_Summary!$K$875 = "", "", [1]K_Summary!$K$875 ),"")</f>
        <v/>
      </c>
      <c r="L890" s="178" t="str">
        <f>IFERROR(IF([1]K_Summary!$L$875 = "", "", [1]K_Summary!$L$875 ),"")</f>
        <v/>
      </c>
      <c r="M890" s="178" t="str">
        <f>IFERROR(IF([1]K_Summary!$M$875 = "", "", [1]K_Summary!$M$875 ),"")</f>
        <v/>
      </c>
      <c r="N890" s="179" t="str">
        <f>IFERROR(IF([1]K_Summary!$N$875 = "", "", [1]K_Summary!$N$875 ),"")</f>
        <v/>
      </c>
    </row>
    <row r="891" spans="1:14" ht="15">
      <c r="C891" s="559"/>
      <c r="D891" s="706"/>
      <c r="E891" s="727" t="s">
        <v>1689</v>
      </c>
      <c r="F891" s="727"/>
      <c r="G891" s="727"/>
      <c r="H891" s="728" t="s">
        <v>2090</v>
      </c>
      <c r="I891" s="729"/>
      <c r="J891" s="198" t="str">
        <f>IFERROR(IF([1]K_Summary!$J$876 = "", "", [1]K_Summary!$J$876 ),"")</f>
        <v/>
      </c>
      <c r="K891" s="199" t="str">
        <f>IFERROR(IF([1]K_Summary!$K$876 = "", "", [1]K_Summary!$K$876 ),"")</f>
        <v/>
      </c>
      <c r="L891" s="199" t="str">
        <f>IFERROR(IF([1]K_Summary!$L$876 = "", "", [1]K_Summary!$L$876 ),"")</f>
        <v/>
      </c>
      <c r="M891" s="199" t="str">
        <f>IFERROR(IF([1]K_Summary!$M$876 = "", "", [1]K_Summary!$M$876 ),"")</f>
        <v/>
      </c>
      <c r="N891" s="200" t="str">
        <f>IFERROR(IF([1]K_Summary!$N$876 = "", "", [1]K_Summary!$N$876 ),"")</f>
        <v/>
      </c>
    </row>
    <row r="892" spans="1:14" ht="15" hidden="1">
      <c r="A892" s="719" t="s">
        <v>2289</v>
      </c>
      <c r="C892" s="559"/>
      <c r="D892" s="706"/>
      <c r="E892" s="645" t="s">
        <v>1389</v>
      </c>
      <c r="F892" s="645"/>
      <c r="G892" s="645"/>
      <c r="H892" s="752" t="s">
        <v>1021</v>
      </c>
      <c r="I892" s="753"/>
      <c r="J892" s="201" t="str">
        <f>IFERROR(IF([1]K_Summary!$J$877 = "", "", [1]K_Summary!$J$877 ),"")</f>
        <v/>
      </c>
      <c r="K892" s="202" t="str">
        <f>IFERROR(IF([1]K_Summary!$K$877 = "", "", [1]K_Summary!$K$877 ),"")</f>
        <v/>
      </c>
      <c r="L892" s="202" t="str">
        <f>IFERROR(IF([1]K_Summary!$L$877 = "", "", [1]K_Summary!$L$877 ),"")</f>
        <v/>
      </c>
      <c r="M892" s="202" t="str">
        <f>IFERROR(IF([1]K_Summary!$M$877 = "", "", [1]K_Summary!$M$877 ),"")</f>
        <v/>
      </c>
      <c r="N892" s="203" t="str">
        <f>IFERROR(IF([1]K_Summary!$N$877 = "", "", [1]K_Summary!$N$877 ),"")</f>
        <v/>
      </c>
    </row>
    <row r="893" spans="1:14" ht="15" hidden="1">
      <c r="A893" s="719" t="s">
        <v>2289</v>
      </c>
      <c r="C893" s="559"/>
      <c r="D893" s="706"/>
      <c r="E893" s="727" t="s">
        <v>1391</v>
      </c>
      <c r="F893" s="727"/>
      <c r="G893" s="727"/>
      <c r="H893" s="728" t="s">
        <v>1021</v>
      </c>
      <c r="I893" s="729"/>
      <c r="J893" s="168" t="str">
        <f>IFERROR(IF([1]K_Summary!$J$878 = "", "", [1]K_Summary!$J$878 ),"")</f>
        <v/>
      </c>
      <c r="K893" s="169" t="str">
        <f>IFERROR(IF([1]K_Summary!$K$878 = "", "", [1]K_Summary!$K$878 ),"")</f>
        <v/>
      </c>
      <c r="L893" s="169" t="str">
        <f>IFERROR(IF([1]K_Summary!$L$878 = "", "", [1]K_Summary!$L$878 ),"")</f>
        <v/>
      </c>
      <c r="M893" s="169" t="str">
        <f>IFERROR(IF([1]K_Summary!$M$878 = "", "", [1]K_Summary!$M$878 ),"")</f>
        <v/>
      </c>
      <c r="N893" s="170" t="str">
        <f>IFERROR(IF([1]K_Summary!$N$878 = "", "", [1]K_Summary!$N$878 ),"")</f>
        <v/>
      </c>
    </row>
    <row r="894" spans="1:14" ht="15">
      <c r="C894" s="559"/>
      <c r="D894" s="706"/>
      <c r="E894" s="698" t="s">
        <v>1671</v>
      </c>
      <c r="F894" s="698"/>
      <c r="G894" s="698"/>
      <c r="H894" s="730" t="s">
        <v>2090</v>
      </c>
      <c r="I894" s="731"/>
      <c r="J894" s="148" t="str">
        <f>IFERROR(IF([1]K_Summary!$J$879 = "", "", [1]K_Summary!$J$879 ),"")</f>
        <v/>
      </c>
      <c r="K894" s="150" t="str">
        <f>IFERROR(IF([1]K_Summary!$K$879 = "", "", [1]K_Summary!$K$879 ),"")</f>
        <v/>
      </c>
      <c r="L894" s="150" t="str">
        <f>IFERROR(IF([1]K_Summary!$L$879 = "", "", [1]K_Summary!$L$879 ),"")</f>
        <v/>
      </c>
      <c r="M894" s="150" t="str">
        <f>IFERROR(IF([1]K_Summary!$M$879 = "", "", [1]K_Summary!$M$879 ),"")</f>
        <v/>
      </c>
      <c r="N894" s="171" t="str">
        <f>IFERROR(IF([1]K_Summary!$N$879 = "", "", [1]K_Summary!$N$879 ),"")</f>
        <v/>
      </c>
    </row>
    <row r="895" spans="1:14" ht="15">
      <c r="C895" s="559"/>
      <c r="D895" s="706"/>
      <c r="E895" s="698" t="s">
        <v>1670</v>
      </c>
      <c r="F895" s="698"/>
      <c r="G895" s="698"/>
      <c r="H895" s="730" t="s">
        <v>2090</v>
      </c>
      <c r="I895" s="731"/>
      <c r="J895" s="148" t="str">
        <f>IFERROR(IF([1]K_Summary!$J$880 = "", "", [1]K_Summary!$J$880 ),"")</f>
        <v/>
      </c>
      <c r="K895" s="150" t="str">
        <f>IFERROR(IF([1]K_Summary!$K$880 = "", "", [1]K_Summary!$K$880 ),"")</f>
        <v/>
      </c>
      <c r="L895" s="150" t="str">
        <f>IFERROR(IF([1]K_Summary!$L$880 = "", "", [1]K_Summary!$L$880 ),"")</f>
        <v/>
      </c>
      <c r="M895" s="150" t="str">
        <f>IFERROR(IF([1]K_Summary!$M$880 = "", "", [1]K_Summary!$M$880 ),"")</f>
        <v/>
      </c>
      <c r="N895" s="171" t="str">
        <f>IFERROR(IF([1]K_Summary!$N$880 = "", "", [1]K_Summary!$N$880 ),"")</f>
        <v/>
      </c>
    </row>
    <row r="896" spans="1:14" ht="15">
      <c r="C896" s="559"/>
      <c r="D896" s="706"/>
      <c r="E896" s="740" t="s">
        <v>2133</v>
      </c>
      <c r="F896" s="698"/>
      <c r="G896" s="698"/>
      <c r="H896" s="741" t="s">
        <v>1021</v>
      </c>
      <c r="I896" s="742"/>
      <c r="J896" s="183" t="str">
        <f>IFERROR(IF([1]K_Summary!$J$881 = "", "", [1]K_Summary!$J$881 ),"")</f>
        <v/>
      </c>
      <c r="K896" s="184" t="str">
        <f>IFERROR(IF([1]K_Summary!$K$881 = "", "", [1]K_Summary!$K$881 ),"")</f>
        <v/>
      </c>
      <c r="L896" s="184" t="str">
        <f>IFERROR(IF([1]K_Summary!$L$881 = "", "", [1]K_Summary!$L$881 ),"")</f>
        <v/>
      </c>
      <c r="M896" s="184" t="str">
        <f>IFERROR(IF([1]K_Summary!$M$881 = "", "", [1]K_Summary!$M$881 ),"")</f>
        <v/>
      </c>
      <c r="N896" s="185" t="str">
        <f>IFERROR(IF([1]K_Summary!$N$881 = "", "", [1]K_Summary!$N$881 ),"")</f>
        <v/>
      </c>
    </row>
    <row r="897" spans="1:14" ht="15">
      <c r="C897" s="559"/>
      <c r="D897" s="706"/>
      <c r="E897" s="485"/>
      <c r="F897" s="485"/>
      <c r="G897" s="485"/>
      <c r="H897" s="485"/>
      <c r="I897" s="743"/>
      <c r="J897" s="485"/>
      <c r="K897" s="485"/>
      <c r="L897" s="485"/>
      <c r="M897" s="485"/>
      <c r="N897" s="744"/>
    </row>
    <row r="898" spans="1:14" ht="15">
      <c r="C898" s="559"/>
      <c r="D898" s="706"/>
      <c r="E898" s="707" t="s">
        <v>1756</v>
      </c>
      <c r="F898" s="637"/>
      <c r="G898" s="637"/>
      <c r="H898" s="663" t="s">
        <v>884</v>
      </c>
      <c r="I898" s="708"/>
      <c r="J898" s="709">
        <v>2021</v>
      </c>
      <c r="K898" s="671">
        <v>2022</v>
      </c>
      <c r="L898" s="671">
        <v>2023</v>
      </c>
      <c r="M898" s="671">
        <v>2024</v>
      </c>
      <c r="N898" s="710">
        <v>2025</v>
      </c>
    </row>
    <row r="899" spans="1:14" ht="15" hidden="1">
      <c r="A899" s="719" t="s">
        <v>2289</v>
      </c>
      <c r="C899" s="559"/>
      <c r="D899" s="706"/>
      <c r="E899" s="698" t="s">
        <v>1714</v>
      </c>
      <c r="F899" s="698"/>
      <c r="G899" s="698"/>
      <c r="H899" s="63" t="str">
        <f>IFERROR(IF([1]K_Summary!$H$884 = "", "", [1]K_Summary!$H$884 ),"")</f>
        <v>tonnes</v>
      </c>
      <c r="I899" s="698"/>
      <c r="J899" s="157" t="str">
        <f>IFERROR(IF([1]K_Summary!$J$884 = "", "", [1]K_Summary!$J$884 ),"")</f>
        <v/>
      </c>
      <c r="K899" s="147" t="str">
        <f>IFERROR(IF([1]K_Summary!$K$884 = "", "", [1]K_Summary!$K$884 ),"")</f>
        <v/>
      </c>
      <c r="L899" s="147" t="str">
        <f>IFERROR(IF([1]K_Summary!$L$884 = "", "", [1]K_Summary!$L$884 ),"")</f>
        <v/>
      </c>
      <c r="M899" s="147" t="str">
        <f>IFERROR(IF([1]K_Summary!$M$884 = "", "", [1]K_Summary!$M$884 ),"")</f>
        <v/>
      </c>
      <c r="N899" s="158" t="str">
        <f>IFERROR(IF([1]K_Summary!$N$884 = "", "", [1]K_Summary!$N$884 ),"")</f>
        <v/>
      </c>
    </row>
    <row r="900" spans="1:14" ht="15" hidden="1">
      <c r="A900" s="719" t="s">
        <v>2289</v>
      </c>
      <c r="C900" s="559"/>
      <c r="D900" s="706"/>
      <c r="E900" s="720" t="s">
        <v>303</v>
      </c>
      <c r="F900" s="720"/>
      <c r="G900" s="720"/>
      <c r="H900" s="721" t="s">
        <v>2090</v>
      </c>
      <c r="I900" s="722"/>
      <c r="J900" s="159" t="str">
        <f>IFERROR(IF([1]K_Summary!$J$885 = "", "", [1]K_Summary!$J$885 ),"")</f>
        <v/>
      </c>
      <c r="K900" s="160" t="str">
        <f>IFERROR(IF([1]K_Summary!$K$885 = "", "", [1]K_Summary!$K$885 ),"")</f>
        <v/>
      </c>
      <c r="L900" s="160" t="str">
        <f>IFERROR(IF([1]K_Summary!$L$885 = "", "", [1]K_Summary!$L$885 ),"")</f>
        <v/>
      </c>
      <c r="M900" s="160" t="str">
        <f>IFERROR(IF([1]K_Summary!$M$885 = "", "", [1]K_Summary!$M$885 ),"")</f>
        <v/>
      </c>
      <c r="N900" s="161" t="str">
        <f>IFERROR(IF([1]K_Summary!$N$885 = "", "", [1]K_Summary!$N$885 ),"")</f>
        <v/>
      </c>
    </row>
    <row r="901" spans="1:14" ht="15" hidden="1">
      <c r="A901" s="719" t="s">
        <v>2289</v>
      </c>
      <c r="C901" s="559"/>
      <c r="D901" s="706"/>
      <c r="E901" s="723" t="s">
        <v>1422</v>
      </c>
      <c r="F901" s="723"/>
      <c r="G901" s="723"/>
      <c r="H901" s="724" t="s">
        <v>2090</v>
      </c>
      <c r="I901" s="725"/>
      <c r="J901" s="162" t="str">
        <f>IFERROR(IF([1]K_Summary!$J$886 = "", "", [1]K_Summary!$J$886 ),"")</f>
        <v/>
      </c>
      <c r="K901" s="163" t="str">
        <f>IFERROR(IF([1]K_Summary!$K$886 = "", "", [1]K_Summary!$K$886 ),"")</f>
        <v/>
      </c>
      <c r="L901" s="163" t="str">
        <f>IFERROR(IF([1]K_Summary!$L$886 = "", "", [1]K_Summary!$L$886 ),"")</f>
        <v/>
      </c>
      <c r="M901" s="163" t="str">
        <f>IFERROR(IF([1]K_Summary!$M$886 = "", "", [1]K_Summary!$M$886 ),"")</f>
        <v/>
      </c>
      <c r="N901" s="164" t="str">
        <f>IFERROR(IF([1]K_Summary!$N$886 = "", "", [1]K_Summary!$N$886 ),"")</f>
        <v/>
      </c>
    </row>
    <row r="902" spans="1:14" ht="15" hidden="1">
      <c r="A902" s="719" t="s">
        <v>2289</v>
      </c>
      <c r="C902" s="559"/>
      <c r="D902" s="706"/>
      <c r="E902" s="723" t="s">
        <v>1390</v>
      </c>
      <c r="F902" s="723"/>
      <c r="G902" s="723"/>
      <c r="H902" s="724" t="s">
        <v>2090</v>
      </c>
      <c r="I902" s="725"/>
      <c r="J902" s="162" t="str">
        <f>IFERROR(IF([1]K_Summary!$J$887 = "", "", [1]K_Summary!$J$887 ),"")</f>
        <v/>
      </c>
      <c r="K902" s="163" t="str">
        <f>IFERROR(IF([1]K_Summary!$K$887 = "", "", [1]K_Summary!$K$887 ),"")</f>
        <v/>
      </c>
      <c r="L902" s="163" t="str">
        <f>IFERROR(IF([1]K_Summary!$L$887 = "", "", [1]K_Summary!$L$887 ),"")</f>
        <v/>
      </c>
      <c r="M902" s="163" t="str">
        <f>IFERROR(IF([1]K_Summary!$M$887 = "", "", [1]K_Summary!$M$887 ),"")</f>
        <v/>
      </c>
      <c r="N902" s="164" t="str">
        <f>IFERROR(IF([1]K_Summary!$N$887 = "", "", [1]K_Summary!$N$887 ),"")</f>
        <v/>
      </c>
    </row>
    <row r="903" spans="1:14" ht="15" hidden="1">
      <c r="A903" s="719" t="s">
        <v>2289</v>
      </c>
      <c r="C903" s="559"/>
      <c r="D903" s="706"/>
      <c r="E903" s="745" t="s">
        <v>1389</v>
      </c>
      <c r="F903" s="745"/>
      <c r="G903" s="745"/>
      <c r="H903" s="754" t="s">
        <v>1021</v>
      </c>
      <c r="I903" s="747"/>
      <c r="J903" s="204" t="str">
        <f>IFERROR(IF([1]K_Summary!$J$888 = "", "", [1]K_Summary!$J$888 ),"")</f>
        <v/>
      </c>
      <c r="K903" s="205" t="str">
        <f>IFERROR(IF([1]K_Summary!$K$888 = "", "", [1]K_Summary!$K$888 ),"")</f>
        <v/>
      </c>
      <c r="L903" s="205" t="str">
        <f>IFERROR(IF([1]K_Summary!$L$888 = "", "", [1]K_Summary!$L$888 ),"")</f>
        <v/>
      </c>
      <c r="M903" s="205" t="str">
        <f>IFERROR(IF([1]K_Summary!$M$888 = "", "", [1]K_Summary!$M$888 ),"")</f>
        <v/>
      </c>
      <c r="N903" s="206" t="str">
        <f>IFERROR(IF([1]K_Summary!$N$888 = "", "", [1]K_Summary!$N$888 ),"")</f>
        <v/>
      </c>
    </row>
    <row r="904" spans="1:14" ht="15">
      <c r="C904" s="559"/>
      <c r="D904" s="706"/>
      <c r="E904" s="720" t="s">
        <v>1691</v>
      </c>
      <c r="F904" s="720"/>
      <c r="G904" s="720"/>
      <c r="H904" s="748" t="s">
        <v>1021</v>
      </c>
      <c r="I904" s="722"/>
      <c r="J904" s="189" t="str">
        <f>IFERROR(IF([1]K_Summary!$J$889 = "", "", [1]K_Summary!$J$889 ),"")</f>
        <v/>
      </c>
      <c r="K904" s="190" t="str">
        <f>IFERROR(IF([1]K_Summary!$K$889 = "", "", [1]K_Summary!$K$889 ),"")</f>
        <v/>
      </c>
      <c r="L904" s="190" t="str">
        <f>IFERROR(IF([1]K_Summary!$L$889 = "", "", [1]K_Summary!$L$889 ),"")</f>
        <v/>
      </c>
      <c r="M904" s="190" t="str">
        <f>IFERROR(IF([1]K_Summary!$M$889 = "", "", [1]K_Summary!$M$889 ),"")</f>
        <v/>
      </c>
      <c r="N904" s="191" t="str">
        <f>IFERROR(IF([1]K_Summary!$N$889 = "", "", [1]K_Summary!$N$889 ),"")</f>
        <v/>
      </c>
    </row>
    <row r="905" spans="1:14" ht="15">
      <c r="C905" s="559"/>
      <c r="D905" s="706"/>
      <c r="E905" s="723" t="s">
        <v>1648</v>
      </c>
      <c r="F905" s="723"/>
      <c r="G905" s="723"/>
      <c r="H905" s="751" t="s">
        <v>1021</v>
      </c>
      <c r="I905" s="735"/>
      <c r="J905" s="174" t="str">
        <f>IFERROR(IF([1]K_Summary!$J$890 = "", "", [1]K_Summary!$J$890 ),"")</f>
        <v/>
      </c>
      <c r="K905" s="175" t="str">
        <f>IFERROR(IF([1]K_Summary!$K$890 = "", "", [1]K_Summary!$K$890 ),"")</f>
        <v/>
      </c>
      <c r="L905" s="175" t="str">
        <f>IFERROR(IF([1]K_Summary!$L$890 = "", "", [1]K_Summary!$L$890 ),"")</f>
        <v/>
      </c>
      <c r="M905" s="175" t="str">
        <f>IFERROR(IF([1]K_Summary!$M$890 = "", "", [1]K_Summary!$M$890 ),"")</f>
        <v/>
      </c>
      <c r="N905" s="176" t="str">
        <f>IFERROR(IF([1]K_Summary!$N$890 = "", "", [1]K_Summary!$N$890 ),"")</f>
        <v/>
      </c>
    </row>
    <row r="906" spans="1:14" ht="15">
      <c r="C906" s="559"/>
      <c r="D906" s="706"/>
      <c r="E906" s="736" t="s">
        <v>1855</v>
      </c>
      <c r="F906" s="736"/>
      <c r="G906" s="736"/>
      <c r="H906" s="738" t="s">
        <v>1021</v>
      </c>
      <c r="I906" s="738"/>
      <c r="J906" s="177" t="str">
        <f>IFERROR(IF([1]K_Summary!$J$891 = "", "", [1]K_Summary!$J$891 ),"")</f>
        <v/>
      </c>
      <c r="K906" s="178" t="str">
        <f>IFERROR(IF([1]K_Summary!$K$891 = "", "", [1]K_Summary!$K$891 ),"")</f>
        <v/>
      </c>
      <c r="L906" s="178" t="str">
        <f>IFERROR(IF([1]K_Summary!$L$891 = "", "", [1]K_Summary!$L$891 ),"")</f>
        <v/>
      </c>
      <c r="M906" s="178" t="str">
        <f>IFERROR(IF([1]K_Summary!$M$891 = "", "", [1]K_Summary!$M$891 ),"")</f>
        <v/>
      </c>
      <c r="N906" s="179" t="str">
        <f>IFERROR(IF([1]K_Summary!$N$891 = "", "", [1]K_Summary!$N$891 ),"")</f>
        <v/>
      </c>
    </row>
    <row r="907" spans="1:14" ht="15">
      <c r="C907" s="559"/>
      <c r="D907" s="706"/>
      <c r="E907" s="727" t="s">
        <v>1689</v>
      </c>
      <c r="F907" s="727"/>
      <c r="G907" s="727"/>
      <c r="H907" s="728" t="s">
        <v>1021</v>
      </c>
      <c r="I907" s="729"/>
      <c r="J907" s="192" t="str">
        <f>IFERROR(IF([1]K_Summary!$J$892 = "", "", [1]K_Summary!$J$892 ),"")</f>
        <v/>
      </c>
      <c r="K907" s="193" t="str">
        <f>IFERROR(IF([1]K_Summary!$K$892 = "", "", [1]K_Summary!$K$892 ),"")</f>
        <v/>
      </c>
      <c r="L907" s="193" t="str">
        <f>IFERROR(IF([1]K_Summary!$L$892 = "", "", [1]K_Summary!$L$892 ),"")</f>
        <v/>
      </c>
      <c r="M907" s="193" t="str">
        <f>IFERROR(IF([1]K_Summary!$M$892 = "", "", [1]K_Summary!$M$892 ),"")</f>
        <v/>
      </c>
      <c r="N907" s="194" t="str">
        <f>IFERROR(IF([1]K_Summary!$N$892 = "", "", [1]K_Summary!$N$892 ),"")</f>
        <v/>
      </c>
    </row>
    <row r="908" spans="1:14" ht="15">
      <c r="C908" s="559"/>
      <c r="D908" s="706"/>
      <c r="E908" s="698" t="s">
        <v>1671</v>
      </c>
      <c r="F908" s="698"/>
      <c r="G908" s="698"/>
      <c r="H908" s="730" t="s">
        <v>2090</v>
      </c>
      <c r="I908" s="731"/>
      <c r="J908" s="148" t="str">
        <f>IFERROR(IF([1]K_Summary!$J$893 = "", "", [1]K_Summary!$J$893 ),"")</f>
        <v/>
      </c>
      <c r="K908" s="150" t="str">
        <f>IFERROR(IF([1]K_Summary!$K$893 = "", "", [1]K_Summary!$K$893 ),"")</f>
        <v/>
      </c>
      <c r="L908" s="150" t="str">
        <f>IFERROR(IF([1]K_Summary!$L$893 = "", "", [1]K_Summary!$L$893 ),"")</f>
        <v/>
      </c>
      <c r="M908" s="150" t="str">
        <f>IFERROR(IF([1]K_Summary!$M$893 = "", "", [1]K_Summary!$M$893 ),"")</f>
        <v/>
      </c>
      <c r="N908" s="171" t="str">
        <f>IFERROR(IF([1]K_Summary!$N$893 = "", "", [1]K_Summary!$N$893 ),"")</f>
        <v/>
      </c>
    </row>
    <row r="909" spans="1:14" ht="15">
      <c r="C909" s="559"/>
      <c r="D909" s="706"/>
      <c r="E909" s="698" t="s">
        <v>1670</v>
      </c>
      <c r="F909" s="698"/>
      <c r="G909" s="698"/>
      <c r="H909" s="730" t="s">
        <v>2090</v>
      </c>
      <c r="I909" s="731"/>
      <c r="J909" s="148" t="str">
        <f>IFERROR(IF([1]K_Summary!$J$894 = "", "", [1]K_Summary!$J$894 ),"")</f>
        <v/>
      </c>
      <c r="K909" s="150" t="str">
        <f>IFERROR(IF([1]K_Summary!$K$894 = "", "", [1]K_Summary!$K$894 ),"")</f>
        <v/>
      </c>
      <c r="L909" s="150" t="str">
        <f>IFERROR(IF([1]K_Summary!$L$894 = "", "", [1]K_Summary!$L$894 ),"")</f>
        <v/>
      </c>
      <c r="M909" s="150" t="str">
        <f>IFERROR(IF([1]K_Summary!$M$894 = "", "", [1]K_Summary!$M$894 ),"")</f>
        <v/>
      </c>
      <c r="N909" s="171" t="str">
        <f>IFERROR(IF([1]K_Summary!$N$894 = "", "", [1]K_Summary!$N$894 ),"")</f>
        <v/>
      </c>
    </row>
    <row r="910" spans="1:14" ht="15">
      <c r="C910" s="559"/>
      <c r="D910" s="706"/>
      <c r="E910" s="740" t="s">
        <v>2134</v>
      </c>
      <c r="F910" s="698"/>
      <c r="G910" s="698"/>
      <c r="H910" s="741" t="s">
        <v>1021</v>
      </c>
      <c r="I910" s="742"/>
      <c r="J910" s="183" t="str">
        <f>IFERROR(IF([1]K_Summary!$J$895 = "", "", [1]K_Summary!$J$895 ),"")</f>
        <v/>
      </c>
      <c r="K910" s="184" t="str">
        <f>IFERROR(IF([1]K_Summary!$K$895 = "", "", [1]K_Summary!$K$895 ),"")</f>
        <v/>
      </c>
      <c r="L910" s="184" t="str">
        <f>IFERROR(IF([1]K_Summary!$L$895 = "", "", [1]K_Summary!$L$895 ),"")</f>
        <v/>
      </c>
      <c r="M910" s="184" t="str">
        <f>IFERROR(IF([1]K_Summary!$M$895 = "", "", [1]K_Summary!$M$895 ),"")</f>
        <v/>
      </c>
      <c r="N910" s="185" t="str">
        <f>IFERROR(IF([1]K_Summary!$N$895 = "", "", [1]K_Summary!$N$895 ),"")</f>
        <v/>
      </c>
    </row>
    <row r="911" spans="1:14" ht="15">
      <c r="C911" s="559"/>
      <c r="D911" s="706"/>
      <c r="E911" s="485"/>
      <c r="F911" s="485"/>
      <c r="G911" s="485"/>
      <c r="H911" s="485"/>
      <c r="I911" s="743"/>
      <c r="J911" s="485"/>
      <c r="K911" s="485"/>
      <c r="L911" s="485"/>
      <c r="M911" s="485"/>
      <c r="N911" s="744"/>
    </row>
    <row r="912" spans="1:14" ht="15">
      <c r="C912" s="559"/>
      <c r="D912" s="706"/>
      <c r="E912" s="707" t="s">
        <v>1757</v>
      </c>
      <c r="F912" s="637"/>
      <c r="G912" s="637"/>
      <c r="H912" s="663" t="s">
        <v>884</v>
      </c>
      <c r="I912" s="708"/>
      <c r="J912" s="709">
        <v>2021</v>
      </c>
      <c r="K912" s="671">
        <v>2022</v>
      </c>
      <c r="L912" s="671">
        <v>2023</v>
      </c>
      <c r="M912" s="671">
        <v>2024</v>
      </c>
      <c r="N912" s="710">
        <v>2025</v>
      </c>
    </row>
    <row r="913" spans="1:14" ht="15" hidden="1">
      <c r="A913" s="719" t="s">
        <v>2289</v>
      </c>
      <c r="C913" s="559"/>
      <c r="D913" s="706"/>
      <c r="E913" s="698" t="s">
        <v>1714</v>
      </c>
      <c r="F913" s="698"/>
      <c r="G913" s="698"/>
      <c r="H913" s="63" t="str">
        <f>IFERROR(IF([1]K_Summary!$H$898 = "", "", [1]K_Summary!$H$898 ),"")</f>
        <v>tonnes</v>
      </c>
      <c r="I913" s="698"/>
      <c r="J913" s="157" t="str">
        <f>IFERROR(IF([1]K_Summary!$J$898 = "", "", [1]K_Summary!$J$898 ),"")</f>
        <v/>
      </c>
      <c r="K913" s="147" t="str">
        <f>IFERROR(IF([1]K_Summary!$K$898 = "", "", [1]K_Summary!$K$898 ),"")</f>
        <v/>
      </c>
      <c r="L913" s="147" t="str">
        <f>IFERROR(IF([1]K_Summary!$L$898 = "", "", [1]K_Summary!$L$898 ),"")</f>
        <v/>
      </c>
      <c r="M913" s="147" t="str">
        <f>IFERROR(IF([1]K_Summary!$M$898 = "", "", [1]K_Summary!$M$898 ),"")</f>
        <v/>
      </c>
      <c r="N913" s="158" t="str">
        <f>IFERROR(IF([1]K_Summary!$N$898 = "", "", [1]K_Summary!$N$898 ),"")</f>
        <v/>
      </c>
    </row>
    <row r="914" spans="1:14" ht="15" hidden="1">
      <c r="A914" s="719" t="s">
        <v>2289</v>
      </c>
      <c r="C914" s="559"/>
      <c r="D914" s="706"/>
      <c r="E914" s="720" t="s">
        <v>303</v>
      </c>
      <c r="F914" s="720"/>
      <c r="G914" s="720"/>
      <c r="H914" s="721" t="s">
        <v>2090</v>
      </c>
      <c r="I914" s="722"/>
      <c r="J914" s="159" t="str">
        <f>IFERROR(IF([1]K_Summary!$J$899 = "", "", [1]K_Summary!$J$899 ),"")</f>
        <v/>
      </c>
      <c r="K914" s="160" t="str">
        <f>IFERROR(IF([1]K_Summary!$K$899 = "", "", [1]K_Summary!$K$899 ),"")</f>
        <v/>
      </c>
      <c r="L914" s="160" t="str">
        <f>IFERROR(IF([1]K_Summary!$L$899 = "", "", [1]K_Summary!$L$899 ),"")</f>
        <v/>
      </c>
      <c r="M914" s="160" t="str">
        <f>IFERROR(IF([1]K_Summary!$M$899 = "", "", [1]K_Summary!$M$899 ),"")</f>
        <v/>
      </c>
      <c r="N914" s="161" t="str">
        <f>IFERROR(IF([1]K_Summary!$N$899 = "", "", [1]K_Summary!$N$899 ),"")</f>
        <v/>
      </c>
    </row>
    <row r="915" spans="1:14" ht="15">
      <c r="C915" s="559"/>
      <c r="D915" s="706"/>
      <c r="E915" s="720" t="s">
        <v>1691</v>
      </c>
      <c r="F915" s="720"/>
      <c r="G915" s="720"/>
      <c r="H915" s="748" t="s">
        <v>471</v>
      </c>
      <c r="I915" s="722"/>
      <c r="J915" s="172" t="str">
        <f>IFERROR(IF([1]K_Summary!$J$900 = "", "", [1]K_Summary!$J$900 ),"")</f>
        <v/>
      </c>
      <c r="K915" s="54" t="str">
        <f>IFERROR(IF([1]K_Summary!$K$900 = "", "", [1]K_Summary!$K$900 ),"")</f>
        <v/>
      </c>
      <c r="L915" s="54" t="str">
        <f>IFERROR(IF([1]K_Summary!$L$900 = "", "", [1]K_Summary!$L$900 ),"")</f>
        <v/>
      </c>
      <c r="M915" s="54" t="str">
        <f>IFERROR(IF([1]K_Summary!$M$900 = "", "", [1]K_Summary!$M$900 ),"")</f>
        <v/>
      </c>
      <c r="N915" s="173" t="str">
        <f>IFERROR(IF([1]K_Summary!$N$900 = "", "", [1]K_Summary!$N$900 ),"")</f>
        <v/>
      </c>
    </row>
    <row r="916" spans="1:14" ht="15">
      <c r="C916" s="559"/>
      <c r="D916" s="706"/>
      <c r="E916" s="723" t="s">
        <v>1648</v>
      </c>
      <c r="F916" s="723"/>
      <c r="G916" s="723"/>
      <c r="H916" s="734" t="s">
        <v>1021</v>
      </c>
      <c r="I916" s="735"/>
      <c r="J916" s="174" t="str">
        <f>IFERROR(IF([1]K_Summary!$J$901 = "", "", [1]K_Summary!$J$901 ),"")</f>
        <v/>
      </c>
      <c r="K916" s="175" t="str">
        <f>IFERROR(IF([1]K_Summary!$K$901 = "", "", [1]K_Summary!$K$901 ),"")</f>
        <v/>
      </c>
      <c r="L916" s="175" t="str">
        <f>IFERROR(IF([1]K_Summary!$L$901 = "", "", [1]K_Summary!$L$901 ),"")</f>
        <v/>
      </c>
      <c r="M916" s="175" t="str">
        <f>IFERROR(IF([1]K_Summary!$M$901 = "", "", [1]K_Summary!$M$901 ),"")</f>
        <v/>
      </c>
      <c r="N916" s="176" t="str">
        <f>IFERROR(IF([1]K_Summary!$N$901 = "", "", [1]K_Summary!$N$901 ),"")</f>
        <v/>
      </c>
    </row>
    <row r="917" spans="1:14" ht="15">
      <c r="C917" s="559"/>
      <c r="D917" s="706"/>
      <c r="E917" s="736" t="s">
        <v>1856</v>
      </c>
      <c r="F917" s="736"/>
      <c r="G917" s="736"/>
      <c r="H917" s="737" t="s">
        <v>1021</v>
      </c>
      <c r="I917" s="738"/>
      <c r="J917" s="177" t="str">
        <f>IFERROR(IF([1]K_Summary!$J$902 = "", "", [1]K_Summary!$J$902 ),"")</f>
        <v/>
      </c>
      <c r="K917" s="178" t="str">
        <f>IFERROR(IF([1]K_Summary!$K$902 = "", "", [1]K_Summary!$K$902 ),"")</f>
        <v/>
      </c>
      <c r="L917" s="178" t="str">
        <f>IFERROR(IF([1]K_Summary!$L$902 = "", "", [1]K_Summary!$L$902 ),"")</f>
        <v/>
      </c>
      <c r="M917" s="178" t="str">
        <f>IFERROR(IF([1]K_Summary!$M$902 = "", "", [1]K_Summary!$M$902 ),"")</f>
        <v/>
      </c>
      <c r="N917" s="179" t="str">
        <f>IFERROR(IF([1]K_Summary!$N$902 = "", "", [1]K_Summary!$N$902 ),"")</f>
        <v/>
      </c>
    </row>
    <row r="918" spans="1:14" ht="15">
      <c r="C918" s="559"/>
      <c r="D918" s="706"/>
      <c r="E918" s="727" t="s">
        <v>1689</v>
      </c>
      <c r="F918" s="727"/>
      <c r="G918" s="727"/>
      <c r="H918" s="728" t="s">
        <v>471</v>
      </c>
      <c r="I918" s="729"/>
      <c r="J918" s="180" t="str">
        <f>IFERROR(IF([1]K_Summary!$J$903 = "", "", [1]K_Summary!$J$903 ),"")</f>
        <v/>
      </c>
      <c r="K918" s="181" t="str">
        <f>IFERROR(IF([1]K_Summary!$K$903 = "", "", [1]K_Summary!$K$903 ),"")</f>
        <v/>
      </c>
      <c r="L918" s="181" t="str">
        <f>IFERROR(IF([1]K_Summary!$L$903 = "", "", [1]K_Summary!$L$903 ),"")</f>
        <v/>
      </c>
      <c r="M918" s="181" t="str">
        <f>IFERROR(IF([1]K_Summary!$M$903 = "", "", [1]K_Summary!$M$903 ),"")</f>
        <v/>
      </c>
      <c r="N918" s="182" t="str">
        <f>IFERROR(IF([1]K_Summary!$N$903 = "", "", [1]K_Summary!$N$903 ),"")</f>
        <v/>
      </c>
    </row>
    <row r="919" spans="1:14" ht="15" hidden="1">
      <c r="A919" s="719" t="s">
        <v>2289</v>
      </c>
      <c r="C919" s="559"/>
      <c r="D919" s="706"/>
      <c r="E919" s="723" t="s">
        <v>1390</v>
      </c>
      <c r="F919" s="723"/>
      <c r="G919" s="723"/>
      <c r="H919" s="724" t="s">
        <v>2090</v>
      </c>
      <c r="I919" s="725"/>
      <c r="J919" s="162" t="str">
        <f>IFERROR(IF([1]K_Summary!$J$904 = "", "", [1]K_Summary!$J$904 ),"")</f>
        <v/>
      </c>
      <c r="K919" s="163" t="str">
        <f>IFERROR(IF([1]K_Summary!$K$904 = "", "", [1]K_Summary!$K$904 ),"")</f>
        <v/>
      </c>
      <c r="L919" s="163" t="str">
        <f>IFERROR(IF([1]K_Summary!$L$904 = "", "", [1]K_Summary!$L$904 ),"")</f>
        <v/>
      </c>
      <c r="M919" s="163" t="str">
        <f>IFERROR(IF([1]K_Summary!$M$904 = "", "", [1]K_Summary!$M$904 ),"")</f>
        <v/>
      </c>
      <c r="N919" s="164" t="str">
        <f>IFERROR(IF([1]K_Summary!$N$904 = "", "", [1]K_Summary!$N$904 ),"")</f>
        <v/>
      </c>
    </row>
    <row r="920" spans="1:14" ht="15" hidden="1">
      <c r="A920" s="719" t="s">
        <v>2289</v>
      </c>
      <c r="C920" s="559"/>
      <c r="D920" s="706"/>
      <c r="E920" s="723" t="s">
        <v>1389</v>
      </c>
      <c r="F920" s="723"/>
      <c r="G920" s="723"/>
      <c r="H920" s="726" t="s">
        <v>1021</v>
      </c>
      <c r="I920" s="725"/>
      <c r="J920" s="165" t="str">
        <f>IFERROR(IF([1]K_Summary!$J$905 = "", "", [1]K_Summary!$J$905 ),"")</f>
        <v/>
      </c>
      <c r="K920" s="166" t="str">
        <f>IFERROR(IF([1]K_Summary!$K$905 = "", "", [1]K_Summary!$K$905 ),"")</f>
        <v/>
      </c>
      <c r="L920" s="166" t="str">
        <f>IFERROR(IF([1]K_Summary!$L$905 = "", "", [1]K_Summary!$L$905 ),"")</f>
        <v/>
      </c>
      <c r="M920" s="166" t="str">
        <f>IFERROR(IF([1]K_Summary!$M$905 = "", "", [1]K_Summary!$M$905 ),"")</f>
        <v/>
      </c>
      <c r="N920" s="167" t="str">
        <f>IFERROR(IF([1]K_Summary!$N$905 = "", "", [1]K_Summary!$N$905 ),"")</f>
        <v/>
      </c>
    </row>
    <row r="921" spans="1:14" ht="15" hidden="1">
      <c r="A921" s="719" t="s">
        <v>2289</v>
      </c>
      <c r="C921" s="559"/>
      <c r="D921" s="706"/>
      <c r="E921" s="727" t="s">
        <v>1391</v>
      </c>
      <c r="F921" s="727"/>
      <c r="G921" s="727"/>
      <c r="H921" s="728" t="s">
        <v>1021</v>
      </c>
      <c r="I921" s="729"/>
      <c r="J921" s="168" t="str">
        <f>IFERROR(IF([1]K_Summary!$J$906 = "", "", [1]K_Summary!$J$906 ),"")</f>
        <v/>
      </c>
      <c r="K921" s="169" t="str">
        <f>IFERROR(IF([1]K_Summary!$K$906 = "", "", [1]K_Summary!$K$906 ),"")</f>
        <v/>
      </c>
      <c r="L921" s="169" t="str">
        <f>IFERROR(IF([1]K_Summary!$L$906 = "", "", [1]K_Summary!$L$906 ),"")</f>
        <v/>
      </c>
      <c r="M921" s="169" t="str">
        <f>IFERROR(IF([1]K_Summary!$M$906 = "", "", [1]K_Summary!$M$906 ),"")</f>
        <v/>
      </c>
      <c r="N921" s="170" t="str">
        <f>IFERROR(IF([1]K_Summary!$N$906 = "", "", [1]K_Summary!$N$906 ),"")</f>
        <v/>
      </c>
    </row>
    <row r="922" spans="1:14" ht="15">
      <c r="C922" s="559"/>
      <c r="D922" s="706"/>
      <c r="E922" s="698" t="s">
        <v>1671</v>
      </c>
      <c r="F922" s="698"/>
      <c r="G922" s="698"/>
      <c r="H922" s="730" t="s">
        <v>2090</v>
      </c>
      <c r="I922" s="731"/>
      <c r="J922" s="148" t="str">
        <f>IFERROR(IF([1]K_Summary!$J$907 = "", "", [1]K_Summary!$J$907 ),"")</f>
        <v/>
      </c>
      <c r="K922" s="150" t="str">
        <f>IFERROR(IF([1]K_Summary!$K$907 = "", "", [1]K_Summary!$K$907 ),"")</f>
        <v/>
      </c>
      <c r="L922" s="150" t="str">
        <f>IFERROR(IF([1]K_Summary!$L$907 = "", "", [1]K_Summary!$L$907 ),"")</f>
        <v/>
      </c>
      <c r="M922" s="150" t="str">
        <f>IFERROR(IF([1]K_Summary!$M$907 = "", "", [1]K_Summary!$M$907 ),"")</f>
        <v/>
      </c>
      <c r="N922" s="171" t="str">
        <f>IFERROR(IF([1]K_Summary!$N$907 = "", "", [1]K_Summary!$N$907 ),"")</f>
        <v/>
      </c>
    </row>
    <row r="923" spans="1:14" ht="15">
      <c r="C923" s="559"/>
      <c r="D923" s="706"/>
      <c r="E923" s="698" t="s">
        <v>1670</v>
      </c>
      <c r="F923" s="698"/>
      <c r="G923" s="698"/>
      <c r="H923" s="730" t="s">
        <v>2090</v>
      </c>
      <c r="I923" s="731"/>
      <c r="J923" s="148" t="str">
        <f>IFERROR(IF([1]K_Summary!$J$908 = "", "", [1]K_Summary!$J$908 ),"")</f>
        <v/>
      </c>
      <c r="K923" s="150" t="str">
        <f>IFERROR(IF([1]K_Summary!$K$908 = "", "", [1]K_Summary!$K$908 ),"")</f>
        <v/>
      </c>
      <c r="L923" s="150" t="str">
        <f>IFERROR(IF([1]K_Summary!$L$908 = "", "", [1]K_Summary!$L$908 ),"")</f>
        <v/>
      </c>
      <c r="M923" s="150" t="str">
        <f>IFERROR(IF([1]K_Summary!$M$908 = "", "", [1]K_Summary!$M$908 ),"")</f>
        <v/>
      </c>
      <c r="N923" s="171" t="str">
        <f>IFERROR(IF([1]K_Summary!$N$908 = "", "", [1]K_Summary!$N$908 ),"")</f>
        <v/>
      </c>
    </row>
    <row r="924" spans="1:14" ht="15">
      <c r="C924" s="559"/>
      <c r="D924" s="706"/>
      <c r="E924" s="740" t="s">
        <v>2135</v>
      </c>
      <c r="F924" s="698"/>
      <c r="G924" s="698"/>
      <c r="H924" s="741" t="s">
        <v>1021</v>
      </c>
      <c r="I924" s="742"/>
      <c r="J924" s="183" t="str">
        <f>IFERROR(IF([1]K_Summary!$J$909 = "", "", [1]K_Summary!$J$909 ),"")</f>
        <v/>
      </c>
      <c r="K924" s="184" t="str">
        <f>IFERROR(IF([1]K_Summary!$K$909 = "", "", [1]K_Summary!$K$909 ),"")</f>
        <v/>
      </c>
      <c r="L924" s="184" t="str">
        <f>IFERROR(IF([1]K_Summary!$L$909 = "", "", [1]K_Summary!$L$909 ),"")</f>
        <v/>
      </c>
      <c r="M924" s="184" t="str">
        <f>IFERROR(IF([1]K_Summary!$M$909 = "", "", [1]K_Summary!$M$909 ),"")</f>
        <v/>
      </c>
      <c r="N924" s="185" t="str">
        <f>IFERROR(IF([1]K_Summary!$N$909 = "", "", [1]K_Summary!$N$909 ),"")</f>
        <v/>
      </c>
    </row>
    <row r="925" spans="1:14" ht="15.75" thickBot="1">
      <c r="C925" s="559"/>
      <c r="D925" s="755"/>
      <c r="E925" s="756"/>
      <c r="F925" s="756"/>
      <c r="G925" s="756"/>
      <c r="H925" s="756"/>
      <c r="I925" s="757"/>
      <c r="J925" s="756"/>
      <c r="K925" s="756"/>
      <c r="L925" s="756"/>
      <c r="M925" s="756"/>
      <c r="N925" s="758"/>
    </row>
    <row r="926" spans="1:14" ht="15.75" thickBot="1">
      <c r="C926" s="559"/>
      <c r="D926" s="559"/>
      <c r="E926" s="485"/>
      <c r="F926" s="485"/>
      <c r="G926" s="485"/>
      <c r="H926" s="485"/>
      <c r="I926" s="743"/>
      <c r="J926" s="485"/>
      <c r="K926" s="485"/>
      <c r="L926" s="485"/>
      <c r="M926" s="485"/>
      <c r="N926" s="485"/>
    </row>
    <row r="927" spans="1:14">
      <c r="C927" s="485"/>
      <c r="D927" s="759"/>
      <c r="E927" s="760"/>
      <c r="F927" s="760"/>
      <c r="G927" s="760"/>
      <c r="H927" s="760"/>
      <c r="I927" s="761"/>
      <c r="J927" s="760"/>
      <c r="K927" s="760"/>
      <c r="L927" s="760"/>
      <c r="M927" s="760"/>
      <c r="N927" s="762"/>
    </row>
    <row r="928" spans="1:14">
      <c r="C928" s="485"/>
      <c r="D928" s="539"/>
      <c r="E928" s="496" t="s">
        <v>1786</v>
      </c>
      <c r="F928" s="485"/>
      <c r="G928" s="485"/>
      <c r="H928" s="663" t="s">
        <v>884</v>
      </c>
      <c r="I928" s="763" t="s">
        <v>1675</v>
      </c>
      <c r="J928" s="709">
        <v>2021</v>
      </c>
      <c r="K928" s="671">
        <v>2022</v>
      </c>
      <c r="L928" s="671">
        <v>2023</v>
      </c>
      <c r="M928" s="671">
        <v>2024</v>
      </c>
      <c r="N928" s="710">
        <v>2025</v>
      </c>
    </row>
    <row r="929" spans="3:14">
      <c r="C929" s="485"/>
      <c r="D929" s="539"/>
      <c r="E929" s="720" t="s">
        <v>1714</v>
      </c>
      <c r="F929" s="720"/>
      <c r="G929" s="720"/>
      <c r="H929" s="67" t="str">
        <f>IFERROR(IF([1]K_Summary!$H$914 = "", "", [1]K_Summary!$H$914 ),"")</f>
        <v>tonnes</v>
      </c>
      <c r="I929" s="207" t="str">
        <f>IFERROR(IF([1]K_Summary!$I$914 = "", "", [1]K_Summary!$I$914 ),"")</f>
        <v/>
      </c>
      <c r="J929" s="172" t="str">
        <f>IFERROR(IF([1]K_Summary!$J$914 = "", "", [1]K_Summary!$J$914 ),"")</f>
        <v/>
      </c>
      <c r="K929" s="54" t="str">
        <f>IFERROR(IF([1]K_Summary!$K$914 = "", "", [1]K_Summary!$K$914 ),"")</f>
        <v/>
      </c>
      <c r="L929" s="54" t="str">
        <f>IFERROR(IF([1]K_Summary!$L$914 = "", "", [1]K_Summary!$L$914 ),"")</f>
        <v/>
      </c>
      <c r="M929" s="54" t="str">
        <f>IFERROR(IF([1]K_Summary!$M$914 = "", "", [1]K_Summary!$M$914 ),"")</f>
        <v/>
      </c>
      <c r="N929" s="173" t="str">
        <f>IFERROR(IF([1]K_Summary!$N$914 = "", "", [1]K_Summary!$N$914 ),"")</f>
        <v/>
      </c>
    </row>
    <row r="930" spans="3:14">
      <c r="C930" s="485"/>
      <c r="D930" s="539"/>
      <c r="E930" s="645" t="s">
        <v>303</v>
      </c>
      <c r="F930" s="645"/>
      <c r="G930" s="645"/>
      <c r="H930" s="765" t="s">
        <v>2090</v>
      </c>
      <c r="I930" s="208" t="str">
        <f>IFERROR(IF([1]K_Summary!$I$915 = "", "", [1]K_Summary!$I$915 ),"")</f>
        <v/>
      </c>
      <c r="J930" s="209" t="str">
        <f>IFERROR(IF([1]K_Summary!$J$915 = "", "", [1]K_Summary!$J$915 ),"")</f>
        <v/>
      </c>
      <c r="K930" s="210" t="str">
        <f>IFERROR(IF([1]K_Summary!$K$915 = "", "", [1]K_Summary!$K$915 ),"")</f>
        <v/>
      </c>
      <c r="L930" s="210" t="str">
        <f>IFERROR(IF([1]K_Summary!$L$915 = "", "", [1]K_Summary!$L$915 ),"")</f>
        <v/>
      </c>
      <c r="M930" s="210" t="str">
        <f>IFERROR(IF([1]K_Summary!$M$915 = "", "", [1]K_Summary!$M$915 ),"")</f>
        <v/>
      </c>
      <c r="N930" s="211" t="str">
        <f>IFERROR(IF([1]K_Summary!$N$915 = "", "", [1]K_Summary!$N$915 ),"")</f>
        <v/>
      </c>
    </row>
    <row r="931" spans="3:14">
      <c r="C931" s="485"/>
      <c r="D931" s="539"/>
      <c r="E931" s="723" t="s">
        <v>1422</v>
      </c>
      <c r="F931" s="723"/>
      <c r="G931" s="723"/>
      <c r="H931" s="724" t="s">
        <v>2090</v>
      </c>
      <c r="I931" s="212" t="str">
        <f>IFERROR(IF([1]K_Summary!$I$916 = "", "", [1]K_Summary!$I$916 ),"")</f>
        <v/>
      </c>
      <c r="J931" s="213" t="str">
        <f>IFERROR(IF([1]K_Summary!$J$916 = "", "", [1]K_Summary!$J$916 ),"")</f>
        <v/>
      </c>
      <c r="K931" s="214" t="str">
        <f>IFERROR(IF([1]K_Summary!$K$916 = "", "", [1]K_Summary!$K$916 ),"")</f>
        <v/>
      </c>
      <c r="L931" s="214" t="str">
        <f>IFERROR(IF([1]K_Summary!$L$916 = "", "", [1]K_Summary!$L$916 ),"")</f>
        <v/>
      </c>
      <c r="M931" s="214" t="str">
        <f>IFERROR(IF([1]K_Summary!$M$916 = "", "", [1]K_Summary!$M$916 ),"")</f>
        <v/>
      </c>
      <c r="N931" s="215" t="str">
        <f>IFERROR(IF([1]K_Summary!$N$916 = "", "", [1]K_Summary!$N$916 ),"")</f>
        <v/>
      </c>
    </row>
    <row r="932" spans="3:14">
      <c r="C932" s="485"/>
      <c r="D932" s="539"/>
      <c r="E932" s="723" t="s">
        <v>1390</v>
      </c>
      <c r="F932" s="723"/>
      <c r="G932" s="723"/>
      <c r="H932" s="724" t="s">
        <v>2090</v>
      </c>
      <c r="I932" s="212" t="str">
        <f>IFERROR(IF([1]K_Summary!$I$917 = "", "", [1]K_Summary!$I$917 ),"")</f>
        <v/>
      </c>
      <c r="J932" s="213" t="str">
        <f>IFERROR(IF([1]K_Summary!$J$917 = "", "", [1]K_Summary!$J$917 ),"")</f>
        <v/>
      </c>
      <c r="K932" s="214" t="str">
        <f>IFERROR(IF([1]K_Summary!$K$917 = "", "", [1]K_Summary!$K$917 ),"")</f>
        <v/>
      </c>
      <c r="L932" s="214" t="str">
        <f>IFERROR(IF([1]K_Summary!$L$917 = "", "", [1]K_Summary!$L$917 ),"")</f>
        <v/>
      </c>
      <c r="M932" s="214" t="str">
        <f>IFERROR(IF([1]K_Summary!$M$917 = "", "", [1]K_Summary!$M$917 ),"")</f>
        <v/>
      </c>
      <c r="N932" s="215" t="str">
        <f>IFERROR(IF([1]K_Summary!$N$917 = "", "", [1]K_Summary!$N$917 ),"")</f>
        <v/>
      </c>
    </row>
    <row r="933" spans="3:14">
      <c r="C933" s="485"/>
      <c r="D933" s="539"/>
      <c r="E933" s="723" t="s">
        <v>1389</v>
      </c>
      <c r="F933" s="723"/>
      <c r="G933" s="723"/>
      <c r="H933" s="726" t="s">
        <v>1021</v>
      </c>
      <c r="I933" s="216" t="str">
        <f>IFERROR(IF([1]K_Summary!$I$918 = "", "", [1]K_Summary!$I$918 ),"")</f>
        <v/>
      </c>
      <c r="J933" s="217" t="str">
        <f>IFERROR(IF([1]K_Summary!$J$918 = "", "", [1]K_Summary!$J$918 ),"")</f>
        <v/>
      </c>
      <c r="K933" s="218" t="str">
        <f>IFERROR(IF([1]K_Summary!$K$918 = "", "", [1]K_Summary!$K$918 ),"")</f>
        <v/>
      </c>
      <c r="L933" s="218" t="str">
        <f>IFERROR(IF([1]K_Summary!$L$918 = "", "", [1]K_Summary!$L$918 ),"")</f>
        <v/>
      </c>
      <c r="M933" s="218" t="str">
        <f>IFERROR(IF([1]K_Summary!$M$918 = "", "", [1]K_Summary!$M$918 ),"")</f>
        <v/>
      </c>
      <c r="N933" s="219" t="str">
        <f>IFERROR(IF([1]K_Summary!$N$918 = "", "", [1]K_Summary!$N$918 ),"")</f>
        <v/>
      </c>
    </row>
    <row r="934" spans="3:14">
      <c r="C934" s="485"/>
      <c r="D934" s="539"/>
      <c r="E934" s="727" t="s">
        <v>1391</v>
      </c>
      <c r="F934" s="727"/>
      <c r="G934" s="727"/>
      <c r="H934" s="728" t="s">
        <v>1021</v>
      </c>
      <c r="I934" s="220" t="str">
        <f>IFERROR(IF([1]K_Summary!$I$919 = "", "", [1]K_Summary!$I$919 ),"")</f>
        <v/>
      </c>
      <c r="J934" s="221" t="str">
        <f>IFERROR(IF([1]K_Summary!$J$919 = "", "", [1]K_Summary!$J$919 ),"")</f>
        <v/>
      </c>
      <c r="K934" s="222" t="str">
        <f>IFERROR(IF([1]K_Summary!$K$919 = "", "", [1]K_Summary!$K$919 ),"")</f>
        <v/>
      </c>
      <c r="L934" s="222" t="str">
        <f>IFERROR(IF([1]K_Summary!$L$919 = "", "", [1]K_Summary!$L$919 ),"")</f>
        <v/>
      </c>
      <c r="M934" s="222" t="str">
        <f>IFERROR(IF([1]K_Summary!$M$919 = "", "", [1]K_Summary!$M$919 ),"")</f>
        <v/>
      </c>
      <c r="N934" s="223" t="str">
        <f>IFERROR(IF([1]K_Summary!$N$919 = "", "", [1]K_Summary!$N$919 ),"")</f>
        <v/>
      </c>
    </row>
    <row r="935" spans="3:14">
      <c r="C935" s="485"/>
      <c r="D935" s="539"/>
      <c r="E935" s="698" t="s">
        <v>222</v>
      </c>
      <c r="F935" s="698"/>
      <c r="G935" s="698"/>
      <c r="H935" s="730" t="s">
        <v>2090</v>
      </c>
      <c r="I935" s="224" t="str">
        <f>IFERROR(IF([1]K_Summary!$I$920 = "", "", [1]K_Summary!$I$920 ),"")</f>
        <v/>
      </c>
      <c r="J935" s="148" t="str">
        <f>IFERROR(IF([1]K_Summary!$J$920 = "", "", [1]K_Summary!$J$920 ),"")</f>
        <v/>
      </c>
      <c r="K935" s="150" t="str">
        <f>IFERROR(IF([1]K_Summary!$K$920 = "", "", [1]K_Summary!$K$920 ),"")</f>
        <v/>
      </c>
      <c r="L935" s="150" t="str">
        <f>IFERROR(IF([1]K_Summary!$L$920 = "", "", [1]K_Summary!$L$920 ),"")</f>
        <v/>
      </c>
      <c r="M935" s="150" t="str">
        <f>IFERROR(IF([1]K_Summary!$M$920 = "", "", [1]K_Summary!$M$920 ),"")</f>
        <v/>
      </c>
      <c r="N935" s="171" t="str">
        <f>IFERROR(IF([1]K_Summary!$N$920 = "", "", [1]K_Summary!$N$920 ),"")</f>
        <v/>
      </c>
    </row>
    <row r="936" spans="3:14" ht="13.5" thickBot="1">
      <c r="C936" s="485"/>
      <c r="D936" s="771"/>
      <c r="E936" s="756"/>
      <c r="F936" s="756"/>
      <c r="G936" s="756"/>
      <c r="H936" s="756"/>
      <c r="I936" s="756"/>
      <c r="J936" s="756"/>
      <c r="K936" s="756"/>
      <c r="L936" s="756"/>
      <c r="M936" s="756"/>
      <c r="N936" s="758"/>
    </row>
    <row r="937" spans="3:14" ht="13.5" thickBot="1">
      <c r="C937" s="485"/>
      <c r="D937" s="562"/>
      <c r="E937" s="561"/>
      <c r="F937" s="485"/>
      <c r="G937" s="485"/>
      <c r="H937" s="485"/>
      <c r="I937" s="485"/>
      <c r="J937" s="485"/>
      <c r="K937" s="485"/>
      <c r="L937" s="485"/>
      <c r="M937" s="485"/>
      <c r="N937" s="485"/>
    </row>
    <row r="938" spans="3:14">
      <c r="C938" s="485"/>
      <c r="D938" s="772"/>
      <c r="E938" s="773"/>
      <c r="F938" s="773"/>
      <c r="G938" s="774"/>
      <c r="H938" s="774"/>
      <c r="I938" s="774"/>
      <c r="J938" s="774"/>
      <c r="K938" s="774"/>
      <c r="L938" s="774"/>
      <c r="M938" s="774"/>
      <c r="N938" s="775"/>
    </row>
    <row r="939" spans="3:14" ht="13.5" thickBot="1">
      <c r="C939" s="485"/>
      <c r="D939" s="776"/>
      <c r="E939" s="777"/>
      <c r="F939" s="777"/>
      <c r="G939" s="778" t="s">
        <v>884</v>
      </c>
      <c r="H939" s="779">
        <v>2019</v>
      </c>
      <c r="I939" s="780">
        <v>2020</v>
      </c>
      <c r="J939" s="781">
        <v>2021</v>
      </c>
      <c r="K939" s="782">
        <v>2022</v>
      </c>
      <c r="L939" s="782">
        <v>2023</v>
      </c>
      <c r="M939" s="782">
        <v>2024</v>
      </c>
      <c r="N939" s="783">
        <v>2025</v>
      </c>
    </row>
    <row r="940" spans="3:14" ht="13.5" thickBot="1">
      <c r="C940" s="485"/>
      <c r="D940" s="776"/>
      <c r="E940" s="2470" t="s">
        <v>1504</v>
      </c>
      <c r="F940" s="2470"/>
      <c r="G940" s="808" t="s">
        <v>2016</v>
      </c>
      <c r="H940" s="225" t="str">
        <f>IFERROR(IF([1]K_Summary!$H$925 = "", "", [1]K_Summary!$H$925 ),"")</f>
        <v/>
      </c>
      <c r="I940" s="226" t="str">
        <f>IFERROR(IF([1]K_Summary!$I$925 = "", "", [1]K_Summary!$I$925 ),"")</f>
        <v/>
      </c>
      <c r="J940" s="225" t="str">
        <f>IFERROR(IF([1]K_Summary!$J$925 = "", "", [1]K_Summary!$J$925 ),"")</f>
        <v/>
      </c>
      <c r="K940" s="227" t="str">
        <f>IFERROR(IF([1]K_Summary!$K$925 = "", "", [1]K_Summary!$K$925 ),"")</f>
        <v/>
      </c>
      <c r="L940" s="227" t="str">
        <f>IFERROR(IF([1]K_Summary!$L$925 = "", "", [1]K_Summary!$L$925 ),"")</f>
        <v/>
      </c>
      <c r="M940" s="227" t="str">
        <f>IFERROR(IF([1]K_Summary!$M$925 = "", "", [1]K_Summary!$M$925 ),"")</f>
        <v/>
      </c>
      <c r="N940" s="228" t="str">
        <f>IFERROR(IF([1]K_Summary!$N$925 = "", "", [1]K_Summary!$N$925 ),"")</f>
        <v/>
      </c>
    </row>
    <row r="941" spans="3:14">
      <c r="C941" s="485"/>
      <c r="D941" s="776"/>
      <c r="E941" s="809"/>
      <c r="F941" s="809"/>
      <c r="G941" s="777"/>
      <c r="H941" s="777"/>
      <c r="I941" s="777"/>
      <c r="J941" s="777"/>
      <c r="K941" s="777"/>
      <c r="L941" s="777"/>
      <c r="M941" s="777"/>
      <c r="N941" s="810"/>
    </row>
    <row r="942" spans="3:14">
      <c r="C942" s="485"/>
      <c r="D942" s="776"/>
      <c r="E942" s="2471" t="s">
        <v>1344</v>
      </c>
      <c r="F942" s="2472"/>
      <c r="G942" s="811" t="s">
        <v>2017</v>
      </c>
      <c r="H942" s="127" t="str">
        <f>IFERROR(IF([1]K_Summary!$H$927 = "", "", [1]K_Summary!$H$927 ),"")</f>
        <v/>
      </c>
      <c r="I942" s="229" t="str">
        <f>IFERROR(IF([1]K_Summary!$I$927 = "", "", [1]K_Summary!$I$927 ),"")</f>
        <v/>
      </c>
      <c r="J942" s="230" t="str">
        <f>IFERROR(IF([1]K_Summary!$J$927 = "", "", [1]K_Summary!$J$927 ),"")</f>
        <v/>
      </c>
      <c r="K942" s="127" t="str">
        <f>IFERROR(IF([1]K_Summary!$K$927 = "", "", [1]K_Summary!$K$927 ),"")</f>
        <v/>
      </c>
      <c r="L942" s="127" t="str">
        <f>IFERROR(IF([1]K_Summary!$L$927 = "", "", [1]K_Summary!$L$927 ),"")</f>
        <v/>
      </c>
      <c r="M942" s="127" t="str">
        <f>IFERROR(IF([1]K_Summary!$M$927 = "", "", [1]K_Summary!$M$927 ),"")</f>
        <v/>
      </c>
      <c r="N942" s="231" t="str">
        <f>IFERROR(IF([1]K_Summary!$N$927 = "", "", [1]K_Summary!$N$927 ),"")</f>
        <v/>
      </c>
    </row>
    <row r="943" spans="3:14">
      <c r="C943" s="485"/>
      <c r="D943" s="776"/>
      <c r="E943" s="2473" t="s">
        <v>1182</v>
      </c>
      <c r="F943" s="2474"/>
      <c r="G943" s="812" t="s">
        <v>2018</v>
      </c>
      <c r="H943" s="128" t="str">
        <f>IFERROR(IF([1]K_Summary!$H$928 = "", "", [1]K_Summary!$H$928 ),"")</f>
        <v/>
      </c>
      <c r="I943" s="232" t="str">
        <f>IFERROR(IF([1]K_Summary!$I$928 = "", "", [1]K_Summary!$I$928 ),"")</f>
        <v/>
      </c>
      <c r="J943" s="233" t="str">
        <f>IFERROR(IF([1]K_Summary!$J$928 = "", "", [1]K_Summary!$J$928 ),"")</f>
        <v/>
      </c>
      <c r="K943" s="128" t="str">
        <f>IFERROR(IF([1]K_Summary!$K$928 = "", "", [1]K_Summary!$K$928 ),"")</f>
        <v/>
      </c>
      <c r="L943" s="128" t="str">
        <f>IFERROR(IF([1]K_Summary!$L$928 = "", "", [1]K_Summary!$L$928 ),"")</f>
        <v/>
      </c>
      <c r="M943" s="128" t="str">
        <f>IFERROR(IF([1]K_Summary!$M$928 = "", "", [1]K_Summary!$M$928 ),"")</f>
        <v/>
      </c>
      <c r="N943" s="234" t="str">
        <f>IFERROR(IF([1]K_Summary!$N$928 = "", "", [1]K_Summary!$N$928 ),"")</f>
        <v/>
      </c>
    </row>
    <row r="944" spans="3:14">
      <c r="C944" s="485"/>
      <c r="D944" s="776"/>
      <c r="E944" s="809"/>
      <c r="F944" s="809"/>
      <c r="G944" s="813"/>
      <c r="H944" s="813"/>
      <c r="I944" s="813"/>
      <c r="J944" s="813"/>
      <c r="K944" s="813"/>
      <c r="L944" s="813"/>
      <c r="M944" s="813"/>
      <c r="N944" s="814"/>
    </row>
    <row r="945" spans="3:14">
      <c r="C945" s="485"/>
      <c r="D945" s="776"/>
      <c r="E945" s="2475" t="s">
        <v>63</v>
      </c>
      <c r="F945" s="2410"/>
      <c r="G945" s="815" t="s">
        <v>2015</v>
      </c>
      <c r="H945" s="126" t="str">
        <f>IFERROR(IF([1]K_Summary!$H$930 = "", "", [1]K_Summary!$H$930 ),"")</f>
        <v/>
      </c>
      <c r="I945" s="235" t="str">
        <f>IFERROR(IF([1]K_Summary!$I$930 = "", "", [1]K_Summary!$I$930 ),"")</f>
        <v/>
      </c>
      <c r="J945" s="236" t="str">
        <f>IFERROR(IF([1]K_Summary!$J$930 = "", "", [1]K_Summary!$J$930 ),"")</f>
        <v/>
      </c>
      <c r="K945" s="126" t="str">
        <f>IFERROR(IF([1]K_Summary!$K$930 = "", "", [1]K_Summary!$K$930 ),"")</f>
        <v/>
      </c>
      <c r="L945" s="126" t="str">
        <f>IFERROR(IF([1]K_Summary!$L$930 = "", "", [1]K_Summary!$L$930 ),"")</f>
        <v/>
      </c>
      <c r="M945" s="126" t="str">
        <f>IFERROR(IF([1]K_Summary!$M$930 = "", "", [1]K_Summary!$M$930 ),"")</f>
        <v/>
      </c>
      <c r="N945" s="237" t="str">
        <f>IFERROR(IF([1]K_Summary!$N$930 = "", "", [1]K_Summary!$N$930 ),"")</f>
        <v/>
      </c>
    </row>
    <row r="946" spans="3:14">
      <c r="C946" s="485"/>
      <c r="D946" s="776"/>
      <c r="E946" s="2475" t="s">
        <v>1154</v>
      </c>
      <c r="F946" s="2410"/>
      <c r="G946" s="815" t="s">
        <v>2015</v>
      </c>
      <c r="H946" s="126" t="str">
        <f>IFERROR(IF([1]K_Summary!$H$931 = "", "", [1]K_Summary!$H$931 ),"")</f>
        <v/>
      </c>
      <c r="I946" s="235" t="str">
        <f>IFERROR(IF([1]K_Summary!$I$931 = "", "", [1]K_Summary!$I$931 ),"")</f>
        <v/>
      </c>
      <c r="J946" s="236" t="str">
        <f>IFERROR(IF([1]K_Summary!$J$931 = "", "", [1]K_Summary!$J$931 ),"")</f>
        <v/>
      </c>
      <c r="K946" s="126" t="str">
        <f>IFERROR(IF([1]K_Summary!$K$931 = "", "", [1]K_Summary!$K$931 ),"")</f>
        <v/>
      </c>
      <c r="L946" s="126" t="str">
        <f>IFERROR(IF([1]K_Summary!$L$931 = "", "", [1]K_Summary!$L$931 ),"")</f>
        <v/>
      </c>
      <c r="M946" s="126" t="str">
        <f>IFERROR(IF([1]K_Summary!$M$931 = "", "", [1]K_Summary!$M$931 ),"")</f>
        <v/>
      </c>
      <c r="N946" s="237" t="str">
        <f>IFERROR(IF([1]K_Summary!$N$931 = "", "", [1]K_Summary!$N$931 ),"")</f>
        <v/>
      </c>
    </row>
    <row r="947" spans="3:14">
      <c r="C947" s="485"/>
      <c r="D947" s="776"/>
      <c r="E947" s="2475" t="s">
        <v>1155</v>
      </c>
      <c r="F947" s="2410"/>
      <c r="G947" s="815" t="s">
        <v>2015</v>
      </c>
      <c r="H947" s="126" t="str">
        <f>IFERROR(IF([1]K_Summary!$H$932 = "", "", [1]K_Summary!$H$932 ),"")</f>
        <v/>
      </c>
      <c r="I947" s="235" t="str">
        <f>IFERROR(IF([1]K_Summary!$I$932 = "", "", [1]K_Summary!$I$932 ),"")</f>
        <v/>
      </c>
      <c r="J947" s="236" t="str">
        <f>IFERROR(IF([1]K_Summary!$J$932 = "", "", [1]K_Summary!$J$932 ),"")</f>
        <v/>
      </c>
      <c r="K947" s="126" t="str">
        <f>IFERROR(IF([1]K_Summary!$K$932 = "", "", [1]K_Summary!$K$932 ),"")</f>
        <v/>
      </c>
      <c r="L947" s="126" t="str">
        <f>IFERROR(IF([1]K_Summary!$L$932 = "", "", [1]K_Summary!$L$932 ),"")</f>
        <v/>
      </c>
      <c r="M947" s="126" t="str">
        <f>IFERROR(IF([1]K_Summary!$M$932 = "", "", [1]K_Summary!$M$932 ),"")</f>
        <v/>
      </c>
      <c r="N947" s="237" t="str">
        <f>IFERROR(IF([1]K_Summary!$N$932 = "", "", [1]K_Summary!$N$932 ),"")</f>
        <v/>
      </c>
    </row>
    <row r="948" spans="3:14">
      <c r="C948" s="485"/>
      <c r="D948" s="776"/>
      <c r="E948" s="2475" t="s">
        <v>1156</v>
      </c>
      <c r="F948" s="2410"/>
      <c r="G948" s="815" t="s">
        <v>2016</v>
      </c>
      <c r="H948" s="126" t="str">
        <f>IFERROR(IF([1]K_Summary!$H$933 = "", "", [1]K_Summary!$H$933 ),"")</f>
        <v/>
      </c>
      <c r="I948" s="235" t="str">
        <f>IFERROR(IF([1]K_Summary!$I$933 = "", "", [1]K_Summary!$I$933 ),"")</f>
        <v/>
      </c>
      <c r="J948" s="236" t="str">
        <f>IFERROR(IF([1]K_Summary!$J$933 = "", "", [1]K_Summary!$J$933 ),"")</f>
        <v/>
      </c>
      <c r="K948" s="126" t="str">
        <f>IFERROR(IF([1]K_Summary!$K$933 = "", "", [1]K_Summary!$K$933 ),"")</f>
        <v/>
      </c>
      <c r="L948" s="126" t="str">
        <f>IFERROR(IF([1]K_Summary!$L$933 = "", "", [1]K_Summary!$L$933 ),"")</f>
        <v/>
      </c>
      <c r="M948" s="126" t="str">
        <f>IFERROR(IF([1]K_Summary!$M$933 = "", "", [1]K_Summary!$M$933 ),"")</f>
        <v/>
      </c>
      <c r="N948" s="237" t="str">
        <f>IFERROR(IF([1]K_Summary!$N$933 = "", "", [1]K_Summary!$N$933 ),"")</f>
        <v/>
      </c>
    </row>
    <row r="949" spans="3:14">
      <c r="C949" s="485"/>
      <c r="D949" s="776"/>
      <c r="E949" s="809"/>
      <c r="F949" s="809"/>
      <c r="G949" s="813"/>
      <c r="H949" s="813"/>
      <c r="I949" s="813"/>
      <c r="J949" s="813"/>
      <c r="K949" s="813"/>
      <c r="L949" s="813"/>
      <c r="M949" s="813"/>
      <c r="N949" s="814"/>
    </row>
    <row r="950" spans="3:14">
      <c r="C950" s="485"/>
      <c r="D950" s="776"/>
      <c r="E950" s="2471" t="s">
        <v>1087</v>
      </c>
      <c r="F950" s="2472"/>
      <c r="G950" s="811" t="s">
        <v>2017</v>
      </c>
      <c r="H950" s="127" t="str">
        <f>IFERROR(IF([1]K_Summary!$H$935 = "", "", [1]K_Summary!$H$935 ),"")</f>
        <v/>
      </c>
      <c r="I950" s="229" t="str">
        <f>IFERROR(IF([1]K_Summary!$I$935 = "", "", [1]K_Summary!$I$935 ),"")</f>
        <v/>
      </c>
      <c r="J950" s="230" t="str">
        <f>IFERROR(IF([1]K_Summary!$J$935 = "", "", [1]K_Summary!$J$935 ),"")</f>
        <v/>
      </c>
      <c r="K950" s="127" t="str">
        <f>IFERROR(IF([1]K_Summary!$K$935 = "", "", [1]K_Summary!$K$935 ),"")</f>
        <v/>
      </c>
      <c r="L950" s="127" t="str">
        <f>IFERROR(IF([1]K_Summary!$L$935 = "", "", [1]K_Summary!$L$935 ),"")</f>
        <v/>
      </c>
      <c r="M950" s="127" t="str">
        <f>IFERROR(IF([1]K_Summary!$M$935 = "", "", [1]K_Summary!$M$935 ),"")</f>
        <v/>
      </c>
      <c r="N950" s="231" t="str">
        <f>IFERROR(IF([1]K_Summary!$N$935 = "", "", [1]K_Summary!$N$935 ),"")</f>
        <v/>
      </c>
    </row>
    <row r="951" spans="3:14">
      <c r="C951" s="485"/>
      <c r="D951" s="776"/>
      <c r="E951" s="2473" t="s">
        <v>1103</v>
      </c>
      <c r="F951" s="2474"/>
      <c r="G951" s="812" t="s">
        <v>2018</v>
      </c>
      <c r="H951" s="128" t="str">
        <f>IFERROR(IF([1]K_Summary!$H$936 = "", "", [1]K_Summary!$H$936 ),"")</f>
        <v/>
      </c>
      <c r="I951" s="232" t="str">
        <f>IFERROR(IF([1]K_Summary!$I$936 = "", "", [1]K_Summary!$I$936 ),"")</f>
        <v/>
      </c>
      <c r="J951" s="233" t="str">
        <f>IFERROR(IF([1]K_Summary!$J$936 = "", "", [1]K_Summary!$J$936 ),"")</f>
        <v/>
      </c>
      <c r="K951" s="128" t="str">
        <f>IFERROR(IF([1]K_Summary!$K$936 = "", "", [1]K_Summary!$K$936 ),"")</f>
        <v/>
      </c>
      <c r="L951" s="128" t="str">
        <f>IFERROR(IF([1]K_Summary!$L$936 = "", "", [1]K_Summary!$L$936 ),"")</f>
        <v/>
      </c>
      <c r="M951" s="128" t="str">
        <f>IFERROR(IF([1]K_Summary!$M$936 = "", "", [1]K_Summary!$M$936 ),"")</f>
        <v/>
      </c>
      <c r="N951" s="234" t="str">
        <f>IFERROR(IF([1]K_Summary!$N$936 = "", "", [1]K_Summary!$N$936 ),"")</f>
        <v/>
      </c>
    </row>
    <row r="952" spans="3:14">
      <c r="C952" s="485"/>
      <c r="D952" s="776"/>
      <c r="E952" s="809"/>
      <c r="F952" s="809"/>
      <c r="G952" s="813"/>
      <c r="H952" s="813"/>
      <c r="I952" s="813"/>
      <c r="J952" s="813"/>
      <c r="K952" s="813"/>
      <c r="L952" s="813"/>
      <c r="M952" s="813"/>
      <c r="N952" s="814"/>
    </row>
    <row r="953" spans="3:14">
      <c r="C953" s="485"/>
      <c r="D953" s="776"/>
      <c r="E953" s="2475" t="s">
        <v>1150</v>
      </c>
      <c r="F953" s="2410"/>
      <c r="G953" s="815" t="s">
        <v>2017</v>
      </c>
      <c r="H953" s="126" t="str">
        <f>IFERROR(IF([1]K_Summary!$H$938 = "", "", [1]K_Summary!$H$938 ),"")</f>
        <v/>
      </c>
      <c r="I953" s="235" t="str">
        <f>IFERROR(IF([1]K_Summary!$I$938 = "", "", [1]K_Summary!$I$938 ),"")</f>
        <v/>
      </c>
      <c r="J953" s="236" t="str">
        <f>IFERROR(IF([1]K_Summary!$J$938 = "", "", [1]K_Summary!$J$938 ),"")</f>
        <v/>
      </c>
      <c r="K953" s="126" t="str">
        <f>IFERROR(IF([1]K_Summary!$K$938 = "", "", [1]K_Summary!$K$938 ),"")</f>
        <v/>
      </c>
      <c r="L953" s="126" t="str">
        <f>IFERROR(IF([1]K_Summary!$L$938 = "", "", [1]K_Summary!$L$938 ),"")</f>
        <v/>
      </c>
      <c r="M953" s="126" t="str">
        <f>IFERROR(IF([1]K_Summary!$M$938 = "", "", [1]K_Summary!$M$938 ),"")</f>
        <v/>
      </c>
      <c r="N953" s="237" t="str">
        <f>IFERROR(IF([1]K_Summary!$N$938 = "", "", [1]K_Summary!$N$938 ),"")</f>
        <v/>
      </c>
    </row>
    <row r="954" spans="3:14" ht="13.15" customHeight="1">
      <c r="C954" s="485"/>
      <c r="D954" s="776"/>
      <c r="E954" s="2475" t="s">
        <v>1149</v>
      </c>
      <c r="F954" s="2410"/>
      <c r="G954" s="815" t="s">
        <v>2017</v>
      </c>
      <c r="H954" s="126" t="str">
        <f>IFERROR(IF([1]K_Summary!$H$939 = "", "", [1]K_Summary!$H$939 ),"")</f>
        <v/>
      </c>
      <c r="I954" s="235" t="str">
        <f>IFERROR(IF([1]K_Summary!$I$939 = "", "", [1]K_Summary!$I$939 ),"")</f>
        <v/>
      </c>
      <c r="J954" s="236" t="str">
        <f>IFERROR(IF([1]K_Summary!$J$939 = "", "", [1]K_Summary!$J$939 ),"")</f>
        <v/>
      </c>
      <c r="K954" s="126" t="str">
        <f>IFERROR(IF([1]K_Summary!$K$939 = "", "", [1]K_Summary!$K$939 ),"")</f>
        <v/>
      </c>
      <c r="L954" s="126" t="str">
        <f>IFERROR(IF([1]K_Summary!$L$939 = "", "", [1]K_Summary!$L$939 ),"")</f>
        <v/>
      </c>
      <c r="M954" s="126" t="str">
        <f>IFERROR(IF([1]K_Summary!$M$939 = "", "", [1]K_Summary!$M$939 ),"")</f>
        <v/>
      </c>
      <c r="N954" s="237" t="str">
        <f>IFERROR(IF([1]K_Summary!$N$939 = "", "", [1]K_Summary!$N$939 ),"")</f>
        <v/>
      </c>
    </row>
    <row r="955" spans="3:14">
      <c r="C955" s="485"/>
      <c r="D955" s="776"/>
      <c r="E955" s="809"/>
      <c r="F955" s="809"/>
      <c r="G955" s="777"/>
      <c r="H955" s="813"/>
      <c r="I955" s="813"/>
      <c r="J955" s="813"/>
      <c r="K955" s="813"/>
      <c r="L955" s="813"/>
      <c r="M955" s="813"/>
      <c r="N955" s="814"/>
    </row>
    <row r="956" spans="3:14">
      <c r="C956" s="485"/>
      <c r="D956" s="776"/>
      <c r="E956" s="2471" t="s">
        <v>1079</v>
      </c>
      <c r="F956" s="2472"/>
      <c r="G956" s="811" t="s">
        <v>2017</v>
      </c>
      <c r="H956" s="127" t="str">
        <f>IFERROR(IF([1]K_Summary!$H$941 = "", "", [1]K_Summary!$H$941 ),"")</f>
        <v/>
      </c>
      <c r="I956" s="229" t="str">
        <f>IFERROR(IF([1]K_Summary!$I$941 = "", "", [1]K_Summary!$I$941 ),"")</f>
        <v/>
      </c>
      <c r="J956" s="230" t="str">
        <f>IFERROR(IF([1]K_Summary!$J$941 = "", "", [1]K_Summary!$J$941 ),"")</f>
        <v/>
      </c>
      <c r="K956" s="127" t="str">
        <f>IFERROR(IF([1]K_Summary!$K$941 = "", "", [1]K_Summary!$K$941 ),"")</f>
        <v/>
      </c>
      <c r="L956" s="127" t="str">
        <f>IFERROR(IF([1]K_Summary!$L$941 = "", "", [1]K_Summary!$L$941 ),"")</f>
        <v/>
      </c>
      <c r="M956" s="127" t="str">
        <f>IFERROR(IF([1]K_Summary!$M$941 = "", "", [1]K_Summary!$M$941 ),"")</f>
        <v/>
      </c>
      <c r="N956" s="231" t="str">
        <f>IFERROR(IF([1]K_Summary!$N$941 = "", "", [1]K_Summary!$N$941 ),"")</f>
        <v/>
      </c>
    </row>
    <row r="957" spans="3:14">
      <c r="C957" s="485"/>
      <c r="D957" s="776"/>
      <c r="E957" s="2473" t="s">
        <v>1104</v>
      </c>
      <c r="F957" s="2474"/>
      <c r="G957" s="812" t="s">
        <v>2018</v>
      </c>
      <c r="H957" s="128" t="str">
        <f>IFERROR(IF([1]K_Summary!$H$942 = "", "", [1]K_Summary!$H$942 ),"")</f>
        <v/>
      </c>
      <c r="I957" s="232" t="str">
        <f>IFERROR(IF([1]K_Summary!$I$942 = "", "", [1]K_Summary!$I$942 ),"")</f>
        <v/>
      </c>
      <c r="J957" s="233" t="str">
        <f>IFERROR(IF([1]K_Summary!$J$942 = "", "", [1]K_Summary!$J$942 ),"")</f>
        <v/>
      </c>
      <c r="K957" s="128" t="str">
        <f>IFERROR(IF([1]K_Summary!$K$942 = "", "", [1]K_Summary!$K$942 ),"")</f>
        <v/>
      </c>
      <c r="L957" s="128" t="str">
        <f>IFERROR(IF([1]K_Summary!$L$942 = "", "", [1]K_Summary!$L$942 ),"")</f>
        <v/>
      </c>
      <c r="M957" s="128" t="str">
        <f>IFERROR(IF([1]K_Summary!$M$942 = "", "", [1]K_Summary!$M$942 ),"")</f>
        <v/>
      </c>
      <c r="N957" s="234" t="str">
        <f>IFERROR(IF([1]K_Summary!$N$942 = "", "", [1]K_Summary!$N$942 ),"")</f>
        <v/>
      </c>
    </row>
    <row r="958" spans="3:14">
      <c r="C958" s="485"/>
      <c r="D958" s="776"/>
      <c r="E958" s="809"/>
      <c r="F958" s="809"/>
      <c r="G958" s="777"/>
      <c r="H958" s="813"/>
      <c r="I958" s="813"/>
      <c r="J958" s="813"/>
      <c r="K958" s="813"/>
      <c r="L958" s="813"/>
      <c r="M958" s="813"/>
      <c r="N958" s="814"/>
    </row>
    <row r="959" spans="3:14">
      <c r="C959" s="485"/>
      <c r="D959" s="776"/>
      <c r="E959" s="2471" t="s">
        <v>1141</v>
      </c>
      <c r="F959" s="2472"/>
      <c r="G959" s="811" t="s">
        <v>2017</v>
      </c>
      <c r="H959" s="127" t="str">
        <f>IFERROR(IF([1]K_Summary!$H$944 = "", "", [1]K_Summary!$H$944 ),"")</f>
        <v/>
      </c>
      <c r="I959" s="229" t="str">
        <f>IFERROR(IF([1]K_Summary!$I$944 = "", "", [1]K_Summary!$I$944 ),"")</f>
        <v/>
      </c>
      <c r="J959" s="230" t="str">
        <f>IFERROR(IF([1]K_Summary!$J$944 = "", "", [1]K_Summary!$J$944 ),"")</f>
        <v/>
      </c>
      <c r="K959" s="127" t="str">
        <f>IFERROR(IF([1]K_Summary!$K$944 = "", "", [1]K_Summary!$K$944 ),"")</f>
        <v/>
      </c>
      <c r="L959" s="127" t="str">
        <f>IFERROR(IF([1]K_Summary!$L$944 = "", "", [1]K_Summary!$L$944 ),"")</f>
        <v/>
      </c>
      <c r="M959" s="127" t="str">
        <f>IFERROR(IF([1]K_Summary!$M$944 = "", "", [1]K_Summary!$M$944 ),"")</f>
        <v/>
      </c>
      <c r="N959" s="231" t="str">
        <f>IFERROR(IF([1]K_Summary!$N$944 = "", "", [1]K_Summary!$N$944 ),"")</f>
        <v/>
      </c>
    </row>
    <row r="960" spans="3:14" ht="13.15" customHeight="1">
      <c r="C960" s="485"/>
      <c r="D960" s="776"/>
      <c r="E960" s="2473" t="s">
        <v>1258</v>
      </c>
      <c r="F960" s="2474"/>
      <c r="G960" s="812" t="s">
        <v>2018</v>
      </c>
      <c r="H960" s="128" t="str">
        <f>IFERROR(IF([1]K_Summary!$H$945 = "", "", [1]K_Summary!$H$945 ),"")</f>
        <v/>
      </c>
      <c r="I960" s="232" t="str">
        <f>IFERROR(IF([1]K_Summary!$I$945 = "", "", [1]K_Summary!$I$945 ),"")</f>
        <v/>
      </c>
      <c r="J960" s="233" t="str">
        <f>IFERROR(IF([1]K_Summary!$J$945 = "", "", [1]K_Summary!$J$945 ),"")</f>
        <v/>
      </c>
      <c r="K960" s="128" t="str">
        <f>IFERROR(IF([1]K_Summary!$K$945 = "", "", [1]K_Summary!$K$945 ),"")</f>
        <v/>
      </c>
      <c r="L960" s="128" t="str">
        <f>IFERROR(IF([1]K_Summary!$L$945 = "", "", [1]K_Summary!$L$945 ),"")</f>
        <v/>
      </c>
      <c r="M960" s="128" t="str">
        <f>IFERROR(IF([1]K_Summary!$M$945 = "", "", [1]K_Summary!$M$945 ),"")</f>
        <v/>
      </c>
      <c r="N960" s="234" t="str">
        <f>IFERROR(IF([1]K_Summary!$N$945 = "", "", [1]K_Summary!$N$945 ),"")</f>
        <v/>
      </c>
    </row>
    <row r="961" spans="3:14">
      <c r="C961" s="485"/>
      <c r="D961" s="776"/>
      <c r="E961" s="2471" t="s">
        <v>1309</v>
      </c>
      <c r="F961" s="2472"/>
      <c r="G961" s="811" t="s">
        <v>2017</v>
      </c>
      <c r="H961" s="127" t="str">
        <f>IFERROR(IF([1]K_Summary!$H$946 = "", "", [1]K_Summary!$H$946 ),"")</f>
        <v/>
      </c>
      <c r="I961" s="229" t="str">
        <f>IFERROR(IF([1]K_Summary!$I$946 = "", "", [1]K_Summary!$I$946 ),"")</f>
        <v/>
      </c>
      <c r="J961" s="230" t="str">
        <f>IFERROR(IF([1]K_Summary!$J$946 = "", "", [1]K_Summary!$J$946 ),"")</f>
        <v/>
      </c>
      <c r="K961" s="127" t="str">
        <f>IFERROR(IF([1]K_Summary!$K$946 = "", "", [1]K_Summary!$K$946 ),"")</f>
        <v/>
      </c>
      <c r="L961" s="127" t="str">
        <f>IFERROR(IF([1]K_Summary!$L$946 = "", "", [1]K_Summary!$L$946 ),"")</f>
        <v/>
      </c>
      <c r="M961" s="127" t="str">
        <f>IFERROR(IF([1]K_Summary!$M$946 = "", "", [1]K_Summary!$M$946 ),"")</f>
        <v/>
      </c>
      <c r="N961" s="231" t="str">
        <f>IFERROR(IF([1]K_Summary!$N$946 = "", "", [1]K_Summary!$N$946 ),"")</f>
        <v/>
      </c>
    </row>
    <row r="962" spans="3:14" ht="13.15" customHeight="1">
      <c r="C962" s="485"/>
      <c r="D962" s="776"/>
      <c r="E962" s="2473" t="s">
        <v>1307</v>
      </c>
      <c r="F962" s="2474"/>
      <c r="G962" s="812" t="s">
        <v>2018</v>
      </c>
      <c r="H962" s="128" t="str">
        <f>IFERROR(IF([1]K_Summary!$H$947 = "", "", [1]K_Summary!$H$947 ),"")</f>
        <v/>
      </c>
      <c r="I962" s="232" t="str">
        <f>IFERROR(IF([1]K_Summary!$I$947 = "", "", [1]K_Summary!$I$947 ),"")</f>
        <v/>
      </c>
      <c r="J962" s="233" t="str">
        <f>IFERROR(IF([1]K_Summary!$J$947 = "", "", [1]K_Summary!$J$947 ),"")</f>
        <v/>
      </c>
      <c r="K962" s="128" t="str">
        <f>IFERROR(IF([1]K_Summary!$K$947 = "", "", [1]K_Summary!$K$947 ),"")</f>
        <v/>
      </c>
      <c r="L962" s="128" t="str">
        <f>IFERROR(IF([1]K_Summary!$L$947 = "", "", [1]K_Summary!$L$947 ),"")</f>
        <v/>
      </c>
      <c r="M962" s="128" t="str">
        <f>IFERROR(IF([1]K_Summary!$M$947 = "", "", [1]K_Summary!$M$947 ),"")</f>
        <v/>
      </c>
      <c r="N962" s="234" t="str">
        <f>IFERROR(IF([1]K_Summary!$N$947 = "", "", [1]K_Summary!$N$947 ),"")</f>
        <v/>
      </c>
    </row>
    <row r="963" spans="3:14">
      <c r="C963" s="485"/>
      <c r="D963" s="776"/>
      <c r="E963" s="2471" t="s">
        <v>1288</v>
      </c>
      <c r="F963" s="2472"/>
      <c r="G963" s="811" t="s">
        <v>2017</v>
      </c>
      <c r="H963" s="127" t="str">
        <f>IFERROR(IF([1]K_Summary!$H$948 = "", "", [1]K_Summary!$H$948 ),"")</f>
        <v/>
      </c>
      <c r="I963" s="229" t="str">
        <f>IFERROR(IF([1]K_Summary!$I$948 = "", "", [1]K_Summary!$I$948 ),"")</f>
        <v/>
      </c>
      <c r="J963" s="230" t="str">
        <f>IFERROR(IF([1]K_Summary!$J$948 = "", "", [1]K_Summary!$J$948 ),"")</f>
        <v/>
      </c>
      <c r="K963" s="127" t="str">
        <f>IFERROR(IF([1]K_Summary!$K$948 = "", "", [1]K_Summary!$K$948 ),"")</f>
        <v/>
      </c>
      <c r="L963" s="127" t="str">
        <f>IFERROR(IF([1]K_Summary!$L$948 = "", "", [1]K_Summary!$L$948 ),"")</f>
        <v/>
      </c>
      <c r="M963" s="127" t="str">
        <f>IFERROR(IF([1]K_Summary!$M$948 = "", "", [1]K_Summary!$M$948 ),"")</f>
        <v/>
      </c>
      <c r="N963" s="231" t="str">
        <f>IFERROR(IF([1]K_Summary!$N$948 = "", "", [1]K_Summary!$N$948 ),"")</f>
        <v/>
      </c>
    </row>
    <row r="964" spans="3:14">
      <c r="C964" s="485"/>
      <c r="D964" s="776"/>
      <c r="E964" s="2473" t="s">
        <v>1308</v>
      </c>
      <c r="F964" s="2474"/>
      <c r="G964" s="812" t="s">
        <v>2018</v>
      </c>
      <c r="H964" s="128" t="str">
        <f>IFERROR(IF([1]K_Summary!$H$949 = "", "", [1]K_Summary!$H$949 ),"")</f>
        <v/>
      </c>
      <c r="I964" s="232" t="str">
        <f>IFERROR(IF([1]K_Summary!$I$949 = "", "", [1]K_Summary!$I$949 ),"")</f>
        <v/>
      </c>
      <c r="J964" s="233" t="str">
        <f>IFERROR(IF([1]K_Summary!$J$949 = "", "", [1]K_Summary!$J$949 ),"")</f>
        <v/>
      </c>
      <c r="K964" s="128" t="str">
        <f>IFERROR(IF([1]K_Summary!$K$949 = "", "", [1]K_Summary!$K$949 ),"")</f>
        <v/>
      </c>
      <c r="L964" s="128" t="str">
        <f>IFERROR(IF([1]K_Summary!$L$949 = "", "", [1]K_Summary!$L$949 ),"")</f>
        <v/>
      </c>
      <c r="M964" s="128" t="str">
        <f>IFERROR(IF([1]K_Summary!$M$949 = "", "", [1]K_Summary!$M$949 ),"")</f>
        <v/>
      </c>
      <c r="N964" s="234" t="str">
        <f>IFERROR(IF([1]K_Summary!$N$949 = "", "", [1]K_Summary!$N$949 ),"")</f>
        <v/>
      </c>
    </row>
    <row r="965" spans="3:14">
      <c r="C965" s="485"/>
      <c r="D965" s="776"/>
      <c r="E965" s="2471" t="s">
        <v>1102</v>
      </c>
      <c r="F965" s="2472"/>
      <c r="G965" s="811" t="s">
        <v>2017</v>
      </c>
      <c r="H965" s="127" t="str">
        <f>IFERROR(IF([1]K_Summary!$H$950 = "", "", [1]K_Summary!$H$950 ),"")</f>
        <v/>
      </c>
      <c r="I965" s="229" t="str">
        <f>IFERROR(IF([1]K_Summary!$I$950 = "", "", [1]K_Summary!$I$950 ),"")</f>
        <v/>
      </c>
      <c r="J965" s="230" t="str">
        <f>IFERROR(IF([1]K_Summary!$J$950 = "", "", [1]K_Summary!$J$950 ),"")</f>
        <v/>
      </c>
      <c r="K965" s="127" t="str">
        <f>IFERROR(IF([1]K_Summary!$K$950 = "", "", [1]K_Summary!$K$950 ),"")</f>
        <v/>
      </c>
      <c r="L965" s="127" t="str">
        <f>IFERROR(IF([1]K_Summary!$L$950 = "", "", [1]K_Summary!$L$950 ),"")</f>
        <v/>
      </c>
      <c r="M965" s="127" t="str">
        <f>IFERROR(IF([1]K_Summary!$M$950 = "", "", [1]K_Summary!$M$950 ),"")</f>
        <v/>
      </c>
      <c r="N965" s="231" t="str">
        <f>IFERROR(IF([1]K_Summary!$N$950 = "", "", [1]K_Summary!$N$950 ),"")</f>
        <v/>
      </c>
    </row>
    <row r="966" spans="3:14">
      <c r="C966" s="485"/>
      <c r="D966" s="776"/>
      <c r="E966" s="816" t="s">
        <v>1275</v>
      </c>
      <c r="F966" s="816"/>
      <c r="G966" s="812" t="s">
        <v>2018</v>
      </c>
      <c r="H966" s="128" t="str">
        <f>IFERROR(IF([1]K_Summary!$H$951 = "", "", [1]K_Summary!$H$951 ),"")</f>
        <v/>
      </c>
      <c r="I966" s="232" t="str">
        <f>IFERROR(IF([1]K_Summary!$I$951 = "", "", [1]K_Summary!$I$951 ),"")</f>
        <v/>
      </c>
      <c r="J966" s="233" t="str">
        <f>IFERROR(IF([1]K_Summary!$J$951 = "", "", [1]K_Summary!$J$951 ),"")</f>
        <v/>
      </c>
      <c r="K966" s="128" t="str">
        <f>IFERROR(IF([1]K_Summary!$K$951 = "", "", [1]K_Summary!$K$951 ),"")</f>
        <v/>
      </c>
      <c r="L966" s="128" t="str">
        <f>IFERROR(IF([1]K_Summary!$L$951 = "", "", [1]K_Summary!$L$951 ),"")</f>
        <v/>
      </c>
      <c r="M966" s="128" t="str">
        <f>IFERROR(IF([1]K_Summary!$M$951 = "", "", [1]K_Summary!$M$951 ),"")</f>
        <v/>
      </c>
      <c r="N966" s="234" t="str">
        <f>IFERROR(IF([1]K_Summary!$N$951 = "", "", [1]K_Summary!$N$951 ),"")</f>
        <v/>
      </c>
    </row>
    <row r="967" spans="3:14">
      <c r="C967" s="485"/>
      <c r="D967" s="776"/>
      <c r="E967" s="2471" t="s">
        <v>1080</v>
      </c>
      <c r="F967" s="2472"/>
      <c r="G967" s="811" t="s">
        <v>2017</v>
      </c>
      <c r="H967" s="127" t="str">
        <f>IFERROR(IF([1]K_Summary!$H$952 = "", "", [1]K_Summary!$H$952 ),"")</f>
        <v/>
      </c>
      <c r="I967" s="229" t="str">
        <f>IFERROR(IF([1]K_Summary!$I$952 = "", "", [1]K_Summary!$I$952 ),"")</f>
        <v/>
      </c>
      <c r="J967" s="230" t="str">
        <f>IFERROR(IF([1]K_Summary!$J$952 = "", "", [1]K_Summary!$J$952 ),"")</f>
        <v/>
      </c>
      <c r="K967" s="127" t="str">
        <f>IFERROR(IF([1]K_Summary!$K$952 = "", "", [1]K_Summary!$K$952 ),"")</f>
        <v/>
      </c>
      <c r="L967" s="127" t="str">
        <f>IFERROR(IF([1]K_Summary!$L$952 = "", "", [1]K_Summary!$L$952 ),"")</f>
        <v/>
      </c>
      <c r="M967" s="127" t="str">
        <f>IFERROR(IF([1]K_Summary!$M$952 = "", "", [1]K_Summary!$M$952 ),"")</f>
        <v/>
      </c>
      <c r="N967" s="231" t="str">
        <f>IFERROR(IF([1]K_Summary!$N$952 = "", "", [1]K_Summary!$N$952 ),"")</f>
        <v/>
      </c>
    </row>
    <row r="968" spans="3:14">
      <c r="C968" s="485"/>
      <c r="D968" s="776"/>
      <c r="E968" s="2473" t="s">
        <v>1276</v>
      </c>
      <c r="F968" s="2474"/>
      <c r="G968" s="812" t="s">
        <v>2018</v>
      </c>
      <c r="H968" s="128" t="str">
        <f>IFERROR(IF([1]K_Summary!$H$953 = "", "", [1]K_Summary!$H$953 ),"")</f>
        <v/>
      </c>
      <c r="I968" s="232" t="str">
        <f>IFERROR(IF([1]K_Summary!$I$953 = "", "", [1]K_Summary!$I$953 ),"")</f>
        <v/>
      </c>
      <c r="J968" s="233" t="str">
        <f>IFERROR(IF([1]K_Summary!$J$953 = "", "", [1]K_Summary!$J$953 ),"")</f>
        <v/>
      </c>
      <c r="K968" s="128" t="str">
        <f>IFERROR(IF([1]K_Summary!$K$953 = "", "", [1]K_Summary!$K$953 ),"")</f>
        <v/>
      </c>
      <c r="L968" s="128" t="str">
        <f>IFERROR(IF([1]K_Summary!$L$953 = "", "", [1]K_Summary!$L$953 ),"")</f>
        <v/>
      </c>
      <c r="M968" s="128" t="str">
        <f>IFERROR(IF([1]K_Summary!$M$953 = "", "", [1]K_Summary!$M$953 ),"")</f>
        <v/>
      </c>
      <c r="N968" s="234" t="str">
        <f>IFERROR(IF([1]K_Summary!$N$953 = "", "", [1]K_Summary!$N$953 ),"")</f>
        <v/>
      </c>
    </row>
    <row r="969" spans="3:14">
      <c r="C969" s="485"/>
      <c r="D969" s="776"/>
      <c r="E969" s="809"/>
      <c r="F969" s="809"/>
      <c r="G969" s="777"/>
      <c r="H969" s="813"/>
      <c r="I969" s="813"/>
      <c r="J969" s="813"/>
      <c r="K969" s="813"/>
      <c r="L969" s="813"/>
      <c r="M969" s="813"/>
      <c r="N969" s="814"/>
    </row>
    <row r="970" spans="3:14">
      <c r="C970" s="485"/>
      <c r="D970" s="776"/>
      <c r="E970" s="2475" t="s">
        <v>914</v>
      </c>
      <c r="F970" s="2410"/>
      <c r="G970" s="815" t="s">
        <v>2021</v>
      </c>
      <c r="H970" s="126" t="str">
        <f>IFERROR(IF([1]K_Summary!$H$955 = "", "", [1]K_Summary!$H$955 ),"")</f>
        <v/>
      </c>
      <c r="I970" s="235" t="str">
        <f>IFERROR(IF([1]K_Summary!$I$955 = "", "", [1]K_Summary!$I$955 ),"")</f>
        <v/>
      </c>
      <c r="J970" s="236" t="str">
        <f>IFERROR(IF([1]K_Summary!$J$955 = "", "", [1]K_Summary!$J$955 ),"")</f>
        <v/>
      </c>
      <c r="K970" s="126" t="str">
        <f>IFERROR(IF([1]K_Summary!$K$955 = "", "", [1]K_Summary!$K$955 ),"")</f>
        <v/>
      </c>
      <c r="L970" s="126" t="str">
        <f>IFERROR(IF([1]K_Summary!$L$955 = "", "", [1]K_Summary!$L$955 ),"")</f>
        <v/>
      </c>
      <c r="M970" s="126" t="str">
        <f>IFERROR(IF([1]K_Summary!$M$955 = "", "", [1]K_Summary!$M$955 ),"")</f>
        <v/>
      </c>
      <c r="N970" s="237" t="str">
        <f>IFERROR(IF([1]K_Summary!$N$955 = "", "", [1]K_Summary!$N$955 ),"")</f>
        <v/>
      </c>
    </row>
    <row r="971" spans="3:14">
      <c r="C971" s="485"/>
      <c r="D971" s="776"/>
      <c r="E971" s="2475" t="s">
        <v>1354</v>
      </c>
      <c r="F971" s="2410"/>
      <c r="G971" s="815" t="s">
        <v>2021</v>
      </c>
      <c r="H971" s="126" t="str">
        <f>IFERROR(IF([1]K_Summary!$H$956 = "", "", [1]K_Summary!$H$956 ),"")</f>
        <v/>
      </c>
      <c r="I971" s="235" t="str">
        <f>IFERROR(IF([1]K_Summary!$I$956 = "", "", [1]K_Summary!$I$956 ),"")</f>
        <v/>
      </c>
      <c r="J971" s="236" t="str">
        <f>IFERROR(IF([1]K_Summary!$J$956 = "", "", [1]K_Summary!$J$956 ),"")</f>
        <v/>
      </c>
      <c r="K971" s="126" t="str">
        <f>IFERROR(IF([1]K_Summary!$K$956 = "", "", [1]K_Summary!$K$956 ),"")</f>
        <v/>
      </c>
      <c r="L971" s="126" t="str">
        <f>IFERROR(IF([1]K_Summary!$L$956 = "", "", [1]K_Summary!$L$956 ),"")</f>
        <v/>
      </c>
      <c r="M971" s="126" t="str">
        <f>IFERROR(IF([1]K_Summary!$M$956 = "", "", [1]K_Summary!$M$956 ),"")</f>
        <v/>
      </c>
      <c r="N971" s="237" t="str">
        <f>IFERROR(IF([1]K_Summary!$N$956 = "", "", [1]K_Summary!$N$956 ),"")</f>
        <v/>
      </c>
    </row>
    <row r="972" spans="3:14">
      <c r="C972" s="485"/>
      <c r="D972" s="776"/>
      <c r="E972" s="809"/>
      <c r="F972" s="809"/>
      <c r="G972" s="777"/>
      <c r="H972" s="813"/>
      <c r="I972" s="813"/>
      <c r="J972" s="813"/>
      <c r="K972" s="813"/>
      <c r="L972" s="813"/>
      <c r="M972" s="813"/>
      <c r="N972" s="814"/>
    </row>
    <row r="973" spans="3:14">
      <c r="C973" s="485"/>
      <c r="D973" s="776"/>
      <c r="E973" s="2475" t="s">
        <v>1157</v>
      </c>
      <c r="F973" s="2410"/>
      <c r="G973" s="815" t="s">
        <v>1020</v>
      </c>
      <c r="H973" s="126" t="str">
        <f>IFERROR(IF([1]K_Summary!$H$958 = "", "", [1]K_Summary!$H$958 ),"")</f>
        <v/>
      </c>
      <c r="I973" s="235" t="str">
        <f>IFERROR(IF([1]K_Summary!$I$958 = "", "", [1]K_Summary!$I$958 ),"")</f>
        <v/>
      </c>
      <c r="J973" s="236" t="str">
        <f>IFERROR(IF([1]K_Summary!$J$958 = "", "", [1]K_Summary!$J$958 ),"")</f>
        <v/>
      </c>
      <c r="K973" s="126" t="str">
        <f>IFERROR(IF([1]K_Summary!$K$958 = "", "", [1]K_Summary!$K$958 ),"")</f>
        <v/>
      </c>
      <c r="L973" s="126" t="str">
        <f>IFERROR(IF([1]K_Summary!$L$958 = "", "", [1]K_Summary!$L$958 ),"")</f>
        <v/>
      </c>
      <c r="M973" s="126" t="str">
        <f>IFERROR(IF([1]K_Summary!$M$958 = "", "", [1]K_Summary!$M$958 ),"")</f>
        <v/>
      </c>
      <c r="N973" s="237" t="str">
        <f>IFERROR(IF([1]K_Summary!$N$958 = "", "", [1]K_Summary!$N$958 ),"")</f>
        <v/>
      </c>
    </row>
    <row r="974" spans="3:14">
      <c r="C974" s="485"/>
      <c r="D974" s="776"/>
      <c r="E974" s="809"/>
      <c r="F974" s="809"/>
      <c r="G974" s="777"/>
      <c r="H974" s="813"/>
      <c r="I974" s="813"/>
      <c r="J974" s="813"/>
      <c r="K974" s="813"/>
      <c r="L974" s="813"/>
      <c r="M974" s="813"/>
      <c r="N974" s="814"/>
    </row>
    <row r="975" spans="3:14">
      <c r="C975" s="485"/>
      <c r="D975" s="776"/>
      <c r="E975" s="2492" t="s">
        <v>1440</v>
      </c>
      <c r="F975" s="2493"/>
      <c r="G975" s="777"/>
      <c r="H975" s="813"/>
      <c r="I975" s="813"/>
      <c r="J975" s="813"/>
      <c r="K975" s="813"/>
      <c r="L975" s="813"/>
      <c r="M975" s="813"/>
      <c r="N975" s="814"/>
    </row>
    <row r="976" spans="3:14">
      <c r="C976" s="485"/>
      <c r="D976" s="776"/>
      <c r="E976" s="2487" t="str">
        <f>IFERROR(IF([1]K_Summary!$E$961 = "", "", [1]K_Summary!$E$961 ),"")</f>
        <v/>
      </c>
      <c r="F976" s="2488"/>
      <c r="G976" s="815" t="s">
        <v>1020</v>
      </c>
      <c r="H976" s="126" t="str">
        <f>IFERROR(IF([1]K_Summary!$H$961 = "", "", [1]K_Summary!$H$961 ),"")</f>
        <v/>
      </c>
      <c r="I976" s="235" t="str">
        <f>IFERROR(IF([1]K_Summary!$I$961 = "", "", [1]K_Summary!$I$961 ),"")</f>
        <v/>
      </c>
      <c r="J976" s="236" t="str">
        <f>IFERROR(IF([1]K_Summary!$J$961 = "", "", [1]K_Summary!$J$961 ),"")</f>
        <v/>
      </c>
      <c r="K976" s="126" t="str">
        <f>IFERROR(IF([1]K_Summary!$K$961 = "", "", [1]K_Summary!$K$961 ),"")</f>
        <v/>
      </c>
      <c r="L976" s="126" t="str">
        <f>IFERROR(IF([1]K_Summary!$L$961 = "", "", [1]K_Summary!$L$961 ),"")</f>
        <v/>
      </c>
      <c r="M976" s="126" t="str">
        <f>IFERROR(IF([1]K_Summary!$M$961 = "", "", [1]K_Summary!$M$961 ),"")</f>
        <v/>
      </c>
      <c r="N976" s="237" t="str">
        <f>IFERROR(IF([1]K_Summary!$N$961 = "", "", [1]K_Summary!$N$961 ),"")</f>
        <v/>
      </c>
    </row>
    <row r="977" spans="3:14">
      <c r="C977" s="485"/>
      <c r="D977" s="776"/>
      <c r="E977" s="2487" t="str">
        <f>IFERROR(IF([1]K_Summary!$E$962 = "", "", [1]K_Summary!$E$962 ),"")</f>
        <v/>
      </c>
      <c r="F977" s="2488"/>
      <c r="G977" s="815" t="s">
        <v>1020</v>
      </c>
      <c r="H977" s="126" t="str">
        <f>IFERROR(IF([1]K_Summary!$H$962 = "", "", [1]K_Summary!$H$962 ),"")</f>
        <v/>
      </c>
      <c r="I977" s="235" t="str">
        <f>IFERROR(IF([1]K_Summary!$I$962 = "", "", [1]K_Summary!$I$962 ),"")</f>
        <v/>
      </c>
      <c r="J977" s="236" t="str">
        <f>IFERROR(IF([1]K_Summary!$J$962 = "", "", [1]K_Summary!$J$962 ),"")</f>
        <v/>
      </c>
      <c r="K977" s="126" t="str">
        <f>IFERROR(IF([1]K_Summary!$K$962 = "", "", [1]K_Summary!$K$962 ),"")</f>
        <v/>
      </c>
      <c r="L977" s="126" t="str">
        <f>IFERROR(IF([1]K_Summary!$L$962 = "", "", [1]K_Summary!$L$962 ),"")</f>
        <v/>
      </c>
      <c r="M977" s="126" t="str">
        <f>IFERROR(IF([1]K_Summary!$M$962 = "", "", [1]K_Summary!$M$962 ),"")</f>
        <v/>
      </c>
      <c r="N977" s="237" t="str">
        <f>IFERROR(IF([1]K_Summary!$N$962 = "", "", [1]K_Summary!$N$962 ),"")</f>
        <v/>
      </c>
    </row>
    <row r="978" spans="3:14">
      <c r="C978" s="485"/>
      <c r="D978" s="776"/>
      <c r="E978" s="2475" t="s">
        <v>1441</v>
      </c>
      <c r="F978" s="2410"/>
      <c r="G978" s="777"/>
      <c r="H978" s="813"/>
      <c r="I978" s="813"/>
      <c r="J978" s="813"/>
      <c r="K978" s="813"/>
      <c r="L978" s="813"/>
      <c r="M978" s="813"/>
      <c r="N978" s="814"/>
    </row>
    <row r="979" spans="3:14">
      <c r="C979" s="485"/>
      <c r="D979" s="776"/>
      <c r="E979" s="2487" t="str">
        <f>IFERROR(IF([1]K_Summary!$E$964 = "", "", [1]K_Summary!$E$964 ),"")</f>
        <v/>
      </c>
      <c r="F979" s="2488"/>
      <c r="G979" s="815" t="s">
        <v>1020</v>
      </c>
      <c r="H979" s="126" t="str">
        <f>IFERROR(IF([1]K_Summary!$H$964 = "", "", [1]K_Summary!$H$964 ),"")</f>
        <v/>
      </c>
      <c r="I979" s="235" t="str">
        <f>IFERROR(IF([1]K_Summary!$I$964 = "", "", [1]K_Summary!$I$964 ),"")</f>
        <v/>
      </c>
      <c r="J979" s="236" t="str">
        <f>IFERROR(IF([1]K_Summary!$J$964 = "", "", [1]K_Summary!$J$964 ),"")</f>
        <v/>
      </c>
      <c r="K979" s="126" t="str">
        <f>IFERROR(IF([1]K_Summary!$K$964 = "", "", [1]K_Summary!$K$964 ),"")</f>
        <v/>
      </c>
      <c r="L979" s="126" t="str">
        <f>IFERROR(IF([1]K_Summary!$L$964 = "", "", [1]K_Summary!$L$964 ),"")</f>
        <v/>
      </c>
      <c r="M979" s="126" t="str">
        <f>IFERROR(IF([1]K_Summary!$M$964 = "", "", [1]K_Summary!$M$964 ),"")</f>
        <v/>
      </c>
      <c r="N979" s="237" t="str">
        <f>IFERROR(IF([1]K_Summary!$N$964 = "", "", [1]K_Summary!$N$964 ),"")</f>
        <v/>
      </c>
    </row>
    <row r="980" spans="3:14">
      <c r="C980" s="485"/>
      <c r="D980" s="776"/>
      <c r="E980" s="2487" t="str">
        <f>IFERROR(IF([1]K_Summary!$E$965 = "", "", [1]K_Summary!$E$965 ),"")</f>
        <v/>
      </c>
      <c r="F980" s="2488"/>
      <c r="G980" s="815" t="s">
        <v>1020</v>
      </c>
      <c r="H980" s="126" t="str">
        <f>IFERROR(IF([1]K_Summary!$H$965 = "", "", [1]K_Summary!$H$965 ),"")</f>
        <v/>
      </c>
      <c r="I980" s="235" t="str">
        <f>IFERROR(IF([1]K_Summary!$I$965 = "", "", [1]K_Summary!$I$965 ),"")</f>
        <v/>
      </c>
      <c r="J980" s="236" t="str">
        <f>IFERROR(IF([1]K_Summary!$J$965 = "", "", [1]K_Summary!$J$965 ),"")</f>
        <v/>
      </c>
      <c r="K980" s="126" t="str">
        <f>IFERROR(IF([1]K_Summary!$K$965 = "", "", [1]K_Summary!$K$965 ),"")</f>
        <v/>
      </c>
      <c r="L980" s="126" t="str">
        <f>IFERROR(IF([1]K_Summary!$L$965 = "", "", [1]K_Summary!$L$965 ),"")</f>
        <v/>
      </c>
      <c r="M980" s="126" t="str">
        <f>IFERROR(IF([1]K_Summary!$M$965 = "", "", [1]K_Summary!$M$965 ),"")</f>
        <v/>
      </c>
      <c r="N980" s="237" t="str">
        <f>IFERROR(IF([1]K_Summary!$N$965 = "", "", [1]K_Summary!$N$965 ),"")</f>
        <v/>
      </c>
    </row>
    <row r="981" spans="3:14" ht="13.5" thickBot="1">
      <c r="C981" s="485"/>
      <c r="D981" s="802"/>
      <c r="E981" s="803"/>
      <c r="F981" s="803"/>
      <c r="G981" s="804"/>
      <c r="H981" s="804"/>
      <c r="I981" s="805"/>
      <c r="J981" s="805"/>
      <c r="K981" s="805"/>
      <c r="L981" s="805"/>
      <c r="M981" s="805"/>
      <c r="N981" s="806"/>
    </row>
    <row r="982" spans="3:14" ht="13.5" thickBot="1">
      <c r="C982" s="485"/>
      <c r="D982" s="485"/>
      <c r="E982" s="807"/>
      <c r="F982" s="562"/>
      <c r="G982" s="562"/>
      <c r="H982" s="562"/>
      <c r="I982" s="562"/>
      <c r="J982" s="562"/>
      <c r="K982" s="562"/>
      <c r="L982" s="562"/>
      <c r="M982" s="562"/>
      <c r="N982" s="562"/>
    </row>
    <row r="983" spans="3:14">
      <c r="C983" s="686"/>
      <c r="D983" s="686"/>
      <c r="E983" s="686"/>
      <c r="F983" s="686"/>
      <c r="G983" s="686"/>
      <c r="H983" s="686"/>
      <c r="I983" s="686"/>
      <c r="J983" s="686"/>
      <c r="K983" s="686"/>
      <c r="L983" s="686"/>
      <c r="M983" s="686"/>
      <c r="N983" s="686"/>
    </row>
    <row r="984" spans="3:14" ht="13.9" customHeight="1">
      <c r="C984" s="559">
        <v>4</v>
      </c>
      <c r="D984" s="2482" t="s">
        <v>2025</v>
      </c>
      <c r="E984" s="2482"/>
      <c r="F984" s="2482"/>
      <c r="G984" s="2482"/>
      <c r="H984" s="2483"/>
      <c r="I984" s="2489" t="str">
        <f>IFERROR(IF([1]K_Summary!$I$969 = "", "", [1]K_Summary!$I$969 ),"")</f>
        <v/>
      </c>
      <c r="J984" s="2490"/>
      <c r="K984" s="2490"/>
      <c r="L984" s="2490"/>
      <c r="M984" s="2490"/>
      <c r="N984" s="2491"/>
    </row>
    <row r="985" spans="3:14" ht="15">
      <c r="C985" s="559"/>
      <c r="D985" s="559"/>
      <c r="E985" s="559"/>
      <c r="F985" s="559"/>
      <c r="G985" s="559"/>
      <c r="H985" s="559"/>
      <c r="I985" s="559"/>
      <c r="J985" s="559"/>
      <c r="K985" s="559"/>
      <c r="L985" s="559"/>
      <c r="M985" s="559"/>
      <c r="N985" s="559"/>
    </row>
    <row r="986" spans="3:14" ht="15">
      <c r="C986" s="559"/>
      <c r="D986" s="559"/>
      <c r="E986" s="559"/>
      <c r="F986" s="559"/>
      <c r="G986" s="562"/>
      <c r="H986" s="688" t="s">
        <v>458</v>
      </c>
      <c r="I986" s="688" t="s">
        <v>1256</v>
      </c>
      <c r="J986" s="688" t="s">
        <v>1434</v>
      </c>
      <c r="K986" s="688" t="s">
        <v>1684</v>
      </c>
      <c r="L986" s="689" t="s">
        <v>156</v>
      </c>
      <c r="M986" s="2469" t="s">
        <v>302</v>
      </c>
      <c r="N986" s="2469"/>
    </row>
    <row r="987" spans="3:14" ht="15">
      <c r="C987" s="559"/>
      <c r="D987" s="559"/>
      <c r="E987" s="66" t="str">
        <f>IFERROR(IF([1]K_Summary!$E$972 = "", "", [1]K_Summary!$E$972 ),"")</f>
        <v/>
      </c>
      <c r="F987" s="51"/>
      <c r="G987" s="51"/>
      <c r="H987" s="143" t="str">
        <f>IFERROR(IF([1]K_Summary!$H$972 = "", "", [1]K_Summary!$H$972 ),"")</f>
        <v>N.A.</v>
      </c>
      <c r="I987" s="143" t="str">
        <f>IFERROR(IF([1]K_Summary!$I$972 = "", "", [1]K_Summary!$I$972 ),"")</f>
        <v/>
      </c>
      <c r="J987" s="53" t="str">
        <f>IFERROR(IF([1]K_Summary!$J$972 = "", "", [1]K_Summary!$J$972 ),"")</f>
        <v>N.A.</v>
      </c>
      <c r="K987" s="53" t="str">
        <f>IFERROR(IF([1]K_Summary!$K$972 = "", "", [1]K_Summary!$K$972 ),"")</f>
        <v>N.A.</v>
      </c>
      <c r="L987" s="144" t="str">
        <f>IFERROR(IF([1]K_Summary!$L$972 = "", "", [1]K_Summary!$L$972 ),"")</f>
        <v>N.A.</v>
      </c>
      <c r="M987" s="145" t="str">
        <f>IFERROR(IF([1]K_Summary!$M$972 = "", "", [1]K_Summary!$M$972 ),"")</f>
        <v>N.A.</v>
      </c>
      <c r="N987" s="50" t="str">
        <f>IFERROR(IF([1]K_Summary!$N$972 = "", "", [1]K_Summary!$N$972 ),"")</f>
        <v>EUA/tonnes</v>
      </c>
    </row>
    <row r="988" spans="3:14" ht="15">
      <c r="C988" s="485"/>
      <c r="D988" s="485"/>
      <c r="E988" s="559"/>
      <c r="F988" s="562"/>
      <c r="G988" s="562"/>
      <c r="H988" s="562"/>
      <c r="I988" s="562"/>
      <c r="J988" s="485"/>
      <c r="K988" s="485"/>
      <c r="L988" s="485"/>
      <c r="M988" s="485"/>
      <c r="N988" s="485"/>
    </row>
    <row r="989" spans="3:14">
      <c r="C989" s="485"/>
      <c r="D989" s="485"/>
      <c r="E989" s="496"/>
      <c r="F989" s="482" t="s">
        <v>884</v>
      </c>
      <c r="G989" s="695" t="s">
        <v>1646</v>
      </c>
      <c r="H989" s="696">
        <v>2019</v>
      </c>
      <c r="I989" s="697">
        <v>2020</v>
      </c>
      <c r="J989" s="696">
        <v>2021</v>
      </c>
      <c r="K989" s="578">
        <v>2022</v>
      </c>
      <c r="L989" s="578">
        <v>2023</v>
      </c>
      <c r="M989" s="578">
        <v>2024</v>
      </c>
      <c r="N989" s="578">
        <v>2025</v>
      </c>
    </row>
    <row r="990" spans="3:14">
      <c r="C990" s="485"/>
      <c r="D990" s="485"/>
      <c r="E990" s="698" t="s">
        <v>1665</v>
      </c>
      <c r="F990" s="146" t="str">
        <f>IFERROR(IF([1]K_Summary!$F$975 = "", "", [1]K_Summary!$F$975 ),"")</f>
        <v>tonnes</v>
      </c>
      <c r="G990" s="147" t="str">
        <f>IFERROR(IF([1]K_Summary!$G$975 = "", "", [1]K_Summary!$G$975 ),"")</f>
        <v/>
      </c>
      <c r="H990" s="148" t="str">
        <f>IFERROR(IF([1]K_Summary!$H$975 = "", "", [1]K_Summary!$H$975 ),"")</f>
        <v/>
      </c>
      <c r="I990" s="149" t="str">
        <f>IFERROR(IF([1]K_Summary!$I$975 = "", "", [1]K_Summary!$I$975 ),"")</f>
        <v/>
      </c>
      <c r="J990" s="148" t="str">
        <f>IFERROR(IF([1]K_Summary!$J$975 = "", "", [1]K_Summary!$J$975 ),"")</f>
        <v/>
      </c>
      <c r="K990" s="150" t="str">
        <f>IFERROR(IF([1]K_Summary!$K$975 = "", "", [1]K_Summary!$K$975 ),"")</f>
        <v/>
      </c>
      <c r="L990" s="150" t="str">
        <f>IFERROR(IF([1]K_Summary!$L$975 = "", "", [1]K_Summary!$L$975 ),"")</f>
        <v/>
      </c>
      <c r="M990" s="150" t="str">
        <f>IFERROR(IF([1]K_Summary!$M$975 = "", "", [1]K_Summary!$M$975 ),"")</f>
        <v/>
      </c>
      <c r="N990" s="150" t="str">
        <f>IFERROR(IF([1]K_Summary!$N$975 = "", "", [1]K_Summary!$N$975 ),"")</f>
        <v/>
      </c>
    </row>
    <row r="991" spans="3:14" ht="15.75" thickBot="1">
      <c r="C991" s="559"/>
      <c r="D991" s="559"/>
      <c r="E991" s="559"/>
      <c r="F991" s="559"/>
      <c r="G991" s="559"/>
      <c r="H991" s="559"/>
      <c r="I991" s="559"/>
      <c r="J991" s="559"/>
      <c r="K991" s="559"/>
      <c r="L991" s="559"/>
      <c r="M991" s="559"/>
      <c r="N991" s="559"/>
    </row>
    <row r="992" spans="3:14" ht="15">
      <c r="C992" s="559"/>
      <c r="D992" s="703"/>
      <c r="E992" s="704"/>
      <c r="F992" s="704"/>
      <c r="G992" s="704"/>
      <c r="H992" s="704"/>
      <c r="I992" s="704"/>
      <c r="J992" s="704"/>
      <c r="K992" s="704"/>
      <c r="L992" s="704"/>
      <c r="M992" s="704"/>
      <c r="N992" s="705"/>
    </row>
    <row r="993" spans="1:14" ht="15">
      <c r="C993" s="559"/>
      <c r="D993" s="706"/>
      <c r="E993" s="707" t="s">
        <v>1787</v>
      </c>
      <c r="F993" s="637"/>
      <c r="G993" s="637"/>
      <c r="H993" s="663"/>
      <c r="I993" s="708"/>
      <c r="J993" s="709">
        <v>2021</v>
      </c>
      <c r="K993" s="671">
        <v>2022</v>
      </c>
      <c r="L993" s="671">
        <v>2023</v>
      </c>
      <c r="M993" s="671">
        <v>2024</v>
      </c>
      <c r="N993" s="710">
        <v>2025</v>
      </c>
    </row>
    <row r="994" spans="1:14" ht="15">
      <c r="C994" s="559"/>
      <c r="D994" s="706"/>
      <c r="E994" s="711" t="s">
        <v>1783</v>
      </c>
      <c r="F994" s="712"/>
      <c r="G994" s="712"/>
      <c r="H994" s="713"/>
      <c r="I994" s="712"/>
      <c r="J994" s="151" t="str">
        <f>IFERROR(IF([1]K_Summary!$J$979 = "", "", [1]K_Summary!$J$979 ),"")</f>
        <v/>
      </c>
      <c r="K994" s="152" t="str">
        <f>IFERROR(IF([1]K_Summary!$K$979 = "", "", [1]K_Summary!$K$979 ),"")</f>
        <v/>
      </c>
      <c r="L994" s="152" t="str">
        <f>IFERROR(IF([1]K_Summary!$L$979 = "", "", [1]K_Summary!$L$979 ),"")</f>
        <v/>
      </c>
      <c r="M994" s="152" t="str">
        <f>IFERROR(IF([1]K_Summary!$M$979 = "", "", [1]K_Summary!$M$979 ),"")</f>
        <v/>
      </c>
      <c r="N994" s="153" t="str">
        <f>IFERROR(IF([1]K_Summary!$N$979 = "", "", [1]K_Summary!$N$979 ),"")</f>
        <v/>
      </c>
    </row>
    <row r="995" spans="1:14" ht="15">
      <c r="C995" s="559"/>
      <c r="D995" s="706"/>
      <c r="E995" s="714" t="s">
        <v>1784</v>
      </c>
      <c r="F995" s="715"/>
      <c r="G995" s="715"/>
      <c r="H995" s="716"/>
      <c r="I995" s="715"/>
      <c r="J995" s="154" t="str">
        <f>IFERROR(IF([1]K_Summary!$J$980 = "", "", [1]K_Summary!$J$980 ),"")</f>
        <v/>
      </c>
      <c r="K995" s="155" t="str">
        <f>IFERROR(IF([1]K_Summary!$K$980 = "", "", [1]K_Summary!$K$980 ),"")</f>
        <v/>
      </c>
      <c r="L995" s="155" t="str">
        <f>IFERROR(IF([1]K_Summary!$L$980 = "", "", [1]K_Summary!$L$980 ),"")</f>
        <v/>
      </c>
      <c r="M995" s="155" t="str">
        <f>IFERROR(IF([1]K_Summary!$M$980 = "", "", [1]K_Summary!$M$980 ),"")</f>
        <v/>
      </c>
      <c r="N995" s="156" t="str">
        <f>IFERROR(IF([1]K_Summary!$N$980 = "", "", [1]K_Summary!$N$980 ),"")</f>
        <v/>
      </c>
    </row>
    <row r="996" spans="1:14" ht="15">
      <c r="C996" s="559"/>
      <c r="D996" s="706"/>
      <c r="E996" s="559"/>
      <c r="F996" s="559"/>
      <c r="G996" s="559"/>
      <c r="H996" s="559"/>
      <c r="I996" s="559"/>
      <c r="J996" s="559"/>
      <c r="K996" s="559"/>
      <c r="L996" s="559"/>
      <c r="M996" s="559"/>
      <c r="N996" s="717"/>
    </row>
    <row r="997" spans="1:14" ht="15">
      <c r="C997" s="559"/>
      <c r="D997" s="706"/>
      <c r="E997" s="496" t="s">
        <v>1762</v>
      </c>
      <c r="F997" s="485"/>
      <c r="G997" s="485"/>
      <c r="H997" s="663" t="s">
        <v>884</v>
      </c>
      <c r="I997" s="708"/>
      <c r="J997" s="696">
        <v>2021</v>
      </c>
      <c r="K997" s="578">
        <v>2022</v>
      </c>
      <c r="L997" s="578">
        <v>2023</v>
      </c>
      <c r="M997" s="578">
        <v>2024</v>
      </c>
      <c r="N997" s="718">
        <v>2025</v>
      </c>
    </row>
    <row r="998" spans="1:14" ht="15" hidden="1">
      <c r="A998" s="719" t="s">
        <v>2289</v>
      </c>
      <c r="C998" s="559"/>
      <c r="D998" s="706"/>
      <c r="E998" s="698" t="s">
        <v>1714</v>
      </c>
      <c r="F998" s="698"/>
      <c r="G998" s="698"/>
      <c r="H998" s="63" t="str">
        <f>IFERROR(IF([1]K_Summary!$H$983 = "", "", [1]K_Summary!$H$983 ),"")</f>
        <v>tonnes</v>
      </c>
      <c r="I998" s="698"/>
      <c r="J998" s="157" t="str">
        <f>IFERROR(IF([1]K_Summary!$J$983 = "", "", [1]K_Summary!$J$983 ),"")</f>
        <v/>
      </c>
      <c r="K998" s="147" t="str">
        <f>IFERROR(IF([1]K_Summary!$K$983 = "", "", [1]K_Summary!$K$983 ),"")</f>
        <v/>
      </c>
      <c r="L998" s="147" t="str">
        <f>IFERROR(IF([1]K_Summary!$L$983 = "", "", [1]K_Summary!$L$983 ),"")</f>
        <v/>
      </c>
      <c r="M998" s="147" t="str">
        <f>IFERROR(IF([1]K_Summary!$M$983 = "", "", [1]K_Summary!$M$983 ),"")</f>
        <v/>
      </c>
      <c r="N998" s="158" t="str">
        <f>IFERROR(IF([1]K_Summary!$N$983 = "", "", [1]K_Summary!$N$983 ),"")</f>
        <v/>
      </c>
    </row>
    <row r="999" spans="1:14" ht="15" hidden="1">
      <c r="A999" s="719" t="s">
        <v>2289</v>
      </c>
      <c r="C999" s="559"/>
      <c r="D999" s="706"/>
      <c r="E999" s="720" t="s">
        <v>303</v>
      </c>
      <c r="F999" s="720"/>
      <c r="G999" s="720"/>
      <c r="H999" s="721" t="s">
        <v>2090</v>
      </c>
      <c r="I999" s="722"/>
      <c r="J999" s="159" t="str">
        <f>IFERROR(IF([1]K_Summary!$J$984 = "", "", [1]K_Summary!$J$984 ),"")</f>
        <v/>
      </c>
      <c r="K999" s="160" t="str">
        <f>IFERROR(IF([1]K_Summary!$K$984 = "", "", [1]K_Summary!$K$984 ),"")</f>
        <v/>
      </c>
      <c r="L999" s="160" t="str">
        <f>IFERROR(IF([1]K_Summary!$L$984 = "", "", [1]K_Summary!$L$984 ),"")</f>
        <v/>
      </c>
      <c r="M999" s="160" t="str">
        <f>IFERROR(IF([1]K_Summary!$M$984 = "", "", [1]K_Summary!$M$984 ),"")</f>
        <v/>
      </c>
      <c r="N999" s="161" t="str">
        <f>IFERROR(IF([1]K_Summary!$N$984 = "", "", [1]K_Summary!$N$984 ),"")</f>
        <v/>
      </c>
    </row>
    <row r="1000" spans="1:14" ht="15" hidden="1">
      <c r="A1000" s="719" t="s">
        <v>2289</v>
      </c>
      <c r="C1000" s="559"/>
      <c r="D1000" s="706"/>
      <c r="E1000" s="723" t="s">
        <v>1422</v>
      </c>
      <c r="F1000" s="723"/>
      <c r="G1000" s="723"/>
      <c r="H1000" s="724" t="s">
        <v>2090</v>
      </c>
      <c r="I1000" s="725"/>
      <c r="J1000" s="162" t="str">
        <f>IFERROR(IF([1]K_Summary!$J$985 = "", "", [1]K_Summary!$J$985 ),"")</f>
        <v/>
      </c>
      <c r="K1000" s="163" t="str">
        <f>IFERROR(IF([1]K_Summary!$K$985 = "", "", [1]K_Summary!$K$985 ),"")</f>
        <v/>
      </c>
      <c r="L1000" s="163" t="str">
        <f>IFERROR(IF([1]K_Summary!$L$985 = "", "", [1]K_Summary!$L$985 ),"")</f>
        <v/>
      </c>
      <c r="M1000" s="163" t="str">
        <f>IFERROR(IF([1]K_Summary!$M$985 = "", "", [1]K_Summary!$M$985 ),"")</f>
        <v/>
      </c>
      <c r="N1000" s="164" t="str">
        <f>IFERROR(IF([1]K_Summary!$N$985 = "", "", [1]K_Summary!$N$985 ),"")</f>
        <v/>
      </c>
    </row>
    <row r="1001" spans="1:14" ht="15" hidden="1">
      <c r="A1001" s="719" t="s">
        <v>2289</v>
      </c>
      <c r="C1001" s="559"/>
      <c r="D1001" s="706"/>
      <c r="E1001" s="723" t="s">
        <v>1390</v>
      </c>
      <c r="F1001" s="723"/>
      <c r="G1001" s="723"/>
      <c r="H1001" s="724" t="s">
        <v>2090</v>
      </c>
      <c r="I1001" s="725"/>
      <c r="J1001" s="162" t="str">
        <f>IFERROR(IF([1]K_Summary!$J$986 = "", "", [1]K_Summary!$J$986 ),"")</f>
        <v/>
      </c>
      <c r="K1001" s="163" t="str">
        <f>IFERROR(IF([1]K_Summary!$K$986 = "", "", [1]K_Summary!$K$986 ),"")</f>
        <v/>
      </c>
      <c r="L1001" s="163" t="str">
        <f>IFERROR(IF([1]K_Summary!$L$986 = "", "", [1]K_Summary!$L$986 ),"")</f>
        <v/>
      </c>
      <c r="M1001" s="163" t="str">
        <f>IFERROR(IF([1]K_Summary!$M$986 = "", "", [1]K_Summary!$M$986 ),"")</f>
        <v/>
      </c>
      <c r="N1001" s="164" t="str">
        <f>IFERROR(IF([1]K_Summary!$N$986 = "", "", [1]K_Summary!$N$986 ),"")</f>
        <v/>
      </c>
    </row>
    <row r="1002" spans="1:14" ht="15" hidden="1">
      <c r="A1002" s="719" t="s">
        <v>2289</v>
      </c>
      <c r="C1002" s="559"/>
      <c r="D1002" s="706"/>
      <c r="E1002" s="723" t="s">
        <v>1389</v>
      </c>
      <c r="F1002" s="723"/>
      <c r="G1002" s="723"/>
      <c r="H1002" s="726" t="s">
        <v>1021</v>
      </c>
      <c r="I1002" s="725"/>
      <c r="J1002" s="165" t="str">
        <f>IFERROR(IF([1]K_Summary!$J$987 = "", "", [1]K_Summary!$J$987 ),"")</f>
        <v/>
      </c>
      <c r="K1002" s="166" t="str">
        <f>IFERROR(IF([1]K_Summary!$K$987 = "", "", [1]K_Summary!$K$987 ),"")</f>
        <v/>
      </c>
      <c r="L1002" s="166" t="str">
        <f>IFERROR(IF([1]K_Summary!$L$987 = "", "", [1]K_Summary!$L$987 ),"")</f>
        <v/>
      </c>
      <c r="M1002" s="166" t="str">
        <f>IFERROR(IF([1]K_Summary!$M$987 = "", "", [1]K_Summary!$M$987 ),"")</f>
        <v/>
      </c>
      <c r="N1002" s="167" t="str">
        <f>IFERROR(IF([1]K_Summary!$N$987 = "", "", [1]K_Summary!$N$987 ),"")</f>
        <v/>
      </c>
    </row>
    <row r="1003" spans="1:14" ht="15" hidden="1">
      <c r="A1003" s="719" t="s">
        <v>2289</v>
      </c>
      <c r="C1003" s="559"/>
      <c r="D1003" s="706"/>
      <c r="E1003" s="727" t="s">
        <v>1391</v>
      </c>
      <c r="F1003" s="727"/>
      <c r="G1003" s="727"/>
      <c r="H1003" s="728" t="s">
        <v>1021</v>
      </c>
      <c r="I1003" s="729"/>
      <c r="J1003" s="168" t="str">
        <f>IFERROR(IF([1]K_Summary!$J$988 = "", "", [1]K_Summary!$J$988 ),"")</f>
        <v/>
      </c>
      <c r="K1003" s="169" t="str">
        <f>IFERROR(IF([1]K_Summary!$K$988 = "", "", [1]K_Summary!$K$988 ),"")</f>
        <v/>
      </c>
      <c r="L1003" s="169" t="str">
        <f>IFERROR(IF([1]K_Summary!$L$988 = "", "", [1]K_Summary!$L$988 ),"")</f>
        <v/>
      </c>
      <c r="M1003" s="169" t="str">
        <f>IFERROR(IF([1]K_Summary!$M$988 = "", "", [1]K_Summary!$M$988 ),"")</f>
        <v/>
      </c>
      <c r="N1003" s="170" t="str">
        <f>IFERROR(IF([1]K_Summary!$N$988 = "", "", [1]K_Summary!$N$988 ),"")</f>
        <v/>
      </c>
    </row>
    <row r="1004" spans="1:14" ht="15">
      <c r="C1004" s="559"/>
      <c r="D1004" s="706"/>
      <c r="E1004" s="698" t="s">
        <v>1671</v>
      </c>
      <c r="F1004" s="698"/>
      <c r="G1004" s="698"/>
      <c r="H1004" s="730" t="s">
        <v>2090</v>
      </c>
      <c r="I1004" s="731"/>
      <c r="J1004" s="148" t="str">
        <f>IFERROR(IF([1]K_Summary!$J$989 = "", "", [1]K_Summary!$J$989 ),"")</f>
        <v/>
      </c>
      <c r="K1004" s="150" t="str">
        <f>IFERROR(IF([1]K_Summary!$K$989 = "", "", [1]K_Summary!$K$989 ),"")</f>
        <v/>
      </c>
      <c r="L1004" s="150" t="str">
        <f>IFERROR(IF([1]K_Summary!$L$989 = "", "", [1]K_Summary!$L$989 ),"")</f>
        <v/>
      </c>
      <c r="M1004" s="150" t="str">
        <f>IFERROR(IF([1]K_Summary!$M$989 = "", "", [1]K_Summary!$M$989 ),"")</f>
        <v/>
      </c>
      <c r="N1004" s="171" t="str">
        <f>IFERROR(IF([1]K_Summary!$N$989 = "", "", [1]K_Summary!$N$989 ),"")</f>
        <v/>
      </c>
    </row>
    <row r="1005" spans="1:14" ht="15">
      <c r="C1005" s="559"/>
      <c r="D1005" s="706"/>
      <c r="E1005" s="559"/>
      <c r="F1005" s="559"/>
      <c r="G1005" s="559"/>
      <c r="H1005" s="559"/>
      <c r="I1005" s="559"/>
      <c r="J1005" s="559"/>
      <c r="K1005" s="559"/>
      <c r="L1005" s="559"/>
      <c r="M1005" s="559"/>
      <c r="N1005" s="717"/>
    </row>
    <row r="1006" spans="1:14" ht="15">
      <c r="C1006" s="559"/>
      <c r="D1006" s="706"/>
      <c r="E1006" s="707" t="s">
        <v>1752</v>
      </c>
      <c r="F1006" s="637"/>
      <c r="G1006" s="637"/>
      <c r="H1006" s="663" t="s">
        <v>884</v>
      </c>
      <c r="I1006" s="708"/>
      <c r="J1006" s="709">
        <v>2021</v>
      </c>
      <c r="K1006" s="671">
        <v>2022</v>
      </c>
      <c r="L1006" s="671">
        <v>2023</v>
      </c>
      <c r="M1006" s="671">
        <v>2024</v>
      </c>
      <c r="N1006" s="710">
        <v>2025</v>
      </c>
    </row>
    <row r="1007" spans="1:14" ht="15">
      <c r="C1007" s="559"/>
      <c r="D1007" s="706"/>
      <c r="E1007" s="720" t="s">
        <v>1691</v>
      </c>
      <c r="F1007" s="720"/>
      <c r="G1007" s="720"/>
      <c r="H1007" s="67" t="str">
        <f>IFERROR(IF([1]K_Summary!$H$992 = "", "", [1]K_Summary!$H$992 ),"")</f>
        <v>tonnes</v>
      </c>
      <c r="I1007" s="733"/>
      <c r="J1007" s="172" t="str">
        <f>IFERROR(IF([1]K_Summary!$J$992 = "", "", [1]K_Summary!$J$992 ),"")</f>
        <v/>
      </c>
      <c r="K1007" s="54" t="str">
        <f>IFERROR(IF([1]K_Summary!$K$992 = "", "", [1]K_Summary!$K$992 ),"")</f>
        <v/>
      </c>
      <c r="L1007" s="54" t="str">
        <f>IFERROR(IF([1]K_Summary!$L$992 = "", "", [1]K_Summary!$L$992 ),"")</f>
        <v/>
      </c>
      <c r="M1007" s="54" t="str">
        <f>IFERROR(IF([1]K_Summary!$M$992 = "", "", [1]K_Summary!$M$992 ),"")</f>
        <v/>
      </c>
      <c r="N1007" s="173" t="str">
        <f>IFERROR(IF([1]K_Summary!$N$992 = "", "", [1]K_Summary!$N$992 ),"")</f>
        <v/>
      </c>
    </row>
    <row r="1008" spans="1:14" ht="15">
      <c r="C1008" s="559"/>
      <c r="D1008" s="706"/>
      <c r="E1008" s="723" t="s">
        <v>1648</v>
      </c>
      <c r="F1008" s="723"/>
      <c r="G1008" s="723"/>
      <c r="H1008" s="734" t="s">
        <v>1021</v>
      </c>
      <c r="I1008" s="735"/>
      <c r="J1008" s="174" t="str">
        <f>IFERROR(IF([1]K_Summary!$J$993 = "", "", [1]K_Summary!$J$993 ),"")</f>
        <v/>
      </c>
      <c r="K1008" s="175" t="str">
        <f>IFERROR(IF([1]K_Summary!$K$993 = "", "", [1]K_Summary!$K$993 ),"")</f>
        <v/>
      </c>
      <c r="L1008" s="175" t="str">
        <f>IFERROR(IF([1]K_Summary!$L$993 = "", "", [1]K_Summary!$L$993 ),"")</f>
        <v/>
      </c>
      <c r="M1008" s="175" t="str">
        <f>IFERROR(IF([1]K_Summary!$M$993 = "", "", [1]K_Summary!$M$993 ),"")</f>
        <v/>
      </c>
      <c r="N1008" s="176" t="str">
        <f>IFERROR(IF([1]K_Summary!$N$993 = "", "", [1]K_Summary!$N$993 ),"")</f>
        <v/>
      </c>
    </row>
    <row r="1009" spans="1:14" ht="15">
      <c r="C1009" s="559"/>
      <c r="D1009" s="706"/>
      <c r="E1009" s="736" t="s">
        <v>1850</v>
      </c>
      <c r="F1009" s="736"/>
      <c r="G1009" s="736"/>
      <c r="H1009" s="737" t="s">
        <v>1021</v>
      </c>
      <c r="I1009" s="738"/>
      <c r="J1009" s="177" t="str">
        <f>IFERROR(IF([1]K_Summary!$J$994 = "", "", [1]K_Summary!$J$994 ),"")</f>
        <v/>
      </c>
      <c r="K1009" s="178" t="str">
        <f>IFERROR(IF([1]K_Summary!$K$994 = "", "", [1]K_Summary!$K$994 ),"")</f>
        <v/>
      </c>
      <c r="L1009" s="178" t="str">
        <f>IFERROR(IF([1]K_Summary!$L$994 = "", "", [1]K_Summary!$L$994 ),"")</f>
        <v/>
      </c>
      <c r="M1009" s="178" t="str">
        <f>IFERROR(IF([1]K_Summary!$M$994 = "", "", [1]K_Summary!$M$994 ),"")</f>
        <v/>
      </c>
      <c r="N1009" s="179" t="str">
        <f>IFERROR(IF([1]K_Summary!$N$994 = "", "", [1]K_Summary!$N$994 ),"")</f>
        <v/>
      </c>
    </row>
    <row r="1010" spans="1:14" ht="15">
      <c r="C1010" s="559"/>
      <c r="D1010" s="706"/>
      <c r="E1010" s="727" t="s">
        <v>1689</v>
      </c>
      <c r="F1010" s="727"/>
      <c r="G1010" s="727"/>
      <c r="H1010" s="68" t="str">
        <f>IFERROR(IF([1]K_Summary!$H$995 = "", "", [1]K_Summary!$H$995 ),"")</f>
        <v>tonnes</v>
      </c>
      <c r="I1010" s="727"/>
      <c r="J1010" s="180" t="str">
        <f>IFERROR(IF([1]K_Summary!$J$995 = "", "", [1]K_Summary!$J$995 ),"")</f>
        <v/>
      </c>
      <c r="K1010" s="181" t="str">
        <f>IFERROR(IF([1]K_Summary!$K$995 = "", "", [1]K_Summary!$K$995 ),"")</f>
        <v/>
      </c>
      <c r="L1010" s="181" t="str">
        <f>IFERROR(IF([1]K_Summary!$L$995 = "", "", [1]K_Summary!$L$995 ),"")</f>
        <v/>
      </c>
      <c r="M1010" s="181" t="str">
        <f>IFERROR(IF([1]K_Summary!$M$995 = "", "", [1]K_Summary!$M$995 ),"")</f>
        <v/>
      </c>
      <c r="N1010" s="182" t="str">
        <f>IFERROR(IF([1]K_Summary!$N$995 = "", "", [1]K_Summary!$N$995 ),"")</f>
        <v/>
      </c>
    </row>
    <row r="1011" spans="1:14" ht="15" hidden="1">
      <c r="A1011" s="719" t="s">
        <v>2289</v>
      </c>
      <c r="C1011" s="559"/>
      <c r="D1011" s="706"/>
      <c r="E1011" s="720" t="s">
        <v>303</v>
      </c>
      <c r="F1011" s="720"/>
      <c r="G1011" s="720"/>
      <c r="H1011" s="721" t="s">
        <v>2090</v>
      </c>
      <c r="I1011" s="722"/>
      <c r="J1011" s="159" t="str">
        <f>IFERROR(IF([1]K_Summary!$J$996 = "", "", [1]K_Summary!$J$996 ),"")</f>
        <v/>
      </c>
      <c r="K1011" s="160" t="str">
        <f>IFERROR(IF([1]K_Summary!$K$996 = "", "", [1]K_Summary!$K$996 ),"")</f>
        <v/>
      </c>
      <c r="L1011" s="160" t="str">
        <f>IFERROR(IF([1]K_Summary!$L$996 = "", "", [1]K_Summary!$L$996 ),"")</f>
        <v/>
      </c>
      <c r="M1011" s="160" t="str">
        <f>IFERROR(IF([1]K_Summary!$M$996 = "", "", [1]K_Summary!$M$996 ),"")</f>
        <v/>
      </c>
      <c r="N1011" s="161" t="str">
        <f>IFERROR(IF([1]K_Summary!$N$996 = "", "", [1]K_Summary!$N$996 ),"")</f>
        <v/>
      </c>
    </row>
    <row r="1012" spans="1:14" ht="15" hidden="1">
      <c r="A1012" s="719" t="s">
        <v>2289</v>
      </c>
      <c r="C1012" s="559"/>
      <c r="D1012" s="706"/>
      <c r="E1012" s="723" t="s">
        <v>1422</v>
      </c>
      <c r="F1012" s="723"/>
      <c r="G1012" s="723"/>
      <c r="H1012" s="724" t="s">
        <v>2090</v>
      </c>
      <c r="I1012" s="725"/>
      <c r="J1012" s="162" t="str">
        <f>IFERROR(IF([1]K_Summary!$J$997 = "", "", [1]K_Summary!$J$997 ),"")</f>
        <v/>
      </c>
      <c r="K1012" s="163" t="str">
        <f>IFERROR(IF([1]K_Summary!$K$997 = "", "", [1]K_Summary!$K$997 ),"")</f>
        <v/>
      </c>
      <c r="L1012" s="163" t="str">
        <f>IFERROR(IF([1]K_Summary!$L$997 = "", "", [1]K_Summary!$L$997 ),"")</f>
        <v/>
      </c>
      <c r="M1012" s="163" t="str">
        <f>IFERROR(IF([1]K_Summary!$M$997 = "", "", [1]K_Summary!$M$997 ),"")</f>
        <v/>
      </c>
      <c r="N1012" s="164" t="str">
        <f>IFERROR(IF([1]K_Summary!$N$997 = "", "", [1]K_Summary!$N$997 ),"")</f>
        <v/>
      </c>
    </row>
    <row r="1013" spans="1:14" ht="15" hidden="1">
      <c r="A1013" s="719" t="s">
        <v>2289</v>
      </c>
      <c r="C1013" s="559"/>
      <c r="D1013" s="706"/>
      <c r="E1013" s="723" t="s">
        <v>1390</v>
      </c>
      <c r="F1013" s="723"/>
      <c r="G1013" s="723"/>
      <c r="H1013" s="724" t="s">
        <v>2090</v>
      </c>
      <c r="I1013" s="725"/>
      <c r="J1013" s="162" t="str">
        <f>IFERROR(IF([1]K_Summary!$J$998 = "", "", [1]K_Summary!$J$998 ),"")</f>
        <v/>
      </c>
      <c r="K1013" s="163" t="str">
        <f>IFERROR(IF([1]K_Summary!$K$998 = "", "", [1]K_Summary!$K$998 ),"")</f>
        <v/>
      </c>
      <c r="L1013" s="163" t="str">
        <f>IFERROR(IF([1]K_Summary!$L$998 = "", "", [1]K_Summary!$L$998 ),"")</f>
        <v/>
      </c>
      <c r="M1013" s="163" t="str">
        <f>IFERROR(IF([1]K_Summary!$M$998 = "", "", [1]K_Summary!$M$998 ),"")</f>
        <v/>
      </c>
      <c r="N1013" s="164" t="str">
        <f>IFERROR(IF([1]K_Summary!$N$998 = "", "", [1]K_Summary!$N$998 ),"")</f>
        <v/>
      </c>
    </row>
    <row r="1014" spans="1:14" ht="15" hidden="1">
      <c r="A1014" s="719" t="s">
        <v>2289</v>
      </c>
      <c r="C1014" s="559"/>
      <c r="D1014" s="706"/>
      <c r="E1014" s="723" t="s">
        <v>1389</v>
      </c>
      <c r="F1014" s="723"/>
      <c r="G1014" s="723"/>
      <c r="H1014" s="726" t="s">
        <v>1021</v>
      </c>
      <c r="I1014" s="725"/>
      <c r="J1014" s="165" t="str">
        <f>IFERROR(IF([1]K_Summary!$J$999 = "", "", [1]K_Summary!$J$999 ),"")</f>
        <v/>
      </c>
      <c r="K1014" s="166" t="str">
        <f>IFERROR(IF([1]K_Summary!$K$999 = "", "", [1]K_Summary!$K$999 ),"")</f>
        <v/>
      </c>
      <c r="L1014" s="166" t="str">
        <f>IFERROR(IF([1]K_Summary!$L$999 = "", "", [1]K_Summary!$L$999 ),"")</f>
        <v/>
      </c>
      <c r="M1014" s="166" t="str">
        <f>IFERROR(IF([1]K_Summary!$M$999 = "", "", [1]K_Summary!$M$999 ),"")</f>
        <v/>
      </c>
      <c r="N1014" s="167" t="str">
        <f>IFERROR(IF([1]K_Summary!$N$999 = "", "", [1]K_Summary!$N$999 ),"")</f>
        <v/>
      </c>
    </row>
    <row r="1015" spans="1:14" ht="15" hidden="1">
      <c r="A1015" s="719" t="s">
        <v>2289</v>
      </c>
      <c r="C1015" s="559"/>
      <c r="D1015" s="706"/>
      <c r="E1015" s="727" t="s">
        <v>1391</v>
      </c>
      <c r="F1015" s="727"/>
      <c r="G1015" s="727"/>
      <c r="H1015" s="728" t="s">
        <v>1021</v>
      </c>
      <c r="I1015" s="729"/>
      <c r="J1015" s="168" t="str">
        <f>IFERROR(IF([1]K_Summary!$J$1000 = "", "", [1]K_Summary!$J$1000 ),"")</f>
        <v/>
      </c>
      <c r="K1015" s="169" t="str">
        <f>IFERROR(IF([1]K_Summary!$K$1000 = "", "", [1]K_Summary!$K$1000 ),"")</f>
        <v/>
      </c>
      <c r="L1015" s="169" t="str">
        <f>IFERROR(IF([1]K_Summary!$L$1000 = "", "", [1]K_Summary!$L$1000 ),"")</f>
        <v/>
      </c>
      <c r="M1015" s="169" t="str">
        <f>IFERROR(IF([1]K_Summary!$M$1000 = "", "", [1]K_Summary!$M$1000 ),"")</f>
        <v/>
      </c>
      <c r="N1015" s="170" t="str">
        <f>IFERROR(IF([1]K_Summary!$N$1000 = "", "", [1]K_Summary!$N$1000 ),"")</f>
        <v/>
      </c>
    </row>
    <row r="1016" spans="1:14" ht="15">
      <c r="C1016" s="559"/>
      <c r="D1016" s="706"/>
      <c r="E1016" s="698" t="s">
        <v>1671</v>
      </c>
      <c r="F1016" s="698"/>
      <c r="G1016" s="698"/>
      <c r="H1016" s="730" t="s">
        <v>2090</v>
      </c>
      <c r="I1016" s="731"/>
      <c r="J1016" s="148" t="str">
        <f>IFERROR(IF([1]K_Summary!$J$1001 = "", "", [1]K_Summary!$J$1001 ),"")</f>
        <v/>
      </c>
      <c r="K1016" s="150" t="str">
        <f>IFERROR(IF([1]K_Summary!$K$1001 = "", "", [1]K_Summary!$K$1001 ),"")</f>
        <v/>
      </c>
      <c r="L1016" s="150" t="str">
        <f>IFERROR(IF([1]K_Summary!$L$1001 = "", "", [1]K_Summary!$L$1001 ),"")</f>
        <v/>
      </c>
      <c r="M1016" s="150" t="str">
        <f>IFERROR(IF([1]K_Summary!$M$1001 = "", "", [1]K_Summary!$M$1001 ),"")</f>
        <v/>
      </c>
      <c r="N1016" s="171" t="str">
        <f>IFERROR(IF([1]K_Summary!$N$1001 = "", "", [1]K_Summary!$N$1001 ),"")</f>
        <v/>
      </c>
    </row>
    <row r="1017" spans="1:14" ht="15">
      <c r="C1017" s="559"/>
      <c r="D1017" s="706"/>
      <c r="E1017" s="698" t="s">
        <v>1670</v>
      </c>
      <c r="F1017" s="698"/>
      <c r="G1017" s="698"/>
      <c r="H1017" s="730" t="s">
        <v>2090</v>
      </c>
      <c r="I1017" s="731"/>
      <c r="J1017" s="148" t="str">
        <f>IFERROR(IF([1]K_Summary!$J$1002 = "", "", [1]K_Summary!$J$1002 ),"")</f>
        <v/>
      </c>
      <c r="K1017" s="150" t="str">
        <f>IFERROR(IF([1]K_Summary!$K$1002 = "", "", [1]K_Summary!$K$1002 ),"")</f>
        <v/>
      </c>
      <c r="L1017" s="150" t="str">
        <f>IFERROR(IF([1]K_Summary!$L$1002 = "", "", [1]K_Summary!$L$1002 ),"")</f>
        <v/>
      </c>
      <c r="M1017" s="150" t="str">
        <f>IFERROR(IF([1]K_Summary!$M$1002 = "", "", [1]K_Summary!$M$1002 ),"")</f>
        <v/>
      </c>
      <c r="N1017" s="171" t="str">
        <f>IFERROR(IF([1]K_Summary!$N$1002 = "", "", [1]K_Summary!$N$1002 ),"")</f>
        <v/>
      </c>
    </row>
    <row r="1018" spans="1:14" ht="15">
      <c r="C1018" s="559"/>
      <c r="D1018" s="706"/>
      <c r="E1018" s="740" t="s">
        <v>2130</v>
      </c>
      <c r="F1018" s="740"/>
      <c r="G1018" s="740"/>
      <c r="H1018" s="741" t="s">
        <v>1021</v>
      </c>
      <c r="I1018" s="742"/>
      <c r="J1018" s="183" t="str">
        <f>IFERROR(IF([1]K_Summary!$J$1003 = "", "", [1]K_Summary!$J$1003 ),"")</f>
        <v/>
      </c>
      <c r="K1018" s="184" t="str">
        <f>IFERROR(IF([1]K_Summary!$K$1003 = "", "", [1]K_Summary!$K$1003 ),"")</f>
        <v/>
      </c>
      <c r="L1018" s="184" t="str">
        <f>IFERROR(IF([1]K_Summary!$L$1003 = "", "", [1]K_Summary!$L$1003 ),"")</f>
        <v/>
      </c>
      <c r="M1018" s="184" t="str">
        <f>IFERROR(IF([1]K_Summary!$M$1003 = "", "", [1]K_Summary!$M$1003 ),"")</f>
        <v/>
      </c>
      <c r="N1018" s="185" t="str">
        <f>IFERROR(IF([1]K_Summary!$N$1003 = "", "", [1]K_Summary!$N$1003 ),"")</f>
        <v/>
      </c>
    </row>
    <row r="1019" spans="1:14" ht="15">
      <c r="C1019" s="559"/>
      <c r="D1019" s="706"/>
      <c r="E1019" s="485"/>
      <c r="F1019" s="485"/>
      <c r="G1019" s="485"/>
      <c r="H1019" s="485"/>
      <c r="I1019" s="743"/>
      <c r="J1019" s="485"/>
      <c r="K1019" s="485"/>
      <c r="L1019" s="485"/>
      <c r="M1019" s="485"/>
      <c r="N1019" s="744"/>
    </row>
    <row r="1020" spans="1:14" ht="15">
      <c r="C1020" s="559"/>
      <c r="D1020" s="706"/>
      <c r="E1020" s="707" t="s">
        <v>1753</v>
      </c>
      <c r="F1020" s="637"/>
      <c r="G1020" s="637"/>
      <c r="H1020" s="663" t="s">
        <v>884</v>
      </c>
      <c r="I1020" s="708"/>
      <c r="J1020" s="709">
        <v>2021</v>
      </c>
      <c r="K1020" s="671">
        <v>2022</v>
      </c>
      <c r="L1020" s="671">
        <v>2023</v>
      </c>
      <c r="M1020" s="671">
        <v>2024</v>
      </c>
      <c r="N1020" s="710">
        <v>2025</v>
      </c>
    </row>
    <row r="1021" spans="1:14" ht="15" hidden="1">
      <c r="A1021" s="719" t="s">
        <v>2289</v>
      </c>
      <c r="C1021" s="559"/>
      <c r="D1021" s="706"/>
      <c r="E1021" s="698" t="s">
        <v>1714</v>
      </c>
      <c r="F1021" s="698"/>
      <c r="G1021" s="698"/>
      <c r="H1021" s="63" t="str">
        <f>IFERROR(IF([1]K_Summary!$H$1006 = "", "", [1]K_Summary!$H$1006 ),"")</f>
        <v>tonnes</v>
      </c>
      <c r="I1021" s="698"/>
      <c r="J1021" s="157" t="str">
        <f>IFERROR(IF([1]K_Summary!$J$1006 = "", "", [1]K_Summary!$J$1006 ),"")</f>
        <v/>
      </c>
      <c r="K1021" s="147" t="str">
        <f>IFERROR(IF([1]K_Summary!$K$1006 = "", "", [1]K_Summary!$K$1006 ),"")</f>
        <v/>
      </c>
      <c r="L1021" s="147" t="str">
        <f>IFERROR(IF([1]K_Summary!$L$1006 = "", "", [1]K_Summary!$L$1006 ),"")</f>
        <v/>
      </c>
      <c r="M1021" s="147" t="str">
        <f>IFERROR(IF([1]K_Summary!$M$1006 = "", "", [1]K_Summary!$M$1006 ),"")</f>
        <v/>
      </c>
      <c r="N1021" s="158" t="str">
        <f>IFERROR(IF([1]K_Summary!$N$1006 = "", "", [1]K_Summary!$N$1006 ),"")</f>
        <v/>
      </c>
    </row>
    <row r="1022" spans="1:14" ht="15" hidden="1">
      <c r="A1022" s="719" t="s">
        <v>2289</v>
      </c>
      <c r="C1022" s="559"/>
      <c r="D1022" s="706"/>
      <c r="E1022" s="720" t="s">
        <v>303</v>
      </c>
      <c r="F1022" s="720"/>
      <c r="G1022" s="720"/>
      <c r="H1022" s="721" t="s">
        <v>2090</v>
      </c>
      <c r="I1022" s="722"/>
      <c r="J1022" s="159" t="str">
        <f>IFERROR(IF([1]K_Summary!$J$1007 = "", "", [1]K_Summary!$J$1007 ),"")</f>
        <v/>
      </c>
      <c r="K1022" s="160" t="str">
        <f>IFERROR(IF([1]K_Summary!$K$1007 = "", "", [1]K_Summary!$K$1007 ),"")</f>
        <v/>
      </c>
      <c r="L1022" s="160" t="str">
        <f>IFERROR(IF([1]K_Summary!$L$1007 = "", "", [1]K_Summary!$L$1007 ),"")</f>
        <v/>
      </c>
      <c r="M1022" s="160" t="str">
        <f>IFERROR(IF([1]K_Summary!$M$1007 = "", "", [1]K_Summary!$M$1007 ),"")</f>
        <v/>
      </c>
      <c r="N1022" s="161" t="str">
        <f>IFERROR(IF([1]K_Summary!$N$1007 = "", "", [1]K_Summary!$N$1007 ),"")</f>
        <v/>
      </c>
    </row>
    <row r="1023" spans="1:14" ht="15" hidden="1">
      <c r="A1023" s="719" t="s">
        <v>2289</v>
      </c>
      <c r="C1023" s="559"/>
      <c r="D1023" s="706"/>
      <c r="E1023" s="723" t="s">
        <v>1422</v>
      </c>
      <c r="F1023" s="723"/>
      <c r="G1023" s="723"/>
      <c r="H1023" s="724" t="s">
        <v>2090</v>
      </c>
      <c r="I1023" s="725"/>
      <c r="J1023" s="162" t="str">
        <f>IFERROR(IF([1]K_Summary!$J$1008 = "", "", [1]K_Summary!$J$1008 ),"")</f>
        <v/>
      </c>
      <c r="K1023" s="163" t="str">
        <f>IFERROR(IF([1]K_Summary!$K$1008 = "", "", [1]K_Summary!$K$1008 ),"")</f>
        <v/>
      </c>
      <c r="L1023" s="163" t="str">
        <f>IFERROR(IF([1]K_Summary!$L$1008 = "", "", [1]K_Summary!$L$1008 ),"")</f>
        <v/>
      </c>
      <c r="M1023" s="163" t="str">
        <f>IFERROR(IF([1]K_Summary!$M$1008 = "", "", [1]K_Summary!$M$1008 ),"")</f>
        <v/>
      </c>
      <c r="N1023" s="164" t="str">
        <f>IFERROR(IF([1]K_Summary!$N$1008 = "", "", [1]K_Summary!$N$1008 ),"")</f>
        <v/>
      </c>
    </row>
    <row r="1024" spans="1:14" ht="15" hidden="1">
      <c r="A1024" s="719" t="s">
        <v>2289</v>
      </c>
      <c r="C1024" s="559"/>
      <c r="D1024" s="706"/>
      <c r="E1024" s="745" t="s">
        <v>1390</v>
      </c>
      <c r="F1024" s="745"/>
      <c r="G1024" s="745"/>
      <c r="H1024" s="746" t="s">
        <v>2090</v>
      </c>
      <c r="I1024" s="747"/>
      <c r="J1024" s="186" t="str">
        <f>IFERROR(IF([1]K_Summary!$J$1009 = "", "", [1]K_Summary!$J$1009 ),"")</f>
        <v/>
      </c>
      <c r="K1024" s="187" t="str">
        <f>IFERROR(IF([1]K_Summary!$K$1009 = "", "", [1]K_Summary!$K$1009 ),"")</f>
        <v/>
      </c>
      <c r="L1024" s="187" t="str">
        <f>IFERROR(IF([1]K_Summary!$L$1009 = "", "", [1]K_Summary!$L$1009 ),"")</f>
        <v/>
      </c>
      <c r="M1024" s="187" t="str">
        <f>IFERROR(IF([1]K_Summary!$M$1009 = "", "", [1]K_Summary!$M$1009 ),"")</f>
        <v/>
      </c>
      <c r="N1024" s="188" t="str">
        <f>IFERROR(IF([1]K_Summary!$N$1009 = "", "", [1]K_Summary!$N$1009 ),"")</f>
        <v/>
      </c>
    </row>
    <row r="1025" spans="1:14" ht="15">
      <c r="C1025" s="559"/>
      <c r="D1025" s="706"/>
      <c r="E1025" s="720" t="s">
        <v>1691</v>
      </c>
      <c r="F1025" s="720"/>
      <c r="G1025" s="720"/>
      <c r="H1025" s="748" t="s">
        <v>1021</v>
      </c>
      <c r="I1025" s="722"/>
      <c r="J1025" s="189" t="str">
        <f>IFERROR(IF([1]K_Summary!$J$1010 = "", "", [1]K_Summary!$J$1010 ),"")</f>
        <v/>
      </c>
      <c r="K1025" s="190" t="str">
        <f>IFERROR(IF([1]K_Summary!$K$1010 = "", "", [1]K_Summary!$K$1010 ),"")</f>
        <v/>
      </c>
      <c r="L1025" s="190" t="str">
        <f>IFERROR(IF([1]K_Summary!$L$1010 = "", "", [1]K_Summary!$L$1010 ),"")</f>
        <v/>
      </c>
      <c r="M1025" s="190" t="str">
        <f>IFERROR(IF([1]K_Summary!$M$1010 = "", "", [1]K_Summary!$M$1010 ),"")</f>
        <v/>
      </c>
      <c r="N1025" s="191" t="str">
        <f>IFERROR(IF([1]K_Summary!$N$1010 = "", "", [1]K_Summary!$N$1010 ),"")</f>
        <v/>
      </c>
    </row>
    <row r="1026" spans="1:14" ht="15">
      <c r="C1026" s="559"/>
      <c r="D1026" s="706"/>
      <c r="E1026" s="723" t="s">
        <v>1648</v>
      </c>
      <c r="F1026" s="723"/>
      <c r="G1026" s="723"/>
      <c r="H1026" s="734" t="s">
        <v>1021</v>
      </c>
      <c r="I1026" s="735"/>
      <c r="J1026" s="174" t="str">
        <f>IFERROR(IF([1]K_Summary!$J$1011 = "", "", [1]K_Summary!$J$1011 ),"")</f>
        <v/>
      </c>
      <c r="K1026" s="175" t="str">
        <f>IFERROR(IF([1]K_Summary!$K$1011 = "", "", [1]K_Summary!$K$1011 ),"")</f>
        <v/>
      </c>
      <c r="L1026" s="175" t="str">
        <f>IFERROR(IF([1]K_Summary!$L$1011 = "", "", [1]K_Summary!$L$1011 ),"")</f>
        <v/>
      </c>
      <c r="M1026" s="175" t="str">
        <f>IFERROR(IF([1]K_Summary!$M$1011 = "", "", [1]K_Summary!$M$1011 ),"")</f>
        <v/>
      </c>
      <c r="N1026" s="176" t="str">
        <f>IFERROR(IF([1]K_Summary!$N$1011 = "", "", [1]K_Summary!$N$1011 ),"")</f>
        <v/>
      </c>
    </row>
    <row r="1027" spans="1:14" ht="15">
      <c r="C1027" s="559"/>
      <c r="D1027" s="706"/>
      <c r="E1027" s="736" t="s">
        <v>1852</v>
      </c>
      <c r="F1027" s="736"/>
      <c r="G1027" s="736"/>
      <c r="H1027" s="737" t="s">
        <v>1021</v>
      </c>
      <c r="I1027" s="738"/>
      <c r="J1027" s="177" t="str">
        <f>IFERROR(IF([1]K_Summary!$J$1012 = "", "", [1]K_Summary!$J$1012 ),"")</f>
        <v/>
      </c>
      <c r="K1027" s="178" t="str">
        <f>IFERROR(IF([1]K_Summary!$K$1012 = "", "", [1]K_Summary!$K$1012 ),"")</f>
        <v/>
      </c>
      <c r="L1027" s="178" t="str">
        <f>IFERROR(IF([1]K_Summary!$L$1012 = "", "", [1]K_Summary!$L$1012 ),"")</f>
        <v/>
      </c>
      <c r="M1027" s="178" t="str">
        <f>IFERROR(IF([1]K_Summary!$M$1012 = "", "", [1]K_Summary!$M$1012 ),"")</f>
        <v/>
      </c>
      <c r="N1027" s="179" t="str">
        <f>IFERROR(IF([1]K_Summary!$N$1012 = "", "", [1]K_Summary!$N$1012 ),"")</f>
        <v/>
      </c>
    </row>
    <row r="1028" spans="1:14" ht="15">
      <c r="C1028" s="559"/>
      <c r="D1028" s="706"/>
      <c r="E1028" s="727" t="s">
        <v>1689</v>
      </c>
      <c r="F1028" s="727"/>
      <c r="G1028" s="727"/>
      <c r="H1028" s="749" t="s">
        <v>1021</v>
      </c>
      <c r="I1028" s="727"/>
      <c r="J1028" s="192" t="str">
        <f>IFERROR(IF([1]K_Summary!$J$1013 = "", "", [1]K_Summary!$J$1013 ),"")</f>
        <v/>
      </c>
      <c r="K1028" s="193" t="str">
        <f>IFERROR(IF([1]K_Summary!$K$1013 = "", "", [1]K_Summary!$K$1013 ),"")</f>
        <v/>
      </c>
      <c r="L1028" s="193" t="str">
        <f>IFERROR(IF([1]K_Summary!$L$1013 = "", "", [1]K_Summary!$L$1013 ),"")</f>
        <v/>
      </c>
      <c r="M1028" s="193" t="str">
        <f>IFERROR(IF([1]K_Summary!$M$1013 = "", "", [1]K_Summary!$M$1013 ),"")</f>
        <v/>
      </c>
      <c r="N1028" s="194" t="str">
        <f>IFERROR(IF([1]K_Summary!$N$1013 = "", "", [1]K_Summary!$N$1013 ),"")</f>
        <v/>
      </c>
    </row>
    <row r="1029" spans="1:14" ht="15" hidden="1">
      <c r="A1029" s="719" t="s">
        <v>2289</v>
      </c>
      <c r="C1029" s="559"/>
      <c r="D1029" s="706"/>
      <c r="E1029" s="727" t="s">
        <v>1391</v>
      </c>
      <c r="F1029" s="727"/>
      <c r="G1029" s="727"/>
      <c r="H1029" s="750" t="s">
        <v>1021</v>
      </c>
      <c r="I1029" s="729"/>
      <c r="J1029" s="168" t="str">
        <f>IFERROR(IF([1]K_Summary!$J$1014 = "", "", [1]K_Summary!$J$1014 ),"")</f>
        <v/>
      </c>
      <c r="K1029" s="169" t="str">
        <f>IFERROR(IF([1]K_Summary!$K$1014 = "", "", [1]K_Summary!$K$1014 ),"")</f>
        <v/>
      </c>
      <c r="L1029" s="169" t="str">
        <f>IFERROR(IF([1]K_Summary!$L$1014 = "", "", [1]K_Summary!$L$1014 ),"")</f>
        <v/>
      </c>
      <c r="M1029" s="169" t="str">
        <f>IFERROR(IF([1]K_Summary!$M$1014 = "", "", [1]K_Summary!$M$1014 ),"")</f>
        <v/>
      </c>
      <c r="N1029" s="170" t="str">
        <f>IFERROR(IF([1]K_Summary!$N$1014 = "", "", [1]K_Summary!$N$1014 ),"")</f>
        <v/>
      </c>
    </row>
    <row r="1030" spans="1:14" ht="15">
      <c r="C1030" s="559"/>
      <c r="D1030" s="706"/>
      <c r="E1030" s="698" t="s">
        <v>1671</v>
      </c>
      <c r="F1030" s="698"/>
      <c r="G1030" s="698"/>
      <c r="H1030" s="730" t="s">
        <v>2090</v>
      </c>
      <c r="I1030" s="731"/>
      <c r="J1030" s="148" t="str">
        <f>IFERROR(IF([1]K_Summary!$J$1015 = "", "", [1]K_Summary!$J$1015 ),"")</f>
        <v/>
      </c>
      <c r="K1030" s="150" t="str">
        <f>IFERROR(IF([1]K_Summary!$K$1015 = "", "", [1]K_Summary!$K$1015 ),"")</f>
        <v/>
      </c>
      <c r="L1030" s="150" t="str">
        <f>IFERROR(IF([1]K_Summary!$L$1015 = "", "", [1]K_Summary!$L$1015 ),"")</f>
        <v/>
      </c>
      <c r="M1030" s="150" t="str">
        <f>IFERROR(IF([1]K_Summary!$M$1015 = "", "", [1]K_Summary!$M$1015 ),"")</f>
        <v/>
      </c>
      <c r="N1030" s="171" t="str">
        <f>IFERROR(IF([1]K_Summary!$N$1015 = "", "", [1]K_Summary!$N$1015 ),"")</f>
        <v/>
      </c>
    </row>
    <row r="1031" spans="1:14" ht="15">
      <c r="C1031" s="559"/>
      <c r="D1031" s="706"/>
      <c r="E1031" s="698" t="s">
        <v>1670</v>
      </c>
      <c r="F1031" s="698"/>
      <c r="G1031" s="698"/>
      <c r="H1031" s="730" t="s">
        <v>2090</v>
      </c>
      <c r="I1031" s="731"/>
      <c r="J1031" s="148" t="str">
        <f>IFERROR(IF([1]K_Summary!$J$1016 = "", "", [1]K_Summary!$J$1016 ),"")</f>
        <v/>
      </c>
      <c r="K1031" s="150" t="str">
        <f>IFERROR(IF([1]K_Summary!$K$1016 = "", "", [1]K_Summary!$K$1016 ),"")</f>
        <v/>
      </c>
      <c r="L1031" s="150" t="str">
        <f>IFERROR(IF([1]K_Summary!$L$1016 = "", "", [1]K_Summary!$L$1016 ),"")</f>
        <v/>
      </c>
      <c r="M1031" s="150" t="str">
        <f>IFERROR(IF([1]K_Summary!$M$1016 = "", "", [1]K_Summary!$M$1016 ),"")</f>
        <v/>
      </c>
      <c r="N1031" s="171" t="str">
        <f>IFERROR(IF([1]K_Summary!$N$1016 = "", "", [1]K_Summary!$N$1016 ),"")</f>
        <v/>
      </c>
    </row>
    <row r="1032" spans="1:14" ht="15">
      <c r="C1032" s="559"/>
      <c r="D1032" s="706"/>
      <c r="E1032" s="740" t="s">
        <v>2131</v>
      </c>
      <c r="F1032" s="740"/>
      <c r="G1032" s="740"/>
      <c r="H1032" s="741" t="s">
        <v>1021</v>
      </c>
      <c r="I1032" s="742"/>
      <c r="J1032" s="183" t="str">
        <f>IFERROR(IF([1]K_Summary!$J$1017 = "", "", [1]K_Summary!$J$1017 ),"")</f>
        <v/>
      </c>
      <c r="K1032" s="184" t="str">
        <f>IFERROR(IF([1]K_Summary!$K$1017 = "", "", [1]K_Summary!$K$1017 ),"")</f>
        <v/>
      </c>
      <c r="L1032" s="184" t="str">
        <f>IFERROR(IF([1]K_Summary!$L$1017 = "", "", [1]K_Summary!$L$1017 ),"")</f>
        <v/>
      </c>
      <c r="M1032" s="184" t="str">
        <f>IFERROR(IF([1]K_Summary!$M$1017 = "", "", [1]K_Summary!$M$1017 ),"")</f>
        <v/>
      </c>
      <c r="N1032" s="185" t="str">
        <f>IFERROR(IF([1]K_Summary!$N$1017 = "", "", [1]K_Summary!$N$1017 ),"")</f>
        <v/>
      </c>
    </row>
    <row r="1033" spans="1:14" ht="15">
      <c r="C1033" s="559"/>
      <c r="D1033" s="706"/>
      <c r="E1033" s="485"/>
      <c r="F1033" s="485"/>
      <c r="G1033" s="485"/>
      <c r="H1033" s="485"/>
      <c r="I1033" s="743"/>
      <c r="J1033" s="485"/>
      <c r="K1033" s="485"/>
      <c r="L1033" s="485"/>
      <c r="M1033" s="485"/>
      <c r="N1033" s="744"/>
    </row>
    <row r="1034" spans="1:14" ht="15">
      <c r="C1034" s="559"/>
      <c r="D1034" s="706"/>
      <c r="E1034" s="707" t="s">
        <v>1754</v>
      </c>
      <c r="F1034" s="637"/>
      <c r="G1034" s="637"/>
      <c r="H1034" s="663" t="s">
        <v>884</v>
      </c>
      <c r="I1034" s="708"/>
      <c r="J1034" s="709">
        <v>2021</v>
      </c>
      <c r="K1034" s="671">
        <v>2022</v>
      </c>
      <c r="L1034" s="671">
        <v>2023</v>
      </c>
      <c r="M1034" s="671">
        <v>2024</v>
      </c>
      <c r="N1034" s="710">
        <v>2025</v>
      </c>
    </row>
    <row r="1035" spans="1:14" ht="15" hidden="1">
      <c r="A1035" s="719" t="s">
        <v>2289</v>
      </c>
      <c r="C1035" s="559"/>
      <c r="D1035" s="706"/>
      <c r="E1035" s="698" t="s">
        <v>1714</v>
      </c>
      <c r="F1035" s="698"/>
      <c r="G1035" s="698"/>
      <c r="H1035" s="63" t="str">
        <f>IFERROR(IF([1]K_Summary!$H$1020 = "", "", [1]K_Summary!$H$1020 ),"")</f>
        <v>tonnes</v>
      </c>
      <c r="I1035" s="698"/>
      <c r="J1035" s="157" t="str">
        <f>IFERROR(IF([1]K_Summary!$J$1020 = "", "", [1]K_Summary!$J$1020 ),"")</f>
        <v/>
      </c>
      <c r="K1035" s="147" t="str">
        <f>IFERROR(IF([1]K_Summary!$K$1020 = "", "", [1]K_Summary!$K$1020 ),"")</f>
        <v/>
      </c>
      <c r="L1035" s="147" t="str">
        <f>IFERROR(IF([1]K_Summary!$L$1020 = "", "", [1]K_Summary!$L$1020 ),"")</f>
        <v/>
      </c>
      <c r="M1035" s="147" t="str">
        <f>IFERROR(IF([1]K_Summary!$M$1020 = "", "", [1]K_Summary!$M$1020 ),"")</f>
        <v/>
      </c>
      <c r="N1035" s="158" t="str">
        <f>IFERROR(IF([1]K_Summary!$N$1020 = "", "", [1]K_Summary!$N$1020 ),"")</f>
        <v/>
      </c>
    </row>
    <row r="1036" spans="1:14" ht="15">
      <c r="C1036" s="559"/>
      <c r="D1036" s="706"/>
      <c r="E1036" s="720" t="s">
        <v>1691</v>
      </c>
      <c r="F1036" s="720"/>
      <c r="G1036" s="720"/>
      <c r="H1036" s="748" t="s">
        <v>2090</v>
      </c>
      <c r="I1036" s="722"/>
      <c r="J1036" s="172" t="str">
        <f>IFERROR(IF([1]K_Summary!$J$1021 = "", "", [1]K_Summary!$J$1021 ),"")</f>
        <v/>
      </c>
      <c r="K1036" s="54" t="str">
        <f>IFERROR(IF([1]K_Summary!$K$1021 = "", "", [1]K_Summary!$K$1021 ),"")</f>
        <v/>
      </c>
      <c r="L1036" s="54" t="str">
        <f>IFERROR(IF([1]K_Summary!$L$1021 = "", "", [1]K_Summary!$L$1021 ),"")</f>
        <v/>
      </c>
      <c r="M1036" s="54" t="str">
        <f>IFERROR(IF([1]K_Summary!$M$1021 = "", "", [1]K_Summary!$M$1021 ),"")</f>
        <v/>
      </c>
      <c r="N1036" s="173" t="str">
        <f>IFERROR(IF([1]K_Summary!$N$1021 = "", "", [1]K_Summary!$N$1021 ),"")</f>
        <v/>
      </c>
    </row>
    <row r="1037" spans="1:14" ht="15">
      <c r="C1037" s="559"/>
      <c r="D1037" s="706"/>
      <c r="E1037" s="723" t="s">
        <v>1648</v>
      </c>
      <c r="F1037" s="723"/>
      <c r="G1037" s="723"/>
      <c r="H1037" s="734" t="s">
        <v>1021</v>
      </c>
      <c r="I1037" s="735"/>
      <c r="J1037" s="174" t="str">
        <f>IFERROR(IF([1]K_Summary!$J$1022 = "", "", [1]K_Summary!$J$1022 ),"")</f>
        <v/>
      </c>
      <c r="K1037" s="175" t="str">
        <f>IFERROR(IF([1]K_Summary!$K$1022 = "", "", [1]K_Summary!$K$1022 ),"")</f>
        <v/>
      </c>
      <c r="L1037" s="175" t="str">
        <f>IFERROR(IF([1]K_Summary!$L$1022 = "", "", [1]K_Summary!$L$1022 ),"")</f>
        <v/>
      </c>
      <c r="M1037" s="175" t="str">
        <f>IFERROR(IF([1]K_Summary!$M$1022 = "", "", [1]K_Summary!$M$1022 ),"")</f>
        <v/>
      </c>
      <c r="N1037" s="176" t="str">
        <f>IFERROR(IF([1]K_Summary!$N$1022 = "", "", [1]K_Summary!$N$1022 ),"")</f>
        <v/>
      </c>
    </row>
    <row r="1038" spans="1:14" ht="15">
      <c r="C1038" s="559"/>
      <c r="D1038" s="706"/>
      <c r="E1038" s="736" t="s">
        <v>1853</v>
      </c>
      <c r="F1038" s="736"/>
      <c r="G1038" s="736"/>
      <c r="H1038" s="737" t="s">
        <v>1021</v>
      </c>
      <c r="I1038" s="738"/>
      <c r="J1038" s="177" t="str">
        <f>IFERROR(IF([1]K_Summary!$J$1023 = "", "", [1]K_Summary!$J$1023 ),"")</f>
        <v/>
      </c>
      <c r="K1038" s="178" t="str">
        <f>IFERROR(IF([1]K_Summary!$K$1023 = "", "", [1]K_Summary!$K$1023 ),"")</f>
        <v/>
      </c>
      <c r="L1038" s="178" t="str">
        <f>IFERROR(IF([1]K_Summary!$L$1023 = "", "", [1]K_Summary!$L$1023 ),"")</f>
        <v/>
      </c>
      <c r="M1038" s="178" t="str">
        <f>IFERROR(IF([1]K_Summary!$M$1023 = "", "", [1]K_Summary!$M$1023 ),"")</f>
        <v/>
      </c>
      <c r="N1038" s="179" t="str">
        <f>IFERROR(IF([1]K_Summary!$N$1023 = "", "", [1]K_Summary!$N$1023 ),"")</f>
        <v/>
      </c>
    </row>
    <row r="1039" spans="1:14" ht="15">
      <c r="C1039" s="559"/>
      <c r="D1039" s="706"/>
      <c r="E1039" s="727" t="s">
        <v>1689</v>
      </c>
      <c r="F1039" s="727"/>
      <c r="G1039" s="727"/>
      <c r="H1039" s="749" t="s">
        <v>2090</v>
      </c>
      <c r="I1039" s="727"/>
      <c r="J1039" s="180" t="str">
        <f>IFERROR(IF([1]K_Summary!$J$1024 = "", "", [1]K_Summary!$J$1024 ),"")</f>
        <v/>
      </c>
      <c r="K1039" s="181" t="str">
        <f>IFERROR(IF([1]K_Summary!$K$1024 = "", "", [1]K_Summary!$K$1024 ),"")</f>
        <v/>
      </c>
      <c r="L1039" s="181" t="str">
        <f>IFERROR(IF([1]K_Summary!$L$1024 = "", "", [1]K_Summary!$L$1024 ),"")</f>
        <v/>
      </c>
      <c r="M1039" s="181" t="str">
        <f>IFERROR(IF([1]K_Summary!$M$1024 = "", "", [1]K_Summary!$M$1024 ),"")</f>
        <v/>
      </c>
      <c r="N1039" s="182" t="str">
        <f>IFERROR(IF([1]K_Summary!$N$1024 = "", "", [1]K_Summary!$N$1024 ),"")</f>
        <v/>
      </c>
    </row>
    <row r="1040" spans="1:14" ht="15" hidden="1">
      <c r="A1040" s="719" t="s">
        <v>2289</v>
      </c>
      <c r="C1040" s="559"/>
      <c r="D1040" s="706"/>
      <c r="E1040" s="723" t="s">
        <v>1422</v>
      </c>
      <c r="F1040" s="723"/>
      <c r="G1040" s="723"/>
      <c r="H1040" s="724" t="s">
        <v>2090</v>
      </c>
      <c r="I1040" s="725"/>
      <c r="J1040" s="162" t="str">
        <f>IFERROR(IF([1]K_Summary!$J$1025 = "", "", [1]K_Summary!$J$1025 ),"")</f>
        <v/>
      </c>
      <c r="K1040" s="163" t="str">
        <f>IFERROR(IF([1]K_Summary!$K$1025 = "", "", [1]K_Summary!$K$1025 ),"")</f>
        <v/>
      </c>
      <c r="L1040" s="163" t="str">
        <f>IFERROR(IF([1]K_Summary!$L$1025 = "", "", [1]K_Summary!$L$1025 ),"")</f>
        <v/>
      </c>
      <c r="M1040" s="163" t="str">
        <f>IFERROR(IF([1]K_Summary!$M$1025 = "", "", [1]K_Summary!$M$1025 ),"")</f>
        <v/>
      </c>
      <c r="N1040" s="164" t="str">
        <f>IFERROR(IF([1]K_Summary!$N$1025 = "", "", [1]K_Summary!$N$1025 ),"")</f>
        <v/>
      </c>
    </row>
    <row r="1041" spans="1:14" ht="15" hidden="1">
      <c r="A1041" s="719" t="s">
        <v>2289</v>
      </c>
      <c r="C1041" s="559"/>
      <c r="D1041" s="706"/>
      <c r="E1041" s="723" t="s">
        <v>1390</v>
      </c>
      <c r="F1041" s="723"/>
      <c r="G1041" s="723"/>
      <c r="H1041" s="724" t="s">
        <v>2090</v>
      </c>
      <c r="I1041" s="725"/>
      <c r="J1041" s="162" t="str">
        <f>IFERROR(IF([1]K_Summary!$J$1026 = "", "", [1]K_Summary!$J$1026 ),"")</f>
        <v/>
      </c>
      <c r="K1041" s="163" t="str">
        <f>IFERROR(IF([1]K_Summary!$K$1026 = "", "", [1]K_Summary!$K$1026 ),"")</f>
        <v/>
      </c>
      <c r="L1041" s="163" t="str">
        <f>IFERROR(IF([1]K_Summary!$L$1026 = "", "", [1]K_Summary!$L$1026 ),"")</f>
        <v/>
      </c>
      <c r="M1041" s="163" t="str">
        <f>IFERROR(IF([1]K_Summary!$M$1026 = "", "", [1]K_Summary!$M$1026 ),"")</f>
        <v/>
      </c>
      <c r="N1041" s="164" t="str">
        <f>IFERROR(IF([1]K_Summary!$N$1026 = "", "", [1]K_Summary!$N$1026 ),"")</f>
        <v/>
      </c>
    </row>
    <row r="1042" spans="1:14" ht="15" hidden="1">
      <c r="A1042" s="719" t="s">
        <v>2289</v>
      </c>
      <c r="C1042" s="559"/>
      <c r="D1042" s="706"/>
      <c r="E1042" s="723" t="s">
        <v>1389</v>
      </c>
      <c r="F1042" s="723"/>
      <c r="G1042" s="723"/>
      <c r="H1042" s="726" t="s">
        <v>1021</v>
      </c>
      <c r="I1042" s="725"/>
      <c r="J1042" s="165" t="str">
        <f>IFERROR(IF([1]K_Summary!$J$1027 = "", "", [1]K_Summary!$J$1027 ),"")</f>
        <v/>
      </c>
      <c r="K1042" s="166" t="str">
        <f>IFERROR(IF([1]K_Summary!$K$1027 = "", "", [1]K_Summary!$K$1027 ),"")</f>
        <v/>
      </c>
      <c r="L1042" s="166" t="str">
        <f>IFERROR(IF([1]K_Summary!$L$1027 = "", "", [1]K_Summary!$L$1027 ),"")</f>
        <v/>
      </c>
      <c r="M1042" s="166" t="str">
        <f>IFERROR(IF([1]K_Summary!$M$1027 = "", "", [1]K_Summary!$M$1027 ),"")</f>
        <v/>
      </c>
      <c r="N1042" s="167" t="str">
        <f>IFERROR(IF([1]K_Summary!$N$1027 = "", "", [1]K_Summary!$N$1027 ),"")</f>
        <v/>
      </c>
    </row>
    <row r="1043" spans="1:14" ht="15" hidden="1">
      <c r="A1043" s="719" t="s">
        <v>2289</v>
      </c>
      <c r="C1043" s="559"/>
      <c r="D1043" s="706"/>
      <c r="E1043" s="727" t="s">
        <v>1391</v>
      </c>
      <c r="F1043" s="727"/>
      <c r="G1043" s="727"/>
      <c r="H1043" s="728" t="s">
        <v>1021</v>
      </c>
      <c r="I1043" s="729"/>
      <c r="J1043" s="168" t="str">
        <f>IFERROR(IF([1]K_Summary!$J$1028 = "", "", [1]K_Summary!$J$1028 ),"")</f>
        <v/>
      </c>
      <c r="K1043" s="169" t="str">
        <f>IFERROR(IF([1]K_Summary!$K$1028 = "", "", [1]K_Summary!$K$1028 ),"")</f>
        <v/>
      </c>
      <c r="L1043" s="169" t="str">
        <f>IFERROR(IF([1]K_Summary!$L$1028 = "", "", [1]K_Summary!$L$1028 ),"")</f>
        <v/>
      </c>
      <c r="M1043" s="169" t="str">
        <f>IFERROR(IF([1]K_Summary!$M$1028 = "", "", [1]K_Summary!$M$1028 ),"")</f>
        <v/>
      </c>
      <c r="N1043" s="170" t="str">
        <f>IFERROR(IF([1]K_Summary!$N$1028 = "", "", [1]K_Summary!$N$1028 ),"")</f>
        <v/>
      </c>
    </row>
    <row r="1044" spans="1:14" ht="15">
      <c r="C1044" s="559"/>
      <c r="D1044" s="706"/>
      <c r="E1044" s="698" t="s">
        <v>1671</v>
      </c>
      <c r="F1044" s="698"/>
      <c r="G1044" s="698"/>
      <c r="H1044" s="730" t="s">
        <v>2090</v>
      </c>
      <c r="I1044" s="731"/>
      <c r="J1044" s="148" t="str">
        <f>IFERROR(IF([1]K_Summary!$J$1029 = "", "", [1]K_Summary!$J$1029 ),"")</f>
        <v/>
      </c>
      <c r="K1044" s="150" t="str">
        <f>IFERROR(IF([1]K_Summary!$K$1029 = "", "", [1]K_Summary!$K$1029 ),"")</f>
        <v/>
      </c>
      <c r="L1044" s="150" t="str">
        <f>IFERROR(IF([1]K_Summary!$L$1029 = "", "", [1]K_Summary!$L$1029 ),"")</f>
        <v/>
      </c>
      <c r="M1044" s="150" t="str">
        <f>IFERROR(IF([1]K_Summary!$M$1029 = "", "", [1]K_Summary!$M$1029 ),"")</f>
        <v/>
      </c>
      <c r="N1044" s="171" t="str">
        <f>IFERROR(IF([1]K_Summary!$N$1029 = "", "", [1]K_Summary!$N$1029 ),"")</f>
        <v/>
      </c>
    </row>
    <row r="1045" spans="1:14" ht="15">
      <c r="C1045" s="559"/>
      <c r="D1045" s="706"/>
      <c r="E1045" s="698" t="s">
        <v>1670</v>
      </c>
      <c r="F1045" s="698"/>
      <c r="G1045" s="698"/>
      <c r="H1045" s="730" t="s">
        <v>2090</v>
      </c>
      <c r="I1045" s="731"/>
      <c r="J1045" s="148" t="str">
        <f>IFERROR(IF([1]K_Summary!$J$1030 = "", "", [1]K_Summary!$J$1030 ),"")</f>
        <v/>
      </c>
      <c r="K1045" s="150" t="str">
        <f>IFERROR(IF([1]K_Summary!$K$1030 = "", "", [1]K_Summary!$K$1030 ),"")</f>
        <v/>
      </c>
      <c r="L1045" s="150" t="str">
        <f>IFERROR(IF([1]K_Summary!$L$1030 = "", "", [1]K_Summary!$L$1030 ),"")</f>
        <v/>
      </c>
      <c r="M1045" s="150" t="str">
        <f>IFERROR(IF([1]K_Summary!$M$1030 = "", "", [1]K_Summary!$M$1030 ),"")</f>
        <v/>
      </c>
      <c r="N1045" s="171" t="str">
        <f>IFERROR(IF([1]K_Summary!$N$1030 = "", "", [1]K_Summary!$N$1030 ),"")</f>
        <v/>
      </c>
    </row>
    <row r="1046" spans="1:14" ht="15">
      <c r="C1046" s="559"/>
      <c r="D1046" s="706"/>
      <c r="E1046" s="740" t="s">
        <v>2132</v>
      </c>
      <c r="F1046" s="740"/>
      <c r="G1046" s="740"/>
      <c r="H1046" s="741" t="s">
        <v>1021</v>
      </c>
      <c r="I1046" s="742"/>
      <c r="J1046" s="183" t="str">
        <f>IFERROR(IF([1]K_Summary!$J$1031 = "", "", [1]K_Summary!$J$1031 ),"")</f>
        <v/>
      </c>
      <c r="K1046" s="184" t="str">
        <f>IFERROR(IF([1]K_Summary!$K$1031 = "", "", [1]K_Summary!$K$1031 ),"")</f>
        <v/>
      </c>
      <c r="L1046" s="184" t="str">
        <f>IFERROR(IF([1]K_Summary!$L$1031 = "", "", [1]K_Summary!$L$1031 ),"")</f>
        <v/>
      </c>
      <c r="M1046" s="184" t="str">
        <f>IFERROR(IF([1]K_Summary!$M$1031 = "", "", [1]K_Summary!$M$1031 ),"")</f>
        <v/>
      </c>
      <c r="N1046" s="185" t="str">
        <f>IFERROR(IF([1]K_Summary!$N$1031 = "", "", [1]K_Summary!$N$1031 ),"")</f>
        <v/>
      </c>
    </row>
    <row r="1047" spans="1:14" ht="15">
      <c r="C1047" s="559"/>
      <c r="D1047" s="706"/>
      <c r="E1047" s="485"/>
      <c r="F1047" s="485"/>
      <c r="G1047" s="485"/>
      <c r="H1047" s="485"/>
      <c r="I1047" s="743"/>
      <c r="J1047" s="485"/>
      <c r="K1047" s="485"/>
      <c r="L1047" s="485"/>
      <c r="M1047" s="485"/>
      <c r="N1047" s="744"/>
    </row>
    <row r="1048" spans="1:14" ht="15">
      <c r="C1048" s="559"/>
      <c r="D1048" s="706"/>
      <c r="E1048" s="707" t="s">
        <v>1755</v>
      </c>
      <c r="F1048" s="637"/>
      <c r="G1048" s="637"/>
      <c r="H1048" s="663" t="s">
        <v>884</v>
      </c>
      <c r="I1048" s="708"/>
      <c r="J1048" s="709">
        <v>2021</v>
      </c>
      <c r="K1048" s="671">
        <v>2022</v>
      </c>
      <c r="L1048" s="671">
        <v>2023</v>
      </c>
      <c r="M1048" s="671">
        <v>2024</v>
      </c>
      <c r="N1048" s="710">
        <v>2025</v>
      </c>
    </row>
    <row r="1049" spans="1:14" ht="15" hidden="1">
      <c r="A1049" s="719" t="s">
        <v>2289</v>
      </c>
      <c r="C1049" s="559"/>
      <c r="D1049" s="706"/>
      <c r="E1049" s="698" t="s">
        <v>1714</v>
      </c>
      <c r="F1049" s="698"/>
      <c r="G1049" s="698"/>
      <c r="H1049" s="63" t="str">
        <f>IFERROR(IF([1]K_Summary!$H$1034 = "", "", [1]K_Summary!$H$1034 ),"")</f>
        <v>tonnes</v>
      </c>
      <c r="I1049" s="698"/>
      <c r="J1049" s="157" t="str">
        <f>IFERROR(IF([1]K_Summary!$J$1034 = "", "", [1]K_Summary!$J$1034 ),"")</f>
        <v/>
      </c>
      <c r="K1049" s="147" t="str">
        <f>IFERROR(IF([1]K_Summary!$K$1034 = "", "", [1]K_Summary!$K$1034 ),"")</f>
        <v/>
      </c>
      <c r="L1049" s="147" t="str">
        <f>IFERROR(IF([1]K_Summary!$L$1034 = "", "", [1]K_Summary!$L$1034 ),"")</f>
        <v/>
      </c>
      <c r="M1049" s="147" t="str">
        <f>IFERROR(IF([1]K_Summary!$M$1034 = "", "", [1]K_Summary!$M$1034 ),"")</f>
        <v/>
      </c>
      <c r="N1049" s="158" t="str">
        <f>IFERROR(IF([1]K_Summary!$N$1034 = "", "", [1]K_Summary!$N$1034 ),"")</f>
        <v/>
      </c>
    </row>
    <row r="1050" spans="1:14" ht="15" hidden="1">
      <c r="A1050" s="719" t="s">
        <v>2289</v>
      </c>
      <c r="C1050" s="559"/>
      <c r="D1050" s="706"/>
      <c r="E1050" s="720" t="s">
        <v>303</v>
      </c>
      <c r="F1050" s="720"/>
      <c r="G1050" s="720"/>
      <c r="H1050" s="721" t="s">
        <v>2090</v>
      </c>
      <c r="I1050" s="722"/>
      <c r="J1050" s="159" t="str">
        <f>IFERROR(IF([1]K_Summary!$J$1035 = "", "", [1]K_Summary!$J$1035 ),"")</f>
        <v/>
      </c>
      <c r="K1050" s="160" t="str">
        <f>IFERROR(IF([1]K_Summary!$K$1035 = "", "", [1]K_Summary!$K$1035 ),"")</f>
        <v/>
      </c>
      <c r="L1050" s="160" t="str">
        <f>IFERROR(IF([1]K_Summary!$L$1035 = "", "", [1]K_Summary!$L$1035 ),"")</f>
        <v/>
      </c>
      <c r="M1050" s="160" t="str">
        <f>IFERROR(IF([1]K_Summary!$M$1035 = "", "", [1]K_Summary!$M$1035 ),"")</f>
        <v/>
      </c>
      <c r="N1050" s="161" t="str">
        <f>IFERROR(IF([1]K_Summary!$N$1035 = "", "", [1]K_Summary!$N$1035 ),"")</f>
        <v/>
      </c>
    </row>
    <row r="1051" spans="1:14" ht="15" hidden="1">
      <c r="A1051" s="719" t="s">
        <v>2289</v>
      </c>
      <c r="C1051" s="559"/>
      <c r="D1051" s="706"/>
      <c r="E1051" s="745" t="s">
        <v>1422</v>
      </c>
      <c r="F1051" s="745"/>
      <c r="G1051" s="745"/>
      <c r="H1051" s="746" t="s">
        <v>2090</v>
      </c>
      <c r="I1051" s="747"/>
      <c r="J1051" s="186" t="str">
        <f>IFERROR(IF([1]K_Summary!$J$1036 = "", "", [1]K_Summary!$J$1036 ),"")</f>
        <v/>
      </c>
      <c r="K1051" s="187" t="str">
        <f>IFERROR(IF([1]K_Summary!$K$1036 = "", "", [1]K_Summary!$K$1036 ),"")</f>
        <v/>
      </c>
      <c r="L1051" s="187" t="str">
        <f>IFERROR(IF([1]K_Summary!$L$1036 = "", "", [1]K_Summary!$L$1036 ),"")</f>
        <v/>
      </c>
      <c r="M1051" s="187" t="str">
        <f>IFERROR(IF([1]K_Summary!$M$1036 = "", "", [1]K_Summary!$M$1036 ),"")</f>
        <v/>
      </c>
      <c r="N1051" s="188" t="str">
        <f>IFERROR(IF([1]K_Summary!$N$1036 = "", "", [1]K_Summary!$N$1036 ),"")</f>
        <v/>
      </c>
    </row>
    <row r="1052" spans="1:14" ht="15">
      <c r="C1052" s="559"/>
      <c r="D1052" s="706"/>
      <c r="E1052" s="720" t="s">
        <v>1691</v>
      </c>
      <c r="F1052" s="720"/>
      <c r="G1052" s="720"/>
      <c r="H1052" s="721" t="s">
        <v>2090</v>
      </c>
      <c r="I1052" s="722"/>
      <c r="J1052" s="195" t="str">
        <f>IFERROR(IF([1]K_Summary!$J$1037 = "", "", [1]K_Summary!$J$1037 ),"")</f>
        <v/>
      </c>
      <c r="K1052" s="196" t="str">
        <f>IFERROR(IF([1]K_Summary!$K$1037 = "", "", [1]K_Summary!$K$1037 ),"")</f>
        <v/>
      </c>
      <c r="L1052" s="196" t="str">
        <f>IFERROR(IF([1]K_Summary!$L$1037 = "", "", [1]K_Summary!$L$1037 ),"")</f>
        <v/>
      </c>
      <c r="M1052" s="196" t="str">
        <f>IFERROR(IF([1]K_Summary!$M$1037 = "", "", [1]K_Summary!$M$1037 ),"")</f>
        <v/>
      </c>
      <c r="N1052" s="197" t="str">
        <f>IFERROR(IF([1]K_Summary!$N$1037 = "", "", [1]K_Summary!$N$1037 ),"")</f>
        <v/>
      </c>
    </row>
    <row r="1053" spans="1:14" ht="15">
      <c r="C1053" s="559"/>
      <c r="D1053" s="706"/>
      <c r="E1053" s="723" t="s">
        <v>1648</v>
      </c>
      <c r="F1053" s="723"/>
      <c r="G1053" s="723"/>
      <c r="H1053" s="751" t="s">
        <v>1021</v>
      </c>
      <c r="I1053" s="735"/>
      <c r="J1053" s="174" t="str">
        <f>IFERROR(IF([1]K_Summary!$J$1038 = "", "", [1]K_Summary!$J$1038 ),"")</f>
        <v/>
      </c>
      <c r="K1053" s="175" t="str">
        <f>IFERROR(IF([1]K_Summary!$K$1038 = "", "", [1]K_Summary!$K$1038 ),"")</f>
        <v/>
      </c>
      <c r="L1053" s="175" t="str">
        <f>IFERROR(IF([1]K_Summary!$L$1038 = "", "", [1]K_Summary!$L$1038 ),"")</f>
        <v/>
      </c>
      <c r="M1053" s="175" t="str">
        <f>IFERROR(IF([1]K_Summary!$M$1038 = "", "", [1]K_Summary!$M$1038 ),"")</f>
        <v/>
      </c>
      <c r="N1053" s="176" t="str">
        <f>IFERROR(IF([1]K_Summary!$N$1038 = "", "", [1]K_Summary!$N$1038 ),"")</f>
        <v/>
      </c>
    </row>
    <row r="1054" spans="1:14" ht="15">
      <c r="C1054" s="559"/>
      <c r="D1054" s="706"/>
      <c r="E1054" s="736" t="s">
        <v>1854</v>
      </c>
      <c r="F1054" s="736"/>
      <c r="G1054" s="736"/>
      <c r="H1054" s="738" t="s">
        <v>1021</v>
      </c>
      <c r="I1054" s="738"/>
      <c r="J1054" s="177" t="str">
        <f>IFERROR(IF([1]K_Summary!$J$1039 = "", "", [1]K_Summary!$J$1039 ),"")</f>
        <v/>
      </c>
      <c r="K1054" s="178" t="str">
        <f>IFERROR(IF([1]K_Summary!$K$1039 = "", "", [1]K_Summary!$K$1039 ),"")</f>
        <v/>
      </c>
      <c r="L1054" s="178" t="str">
        <f>IFERROR(IF([1]K_Summary!$L$1039 = "", "", [1]K_Summary!$L$1039 ),"")</f>
        <v/>
      </c>
      <c r="M1054" s="178" t="str">
        <f>IFERROR(IF([1]K_Summary!$M$1039 = "", "", [1]K_Summary!$M$1039 ),"")</f>
        <v/>
      </c>
      <c r="N1054" s="179" t="str">
        <f>IFERROR(IF([1]K_Summary!$N$1039 = "", "", [1]K_Summary!$N$1039 ),"")</f>
        <v/>
      </c>
    </row>
    <row r="1055" spans="1:14" ht="15">
      <c r="C1055" s="559"/>
      <c r="D1055" s="706"/>
      <c r="E1055" s="727" t="s">
        <v>1689</v>
      </c>
      <c r="F1055" s="727"/>
      <c r="G1055" s="727"/>
      <c r="H1055" s="728" t="s">
        <v>2090</v>
      </c>
      <c r="I1055" s="729"/>
      <c r="J1055" s="198" t="str">
        <f>IFERROR(IF([1]K_Summary!$J$1040 = "", "", [1]K_Summary!$J$1040 ),"")</f>
        <v/>
      </c>
      <c r="K1055" s="199" t="str">
        <f>IFERROR(IF([1]K_Summary!$K$1040 = "", "", [1]K_Summary!$K$1040 ),"")</f>
        <v/>
      </c>
      <c r="L1055" s="199" t="str">
        <f>IFERROR(IF([1]K_Summary!$L$1040 = "", "", [1]K_Summary!$L$1040 ),"")</f>
        <v/>
      </c>
      <c r="M1055" s="199" t="str">
        <f>IFERROR(IF([1]K_Summary!$M$1040 = "", "", [1]K_Summary!$M$1040 ),"")</f>
        <v/>
      </c>
      <c r="N1055" s="200" t="str">
        <f>IFERROR(IF([1]K_Summary!$N$1040 = "", "", [1]K_Summary!$N$1040 ),"")</f>
        <v/>
      </c>
    </row>
    <row r="1056" spans="1:14" ht="15" hidden="1">
      <c r="A1056" s="719" t="s">
        <v>2289</v>
      </c>
      <c r="C1056" s="559"/>
      <c r="D1056" s="706"/>
      <c r="E1056" s="645" t="s">
        <v>1389</v>
      </c>
      <c r="F1056" s="645"/>
      <c r="G1056" s="645"/>
      <c r="H1056" s="752" t="s">
        <v>1021</v>
      </c>
      <c r="I1056" s="753"/>
      <c r="J1056" s="201" t="str">
        <f>IFERROR(IF([1]K_Summary!$J$1041 = "", "", [1]K_Summary!$J$1041 ),"")</f>
        <v/>
      </c>
      <c r="K1056" s="202" t="str">
        <f>IFERROR(IF([1]K_Summary!$K$1041 = "", "", [1]K_Summary!$K$1041 ),"")</f>
        <v/>
      </c>
      <c r="L1056" s="202" t="str">
        <f>IFERROR(IF([1]K_Summary!$L$1041 = "", "", [1]K_Summary!$L$1041 ),"")</f>
        <v/>
      </c>
      <c r="M1056" s="202" t="str">
        <f>IFERROR(IF([1]K_Summary!$M$1041 = "", "", [1]K_Summary!$M$1041 ),"")</f>
        <v/>
      </c>
      <c r="N1056" s="203" t="str">
        <f>IFERROR(IF([1]K_Summary!$N$1041 = "", "", [1]K_Summary!$N$1041 ),"")</f>
        <v/>
      </c>
    </row>
    <row r="1057" spans="1:14" ht="15" hidden="1">
      <c r="A1057" s="719" t="s">
        <v>2289</v>
      </c>
      <c r="C1057" s="559"/>
      <c r="D1057" s="706"/>
      <c r="E1057" s="727" t="s">
        <v>1391</v>
      </c>
      <c r="F1057" s="727"/>
      <c r="G1057" s="727"/>
      <c r="H1057" s="728" t="s">
        <v>1021</v>
      </c>
      <c r="I1057" s="729"/>
      <c r="J1057" s="168" t="str">
        <f>IFERROR(IF([1]K_Summary!$J$1042 = "", "", [1]K_Summary!$J$1042 ),"")</f>
        <v/>
      </c>
      <c r="K1057" s="169" t="str">
        <f>IFERROR(IF([1]K_Summary!$K$1042 = "", "", [1]K_Summary!$K$1042 ),"")</f>
        <v/>
      </c>
      <c r="L1057" s="169" t="str">
        <f>IFERROR(IF([1]K_Summary!$L$1042 = "", "", [1]K_Summary!$L$1042 ),"")</f>
        <v/>
      </c>
      <c r="M1057" s="169" t="str">
        <f>IFERROR(IF([1]K_Summary!$M$1042 = "", "", [1]K_Summary!$M$1042 ),"")</f>
        <v/>
      </c>
      <c r="N1057" s="170" t="str">
        <f>IFERROR(IF([1]K_Summary!$N$1042 = "", "", [1]K_Summary!$N$1042 ),"")</f>
        <v/>
      </c>
    </row>
    <row r="1058" spans="1:14" ht="15">
      <c r="C1058" s="559"/>
      <c r="D1058" s="706"/>
      <c r="E1058" s="698" t="s">
        <v>1671</v>
      </c>
      <c r="F1058" s="698"/>
      <c r="G1058" s="698"/>
      <c r="H1058" s="730" t="s">
        <v>2090</v>
      </c>
      <c r="I1058" s="731"/>
      <c r="J1058" s="148" t="str">
        <f>IFERROR(IF([1]K_Summary!$J$1043 = "", "", [1]K_Summary!$J$1043 ),"")</f>
        <v/>
      </c>
      <c r="K1058" s="150" t="str">
        <f>IFERROR(IF([1]K_Summary!$K$1043 = "", "", [1]K_Summary!$K$1043 ),"")</f>
        <v/>
      </c>
      <c r="L1058" s="150" t="str">
        <f>IFERROR(IF([1]K_Summary!$L$1043 = "", "", [1]K_Summary!$L$1043 ),"")</f>
        <v/>
      </c>
      <c r="M1058" s="150" t="str">
        <f>IFERROR(IF([1]K_Summary!$M$1043 = "", "", [1]K_Summary!$M$1043 ),"")</f>
        <v/>
      </c>
      <c r="N1058" s="171" t="str">
        <f>IFERROR(IF([1]K_Summary!$N$1043 = "", "", [1]K_Summary!$N$1043 ),"")</f>
        <v/>
      </c>
    </row>
    <row r="1059" spans="1:14" ht="15">
      <c r="C1059" s="559"/>
      <c r="D1059" s="706"/>
      <c r="E1059" s="698" t="s">
        <v>1670</v>
      </c>
      <c r="F1059" s="698"/>
      <c r="G1059" s="698"/>
      <c r="H1059" s="730" t="s">
        <v>2090</v>
      </c>
      <c r="I1059" s="731"/>
      <c r="J1059" s="148" t="str">
        <f>IFERROR(IF([1]K_Summary!$J$1044 = "", "", [1]K_Summary!$J$1044 ),"")</f>
        <v/>
      </c>
      <c r="K1059" s="150" t="str">
        <f>IFERROR(IF([1]K_Summary!$K$1044 = "", "", [1]K_Summary!$K$1044 ),"")</f>
        <v/>
      </c>
      <c r="L1059" s="150" t="str">
        <f>IFERROR(IF([1]K_Summary!$L$1044 = "", "", [1]K_Summary!$L$1044 ),"")</f>
        <v/>
      </c>
      <c r="M1059" s="150" t="str">
        <f>IFERROR(IF([1]K_Summary!$M$1044 = "", "", [1]K_Summary!$M$1044 ),"")</f>
        <v/>
      </c>
      <c r="N1059" s="171" t="str">
        <f>IFERROR(IF([1]K_Summary!$N$1044 = "", "", [1]K_Summary!$N$1044 ),"")</f>
        <v/>
      </c>
    </row>
    <row r="1060" spans="1:14" ht="15">
      <c r="C1060" s="559"/>
      <c r="D1060" s="706"/>
      <c r="E1060" s="740" t="s">
        <v>2133</v>
      </c>
      <c r="F1060" s="698"/>
      <c r="G1060" s="698"/>
      <c r="H1060" s="741" t="s">
        <v>1021</v>
      </c>
      <c r="I1060" s="742"/>
      <c r="J1060" s="183" t="str">
        <f>IFERROR(IF([1]K_Summary!$J$1045 = "", "", [1]K_Summary!$J$1045 ),"")</f>
        <v/>
      </c>
      <c r="K1060" s="184" t="str">
        <f>IFERROR(IF([1]K_Summary!$K$1045 = "", "", [1]K_Summary!$K$1045 ),"")</f>
        <v/>
      </c>
      <c r="L1060" s="184" t="str">
        <f>IFERROR(IF([1]K_Summary!$L$1045 = "", "", [1]K_Summary!$L$1045 ),"")</f>
        <v/>
      </c>
      <c r="M1060" s="184" t="str">
        <f>IFERROR(IF([1]K_Summary!$M$1045 = "", "", [1]K_Summary!$M$1045 ),"")</f>
        <v/>
      </c>
      <c r="N1060" s="185" t="str">
        <f>IFERROR(IF([1]K_Summary!$N$1045 = "", "", [1]K_Summary!$N$1045 ),"")</f>
        <v/>
      </c>
    </row>
    <row r="1061" spans="1:14" ht="15">
      <c r="C1061" s="559"/>
      <c r="D1061" s="706"/>
      <c r="E1061" s="485"/>
      <c r="F1061" s="485"/>
      <c r="G1061" s="485"/>
      <c r="H1061" s="485"/>
      <c r="I1061" s="743"/>
      <c r="J1061" s="485"/>
      <c r="K1061" s="485"/>
      <c r="L1061" s="485"/>
      <c r="M1061" s="485"/>
      <c r="N1061" s="744"/>
    </row>
    <row r="1062" spans="1:14" ht="15">
      <c r="C1062" s="559"/>
      <c r="D1062" s="706"/>
      <c r="E1062" s="707" t="s">
        <v>1756</v>
      </c>
      <c r="F1062" s="637"/>
      <c r="G1062" s="637"/>
      <c r="H1062" s="663" t="s">
        <v>884</v>
      </c>
      <c r="I1062" s="708"/>
      <c r="J1062" s="709">
        <v>2021</v>
      </c>
      <c r="K1062" s="671">
        <v>2022</v>
      </c>
      <c r="L1062" s="671">
        <v>2023</v>
      </c>
      <c r="M1062" s="671">
        <v>2024</v>
      </c>
      <c r="N1062" s="710">
        <v>2025</v>
      </c>
    </row>
    <row r="1063" spans="1:14" ht="15" hidden="1">
      <c r="A1063" s="719" t="s">
        <v>2289</v>
      </c>
      <c r="C1063" s="559"/>
      <c r="D1063" s="706"/>
      <c r="E1063" s="698" t="s">
        <v>1714</v>
      </c>
      <c r="F1063" s="698"/>
      <c r="G1063" s="698"/>
      <c r="H1063" s="63" t="str">
        <f>IFERROR(IF([1]K_Summary!$H$1048 = "", "", [1]K_Summary!$H$1048 ),"")</f>
        <v>tonnes</v>
      </c>
      <c r="I1063" s="698"/>
      <c r="J1063" s="157" t="str">
        <f>IFERROR(IF([1]K_Summary!$J$1048 = "", "", [1]K_Summary!$J$1048 ),"")</f>
        <v/>
      </c>
      <c r="K1063" s="147" t="str">
        <f>IFERROR(IF([1]K_Summary!$K$1048 = "", "", [1]K_Summary!$K$1048 ),"")</f>
        <v/>
      </c>
      <c r="L1063" s="147" t="str">
        <f>IFERROR(IF([1]K_Summary!$L$1048 = "", "", [1]K_Summary!$L$1048 ),"")</f>
        <v/>
      </c>
      <c r="M1063" s="147" t="str">
        <f>IFERROR(IF([1]K_Summary!$M$1048 = "", "", [1]K_Summary!$M$1048 ),"")</f>
        <v/>
      </c>
      <c r="N1063" s="158" t="str">
        <f>IFERROR(IF([1]K_Summary!$N$1048 = "", "", [1]K_Summary!$N$1048 ),"")</f>
        <v/>
      </c>
    </row>
    <row r="1064" spans="1:14" ht="15" hidden="1">
      <c r="A1064" s="719" t="s">
        <v>2289</v>
      </c>
      <c r="C1064" s="559"/>
      <c r="D1064" s="706"/>
      <c r="E1064" s="720" t="s">
        <v>303</v>
      </c>
      <c r="F1064" s="720"/>
      <c r="G1064" s="720"/>
      <c r="H1064" s="721" t="s">
        <v>2090</v>
      </c>
      <c r="I1064" s="722"/>
      <c r="J1064" s="159" t="str">
        <f>IFERROR(IF([1]K_Summary!$J$1049 = "", "", [1]K_Summary!$J$1049 ),"")</f>
        <v/>
      </c>
      <c r="K1064" s="160" t="str">
        <f>IFERROR(IF([1]K_Summary!$K$1049 = "", "", [1]K_Summary!$K$1049 ),"")</f>
        <v/>
      </c>
      <c r="L1064" s="160" t="str">
        <f>IFERROR(IF([1]K_Summary!$L$1049 = "", "", [1]K_Summary!$L$1049 ),"")</f>
        <v/>
      </c>
      <c r="M1064" s="160" t="str">
        <f>IFERROR(IF([1]K_Summary!$M$1049 = "", "", [1]K_Summary!$M$1049 ),"")</f>
        <v/>
      </c>
      <c r="N1064" s="161" t="str">
        <f>IFERROR(IF([1]K_Summary!$N$1049 = "", "", [1]K_Summary!$N$1049 ),"")</f>
        <v/>
      </c>
    </row>
    <row r="1065" spans="1:14" ht="15" hidden="1">
      <c r="A1065" s="719" t="s">
        <v>2289</v>
      </c>
      <c r="C1065" s="559"/>
      <c r="D1065" s="706"/>
      <c r="E1065" s="723" t="s">
        <v>1422</v>
      </c>
      <c r="F1065" s="723"/>
      <c r="G1065" s="723"/>
      <c r="H1065" s="724" t="s">
        <v>2090</v>
      </c>
      <c r="I1065" s="725"/>
      <c r="J1065" s="162" t="str">
        <f>IFERROR(IF([1]K_Summary!$J$1050 = "", "", [1]K_Summary!$J$1050 ),"")</f>
        <v/>
      </c>
      <c r="K1065" s="163" t="str">
        <f>IFERROR(IF([1]K_Summary!$K$1050 = "", "", [1]K_Summary!$K$1050 ),"")</f>
        <v/>
      </c>
      <c r="L1065" s="163" t="str">
        <f>IFERROR(IF([1]K_Summary!$L$1050 = "", "", [1]K_Summary!$L$1050 ),"")</f>
        <v/>
      </c>
      <c r="M1065" s="163" t="str">
        <f>IFERROR(IF([1]K_Summary!$M$1050 = "", "", [1]K_Summary!$M$1050 ),"")</f>
        <v/>
      </c>
      <c r="N1065" s="164" t="str">
        <f>IFERROR(IF([1]K_Summary!$N$1050 = "", "", [1]K_Summary!$N$1050 ),"")</f>
        <v/>
      </c>
    </row>
    <row r="1066" spans="1:14" ht="15" hidden="1">
      <c r="A1066" s="719" t="s">
        <v>2289</v>
      </c>
      <c r="C1066" s="559"/>
      <c r="D1066" s="706"/>
      <c r="E1066" s="723" t="s">
        <v>1390</v>
      </c>
      <c r="F1066" s="723"/>
      <c r="G1066" s="723"/>
      <c r="H1066" s="724" t="s">
        <v>2090</v>
      </c>
      <c r="I1066" s="725"/>
      <c r="J1066" s="162" t="str">
        <f>IFERROR(IF([1]K_Summary!$J$1051 = "", "", [1]K_Summary!$J$1051 ),"")</f>
        <v/>
      </c>
      <c r="K1066" s="163" t="str">
        <f>IFERROR(IF([1]K_Summary!$K$1051 = "", "", [1]K_Summary!$K$1051 ),"")</f>
        <v/>
      </c>
      <c r="L1066" s="163" t="str">
        <f>IFERROR(IF([1]K_Summary!$L$1051 = "", "", [1]K_Summary!$L$1051 ),"")</f>
        <v/>
      </c>
      <c r="M1066" s="163" t="str">
        <f>IFERROR(IF([1]K_Summary!$M$1051 = "", "", [1]K_Summary!$M$1051 ),"")</f>
        <v/>
      </c>
      <c r="N1066" s="164" t="str">
        <f>IFERROR(IF([1]K_Summary!$N$1051 = "", "", [1]K_Summary!$N$1051 ),"")</f>
        <v/>
      </c>
    </row>
    <row r="1067" spans="1:14" ht="15" hidden="1">
      <c r="A1067" s="719" t="s">
        <v>2289</v>
      </c>
      <c r="C1067" s="559"/>
      <c r="D1067" s="706"/>
      <c r="E1067" s="745" t="s">
        <v>1389</v>
      </c>
      <c r="F1067" s="745"/>
      <c r="G1067" s="745"/>
      <c r="H1067" s="754" t="s">
        <v>1021</v>
      </c>
      <c r="I1067" s="747"/>
      <c r="J1067" s="204" t="str">
        <f>IFERROR(IF([1]K_Summary!$J$1052 = "", "", [1]K_Summary!$J$1052 ),"")</f>
        <v/>
      </c>
      <c r="K1067" s="205" t="str">
        <f>IFERROR(IF([1]K_Summary!$K$1052 = "", "", [1]K_Summary!$K$1052 ),"")</f>
        <v/>
      </c>
      <c r="L1067" s="205" t="str">
        <f>IFERROR(IF([1]K_Summary!$L$1052 = "", "", [1]K_Summary!$L$1052 ),"")</f>
        <v/>
      </c>
      <c r="M1067" s="205" t="str">
        <f>IFERROR(IF([1]K_Summary!$M$1052 = "", "", [1]K_Summary!$M$1052 ),"")</f>
        <v/>
      </c>
      <c r="N1067" s="206" t="str">
        <f>IFERROR(IF([1]K_Summary!$N$1052 = "", "", [1]K_Summary!$N$1052 ),"")</f>
        <v/>
      </c>
    </row>
    <row r="1068" spans="1:14" ht="15">
      <c r="C1068" s="559"/>
      <c r="D1068" s="706"/>
      <c r="E1068" s="720" t="s">
        <v>1691</v>
      </c>
      <c r="F1068" s="720"/>
      <c r="G1068" s="720"/>
      <c r="H1068" s="748" t="s">
        <v>1021</v>
      </c>
      <c r="I1068" s="722"/>
      <c r="J1068" s="189" t="str">
        <f>IFERROR(IF([1]K_Summary!$J$1053 = "", "", [1]K_Summary!$J$1053 ),"")</f>
        <v/>
      </c>
      <c r="K1068" s="190" t="str">
        <f>IFERROR(IF([1]K_Summary!$K$1053 = "", "", [1]K_Summary!$K$1053 ),"")</f>
        <v/>
      </c>
      <c r="L1068" s="190" t="str">
        <f>IFERROR(IF([1]K_Summary!$L$1053 = "", "", [1]K_Summary!$L$1053 ),"")</f>
        <v/>
      </c>
      <c r="M1068" s="190" t="str">
        <f>IFERROR(IF([1]K_Summary!$M$1053 = "", "", [1]K_Summary!$M$1053 ),"")</f>
        <v/>
      </c>
      <c r="N1068" s="191" t="str">
        <f>IFERROR(IF([1]K_Summary!$N$1053 = "", "", [1]K_Summary!$N$1053 ),"")</f>
        <v/>
      </c>
    </row>
    <row r="1069" spans="1:14" ht="15">
      <c r="C1069" s="559"/>
      <c r="D1069" s="706"/>
      <c r="E1069" s="723" t="s">
        <v>1648</v>
      </c>
      <c r="F1069" s="723"/>
      <c r="G1069" s="723"/>
      <c r="H1069" s="751" t="s">
        <v>1021</v>
      </c>
      <c r="I1069" s="735"/>
      <c r="J1069" s="174" t="str">
        <f>IFERROR(IF([1]K_Summary!$J$1054 = "", "", [1]K_Summary!$J$1054 ),"")</f>
        <v/>
      </c>
      <c r="K1069" s="175" t="str">
        <f>IFERROR(IF([1]K_Summary!$K$1054 = "", "", [1]K_Summary!$K$1054 ),"")</f>
        <v/>
      </c>
      <c r="L1069" s="175" t="str">
        <f>IFERROR(IF([1]K_Summary!$L$1054 = "", "", [1]K_Summary!$L$1054 ),"")</f>
        <v/>
      </c>
      <c r="M1069" s="175" t="str">
        <f>IFERROR(IF([1]K_Summary!$M$1054 = "", "", [1]K_Summary!$M$1054 ),"")</f>
        <v/>
      </c>
      <c r="N1069" s="176" t="str">
        <f>IFERROR(IF([1]K_Summary!$N$1054 = "", "", [1]K_Summary!$N$1054 ),"")</f>
        <v/>
      </c>
    </row>
    <row r="1070" spans="1:14" ht="15">
      <c r="C1070" s="559"/>
      <c r="D1070" s="706"/>
      <c r="E1070" s="736" t="s">
        <v>1855</v>
      </c>
      <c r="F1070" s="736"/>
      <c r="G1070" s="736"/>
      <c r="H1070" s="738" t="s">
        <v>1021</v>
      </c>
      <c r="I1070" s="738"/>
      <c r="J1070" s="177" t="str">
        <f>IFERROR(IF([1]K_Summary!$J$1055 = "", "", [1]K_Summary!$J$1055 ),"")</f>
        <v/>
      </c>
      <c r="K1070" s="178" t="str">
        <f>IFERROR(IF([1]K_Summary!$K$1055 = "", "", [1]K_Summary!$K$1055 ),"")</f>
        <v/>
      </c>
      <c r="L1070" s="178" t="str">
        <f>IFERROR(IF([1]K_Summary!$L$1055 = "", "", [1]K_Summary!$L$1055 ),"")</f>
        <v/>
      </c>
      <c r="M1070" s="178" t="str">
        <f>IFERROR(IF([1]K_Summary!$M$1055 = "", "", [1]K_Summary!$M$1055 ),"")</f>
        <v/>
      </c>
      <c r="N1070" s="179" t="str">
        <f>IFERROR(IF([1]K_Summary!$N$1055 = "", "", [1]K_Summary!$N$1055 ),"")</f>
        <v/>
      </c>
    </row>
    <row r="1071" spans="1:14" ht="15">
      <c r="C1071" s="559"/>
      <c r="D1071" s="706"/>
      <c r="E1071" s="727" t="s">
        <v>1689</v>
      </c>
      <c r="F1071" s="727"/>
      <c r="G1071" s="727"/>
      <c r="H1071" s="728" t="s">
        <v>1021</v>
      </c>
      <c r="I1071" s="729"/>
      <c r="J1071" s="192" t="str">
        <f>IFERROR(IF([1]K_Summary!$J$1056 = "", "", [1]K_Summary!$J$1056 ),"")</f>
        <v/>
      </c>
      <c r="K1071" s="193" t="str">
        <f>IFERROR(IF([1]K_Summary!$K$1056 = "", "", [1]K_Summary!$K$1056 ),"")</f>
        <v/>
      </c>
      <c r="L1071" s="193" t="str">
        <f>IFERROR(IF([1]K_Summary!$L$1056 = "", "", [1]K_Summary!$L$1056 ),"")</f>
        <v/>
      </c>
      <c r="M1071" s="193" t="str">
        <f>IFERROR(IF([1]K_Summary!$M$1056 = "", "", [1]K_Summary!$M$1056 ),"")</f>
        <v/>
      </c>
      <c r="N1071" s="194" t="str">
        <f>IFERROR(IF([1]K_Summary!$N$1056 = "", "", [1]K_Summary!$N$1056 ),"")</f>
        <v/>
      </c>
    </row>
    <row r="1072" spans="1:14" ht="15">
      <c r="C1072" s="559"/>
      <c r="D1072" s="706"/>
      <c r="E1072" s="698" t="s">
        <v>1671</v>
      </c>
      <c r="F1072" s="698"/>
      <c r="G1072" s="698"/>
      <c r="H1072" s="730" t="s">
        <v>2090</v>
      </c>
      <c r="I1072" s="731"/>
      <c r="J1072" s="148" t="str">
        <f>IFERROR(IF([1]K_Summary!$J$1057 = "", "", [1]K_Summary!$J$1057 ),"")</f>
        <v/>
      </c>
      <c r="K1072" s="150" t="str">
        <f>IFERROR(IF([1]K_Summary!$K$1057 = "", "", [1]K_Summary!$K$1057 ),"")</f>
        <v/>
      </c>
      <c r="L1072" s="150" t="str">
        <f>IFERROR(IF([1]K_Summary!$L$1057 = "", "", [1]K_Summary!$L$1057 ),"")</f>
        <v/>
      </c>
      <c r="M1072" s="150" t="str">
        <f>IFERROR(IF([1]K_Summary!$M$1057 = "", "", [1]K_Summary!$M$1057 ),"")</f>
        <v/>
      </c>
      <c r="N1072" s="171" t="str">
        <f>IFERROR(IF([1]K_Summary!$N$1057 = "", "", [1]K_Summary!$N$1057 ),"")</f>
        <v/>
      </c>
    </row>
    <row r="1073" spans="1:14" ht="15">
      <c r="C1073" s="559"/>
      <c r="D1073" s="706"/>
      <c r="E1073" s="698" t="s">
        <v>1670</v>
      </c>
      <c r="F1073" s="698"/>
      <c r="G1073" s="698"/>
      <c r="H1073" s="730" t="s">
        <v>2090</v>
      </c>
      <c r="I1073" s="731"/>
      <c r="J1073" s="148" t="str">
        <f>IFERROR(IF([1]K_Summary!$J$1058 = "", "", [1]K_Summary!$J$1058 ),"")</f>
        <v/>
      </c>
      <c r="K1073" s="150" t="str">
        <f>IFERROR(IF([1]K_Summary!$K$1058 = "", "", [1]K_Summary!$K$1058 ),"")</f>
        <v/>
      </c>
      <c r="L1073" s="150" t="str">
        <f>IFERROR(IF([1]K_Summary!$L$1058 = "", "", [1]K_Summary!$L$1058 ),"")</f>
        <v/>
      </c>
      <c r="M1073" s="150" t="str">
        <f>IFERROR(IF([1]K_Summary!$M$1058 = "", "", [1]K_Summary!$M$1058 ),"")</f>
        <v/>
      </c>
      <c r="N1073" s="171" t="str">
        <f>IFERROR(IF([1]K_Summary!$N$1058 = "", "", [1]K_Summary!$N$1058 ),"")</f>
        <v/>
      </c>
    </row>
    <row r="1074" spans="1:14" ht="15">
      <c r="C1074" s="559"/>
      <c r="D1074" s="706"/>
      <c r="E1074" s="740" t="s">
        <v>2134</v>
      </c>
      <c r="F1074" s="698"/>
      <c r="G1074" s="698"/>
      <c r="H1074" s="741" t="s">
        <v>1021</v>
      </c>
      <c r="I1074" s="742"/>
      <c r="J1074" s="183" t="str">
        <f>IFERROR(IF([1]K_Summary!$J$1059 = "", "", [1]K_Summary!$J$1059 ),"")</f>
        <v/>
      </c>
      <c r="K1074" s="184" t="str">
        <f>IFERROR(IF([1]K_Summary!$K$1059 = "", "", [1]K_Summary!$K$1059 ),"")</f>
        <v/>
      </c>
      <c r="L1074" s="184" t="str">
        <f>IFERROR(IF([1]K_Summary!$L$1059 = "", "", [1]K_Summary!$L$1059 ),"")</f>
        <v/>
      </c>
      <c r="M1074" s="184" t="str">
        <f>IFERROR(IF([1]K_Summary!$M$1059 = "", "", [1]K_Summary!$M$1059 ),"")</f>
        <v/>
      </c>
      <c r="N1074" s="185" t="str">
        <f>IFERROR(IF([1]K_Summary!$N$1059 = "", "", [1]K_Summary!$N$1059 ),"")</f>
        <v/>
      </c>
    </row>
    <row r="1075" spans="1:14" ht="15">
      <c r="C1075" s="559"/>
      <c r="D1075" s="706"/>
      <c r="E1075" s="485"/>
      <c r="F1075" s="485"/>
      <c r="G1075" s="485"/>
      <c r="H1075" s="485"/>
      <c r="I1075" s="743"/>
      <c r="J1075" s="485"/>
      <c r="K1075" s="485"/>
      <c r="L1075" s="485"/>
      <c r="M1075" s="485"/>
      <c r="N1075" s="744"/>
    </row>
    <row r="1076" spans="1:14" ht="15">
      <c r="C1076" s="559"/>
      <c r="D1076" s="706"/>
      <c r="E1076" s="707" t="s">
        <v>1757</v>
      </c>
      <c r="F1076" s="637"/>
      <c r="G1076" s="637"/>
      <c r="H1076" s="663" t="s">
        <v>884</v>
      </c>
      <c r="I1076" s="708"/>
      <c r="J1076" s="709">
        <v>2021</v>
      </c>
      <c r="K1076" s="671">
        <v>2022</v>
      </c>
      <c r="L1076" s="671">
        <v>2023</v>
      </c>
      <c r="M1076" s="671">
        <v>2024</v>
      </c>
      <c r="N1076" s="710">
        <v>2025</v>
      </c>
    </row>
    <row r="1077" spans="1:14" ht="15" hidden="1">
      <c r="A1077" s="719" t="s">
        <v>2289</v>
      </c>
      <c r="C1077" s="559"/>
      <c r="D1077" s="706"/>
      <c r="E1077" s="698" t="s">
        <v>1714</v>
      </c>
      <c r="F1077" s="698"/>
      <c r="G1077" s="698"/>
      <c r="H1077" s="63" t="str">
        <f>IFERROR(IF([1]K_Summary!$H$1062 = "", "", [1]K_Summary!$H$1062 ),"")</f>
        <v>tonnes</v>
      </c>
      <c r="I1077" s="698"/>
      <c r="J1077" s="157" t="str">
        <f>IFERROR(IF([1]K_Summary!$J$1062 = "", "", [1]K_Summary!$J$1062 ),"")</f>
        <v/>
      </c>
      <c r="K1077" s="147" t="str">
        <f>IFERROR(IF([1]K_Summary!$K$1062 = "", "", [1]K_Summary!$K$1062 ),"")</f>
        <v/>
      </c>
      <c r="L1077" s="147" t="str">
        <f>IFERROR(IF([1]K_Summary!$L$1062 = "", "", [1]K_Summary!$L$1062 ),"")</f>
        <v/>
      </c>
      <c r="M1077" s="147" t="str">
        <f>IFERROR(IF([1]K_Summary!$M$1062 = "", "", [1]K_Summary!$M$1062 ),"")</f>
        <v/>
      </c>
      <c r="N1077" s="158" t="str">
        <f>IFERROR(IF([1]K_Summary!$N$1062 = "", "", [1]K_Summary!$N$1062 ),"")</f>
        <v/>
      </c>
    </row>
    <row r="1078" spans="1:14" ht="15" hidden="1">
      <c r="A1078" s="719" t="s">
        <v>2289</v>
      </c>
      <c r="C1078" s="559"/>
      <c r="D1078" s="706"/>
      <c r="E1078" s="720" t="s">
        <v>303</v>
      </c>
      <c r="F1078" s="720"/>
      <c r="G1078" s="720"/>
      <c r="H1078" s="721" t="s">
        <v>2090</v>
      </c>
      <c r="I1078" s="722"/>
      <c r="J1078" s="159" t="str">
        <f>IFERROR(IF([1]K_Summary!$J$1063 = "", "", [1]K_Summary!$J$1063 ),"")</f>
        <v/>
      </c>
      <c r="K1078" s="160" t="str">
        <f>IFERROR(IF([1]K_Summary!$K$1063 = "", "", [1]K_Summary!$K$1063 ),"")</f>
        <v/>
      </c>
      <c r="L1078" s="160" t="str">
        <f>IFERROR(IF([1]K_Summary!$L$1063 = "", "", [1]K_Summary!$L$1063 ),"")</f>
        <v/>
      </c>
      <c r="M1078" s="160" t="str">
        <f>IFERROR(IF([1]K_Summary!$M$1063 = "", "", [1]K_Summary!$M$1063 ),"")</f>
        <v/>
      </c>
      <c r="N1078" s="161" t="str">
        <f>IFERROR(IF([1]K_Summary!$N$1063 = "", "", [1]K_Summary!$N$1063 ),"")</f>
        <v/>
      </c>
    </row>
    <row r="1079" spans="1:14" ht="15">
      <c r="C1079" s="559"/>
      <c r="D1079" s="706"/>
      <c r="E1079" s="720" t="s">
        <v>1691</v>
      </c>
      <c r="F1079" s="720"/>
      <c r="G1079" s="720"/>
      <c r="H1079" s="748" t="s">
        <v>471</v>
      </c>
      <c r="I1079" s="722"/>
      <c r="J1079" s="172" t="str">
        <f>IFERROR(IF([1]K_Summary!$J$1064 = "", "", [1]K_Summary!$J$1064 ),"")</f>
        <v/>
      </c>
      <c r="K1079" s="54" t="str">
        <f>IFERROR(IF([1]K_Summary!$K$1064 = "", "", [1]K_Summary!$K$1064 ),"")</f>
        <v/>
      </c>
      <c r="L1079" s="54" t="str">
        <f>IFERROR(IF([1]K_Summary!$L$1064 = "", "", [1]K_Summary!$L$1064 ),"")</f>
        <v/>
      </c>
      <c r="M1079" s="54" t="str">
        <f>IFERROR(IF([1]K_Summary!$M$1064 = "", "", [1]K_Summary!$M$1064 ),"")</f>
        <v/>
      </c>
      <c r="N1079" s="173" t="str">
        <f>IFERROR(IF([1]K_Summary!$N$1064 = "", "", [1]K_Summary!$N$1064 ),"")</f>
        <v/>
      </c>
    </row>
    <row r="1080" spans="1:14" ht="15">
      <c r="C1080" s="559"/>
      <c r="D1080" s="706"/>
      <c r="E1080" s="723" t="s">
        <v>1648</v>
      </c>
      <c r="F1080" s="723"/>
      <c r="G1080" s="723"/>
      <c r="H1080" s="734" t="s">
        <v>1021</v>
      </c>
      <c r="I1080" s="735"/>
      <c r="J1080" s="174" t="str">
        <f>IFERROR(IF([1]K_Summary!$J$1065 = "", "", [1]K_Summary!$J$1065 ),"")</f>
        <v/>
      </c>
      <c r="K1080" s="175" t="str">
        <f>IFERROR(IF([1]K_Summary!$K$1065 = "", "", [1]K_Summary!$K$1065 ),"")</f>
        <v/>
      </c>
      <c r="L1080" s="175" t="str">
        <f>IFERROR(IF([1]K_Summary!$L$1065 = "", "", [1]K_Summary!$L$1065 ),"")</f>
        <v/>
      </c>
      <c r="M1080" s="175" t="str">
        <f>IFERROR(IF([1]K_Summary!$M$1065 = "", "", [1]K_Summary!$M$1065 ),"")</f>
        <v/>
      </c>
      <c r="N1080" s="176" t="str">
        <f>IFERROR(IF([1]K_Summary!$N$1065 = "", "", [1]K_Summary!$N$1065 ),"")</f>
        <v/>
      </c>
    </row>
    <row r="1081" spans="1:14" ht="15">
      <c r="C1081" s="559"/>
      <c r="D1081" s="706"/>
      <c r="E1081" s="736" t="s">
        <v>1856</v>
      </c>
      <c r="F1081" s="736"/>
      <c r="G1081" s="736"/>
      <c r="H1081" s="737" t="s">
        <v>1021</v>
      </c>
      <c r="I1081" s="738"/>
      <c r="J1081" s="177" t="str">
        <f>IFERROR(IF([1]K_Summary!$J$1066 = "", "", [1]K_Summary!$J$1066 ),"")</f>
        <v/>
      </c>
      <c r="K1081" s="178" t="str">
        <f>IFERROR(IF([1]K_Summary!$K$1066 = "", "", [1]K_Summary!$K$1066 ),"")</f>
        <v/>
      </c>
      <c r="L1081" s="178" t="str">
        <f>IFERROR(IF([1]K_Summary!$L$1066 = "", "", [1]K_Summary!$L$1066 ),"")</f>
        <v/>
      </c>
      <c r="M1081" s="178" t="str">
        <f>IFERROR(IF([1]K_Summary!$M$1066 = "", "", [1]K_Summary!$M$1066 ),"")</f>
        <v/>
      </c>
      <c r="N1081" s="179" t="str">
        <f>IFERROR(IF([1]K_Summary!$N$1066 = "", "", [1]K_Summary!$N$1066 ),"")</f>
        <v/>
      </c>
    </row>
    <row r="1082" spans="1:14" ht="15">
      <c r="C1082" s="559"/>
      <c r="D1082" s="706"/>
      <c r="E1082" s="727" t="s">
        <v>1689</v>
      </c>
      <c r="F1082" s="727"/>
      <c r="G1082" s="727"/>
      <c r="H1082" s="728" t="s">
        <v>471</v>
      </c>
      <c r="I1082" s="729"/>
      <c r="J1082" s="180" t="str">
        <f>IFERROR(IF([1]K_Summary!$J$1067 = "", "", [1]K_Summary!$J$1067 ),"")</f>
        <v/>
      </c>
      <c r="K1082" s="181" t="str">
        <f>IFERROR(IF([1]K_Summary!$K$1067 = "", "", [1]K_Summary!$K$1067 ),"")</f>
        <v/>
      </c>
      <c r="L1082" s="181" t="str">
        <f>IFERROR(IF([1]K_Summary!$L$1067 = "", "", [1]K_Summary!$L$1067 ),"")</f>
        <v/>
      </c>
      <c r="M1082" s="181" t="str">
        <f>IFERROR(IF([1]K_Summary!$M$1067 = "", "", [1]K_Summary!$M$1067 ),"")</f>
        <v/>
      </c>
      <c r="N1082" s="182" t="str">
        <f>IFERROR(IF([1]K_Summary!$N$1067 = "", "", [1]K_Summary!$N$1067 ),"")</f>
        <v/>
      </c>
    </row>
    <row r="1083" spans="1:14" ht="15" hidden="1">
      <c r="A1083" s="719" t="s">
        <v>2289</v>
      </c>
      <c r="C1083" s="559"/>
      <c r="D1083" s="706"/>
      <c r="E1083" s="723" t="s">
        <v>1390</v>
      </c>
      <c r="F1083" s="723"/>
      <c r="G1083" s="723"/>
      <c r="H1083" s="724" t="s">
        <v>2090</v>
      </c>
      <c r="I1083" s="725"/>
      <c r="J1083" s="162" t="str">
        <f>IFERROR(IF([1]K_Summary!$J$1068 = "", "", [1]K_Summary!$J$1068 ),"")</f>
        <v/>
      </c>
      <c r="K1083" s="163" t="str">
        <f>IFERROR(IF([1]K_Summary!$K$1068 = "", "", [1]K_Summary!$K$1068 ),"")</f>
        <v/>
      </c>
      <c r="L1083" s="163" t="str">
        <f>IFERROR(IF([1]K_Summary!$L$1068 = "", "", [1]K_Summary!$L$1068 ),"")</f>
        <v/>
      </c>
      <c r="M1083" s="163" t="str">
        <f>IFERROR(IF([1]K_Summary!$M$1068 = "", "", [1]K_Summary!$M$1068 ),"")</f>
        <v/>
      </c>
      <c r="N1083" s="164" t="str">
        <f>IFERROR(IF([1]K_Summary!$N$1068 = "", "", [1]K_Summary!$N$1068 ),"")</f>
        <v/>
      </c>
    </row>
    <row r="1084" spans="1:14" ht="15" hidden="1">
      <c r="A1084" s="719" t="s">
        <v>2289</v>
      </c>
      <c r="C1084" s="559"/>
      <c r="D1084" s="706"/>
      <c r="E1084" s="723" t="s">
        <v>1389</v>
      </c>
      <c r="F1084" s="723"/>
      <c r="G1084" s="723"/>
      <c r="H1084" s="726" t="s">
        <v>1021</v>
      </c>
      <c r="I1084" s="725"/>
      <c r="J1084" s="165" t="str">
        <f>IFERROR(IF([1]K_Summary!$J$1069 = "", "", [1]K_Summary!$J$1069 ),"")</f>
        <v/>
      </c>
      <c r="K1084" s="166" t="str">
        <f>IFERROR(IF([1]K_Summary!$K$1069 = "", "", [1]K_Summary!$K$1069 ),"")</f>
        <v/>
      </c>
      <c r="L1084" s="166" t="str">
        <f>IFERROR(IF([1]K_Summary!$L$1069 = "", "", [1]K_Summary!$L$1069 ),"")</f>
        <v/>
      </c>
      <c r="M1084" s="166" t="str">
        <f>IFERROR(IF([1]K_Summary!$M$1069 = "", "", [1]K_Summary!$M$1069 ),"")</f>
        <v/>
      </c>
      <c r="N1084" s="167" t="str">
        <f>IFERROR(IF([1]K_Summary!$N$1069 = "", "", [1]K_Summary!$N$1069 ),"")</f>
        <v/>
      </c>
    </row>
    <row r="1085" spans="1:14" ht="15" hidden="1">
      <c r="A1085" s="719" t="s">
        <v>2289</v>
      </c>
      <c r="C1085" s="559"/>
      <c r="D1085" s="706"/>
      <c r="E1085" s="727" t="s">
        <v>1391</v>
      </c>
      <c r="F1085" s="727"/>
      <c r="G1085" s="727"/>
      <c r="H1085" s="728" t="s">
        <v>1021</v>
      </c>
      <c r="I1085" s="729"/>
      <c r="J1085" s="168" t="str">
        <f>IFERROR(IF([1]K_Summary!$J$1070 = "", "", [1]K_Summary!$J$1070 ),"")</f>
        <v/>
      </c>
      <c r="K1085" s="169" t="str">
        <f>IFERROR(IF([1]K_Summary!$K$1070 = "", "", [1]K_Summary!$K$1070 ),"")</f>
        <v/>
      </c>
      <c r="L1085" s="169" t="str">
        <f>IFERROR(IF([1]K_Summary!$L$1070 = "", "", [1]K_Summary!$L$1070 ),"")</f>
        <v/>
      </c>
      <c r="M1085" s="169" t="str">
        <f>IFERROR(IF([1]K_Summary!$M$1070 = "", "", [1]K_Summary!$M$1070 ),"")</f>
        <v/>
      </c>
      <c r="N1085" s="170" t="str">
        <f>IFERROR(IF([1]K_Summary!$N$1070 = "", "", [1]K_Summary!$N$1070 ),"")</f>
        <v/>
      </c>
    </row>
    <row r="1086" spans="1:14" ht="15">
      <c r="C1086" s="559"/>
      <c r="D1086" s="706"/>
      <c r="E1086" s="698" t="s">
        <v>1671</v>
      </c>
      <c r="F1086" s="698"/>
      <c r="G1086" s="698"/>
      <c r="H1086" s="730" t="s">
        <v>2090</v>
      </c>
      <c r="I1086" s="731"/>
      <c r="J1086" s="148" t="str">
        <f>IFERROR(IF([1]K_Summary!$J$1071 = "", "", [1]K_Summary!$J$1071 ),"")</f>
        <v/>
      </c>
      <c r="K1086" s="150" t="str">
        <f>IFERROR(IF([1]K_Summary!$K$1071 = "", "", [1]K_Summary!$K$1071 ),"")</f>
        <v/>
      </c>
      <c r="L1086" s="150" t="str">
        <f>IFERROR(IF([1]K_Summary!$L$1071 = "", "", [1]K_Summary!$L$1071 ),"")</f>
        <v/>
      </c>
      <c r="M1086" s="150" t="str">
        <f>IFERROR(IF([1]K_Summary!$M$1071 = "", "", [1]K_Summary!$M$1071 ),"")</f>
        <v/>
      </c>
      <c r="N1086" s="171" t="str">
        <f>IFERROR(IF([1]K_Summary!$N$1071 = "", "", [1]K_Summary!$N$1071 ),"")</f>
        <v/>
      </c>
    </row>
    <row r="1087" spans="1:14" ht="15">
      <c r="C1087" s="559"/>
      <c r="D1087" s="706"/>
      <c r="E1087" s="698" t="s">
        <v>1670</v>
      </c>
      <c r="F1087" s="698"/>
      <c r="G1087" s="698"/>
      <c r="H1087" s="730" t="s">
        <v>2090</v>
      </c>
      <c r="I1087" s="731"/>
      <c r="J1087" s="148" t="str">
        <f>IFERROR(IF([1]K_Summary!$J$1072 = "", "", [1]K_Summary!$J$1072 ),"")</f>
        <v/>
      </c>
      <c r="K1087" s="150" t="str">
        <f>IFERROR(IF([1]K_Summary!$K$1072 = "", "", [1]K_Summary!$K$1072 ),"")</f>
        <v/>
      </c>
      <c r="L1087" s="150" t="str">
        <f>IFERROR(IF([1]K_Summary!$L$1072 = "", "", [1]K_Summary!$L$1072 ),"")</f>
        <v/>
      </c>
      <c r="M1087" s="150" t="str">
        <f>IFERROR(IF([1]K_Summary!$M$1072 = "", "", [1]K_Summary!$M$1072 ),"")</f>
        <v/>
      </c>
      <c r="N1087" s="171" t="str">
        <f>IFERROR(IF([1]K_Summary!$N$1072 = "", "", [1]K_Summary!$N$1072 ),"")</f>
        <v/>
      </c>
    </row>
    <row r="1088" spans="1:14" ht="15">
      <c r="C1088" s="559"/>
      <c r="D1088" s="706"/>
      <c r="E1088" s="740" t="s">
        <v>2135</v>
      </c>
      <c r="F1088" s="698"/>
      <c r="G1088" s="698"/>
      <c r="H1088" s="741" t="s">
        <v>1021</v>
      </c>
      <c r="I1088" s="742"/>
      <c r="J1088" s="183" t="str">
        <f>IFERROR(IF([1]K_Summary!$J$1073 = "", "", [1]K_Summary!$J$1073 ),"")</f>
        <v/>
      </c>
      <c r="K1088" s="184" t="str">
        <f>IFERROR(IF([1]K_Summary!$K$1073 = "", "", [1]K_Summary!$K$1073 ),"")</f>
        <v/>
      </c>
      <c r="L1088" s="184" t="str">
        <f>IFERROR(IF([1]K_Summary!$L$1073 = "", "", [1]K_Summary!$L$1073 ),"")</f>
        <v/>
      </c>
      <c r="M1088" s="184" t="str">
        <f>IFERROR(IF([1]K_Summary!$M$1073 = "", "", [1]K_Summary!$M$1073 ),"")</f>
        <v/>
      </c>
      <c r="N1088" s="185" t="str">
        <f>IFERROR(IF([1]K_Summary!$N$1073 = "", "", [1]K_Summary!$N$1073 ),"")</f>
        <v/>
      </c>
    </row>
    <row r="1089" spans="3:14" ht="15.75" thickBot="1">
      <c r="C1089" s="559"/>
      <c r="D1089" s="755"/>
      <c r="E1089" s="756"/>
      <c r="F1089" s="756"/>
      <c r="G1089" s="756"/>
      <c r="H1089" s="756"/>
      <c r="I1089" s="757"/>
      <c r="J1089" s="756"/>
      <c r="K1089" s="756"/>
      <c r="L1089" s="756"/>
      <c r="M1089" s="756"/>
      <c r="N1089" s="758"/>
    </row>
    <row r="1090" spans="3:14" ht="15.75" thickBot="1">
      <c r="C1090" s="559"/>
      <c r="D1090" s="559"/>
      <c r="E1090" s="485"/>
      <c r="F1090" s="485"/>
      <c r="G1090" s="485"/>
      <c r="H1090" s="485"/>
      <c r="I1090" s="743"/>
      <c r="J1090" s="485"/>
      <c r="K1090" s="485"/>
      <c r="L1090" s="485"/>
      <c r="M1090" s="485"/>
      <c r="N1090" s="485"/>
    </row>
    <row r="1091" spans="3:14">
      <c r="C1091" s="485"/>
      <c r="D1091" s="759"/>
      <c r="E1091" s="760"/>
      <c r="F1091" s="760"/>
      <c r="G1091" s="760"/>
      <c r="H1091" s="760"/>
      <c r="I1091" s="761"/>
      <c r="J1091" s="760"/>
      <c r="K1091" s="760"/>
      <c r="L1091" s="760"/>
      <c r="M1091" s="760"/>
      <c r="N1091" s="762"/>
    </row>
    <row r="1092" spans="3:14">
      <c r="C1092" s="485"/>
      <c r="D1092" s="539"/>
      <c r="E1092" s="496" t="s">
        <v>1786</v>
      </c>
      <c r="F1092" s="485"/>
      <c r="G1092" s="485"/>
      <c r="H1092" s="663" t="s">
        <v>884</v>
      </c>
      <c r="I1092" s="763" t="s">
        <v>1675</v>
      </c>
      <c r="J1092" s="709">
        <v>2021</v>
      </c>
      <c r="K1092" s="671">
        <v>2022</v>
      </c>
      <c r="L1092" s="671">
        <v>2023</v>
      </c>
      <c r="M1092" s="671">
        <v>2024</v>
      </c>
      <c r="N1092" s="710">
        <v>2025</v>
      </c>
    </row>
    <row r="1093" spans="3:14">
      <c r="C1093" s="485"/>
      <c r="D1093" s="539"/>
      <c r="E1093" s="720" t="s">
        <v>1714</v>
      </c>
      <c r="F1093" s="720"/>
      <c r="G1093" s="720"/>
      <c r="H1093" s="67" t="str">
        <f>IFERROR(IF([1]K_Summary!$H$1078 = "", "", [1]K_Summary!$H$1078 ),"")</f>
        <v>tonnes</v>
      </c>
      <c r="I1093" s="207" t="str">
        <f>IFERROR(IF([1]K_Summary!$I$1078 = "", "", [1]K_Summary!$I$1078 ),"")</f>
        <v/>
      </c>
      <c r="J1093" s="172" t="str">
        <f>IFERROR(IF([1]K_Summary!$J$1078 = "", "", [1]K_Summary!$J$1078 ),"")</f>
        <v/>
      </c>
      <c r="K1093" s="54" t="str">
        <f>IFERROR(IF([1]K_Summary!$K$1078 = "", "", [1]K_Summary!$K$1078 ),"")</f>
        <v/>
      </c>
      <c r="L1093" s="54" t="str">
        <f>IFERROR(IF([1]K_Summary!$L$1078 = "", "", [1]K_Summary!$L$1078 ),"")</f>
        <v/>
      </c>
      <c r="M1093" s="54" t="str">
        <f>IFERROR(IF([1]K_Summary!$M$1078 = "", "", [1]K_Summary!$M$1078 ),"")</f>
        <v/>
      </c>
      <c r="N1093" s="173" t="str">
        <f>IFERROR(IF([1]K_Summary!$N$1078 = "", "", [1]K_Summary!$N$1078 ),"")</f>
        <v/>
      </c>
    </row>
    <row r="1094" spans="3:14">
      <c r="C1094" s="485"/>
      <c r="D1094" s="539"/>
      <c r="E1094" s="645" t="s">
        <v>303</v>
      </c>
      <c r="F1094" s="645"/>
      <c r="G1094" s="645"/>
      <c r="H1094" s="765" t="s">
        <v>2090</v>
      </c>
      <c r="I1094" s="208" t="str">
        <f>IFERROR(IF([1]K_Summary!$I$1079 = "", "", [1]K_Summary!$I$1079 ),"")</f>
        <v/>
      </c>
      <c r="J1094" s="209" t="str">
        <f>IFERROR(IF([1]K_Summary!$J$1079 = "", "", [1]K_Summary!$J$1079 ),"")</f>
        <v/>
      </c>
      <c r="K1094" s="210" t="str">
        <f>IFERROR(IF([1]K_Summary!$K$1079 = "", "", [1]K_Summary!$K$1079 ),"")</f>
        <v/>
      </c>
      <c r="L1094" s="210" t="str">
        <f>IFERROR(IF([1]K_Summary!$L$1079 = "", "", [1]K_Summary!$L$1079 ),"")</f>
        <v/>
      </c>
      <c r="M1094" s="210" t="str">
        <f>IFERROR(IF([1]K_Summary!$M$1079 = "", "", [1]K_Summary!$M$1079 ),"")</f>
        <v/>
      </c>
      <c r="N1094" s="211" t="str">
        <f>IFERROR(IF([1]K_Summary!$N$1079 = "", "", [1]K_Summary!$N$1079 ),"")</f>
        <v/>
      </c>
    </row>
    <row r="1095" spans="3:14">
      <c r="C1095" s="485"/>
      <c r="D1095" s="539"/>
      <c r="E1095" s="723" t="s">
        <v>1422</v>
      </c>
      <c r="F1095" s="723"/>
      <c r="G1095" s="723"/>
      <c r="H1095" s="724" t="s">
        <v>2090</v>
      </c>
      <c r="I1095" s="212" t="str">
        <f>IFERROR(IF([1]K_Summary!$I$1080 = "", "", [1]K_Summary!$I$1080 ),"")</f>
        <v/>
      </c>
      <c r="J1095" s="213" t="str">
        <f>IFERROR(IF([1]K_Summary!$J$1080 = "", "", [1]K_Summary!$J$1080 ),"")</f>
        <v/>
      </c>
      <c r="K1095" s="214" t="str">
        <f>IFERROR(IF([1]K_Summary!$K$1080 = "", "", [1]K_Summary!$K$1080 ),"")</f>
        <v/>
      </c>
      <c r="L1095" s="214" t="str">
        <f>IFERROR(IF([1]K_Summary!$L$1080 = "", "", [1]K_Summary!$L$1080 ),"")</f>
        <v/>
      </c>
      <c r="M1095" s="214" t="str">
        <f>IFERROR(IF([1]K_Summary!$M$1080 = "", "", [1]K_Summary!$M$1080 ),"")</f>
        <v/>
      </c>
      <c r="N1095" s="215" t="str">
        <f>IFERROR(IF([1]K_Summary!$N$1080 = "", "", [1]K_Summary!$N$1080 ),"")</f>
        <v/>
      </c>
    </row>
    <row r="1096" spans="3:14">
      <c r="C1096" s="485"/>
      <c r="D1096" s="539"/>
      <c r="E1096" s="723" t="s">
        <v>1390</v>
      </c>
      <c r="F1096" s="723"/>
      <c r="G1096" s="723"/>
      <c r="H1096" s="724" t="s">
        <v>2090</v>
      </c>
      <c r="I1096" s="212" t="str">
        <f>IFERROR(IF([1]K_Summary!$I$1081 = "", "", [1]K_Summary!$I$1081 ),"")</f>
        <v/>
      </c>
      <c r="J1096" s="213" t="str">
        <f>IFERROR(IF([1]K_Summary!$J$1081 = "", "", [1]K_Summary!$J$1081 ),"")</f>
        <v/>
      </c>
      <c r="K1096" s="214" t="str">
        <f>IFERROR(IF([1]K_Summary!$K$1081 = "", "", [1]K_Summary!$K$1081 ),"")</f>
        <v/>
      </c>
      <c r="L1096" s="214" t="str">
        <f>IFERROR(IF([1]K_Summary!$L$1081 = "", "", [1]K_Summary!$L$1081 ),"")</f>
        <v/>
      </c>
      <c r="M1096" s="214" t="str">
        <f>IFERROR(IF([1]K_Summary!$M$1081 = "", "", [1]K_Summary!$M$1081 ),"")</f>
        <v/>
      </c>
      <c r="N1096" s="215" t="str">
        <f>IFERROR(IF([1]K_Summary!$N$1081 = "", "", [1]K_Summary!$N$1081 ),"")</f>
        <v/>
      </c>
    </row>
    <row r="1097" spans="3:14">
      <c r="C1097" s="485"/>
      <c r="D1097" s="539"/>
      <c r="E1097" s="723" t="s">
        <v>1389</v>
      </c>
      <c r="F1097" s="723"/>
      <c r="G1097" s="723"/>
      <c r="H1097" s="726" t="s">
        <v>1021</v>
      </c>
      <c r="I1097" s="216" t="str">
        <f>IFERROR(IF([1]K_Summary!$I$1082 = "", "", [1]K_Summary!$I$1082 ),"")</f>
        <v/>
      </c>
      <c r="J1097" s="217" t="str">
        <f>IFERROR(IF([1]K_Summary!$J$1082 = "", "", [1]K_Summary!$J$1082 ),"")</f>
        <v/>
      </c>
      <c r="K1097" s="218" t="str">
        <f>IFERROR(IF([1]K_Summary!$K$1082 = "", "", [1]K_Summary!$K$1082 ),"")</f>
        <v/>
      </c>
      <c r="L1097" s="218" t="str">
        <f>IFERROR(IF([1]K_Summary!$L$1082 = "", "", [1]K_Summary!$L$1082 ),"")</f>
        <v/>
      </c>
      <c r="M1097" s="218" t="str">
        <f>IFERROR(IF([1]K_Summary!$M$1082 = "", "", [1]K_Summary!$M$1082 ),"")</f>
        <v/>
      </c>
      <c r="N1097" s="219" t="str">
        <f>IFERROR(IF([1]K_Summary!$N$1082 = "", "", [1]K_Summary!$N$1082 ),"")</f>
        <v/>
      </c>
    </row>
    <row r="1098" spans="3:14">
      <c r="C1098" s="485"/>
      <c r="D1098" s="539"/>
      <c r="E1098" s="727" t="s">
        <v>1391</v>
      </c>
      <c r="F1098" s="727"/>
      <c r="G1098" s="727"/>
      <c r="H1098" s="728" t="s">
        <v>1021</v>
      </c>
      <c r="I1098" s="220" t="str">
        <f>IFERROR(IF([1]K_Summary!$I$1083 = "", "", [1]K_Summary!$I$1083 ),"")</f>
        <v/>
      </c>
      <c r="J1098" s="221" t="str">
        <f>IFERROR(IF([1]K_Summary!$J$1083 = "", "", [1]K_Summary!$J$1083 ),"")</f>
        <v/>
      </c>
      <c r="K1098" s="222" t="str">
        <f>IFERROR(IF([1]K_Summary!$K$1083 = "", "", [1]K_Summary!$K$1083 ),"")</f>
        <v/>
      </c>
      <c r="L1098" s="222" t="str">
        <f>IFERROR(IF([1]K_Summary!$L$1083 = "", "", [1]K_Summary!$L$1083 ),"")</f>
        <v/>
      </c>
      <c r="M1098" s="222" t="str">
        <f>IFERROR(IF([1]K_Summary!$M$1083 = "", "", [1]K_Summary!$M$1083 ),"")</f>
        <v/>
      </c>
      <c r="N1098" s="223" t="str">
        <f>IFERROR(IF([1]K_Summary!$N$1083 = "", "", [1]K_Summary!$N$1083 ),"")</f>
        <v/>
      </c>
    </row>
    <row r="1099" spans="3:14">
      <c r="C1099" s="485"/>
      <c r="D1099" s="539"/>
      <c r="E1099" s="698" t="s">
        <v>222</v>
      </c>
      <c r="F1099" s="698"/>
      <c r="G1099" s="698"/>
      <c r="H1099" s="730" t="s">
        <v>2090</v>
      </c>
      <c r="I1099" s="224" t="str">
        <f>IFERROR(IF([1]K_Summary!$I$1084 = "", "", [1]K_Summary!$I$1084 ),"")</f>
        <v/>
      </c>
      <c r="J1099" s="148" t="str">
        <f>IFERROR(IF([1]K_Summary!$J$1084 = "", "", [1]K_Summary!$J$1084 ),"")</f>
        <v/>
      </c>
      <c r="K1099" s="150" t="str">
        <f>IFERROR(IF([1]K_Summary!$K$1084 = "", "", [1]K_Summary!$K$1084 ),"")</f>
        <v/>
      </c>
      <c r="L1099" s="150" t="str">
        <f>IFERROR(IF([1]K_Summary!$L$1084 = "", "", [1]K_Summary!$L$1084 ),"")</f>
        <v/>
      </c>
      <c r="M1099" s="150" t="str">
        <f>IFERROR(IF([1]K_Summary!$M$1084 = "", "", [1]K_Summary!$M$1084 ),"")</f>
        <v/>
      </c>
      <c r="N1099" s="171" t="str">
        <f>IFERROR(IF([1]K_Summary!$N$1084 = "", "", [1]K_Summary!$N$1084 ),"")</f>
        <v/>
      </c>
    </row>
    <row r="1100" spans="3:14" ht="13.5" thickBot="1">
      <c r="C1100" s="485"/>
      <c r="D1100" s="771"/>
      <c r="E1100" s="756"/>
      <c r="F1100" s="756"/>
      <c r="G1100" s="756"/>
      <c r="H1100" s="756"/>
      <c r="I1100" s="756"/>
      <c r="J1100" s="756"/>
      <c r="K1100" s="756"/>
      <c r="L1100" s="756"/>
      <c r="M1100" s="756"/>
      <c r="N1100" s="758"/>
    </row>
    <row r="1101" spans="3:14" ht="13.5" thickBot="1">
      <c r="C1101" s="485"/>
      <c r="D1101" s="562"/>
      <c r="E1101" s="561"/>
      <c r="F1101" s="485"/>
      <c r="G1101" s="485"/>
      <c r="H1101" s="485"/>
      <c r="I1101" s="485"/>
      <c r="J1101" s="485"/>
      <c r="K1101" s="485"/>
      <c r="L1101" s="485"/>
      <c r="M1101" s="485"/>
      <c r="N1101" s="485"/>
    </row>
    <row r="1102" spans="3:14">
      <c r="C1102" s="485"/>
      <c r="D1102" s="772"/>
      <c r="E1102" s="773"/>
      <c r="F1102" s="773"/>
      <c r="G1102" s="774"/>
      <c r="H1102" s="774"/>
      <c r="I1102" s="774"/>
      <c r="J1102" s="774"/>
      <c r="K1102" s="774"/>
      <c r="L1102" s="774"/>
      <c r="M1102" s="774"/>
      <c r="N1102" s="775"/>
    </row>
    <row r="1103" spans="3:14" ht="13.5" thickBot="1">
      <c r="C1103" s="485"/>
      <c r="D1103" s="776"/>
      <c r="E1103" s="777"/>
      <c r="F1103" s="777"/>
      <c r="G1103" s="778" t="s">
        <v>884</v>
      </c>
      <c r="H1103" s="779">
        <v>2019</v>
      </c>
      <c r="I1103" s="780">
        <v>2020</v>
      </c>
      <c r="J1103" s="781">
        <v>2021</v>
      </c>
      <c r="K1103" s="782">
        <v>2022</v>
      </c>
      <c r="L1103" s="782">
        <v>2023</v>
      </c>
      <c r="M1103" s="782">
        <v>2024</v>
      </c>
      <c r="N1103" s="783">
        <v>2025</v>
      </c>
    </row>
    <row r="1104" spans="3:14" ht="13.5" thickBot="1">
      <c r="C1104" s="485"/>
      <c r="D1104" s="776"/>
      <c r="E1104" s="2470" t="s">
        <v>1504</v>
      </c>
      <c r="F1104" s="2470"/>
      <c r="G1104" s="808" t="s">
        <v>2016</v>
      </c>
      <c r="H1104" s="225" t="str">
        <f>IFERROR(IF([1]K_Summary!$H$1089 = "", "", [1]K_Summary!$H$1089 ),"")</f>
        <v/>
      </c>
      <c r="I1104" s="226" t="str">
        <f>IFERROR(IF([1]K_Summary!$I$1089 = "", "", [1]K_Summary!$I$1089 ),"")</f>
        <v/>
      </c>
      <c r="J1104" s="225" t="str">
        <f>IFERROR(IF([1]K_Summary!$J$1089 = "", "", [1]K_Summary!$J$1089 ),"")</f>
        <v/>
      </c>
      <c r="K1104" s="227" t="str">
        <f>IFERROR(IF([1]K_Summary!$K$1089 = "", "", [1]K_Summary!$K$1089 ),"")</f>
        <v/>
      </c>
      <c r="L1104" s="227" t="str">
        <f>IFERROR(IF([1]K_Summary!$L$1089 = "", "", [1]K_Summary!$L$1089 ),"")</f>
        <v/>
      </c>
      <c r="M1104" s="227" t="str">
        <f>IFERROR(IF([1]K_Summary!$M$1089 = "", "", [1]K_Summary!$M$1089 ),"")</f>
        <v/>
      </c>
      <c r="N1104" s="228" t="str">
        <f>IFERROR(IF([1]K_Summary!$N$1089 = "", "", [1]K_Summary!$N$1089 ),"")</f>
        <v/>
      </c>
    </row>
    <row r="1105" spans="3:14">
      <c r="C1105" s="485"/>
      <c r="D1105" s="776"/>
      <c r="E1105" s="809"/>
      <c r="F1105" s="809"/>
      <c r="G1105" s="777"/>
      <c r="H1105" s="777"/>
      <c r="I1105" s="777"/>
      <c r="J1105" s="777"/>
      <c r="K1105" s="777"/>
      <c r="L1105" s="777"/>
      <c r="M1105" s="777"/>
      <c r="N1105" s="810"/>
    </row>
    <row r="1106" spans="3:14">
      <c r="C1106" s="485"/>
      <c r="D1106" s="776"/>
      <c r="E1106" s="2471" t="s">
        <v>1344</v>
      </c>
      <c r="F1106" s="2472"/>
      <c r="G1106" s="811" t="s">
        <v>2017</v>
      </c>
      <c r="H1106" s="127" t="str">
        <f>IFERROR(IF([1]K_Summary!$H$1091 = "", "", [1]K_Summary!$H$1091 ),"")</f>
        <v/>
      </c>
      <c r="I1106" s="229" t="str">
        <f>IFERROR(IF([1]K_Summary!$I$1091 = "", "", [1]K_Summary!$I$1091 ),"")</f>
        <v/>
      </c>
      <c r="J1106" s="230" t="str">
        <f>IFERROR(IF([1]K_Summary!$J$1091 = "", "", [1]K_Summary!$J$1091 ),"")</f>
        <v/>
      </c>
      <c r="K1106" s="127" t="str">
        <f>IFERROR(IF([1]K_Summary!$K$1091 = "", "", [1]K_Summary!$K$1091 ),"")</f>
        <v/>
      </c>
      <c r="L1106" s="127" t="str">
        <f>IFERROR(IF([1]K_Summary!$L$1091 = "", "", [1]K_Summary!$L$1091 ),"")</f>
        <v/>
      </c>
      <c r="M1106" s="127" t="str">
        <f>IFERROR(IF([1]K_Summary!$M$1091 = "", "", [1]K_Summary!$M$1091 ),"")</f>
        <v/>
      </c>
      <c r="N1106" s="231" t="str">
        <f>IFERROR(IF([1]K_Summary!$N$1091 = "", "", [1]K_Summary!$N$1091 ),"")</f>
        <v/>
      </c>
    </row>
    <row r="1107" spans="3:14">
      <c r="C1107" s="485"/>
      <c r="D1107" s="776"/>
      <c r="E1107" s="2473" t="s">
        <v>1182</v>
      </c>
      <c r="F1107" s="2474"/>
      <c r="G1107" s="812" t="s">
        <v>2018</v>
      </c>
      <c r="H1107" s="128" t="str">
        <f>IFERROR(IF([1]K_Summary!$H$1092 = "", "", [1]K_Summary!$H$1092 ),"")</f>
        <v/>
      </c>
      <c r="I1107" s="232" t="str">
        <f>IFERROR(IF([1]K_Summary!$I$1092 = "", "", [1]K_Summary!$I$1092 ),"")</f>
        <v/>
      </c>
      <c r="J1107" s="233" t="str">
        <f>IFERROR(IF([1]K_Summary!$J$1092 = "", "", [1]K_Summary!$J$1092 ),"")</f>
        <v/>
      </c>
      <c r="K1107" s="128" t="str">
        <f>IFERROR(IF([1]K_Summary!$K$1092 = "", "", [1]K_Summary!$K$1092 ),"")</f>
        <v/>
      </c>
      <c r="L1107" s="128" t="str">
        <f>IFERROR(IF([1]K_Summary!$L$1092 = "", "", [1]K_Summary!$L$1092 ),"")</f>
        <v/>
      </c>
      <c r="M1107" s="128" t="str">
        <f>IFERROR(IF([1]K_Summary!$M$1092 = "", "", [1]K_Summary!$M$1092 ),"")</f>
        <v/>
      </c>
      <c r="N1107" s="234" t="str">
        <f>IFERROR(IF([1]K_Summary!$N$1092 = "", "", [1]K_Summary!$N$1092 ),"")</f>
        <v/>
      </c>
    </row>
    <row r="1108" spans="3:14">
      <c r="C1108" s="485"/>
      <c r="D1108" s="776"/>
      <c r="E1108" s="809"/>
      <c r="F1108" s="809"/>
      <c r="G1108" s="813"/>
      <c r="H1108" s="813"/>
      <c r="I1108" s="813"/>
      <c r="J1108" s="813"/>
      <c r="K1108" s="813"/>
      <c r="L1108" s="813"/>
      <c r="M1108" s="813"/>
      <c r="N1108" s="814"/>
    </row>
    <row r="1109" spans="3:14">
      <c r="C1109" s="485"/>
      <c r="D1109" s="776"/>
      <c r="E1109" s="2475" t="s">
        <v>63</v>
      </c>
      <c r="F1109" s="2410"/>
      <c r="G1109" s="815" t="s">
        <v>2015</v>
      </c>
      <c r="H1109" s="126" t="str">
        <f>IFERROR(IF([1]K_Summary!$H$1094 = "", "", [1]K_Summary!$H$1094 ),"")</f>
        <v/>
      </c>
      <c r="I1109" s="235" t="str">
        <f>IFERROR(IF([1]K_Summary!$I$1094 = "", "", [1]K_Summary!$I$1094 ),"")</f>
        <v/>
      </c>
      <c r="J1109" s="236" t="str">
        <f>IFERROR(IF([1]K_Summary!$J$1094 = "", "", [1]K_Summary!$J$1094 ),"")</f>
        <v/>
      </c>
      <c r="K1109" s="126" t="str">
        <f>IFERROR(IF([1]K_Summary!$K$1094 = "", "", [1]K_Summary!$K$1094 ),"")</f>
        <v/>
      </c>
      <c r="L1109" s="126" t="str">
        <f>IFERROR(IF([1]K_Summary!$L$1094 = "", "", [1]K_Summary!$L$1094 ),"")</f>
        <v/>
      </c>
      <c r="M1109" s="126" t="str">
        <f>IFERROR(IF([1]K_Summary!$M$1094 = "", "", [1]K_Summary!$M$1094 ),"")</f>
        <v/>
      </c>
      <c r="N1109" s="237" t="str">
        <f>IFERROR(IF([1]K_Summary!$N$1094 = "", "", [1]K_Summary!$N$1094 ),"")</f>
        <v/>
      </c>
    </row>
    <row r="1110" spans="3:14">
      <c r="C1110" s="485"/>
      <c r="D1110" s="776"/>
      <c r="E1110" s="2475" t="s">
        <v>1154</v>
      </c>
      <c r="F1110" s="2410"/>
      <c r="G1110" s="815" t="s">
        <v>2015</v>
      </c>
      <c r="H1110" s="126" t="str">
        <f>IFERROR(IF([1]K_Summary!$H$1095 = "", "", [1]K_Summary!$H$1095 ),"")</f>
        <v/>
      </c>
      <c r="I1110" s="235" t="str">
        <f>IFERROR(IF([1]K_Summary!$I$1095 = "", "", [1]K_Summary!$I$1095 ),"")</f>
        <v/>
      </c>
      <c r="J1110" s="236" t="str">
        <f>IFERROR(IF([1]K_Summary!$J$1095 = "", "", [1]K_Summary!$J$1095 ),"")</f>
        <v/>
      </c>
      <c r="K1110" s="126" t="str">
        <f>IFERROR(IF([1]K_Summary!$K$1095 = "", "", [1]K_Summary!$K$1095 ),"")</f>
        <v/>
      </c>
      <c r="L1110" s="126" t="str">
        <f>IFERROR(IF([1]K_Summary!$L$1095 = "", "", [1]K_Summary!$L$1095 ),"")</f>
        <v/>
      </c>
      <c r="M1110" s="126" t="str">
        <f>IFERROR(IF([1]K_Summary!$M$1095 = "", "", [1]K_Summary!$M$1095 ),"")</f>
        <v/>
      </c>
      <c r="N1110" s="237" t="str">
        <f>IFERROR(IF([1]K_Summary!$N$1095 = "", "", [1]K_Summary!$N$1095 ),"")</f>
        <v/>
      </c>
    </row>
    <row r="1111" spans="3:14">
      <c r="C1111" s="485"/>
      <c r="D1111" s="776"/>
      <c r="E1111" s="2475" t="s">
        <v>1155</v>
      </c>
      <c r="F1111" s="2410"/>
      <c r="G1111" s="815" t="s">
        <v>2015</v>
      </c>
      <c r="H1111" s="126" t="str">
        <f>IFERROR(IF([1]K_Summary!$H$1096 = "", "", [1]K_Summary!$H$1096 ),"")</f>
        <v/>
      </c>
      <c r="I1111" s="235" t="str">
        <f>IFERROR(IF([1]K_Summary!$I$1096 = "", "", [1]K_Summary!$I$1096 ),"")</f>
        <v/>
      </c>
      <c r="J1111" s="236" t="str">
        <f>IFERROR(IF([1]K_Summary!$J$1096 = "", "", [1]K_Summary!$J$1096 ),"")</f>
        <v/>
      </c>
      <c r="K1111" s="126" t="str">
        <f>IFERROR(IF([1]K_Summary!$K$1096 = "", "", [1]K_Summary!$K$1096 ),"")</f>
        <v/>
      </c>
      <c r="L1111" s="126" t="str">
        <f>IFERROR(IF([1]K_Summary!$L$1096 = "", "", [1]K_Summary!$L$1096 ),"")</f>
        <v/>
      </c>
      <c r="M1111" s="126" t="str">
        <f>IFERROR(IF([1]K_Summary!$M$1096 = "", "", [1]K_Summary!$M$1096 ),"")</f>
        <v/>
      </c>
      <c r="N1111" s="237" t="str">
        <f>IFERROR(IF([1]K_Summary!$N$1096 = "", "", [1]K_Summary!$N$1096 ),"")</f>
        <v/>
      </c>
    </row>
    <row r="1112" spans="3:14">
      <c r="C1112" s="485"/>
      <c r="D1112" s="776"/>
      <c r="E1112" s="2475" t="s">
        <v>1156</v>
      </c>
      <c r="F1112" s="2410"/>
      <c r="G1112" s="815" t="s">
        <v>2016</v>
      </c>
      <c r="H1112" s="126" t="str">
        <f>IFERROR(IF([1]K_Summary!$H$1097 = "", "", [1]K_Summary!$H$1097 ),"")</f>
        <v/>
      </c>
      <c r="I1112" s="235" t="str">
        <f>IFERROR(IF([1]K_Summary!$I$1097 = "", "", [1]K_Summary!$I$1097 ),"")</f>
        <v/>
      </c>
      <c r="J1112" s="236" t="str">
        <f>IFERROR(IF([1]K_Summary!$J$1097 = "", "", [1]K_Summary!$J$1097 ),"")</f>
        <v/>
      </c>
      <c r="K1112" s="126" t="str">
        <f>IFERROR(IF([1]K_Summary!$K$1097 = "", "", [1]K_Summary!$K$1097 ),"")</f>
        <v/>
      </c>
      <c r="L1112" s="126" t="str">
        <f>IFERROR(IF([1]K_Summary!$L$1097 = "", "", [1]K_Summary!$L$1097 ),"")</f>
        <v/>
      </c>
      <c r="M1112" s="126" t="str">
        <f>IFERROR(IF([1]K_Summary!$M$1097 = "", "", [1]K_Summary!$M$1097 ),"")</f>
        <v/>
      </c>
      <c r="N1112" s="237" t="str">
        <f>IFERROR(IF([1]K_Summary!$N$1097 = "", "", [1]K_Summary!$N$1097 ),"")</f>
        <v/>
      </c>
    </row>
    <row r="1113" spans="3:14">
      <c r="C1113" s="485"/>
      <c r="D1113" s="776"/>
      <c r="E1113" s="809"/>
      <c r="F1113" s="809"/>
      <c r="G1113" s="813"/>
      <c r="H1113" s="813"/>
      <c r="I1113" s="813"/>
      <c r="J1113" s="813"/>
      <c r="K1113" s="813"/>
      <c r="L1113" s="813"/>
      <c r="M1113" s="813"/>
      <c r="N1113" s="814"/>
    </row>
    <row r="1114" spans="3:14">
      <c r="C1114" s="485"/>
      <c r="D1114" s="776"/>
      <c r="E1114" s="2471" t="s">
        <v>1087</v>
      </c>
      <c r="F1114" s="2472"/>
      <c r="G1114" s="811" t="s">
        <v>2017</v>
      </c>
      <c r="H1114" s="127" t="str">
        <f>IFERROR(IF([1]K_Summary!$H$1099 = "", "", [1]K_Summary!$H$1099 ),"")</f>
        <v/>
      </c>
      <c r="I1114" s="229" t="str">
        <f>IFERROR(IF([1]K_Summary!$I$1099 = "", "", [1]K_Summary!$I$1099 ),"")</f>
        <v/>
      </c>
      <c r="J1114" s="230" t="str">
        <f>IFERROR(IF([1]K_Summary!$J$1099 = "", "", [1]K_Summary!$J$1099 ),"")</f>
        <v/>
      </c>
      <c r="K1114" s="127" t="str">
        <f>IFERROR(IF([1]K_Summary!$K$1099 = "", "", [1]K_Summary!$K$1099 ),"")</f>
        <v/>
      </c>
      <c r="L1114" s="127" t="str">
        <f>IFERROR(IF([1]K_Summary!$L$1099 = "", "", [1]K_Summary!$L$1099 ),"")</f>
        <v/>
      </c>
      <c r="M1114" s="127" t="str">
        <f>IFERROR(IF([1]K_Summary!$M$1099 = "", "", [1]K_Summary!$M$1099 ),"")</f>
        <v/>
      </c>
      <c r="N1114" s="231" t="str">
        <f>IFERROR(IF([1]K_Summary!$N$1099 = "", "", [1]K_Summary!$N$1099 ),"")</f>
        <v/>
      </c>
    </row>
    <row r="1115" spans="3:14">
      <c r="C1115" s="485"/>
      <c r="D1115" s="776"/>
      <c r="E1115" s="2473" t="s">
        <v>1103</v>
      </c>
      <c r="F1115" s="2474"/>
      <c r="G1115" s="812" t="s">
        <v>2018</v>
      </c>
      <c r="H1115" s="128" t="str">
        <f>IFERROR(IF([1]K_Summary!$H$1100 = "", "", [1]K_Summary!$H$1100 ),"")</f>
        <v/>
      </c>
      <c r="I1115" s="232" t="str">
        <f>IFERROR(IF([1]K_Summary!$I$1100 = "", "", [1]K_Summary!$I$1100 ),"")</f>
        <v/>
      </c>
      <c r="J1115" s="233" t="str">
        <f>IFERROR(IF([1]K_Summary!$J$1100 = "", "", [1]K_Summary!$J$1100 ),"")</f>
        <v/>
      </c>
      <c r="K1115" s="128" t="str">
        <f>IFERROR(IF([1]K_Summary!$K$1100 = "", "", [1]K_Summary!$K$1100 ),"")</f>
        <v/>
      </c>
      <c r="L1115" s="128" t="str">
        <f>IFERROR(IF([1]K_Summary!$L$1100 = "", "", [1]K_Summary!$L$1100 ),"")</f>
        <v/>
      </c>
      <c r="M1115" s="128" t="str">
        <f>IFERROR(IF([1]K_Summary!$M$1100 = "", "", [1]K_Summary!$M$1100 ),"")</f>
        <v/>
      </c>
      <c r="N1115" s="234" t="str">
        <f>IFERROR(IF([1]K_Summary!$N$1100 = "", "", [1]K_Summary!$N$1100 ),"")</f>
        <v/>
      </c>
    </row>
    <row r="1116" spans="3:14">
      <c r="C1116" s="485"/>
      <c r="D1116" s="776"/>
      <c r="E1116" s="809"/>
      <c r="F1116" s="809"/>
      <c r="G1116" s="813"/>
      <c r="H1116" s="813"/>
      <c r="I1116" s="813"/>
      <c r="J1116" s="813"/>
      <c r="K1116" s="813"/>
      <c r="L1116" s="813"/>
      <c r="M1116" s="813"/>
      <c r="N1116" s="814"/>
    </row>
    <row r="1117" spans="3:14">
      <c r="C1117" s="485"/>
      <c r="D1117" s="776"/>
      <c r="E1117" s="2475" t="s">
        <v>1150</v>
      </c>
      <c r="F1117" s="2410"/>
      <c r="G1117" s="815" t="s">
        <v>2017</v>
      </c>
      <c r="H1117" s="126" t="str">
        <f>IFERROR(IF([1]K_Summary!$H$1102 = "", "", [1]K_Summary!$H$1102 ),"")</f>
        <v/>
      </c>
      <c r="I1117" s="235" t="str">
        <f>IFERROR(IF([1]K_Summary!$I$1102 = "", "", [1]K_Summary!$I$1102 ),"")</f>
        <v/>
      </c>
      <c r="J1117" s="236" t="str">
        <f>IFERROR(IF([1]K_Summary!$J$1102 = "", "", [1]K_Summary!$J$1102 ),"")</f>
        <v/>
      </c>
      <c r="K1117" s="126" t="str">
        <f>IFERROR(IF([1]K_Summary!$K$1102 = "", "", [1]K_Summary!$K$1102 ),"")</f>
        <v/>
      </c>
      <c r="L1117" s="126" t="str">
        <f>IFERROR(IF([1]K_Summary!$L$1102 = "", "", [1]K_Summary!$L$1102 ),"")</f>
        <v/>
      </c>
      <c r="M1117" s="126" t="str">
        <f>IFERROR(IF([1]K_Summary!$M$1102 = "", "", [1]K_Summary!$M$1102 ),"")</f>
        <v/>
      </c>
      <c r="N1117" s="237" t="str">
        <f>IFERROR(IF([1]K_Summary!$N$1102 = "", "", [1]K_Summary!$N$1102 ),"")</f>
        <v/>
      </c>
    </row>
    <row r="1118" spans="3:14" ht="13.15" customHeight="1">
      <c r="C1118" s="485"/>
      <c r="D1118" s="776"/>
      <c r="E1118" s="2475" t="s">
        <v>1149</v>
      </c>
      <c r="F1118" s="2410"/>
      <c r="G1118" s="815" t="s">
        <v>2017</v>
      </c>
      <c r="H1118" s="126" t="str">
        <f>IFERROR(IF([1]K_Summary!$H$1103 = "", "", [1]K_Summary!$H$1103 ),"")</f>
        <v/>
      </c>
      <c r="I1118" s="235" t="str">
        <f>IFERROR(IF([1]K_Summary!$I$1103 = "", "", [1]K_Summary!$I$1103 ),"")</f>
        <v/>
      </c>
      <c r="J1118" s="236" t="str">
        <f>IFERROR(IF([1]K_Summary!$J$1103 = "", "", [1]K_Summary!$J$1103 ),"")</f>
        <v/>
      </c>
      <c r="K1118" s="126" t="str">
        <f>IFERROR(IF([1]K_Summary!$K$1103 = "", "", [1]K_Summary!$K$1103 ),"")</f>
        <v/>
      </c>
      <c r="L1118" s="126" t="str">
        <f>IFERROR(IF([1]K_Summary!$L$1103 = "", "", [1]K_Summary!$L$1103 ),"")</f>
        <v/>
      </c>
      <c r="M1118" s="126" t="str">
        <f>IFERROR(IF([1]K_Summary!$M$1103 = "", "", [1]K_Summary!$M$1103 ),"")</f>
        <v/>
      </c>
      <c r="N1118" s="237" t="str">
        <f>IFERROR(IF([1]K_Summary!$N$1103 = "", "", [1]K_Summary!$N$1103 ),"")</f>
        <v/>
      </c>
    </row>
    <row r="1119" spans="3:14">
      <c r="C1119" s="485"/>
      <c r="D1119" s="776"/>
      <c r="E1119" s="809"/>
      <c r="F1119" s="809"/>
      <c r="G1119" s="777"/>
      <c r="H1119" s="813"/>
      <c r="I1119" s="813"/>
      <c r="J1119" s="813"/>
      <c r="K1119" s="813"/>
      <c r="L1119" s="813"/>
      <c r="M1119" s="813"/>
      <c r="N1119" s="814"/>
    </row>
    <row r="1120" spans="3:14">
      <c r="C1120" s="485"/>
      <c r="D1120" s="776"/>
      <c r="E1120" s="2471" t="s">
        <v>1079</v>
      </c>
      <c r="F1120" s="2472"/>
      <c r="G1120" s="811" t="s">
        <v>2017</v>
      </c>
      <c r="H1120" s="127" t="str">
        <f>IFERROR(IF([1]K_Summary!$H$1105 = "", "", [1]K_Summary!$H$1105 ),"")</f>
        <v/>
      </c>
      <c r="I1120" s="229" t="str">
        <f>IFERROR(IF([1]K_Summary!$I$1105 = "", "", [1]K_Summary!$I$1105 ),"")</f>
        <v/>
      </c>
      <c r="J1120" s="230" t="str">
        <f>IFERROR(IF([1]K_Summary!$J$1105 = "", "", [1]K_Summary!$J$1105 ),"")</f>
        <v/>
      </c>
      <c r="K1120" s="127" t="str">
        <f>IFERROR(IF([1]K_Summary!$K$1105 = "", "", [1]K_Summary!$K$1105 ),"")</f>
        <v/>
      </c>
      <c r="L1120" s="127" t="str">
        <f>IFERROR(IF([1]K_Summary!$L$1105 = "", "", [1]K_Summary!$L$1105 ),"")</f>
        <v/>
      </c>
      <c r="M1120" s="127" t="str">
        <f>IFERROR(IF([1]K_Summary!$M$1105 = "", "", [1]K_Summary!$M$1105 ),"")</f>
        <v/>
      </c>
      <c r="N1120" s="231" t="str">
        <f>IFERROR(IF([1]K_Summary!$N$1105 = "", "", [1]K_Summary!$N$1105 ),"")</f>
        <v/>
      </c>
    </row>
    <row r="1121" spans="3:14">
      <c r="C1121" s="485"/>
      <c r="D1121" s="776"/>
      <c r="E1121" s="2473" t="s">
        <v>1104</v>
      </c>
      <c r="F1121" s="2474"/>
      <c r="G1121" s="812" t="s">
        <v>2018</v>
      </c>
      <c r="H1121" s="128" t="str">
        <f>IFERROR(IF([1]K_Summary!$H$1106 = "", "", [1]K_Summary!$H$1106 ),"")</f>
        <v/>
      </c>
      <c r="I1121" s="232" t="str">
        <f>IFERROR(IF([1]K_Summary!$I$1106 = "", "", [1]K_Summary!$I$1106 ),"")</f>
        <v/>
      </c>
      <c r="J1121" s="233" t="str">
        <f>IFERROR(IF([1]K_Summary!$J$1106 = "", "", [1]K_Summary!$J$1106 ),"")</f>
        <v/>
      </c>
      <c r="K1121" s="128" t="str">
        <f>IFERROR(IF([1]K_Summary!$K$1106 = "", "", [1]K_Summary!$K$1106 ),"")</f>
        <v/>
      </c>
      <c r="L1121" s="128" t="str">
        <f>IFERROR(IF([1]K_Summary!$L$1106 = "", "", [1]K_Summary!$L$1106 ),"")</f>
        <v/>
      </c>
      <c r="M1121" s="128" t="str">
        <f>IFERROR(IF([1]K_Summary!$M$1106 = "", "", [1]K_Summary!$M$1106 ),"")</f>
        <v/>
      </c>
      <c r="N1121" s="234" t="str">
        <f>IFERROR(IF([1]K_Summary!$N$1106 = "", "", [1]K_Summary!$N$1106 ),"")</f>
        <v/>
      </c>
    </row>
    <row r="1122" spans="3:14">
      <c r="C1122" s="485"/>
      <c r="D1122" s="776"/>
      <c r="E1122" s="809"/>
      <c r="F1122" s="809"/>
      <c r="G1122" s="777"/>
      <c r="H1122" s="813"/>
      <c r="I1122" s="813"/>
      <c r="J1122" s="813"/>
      <c r="K1122" s="813"/>
      <c r="L1122" s="813"/>
      <c r="M1122" s="813"/>
      <c r="N1122" s="814"/>
    </row>
    <row r="1123" spans="3:14">
      <c r="C1123" s="485"/>
      <c r="D1123" s="776"/>
      <c r="E1123" s="2471" t="s">
        <v>1141</v>
      </c>
      <c r="F1123" s="2472"/>
      <c r="G1123" s="811" t="s">
        <v>2017</v>
      </c>
      <c r="H1123" s="127" t="str">
        <f>IFERROR(IF([1]K_Summary!$H$1108 = "", "", [1]K_Summary!$H$1108 ),"")</f>
        <v/>
      </c>
      <c r="I1123" s="229" t="str">
        <f>IFERROR(IF([1]K_Summary!$I$1108 = "", "", [1]K_Summary!$I$1108 ),"")</f>
        <v/>
      </c>
      <c r="J1123" s="230" t="str">
        <f>IFERROR(IF([1]K_Summary!$J$1108 = "", "", [1]K_Summary!$J$1108 ),"")</f>
        <v/>
      </c>
      <c r="K1123" s="127" t="str">
        <f>IFERROR(IF([1]K_Summary!$K$1108 = "", "", [1]K_Summary!$K$1108 ),"")</f>
        <v/>
      </c>
      <c r="L1123" s="127" t="str">
        <f>IFERROR(IF([1]K_Summary!$L$1108 = "", "", [1]K_Summary!$L$1108 ),"")</f>
        <v/>
      </c>
      <c r="M1123" s="127" t="str">
        <f>IFERROR(IF([1]K_Summary!$M$1108 = "", "", [1]K_Summary!$M$1108 ),"")</f>
        <v/>
      </c>
      <c r="N1123" s="231" t="str">
        <f>IFERROR(IF([1]K_Summary!$N$1108 = "", "", [1]K_Summary!$N$1108 ),"")</f>
        <v/>
      </c>
    </row>
    <row r="1124" spans="3:14" ht="13.15" customHeight="1">
      <c r="C1124" s="485"/>
      <c r="D1124" s="776"/>
      <c r="E1124" s="2473" t="s">
        <v>1258</v>
      </c>
      <c r="F1124" s="2474"/>
      <c r="G1124" s="812" t="s">
        <v>2018</v>
      </c>
      <c r="H1124" s="128" t="str">
        <f>IFERROR(IF([1]K_Summary!$H$1109 = "", "", [1]K_Summary!$H$1109 ),"")</f>
        <v/>
      </c>
      <c r="I1124" s="232" t="str">
        <f>IFERROR(IF([1]K_Summary!$I$1109 = "", "", [1]K_Summary!$I$1109 ),"")</f>
        <v/>
      </c>
      <c r="J1124" s="233" t="str">
        <f>IFERROR(IF([1]K_Summary!$J$1109 = "", "", [1]K_Summary!$J$1109 ),"")</f>
        <v/>
      </c>
      <c r="K1124" s="128" t="str">
        <f>IFERROR(IF([1]K_Summary!$K$1109 = "", "", [1]K_Summary!$K$1109 ),"")</f>
        <v/>
      </c>
      <c r="L1124" s="128" t="str">
        <f>IFERROR(IF([1]K_Summary!$L$1109 = "", "", [1]K_Summary!$L$1109 ),"")</f>
        <v/>
      </c>
      <c r="M1124" s="128" t="str">
        <f>IFERROR(IF([1]K_Summary!$M$1109 = "", "", [1]K_Summary!$M$1109 ),"")</f>
        <v/>
      </c>
      <c r="N1124" s="234" t="str">
        <f>IFERROR(IF([1]K_Summary!$N$1109 = "", "", [1]K_Summary!$N$1109 ),"")</f>
        <v/>
      </c>
    </row>
    <row r="1125" spans="3:14">
      <c r="C1125" s="485"/>
      <c r="D1125" s="776"/>
      <c r="E1125" s="2471" t="s">
        <v>1309</v>
      </c>
      <c r="F1125" s="2472"/>
      <c r="G1125" s="811" t="s">
        <v>2017</v>
      </c>
      <c r="H1125" s="127" t="str">
        <f>IFERROR(IF([1]K_Summary!$H$1110 = "", "", [1]K_Summary!$H$1110 ),"")</f>
        <v/>
      </c>
      <c r="I1125" s="229" t="str">
        <f>IFERROR(IF([1]K_Summary!$I$1110 = "", "", [1]K_Summary!$I$1110 ),"")</f>
        <v/>
      </c>
      <c r="J1125" s="230" t="str">
        <f>IFERROR(IF([1]K_Summary!$J$1110 = "", "", [1]K_Summary!$J$1110 ),"")</f>
        <v/>
      </c>
      <c r="K1125" s="127" t="str">
        <f>IFERROR(IF([1]K_Summary!$K$1110 = "", "", [1]K_Summary!$K$1110 ),"")</f>
        <v/>
      </c>
      <c r="L1125" s="127" t="str">
        <f>IFERROR(IF([1]K_Summary!$L$1110 = "", "", [1]K_Summary!$L$1110 ),"")</f>
        <v/>
      </c>
      <c r="M1125" s="127" t="str">
        <f>IFERROR(IF([1]K_Summary!$M$1110 = "", "", [1]K_Summary!$M$1110 ),"")</f>
        <v/>
      </c>
      <c r="N1125" s="231" t="str">
        <f>IFERROR(IF([1]K_Summary!$N$1110 = "", "", [1]K_Summary!$N$1110 ),"")</f>
        <v/>
      </c>
    </row>
    <row r="1126" spans="3:14" ht="13.15" customHeight="1">
      <c r="C1126" s="485"/>
      <c r="D1126" s="776"/>
      <c r="E1126" s="2473" t="s">
        <v>1307</v>
      </c>
      <c r="F1126" s="2474"/>
      <c r="G1126" s="812" t="s">
        <v>2018</v>
      </c>
      <c r="H1126" s="128" t="str">
        <f>IFERROR(IF([1]K_Summary!$H$1111 = "", "", [1]K_Summary!$H$1111 ),"")</f>
        <v/>
      </c>
      <c r="I1126" s="232" t="str">
        <f>IFERROR(IF([1]K_Summary!$I$1111 = "", "", [1]K_Summary!$I$1111 ),"")</f>
        <v/>
      </c>
      <c r="J1126" s="233" t="str">
        <f>IFERROR(IF([1]K_Summary!$J$1111 = "", "", [1]K_Summary!$J$1111 ),"")</f>
        <v/>
      </c>
      <c r="K1126" s="128" t="str">
        <f>IFERROR(IF([1]K_Summary!$K$1111 = "", "", [1]K_Summary!$K$1111 ),"")</f>
        <v/>
      </c>
      <c r="L1126" s="128" t="str">
        <f>IFERROR(IF([1]K_Summary!$L$1111 = "", "", [1]K_Summary!$L$1111 ),"")</f>
        <v/>
      </c>
      <c r="M1126" s="128" t="str">
        <f>IFERROR(IF([1]K_Summary!$M$1111 = "", "", [1]K_Summary!$M$1111 ),"")</f>
        <v/>
      </c>
      <c r="N1126" s="234" t="str">
        <f>IFERROR(IF([1]K_Summary!$N$1111 = "", "", [1]K_Summary!$N$1111 ),"")</f>
        <v/>
      </c>
    </row>
    <row r="1127" spans="3:14">
      <c r="C1127" s="485"/>
      <c r="D1127" s="776"/>
      <c r="E1127" s="2471" t="s">
        <v>1288</v>
      </c>
      <c r="F1127" s="2472"/>
      <c r="G1127" s="811" t="s">
        <v>2017</v>
      </c>
      <c r="H1127" s="127" t="str">
        <f>IFERROR(IF([1]K_Summary!$H$1112 = "", "", [1]K_Summary!$H$1112 ),"")</f>
        <v/>
      </c>
      <c r="I1127" s="229" t="str">
        <f>IFERROR(IF([1]K_Summary!$I$1112 = "", "", [1]K_Summary!$I$1112 ),"")</f>
        <v/>
      </c>
      <c r="J1127" s="230" t="str">
        <f>IFERROR(IF([1]K_Summary!$J$1112 = "", "", [1]K_Summary!$J$1112 ),"")</f>
        <v/>
      </c>
      <c r="K1127" s="127" t="str">
        <f>IFERROR(IF([1]K_Summary!$K$1112 = "", "", [1]K_Summary!$K$1112 ),"")</f>
        <v/>
      </c>
      <c r="L1127" s="127" t="str">
        <f>IFERROR(IF([1]K_Summary!$L$1112 = "", "", [1]K_Summary!$L$1112 ),"")</f>
        <v/>
      </c>
      <c r="M1127" s="127" t="str">
        <f>IFERROR(IF([1]K_Summary!$M$1112 = "", "", [1]K_Summary!$M$1112 ),"")</f>
        <v/>
      </c>
      <c r="N1127" s="231" t="str">
        <f>IFERROR(IF([1]K_Summary!$N$1112 = "", "", [1]K_Summary!$N$1112 ),"")</f>
        <v/>
      </c>
    </row>
    <row r="1128" spans="3:14">
      <c r="C1128" s="485"/>
      <c r="D1128" s="776"/>
      <c r="E1128" s="2473" t="s">
        <v>1308</v>
      </c>
      <c r="F1128" s="2474"/>
      <c r="G1128" s="812" t="s">
        <v>2018</v>
      </c>
      <c r="H1128" s="128" t="str">
        <f>IFERROR(IF([1]K_Summary!$H$1113 = "", "", [1]K_Summary!$H$1113 ),"")</f>
        <v/>
      </c>
      <c r="I1128" s="232" t="str">
        <f>IFERROR(IF([1]K_Summary!$I$1113 = "", "", [1]K_Summary!$I$1113 ),"")</f>
        <v/>
      </c>
      <c r="J1128" s="233" t="str">
        <f>IFERROR(IF([1]K_Summary!$J$1113 = "", "", [1]K_Summary!$J$1113 ),"")</f>
        <v/>
      </c>
      <c r="K1128" s="128" t="str">
        <f>IFERROR(IF([1]K_Summary!$K$1113 = "", "", [1]K_Summary!$K$1113 ),"")</f>
        <v/>
      </c>
      <c r="L1128" s="128" t="str">
        <f>IFERROR(IF([1]K_Summary!$L$1113 = "", "", [1]K_Summary!$L$1113 ),"")</f>
        <v/>
      </c>
      <c r="M1128" s="128" t="str">
        <f>IFERROR(IF([1]K_Summary!$M$1113 = "", "", [1]K_Summary!$M$1113 ),"")</f>
        <v/>
      </c>
      <c r="N1128" s="234" t="str">
        <f>IFERROR(IF([1]K_Summary!$N$1113 = "", "", [1]K_Summary!$N$1113 ),"")</f>
        <v/>
      </c>
    </row>
    <row r="1129" spans="3:14">
      <c r="C1129" s="485"/>
      <c r="D1129" s="776"/>
      <c r="E1129" s="2471" t="s">
        <v>1102</v>
      </c>
      <c r="F1129" s="2472"/>
      <c r="G1129" s="811" t="s">
        <v>2017</v>
      </c>
      <c r="H1129" s="127" t="str">
        <f>IFERROR(IF([1]K_Summary!$H$1114 = "", "", [1]K_Summary!$H$1114 ),"")</f>
        <v/>
      </c>
      <c r="I1129" s="229" t="str">
        <f>IFERROR(IF([1]K_Summary!$I$1114 = "", "", [1]K_Summary!$I$1114 ),"")</f>
        <v/>
      </c>
      <c r="J1129" s="230" t="str">
        <f>IFERROR(IF([1]K_Summary!$J$1114 = "", "", [1]K_Summary!$J$1114 ),"")</f>
        <v/>
      </c>
      <c r="K1129" s="127" t="str">
        <f>IFERROR(IF([1]K_Summary!$K$1114 = "", "", [1]K_Summary!$K$1114 ),"")</f>
        <v/>
      </c>
      <c r="L1129" s="127" t="str">
        <f>IFERROR(IF([1]K_Summary!$L$1114 = "", "", [1]K_Summary!$L$1114 ),"")</f>
        <v/>
      </c>
      <c r="M1129" s="127" t="str">
        <f>IFERROR(IF([1]K_Summary!$M$1114 = "", "", [1]K_Summary!$M$1114 ),"")</f>
        <v/>
      </c>
      <c r="N1129" s="231" t="str">
        <f>IFERROR(IF([1]K_Summary!$N$1114 = "", "", [1]K_Summary!$N$1114 ),"")</f>
        <v/>
      </c>
    </row>
    <row r="1130" spans="3:14">
      <c r="C1130" s="485"/>
      <c r="D1130" s="776"/>
      <c r="E1130" s="816" t="s">
        <v>1275</v>
      </c>
      <c r="F1130" s="816"/>
      <c r="G1130" s="812" t="s">
        <v>2018</v>
      </c>
      <c r="H1130" s="128" t="str">
        <f>IFERROR(IF([1]K_Summary!$H$1115 = "", "", [1]K_Summary!$H$1115 ),"")</f>
        <v/>
      </c>
      <c r="I1130" s="232" t="str">
        <f>IFERROR(IF([1]K_Summary!$I$1115 = "", "", [1]K_Summary!$I$1115 ),"")</f>
        <v/>
      </c>
      <c r="J1130" s="233" t="str">
        <f>IFERROR(IF([1]K_Summary!$J$1115 = "", "", [1]K_Summary!$J$1115 ),"")</f>
        <v/>
      </c>
      <c r="K1130" s="128" t="str">
        <f>IFERROR(IF([1]K_Summary!$K$1115 = "", "", [1]K_Summary!$K$1115 ),"")</f>
        <v/>
      </c>
      <c r="L1130" s="128" t="str">
        <f>IFERROR(IF([1]K_Summary!$L$1115 = "", "", [1]K_Summary!$L$1115 ),"")</f>
        <v/>
      </c>
      <c r="M1130" s="128" t="str">
        <f>IFERROR(IF([1]K_Summary!$M$1115 = "", "", [1]K_Summary!$M$1115 ),"")</f>
        <v/>
      </c>
      <c r="N1130" s="234" t="str">
        <f>IFERROR(IF([1]K_Summary!$N$1115 = "", "", [1]K_Summary!$N$1115 ),"")</f>
        <v/>
      </c>
    </row>
    <row r="1131" spans="3:14">
      <c r="C1131" s="485"/>
      <c r="D1131" s="776"/>
      <c r="E1131" s="2471" t="s">
        <v>1080</v>
      </c>
      <c r="F1131" s="2472"/>
      <c r="G1131" s="811" t="s">
        <v>2017</v>
      </c>
      <c r="H1131" s="127" t="str">
        <f>IFERROR(IF([1]K_Summary!$H$1116 = "", "", [1]K_Summary!$H$1116 ),"")</f>
        <v/>
      </c>
      <c r="I1131" s="229" t="str">
        <f>IFERROR(IF([1]K_Summary!$I$1116 = "", "", [1]K_Summary!$I$1116 ),"")</f>
        <v/>
      </c>
      <c r="J1131" s="230" t="str">
        <f>IFERROR(IF([1]K_Summary!$J$1116 = "", "", [1]K_Summary!$J$1116 ),"")</f>
        <v/>
      </c>
      <c r="K1131" s="127" t="str">
        <f>IFERROR(IF([1]K_Summary!$K$1116 = "", "", [1]K_Summary!$K$1116 ),"")</f>
        <v/>
      </c>
      <c r="L1131" s="127" t="str">
        <f>IFERROR(IF([1]K_Summary!$L$1116 = "", "", [1]K_Summary!$L$1116 ),"")</f>
        <v/>
      </c>
      <c r="M1131" s="127" t="str">
        <f>IFERROR(IF([1]K_Summary!$M$1116 = "", "", [1]K_Summary!$M$1116 ),"")</f>
        <v/>
      </c>
      <c r="N1131" s="231" t="str">
        <f>IFERROR(IF([1]K_Summary!$N$1116 = "", "", [1]K_Summary!$N$1116 ),"")</f>
        <v/>
      </c>
    </row>
    <row r="1132" spans="3:14">
      <c r="C1132" s="485"/>
      <c r="D1132" s="776"/>
      <c r="E1132" s="2473" t="s">
        <v>1276</v>
      </c>
      <c r="F1132" s="2474"/>
      <c r="G1132" s="812" t="s">
        <v>2018</v>
      </c>
      <c r="H1132" s="128" t="str">
        <f>IFERROR(IF([1]K_Summary!$H$1117 = "", "", [1]K_Summary!$H$1117 ),"")</f>
        <v/>
      </c>
      <c r="I1132" s="232" t="str">
        <f>IFERROR(IF([1]K_Summary!$I$1117 = "", "", [1]K_Summary!$I$1117 ),"")</f>
        <v/>
      </c>
      <c r="J1132" s="233" t="str">
        <f>IFERROR(IF([1]K_Summary!$J$1117 = "", "", [1]K_Summary!$J$1117 ),"")</f>
        <v/>
      </c>
      <c r="K1132" s="128" t="str">
        <f>IFERROR(IF([1]K_Summary!$K$1117 = "", "", [1]K_Summary!$K$1117 ),"")</f>
        <v/>
      </c>
      <c r="L1132" s="128" t="str">
        <f>IFERROR(IF([1]K_Summary!$L$1117 = "", "", [1]K_Summary!$L$1117 ),"")</f>
        <v/>
      </c>
      <c r="M1132" s="128" t="str">
        <f>IFERROR(IF([1]K_Summary!$M$1117 = "", "", [1]K_Summary!$M$1117 ),"")</f>
        <v/>
      </c>
      <c r="N1132" s="234" t="str">
        <f>IFERROR(IF([1]K_Summary!$N$1117 = "", "", [1]K_Summary!$N$1117 ),"")</f>
        <v/>
      </c>
    </row>
    <row r="1133" spans="3:14">
      <c r="C1133" s="485"/>
      <c r="D1133" s="776"/>
      <c r="E1133" s="809"/>
      <c r="F1133" s="809"/>
      <c r="G1133" s="777"/>
      <c r="H1133" s="813"/>
      <c r="I1133" s="813"/>
      <c r="J1133" s="813"/>
      <c r="K1133" s="813"/>
      <c r="L1133" s="813"/>
      <c r="M1133" s="813"/>
      <c r="N1133" s="814"/>
    </row>
    <row r="1134" spans="3:14">
      <c r="C1134" s="485"/>
      <c r="D1134" s="776"/>
      <c r="E1134" s="2475" t="s">
        <v>914</v>
      </c>
      <c r="F1134" s="2410"/>
      <c r="G1134" s="815" t="s">
        <v>2021</v>
      </c>
      <c r="H1134" s="126" t="str">
        <f>IFERROR(IF([1]K_Summary!$H$1119 = "", "", [1]K_Summary!$H$1119 ),"")</f>
        <v/>
      </c>
      <c r="I1134" s="235" t="str">
        <f>IFERROR(IF([1]K_Summary!$I$1119 = "", "", [1]K_Summary!$I$1119 ),"")</f>
        <v/>
      </c>
      <c r="J1134" s="236" t="str">
        <f>IFERROR(IF([1]K_Summary!$J$1119 = "", "", [1]K_Summary!$J$1119 ),"")</f>
        <v/>
      </c>
      <c r="K1134" s="126" t="str">
        <f>IFERROR(IF([1]K_Summary!$K$1119 = "", "", [1]K_Summary!$K$1119 ),"")</f>
        <v/>
      </c>
      <c r="L1134" s="126" t="str">
        <f>IFERROR(IF([1]K_Summary!$L$1119 = "", "", [1]K_Summary!$L$1119 ),"")</f>
        <v/>
      </c>
      <c r="M1134" s="126" t="str">
        <f>IFERROR(IF([1]K_Summary!$M$1119 = "", "", [1]K_Summary!$M$1119 ),"")</f>
        <v/>
      </c>
      <c r="N1134" s="237" t="str">
        <f>IFERROR(IF([1]K_Summary!$N$1119 = "", "", [1]K_Summary!$N$1119 ),"")</f>
        <v/>
      </c>
    </row>
    <row r="1135" spans="3:14">
      <c r="C1135" s="485"/>
      <c r="D1135" s="776"/>
      <c r="E1135" s="2475" t="s">
        <v>1354</v>
      </c>
      <c r="F1135" s="2410"/>
      <c r="G1135" s="815" t="s">
        <v>2021</v>
      </c>
      <c r="H1135" s="126" t="str">
        <f>IFERROR(IF([1]K_Summary!$H$1120 = "", "", [1]K_Summary!$H$1120 ),"")</f>
        <v/>
      </c>
      <c r="I1135" s="235" t="str">
        <f>IFERROR(IF([1]K_Summary!$I$1120 = "", "", [1]K_Summary!$I$1120 ),"")</f>
        <v/>
      </c>
      <c r="J1135" s="236" t="str">
        <f>IFERROR(IF([1]K_Summary!$J$1120 = "", "", [1]K_Summary!$J$1120 ),"")</f>
        <v/>
      </c>
      <c r="K1135" s="126" t="str">
        <f>IFERROR(IF([1]K_Summary!$K$1120 = "", "", [1]K_Summary!$K$1120 ),"")</f>
        <v/>
      </c>
      <c r="L1135" s="126" t="str">
        <f>IFERROR(IF([1]K_Summary!$L$1120 = "", "", [1]K_Summary!$L$1120 ),"")</f>
        <v/>
      </c>
      <c r="M1135" s="126" t="str">
        <f>IFERROR(IF([1]K_Summary!$M$1120 = "", "", [1]K_Summary!$M$1120 ),"")</f>
        <v/>
      </c>
      <c r="N1135" s="237" t="str">
        <f>IFERROR(IF([1]K_Summary!$N$1120 = "", "", [1]K_Summary!$N$1120 ),"")</f>
        <v/>
      </c>
    </row>
    <row r="1136" spans="3:14">
      <c r="C1136" s="485"/>
      <c r="D1136" s="776"/>
      <c r="E1136" s="809"/>
      <c r="F1136" s="809"/>
      <c r="G1136" s="777"/>
      <c r="H1136" s="813"/>
      <c r="I1136" s="813"/>
      <c r="J1136" s="813"/>
      <c r="K1136" s="813"/>
      <c r="L1136" s="813"/>
      <c r="M1136" s="813"/>
      <c r="N1136" s="814"/>
    </row>
    <row r="1137" spans="3:14">
      <c r="C1137" s="485"/>
      <c r="D1137" s="776"/>
      <c r="E1137" s="2475" t="s">
        <v>1157</v>
      </c>
      <c r="F1137" s="2410"/>
      <c r="G1137" s="815" t="s">
        <v>1020</v>
      </c>
      <c r="H1137" s="126" t="str">
        <f>IFERROR(IF([1]K_Summary!$H$1122 = "", "", [1]K_Summary!$H$1122 ),"")</f>
        <v/>
      </c>
      <c r="I1137" s="235" t="str">
        <f>IFERROR(IF([1]K_Summary!$I$1122 = "", "", [1]K_Summary!$I$1122 ),"")</f>
        <v/>
      </c>
      <c r="J1137" s="236" t="str">
        <f>IFERROR(IF([1]K_Summary!$J$1122 = "", "", [1]K_Summary!$J$1122 ),"")</f>
        <v/>
      </c>
      <c r="K1137" s="126" t="str">
        <f>IFERROR(IF([1]K_Summary!$K$1122 = "", "", [1]K_Summary!$K$1122 ),"")</f>
        <v/>
      </c>
      <c r="L1137" s="126" t="str">
        <f>IFERROR(IF([1]K_Summary!$L$1122 = "", "", [1]K_Summary!$L$1122 ),"")</f>
        <v/>
      </c>
      <c r="M1137" s="126" t="str">
        <f>IFERROR(IF([1]K_Summary!$M$1122 = "", "", [1]K_Summary!$M$1122 ),"")</f>
        <v/>
      </c>
      <c r="N1137" s="237" t="str">
        <f>IFERROR(IF([1]K_Summary!$N$1122 = "", "", [1]K_Summary!$N$1122 ),"")</f>
        <v/>
      </c>
    </row>
    <row r="1138" spans="3:14">
      <c r="C1138" s="485"/>
      <c r="D1138" s="776"/>
      <c r="E1138" s="809"/>
      <c r="F1138" s="809"/>
      <c r="G1138" s="777"/>
      <c r="H1138" s="813"/>
      <c r="I1138" s="813"/>
      <c r="J1138" s="813"/>
      <c r="K1138" s="813"/>
      <c r="L1138" s="813"/>
      <c r="M1138" s="813"/>
      <c r="N1138" s="814"/>
    </row>
    <row r="1139" spans="3:14">
      <c r="C1139" s="485"/>
      <c r="D1139" s="776"/>
      <c r="E1139" s="2492" t="s">
        <v>1440</v>
      </c>
      <c r="F1139" s="2493"/>
      <c r="G1139" s="777"/>
      <c r="H1139" s="813"/>
      <c r="I1139" s="813"/>
      <c r="J1139" s="813"/>
      <c r="K1139" s="813"/>
      <c r="L1139" s="813"/>
      <c r="M1139" s="813"/>
      <c r="N1139" s="814"/>
    </row>
    <row r="1140" spans="3:14">
      <c r="C1140" s="485"/>
      <c r="D1140" s="776"/>
      <c r="E1140" s="2487" t="str">
        <f>IFERROR(IF([1]K_Summary!$E$1125 = "", "", [1]K_Summary!$E$1125 ),"")</f>
        <v/>
      </c>
      <c r="F1140" s="2488"/>
      <c r="G1140" s="815" t="s">
        <v>1020</v>
      </c>
      <c r="H1140" s="126" t="str">
        <f>IFERROR(IF([1]K_Summary!$H$1125 = "", "", [1]K_Summary!$H$1125 ),"")</f>
        <v/>
      </c>
      <c r="I1140" s="235" t="str">
        <f>IFERROR(IF([1]K_Summary!$I$1125 = "", "", [1]K_Summary!$I$1125 ),"")</f>
        <v/>
      </c>
      <c r="J1140" s="236" t="str">
        <f>IFERROR(IF([1]K_Summary!$J$1125 = "", "", [1]K_Summary!$J$1125 ),"")</f>
        <v/>
      </c>
      <c r="K1140" s="126" t="str">
        <f>IFERROR(IF([1]K_Summary!$K$1125 = "", "", [1]K_Summary!$K$1125 ),"")</f>
        <v/>
      </c>
      <c r="L1140" s="126" t="str">
        <f>IFERROR(IF([1]K_Summary!$L$1125 = "", "", [1]K_Summary!$L$1125 ),"")</f>
        <v/>
      </c>
      <c r="M1140" s="126" t="str">
        <f>IFERROR(IF([1]K_Summary!$M$1125 = "", "", [1]K_Summary!$M$1125 ),"")</f>
        <v/>
      </c>
      <c r="N1140" s="237" t="str">
        <f>IFERROR(IF([1]K_Summary!$N$1125 = "", "", [1]K_Summary!$N$1125 ),"")</f>
        <v/>
      </c>
    </row>
    <row r="1141" spans="3:14">
      <c r="C1141" s="485"/>
      <c r="D1141" s="776"/>
      <c r="E1141" s="2487" t="str">
        <f>IFERROR(IF([1]K_Summary!$E$1126 = "", "", [1]K_Summary!$E$1126 ),"")</f>
        <v/>
      </c>
      <c r="F1141" s="2488"/>
      <c r="G1141" s="815" t="s">
        <v>1020</v>
      </c>
      <c r="H1141" s="126" t="str">
        <f>IFERROR(IF([1]K_Summary!$H$1126 = "", "", [1]K_Summary!$H$1126 ),"")</f>
        <v/>
      </c>
      <c r="I1141" s="235" t="str">
        <f>IFERROR(IF([1]K_Summary!$I$1126 = "", "", [1]K_Summary!$I$1126 ),"")</f>
        <v/>
      </c>
      <c r="J1141" s="236" t="str">
        <f>IFERROR(IF([1]K_Summary!$J$1126 = "", "", [1]K_Summary!$J$1126 ),"")</f>
        <v/>
      </c>
      <c r="K1141" s="126" t="str">
        <f>IFERROR(IF([1]K_Summary!$K$1126 = "", "", [1]K_Summary!$K$1126 ),"")</f>
        <v/>
      </c>
      <c r="L1141" s="126" t="str">
        <f>IFERROR(IF([1]K_Summary!$L$1126 = "", "", [1]K_Summary!$L$1126 ),"")</f>
        <v/>
      </c>
      <c r="M1141" s="126" t="str">
        <f>IFERROR(IF([1]K_Summary!$M$1126 = "", "", [1]K_Summary!$M$1126 ),"")</f>
        <v/>
      </c>
      <c r="N1141" s="237" t="str">
        <f>IFERROR(IF([1]K_Summary!$N$1126 = "", "", [1]K_Summary!$N$1126 ),"")</f>
        <v/>
      </c>
    </row>
    <row r="1142" spans="3:14">
      <c r="C1142" s="485"/>
      <c r="D1142" s="776"/>
      <c r="E1142" s="2475" t="s">
        <v>1441</v>
      </c>
      <c r="F1142" s="2410"/>
      <c r="G1142" s="777"/>
      <c r="H1142" s="813"/>
      <c r="I1142" s="813"/>
      <c r="J1142" s="813"/>
      <c r="K1142" s="813"/>
      <c r="L1142" s="813"/>
      <c r="M1142" s="813"/>
      <c r="N1142" s="814"/>
    </row>
    <row r="1143" spans="3:14">
      <c r="C1143" s="485"/>
      <c r="D1143" s="776"/>
      <c r="E1143" s="2487" t="str">
        <f>IFERROR(IF([1]K_Summary!$E$1128 = "", "", [1]K_Summary!$E$1128 ),"")</f>
        <v/>
      </c>
      <c r="F1143" s="2488"/>
      <c r="G1143" s="815" t="s">
        <v>1020</v>
      </c>
      <c r="H1143" s="126" t="str">
        <f>IFERROR(IF([1]K_Summary!$H$1128 = "", "", [1]K_Summary!$H$1128 ),"")</f>
        <v/>
      </c>
      <c r="I1143" s="235" t="str">
        <f>IFERROR(IF([1]K_Summary!$I$1128 = "", "", [1]K_Summary!$I$1128 ),"")</f>
        <v/>
      </c>
      <c r="J1143" s="236" t="str">
        <f>IFERROR(IF([1]K_Summary!$J$1128 = "", "", [1]K_Summary!$J$1128 ),"")</f>
        <v/>
      </c>
      <c r="K1143" s="126" t="str">
        <f>IFERROR(IF([1]K_Summary!$K$1128 = "", "", [1]K_Summary!$K$1128 ),"")</f>
        <v/>
      </c>
      <c r="L1143" s="126" t="str">
        <f>IFERROR(IF([1]K_Summary!$L$1128 = "", "", [1]K_Summary!$L$1128 ),"")</f>
        <v/>
      </c>
      <c r="M1143" s="126" t="str">
        <f>IFERROR(IF([1]K_Summary!$M$1128 = "", "", [1]K_Summary!$M$1128 ),"")</f>
        <v/>
      </c>
      <c r="N1143" s="237" t="str">
        <f>IFERROR(IF([1]K_Summary!$N$1128 = "", "", [1]K_Summary!$N$1128 ),"")</f>
        <v/>
      </c>
    </row>
    <row r="1144" spans="3:14">
      <c r="C1144" s="485"/>
      <c r="D1144" s="776"/>
      <c r="E1144" s="2487" t="str">
        <f>IFERROR(IF([1]K_Summary!$E$1129 = "", "", [1]K_Summary!$E$1129 ),"")</f>
        <v/>
      </c>
      <c r="F1144" s="2488"/>
      <c r="G1144" s="815" t="s">
        <v>1020</v>
      </c>
      <c r="H1144" s="126" t="str">
        <f>IFERROR(IF([1]K_Summary!$H$1129 = "", "", [1]K_Summary!$H$1129 ),"")</f>
        <v/>
      </c>
      <c r="I1144" s="235" t="str">
        <f>IFERROR(IF([1]K_Summary!$I$1129 = "", "", [1]K_Summary!$I$1129 ),"")</f>
        <v/>
      </c>
      <c r="J1144" s="236" t="str">
        <f>IFERROR(IF([1]K_Summary!$J$1129 = "", "", [1]K_Summary!$J$1129 ),"")</f>
        <v/>
      </c>
      <c r="K1144" s="126" t="str">
        <f>IFERROR(IF([1]K_Summary!$K$1129 = "", "", [1]K_Summary!$K$1129 ),"")</f>
        <v/>
      </c>
      <c r="L1144" s="126" t="str">
        <f>IFERROR(IF([1]K_Summary!$L$1129 = "", "", [1]K_Summary!$L$1129 ),"")</f>
        <v/>
      </c>
      <c r="M1144" s="126" t="str">
        <f>IFERROR(IF([1]K_Summary!$M$1129 = "", "", [1]K_Summary!$M$1129 ),"")</f>
        <v/>
      </c>
      <c r="N1144" s="237" t="str">
        <f>IFERROR(IF([1]K_Summary!$N$1129 = "", "", [1]K_Summary!$N$1129 ),"")</f>
        <v/>
      </c>
    </row>
    <row r="1145" spans="3:14" ht="13.5" thickBot="1">
      <c r="C1145" s="485"/>
      <c r="D1145" s="802"/>
      <c r="E1145" s="803"/>
      <c r="F1145" s="803"/>
      <c r="G1145" s="804"/>
      <c r="H1145" s="804"/>
      <c r="I1145" s="805"/>
      <c r="J1145" s="805"/>
      <c r="K1145" s="805"/>
      <c r="L1145" s="805"/>
      <c r="M1145" s="805"/>
      <c r="N1145" s="806"/>
    </row>
    <row r="1146" spans="3:14" ht="13.5" thickBot="1">
      <c r="C1146" s="485"/>
      <c r="D1146" s="485"/>
      <c r="E1146" s="807"/>
      <c r="F1146" s="562"/>
      <c r="G1146" s="562"/>
      <c r="H1146" s="562"/>
      <c r="I1146" s="562"/>
      <c r="J1146" s="562"/>
      <c r="K1146" s="562"/>
      <c r="L1146" s="562"/>
      <c r="M1146" s="562"/>
      <c r="N1146" s="562"/>
    </row>
    <row r="1147" spans="3:14">
      <c r="C1147" s="686"/>
      <c r="D1147" s="686"/>
      <c r="E1147" s="686"/>
      <c r="F1147" s="686"/>
      <c r="G1147" s="686"/>
      <c r="H1147" s="686"/>
      <c r="I1147" s="686"/>
      <c r="J1147" s="686"/>
      <c r="K1147" s="686"/>
      <c r="L1147" s="686"/>
      <c r="M1147" s="686"/>
      <c r="N1147" s="686"/>
    </row>
    <row r="1148" spans="3:14" ht="13.9" customHeight="1">
      <c r="C1148" s="559">
        <v>5</v>
      </c>
      <c r="D1148" s="2482" t="s">
        <v>2026</v>
      </c>
      <c r="E1148" s="2482"/>
      <c r="F1148" s="2482"/>
      <c r="G1148" s="2482"/>
      <c r="H1148" s="2483"/>
      <c r="I1148" s="2489" t="str">
        <f>IFERROR(IF([1]K_Summary!$I$1133 = "", "", [1]K_Summary!$I$1133 ),"")</f>
        <v/>
      </c>
      <c r="J1148" s="2490"/>
      <c r="K1148" s="2490"/>
      <c r="L1148" s="2490"/>
      <c r="M1148" s="2490"/>
      <c r="N1148" s="2491"/>
    </row>
    <row r="1149" spans="3:14" ht="15">
      <c r="C1149" s="559"/>
      <c r="D1149" s="559"/>
      <c r="E1149" s="559"/>
      <c r="F1149" s="559"/>
      <c r="G1149" s="559"/>
      <c r="H1149" s="559"/>
      <c r="I1149" s="559"/>
      <c r="J1149" s="559"/>
      <c r="K1149" s="559"/>
      <c r="L1149" s="559"/>
      <c r="M1149" s="559"/>
      <c r="N1149" s="559"/>
    </row>
    <row r="1150" spans="3:14" ht="15">
      <c r="C1150" s="559"/>
      <c r="D1150" s="559"/>
      <c r="E1150" s="559"/>
      <c r="F1150" s="559"/>
      <c r="G1150" s="562"/>
      <c r="H1150" s="688" t="s">
        <v>458</v>
      </c>
      <c r="I1150" s="688" t="s">
        <v>1256</v>
      </c>
      <c r="J1150" s="688" t="s">
        <v>1434</v>
      </c>
      <c r="K1150" s="688" t="s">
        <v>1684</v>
      </c>
      <c r="L1150" s="689" t="s">
        <v>156</v>
      </c>
      <c r="M1150" s="2469" t="s">
        <v>302</v>
      </c>
      <c r="N1150" s="2469"/>
    </row>
    <row r="1151" spans="3:14" ht="15">
      <c r="C1151" s="559"/>
      <c r="D1151" s="559"/>
      <c r="E1151" s="66" t="str">
        <f>IFERROR(IF([1]K_Summary!$E$1136 = "", "", [1]K_Summary!$E$1136 ),"")</f>
        <v/>
      </c>
      <c r="F1151" s="51"/>
      <c r="G1151" s="51"/>
      <c r="H1151" s="143" t="str">
        <f>IFERROR(IF([1]K_Summary!$H$1136 = "", "", [1]K_Summary!$H$1136 ),"")</f>
        <v>N.A.</v>
      </c>
      <c r="I1151" s="143" t="str">
        <f>IFERROR(IF([1]K_Summary!$I$1136 = "", "", [1]K_Summary!$I$1136 ),"")</f>
        <v/>
      </c>
      <c r="J1151" s="53" t="str">
        <f>IFERROR(IF([1]K_Summary!$J$1136 = "", "", [1]K_Summary!$J$1136 ),"")</f>
        <v>N.A.</v>
      </c>
      <c r="K1151" s="53" t="str">
        <f>IFERROR(IF([1]K_Summary!$K$1136 = "", "", [1]K_Summary!$K$1136 ),"")</f>
        <v>N.A.</v>
      </c>
      <c r="L1151" s="144" t="str">
        <f>IFERROR(IF([1]K_Summary!$L$1136 = "", "", [1]K_Summary!$L$1136 ),"")</f>
        <v>N.A.</v>
      </c>
      <c r="M1151" s="145" t="str">
        <f>IFERROR(IF([1]K_Summary!$M$1136 = "", "", [1]K_Summary!$M$1136 ),"")</f>
        <v>N.A.</v>
      </c>
      <c r="N1151" s="50" t="str">
        <f>IFERROR(IF([1]K_Summary!$N$1136 = "", "", [1]K_Summary!$N$1136 ),"")</f>
        <v>EUA/tonnes</v>
      </c>
    </row>
    <row r="1152" spans="3:14" ht="15">
      <c r="C1152" s="485"/>
      <c r="D1152" s="485"/>
      <c r="E1152" s="559"/>
      <c r="F1152" s="562"/>
      <c r="G1152" s="562"/>
      <c r="H1152" s="562"/>
      <c r="I1152" s="562"/>
      <c r="J1152" s="485"/>
      <c r="K1152" s="485"/>
      <c r="L1152" s="485"/>
      <c r="M1152" s="485"/>
      <c r="N1152" s="485"/>
    </row>
    <row r="1153" spans="1:14">
      <c r="C1153" s="485"/>
      <c r="D1153" s="485"/>
      <c r="E1153" s="496"/>
      <c r="F1153" s="482" t="s">
        <v>884</v>
      </c>
      <c r="G1153" s="695" t="s">
        <v>1646</v>
      </c>
      <c r="H1153" s="696">
        <v>2019</v>
      </c>
      <c r="I1153" s="697">
        <v>2020</v>
      </c>
      <c r="J1153" s="696">
        <v>2021</v>
      </c>
      <c r="K1153" s="578">
        <v>2022</v>
      </c>
      <c r="L1153" s="578">
        <v>2023</v>
      </c>
      <c r="M1153" s="578">
        <v>2024</v>
      </c>
      <c r="N1153" s="578">
        <v>2025</v>
      </c>
    </row>
    <row r="1154" spans="1:14">
      <c r="C1154" s="485"/>
      <c r="D1154" s="485"/>
      <c r="E1154" s="698" t="s">
        <v>1665</v>
      </c>
      <c r="F1154" s="146" t="str">
        <f>IFERROR(IF([1]K_Summary!$F$1139 = "", "", [1]K_Summary!$F$1139 ),"")</f>
        <v>tonnes</v>
      </c>
      <c r="G1154" s="147" t="str">
        <f>IFERROR(IF([1]K_Summary!$G$1139 = "", "", [1]K_Summary!$G$1139 ),"")</f>
        <v/>
      </c>
      <c r="H1154" s="148" t="str">
        <f>IFERROR(IF([1]K_Summary!$H$1139 = "", "", [1]K_Summary!$H$1139 ),"")</f>
        <v/>
      </c>
      <c r="I1154" s="149" t="str">
        <f>IFERROR(IF([1]K_Summary!$I$1139 = "", "", [1]K_Summary!$I$1139 ),"")</f>
        <v/>
      </c>
      <c r="J1154" s="148" t="str">
        <f>IFERROR(IF([1]K_Summary!$J$1139 = "", "", [1]K_Summary!$J$1139 ),"")</f>
        <v/>
      </c>
      <c r="K1154" s="150" t="str">
        <f>IFERROR(IF([1]K_Summary!$K$1139 = "", "", [1]K_Summary!$K$1139 ),"")</f>
        <v/>
      </c>
      <c r="L1154" s="150" t="str">
        <f>IFERROR(IF([1]K_Summary!$L$1139 = "", "", [1]K_Summary!$L$1139 ),"")</f>
        <v/>
      </c>
      <c r="M1154" s="150" t="str">
        <f>IFERROR(IF([1]K_Summary!$M$1139 = "", "", [1]K_Summary!$M$1139 ),"")</f>
        <v/>
      </c>
      <c r="N1154" s="150" t="str">
        <f>IFERROR(IF([1]K_Summary!$N$1139 = "", "", [1]K_Summary!$N$1139 ),"")</f>
        <v/>
      </c>
    </row>
    <row r="1155" spans="1:14" ht="15.75" thickBot="1">
      <c r="C1155" s="559"/>
      <c r="D1155" s="559"/>
      <c r="E1155" s="559"/>
      <c r="F1155" s="559"/>
      <c r="G1155" s="559"/>
      <c r="H1155" s="559"/>
      <c r="I1155" s="559"/>
      <c r="J1155" s="559"/>
      <c r="K1155" s="559"/>
      <c r="L1155" s="559"/>
      <c r="M1155" s="559"/>
      <c r="N1155" s="559"/>
    </row>
    <row r="1156" spans="1:14" ht="15">
      <c r="C1156" s="559"/>
      <c r="D1156" s="703"/>
      <c r="E1156" s="704"/>
      <c r="F1156" s="704"/>
      <c r="G1156" s="704"/>
      <c r="H1156" s="704"/>
      <c r="I1156" s="704"/>
      <c r="J1156" s="704"/>
      <c r="K1156" s="704"/>
      <c r="L1156" s="704"/>
      <c r="M1156" s="704"/>
      <c r="N1156" s="705"/>
    </row>
    <row r="1157" spans="1:14" ht="15">
      <c r="C1157" s="559"/>
      <c r="D1157" s="706"/>
      <c r="E1157" s="707" t="s">
        <v>1787</v>
      </c>
      <c r="F1157" s="637"/>
      <c r="G1157" s="637"/>
      <c r="H1157" s="663"/>
      <c r="I1157" s="708"/>
      <c r="J1157" s="709">
        <v>2021</v>
      </c>
      <c r="K1157" s="671">
        <v>2022</v>
      </c>
      <c r="L1157" s="671">
        <v>2023</v>
      </c>
      <c r="M1157" s="671">
        <v>2024</v>
      </c>
      <c r="N1157" s="710">
        <v>2025</v>
      </c>
    </row>
    <row r="1158" spans="1:14" ht="15">
      <c r="C1158" s="559"/>
      <c r="D1158" s="706"/>
      <c r="E1158" s="711" t="s">
        <v>1783</v>
      </c>
      <c r="F1158" s="712"/>
      <c r="G1158" s="712"/>
      <c r="H1158" s="713"/>
      <c r="I1158" s="712"/>
      <c r="J1158" s="151" t="str">
        <f>IFERROR(IF([1]K_Summary!$J$1143 = "", "", [1]K_Summary!$J$1143 ),"")</f>
        <v/>
      </c>
      <c r="K1158" s="152" t="str">
        <f>IFERROR(IF([1]K_Summary!$K$1143 = "", "", [1]K_Summary!$K$1143 ),"")</f>
        <v/>
      </c>
      <c r="L1158" s="152" t="str">
        <f>IFERROR(IF([1]K_Summary!$L$1143 = "", "", [1]K_Summary!$L$1143 ),"")</f>
        <v/>
      </c>
      <c r="M1158" s="152" t="str">
        <f>IFERROR(IF([1]K_Summary!$M$1143 = "", "", [1]K_Summary!$M$1143 ),"")</f>
        <v/>
      </c>
      <c r="N1158" s="153" t="str">
        <f>IFERROR(IF([1]K_Summary!$N$1143 = "", "", [1]K_Summary!$N$1143 ),"")</f>
        <v/>
      </c>
    </row>
    <row r="1159" spans="1:14" ht="15">
      <c r="C1159" s="559"/>
      <c r="D1159" s="706"/>
      <c r="E1159" s="714" t="s">
        <v>1784</v>
      </c>
      <c r="F1159" s="715"/>
      <c r="G1159" s="715"/>
      <c r="H1159" s="716"/>
      <c r="I1159" s="715"/>
      <c r="J1159" s="154" t="str">
        <f>IFERROR(IF([1]K_Summary!$J$1144 = "", "", [1]K_Summary!$J$1144 ),"")</f>
        <v/>
      </c>
      <c r="K1159" s="155" t="str">
        <f>IFERROR(IF([1]K_Summary!$K$1144 = "", "", [1]K_Summary!$K$1144 ),"")</f>
        <v/>
      </c>
      <c r="L1159" s="155" t="str">
        <f>IFERROR(IF([1]K_Summary!$L$1144 = "", "", [1]K_Summary!$L$1144 ),"")</f>
        <v/>
      </c>
      <c r="M1159" s="155" t="str">
        <f>IFERROR(IF([1]K_Summary!$M$1144 = "", "", [1]K_Summary!$M$1144 ),"")</f>
        <v/>
      </c>
      <c r="N1159" s="156" t="str">
        <f>IFERROR(IF([1]K_Summary!$N$1144 = "", "", [1]K_Summary!$N$1144 ),"")</f>
        <v/>
      </c>
    </row>
    <row r="1160" spans="1:14" ht="15">
      <c r="C1160" s="559"/>
      <c r="D1160" s="706"/>
      <c r="E1160" s="559"/>
      <c r="F1160" s="559"/>
      <c r="G1160" s="559"/>
      <c r="H1160" s="559"/>
      <c r="I1160" s="559"/>
      <c r="J1160" s="559"/>
      <c r="K1160" s="559"/>
      <c r="L1160" s="559"/>
      <c r="M1160" s="559"/>
      <c r="N1160" s="717"/>
    </row>
    <row r="1161" spans="1:14" ht="15">
      <c r="C1161" s="559"/>
      <c r="D1161" s="706"/>
      <c r="E1161" s="496" t="s">
        <v>1762</v>
      </c>
      <c r="F1161" s="485"/>
      <c r="G1161" s="485"/>
      <c r="H1161" s="663" t="s">
        <v>884</v>
      </c>
      <c r="I1161" s="708"/>
      <c r="J1161" s="696">
        <v>2021</v>
      </c>
      <c r="K1161" s="578">
        <v>2022</v>
      </c>
      <c r="L1161" s="578">
        <v>2023</v>
      </c>
      <c r="M1161" s="578">
        <v>2024</v>
      </c>
      <c r="N1161" s="718">
        <v>2025</v>
      </c>
    </row>
    <row r="1162" spans="1:14" ht="15" hidden="1">
      <c r="A1162" s="719" t="s">
        <v>2289</v>
      </c>
      <c r="C1162" s="559"/>
      <c r="D1162" s="706"/>
      <c r="E1162" s="698" t="s">
        <v>1714</v>
      </c>
      <c r="F1162" s="698"/>
      <c r="G1162" s="698"/>
      <c r="H1162" s="63" t="str">
        <f>IFERROR(IF([1]K_Summary!$H$1147 = "", "", [1]K_Summary!$H$1147 ),"")</f>
        <v>tonnes</v>
      </c>
      <c r="I1162" s="698"/>
      <c r="J1162" s="157" t="str">
        <f>IFERROR(IF([1]K_Summary!$J$1147 = "", "", [1]K_Summary!$J$1147 ),"")</f>
        <v/>
      </c>
      <c r="K1162" s="147" t="str">
        <f>IFERROR(IF([1]K_Summary!$K$1147 = "", "", [1]K_Summary!$K$1147 ),"")</f>
        <v/>
      </c>
      <c r="L1162" s="147" t="str">
        <f>IFERROR(IF([1]K_Summary!$L$1147 = "", "", [1]K_Summary!$L$1147 ),"")</f>
        <v/>
      </c>
      <c r="M1162" s="147" t="str">
        <f>IFERROR(IF([1]K_Summary!$M$1147 = "", "", [1]K_Summary!$M$1147 ),"")</f>
        <v/>
      </c>
      <c r="N1162" s="158" t="str">
        <f>IFERROR(IF([1]K_Summary!$N$1147 = "", "", [1]K_Summary!$N$1147 ),"")</f>
        <v/>
      </c>
    </row>
    <row r="1163" spans="1:14" ht="15" hidden="1">
      <c r="A1163" s="719" t="s">
        <v>2289</v>
      </c>
      <c r="C1163" s="559"/>
      <c r="D1163" s="706"/>
      <c r="E1163" s="720" t="s">
        <v>303</v>
      </c>
      <c r="F1163" s="720"/>
      <c r="G1163" s="720"/>
      <c r="H1163" s="721" t="s">
        <v>2090</v>
      </c>
      <c r="I1163" s="722"/>
      <c r="J1163" s="159" t="str">
        <f>IFERROR(IF([1]K_Summary!$J$1148 = "", "", [1]K_Summary!$J$1148 ),"")</f>
        <v/>
      </c>
      <c r="K1163" s="160" t="str">
        <f>IFERROR(IF([1]K_Summary!$K$1148 = "", "", [1]K_Summary!$K$1148 ),"")</f>
        <v/>
      </c>
      <c r="L1163" s="160" t="str">
        <f>IFERROR(IF([1]K_Summary!$L$1148 = "", "", [1]K_Summary!$L$1148 ),"")</f>
        <v/>
      </c>
      <c r="M1163" s="160" t="str">
        <f>IFERROR(IF([1]K_Summary!$M$1148 = "", "", [1]K_Summary!$M$1148 ),"")</f>
        <v/>
      </c>
      <c r="N1163" s="161" t="str">
        <f>IFERROR(IF([1]K_Summary!$N$1148 = "", "", [1]K_Summary!$N$1148 ),"")</f>
        <v/>
      </c>
    </row>
    <row r="1164" spans="1:14" ht="15" hidden="1">
      <c r="A1164" s="719" t="s">
        <v>2289</v>
      </c>
      <c r="C1164" s="559"/>
      <c r="D1164" s="706"/>
      <c r="E1164" s="723" t="s">
        <v>1422</v>
      </c>
      <c r="F1164" s="723"/>
      <c r="G1164" s="723"/>
      <c r="H1164" s="724" t="s">
        <v>2090</v>
      </c>
      <c r="I1164" s="725"/>
      <c r="J1164" s="162" t="str">
        <f>IFERROR(IF([1]K_Summary!$J$1149 = "", "", [1]K_Summary!$J$1149 ),"")</f>
        <v/>
      </c>
      <c r="K1164" s="163" t="str">
        <f>IFERROR(IF([1]K_Summary!$K$1149 = "", "", [1]K_Summary!$K$1149 ),"")</f>
        <v/>
      </c>
      <c r="L1164" s="163" t="str">
        <f>IFERROR(IF([1]K_Summary!$L$1149 = "", "", [1]K_Summary!$L$1149 ),"")</f>
        <v/>
      </c>
      <c r="M1164" s="163" t="str">
        <f>IFERROR(IF([1]K_Summary!$M$1149 = "", "", [1]K_Summary!$M$1149 ),"")</f>
        <v/>
      </c>
      <c r="N1164" s="164" t="str">
        <f>IFERROR(IF([1]K_Summary!$N$1149 = "", "", [1]K_Summary!$N$1149 ),"")</f>
        <v/>
      </c>
    </row>
    <row r="1165" spans="1:14" ht="15" hidden="1">
      <c r="A1165" s="719" t="s">
        <v>2289</v>
      </c>
      <c r="C1165" s="559"/>
      <c r="D1165" s="706"/>
      <c r="E1165" s="723" t="s">
        <v>1390</v>
      </c>
      <c r="F1165" s="723"/>
      <c r="G1165" s="723"/>
      <c r="H1165" s="724" t="s">
        <v>2090</v>
      </c>
      <c r="I1165" s="725"/>
      <c r="J1165" s="162" t="str">
        <f>IFERROR(IF([1]K_Summary!$J$1150 = "", "", [1]K_Summary!$J$1150 ),"")</f>
        <v/>
      </c>
      <c r="K1165" s="163" t="str">
        <f>IFERROR(IF([1]K_Summary!$K$1150 = "", "", [1]K_Summary!$K$1150 ),"")</f>
        <v/>
      </c>
      <c r="L1165" s="163" t="str">
        <f>IFERROR(IF([1]K_Summary!$L$1150 = "", "", [1]K_Summary!$L$1150 ),"")</f>
        <v/>
      </c>
      <c r="M1165" s="163" t="str">
        <f>IFERROR(IF([1]K_Summary!$M$1150 = "", "", [1]K_Summary!$M$1150 ),"")</f>
        <v/>
      </c>
      <c r="N1165" s="164" t="str">
        <f>IFERROR(IF([1]K_Summary!$N$1150 = "", "", [1]K_Summary!$N$1150 ),"")</f>
        <v/>
      </c>
    </row>
    <row r="1166" spans="1:14" ht="15" hidden="1">
      <c r="A1166" s="719" t="s">
        <v>2289</v>
      </c>
      <c r="C1166" s="559"/>
      <c r="D1166" s="706"/>
      <c r="E1166" s="723" t="s">
        <v>1389</v>
      </c>
      <c r="F1166" s="723"/>
      <c r="G1166" s="723"/>
      <c r="H1166" s="726" t="s">
        <v>1021</v>
      </c>
      <c r="I1166" s="725"/>
      <c r="J1166" s="165" t="str">
        <f>IFERROR(IF([1]K_Summary!$J$1151 = "", "", [1]K_Summary!$J$1151 ),"")</f>
        <v/>
      </c>
      <c r="K1166" s="166" t="str">
        <f>IFERROR(IF([1]K_Summary!$K$1151 = "", "", [1]K_Summary!$K$1151 ),"")</f>
        <v/>
      </c>
      <c r="L1166" s="166" t="str">
        <f>IFERROR(IF([1]K_Summary!$L$1151 = "", "", [1]K_Summary!$L$1151 ),"")</f>
        <v/>
      </c>
      <c r="M1166" s="166" t="str">
        <f>IFERROR(IF([1]K_Summary!$M$1151 = "", "", [1]K_Summary!$M$1151 ),"")</f>
        <v/>
      </c>
      <c r="N1166" s="167" t="str">
        <f>IFERROR(IF([1]K_Summary!$N$1151 = "", "", [1]K_Summary!$N$1151 ),"")</f>
        <v/>
      </c>
    </row>
    <row r="1167" spans="1:14" ht="15" hidden="1">
      <c r="A1167" s="719" t="s">
        <v>2289</v>
      </c>
      <c r="C1167" s="559"/>
      <c r="D1167" s="706"/>
      <c r="E1167" s="727" t="s">
        <v>1391</v>
      </c>
      <c r="F1167" s="727"/>
      <c r="G1167" s="727"/>
      <c r="H1167" s="728" t="s">
        <v>1021</v>
      </c>
      <c r="I1167" s="729"/>
      <c r="J1167" s="168" t="str">
        <f>IFERROR(IF([1]K_Summary!$J$1152 = "", "", [1]K_Summary!$J$1152 ),"")</f>
        <v/>
      </c>
      <c r="K1167" s="169" t="str">
        <f>IFERROR(IF([1]K_Summary!$K$1152 = "", "", [1]K_Summary!$K$1152 ),"")</f>
        <v/>
      </c>
      <c r="L1167" s="169" t="str">
        <f>IFERROR(IF([1]K_Summary!$L$1152 = "", "", [1]K_Summary!$L$1152 ),"")</f>
        <v/>
      </c>
      <c r="M1167" s="169" t="str">
        <f>IFERROR(IF([1]K_Summary!$M$1152 = "", "", [1]K_Summary!$M$1152 ),"")</f>
        <v/>
      </c>
      <c r="N1167" s="170" t="str">
        <f>IFERROR(IF([1]K_Summary!$N$1152 = "", "", [1]K_Summary!$N$1152 ),"")</f>
        <v/>
      </c>
    </row>
    <row r="1168" spans="1:14" ht="15">
      <c r="C1168" s="559"/>
      <c r="D1168" s="706"/>
      <c r="E1168" s="698" t="s">
        <v>1671</v>
      </c>
      <c r="F1168" s="698"/>
      <c r="G1168" s="698"/>
      <c r="H1168" s="730" t="s">
        <v>2090</v>
      </c>
      <c r="I1168" s="731"/>
      <c r="J1168" s="148" t="str">
        <f>IFERROR(IF([1]K_Summary!$J$1153 = "", "", [1]K_Summary!$J$1153 ),"")</f>
        <v/>
      </c>
      <c r="K1168" s="150" t="str">
        <f>IFERROR(IF([1]K_Summary!$K$1153 = "", "", [1]K_Summary!$K$1153 ),"")</f>
        <v/>
      </c>
      <c r="L1168" s="150" t="str">
        <f>IFERROR(IF([1]K_Summary!$L$1153 = "", "", [1]K_Summary!$L$1153 ),"")</f>
        <v/>
      </c>
      <c r="M1168" s="150" t="str">
        <f>IFERROR(IF([1]K_Summary!$M$1153 = "", "", [1]K_Summary!$M$1153 ),"")</f>
        <v/>
      </c>
      <c r="N1168" s="171" t="str">
        <f>IFERROR(IF([1]K_Summary!$N$1153 = "", "", [1]K_Summary!$N$1153 ),"")</f>
        <v/>
      </c>
    </row>
    <row r="1169" spans="1:14" ht="15">
      <c r="C1169" s="559"/>
      <c r="D1169" s="706"/>
      <c r="E1169" s="559"/>
      <c r="F1169" s="559"/>
      <c r="G1169" s="559"/>
      <c r="H1169" s="559"/>
      <c r="I1169" s="559"/>
      <c r="J1169" s="559"/>
      <c r="K1169" s="559"/>
      <c r="L1169" s="559"/>
      <c r="M1169" s="559"/>
      <c r="N1169" s="717"/>
    </row>
    <row r="1170" spans="1:14" ht="15">
      <c r="C1170" s="559"/>
      <c r="D1170" s="706"/>
      <c r="E1170" s="707" t="s">
        <v>1752</v>
      </c>
      <c r="F1170" s="637"/>
      <c r="G1170" s="637"/>
      <c r="H1170" s="663" t="s">
        <v>884</v>
      </c>
      <c r="I1170" s="708"/>
      <c r="J1170" s="709">
        <v>2021</v>
      </c>
      <c r="K1170" s="671">
        <v>2022</v>
      </c>
      <c r="L1170" s="671">
        <v>2023</v>
      </c>
      <c r="M1170" s="671">
        <v>2024</v>
      </c>
      <c r="N1170" s="710">
        <v>2025</v>
      </c>
    </row>
    <row r="1171" spans="1:14" ht="15">
      <c r="C1171" s="559"/>
      <c r="D1171" s="706"/>
      <c r="E1171" s="720" t="s">
        <v>1691</v>
      </c>
      <c r="F1171" s="720"/>
      <c r="G1171" s="720"/>
      <c r="H1171" s="67" t="str">
        <f>IFERROR(IF([1]K_Summary!$H$1156 = "", "", [1]K_Summary!$H$1156 ),"")</f>
        <v>tonnes</v>
      </c>
      <c r="I1171" s="733"/>
      <c r="J1171" s="172" t="str">
        <f>IFERROR(IF([1]K_Summary!$J$1156 = "", "", [1]K_Summary!$J$1156 ),"")</f>
        <v/>
      </c>
      <c r="K1171" s="54" t="str">
        <f>IFERROR(IF([1]K_Summary!$K$1156 = "", "", [1]K_Summary!$K$1156 ),"")</f>
        <v/>
      </c>
      <c r="L1171" s="54" t="str">
        <f>IFERROR(IF([1]K_Summary!$L$1156 = "", "", [1]K_Summary!$L$1156 ),"")</f>
        <v/>
      </c>
      <c r="M1171" s="54" t="str">
        <f>IFERROR(IF([1]K_Summary!$M$1156 = "", "", [1]K_Summary!$M$1156 ),"")</f>
        <v/>
      </c>
      <c r="N1171" s="173" t="str">
        <f>IFERROR(IF([1]K_Summary!$N$1156 = "", "", [1]K_Summary!$N$1156 ),"")</f>
        <v/>
      </c>
    </row>
    <row r="1172" spans="1:14" ht="15">
      <c r="C1172" s="559"/>
      <c r="D1172" s="706"/>
      <c r="E1172" s="723" t="s">
        <v>1648</v>
      </c>
      <c r="F1172" s="723"/>
      <c r="G1172" s="723"/>
      <c r="H1172" s="734" t="s">
        <v>1021</v>
      </c>
      <c r="I1172" s="735"/>
      <c r="J1172" s="174" t="str">
        <f>IFERROR(IF([1]K_Summary!$J$1157 = "", "", [1]K_Summary!$J$1157 ),"")</f>
        <v/>
      </c>
      <c r="K1172" s="175" t="str">
        <f>IFERROR(IF([1]K_Summary!$K$1157 = "", "", [1]K_Summary!$K$1157 ),"")</f>
        <v/>
      </c>
      <c r="L1172" s="175" t="str">
        <f>IFERROR(IF([1]K_Summary!$L$1157 = "", "", [1]K_Summary!$L$1157 ),"")</f>
        <v/>
      </c>
      <c r="M1172" s="175" t="str">
        <f>IFERROR(IF([1]K_Summary!$M$1157 = "", "", [1]K_Summary!$M$1157 ),"")</f>
        <v/>
      </c>
      <c r="N1172" s="176" t="str">
        <f>IFERROR(IF([1]K_Summary!$N$1157 = "", "", [1]K_Summary!$N$1157 ),"")</f>
        <v/>
      </c>
    </row>
    <row r="1173" spans="1:14" ht="15">
      <c r="C1173" s="559"/>
      <c r="D1173" s="706"/>
      <c r="E1173" s="736" t="s">
        <v>1850</v>
      </c>
      <c r="F1173" s="736"/>
      <c r="G1173" s="736"/>
      <c r="H1173" s="737" t="s">
        <v>1021</v>
      </c>
      <c r="I1173" s="738"/>
      <c r="J1173" s="177" t="str">
        <f>IFERROR(IF([1]K_Summary!$J$1158 = "", "", [1]K_Summary!$J$1158 ),"")</f>
        <v/>
      </c>
      <c r="K1173" s="178" t="str">
        <f>IFERROR(IF([1]K_Summary!$K$1158 = "", "", [1]K_Summary!$K$1158 ),"")</f>
        <v/>
      </c>
      <c r="L1173" s="178" t="str">
        <f>IFERROR(IF([1]K_Summary!$L$1158 = "", "", [1]K_Summary!$L$1158 ),"")</f>
        <v/>
      </c>
      <c r="M1173" s="178" t="str">
        <f>IFERROR(IF([1]K_Summary!$M$1158 = "", "", [1]K_Summary!$M$1158 ),"")</f>
        <v/>
      </c>
      <c r="N1173" s="179" t="str">
        <f>IFERROR(IF([1]K_Summary!$N$1158 = "", "", [1]K_Summary!$N$1158 ),"")</f>
        <v/>
      </c>
    </row>
    <row r="1174" spans="1:14" ht="15">
      <c r="C1174" s="559"/>
      <c r="D1174" s="706"/>
      <c r="E1174" s="727" t="s">
        <v>1689</v>
      </c>
      <c r="F1174" s="727"/>
      <c r="G1174" s="727"/>
      <c r="H1174" s="68" t="str">
        <f>IFERROR(IF([1]K_Summary!$H$1159 = "", "", [1]K_Summary!$H$1159 ),"")</f>
        <v>tonnes</v>
      </c>
      <c r="I1174" s="727"/>
      <c r="J1174" s="180" t="str">
        <f>IFERROR(IF([1]K_Summary!$J$1159 = "", "", [1]K_Summary!$J$1159 ),"")</f>
        <v/>
      </c>
      <c r="K1174" s="181" t="str">
        <f>IFERROR(IF([1]K_Summary!$K$1159 = "", "", [1]K_Summary!$K$1159 ),"")</f>
        <v/>
      </c>
      <c r="L1174" s="181" t="str">
        <f>IFERROR(IF([1]K_Summary!$L$1159 = "", "", [1]K_Summary!$L$1159 ),"")</f>
        <v/>
      </c>
      <c r="M1174" s="181" t="str">
        <f>IFERROR(IF([1]K_Summary!$M$1159 = "", "", [1]K_Summary!$M$1159 ),"")</f>
        <v/>
      </c>
      <c r="N1174" s="182" t="str">
        <f>IFERROR(IF([1]K_Summary!$N$1159 = "", "", [1]K_Summary!$N$1159 ),"")</f>
        <v/>
      </c>
    </row>
    <row r="1175" spans="1:14" ht="15" hidden="1">
      <c r="A1175" s="719" t="s">
        <v>2289</v>
      </c>
      <c r="C1175" s="559"/>
      <c r="D1175" s="706"/>
      <c r="E1175" s="720" t="s">
        <v>303</v>
      </c>
      <c r="F1175" s="720"/>
      <c r="G1175" s="720"/>
      <c r="H1175" s="721" t="s">
        <v>2090</v>
      </c>
      <c r="I1175" s="722"/>
      <c r="J1175" s="159" t="str">
        <f>IFERROR(IF([1]K_Summary!$J$1160 = "", "", [1]K_Summary!$J$1160 ),"")</f>
        <v/>
      </c>
      <c r="K1175" s="160" t="str">
        <f>IFERROR(IF([1]K_Summary!$K$1160 = "", "", [1]K_Summary!$K$1160 ),"")</f>
        <v/>
      </c>
      <c r="L1175" s="160" t="str">
        <f>IFERROR(IF([1]K_Summary!$L$1160 = "", "", [1]K_Summary!$L$1160 ),"")</f>
        <v/>
      </c>
      <c r="M1175" s="160" t="str">
        <f>IFERROR(IF([1]K_Summary!$M$1160 = "", "", [1]K_Summary!$M$1160 ),"")</f>
        <v/>
      </c>
      <c r="N1175" s="161" t="str">
        <f>IFERROR(IF([1]K_Summary!$N$1160 = "", "", [1]K_Summary!$N$1160 ),"")</f>
        <v/>
      </c>
    </row>
    <row r="1176" spans="1:14" ht="15" hidden="1">
      <c r="A1176" s="719" t="s">
        <v>2289</v>
      </c>
      <c r="C1176" s="559"/>
      <c r="D1176" s="706"/>
      <c r="E1176" s="723" t="s">
        <v>1422</v>
      </c>
      <c r="F1176" s="723"/>
      <c r="G1176" s="723"/>
      <c r="H1176" s="724" t="s">
        <v>2090</v>
      </c>
      <c r="I1176" s="725"/>
      <c r="J1176" s="162" t="str">
        <f>IFERROR(IF([1]K_Summary!$J$1161 = "", "", [1]K_Summary!$J$1161 ),"")</f>
        <v/>
      </c>
      <c r="K1176" s="163" t="str">
        <f>IFERROR(IF([1]K_Summary!$K$1161 = "", "", [1]K_Summary!$K$1161 ),"")</f>
        <v/>
      </c>
      <c r="L1176" s="163" t="str">
        <f>IFERROR(IF([1]K_Summary!$L$1161 = "", "", [1]K_Summary!$L$1161 ),"")</f>
        <v/>
      </c>
      <c r="M1176" s="163" t="str">
        <f>IFERROR(IF([1]K_Summary!$M$1161 = "", "", [1]K_Summary!$M$1161 ),"")</f>
        <v/>
      </c>
      <c r="N1176" s="164" t="str">
        <f>IFERROR(IF([1]K_Summary!$N$1161 = "", "", [1]K_Summary!$N$1161 ),"")</f>
        <v/>
      </c>
    </row>
    <row r="1177" spans="1:14" ht="15" hidden="1">
      <c r="A1177" s="719" t="s">
        <v>2289</v>
      </c>
      <c r="C1177" s="559"/>
      <c r="D1177" s="706"/>
      <c r="E1177" s="723" t="s">
        <v>1390</v>
      </c>
      <c r="F1177" s="723"/>
      <c r="G1177" s="723"/>
      <c r="H1177" s="724" t="s">
        <v>2090</v>
      </c>
      <c r="I1177" s="725"/>
      <c r="J1177" s="162" t="str">
        <f>IFERROR(IF([1]K_Summary!$J$1162 = "", "", [1]K_Summary!$J$1162 ),"")</f>
        <v/>
      </c>
      <c r="K1177" s="163" t="str">
        <f>IFERROR(IF([1]K_Summary!$K$1162 = "", "", [1]K_Summary!$K$1162 ),"")</f>
        <v/>
      </c>
      <c r="L1177" s="163" t="str">
        <f>IFERROR(IF([1]K_Summary!$L$1162 = "", "", [1]K_Summary!$L$1162 ),"")</f>
        <v/>
      </c>
      <c r="M1177" s="163" t="str">
        <f>IFERROR(IF([1]K_Summary!$M$1162 = "", "", [1]K_Summary!$M$1162 ),"")</f>
        <v/>
      </c>
      <c r="N1177" s="164" t="str">
        <f>IFERROR(IF([1]K_Summary!$N$1162 = "", "", [1]K_Summary!$N$1162 ),"")</f>
        <v/>
      </c>
    </row>
    <row r="1178" spans="1:14" ht="15" hidden="1">
      <c r="A1178" s="719" t="s">
        <v>2289</v>
      </c>
      <c r="C1178" s="559"/>
      <c r="D1178" s="706"/>
      <c r="E1178" s="723" t="s">
        <v>1389</v>
      </c>
      <c r="F1178" s="723"/>
      <c r="G1178" s="723"/>
      <c r="H1178" s="726" t="s">
        <v>1021</v>
      </c>
      <c r="I1178" s="725"/>
      <c r="J1178" s="165" t="str">
        <f>IFERROR(IF([1]K_Summary!$J$1163 = "", "", [1]K_Summary!$J$1163 ),"")</f>
        <v/>
      </c>
      <c r="K1178" s="166" t="str">
        <f>IFERROR(IF([1]K_Summary!$K$1163 = "", "", [1]K_Summary!$K$1163 ),"")</f>
        <v/>
      </c>
      <c r="L1178" s="166" t="str">
        <f>IFERROR(IF([1]K_Summary!$L$1163 = "", "", [1]K_Summary!$L$1163 ),"")</f>
        <v/>
      </c>
      <c r="M1178" s="166" t="str">
        <f>IFERROR(IF([1]K_Summary!$M$1163 = "", "", [1]K_Summary!$M$1163 ),"")</f>
        <v/>
      </c>
      <c r="N1178" s="167" t="str">
        <f>IFERROR(IF([1]K_Summary!$N$1163 = "", "", [1]K_Summary!$N$1163 ),"")</f>
        <v/>
      </c>
    </row>
    <row r="1179" spans="1:14" ht="15" hidden="1">
      <c r="A1179" s="719" t="s">
        <v>2289</v>
      </c>
      <c r="C1179" s="559"/>
      <c r="D1179" s="706"/>
      <c r="E1179" s="727" t="s">
        <v>1391</v>
      </c>
      <c r="F1179" s="727"/>
      <c r="G1179" s="727"/>
      <c r="H1179" s="728" t="s">
        <v>1021</v>
      </c>
      <c r="I1179" s="729"/>
      <c r="J1179" s="168" t="str">
        <f>IFERROR(IF([1]K_Summary!$J$1164 = "", "", [1]K_Summary!$J$1164 ),"")</f>
        <v/>
      </c>
      <c r="K1179" s="169" t="str">
        <f>IFERROR(IF([1]K_Summary!$K$1164 = "", "", [1]K_Summary!$K$1164 ),"")</f>
        <v/>
      </c>
      <c r="L1179" s="169" t="str">
        <f>IFERROR(IF([1]K_Summary!$L$1164 = "", "", [1]K_Summary!$L$1164 ),"")</f>
        <v/>
      </c>
      <c r="M1179" s="169" t="str">
        <f>IFERROR(IF([1]K_Summary!$M$1164 = "", "", [1]K_Summary!$M$1164 ),"")</f>
        <v/>
      </c>
      <c r="N1179" s="170" t="str">
        <f>IFERROR(IF([1]K_Summary!$N$1164 = "", "", [1]K_Summary!$N$1164 ),"")</f>
        <v/>
      </c>
    </row>
    <row r="1180" spans="1:14" ht="15">
      <c r="C1180" s="559"/>
      <c r="D1180" s="706"/>
      <c r="E1180" s="698" t="s">
        <v>1671</v>
      </c>
      <c r="F1180" s="698"/>
      <c r="G1180" s="698"/>
      <c r="H1180" s="730" t="s">
        <v>2090</v>
      </c>
      <c r="I1180" s="731"/>
      <c r="J1180" s="148" t="str">
        <f>IFERROR(IF([1]K_Summary!$J$1165 = "", "", [1]K_Summary!$J$1165 ),"")</f>
        <v/>
      </c>
      <c r="K1180" s="150" t="str">
        <f>IFERROR(IF([1]K_Summary!$K$1165 = "", "", [1]K_Summary!$K$1165 ),"")</f>
        <v/>
      </c>
      <c r="L1180" s="150" t="str">
        <f>IFERROR(IF([1]K_Summary!$L$1165 = "", "", [1]K_Summary!$L$1165 ),"")</f>
        <v/>
      </c>
      <c r="M1180" s="150" t="str">
        <f>IFERROR(IF([1]K_Summary!$M$1165 = "", "", [1]K_Summary!$M$1165 ),"")</f>
        <v/>
      </c>
      <c r="N1180" s="171" t="str">
        <f>IFERROR(IF([1]K_Summary!$N$1165 = "", "", [1]K_Summary!$N$1165 ),"")</f>
        <v/>
      </c>
    </row>
    <row r="1181" spans="1:14" ht="15">
      <c r="C1181" s="559"/>
      <c r="D1181" s="706"/>
      <c r="E1181" s="698" t="s">
        <v>1670</v>
      </c>
      <c r="F1181" s="698"/>
      <c r="G1181" s="698"/>
      <c r="H1181" s="730" t="s">
        <v>2090</v>
      </c>
      <c r="I1181" s="731"/>
      <c r="J1181" s="148" t="str">
        <f>IFERROR(IF([1]K_Summary!$J$1166 = "", "", [1]K_Summary!$J$1166 ),"")</f>
        <v/>
      </c>
      <c r="K1181" s="150" t="str">
        <f>IFERROR(IF([1]K_Summary!$K$1166 = "", "", [1]K_Summary!$K$1166 ),"")</f>
        <v/>
      </c>
      <c r="L1181" s="150" t="str">
        <f>IFERROR(IF([1]K_Summary!$L$1166 = "", "", [1]K_Summary!$L$1166 ),"")</f>
        <v/>
      </c>
      <c r="M1181" s="150" t="str">
        <f>IFERROR(IF([1]K_Summary!$M$1166 = "", "", [1]K_Summary!$M$1166 ),"")</f>
        <v/>
      </c>
      <c r="N1181" s="171" t="str">
        <f>IFERROR(IF([1]K_Summary!$N$1166 = "", "", [1]K_Summary!$N$1166 ),"")</f>
        <v/>
      </c>
    </row>
    <row r="1182" spans="1:14" ht="15">
      <c r="C1182" s="559"/>
      <c r="D1182" s="706"/>
      <c r="E1182" s="740" t="s">
        <v>2130</v>
      </c>
      <c r="F1182" s="740"/>
      <c r="G1182" s="740"/>
      <c r="H1182" s="741" t="s">
        <v>1021</v>
      </c>
      <c r="I1182" s="742"/>
      <c r="J1182" s="183" t="str">
        <f>IFERROR(IF([1]K_Summary!$J$1167 = "", "", [1]K_Summary!$J$1167 ),"")</f>
        <v/>
      </c>
      <c r="K1182" s="184" t="str">
        <f>IFERROR(IF([1]K_Summary!$K$1167 = "", "", [1]K_Summary!$K$1167 ),"")</f>
        <v/>
      </c>
      <c r="L1182" s="184" t="str">
        <f>IFERROR(IF([1]K_Summary!$L$1167 = "", "", [1]K_Summary!$L$1167 ),"")</f>
        <v/>
      </c>
      <c r="M1182" s="184" t="str">
        <f>IFERROR(IF([1]K_Summary!$M$1167 = "", "", [1]K_Summary!$M$1167 ),"")</f>
        <v/>
      </c>
      <c r="N1182" s="185" t="str">
        <f>IFERROR(IF([1]K_Summary!$N$1167 = "", "", [1]K_Summary!$N$1167 ),"")</f>
        <v/>
      </c>
    </row>
    <row r="1183" spans="1:14" ht="15">
      <c r="C1183" s="559"/>
      <c r="D1183" s="706"/>
      <c r="E1183" s="485"/>
      <c r="F1183" s="485"/>
      <c r="G1183" s="485"/>
      <c r="H1183" s="485"/>
      <c r="I1183" s="743"/>
      <c r="J1183" s="485"/>
      <c r="K1183" s="485"/>
      <c r="L1183" s="485"/>
      <c r="M1183" s="485"/>
      <c r="N1183" s="744"/>
    </row>
    <row r="1184" spans="1:14" ht="15">
      <c r="C1184" s="559"/>
      <c r="D1184" s="706"/>
      <c r="E1184" s="707" t="s">
        <v>1753</v>
      </c>
      <c r="F1184" s="637"/>
      <c r="G1184" s="637"/>
      <c r="H1184" s="663" t="s">
        <v>884</v>
      </c>
      <c r="I1184" s="708"/>
      <c r="J1184" s="709">
        <v>2021</v>
      </c>
      <c r="K1184" s="671">
        <v>2022</v>
      </c>
      <c r="L1184" s="671">
        <v>2023</v>
      </c>
      <c r="M1184" s="671">
        <v>2024</v>
      </c>
      <c r="N1184" s="710">
        <v>2025</v>
      </c>
    </row>
    <row r="1185" spans="1:14" ht="15" hidden="1">
      <c r="A1185" s="719" t="s">
        <v>2289</v>
      </c>
      <c r="C1185" s="559"/>
      <c r="D1185" s="706"/>
      <c r="E1185" s="698" t="s">
        <v>1714</v>
      </c>
      <c r="F1185" s="698"/>
      <c r="G1185" s="698"/>
      <c r="H1185" s="63" t="str">
        <f>IFERROR(IF([1]K_Summary!$H$1170 = "", "", [1]K_Summary!$H$1170 ),"")</f>
        <v>tonnes</v>
      </c>
      <c r="I1185" s="698"/>
      <c r="J1185" s="157" t="str">
        <f>IFERROR(IF([1]K_Summary!$J$1170 = "", "", [1]K_Summary!$J$1170 ),"")</f>
        <v/>
      </c>
      <c r="K1185" s="147" t="str">
        <f>IFERROR(IF([1]K_Summary!$K$1170 = "", "", [1]K_Summary!$K$1170 ),"")</f>
        <v/>
      </c>
      <c r="L1185" s="147" t="str">
        <f>IFERROR(IF([1]K_Summary!$L$1170 = "", "", [1]K_Summary!$L$1170 ),"")</f>
        <v/>
      </c>
      <c r="M1185" s="147" t="str">
        <f>IFERROR(IF([1]K_Summary!$M$1170 = "", "", [1]K_Summary!$M$1170 ),"")</f>
        <v/>
      </c>
      <c r="N1185" s="158" t="str">
        <f>IFERROR(IF([1]K_Summary!$N$1170 = "", "", [1]K_Summary!$N$1170 ),"")</f>
        <v/>
      </c>
    </row>
    <row r="1186" spans="1:14" ht="15" hidden="1">
      <c r="A1186" s="719" t="s">
        <v>2289</v>
      </c>
      <c r="C1186" s="559"/>
      <c r="D1186" s="706"/>
      <c r="E1186" s="720" t="s">
        <v>303</v>
      </c>
      <c r="F1186" s="720"/>
      <c r="G1186" s="720"/>
      <c r="H1186" s="721" t="s">
        <v>2090</v>
      </c>
      <c r="I1186" s="722"/>
      <c r="J1186" s="159" t="str">
        <f>IFERROR(IF([1]K_Summary!$J$1171 = "", "", [1]K_Summary!$J$1171 ),"")</f>
        <v/>
      </c>
      <c r="K1186" s="160" t="str">
        <f>IFERROR(IF([1]K_Summary!$K$1171 = "", "", [1]K_Summary!$K$1171 ),"")</f>
        <v/>
      </c>
      <c r="L1186" s="160" t="str">
        <f>IFERROR(IF([1]K_Summary!$L$1171 = "", "", [1]K_Summary!$L$1171 ),"")</f>
        <v/>
      </c>
      <c r="M1186" s="160" t="str">
        <f>IFERROR(IF([1]K_Summary!$M$1171 = "", "", [1]K_Summary!$M$1171 ),"")</f>
        <v/>
      </c>
      <c r="N1186" s="161" t="str">
        <f>IFERROR(IF([1]K_Summary!$N$1171 = "", "", [1]K_Summary!$N$1171 ),"")</f>
        <v/>
      </c>
    </row>
    <row r="1187" spans="1:14" ht="15" hidden="1">
      <c r="A1187" s="719" t="s">
        <v>2289</v>
      </c>
      <c r="C1187" s="559"/>
      <c r="D1187" s="706"/>
      <c r="E1187" s="723" t="s">
        <v>1422</v>
      </c>
      <c r="F1187" s="723"/>
      <c r="G1187" s="723"/>
      <c r="H1187" s="724" t="s">
        <v>2090</v>
      </c>
      <c r="I1187" s="725"/>
      <c r="J1187" s="162" t="str">
        <f>IFERROR(IF([1]K_Summary!$J$1172 = "", "", [1]K_Summary!$J$1172 ),"")</f>
        <v/>
      </c>
      <c r="K1187" s="163" t="str">
        <f>IFERROR(IF([1]K_Summary!$K$1172 = "", "", [1]K_Summary!$K$1172 ),"")</f>
        <v/>
      </c>
      <c r="L1187" s="163" t="str">
        <f>IFERROR(IF([1]K_Summary!$L$1172 = "", "", [1]K_Summary!$L$1172 ),"")</f>
        <v/>
      </c>
      <c r="M1187" s="163" t="str">
        <f>IFERROR(IF([1]K_Summary!$M$1172 = "", "", [1]K_Summary!$M$1172 ),"")</f>
        <v/>
      </c>
      <c r="N1187" s="164" t="str">
        <f>IFERROR(IF([1]K_Summary!$N$1172 = "", "", [1]K_Summary!$N$1172 ),"")</f>
        <v/>
      </c>
    </row>
    <row r="1188" spans="1:14" ht="15" hidden="1">
      <c r="A1188" s="719" t="s">
        <v>2289</v>
      </c>
      <c r="C1188" s="559"/>
      <c r="D1188" s="706"/>
      <c r="E1188" s="745" t="s">
        <v>1390</v>
      </c>
      <c r="F1188" s="745"/>
      <c r="G1188" s="745"/>
      <c r="H1188" s="746" t="s">
        <v>2090</v>
      </c>
      <c r="I1188" s="747"/>
      <c r="J1188" s="186" t="str">
        <f>IFERROR(IF([1]K_Summary!$J$1173 = "", "", [1]K_Summary!$J$1173 ),"")</f>
        <v/>
      </c>
      <c r="K1188" s="187" t="str">
        <f>IFERROR(IF([1]K_Summary!$K$1173 = "", "", [1]K_Summary!$K$1173 ),"")</f>
        <v/>
      </c>
      <c r="L1188" s="187" t="str">
        <f>IFERROR(IF([1]K_Summary!$L$1173 = "", "", [1]K_Summary!$L$1173 ),"")</f>
        <v/>
      </c>
      <c r="M1188" s="187" t="str">
        <f>IFERROR(IF([1]K_Summary!$M$1173 = "", "", [1]K_Summary!$M$1173 ),"")</f>
        <v/>
      </c>
      <c r="N1188" s="188" t="str">
        <f>IFERROR(IF([1]K_Summary!$N$1173 = "", "", [1]K_Summary!$N$1173 ),"")</f>
        <v/>
      </c>
    </row>
    <row r="1189" spans="1:14" ht="15">
      <c r="C1189" s="559"/>
      <c r="D1189" s="706"/>
      <c r="E1189" s="720" t="s">
        <v>1691</v>
      </c>
      <c r="F1189" s="720"/>
      <c r="G1189" s="720"/>
      <c r="H1189" s="748" t="s">
        <v>1021</v>
      </c>
      <c r="I1189" s="722"/>
      <c r="J1189" s="189" t="str">
        <f>IFERROR(IF([1]K_Summary!$J$1174 = "", "", [1]K_Summary!$J$1174 ),"")</f>
        <v/>
      </c>
      <c r="K1189" s="190" t="str">
        <f>IFERROR(IF([1]K_Summary!$K$1174 = "", "", [1]K_Summary!$K$1174 ),"")</f>
        <v/>
      </c>
      <c r="L1189" s="190" t="str">
        <f>IFERROR(IF([1]K_Summary!$L$1174 = "", "", [1]K_Summary!$L$1174 ),"")</f>
        <v/>
      </c>
      <c r="M1189" s="190" t="str">
        <f>IFERROR(IF([1]K_Summary!$M$1174 = "", "", [1]K_Summary!$M$1174 ),"")</f>
        <v/>
      </c>
      <c r="N1189" s="191" t="str">
        <f>IFERROR(IF([1]K_Summary!$N$1174 = "", "", [1]K_Summary!$N$1174 ),"")</f>
        <v/>
      </c>
    </row>
    <row r="1190" spans="1:14" ht="15">
      <c r="C1190" s="559"/>
      <c r="D1190" s="706"/>
      <c r="E1190" s="723" t="s">
        <v>1648</v>
      </c>
      <c r="F1190" s="723"/>
      <c r="G1190" s="723"/>
      <c r="H1190" s="734" t="s">
        <v>1021</v>
      </c>
      <c r="I1190" s="735"/>
      <c r="J1190" s="174" t="str">
        <f>IFERROR(IF([1]K_Summary!$J$1175 = "", "", [1]K_Summary!$J$1175 ),"")</f>
        <v/>
      </c>
      <c r="K1190" s="175" t="str">
        <f>IFERROR(IF([1]K_Summary!$K$1175 = "", "", [1]K_Summary!$K$1175 ),"")</f>
        <v/>
      </c>
      <c r="L1190" s="175" t="str">
        <f>IFERROR(IF([1]K_Summary!$L$1175 = "", "", [1]K_Summary!$L$1175 ),"")</f>
        <v/>
      </c>
      <c r="M1190" s="175" t="str">
        <f>IFERROR(IF([1]K_Summary!$M$1175 = "", "", [1]K_Summary!$M$1175 ),"")</f>
        <v/>
      </c>
      <c r="N1190" s="176" t="str">
        <f>IFERROR(IF([1]K_Summary!$N$1175 = "", "", [1]K_Summary!$N$1175 ),"")</f>
        <v/>
      </c>
    </row>
    <row r="1191" spans="1:14" ht="15">
      <c r="C1191" s="559"/>
      <c r="D1191" s="706"/>
      <c r="E1191" s="736" t="s">
        <v>1852</v>
      </c>
      <c r="F1191" s="736"/>
      <c r="G1191" s="736"/>
      <c r="H1191" s="737" t="s">
        <v>1021</v>
      </c>
      <c r="I1191" s="738"/>
      <c r="J1191" s="177" t="str">
        <f>IFERROR(IF([1]K_Summary!$J$1176 = "", "", [1]K_Summary!$J$1176 ),"")</f>
        <v/>
      </c>
      <c r="K1191" s="178" t="str">
        <f>IFERROR(IF([1]K_Summary!$K$1176 = "", "", [1]K_Summary!$K$1176 ),"")</f>
        <v/>
      </c>
      <c r="L1191" s="178" t="str">
        <f>IFERROR(IF([1]K_Summary!$L$1176 = "", "", [1]K_Summary!$L$1176 ),"")</f>
        <v/>
      </c>
      <c r="M1191" s="178" t="str">
        <f>IFERROR(IF([1]K_Summary!$M$1176 = "", "", [1]K_Summary!$M$1176 ),"")</f>
        <v/>
      </c>
      <c r="N1191" s="179" t="str">
        <f>IFERROR(IF([1]K_Summary!$N$1176 = "", "", [1]K_Summary!$N$1176 ),"")</f>
        <v/>
      </c>
    </row>
    <row r="1192" spans="1:14" ht="15">
      <c r="C1192" s="559"/>
      <c r="D1192" s="706"/>
      <c r="E1192" s="727" t="s">
        <v>1689</v>
      </c>
      <c r="F1192" s="727"/>
      <c r="G1192" s="727"/>
      <c r="H1192" s="749" t="s">
        <v>1021</v>
      </c>
      <c r="I1192" s="727"/>
      <c r="J1192" s="192" t="str">
        <f>IFERROR(IF([1]K_Summary!$J$1177 = "", "", [1]K_Summary!$J$1177 ),"")</f>
        <v/>
      </c>
      <c r="K1192" s="193" t="str">
        <f>IFERROR(IF([1]K_Summary!$K$1177 = "", "", [1]K_Summary!$K$1177 ),"")</f>
        <v/>
      </c>
      <c r="L1192" s="193" t="str">
        <f>IFERROR(IF([1]K_Summary!$L$1177 = "", "", [1]K_Summary!$L$1177 ),"")</f>
        <v/>
      </c>
      <c r="M1192" s="193" t="str">
        <f>IFERROR(IF([1]K_Summary!$M$1177 = "", "", [1]K_Summary!$M$1177 ),"")</f>
        <v/>
      </c>
      <c r="N1192" s="194" t="str">
        <f>IFERROR(IF([1]K_Summary!$N$1177 = "", "", [1]K_Summary!$N$1177 ),"")</f>
        <v/>
      </c>
    </row>
    <row r="1193" spans="1:14" ht="15" hidden="1">
      <c r="A1193" s="719" t="s">
        <v>2289</v>
      </c>
      <c r="C1193" s="559"/>
      <c r="D1193" s="706"/>
      <c r="E1193" s="727" t="s">
        <v>1391</v>
      </c>
      <c r="F1193" s="727"/>
      <c r="G1193" s="727"/>
      <c r="H1193" s="750" t="s">
        <v>1021</v>
      </c>
      <c r="I1193" s="729"/>
      <c r="J1193" s="168" t="str">
        <f>IFERROR(IF([1]K_Summary!$J$1178 = "", "", [1]K_Summary!$J$1178 ),"")</f>
        <v/>
      </c>
      <c r="K1193" s="169" t="str">
        <f>IFERROR(IF([1]K_Summary!$K$1178 = "", "", [1]K_Summary!$K$1178 ),"")</f>
        <v/>
      </c>
      <c r="L1193" s="169" t="str">
        <f>IFERROR(IF([1]K_Summary!$L$1178 = "", "", [1]K_Summary!$L$1178 ),"")</f>
        <v/>
      </c>
      <c r="M1193" s="169" t="str">
        <f>IFERROR(IF([1]K_Summary!$M$1178 = "", "", [1]K_Summary!$M$1178 ),"")</f>
        <v/>
      </c>
      <c r="N1193" s="170" t="str">
        <f>IFERROR(IF([1]K_Summary!$N$1178 = "", "", [1]K_Summary!$N$1178 ),"")</f>
        <v/>
      </c>
    </row>
    <row r="1194" spans="1:14" ht="15">
      <c r="C1194" s="559"/>
      <c r="D1194" s="706"/>
      <c r="E1194" s="698" t="s">
        <v>1671</v>
      </c>
      <c r="F1194" s="698"/>
      <c r="G1194" s="698"/>
      <c r="H1194" s="730" t="s">
        <v>2090</v>
      </c>
      <c r="I1194" s="731"/>
      <c r="J1194" s="148" t="str">
        <f>IFERROR(IF([1]K_Summary!$J$1179 = "", "", [1]K_Summary!$J$1179 ),"")</f>
        <v/>
      </c>
      <c r="K1194" s="150" t="str">
        <f>IFERROR(IF([1]K_Summary!$K$1179 = "", "", [1]K_Summary!$K$1179 ),"")</f>
        <v/>
      </c>
      <c r="L1194" s="150" t="str">
        <f>IFERROR(IF([1]K_Summary!$L$1179 = "", "", [1]K_Summary!$L$1179 ),"")</f>
        <v/>
      </c>
      <c r="M1194" s="150" t="str">
        <f>IFERROR(IF([1]K_Summary!$M$1179 = "", "", [1]K_Summary!$M$1179 ),"")</f>
        <v/>
      </c>
      <c r="N1194" s="171" t="str">
        <f>IFERROR(IF([1]K_Summary!$N$1179 = "", "", [1]K_Summary!$N$1179 ),"")</f>
        <v/>
      </c>
    </row>
    <row r="1195" spans="1:14" ht="15">
      <c r="C1195" s="559"/>
      <c r="D1195" s="706"/>
      <c r="E1195" s="698" t="s">
        <v>1670</v>
      </c>
      <c r="F1195" s="698"/>
      <c r="G1195" s="698"/>
      <c r="H1195" s="730" t="s">
        <v>2090</v>
      </c>
      <c r="I1195" s="731"/>
      <c r="J1195" s="148" t="str">
        <f>IFERROR(IF([1]K_Summary!$J$1180 = "", "", [1]K_Summary!$J$1180 ),"")</f>
        <v/>
      </c>
      <c r="K1195" s="150" t="str">
        <f>IFERROR(IF([1]K_Summary!$K$1180 = "", "", [1]K_Summary!$K$1180 ),"")</f>
        <v/>
      </c>
      <c r="L1195" s="150" t="str">
        <f>IFERROR(IF([1]K_Summary!$L$1180 = "", "", [1]K_Summary!$L$1180 ),"")</f>
        <v/>
      </c>
      <c r="M1195" s="150" t="str">
        <f>IFERROR(IF([1]K_Summary!$M$1180 = "", "", [1]K_Summary!$M$1180 ),"")</f>
        <v/>
      </c>
      <c r="N1195" s="171" t="str">
        <f>IFERROR(IF([1]K_Summary!$N$1180 = "", "", [1]K_Summary!$N$1180 ),"")</f>
        <v/>
      </c>
    </row>
    <row r="1196" spans="1:14" ht="15">
      <c r="C1196" s="559"/>
      <c r="D1196" s="706"/>
      <c r="E1196" s="740" t="s">
        <v>2131</v>
      </c>
      <c r="F1196" s="740"/>
      <c r="G1196" s="740"/>
      <c r="H1196" s="741" t="s">
        <v>1021</v>
      </c>
      <c r="I1196" s="742"/>
      <c r="J1196" s="183" t="str">
        <f>IFERROR(IF([1]K_Summary!$J$1181 = "", "", [1]K_Summary!$J$1181 ),"")</f>
        <v/>
      </c>
      <c r="K1196" s="184" t="str">
        <f>IFERROR(IF([1]K_Summary!$K$1181 = "", "", [1]K_Summary!$K$1181 ),"")</f>
        <v/>
      </c>
      <c r="L1196" s="184" t="str">
        <f>IFERROR(IF([1]K_Summary!$L$1181 = "", "", [1]K_Summary!$L$1181 ),"")</f>
        <v/>
      </c>
      <c r="M1196" s="184" t="str">
        <f>IFERROR(IF([1]K_Summary!$M$1181 = "", "", [1]K_Summary!$M$1181 ),"")</f>
        <v/>
      </c>
      <c r="N1196" s="185" t="str">
        <f>IFERROR(IF([1]K_Summary!$N$1181 = "", "", [1]K_Summary!$N$1181 ),"")</f>
        <v/>
      </c>
    </row>
    <row r="1197" spans="1:14" ht="15">
      <c r="C1197" s="559"/>
      <c r="D1197" s="706"/>
      <c r="E1197" s="485"/>
      <c r="F1197" s="485"/>
      <c r="G1197" s="485"/>
      <c r="H1197" s="485"/>
      <c r="I1197" s="743"/>
      <c r="J1197" s="485"/>
      <c r="K1197" s="485"/>
      <c r="L1197" s="485"/>
      <c r="M1197" s="485"/>
      <c r="N1197" s="744"/>
    </row>
    <row r="1198" spans="1:14" ht="15">
      <c r="C1198" s="559"/>
      <c r="D1198" s="706"/>
      <c r="E1198" s="707" t="s">
        <v>1754</v>
      </c>
      <c r="F1198" s="637"/>
      <c r="G1198" s="637"/>
      <c r="H1198" s="663" t="s">
        <v>884</v>
      </c>
      <c r="I1198" s="708"/>
      <c r="J1198" s="709">
        <v>2021</v>
      </c>
      <c r="K1198" s="671">
        <v>2022</v>
      </c>
      <c r="L1198" s="671">
        <v>2023</v>
      </c>
      <c r="M1198" s="671">
        <v>2024</v>
      </c>
      <c r="N1198" s="710">
        <v>2025</v>
      </c>
    </row>
    <row r="1199" spans="1:14" ht="15" hidden="1">
      <c r="A1199" s="719" t="s">
        <v>2289</v>
      </c>
      <c r="C1199" s="559"/>
      <c r="D1199" s="706"/>
      <c r="E1199" s="698" t="s">
        <v>1714</v>
      </c>
      <c r="F1199" s="698"/>
      <c r="G1199" s="698"/>
      <c r="H1199" s="63" t="str">
        <f>IFERROR(IF([1]K_Summary!$H$1184 = "", "", [1]K_Summary!$H$1184 ),"")</f>
        <v>tonnes</v>
      </c>
      <c r="I1199" s="698"/>
      <c r="J1199" s="157" t="str">
        <f>IFERROR(IF([1]K_Summary!$J$1184 = "", "", [1]K_Summary!$J$1184 ),"")</f>
        <v/>
      </c>
      <c r="K1199" s="147" t="str">
        <f>IFERROR(IF([1]K_Summary!$K$1184 = "", "", [1]K_Summary!$K$1184 ),"")</f>
        <v/>
      </c>
      <c r="L1199" s="147" t="str">
        <f>IFERROR(IF([1]K_Summary!$L$1184 = "", "", [1]K_Summary!$L$1184 ),"")</f>
        <v/>
      </c>
      <c r="M1199" s="147" t="str">
        <f>IFERROR(IF([1]K_Summary!$M$1184 = "", "", [1]K_Summary!$M$1184 ),"")</f>
        <v/>
      </c>
      <c r="N1199" s="158" t="str">
        <f>IFERROR(IF([1]K_Summary!$N$1184 = "", "", [1]K_Summary!$N$1184 ),"")</f>
        <v/>
      </c>
    </row>
    <row r="1200" spans="1:14" ht="15">
      <c r="C1200" s="559"/>
      <c r="D1200" s="706"/>
      <c r="E1200" s="720" t="s">
        <v>1691</v>
      </c>
      <c r="F1200" s="720"/>
      <c r="G1200" s="720"/>
      <c r="H1200" s="748" t="s">
        <v>2090</v>
      </c>
      <c r="I1200" s="722"/>
      <c r="J1200" s="172" t="str">
        <f>IFERROR(IF([1]K_Summary!$J$1185 = "", "", [1]K_Summary!$J$1185 ),"")</f>
        <v/>
      </c>
      <c r="K1200" s="54" t="str">
        <f>IFERROR(IF([1]K_Summary!$K$1185 = "", "", [1]K_Summary!$K$1185 ),"")</f>
        <v/>
      </c>
      <c r="L1200" s="54" t="str">
        <f>IFERROR(IF([1]K_Summary!$L$1185 = "", "", [1]K_Summary!$L$1185 ),"")</f>
        <v/>
      </c>
      <c r="M1200" s="54" t="str">
        <f>IFERROR(IF([1]K_Summary!$M$1185 = "", "", [1]K_Summary!$M$1185 ),"")</f>
        <v/>
      </c>
      <c r="N1200" s="173" t="str">
        <f>IFERROR(IF([1]K_Summary!$N$1185 = "", "", [1]K_Summary!$N$1185 ),"")</f>
        <v/>
      </c>
    </row>
    <row r="1201" spans="1:14" ht="15">
      <c r="C1201" s="559"/>
      <c r="D1201" s="706"/>
      <c r="E1201" s="723" t="s">
        <v>1648</v>
      </c>
      <c r="F1201" s="723"/>
      <c r="G1201" s="723"/>
      <c r="H1201" s="734" t="s">
        <v>1021</v>
      </c>
      <c r="I1201" s="735"/>
      <c r="J1201" s="174" t="str">
        <f>IFERROR(IF([1]K_Summary!$J$1186 = "", "", [1]K_Summary!$J$1186 ),"")</f>
        <v/>
      </c>
      <c r="K1201" s="175" t="str">
        <f>IFERROR(IF([1]K_Summary!$K$1186 = "", "", [1]K_Summary!$K$1186 ),"")</f>
        <v/>
      </c>
      <c r="L1201" s="175" t="str">
        <f>IFERROR(IF([1]K_Summary!$L$1186 = "", "", [1]K_Summary!$L$1186 ),"")</f>
        <v/>
      </c>
      <c r="M1201" s="175" t="str">
        <f>IFERROR(IF([1]K_Summary!$M$1186 = "", "", [1]K_Summary!$M$1186 ),"")</f>
        <v/>
      </c>
      <c r="N1201" s="176" t="str">
        <f>IFERROR(IF([1]K_Summary!$N$1186 = "", "", [1]K_Summary!$N$1186 ),"")</f>
        <v/>
      </c>
    </row>
    <row r="1202" spans="1:14" ht="15">
      <c r="C1202" s="559"/>
      <c r="D1202" s="706"/>
      <c r="E1202" s="736" t="s">
        <v>1853</v>
      </c>
      <c r="F1202" s="736"/>
      <c r="G1202" s="736"/>
      <c r="H1202" s="737" t="s">
        <v>1021</v>
      </c>
      <c r="I1202" s="738"/>
      <c r="J1202" s="177" t="str">
        <f>IFERROR(IF([1]K_Summary!$J$1187 = "", "", [1]K_Summary!$J$1187 ),"")</f>
        <v/>
      </c>
      <c r="K1202" s="178" t="str">
        <f>IFERROR(IF([1]K_Summary!$K$1187 = "", "", [1]K_Summary!$K$1187 ),"")</f>
        <v/>
      </c>
      <c r="L1202" s="178" t="str">
        <f>IFERROR(IF([1]K_Summary!$L$1187 = "", "", [1]K_Summary!$L$1187 ),"")</f>
        <v/>
      </c>
      <c r="M1202" s="178" t="str">
        <f>IFERROR(IF([1]K_Summary!$M$1187 = "", "", [1]K_Summary!$M$1187 ),"")</f>
        <v/>
      </c>
      <c r="N1202" s="179" t="str">
        <f>IFERROR(IF([1]K_Summary!$N$1187 = "", "", [1]K_Summary!$N$1187 ),"")</f>
        <v/>
      </c>
    </row>
    <row r="1203" spans="1:14" ht="15">
      <c r="C1203" s="559"/>
      <c r="D1203" s="706"/>
      <c r="E1203" s="727" t="s">
        <v>1689</v>
      </c>
      <c r="F1203" s="727"/>
      <c r="G1203" s="727"/>
      <c r="H1203" s="749" t="s">
        <v>2090</v>
      </c>
      <c r="I1203" s="727"/>
      <c r="J1203" s="180" t="str">
        <f>IFERROR(IF([1]K_Summary!$J$1188 = "", "", [1]K_Summary!$J$1188 ),"")</f>
        <v/>
      </c>
      <c r="K1203" s="181" t="str">
        <f>IFERROR(IF([1]K_Summary!$K$1188 = "", "", [1]K_Summary!$K$1188 ),"")</f>
        <v/>
      </c>
      <c r="L1203" s="181" t="str">
        <f>IFERROR(IF([1]K_Summary!$L$1188 = "", "", [1]K_Summary!$L$1188 ),"")</f>
        <v/>
      </c>
      <c r="M1203" s="181" t="str">
        <f>IFERROR(IF([1]K_Summary!$M$1188 = "", "", [1]K_Summary!$M$1188 ),"")</f>
        <v/>
      </c>
      <c r="N1203" s="182" t="str">
        <f>IFERROR(IF([1]K_Summary!$N$1188 = "", "", [1]K_Summary!$N$1188 ),"")</f>
        <v/>
      </c>
    </row>
    <row r="1204" spans="1:14" ht="15" hidden="1">
      <c r="A1204" s="719" t="s">
        <v>2289</v>
      </c>
      <c r="C1204" s="559"/>
      <c r="D1204" s="706"/>
      <c r="E1204" s="723" t="s">
        <v>1422</v>
      </c>
      <c r="F1204" s="723"/>
      <c r="G1204" s="723"/>
      <c r="H1204" s="724" t="s">
        <v>2090</v>
      </c>
      <c r="I1204" s="725"/>
      <c r="J1204" s="162" t="str">
        <f>IFERROR(IF([1]K_Summary!$J$1189 = "", "", [1]K_Summary!$J$1189 ),"")</f>
        <v/>
      </c>
      <c r="K1204" s="163" t="str">
        <f>IFERROR(IF([1]K_Summary!$K$1189 = "", "", [1]K_Summary!$K$1189 ),"")</f>
        <v/>
      </c>
      <c r="L1204" s="163" t="str">
        <f>IFERROR(IF([1]K_Summary!$L$1189 = "", "", [1]K_Summary!$L$1189 ),"")</f>
        <v/>
      </c>
      <c r="M1204" s="163" t="str">
        <f>IFERROR(IF([1]K_Summary!$M$1189 = "", "", [1]K_Summary!$M$1189 ),"")</f>
        <v/>
      </c>
      <c r="N1204" s="164" t="str">
        <f>IFERROR(IF([1]K_Summary!$N$1189 = "", "", [1]K_Summary!$N$1189 ),"")</f>
        <v/>
      </c>
    </row>
    <row r="1205" spans="1:14" ht="15" hidden="1">
      <c r="A1205" s="719" t="s">
        <v>2289</v>
      </c>
      <c r="C1205" s="559"/>
      <c r="D1205" s="706"/>
      <c r="E1205" s="723" t="s">
        <v>1390</v>
      </c>
      <c r="F1205" s="723"/>
      <c r="G1205" s="723"/>
      <c r="H1205" s="724" t="s">
        <v>2090</v>
      </c>
      <c r="I1205" s="725"/>
      <c r="J1205" s="162" t="str">
        <f>IFERROR(IF([1]K_Summary!$J$1190 = "", "", [1]K_Summary!$J$1190 ),"")</f>
        <v/>
      </c>
      <c r="K1205" s="163" t="str">
        <f>IFERROR(IF([1]K_Summary!$K$1190 = "", "", [1]K_Summary!$K$1190 ),"")</f>
        <v/>
      </c>
      <c r="L1205" s="163" t="str">
        <f>IFERROR(IF([1]K_Summary!$L$1190 = "", "", [1]K_Summary!$L$1190 ),"")</f>
        <v/>
      </c>
      <c r="M1205" s="163" t="str">
        <f>IFERROR(IF([1]K_Summary!$M$1190 = "", "", [1]K_Summary!$M$1190 ),"")</f>
        <v/>
      </c>
      <c r="N1205" s="164" t="str">
        <f>IFERROR(IF([1]K_Summary!$N$1190 = "", "", [1]K_Summary!$N$1190 ),"")</f>
        <v/>
      </c>
    </row>
    <row r="1206" spans="1:14" ht="15" hidden="1">
      <c r="A1206" s="719" t="s">
        <v>2289</v>
      </c>
      <c r="C1206" s="559"/>
      <c r="D1206" s="706"/>
      <c r="E1206" s="723" t="s">
        <v>1389</v>
      </c>
      <c r="F1206" s="723"/>
      <c r="G1206" s="723"/>
      <c r="H1206" s="726" t="s">
        <v>1021</v>
      </c>
      <c r="I1206" s="725"/>
      <c r="J1206" s="165" t="str">
        <f>IFERROR(IF([1]K_Summary!$J$1191 = "", "", [1]K_Summary!$J$1191 ),"")</f>
        <v/>
      </c>
      <c r="K1206" s="166" t="str">
        <f>IFERROR(IF([1]K_Summary!$K$1191 = "", "", [1]K_Summary!$K$1191 ),"")</f>
        <v/>
      </c>
      <c r="L1206" s="166" t="str">
        <f>IFERROR(IF([1]K_Summary!$L$1191 = "", "", [1]K_Summary!$L$1191 ),"")</f>
        <v/>
      </c>
      <c r="M1206" s="166" t="str">
        <f>IFERROR(IF([1]K_Summary!$M$1191 = "", "", [1]K_Summary!$M$1191 ),"")</f>
        <v/>
      </c>
      <c r="N1206" s="167" t="str">
        <f>IFERROR(IF([1]K_Summary!$N$1191 = "", "", [1]K_Summary!$N$1191 ),"")</f>
        <v/>
      </c>
    </row>
    <row r="1207" spans="1:14" ht="15" hidden="1">
      <c r="A1207" s="719" t="s">
        <v>2289</v>
      </c>
      <c r="C1207" s="559"/>
      <c r="D1207" s="706"/>
      <c r="E1207" s="727" t="s">
        <v>1391</v>
      </c>
      <c r="F1207" s="727"/>
      <c r="G1207" s="727"/>
      <c r="H1207" s="728" t="s">
        <v>1021</v>
      </c>
      <c r="I1207" s="729"/>
      <c r="J1207" s="168" t="str">
        <f>IFERROR(IF([1]K_Summary!$J$1192 = "", "", [1]K_Summary!$J$1192 ),"")</f>
        <v/>
      </c>
      <c r="K1207" s="169" t="str">
        <f>IFERROR(IF([1]K_Summary!$K$1192 = "", "", [1]K_Summary!$K$1192 ),"")</f>
        <v/>
      </c>
      <c r="L1207" s="169" t="str">
        <f>IFERROR(IF([1]K_Summary!$L$1192 = "", "", [1]K_Summary!$L$1192 ),"")</f>
        <v/>
      </c>
      <c r="M1207" s="169" t="str">
        <f>IFERROR(IF([1]K_Summary!$M$1192 = "", "", [1]K_Summary!$M$1192 ),"")</f>
        <v/>
      </c>
      <c r="N1207" s="170" t="str">
        <f>IFERROR(IF([1]K_Summary!$N$1192 = "", "", [1]K_Summary!$N$1192 ),"")</f>
        <v/>
      </c>
    </row>
    <row r="1208" spans="1:14" ht="15">
      <c r="C1208" s="559"/>
      <c r="D1208" s="706"/>
      <c r="E1208" s="698" t="s">
        <v>1671</v>
      </c>
      <c r="F1208" s="698"/>
      <c r="G1208" s="698"/>
      <c r="H1208" s="730" t="s">
        <v>2090</v>
      </c>
      <c r="I1208" s="731"/>
      <c r="J1208" s="148" t="str">
        <f>IFERROR(IF([1]K_Summary!$J$1193 = "", "", [1]K_Summary!$J$1193 ),"")</f>
        <v/>
      </c>
      <c r="K1208" s="150" t="str">
        <f>IFERROR(IF([1]K_Summary!$K$1193 = "", "", [1]K_Summary!$K$1193 ),"")</f>
        <v/>
      </c>
      <c r="L1208" s="150" t="str">
        <f>IFERROR(IF([1]K_Summary!$L$1193 = "", "", [1]K_Summary!$L$1193 ),"")</f>
        <v/>
      </c>
      <c r="M1208" s="150" t="str">
        <f>IFERROR(IF([1]K_Summary!$M$1193 = "", "", [1]K_Summary!$M$1193 ),"")</f>
        <v/>
      </c>
      <c r="N1208" s="171" t="str">
        <f>IFERROR(IF([1]K_Summary!$N$1193 = "", "", [1]K_Summary!$N$1193 ),"")</f>
        <v/>
      </c>
    </row>
    <row r="1209" spans="1:14" ht="15">
      <c r="C1209" s="559"/>
      <c r="D1209" s="706"/>
      <c r="E1209" s="698" t="s">
        <v>1670</v>
      </c>
      <c r="F1209" s="698"/>
      <c r="G1209" s="698"/>
      <c r="H1209" s="730" t="s">
        <v>2090</v>
      </c>
      <c r="I1209" s="731"/>
      <c r="J1209" s="148" t="str">
        <f>IFERROR(IF([1]K_Summary!$J$1194 = "", "", [1]K_Summary!$J$1194 ),"")</f>
        <v/>
      </c>
      <c r="K1209" s="150" t="str">
        <f>IFERROR(IF([1]K_Summary!$K$1194 = "", "", [1]K_Summary!$K$1194 ),"")</f>
        <v/>
      </c>
      <c r="L1209" s="150" t="str">
        <f>IFERROR(IF([1]K_Summary!$L$1194 = "", "", [1]K_Summary!$L$1194 ),"")</f>
        <v/>
      </c>
      <c r="M1209" s="150" t="str">
        <f>IFERROR(IF([1]K_Summary!$M$1194 = "", "", [1]K_Summary!$M$1194 ),"")</f>
        <v/>
      </c>
      <c r="N1209" s="171" t="str">
        <f>IFERROR(IF([1]K_Summary!$N$1194 = "", "", [1]K_Summary!$N$1194 ),"")</f>
        <v/>
      </c>
    </row>
    <row r="1210" spans="1:14" ht="15">
      <c r="C1210" s="559"/>
      <c r="D1210" s="706"/>
      <c r="E1210" s="740" t="s">
        <v>2132</v>
      </c>
      <c r="F1210" s="740"/>
      <c r="G1210" s="740"/>
      <c r="H1210" s="741" t="s">
        <v>1021</v>
      </c>
      <c r="I1210" s="742"/>
      <c r="J1210" s="183" t="str">
        <f>IFERROR(IF([1]K_Summary!$J$1195 = "", "", [1]K_Summary!$J$1195 ),"")</f>
        <v/>
      </c>
      <c r="K1210" s="184" t="str">
        <f>IFERROR(IF([1]K_Summary!$K$1195 = "", "", [1]K_Summary!$K$1195 ),"")</f>
        <v/>
      </c>
      <c r="L1210" s="184" t="str">
        <f>IFERROR(IF([1]K_Summary!$L$1195 = "", "", [1]K_Summary!$L$1195 ),"")</f>
        <v/>
      </c>
      <c r="M1210" s="184" t="str">
        <f>IFERROR(IF([1]K_Summary!$M$1195 = "", "", [1]K_Summary!$M$1195 ),"")</f>
        <v/>
      </c>
      <c r="N1210" s="185" t="str">
        <f>IFERROR(IF([1]K_Summary!$N$1195 = "", "", [1]K_Summary!$N$1195 ),"")</f>
        <v/>
      </c>
    </row>
    <row r="1211" spans="1:14" ht="15">
      <c r="C1211" s="559"/>
      <c r="D1211" s="706"/>
      <c r="E1211" s="485"/>
      <c r="F1211" s="485"/>
      <c r="G1211" s="485"/>
      <c r="H1211" s="485"/>
      <c r="I1211" s="743"/>
      <c r="J1211" s="485"/>
      <c r="K1211" s="485"/>
      <c r="L1211" s="485"/>
      <c r="M1211" s="485"/>
      <c r="N1211" s="744"/>
    </row>
    <row r="1212" spans="1:14" ht="15">
      <c r="C1212" s="559"/>
      <c r="D1212" s="706"/>
      <c r="E1212" s="707" t="s">
        <v>1755</v>
      </c>
      <c r="F1212" s="637"/>
      <c r="G1212" s="637"/>
      <c r="H1212" s="663" t="s">
        <v>884</v>
      </c>
      <c r="I1212" s="708"/>
      <c r="J1212" s="709">
        <v>2021</v>
      </c>
      <c r="K1212" s="671">
        <v>2022</v>
      </c>
      <c r="L1212" s="671">
        <v>2023</v>
      </c>
      <c r="M1212" s="671">
        <v>2024</v>
      </c>
      <c r="N1212" s="710">
        <v>2025</v>
      </c>
    </row>
    <row r="1213" spans="1:14" ht="15" hidden="1">
      <c r="A1213" s="719" t="s">
        <v>2289</v>
      </c>
      <c r="C1213" s="559"/>
      <c r="D1213" s="706"/>
      <c r="E1213" s="698" t="s">
        <v>1714</v>
      </c>
      <c r="F1213" s="698"/>
      <c r="G1213" s="698"/>
      <c r="H1213" s="63" t="str">
        <f>IFERROR(IF([1]K_Summary!$H$1198 = "", "", [1]K_Summary!$H$1198 ),"")</f>
        <v>tonnes</v>
      </c>
      <c r="I1213" s="698"/>
      <c r="J1213" s="157" t="str">
        <f>IFERROR(IF([1]K_Summary!$J$1198 = "", "", [1]K_Summary!$J$1198 ),"")</f>
        <v/>
      </c>
      <c r="K1213" s="147" t="str">
        <f>IFERROR(IF([1]K_Summary!$K$1198 = "", "", [1]K_Summary!$K$1198 ),"")</f>
        <v/>
      </c>
      <c r="L1213" s="147" t="str">
        <f>IFERROR(IF([1]K_Summary!$L$1198 = "", "", [1]K_Summary!$L$1198 ),"")</f>
        <v/>
      </c>
      <c r="M1213" s="147" t="str">
        <f>IFERROR(IF([1]K_Summary!$M$1198 = "", "", [1]K_Summary!$M$1198 ),"")</f>
        <v/>
      </c>
      <c r="N1213" s="158" t="str">
        <f>IFERROR(IF([1]K_Summary!$N$1198 = "", "", [1]K_Summary!$N$1198 ),"")</f>
        <v/>
      </c>
    </row>
    <row r="1214" spans="1:14" ht="15" hidden="1">
      <c r="A1214" s="719" t="s">
        <v>2289</v>
      </c>
      <c r="C1214" s="559"/>
      <c r="D1214" s="706"/>
      <c r="E1214" s="720" t="s">
        <v>303</v>
      </c>
      <c r="F1214" s="720"/>
      <c r="G1214" s="720"/>
      <c r="H1214" s="721" t="s">
        <v>2090</v>
      </c>
      <c r="I1214" s="722"/>
      <c r="J1214" s="159" t="str">
        <f>IFERROR(IF([1]K_Summary!$J$1199 = "", "", [1]K_Summary!$J$1199 ),"")</f>
        <v/>
      </c>
      <c r="K1214" s="160" t="str">
        <f>IFERROR(IF([1]K_Summary!$K$1199 = "", "", [1]K_Summary!$K$1199 ),"")</f>
        <v/>
      </c>
      <c r="L1214" s="160" t="str">
        <f>IFERROR(IF([1]K_Summary!$L$1199 = "", "", [1]K_Summary!$L$1199 ),"")</f>
        <v/>
      </c>
      <c r="M1214" s="160" t="str">
        <f>IFERROR(IF([1]K_Summary!$M$1199 = "", "", [1]K_Summary!$M$1199 ),"")</f>
        <v/>
      </c>
      <c r="N1214" s="161" t="str">
        <f>IFERROR(IF([1]K_Summary!$N$1199 = "", "", [1]K_Summary!$N$1199 ),"")</f>
        <v/>
      </c>
    </row>
    <row r="1215" spans="1:14" ht="15" hidden="1">
      <c r="A1215" s="719" t="s">
        <v>2289</v>
      </c>
      <c r="C1215" s="559"/>
      <c r="D1215" s="706"/>
      <c r="E1215" s="745" t="s">
        <v>1422</v>
      </c>
      <c r="F1215" s="745"/>
      <c r="G1215" s="745"/>
      <c r="H1215" s="746" t="s">
        <v>2090</v>
      </c>
      <c r="I1215" s="747"/>
      <c r="J1215" s="186" t="str">
        <f>IFERROR(IF([1]K_Summary!$J$1200 = "", "", [1]K_Summary!$J$1200 ),"")</f>
        <v/>
      </c>
      <c r="K1215" s="187" t="str">
        <f>IFERROR(IF([1]K_Summary!$K$1200 = "", "", [1]K_Summary!$K$1200 ),"")</f>
        <v/>
      </c>
      <c r="L1215" s="187" t="str">
        <f>IFERROR(IF([1]K_Summary!$L$1200 = "", "", [1]K_Summary!$L$1200 ),"")</f>
        <v/>
      </c>
      <c r="M1215" s="187" t="str">
        <f>IFERROR(IF([1]K_Summary!$M$1200 = "", "", [1]K_Summary!$M$1200 ),"")</f>
        <v/>
      </c>
      <c r="N1215" s="188" t="str">
        <f>IFERROR(IF([1]K_Summary!$N$1200 = "", "", [1]K_Summary!$N$1200 ),"")</f>
        <v/>
      </c>
    </row>
    <row r="1216" spans="1:14" ht="15">
      <c r="C1216" s="559"/>
      <c r="D1216" s="706"/>
      <c r="E1216" s="720" t="s">
        <v>1691</v>
      </c>
      <c r="F1216" s="720"/>
      <c r="G1216" s="720"/>
      <c r="H1216" s="721" t="s">
        <v>2090</v>
      </c>
      <c r="I1216" s="722"/>
      <c r="J1216" s="195" t="str">
        <f>IFERROR(IF([1]K_Summary!$J$1201 = "", "", [1]K_Summary!$J$1201 ),"")</f>
        <v/>
      </c>
      <c r="K1216" s="196" t="str">
        <f>IFERROR(IF([1]K_Summary!$K$1201 = "", "", [1]K_Summary!$K$1201 ),"")</f>
        <v/>
      </c>
      <c r="L1216" s="196" t="str">
        <f>IFERROR(IF([1]K_Summary!$L$1201 = "", "", [1]K_Summary!$L$1201 ),"")</f>
        <v/>
      </c>
      <c r="M1216" s="196" t="str">
        <f>IFERROR(IF([1]K_Summary!$M$1201 = "", "", [1]K_Summary!$M$1201 ),"")</f>
        <v/>
      </c>
      <c r="N1216" s="197" t="str">
        <f>IFERROR(IF([1]K_Summary!$N$1201 = "", "", [1]K_Summary!$N$1201 ),"")</f>
        <v/>
      </c>
    </row>
    <row r="1217" spans="1:14" ht="15">
      <c r="C1217" s="559"/>
      <c r="D1217" s="706"/>
      <c r="E1217" s="723" t="s">
        <v>1648</v>
      </c>
      <c r="F1217" s="723"/>
      <c r="G1217" s="723"/>
      <c r="H1217" s="751" t="s">
        <v>1021</v>
      </c>
      <c r="I1217" s="735"/>
      <c r="J1217" s="174" t="str">
        <f>IFERROR(IF([1]K_Summary!$J$1202 = "", "", [1]K_Summary!$J$1202 ),"")</f>
        <v/>
      </c>
      <c r="K1217" s="175" t="str">
        <f>IFERROR(IF([1]K_Summary!$K$1202 = "", "", [1]K_Summary!$K$1202 ),"")</f>
        <v/>
      </c>
      <c r="L1217" s="175" t="str">
        <f>IFERROR(IF([1]K_Summary!$L$1202 = "", "", [1]K_Summary!$L$1202 ),"")</f>
        <v/>
      </c>
      <c r="M1217" s="175" t="str">
        <f>IFERROR(IF([1]K_Summary!$M$1202 = "", "", [1]K_Summary!$M$1202 ),"")</f>
        <v/>
      </c>
      <c r="N1217" s="176" t="str">
        <f>IFERROR(IF([1]K_Summary!$N$1202 = "", "", [1]K_Summary!$N$1202 ),"")</f>
        <v/>
      </c>
    </row>
    <row r="1218" spans="1:14" ht="15">
      <c r="C1218" s="559"/>
      <c r="D1218" s="706"/>
      <c r="E1218" s="736" t="s">
        <v>1854</v>
      </c>
      <c r="F1218" s="736"/>
      <c r="G1218" s="736"/>
      <c r="H1218" s="738" t="s">
        <v>1021</v>
      </c>
      <c r="I1218" s="738"/>
      <c r="J1218" s="177" t="str">
        <f>IFERROR(IF([1]K_Summary!$J$1203 = "", "", [1]K_Summary!$J$1203 ),"")</f>
        <v/>
      </c>
      <c r="K1218" s="178" t="str">
        <f>IFERROR(IF([1]K_Summary!$K$1203 = "", "", [1]K_Summary!$K$1203 ),"")</f>
        <v/>
      </c>
      <c r="L1218" s="178" t="str">
        <f>IFERROR(IF([1]K_Summary!$L$1203 = "", "", [1]K_Summary!$L$1203 ),"")</f>
        <v/>
      </c>
      <c r="M1218" s="178" t="str">
        <f>IFERROR(IF([1]K_Summary!$M$1203 = "", "", [1]K_Summary!$M$1203 ),"")</f>
        <v/>
      </c>
      <c r="N1218" s="179" t="str">
        <f>IFERROR(IF([1]K_Summary!$N$1203 = "", "", [1]K_Summary!$N$1203 ),"")</f>
        <v/>
      </c>
    </row>
    <row r="1219" spans="1:14" ht="15">
      <c r="C1219" s="559"/>
      <c r="D1219" s="706"/>
      <c r="E1219" s="727" t="s">
        <v>1689</v>
      </c>
      <c r="F1219" s="727"/>
      <c r="G1219" s="727"/>
      <c r="H1219" s="728" t="s">
        <v>2090</v>
      </c>
      <c r="I1219" s="729"/>
      <c r="J1219" s="198" t="str">
        <f>IFERROR(IF([1]K_Summary!$J$1204 = "", "", [1]K_Summary!$J$1204 ),"")</f>
        <v/>
      </c>
      <c r="K1219" s="199" t="str">
        <f>IFERROR(IF([1]K_Summary!$K$1204 = "", "", [1]K_Summary!$K$1204 ),"")</f>
        <v/>
      </c>
      <c r="L1219" s="199" t="str">
        <f>IFERROR(IF([1]K_Summary!$L$1204 = "", "", [1]K_Summary!$L$1204 ),"")</f>
        <v/>
      </c>
      <c r="M1219" s="199" t="str">
        <f>IFERROR(IF([1]K_Summary!$M$1204 = "", "", [1]K_Summary!$M$1204 ),"")</f>
        <v/>
      </c>
      <c r="N1219" s="200" t="str">
        <f>IFERROR(IF([1]K_Summary!$N$1204 = "", "", [1]K_Summary!$N$1204 ),"")</f>
        <v/>
      </c>
    </row>
    <row r="1220" spans="1:14" ht="15" hidden="1">
      <c r="A1220" s="719" t="s">
        <v>2289</v>
      </c>
      <c r="C1220" s="559"/>
      <c r="D1220" s="706"/>
      <c r="E1220" s="645" t="s">
        <v>1389</v>
      </c>
      <c r="F1220" s="645"/>
      <c r="G1220" s="645"/>
      <c r="H1220" s="752" t="s">
        <v>1021</v>
      </c>
      <c r="I1220" s="753"/>
      <c r="J1220" s="201" t="str">
        <f>IFERROR(IF([1]K_Summary!$J$1205 = "", "", [1]K_Summary!$J$1205 ),"")</f>
        <v/>
      </c>
      <c r="K1220" s="202" t="str">
        <f>IFERROR(IF([1]K_Summary!$K$1205 = "", "", [1]K_Summary!$K$1205 ),"")</f>
        <v/>
      </c>
      <c r="L1220" s="202" t="str">
        <f>IFERROR(IF([1]K_Summary!$L$1205 = "", "", [1]K_Summary!$L$1205 ),"")</f>
        <v/>
      </c>
      <c r="M1220" s="202" t="str">
        <f>IFERROR(IF([1]K_Summary!$M$1205 = "", "", [1]K_Summary!$M$1205 ),"")</f>
        <v/>
      </c>
      <c r="N1220" s="203" t="str">
        <f>IFERROR(IF([1]K_Summary!$N$1205 = "", "", [1]K_Summary!$N$1205 ),"")</f>
        <v/>
      </c>
    </row>
    <row r="1221" spans="1:14" ht="15" hidden="1">
      <c r="A1221" s="719" t="s">
        <v>2289</v>
      </c>
      <c r="C1221" s="559"/>
      <c r="D1221" s="706"/>
      <c r="E1221" s="727" t="s">
        <v>1391</v>
      </c>
      <c r="F1221" s="727"/>
      <c r="G1221" s="727"/>
      <c r="H1221" s="728" t="s">
        <v>1021</v>
      </c>
      <c r="I1221" s="729"/>
      <c r="J1221" s="168" t="str">
        <f>IFERROR(IF([1]K_Summary!$J$1206 = "", "", [1]K_Summary!$J$1206 ),"")</f>
        <v/>
      </c>
      <c r="K1221" s="169" t="str">
        <f>IFERROR(IF([1]K_Summary!$K$1206 = "", "", [1]K_Summary!$K$1206 ),"")</f>
        <v/>
      </c>
      <c r="L1221" s="169" t="str">
        <f>IFERROR(IF([1]K_Summary!$L$1206 = "", "", [1]K_Summary!$L$1206 ),"")</f>
        <v/>
      </c>
      <c r="M1221" s="169" t="str">
        <f>IFERROR(IF([1]K_Summary!$M$1206 = "", "", [1]K_Summary!$M$1206 ),"")</f>
        <v/>
      </c>
      <c r="N1221" s="170" t="str">
        <f>IFERROR(IF([1]K_Summary!$N$1206 = "", "", [1]K_Summary!$N$1206 ),"")</f>
        <v/>
      </c>
    </row>
    <row r="1222" spans="1:14" ht="15">
      <c r="C1222" s="559"/>
      <c r="D1222" s="706"/>
      <c r="E1222" s="698" t="s">
        <v>1671</v>
      </c>
      <c r="F1222" s="698"/>
      <c r="G1222" s="698"/>
      <c r="H1222" s="730" t="s">
        <v>2090</v>
      </c>
      <c r="I1222" s="731"/>
      <c r="J1222" s="148" t="str">
        <f>IFERROR(IF([1]K_Summary!$J$1207 = "", "", [1]K_Summary!$J$1207 ),"")</f>
        <v/>
      </c>
      <c r="K1222" s="150" t="str">
        <f>IFERROR(IF([1]K_Summary!$K$1207 = "", "", [1]K_Summary!$K$1207 ),"")</f>
        <v/>
      </c>
      <c r="L1222" s="150" t="str">
        <f>IFERROR(IF([1]K_Summary!$L$1207 = "", "", [1]K_Summary!$L$1207 ),"")</f>
        <v/>
      </c>
      <c r="M1222" s="150" t="str">
        <f>IFERROR(IF([1]K_Summary!$M$1207 = "", "", [1]K_Summary!$M$1207 ),"")</f>
        <v/>
      </c>
      <c r="N1222" s="171" t="str">
        <f>IFERROR(IF([1]K_Summary!$N$1207 = "", "", [1]K_Summary!$N$1207 ),"")</f>
        <v/>
      </c>
    </row>
    <row r="1223" spans="1:14" ht="15">
      <c r="C1223" s="559"/>
      <c r="D1223" s="706"/>
      <c r="E1223" s="698" t="s">
        <v>1670</v>
      </c>
      <c r="F1223" s="698"/>
      <c r="G1223" s="698"/>
      <c r="H1223" s="730" t="s">
        <v>2090</v>
      </c>
      <c r="I1223" s="731"/>
      <c r="J1223" s="148" t="str">
        <f>IFERROR(IF([1]K_Summary!$J$1208 = "", "", [1]K_Summary!$J$1208 ),"")</f>
        <v/>
      </c>
      <c r="K1223" s="150" t="str">
        <f>IFERROR(IF([1]K_Summary!$K$1208 = "", "", [1]K_Summary!$K$1208 ),"")</f>
        <v/>
      </c>
      <c r="L1223" s="150" t="str">
        <f>IFERROR(IF([1]K_Summary!$L$1208 = "", "", [1]K_Summary!$L$1208 ),"")</f>
        <v/>
      </c>
      <c r="M1223" s="150" t="str">
        <f>IFERROR(IF([1]K_Summary!$M$1208 = "", "", [1]K_Summary!$M$1208 ),"")</f>
        <v/>
      </c>
      <c r="N1223" s="171" t="str">
        <f>IFERROR(IF([1]K_Summary!$N$1208 = "", "", [1]K_Summary!$N$1208 ),"")</f>
        <v/>
      </c>
    </row>
    <row r="1224" spans="1:14" ht="15">
      <c r="C1224" s="559"/>
      <c r="D1224" s="706"/>
      <c r="E1224" s="740" t="s">
        <v>2133</v>
      </c>
      <c r="F1224" s="698"/>
      <c r="G1224" s="698"/>
      <c r="H1224" s="741" t="s">
        <v>1021</v>
      </c>
      <c r="I1224" s="742"/>
      <c r="J1224" s="183" t="str">
        <f>IFERROR(IF([1]K_Summary!$J$1209 = "", "", [1]K_Summary!$J$1209 ),"")</f>
        <v/>
      </c>
      <c r="K1224" s="184" t="str">
        <f>IFERROR(IF([1]K_Summary!$K$1209 = "", "", [1]K_Summary!$K$1209 ),"")</f>
        <v/>
      </c>
      <c r="L1224" s="184" t="str">
        <f>IFERROR(IF([1]K_Summary!$L$1209 = "", "", [1]K_Summary!$L$1209 ),"")</f>
        <v/>
      </c>
      <c r="M1224" s="184" t="str">
        <f>IFERROR(IF([1]K_Summary!$M$1209 = "", "", [1]K_Summary!$M$1209 ),"")</f>
        <v/>
      </c>
      <c r="N1224" s="185" t="str">
        <f>IFERROR(IF([1]K_Summary!$N$1209 = "", "", [1]K_Summary!$N$1209 ),"")</f>
        <v/>
      </c>
    </row>
    <row r="1225" spans="1:14" ht="15">
      <c r="C1225" s="559"/>
      <c r="D1225" s="706"/>
      <c r="E1225" s="485"/>
      <c r="F1225" s="485"/>
      <c r="G1225" s="485"/>
      <c r="H1225" s="485"/>
      <c r="I1225" s="743"/>
      <c r="J1225" s="485"/>
      <c r="K1225" s="485"/>
      <c r="L1225" s="485"/>
      <c r="M1225" s="485"/>
      <c r="N1225" s="744"/>
    </row>
    <row r="1226" spans="1:14" ht="15">
      <c r="C1226" s="559"/>
      <c r="D1226" s="706"/>
      <c r="E1226" s="707" t="s">
        <v>1756</v>
      </c>
      <c r="F1226" s="637"/>
      <c r="G1226" s="637"/>
      <c r="H1226" s="663" t="s">
        <v>884</v>
      </c>
      <c r="I1226" s="708"/>
      <c r="J1226" s="709">
        <v>2021</v>
      </c>
      <c r="K1226" s="671">
        <v>2022</v>
      </c>
      <c r="L1226" s="671">
        <v>2023</v>
      </c>
      <c r="M1226" s="671">
        <v>2024</v>
      </c>
      <c r="N1226" s="710">
        <v>2025</v>
      </c>
    </row>
    <row r="1227" spans="1:14" ht="15" hidden="1">
      <c r="A1227" s="719" t="s">
        <v>2289</v>
      </c>
      <c r="C1227" s="559"/>
      <c r="D1227" s="706"/>
      <c r="E1227" s="698" t="s">
        <v>1714</v>
      </c>
      <c r="F1227" s="698"/>
      <c r="G1227" s="698"/>
      <c r="H1227" s="63" t="str">
        <f>IFERROR(IF([1]K_Summary!$H$1212 = "", "", [1]K_Summary!$H$1212 ),"")</f>
        <v>tonnes</v>
      </c>
      <c r="I1227" s="698"/>
      <c r="J1227" s="157" t="str">
        <f>IFERROR(IF([1]K_Summary!$J$1212 = "", "", [1]K_Summary!$J$1212 ),"")</f>
        <v/>
      </c>
      <c r="K1227" s="147" t="str">
        <f>IFERROR(IF([1]K_Summary!$K$1212 = "", "", [1]K_Summary!$K$1212 ),"")</f>
        <v/>
      </c>
      <c r="L1227" s="147" t="str">
        <f>IFERROR(IF([1]K_Summary!$L$1212 = "", "", [1]K_Summary!$L$1212 ),"")</f>
        <v/>
      </c>
      <c r="M1227" s="147" t="str">
        <f>IFERROR(IF([1]K_Summary!$M$1212 = "", "", [1]K_Summary!$M$1212 ),"")</f>
        <v/>
      </c>
      <c r="N1227" s="158" t="str">
        <f>IFERROR(IF([1]K_Summary!$N$1212 = "", "", [1]K_Summary!$N$1212 ),"")</f>
        <v/>
      </c>
    </row>
    <row r="1228" spans="1:14" ht="15" hidden="1">
      <c r="A1228" s="719" t="s">
        <v>2289</v>
      </c>
      <c r="C1228" s="559"/>
      <c r="D1228" s="706"/>
      <c r="E1228" s="720" t="s">
        <v>303</v>
      </c>
      <c r="F1228" s="720"/>
      <c r="G1228" s="720"/>
      <c r="H1228" s="721" t="s">
        <v>2090</v>
      </c>
      <c r="I1228" s="722"/>
      <c r="J1228" s="159" t="str">
        <f>IFERROR(IF([1]K_Summary!$J$1213 = "", "", [1]K_Summary!$J$1213 ),"")</f>
        <v/>
      </c>
      <c r="K1228" s="160" t="str">
        <f>IFERROR(IF([1]K_Summary!$K$1213 = "", "", [1]K_Summary!$K$1213 ),"")</f>
        <v/>
      </c>
      <c r="L1228" s="160" t="str">
        <f>IFERROR(IF([1]K_Summary!$L$1213 = "", "", [1]K_Summary!$L$1213 ),"")</f>
        <v/>
      </c>
      <c r="M1228" s="160" t="str">
        <f>IFERROR(IF([1]K_Summary!$M$1213 = "", "", [1]K_Summary!$M$1213 ),"")</f>
        <v/>
      </c>
      <c r="N1228" s="161" t="str">
        <f>IFERROR(IF([1]K_Summary!$N$1213 = "", "", [1]K_Summary!$N$1213 ),"")</f>
        <v/>
      </c>
    </row>
    <row r="1229" spans="1:14" ht="15" hidden="1">
      <c r="A1229" s="719" t="s">
        <v>2289</v>
      </c>
      <c r="C1229" s="559"/>
      <c r="D1229" s="706"/>
      <c r="E1229" s="723" t="s">
        <v>1422</v>
      </c>
      <c r="F1229" s="723"/>
      <c r="G1229" s="723"/>
      <c r="H1229" s="724" t="s">
        <v>2090</v>
      </c>
      <c r="I1229" s="725"/>
      <c r="J1229" s="162" t="str">
        <f>IFERROR(IF([1]K_Summary!$J$1214 = "", "", [1]K_Summary!$J$1214 ),"")</f>
        <v/>
      </c>
      <c r="K1229" s="163" t="str">
        <f>IFERROR(IF([1]K_Summary!$K$1214 = "", "", [1]K_Summary!$K$1214 ),"")</f>
        <v/>
      </c>
      <c r="L1229" s="163" t="str">
        <f>IFERROR(IF([1]K_Summary!$L$1214 = "", "", [1]K_Summary!$L$1214 ),"")</f>
        <v/>
      </c>
      <c r="M1229" s="163" t="str">
        <f>IFERROR(IF([1]K_Summary!$M$1214 = "", "", [1]K_Summary!$M$1214 ),"")</f>
        <v/>
      </c>
      <c r="N1229" s="164" t="str">
        <f>IFERROR(IF([1]K_Summary!$N$1214 = "", "", [1]K_Summary!$N$1214 ),"")</f>
        <v/>
      </c>
    </row>
    <row r="1230" spans="1:14" ht="15" hidden="1">
      <c r="A1230" s="719" t="s">
        <v>2289</v>
      </c>
      <c r="C1230" s="559"/>
      <c r="D1230" s="706"/>
      <c r="E1230" s="723" t="s">
        <v>1390</v>
      </c>
      <c r="F1230" s="723"/>
      <c r="G1230" s="723"/>
      <c r="H1230" s="724" t="s">
        <v>2090</v>
      </c>
      <c r="I1230" s="725"/>
      <c r="J1230" s="162" t="str">
        <f>IFERROR(IF([1]K_Summary!$J$1215 = "", "", [1]K_Summary!$J$1215 ),"")</f>
        <v/>
      </c>
      <c r="K1230" s="163" t="str">
        <f>IFERROR(IF([1]K_Summary!$K$1215 = "", "", [1]K_Summary!$K$1215 ),"")</f>
        <v/>
      </c>
      <c r="L1230" s="163" t="str">
        <f>IFERROR(IF([1]K_Summary!$L$1215 = "", "", [1]K_Summary!$L$1215 ),"")</f>
        <v/>
      </c>
      <c r="M1230" s="163" t="str">
        <f>IFERROR(IF([1]K_Summary!$M$1215 = "", "", [1]K_Summary!$M$1215 ),"")</f>
        <v/>
      </c>
      <c r="N1230" s="164" t="str">
        <f>IFERROR(IF([1]K_Summary!$N$1215 = "", "", [1]K_Summary!$N$1215 ),"")</f>
        <v/>
      </c>
    </row>
    <row r="1231" spans="1:14" ht="15" hidden="1">
      <c r="A1231" s="719" t="s">
        <v>2289</v>
      </c>
      <c r="C1231" s="559"/>
      <c r="D1231" s="706"/>
      <c r="E1231" s="745" t="s">
        <v>1389</v>
      </c>
      <c r="F1231" s="745"/>
      <c r="G1231" s="745"/>
      <c r="H1231" s="754" t="s">
        <v>1021</v>
      </c>
      <c r="I1231" s="747"/>
      <c r="J1231" s="204" t="str">
        <f>IFERROR(IF([1]K_Summary!$J$1216 = "", "", [1]K_Summary!$J$1216 ),"")</f>
        <v/>
      </c>
      <c r="K1231" s="205" t="str">
        <f>IFERROR(IF([1]K_Summary!$K$1216 = "", "", [1]K_Summary!$K$1216 ),"")</f>
        <v/>
      </c>
      <c r="L1231" s="205" t="str">
        <f>IFERROR(IF([1]K_Summary!$L$1216 = "", "", [1]K_Summary!$L$1216 ),"")</f>
        <v/>
      </c>
      <c r="M1231" s="205" t="str">
        <f>IFERROR(IF([1]K_Summary!$M$1216 = "", "", [1]K_Summary!$M$1216 ),"")</f>
        <v/>
      </c>
      <c r="N1231" s="206" t="str">
        <f>IFERROR(IF([1]K_Summary!$N$1216 = "", "", [1]K_Summary!$N$1216 ),"")</f>
        <v/>
      </c>
    </row>
    <row r="1232" spans="1:14" ht="15">
      <c r="C1232" s="559"/>
      <c r="D1232" s="706"/>
      <c r="E1232" s="720" t="s">
        <v>1691</v>
      </c>
      <c r="F1232" s="720"/>
      <c r="G1232" s="720"/>
      <c r="H1232" s="748" t="s">
        <v>1021</v>
      </c>
      <c r="I1232" s="722"/>
      <c r="J1232" s="189" t="str">
        <f>IFERROR(IF([1]K_Summary!$J$1217 = "", "", [1]K_Summary!$J$1217 ),"")</f>
        <v/>
      </c>
      <c r="K1232" s="190" t="str">
        <f>IFERROR(IF([1]K_Summary!$K$1217 = "", "", [1]K_Summary!$K$1217 ),"")</f>
        <v/>
      </c>
      <c r="L1232" s="190" t="str">
        <f>IFERROR(IF([1]K_Summary!$L$1217 = "", "", [1]K_Summary!$L$1217 ),"")</f>
        <v/>
      </c>
      <c r="M1232" s="190" t="str">
        <f>IFERROR(IF([1]K_Summary!$M$1217 = "", "", [1]K_Summary!$M$1217 ),"")</f>
        <v/>
      </c>
      <c r="N1232" s="191" t="str">
        <f>IFERROR(IF([1]K_Summary!$N$1217 = "", "", [1]K_Summary!$N$1217 ),"")</f>
        <v/>
      </c>
    </row>
    <row r="1233" spans="1:14" ht="15">
      <c r="C1233" s="559"/>
      <c r="D1233" s="706"/>
      <c r="E1233" s="723" t="s">
        <v>1648</v>
      </c>
      <c r="F1233" s="723"/>
      <c r="G1233" s="723"/>
      <c r="H1233" s="751" t="s">
        <v>1021</v>
      </c>
      <c r="I1233" s="735"/>
      <c r="J1233" s="174" t="str">
        <f>IFERROR(IF([1]K_Summary!$J$1218 = "", "", [1]K_Summary!$J$1218 ),"")</f>
        <v/>
      </c>
      <c r="K1233" s="175" t="str">
        <f>IFERROR(IF([1]K_Summary!$K$1218 = "", "", [1]K_Summary!$K$1218 ),"")</f>
        <v/>
      </c>
      <c r="L1233" s="175" t="str">
        <f>IFERROR(IF([1]K_Summary!$L$1218 = "", "", [1]K_Summary!$L$1218 ),"")</f>
        <v/>
      </c>
      <c r="M1233" s="175" t="str">
        <f>IFERROR(IF([1]K_Summary!$M$1218 = "", "", [1]K_Summary!$M$1218 ),"")</f>
        <v/>
      </c>
      <c r="N1233" s="176" t="str">
        <f>IFERROR(IF([1]K_Summary!$N$1218 = "", "", [1]K_Summary!$N$1218 ),"")</f>
        <v/>
      </c>
    </row>
    <row r="1234" spans="1:14" ht="15">
      <c r="C1234" s="559"/>
      <c r="D1234" s="706"/>
      <c r="E1234" s="736" t="s">
        <v>1855</v>
      </c>
      <c r="F1234" s="736"/>
      <c r="G1234" s="736"/>
      <c r="H1234" s="738" t="s">
        <v>1021</v>
      </c>
      <c r="I1234" s="738"/>
      <c r="J1234" s="177" t="str">
        <f>IFERROR(IF([1]K_Summary!$J$1219 = "", "", [1]K_Summary!$J$1219 ),"")</f>
        <v/>
      </c>
      <c r="K1234" s="178" t="str">
        <f>IFERROR(IF([1]K_Summary!$K$1219 = "", "", [1]K_Summary!$K$1219 ),"")</f>
        <v/>
      </c>
      <c r="L1234" s="178" t="str">
        <f>IFERROR(IF([1]K_Summary!$L$1219 = "", "", [1]K_Summary!$L$1219 ),"")</f>
        <v/>
      </c>
      <c r="M1234" s="178" t="str">
        <f>IFERROR(IF([1]K_Summary!$M$1219 = "", "", [1]K_Summary!$M$1219 ),"")</f>
        <v/>
      </c>
      <c r="N1234" s="179" t="str">
        <f>IFERROR(IF([1]K_Summary!$N$1219 = "", "", [1]K_Summary!$N$1219 ),"")</f>
        <v/>
      </c>
    </row>
    <row r="1235" spans="1:14" ht="15">
      <c r="C1235" s="559"/>
      <c r="D1235" s="706"/>
      <c r="E1235" s="727" t="s">
        <v>1689</v>
      </c>
      <c r="F1235" s="727"/>
      <c r="G1235" s="727"/>
      <c r="H1235" s="728" t="s">
        <v>1021</v>
      </c>
      <c r="I1235" s="729"/>
      <c r="J1235" s="192" t="str">
        <f>IFERROR(IF([1]K_Summary!$J$1220 = "", "", [1]K_Summary!$J$1220 ),"")</f>
        <v/>
      </c>
      <c r="K1235" s="193" t="str">
        <f>IFERROR(IF([1]K_Summary!$K$1220 = "", "", [1]K_Summary!$K$1220 ),"")</f>
        <v/>
      </c>
      <c r="L1235" s="193" t="str">
        <f>IFERROR(IF([1]K_Summary!$L$1220 = "", "", [1]K_Summary!$L$1220 ),"")</f>
        <v/>
      </c>
      <c r="M1235" s="193" t="str">
        <f>IFERROR(IF([1]K_Summary!$M$1220 = "", "", [1]K_Summary!$M$1220 ),"")</f>
        <v/>
      </c>
      <c r="N1235" s="194" t="str">
        <f>IFERROR(IF([1]K_Summary!$N$1220 = "", "", [1]K_Summary!$N$1220 ),"")</f>
        <v/>
      </c>
    </row>
    <row r="1236" spans="1:14" ht="15">
      <c r="C1236" s="559"/>
      <c r="D1236" s="706"/>
      <c r="E1236" s="698" t="s">
        <v>1671</v>
      </c>
      <c r="F1236" s="698"/>
      <c r="G1236" s="698"/>
      <c r="H1236" s="730" t="s">
        <v>2090</v>
      </c>
      <c r="I1236" s="731"/>
      <c r="J1236" s="148" t="str">
        <f>IFERROR(IF([1]K_Summary!$J$1221 = "", "", [1]K_Summary!$J$1221 ),"")</f>
        <v/>
      </c>
      <c r="K1236" s="150" t="str">
        <f>IFERROR(IF([1]K_Summary!$K$1221 = "", "", [1]K_Summary!$K$1221 ),"")</f>
        <v/>
      </c>
      <c r="L1236" s="150" t="str">
        <f>IFERROR(IF([1]K_Summary!$L$1221 = "", "", [1]K_Summary!$L$1221 ),"")</f>
        <v/>
      </c>
      <c r="M1236" s="150" t="str">
        <f>IFERROR(IF([1]K_Summary!$M$1221 = "", "", [1]K_Summary!$M$1221 ),"")</f>
        <v/>
      </c>
      <c r="N1236" s="171" t="str">
        <f>IFERROR(IF([1]K_Summary!$N$1221 = "", "", [1]K_Summary!$N$1221 ),"")</f>
        <v/>
      </c>
    </row>
    <row r="1237" spans="1:14" ht="15">
      <c r="C1237" s="559"/>
      <c r="D1237" s="706"/>
      <c r="E1237" s="698" t="s">
        <v>1670</v>
      </c>
      <c r="F1237" s="698"/>
      <c r="G1237" s="698"/>
      <c r="H1237" s="730" t="s">
        <v>2090</v>
      </c>
      <c r="I1237" s="731"/>
      <c r="J1237" s="148" t="str">
        <f>IFERROR(IF([1]K_Summary!$J$1222 = "", "", [1]K_Summary!$J$1222 ),"")</f>
        <v/>
      </c>
      <c r="K1237" s="150" t="str">
        <f>IFERROR(IF([1]K_Summary!$K$1222 = "", "", [1]K_Summary!$K$1222 ),"")</f>
        <v/>
      </c>
      <c r="L1237" s="150" t="str">
        <f>IFERROR(IF([1]K_Summary!$L$1222 = "", "", [1]K_Summary!$L$1222 ),"")</f>
        <v/>
      </c>
      <c r="M1237" s="150" t="str">
        <f>IFERROR(IF([1]K_Summary!$M$1222 = "", "", [1]K_Summary!$M$1222 ),"")</f>
        <v/>
      </c>
      <c r="N1237" s="171" t="str">
        <f>IFERROR(IF([1]K_Summary!$N$1222 = "", "", [1]K_Summary!$N$1222 ),"")</f>
        <v/>
      </c>
    </row>
    <row r="1238" spans="1:14" ht="15">
      <c r="C1238" s="559"/>
      <c r="D1238" s="706"/>
      <c r="E1238" s="740" t="s">
        <v>2134</v>
      </c>
      <c r="F1238" s="698"/>
      <c r="G1238" s="698"/>
      <c r="H1238" s="741" t="s">
        <v>1021</v>
      </c>
      <c r="I1238" s="742"/>
      <c r="J1238" s="183" t="str">
        <f>IFERROR(IF([1]K_Summary!$J$1223 = "", "", [1]K_Summary!$J$1223 ),"")</f>
        <v/>
      </c>
      <c r="K1238" s="184" t="str">
        <f>IFERROR(IF([1]K_Summary!$K$1223 = "", "", [1]K_Summary!$K$1223 ),"")</f>
        <v/>
      </c>
      <c r="L1238" s="184" t="str">
        <f>IFERROR(IF([1]K_Summary!$L$1223 = "", "", [1]K_Summary!$L$1223 ),"")</f>
        <v/>
      </c>
      <c r="M1238" s="184" t="str">
        <f>IFERROR(IF([1]K_Summary!$M$1223 = "", "", [1]K_Summary!$M$1223 ),"")</f>
        <v/>
      </c>
      <c r="N1238" s="185" t="str">
        <f>IFERROR(IF([1]K_Summary!$N$1223 = "", "", [1]K_Summary!$N$1223 ),"")</f>
        <v/>
      </c>
    </row>
    <row r="1239" spans="1:14" ht="15">
      <c r="C1239" s="559"/>
      <c r="D1239" s="706"/>
      <c r="E1239" s="485"/>
      <c r="F1239" s="485"/>
      <c r="G1239" s="485"/>
      <c r="H1239" s="485"/>
      <c r="I1239" s="743"/>
      <c r="J1239" s="485"/>
      <c r="K1239" s="485"/>
      <c r="L1239" s="485"/>
      <c r="M1239" s="485"/>
      <c r="N1239" s="744"/>
    </row>
    <row r="1240" spans="1:14" ht="15">
      <c r="C1240" s="559"/>
      <c r="D1240" s="706"/>
      <c r="E1240" s="707" t="s">
        <v>1757</v>
      </c>
      <c r="F1240" s="637"/>
      <c r="G1240" s="637"/>
      <c r="H1240" s="663" t="s">
        <v>884</v>
      </c>
      <c r="I1240" s="708"/>
      <c r="J1240" s="709">
        <v>2021</v>
      </c>
      <c r="K1240" s="671">
        <v>2022</v>
      </c>
      <c r="L1240" s="671">
        <v>2023</v>
      </c>
      <c r="M1240" s="671">
        <v>2024</v>
      </c>
      <c r="N1240" s="710">
        <v>2025</v>
      </c>
    </row>
    <row r="1241" spans="1:14" ht="15" hidden="1">
      <c r="A1241" s="719" t="s">
        <v>2289</v>
      </c>
      <c r="C1241" s="559"/>
      <c r="D1241" s="706"/>
      <c r="E1241" s="698" t="s">
        <v>1714</v>
      </c>
      <c r="F1241" s="698"/>
      <c r="G1241" s="698"/>
      <c r="H1241" s="63" t="str">
        <f>IFERROR(IF([1]K_Summary!$H$1226 = "", "", [1]K_Summary!$H$1226 ),"")</f>
        <v>tonnes</v>
      </c>
      <c r="I1241" s="698"/>
      <c r="J1241" s="157" t="str">
        <f>IFERROR(IF([1]K_Summary!$J$1226 = "", "", [1]K_Summary!$J$1226 ),"")</f>
        <v/>
      </c>
      <c r="K1241" s="147" t="str">
        <f>IFERROR(IF([1]K_Summary!$K$1226 = "", "", [1]K_Summary!$K$1226 ),"")</f>
        <v/>
      </c>
      <c r="L1241" s="147" t="str">
        <f>IFERROR(IF([1]K_Summary!$L$1226 = "", "", [1]K_Summary!$L$1226 ),"")</f>
        <v/>
      </c>
      <c r="M1241" s="147" t="str">
        <f>IFERROR(IF([1]K_Summary!$M$1226 = "", "", [1]K_Summary!$M$1226 ),"")</f>
        <v/>
      </c>
      <c r="N1241" s="158" t="str">
        <f>IFERROR(IF([1]K_Summary!$N$1226 = "", "", [1]K_Summary!$N$1226 ),"")</f>
        <v/>
      </c>
    </row>
    <row r="1242" spans="1:14" ht="15" hidden="1">
      <c r="A1242" s="719" t="s">
        <v>2289</v>
      </c>
      <c r="C1242" s="559"/>
      <c r="D1242" s="706"/>
      <c r="E1242" s="720" t="s">
        <v>303</v>
      </c>
      <c r="F1242" s="720"/>
      <c r="G1242" s="720"/>
      <c r="H1242" s="721" t="s">
        <v>2090</v>
      </c>
      <c r="I1242" s="722"/>
      <c r="J1242" s="159" t="str">
        <f>IFERROR(IF([1]K_Summary!$J$1227 = "", "", [1]K_Summary!$J$1227 ),"")</f>
        <v/>
      </c>
      <c r="K1242" s="160" t="str">
        <f>IFERROR(IF([1]K_Summary!$K$1227 = "", "", [1]K_Summary!$K$1227 ),"")</f>
        <v/>
      </c>
      <c r="L1242" s="160" t="str">
        <f>IFERROR(IF([1]K_Summary!$L$1227 = "", "", [1]K_Summary!$L$1227 ),"")</f>
        <v/>
      </c>
      <c r="M1242" s="160" t="str">
        <f>IFERROR(IF([1]K_Summary!$M$1227 = "", "", [1]K_Summary!$M$1227 ),"")</f>
        <v/>
      </c>
      <c r="N1242" s="161" t="str">
        <f>IFERROR(IF([1]K_Summary!$N$1227 = "", "", [1]K_Summary!$N$1227 ),"")</f>
        <v/>
      </c>
    </row>
    <row r="1243" spans="1:14" ht="15">
      <c r="C1243" s="559"/>
      <c r="D1243" s="706"/>
      <c r="E1243" s="720" t="s">
        <v>1691</v>
      </c>
      <c r="F1243" s="720"/>
      <c r="G1243" s="720"/>
      <c r="H1243" s="748" t="s">
        <v>471</v>
      </c>
      <c r="I1243" s="722"/>
      <c r="J1243" s="172" t="str">
        <f>IFERROR(IF([1]K_Summary!$J$1228 = "", "", [1]K_Summary!$J$1228 ),"")</f>
        <v/>
      </c>
      <c r="K1243" s="54" t="str">
        <f>IFERROR(IF([1]K_Summary!$K$1228 = "", "", [1]K_Summary!$K$1228 ),"")</f>
        <v/>
      </c>
      <c r="L1243" s="54" t="str">
        <f>IFERROR(IF([1]K_Summary!$L$1228 = "", "", [1]K_Summary!$L$1228 ),"")</f>
        <v/>
      </c>
      <c r="M1243" s="54" t="str">
        <f>IFERROR(IF([1]K_Summary!$M$1228 = "", "", [1]K_Summary!$M$1228 ),"")</f>
        <v/>
      </c>
      <c r="N1243" s="173" t="str">
        <f>IFERROR(IF([1]K_Summary!$N$1228 = "", "", [1]K_Summary!$N$1228 ),"")</f>
        <v/>
      </c>
    </row>
    <row r="1244" spans="1:14" ht="15">
      <c r="C1244" s="559"/>
      <c r="D1244" s="706"/>
      <c r="E1244" s="723" t="s">
        <v>1648</v>
      </c>
      <c r="F1244" s="723"/>
      <c r="G1244" s="723"/>
      <c r="H1244" s="734" t="s">
        <v>1021</v>
      </c>
      <c r="I1244" s="735"/>
      <c r="J1244" s="174" t="str">
        <f>IFERROR(IF([1]K_Summary!$J$1229 = "", "", [1]K_Summary!$J$1229 ),"")</f>
        <v/>
      </c>
      <c r="K1244" s="175" t="str">
        <f>IFERROR(IF([1]K_Summary!$K$1229 = "", "", [1]K_Summary!$K$1229 ),"")</f>
        <v/>
      </c>
      <c r="L1244" s="175" t="str">
        <f>IFERROR(IF([1]K_Summary!$L$1229 = "", "", [1]K_Summary!$L$1229 ),"")</f>
        <v/>
      </c>
      <c r="M1244" s="175" t="str">
        <f>IFERROR(IF([1]K_Summary!$M$1229 = "", "", [1]K_Summary!$M$1229 ),"")</f>
        <v/>
      </c>
      <c r="N1244" s="176" t="str">
        <f>IFERROR(IF([1]K_Summary!$N$1229 = "", "", [1]K_Summary!$N$1229 ),"")</f>
        <v/>
      </c>
    </row>
    <row r="1245" spans="1:14" ht="15">
      <c r="C1245" s="559"/>
      <c r="D1245" s="706"/>
      <c r="E1245" s="736" t="s">
        <v>1856</v>
      </c>
      <c r="F1245" s="736"/>
      <c r="G1245" s="736"/>
      <c r="H1245" s="737" t="s">
        <v>1021</v>
      </c>
      <c r="I1245" s="738"/>
      <c r="J1245" s="177" t="str">
        <f>IFERROR(IF([1]K_Summary!$J$1230 = "", "", [1]K_Summary!$J$1230 ),"")</f>
        <v/>
      </c>
      <c r="K1245" s="178" t="str">
        <f>IFERROR(IF([1]K_Summary!$K$1230 = "", "", [1]K_Summary!$K$1230 ),"")</f>
        <v/>
      </c>
      <c r="L1245" s="178" t="str">
        <f>IFERROR(IF([1]K_Summary!$L$1230 = "", "", [1]K_Summary!$L$1230 ),"")</f>
        <v/>
      </c>
      <c r="M1245" s="178" t="str">
        <f>IFERROR(IF([1]K_Summary!$M$1230 = "", "", [1]K_Summary!$M$1230 ),"")</f>
        <v/>
      </c>
      <c r="N1245" s="179" t="str">
        <f>IFERROR(IF([1]K_Summary!$N$1230 = "", "", [1]K_Summary!$N$1230 ),"")</f>
        <v/>
      </c>
    </row>
    <row r="1246" spans="1:14" ht="15">
      <c r="C1246" s="559"/>
      <c r="D1246" s="706"/>
      <c r="E1246" s="727" t="s">
        <v>1689</v>
      </c>
      <c r="F1246" s="727"/>
      <c r="G1246" s="727"/>
      <c r="H1246" s="728" t="s">
        <v>471</v>
      </c>
      <c r="I1246" s="729"/>
      <c r="J1246" s="180" t="str">
        <f>IFERROR(IF([1]K_Summary!$J$1231 = "", "", [1]K_Summary!$J$1231 ),"")</f>
        <v/>
      </c>
      <c r="K1246" s="181" t="str">
        <f>IFERROR(IF([1]K_Summary!$K$1231 = "", "", [1]K_Summary!$K$1231 ),"")</f>
        <v/>
      </c>
      <c r="L1246" s="181" t="str">
        <f>IFERROR(IF([1]K_Summary!$L$1231 = "", "", [1]K_Summary!$L$1231 ),"")</f>
        <v/>
      </c>
      <c r="M1246" s="181" t="str">
        <f>IFERROR(IF([1]K_Summary!$M$1231 = "", "", [1]K_Summary!$M$1231 ),"")</f>
        <v/>
      </c>
      <c r="N1246" s="182" t="str">
        <f>IFERROR(IF([1]K_Summary!$N$1231 = "", "", [1]K_Summary!$N$1231 ),"")</f>
        <v/>
      </c>
    </row>
    <row r="1247" spans="1:14" ht="15" hidden="1">
      <c r="A1247" s="719" t="s">
        <v>2289</v>
      </c>
      <c r="C1247" s="559"/>
      <c r="D1247" s="706"/>
      <c r="E1247" s="723" t="s">
        <v>1390</v>
      </c>
      <c r="F1247" s="723"/>
      <c r="G1247" s="723"/>
      <c r="H1247" s="724" t="s">
        <v>2090</v>
      </c>
      <c r="I1247" s="725"/>
      <c r="J1247" s="162" t="str">
        <f>IFERROR(IF([1]K_Summary!$J$1232 = "", "", [1]K_Summary!$J$1232 ),"")</f>
        <v/>
      </c>
      <c r="K1247" s="163" t="str">
        <f>IFERROR(IF([1]K_Summary!$K$1232 = "", "", [1]K_Summary!$K$1232 ),"")</f>
        <v/>
      </c>
      <c r="L1247" s="163" t="str">
        <f>IFERROR(IF([1]K_Summary!$L$1232 = "", "", [1]K_Summary!$L$1232 ),"")</f>
        <v/>
      </c>
      <c r="M1247" s="163" t="str">
        <f>IFERROR(IF([1]K_Summary!$M$1232 = "", "", [1]K_Summary!$M$1232 ),"")</f>
        <v/>
      </c>
      <c r="N1247" s="164" t="str">
        <f>IFERROR(IF([1]K_Summary!$N$1232 = "", "", [1]K_Summary!$N$1232 ),"")</f>
        <v/>
      </c>
    </row>
    <row r="1248" spans="1:14" ht="15" hidden="1">
      <c r="A1248" s="719" t="s">
        <v>2289</v>
      </c>
      <c r="C1248" s="559"/>
      <c r="D1248" s="706"/>
      <c r="E1248" s="723" t="s">
        <v>1389</v>
      </c>
      <c r="F1248" s="723"/>
      <c r="G1248" s="723"/>
      <c r="H1248" s="726" t="s">
        <v>1021</v>
      </c>
      <c r="I1248" s="725"/>
      <c r="J1248" s="165" t="str">
        <f>IFERROR(IF([1]K_Summary!$J$1233 = "", "", [1]K_Summary!$J$1233 ),"")</f>
        <v/>
      </c>
      <c r="K1248" s="166" t="str">
        <f>IFERROR(IF([1]K_Summary!$K$1233 = "", "", [1]K_Summary!$K$1233 ),"")</f>
        <v/>
      </c>
      <c r="L1248" s="166" t="str">
        <f>IFERROR(IF([1]K_Summary!$L$1233 = "", "", [1]K_Summary!$L$1233 ),"")</f>
        <v/>
      </c>
      <c r="M1248" s="166" t="str">
        <f>IFERROR(IF([1]K_Summary!$M$1233 = "", "", [1]K_Summary!$M$1233 ),"")</f>
        <v/>
      </c>
      <c r="N1248" s="167" t="str">
        <f>IFERROR(IF([1]K_Summary!$N$1233 = "", "", [1]K_Summary!$N$1233 ),"")</f>
        <v/>
      </c>
    </row>
    <row r="1249" spans="1:14" ht="15" hidden="1">
      <c r="A1249" s="719" t="s">
        <v>2289</v>
      </c>
      <c r="C1249" s="559"/>
      <c r="D1249" s="706"/>
      <c r="E1249" s="727" t="s">
        <v>1391</v>
      </c>
      <c r="F1249" s="727"/>
      <c r="G1249" s="727"/>
      <c r="H1249" s="728" t="s">
        <v>1021</v>
      </c>
      <c r="I1249" s="729"/>
      <c r="J1249" s="168" t="str">
        <f>IFERROR(IF([1]K_Summary!$J$1234 = "", "", [1]K_Summary!$J$1234 ),"")</f>
        <v/>
      </c>
      <c r="K1249" s="169" t="str">
        <f>IFERROR(IF([1]K_Summary!$K$1234 = "", "", [1]K_Summary!$K$1234 ),"")</f>
        <v/>
      </c>
      <c r="L1249" s="169" t="str">
        <f>IFERROR(IF([1]K_Summary!$L$1234 = "", "", [1]K_Summary!$L$1234 ),"")</f>
        <v/>
      </c>
      <c r="M1249" s="169" t="str">
        <f>IFERROR(IF([1]K_Summary!$M$1234 = "", "", [1]K_Summary!$M$1234 ),"")</f>
        <v/>
      </c>
      <c r="N1249" s="170" t="str">
        <f>IFERROR(IF([1]K_Summary!$N$1234 = "", "", [1]K_Summary!$N$1234 ),"")</f>
        <v/>
      </c>
    </row>
    <row r="1250" spans="1:14" ht="15">
      <c r="C1250" s="559"/>
      <c r="D1250" s="706"/>
      <c r="E1250" s="698" t="s">
        <v>1671</v>
      </c>
      <c r="F1250" s="698"/>
      <c r="G1250" s="698"/>
      <c r="H1250" s="730" t="s">
        <v>2090</v>
      </c>
      <c r="I1250" s="731"/>
      <c r="J1250" s="148" t="str">
        <f>IFERROR(IF([1]K_Summary!$J$1235 = "", "", [1]K_Summary!$J$1235 ),"")</f>
        <v/>
      </c>
      <c r="K1250" s="150" t="str">
        <f>IFERROR(IF([1]K_Summary!$K$1235 = "", "", [1]K_Summary!$K$1235 ),"")</f>
        <v/>
      </c>
      <c r="L1250" s="150" t="str">
        <f>IFERROR(IF([1]K_Summary!$L$1235 = "", "", [1]K_Summary!$L$1235 ),"")</f>
        <v/>
      </c>
      <c r="M1250" s="150" t="str">
        <f>IFERROR(IF([1]K_Summary!$M$1235 = "", "", [1]K_Summary!$M$1235 ),"")</f>
        <v/>
      </c>
      <c r="N1250" s="171" t="str">
        <f>IFERROR(IF([1]K_Summary!$N$1235 = "", "", [1]K_Summary!$N$1235 ),"")</f>
        <v/>
      </c>
    </row>
    <row r="1251" spans="1:14" ht="15">
      <c r="C1251" s="559"/>
      <c r="D1251" s="706"/>
      <c r="E1251" s="698" t="s">
        <v>1670</v>
      </c>
      <c r="F1251" s="698"/>
      <c r="G1251" s="698"/>
      <c r="H1251" s="730" t="s">
        <v>2090</v>
      </c>
      <c r="I1251" s="731"/>
      <c r="J1251" s="148" t="str">
        <f>IFERROR(IF([1]K_Summary!$J$1236 = "", "", [1]K_Summary!$J$1236 ),"")</f>
        <v/>
      </c>
      <c r="K1251" s="150" t="str">
        <f>IFERROR(IF([1]K_Summary!$K$1236 = "", "", [1]K_Summary!$K$1236 ),"")</f>
        <v/>
      </c>
      <c r="L1251" s="150" t="str">
        <f>IFERROR(IF([1]K_Summary!$L$1236 = "", "", [1]K_Summary!$L$1236 ),"")</f>
        <v/>
      </c>
      <c r="M1251" s="150" t="str">
        <f>IFERROR(IF([1]K_Summary!$M$1236 = "", "", [1]K_Summary!$M$1236 ),"")</f>
        <v/>
      </c>
      <c r="N1251" s="171" t="str">
        <f>IFERROR(IF([1]K_Summary!$N$1236 = "", "", [1]K_Summary!$N$1236 ),"")</f>
        <v/>
      </c>
    </row>
    <row r="1252" spans="1:14" ht="15">
      <c r="C1252" s="559"/>
      <c r="D1252" s="706"/>
      <c r="E1252" s="740" t="s">
        <v>2135</v>
      </c>
      <c r="F1252" s="698"/>
      <c r="G1252" s="698"/>
      <c r="H1252" s="741" t="s">
        <v>1021</v>
      </c>
      <c r="I1252" s="742"/>
      <c r="J1252" s="183" t="str">
        <f>IFERROR(IF([1]K_Summary!$J$1237 = "", "", [1]K_Summary!$J$1237 ),"")</f>
        <v/>
      </c>
      <c r="K1252" s="184" t="str">
        <f>IFERROR(IF([1]K_Summary!$K$1237 = "", "", [1]K_Summary!$K$1237 ),"")</f>
        <v/>
      </c>
      <c r="L1252" s="184" t="str">
        <f>IFERROR(IF([1]K_Summary!$L$1237 = "", "", [1]K_Summary!$L$1237 ),"")</f>
        <v/>
      </c>
      <c r="M1252" s="184" t="str">
        <f>IFERROR(IF([1]K_Summary!$M$1237 = "", "", [1]K_Summary!$M$1237 ),"")</f>
        <v/>
      </c>
      <c r="N1252" s="185" t="str">
        <f>IFERROR(IF([1]K_Summary!$N$1237 = "", "", [1]K_Summary!$N$1237 ),"")</f>
        <v/>
      </c>
    </row>
    <row r="1253" spans="1:14" ht="15.75" thickBot="1">
      <c r="C1253" s="559"/>
      <c r="D1253" s="755"/>
      <c r="E1253" s="756"/>
      <c r="F1253" s="756"/>
      <c r="G1253" s="756"/>
      <c r="H1253" s="756"/>
      <c r="I1253" s="757"/>
      <c r="J1253" s="756"/>
      <c r="K1253" s="756"/>
      <c r="L1253" s="756"/>
      <c r="M1253" s="756"/>
      <c r="N1253" s="758"/>
    </row>
    <row r="1254" spans="1:14" ht="15.75" thickBot="1">
      <c r="C1254" s="559"/>
      <c r="D1254" s="559"/>
      <c r="E1254" s="485"/>
      <c r="F1254" s="485"/>
      <c r="G1254" s="485"/>
      <c r="H1254" s="485"/>
      <c r="I1254" s="743"/>
      <c r="J1254" s="485"/>
      <c r="K1254" s="485"/>
      <c r="L1254" s="485"/>
      <c r="M1254" s="485"/>
      <c r="N1254" s="485"/>
    </row>
    <row r="1255" spans="1:14">
      <c r="C1255" s="485"/>
      <c r="D1255" s="759"/>
      <c r="E1255" s="760"/>
      <c r="F1255" s="760"/>
      <c r="G1255" s="760"/>
      <c r="H1255" s="760"/>
      <c r="I1255" s="761"/>
      <c r="J1255" s="760"/>
      <c r="K1255" s="760"/>
      <c r="L1255" s="760"/>
      <c r="M1255" s="760"/>
      <c r="N1255" s="762"/>
    </row>
    <row r="1256" spans="1:14">
      <c r="C1256" s="485"/>
      <c r="D1256" s="539"/>
      <c r="E1256" s="496" t="s">
        <v>1786</v>
      </c>
      <c r="F1256" s="485"/>
      <c r="G1256" s="485"/>
      <c r="H1256" s="663" t="s">
        <v>884</v>
      </c>
      <c r="I1256" s="763" t="s">
        <v>1675</v>
      </c>
      <c r="J1256" s="709">
        <v>2021</v>
      </c>
      <c r="K1256" s="671">
        <v>2022</v>
      </c>
      <c r="L1256" s="671">
        <v>2023</v>
      </c>
      <c r="M1256" s="671">
        <v>2024</v>
      </c>
      <c r="N1256" s="710">
        <v>2025</v>
      </c>
    </row>
    <row r="1257" spans="1:14">
      <c r="C1257" s="485"/>
      <c r="D1257" s="539"/>
      <c r="E1257" s="720" t="s">
        <v>1714</v>
      </c>
      <c r="F1257" s="720"/>
      <c r="G1257" s="720"/>
      <c r="H1257" s="67" t="str">
        <f>IFERROR(IF([1]K_Summary!$H$1242 = "", "", [1]K_Summary!$H$1242 ),"")</f>
        <v>tonnes</v>
      </c>
      <c r="I1257" s="207" t="str">
        <f>IFERROR(IF([1]K_Summary!$I$1242 = "", "", [1]K_Summary!$I$1242 ),"")</f>
        <v/>
      </c>
      <c r="J1257" s="172" t="str">
        <f>IFERROR(IF([1]K_Summary!$J$1242 = "", "", [1]K_Summary!$J$1242 ),"")</f>
        <v/>
      </c>
      <c r="K1257" s="54" t="str">
        <f>IFERROR(IF([1]K_Summary!$K$1242 = "", "", [1]K_Summary!$K$1242 ),"")</f>
        <v/>
      </c>
      <c r="L1257" s="54" t="str">
        <f>IFERROR(IF([1]K_Summary!$L$1242 = "", "", [1]K_Summary!$L$1242 ),"")</f>
        <v/>
      </c>
      <c r="M1257" s="54" t="str">
        <f>IFERROR(IF([1]K_Summary!$M$1242 = "", "", [1]K_Summary!$M$1242 ),"")</f>
        <v/>
      </c>
      <c r="N1257" s="173" t="str">
        <f>IFERROR(IF([1]K_Summary!$N$1242 = "", "", [1]K_Summary!$N$1242 ),"")</f>
        <v/>
      </c>
    </row>
    <row r="1258" spans="1:14">
      <c r="C1258" s="485"/>
      <c r="D1258" s="539"/>
      <c r="E1258" s="645" t="s">
        <v>303</v>
      </c>
      <c r="F1258" s="645"/>
      <c r="G1258" s="645"/>
      <c r="H1258" s="765" t="s">
        <v>2090</v>
      </c>
      <c r="I1258" s="208" t="str">
        <f>IFERROR(IF([1]K_Summary!$I$1243 = "", "", [1]K_Summary!$I$1243 ),"")</f>
        <v/>
      </c>
      <c r="J1258" s="209" t="str">
        <f>IFERROR(IF([1]K_Summary!$J$1243 = "", "", [1]K_Summary!$J$1243 ),"")</f>
        <v/>
      </c>
      <c r="K1258" s="210" t="str">
        <f>IFERROR(IF([1]K_Summary!$K$1243 = "", "", [1]K_Summary!$K$1243 ),"")</f>
        <v/>
      </c>
      <c r="L1258" s="210" t="str">
        <f>IFERROR(IF([1]K_Summary!$L$1243 = "", "", [1]K_Summary!$L$1243 ),"")</f>
        <v/>
      </c>
      <c r="M1258" s="210" t="str">
        <f>IFERROR(IF([1]K_Summary!$M$1243 = "", "", [1]K_Summary!$M$1243 ),"")</f>
        <v/>
      </c>
      <c r="N1258" s="211" t="str">
        <f>IFERROR(IF([1]K_Summary!$N$1243 = "", "", [1]K_Summary!$N$1243 ),"")</f>
        <v/>
      </c>
    </row>
    <row r="1259" spans="1:14">
      <c r="C1259" s="485"/>
      <c r="D1259" s="539"/>
      <c r="E1259" s="723" t="s">
        <v>1422</v>
      </c>
      <c r="F1259" s="723"/>
      <c r="G1259" s="723"/>
      <c r="H1259" s="724" t="s">
        <v>2090</v>
      </c>
      <c r="I1259" s="212" t="str">
        <f>IFERROR(IF([1]K_Summary!$I$1244 = "", "", [1]K_Summary!$I$1244 ),"")</f>
        <v/>
      </c>
      <c r="J1259" s="213" t="str">
        <f>IFERROR(IF([1]K_Summary!$J$1244 = "", "", [1]K_Summary!$J$1244 ),"")</f>
        <v/>
      </c>
      <c r="K1259" s="214" t="str">
        <f>IFERROR(IF([1]K_Summary!$K$1244 = "", "", [1]K_Summary!$K$1244 ),"")</f>
        <v/>
      </c>
      <c r="L1259" s="214" t="str">
        <f>IFERROR(IF([1]K_Summary!$L$1244 = "", "", [1]K_Summary!$L$1244 ),"")</f>
        <v/>
      </c>
      <c r="M1259" s="214" t="str">
        <f>IFERROR(IF([1]K_Summary!$M$1244 = "", "", [1]K_Summary!$M$1244 ),"")</f>
        <v/>
      </c>
      <c r="N1259" s="215" t="str">
        <f>IFERROR(IF([1]K_Summary!$N$1244 = "", "", [1]K_Summary!$N$1244 ),"")</f>
        <v/>
      </c>
    </row>
    <row r="1260" spans="1:14">
      <c r="C1260" s="485"/>
      <c r="D1260" s="539"/>
      <c r="E1260" s="723" t="s">
        <v>1390</v>
      </c>
      <c r="F1260" s="723"/>
      <c r="G1260" s="723"/>
      <c r="H1260" s="724" t="s">
        <v>2090</v>
      </c>
      <c r="I1260" s="212" t="str">
        <f>IFERROR(IF([1]K_Summary!$I$1245 = "", "", [1]K_Summary!$I$1245 ),"")</f>
        <v/>
      </c>
      <c r="J1260" s="213" t="str">
        <f>IFERROR(IF([1]K_Summary!$J$1245 = "", "", [1]K_Summary!$J$1245 ),"")</f>
        <v/>
      </c>
      <c r="K1260" s="214" t="str">
        <f>IFERROR(IF([1]K_Summary!$K$1245 = "", "", [1]K_Summary!$K$1245 ),"")</f>
        <v/>
      </c>
      <c r="L1260" s="214" t="str">
        <f>IFERROR(IF([1]K_Summary!$L$1245 = "", "", [1]K_Summary!$L$1245 ),"")</f>
        <v/>
      </c>
      <c r="M1260" s="214" t="str">
        <f>IFERROR(IF([1]K_Summary!$M$1245 = "", "", [1]K_Summary!$M$1245 ),"")</f>
        <v/>
      </c>
      <c r="N1260" s="215" t="str">
        <f>IFERROR(IF([1]K_Summary!$N$1245 = "", "", [1]K_Summary!$N$1245 ),"")</f>
        <v/>
      </c>
    </row>
    <row r="1261" spans="1:14">
      <c r="C1261" s="485"/>
      <c r="D1261" s="539"/>
      <c r="E1261" s="723" t="s">
        <v>1389</v>
      </c>
      <c r="F1261" s="723"/>
      <c r="G1261" s="723"/>
      <c r="H1261" s="726" t="s">
        <v>1021</v>
      </c>
      <c r="I1261" s="216" t="str">
        <f>IFERROR(IF([1]K_Summary!$I$1246 = "", "", [1]K_Summary!$I$1246 ),"")</f>
        <v/>
      </c>
      <c r="J1261" s="217" t="str">
        <f>IFERROR(IF([1]K_Summary!$J$1246 = "", "", [1]K_Summary!$J$1246 ),"")</f>
        <v/>
      </c>
      <c r="K1261" s="218" t="str">
        <f>IFERROR(IF([1]K_Summary!$K$1246 = "", "", [1]K_Summary!$K$1246 ),"")</f>
        <v/>
      </c>
      <c r="L1261" s="218" t="str">
        <f>IFERROR(IF([1]K_Summary!$L$1246 = "", "", [1]K_Summary!$L$1246 ),"")</f>
        <v/>
      </c>
      <c r="M1261" s="218" t="str">
        <f>IFERROR(IF([1]K_Summary!$M$1246 = "", "", [1]K_Summary!$M$1246 ),"")</f>
        <v/>
      </c>
      <c r="N1261" s="219" t="str">
        <f>IFERROR(IF([1]K_Summary!$N$1246 = "", "", [1]K_Summary!$N$1246 ),"")</f>
        <v/>
      </c>
    </row>
    <row r="1262" spans="1:14">
      <c r="C1262" s="485"/>
      <c r="D1262" s="539"/>
      <c r="E1262" s="727" t="s">
        <v>1391</v>
      </c>
      <c r="F1262" s="727"/>
      <c r="G1262" s="727"/>
      <c r="H1262" s="728" t="s">
        <v>1021</v>
      </c>
      <c r="I1262" s="220" t="str">
        <f>IFERROR(IF([1]K_Summary!$I$1247 = "", "", [1]K_Summary!$I$1247 ),"")</f>
        <v/>
      </c>
      <c r="J1262" s="221" t="str">
        <f>IFERROR(IF([1]K_Summary!$J$1247 = "", "", [1]K_Summary!$J$1247 ),"")</f>
        <v/>
      </c>
      <c r="K1262" s="222" t="str">
        <f>IFERROR(IF([1]K_Summary!$K$1247 = "", "", [1]K_Summary!$K$1247 ),"")</f>
        <v/>
      </c>
      <c r="L1262" s="222" t="str">
        <f>IFERROR(IF([1]K_Summary!$L$1247 = "", "", [1]K_Summary!$L$1247 ),"")</f>
        <v/>
      </c>
      <c r="M1262" s="222" t="str">
        <f>IFERROR(IF([1]K_Summary!$M$1247 = "", "", [1]K_Summary!$M$1247 ),"")</f>
        <v/>
      </c>
      <c r="N1262" s="223" t="str">
        <f>IFERROR(IF([1]K_Summary!$N$1247 = "", "", [1]K_Summary!$N$1247 ),"")</f>
        <v/>
      </c>
    </row>
    <row r="1263" spans="1:14">
      <c r="C1263" s="485"/>
      <c r="D1263" s="539"/>
      <c r="E1263" s="698" t="s">
        <v>222</v>
      </c>
      <c r="F1263" s="698"/>
      <c r="G1263" s="698"/>
      <c r="H1263" s="730" t="s">
        <v>2090</v>
      </c>
      <c r="I1263" s="224" t="str">
        <f>IFERROR(IF([1]K_Summary!$I$1248 = "", "", [1]K_Summary!$I$1248 ),"")</f>
        <v/>
      </c>
      <c r="J1263" s="148" t="str">
        <f>IFERROR(IF([1]K_Summary!$J$1248 = "", "", [1]K_Summary!$J$1248 ),"")</f>
        <v/>
      </c>
      <c r="K1263" s="150" t="str">
        <f>IFERROR(IF([1]K_Summary!$K$1248 = "", "", [1]K_Summary!$K$1248 ),"")</f>
        <v/>
      </c>
      <c r="L1263" s="150" t="str">
        <f>IFERROR(IF([1]K_Summary!$L$1248 = "", "", [1]K_Summary!$L$1248 ),"")</f>
        <v/>
      </c>
      <c r="M1263" s="150" t="str">
        <f>IFERROR(IF([1]K_Summary!$M$1248 = "", "", [1]K_Summary!$M$1248 ),"")</f>
        <v/>
      </c>
      <c r="N1263" s="171" t="str">
        <f>IFERROR(IF([1]K_Summary!$N$1248 = "", "", [1]K_Summary!$N$1248 ),"")</f>
        <v/>
      </c>
    </row>
    <row r="1264" spans="1:14" ht="13.5" thickBot="1">
      <c r="C1264" s="485"/>
      <c r="D1264" s="771"/>
      <c r="E1264" s="756"/>
      <c r="F1264" s="756"/>
      <c r="G1264" s="756"/>
      <c r="H1264" s="756"/>
      <c r="I1264" s="756"/>
      <c r="J1264" s="756"/>
      <c r="K1264" s="756"/>
      <c r="L1264" s="756"/>
      <c r="M1264" s="756"/>
      <c r="N1264" s="758"/>
    </row>
    <row r="1265" spans="3:14" ht="13.5" thickBot="1">
      <c r="C1265" s="485"/>
      <c r="D1265" s="562"/>
      <c r="E1265" s="561"/>
      <c r="F1265" s="485"/>
      <c r="G1265" s="485"/>
      <c r="H1265" s="485"/>
      <c r="I1265" s="485"/>
      <c r="J1265" s="485"/>
      <c r="K1265" s="485"/>
      <c r="L1265" s="485"/>
      <c r="M1265" s="485"/>
      <c r="N1265" s="485"/>
    </row>
    <row r="1266" spans="3:14">
      <c r="C1266" s="485"/>
      <c r="D1266" s="772"/>
      <c r="E1266" s="773"/>
      <c r="F1266" s="773"/>
      <c r="G1266" s="774"/>
      <c r="H1266" s="774"/>
      <c r="I1266" s="774"/>
      <c r="J1266" s="774"/>
      <c r="K1266" s="774"/>
      <c r="L1266" s="774"/>
      <c r="M1266" s="774"/>
      <c r="N1266" s="775"/>
    </row>
    <row r="1267" spans="3:14" ht="13.5" thickBot="1">
      <c r="C1267" s="485"/>
      <c r="D1267" s="776"/>
      <c r="E1267" s="777"/>
      <c r="F1267" s="777"/>
      <c r="G1267" s="778" t="s">
        <v>884</v>
      </c>
      <c r="H1267" s="779">
        <v>2019</v>
      </c>
      <c r="I1267" s="780">
        <v>2020</v>
      </c>
      <c r="J1267" s="781">
        <v>2021</v>
      </c>
      <c r="K1267" s="782">
        <v>2022</v>
      </c>
      <c r="L1267" s="782">
        <v>2023</v>
      </c>
      <c r="M1267" s="782">
        <v>2024</v>
      </c>
      <c r="N1267" s="783">
        <v>2025</v>
      </c>
    </row>
    <row r="1268" spans="3:14" ht="13.5" thickBot="1">
      <c r="C1268" s="485"/>
      <c r="D1268" s="776"/>
      <c r="E1268" s="2470" t="s">
        <v>1504</v>
      </c>
      <c r="F1268" s="2470"/>
      <c r="G1268" s="808" t="s">
        <v>2016</v>
      </c>
      <c r="H1268" s="225" t="str">
        <f>IFERROR(IF([1]K_Summary!$H$1253 = "", "", [1]K_Summary!$H$1253 ),"")</f>
        <v/>
      </c>
      <c r="I1268" s="226" t="str">
        <f>IFERROR(IF([1]K_Summary!$I$1253 = "", "", [1]K_Summary!$I$1253 ),"")</f>
        <v/>
      </c>
      <c r="J1268" s="225" t="str">
        <f>IFERROR(IF([1]K_Summary!$J$1253 = "", "", [1]K_Summary!$J$1253 ),"")</f>
        <v/>
      </c>
      <c r="K1268" s="227" t="str">
        <f>IFERROR(IF([1]K_Summary!$K$1253 = "", "", [1]K_Summary!$K$1253 ),"")</f>
        <v/>
      </c>
      <c r="L1268" s="227" t="str">
        <f>IFERROR(IF([1]K_Summary!$L$1253 = "", "", [1]K_Summary!$L$1253 ),"")</f>
        <v/>
      </c>
      <c r="M1268" s="227" t="str">
        <f>IFERROR(IF([1]K_Summary!$M$1253 = "", "", [1]K_Summary!$M$1253 ),"")</f>
        <v/>
      </c>
      <c r="N1268" s="228" t="str">
        <f>IFERROR(IF([1]K_Summary!$N$1253 = "", "", [1]K_Summary!$N$1253 ),"")</f>
        <v/>
      </c>
    </row>
    <row r="1269" spans="3:14">
      <c r="C1269" s="485"/>
      <c r="D1269" s="776"/>
      <c r="E1269" s="809"/>
      <c r="F1269" s="809"/>
      <c r="G1269" s="777"/>
      <c r="H1269" s="777"/>
      <c r="I1269" s="777"/>
      <c r="J1269" s="777"/>
      <c r="K1269" s="777"/>
      <c r="L1269" s="777"/>
      <c r="M1269" s="777"/>
      <c r="N1269" s="810"/>
    </row>
    <row r="1270" spans="3:14">
      <c r="C1270" s="485"/>
      <c r="D1270" s="776"/>
      <c r="E1270" s="2471" t="s">
        <v>1344</v>
      </c>
      <c r="F1270" s="2472"/>
      <c r="G1270" s="811" t="s">
        <v>2017</v>
      </c>
      <c r="H1270" s="127" t="str">
        <f>IFERROR(IF([1]K_Summary!$H$1255 = "", "", [1]K_Summary!$H$1255 ),"")</f>
        <v/>
      </c>
      <c r="I1270" s="229" t="str">
        <f>IFERROR(IF([1]K_Summary!$I$1255 = "", "", [1]K_Summary!$I$1255 ),"")</f>
        <v/>
      </c>
      <c r="J1270" s="230" t="str">
        <f>IFERROR(IF([1]K_Summary!$J$1255 = "", "", [1]K_Summary!$J$1255 ),"")</f>
        <v/>
      </c>
      <c r="K1270" s="127" t="str">
        <f>IFERROR(IF([1]K_Summary!$K$1255 = "", "", [1]K_Summary!$K$1255 ),"")</f>
        <v/>
      </c>
      <c r="L1270" s="127" t="str">
        <f>IFERROR(IF([1]K_Summary!$L$1255 = "", "", [1]K_Summary!$L$1255 ),"")</f>
        <v/>
      </c>
      <c r="M1270" s="127" t="str">
        <f>IFERROR(IF([1]K_Summary!$M$1255 = "", "", [1]K_Summary!$M$1255 ),"")</f>
        <v/>
      </c>
      <c r="N1270" s="231" t="str">
        <f>IFERROR(IF([1]K_Summary!$N$1255 = "", "", [1]K_Summary!$N$1255 ),"")</f>
        <v/>
      </c>
    </row>
    <row r="1271" spans="3:14">
      <c r="C1271" s="485"/>
      <c r="D1271" s="776"/>
      <c r="E1271" s="2473" t="s">
        <v>1182</v>
      </c>
      <c r="F1271" s="2474"/>
      <c r="G1271" s="812" t="s">
        <v>2018</v>
      </c>
      <c r="H1271" s="128" t="str">
        <f>IFERROR(IF([1]K_Summary!$H$1256 = "", "", [1]K_Summary!$H$1256 ),"")</f>
        <v/>
      </c>
      <c r="I1271" s="232" t="str">
        <f>IFERROR(IF([1]K_Summary!$I$1256 = "", "", [1]K_Summary!$I$1256 ),"")</f>
        <v/>
      </c>
      <c r="J1271" s="233" t="str">
        <f>IFERROR(IF([1]K_Summary!$J$1256 = "", "", [1]K_Summary!$J$1256 ),"")</f>
        <v/>
      </c>
      <c r="K1271" s="128" t="str">
        <f>IFERROR(IF([1]K_Summary!$K$1256 = "", "", [1]K_Summary!$K$1256 ),"")</f>
        <v/>
      </c>
      <c r="L1271" s="128" t="str">
        <f>IFERROR(IF([1]K_Summary!$L$1256 = "", "", [1]K_Summary!$L$1256 ),"")</f>
        <v/>
      </c>
      <c r="M1271" s="128" t="str">
        <f>IFERROR(IF([1]K_Summary!$M$1256 = "", "", [1]K_Summary!$M$1256 ),"")</f>
        <v/>
      </c>
      <c r="N1271" s="234" t="str">
        <f>IFERROR(IF([1]K_Summary!$N$1256 = "", "", [1]K_Summary!$N$1256 ),"")</f>
        <v/>
      </c>
    </row>
    <row r="1272" spans="3:14">
      <c r="C1272" s="485"/>
      <c r="D1272" s="776"/>
      <c r="E1272" s="809"/>
      <c r="F1272" s="809"/>
      <c r="G1272" s="813"/>
      <c r="H1272" s="813"/>
      <c r="I1272" s="813"/>
      <c r="J1272" s="813"/>
      <c r="K1272" s="813"/>
      <c r="L1272" s="813"/>
      <c r="M1272" s="813"/>
      <c r="N1272" s="814"/>
    </row>
    <row r="1273" spans="3:14">
      <c r="C1273" s="485"/>
      <c r="D1273" s="776"/>
      <c r="E1273" s="2475" t="s">
        <v>63</v>
      </c>
      <c r="F1273" s="2410"/>
      <c r="G1273" s="815" t="s">
        <v>2015</v>
      </c>
      <c r="H1273" s="126" t="str">
        <f>IFERROR(IF([1]K_Summary!$H$1258 = "", "", [1]K_Summary!$H$1258 ),"")</f>
        <v/>
      </c>
      <c r="I1273" s="235" t="str">
        <f>IFERROR(IF([1]K_Summary!$I$1258 = "", "", [1]K_Summary!$I$1258 ),"")</f>
        <v/>
      </c>
      <c r="J1273" s="236" t="str">
        <f>IFERROR(IF([1]K_Summary!$J$1258 = "", "", [1]K_Summary!$J$1258 ),"")</f>
        <v/>
      </c>
      <c r="K1273" s="126" t="str">
        <f>IFERROR(IF([1]K_Summary!$K$1258 = "", "", [1]K_Summary!$K$1258 ),"")</f>
        <v/>
      </c>
      <c r="L1273" s="126" t="str">
        <f>IFERROR(IF([1]K_Summary!$L$1258 = "", "", [1]K_Summary!$L$1258 ),"")</f>
        <v/>
      </c>
      <c r="M1273" s="126" t="str">
        <f>IFERROR(IF([1]K_Summary!$M$1258 = "", "", [1]K_Summary!$M$1258 ),"")</f>
        <v/>
      </c>
      <c r="N1273" s="237" t="str">
        <f>IFERROR(IF([1]K_Summary!$N$1258 = "", "", [1]K_Summary!$N$1258 ),"")</f>
        <v/>
      </c>
    </row>
    <row r="1274" spans="3:14">
      <c r="C1274" s="485"/>
      <c r="D1274" s="776"/>
      <c r="E1274" s="2475" t="s">
        <v>1154</v>
      </c>
      <c r="F1274" s="2410"/>
      <c r="G1274" s="815" t="s">
        <v>2015</v>
      </c>
      <c r="H1274" s="126" t="str">
        <f>IFERROR(IF([1]K_Summary!$H$1259 = "", "", [1]K_Summary!$H$1259 ),"")</f>
        <v/>
      </c>
      <c r="I1274" s="235" t="str">
        <f>IFERROR(IF([1]K_Summary!$I$1259 = "", "", [1]K_Summary!$I$1259 ),"")</f>
        <v/>
      </c>
      <c r="J1274" s="236" t="str">
        <f>IFERROR(IF([1]K_Summary!$J$1259 = "", "", [1]K_Summary!$J$1259 ),"")</f>
        <v/>
      </c>
      <c r="K1274" s="126" t="str">
        <f>IFERROR(IF([1]K_Summary!$K$1259 = "", "", [1]K_Summary!$K$1259 ),"")</f>
        <v/>
      </c>
      <c r="L1274" s="126" t="str">
        <f>IFERROR(IF([1]K_Summary!$L$1259 = "", "", [1]K_Summary!$L$1259 ),"")</f>
        <v/>
      </c>
      <c r="M1274" s="126" t="str">
        <f>IFERROR(IF([1]K_Summary!$M$1259 = "", "", [1]K_Summary!$M$1259 ),"")</f>
        <v/>
      </c>
      <c r="N1274" s="237" t="str">
        <f>IFERROR(IF([1]K_Summary!$N$1259 = "", "", [1]K_Summary!$N$1259 ),"")</f>
        <v/>
      </c>
    </row>
    <row r="1275" spans="3:14">
      <c r="C1275" s="485"/>
      <c r="D1275" s="776"/>
      <c r="E1275" s="2475" t="s">
        <v>1155</v>
      </c>
      <c r="F1275" s="2410"/>
      <c r="G1275" s="815" t="s">
        <v>2015</v>
      </c>
      <c r="H1275" s="126" t="str">
        <f>IFERROR(IF([1]K_Summary!$H$1260 = "", "", [1]K_Summary!$H$1260 ),"")</f>
        <v/>
      </c>
      <c r="I1275" s="235" t="str">
        <f>IFERROR(IF([1]K_Summary!$I$1260 = "", "", [1]K_Summary!$I$1260 ),"")</f>
        <v/>
      </c>
      <c r="J1275" s="236" t="str">
        <f>IFERROR(IF([1]K_Summary!$J$1260 = "", "", [1]K_Summary!$J$1260 ),"")</f>
        <v/>
      </c>
      <c r="K1275" s="126" t="str">
        <f>IFERROR(IF([1]K_Summary!$K$1260 = "", "", [1]K_Summary!$K$1260 ),"")</f>
        <v/>
      </c>
      <c r="L1275" s="126" t="str">
        <f>IFERROR(IF([1]K_Summary!$L$1260 = "", "", [1]K_Summary!$L$1260 ),"")</f>
        <v/>
      </c>
      <c r="M1275" s="126" t="str">
        <f>IFERROR(IF([1]K_Summary!$M$1260 = "", "", [1]K_Summary!$M$1260 ),"")</f>
        <v/>
      </c>
      <c r="N1275" s="237" t="str">
        <f>IFERROR(IF([1]K_Summary!$N$1260 = "", "", [1]K_Summary!$N$1260 ),"")</f>
        <v/>
      </c>
    </row>
    <row r="1276" spans="3:14">
      <c r="C1276" s="485"/>
      <c r="D1276" s="776"/>
      <c r="E1276" s="2475" t="s">
        <v>1156</v>
      </c>
      <c r="F1276" s="2410"/>
      <c r="G1276" s="815" t="s">
        <v>2016</v>
      </c>
      <c r="H1276" s="126" t="str">
        <f>IFERROR(IF([1]K_Summary!$H$1261 = "", "", [1]K_Summary!$H$1261 ),"")</f>
        <v/>
      </c>
      <c r="I1276" s="235" t="str">
        <f>IFERROR(IF([1]K_Summary!$I$1261 = "", "", [1]K_Summary!$I$1261 ),"")</f>
        <v/>
      </c>
      <c r="J1276" s="236" t="str">
        <f>IFERROR(IF([1]K_Summary!$J$1261 = "", "", [1]K_Summary!$J$1261 ),"")</f>
        <v/>
      </c>
      <c r="K1276" s="126" t="str">
        <f>IFERROR(IF([1]K_Summary!$K$1261 = "", "", [1]K_Summary!$K$1261 ),"")</f>
        <v/>
      </c>
      <c r="L1276" s="126" t="str">
        <f>IFERROR(IF([1]K_Summary!$L$1261 = "", "", [1]K_Summary!$L$1261 ),"")</f>
        <v/>
      </c>
      <c r="M1276" s="126" t="str">
        <f>IFERROR(IF([1]K_Summary!$M$1261 = "", "", [1]K_Summary!$M$1261 ),"")</f>
        <v/>
      </c>
      <c r="N1276" s="237" t="str">
        <f>IFERROR(IF([1]K_Summary!$N$1261 = "", "", [1]K_Summary!$N$1261 ),"")</f>
        <v/>
      </c>
    </row>
    <row r="1277" spans="3:14">
      <c r="C1277" s="485"/>
      <c r="D1277" s="776"/>
      <c r="E1277" s="809"/>
      <c r="F1277" s="809"/>
      <c r="G1277" s="813"/>
      <c r="H1277" s="813"/>
      <c r="I1277" s="813"/>
      <c r="J1277" s="813"/>
      <c r="K1277" s="813"/>
      <c r="L1277" s="813"/>
      <c r="M1277" s="813"/>
      <c r="N1277" s="814"/>
    </row>
    <row r="1278" spans="3:14">
      <c r="C1278" s="485"/>
      <c r="D1278" s="776"/>
      <c r="E1278" s="2471" t="s">
        <v>1087</v>
      </c>
      <c r="F1278" s="2472"/>
      <c r="G1278" s="811" t="s">
        <v>2017</v>
      </c>
      <c r="H1278" s="127" t="str">
        <f>IFERROR(IF([1]K_Summary!$H$1263 = "", "", [1]K_Summary!$H$1263 ),"")</f>
        <v/>
      </c>
      <c r="I1278" s="229" t="str">
        <f>IFERROR(IF([1]K_Summary!$I$1263 = "", "", [1]K_Summary!$I$1263 ),"")</f>
        <v/>
      </c>
      <c r="J1278" s="230" t="str">
        <f>IFERROR(IF([1]K_Summary!$J$1263 = "", "", [1]K_Summary!$J$1263 ),"")</f>
        <v/>
      </c>
      <c r="K1278" s="127" t="str">
        <f>IFERROR(IF([1]K_Summary!$K$1263 = "", "", [1]K_Summary!$K$1263 ),"")</f>
        <v/>
      </c>
      <c r="L1278" s="127" t="str">
        <f>IFERROR(IF([1]K_Summary!$L$1263 = "", "", [1]K_Summary!$L$1263 ),"")</f>
        <v/>
      </c>
      <c r="M1278" s="127" t="str">
        <f>IFERROR(IF([1]K_Summary!$M$1263 = "", "", [1]K_Summary!$M$1263 ),"")</f>
        <v/>
      </c>
      <c r="N1278" s="231" t="str">
        <f>IFERROR(IF([1]K_Summary!$N$1263 = "", "", [1]K_Summary!$N$1263 ),"")</f>
        <v/>
      </c>
    </row>
    <row r="1279" spans="3:14">
      <c r="C1279" s="485"/>
      <c r="D1279" s="776"/>
      <c r="E1279" s="2473" t="s">
        <v>1103</v>
      </c>
      <c r="F1279" s="2474"/>
      <c r="G1279" s="812" t="s">
        <v>2018</v>
      </c>
      <c r="H1279" s="128" t="str">
        <f>IFERROR(IF([1]K_Summary!$H$1264 = "", "", [1]K_Summary!$H$1264 ),"")</f>
        <v/>
      </c>
      <c r="I1279" s="232" t="str">
        <f>IFERROR(IF([1]K_Summary!$I$1264 = "", "", [1]K_Summary!$I$1264 ),"")</f>
        <v/>
      </c>
      <c r="J1279" s="233" t="str">
        <f>IFERROR(IF([1]K_Summary!$J$1264 = "", "", [1]K_Summary!$J$1264 ),"")</f>
        <v/>
      </c>
      <c r="K1279" s="128" t="str">
        <f>IFERROR(IF([1]K_Summary!$K$1264 = "", "", [1]K_Summary!$K$1264 ),"")</f>
        <v/>
      </c>
      <c r="L1279" s="128" t="str">
        <f>IFERROR(IF([1]K_Summary!$L$1264 = "", "", [1]K_Summary!$L$1264 ),"")</f>
        <v/>
      </c>
      <c r="M1279" s="128" t="str">
        <f>IFERROR(IF([1]K_Summary!$M$1264 = "", "", [1]K_Summary!$M$1264 ),"")</f>
        <v/>
      </c>
      <c r="N1279" s="234" t="str">
        <f>IFERROR(IF([1]K_Summary!$N$1264 = "", "", [1]K_Summary!$N$1264 ),"")</f>
        <v/>
      </c>
    </row>
    <row r="1280" spans="3:14">
      <c r="C1280" s="485"/>
      <c r="D1280" s="776"/>
      <c r="E1280" s="809"/>
      <c r="F1280" s="809"/>
      <c r="G1280" s="813"/>
      <c r="H1280" s="813"/>
      <c r="I1280" s="813"/>
      <c r="J1280" s="813"/>
      <c r="K1280" s="813"/>
      <c r="L1280" s="813"/>
      <c r="M1280" s="813"/>
      <c r="N1280" s="814"/>
    </row>
    <row r="1281" spans="3:14">
      <c r="C1281" s="485"/>
      <c r="D1281" s="776"/>
      <c r="E1281" s="2475" t="s">
        <v>1150</v>
      </c>
      <c r="F1281" s="2410"/>
      <c r="G1281" s="815" t="s">
        <v>2017</v>
      </c>
      <c r="H1281" s="126" t="str">
        <f>IFERROR(IF([1]K_Summary!$H$1266 = "", "", [1]K_Summary!$H$1266 ),"")</f>
        <v/>
      </c>
      <c r="I1281" s="235" t="str">
        <f>IFERROR(IF([1]K_Summary!$I$1266 = "", "", [1]K_Summary!$I$1266 ),"")</f>
        <v/>
      </c>
      <c r="J1281" s="236" t="str">
        <f>IFERROR(IF([1]K_Summary!$J$1266 = "", "", [1]K_Summary!$J$1266 ),"")</f>
        <v/>
      </c>
      <c r="K1281" s="126" t="str">
        <f>IFERROR(IF([1]K_Summary!$K$1266 = "", "", [1]K_Summary!$K$1266 ),"")</f>
        <v/>
      </c>
      <c r="L1281" s="126" t="str">
        <f>IFERROR(IF([1]K_Summary!$L$1266 = "", "", [1]K_Summary!$L$1266 ),"")</f>
        <v/>
      </c>
      <c r="M1281" s="126" t="str">
        <f>IFERROR(IF([1]K_Summary!$M$1266 = "", "", [1]K_Summary!$M$1266 ),"")</f>
        <v/>
      </c>
      <c r="N1281" s="237" t="str">
        <f>IFERROR(IF([1]K_Summary!$N$1266 = "", "", [1]K_Summary!$N$1266 ),"")</f>
        <v/>
      </c>
    </row>
    <row r="1282" spans="3:14" ht="13.15" customHeight="1">
      <c r="C1282" s="485"/>
      <c r="D1282" s="776"/>
      <c r="E1282" s="2475" t="s">
        <v>1149</v>
      </c>
      <c r="F1282" s="2410"/>
      <c r="G1282" s="815" t="s">
        <v>2017</v>
      </c>
      <c r="H1282" s="126" t="str">
        <f>IFERROR(IF([1]K_Summary!$H$1267 = "", "", [1]K_Summary!$H$1267 ),"")</f>
        <v/>
      </c>
      <c r="I1282" s="235" t="str">
        <f>IFERROR(IF([1]K_Summary!$I$1267 = "", "", [1]K_Summary!$I$1267 ),"")</f>
        <v/>
      </c>
      <c r="J1282" s="236" t="str">
        <f>IFERROR(IF([1]K_Summary!$J$1267 = "", "", [1]K_Summary!$J$1267 ),"")</f>
        <v/>
      </c>
      <c r="K1282" s="126" t="str">
        <f>IFERROR(IF([1]K_Summary!$K$1267 = "", "", [1]K_Summary!$K$1267 ),"")</f>
        <v/>
      </c>
      <c r="L1282" s="126" t="str">
        <f>IFERROR(IF([1]K_Summary!$L$1267 = "", "", [1]K_Summary!$L$1267 ),"")</f>
        <v/>
      </c>
      <c r="M1282" s="126" t="str">
        <f>IFERROR(IF([1]K_Summary!$M$1267 = "", "", [1]K_Summary!$M$1267 ),"")</f>
        <v/>
      </c>
      <c r="N1282" s="237" t="str">
        <f>IFERROR(IF([1]K_Summary!$N$1267 = "", "", [1]K_Summary!$N$1267 ),"")</f>
        <v/>
      </c>
    </row>
    <row r="1283" spans="3:14">
      <c r="C1283" s="485"/>
      <c r="D1283" s="776"/>
      <c r="E1283" s="809"/>
      <c r="F1283" s="809"/>
      <c r="G1283" s="777"/>
      <c r="H1283" s="813"/>
      <c r="I1283" s="813"/>
      <c r="J1283" s="813"/>
      <c r="K1283" s="813"/>
      <c r="L1283" s="813"/>
      <c r="M1283" s="813"/>
      <c r="N1283" s="814"/>
    </row>
    <row r="1284" spans="3:14">
      <c r="C1284" s="485"/>
      <c r="D1284" s="776"/>
      <c r="E1284" s="2471" t="s">
        <v>1079</v>
      </c>
      <c r="F1284" s="2472"/>
      <c r="G1284" s="811" t="s">
        <v>2017</v>
      </c>
      <c r="H1284" s="127" t="str">
        <f>IFERROR(IF([1]K_Summary!$H$1269 = "", "", [1]K_Summary!$H$1269 ),"")</f>
        <v/>
      </c>
      <c r="I1284" s="229" t="str">
        <f>IFERROR(IF([1]K_Summary!$I$1269 = "", "", [1]K_Summary!$I$1269 ),"")</f>
        <v/>
      </c>
      <c r="J1284" s="230" t="str">
        <f>IFERROR(IF([1]K_Summary!$J$1269 = "", "", [1]K_Summary!$J$1269 ),"")</f>
        <v/>
      </c>
      <c r="K1284" s="127" t="str">
        <f>IFERROR(IF([1]K_Summary!$K$1269 = "", "", [1]K_Summary!$K$1269 ),"")</f>
        <v/>
      </c>
      <c r="L1284" s="127" t="str">
        <f>IFERROR(IF([1]K_Summary!$L$1269 = "", "", [1]K_Summary!$L$1269 ),"")</f>
        <v/>
      </c>
      <c r="M1284" s="127" t="str">
        <f>IFERROR(IF([1]K_Summary!$M$1269 = "", "", [1]K_Summary!$M$1269 ),"")</f>
        <v/>
      </c>
      <c r="N1284" s="231" t="str">
        <f>IFERROR(IF([1]K_Summary!$N$1269 = "", "", [1]K_Summary!$N$1269 ),"")</f>
        <v/>
      </c>
    </row>
    <row r="1285" spans="3:14">
      <c r="C1285" s="485"/>
      <c r="D1285" s="776"/>
      <c r="E1285" s="2473" t="s">
        <v>1104</v>
      </c>
      <c r="F1285" s="2474"/>
      <c r="G1285" s="812" t="s">
        <v>2018</v>
      </c>
      <c r="H1285" s="128" t="str">
        <f>IFERROR(IF([1]K_Summary!$H$1270 = "", "", [1]K_Summary!$H$1270 ),"")</f>
        <v/>
      </c>
      <c r="I1285" s="232" t="str">
        <f>IFERROR(IF([1]K_Summary!$I$1270 = "", "", [1]K_Summary!$I$1270 ),"")</f>
        <v/>
      </c>
      <c r="J1285" s="233" t="str">
        <f>IFERROR(IF([1]K_Summary!$J$1270 = "", "", [1]K_Summary!$J$1270 ),"")</f>
        <v/>
      </c>
      <c r="K1285" s="128" t="str">
        <f>IFERROR(IF([1]K_Summary!$K$1270 = "", "", [1]K_Summary!$K$1270 ),"")</f>
        <v/>
      </c>
      <c r="L1285" s="128" t="str">
        <f>IFERROR(IF([1]K_Summary!$L$1270 = "", "", [1]K_Summary!$L$1270 ),"")</f>
        <v/>
      </c>
      <c r="M1285" s="128" t="str">
        <f>IFERROR(IF([1]K_Summary!$M$1270 = "", "", [1]K_Summary!$M$1270 ),"")</f>
        <v/>
      </c>
      <c r="N1285" s="234" t="str">
        <f>IFERROR(IF([1]K_Summary!$N$1270 = "", "", [1]K_Summary!$N$1270 ),"")</f>
        <v/>
      </c>
    </row>
    <row r="1286" spans="3:14">
      <c r="C1286" s="485"/>
      <c r="D1286" s="776"/>
      <c r="E1286" s="809"/>
      <c r="F1286" s="809"/>
      <c r="G1286" s="777"/>
      <c r="H1286" s="813"/>
      <c r="I1286" s="813"/>
      <c r="J1286" s="813"/>
      <c r="K1286" s="813"/>
      <c r="L1286" s="813"/>
      <c r="M1286" s="813"/>
      <c r="N1286" s="814"/>
    </row>
    <row r="1287" spans="3:14">
      <c r="C1287" s="485"/>
      <c r="D1287" s="776"/>
      <c r="E1287" s="2471" t="s">
        <v>1141</v>
      </c>
      <c r="F1287" s="2472"/>
      <c r="G1287" s="811" t="s">
        <v>2017</v>
      </c>
      <c r="H1287" s="127" t="str">
        <f>IFERROR(IF([1]K_Summary!$H$1272 = "", "", [1]K_Summary!$H$1272 ),"")</f>
        <v/>
      </c>
      <c r="I1287" s="229" t="str">
        <f>IFERROR(IF([1]K_Summary!$I$1272 = "", "", [1]K_Summary!$I$1272 ),"")</f>
        <v/>
      </c>
      <c r="J1287" s="230" t="str">
        <f>IFERROR(IF([1]K_Summary!$J$1272 = "", "", [1]K_Summary!$J$1272 ),"")</f>
        <v/>
      </c>
      <c r="K1287" s="127" t="str">
        <f>IFERROR(IF([1]K_Summary!$K$1272 = "", "", [1]K_Summary!$K$1272 ),"")</f>
        <v/>
      </c>
      <c r="L1287" s="127" t="str">
        <f>IFERROR(IF([1]K_Summary!$L$1272 = "", "", [1]K_Summary!$L$1272 ),"")</f>
        <v/>
      </c>
      <c r="M1287" s="127" t="str">
        <f>IFERROR(IF([1]K_Summary!$M$1272 = "", "", [1]K_Summary!$M$1272 ),"")</f>
        <v/>
      </c>
      <c r="N1287" s="231" t="str">
        <f>IFERROR(IF([1]K_Summary!$N$1272 = "", "", [1]K_Summary!$N$1272 ),"")</f>
        <v/>
      </c>
    </row>
    <row r="1288" spans="3:14" ht="13.15" customHeight="1">
      <c r="C1288" s="485"/>
      <c r="D1288" s="776"/>
      <c r="E1288" s="2473" t="s">
        <v>1258</v>
      </c>
      <c r="F1288" s="2474"/>
      <c r="G1288" s="812" t="s">
        <v>2018</v>
      </c>
      <c r="H1288" s="128" t="str">
        <f>IFERROR(IF([1]K_Summary!$H$1273 = "", "", [1]K_Summary!$H$1273 ),"")</f>
        <v/>
      </c>
      <c r="I1288" s="232" t="str">
        <f>IFERROR(IF([1]K_Summary!$I$1273 = "", "", [1]K_Summary!$I$1273 ),"")</f>
        <v/>
      </c>
      <c r="J1288" s="233" t="str">
        <f>IFERROR(IF([1]K_Summary!$J$1273 = "", "", [1]K_Summary!$J$1273 ),"")</f>
        <v/>
      </c>
      <c r="K1288" s="128" t="str">
        <f>IFERROR(IF([1]K_Summary!$K$1273 = "", "", [1]K_Summary!$K$1273 ),"")</f>
        <v/>
      </c>
      <c r="L1288" s="128" t="str">
        <f>IFERROR(IF([1]K_Summary!$L$1273 = "", "", [1]K_Summary!$L$1273 ),"")</f>
        <v/>
      </c>
      <c r="M1288" s="128" t="str">
        <f>IFERROR(IF([1]K_Summary!$M$1273 = "", "", [1]K_Summary!$M$1273 ),"")</f>
        <v/>
      </c>
      <c r="N1288" s="234" t="str">
        <f>IFERROR(IF([1]K_Summary!$N$1273 = "", "", [1]K_Summary!$N$1273 ),"")</f>
        <v/>
      </c>
    </row>
    <row r="1289" spans="3:14">
      <c r="C1289" s="485"/>
      <c r="D1289" s="776"/>
      <c r="E1289" s="2471" t="s">
        <v>1309</v>
      </c>
      <c r="F1289" s="2472"/>
      <c r="G1289" s="811" t="s">
        <v>2017</v>
      </c>
      <c r="H1289" s="127" t="str">
        <f>IFERROR(IF([1]K_Summary!$H$1274 = "", "", [1]K_Summary!$H$1274 ),"")</f>
        <v/>
      </c>
      <c r="I1289" s="229" t="str">
        <f>IFERROR(IF([1]K_Summary!$I$1274 = "", "", [1]K_Summary!$I$1274 ),"")</f>
        <v/>
      </c>
      <c r="J1289" s="230" t="str">
        <f>IFERROR(IF([1]K_Summary!$J$1274 = "", "", [1]K_Summary!$J$1274 ),"")</f>
        <v/>
      </c>
      <c r="K1289" s="127" t="str">
        <f>IFERROR(IF([1]K_Summary!$K$1274 = "", "", [1]K_Summary!$K$1274 ),"")</f>
        <v/>
      </c>
      <c r="L1289" s="127" t="str">
        <f>IFERROR(IF([1]K_Summary!$L$1274 = "", "", [1]K_Summary!$L$1274 ),"")</f>
        <v/>
      </c>
      <c r="M1289" s="127" t="str">
        <f>IFERROR(IF([1]K_Summary!$M$1274 = "", "", [1]K_Summary!$M$1274 ),"")</f>
        <v/>
      </c>
      <c r="N1289" s="231" t="str">
        <f>IFERROR(IF([1]K_Summary!$N$1274 = "", "", [1]K_Summary!$N$1274 ),"")</f>
        <v/>
      </c>
    </row>
    <row r="1290" spans="3:14" ht="13.15" customHeight="1">
      <c r="C1290" s="485"/>
      <c r="D1290" s="776"/>
      <c r="E1290" s="2473" t="s">
        <v>1307</v>
      </c>
      <c r="F1290" s="2474"/>
      <c r="G1290" s="812" t="s">
        <v>2018</v>
      </c>
      <c r="H1290" s="128" t="str">
        <f>IFERROR(IF([1]K_Summary!$H$1275 = "", "", [1]K_Summary!$H$1275 ),"")</f>
        <v/>
      </c>
      <c r="I1290" s="232" t="str">
        <f>IFERROR(IF([1]K_Summary!$I$1275 = "", "", [1]K_Summary!$I$1275 ),"")</f>
        <v/>
      </c>
      <c r="J1290" s="233" t="str">
        <f>IFERROR(IF([1]K_Summary!$J$1275 = "", "", [1]K_Summary!$J$1275 ),"")</f>
        <v/>
      </c>
      <c r="K1290" s="128" t="str">
        <f>IFERROR(IF([1]K_Summary!$K$1275 = "", "", [1]K_Summary!$K$1275 ),"")</f>
        <v/>
      </c>
      <c r="L1290" s="128" t="str">
        <f>IFERROR(IF([1]K_Summary!$L$1275 = "", "", [1]K_Summary!$L$1275 ),"")</f>
        <v/>
      </c>
      <c r="M1290" s="128" t="str">
        <f>IFERROR(IF([1]K_Summary!$M$1275 = "", "", [1]K_Summary!$M$1275 ),"")</f>
        <v/>
      </c>
      <c r="N1290" s="234" t="str">
        <f>IFERROR(IF([1]K_Summary!$N$1275 = "", "", [1]K_Summary!$N$1275 ),"")</f>
        <v/>
      </c>
    </row>
    <row r="1291" spans="3:14">
      <c r="C1291" s="485"/>
      <c r="D1291" s="776"/>
      <c r="E1291" s="2471" t="s">
        <v>1288</v>
      </c>
      <c r="F1291" s="2472"/>
      <c r="G1291" s="811" t="s">
        <v>2017</v>
      </c>
      <c r="H1291" s="127" t="str">
        <f>IFERROR(IF([1]K_Summary!$H$1276 = "", "", [1]K_Summary!$H$1276 ),"")</f>
        <v/>
      </c>
      <c r="I1291" s="229" t="str">
        <f>IFERROR(IF([1]K_Summary!$I$1276 = "", "", [1]K_Summary!$I$1276 ),"")</f>
        <v/>
      </c>
      <c r="J1291" s="230" t="str">
        <f>IFERROR(IF([1]K_Summary!$J$1276 = "", "", [1]K_Summary!$J$1276 ),"")</f>
        <v/>
      </c>
      <c r="K1291" s="127" t="str">
        <f>IFERROR(IF([1]K_Summary!$K$1276 = "", "", [1]K_Summary!$K$1276 ),"")</f>
        <v/>
      </c>
      <c r="L1291" s="127" t="str">
        <f>IFERROR(IF([1]K_Summary!$L$1276 = "", "", [1]K_Summary!$L$1276 ),"")</f>
        <v/>
      </c>
      <c r="M1291" s="127" t="str">
        <f>IFERROR(IF([1]K_Summary!$M$1276 = "", "", [1]K_Summary!$M$1276 ),"")</f>
        <v/>
      </c>
      <c r="N1291" s="231" t="str">
        <f>IFERROR(IF([1]K_Summary!$N$1276 = "", "", [1]K_Summary!$N$1276 ),"")</f>
        <v/>
      </c>
    </row>
    <row r="1292" spans="3:14">
      <c r="C1292" s="485"/>
      <c r="D1292" s="776"/>
      <c r="E1292" s="2473" t="s">
        <v>1308</v>
      </c>
      <c r="F1292" s="2474"/>
      <c r="G1292" s="812" t="s">
        <v>2018</v>
      </c>
      <c r="H1292" s="128" t="str">
        <f>IFERROR(IF([1]K_Summary!$H$1277 = "", "", [1]K_Summary!$H$1277 ),"")</f>
        <v/>
      </c>
      <c r="I1292" s="232" t="str">
        <f>IFERROR(IF([1]K_Summary!$I$1277 = "", "", [1]K_Summary!$I$1277 ),"")</f>
        <v/>
      </c>
      <c r="J1292" s="233" t="str">
        <f>IFERROR(IF([1]K_Summary!$J$1277 = "", "", [1]K_Summary!$J$1277 ),"")</f>
        <v/>
      </c>
      <c r="K1292" s="128" t="str">
        <f>IFERROR(IF([1]K_Summary!$K$1277 = "", "", [1]K_Summary!$K$1277 ),"")</f>
        <v/>
      </c>
      <c r="L1292" s="128" t="str">
        <f>IFERROR(IF([1]K_Summary!$L$1277 = "", "", [1]K_Summary!$L$1277 ),"")</f>
        <v/>
      </c>
      <c r="M1292" s="128" t="str">
        <f>IFERROR(IF([1]K_Summary!$M$1277 = "", "", [1]K_Summary!$M$1277 ),"")</f>
        <v/>
      </c>
      <c r="N1292" s="234" t="str">
        <f>IFERROR(IF([1]K_Summary!$N$1277 = "", "", [1]K_Summary!$N$1277 ),"")</f>
        <v/>
      </c>
    </row>
    <row r="1293" spans="3:14">
      <c r="C1293" s="485"/>
      <c r="D1293" s="776"/>
      <c r="E1293" s="2471" t="s">
        <v>1102</v>
      </c>
      <c r="F1293" s="2472"/>
      <c r="G1293" s="811" t="s">
        <v>2017</v>
      </c>
      <c r="H1293" s="127" t="str">
        <f>IFERROR(IF([1]K_Summary!$H$1278 = "", "", [1]K_Summary!$H$1278 ),"")</f>
        <v/>
      </c>
      <c r="I1293" s="229" t="str">
        <f>IFERROR(IF([1]K_Summary!$I$1278 = "", "", [1]K_Summary!$I$1278 ),"")</f>
        <v/>
      </c>
      <c r="J1293" s="230" t="str">
        <f>IFERROR(IF([1]K_Summary!$J$1278 = "", "", [1]K_Summary!$J$1278 ),"")</f>
        <v/>
      </c>
      <c r="K1293" s="127" t="str">
        <f>IFERROR(IF([1]K_Summary!$K$1278 = "", "", [1]K_Summary!$K$1278 ),"")</f>
        <v/>
      </c>
      <c r="L1293" s="127" t="str">
        <f>IFERROR(IF([1]K_Summary!$L$1278 = "", "", [1]K_Summary!$L$1278 ),"")</f>
        <v/>
      </c>
      <c r="M1293" s="127" t="str">
        <f>IFERROR(IF([1]K_Summary!$M$1278 = "", "", [1]K_Summary!$M$1278 ),"")</f>
        <v/>
      </c>
      <c r="N1293" s="231" t="str">
        <f>IFERROR(IF([1]K_Summary!$N$1278 = "", "", [1]K_Summary!$N$1278 ),"")</f>
        <v/>
      </c>
    </row>
    <row r="1294" spans="3:14">
      <c r="C1294" s="485"/>
      <c r="D1294" s="776"/>
      <c r="E1294" s="816" t="s">
        <v>1275</v>
      </c>
      <c r="F1294" s="816"/>
      <c r="G1294" s="812" t="s">
        <v>2018</v>
      </c>
      <c r="H1294" s="128" t="str">
        <f>IFERROR(IF([1]K_Summary!$H$1279 = "", "", [1]K_Summary!$H$1279 ),"")</f>
        <v/>
      </c>
      <c r="I1294" s="232" t="str">
        <f>IFERROR(IF([1]K_Summary!$I$1279 = "", "", [1]K_Summary!$I$1279 ),"")</f>
        <v/>
      </c>
      <c r="J1294" s="233" t="str">
        <f>IFERROR(IF([1]K_Summary!$J$1279 = "", "", [1]K_Summary!$J$1279 ),"")</f>
        <v/>
      </c>
      <c r="K1294" s="128" t="str">
        <f>IFERROR(IF([1]K_Summary!$K$1279 = "", "", [1]K_Summary!$K$1279 ),"")</f>
        <v/>
      </c>
      <c r="L1294" s="128" t="str">
        <f>IFERROR(IF([1]K_Summary!$L$1279 = "", "", [1]K_Summary!$L$1279 ),"")</f>
        <v/>
      </c>
      <c r="M1294" s="128" t="str">
        <f>IFERROR(IF([1]K_Summary!$M$1279 = "", "", [1]K_Summary!$M$1279 ),"")</f>
        <v/>
      </c>
      <c r="N1294" s="234" t="str">
        <f>IFERROR(IF([1]K_Summary!$N$1279 = "", "", [1]K_Summary!$N$1279 ),"")</f>
        <v/>
      </c>
    </row>
    <row r="1295" spans="3:14">
      <c r="C1295" s="485"/>
      <c r="D1295" s="776"/>
      <c r="E1295" s="2471" t="s">
        <v>1080</v>
      </c>
      <c r="F1295" s="2472"/>
      <c r="G1295" s="811" t="s">
        <v>2017</v>
      </c>
      <c r="H1295" s="127" t="str">
        <f>IFERROR(IF([1]K_Summary!$H$1280 = "", "", [1]K_Summary!$H$1280 ),"")</f>
        <v/>
      </c>
      <c r="I1295" s="229" t="str">
        <f>IFERROR(IF([1]K_Summary!$I$1280 = "", "", [1]K_Summary!$I$1280 ),"")</f>
        <v/>
      </c>
      <c r="J1295" s="230" t="str">
        <f>IFERROR(IF([1]K_Summary!$J$1280 = "", "", [1]K_Summary!$J$1280 ),"")</f>
        <v/>
      </c>
      <c r="K1295" s="127" t="str">
        <f>IFERROR(IF([1]K_Summary!$K$1280 = "", "", [1]K_Summary!$K$1280 ),"")</f>
        <v/>
      </c>
      <c r="L1295" s="127" t="str">
        <f>IFERROR(IF([1]K_Summary!$L$1280 = "", "", [1]K_Summary!$L$1280 ),"")</f>
        <v/>
      </c>
      <c r="M1295" s="127" t="str">
        <f>IFERROR(IF([1]K_Summary!$M$1280 = "", "", [1]K_Summary!$M$1280 ),"")</f>
        <v/>
      </c>
      <c r="N1295" s="231" t="str">
        <f>IFERROR(IF([1]K_Summary!$N$1280 = "", "", [1]K_Summary!$N$1280 ),"")</f>
        <v/>
      </c>
    </row>
    <row r="1296" spans="3:14">
      <c r="C1296" s="485"/>
      <c r="D1296" s="776"/>
      <c r="E1296" s="2473" t="s">
        <v>1276</v>
      </c>
      <c r="F1296" s="2474"/>
      <c r="G1296" s="812" t="s">
        <v>2018</v>
      </c>
      <c r="H1296" s="128" t="str">
        <f>IFERROR(IF([1]K_Summary!$H$1281 = "", "", [1]K_Summary!$H$1281 ),"")</f>
        <v/>
      </c>
      <c r="I1296" s="232" t="str">
        <f>IFERROR(IF([1]K_Summary!$I$1281 = "", "", [1]K_Summary!$I$1281 ),"")</f>
        <v/>
      </c>
      <c r="J1296" s="233" t="str">
        <f>IFERROR(IF([1]K_Summary!$J$1281 = "", "", [1]K_Summary!$J$1281 ),"")</f>
        <v/>
      </c>
      <c r="K1296" s="128" t="str">
        <f>IFERROR(IF([1]K_Summary!$K$1281 = "", "", [1]K_Summary!$K$1281 ),"")</f>
        <v/>
      </c>
      <c r="L1296" s="128" t="str">
        <f>IFERROR(IF([1]K_Summary!$L$1281 = "", "", [1]K_Summary!$L$1281 ),"")</f>
        <v/>
      </c>
      <c r="M1296" s="128" t="str">
        <f>IFERROR(IF([1]K_Summary!$M$1281 = "", "", [1]K_Summary!$M$1281 ),"")</f>
        <v/>
      </c>
      <c r="N1296" s="234" t="str">
        <f>IFERROR(IF([1]K_Summary!$N$1281 = "", "", [1]K_Summary!$N$1281 ),"")</f>
        <v/>
      </c>
    </row>
    <row r="1297" spans="3:14">
      <c r="C1297" s="485"/>
      <c r="D1297" s="776"/>
      <c r="E1297" s="809"/>
      <c r="F1297" s="809"/>
      <c r="G1297" s="777"/>
      <c r="H1297" s="813"/>
      <c r="I1297" s="813"/>
      <c r="J1297" s="813"/>
      <c r="K1297" s="813"/>
      <c r="L1297" s="813"/>
      <c r="M1297" s="813"/>
      <c r="N1297" s="814"/>
    </row>
    <row r="1298" spans="3:14">
      <c r="C1298" s="485"/>
      <c r="D1298" s="776"/>
      <c r="E1298" s="2475" t="s">
        <v>914</v>
      </c>
      <c r="F1298" s="2410"/>
      <c r="G1298" s="815" t="s">
        <v>2021</v>
      </c>
      <c r="H1298" s="126" t="str">
        <f>IFERROR(IF([1]K_Summary!$H$1283 = "", "", [1]K_Summary!$H$1283 ),"")</f>
        <v/>
      </c>
      <c r="I1298" s="235" t="str">
        <f>IFERROR(IF([1]K_Summary!$I$1283 = "", "", [1]K_Summary!$I$1283 ),"")</f>
        <v/>
      </c>
      <c r="J1298" s="236" t="str">
        <f>IFERROR(IF([1]K_Summary!$J$1283 = "", "", [1]K_Summary!$J$1283 ),"")</f>
        <v/>
      </c>
      <c r="K1298" s="126" t="str">
        <f>IFERROR(IF([1]K_Summary!$K$1283 = "", "", [1]K_Summary!$K$1283 ),"")</f>
        <v/>
      </c>
      <c r="L1298" s="126" t="str">
        <f>IFERROR(IF([1]K_Summary!$L$1283 = "", "", [1]K_Summary!$L$1283 ),"")</f>
        <v/>
      </c>
      <c r="M1298" s="126" t="str">
        <f>IFERROR(IF([1]K_Summary!$M$1283 = "", "", [1]K_Summary!$M$1283 ),"")</f>
        <v/>
      </c>
      <c r="N1298" s="237" t="str">
        <f>IFERROR(IF([1]K_Summary!$N$1283 = "", "", [1]K_Summary!$N$1283 ),"")</f>
        <v/>
      </c>
    </row>
    <row r="1299" spans="3:14">
      <c r="C1299" s="485"/>
      <c r="D1299" s="776"/>
      <c r="E1299" s="2475" t="s">
        <v>1354</v>
      </c>
      <c r="F1299" s="2410"/>
      <c r="G1299" s="815" t="s">
        <v>2021</v>
      </c>
      <c r="H1299" s="126" t="str">
        <f>IFERROR(IF([1]K_Summary!$H$1284 = "", "", [1]K_Summary!$H$1284 ),"")</f>
        <v/>
      </c>
      <c r="I1299" s="235" t="str">
        <f>IFERROR(IF([1]K_Summary!$I$1284 = "", "", [1]K_Summary!$I$1284 ),"")</f>
        <v/>
      </c>
      <c r="J1299" s="236" t="str">
        <f>IFERROR(IF([1]K_Summary!$J$1284 = "", "", [1]K_Summary!$J$1284 ),"")</f>
        <v/>
      </c>
      <c r="K1299" s="126" t="str">
        <f>IFERROR(IF([1]K_Summary!$K$1284 = "", "", [1]K_Summary!$K$1284 ),"")</f>
        <v/>
      </c>
      <c r="L1299" s="126" t="str">
        <f>IFERROR(IF([1]K_Summary!$L$1284 = "", "", [1]K_Summary!$L$1284 ),"")</f>
        <v/>
      </c>
      <c r="M1299" s="126" t="str">
        <f>IFERROR(IF([1]K_Summary!$M$1284 = "", "", [1]K_Summary!$M$1284 ),"")</f>
        <v/>
      </c>
      <c r="N1299" s="237" t="str">
        <f>IFERROR(IF([1]K_Summary!$N$1284 = "", "", [1]K_Summary!$N$1284 ),"")</f>
        <v/>
      </c>
    </row>
    <row r="1300" spans="3:14">
      <c r="C1300" s="485"/>
      <c r="D1300" s="776"/>
      <c r="E1300" s="809"/>
      <c r="F1300" s="809"/>
      <c r="G1300" s="777"/>
      <c r="H1300" s="813"/>
      <c r="I1300" s="813"/>
      <c r="J1300" s="813"/>
      <c r="K1300" s="813"/>
      <c r="L1300" s="813"/>
      <c r="M1300" s="813"/>
      <c r="N1300" s="814"/>
    </row>
    <row r="1301" spans="3:14">
      <c r="C1301" s="485"/>
      <c r="D1301" s="776"/>
      <c r="E1301" s="2475" t="s">
        <v>1157</v>
      </c>
      <c r="F1301" s="2410"/>
      <c r="G1301" s="815" t="s">
        <v>1020</v>
      </c>
      <c r="H1301" s="126" t="str">
        <f>IFERROR(IF([1]K_Summary!$H$1286 = "", "", [1]K_Summary!$H$1286 ),"")</f>
        <v/>
      </c>
      <c r="I1301" s="235" t="str">
        <f>IFERROR(IF([1]K_Summary!$I$1286 = "", "", [1]K_Summary!$I$1286 ),"")</f>
        <v/>
      </c>
      <c r="J1301" s="236" t="str">
        <f>IFERROR(IF([1]K_Summary!$J$1286 = "", "", [1]K_Summary!$J$1286 ),"")</f>
        <v/>
      </c>
      <c r="K1301" s="126" t="str">
        <f>IFERROR(IF([1]K_Summary!$K$1286 = "", "", [1]K_Summary!$K$1286 ),"")</f>
        <v/>
      </c>
      <c r="L1301" s="126" t="str">
        <f>IFERROR(IF([1]K_Summary!$L$1286 = "", "", [1]K_Summary!$L$1286 ),"")</f>
        <v/>
      </c>
      <c r="M1301" s="126" t="str">
        <f>IFERROR(IF([1]K_Summary!$M$1286 = "", "", [1]K_Summary!$M$1286 ),"")</f>
        <v/>
      </c>
      <c r="N1301" s="237" t="str">
        <f>IFERROR(IF([1]K_Summary!$N$1286 = "", "", [1]K_Summary!$N$1286 ),"")</f>
        <v/>
      </c>
    </row>
    <row r="1302" spans="3:14">
      <c r="C1302" s="485"/>
      <c r="D1302" s="776"/>
      <c r="E1302" s="809"/>
      <c r="F1302" s="809"/>
      <c r="G1302" s="777"/>
      <c r="H1302" s="813"/>
      <c r="I1302" s="813"/>
      <c r="J1302" s="813"/>
      <c r="K1302" s="813"/>
      <c r="L1302" s="813"/>
      <c r="M1302" s="813"/>
      <c r="N1302" s="814"/>
    </row>
    <row r="1303" spans="3:14">
      <c r="C1303" s="485"/>
      <c r="D1303" s="776"/>
      <c r="E1303" s="2492" t="s">
        <v>1440</v>
      </c>
      <c r="F1303" s="2493"/>
      <c r="G1303" s="777"/>
      <c r="H1303" s="813"/>
      <c r="I1303" s="813"/>
      <c r="J1303" s="813"/>
      <c r="K1303" s="813"/>
      <c r="L1303" s="813"/>
      <c r="M1303" s="813"/>
      <c r="N1303" s="814"/>
    </row>
    <row r="1304" spans="3:14">
      <c r="C1304" s="485"/>
      <c r="D1304" s="776"/>
      <c r="E1304" s="2487" t="str">
        <f>IFERROR(IF([1]K_Summary!$E$1289 = "", "", [1]K_Summary!$E$1289 ),"")</f>
        <v/>
      </c>
      <c r="F1304" s="2488"/>
      <c r="G1304" s="815" t="s">
        <v>1020</v>
      </c>
      <c r="H1304" s="126" t="str">
        <f>IFERROR(IF([1]K_Summary!$H$1289 = "", "", [1]K_Summary!$H$1289 ),"")</f>
        <v/>
      </c>
      <c r="I1304" s="235" t="str">
        <f>IFERROR(IF([1]K_Summary!$I$1289 = "", "", [1]K_Summary!$I$1289 ),"")</f>
        <v/>
      </c>
      <c r="J1304" s="236" t="str">
        <f>IFERROR(IF([1]K_Summary!$J$1289 = "", "", [1]K_Summary!$J$1289 ),"")</f>
        <v/>
      </c>
      <c r="K1304" s="126" t="str">
        <f>IFERROR(IF([1]K_Summary!$K$1289 = "", "", [1]K_Summary!$K$1289 ),"")</f>
        <v/>
      </c>
      <c r="L1304" s="126" t="str">
        <f>IFERROR(IF([1]K_Summary!$L$1289 = "", "", [1]K_Summary!$L$1289 ),"")</f>
        <v/>
      </c>
      <c r="M1304" s="126" t="str">
        <f>IFERROR(IF([1]K_Summary!$M$1289 = "", "", [1]K_Summary!$M$1289 ),"")</f>
        <v/>
      </c>
      <c r="N1304" s="237" t="str">
        <f>IFERROR(IF([1]K_Summary!$N$1289 = "", "", [1]K_Summary!$N$1289 ),"")</f>
        <v/>
      </c>
    </row>
    <row r="1305" spans="3:14">
      <c r="C1305" s="485"/>
      <c r="D1305" s="776"/>
      <c r="E1305" s="2487" t="str">
        <f>IFERROR(IF([1]K_Summary!$E$1290 = "", "", [1]K_Summary!$E$1290 ),"")</f>
        <v/>
      </c>
      <c r="F1305" s="2488"/>
      <c r="G1305" s="815" t="s">
        <v>1020</v>
      </c>
      <c r="H1305" s="126" t="str">
        <f>IFERROR(IF([1]K_Summary!$H$1290 = "", "", [1]K_Summary!$H$1290 ),"")</f>
        <v/>
      </c>
      <c r="I1305" s="235" t="str">
        <f>IFERROR(IF([1]K_Summary!$I$1290 = "", "", [1]K_Summary!$I$1290 ),"")</f>
        <v/>
      </c>
      <c r="J1305" s="236" t="str">
        <f>IFERROR(IF([1]K_Summary!$J$1290 = "", "", [1]K_Summary!$J$1290 ),"")</f>
        <v/>
      </c>
      <c r="K1305" s="126" t="str">
        <f>IFERROR(IF([1]K_Summary!$K$1290 = "", "", [1]K_Summary!$K$1290 ),"")</f>
        <v/>
      </c>
      <c r="L1305" s="126" t="str">
        <f>IFERROR(IF([1]K_Summary!$L$1290 = "", "", [1]K_Summary!$L$1290 ),"")</f>
        <v/>
      </c>
      <c r="M1305" s="126" t="str">
        <f>IFERROR(IF([1]K_Summary!$M$1290 = "", "", [1]K_Summary!$M$1290 ),"")</f>
        <v/>
      </c>
      <c r="N1305" s="237" t="str">
        <f>IFERROR(IF([1]K_Summary!$N$1290 = "", "", [1]K_Summary!$N$1290 ),"")</f>
        <v/>
      </c>
    </row>
    <row r="1306" spans="3:14">
      <c r="C1306" s="485"/>
      <c r="D1306" s="776"/>
      <c r="E1306" s="2475" t="s">
        <v>1441</v>
      </c>
      <c r="F1306" s="2410"/>
      <c r="G1306" s="777"/>
      <c r="H1306" s="813"/>
      <c r="I1306" s="813"/>
      <c r="J1306" s="813"/>
      <c r="K1306" s="813"/>
      <c r="L1306" s="813"/>
      <c r="M1306" s="813"/>
      <c r="N1306" s="814"/>
    </row>
    <row r="1307" spans="3:14">
      <c r="C1307" s="485"/>
      <c r="D1307" s="776"/>
      <c r="E1307" s="2487" t="str">
        <f>IFERROR(IF([1]K_Summary!$E$1292 = "", "", [1]K_Summary!$E$1292 ),"")</f>
        <v/>
      </c>
      <c r="F1307" s="2488"/>
      <c r="G1307" s="815" t="s">
        <v>1020</v>
      </c>
      <c r="H1307" s="126" t="str">
        <f>IFERROR(IF([1]K_Summary!$H$1292 = "", "", [1]K_Summary!$H$1292 ),"")</f>
        <v/>
      </c>
      <c r="I1307" s="235" t="str">
        <f>IFERROR(IF([1]K_Summary!$I$1292 = "", "", [1]K_Summary!$I$1292 ),"")</f>
        <v/>
      </c>
      <c r="J1307" s="236" t="str">
        <f>IFERROR(IF([1]K_Summary!$J$1292 = "", "", [1]K_Summary!$J$1292 ),"")</f>
        <v/>
      </c>
      <c r="K1307" s="126" t="str">
        <f>IFERROR(IF([1]K_Summary!$K$1292 = "", "", [1]K_Summary!$K$1292 ),"")</f>
        <v/>
      </c>
      <c r="L1307" s="126" t="str">
        <f>IFERROR(IF([1]K_Summary!$L$1292 = "", "", [1]K_Summary!$L$1292 ),"")</f>
        <v/>
      </c>
      <c r="M1307" s="126" t="str">
        <f>IFERROR(IF([1]K_Summary!$M$1292 = "", "", [1]K_Summary!$M$1292 ),"")</f>
        <v/>
      </c>
      <c r="N1307" s="237" t="str">
        <f>IFERROR(IF([1]K_Summary!$N$1292 = "", "", [1]K_Summary!$N$1292 ),"")</f>
        <v/>
      </c>
    </row>
    <row r="1308" spans="3:14">
      <c r="C1308" s="485"/>
      <c r="D1308" s="776"/>
      <c r="E1308" s="2487" t="str">
        <f>IFERROR(IF([1]K_Summary!$E$1293 = "", "", [1]K_Summary!$E$1293 ),"")</f>
        <v/>
      </c>
      <c r="F1308" s="2488"/>
      <c r="G1308" s="815" t="s">
        <v>1020</v>
      </c>
      <c r="H1308" s="126" t="str">
        <f>IFERROR(IF([1]K_Summary!$H$1293 = "", "", [1]K_Summary!$H$1293 ),"")</f>
        <v/>
      </c>
      <c r="I1308" s="235" t="str">
        <f>IFERROR(IF([1]K_Summary!$I$1293 = "", "", [1]K_Summary!$I$1293 ),"")</f>
        <v/>
      </c>
      <c r="J1308" s="236" t="str">
        <f>IFERROR(IF([1]K_Summary!$J$1293 = "", "", [1]K_Summary!$J$1293 ),"")</f>
        <v/>
      </c>
      <c r="K1308" s="126" t="str">
        <f>IFERROR(IF([1]K_Summary!$K$1293 = "", "", [1]K_Summary!$K$1293 ),"")</f>
        <v/>
      </c>
      <c r="L1308" s="126" t="str">
        <f>IFERROR(IF([1]K_Summary!$L$1293 = "", "", [1]K_Summary!$L$1293 ),"")</f>
        <v/>
      </c>
      <c r="M1308" s="126" t="str">
        <f>IFERROR(IF([1]K_Summary!$M$1293 = "", "", [1]K_Summary!$M$1293 ),"")</f>
        <v/>
      </c>
      <c r="N1308" s="237" t="str">
        <f>IFERROR(IF([1]K_Summary!$N$1293 = "", "", [1]K_Summary!$N$1293 ),"")</f>
        <v/>
      </c>
    </row>
    <row r="1309" spans="3:14" ht="13.5" thickBot="1">
      <c r="C1309" s="485"/>
      <c r="D1309" s="802"/>
      <c r="E1309" s="803"/>
      <c r="F1309" s="803"/>
      <c r="G1309" s="804"/>
      <c r="H1309" s="804"/>
      <c r="I1309" s="805"/>
      <c r="J1309" s="805"/>
      <c r="K1309" s="805"/>
      <c r="L1309" s="805"/>
      <c r="M1309" s="805"/>
      <c r="N1309" s="806"/>
    </row>
    <row r="1310" spans="3:14">
      <c r="C1310" s="485"/>
      <c r="D1310" s="485"/>
      <c r="E1310" s="807"/>
      <c r="F1310" s="562"/>
      <c r="G1310" s="562"/>
      <c r="H1310" s="562"/>
      <c r="I1310" s="562"/>
      <c r="J1310" s="562"/>
      <c r="K1310" s="562"/>
      <c r="L1310" s="562"/>
      <c r="M1310" s="562"/>
      <c r="N1310" s="562"/>
    </row>
    <row r="1311" spans="3:14"/>
    <row r="1312" spans="3:14" ht="13.9" customHeight="1">
      <c r="C1312" s="559">
        <v>6</v>
      </c>
      <c r="D1312" s="2482" t="s">
        <v>2027</v>
      </c>
      <c r="E1312" s="2482"/>
      <c r="F1312" s="2482"/>
      <c r="G1312" s="2482"/>
      <c r="H1312" s="2483"/>
      <c r="I1312" s="2489" t="str">
        <f>IFERROR(IF([1]K_Summary!$I$1297 = "", "", [1]K_Summary!$I$1297 ),"")</f>
        <v/>
      </c>
      <c r="J1312" s="2490"/>
      <c r="K1312" s="2490"/>
      <c r="L1312" s="2490"/>
      <c r="M1312" s="2490"/>
      <c r="N1312" s="2491"/>
    </row>
    <row r="1313" spans="1:14" ht="15">
      <c r="C1313" s="559"/>
      <c r="D1313" s="559"/>
      <c r="E1313" s="559"/>
      <c r="F1313" s="559"/>
      <c r="G1313" s="559"/>
      <c r="H1313" s="559"/>
      <c r="I1313" s="559"/>
      <c r="J1313" s="559"/>
      <c r="K1313" s="559"/>
      <c r="L1313" s="559"/>
      <c r="M1313" s="559"/>
      <c r="N1313" s="559"/>
    </row>
    <row r="1314" spans="1:14" ht="15">
      <c r="C1314" s="559"/>
      <c r="D1314" s="559"/>
      <c r="E1314" s="559"/>
      <c r="F1314" s="559"/>
      <c r="G1314" s="562"/>
      <c r="H1314" s="688" t="s">
        <v>458</v>
      </c>
      <c r="I1314" s="688" t="s">
        <v>1256</v>
      </c>
      <c r="J1314" s="688" t="s">
        <v>1434</v>
      </c>
      <c r="K1314" s="688" t="s">
        <v>1684</v>
      </c>
      <c r="L1314" s="689" t="s">
        <v>156</v>
      </c>
      <c r="M1314" s="2469" t="s">
        <v>302</v>
      </c>
      <c r="N1314" s="2469"/>
    </row>
    <row r="1315" spans="1:14" ht="15">
      <c r="C1315" s="559"/>
      <c r="D1315" s="559"/>
      <c r="E1315" s="66" t="str">
        <f>IFERROR(IF([1]K_Summary!$E$1300 = "", "", [1]K_Summary!$E$1300 ),"")</f>
        <v/>
      </c>
      <c r="F1315" s="51"/>
      <c r="G1315" s="51"/>
      <c r="H1315" s="143" t="str">
        <f>IFERROR(IF([1]K_Summary!$H$1300 = "", "", [1]K_Summary!$H$1300 ),"")</f>
        <v>N.A.</v>
      </c>
      <c r="I1315" s="143" t="str">
        <f>IFERROR(IF([1]K_Summary!$I$1300 = "", "", [1]K_Summary!$I$1300 ),"")</f>
        <v/>
      </c>
      <c r="J1315" s="53" t="str">
        <f>IFERROR(IF([1]K_Summary!$J$1300 = "", "", [1]K_Summary!$J$1300 ),"")</f>
        <v>N.A.</v>
      </c>
      <c r="K1315" s="53" t="str">
        <f>IFERROR(IF([1]K_Summary!$K$1300 = "", "", [1]K_Summary!$K$1300 ),"")</f>
        <v>N.A.</v>
      </c>
      <c r="L1315" s="144" t="str">
        <f>IFERROR(IF([1]K_Summary!$L$1300 = "", "", [1]K_Summary!$L$1300 ),"")</f>
        <v>N.A.</v>
      </c>
      <c r="M1315" s="145" t="str">
        <f>IFERROR(IF([1]K_Summary!$M$1300 = "", "", [1]K_Summary!$M$1300 ),"")</f>
        <v>N.A.</v>
      </c>
      <c r="N1315" s="50" t="str">
        <f>IFERROR(IF([1]K_Summary!$N$1300 = "", "", [1]K_Summary!$N$1300 ),"")</f>
        <v>EUA/tonnes</v>
      </c>
    </row>
    <row r="1316" spans="1:14" ht="15">
      <c r="C1316" s="485"/>
      <c r="D1316" s="485"/>
      <c r="E1316" s="559"/>
      <c r="F1316" s="562"/>
      <c r="G1316" s="562"/>
      <c r="H1316" s="562"/>
      <c r="I1316" s="562"/>
      <c r="J1316" s="485"/>
      <c r="K1316" s="485"/>
      <c r="L1316" s="485"/>
      <c r="M1316" s="485"/>
      <c r="N1316" s="485"/>
    </row>
    <row r="1317" spans="1:14">
      <c r="C1317" s="485"/>
      <c r="D1317" s="485"/>
      <c r="E1317" s="496"/>
      <c r="F1317" s="482" t="s">
        <v>884</v>
      </c>
      <c r="G1317" s="695" t="s">
        <v>1646</v>
      </c>
      <c r="H1317" s="696">
        <v>2019</v>
      </c>
      <c r="I1317" s="697">
        <v>2020</v>
      </c>
      <c r="J1317" s="696">
        <v>2021</v>
      </c>
      <c r="K1317" s="578">
        <v>2022</v>
      </c>
      <c r="L1317" s="578">
        <v>2023</v>
      </c>
      <c r="M1317" s="578">
        <v>2024</v>
      </c>
      <c r="N1317" s="578">
        <v>2025</v>
      </c>
    </row>
    <row r="1318" spans="1:14">
      <c r="C1318" s="485"/>
      <c r="D1318" s="485"/>
      <c r="E1318" s="698" t="s">
        <v>1665</v>
      </c>
      <c r="F1318" s="146" t="str">
        <f>IFERROR(IF([1]K_Summary!$F$1303 = "", "", [1]K_Summary!$F$1303 ),"")</f>
        <v>tonnes</v>
      </c>
      <c r="G1318" s="147" t="str">
        <f>IFERROR(IF([1]K_Summary!$G$1303 = "", "", [1]K_Summary!$G$1303 ),"")</f>
        <v/>
      </c>
      <c r="H1318" s="148" t="str">
        <f>IFERROR(IF([1]K_Summary!$H$1303 = "", "", [1]K_Summary!$H$1303 ),"")</f>
        <v/>
      </c>
      <c r="I1318" s="149" t="str">
        <f>IFERROR(IF([1]K_Summary!$I$1303 = "", "", [1]K_Summary!$I$1303 ),"")</f>
        <v/>
      </c>
      <c r="J1318" s="148" t="str">
        <f>IFERROR(IF([1]K_Summary!$J$1303 = "", "", [1]K_Summary!$J$1303 ),"")</f>
        <v/>
      </c>
      <c r="K1318" s="150" t="str">
        <f>IFERROR(IF([1]K_Summary!$K$1303 = "", "", [1]K_Summary!$K$1303 ),"")</f>
        <v/>
      </c>
      <c r="L1318" s="150" t="str">
        <f>IFERROR(IF([1]K_Summary!$L$1303 = "", "", [1]K_Summary!$L$1303 ),"")</f>
        <v/>
      </c>
      <c r="M1318" s="150" t="str">
        <f>IFERROR(IF([1]K_Summary!$M$1303 = "", "", [1]K_Summary!$M$1303 ),"")</f>
        <v/>
      </c>
      <c r="N1318" s="150" t="str">
        <f>IFERROR(IF([1]K_Summary!$N$1303 = "", "", [1]K_Summary!$N$1303 ),"")</f>
        <v/>
      </c>
    </row>
    <row r="1319" spans="1:14" ht="15.75" thickBot="1">
      <c r="C1319" s="559"/>
      <c r="D1319" s="559"/>
      <c r="E1319" s="559"/>
      <c r="F1319" s="559"/>
      <c r="G1319" s="559"/>
      <c r="H1319" s="559"/>
      <c r="I1319" s="559"/>
      <c r="J1319" s="559"/>
      <c r="K1319" s="559"/>
      <c r="L1319" s="559"/>
      <c r="M1319" s="559"/>
      <c r="N1319" s="559"/>
    </row>
    <row r="1320" spans="1:14" ht="15">
      <c r="C1320" s="559"/>
      <c r="D1320" s="703"/>
      <c r="E1320" s="704"/>
      <c r="F1320" s="704"/>
      <c r="G1320" s="704"/>
      <c r="H1320" s="704"/>
      <c r="I1320" s="704"/>
      <c r="J1320" s="704"/>
      <c r="K1320" s="704"/>
      <c r="L1320" s="704"/>
      <c r="M1320" s="704"/>
      <c r="N1320" s="705"/>
    </row>
    <row r="1321" spans="1:14" ht="15">
      <c r="C1321" s="559"/>
      <c r="D1321" s="706"/>
      <c r="E1321" s="707" t="s">
        <v>1787</v>
      </c>
      <c r="F1321" s="637"/>
      <c r="G1321" s="637"/>
      <c r="H1321" s="663"/>
      <c r="I1321" s="708"/>
      <c r="J1321" s="709">
        <v>2021</v>
      </c>
      <c r="K1321" s="671">
        <v>2022</v>
      </c>
      <c r="L1321" s="671">
        <v>2023</v>
      </c>
      <c r="M1321" s="671">
        <v>2024</v>
      </c>
      <c r="N1321" s="710">
        <v>2025</v>
      </c>
    </row>
    <row r="1322" spans="1:14" ht="15">
      <c r="C1322" s="559"/>
      <c r="D1322" s="706"/>
      <c r="E1322" s="711" t="s">
        <v>1783</v>
      </c>
      <c r="F1322" s="712"/>
      <c r="G1322" s="712"/>
      <c r="H1322" s="713"/>
      <c r="I1322" s="712"/>
      <c r="J1322" s="151" t="str">
        <f>IFERROR(IF([1]K_Summary!$J$1307 = "", "", [1]K_Summary!$J$1307 ),"")</f>
        <v/>
      </c>
      <c r="K1322" s="152" t="str">
        <f>IFERROR(IF([1]K_Summary!$K$1307 = "", "", [1]K_Summary!$K$1307 ),"")</f>
        <v/>
      </c>
      <c r="L1322" s="152" t="str">
        <f>IFERROR(IF([1]K_Summary!$L$1307 = "", "", [1]K_Summary!$L$1307 ),"")</f>
        <v/>
      </c>
      <c r="M1322" s="152" t="str">
        <f>IFERROR(IF([1]K_Summary!$M$1307 = "", "", [1]K_Summary!$M$1307 ),"")</f>
        <v/>
      </c>
      <c r="N1322" s="153" t="str">
        <f>IFERROR(IF([1]K_Summary!$N$1307 = "", "", [1]K_Summary!$N$1307 ),"")</f>
        <v/>
      </c>
    </row>
    <row r="1323" spans="1:14" ht="15">
      <c r="C1323" s="559"/>
      <c r="D1323" s="706"/>
      <c r="E1323" s="714" t="s">
        <v>1784</v>
      </c>
      <c r="F1323" s="715"/>
      <c r="G1323" s="715"/>
      <c r="H1323" s="716"/>
      <c r="I1323" s="715"/>
      <c r="J1323" s="154" t="str">
        <f>IFERROR(IF([1]K_Summary!$J$1308 = "", "", [1]K_Summary!$J$1308 ),"")</f>
        <v/>
      </c>
      <c r="K1323" s="155" t="str">
        <f>IFERROR(IF([1]K_Summary!$K$1308 = "", "", [1]K_Summary!$K$1308 ),"")</f>
        <v/>
      </c>
      <c r="L1323" s="155" t="str">
        <f>IFERROR(IF([1]K_Summary!$L$1308 = "", "", [1]K_Summary!$L$1308 ),"")</f>
        <v/>
      </c>
      <c r="M1323" s="155" t="str">
        <f>IFERROR(IF([1]K_Summary!$M$1308 = "", "", [1]K_Summary!$M$1308 ),"")</f>
        <v/>
      </c>
      <c r="N1323" s="156" t="str">
        <f>IFERROR(IF([1]K_Summary!$N$1308 = "", "", [1]K_Summary!$N$1308 ),"")</f>
        <v/>
      </c>
    </row>
    <row r="1324" spans="1:14" ht="15">
      <c r="C1324" s="559"/>
      <c r="D1324" s="706"/>
      <c r="E1324" s="559"/>
      <c r="F1324" s="559"/>
      <c r="G1324" s="559"/>
      <c r="H1324" s="559"/>
      <c r="I1324" s="559"/>
      <c r="J1324" s="559"/>
      <c r="K1324" s="559"/>
      <c r="L1324" s="559"/>
      <c r="M1324" s="559"/>
      <c r="N1324" s="717"/>
    </row>
    <row r="1325" spans="1:14" ht="15">
      <c r="C1325" s="559"/>
      <c r="D1325" s="706"/>
      <c r="E1325" s="496" t="s">
        <v>1762</v>
      </c>
      <c r="F1325" s="485"/>
      <c r="G1325" s="485"/>
      <c r="H1325" s="663" t="s">
        <v>884</v>
      </c>
      <c r="I1325" s="708"/>
      <c r="J1325" s="696">
        <v>2021</v>
      </c>
      <c r="K1325" s="578">
        <v>2022</v>
      </c>
      <c r="L1325" s="578">
        <v>2023</v>
      </c>
      <c r="M1325" s="578">
        <v>2024</v>
      </c>
      <c r="N1325" s="718">
        <v>2025</v>
      </c>
    </row>
    <row r="1326" spans="1:14" ht="15" hidden="1">
      <c r="A1326" s="719" t="s">
        <v>2289</v>
      </c>
      <c r="C1326" s="559"/>
      <c r="D1326" s="706"/>
      <c r="E1326" s="698" t="s">
        <v>1714</v>
      </c>
      <c r="F1326" s="698"/>
      <c r="G1326" s="698"/>
      <c r="H1326" s="63" t="str">
        <f>IFERROR(IF([1]K_Summary!$H$1311 = "", "", [1]K_Summary!$H$1311 ),"")</f>
        <v>tonnes</v>
      </c>
      <c r="I1326" s="698"/>
      <c r="J1326" s="157" t="str">
        <f>IFERROR(IF([1]K_Summary!$J$1311 = "", "", [1]K_Summary!$J$1311 ),"")</f>
        <v/>
      </c>
      <c r="K1326" s="147" t="str">
        <f>IFERROR(IF([1]K_Summary!$K$1311 = "", "", [1]K_Summary!$K$1311 ),"")</f>
        <v/>
      </c>
      <c r="L1326" s="147" t="str">
        <f>IFERROR(IF([1]K_Summary!$L$1311 = "", "", [1]K_Summary!$L$1311 ),"")</f>
        <v/>
      </c>
      <c r="M1326" s="147" t="str">
        <f>IFERROR(IF([1]K_Summary!$M$1311 = "", "", [1]K_Summary!$M$1311 ),"")</f>
        <v/>
      </c>
      <c r="N1326" s="158" t="str">
        <f>IFERROR(IF([1]K_Summary!$N$1311 = "", "", [1]K_Summary!$N$1311 ),"")</f>
        <v/>
      </c>
    </row>
    <row r="1327" spans="1:14" ht="15" hidden="1">
      <c r="A1327" s="719" t="s">
        <v>2289</v>
      </c>
      <c r="C1327" s="559"/>
      <c r="D1327" s="706"/>
      <c r="E1327" s="720" t="s">
        <v>303</v>
      </c>
      <c r="F1327" s="720"/>
      <c r="G1327" s="720"/>
      <c r="H1327" s="721" t="s">
        <v>2090</v>
      </c>
      <c r="I1327" s="722"/>
      <c r="J1327" s="159" t="str">
        <f>IFERROR(IF([1]K_Summary!$J$1312 = "", "", [1]K_Summary!$J$1312 ),"")</f>
        <v/>
      </c>
      <c r="K1327" s="160" t="str">
        <f>IFERROR(IF([1]K_Summary!$K$1312 = "", "", [1]K_Summary!$K$1312 ),"")</f>
        <v/>
      </c>
      <c r="L1327" s="160" t="str">
        <f>IFERROR(IF([1]K_Summary!$L$1312 = "", "", [1]K_Summary!$L$1312 ),"")</f>
        <v/>
      </c>
      <c r="M1327" s="160" t="str">
        <f>IFERROR(IF([1]K_Summary!$M$1312 = "", "", [1]K_Summary!$M$1312 ),"")</f>
        <v/>
      </c>
      <c r="N1327" s="161" t="str">
        <f>IFERROR(IF([1]K_Summary!$N$1312 = "", "", [1]K_Summary!$N$1312 ),"")</f>
        <v/>
      </c>
    </row>
    <row r="1328" spans="1:14" ht="15" hidden="1">
      <c r="A1328" s="719" t="s">
        <v>2289</v>
      </c>
      <c r="C1328" s="559"/>
      <c r="D1328" s="706"/>
      <c r="E1328" s="723" t="s">
        <v>1422</v>
      </c>
      <c r="F1328" s="723"/>
      <c r="G1328" s="723"/>
      <c r="H1328" s="724" t="s">
        <v>2090</v>
      </c>
      <c r="I1328" s="725"/>
      <c r="J1328" s="162" t="str">
        <f>IFERROR(IF([1]K_Summary!$J$1313 = "", "", [1]K_Summary!$J$1313 ),"")</f>
        <v/>
      </c>
      <c r="K1328" s="163" t="str">
        <f>IFERROR(IF([1]K_Summary!$K$1313 = "", "", [1]K_Summary!$K$1313 ),"")</f>
        <v/>
      </c>
      <c r="L1328" s="163" t="str">
        <f>IFERROR(IF([1]K_Summary!$L$1313 = "", "", [1]K_Summary!$L$1313 ),"")</f>
        <v/>
      </c>
      <c r="M1328" s="163" t="str">
        <f>IFERROR(IF([1]K_Summary!$M$1313 = "", "", [1]K_Summary!$M$1313 ),"")</f>
        <v/>
      </c>
      <c r="N1328" s="164" t="str">
        <f>IFERROR(IF([1]K_Summary!$N$1313 = "", "", [1]K_Summary!$N$1313 ),"")</f>
        <v/>
      </c>
    </row>
    <row r="1329" spans="1:14" ht="15" hidden="1">
      <c r="A1329" s="719" t="s">
        <v>2289</v>
      </c>
      <c r="C1329" s="559"/>
      <c r="D1329" s="706"/>
      <c r="E1329" s="723" t="s">
        <v>1390</v>
      </c>
      <c r="F1329" s="723"/>
      <c r="G1329" s="723"/>
      <c r="H1329" s="724" t="s">
        <v>2090</v>
      </c>
      <c r="I1329" s="725"/>
      <c r="J1329" s="162" t="str">
        <f>IFERROR(IF([1]K_Summary!$J$1314 = "", "", [1]K_Summary!$J$1314 ),"")</f>
        <v/>
      </c>
      <c r="K1329" s="163" t="str">
        <f>IFERROR(IF([1]K_Summary!$K$1314 = "", "", [1]K_Summary!$K$1314 ),"")</f>
        <v/>
      </c>
      <c r="L1329" s="163" t="str">
        <f>IFERROR(IF([1]K_Summary!$L$1314 = "", "", [1]K_Summary!$L$1314 ),"")</f>
        <v/>
      </c>
      <c r="M1329" s="163" t="str">
        <f>IFERROR(IF([1]K_Summary!$M$1314 = "", "", [1]K_Summary!$M$1314 ),"")</f>
        <v/>
      </c>
      <c r="N1329" s="164" t="str">
        <f>IFERROR(IF([1]K_Summary!$N$1314 = "", "", [1]K_Summary!$N$1314 ),"")</f>
        <v/>
      </c>
    </row>
    <row r="1330" spans="1:14" ht="15" hidden="1">
      <c r="A1330" s="719" t="s">
        <v>2289</v>
      </c>
      <c r="C1330" s="559"/>
      <c r="D1330" s="706"/>
      <c r="E1330" s="723" t="s">
        <v>1389</v>
      </c>
      <c r="F1330" s="723"/>
      <c r="G1330" s="723"/>
      <c r="H1330" s="726" t="s">
        <v>1021</v>
      </c>
      <c r="I1330" s="725"/>
      <c r="J1330" s="165" t="str">
        <f>IFERROR(IF([1]K_Summary!$J$1315 = "", "", [1]K_Summary!$J$1315 ),"")</f>
        <v/>
      </c>
      <c r="K1330" s="166" t="str">
        <f>IFERROR(IF([1]K_Summary!$K$1315 = "", "", [1]K_Summary!$K$1315 ),"")</f>
        <v/>
      </c>
      <c r="L1330" s="166" t="str">
        <f>IFERROR(IF([1]K_Summary!$L$1315 = "", "", [1]K_Summary!$L$1315 ),"")</f>
        <v/>
      </c>
      <c r="M1330" s="166" t="str">
        <f>IFERROR(IF([1]K_Summary!$M$1315 = "", "", [1]K_Summary!$M$1315 ),"")</f>
        <v/>
      </c>
      <c r="N1330" s="167" t="str">
        <f>IFERROR(IF([1]K_Summary!$N$1315 = "", "", [1]K_Summary!$N$1315 ),"")</f>
        <v/>
      </c>
    </row>
    <row r="1331" spans="1:14" ht="15" hidden="1">
      <c r="A1331" s="719" t="s">
        <v>2289</v>
      </c>
      <c r="C1331" s="559"/>
      <c r="D1331" s="706"/>
      <c r="E1331" s="727" t="s">
        <v>1391</v>
      </c>
      <c r="F1331" s="727"/>
      <c r="G1331" s="727"/>
      <c r="H1331" s="728" t="s">
        <v>1021</v>
      </c>
      <c r="I1331" s="729"/>
      <c r="J1331" s="168" t="str">
        <f>IFERROR(IF([1]K_Summary!$J$1316 = "", "", [1]K_Summary!$J$1316 ),"")</f>
        <v/>
      </c>
      <c r="K1331" s="169" t="str">
        <f>IFERROR(IF([1]K_Summary!$K$1316 = "", "", [1]K_Summary!$K$1316 ),"")</f>
        <v/>
      </c>
      <c r="L1331" s="169" t="str">
        <f>IFERROR(IF([1]K_Summary!$L$1316 = "", "", [1]K_Summary!$L$1316 ),"")</f>
        <v/>
      </c>
      <c r="M1331" s="169" t="str">
        <f>IFERROR(IF([1]K_Summary!$M$1316 = "", "", [1]K_Summary!$M$1316 ),"")</f>
        <v/>
      </c>
      <c r="N1331" s="170" t="str">
        <f>IFERROR(IF([1]K_Summary!$N$1316 = "", "", [1]K_Summary!$N$1316 ),"")</f>
        <v/>
      </c>
    </row>
    <row r="1332" spans="1:14" ht="15">
      <c r="C1332" s="559"/>
      <c r="D1332" s="706"/>
      <c r="E1332" s="698" t="s">
        <v>1671</v>
      </c>
      <c r="F1332" s="698"/>
      <c r="G1332" s="698"/>
      <c r="H1332" s="730" t="s">
        <v>2090</v>
      </c>
      <c r="I1332" s="731"/>
      <c r="J1332" s="148" t="str">
        <f>IFERROR(IF([1]K_Summary!$J$1317 = "", "", [1]K_Summary!$J$1317 ),"")</f>
        <v/>
      </c>
      <c r="K1332" s="150" t="str">
        <f>IFERROR(IF([1]K_Summary!$K$1317 = "", "", [1]K_Summary!$K$1317 ),"")</f>
        <v/>
      </c>
      <c r="L1332" s="150" t="str">
        <f>IFERROR(IF([1]K_Summary!$L$1317 = "", "", [1]K_Summary!$L$1317 ),"")</f>
        <v/>
      </c>
      <c r="M1332" s="150" t="str">
        <f>IFERROR(IF([1]K_Summary!$M$1317 = "", "", [1]K_Summary!$M$1317 ),"")</f>
        <v/>
      </c>
      <c r="N1332" s="171" t="str">
        <f>IFERROR(IF([1]K_Summary!$N$1317 = "", "", [1]K_Summary!$N$1317 ),"")</f>
        <v/>
      </c>
    </row>
    <row r="1333" spans="1:14" ht="15">
      <c r="C1333" s="559"/>
      <c r="D1333" s="706"/>
      <c r="E1333" s="559"/>
      <c r="F1333" s="559"/>
      <c r="G1333" s="559"/>
      <c r="H1333" s="559"/>
      <c r="I1333" s="559"/>
      <c r="J1333" s="559"/>
      <c r="K1333" s="559"/>
      <c r="L1333" s="559"/>
      <c r="M1333" s="559"/>
      <c r="N1333" s="717"/>
    </row>
    <row r="1334" spans="1:14" ht="15">
      <c r="C1334" s="559"/>
      <c r="D1334" s="706"/>
      <c r="E1334" s="707" t="s">
        <v>1752</v>
      </c>
      <c r="F1334" s="637"/>
      <c r="G1334" s="637"/>
      <c r="H1334" s="663" t="s">
        <v>884</v>
      </c>
      <c r="I1334" s="708"/>
      <c r="J1334" s="709">
        <v>2021</v>
      </c>
      <c r="K1334" s="671">
        <v>2022</v>
      </c>
      <c r="L1334" s="671">
        <v>2023</v>
      </c>
      <c r="M1334" s="671">
        <v>2024</v>
      </c>
      <c r="N1334" s="710">
        <v>2025</v>
      </c>
    </row>
    <row r="1335" spans="1:14" ht="15">
      <c r="C1335" s="559"/>
      <c r="D1335" s="706"/>
      <c r="E1335" s="720" t="s">
        <v>1691</v>
      </c>
      <c r="F1335" s="720"/>
      <c r="G1335" s="720"/>
      <c r="H1335" s="67" t="str">
        <f>IFERROR(IF([1]K_Summary!$H$1320 = "", "", [1]K_Summary!$H$1320 ),"")</f>
        <v>tonnes</v>
      </c>
      <c r="I1335" s="733"/>
      <c r="J1335" s="172" t="str">
        <f>IFERROR(IF([1]K_Summary!$J$1320 = "", "", [1]K_Summary!$J$1320 ),"")</f>
        <v/>
      </c>
      <c r="K1335" s="54" t="str">
        <f>IFERROR(IF([1]K_Summary!$K$1320 = "", "", [1]K_Summary!$K$1320 ),"")</f>
        <v/>
      </c>
      <c r="L1335" s="54" t="str">
        <f>IFERROR(IF([1]K_Summary!$L$1320 = "", "", [1]K_Summary!$L$1320 ),"")</f>
        <v/>
      </c>
      <c r="M1335" s="54" t="str">
        <f>IFERROR(IF([1]K_Summary!$M$1320 = "", "", [1]K_Summary!$M$1320 ),"")</f>
        <v/>
      </c>
      <c r="N1335" s="173" t="str">
        <f>IFERROR(IF([1]K_Summary!$N$1320 = "", "", [1]K_Summary!$N$1320 ),"")</f>
        <v/>
      </c>
    </row>
    <row r="1336" spans="1:14" ht="15">
      <c r="C1336" s="559"/>
      <c r="D1336" s="706"/>
      <c r="E1336" s="723" t="s">
        <v>1648</v>
      </c>
      <c r="F1336" s="723"/>
      <c r="G1336" s="723"/>
      <c r="H1336" s="734" t="s">
        <v>1021</v>
      </c>
      <c r="I1336" s="735"/>
      <c r="J1336" s="174" t="str">
        <f>IFERROR(IF([1]K_Summary!$J$1321 = "", "", [1]K_Summary!$J$1321 ),"")</f>
        <v/>
      </c>
      <c r="K1336" s="175" t="str">
        <f>IFERROR(IF([1]K_Summary!$K$1321 = "", "", [1]K_Summary!$K$1321 ),"")</f>
        <v/>
      </c>
      <c r="L1336" s="175" t="str">
        <f>IFERROR(IF([1]K_Summary!$L$1321 = "", "", [1]K_Summary!$L$1321 ),"")</f>
        <v/>
      </c>
      <c r="M1336" s="175" t="str">
        <f>IFERROR(IF([1]K_Summary!$M$1321 = "", "", [1]K_Summary!$M$1321 ),"")</f>
        <v/>
      </c>
      <c r="N1336" s="176" t="str">
        <f>IFERROR(IF([1]K_Summary!$N$1321 = "", "", [1]K_Summary!$N$1321 ),"")</f>
        <v/>
      </c>
    </row>
    <row r="1337" spans="1:14" ht="15">
      <c r="C1337" s="559"/>
      <c r="D1337" s="706"/>
      <c r="E1337" s="736" t="s">
        <v>1850</v>
      </c>
      <c r="F1337" s="736"/>
      <c r="G1337" s="736"/>
      <c r="H1337" s="737" t="s">
        <v>1021</v>
      </c>
      <c r="I1337" s="738"/>
      <c r="J1337" s="177" t="str">
        <f>IFERROR(IF([1]K_Summary!$J$1322 = "", "", [1]K_Summary!$J$1322 ),"")</f>
        <v/>
      </c>
      <c r="K1337" s="178" t="str">
        <f>IFERROR(IF([1]K_Summary!$K$1322 = "", "", [1]K_Summary!$K$1322 ),"")</f>
        <v/>
      </c>
      <c r="L1337" s="178" t="str">
        <f>IFERROR(IF([1]K_Summary!$L$1322 = "", "", [1]K_Summary!$L$1322 ),"")</f>
        <v/>
      </c>
      <c r="M1337" s="178" t="str">
        <f>IFERROR(IF([1]K_Summary!$M$1322 = "", "", [1]K_Summary!$M$1322 ),"")</f>
        <v/>
      </c>
      <c r="N1337" s="179" t="str">
        <f>IFERROR(IF([1]K_Summary!$N$1322 = "", "", [1]K_Summary!$N$1322 ),"")</f>
        <v/>
      </c>
    </row>
    <row r="1338" spans="1:14" ht="15">
      <c r="C1338" s="559"/>
      <c r="D1338" s="706"/>
      <c r="E1338" s="727" t="s">
        <v>1689</v>
      </c>
      <c r="F1338" s="727"/>
      <c r="G1338" s="727"/>
      <c r="H1338" s="68" t="str">
        <f>IFERROR(IF([1]K_Summary!$H$1323 = "", "", [1]K_Summary!$H$1323 ),"")</f>
        <v>tonnes</v>
      </c>
      <c r="I1338" s="727"/>
      <c r="J1338" s="180" t="str">
        <f>IFERROR(IF([1]K_Summary!$J$1323 = "", "", [1]K_Summary!$J$1323 ),"")</f>
        <v/>
      </c>
      <c r="K1338" s="181" t="str">
        <f>IFERROR(IF([1]K_Summary!$K$1323 = "", "", [1]K_Summary!$K$1323 ),"")</f>
        <v/>
      </c>
      <c r="L1338" s="181" t="str">
        <f>IFERROR(IF([1]K_Summary!$L$1323 = "", "", [1]K_Summary!$L$1323 ),"")</f>
        <v/>
      </c>
      <c r="M1338" s="181" t="str">
        <f>IFERROR(IF([1]K_Summary!$M$1323 = "", "", [1]K_Summary!$M$1323 ),"")</f>
        <v/>
      </c>
      <c r="N1338" s="182" t="str">
        <f>IFERROR(IF([1]K_Summary!$N$1323 = "", "", [1]K_Summary!$N$1323 ),"")</f>
        <v/>
      </c>
    </row>
    <row r="1339" spans="1:14" ht="15" hidden="1">
      <c r="A1339" s="719" t="s">
        <v>2289</v>
      </c>
      <c r="C1339" s="559"/>
      <c r="D1339" s="706"/>
      <c r="E1339" s="720" t="s">
        <v>303</v>
      </c>
      <c r="F1339" s="720"/>
      <c r="G1339" s="720"/>
      <c r="H1339" s="721" t="s">
        <v>2090</v>
      </c>
      <c r="I1339" s="722"/>
      <c r="J1339" s="159" t="str">
        <f>IFERROR(IF([1]K_Summary!$J$1324 = "", "", [1]K_Summary!$J$1324 ),"")</f>
        <v/>
      </c>
      <c r="K1339" s="160" t="str">
        <f>IFERROR(IF([1]K_Summary!$K$1324 = "", "", [1]K_Summary!$K$1324 ),"")</f>
        <v/>
      </c>
      <c r="L1339" s="160" t="str">
        <f>IFERROR(IF([1]K_Summary!$L$1324 = "", "", [1]K_Summary!$L$1324 ),"")</f>
        <v/>
      </c>
      <c r="M1339" s="160" t="str">
        <f>IFERROR(IF([1]K_Summary!$M$1324 = "", "", [1]K_Summary!$M$1324 ),"")</f>
        <v/>
      </c>
      <c r="N1339" s="161" t="str">
        <f>IFERROR(IF([1]K_Summary!$N$1324 = "", "", [1]K_Summary!$N$1324 ),"")</f>
        <v/>
      </c>
    </row>
    <row r="1340" spans="1:14" ht="15" hidden="1">
      <c r="A1340" s="719" t="s">
        <v>2289</v>
      </c>
      <c r="C1340" s="559"/>
      <c r="D1340" s="706"/>
      <c r="E1340" s="723" t="s">
        <v>1422</v>
      </c>
      <c r="F1340" s="723"/>
      <c r="G1340" s="723"/>
      <c r="H1340" s="724" t="s">
        <v>2090</v>
      </c>
      <c r="I1340" s="725"/>
      <c r="J1340" s="162" t="str">
        <f>IFERROR(IF([1]K_Summary!$J$1325 = "", "", [1]K_Summary!$J$1325 ),"")</f>
        <v/>
      </c>
      <c r="K1340" s="163" t="str">
        <f>IFERROR(IF([1]K_Summary!$K$1325 = "", "", [1]K_Summary!$K$1325 ),"")</f>
        <v/>
      </c>
      <c r="L1340" s="163" t="str">
        <f>IFERROR(IF([1]K_Summary!$L$1325 = "", "", [1]K_Summary!$L$1325 ),"")</f>
        <v/>
      </c>
      <c r="M1340" s="163" t="str">
        <f>IFERROR(IF([1]K_Summary!$M$1325 = "", "", [1]K_Summary!$M$1325 ),"")</f>
        <v/>
      </c>
      <c r="N1340" s="164" t="str">
        <f>IFERROR(IF([1]K_Summary!$N$1325 = "", "", [1]K_Summary!$N$1325 ),"")</f>
        <v/>
      </c>
    </row>
    <row r="1341" spans="1:14" ht="15" hidden="1">
      <c r="A1341" s="719" t="s">
        <v>2289</v>
      </c>
      <c r="C1341" s="559"/>
      <c r="D1341" s="706"/>
      <c r="E1341" s="723" t="s">
        <v>1390</v>
      </c>
      <c r="F1341" s="723"/>
      <c r="G1341" s="723"/>
      <c r="H1341" s="724" t="s">
        <v>2090</v>
      </c>
      <c r="I1341" s="725"/>
      <c r="J1341" s="162" t="str">
        <f>IFERROR(IF([1]K_Summary!$J$1326 = "", "", [1]K_Summary!$J$1326 ),"")</f>
        <v/>
      </c>
      <c r="K1341" s="163" t="str">
        <f>IFERROR(IF([1]K_Summary!$K$1326 = "", "", [1]K_Summary!$K$1326 ),"")</f>
        <v/>
      </c>
      <c r="L1341" s="163" t="str">
        <f>IFERROR(IF([1]K_Summary!$L$1326 = "", "", [1]K_Summary!$L$1326 ),"")</f>
        <v/>
      </c>
      <c r="M1341" s="163" t="str">
        <f>IFERROR(IF([1]K_Summary!$M$1326 = "", "", [1]K_Summary!$M$1326 ),"")</f>
        <v/>
      </c>
      <c r="N1341" s="164" t="str">
        <f>IFERROR(IF([1]K_Summary!$N$1326 = "", "", [1]K_Summary!$N$1326 ),"")</f>
        <v/>
      </c>
    </row>
    <row r="1342" spans="1:14" ht="15" hidden="1">
      <c r="A1342" s="719" t="s">
        <v>2289</v>
      </c>
      <c r="C1342" s="559"/>
      <c r="D1342" s="706"/>
      <c r="E1342" s="723" t="s">
        <v>1389</v>
      </c>
      <c r="F1342" s="723"/>
      <c r="G1342" s="723"/>
      <c r="H1342" s="726" t="s">
        <v>1021</v>
      </c>
      <c r="I1342" s="725"/>
      <c r="J1342" s="165" t="str">
        <f>IFERROR(IF([1]K_Summary!$J$1327 = "", "", [1]K_Summary!$J$1327 ),"")</f>
        <v/>
      </c>
      <c r="K1342" s="166" t="str">
        <f>IFERROR(IF([1]K_Summary!$K$1327 = "", "", [1]K_Summary!$K$1327 ),"")</f>
        <v/>
      </c>
      <c r="L1342" s="166" t="str">
        <f>IFERROR(IF([1]K_Summary!$L$1327 = "", "", [1]K_Summary!$L$1327 ),"")</f>
        <v/>
      </c>
      <c r="M1342" s="166" t="str">
        <f>IFERROR(IF([1]K_Summary!$M$1327 = "", "", [1]K_Summary!$M$1327 ),"")</f>
        <v/>
      </c>
      <c r="N1342" s="167" t="str">
        <f>IFERROR(IF([1]K_Summary!$N$1327 = "", "", [1]K_Summary!$N$1327 ),"")</f>
        <v/>
      </c>
    </row>
    <row r="1343" spans="1:14" ht="15" hidden="1">
      <c r="A1343" s="719" t="s">
        <v>2289</v>
      </c>
      <c r="C1343" s="559"/>
      <c r="D1343" s="706"/>
      <c r="E1343" s="727" t="s">
        <v>1391</v>
      </c>
      <c r="F1343" s="727"/>
      <c r="G1343" s="727"/>
      <c r="H1343" s="728" t="s">
        <v>1021</v>
      </c>
      <c r="I1343" s="729"/>
      <c r="J1343" s="168" t="str">
        <f>IFERROR(IF([1]K_Summary!$J$1328 = "", "", [1]K_Summary!$J$1328 ),"")</f>
        <v/>
      </c>
      <c r="K1343" s="169" t="str">
        <f>IFERROR(IF([1]K_Summary!$K$1328 = "", "", [1]K_Summary!$K$1328 ),"")</f>
        <v/>
      </c>
      <c r="L1343" s="169" t="str">
        <f>IFERROR(IF([1]K_Summary!$L$1328 = "", "", [1]K_Summary!$L$1328 ),"")</f>
        <v/>
      </c>
      <c r="M1343" s="169" t="str">
        <f>IFERROR(IF([1]K_Summary!$M$1328 = "", "", [1]K_Summary!$M$1328 ),"")</f>
        <v/>
      </c>
      <c r="N1343" s="170" t="str">
        <f>IFERROR(IF([1]K_Summary!$N$1328 = "", "", [1]K_Summary!$N$1328 ),"")</f>
        <v/>
      </c>
    </row>
    <row r="1344" spans="1:14" ht="15">
      <c r="C1344" s="559"/>
      <c r="D1344" s="706"/>
      <c r="E1344" s="698" t="s">
        <v>1671</v>
      </c>
      <c r="F1344" s="698"/>
      <c r="G1344" s="698"/>
      <c r="H1344" s="730" t="s">
        <v>2090</v>
      </c>
      <c r="I1344" s="731"/>
      <c r="J1344" s="148" t="str">
        <f>IFERROR(IF([1]K_Summary!$J$1329 = "", "", [1]K_Summary!$J$1329 ),"")</f>
        <v/>
      </c>
      <c r="K1344" s="150" t="str">
        <f>IFERROR(IF([1]K_Summary!$K$1329 = "", "", [1]K_Summary!$K$1329 ),"")</f>
        <v/>
      </c>
      <c r="L1344" s="150" t="str">
        <f>IFERROR(IF([1]K_Summary!$L$1329 = "", "", [1]K_Summary!$L$1329 ),"")</f>
        <v/>
      </c>
      <c r="M1344" s="150" t="str">
        <f>IFERROR(IF([1]K_Summary!$M$1329 = "", "", [1]K_Summary!$M$1329 ),"")</f>
        <v/>
      </c>
      <c r="N1344" s="171" t="str">
        <f>IFERROR(IF([1]K_Summary!$N$1329 = "", "", [1]K_Summary!$N$1329 ),"")</f>
        <v/>
      </c>
    </row>
    <row r="1345" spans="1:14" ht="15">
      <c r="C1345" s="559"/>
      <c r="D1345" s="706"/>
      <c r="E1345" s="698" t="s">
        <v>1670</v>
      </c>
      <c r="F1345" s="698"/>
      <c r="G1345" s="698"/>
      <c r="H1345" s="730" t="s">
        <v>2090</v>
      </c>
      <c r="I1345" s="731"/>
      <c r="J1345" s="148" t="str">
        <f>IFERROR(IF([1]K_Summary!$J$1330 = "", "", [1]K_Summary!$J$1330 ),"")</f>
        <v/>
      </c>
      <c r="K1345" s="150" t="str">
        <f>IFERROR(IF([1]K_Summary!$K$1330 = "", "", [1]K_Summary!$K$1330 ),"")</f>
        <v/>
      </c>
      <c r="L1345" s="150" t="str">
        <f>IFERROR(IF([1]K_Summary!$L$1330 = "", "", [1]K_Summary!$L$1330 ),"")</f>
        <v/>
      </c>
      <c r="M1345" s="150" t="str">
        <f>IFERROR(IF([1]K_Summary!$M$1330 = "", "", [1]K_Summary!$M$1330 ),"")</f>
        <v/>
      </c>
      <c r="N1345" s="171" t="str">
        <f>IFERROR(IF([1]K_Summary!$N$1330 = "", "", [1]K_Summary!$N$1330 ),"")</f>
        <v/>
      </c>
    </row>
    <row r="1346" spans="1:14" ht="15">
      <c r="C1346" s="559"/>
      <c r="D1346" s="706"/>
      <c r="E1346" s="740" t="s">
        <v>2130</v>
      </c>
      <c r="F1346" s="740"/>
      <c r="G1346" s="740"/>
      <c r="H1346" s="741" t="s">
        <v>1021</v>
      </c>
      <c r="I1346" s="742"/>
      <c r="J1346" s="183" t="str">
        <f>IFERROR(IF([1]K_Summary!$J$1331 = "", "", [1]K_Summary!$J$1331 ),"")</f>
        <v/>
      </c>
      <c r="K1346" s="184" t="str">
        <f>IFERROR(IF([1]K_Summary!$K$1331 = "", "", [1]K_Summary!$K$1331 ),"")</f>
        <v/>
      </c>
      <c r="L1346" s="184" t="str">
        <f>IFERROR(IF([1]K_Summary!$L$1331 = "", "", [1]K_Summary!$L$1331 ),"")</f>
        <v/>
      </c>
      <c r="M1346" s="184" t="str">
        <f>IFERROR(IF([1]K_Summary!$M$1331 = "", "", [1]K_Summary!$M$1331 ),"")</f>
        <v/>
      </c>
      <c r="N1346" s="185" t="str">
        <f>IFERROR(IF([1]K_Summary!$N$1331 = "", "", [1]K_Summary!$N$1331 ),"")</f>
        <v/>
      </c>
    </row>
    <row r="1347" spans="1:14" ht="15">
      <c r="C1347" s="559"/>
      <c r="D1347" s="706"/>
      <c r="E1347" s="485"/>
      <c r="F1347" s="485"/>
      <c r="G1347" s="485"/>
      <c r="H1347" s="485"/>
      <c r="I1347" s="743"/>
      <c r="J1347" s="485"/>
      <c r="K1347" s="485"/>
      <c r="L1347" s="485"/>
      <c r="M1347" s="485"/>
      <c r="N1347" s="744"/>
    </row>
    <row r="1348" spans="1:14" ht="15">
      <c r="C1348" s="559"/>
      <c r="D1348" s="706"/>
      <c r="E1348" s="707" t="s">
        <v>1753</v>
      </c>
      <c r="F1348" s="637"/>
      <c r="G1348" s="637"/>
      <c r="H1348" s="663" t="s">
        <v>884</v>
      </c>
      <c r="I1348" s="708"/>
      <c r="J1348" s="709">
        <v>2021</v>
      </c>
      <c r="K1348" s="671">
        <v>2022</v>
      </c>
      <c r="L1348" s="671">
        <v>2023</v>
      </c>
      <c r="M1348" s="671">
        <v>2024</v>
      </c>
      <c r="N1348" s="710">
        <v>2025</v>
      </c>
    </row>
    <row r="1349" spans="1:14" ht="15" hidden="1">
      <c r="A1349" s="719" t="s">
        <v>2289</v>
      </c>
      <c r="C1349" s="559"/>
      <c r="D1349" s="706"/>
      <c r="E1349" s="698" t="s">
        <v>1714</v>
      </c>
      <c r="F1349" s="698"/>
      <c r="G1349" s="698"/>
      <c r="H1349" s="63" t="str">
        <f>IFERROR(IF([1]K_Summary!$H$1334 = "", "", [1]K_Summary!$H$1334 ),"")</f>
        <v>tonnes</v>
      </c>
      <c r="I1349" s="698"/>
      <c r="J1349" s="157" t="str">
        <f>IFERROR(IF([1]K_Summary!$J$1334 = "", "", [1]K_Summary!$J$1334 ),"")</f>
        <v/>
      </c>
      <c r="K1349" s="147" t="str">
        <f>IFERROR(IF([1]K_Summary!$K$1334 = "", "", [1]K_Summary!$K$1334 ),"")</f>
        <v/>
      </c>
      <c r="L1349" s="147" t="str">
        <f>IFERROR(IF([1]K_Summary!$L$1334 = "", "", [1]K_Summary!$L$1334 ),"")</f>
        <v/>
      </c>
      <c r="M1349" s="147" t="str">
        <f>IFERROR(IF([1]K_Summary!$M$1334 = "", "", [1]K_Summary!$M$1334 ),"")</f>
        <v/>
      </c>
      <c r="N1349" s="158" t="str">
        <f>IFERROR(IF([1]K_Summary!$N$1334 = "", "", [1]K_Summary!$N$1334 ),"")</f>
        <v/>
      </c>
    </row>
    <row r="1350" spans="1:14" ht="15" hidden="1">
      <c r="A1350" s="719" t="s">
        <v>2289</v>
      </c>
      <c r="C1350" s="559"/>
      <c r="D1350" s="706"/>
      <c r="E1350" s="720" t="s">
        <v>303</v>
      </c>
      <c r="F1350" s="720"/>
      <c r="G1350" s="720"/>
      <c r="H1350" s="721" t="s">
        <v>2090</v>
      </c>
      <c r="I1350" s="722"/>
      <c r="J1350" s="159" t="str">
        <f>IFERROR(IF([1]K_Summary!$J$1335 = "", "", [1]K_Summary!$J$1335 ),"")</f>
        <v/>
      </c>
      <c r="K1350" s="160" t="str">
        <f>IFERROR(IF([1]K_Summary!$K$1335 = "", "", [1]K_Summary!$K$1335 ),"")</f>
        <v/>
      </c>
      <c r="L1350" s="160" t="str">
        <f>IFERROR(IF([1]K_Summary!$L$1335 = "", "", [1]K_Summary!$L$1335 ),"")</f>
        <v/>
      </c>
      <c r="M1350" s="160" t="str">
        <f>IFERROR(IF([1]K_Summary!$M$1335 = "", "", [1]K_Summary!$M$1335 ),"")</f>
        <v/>
      </c>
      <c r="N1350" s="161" t="str">
        <f>IFERROR(IF([1]K_Summary!$N$1335 = "", "", [1]K_Summary!$N$1335 ),"")</f>
        <v/>
      </c>
    </row>
    <row r="1351" spans="1:14" ht="15" hidden="1">
      <c r="A1351" s="719" t="s">
        <v>2289</v>
      </c>
      <c r="C1351" s="559"/>
      <c r="D1351" s="706"/>
      <c r="E1351" s="723" t="s">
        <v>1422</v>
      </c>
      <c r="F1351" s="723"/>
      <c r="G1351" s="723"/>
      <c r="H1351" s="724" t="s">
        <v>2090</v>
      </c>
      <c r="I1351" s="725"/>
      <c r="J1351" s="162" t="str">
        <f>IFERROR(IF([1]K_Summary!$J$1336 = "", "", [1]K_Summary!$J$1336 ),"")</f>
        <v/>
      </c>
      <c r="K1351" s="163" t="str">
        <f>IFERROR(IF([1]K_Summary!$K$1336 = "", "", [1]K_Summary!$K$1336 ),"")</f>
        <v/>
      </c>
      <c r="L1351" s="163" t="str">
        <f>IFERROR(IF([1]K_Summary!$L$1336 = "", "", [1]K_Summary!$L$1336 ),"")</f>
        <v/>
      </c>
      <c r="M1351" s="163" t="str">
        <f>IFERROR(IF([1]K_Summary!$M$1336 = "", "", [1]K_Summary!$M$1336 ),"")</f>
        <v/>
      </c>
      <c r="N1351" s="164" t="str">
        <f>IFERROR(IF([1]K_Summary!$N$1336 = "", "", [1]K_Summary!$N$1336 ),"")</f>
        <v/>
      </c>
    </row>
    <row r="1352" spans="1:14" ht="15" hidden="1">
      <c r="A1352" s="719" t="s">
        <v>2289</v>
      </c>
      <c r="C1352" s="559"/>
      <c r="D1352" s="706"/>
      <c r="E1352" s="745" t="s">
        <v>1390</v>
      </c>
      <c r="F1352" s="745"/>
      <c r="G1352" s="745"/>
      <c r="H1352" s="746" t="s">
        <v>2090</v>
      </c>
      <c r="I1352" s="747"/>
      <c r="J1352" s="186" t="str">
        <f>IFERROR(IF([1]K_Summary!$J$1337 = "", "", [1]K_Summary!$J$1337 ),"")</f>
        <v/>
      </c>
      <c r="K1352" s="187" t="str">
        <f>IFERROR(IF([1]K_Summary!$K$1337 = "", "", [1]K_Summary!$K$1337 ),"")</f>
        <v/>
      </c>
      <c r="L1352" s="187" t="str">
        <f>IFERROR(IF([1]K_Summary!$L$1337 = "", "", [1]K_Summary!$L$1337 ),"")</f>
        <v/>
      </c>
      <c r="M1352" s="187" t="str">
        <f>IFERROR(IF([1]K_Summary!$M$1337 = "", "", [1]K_Summary!$M$1337 ),"")</f>
        <v/>
      </c>
      <c r="N1352" s="188" t="str">
        <f>IFERROR(IF([1]K_Summary!$N$1337 = "", "", [1]K_Summary!$N$1337 ),"")</f>
        <v/>
      </c>
    </row>
    <row r="1353" spans="1:14" ht="15">
      <c r="C1353" s="559"/>
      <c r="D1353" s="706"/>
      <c r="E1353" s="720" t="s">
        <v>1691</v>
      </c>
      <c r="F1353" s="720"/>
      <c r="G1353" s="720"/>
      <c r="H1353" s="748" t="s">
        <v>1021</v>
      </c>
      <c r="I1353" s="722"/>
      <c r="J1353" s="189" t="str">
        <f>IFERROR(IF([1]K_Summary!$J$1338 = "", "", [1]K_Summary!$J$1338 ),"")</f>
        <v/>
      </c>
      <c r="K1353" s="190" t="str">
        <f>IFERROR(IF([1]K_Summary!$K$1338 = "", "", [1]K_Summary!$K$1338 ),"")</f>
        <v/>
      </c>
      <c r="L1353" s="190" t="str">
        <f>IFERROR(IF([1]K_Summary!$L$1338 = "", "", [1]K_Summary!$L$1338 ),"")</f>
        <v/>
      </c>
      <c r="M1353" s="190" t="str">
        <f>IFERROR(IF([1]K_Summary!$M$1338 = "", "", [1]K_Summary!$M$1338 ),"")</f>
        <v/>
      </c>
      <c r="N1353" s="191" t="str">
        <f>IFERROR(IF([1]K_Summary!$N$1338 = "", "", [1]K_Summary!$N$1338 ),"")</f>
        <v/>
      </c>
    </row>
    <row r="1354" spans="1:14" ht="15">
      <c r="C1354" s="559"/>
      <c r="D1354" s="706"/>
      <c r="E1354" s="723" t="s">
        <v>1648</v>
      </c>
      <c r="F1354" s="723"/>
      <c r="G1354" s="723"/>
      <c r="H1354" s="734" t="s">
        <v>1021</v>
      </c>
      <c r="I1354" s="735"/>
      <c r="J1354" s="174" t="str">
        <f>IFERROR(IF([1]K_Summary!$J$1339 = "", "", [1]K_Summary!$J$1339 ),"")</f>
        <v/>
      </c>
      <c r="K1354" s="175" t="str">
        <f>IFERROR(IF([1]K_Summary!$K$1339 = "", "", [1]K_Summary!$K$1339 ),"")</f>
        <v/>
      </c>
      <c r="L1354" s="175" t="str">
        <f>IFERROR(IF([1]K_Summary!$L$1339 = "", "", [1]K_Summary!$L$1339 ),"")</f>
        <v/>
      </c>
      <c r="M1354" s="175" t="str">
        <f>IFERROR(IF([1]K_Summary!$M$1339 = "", "", [1]K_Summary!$M$1339 ),"")</f>
        <v/>
      </c>
      <c r="N1354" s="176" t="str">
        <f>IFERROR(IF([1]K_Summary!$N$1339 = "", "", [1]K_Summary!$N$1339 ),"")</f>
        <v/>
      </c>
    </row>
    <row r="1355" spans="1:14" ht="15">
      <c r="C1355" s="559"/>
      <c r="D1355" s="706"/>
      <c r="E1355" s="736" t="s">
        <v>1852</v>
      </c>
      <c r="F1355" s="736"/>
      <c r="G1355" s="736"/>
      <c r="H1355" s="737" t="s">
        <v>1021</v>
      </c>
      <c r="I1355" s="738"/>
      <c r="J1355" s="177" t="str">
        <f>IFERROR(IF([1]K_Summary!$J$1340 = "", "", [1]K_Summary!$J$1340 ),"")</f>
        <v/>
      </c>
      <c r="K1355" s="178" t="str">
        <f>IFERROR(IF([1]K_Summary!$K$1340 = "", "", [1]K_Summary!$K$1340 ),"")</f>
        <v/>
      </c>
      <c r="L1355" s="178" t="str">
        <f>IFERROR(IF([1]K_Summary!$L$1340 = "", "", [1]K_Summary!$L$1340 ),"")</f>
        <v/>
      </c>
      <c r="M1355" s="178" t="str">
        <f>IFERROR(IF([1]K_Summary!$M$1340 = "", "", [1]K_Summary!$M$1340 ),"")</f>
        <v/>
      </c>
      <c r="N1355" s="179" t="str">
        <f>IFERROR(IF([1]K_Summary!$N$1340 = "", "", [1]K_Summary!$N$1340 ),"")</f>
        <v/>
      </c>
    </row>
    <row r="1356" spans="1:14" ht="15">
      <c r="C1356" s="559"/>
      <c r="D1356" s="706"/>
      <c r="E1356" s="727" t="s">
        <v>1689</v>
      </c>
      <c r="F1356" s="727"/>
      <c r="G1356" s="727"/>
      <c r="H1356" s="749" t="s">
        <v>1021</v>
      </c>
      <c r="I1356" s="727"/>
      <c r="J1356" s="192" t="str">
        <f>IFERROR(IF([1]K_Summary!$J$1341 = "", "", [1]K_Summary!$J$1341 ),"")</f>
        <v/>
      </c>
      <c r="K1356" s="193" t="str">
        <f>IFERROR(IF([1]K_Summary!$K$1341 = "", "", [1]K_Summary!$K$1341 ),"")</f>
        <v/>
      </c>
      <c r="L1356" s="193" t="str">
        <f>IFERROR(IF([1]K_Summary!$L$1341 = "", "", [1]K_Summary!$L$1341 ),"")</f>
        <v/>
      </c>
      <c r="M1356" s="193" t="str">
        <f>IFERROR(IF([1]K_Summary!$M$1341 = "", "", [1]K_Summary!$M$1341 ),"")</f>
        <v/>
      </c>
      <c r="N1356" s="194" t="str">
        <f>IFERROR(IF([1]K_Summary!$N$1341 = "", "", [1]K_Summary!$N$1341 ),"")</f>
        <v/>
      </c>
    </row>
    <row r="1357" spans="1:14" ht="15" hidden="1">
      <c r="A1357" s="719" t="s">
        <v>2289</v>
      </c>
      <c r="C1357" s="559"/>
      <c r="D1357" s="706"/>
      <c r="E1357" s="727" t="s">
        <v>1391</v>
      </c>
      <c r="F1357" s="727"/>
      <c r="G1357" s="727"/>
      <c r="H1357" s="750" t="s">
        <v>1021</v>
      </c>
      <c r="I1357" s="729"/>
      <c r="J1357" s="168" t="str">
        <f>IFERROR(IF([1]K_Summary!$J$1342 = "", "", [1]K_Summary!$J$1342 ),"")</f>
        <v/>
      </c>
      <c r="K1357" s="169" t="str">
        <f>IFERROR(IF([1]K_Summary!$K$1342 = "", "", [1]K_Summary!$K$1342 ),"")</f>
        <v/>
      </c>
      <c r="L1357" s="169" t="str">
        <f>IFERROR(IF([1]K_Summary!$L$1342 = "", "", [1]K_Summary!$L$1342 ),"")</f>
        <v/>
      </c>
      <c r="M1357" s="169" t="str">
        <f>IFERROR(IF([1]K_Summary!$M$1342 = "", "", [1]K_Summary!$M$1342 ),"")</f>
        <v/>
      </c>
      <c r="N1357" s="170" t="str">
        <f>IFERROR(IF([1]K_Summary!$N$1342 = "", "", [1]K_Summary!$N$1342 ),"")</f>
        <v/>
      </c>
    </row>
    <row r="1358" spans="1:14" ht="15">
      <c r="C1358" s="559"/>
      <c r="D1358" s="706"/>
      <c r="E1358" s="698" t="s">
        <v>1671</v>
      </c>
      <c r="F1358" s="698"/>
      <c r="G1358" s="698"/>
      <c r="H1358" s="730" t="s">
        <v>2090</v>
      </c>
      <c r="I1358" s="731"/>
      <c r="J1358" s="148" t="str">
        <f>IFERROR(IF([1]K_Summary!$J$1343 = "", "", [1]K_Summary!$J$1343 ),"")</f>
        <v/>
      </c>
      <c r="K1358" s="150" t="str">
        <f>IFERROR(IF([1]K_Summary!$K$1343 = "", "", [1]K_Summary!$K$1343 ),"")</f>
        <v/>
      </c>
      <c r="L1358" s="150" t="str">
        <f>IFERROR(IF([1]K_Summary!$L$1343 = "", "", [1]K_Summary!$L$1343 ),"")</f>
        <v/>
      </c>
      <c r="M1358" s="150" t="str">
        <f>IFERROR(IF([1]K_Summary!$M$1343 = "", "", [1]K_Summary!$M$1343 ),"")</f>
        <v/>
      </c>
      <c r="N1358" s="171" t="str">
        <f>IFERROR(IF([1]K_Summary!$N$1343 = "", "", [1]K_Summary!$N$1343 ),"")</f>
        <v/>
      </c>
    </row>
    <row r="1359" spans="1:14" ht="15">
      <c r="C1359" s="559"/>
      <c r="D1359" s="706"/>
      <c r="E1359" s="698" t="s">
        <v>1670</v>
      </c>
      <c r="F1359" s="698"/>
      <c r="G1359" s="698"/>
      <c r="H1359" s="730" t="s">
        <v>2090</v>
      </c>
      <c r="I1359" s="731"/>
      <c r="J1359" s="148" t="str">
        <f>IFERROR(IF([1]K_Summary!$J$1344 = "", "", [1]K_Summary!$J$1344 ),"")</f>
        <v/>
      </c>
      <c r="K1359" s="150" t="str">
        <f>IFERROR(IF([1]K_Summary!$K$1344 = "", "", [1]K_Summary!$K$1344 ),"")</f>
        <v/>
      </c>
      <c r="L1359" s="150" t="str">
        <f>IFERROR(IF([1]K_Summary!$L$1344 = "", "", [1]K_Summary!$L$1344 ),"")</f>
        <v/>
      </c>
      <c r="M1359" s="150" t="str">
        <f>IFERROR(IF([1]K_Summary!$M$1344 = "", "", [1]K_Summary!$M$1344 ),"")</f>
        <v/>
      </c>
      <c r="N1359" s="171" t="str">
        <f>IFERROR(IF([1]K_Summary!$N$1344 = "", "", [1]K_Summary!$N$1344 ),"")</f>
        <v/>
      </c>
    </row>
    <row r="1360" spans="1:14" ht="15">
      <c r="C1360" s="559"/>
      <c r="D1360" s="706"/>
      <c r="E1360" s="740" t="s">
        <v>2131</v>
      </c>
      <c r="F1360" s="740"/>
      <c r="G1360" s="740"/>
      <c r="H1360" s="741" t="s">
        <v>1021</v>
      </c>
      <c r="I1360" s="742"/>
      <c r="J1360" s="183" t="str">
        <f>IFERROR(IF([1]K_Summary!$J$1345 = "", "", [1]K_Summary!$J$1345 ),"")</f>
        <v/>
      </c>
      <c r="K1360" s="184" t="str">
        <f>IFERROR(IF([1]K_Summary!$K$1345 = "", "", [1]K_Summary!$K$1345 ),"")</f>
        <v/>
      </c>
      <c r="L1360" s="184" t="str">
        <f>IFERROR(IF([1]K_Summary!$L$1345 = "", "", [1]K_Summary!$L$1345 ),"")</f>
        <v/>
      </c>
      <c r="M1360" s="184" t="str">
        <f>IFERROR(IF([1]K_Summary!$M$1345 = "", "", [1]K_Summary!$M$1345 ),"")</f>
        <v/>
      </c>
      <c r="N1360" s="185" t="str">
        <f>IFERROR(IF([1]K_Summary!$N$1345 = "", "", [1]K_Summary!$N$1345 ),"")</f>
        <v/>
      </c>
    </row>
    <row r="1361" spans="1:14" ht="15">
      <c r="C1361" s="559"/>
      <c r="D1361" s="706"/>
      <c r="E1361" s="485"/>
      <c r="F1361" s="485"/>
      <c r="G1361" s="485"/>
      <c r="H1361" s="485"/>
      <c r="I1361" s="743"/>
      <c r="J1361" s="485"/>
      <c r="K1361" s="485"/>
      <c r="L1361" s="485"/>
      <c r="M1361" s="485"/>
      <c r="N1361" s="744"/>
    </row>
    <row r="1362" spans="1:14" ht="15">
      <c r="C1362" s="559"/>
      <c r="D1362" s="706"/>
      <c r="E1362" s="707" t="s">
        <v>1754</v>
      </c>
      <c r="F1362" s="637"/>
      <c r="G1362" s="637"/>
      <c r="H1362" s="663" t="s">
        <v>884</v>
      </c>
      <c r="I1362" s="708"/>
      <c r="J1362" s="709">
        <v>2021</v>
      </c>
      <c r="K1362" s="671">
        <v>2022</v>
      </c>
      <c r="L1362" s="671">
        <v>2023</v>
      </c>
      <c r="M1362" s="671">
        <v>2024</v>
      </c>
      <c r="N1362" s="710">
        <v>2025</v>
      </c>
    </row>
    <row r="1363" spans="1:14" ht="15" hidden="1">
      <c r="A1363" s="719" t="s">
        <v>2289</v>
      </c>
      <c r="C1363" s="559"/>
      <c r="D1363" s="706"/>
      <c r="E1363" s="698" t="s">
        <v>1714</v>
      </c>
      <c r="F1363" s="698"/>
      <c r="G1363" s="698"/>
      <c r="H1363" s="63" t="str">
        <f>IFERROR(IF([1]K_Summary!$H$1348 = "", "", [1]K_Summary!$H$1348 ),"")</f>
        <v>tonnes</v>
      </c>
      <c r="I1363" s="698"/>
      <c r="J1363" s="157" t="str">
        <f>IFERROR(IF([1]K_Summary!$J$1348 = "", "", [1]K_Summary!$J$1348 ),"")</f>
        <v/>
      </c>
      <c r="K1363" s="147" t="str">
        <f>IFERROR(IF([1]K_Summary!$K$1348 = "", "", [1]K_Summary!$K$1348 ),"")</f>
        <v/>
      </c>
      <c r="L1363" s="147" t="str">
        <f>IFERROR(IF([1]K_Summary!$L$1348 = "", "", [1]K_Summary!$L$1348 ),"")</f>
        <v/>
      </c>
      <c r="M1363" s="147" t="str">
        <f>IFERROR(IF([1]K_Summary!$M$1348 = "", "", [1]K_Summary!$M$1348 ),"")</f>
        <v/>
      </c>
      <c r="N1363" s="158" t="str">
        <f>IFERROR(IF([1]K_Summary!$N$1348 = "", "", [1]K_Summary!$N$1348 ),"")</f>
        <v/>
      </c>
    </row>
    <row r="1364" spans="1:14" ht="15">
      <c r="C1364" s="559"/>
      <c r="D1364" s="706"/>
      <c r="E1364" s="720" t="s">
        <v>1691</v>
      </c>
      <c r="F1364" s="720"/>
      <c r="G1364" s="720"/>
      <c r="H1364" s="748" t="s">
        <v>2090</v>
      </c>
      <c r="I1364" s="722"/>
      <c r="J1364" s="172" t="str">
        <f>IFERROR(IF([1]K_Summary!$J$1349 = "", "", [1]K_Summary!$J$1349 ),"")</f>
        <v/>
      </c>
      <c r="K1364" s="54" t="str">
        <f>IFERROR(IF([1]K_Summary!$K$1349 = "", "", [1]K_Summary!$K$1349 ),"")</f>
        <v/>
      </c>
      <c r="L1364" s="54" t="str">
        <f>IFERROR(IF([1]K_Summary!$L$1349 = "", "", [1]K_Summary!$L$1349 ),"")</f>
        <v/>
      </c>
      <c r="M1364" s="54" t="str">
        <f>IFERROR(IF([1]K_Summary!$M$1349 = "", "", [1]K_Summary!$M$1349 ),"")</f>
        <v/>
      </c>
      <c r="N1364" s="173" t="str">
        <f>IFERROR(IF([1]K_Summary!$N$1349 = "", "", [1]K_Summary!$N$1349 ),"")</f>
        <v/>
      </c>
    </row>
    <row r="1365" spans="1:14" ht="15">
      <c r="C1365" s="559"/>
      <c r="D1365" s="706"/>
      <c r="E1365" s="723" t="s">
        <v>1648</v>
      </c>
      <c r="F1365" s="723"/>
      <c r="G1365" s="723"/>
      <c r="H1365" s="734" t="s">
        <v>1021</v>
      </c>
      <c r="I1365" s="735"/>
      <c r="J1365" s="174" t="str">
        <f>IFERROR(IF([1]K_Summary!$J$1350 = "", "", [1]K_Summary!$J$1350 ),"")</f>
        <v/>
      </c>
      <c r="K1365" s="175" t="str">
        <f>IFERROR(IF([1]K_Summary!$K$1350 = "", "", [1]K_Summary!$K$1350 ),"")</f>
        <v/>
      </c>
      <c r="L1365" s="175" t="str">
        <f>IFERROR(IF([1]K_Summary!$L$1350 = "", "", [1]K_Summary!$L$1350 ),"")</f>
        <v/>
      </c>
      <c r="M1365" s="175" t="str">
        <f>IFERROR(IF([1]K_Summary!$M$1350 = "", "", [1]K_Summary!$M$1350 ),"")</f>
        <v/>
      </c>
      <c r="N1365" s="176" t="str">
        <f>IFERROR(IF([1]K_Summary!$N$1350 = "", "", [1]K_Summary!$N$1350 ),"")</f>
        <v/>
      </c>
    </row>
    <row r="1366" spans="1:14" ht="15">
      <c r="C1366" s="559"/>
      <c r="D1366" s="706"/>
      <c r="E1366" s="736" t="s">
        <v>1853</v>
      </c>
      <c r="F1366" s="736"/>
      <c r="G1366" s="736"/>
      <c r="H1366" s="737" t="s">
        <v>1021</v>
      </c>
      <c r="I1366" s="738"/>
      <c r="J1366" s="177" t="str">
        <f>IFERROR(IF([1]K_Summary!$J$1351 = "", "", [1]K_Summary!$J$1351 ),"")</f>
        <v/>
      </c>
      <c r="K1366" s="178" t="str">
        <f>IFERROR(IF([1]K_Summary!$K$1351 = "", "", [1]K_Summary!$K$1351 ),"")</f>
        <v/>
      </c>
      <c r="L1366" s="178" t="str">
        <f>IFERROR(IF([1]K_Summary!$L$1351 = "", "", [1]K_Summary!$L$1351 ),"")</f>
        <v/>
      </c>
      <c r="M1366" s="178" t="str">
        <f>IFERROR(IF([1]K_Summary!$M$1351 = "", "", [1]K_Summary!$M$1351 ),"")</f>
        <v/>
      </c>
      <c r="N1366" s="179" t="str">
        <f>IFERROR(IF([1]K_Summary!$N$1351 = "", "", [1]K_Summary!$N$1351 ),"")</f>
        <v/>
      </c>
    </row>
    <row r="1367" spans="1:14" ht="15">
      <c r="C1367" s="559"/>
      <c r="D1367" s="706"/>
      <c r="E1367" s="727" t="s">
        <v>1689</v>
      </c>
      <c r="F1367" s="727"/>
      <c r="G1367" s="727"/>
      <c r="H1367" s="749" t="s">
        <v>2090</v>
      </c>
      <c r="I1367" s="727"/>
      <c r="J1367" s="180" t="str">
        <f>IFERROR(IF([1]K_Summary!$J$1352 = "", "", [1]K_Summary!$J$1352 ),"")</f>
        <v/>
      </c>
      <c r="K1367" s="181" t="str">
        <f>IFERROR(IF([1]K_Summary!$K$1352 = "", "", [1]K_Summary!$K$1352 ),"")</f>
        <v/>
      </c>
      <c r="L1367" s="181" t="str">
        <f>IFERROR(IF([1]K_Summary!$L$1352 = "", "", [1]K_Summary!$L$1352 ),"")</f>
        <v/>
      </c>
      <c r="M1367" s="181" t="str">
        <f>IFERROR(IF([1]K_Summary!$M$1352 = "", "", [1]K_Summary!$M$1352 ),"")</f>
        <v/>
      </c>
      <c r="N1367" s="182" t="str">
        <f>IFERROR(IF([1]K_Summary!$N$1352 = "", "", [1]K_Summary!$N$1352 ),"")</f>
        <v/>
      </c>
    </row>
    <row r="1368" spans="1:14" ht="15" hidden="1">
      <c r="A1368" s="719" t="s">
        <v>2289</v>
      </c>
      <c r="C1368" s="559"/>
      <c r="D1368" s="706"/>
      <c r="E1368" s="723" t="s">
        <v>1422</v>
      </c>
      <c r="F1368" s="723"/>
      <c r="G1368" s="723"/>
      <c r="H1368" s="724" t="s">
        <v>2090</v>
      </c>
      <c r="I1368" s="725"/>
      <c r="J1368" s="162" t="str">
        <f>IFERROR(IF([1]K_Summary!$J$1353 = "", "", [1]K_Summary!$J$1353 ),"")</f>
        <v/>
      </c>
      <c r="K1368" s="163" t="str">
        <f>IFERROR(IF([1]K_Summary!$K$1353 = "", "", [1]K_Summary!$K$1353 ),"")</f>
        <v/>
      </c>
      <c r="L1368" s="163" t="str">
        <f>IFERROR(IF([1]K_Summary!$L$1353 = "", "", [1]K_Summary!$L$1353 ),"")</f>
        <v/>
      </c>
      <c r="M1368" s="163" t="str">
        <f>IFERROR(IF([1]K_Summary!$M$1353 = "", "", [1]K_Summary!$M$1353 ),"")</f>
        <v/>
      </c>
      <c r="N1368" s="164" t="str">
        <f>IFERROR(IF([1]K_Summary!$N$1353 = "", "", [1]K_Summary!$N$1353 ),"")</f>
        <v/>
      </c>
    </row>
    <row r="1369" spans="1:14" ht="15" hidden="1">
      <c r="A1369" s="719" t="s">
        <v>2289</v>
      </c>
      <c r="C1369" s="559"/>
      <c r="D1369" s="706"/>
      <c r="E1369" s="723" t="s">
        <v>1390</v>
      </c>
      <c r="F1369" s="723"/>
      <c r="G1369" s="723"/>
      <c r="H1369" s="724" t="s">
        <v>2090</v>
      </c>
      <c r="I1369" s="725"/>
      <c r="J1369" s="162" t="str">
        <f>IFERROR(IF([1]K_Summary!$J$1354 = "", "", [1]K_Summary!$J$1354 ),"")</f>
        <v/>
      </c>
      <c r="K1369" s="163" t="str">
        <f>IFERROR(IF([1]K_Summary!$K$1354 = "", "", [1]K_Summary!$K$1354 ),"")</f>
        <v/>
      </c>
      <c r="L1369" s="163" t="str">
        <f>IFERROR(IF([1]K_Summary!$L$1354 = "", "", [1]K_Summary!$L$1354 ),"")</f>
        <v/>
      </c>
      <c r="M1369" s="163" t="str">
        <f>IFERROR(IF([1]K_Summary!$M$1354 = "", "", [1]K_Summary!$M$1354 ),"")</f>
        <v/>
      </c>
      <c r="N1369" s="164" t="str">
        <f>IFERROR(IF([1]K_Summary!$N$1354 = "", "", [1]K_Summary!$N$1354 ),"")</f>
        <v/>
      </c>
    </row>
    <row r="1370" spans="1:14" ht="15" hidden="1">
      <c r="A1370" s="719" t="s">
        <v>2289</v>
      </c>
      <c r="C1370" s="559"/>
      <c r="D1370" s="706"/>
      <c r="E1370" s="723" t="s">
        <v>1389</v>
      </c>
      <c r="F1370" s="723"/>
      <c r="G1370" s="723"/>
      <c r="H1370" s="726" t="s">
        <v>1021</v>
      </c>
      <c r="I1370" s="725"/>
      <c r="J1370" s="165" t="str">
        <f>IFERROR(IF([1]K_Summary!$J$1355 = "", "", [1]K_Summary!$J$1355 ),"")</f>
        <v/>
      </c>
      <c r="K1370" s="166" t="str">
        <f>IFERROR(IF([1]K_Summary!$K$1355 = "", "", [1]K_Summary!$K$1355 ),"")</f>
        <v/>
      </c>
      <c r="L1370" s="166" t="str">
        <f>IFERROR(IF([1]K_Summary!$L$1355 = "", "", [1]K_Summary!$L$1355 ),"")</f>
        <v/>
      </c>
      <c r="M1370" s="166" t="str">
        <f>IFERROR(IF([1]K_Summary!$M$1355 = "", "", [1]K_Summary!$M$1355 ),"")</f>
        <v/>
      </c>
      <c r="N1370" s="167" t="str">
        <f>IFERROR(IF([1]K_Summary!$N$1355 = "", "", [1]K_Summary!$N$1355 ),"")</f>
        <v/>
      </c>
    </row>
    <row r="1371" spans="1:14" ht="15" hidden="1">
      <c r="A1371" s="719" t="s">
        <v>2289</v>
      </c>
      <c r="C1371" s="559"/>
      <c r="D1371" s="706"/>
      <c r="E1371" s="727" t="s">
        <v>1391</v>
      </c>
      <c r="F1371" s="727"/>
      <c r="G1371" s="727"/>
      <c r="H1371" s="728" t="s">
        <v>1021</v>
      </c>
      <c r="I1371" s="729"/>
      <c r="J1371" s="168" t="str">
        <f>IFERROR(IF([1]K_Summary!$J$1356 = "", "", [1]K_Summary!$J$1356 ),"")</f>
        <v/>
      </c>
      <c r="K1371" s="169" t="str">
        <f>IFERROR(IF([1]K_Summary!$K$1356 = "", "", [1]K_Summary!$K$1356 ),"")</f>
        <v/>
      </c>
      <c r="L1371" s="169" t="str">
        <f>IFERROR(IF([1]K_Summary!$L$1356 = "", "", [1]K_Summary!$L$1356 ),"")</f>
        <v/>
      </c>
      <c r="M1371" s="169" t="str">
        <f>IFERROR(IF([1]K_Summary!$M$1356 = "", "", [1]K_Summary!$M$1356 ),"")</f>
        <v/>
      </c>
      <c r="N1371" s="170" t="str">
        <f>IFERROR(IF([1]K_Summary!$N$1356 = "", "", [1]K_Summary!$N$1356 ),"")</f>
        <v/>
      </c>
    </row>
    <row r="1372" spans="1:14" ht="15">
      <c r="C1372" s="559"/>
      <c r="D1372" s="706"/>
      <c r="E1372" s="698" t="s">
        <v>1671</v>
      </c>
      <c r="F1372" s="698"/>
      <c r="G1372" s="698"/>
      <c r="H1372" s="730" t="s">
        <v>2090</v>
      </c>
      <c r="I1372" s="731"/>
      <c r="J1372" s="148" t="str">
        <f>IFERROR(IF([1]K_Summary!$J$1357 = "", "", [1]K_Summary!$J$1357 ),"")</f>
        <v/>
      </c>
      <c r="K1372" s="150" t="str">
        <f>IFERROR(IF([1]K_Summary!$K$1357 = "", "", [1]K_Summary!$K$1357 ),"")</f>
        <v/>
      </c>
      <c r="L1372" s="150" t="str">
        <f>IFERROR(IF([1]K_Summary!$L$1357 = "", "", [1]K_Summary!$L$1357 ),"")</f>
        <v/>
      </c>
      <c r="M1372" s="150" t="str">
        <f>IFERROR(IF([1]K_Summary!$M$1357 = "", "", [1]K_Summary!$M$1357 ),"")</f>
        <v/>
      </c>
      <c r="N1372" s="171" t="str">
        <f>IFERROR(IF([1]K_Summary!$N$1357 = "", "", [1]K_Summary!$N$1357 ),"")</f>
        <v/>
      </c>
    </row>
    <row r="1373" spans="1:14" ht="15">
      <c r="C1373" s="559"/>
      <c r="D1373" s="706"/>
      <c r="E1373" s="698" t="s">
        <v>1670</v>
      </c>
      <c r="F1373" s="698"/>
      <c r="G1373" s="698"/>
      <c r="H1373" s="730" t="s">
        <v>2090</v>
      </c>
      <c r="I1373" s="731"/>
      <c r="J1373" s="148" t="str">
        <f>IFERROR(IF([1]K_Summary!$J$1358 = "", "", [1]K_Summary!$J$1358 ),"")</f>
        <v/>
      </c>
      <c r="K1373" s="150" t="str">
        <f>IFERROR(IF([1]K_Summary!$K$1358 = "", "", [1]K_Summary!$K$1358 ),"")</f>
        <v/>
      </c>
      <c r="L1373" s="150" t="str">
        <f>IFERROR(IF([1]K_Summary!$L$1358 = "", "", [1]K_Summary!$L$1358 ),"")</f>
        <v/>
      </c>
      <c r="M1373" s="150" t="str">
        <f>IFERROR(IF([1]K_Summary!$M$1358 = "", "", [1]K_Summary!$M$1358 ),"")</f>
        <v/>
      </c>
      <c r="N1373" s="171" t="str">
        <f>IFERROR(IF([1]K_Summary!$N$1358 = "", "", [1]K_Summary!$N$1358 ),"")</f>
        <v/>
      </c>
    </row>
    <row r="1374" spans="1:14" ht="15">
      <c r="C1374" s="559"/>
      <c r="D1374" s="706"/>
      <c r="E1374" s="740" t="s">
        <v>2132</v>
      </c>
      <c r="F1374" s="740"/>
      <c r="G1374" s="740"/>
      <c r="H1374" s="741" t="s">
        <v>1021</v>
      </c>
      <c r="I1374" s="742"/>
      <c r="J1374" s="183" t="str">
        <f>IFERROR(IF([1]K_Summary!$J$1359 = "", "", [1]K_Summary!$J$1359 ),"")</f>
        <v/>
      </c>
      <c r="K1374" s="184" t="str">
        <f>IFERROR(IF([1]K_Summary!$K$1359 = "", "", [1]K_Summary!$K$1359 ),"")</f>
        <v/>
      </c>
      <c r="L1374" s="184" t="str">
        <f>IFERROR(IF([1]K_Summary!$L$1359 = "", "", [1]K_Summary!$L$1359 ),"")</f>
        <v/>
      </c>
      <c r="M1374" s="184" t="str">
        <f>IFERROR(IF([1]K_Summary!$M$1359 = "", "", [1]K_Summary!$M$1359 ),"")</f>
        <v/>
      </c>
      <c r="N1374" s="185" t="str">
        <f>IFERROR(IF([1]K_Summary!$N$1359 = "", "", [1]K_Summary!$N$1359 ),"")</f>
        <v/>
      </c>
    </row>
    <row r="1375" spans="1:14" ht="15">
      <c r="C1375" s="559"/>
      <c r="D1375" s="706"/>
      <c r="E1375" s="485"/>
      <c r="F1375" s="485"/>
      <c r="G1375" s="485"/>
      <c r="H1375" s="485"/>
      <c r="I1375" s="743"/>
      <c r="J1375" s="485"/>
      <c r="K1375" s="485"/>
      <c r="L1375" s="485"/>
      <c r="M1375" s="485"/>
      <c r="N1375" s="744"/>
    </row>
    <row r="1376" spans="1:14" ht="15">
      <c r="C1376" s="559"/>
      <c r="D1376" s="706"/>
      <c r="E1376" s="707" t="s">
        <v>1755</v>
      </c>
      <c r="F1376" s="637"/>
      <c r="G1376" s="637"/>
      <c r="H1376" s="663" t="s">
        <v>884</v>
      </c>
      <c r="I1376" s="708"/>
      <c r="J1376" s="709">
        <v>2021</v>
      </c>
      <c r="K1376" s="671">
        <v>2022</v>
      </c>
      <c r="L1376" s="671">
        <v>2023</v>
      </c>
      <c r="M1376" s="671">
        <v>2024</v>
      </c>
      <c r="N1376" s="710">
        <v>2025</v>
      </c>
    </row>
    <row r="1377" spans="1:14" ht="15" hidden="1">
      <c r="A1377" s="719" t="s">
        <v>2289</v>
      </c>
      <c r="C1377" s="559"/>
      <c r="D1377" s="706"/>
      <c r="E1377" s="698" t="s">
        <v>1714</v>
      </c>
      <c r="F1377" s="698"/>
      <c r="G1377" s="698"/>
      <c r="H1377" s="63" t="str">
        <f>IFERROR(IF([1]K_Summary!$H$1362 = "", "", [1]K_Summary!$H$1362 ),"")</f>
        <v>tonnes</v>
      </c>
      <c r="I1377" s="698"/>
      <c r="J1377" s="157" t="str">
        <f>IFERROR(IF([1]K_Summary!$J$1362 = "", "", [1]K_Summary!$J$1362 ),"")</f>
        <v/>
      </c>
      <c r="K1377" s="147" t="str">
        <f>IFERROR(IF([1]K_Summary!$K$1362 = "", "", [1]K_Summary!$K$1362 ),"")</f>
        <v/>
      </c>
      <c r="L1377" s="147" t="str">
        <f>IFERROR(IF([1]K_Summary!$L$1362 = "", "", [1]K_Summary!$L$1362 ),"")</f>
        <v/>
      </c>
      <c r="M1377" s="147" t="str">
        <f>IFERROR(IF([1]K_Summary!$M$1362 = "", "", [1]K_Summary!$M$1362 ),"")</f>
        <v/>
      </c>
      <c r="N1377" s="158" t="str">
        <f>IFERROR(IF([1]K_Summary!$N$1362 = "", "", [1]K_Summary!$N$1362 ),"")</f>
        <v/>
      </c>
    </row>
    <row r="1378" spans="1:14" ht="15" hidden="1">
      <c r="A1378" s="719" t="s">
        <v>2289</v>
      </c>
      <c r="C1378" s="559"/>
      <c r="D1378" s="706"/>
      <c r="E1378" s="720" t="s">
        <v>303</v>
      </c>
      <c r="F1378" s="720"/>
      <c r="G1378" s="720"/>
      <c r="H1378" s="721" t="s">
        <v>2090</v>
      </c>
      <c r="I1378" s="722"/>
      <c r="J1378" s="159" t="str">
        <f>IFERROR(IF([1]K_Summary!$J$1363 = "", "", [1]K_Summary!$J$1363 ),"")</f>
        <v/>
      </c>
      <c r="K1378" s="160" t="str">
        <f>IFERROR(IF([1]K_Summary!$K$1363 = "", "", [1]K_Summary!$K$1363 ),"")</f>
        <v/>
      </c>
      <c r="L1378" s="160" t="str">
        <f>IFERROR(IF([1]K_Summary!$L$1363 = "", "", [1]K_Summary!$L$1363 ),"")</f>
        <v/>
      </c>
      <c r="M1378" s="160" t="str">
        <f>IFERROR(IF([1]K_Summary!$M$1363 = "", "", [1]K_Summary!$M$1363 ),"")</f>
        <v/>
      </c>
      <c r="N1378" s="161" t="str">
        <f>IFERROR(IF([1]K_Summary!$N$1363 = "", "", [1]K_Summary!$N$1363 ),"")</f>
        <v/>
      </c>
    </row>
    <row r="1379" spans="1:14" ht="15" hidden="1">
      <c r="A1379" s="719" t="s">
        <v>2289</v>
      </c>
      <c r="C1379" s="559"/>
      <c r="D1379" s="706"/>
      <c r="E1379" s="745" t="s">
        <v>1422</v>
      </c>
      <c r="F1379" s="745"/>
      <c r="G1379" s="745"/>
      <c r="H1379" s="746" t="s">
        <v>2090</v>
      </c>
      <c r="I1379" s="747"/>
      <c r="J1379" s="186" t="str">
        <f>IFERROR(IF([1]K_Summary!$J$1364 = "", "", [1]K_Summary!$J$1364 ),"")</f>
        <v/>
      </c>
      <c r="K1379" s="187" t="str">
        <f>IFERROR(IF([1]K_Summary!$K$1364 = "", "", [1]K_Summary!$K$1364 ),"")</f>
        <v/>
      </c>
      <c r="L1379" s="187" t="str">
        <f>IFERROR(IF([1]K_Summary!$L$1364 = "", "", [1]K_Summary!$L$1364 ),"")</f>
        <v/>
      </c>
      <c r="M1379" s="187" t="str">
        <f>IFERROR(IF([1]K_Summary!$M$1364 = "", "", [1]K_Summary!$M$1364 ),"")</f>
        <v/>
      </c>
      <c r="N1379" s="188" t="str">
        <f>IFERROR(IF([1]K_Summary!$N$1364 = "", "", [1]K_Summary!$N$1364 ),"")</f>
        <v/>
      </c>
    </row>
    <row r="1380" spans="1:14" ht="15">
      <c r="C1380" s="559"/>
      <c r="D1380" s="706"/>
      <c r="E1380" s="720" t="s">
        <v>1691</v>
      </c>
      <c r="F1380" s="720"/>
      <c r="G1380" s="720"/>
      <c r="H1380" s="721" t="s">
        <v>2090</v>
      </c>
      <c r="I1380" s="722"/>
      <c r="J1380" s="195" t="str">
        <f>IFERROR(IF([1]K_Summary!$J$1365 = "", "", [1]K_Summary!$J$1365 ),"")</f>
        <v/>
      </c>
      <c r="K1380" s="196" t="str">
        <f>IFERROR(IF([1]K_Summary!$K$1365 = "", "", [1]K_Summary!$K$1365 ),"")</f>
        <v/>
      </c>
      <c r="L1380" s="196" t="str">
        <f>IFERROR(IF([1]K_Summary!$L$1365 = "", "", [1]K_Summary!$L$1365 ),"")</f>
        <v/>
      </c>
      <c r="M1380" s="196" t="str">
        <f>IFERROR(IF([1]K_Summary!$M$1365 = "", "", [1]K_Summary!$M$1365 ),"")</f>
        <v/>
      </c>
      <c r="N1380" s="197" t="str">
        <f>IFERROR(IF([1]K_Summary!$N$1365 = "", "", [1]K_Summary!$N$1365 ),"")</f>
        <v/>
      </c>
    </row>
    <row r="1381" spans="1:14" ht="15">
      <c r="C1381" s="559"/>
      <c r="D1381" s="706"/>
      <c r="E1381" s="723" t="s">
        <v>1648</v>
      </c>
      <c r="F1381" s="723"/>
      <c r="G1381" s="723"/>
      <c r="H1381" s="751" t="s">
        <v>1021</v>
      </c>
      <c r="I1381" s="735"/>
      <c r="J1381" s="174" t="str">
        <f>IFERROR(IF([1]K_Summary!$J$1366 = "", "", [1]K_Summary!$J$1366 ),"")</f>
        <v/>
      </c>
      <c r="K1381" s="175" t="str">
        <f>IFERROR(IF([1]K_Summary!$K$1366 = "", "", [1]K_Summary!$K$1366 ),"")</f>
        <v/>
      </c>
      <c r="L1381" s="175" t="str">
        <f>IFERROR(IF([1]K_Summary!$L$1366 = "", "", [1]K_Summary!$L$1366 ),"")</f>
        <v/>
      </c>
      <c r="M1381" s="175" t="str">
        <f>IFERROR(IF([1]K_Summary!$M$1366 = "", "", [1]K_Summary!$M$1366 ),"")</f>
        <v/>
      </c>
      <c r="N1381" s="176" t="str">
        <f>IFERROR(IF([1]K_Summary!$N$1366 = "", "", [1]K_Summary!$N$1366 ),"")</f>
        <v/>
      </c>
    </row>
    <row r="1382" spans="1:14" ht="15">
      <c r="C1382" s="559"/>
      <c r="D1382" s="706"/>
      <c r="E1382" s="736" t="s">
        <v>1854</v>
      </c>
      <c r="F1382" s="736"/>
      <c r="G1382" s="736"/>
      <c r="H1382" s="738" t="s">
        <v>1021</v>
      </c>
      <c r="I1382" s="738"/>
      <c r="J1382" s="177" t="str">
        <f>IFERROR(IF([1]K_Summary!$J$1367 = "", "", [1]K_Summary!$J$1367 ),"")</f>
        <v/>
      </c>
      <c r="K1382" s="178" t="str">
        <f>IFERROR(IF([1]K_Summary!$K$1367 = "", "", [1]K_Summary!$K$1367 ),"")</f>
        <v/>
      </c>
      <c r="L1382" s="178" t="str">
        <f>IFERROR(IF([1]K_Summary!$L$1367 = "", "", [1]K_Summary!$L$1367 ),"")</f>
        <v/>
      </c>
      <c r="M1382" s="178" t="str">
        <f>IFERROR(IF([1]K_Summary!$M$1367 = "", "", [1]K_Summary!$M$1367 ),"")</f>
        <v/>
      </c>
      <c r="N1382" s="179" t="str">
        <f>IFERROR(IF([1]K_Summary!$N$1367 = "", "", [1]K_Summary!$N$1367 ),"")</f>
        <v/>
      </c>
    </row>
    <row r="1383" spans="1:14" ht="15">
      <c r="C1383" s="559"/>
      <c r="D1383" s="706"/>
      <c r="E1383" s="727" t="s">
        <v>1689</v>
      </c>
      <c r="F1383" s="727"/>
      <c r="G1383" s="727"/>
      <c r="H1383" s="728" t="s">
        <v>2090</v>
      </c>
      <c r="I1383" s="729"/>
      <c r="J1383" s="198" t="str">
        <f>IFERROR(IF([1]K_Summary!$J$1368 = "", "", [1]K_Summary!$J$1368 ),"")</f>
        <v/>
      </c>
      <c r="K1383" s="199" t="str">
        <f>IFERROR(IF([1]K_Summary!$K$1368 = "", "", [1]K_Summary!$K$1368 ),"")</f>
        <v/>
      </c>
      <c r="L1383" s="199" t="str">
        <f>IFERROR(IF([1]K_Summary!$L$1368 = "", "", [1]K_Summary!$L$1368 ),"")</f>
        <v/>
      </c>
      <c r="M1383" s="199" t="str">
        <f>IFERROR(IF([1]K_Summary!$M$1368 = "", "", [1]K_Summary!$M$1368 ),"")</f>
        <v/>
      </c>
      <c r="N1383" s="200" t="str">
        <f>IFERROR(IF([1]K_Summary!$N$1368 = "", "", [1]K_Summary!$N$1368 ),"")</f>
        <v/>
      </c>
    </row>
    <row r="1384" spans="1:14" ht="15" hidden="1">
      <c r="A1384" s="719" t="s">
        <v>2289</v>
      </c>
      <c r="C1384" s="559"/>
      <c r="D1384" s="706"/>
      <c r="E1384" s="645" t="s">
        <v>1389</v>
      </c>
      <c r="F1384" s="645"/>
      <c r="G1384" s="645"/>
      <c r="H1384" s="752" t="s">
        <v>1021</v>
      </c>
      <c r="I1384" s="753"/>
      <c r="J1384" s="201" t="str">
        <f>IFERROR(IF([1]K_Summary!$J$1369 = "", "", [1]K_Summary!$J$1369 ),"")</f>
        <v/>
      </c>
      <c r="K1384" s="202" t="str">
        <f>IFERROR(IF([1]K_Summary!$K$1369 = "", "", [1]K_Summary!$K$1369 ),"")</f>
        <v/>
      </c>
      <c r="L1384" s="202" t="str">
        <f>IFERROR(IF([1]K_Summary!$L$1369 = "", "", [1]K_Summary!$L$1369 ),"")</f>
        <v/>
      </c>
      <c r="M1384" s="202" t="str">
        <f>IFERROR(IF([1]K_Summary!$M$1369 = "", "", [1]K_Summary!$M$1369 ),"")</f>
        <v/>
      </c>
      <c r="N1384" s="203" t="str">
        <f>IFERROR(IF([1]K_Summary!$N$1369 = "", "", [1]K_Summary!$N$1369 ),"")</f>
        <v/>
      </c>
    </row>
    <row r="1385" spans="1:14" ht="15" hidden="1">
      <c r="A1385" s="719" t="s">
        <v>2289</v>
      </c>
      <c r="C1385" s="559"/>
      <c r="D1385" s="706"/>
      <c r="E1385" s="727" t="s">
        <v>1391</v>
      </c>
      <c r="F1385" s="727"/>
      <c r="G1385" s="727"/>
      <c r="H1385" s="728" t="s">
        <v>1021</v>
      </c>
      <c r="I1385" s="729"/>
      <c r="J1385" s="168" t="str">
        <f>IFERROR(IF([1]K_Summary!$J$1370 = "", "", [1]K_Summary!$J$1370 ),"")</f>
        <v/>
      </c>
      <c r="K1385" s="169" t="str">
        <f>IFERROR(IF([1]K_Summary!$K$1370 = "", "", [1]K_Summary!$K$1370 ),"")</f>
        <v/>
      </c>
      <c r="L1385" s="169" t="str">
        <f>IFERROR(IF([1]K_Summary!$L$1370 = "", "", [1]K_Summary!$L$1370 ),"")</f>
        <v/>
      </c>
      <c r="M1385" s="169" t="str">
        <f>IFERROR(IF([1]K_Summary!$M$1370 = "", "", [1]K_Summary!$M$1370 ),"")</f>
        <v/>
      </c>
      <c r="N1385" s="170" t="str">
        <f>IFERROR(IF([1]K_Summary!$N$1370 = "", "", [1]K_Summary!$N$1370 ),"")</f>
        <v/>
      </c>
    </row>
    <row r="1386" spans="1:14" ht="15">
      <c r="C1386" s="559"/>
      <c r="D1386" s="706"/>
      <c r="E1386" s="698" t="s">
        <v>1671</v>
      </c>
      <c r="F1386" s="698"/>
      <c r="G1386" s="698"/>
      <c r="H1386" s="730" t="s">
        <v>2090</v>
      </c>
      <c r="I1386" s="731"/>
      <c r="J1386" s="148" t="str">
        <f>IFERROR(IF([1]K_Summary!$J$1371 = "", "", [1]K_Summary!$J$1371 ),"")</f>
        <v/>
      </c>
      <c r="K1386" s="150" t="str">
        <f>IFERROR(IF([1]K_Summary!$K$1371 = "", "", [1]K_Summary!$K$1371 ),"")</f>
        <v/>
      </c>
      <c r="L1386" s="150" t="str">
        <f>IFERROR(IF([1]K_Summary!$L$1371 = "", "", [1]K_Summary!$L$1371 ),"")</f>
        <v/>
      </c>
      <c r="M1386" s="150" t="str">
        <f>IFERROR(IF([1]K_Summary!$M$1371 = "", "", [1]K_Summary!$M$1371 ),"")</f>
        <v/>
      </c>
      <c r="N1386" s="171" t="str">
        <f>IFERROR(IF([1]K_Summary!$N$1371 = "", "", [1]K_Summary!$N$1371 ),"")</f>
        <v/>
      </c>
    </row>
    <row r="1387" spans="1:14" ht="15">
      <c r="C1387" s="559"/>
      <c r="D1387" s="706"/>
      <c r="E1387" s="698" t="s">
        <v>1670</v>
      </c>
      <c r="F1387" s="698"/>
      <c r="G1387" s="698"/>
      <c r="H1387" s="730" t="s">
        <v>2090</v>
      </c>
      <c r="I1387" s="731"/>
      <c r="J1387" s="148" t="str">
        <f>IFERROR(IF([1]K_Summary!$J$1372 = "", "", [1]K_Summary!$J$1372 ),"")</f>
        <v/>
      </c>
      <c r="K1387" s="150" t="str">
        <f>IFERROR(IF([1]K_Summary!$K$1372 = "", "", [1]K_Summary!$K$1372 ),"")</f>
        <v/>
      </c>
      <c r="L1387" s="150" t="str">
        <f>IFERROR(IF([1]K_Summary!$L$1372 = "", "", [1]K_Summary!$L$1372 ),"")</f>
        <v/>
      </c>
      <c r="M1387" s="150" t="str">
        <f>IFERROR(IF([1]K_Summary!$M$1372 = "", "", [1]K_Summary!$M$1372 ),"")</f>
        <v/>
      </c>
      <c r="N1387" s="171" t="str">
        <f>IFERROR(IF([1]K_Summary!$N$1372 = "", "", [1]K_Summary!$N$1372 ),"")</f>
        <v/>
      </c>
    </row>
    <row r="1388" spans="1:14" ht="15">
      <c r="C1388" s="559"/>
      <c r="D1388" s="706"/>
      <c r="E1388" s="740" t="s">
        <v>2133</v>
      </c>
      <c r="F1388" s="698"/>
      <c r="G1388" s="698"/>
      <c r="H1388" s="741" t="s">
        <v>1021</v>
      </c>
      <c r="I1388" s="742"/>
      <c r="J1388" s="183" t="str">
        <f>IFERROR(IF([1]K_Summary!$J$1373 = "", "", [1]K_Summary!$J$1373 ),"")</f>
        <v/>
      </c>
      <c r="K1388" s="184" t="str">
        <f>IFERROR(IF([1]K_Summary!$K$1373 = "", "", [1]K_Summary!$K$1373 ),"")</f>
        <v/>
      </c>
      <c r="L1388" s="184" t="str">
        <f>IFERROR(IF([1]K_Summary!$L$1373 = "", "", [1]K_Summary!$L$1373 ),"")</f>
        <v/>
      </c>
      <c r="M1388" s="184" t="str">
        <f>IFERROR(IF([1]K_Summary!$M$1373 = "", "", [1]K_Summary!$M$1373 ),"")</f>
        <v/>
      </c>
      <c r="N1388" s="185" t="str">
        <f>IFERROR(IF([1]K_Summary!$N$1373 = "", "", [1]K_Summary!$N$1373 ),"")</f>
        <v/>
      </c>
    </row>
    <row r="1389" spans="1:14" ht="15">
      <c r="C1389" s="559"/>
      <c r="D1389" s="706"/>
      <c r="E1389" s="485"/>
      <c r="F1389" s="485"/>
      <c r="G1389" s="485"/>
      <c r="H1389" s="485"/>
      <c r="I1389" s="743"/>
      <c r="J1389" s="485"/>
      <c r="K1389" s="485"/>
      <c r="L1389" s="485"/>
      <c r="M1389" s="485"/>
      <c r="N1389" s="744"/>
    </row>
    <row r="1390" spans="1:14" ht="15">
      <c r="C1390" s="559"/>
      <c r="D1390" s="706"/>
      <c r="E1390" s="707" t="s">
        <v>1756</v>
      </c>
      <c r="F1390" s="637"/>
      <c r="G1390" s="637"/>
      <c r="H1390" s="663" t="s">
        <v>884</v>
      </c>
      <c r="I1390" s="708"/>
      <c r="J1390" s="709">
        <v>2021</v>
      </c>
      <c r="K1390" s="671">
        <v>2022</v>
      </c>
      <c r="L1390" s="671">
        <v>2023</v>
      </c>
      <c r="M1390" s="671">
        <v>2024</v>
      </c>
      <c r="N1390" s="710">
        <v>2025</v>
      </c>
    </row>
    <row r="1391" spans="1:14" ht="15" hidden="1">
      <c r="A1391" s="719" t="s">
        <v>2289</v>
      </c>
      <c r="C1391" s="559"/>
      <c r="D1391" s="706"/>
      <c r="E1391" s="698" t="s">
        <v>1714</v>
      </c>
      <c r="F1391" s="698"/>
      <c r="G1391" s="698"/>
      <c r="H1391" s="63" t="str">
        <f>IFERROR(IF([1]K_Summary!$H$1376 = "", "", [1]K_Summary!$H$1376 ),"")</f>
        <v>tonnes</v>
      </c>
      <c r="I1391" s="698"/>
      <c r="J1391" s="157" t="str">
        <f>IFERROR(IF([1]K_Summary!$J$1376 = "", "", [1]K_Summary!$J$1376 ),"")</f>
        <v/>
      </c>
      <c r="K1391" s="147" t="str">
        <f>IFERROR(IF([1]K_Summary!$K$1376 = "", "", [1]K_Summary!$K$1376 ),"")</f>
        <v/>
      </c>
      <c r="L1391" s="147" t="str">
        <f>IFERROR(IF([1]K_Summary!$L$1376 = "", "", [1]K_Summary!$L$1376 ),"")</f>
        <v/>
      </c>
      <c r="M1391" s="147" t="str">
        <f>IFERROR(IF([1]K_Summary!$M$1376 = "", "", [1]K_Summary!$M$1376 ),"")</f>
        <v/>
      </c>
      <c r="N1391" s="158" t="str">
        <f>IFERROR(IF([1]K_Summary!$N$1376 = "", "", [1]K_Summary!$N$1376 ),"")</f>
        <v/>
      </c>
    </row>
    <row r="1392" spans="1:14" ht="15" hidden="1">
      <c r="A1392" s="719" t="s">
        <v>2289</v>
      </c>
      <c r="C1392" s="559"/>
      <c r="D1392" s="706"/>
      <c r="E1392" s="720" t="s">
        <v>303</v>
      </c>
      <c r="F1392" s="720"/>
      <c r="G1392" s="720"/>
      <c r="H1392" s="721" t="s">
        <v>2090</v>
      </c>
      <c r="I1392" s="722"/>
      <c r="J1392" s="159" t="str">
        <f>IFERROR(IF([1]K_Summary!$J$1377 = "", "", [1]K_Summary!$J$1377 ),"")</f>
        <v/>
      </c>
      <c r="K1392" s="160" t="str">
        <f>IFERROR(IF([1]K_Summary!$K$1377 = "", "", [1]K_Summary!$K$1377 ),"")</f>
        <v/>
      </c>
      <c r="L1392" s="160" t="str">
        <f>IFERROR(IF([1]K_Summary!$L$1377 = "", "", [1]K_Summary!$L$1377 ),"")</f>
        <v/>
      </c>
      <c r="M1392" s="160" t="str">
        <f>IFERROR(IF([1]K_Summary!$M$1377 = "", "", [1]K_Summary!$M$1377 ),"")</f>
        <v/>
      </c>
      <c r="N1392" s="161" t="str">
        <f>IFERROR(IF([1]K_Summary!$N$1377 = "", "", [1]K_Summary!$N$1377 ),"")</f>
        <v/>
      </c>
    </row>
    <row r="1393" spans="1:14" ht="15" hidden="1">
      <c r="A1393" s="719" t="s">
        <v>2289</v>
      </c>
      <c r="C1393" s="559"/>
      <c r="D1393" s="706"/>
      <c r="E1393" s="723" t="s">
        <v>1422</v>
      </c>
      <c r="F1393" s="723"/>
      <c r="G1393" s="723"/>
      <c r="H1393" s="724" t="s">
        <v>2090</v>
      </c>
      <c r="I1393" s="725"/>
      <c r="J1393" s="162" t="str">
        <f>IFERROR(IF([1]K_Summary!$J$1378 = "", "", [1]K_Summary!$J$1378 ),"")</f>
        <v/>
      </c>
      <c r="K1393" s="163" t="str">
        <f>IFERROR(IF([1]K_Summary!$K$1378 = "", "", [1]K_Summary!$K$1378 ),"")</f>
        <v/>
      </c>
      <c r="L1393" s="163" t="str">
        <f>IFERROR(IF([1]K_Summary!$L$1378 = "", "", [1]K_Summary!$L$1378 ),"")</f>
        <v/>
      </c>
      <c r="M1393" s="163" t="str">
        <f>IFERROR(IF([1]K_Summary!$M$1378 = "", "", [1]K_Summary!$M$1378 ),"")</f>
        <v/>
      </c>
      <c r="N1393" s="164" t="str">
        <f>IFERROR(IF([1]K_Summary!$N$1378 = "", "", [1]K_Summary!$N$1378 ),"")</f>
        <v/>
      </c>
    </row>
    <row r="1394" spans="1:14" ht="15" hidden="1">
      <c r="A1394" s="719" t="s">
        <v>2289</v>
      </c>
      <c r="C1394" s="559"/>
      <c r="D1394" s="706"/>
      <c r="E1394" s="723" t="s">
        <v>1390</v>
      </c>
      <c r="F1394" s="723"/>
      <c r="G1394" s="723"/>
      <c r="H1394" s="724" t="s">
        <v>2090</v>
      </c>
      <c r="I1394" s="725"/>
      <c r="J1394" s="162" t="str">
        <f>IFERROR(IF([1]K_Summary!$J$1379 = "", "", [1]K_Summary!$J$1379 ),"")</f>
        <v/>
      </c>
      <c r="K1394" s="163" t="str">
        <f>IFERROR(IF([1]K_Summary!$K$1379 = "", "", [1]K_Summary!$K$1379 ),"")</f>
        <v/>
      </c>
      <c r="L1394" s="163" t="str">
        <f>IFERROR(IF([1]K_Summary!$L$1379 = "", "", [1]K_Summary!$L$1379 ),"")</f>
        <v/>
      </c>
      <c r="M1394" s="163" t="str">
        <f>IFERROR(IF([1]K_Summary!$M$1379 = "", "", [1]K_Summary!$M$1379 ),"")</f>
        <v/>
      </c>
      <c r="N1394" s="164" t="str">
        <f>IFERROR(IF([1]K_Summary!$N$1379 = "", "", [1]K_Summary!$N$1379 ),"")</f>
        <v/>
      </c>
    </row>
    <row r="1395" spans="1:14" ht="15" hidden="1">
      <c r="A1395" s="719" t="s">
        <v>2289</v>
      </c>
      <c r="C1395" s="559"/>
      <c r="D1395" s="706"/>
      <c r="E1395" s="745" t="s">
        <v>1389</v>
      </c>
      <c r="F1395" s="745"/>
      <c r="G1395" s="745"/>
      <c r="H1395" s="754" t="s">
        <v>1021</v>
      </c>
      <c r="I1395" s="747"/>
      <c r="J1395" s="204" t="str">
        <f>IFERROR(IF([1]K_Summary!$J$1380 = "", "", [1]K_Summary!$J$1380 ),"")</f>
        <v/>
      </c>
      <c r="K1395" s="205" t="str">
        <f>IFERROR(IF([1]K_Summary!$K$1380 = "", "", [1]K_Summary!$K$1380 ),"")</f>
        <v/>
      </c>
      <c r="L1395" s="205" t="str">
        <f>IFERROR(IF([1]K_Summary!$L$1380 = "", "", [1]K_Summary!$L$1380 ),"")</f>
        <v/>
      </c>
      <c r="M1395" s="205" t="str">
        <f>IFERROR(IF([1]K_Summary!$M$1380 = "", "", [1]K_Summary!$M$1380 ),"")</f>
        <v/>
      </c>
      <c r="N1395" s="206" t="str">
        <f>IFERROR(IF([1]K_Summary!$N$1380 = "", "", [1]K_Summary!$N$1380 ),"")</f>
        <v/>
      </c>
    </row>
    <row r="1396" spans="1:14" ht="15">
      <c r="C1396" s="559"/>
      <c r="D1396" s="706"/>
      <c r="E1396" s="720" t="s">
        <v>1691</v>
      </c>
      <c r="F1396" s="720"/>
      <c r="G1396" s="720"/>
      <c r="H1396" s="748" t="s">
        <v>1021</v>
      </c>
      <c r="I1396" s="722"/>
      <c r="J1396" s="189" t="str">
        <f>IFERROR(IF([1]K_Summary!$J$1381 = "", "", [1]K_Summary!$J$1381 ),"")</f>
        <v/>
      </c>
      <c r="K1396" s="190" t="str">
        <f>IFERROR(IF([1]K_Summary!$K$1381 = "", "", [1]K_Summary!$K$1381 ),"")</f>
        <v/>
      </c>
      <c r="L1396" s="190" t="str">
        <f>IFERROR(IF([1]K_Summary!$L$1381 = "", "", [1]K_Summary!$L$1381 ),"")</f>
        <v/>
      </c>
      <c r="M1396" s="190" t="str">
        <f>IFERROR(IF([1]K_Summary!$M$1381 = "", "", [1]K_Summary!$M$1381 ),"")</f>
        <v/>
      </c>
      <c r="N1396" s="191" t="str">
        <f>IFERROR(IF([1]K_Summary!$N$1381 = "", "", [1]K_Summary!$N$1381 ),"")</f>
        <v/>
      </c>
    </row>
    <row r="1397" spans="1:14" ht="15">
      <c r="C1397" s="559"/>
      <c r="D1397" s="706"/>
      <c r="E1397" s="723" t="s">
        <v>1648</v>
      </c>
      <c r="F1397" s="723"/>
      <c r="G1397" s="723"/>
      <c r="H1397" s="751" t="s">
        <v>1021</v>
      </c>
      <c r="I1397" s="735"/>
      <c r="J1397" s="174" t="str">
        <f>IFERROR(IF([1]K_Summary!$J$1382 = "", "", [1]K_Summary!$J$1382 ),"")</f>
        <v/>
      </c>
      <c r="K1397" s="175" t="str">
        <f>IFERROR(IF([1]K_Summary!$K$1382 = "", "", [1]K_Summary!$K$1382 ),"")</f>
        <v/>
      </c>
      <c r="L1397" s="175" t="str">
        <f>IFERROR(IF([1]K_Summary!$L$1382 = "", "", [1]K_Summary!$L$1382 ),"")</f>
        <v/>
      </c>
      <c r="M1397" s="175" t="str">
        <f>IFERROR(IF([1]K_Summary!$M$1382 = "", "", [1]K_Summary!$M$1382 ),"")</f>
        <v/>
      </c>
      <c r="N1397" s="176" t="str">
        <f>IFERROR(IF([1]K_Summary!$N$1382 = "", "", [1]K_Summary!$N$1382 ),"")</f>
        <v/>
      </c>
    </row>
    <row r="1398" spans="1:14" ht="15">
      <c r="C1398" s="559"/>
      <c r="D1398" s="706"/>
      <c r="E1398" s="736" t="s">
        <v>1855</v>
      </c>
      <c r="F1398" s="736"/>
      <c r="G1398" s="736"/>
      <c r="H1398" s="738" t="s">
        <v>1021</v>
      </c>
      <c r="I1398" s="738"/>
      <c r="J1398" s="177" t="str">
        <f>IFERROR(IF([1]K_Summary!$J$1383 = "", "", [1]K_Summary!$J$1383 ),"")</f>
        <v/>
      </c>
      <c r="K1398" s="178" t="str">
        <f>IFERROR(IF([1]K_Summary!$K$1383 = "", "", [1]K_Summary!$K$1383 ),"")</f>
        <v/>
      </c>
      <c r="L1398" s="178" t="str">
        <f>IFERROR(IF([1]K_Summary!$L$1383 = "", "", [1]K_Summary!$L$1383 ),"")</f>
        <v/>
      </c>
      <c r="M1398" s="178" t="str">
        <f>IFERROR(IF([1]K_Summary!$M$1383 = "", "", [1]K_Summary!$M$1383 ),"")</f>
        <v/>
      </c>
      <c r="N1398" s="179" t="str">
        <f>IFERROR(IF([1]K_Summary!$N$1383 = "", "", [1]K_Summary!$N$1383 ),"")</f>
        <v/>
      </c>
    </row>
    <row r="1399" spans="1:14" ht="15">
      <c r="C1399" s="559"/>
      <c r="D1399" s="706"/>
      <c r="E1399" s="727" t="s">
        <v>1689</v>
      </c>
      <c r="F1399" s="727"/>
      <c r="G1399" s="727"/>
      <c r="H1399" s="728" t="s">
        <v>1021</v>
      </c>
      <c r="I1399" s="729"/>
      <c r="J1399" s="192" t="str">
        <f>IFERROR(IF([1]K_Summary!$J$1384 = "", "", [1]K_Summary!$J$1384 ),"")</f>
        <v/>
      </c>
      <c r="K1399" s="193" t="str">
        <f>IFERROR(IF([1]K_Summary!$K$1384 = "", "", [1]K_Summary!$K$1384 ),"")</f>
        <v/>
      </c>
      <c r="L1399" s="193" t="str">
        <f>IFERROR(IF([1]K_Summary!$L$1384 = "", "", [1]K_Summary!$L$1384 ),"")</f>
        <v/>
      </c>
      <c r="M1399" s="193" t="str">
        <f>IFERROR(IF([1]K_Summary!$M$1384 = "", "", [1]K_Summary!$M$1384 ),"")</f>
        <v/>
      </c>
      <c r="N1399" s="194" t="str">
        <f>IFERROR(IF([1]K_Summary!$N$1384 = "", "", [1]K_Summary!$N$1384 ),"")</f>
        <v/>
      </c>
    </row>
    <row r="1400" spans="1:14" ht="15">
      <c r="C1400" s="559"/>
      <c r="D1400" s="706"/>
      <c r="E1400" s="698" t="s">
        <v>1671</v>
      </c>
      <c r="F1400" s="698"/>
      <c r="G1400" s="698"/>
      <c r="H1400" s="730" t="s">
        <v>2090</v>
      </c>
      <c r="I1400" s="731"/>
      <c r="J1400" s="148" t="str">
        <f>IFERROR(IF([1]K_Summary!$J$1385 = "", "", [1]K_Summary!$J$1385 ),"")</f>
        <v/>
      </c>
      <c r="K1400" s="150" t="str">
        <f>IFERROR(IF([1]K_Summary!$K$1385 = "", "", [1]K_Summary!$K$1385 ),"")</f>
        <v/>
      </c>
      <c r="L1400" s="150" t="str">
        <f>IFERROR(IF([1]K_Summary!$L$1385 = "", "", [1]K_Summary!$L$1385 ),"")</f>
        <v/>
      </c>
      <c r="M1400" s="150" t="str">
        <f>IFERROR(IF([1]K_Summary!$M$1385 = "", "", [1]K_Summary!$M$1385 ),"")</f>
        <v/>
      </c>
      <c r="N1400" s="171" t="str">
        <f>IFERROR(IF([1]K_Summary!$N$1385 = "", "", [1]K_Summary!$N$1385 ),"")</f>
        <v/>
      </c>
    </row>
    <row r="1401" spans="1:14" ht="15">
      <c r="C1401" s="559"/>
      <c r="D1401" s="706"/>
      <c r="E1401" s="698" t="s">
        <v>1670</v>
      </c>
      <c r="F1401" s="698"/>
      <c r="G1401" s="698"/>
      <c r="H1401" s="730" t="s">
        <v>2090</v>
      </c>
      <c r="I1401" s="731"/>
      <c r="J1401" s="148" t="str">
        <f>IFERROR(IF([1]K_Summary!$J$1386 = "", "", [1]K_Summary!$J$1386 ),"")</f>
        <v/>
      </c>
      <c r="K1401" s="150" t="str">
        <f>IFERROR(IF([1]K_Summary!$K$1386 = "", "", [1]K_Summary!$K$1386 ),"")</f>
        <v/>
      </c>
      <c r="L1401" s="150" t="str">
        <f>IFERROR(IF([1]K_Summary!$L$1386 = "", "", [1]K_Summary!$L$1386 ),"")</f>
        <v/>
      </c>
      <c r="M1401" s="150" t="str">
        <f>IFERROR(IF([1]K_Summary!$M$1386 = "", "", [1]K_Summary!$M$1386 ),"")</f>
        <v/>
      </c>
      <c r="N1401" s="171" t="str">
        <f>IFERROR(IF([1]K_Summary!$N$1386 = "", "", [1]K_Summary!$N$1386 ),"")</f>
        <v/>
      </c>
    </row>
    <row r="1402" spans="1:14" ht="15">
      <c r="C1402" s="559"/>
      <c r="D1402" s="706"/>
      <c r="E1402" s="740" t="s">
        <v>2134</v>
      </c>
      <c r="F1402" s="698"/>
      <c r="G1402" s="698"/>
      <c r="H1402" s="741" t="s">
        <v>1021</v>
      </c>
      <c r="I1402" s="742"/>
      <c r="J1402" s="183" t="str">
        <f>IFERROR(IF([1]K_Summary!$J$1387 = "", "", [1]K_Summary!$J$1387 ),"")</f>
        <v/>
      </c>
      <c r="K1402" s="184" t="str">
        <f>IFERROR(IF([1]K_Summary!$K$1387 = "", "", [1]K_Summary!$K$1387 ),"")</f>
        <v/>
      </c>
      <c r="L1402" s="184" t="str">
        <f>IFERROR(IF([1]K_Summary!$L$1387 = "", "", [1]K_Summary!$L$1387 ),"")</f>
        <v/>
      </c>
      <c r="M1402" s="184" t="str">
        <f>IFERROR(IF([1]K_Summary!$M$1387 = "", "", [1]K_Summary!$M$1387 ),"")</f>
        <v/>
      </c>
      <c r="N1402" s="185" t="str">
        <f>IFERROR(IF([1]K_Summary!$N$1387 = "", "", [1]K_Summary!$N$1387 ),"")</f>
        <v/>
      </c>
    </row>
    <row r="1403" spans="1:14" ht="15">
      <c r="C1403" s="559"/>
      <c r="D1403" s="706"/>
      <c r="E1403" s="485"/>
      <c r="F1403" s="485"/>
      <c r="G1403" s="485"/>
      <c r="H1403" s="485"/>
      <c r="I1403" s="743"/>
      <c r="J1403" s="485"/>
      <c r="K1403" s="485"/>
      <c r="L1403" s="485"/>
      <c r="M1403" s="485"/>
      <c r="N1403" s="744"/>
    </row>
    <row r="1404" spans="1:14" ht="15">
      <c r="C1404" s="559"/>
      <c r="D1404" s="706"/>
      <c r="E1404" s="707" t="s">
        <v>1757</v>
      </c>
      <c r="F1404" s="637"/>
      <c r="G1404" s="637"/>
      <c r="H1404" s="663" t="s">
        <v>884</v>
      </c>
      <c r="I1404" s="708"/>
      <c r="J1404" s="709">
        <v>2021</v>
      </c>
      <c r="K1404" s="671">
        <v>2022</v>
      </c>
      <c r="L1404" s="671">
        <v>2023</v>
      </c>
      <c r="M1404" s="671">
        <v>2024</v>
      </c>
      <c r="N1404" s="710">
        <v>2025</v>
      </c>
    </row>
    <row r="1405" spans="1:14" ht="15" hidden="1">
      <c r="A1405" s="719" t="s">
        <v>2289</v>
      </c>
      <c r="C1405" s="559"/>
      <c r="D1405" s="706"/>
      <c r="E1405" s="698" t="s">
        <v>1714</v>
      </c>
      <c r="F1405" s="698"/>
      <c r="G1405" s="698"/>
      <c r="H1405" s="63" t="str">
        <f>IFERROR(IF([1]K_Summary!$H$1390 = "", "", [1]K_Summary!$H$1390 ),"")</f>
        <v>tonnes</v>
      </c>
      <c r="I1405" s="698"/>
      <c r="J1405" s="157" t="str">
        <f>IFERROR(IF([1]K_Summary!$J$1390 = "", "", [1]K_Summary!$J$1390 ),"")</f>
        <v/>
      </c>
      <c r="K1405" s="147" t="str">
        <f>IFERROR(IF([1]K_Summary!$K$1390 = "", "", [1]K_Summary!$K$1390 ),"")</f>
        <v/>
      </c>
      <c r="L1405" s="147" t="str">
        <f>IFERROR(IF([1]K_Summary!$L$1390 = "", "", [1]K_Summary!$L$1390 ),"")</f>
        <v/>
      </c>
      <c r="M1405" s="147" t="str">
        <f>IFERROR(IF([1]K_Summary!$M$1390 = "", "", [1]K_Summary!$M$1390 ),"")</f>
        <v/>
      </c>
      <c r="N1405" s="158" t="str">
        <f>IFERROR(IF([1]K_Summary!$N$1390 = "", "", [1]K_Summary!$N$1390 ),"")</f>
        <v/>
      </c>
    </row>
    <row r="1406" spans="1:14" ht="15" hidden="1">
      <c r="A1406" s="719" t="s">
        <v>2289</v>
      </c>
      <c r="C1406" s="559"/>
      <c r="D1406" s="706"/>
      <c r="E1406" s="720" t="s">
        <v>303</v>
      </c>
      <c r="F1406" s="720"/>
      <c r="G1406" s="720"/>
      <c r="H1406" s="721" t="s">
        <v>2090</v>
      </c>
      <c r="I1406" s="722"/>
      <c r="J1406" s="159" t="str">
        <f>IFERROR(IF([1]K_Summary!$J$1391 = "", "", [1]K_Summary!$J$1391 ),"")</f>
        <v/>
      </c>
      <c r="K1406" s="160" t="str">
        <f>IFERROR(IF([1]K_Summary!$K$1391 = "", "", [1]K_Summary!$K$1391 ),"")</f>
        <v/>
      </c>
      <c r="L1406" s="160" t="str">
        <f>IFERROR(IF([1]K_Summary!$L$1391 = "", "", [1]K_Summary!$L$1391 ),"")</f>
        <v/>
      </c>
      <c r="M1406" s="160" t="str">
        <f>IFERROR(IF([1]K_Summary!$M$1391 = "", "", [1]K_Summary!$M$1391 ),"")</f>
        <v/>
      </c>
      <c r="N1406" s="161" t="str">
        <f>IFERROR(IF([1]K_Summary!$N$1391 = "", "", [1]K_Summary!$N$1391 ),"")</f>
        <v/>
      </c>
    </row>
    <row r="1407" spans="1:14" ht="15">
      <c r="C1407" s="559"/>
      <c r="D1407" s="706"/>
      <c r="E1407" s="720" t="s">
        <v>1691</v>
      </c>
      <c r="F1407" s="720"/>
      <c r="G1407" s="720"/>
      <c r="H1407" s="748" t="s">
        <v>471</v>
      </c>
      <c r="I1407" s="722"/>
      <c r="J1407" s="172" t="str">
        <f>IFERROR(IF([1]K_Summary!$J$1392 = "", "", [1]K_Summary!$J$1392 ),"")</f>
        <v/>
      </c>
      <c r="K1407" s="54" t="str">
        <f>IFERROR(IF([1]K_Summary!$K$1392 = "", "", [1]K_Summary!$K$1392 ),"")</f>
        <v/>
      </c>
      <c r="L1407" s="54" t="str">
        <f>IFERROR(IF([1]K_Summary!$L$1392 = "", "", [1]K_Summary!$L$1392 ),"")</f>
        <v/>
      </c>
      <c r="M1407" s="54" t="str">
        <f>IFERROR(IF([1]K_Summary!$M$1392 = "", "", [1]K_Summary!$M$1392 ),"")</f>
        <v/>
      </c>
      <c r="N1407" s="173" t="str">
        <f>IFERROR(IF([1]K_Summary!$N$1392 = "", "", [1]K_Summary!$N$1392 ),"")</f>
        <v/>
      </c>
    </row>
    <row r="1408" spans="1:14" ht="15">
      <c r="C1408" s="559"/>
      <c r="D1408" s="706"/>
      <c r="E1408" s="723" t="s">
        <v>1648</v>
      </c>
      <c r="F1408" s="723"/>
      <c r="G1408" s="723"/>
      <c r="H1408" s="734" t="s">
        <v>1021</v>
      </c>
      <c r="I1408" s="735"/>
      <c r="J1408" s="174" t="str">
        <f>IFERROR(IF([1]K_Summary!$J$1393 = "", "", [1]K_Summary!$J$1393 ),"")</f>
        <v/>
      </c>
      <c r="K1408" s="175" t="str">
        <f>IFERROR(IF([1]K_Summary!$K$1393 = "", "", [1]K_Summary!$K$1393 ),"")</f>
        <v/>
      </c>
      <c r="L1408" s="175" t="str">
        <f>IFERROR(IF([1]K_Summary!$L$1393 = "", "", [1]K_Summary!$L$1393 ),"")</f>
        <v/>
      </c>
      <c r="M1408" s="175" t="str">
        <f>IFERROR(IF([1]K_Summary!$M$1393 = "", "", [1]K_Summary!$M$1393 ),"")</f>
        <v/>
      </c>
      <c r="N1408" s="176" t="str">
        <f>IFERROR(IF([1]K_Summary!$N$1393 = "", "", [1]K_Summary!$N$1393 ),"")</f>
        <v/>
      </c>
    </row>
    <row r="1409" spans="1:14" ht="15">
      <c r="C1409" s="559"/>
      <c r="D1409" s="706"/>
      <c r="E1409" s="736" t="s">
        <v>1856</v>
      </c>
      <c r="F1409" s="736"/>
      <c r="G1409" s="736"/>
      <c r="H1409" s="737" t="s">
        <v>1021</v>
      </c>
      <c r="I1409" s="738"/>
      <c r="J1409" s="177" t="str">
        <f>IFERROR(IF([1]K_Summary!$J$1394 = "", "", [1]K_Summary!$J$1394 ),"")</f>
        <v/>
      </c>
      <c r="K1409" s="178" t="str">
        <f>IFERROR(IF([1]K_Summary!$K$1394 = "", "", [1]K_Summary!$K$1394 ),"")</f>
        <v/>
      </c>
      <c r="L1409" s="178" t="str">
        <f>IFERROR(IF([1]K_Summary!$L$1394 = "", "", [1]K_Summary!$L$1394 ),"")</f>
        <v/>
      </c>
      <c r="M1409" s="178" t="str">
        <f>IFERROR(IF([1]K_Summary!$M$1394 = "", "", [1]K_Summary!$M$1394 ),"")</f>
        <v/>
      </c>
      <c r="N1409" s="179" t="str">
        <f>IFERROR(IF([1]K_Summary!$N$1394 = "", "", [1]K_Summary!$N$1394 ),"")</f>
        <v/>
      </c>
    </row>
    <row r="1410" spans="1:14" ht="15">
      <c r="C1410" s="559"/>
      <c r="D1410" s="706"/>
      <c r="E1410" s="727" t="s">
        <v>1689</v>
      </c>
      <c r="F1410" s="727"/>
      <c r="G1410" s="727"/>
      <c r="H1410" s="728" t="s">
        <v>471</v>
      </c>
      <c r="I1410" s="729"/>
      <c r="J1410" s="180" t="str">
        <f>IFERROR(IF([1]K_Summary!$J$1395 = "", "", [1]K_Summary!$J$1395 ),"")</f>
        <v/>
      </c>
      <c r="K1410" s="181" t="str">
        <f>IFERROR(IF([1]K_Summary!$K$1395 = "", "", [1]K_Summary!$K$1395 ),"")</f>
        <v/>
      </c>
      <c r="L1410" s="181" t="str">
        <f>IFERROR(IF([1]K_Summary!$L$1395 = "", "", [1]K_Summary!$L$1395 ),"")</f>
        <v/>
      </c>
      <c r="M1410" s="181" t="str">
        <f>IFERROR(IF([1]K_Summary!$M$1395 = "", "", [1]K_Summary!$M$1395 ),"")</f>
        <v/>
      </c>
      <c r="N1410" s="182" t="str">
        <f>IFERROR(IF([1]K_Summary!$N$1395 = "", "", [1]K_Summary!$N$1395 ),"")</f>
        <v/>
      </c>
    </row>
    <row r="1411" spans="1:14" ht="15" hidden="1">
      <c r="A1411" s="719" t="s">
        <v>2289</v>
      </c>
      <c r="C1411" s="559"/>
      <c r="D1411" s="706"/>
      <c r="E1411" s="723" t="s">
        <v>1390</v>
      </c>
      <c r="F1411" s="723"/>
      <c r="G1411" s="723"/>
      <c r="H1411" s="724" t="s">
        <v>2090</v>
      </c>
      <c r="I1411" s="725"/>
      <c r="J1411" s="162" t="str">
        <f>IFERROR(IF([1]K_Summary!$J$1396 = "", "", [1]K_Summary!$J$1396 ),"")</f>
        <v/>
      </c>
      <c r="K1411" s="163" t="str">
        <f>IFERROR(IF([1]K_Summary!$K$1396 = "", "", [1]K_Summary!$K$1396 ),"")</f>
        <v/>
      </c>
      <c r="L1411" s="163" t="str">
        <f>IFERROR(IF([1]K_Summary!$L$1396 = "", "", [1]K_Summary!$L$1396 ),"")</f>
        <v/>
      </c>
      <c r="M1411" s="163" t="str">
        <f>IFERROR(IF([1]K_Summary!$M$1396 = "", "", [1]K_Summary!$M$1396 ),"")</f>
        <v/>
      </c>
      <c r="N1411" s="164" t="str">
        <f>IFERROR(IF([1]K_Summary!$N$1396 = "", "", [1]K_Summary!$N$1396 ),"")</f>
        <v/>
      </c>
    </row>
    <row r="1412" spans="1:14" ht="15" hidden="1">
      <c r="A1412" s="719" t="s">
        <v>2289</v>
      </c>
      <c r="C1412" s="559"/>
      <c r="D1412" s="706"/>
      <c r="E1412" s="723" t="s">
        <v>1389</v>
      </c>
      <c r="F1412" s="723"/>
      <c r="G1412" s="723"/>
      <c r="H1412" s="726" t="s">
        <v>1021</v>
      </c>
      <c r="I1412" s="725"/>
      <c r="J1412" s="165" t="str">
        <f>IFERROR(IF([1]K_Summary!$J$1397 = "", "", [1]K_Summary!$J$1397 ),"")</f>
        <v/>
      </c>
      <c r="K1412" s="166" t="str">
        <f>IFERROR(IF([1]K_Summary!$K$1397 = "", "", [1]K_Summary!$K$1397 ),"")</f>
        <v/>
      </c>
      <c r="L1412" s="166" t="str">
        <f>IFERROR(IF([1]K_Summary!$L$1397 = "", "", [1]K_Summary!$L$1397 ),"")</f>
        <v/>
      </c>
      <c r="M1412" s="166" t="str">
        <f>IFERROR(IF([1]K_Summary!$M$1397 = "", "", [1]K_Summary!$M$1397 ),"")</f>
        <v/>
      </c>
      <c r="N1412" s="167" t="str">
        <f>IFERROR(IF([1]K_Summary!$N$1397 = "", "", [1]K_Summary!$N$1397 ),"")</f>
        <v/>
      </c>
    </row>
    <row r="1413" spans="1:14" ht="15" hidden="1">
      <c r="A1413" s="719" t="s">
        <v>2289</v>
      </c>
      <c r="C1413" s="559"/>
      <c r="D1413" s="706"/>
      <c r="E1413" s="727" t="s">
        <v>1391</v>
      </c>
      <c r="F1413" s="727"/>
      <c r="G1413" s="727"/>
      <c r="H1413" s="728" t="s">
        <v>1021</v>
      </c>
      <c r="I1413" s="729"/>
      <c r="J1413" s="168" t="str">
        <f>IFERROR(IF([1]K_Summary!$J$1398 = "", "", [1]K_Summary!$J$1398 ),"")</f>
        <v/>
      </c>
      <c r="K1413" s="169" t="str">
        <f>IFERROR(IF([1]K_Summary!$K$1398 = "", "", [1]K_Summary!$K$1398 ),"")</f>
        <v/>
      </c>
      <c r="L1413" s="169" t="str">
        <f>IFERROR(IF([1]K_Summary!$L$1398 = "", "", [1]K_Summary!$L$1398 ),"")</f>
        <v/>
      </c>
      <c r="M1413" s="169" t="str">
        <f>IFERROR(IF([1]K_Summary!$M$1398 = "", "", [1]K_Summary!$M$1398 ),"")</f>
        <v/>
      </c>
      <c r="N1413" s="170" t="str">
        <f>IFERROR(IF([1]K_Summary!$N$1398 = "", "", [1]K_Summary!$N$1398 ),"")</f>
        <v/>
      </c>
    </row>
    <row r="1414" spans="1:14" ht="15">
      <c r="C1414" s="559"/>
      <c r="D1414" s="706"/>
      <c r="E1414" s="698" t="s">
        <v>1671</v>
      </c>
      <c r="F1414" s="698"/>
      <c r="G1414" s="698"/>
      <c r="H1414" s="730" t="s">
        <v>2090</v>
      </c>
      <c r="I1414" s="731"/>
      <c r="J1414" s="148" t="str">
        <f>IFERROR(IF([1]K_Summary!$J$1399 = "", "", [1]K_Summary!$J$1399 ),"")</f>
        <v/>
      </c>
      <c r="K1414" s="150" t="str">
        <f>IFERROR(IF([1]K_Summary!$K$1399 = "", "", [1]K_Summary!$K$1399 ),"")</f>
        <v/>
      </c>
      <c r="L1414" s="150" t="str">
        <f>IFERROR(IF([1]K_Summary!$L$1399 = "", "", [1]K_Summary!$L$1399 ),"")</f>
        <v/>
      </c>
      <c r="M1414" s="150" t="str">
        <f>IFERROR(IF([1]K_Summary!$M$1399 = "", "", [1]K_Summary!$M$1399 ),"")</f>
        <v/>
      </c>
      <c r="N1414" s="171" t="str">
        <f>IFERROR(IF([1]K_Summary!$N$1399 = "", "", [1]K_Summary!$N$1399 ),"")</f>
        <v/>
      </c>
    </row>
    <row r="1415" spans="1:14" ht="15">
      <c r="C1415" s="559"/>
      <c r="D1415" s="706"/>
      <c r="E1415" s="698" t="s">
        <v>1670</v>
      </c>
      <c r="F1415" s="698"/>
      <c r="G1415" s="698"/>
      <c r="H1415" s="730" t="s">
        <v>2090</v>
      </c>
      <c r="I1415" s="731"/>
      <c r="J1415" s="148" t="str">
        <f>IFERROR(IF([1]K_Summary!$J$1400 = "", "", [1]K_Summary!$J$1400 ),"")</f>
        <v/>
      </c>
      <c r="K1415" s="150" t="str">
        <f>IFERROR(IF([1]K_Summary!$K$1400 = "", "", [1]K_Summary!$K$1400 ),"")</f>
        <v/>
      </c>
      <c r="L1415" s="150" t="str">
        <f>IFERROR(IF([1]K_Summary!$L$1400 = "", "", [1]K_Summary!$L$1400 ),"")</f>
        <v/>
      </c>
      <c r="M1415" s="150" t="str">
        <f>IFERROR(IF([1]K_Summary!$M$1400 = "", "", [1]K_Summary!$M$1400 ),"")</f>
        <v/>
      </c>
      <c r="N1415" s="171" t="str">
        <f>IFERROR(IF([1]K_Summary!$N$1400 = "", "", [1]K_Summary!$N$1400 ),"")</f>
        <v/>
      </c>
    </row>
    <row r="1416" spans="1:14" ht="15">
      <c r="C1416" s="559"/>
      <c r="D1416" s="706"/>
      <c r="E1416" s="740" t="s">
        <v>2135</v>
      </c>
      <c r="F1416" s="698"/>
      <c r="G1416" s="698"/>
      <c r="H1416" s="741" t="s">
        <v>1021</v>
      </c>
      <c r="I1416" s="742"/>
      <c r="J1416" s="183" t="str">
        <f>IFERROR(IF([1]K_Summary!$J$1401 = "", "", [1]K_Summary!$J$1401 ),"")</f>
        <v/>
      </c>
      <c r="K1416" s="184" t="str">
        <f>IFERROR(IF([1]K_Summary!$K$1401 = "", "", [1]K_Summary!$K$1401 ),"")</f>
        <v/>
      </c>
      <c r="L1416" s="184" t="str">
        <f>IFERROR(IF([1]K_Summary!$L$1401 = "", "", [1]K_Summary!$L$1401 ),"")</f>
        <v/>
      </c>
      <c r="M1416" s="184" t="str">
        <f>IFERROR(IF([1]K_Summary!$M$1401 = "", "", [1]K_Summary!$M$1401 ),"")</f>
        <v/>
      </c>
      <c r="N1416" s="185" t="str">
        <f>IFERROR(IF([1]K_Summary!$N$1401 = "", "", [1]K_Summary!$N$1401 ),"")</f>
        <v/>
      </c>
    </row>
    <row r="1417" spans="1:14" ht="15.75" thickBot="1">
      <c r="C1417" s="559"/>
      <c r="D1417" s="755"/>
      <c r="E1417" s="756"/>
      <c r="F1417" s="756"/>
      <c r="G1417" s="756"/>
      <c r="H1417" s="756"/>
      <c r="I1417" s="757"/>
      <c r="J1417" s="756"/>
      <c r="K1417" s="756"/>
      <c r="L1417" s="756"/>
      <c r="M1417" s="756"/>
      <c r="N1417" s="758"/>
    </row>
    <row r="1418" spans="1:14" ht="15.75" thickBot="1">
      <c r="C1418" s="559"/>
      <c r="D1418" s="559"/>
      <c r="E1418" s="485"/>
      <c r="F1418" s="485"/>
      <c r="G1418" s="485"/>
      <c r="H1418" s="485"/>
      <c r="I1418" s="743"/>
      <c r="J1418" s="485"/>
      <c r="K1418" s="485"/>
      <c r="L1418" s="485"/>
      <c r="M1418" s="485"/>
      <c r="N1418" s="485"/>
    </row>
    <row r="1419" spans="1:14">
      <c r="C1419" s="485"/>
      <c r="D1419" s="759"/>
      <c r="E1419" s="760"/>
      <c r="F1419" s="760"/>
      <c r="G1419" s="760"/>
      <c r="H1419" s="760"/>
      <c r="I1419" s="761"/>
      <c r="J1419" s="760"/>
      <c r="K1419" s="760"/>
      <c r="L1419" s="760"/>
      <c r="M1419" s="760"/>
      <c r="N1419" s="762"/>
    </row>
    <row r="1420" spans="1:14">
      <c r="C1420" s="485"/>
      <c r="D1420" s="539"/>
      <c r="E1420" s="496" t="s">
        <v>1786</v>
      </c>
      <c r="F1420" s="485"/>
      <c r="G1420" s="485"/>
      <c r="H1420" s="663" t="s">
        <v>884</v>
      </c>
      <c r="I1420" s="763" t="s">
        <v>1675</v>
      </c>
      <c r="J1420" s="709">
        <v>2021</v>
      </c>
      <c r="K1420" s="671">
        <v>2022</v>
      </c>
      <c r="L1420" s="671">
        <v>2023</v>
      </c>
      <c r="M1420" s="671">
        <v>2024</v>
      </c>
      <c r="N1420" s="710">
        <v>2025</v>
      </c>
    </row>
    <row r="1421" spans="1:14">
      <c r="C1421" s="485"/>
      <c r="D1421" s="539"/>
      <c r="E1421" s="720" t="s">
        <v>1714</v>
      </c>
      <c r="F1421" s="720"/>
      <c r="G1421" s="720"/>
      <c r="H1421" s="67" t="str">
        <f>IFERROR(IF([1]K_Summary!$H$1406 = "", "", [1]K_Summary!$H$1406 ),"")</f>
        <v>tonnes</v>
      </c>
      <c r="I1421" s="207" t="str">
        <f>IFERROR(IF([1]K_Summary!$I$1406 = "", "", [1]K_Summary!$I$1406 ),"")</f>
        <v/>
      </c>
      <c r="J1421" s="172" t="str">
        <f>IFERROR(IF([1]K_Summary!$J$1406 = "", "", [1]K_Summary!$J$1406 ),"")</f>
        <v/>
      </c>
      <c r="K1421" s="54" t="str">
        <f>IFERROR(IF([1]K_Summary!$K$1406 = "", "", [1]K_Summary!$K$1406 ),"")</f>
        <v/>
      </c>
      <c r="L1421" s="54" t="str">
        <f>IFERROR(IF([1]K_Summary!$L$1406 = "", "", [1]K_Summary!$L$1406 ),"")</f>
        <v/>
      </c>
      <c r="M1421" s="54" t="str">
        <f>IFERROR(IF([1]K_Summary!$M$1406 = "", "", [1]K_Summary!$M$1406 ),"")</f>
        <v/>
      </c>
      <c r="N1421" s="173" t="str">
        <f>IFERROR(IF([1]K_Summary!$N$1406 = "", "", [1]K_Summary!$N$1406 ),"")</f>
        <v/>
      </c>
    </row>
    <row r="1422" spans="1:14">
      <c r="C1422" s="485"/>
      <c r="D1422" s="539"/>
      <c r="E1422" s="645" t="s">
        <v>303</v>
      </c>
      <c r="F1422" s="645"/>
      <c r="G1422" s="645"/>
      <c r="H1422" s="765" t="s">
        <v>2090</v>
      </c>
      <c r="I1422" s="208" t="str">
        <f>IFERROR(IF([1]K_Summary!$I$1407 = "", "", [1]K_Summary!$I$1407 ),"")</f>
        <v/>
      </c>
      <c r="J1422" s="209" t="str">
        <f>IFERROR(IF([1]K_Summary!$J$1407 = "", "", [1]K_Summary!$J$1407 ),"")</f>
        <v/>
      </c>
      <c r="K1422" s="210" t="str">
        <f>IFERROR(IF([1]K_Summary!$K$1407 = "", "", [1]K_Summary!$K$1407 ),"")</f>
        <v/>
      </c>
      <c r="L1422" s="210" t="str">
        <f>IFERROR(IF([1]K_Summary!$L$1407 = "", "", [1]K_Summary!$L$1407 ),"")</f>
        <v/>
      </c>
      <c r="M1422" s="210" t="str">
        <f>IFERROR(IF([1]K_Summary!$M$1407 = "", "", [1]K_Summary!$M$1407 ),"")</f>
        <v/>
      </c>
      <c r="N1422" s="211" t="str">
        <f>IFERROR(IF([1]K_Summary!$N$1407 = "", "", [1]K_Summary!$N$1407 ),"")</f>
        <v/>
      </c>
    </row>
    <row r="1423" spans="1:14">
      <c r="C1423" s="485"/>
      <c r="D1423" s="539"/>
      <c r="E1423" s="723" t="s">
        <v>1422</v>
      </c>
      <c r="F1423" s="723"/>
      <c r="G1423" s="723"/>
      <c r="H1423" s="724" t="s">
        <v>2090</v>
      </c>
      <c r="I1423" s="212" t="str">
        <f>IFERROR(IF([1]K_Summary!$I$1408 = "", "", [1]K_Summary!$I$1408 ),"")</f>
        <v/>
      </c>
      <c r="J1423" s="213" t="str">
        <f>IFERROR(IF([1]K_Summary!$J$1408 = "", "", [1]K_Summary!$J$1408 ),"")</f>
        <v/>
      </c>
      <c r="K1423" s="214" t="str">
        <f>IFERROR(IF([1]K_Summary!$K$1408 = "", "", [1]K_Summary!$K$1408 ),"")</f>
        <v/>
      </c>
      <c r="L1423" s="214" t="str">
        <f>IFERROR(IF([1]K_Summary!$L$1408 = "", "", [1]K_Summary!$L$1408 ),"")</f>
        <v/>
      </c>
      <c r="M1423" s="214" t="str">
        <f>IFERROR(IF([1]K_Summary!$M$1408 = "", "", [1]K_Summary!$M$1408 ),"")</f>
        <v/>
      </c>
      <c r="N1423" s="215" t="str">
        <f>IFERROR(IF([1]K_Summary!$N$1408 = "", "", [1]K_Summary!$N$1408 ),"")</f>
        <v/>
      </c>
    </row>
    <row r="1424" spans="1:14">
      <c r="C1424" s="485"/>
      <c r="D1424" s="539"/>
      <c r="E1424" s="723" t="s">
        <v>1390</v>
      </c>
      <c r="F1424" s="723"/>
      <c r="G1424" s="723"/>
      <c r="H1424" s="724" t="s">
        <v>2090</v>
      </c>
      <c r="I1424" s="212" t="str">
        <f>IFERROR(IF([1]K_Summary!$I$1409 = "", "", [1]K_Summary!$I$1409 ),"")</f>
        <v/>
      </c>
      <c r="J1424" s="213" t="str">
        <f>IFERROR(IF([1]K_Summary!$J$1409 = "", "", [1]K_Summary!$J$1409 ),"")</f>
        <v/>
      </c>
      <c r="K1424" s="214" t="str">
        <f>IFERROR(IF([1]K_Summary!$K$1409 = "", "", [1]K_Summary!$K$1409 ),"")</f>
        <v/>
      </c>
      <c r="L1424" s="214" t="str">
        <f>IFERROR(IF([1]K_Summary!$L$1409 = "", "", [1]K_Summary!$L$1409 ),"")</f>
        <v/>
      </c>
      <c r="M1424" s="214" t="str">
        <f>IFERROR(IF([1]K_Summary!$M$1409 = "", "", [1]K_Summary!$M$1409 ),"")</f>
        <v/>
      </c>
      <c r="N1424" s="215" t="str">
        <f>IFERROR(IF([1]K_Summary!$N$1409 = "", "", [1]K_Summary!$N$1409 ),"")</f>
        <v/>
      </c>
    </row>
    <row r="1425" spans="3:14">
      <c r="C1425" s="485"/>
      <c r="D1425" s="539"/>
      <c r="E1425" s="723" t="s">
        <v>1389</v>
      </c>
      <c r="F1425" s="723"/>
      <c r="G1425" s="723"/>
      <c r="H1425" s="726" t="s">
        <v>1021</v>
      </c>
      <c r="I1425" s="216" t="str">
        <f>IFERROR(IF([1]K_Summary!$I$1410 = "", "", [1]K_Summary!$I$1410 ),"")</f>
        <v/>
      </c>
      <c r="J1425" s="217" t="str">
        <f>IFERROR(IF([1]K_Summary!$J$1410 = "", "", [1]K_Summary!$J$1410 ),"")</f>
        <v/>
      </c>
      <c r="K1425" s="218" t="str">
        <f>IFERROR(IF([1]K_Summary!$K$1410 = "", "", [1]K_Summary!$K$1410 ),"")</f>
        <v/>
      </c>
      <c r="L1425" s="218" t="str">
        <f>IFERROR(IF([1]K_Summary!$L$1410 = "", "", [1]K_Summary!$L$1410 ),"")</f>
        <v/>
      </c>
      <c r="M1425" s="218" t="str">
        <f>IFERROR(IF([1]K_Summary!$M$1410 = "", "", [1]K_Summary!$M$1410 ),"")</f>
        <v/>
      </c>
      <c r="N1425" s="219" t="str">
        <f>IFERROR(IF([1]K_Summary!$N$1410 = "", "", [1]K_Summary!$N$1410 ),"")</f>
        <v/>
      </c>
    </row>
    <row r="1426" spans="3:14">
      <c r="C1426" s="485"/>
      <c r="D1426" s="539"/>
      <c r="E1426" s="727" t="s">
        <v>1391</v>
      </c>
      <c r="F1426" s="727"/>
      <c r="G1426" s="727"/>
      <c r="H1426" s="728" t="s">
        <v>1021</v>
      </c>
      <c r="I1426" s="220" t="str">
        <f>IFERROR(IF([1]K_Summary!$I$1411 = "", "", [1]K_Summary!$I$1411 ),"")</f>
        <v/>
      </c>
      <c r="J1426" s="221" t="str">
        <f>IFERROR(IF([1]K_Summary!$J$1411 = "", "", [1]K_Summary!$J$1411 ),"")</f>
        <v/>
      </c>
      <c r="K1426" s="222" t="str">
        <f>IFERROR(IF([1]K_Summary!$K$1411 = "", "", [1]K_Summary!$K$1411 ),"")</f>
        <v/>
      </c>
      <c r="L1426" s="222" t="str">
        <f>IFERROR(IF([1]K_Summary!$L$1411 = "", "", [1]K_Summary!$L$1411 ),"")</f>
        <v/>
      </c>
      <c r="M1426" s="222" t="str">
        <f>IFERROR(IF([1]K_Summary!$M$1411 = "", "", [1]K_Summary!$M$1411 ),"")</f>
        <v/>
      </c>
      <c r="N1426" s="223" t="str">
        <f>IFERROR(IF([1]K_Summary!$N$1411 = "", "", [1]K_Summary!$N$1411 ),"")</f>
        <v/>
      </c>
    </row>
    <row r="1427" spans="3:14">
      <c r="C1427" s="485"/>
      <c r="D1427" s="539"/>
      <c r="E1427" s="698" t="s">
        <v>222</v>
      </c>
      <c r="F1427" s="698"/>
      <c r="G1427" s="698"/>
      <c r="H1427" s="730" t="s">
        <v>2090</v>
      </c>
      <c r="I1427" s="224" t="str">
        <f>IFERROR(IF([1]K_Summary!$I$1412 = "", "", [1]K_Summary!$I$1412 ),"")</f>
        <v/>
      </c>
      <c r="J1427" s="148" t="str">
        <f>IFERROR(IF([1]K_Summary!$J$1412 = "", "", [1]K_Summary!$J$1412 ),"")</f>
        <v/>
      </c>
      <c r="K1427" s="150" t="str">
        <f>IFERROR(IF([1]K_Summary!$K$1412 = "", "", [1]K_Summary!$K$1412 ),"")</f>
        <v/>
      </c>
      <c r="L1427" s="150" t="str">
        <f>IFERROR(IF([1]K_Summary!$L$1412 = "", "", [1]K_Summary!$L$1412 ),"")</f>
        <v/>
      </c>
      <c r="M1427" s="150" t="str">
        <f>IFERROR(IF([1]K_Summary!$M$1412 = "", "", [1]K_Summary!$M$1412 ),"")</f>
        <v/>
      </c>
      <c r="N1427" s="171" t="str">
        <f>IFERROR(IF([1]K_Summary!$N$1412 = "", "", [1]K_Summary!$N$1412 ),"")</f>
        <v/>
      </c>
    </row>
    <row r="1428" spans="3:14" ht="13.5" thickBot="1">
      <c r="C1428" s="485"/>
      <c r="D1428" s="771"/>
      <c r="E1428" s="756"/>
      <c r="F1428" s="756"/>
      <c r="G1428" s="756"/>
      <c r="H1428" s="756"/>
      <c r="I1428" s="756"/>
      <c r="J1428" s="756"/>
      <c r="K1428" s="756"/>
      <c r="L1428" s="756"/>
      <c r="M1428" s="756"/>
      <c r="N1428" s="758"/>
    </row>
    <row r="1429" spans="3:14" ht="13.5" thickBot="1">
      <c r="C1429" s="485"/>
      <c r="D1429" s="562"/>
      <c r="E1429" s="561"/>
      <c r="F1429" s="485"/>
      <c r="G1429" s="485"/>
      <c r="H1429" s="485"/>
      <c r="I1429" s="485"/>
      <c r="J1429" s="485"/>
      <c r="K1429" s="485"/>
      <c r="L1429" s="485"/>
      <c r="M1429" s="485"/>
      <c r="N1429" s="485"/>
    </row>
    <row r="1430" spans="3:14">
      <c r="C1430" s="485"/>
      <c r="D1430" s="772"/>
      <c r="E1430" s="773"/>
      <c r="F1430" s="773"/>
      <c r="G1430" s="774"/>
      <c r="H1430" s="774"/>
      <c r="I1430" s="774"/>
      <c r="J1430" s="774"/>
      <c r="K1430" s="774"/>
      <c r="L1430" s="774"/>
      <c r="M1430" s="774"/>
      <c r="N1430" s="775"/>
    </row>
    <row r="1431" spans="3:14" ht="13.5" thickBot="1">
      <c r="C1431" s="485"/>
      <c r="D1431" s="776"/>
      <c r="E1431" s="777"/>
      <c r="F1431" s="777"/>
      <c r="G1431" s="778" t="s">
        <v>884</v>
      </c>
      <c r="H1431" s="779">
        <v>2019</v>
      </c>
      <c r="I1431" s="780">
        <v>2020</v>
      </c>
      <c r="J1431" s="781">
        <v>2021</v>
      </c>
      <c r="K1431" s="782">
        <v>2022</v>
      </c>
      <c r="L1431" s="782">
        <v>2023</v>
      </c>
      <c r="M1431" s="782">
        <v>2024</v>
      </c>
      <c r="N1431" s="783">
        <v>2025</v>
      </c>
    </row>
    <row r="1432" spans="3:14" ht="13.5" thickBot="1">
      <c r="C1432" s="485"/>
      <c r="D1432" s="776"/>
      <c r="E1432" s="2470" t="s">
        <v>1504</v>
      </c>
      <c r="F1432" s="2470"/>
      <c r="G1432" s="808" t="s">
        <v>2016</v>
      </c>
      <c r="H1432" s="225" t="str">
        <f>IFERROR(IF([1]K_Summary!$H$1417 = "", "", [1]K_Summary!$H$1417 ),"")</f>
        <v/>
      </c>
      <c r="I1432" s="226" t="str">
        <f>IFERROR(IF([1]K_Summary!$I$1417 = "", "", [1]K_Summary!$I$1417 ),"")</f>
        <v/>
      </c>
      <c r="J1432" s="225" t="str">
        <f>IFERROR(IF([1]K_Summary!$J$1417 = "", "", [1]K_Summary!$J$1417 ),"")</f>
        <v/>
      </c>
      <c r="K1432" s="227" t="str">
        <f>IFERROR(IF([1]K_Summary!$K$1417 = "", "", [1]K_Summary!$K$1417 ),"")</f>
        <v/>
      </c>
      <c r="L1432" s="227" t="str">
        <f>IFERROR(IF([1]K_Summary!$L$1417 = "", "", [1]K_Summary!$L$1417 ),"")</f>
        <v/>
      </c>
      <c r="M1432" s="227" t="str">
        <f>IFERROR(IF([1]K_Summary!$M$1417 = "", "", [1]K_Summary!$M$1417 ),"")</f>
        <v/>
      </c>
      <c r="N1432" s="228" t="str">
        <f>IFERROR(IF([1]K_Summary!$N$1417 = "", "", [1]K_Summary!$N$1417 ),"")</f>
        <v/>
      </c>
    </row>
    <row r="1433" spans="3:14">
      <c r="C1433" s="485"/>
      <c r="D1433" s="776"/>
      <c r="E1433" s="809"/>
      <c r="F1433" s="809"/>
      <c r="G1433" s="777"/>
      <c r="H1433" s="777"/>
      <c r="I1433" s="777"/>
      <c r="J1433" s="777"/>
      <c r="K1433" s="777"/>
      <c r="L1433" s="777"/>
      <c r="M1433" s="777"/>
      <c r="N1433" s="810"/>
    </row>
    <row r="1434" spans="3:14">
      <c r="C1434" s="485"/>
      <c r="D1434" s="776"/>
      <c r="E1434" s="2471" t="s">
        <v>1344</v>
      </c>
      <c r="F1434" s="2472"/>
      <c r="G1434" s="811" t="s">
        <v>2017</v>
      </c>
      <c r="H1434" s="127" t="str">
        <f>IFERROR(IF([1]K_Summary!$H$1419 = "", "", [1]K_Summary!$H$1419 ),"")</f>
        <v/>
      </c>
      <c r="I1434" s="229" t="str">
        <f>IFERROR(IF([1]K_Summary!$I$1419 = "", "", [1]K_Summary!$I$1419 ),"")</f>
        <v/>
      </c>
      <c r="J1434" s="230" t="str">
        <f>IFERROR(IF([1]K_Summary!$J$1419 = "", "", [1]K_Summary!$J$1419 ),"")</f>
        <v/>
      </c>
      <c r="K1434" s="127" t="str">
        <f>IFERROR(IF([1]K_Summary!$K$1419 = "", "", [1]K_Summary!$K$1419 ),"")</f>
        <v/>
      </c>
      <c r="L1434" s="127" t="str">
        <f>IFERROR(IF([1]K_Summary!$L$1419 = "", "", [1]K_Summary!$L$1419 ),"")</f>
        <v/>
      </c>
      <c r="M1434" s="127" t="str">
        <f>IFERROR(IF([1]K_Summary!$M$1419 = "", "", [1]K_Summary!$M$1419 ),"")</f>
        <v/>
      </c>
      <c r="N1434" s="231" t="str">
        <f>IFERROR(IF([1]K_Summary!$N$1419 = "", "", [1]K_Summary!$N$1419 ),"")</f>
        <v/>
      </c>
    </row>
    <row r="1435" spans="3:14">
      <c r="C1435" s="485"/>
      <c r="D1435" s="776"/>
      <c r="E1435" s="2473" t="s">
        <v>1182</v>
      </c>
      <c r="F1435" s="2474"/>
      <c r="G1435" s="812" t="s">
        <v>2018</v>
      </c>
      <c r="H1435" s="128" t="str">
        <f>IFERROR(IF([1]K_Summary!$H$1420 = "", "", [1]K_Summary!$H$1420 ),"")</f>
        <v/>
      </c>
      <c r="I1435" s="232" t="str">
        <f>IFERROR(IF([1]K_Summary!$I$1420 = "", "", [1]K_Summary!$I$1420 ),"")</f>
        <v/>
      </c>
      <c r="J1435" s="233" t="str">
        <f>IFERROR(IF([1]K_Summary!$J$1420 = "", "", [1]K_Summary!$J$1420 ),"")</f>
        <v/>
      </c>
      <c r="K1435" s="128" t="str">
        <f>IFERROR(IF([1]K_Summary!$K$1420 = "", "", [1]K_Summary!$K$1420 ),"")</f>
        <v/>
      </c>
      <c r="L1435" s="128" t="str">
        <f>IFERROR(IF([1]K_Summary!$L$1420 = "", "", [1]K_Summary!$L$1420 ),"")</f>
        <v/>
      </c>
      <c r="M1435" s="128" t="str">
        <f>IFERROR(IF([1]K_Summary!$M$1420 = "", "", [1]K_Summary!$M$1420 ),"")</f>
        <v/>
      </c>
      <c r="N1435" s="234" t="str">
        <f>IFERROR(IF([1]K_Summary!$N$1420 = "", "", [1]K_Summary!$N$1420 ),"")</f>
        <v/>
      </c>
    </row>
    <row r="1436" spans="3:14">
      <c r="C1436" s="485"/>
      <c r="D1436" s="776"/>
      <c r="E1436" s="809"/>
      <c r="F1436" s="809"/>
      <c r="G1436" s="813"/>
      <c r="H1436" s="813"/>
      <c r="I1436" s="813"/>
      <c r="J1436" s="813"/>
      <c r="K1436" s="813"/>
      <c r="L1436" s="813"/>
      <c r="M1436" s="813"/>
      <c r="N1436" s="814"/>
    </row>
    <row r="1437" spans="3:14">
      <c r="C1437" s="485"/>
      <c r="D1437" s="776"/>
      <c r="E1437" s="2475" t="s">
        <v>63</v>
      </c>
      <c r="F1437" s="2410"/>
      <c r="G1437" s="815" t="s">
        <v>2015</v>
      </c>
      <c r="H1437" s="126" t="str">
        <f>IFERROR(IF([1]K_Summary!$H$1422 = "", "", [1]K_Summary!$H$1422 ),"")</f>
        <v/>
      </c>
      <c r="I1437" s="235" t="str">
        <f>IFERROR(IF([1]K_Summary!$I$1422 = "", "", [1]K_Summary!$I$1422 ),"")</f>
        <v/>
      </c>
      <c r="J1437" s="236" t="str">
        <f>IFERROR(IF([1]K_Summary!$J$1422 = "", "", [1]K_Summary!$J$1422 ),"")</f>
        <v/>
      </c>
      <c r="K1437" s="126" t="str">
        <f>IFERROR(IF([1]K_Summary!$K$1422 = "", "", [1]K_Summary!$K$1422 ),"")</f>
        <v/>
      </c>
      <c r="L1437" s="126" t="str">
        <f>IFERROR(IF([1]K_Summary!$L$1422 = "", "", [1]K_Summary!$L$1422 ),"")</f>
        <v/>
      </c>
      <c r="M1437" s="126" t="str">
        <f>IFERROR(IF([1]K_Summary!$M$1422 = "", "", [1]K_Summary!$M$1422 ),"")</f>
        <v/>
      </c>
      <c r="N1437" s="237" t="str">
        <f>IFERROR(IF([1]K_Summary!$N$1422 = "", "", [1]K_Summary!$N$1422 ),"")</f>
        <v/>
      </c>
    </row>
    <row r="1438" spans="3:14">
      <c r="C1438" s="485"/>
      <c r="D1438" s="776"/>
      <c r="E1438" s="2475" t="s">
        <v>1154</v>
      </c>
      <c r="F1438" s="2410"/>
      <c r="G1438" s="815" t="s">
        <v>2015</v>
      </c>
      <c r="H1438" s="126" t="str">
        <f>IFERROR(IF([1]K_Summary!$H$1423 = "", "", [1]K_Summary!$H$1423 ),"")</f>
        <v/>
      </c>
      <c r="I1438" s="235" t="str">
        <f>IFERROR(IF([1]K_Summary!$I$1423 = "", "", [1]K_Summary!$I$1423 ),"")</f>
        <v/>
      </c>
      <c r="J1438" s="236" t="str">
        <f>IFERROR(IF([1]K_Summary!$J$1423 = "", "", [1]K_Summary!$J$1423 ),"")</f>
        <v/>
      </c>
      <c r="K1438" s="126" t="str">
        <f>IFERROR(IF([1]K_Summary!$K$1423 = "", "", [1]K_Summary!$K$1423 ),"")</f>
        <v/>
      </c>
      <c r="L1438" s="126" t="str">
        <f>IFERROR(IF([1]K_Summary!$L$1423 = "", "", [1]K_Summary!$L$1423 ),"")</f>
        <v/>
      </c>
      <c r="M1438" s="126" t="str">
        <f>IFERROR(IF([1]K_Summary!$M$1423 = "", "", [1]K_Summary!$M$1423 ),"")</f>
        <v/>
      </c>
      <c r="N1438" s="237" t="str">
        <f>IFERROR(IF([1]K_Summary!$N$1423 = "", "", [1]K_Summary!$N$1423 ),"")</f>
        <v/>
      </c>
    </row>
    <row r="1439" spans="3:14">
      <c r="C1439" s="485"/>
      <c r="D1439" s="776"/>
      <c r="E1439" s="2475" t="s">
        <v>1155</v>
      </c>
      <c r="F1439" s="2410"/>
      <c r="G1439" s="815" t="s">
        <v>2015</v>
      </c>
      <c r="H1439" s="126" t="str">
        <f>IFERROR(IF([1]K_Summary!$H$1424 = "", "", [1]K_Summary!$H$1424 ),"")</f>
        <v/>
      </c>
      <c r="I1439" s="235" t="str">
        <f>IFERROR(IF([1]K_Summary!$I$1424 = "", "", [1]K_Summary!$I$1424 ),"")</f>
        <v/>
      </c>
      <c r="J1439" s="236" t="str">
        <f>IFERROR(IF([1]K_Summary!$J$1424 = "", "", [1]K_Summary!$J$1424 ),"")</f>
        <v/>
      </c>
      <c r="K1439" s="126" t="str">
        <f>IFERROR(IF([1]K_Summary!$K$1424 = "", "", [1]K_Summary!$K$1424 ),"")</f>
        <v/>
      </c>
      <c r="L1439" s="126" t="str">
        <f>IFERROR(IF([1]K_Summary!$L$1424 = "", "", [1]K_Summary!$L$1424 ),"")</f>
        <v/>
      </c>
      <c r="M1439" s="126" t="str">
        <f>IFERROR(IF([1]K_Summary!$M$1424 = "", "", [1]K_Summary!$M$1424 ),"")</f>
        <v/>
      </c>
      <c r="N1439" s="237" t="str">
        <f>IFERROR(IF([1]K_Summary!$N$1424 = "", "", [1]K_Summary!$N$1424 ),"")</f>
        <v/>
      </c>
    </row>
    <row r="1440" spans="3:14">
      <c r="C1440" s="485"/>
      <c r="D1440" s="776"/>
      <c r="E1440" s="2475" t="s">
        <v>1156</v>
      </c>
      <c r="F1440" s="2410"/>
      <c r="G1440" s="815" t="s">
        <v>2016</v>
      </c>
      <c r="H1440" s="126" t="str">
        <f>IFERROR(IF([1]K_Summary!$H$1425 = "", "", [1]K_Summary!$H$1425 ),"")</f>
        <v/>
      </c>
      <c r="I1440" s="235" t="str">
        <f>IFERROR(IF([1]K_Summary!$I$1425 = "", "", [1]K_Summary!$I$1425 ),"")</f>
        <v/>
      </c>
      <c r="J1440" s="236" t="str">
        <f>IFERROR(IF([1]K_Summary!$J$1425 = "", "", [1]K_Summary!$J$1425 ),"")</f>
        <v/>
      </c>
      <c r="K1440" s="126" t="str">
        <f>IFERROR(IF([1]K_Summary!$K$1425 = "", "", [1]K_Summary!$K$1425 ),"")</f>
        <v/>
      </c>
      <c r="L1440" s="126" t="str">
        <f>IFERROR(IF([1]K_Summary!$L$1425 = "", "", [1]K_Summary!$L$1425 ),"")</f>
        <v/>
      </c>
      <c r="M1440" s="126" t="str">
        <f>IFERROR(IF([1]K_Summary!$M$1425 = "", "", [1]K_Summary!$M$1425 ),"")</f>
        <v/>
      </c>
      <c r="N1440" s="237" t="str">
        <f>IFERROR(IF([1]K_Summary!$N$1425 = "", "", [1]K_Summary!$N$1425 ),"")</f>
        <v/>
      </c>
    </row>
    <row r="1441" spans="3:14">
      <c r="C1441" s="485"/>
      <c r="D1441" s="776"/>
      <c r="E1441" s="809"/>
      <c r="F1441" s="809"/>
      <c r="G1441" s="813"/>
      <c r="H1441" s="813"/>
      <c r="I1441" s="813"/>
      <c r="J1441" s="813"/>
      <c r="K1441" s="813"/>
      <c r="L1441" s="813"/>
      <c r="M1441" s="813"/>
      <c r="N1441" s="814"/>
    </row>
    <row r="1442" spans="3:14">
      <c r="C1442" s="485"/>
      <c r="D1442" s="776"/>
      <c r="E1442" s="2471" t="s">
        <v>1087</v>
      </c>
      <c r="F1442" s="2472"/>
      <c r="G1442" s="811" t="s">
        <v>2017</v>
      </c>
      <c r="H1442" s="127" t="str">
        <f>IFERROR(IF([1]K_Summary!$H$1427 = "", "", [1]K_Summary!$H$1427 ),"")</f>
        <v/>
      </c>
      <c r="I1442" s="229" t="str">
        <f>IFERROR(IF([1]K_Summary!$I$1427 = "", "", [1]K_Summary!$I$1427 ),"")</f>
        <v/>
      </c>
      <c r="J1442" s="230" t="str">
        <f>IFERROR(IF([1]K_Summary!$J$1427 = "", "", [1]K_Summary!$J$1427 ),"")</f>
        <v/>
      </c>
      <c r="K1442" s="127" t="str">
        <f>IFERROR(IF([1]K_Summary!$K$1427 = "", "", [1]K_Summary!$K$1427 ),"")</f>
        <v/>
      </c>
      <c r="L1442" s="127" t="str">
        <f>IFERROR(IF([1]K_Summary!$L$1427 = "", "", [1]K_Summary!$L$1427 ),"")</f>
        <v/>
      </c>
      <c r="M1442" s="127" t="str">
        <f>IFERROR(IF([1]K_Summary!$M$1427 = "", "", [1]K_Summary!$M$1427 ),"")</f>
        <v/>
      </c>
      <c r="N1442" s="231" t="str">
        <f>IFERROR(IF([1]K_Summary!$N$1427 = "", "", [1]K_Summary!$N$1427 ),"")</f>
        <v/>
      </c>
    </row>
    <row r="1443" spans="3:14">
      <c r="C1443" s="485"/>
      <c r="D1443" s="776"/>
      <c r="E1443" s="2473" t="s">
        <v>1103</v>
      </c>
      <c r="F1443" s="2474"/>
      <c r="G1443" s="812" t="s">
        <v>2018</v>
      </c>
      <c r="H1443" s="128" t="str">
        <f>IFERROR(IF([1]K_Summary!$H$1428 = "", "", [1]K_Summary!$H$1428 ),"")</f>
        <v/>
      </c>
      <c r="I1443" s="232" t="str">
        <f>IFERROR(IF([1]K_Summary!$I$1428 = "", "", [1]K_Summary!$I$1428 ),"")</f>
        <v/>
      </c>
      <c r="J1443" s="233" t="str">
        <f>IFERROR(IF([1]K_Summary!$J$1428 = "", "", [1]K_Summary!$J$1428 ),"")</f>
        <v/>
      </c>
      <c r="K1443" s="128" t="str">
        <f>IFERROR(IF([1]K_Summary!$K$1428 = "", "", [1]K_Summary!$K$1428 ),"")</f>
        <v/>
      </c>
      <c r="L1443" s="128" t="str">
        <f>IFERROR(IF([1]K_Summary!$L$1428 = "", "", [1]K_Summary!$L$1428 ),"")</f>
        <v/>
      </c>
      <c r="M1443" s="128" t="str">
        <f>IFERROR(IF([1]K_Summary!$M$1428 = "", "", [1]K_Summary!$M$1428 ),"")</f>
        <v/>
      </c>
      <c r="N1443" s="234" t="str">
        <f>IFERROR(IF([1]K_Summary!$N$1428 = "", "", [1]K_Summary!$N$1428 ),"")</f>
        <v/>
      </c>
    </row>
    <row r="1444" spans="3:14">
      <c r="C1444" s="485"/>
      <c r="D1444" s="776"/>
      <c r="E1444" s="809"/>
      <c r="F1444" s="809"/>
      <c r="G1444" s="813"/>
      <c r="H1444" s="813"/>
      <c r="I1444" s="813"/>
      <c r="J1444" s="813"/>
      <c r="K1444" s="813"/>
      <c r="L1444" s="813"/>
      <c r="M1444" s="813"/>
      <c r="N1444" s="814"/>
    </row>
    <row r="1445" spans="3:14">
      <c r="C1445" s="485"/>
      <c r="D1445" s="776"/>
      <c r="E1445" s="2475" t="s">
        <v>1150</v>
      </c>
      <c r="F1445" s="2410"/>
      <c r="G1445" s="815" t="s">
        <v>2017</v>
      </c>
      <c r="H1445" s="126" t="str">
        <f>IFERROR(IF([1]K_Summary!$H$1430 = "", "", [1]K_Summary!$H$1430 ),"")</f>
        <v/>
      </c>
      <c r="I1445" s="235" t="str">
        <f>IFERROR(IF([1]K_Summary!$I$1430 = "", "", [1]K_Summary!$I$1430 ),"")</f>
        <v/>
      </c>
      <c r="J1445" s="236" t="str">
        <f>IFERROR(IF([1]K_Summary!$J$1430 = "", "", [1]K_Summary!$J$1430 ),"")</f>
        <v/>
      </c>
      <c r="K1445" s="126" t="str">
        <f>IFERROR(IF([1]K_Summary!$K$1430 = "", "", [1]K_Summary!$K$1430 ),"")</f>
        <v/>
      </c>
      <c r="L1445" s="126" t="str">
        <f>IFERROR(IF([1]K_Summary!$L$1430 = "", "", [1]K_Summary!$L$1430 ),"")</f>
        <v/>
      </c>
      <c r="M1445" s="126" t="str">
        <f>IFERROR(IF([1]K_Summary!$M$1430 = "", "", [1]K_Summary!$M$1430 ),"")</f>
        <v/>
      </c>
      <c r="N1445" s="237" t="str">
        <f>IFERROR(IF([1]K_Summary!$N$1430 = "", "", [1]K_Summary!$N$1430 ),"")</f>
        <v/>
      </c>
    </row>
    <row r="1446" spans="3:14" ht="13.15" customHeight="1">
      <c r="C1446" s="485"/>
      <c r="D1446" s="776"/>
      <c r="E1446" s="2475" t="s">
        <v>1149</v>
      </c>
      <c r="F1446" s="2410"/>
      <c r="G1446" s="815" t="s">
        <v>2017</v>
      </c>
      <c r="H1446" s="126" t="str">
        <f>IFERROR(IF([1]K_Summary!$H$1431 = "", "", [1]K_Summary!$H$1431 ),"")</f>
        <v/>
      </c>
      <c r="I1446" s="235" t="str">
        <f>IFERROR(IF([1]K_Summary!$I$1431 = "", "", [1]K_Summary!$I$1431 ),"")</f>
        <v/>
      </c>
      <c r="J1446" s="236" t="str">
        <f>IFERROR(IF([1]K_Summary!$J$1431 = "", "", [1]K_Summary!$J$1431 ),"")</f>
        <v/>
      </c>
      <c r="K1446" s="126" t="str">
        <f>IFERROR(IF([1]K_Summary!$K$1431 = "", "", [1]K_Summary!$K$1431 ),"")</f>
        <v/>
      </c>
      <c r="L1446" s="126" t="str">
        <f>IFERROR(IF([1]K_Summary!$L$1431 = "", "", [1]K_Summary!$L$1431 ),"")</f>
        <v/>
      </c>
      <c r="M1446" s="126" t="str">
        <f>IFERROR(IF([1]K_Summary!$M$1431 = "", "", [1]K_Summary!$M$1431 ),"")</f>
        <v/>
      </c>
      <c r="N1446" s="237" t="str">
        <f>IFERROR(IF([1]K_Summary!$N$1431 = "", "", [1]K_Summary!$N$1431 ),"")</f>
        <v/>
      </c>
    </row>
    <row r="1447" spans="3:14">
      <c r="C1447" s="485"/>
      <c r="D1447" s="776"/>
      <c r="E1447" s="809"/>
      <c r="F1447" s="809"/>
      <c r="G1447" s="777"/>
      <c r="H1447" s="813"/>
      <c r="I1447" s="813"/>
      <c r="J1447" s="813"/>
      <c r="K1447" s="813"/>
      <c r="L1447" s="813"/>
      <c r="M1447" s="813"/>
      <c r="N1447" s="814"/>
    </row>
    <row r="1448" spans="3:14">
      <c r="C1448" s="485"/>
      <c r="D1448" s="776"/>
      <c r="E1448" s="2471" t="s">
        <v>1079</v>
      </c>
      <c r="F1448" s="2472"/>
      <c r="G1448" s="811" t="s">
        <v>2017</v>
      </c>
      <c r="H1448" s="127" t="str">
        <f>IFERROR(IF([1]K_Summary!$H$1433 = "", "", [1]K_Summary!$H$1433 ),"")</f>
        <v/>
      </c>
      <c r="I1448" s="229" t="str">
        <f>IFERROR(IF([1]K_Summary!$I$1433 = "", "", [1]K_Summary!$I$1433 ),"")</f>
        <v/>
      </c>
      <c r="J1448" s="230" t="str">
        <f>IFERROR(IF([1]K_Summary!$J$1433 = "", "", [1]K_Summary!$J$1433 ),"")</f>
        <v/>
      </c>
      <c r="K1448" s="127" t="str">
        <f>IFERROR(IF([1]K_Summary!$K$1433 = "", "", [1]K_Summary!$K$1433 ),"")</f>
        <v/>
      </c>
      <c r="L1448" s="127" t="str">
        <f>IFERROR(IF([1]K_Summary!$L$1433 = "", "", [1]K_Summary!$L$1433 ),"")</f>
        <v/>
      </c>
      <c r="M1448" s="127" t="str">
        <f>IFERROR(IF([1]K_Summary!$M$1433 = "", "", [1]K_Summary!$M$1433 ),"")</f>
        <v/>
      </c>
      <c r="N1448" s="231" t="str">
        <f>IFERROR(IF([1]K_Summary!$N$1433 = "", "", [1]K_Summary!$N$1433 ),"")</f>
        <v/>
      </c>
    </row>
    <row r="1449" spans="3:14">
      <c r="C1449" s="485"/>
      <c r="D1449" s="776"/>
      <c r="E1449" s="2473" t="s">
        <v>1104</v>
      </c>
      <c r="F1449" s="2474"/>
      <c r="G1449" s="812" t="s">
        <v>2018</v>
      </c>
      <c r="H1449" s="128" t="str">
        <f>IFERROR(IF([1]K_Summary!$H$1434 = "", "", [1]K_Summary!$H$1434 ),"")</f>
        <v/>
      </c>
      <c r="I1449" s="232" t="str">
        <f>IFERROR(IF([1]K_Summary!$I$1434 = "", "", [1]K_Summary!$I$1434 ),"")</f>
        <v/>
      </c>
      <c r="J1449" s="233" t="str">
        <f>IFERROR(IF([1]K_Summary!$J$1434 = "", "", [1]K_Summary!$J$1434 ),"")</f>
        <v/>
      </c>
      <c r="K1449" s="128" t="str">
        <f>IFERROR(IF([1]K_Summary!$K$1434 = "", "", [1]K_Summary!$K$1434 ),"")</f>
        <v/>
      </c>
      <c r="L1449" s="128" t="str">
        <f>IFERROR(IF([1]K_Summary!$L$1434 = "", "", [1]K_Summary!$L$1434 ),"")</f>
        <v/>
      </c>
      <c r="M1449" s="128" t="str">
        <f>IFERROR(IF([1]K_Summary!$M$1434 = "", "", [1]K_Summary!$M$1434 ),"")</f>
        <v/>
      </c>
      <c r="N1449" s="234" t="str">
        <f>IFERROR(IF([1]K_Summary!$N$1434 = "", "", [1]K_Summary!$N$1434 ),"")</f>
        <v/>
      </c>
    </row>
    <row r="1450" spans="3:14">
      <c r="C1450" s="485"/>
      <c r="D1450" s="776"/>
      <c r="E1450" s="809"/>
      <c r="F1450" s="809"/>
      <c r="G1450" s="777"/>
      <c r="H1450" s="813"/>
      <c r="I1450" s="813"/>
      <c r="J1450" s="813"/>
      <c r="K1450" s="813"/>
      <c r="L1450" s="813"/>
      <c r="M1450" s="813"/>
      <c r="N1450" s="814"/>
    </row>
    <row r="1451" spans="3:14">
      <c r="C1451" s="485"/>
      <c r="D1451" s="776"/>
      <c r="E1451" s="2471" t="s">
        <v>1141</v>
      </c>
      <c r="F1451" s="2472"/>
      <c r="G1451" s="811" t="s">
        <v>2017</v>
      </c>
      <c r="H1451" s="127" t="str">
        <f>IFERROR(IF([1]K_Summary!$H$1436 = "", "", [1]K_Summary!$H$1436 ),"")</f>
        <v/>
      </c>
      <c r="I1451" s="229" t="str">
        <f>IFERROR(IF([1]K_Summary!$I$1436 = "", "", [1]K_Summary!$I$1436 ),"")</f>
        <v/>
      </c>
      <c r="J1451" s="230" t="str">
        <f>IFERROR(IF([1]K_Summary!$J$1436 = "", "", [1]K_Summary!$J$1436 ),"")</f>
        <v/>
      </c>
      <c r="K1451" s="127" t="str">
        <f>IFERROR(IF([1]K_Summary!$K$1436 = "", "", [1]K_Summary!$K$1436 ),"")</f>
        <v/>
      </c>
      <c r="L1451" s="127" t="str">
        <f>IFERROR(IF([1]K_Summary!$L$1436 = "", "", [1]K_Summary!$L$1436 ),"")</f>
        <v/>
      </c>
      <c r="M1451" s="127" t="str">
        <f>IFERROR(IF([1]K_Summary!$M$1436 = "", "", [1]K_Summary!$M$1436 ),"")</f>
        <v/>
      </c>
      <c r="N1451" s="231" t="str">
        <f>IFERROR(IF([1]K_Summary!$N$1436 = "", "", [1]K_Summary!$N$1436 ),"")</f>
        <v/>
      </c>
    </row>
    <row r="1452" spans="3:14" ht="13.15" customHeight="1">
      <c r="C1452" s="485"/>
      <c r="D1452" s="776"/>
      <c r="E1452" s="2473" t="s">
        <v>1258</v>
      </c>
      <c r="F1452" s="2474"/>
      <c r="G1452" s="812" t="s">
        <v>2018</v>
      </c>
      <c r="H1452" s="128" t="str">
        <f>IFERROR(IF([1]K_Summary!$H$1437 = "", "", [1]K_Summary!$H$1437 ),"")</f>
        <v/>
      </c>
      <c r="I1452" s="232" t="str">
        <f>IFERROR(IF([1]K_Summary!$I$1437 = "", "", [1]K_Summary!$I$1437 ),"")</f>
        <v/>
      </c>
      <c r="J1452" s="233" t="str">
        <f>IFERROR(IF([1]K_Summary!$J$1437 = "", "", [1]K_Summary!$J$1437 ),"")</f>
        <v/>
      </c>
      <c r="K1452" s="128" t="str">
        <f>IFERROR(IF([1]K_Summary!$K$1437 = "", "", [1]K_Summary!$K$1437 ),"")</f>
        <v/>
      </c>
      <c r="L1452" s="128" t="str">
        <f>IFERROR(IF([1]K_Summary!$L$1437 = "", "", [1]K_Summary!$L$1437 ),"")</f>
        <v/>
      </c>
      <c r="M1452" s="128" t="str">
        <f>IFERROR(IF([1]K_Summary!$M$1437 = "", "", [1]K_Summary!$M$1437 ),"")</f>
        <v/>
      </c>
      <c r="N1452" s="234" t="str">
        <f>IFERROR(IF([1]K_Summary!$N$1437 = "", "", [1]K_Summary!$N$1437 ),"")</f>
        <v/>
      </c>
    </row>
    <row r="1453" spans="3:14">
      <c r="C1453" s="485"/>
      <c r="D1453" s="776"/>
      <c r="E1453" s="2471" t="s">
        <v>1309</v>
      </c>
      <c r="F1453" s="2472"/>
      <c r="G1453" s="811" t="s">
        <v>2017</v>
      </c>
      <c r="H1453" s="127" t="str">
        <f>IFERROR(IF([1]K_Summary!$H$1438 = "", "", [1]K_Summary!$H$1438 ),"")</f>
        <v/>
      </c>
      <c r="I1453" s="229" t="str">
        <f>IFERROR(IF([1]K_Summary!$I$1438 = "", "", [1]K_Summary!$I$1438 ),"")</f>
        <v/>
      </c>
      <c r="J1453" s="230" t="str">
        <f>IFERROR(IF([1]K_Summary!$J$1438 = "", "", [1]K_Summary!$J$1438 ),"")</f>
        <v/>
      </c>
      <c r="K1453" s="127" t="str">
        <f>IFERROR(IF([1]K_Summary!$K$1438 = "", "", [1]K_Summary!$K$1438 ),"")</f>
        <v/>
      </c>
      <c r="L1453" s="127" t="str">
        <f>IFERROR(IF([1]K_Summary!$L$1438 = "", "", [1]K_Summary!$L$1438 ),"")</f>
        <v/>
      </c>
      <c r="M1453" s="127" t="str">
        <f>IFERROR(IF([1]K_Summary!$M$1438 = "", "", [1]K_Summary!$M$1438 ),"")</f>
        <v/>
      </c>
      <c r="N1453" s="231" t="str">
        <f>IFERROR(IF([1]K_Summary!$N$1438 = "", "", [1]K_Summary!$N$1438 ),"")</f>
        <v/>
      </c>
    </row>
    <row r="1454" spans="3:14" ht="13.15" customHeight="1">
      <c r="C1454" s="485"/>
      <c r="D1454" s="776"/>
      <c r="E1454" s="2473" t="s">
        <v>1307</v>
      </c>
      <c r="F1454" s="2474"/>
      <c r="G1454" s="812" t="s">
        <v>2018</v>
      </c>
      <c r="H1454" s="128" t="str">
        <f>IFERROR(IF([1]K_Summary!$H$1439 = "", "", [1]K_Summary!$H$1439 ),"")</f>
        <v/>
      </c>
      <c r="I1454" s="232" t="str">
        <f>IFERROR(IF([1]K_Summary!$I$1439 = "", "", [1]K_Summary!$I$1439 ),"")</f>
        <v/>
      </c>
      <c r="J1454" s="233" t="str">
        <f>IFERROR(IF([1]K_Summary!$J$1439 = "", "", [1]K_Summary!$J$1439 ),"")</f>
        <v/>
      </c>
      <c r="K1454" s="128" t="str">
        <f>IFERROR(IF([1]K_Summary!$K$1439 = "", "", [1]K_Summary!$K$1439 ),"")</f>
        <v/>
      </c>
      <c r="L1454" s="128" t="str">
        <f>IFERROR(IF([1]K_Summary!$L$1439 = "", "", [1]K_Summary!$L$1439 ),"")</f>
        <v/>
      </c>
      <c r="M1454" s="128" t="str">
        <f>IFERROR(IF([1]K_Summary!$M$1439 = "", "", [1]K_Summary!$M$1439 ),"")</f>
        <v/>
      </c>
      <c r="N1454" s="234" t="str">
        <f>IFERROR(IF([1]K_Summary!$N$1439 = "", "", [1]K_Summary!$N$1439 ),"")</f>
        <v/>
      </c>
    </row>
    <row r="1455" spans="3:14">
      <c r="C1455" s="485"/>
      <c r="D1455" s="776"/>
      <c r="E1455" s="2471" t="s">
        <v>1288</v>
      </c>
      <c r="F1455" s="2472"/>
      <c r="G1455" s="811" t="s">
        <v>2017</v>
      </c>
      <c r="H1455" s="127" t="str">
        <f>IFERROR(IF([1]K_Summary!$H$1440 = "", "", [1]K_Summary!$H$1440 ),"")</f>
        <v/>
      </c>
      <c r="I1455" s="229" t="str">
        <f>IFERROR(IF([1]K_Summary!$I$1440 = "", "", [1]K_Summary!$I$1440 ),"")</f>
        <v/>
      </c>
      <c r="J1455" s="230" t="str">
        <f>IFERROR(IF([1]K_Summary!$J$1440 = "", "", [1]K_Summary!$J$1440 ),"")</f>
        <v/>
      </c>
      <c r="K1455" s="127" t="str">
        <f>IFERROR(IF([1]K_Summary!$K$1440 = "", "", [1]K_Summary!$K$1440 ),"")</f>
        <v/>
      </c>
      <c r="L1455" s="127" t="str">
        <f>IFERROR(IF([1]K_Summary!$L$1440 = "", "", [1]K_Summary!$L$1440 ),"")</f>
        <v/>
      </c>
      <c r="M1455" s="127" t="str">
        <f>IFERROR(IF([1]K_Summary!$M$1440 = "", "", [1]K_Summary!$M$1440 ),"")</f>
        <v/>
      </c>
      <c r="N1455" s="231" t="str">
        <f>IFERROR(IF([1]K_Summary!$N$1440 = "", "", [1]K_Summary!$N$1440 ),"")</f>
        <v/>
      </c>
    </row>
    <row r="1456" spans="3:14">
      <c r="C1456" s="485"/>
      <c r="D1456" s="776"/>
      <c r="E1456" s="2473" t="s">
        <v>1308</v>
      </c>
      <c r="F1456" s="2474"/>
      <c r="G1456" s="812" t="s">
        <v>2018</v>
      </c>
      <c r="H1456" s="128" t="str">
        <f>IFERROR(IF([1]K_Summary!$H$1441 = "", "", [1]K_Summary!$H$1441 ),"")</f>
        <v/>
      </c>
      <c r="I1456" s="232" t="str">
        <f>IFERROR(IF([1]K_Summary!$I$1441 = "", "", [1]K_Summary!$I$1441 ),"")</f>
        <v/>
      </c>
      <c r="J1456" s="233" t="str">
        <f>IFERROR(IF([1]K_Summary!$J$1441 = "", "", [1]K_Summary!$J$1441 ),"")</f>
        <v/>
      </c>
      <c r="K1456" s="128" t="str">
        <f>IFERROR(IF([1]K_Summary!$K$1441 = "", "", [1]K_Summary!$K$1441 ),"")</f>
        <v/>
      </c>
      <c r="L1456" s="128" t="str">
        <f>IFERROR(IF([1]K_Summary!$L$1441 = "", "", [1]K_Summary!$L$1441 ),"")</f>
        <v/>
      </c>
      <c r="M1456" s="128" t="str">
        <f>IFERROR(IF([1]K_Summary!$M$1441 = "", "", [1]K_Summary!$M$1441 ),"")</f>
        <v/>
      </c>
      <c r="N1456" s="234" t="str">
        <f>IFERROR(IF([1]K_Summary!$N$1441 = "", "", [1]K_Summary!$N$1441 ),"")</f>
        <v/>
      </c>
    </row>
    <row r="1457" spans="3:14">
      <c r="C1457" s="485"/>
      <c r="D1457" s="776"/>
      <c r="E1457" s="2471" t="s">
        <v>1102</v>
      </c>
      <c r="F1457" s="2472"/>
      <c r="G1457" s="811" t="s">
        <v>2017</v>
      </c>
      <c r="H1457" s="127" t="str">
        <f>IFERROR(IF([1]K_Summary!$H$1442 = "", "", [1]K_Summary!$H$1442 ),"")</f>
        <v/>
      </c>
      <c r="I1457" s="229" t="str">
        <f>IFERROR(IF([1]K_Summary!$I$1442 = "", "", [1]K_Summary!$I$1442 ),"")</f>
        <v/>
      </c>
      <c r="J1457" s="230" t="str">
        <f>IFERROR(IF([1]K_Summary!$J$1442 = "", "", [1]K_Summary!$J$1442 ),"")</f>
        <v/>
      </c>
      <c r="K1457" s="127" t="str">
        <f>IFERROR(IF([1]K_Summary!$K$1442 = "", "", [1]K_Summary!$K$1442 ),"")</f>
        <v/>
      </c>
      <c r="L1457" s="127" t="str">
        <f>IFERROR(IF([1]K_Summary!$L$1442 = "", "", [1]K_Summary!$L$1442 ),"")</f>
        <v/>
      </c>
      <c r="M1457" s="127" t="str">
        <f>IFERROR(IF([1]K_Summary!$M$1442 = "", "", [1]K_Summary!$M$1442 ),"")</f>
        <v/>
      </c>
      <c r="N1457" s="231" t="str">
        <f>IFERROR(IF([1]K_Summary!$N$1442 = "", "", [1]K_Summary!$N$1442 ),"")</f>
        <v/>
      </c>
    </row>
    <row r="1458" spans="3:14">
      <c r="C1458" s="485"/>
      <c r="D1458" s="776"/>
      <c r="E1458" s="816" t="s">
        <v>1275</v>
      </c>
      <c r="F1458" s="816"/>
      <c r="G1458" s="812" t="s">
        <v>2018</v>
      </c>
      <c r="H1458" s="128" t="str">
        <f>IFERROR(IF([1]K_Summary!$H$1443 = "", "", [1]K_Summary!$H$1443 ),"")</f>
        <v/>
      </c>
      <c r="I1458" s="232" t="str">
        <f>IFERROR(IF([1]K_Summary!$I$1443 = "", "", [1]K_Summary!$I$1443 ),"")</f>
        <v/>
      </c>
      <c r="J1458" s="233" t="str">
        <f>IFERROR(IF([1]K_Summary!$J$1443 = "", "", [1]K_Summary!$J$1443 ),"")</f>
        <v/>
      </c>
      <c r="K1458" s="128" t="str">
        <f>IFERROR(IF([1]K_Summary!$K$1443 = "", "", [1]K_Summary!$K$1443 ),"")</f>
        <v/>
      </c>
      <c r="L1458" s="128" t="str">
        <f>IFERROR(IF([1]K_Summary!$L$1443 = "", "", [1]K_Summary!$L$1443 ),"")</f>
        <v/>
      </c>
      <c r="M1458" s="128" t="str">
        <f>IFERROR(IF([1]K_Summary!$M$1443 = "", "", [1]K_Summary!$M$1443 ),"")</f>
        <v/>
      </c>
      <c r="N1458" s="234" t="str">
        <f>IFERROR(IF([1]K_Summary!$N$1443 = "", "", [1]K_Summary!$N$1443 ),"")</f>
        <v/>
      </c>
    </row>
    <row r="1459" spans="3:14">
      <c r="C1459" s="485"/>
      <c r="D1459" s="776"/>
      <c r="E1459" s="2471" t="s">
        <v>1080</v>
      </c>
      <c r="F1459" s="2472"/>
      <c r="G1459" s="811" t="s">
        <v>2017</v>
      </c>
      <c r="H1459" s="127" t="str">
        <f>IFERROR(IF([1]K_Summary!$H$1444 = "", "", [1]K_Summary!$H$1444 ),"")</f>
        <v/>
      </c>
      <c r="I1459" s="229" t="str">
        <f>IFERROR(IF([1]K_Summary!$I$1444 = "", "", [1]K_Summary!$I$1444 ),"")</f>
        <v/>
      </c>
      <c r="J1459" s="230" t="str">
        <f>IFERROR(IF([1]K_Summary!$J$1444 = "", "", [1]K_Summary!$J$1444 ),"")</f>
        <v/>
      </c>
      <c r="K1459" s="127" t="str">
        <f>IFERROR(IF([1]K_Summary!$K$1444 = "", "", [1]K_Summary!$K$1444 ),"")</f>
        <v/>
      </c>
      <c r="L1459" s="127" t="str">
        <f>IFERROR(IF([1]K_Summary!$L$1444 = "", "", [1]K_Summary!$L$1444 ),"")</f>
        <v/>
      </c>
      <c r="M1459" s="127" t="str">
        <f>IFERROR(IF([1]K_Summary!$M$1444 = "", "", [1]K_Summary!$M$1444 ),"")</f>
        <v/>
      </c>
      <c r="N1459" s="231" t="str">
        <f>IFERROR(IF([1]K_Summary!$N$1444 = "", "", [1]K_Summary!$N$1444 ),"")</f>
        <v/>
      </c>
    </row>
    <row r="1460" spans="3:14">
      <c r="C1460" s="485"/>
      <c r="D1460" s="776"/>
      <c r="E1460" s="2473" t="s">
        <v>1276</v>
      </c>
      <c r="F1460" s="2474"/>
      <c r="G1460" s="812" t="s">
        <v>2018</v>
      </c>
      <c r="H1460" s="128" t="str">
        <f>IFERROR(IF([1]K_Summary!$H$1445 = "", "", [1]K_Summary!$H$1445 ),"")</f>
        <v/>
      </c>
      <c r="I1460" s="232" t="str">
        <f>IFERROR(IF([1]K_Summary!$I$1445 = "", "", [1]K_Summary!$I$1445 ),"")</f>
        <v/>
      </c>
      <c r="J1460" s="233" t="str">
        <f>IFERROR(IF([1]K_Summary!$J$1445 = "", "", [1]K_Summary!$J$1445 ),"")</f>
        <v/>
      </c>
      <c r="K1460" s="128" t="str">
        <f>IFERROR(IF([1]K_Summary!$K$1445 = "", "", [1]K_Summary!$K$1445 ),"")</f>
        <v/>
      </c>
      <c r="L1460" s="128" t="str">
        <f>IFERROR(IF([1]K_Summary!$L$1445 = "", "", [1]K_Summary!$L$1445 ),"")</f>
        <v/>
      </c>
      <c r="M1460" s="128" t="str">
        <f>IFERROR(IF([1]K_Summary!$M$1445 = "", "", [1]K_Summary!$M$1445 ),"")</f>
        <v/>
      </c>
      <c r="N1460" s="234" t="str">
        <f>IFERROR(IF([1]K_Summary!$N$1445 = "", "", [1]K_Summary!$N$1445 ),"")</f>
        <v/>
      </c>
    </row>
    <row r="1461" spans="3:14">
      <c r="C1461" s="485"/>
      <c r="D1461" s="776"/>
      <c r="E1461" s="809"/>
      <c r="F1461" s="809"/>
      <c r="G1461" s="777"/>
      <c r="H1461" s="813"/>
      <c r="I1461" s="813"/>
      <c r="J1461" s="813"/>
      <c r="K1461" s="813"/>
      <c r="L1461" s="813"/>
      <c r="M1461" s="813"/>
      <c r="N1461" s="814"/>
    </row>
    <row r="1462" spans="3:14">
      <c r="C1462" s="485"/>
      <c r="D1462" s="776"/>
      <c r="E1462" s="2475" t="s">
        <v>914</v>
      </c>
      <c r="F1462" s="2410"/>
      <c r="G1462" s="815" t="s">
        <v>2021</v>
      </c>
      <c r="H1462" s="126" t="str">
        <f>IFERROR(IF([1]K_Summary!$H$1447 = "", "", [1]K_Summary!$H$1447 ),"")</f>
        <v/>
      </c>
      <c r="I1462" s="235" t="str">
        <f>IFERROR(IF([1]K_Summary!$I$1447 = "", "", [1]K_Summary!$I$1447 ),"")</f>
        <v/>
      </c>
      <c r="J1462" s="236" t="str">
        <f>IFERROR(IF([1]K_Summary!$J$1447 = "", "", [1]K_Summary!$J$1447 ),"")</f>
        <v/>
      </c>
      <c r="K1462" s="126" t="str">
        <f>IFERROR(IF([1]K_Summary!$K$1447 = "", "", [1]K_Summary!$K$1447 ),"")</f>
        <v/>
      </c>
      <c r="L1462" s="126" t="str">
        <f>IFERROR(IF([1]K_Summary!$L$1447 = "", "", [1]K_Summary!$L$1447 ),"")</f>
        <v/>
      </c>
      <c r="M1462" s="126" t="str">
        <f>IFERROR(IF([1]K_Summary!$M$1447 = "", "", [1]K_Summary!$M$1447 ),"")</f>
        <v/>
      </c>
      <c r="N1462" s="237" t="str">
        <f>IFERROR(IF([1]K_Summary!$N$1447 = "", "", [1]K_Summary!$N$1447 ),"")</f>
        <v/>
      </c>
    </row>
    <row r="1463" spans="3:14">
      <c r="C1463" s="485"/>
      <c r="D1463" s="776"/>
      <c r="E1463" s="2475" t="s">
        <v>1354</v>
      </c>
      <c r="F1463" s="2410"/>
      <c r="G1463" s="815" t="s">
        <v>2021</v>
      </c>
      <c r="H1463" s="126" t="str">
        <f>IFERROR(IF([1]K_Summary!$H$1448 = "", "", [1]K_Summary!$H$1448 ),"")</f>
        <v/>
      </c>
      <c r="I1463" s="235" t="str">
        <f>IFERROR(IF([1]K_Summary!$I$1448 = "", "", [1]K_Summary!$I$1448 ),"")</f>
        <v/>
      </c>
      <c r="J1463" s="236" t="str">
        <f>IFERROR(IF([1]K_Summary!$J$1448 = "", "", [1]K_Summary!$J$1448 ),"")</f>
        <v/>
      </c>
      <c r="K1463" s="126" t="str">
        <f>IFERROR(IF([1]K_Summary!$K$1448 = "", "", [1]K_Summary!$K$1448 ),"")</f>
        <v/>
      </c>
      <c r="L1463" s="126" t="str">
        <f>IFERROR(IF([1]K_Summary!$L$1448 = "", "", [1]K_Summary!$L$1448 ),"")</f>
        <v/>
      </c>
      <c r="M1463" s="126" t="str">
        <f>IFERROR(IF([1]K_Summary!$M$1448 = "", "", [1]K_Summary!$M$1448 ),"")</f>
        <v/>
      </c>
      <c r="N1463" s="237" t="str">
        <f>IFERROR(IF([1]K_Summary!$N$1448 = "", "", [1]K_Summary!$N$1448 ),"")</f>
        <v/>
      </c>
    </row>
    <row r="1464" spans="3:14">
      <c r="C1464" s="485"/>
      <c r="D1464" s="776"/>
      <c r="E1464" s="809"/>
      <c r="F1464" s="809"/>
      <c r="G1464" s="777"/>
      <c r="H1464" s="813"/>
      <c r="I1464" s="813"/>
      <c r="J1464" s="813"/>
      <c r="K1464" s="813"/>
      <c r="L1464" s="813"/>
      <c r="M1464" s="813"/>
      <c r="N1464" s="814"/>
    </row>
    <row r="1465" spans="3:14">
      <c r="C1465" s="485"/>
      <c r="D1465" s="776"/>
      <c r="E1465" s="2475" t="s">
        <v>1157</v>
      </c>
      <c r="F1465" s="2410"/>
      <c r="G1465" s="815" t="s">
        <v>1020</v>
      </c>
      <c r="H1465" s="126" t="str">
        <f>IFERROR(IF([1]K_Summary!$H$1450 = "", "", [1]K_Summary!$H$1450 ),"")</f>
        <v/>
      </c>
      <c r="I1465" s="235" t="str">
        <f>IFERROR(IF([1]K_Summary!$I$1450 = "", "", [1]K_Summary!$I$1450 ),"")</f>
        <v/>
      </c>
      <c r="J1465" s="236" t="str">
        <f>IFERROR(IF([1]K_Summary!$J$1450 = "", "", [1]K_Summary!$J$1450 ),"")</f>
        <v/>
      </c>
      <c r="K1465" s="126" t="str">
        <f>IFERROR(IF([1]K_Summary!$K$1450 = "", "", [1]K_Summary!$K$1450 ),"")</f>
        <v/>
      </c>
      <c r="L1465" s="126" t="str">
        <f>IFERROR(IF([1]K_Summary!$L$1450 = "", "", [1]K_Summary!$L$1450 ),"")</f>
        <v/>
      </c>
      <c r="M1465" s="126" t="str">
        <f>IFERROR(IF([1]K_Summary!$M$1450 = "", "", [1]K_Summary!$M$1450 ),"")</f>
        <v/>
      </c>
      <c r="N1465" s="237" t="str">
        <f>IFERROR(IF([1]K_Summary!$N$1450 = "", "", [1]K_Summary!$N$1450 ),"")</f>
        <v/>
      </c>
    </row>
    <row r="1466" spans="3:14">
      <c r="C1466" s="485"/>
      <c r="D1466" s="776"/>
      <c r="E1466" s="809"/>
      <c r="F1466" s="809"/>
      <c r="G1466" s="777"/>
      <c r="H1466" s="813"/>
      <c r="I1466" s="813"/>
      <c r="J1466" s="813"/>
      <c r="K1466" s="813"/>
      <c r="L1466" s="813"/>
      <c r="M1466" s="813"/>
      <c r="N1466" s="814"/>
    </row>
    <row r="1467" spans="3:14">
      <c r="C1467" s="485"/>
      <c r="D1467" s="776"/>
      <c r="E1467" s="2492" t="s">
        <v>1440</v>
      </c>
      <c r="F1467" s="2493"/>
      <c r="G1467" s="777"/>
      <c r="H1467" s="813"/>
      <c r="I1467" s="813"/>
      <c r="J1467" s="813"/>
      <c r="K1467" s="813"/>
      <c r="L1467" s="813"/>
      <c r="M1467" s="813"/>
      <c r="N1467" s="814"/>
    </row>
    <row r="1468" spans="3:14">
      <c r="C1468" s="485"/>
      <c r="D1468" s="776"/>
      <c r="E1468" s="2487" t="str">
        <f>IFERROR(IF([1]K_Summary!$E$1453 = "", "", [1]K_Summary!$E$1453 ),"")</f>
        <v/>
      </c>
      <c r="F1468" s="2488"/>
      <c r="G1468" s="815" t="s">
        <v>1020</v>
      </c>
      <c r="H1468" s="126" t="str">
        <f>IFERROR(IF([1]K_Summary!$H$1453 = "", "", [1]K_Summary!$H$1453 ),"")</f>
        <v/>
      </c>
      <c r="I1468" s="235" t="str">
        <f>IFERROR(IF([1]K_Summary!$I$1453 = "", "", [1]K_Summary!$I$1453 ),"")</f>
        <v/>
      </c>
      <c r="J1468" s="236" t="str">
        <f>IFERROR(IF([1]K_Summary!$J$1453 = "", "", [1]K_Summary!$J$1453 ),"")</f>
        <v/>
      </c>
      <c r="K1468" s="126" t="str">
        <f>IFERROR(IF([1]K_Summary!$K$1453 = "", "", [1]K_Summary!$K$1453 ),"")</f>
        <v/>
      </c>
      <c r="L1468" s="126" t="str">
        <f>IFERROR(IF([1]K_Summary!$L$1453 = "", "", [1]K_Summary!$L$1453 ),"")</f>
        <v/>
      </c>
      <c r="M1468" s="126" t="str">
        <f>IFERROR(IF([1]K_Summary!$M$1453 = "", "", [1]K_Summary!$M$1453 ),"")</f>
        <v/>
      </c>
      <c r="N1468" s="237" t="str">
        <f>IFERROR(IF([1]K_Summary!$N$1453 = "", "", [1]K_Summary!$N$1453 ),"")</f>
        <v/>
      </c>
    </row>
    <row r="1469" spans="3:14">
      <c r="C1469" s="485"/>
      <c r="D1469" s="776"/>
      <c r="E1469" s="2487" t="str">
        <f>IFERROR(IF([1]K_Summary!$E$1454 = "", "", [1]K_Summary!$E$1454 ),"")</f>
        <v/>
      </c>
      <c r="F1469" s="2488"/>
      <c r="G1469" s="815" t="s">
        <v>1020</v>
      </c>
      <c r="H1469" s="126" t="str">
        <f>IFERROR(IF([1]K_Summary!$H$1454 = "", "", [1]K_Summary!$H$1454 ),"")</f>
        <v/>
      </c>
      <c r="I1469" s="235" t="str">
        <f>IFERROR(IF([1]K_Summary!$I$1454 = "", "", [1]K_Summary!$I$1454 ),"")</f>
        <v/>
      </c>
      <c r="J1469" s="236" t="str">
        <f>IFERROR(IF([1]K_Summary!$J$1454 = "", "", [1]K_Summary!$J$1454 ),"")</f>
        <v/>
      </c>
      <c r="K1469" s="126" t="str">
        <f>IFERROR(IF([1]K_Summary!$K$1454 = "", "", [1]K_Summary!$K$1454 ),"")</f>
        <v/>
      </c>
      <c r="L1469" s="126" t="str">
        <f>IFERROR(IF([1]K_Summary!$L$1454 = "", "", [1]K_Summary!$L$1454 ),"")</f>
        <v/>
      </c>
      <c r="M1469" s="126" t="str">
        <f>IFERROR(IF([1]K_Summary!$M$1454 = "", "", [1]K_Summary!$M$1454 ),"")</f>
        <v/>
      </c>
      <c r="N1469" s="237" t="str">
        <f>IFERROR(IF([1]K_Summary!$N$1454 = "", "", [1]K_Summary!$N$1454 ),"")</f>
        <v/>
      </c>
    </row>
    <row r="1470" spans="3:14">
      <c r="C1470" s="485"/>
      <c r="D1470" s="776"/>
      <c r="E1470" s="2475" t="s">
        <v>1441</v>
      </c>
      <c r="F1470" s="2410"/>
      <c r="G1470" s="777"/>
      <c r="H1470" s="813"/>
      <c r="I1470" s="813"/>
      <c r="J1470" s="813"/>
      <c r="K1470" s="813"/>
      <c r="L1470" s="813"/>
      <c r="M1470" s="813"/>
      <c r="N1470" s="814"/>
    </row>
    <row r="1471" spans="3:14">
      <c r="C1471" s="485"/>
      <c r="D1471" s="776"/>
      <c r="E1471" s="2487" t="str">
        <f>IFERROR(IF([1]K_Summary!$E$1456 = "", "", [1]K_Summary!$E$1456 ),"")</f>
        <v/>
      </c>
      <c r="F1471" s="2488"/>
      <c r="G1471" s="815" t="s">
        <v>1020</v>
      </c>
      <c r="H1471" s="126" t="str">
        <f>IFERROR(IF([1]K_Summary!$H$1456 = "", "", [1]K_Summary!$H$1456 ),"")</f>
        <v/>
      </c>
      <c r="I1471" s="235" t="str">
        <f>IFERROR(IF([1]K_Summary!$I$1456 = "", "", [1]K_Summary!$I$1456 ),"")</f>
        <v/>
      </c>
      <c r="J1471" s="236" t="str">
        <f>IFERROR(IF([1]K_Summary!$J$1456 = "", "", [1]K_Summary!$J$1456 ),"")</f>
        <v/>
      </c>
      <c r="K1471" s="126" t="str">
        <f>IFERROR(IF([1]K_Summary!$K$1456 = "", "", [1]K_Summary!$K$1456 ),"")</f>
        <v/>
      </c>
      <c r="L1471" s="126" t="str">
        <f>IFERROR(IF([1]K_Summary!$L$1456 = "", "", [1]K_Summary!$L$1456 ),"")</f>
        <v/>
      </c>
      <c r="M1471" s="126" t="str">
        <f>IFERROR(IF([1]K_Summary!$M$1456 = "", "", [1]K_Summary!$M$1456 ),"")</f>
        <v/>
      </c>
      <c r="N1471" s="237" t="str">
        <f>IFERROR(IF([1]K_Summary!$N$1456 = "", "", [1]K_Summary!$N$1456 ),"")</f>
        <v/>
      </c>
    </row>
    <row r="1472" spans="3:14">
      <c r="C1472" s="485"/>
      <c r="D1472" s="776"/>
      <c r="E1472" s="2487" t="str">
        <f>IFERROR(IF([1]K_Summary!$E$1457 = "", "", [1]K_Summary!$E$1457 ),"")</f>
        <v/>
      </c>
      <c r="F1472" s="2488"/>
      <c r="G1472" s="815" t="s">
        <v>1020</v>
      </c>
      <c r="H1472" s="126" t="str">
        <f>IFERROR(IF([1]K_Summary!$H$1457 = "", "", [1]K_Summary!$H$1457 ),"")</f>
        <v/>
      </c>
      <c r="I1472" s="235" t="str">
        <f>IFERROR(IF([1]K_Summary!$I$1457 = "", "", [1]K_Summary!$I$1457 ),"")</f>
        <v/>
      </c>
      <c r="J1472" s="236" t="str">
        <f>IFERROR(IF([1]K_Summary!$J$1457 = "", "", [1]K_Summary!$J$1457 ),"")</f>
        <v/>
      </c>
      <c r="K1472" s="126" t="str">
        <f>IFERROR(IF([1]K_Summary!$K$1457 = "", "", [1]K_Summary!$K$1457 ),"")</f>
        <v/>
      </c>
      <c r="L1472" s="126" t="str">
        <f>IFERROR(IF([1]K_Summary!$L$1457 = "", "", [1]K_Summary!$L$1457 ),"")</f>
        <v/>
      </c>
      <c r="M1472" s="126" t="str">
        <f>IFERROR(IF([1]K_Summary!$M$1457 = "", "", [1]K_Summary!$M$1457 ),"")</f>
        <v/>
      </c>
      <c r="N1472" s="237" t="str">
        <f>IFERROR(IF([1]K_Summary!$N$1457 = "", "", [1]K_Summary!$N$1457 ),"")</f>
        <v/>
      </c>
    </row>
    <row r="1473" spans="3:14" ht="13.5" thickBot="1">
      <c r="C1473" s="485"/>
      <c r="D1473" s="802"/>
      <c r="E1473" s="803"/>
      <c r="F1473" s="803"/>
      <c r="G1473" s="804"/>
      <c r="H1473" s="804"/>
      <c r="I1473" s="805"/>
      <c r="J1473" s="805"/>
      <c r="K1473" s="805"/>
      <c r="L1473" s="805"/>
      <c r="M1473" s="805"/>
      <c r="N1473" s="806"/>
    </row>
    <row r="1474" spans="3:14" ht="13.5" thickBot="1">
      <c r="C1474" s="485"/>
      <c r="D1474" s="485"/>
      <c r="E1474" s="807"/>
      <c r="F1474" s="562"/>
      <c r="G1474" s="562"/>
      <c r="H1474" s="562"/>
      <c r="I1474" s="562"/>
      <c r="J1474" s="562"/>
      <c r="K1474" s="562"/>
      <c r="L1474" s="562"/>
      <c r="M1474" s="562"/>
      <c r="N1474" s="562"/>
    </row>
    <row r="1475" spans="3:14">
      <c r="C1475" s="686"/>
      <c r="D1475" s="686"/>
      <c r="E1475" s="686"/>
      <c r="F1475" s="686"/>
      <c r="G1475" s="686"/>
      <c r="H1475" s="686"/>
      <c r="I1475" s="686"/>
      <c r="J1475" s="686"/>
      <c r="K1475" s="686"/>
      <c r="L1475" s="686"/>
      <c r="M1475" s="686"/>
      <c r="N1475" s="686"/>
    </row>
    <row r="1476" spans="3:14" ht="13.9" customHeight="1">
      <c r="C1476" s="559">
        <v>7</v>
      </c>
      <c r="D1476" s="2482" t="s">
        <v>2028</v>
      </c>
      <c r="E1476" s="2482"/>
      <c r="F1476" s="2482"/>
      <c r="G1476" s="2482"/>
      <c r="H1476" s="2483"/>
      <c r="I1476" s="2489" t="str">
        <f>IFERROR(IF([1]K_Summary!$I$1461 = "", "", [1]K_Summary!$I$1461 ),"")</f>
        <v/>
      </c>
      <c r="J1476" s="2490"/>
      <c r="K1476" s="2490"/>
      <c r="L1476" s="2490"/>
      <c r="M1476" s="2490"/>
      <c r="N1476" s="2491"/>
    </row>
    <row r="1477" spans="3:14" ht="15">
      <c r="C1477" s="559"/>
      <c r="D1477" s="559"/>
      <c r="E1477" s="559"/>
      <c r="F1477" s="559"/>
      <c r="G1477" s="559"/>
      <c r="H1477" s="559"/>
      <c r="I1477" s="559"/>
      <c r="J1477" s="559"/>
      <c r="K1477" s="559"/>
      <c r="L1477" s="559"/>
      <c r="M1477" s="559"/>
      <c r="N1477" s="559"/>
    </row>
    <row r="1478" spans="3:14" ht="15">
      <c r="C1478" s="559"/>
      <c r="D1478" s="559"/>
      <c r="E1478" s="559"/>
      <c r="F1478" s="559"/>
      <c r="G1478" s="562"/>
      <c r="H1478" s="688" t="s">
        <v>458</v>
      </c>
      <c r="I1478" s="688" t="s">
        <v>1256</v>
      </c>
      <c r="J1478" s="688" t="s">
        <v>1434</v>
      </c>
      <c r="K1478" s="688" t="s">
        <v>1684</v>
      </c>
      <c r="L1478" s="689" t="s">
        <v>156</v>
      </c>
      <c r="M1478" s="2469" t="s">
        <v>302</v>
      </c>
      <c r="N1478" s="2469"/>
    </row>
    <row r="1479" spans="3:14" ht="15">
      <c r="C1479" s="559"/>
      <c r="D1479" s="559"/>
      <c r="E1479" s="66" t="str">
        <f>IFERROR(IF([1]K_Summary!$E$1464 = "", "", [1]K_Summary!$E$1464 ),"")</f>
        <v/>
      </c>
      <c r="F1479" s="51"/>
      <c r="G1479" s="51"/>
      <c r="H1479" s="143" t="str">
        <f>IFERROR(IF([1]K_Summary!$H$1464 = "", "", [1]K_Summary!$H$1464 ),"")</f>
        <v>N.A.</v>
      </c>
      <c r="I1479" s="143" t="str">
        <f>IFERROR(IF([1]K_Summary!$I$1464 = "", "", [1]K_Summary!$I$1464 ),"")</f>
        <v/>
      </c>
      <c r="J1479" s="53" t="str">
        <f>IFERROR(IF([1]K_Summary!$J$1464 = "", "", [1]K_Summary!$J$1464 ),"")</f>
        <v>N.A.</v>
      </c>
      <c r="K1479" s="53" t="str">
        <f>IFERROR(IF([1]K_Summary!$K$1464 = "", "", [1]K_Summary!$K$1464 ),"")</f>
        <v>N.A.</v>
      </c>
      <c r="L1479" s="144" t="str">
        <f>IFERROR(IF([1]K_Summary!$L$1464 = "", "", [1]K_Summary!$L$1464 ),"")</f>
        <v>N.A.</v>
      </c>
      <c r="M1479" s="145" t="str">
        <f>IFERROR(IF([1]K_Summary!$M$1464 = "", "", [1]K_Summary!$M$1464 ),"")</f>
        <v>N.A.</v>
      </c>
      <c r="N1479" s="50" t="str">
        <f>IFERROR(IF([1]K_Summary!$N$1464 = "", "", [1]K_Summary!$N$1464 ),"")</f>
        <v>EUA/tonnes</v>
      </c>
    </row>
    <row r="1480" spans="3:14" ht="15">
      <c r="C1480" s="485"/>
      <c r="D1480" s="485"/>
      <c r="E1480" s="559"/>
      <c r="F1480" s="562"/>
      <c r="G1480" s="562"/>
      <c r="H1480" s="562"/>
      <c r="I1480" s="562"/>
      <c r="J1480" s="485"/>
      <c r="K1480" s="485"/>
      <c r="L1480" s="485"/>
      <c r="M1480" s="485"/>
      <c r="N1480" s="485"/>
    </row>
    <row r="1481" spans="3:14">
      <c r="C1481" s="485"/>
      <c r="D1481" s="485"/>
      <c r="E1481" s="496"/>
      <c r="F1481" s="482" t="s">
        <v>884</v>
      </c>
      <c r="G1481" s="695" t="s">
        <v>1646</v>
      </c>
      <c r="H1481" s="696">
        <v>2019</v>
      </c>
      <c r="I1481" s="697">
        <v>2020</v>
      </c>
      <c r="J1481" s="696">
        <v>2021</v>
      </c>
      <c r="K1481" s="578">
        <v>2022</v>
      </c>
      <c r="L1481" s="578">
        <v>2023</v>
      </c>
      <c r="M1481" s="578">
        <v>2024</v>
      </c>
      <c r="N1481" s="578">
        <v>2025</v>
      </c>
    </row>
    <row r="1482" spans="3:14">
      <c r="C1482" s="485"/>
      <c r="D1482" s="485"/>
      <c r="E1482" s="698" t="s">
        <v>1665</v>
      </c>
      <c r="F1482" s="146" t="str">
        <f>IFERROR(IF([1]K_Summary!$F$1467 = "", "", [1]K_Summary!$F$1467 ),"")</f>
        <v>tonnes</v>
      </c>
      <c r="G1482" s="147" t="str">
        <f>IFERROR(IF([1]K_Summary!$G$1467 = "", "", [1]K_Summary!$G$1467 ),"")</f>
        <v/>
      </c>
      <c r="H1482" s="148" t="str">
        <f>IFERROR(IF([1]K_Summary!$H$1467 = "", "", [1]K_Summary!$H$1467 ),"")</f>
        <v/>
      </c>
      <c r="I1482" s="149" t="str">
        <f>IFERROR(IF([1]K_Summary!$I$1467 = "", "", [1]K_Summary!$I$1467 ),"")</f>
        <v/>
      </c>
      <c r="J1482" s="148" t="str">
        <f>IFERROR(IF([1]K_Summary!$J$1467 = "", "", [1]K_Summary!$J$1467 ),"")</f>
        <v/>
      </c>
      <c r="K1482" s="150" t="str">
        <f>IFERROR(IF([1]K_Summary!$K$1467 = "", "", [1]K_Summary!$K$1467 ),"")</f>
        <v/>
      </c>
      <c r="L1482" s="150" t="str">
        <f>IFERROR(IF([1]K_Summary!$L$1467 = "", "", [1]K_Summary!$L$1467 ),"")</f>
        <v/>
      </c>
      <c r="M1482" s="150" t="str">
        <f>IFERROR(IF([1]K_Summary!$M$1467 = "", "", [1]K_Summary!$M$1467 ),"")</f>
        <v/>
      </c>
      <c r="N1482" s="150" t="str">
        <f>IFERROR(IF([1]K_Summary!$N$1467 = "", "", [1]K_Summary!$N$1467 ),"")</f>
        <v/>
      </c>
    </row>
    <row r="1483" spans="3:14" ht="15.75" thickBot="1">
      <c r="C1483" s="559"/>
      <c r="D1483" s="559"/>
      <c r="E1483" s="559"/>
      <c r="F1483" s="559"/>
      <c r="G1483" s="559"/>
      <c r="H1483" s="559"/>
      <c r="I1483" s="559"/>
      <c r="J1483" s="559"/>
      <c r="K1483" s="559"/>
      <c r="L1483" s="559"/>
      <c r="M1483" s="559"/>
      <c r="N1483" s="559"/>
    </row>
    <row r="1484" spans="3:14" ht="15">
      <c r="C1484" s="559"/>
      <c r="D1484" s="703"/>
      <c r="E1484" s="704"/>
      <c r="F1484" s="704"/>
      <c r="G1484" s="704"/>
      <c r="H1484" s="704"/>
      <c r="I1484" s="704"/>
      <c r="J1484" s="704"/>
      <c r="K1484" s="704"/>
      <c r="L1484" s="704"/>
      <c r="M1484" s="704"/>
      <c r="N1484" s="705"/>
    </row>
    <row r="1485" spans="3:14" ht="15">
      <c r="C1485" s="559"/>
      <c r="D1485" s="706"/>
      <c r="E1485" s="707" t="s">
        <v>1787</v>
      </c>
      <c r="F1485" s="637"/>
      <c r="G1485" s="637"/>
      <c r="H1485" s="663"/>
      <c r="I1485" s="708"/>
      <c r="J1485" s="709">
        <v>2021</v>
      </c>
      <c r="K1485" s="671">
        <v>2022</v>
      </c>
      <c r="L1485" s="671">
        <v>2023</v>
      </c>
      <c r="M1485" s="671">
        <v>2024</v>
      </c>
      <c r="N1485" s="710">
        <v>2025</v>
      </c>
    </row>
    <row r="1486" spans="3:14" ht="15">
      <c r="C1486" s="559"/>
      <c r="D1486" s="706"/>
      <c r="E1486" s="711" t="s">
        <v>1783</v>
      </c>
      <c r="F1486" s="712"/>
      <c r="G1486" s="712"/>
      <c r="H1486" s="713"/>
      <c r="I1486" s="712"/>
      <c r="J1486" s="151" t="str">
        <f>IFERROR(IF([1]K_Summary!$J$1471 = "", "", [1]K_Summary!$J$1471 ),"")</f>
        <v/>
      </c>
      <c r="K1486" s="152" t="str">
        <f>IFERROR(IF([1]K_Summary!$K$1471 = "", "", [1]K_Summary!$K$1471 ),"")</f>
        <v/>
      </c>
      <c r="L1486" s="152" t="str">
        <f>IFERROR(IF([1]K_Summary!$L$1471 = "", "", [1]K_Summary!$L$1471 ),"")</f>
        <v/>
      </c>
      <c r="M1486" s="152" t="str">
        <f>IFERROR(IF([1]K_Summary!$M$1471 = "", "", [1]K_Summary!$M$1471 ),"")</f>
        <v/>
      </c>
      <c r="N1486" s="153" t="str">
        <f>IFERROR(IF([1]K_Summary!$N$1471 = "", "", [1]K_Summary!$N$1471 ),"")</f>
        <v/>
      </c>
    </row>
    <row r="1487" spans="3:14" ht="15">
      <c r="C1487" s="559"/>
      <c r="D1487" s="706"/>
      <c r="E1487" s="714" t="s">
        <v>1784</v>
      </c>
      <c r="F1487" s="715"/>
      <c r="G1487" s="715"/>
      <c r="H1487" s="716"/>
      <c r="I1487" s="715"/>
      <c r="J1487" s="154" t="str">
        <f>IFERROR(IF([1]K_Summary!$J$1472 = "", "", [1]K_Summary!$J$1472 ),"")</f>
        <v/>
      </c>
      <c r="K1487" s="155" t="str">
        <f>IFERROR(IF([1]K_Summary!$K$1472 = "", "", [1]K_Summary!$K$1472 ),"")</f>
        <v/>
      </c>
      <c r="L1487" s="155" t="str">
        <f>IFERROR(IF([1]K_Summary!$L$1472 = "", "", [1]K_Summary!$L$1472 ),"")</f>
        <v/>
      </c>
      <c r="M1487" s="155" t="str">
        <f>IFERROR(IF([1]K_Summary!$M$1472 = "", "", [1]K_Summary!$M$1472 ),"")</f>
        <v/>
      </c>
      <c r="N1487" s="156" t="str">
        <f>IFERROR(IF([1]K_Summary!$N$1472 = "", "", [1]K_Summary!$N$1472 ),"")</f>
        <v/>
      </c>
    </row>
    <row r="1488" spans="3:14" ht="15">
      <c r="C1488" s="559"/>
      <c r="D1488" s="706"/>
      <c r="E1488" s="559"/>
      <c r="F1488" s="559"/>
      <c r="G1488" s="559"/>
      <c r="H1488" s="559"/>
      <c r="I1488" s="559"/>
      <c r="J1488" s="559"/>
      <c r="K1488" s="559"/>
      <c r="L1488" s="559"/>
      <c r="M1488" s="559"/>
      <c r="N1488" s="717"/>
    </row>
    <row r="1489" spans="1:14" ht="15">
      <c r="C1489" s="559"/>
      <c r="D1489" s="706"/>
      <c r="E1489" s="496" t="s">
        <v>1762</v>
      </c>
      <c r="F1489" s="485"/>
      <c r="G1489" s="485"/>
      <c r="H1489" s="663" t="s">
        <v>884</v>
      </c>
      <c r="I1489" s="708"/>
      <c r="J1489" s="696">
        <v>2021</v>
      </c>
      <c r="K1489" s="578">
        <v>2022</v>
      </c>
      <c r="L1489" s="578">
        <v>2023</v>
      </c>
      <c r="M1489" s="578">
        <v>2024</v>
      </c>
      <c r="N1489" s="718">
        <v>2025</v>
      </c>
    </row>
    <row r="1490" spans="1:14" ht="15" hidden="1">
      <c r="A1490" s="719" t="s">
        <v>2289</v>
      </c>
      <c r="C1490" s="559"/>
      <c r="D1490" s="706"/>
      <c r="E1490" s="698" t="s">
        <v>1714</v>
      </c>
      <c r="F1490" s="698"/>
      <c r="G1490" s="698"/>
      <c r="H1490" s="63" t="str">
        <f>IFERROR(IF([1]K_Summary!$H$1475 = "", "", [1]K_Summary!$H$1475 ),"")</f>
        <v>tonnes</v>
      </c>
      <c r="I1490" s="698"/>
      <c r="J1490" s="157" t="str">
        <f>IFERROR(IF([1]K_Summary!$J$1475 = "", "", [1]K_Summary!$J$1475 ),"")</f>
        <v/>
      </c>
      <c r="K1490" s="147" t="str">
        <f>IFERROR(IF([1]K_Summary!$K$1475 = "", "", [1]K_Summary!$K$1475 ),"")</f>
        <v/>
      </c>
      <c r="L1490" s="147" t="str">
        <f>IFERROR(IF([1]K_Summary!$L$1475 = "", "", [1]K_Summary!$L$1475 ),"")</f>
        <v/>
      </c>
      <c r="M1490" s="147" t="str">
        <f>IFERROR(IF([1]K_Summary!$M$1475 = "", "", [1]K_Summary!$M$1475 ),"")</f>
        <v/>
      </c>
      <c r="N1490" s="158" t="str">
        <f>IFERROR(IF([1]K_Summary!$N$1475 = "", "", [1]K_Summary!$N$1475 ),"")</f>
        <v/>
      </c>
    </row>
    <row r="1491" spans="1:14" ht="15" hidden="1">
      <c r="A1491" s="719" t="s">
        <v>2289</v>
      </c>
      <c r="C1491" s="559"/>
      <c r="D1491" s="706"/>
      <c r="E1491" s="720" t="s">
        <v>303</v>
      </c>
      <c r="F1491" s="720"/>
      <c r="G1491" s="720"/>
      <c r="H1491" s="721" t="s">
        <v>2090</v>
      </c>
      <c r="I1491" s="722"/>
      <c r="J1491" s="159" t="str">
        <f>IFERROR(IF([1]K_Summary!$J$1476 = "", "", [1]K_Summary!$J$1476 ),"")</f>
        <v/>
      </c>
      <c r="K1491" s="160" t="str">
        <f>IFERROR(IF([1]K_Summary!$K$1476 = "", "", [1]K_Summary!$K$1476 ),"")</f>
        <v/>
      </c>
      <c r="L1491" s="160" t="str">
        <f>IFERROR(IF([1]K_Summary!$L$1476 = "", "", [1]K_Summary!$L$1476 ),"")</f>
        <v/>
      </c>
      <c r="M1491" s="160" t="str">
        <f>IFERROR(IF([1]K_Summary!$M$1476 = "", "", [1]K_Summary!$M$1476 ),"")</f>
        <v/>
      </c>
      <c r="N1491" s="161" t="str">
        <f>IFERROR(IF([1]K_Summary!$N$1476 = "", "", [1]K_Summary!$N$1476 ),"")</f>
        <v/>
      </c>
    </row>
    <row r="1492" spans="1:14" ht="15" hidden="1">
      <c r="A1492" s="719" t="s">
        <v>2289</v>
      </c>
      <c r="C1492" s="559"/>
      <c r="D1492" s="706"/>
      <c r="E1492" s="723" t="s">
        <v>1422</v>
      </c>
      <c r="F1492" s="723"/>
      <c r="G1492" s="723"/>
      <c r="H1492" s="724" t="s">
        <v>2090</v>
      </c>
      <c r="I1492" s="725"/>
      <c r="J1492" s="162" t="str">
        <f>IFERROR(IF([1]K_Summary!$J$1477 = "", "", [1]K_Summary!$J$1477 ),"")</f>
        <v/>
      </c>
      <c r="K1492" s="163" t="str">
        <f>IFERROR(IF([1]K_Summary!$K$1477 = "", "", [1]K_Summary!$K$1477 ),"")</f>
        <v/>
      </c>
      <c r="L1492" s="163" t="str">
        <f>IFERROR(IF([1]K_Summary!$L$1477 = "", "", [1]K_Summary!$L$1477 ),"")</f>
        <v/>
      </c>
      <c r="M1492" s="163" t="str">
        <f>IFERROR(IF([1]K_Summary!$M$1477 = "", "", [1]K_Summary!$M$1477 ),"")</f>
        <v/>
      </c>
      <c r="N1492" s="164" t="str">
        <f>IFERROR(IF([1]K_Summary!$N$1477 = "", "", [1]K_Summary!$N$1477 ),"")</f>
        <v/>
      </c>
    </row>
    <row r="1493" spans="1:14" ht="15" hidden="1">
      <c r="A1493" s="719" t="s">
        <v>2289</v>
      </c>
      <c r="C1493" s="559"/>
      <c r="D1493" s="706"/>
      <c r="E1493" s="723" t="s">
        <v>1390</v>
      </c>
      <c r="F1493" s="723"/>
      <c r="G1493" s="723"/>
      <c r="H1493" s="724" t="s">
        <v>2090</v>
      </c>
      <c r="I1493" s="725"/>
      <c r="J1493" s="162" t="str">
        <f>IFERROR(IF([1]K_Summary!$J$1478 = "", "", [1]K_Summary!$J$1478 ),"")</f>
        <v/>
      </c>
      <c r="K1493" s="163" t="str">
        <f>IFERROR(IF([1]K_Summary!$K$1478 = "", "", [1]K_Summary!$K$1478 ),"")</f>
        <v/>
      </c>
      <c r="L1493" s="163" t="str">
        <f>IFERROR(IF([1]K_Summary!$L$1478 = "", "", [1]K_Summary!$L$1478 ),"")</f>
        <v/>
      </c>
      <c r="M1493" s="163" t="str">
        <f>IFERROR(IF([1]K_Summary!$M$1478 = "", "", [1]K_Summary!$M$1478 ),"")</f>
        <v/>
      </c>
      <c r="N1493" s="164" t="str">
        <f>IFERROR(IF([1]K_Summary!$N$1478 = "", "", [1]K_Summary!$N$1478 ),"")</f>
        <v/>
      </c>
    </row>
    <row r="1494" spans="1:14" ht="15" hidden="1">
      <c r="A1494" s="719" t="s">
        <v>2289</v>
      </c>
      <c r="C1494" s="559"/>
      <c r="D1494" s="706"/>
      <c r="E1494" s="723" t="s">
        <v>1389</v>
      </c>
      <c r="F1494" s="723"/>
      <c r="G1494" s="723"/>
      <c r="H1494" s="726" t="s">
        <v>1021</v>
      </c>
      <c r="I1494" s="725"/>
      <c r="J1494" s="165" t="str">
        <f>IFERROR(IF([1]K_Summary!$J$1479 = "", "", [1]K_Summary!$J$1479 ),"")</f>
        <v/>
      </c>
      <c r="K1494" s="166" t="str">
        <f>IFERROR(IF([1]K_Summary!$K$1479 = "", "", [1]K_Summary!$K$1479 ),"")</f>
        <v/>
      </c>
      <c r="L1494" s="166" t="str">
        <f>IFERROR(IF([1]K_Summary!$L$1479 = "", "", [1]K_Summary!$L$1479 ),"")</f>
        <v/>
      </c>
      <c r="M1494" s="166" t="str">
        <f>IFERROR(IF([1]K_Summary!$M$1479 = "", "", [1]K_Summary!$M$1479 ),"")</f>
        <v/>
      </c>
      <c r="N1494" s="167" t="str">
        <f>IFERROR(IF([1]K_Summary!$N$1479 = "", "", [1]K_Summary!$N$1479 ),"")</f>
        <v/>
      </c>
    </row>
    <row r="1495" spans="1:14" ht="15" hidden="1">
      <c r="A1495" s="719" t="s">
        <v>2289</v>
      </c>
      <c r="C1495" s="559"/>
      <c r="D1495" s="706"/>
      <c r="E1495" s="727" t="s">
        <v>1391</v>
      </c>
      <c r="F1495" s="727"/>
      <c r="G1495" s="727"/>
      <c r="H1495" s="728" t="s">
        <v>1021</v>
      </c>
      <c r="I1495" s="729"/>
      <c r="J1495" s="168" t="str">
        <f>IFERROR(IF([1]K_Summary!$J$1480 = "", "", [1]K_Summary!$J$1480 ),"")</f>
        <v/>
      </c>
      <c r="K1495" s="169" t="str">
        <f>IFERROR(IF([1]K_Summary!$K$1480 = "", "", [1]K_Summary!$K$1480 ),"")</f>
        <v/>
      </c>
      <c r="L1495" s="169" t="str">
        <f>IFERROR(IF([1]K_Summary!$L$1480 = "", "", [1]K_Summary!$L$1480 ),"")</f>
        <v/>
      </c>
      <c r="M1495" s="169" t="str">
        <f>IFERROR(IF([1]K_Summary!$M$1480 = "", "", [1]K_Summary!$M$1480 ),"")</f>
        <v/>
      </c>
      <c r="N1495" s="170" t="str">
        <f>IFERROR(IF([1]K_Summary!$N$1480 = "", "", [1]K_Summary!$N$1480 ),"")</f>
        <v/>
      </c>
    </row>
    <row r="1496" spans="1:14" ht="15">
      <c r="C1496" s="559"/>
      <c r="D1496" s="706"/>
      <c r="E1496" s="698" t="s">
        <v>1671</v>
      </c>
      <c r="F1496" s="698"/>
      <c r="G1496" s="698"/>
      <c r="H1496" s="730" t="s">
        <v>2090</v>
      </c>
      <c r="I1496" s="731"/>
      <c r="J1496" s="148" t="str">
        <f>IFERROR(IF([1]K_Summary!$J$1481 = "", "", [1]K_Summary!$J$1481 ),"")</f>
        <v/>
      </c>
      <c r="K1496" s="150" t="str">
        <f>IFERROR(IF([1]K_Summary!$K$1481 = "", "", [1]K_Summary!$K$1481 ),"")</f>
        <v/>
      </c>
      <c r="L1496" s="150" t="str">
        <f>IFERROR(IF([1]K_Summary!$L$1481 = "", "", [1]K_Summary!$L$1481 ),"")</f>
        <v/>
      </c>
      <c r="M1496" s="150" t="str">
        <f>IFERROR(IF([1]K_Summary!$M$1481 = "", "", [1]K_Summary!$M$1481 ),"")</f>
        <v/>
      </c>
      <c r="N1496" s="171" t="str">
        <f>IFERROR(IF([1]K_Summary!$N$1481 = "", "", [1]K_Summary!$N$1481 ),"")</f>
        <v/>
      </c>
    </row>
    <row r="1497" spans="1:14" ht="15">
      <c r="C1497" s="559"/>
      <c r="D1497" s="706"/>
      <c r="E1497" s="559"/>
      <c r="F1497" s="559"/>
      <c r="G1497" s="559"/>
      <c r="H1497" s="559"/>
      <c r="I1497" s="559"/>
      <c r="J1497" s="559"/>
      <c r="K1497" s="559"/>
      <c r="L1497" s="559"/>
      <c r="M1497" s="559"/>
      <c r="N1497" s="717"/>
    </row>
    <row r="1498" spans="1:14" ht="15">
      <c r="C1498" s="559"/>
      <c r="D1498" s="706"/>
      <c r="E1498" s="707" t="s">
        <v>1752</v>
      </c>
      <c r="F1498" s="637"/>
      <c r="G1498" s="637"/>
      <c r="H1498" s="663" t="s">
        <v>884</v>
      </c>
      <c r="I1498" s="708"/>
      <c r="J1498" s="709">
        <v>2021</v>
      </c>
      <c r="K1498" s="671">
        <v>2022</v>
      </c>
      <c r="L1498" s="671">
        <v>2023</v>
      </c>
      <c r="M1498" s="671">
        <v>2024</v>
      </c>
      <c r="N1498" s="710">
        <v>2025</v>
      </c>
    </row>
    <row r="1499" spans="1:14" ht="15">
      <c r="C1499" s="559"/>
      <c r="D1499" s="706"/>
      <c r="E1499" s="720" t="s">
        <v>1691</v>
      </c>
      <c r="F1499" s="720"/>
      <c r="G1499" s="720"/>
      <c r="H1499" s="67" t="str">
        <f>IFERROR(IF([1]K_Summary!$H$1484 = "", "", [1]K_Summary!$H$1484 ),"")</f>
        <v>tonnes</v>
      </c>
      <c r="I1499" s="733"/>
      <c r="J1499" s="172" t="str">
        <f>IFERROR(IF([1]K_Summary!$J$1484 = "", "", [1]K_Summary!$J$1484 ),"")</f>
        <v/>
      </c>
      <c r="K1499" s="54" t="str">
        <f>IFERROR(IF([1]K_Summary!$K$1484 = "", "", [1]K_Summary!$K$1484 ),"")</f>
        <v/>
      </c>
      <c r="L1499" s="54" t="str">
        <f>IFERROR(IF([1]K_Summary!$L$1484 = "", "", [1]K_Summary!$L$1484 ),"")</f>
        <v/>
      </c>
      <c r="M1499" s="54" t="str">
        <f>IFERROR(IF([1]K_Summary!$M$1484 = "", "", [1]K_Summary!$M$1484 ),"")</f>
        <v/>
      </c>
      <c r="N1499" s="173" t="str">
        <f>IFERROR(IF([1]K_Summary!$N$1484 = "", "", [1]K_Summary!$N$1484 ),"")</f>
        <v/>
      </c>
    </row>
    <row r="1500" spans="1:14" ht="15">
      <c r="C1500" s="559"/>
      <c r="D1500" s="706"/>
      <c r="E1500" s="723" t="s">
        <v>1648</v>
      </c>
      <c r="F1500" s="723"/>
      <c r="G1500" s="723"/>
      <c r="H1500" s="734" t="s">
        <v>1021</v>
      </c>
      <c r="I1500" s="735"/>
      <c r="J1500" s="174" t="str">
        <f>IFERROR(IF([1]K_Summary!$J$1485 = "", "", [1]K_Summary!$J$1485 ),"")</f>
        <v/>
      </c>
      <c r="K1500" s="175" t="str">
        <f>IFERROR(IF([1]K_Summary!$K$1485 = "", "", [1]K_Summary!$K$1485 ),"")</f>
        <v/>
      </c>
      <c r="L1500" s="175" t="str">
        <f>IFERROR(IF([1]K_Summary!$L$1485 = "", "", [1]K_Summary!$L$1485 ),"")</f>
        <v/>
      </c>
      <c r="M1500" s="175" t="str">
        <f>IFERROR(IF([1]K_Summary!$M$1485 = "", "", [1]K_Summary!$M$1485 ),"")</f>
        <v/>
      </c>
      <c r="N1500" s="176" t="str">
        <f>IFERROR(IF([1]K_Summary!$N$1485 = "", "", [1]K_Summary!$N$1485 ),"")</f>
        <v/>
      </c>
    </row>
    <row r="1501" spans="1:14" ht="15">
      <c r="C1501" s="559"/>
      <c r="D1501" s="706"/>
      <c r="E1501" s="736" t="s">
        <v>1850</v>
      </c>
      <c r="F1501" s="736"/>
      <c r="G1501" s="736"/>
      <c r="H1501" s="737" t="s">
        <v>1021</v>
      </c>
      <c r="I1501" s="738"/>
      <c r="J1501" s="177" t="str">
        <f>IFERROR(IF([1]K_Summary!$J$1486 = "", "", [1]K_Summary!$J$1486 ),"")</f>
        <v/>
      </c>
      <c r="K1501" s="178" t="str">
        <f>IFERROR(IF([1]K_Summary!$K$1486 = "", "", [1]K_Summary!$K$1486 ),"")</f>
        <v/>
      </c>
      <c r="L1501" s="178" t="str">
        <f>IFERROR(IF([1]K_Summary!$L$1486 = "", "", [1]K_Summary!$L$1486 ),"")</f>
        <v/>
      </c>
      <c r="M1501" s="178" t="str">
        <f>IFERROR(IF([1]K_Summary!$M$1486 = "", "", [1]K_Summary!$M$1486 ),"")</f>
        <v/>
      </c>
      <c r="N1501" s="179" t="str">
        <f>IFERROR(IF([1]K_Summary!$N$1486 = "", "", [1]K_Summary!$N$1486 ),"")</f>
        <v/>
      </c>
    </row>
    <row r="1502" spans="1:14" ht="15">
      <c r="C1502" s="559"/>
      <c r="D1502" s="706"/>
      <c r="E1502" s="727" t="s">
        <v>1689</v>
      </c>
      <c r="F1502" s="727"/>
      <c r="G1502" s="727"/>
      <c r="H1502" s="68" t="str">
        <f>IFERROR(IF([1]K_Summary!$H$1487 = "", "", [1]K_Summary!$H$1487 ),"")</f>
        <v>tonnes</v>
      </c>
      <c r="I1502" s="727"/>
      <c r="J1502" s="180" t="str">
        <f>IFERROR(IF([1]K_Summary!$J$1487 = "", "", [1]K_Summary!$J$1487 ),"")</f>
        <v/>
      </c>
      <c r="K1502" s="181" t="str">
        <f>IFERROR(IF([1]K_Summary!$K$1487 = "", "", [1]K_Summary!$K$1487 ),"")</f>
        <v/>
      </c>
      <c r="L1502" s="181" t="str">
        <f>IFERROR(IF([1]K_Summary!$L$1487 = "", "", [1]K_Summary!$L$1487 ),"")</f>
        <v/>
      </c>
      <c r="M1502" s="181" t="str">
        <f>IFERROR(IF([1]K_Summary!$M$1487 = "", "", [1]K_Summary!$M$1487 ),"")</f>
        <v/>
      </c>
      <c r="N1502" s="182" t="str">
        <f>IFERROR(IF([1]K_Summary!$N$1487 = "", "", [1]K_Summary!$N$1487 ),"")</f>
        <v/>
      </c>
    </row>
    <row r="1503" spans="1:14" ht="15" hidden="1">
      <c r="A1503" s="719" t="s">
        <v>2289</v>
      </c>
      <c r="C1503" s="559"/>
      <c r="D1503" s="706"/>
      <c r="E1503" s="720" t="s">
        <v>303</v>
      </c>
      <c r="F1503" s="720"/>
      <c r="G1503" s="720"/>
      <c r="H1503" s="721" t="s">
        <v>2090</v>
      </c>
      <c r="I1503" s="722"/>
      <c r="J1503" s="159" t="str">
        <f>IFERROR(IF([1]K_Summary!$J$1488 = "", "", [1]K_Summary!$J$1488 ),"")</f>
        <v/>
      </c>
      <c r="K1503" s="160" t="str">
        <f>IFERROR(IF([1]K_Summary!$K$1488 = "", "", [1]K_Summary!$K$1488 ),"")</f>
        <v/>
      </c>
      <c r="L1503" s="160" t="str">
        <f>IFERROR(IF([1]K_Summary!$L$1488 = "", "", [1]K_Summary!$L$1488 ),"")</f>
        <v/>
      </c>
      <c r="M1503" s="160" t="str">
        <f>IFERROR(IF([1]K_Summary!$M$1488 = "", "", [1]K_Summary!$M$1488 ),"")</f>
        <v/>
      </c>
      <c r="N1503" s="161" t="str">
        <f>IFERROR(IF([1]K_Summary!$N$1488 = "", "", [1]K_Summary!$N$1488 ),"")</f>
        <v/>
      </c>
    </row>
    <row r="1504" spans="1:14" ht="15" hidden="1">
      <c r="A1504" s="719" t="s">
        <v>2289</v>
      </c>
      <c r="C1504" s="559"/>
      <c r="D1504" s="706"/>
      <c r="E1504" s="723" t="s">
        <v>1422</v>
      </c>
      <c r="F1504" s="723"/>
      <c r="G1504" s="723"/>
      <c r="H1504" s="724" t="s">
        <v>2090</v>
      </c>
      <c r="I1504" s="725"/>
      <c r="J1504" s="162" t="str">
        <f>IFERROR(IF([1]K_Summary!$J$1489 = "", "", [1]K_Summary!$J$1489 ),"")</f>
        <v/>
      </c>
      <c r="K1504" s="163" t="str">
        <f>IFERROR(IF([1]K_Summary!$K$1489 = "", "", [1]K_Summary!$K$1489 ),"")</f>
        <v/>
      </c>
      <c r="L1504" s="163" t="str">
        <f>IFERROR(IF([1]K_Summary!$L$1489 = "", "", [1]K_Summary!$L$1489 ),"")</f>
        <v/>
      </c>
      <c r="M1504" s="163" t="str">
        <f>IFERROR(IF([1]K_Summary!$M$1489 = "", "", [1]K_Summary!$M$1489 ),"")</f>
        <v/>
      </c>
      <c r="N1504" s="164" t="str">
        <f>IFERROR(IF([1]K_Summary!$N$1489 = "", "", [1]K_Summary!$N$1489 ),"")</f>
        <v/>
      </c>
    </row>
    <row r="1505" spans="1:14" ht="15" hidden="1">
      <c r="A1505" s="719" t="s">
        <v>2289</v>
      </c>
      <c r="C1505" s="559"/>
      <c r="D1505" s="706"/>
      <c r="E1505" s="723" t="s">
        <v>1390</v>
      </c>
      <c r="F1505" s="723"/>
      <c r="G1505" s="723"/>
      <c r="H1505" s="724" t="s">
        <v>2090</v>
      </c>
      <c r="I1505" s="725"/>
      <c r="J1505" s="162" t="str">
        <f>IFERROR(IF([1]K_Summary!$J$1490 = "", "", [1]K_Summary!$J$1490 ),"")</f>
        <v/>
      </c>
      <c r="K1505" s="163" t="str">
        <f>IFERROR(IF([1]K_Summary!$K$1490 = "", "", [1]K_Summary!$K$1490 ),"")</f>
        <v/>
      </c>
      <c r="L1505" s="163" t="str">
        <f>IFERROR(IF([1]K_Summary!$L$1490 = "", "", [1]K_Summary!$L$1490 ),"")</f>
        <v/>
      </c>
      <c r="M1505" s="163" t="str">
        <f>IFERROR(IF([1]K_Summary!$M$1490 = "", "", [1]K_Summary!$M$1490 ),"")</f>
        <v/>
      </c>
      <c r="N1505" s="164" t="str">
        <f>IFERROR(IF([1]K_Summary!$N$1490 = "", "", [1]K_Summary!$N$1490 ),"")</f>
        <v/>
      </c>
    </row>
    <row r="1506" spans="1:14" ht="15" hidden="1">
      <c r="A1506" s="719" t="s">
        <v>2289</v>
      </c>
      <c r="C1506" s="559"/>
      <c r="D1506" s="706"/>
      <c r="E1506" s="723" t="s">
        <v>1389</v>
      </c>
      <c r="F1506" s="723"/>
      <c r="G1506" s="723"/>
      <c r="H1506" s="726" t="s">
        <v>1021</v>
      </c>
      <c r="I1506" s="725"/>
      <c r="J1506" s="165" t="str">
        <f>IFERROR(IF([1]K_Summary!$J$1491 = "", "", [1]K_Summary!$J$1491 ),"")</f>
        <v/>
      </c>
      <c r="K1506" s="166" t="str">
        <f>IFERROR(IF([1]K_Summary!$K$1491 = "", "", [1]K_Summary!$K$1491 ),"")</f>
        <v/>
      </c>
      <c r="L1506" s="166" t="str">
        <f>IFERROR(IF([1]K_Summary!$L$1491 = "", "", [1]K_Summary!$L$1491 ),"")</f>
        <v/>
      </c>
      <c r="M1506" s="166" t="str">
        <f>IFERROR(IF([1]K_Summary!$M$1491 = "", "", [1]K_Summary!$M$1491 ),"")</f>
        <v/>
      </c>
      <c r="N1506" s="167" t="str">
        <f>IFERROR(IF([1]K_Summary!$N$1491 = "", "", [1]K_Summary!$N$1491 ),"")</f>
        <v/>
      </c>
    </row>
    <row r="1507" spans="1:14" ht="15" hidden="1">
      <c r="A1507" s="719" t="s">
        <v>2289</v>
      </c>
      <c r="C1507" s="559"/>
      <c r="D1507" s="706"/>
      <c r="E1507" s="727" t="s">
        <v>1391</v>
      </c>
      <c r="F1507" s="727"/>
      <c r="G1507" s="727"/>
      <c r="H1507" s="728" t="s">
        <v>1021</v>
      </c>
      <c r="I1507" s="729"/>
      <c r="J1507" s="168" t="str">
        <f>IFERROR(IF([1]K_Summary!$J$1492 = "", "", [1]K_Summary!$J$1492 ),"")</f>
        <v/>
      </c>
      <c r="K1507" s="169" t="str">
        <f>IFERROR(IF([1]K_Summary!$K$1492 = "", "", [1]K_Summary!$K$1492 ),"")</f>
        <v/>
      </c>
      <c r="L1507" s="169" t="str">
        <f>IFERROR(IF([1]K_Summary!$L$1492 = "", "", [1]K_Summary!$L$1492 ),"")</f>
        <v/>
      </c>
      <c r="M1507" s="169" t="str">
        <f>IFERROR(IF([1]K_Summary!$M$1492 = "", "", [1]K_Summary!$M$1492 ),"")</f>
        <v/>
      </c>
      <c r="N1507" s="170" t="str">
        <f>IFERROR(IF([1]K_Summary!$N$1492 = "", "", [1]K_Summary!$N$1492 ),"")</f>
        <v/>
      </c>
    </row>
    <row r="1508" spans="1:14" ht="15">
      <c r="C1508" s="559"/>
      <c r="D1508" s="706"/>
      <c r="E1508" s="698" t="s">
        <v>1671</v>
      </c>
      <c r="F1508" s="698"/>
      <c r="G1508" s="698"/>
      <c r="H1508" s="730" t="s">
        <v>2090</v>
      </c>
      <c r="I1508" s="731"/>
      <c r="J1508" s="148" t="str">
        <f>IFERROR(IF([1]K_Summary!$J$1493 = "", "", [1]K_Summary!$J$1493 ),"")</f>
        <v/>
      </c>
      <c r="K1508" s="150" t="str">
        <f>IFERROR(IF([1]K_Summary!$K$1493 = "", "", [1]K_Summary!$K$1493 ),"")</f>
        <v/>
      </c>
      <c r="L1508" s="150" t="str">
        <f>IFERROR(IF([1]K_Summary!$L$1493 = "", "", [1]K_Summary!$L$1493 ),"")</f>
        <v/>
      </c>
      <c r="M1508" s="150" t="str">
        <f>IFERROR(IF([1]K_Summary!$M$1493 = "", "", [1]K_Summary!$M$1493 ),"")</f>
        <v/>
      </c>
      <c r="N1508" s="171" t="str">
        <f>IFERROR(IF([1]K_Summary!$N$1493 = "", "", [1]K_Summary!$N$1493 ),"")</f>
        <v/>
      </c>
    </row>
    <row r="1509" spans="1:14" ht="15">
      <c r="C1509" s="559"/>
      <c r="D1509" s="706"/>
      <c r="E1509" s="698" t="s">
        <v>1670</v>
      </c>
      <c r="F1509" s="698"/>
      <c r="G1509" s="698"/>
      <c r="H1509" s="730" t="s">
        <v>2090</v>
      </c>
      <c r="I1509" s="731"/>
      <c r="J1509" s="148" t="str">
        <f>IFERROR(IF([1]K_Summary!$J$1494 = "", "", [1]K_Summary!$J$1494 ),"")</f>
        <v/>
      </c>
      <c r="K1509" s="150" t="str">
        <f>IFERROR(IF([1]K_Summary!$K$1494 = "", "", [1]K_Summary!$K$1494 ),"")</f>
        <v/>
      </c>
      <c r="L1509" s="150" t="str">
        <f>IFERROR(IF([1]K_Summary!$L$1494 = "", "", [1]K_Summary!$L$1494 ),"")</f>
        <v/>
      </c>
      <c r="M1509" s="150" t="str">
        <f>IFERROR(IF([1]K_Summary!$M$1494 = "", "", [1]K_Summary!$M$1494 ),"")</f>
        <v/>
      </c>
      <c r="N1509" s="171" t="str">
        <f>IFERROR(IF([1]K_Summary!$N$1494 = "", "", [1]K_Summary!$N$1494 ),"")</f>
        <v/>
      </c>
    </row>
    <row r="1510" spans="1:14" ht="15">
      <c r="C1510" s="559"/>
      <c r="D1510" s="706"/>
      <c r="E1510" s="740" t="s">
        <v>2130</v>
      </c>
      <c r="F1510" s="740"/>
      <c r="G1510" s="740"/>
      <c r="H1510" s="741" t="s">
        <v>1021</v>
      </c>
      <c r="I1510" s="742"/>
      <c r="J1510" s="183" t="str">
        <f>IFERROR(IF([1]K_Summary!$J$1495 = "", "", [1]K_Summary!$J$1495 ),"")</f>
        <v/>
      </c>
      <c r="K1510" s="184" t="str">
        <f>IFERROR(IF([1]K_Summary!$K$1495 = "", "", [1]K_Summary!$K$1495 ),"")</f>
        <v/>
      </c>
      <c r="L1510" s="184" t="str">
        <f>IFERROR(IF([1]K_Summary!$L$1495 = "", "", [1]K_Summary!$L$1495 ),"")</f>
        <v/>
      </c>
      <c r="M1510" s="184" t="str">
        <f>IFERROR(IF([1]K_Summary!$M$1495 = "", "", [1]K_Summary!$M$1495 ),"")</f>
        <v/>
      </c>
      <c r="N1510" s="185" t="str">
        <f>IFERROR(IF([1]K_Summary!$N$1495 = "", "", [1]K_Summary!$N$1495 ),"")</f>
        <v/>
      </c>
    </row>
    <row r="1511" spans="1:14" ht="15">
      <c r="C1511" s="559"/>
      <c r="D1511" s="706"/>
      <c r="E1511" s="485"/>
      <c r="F1511" s="485"/>
      <c r="G1511" s="485"/>
      <c r="H1511" s="485"/>
      <c r="I1511" s="743"/>
      <c r="J1511" s="485"/>
      <c r="K1511" s="485"/>
      <c r="L1511" s="485"/>
      <c r="M1511" s="485"/>
      <c r="N1511" s="744"/>
    </row>
    <row r="1512" spans="1:14" ht="15">
      <c r="C1512" s="559"/>
      <c r="D1512" s="706"/>
      <c r="E1512" s="707" t="s">
        <v>1753</v>
      </c>
      <c r="F1512" s="637"/>
      <c r="G1512" s="637"/>
      <c r="H1512" s="663" t="s">
        <v>884</v>
      </c>
      <c r="I1512" s="708"/>
      <c r="J1512" s="709">
        <v>2021</v>
      </c>
      <c r="K1512" s="671">
        <v>2022</v>
      </c>
      <c r="L1512" s="671">
        <v>2023</v>
      </c>
      <c r="M1512" s="671">
        <v>2024</v>
      </c>
      <c r="N1512" s="710">
        <v>2025</v>
      </c>
    </row>
    <row r="1513" spans="1:14" ht="15" hidden="1">
      <c r="A1513" s="719" t="s">
        <v>2289</v>
      </c>
      <c r="C1513" s="559"/>
      <c r="D1513" s="706"/>
      <c r="E1513" s="698" t="s">
        <v>1714</v>
      </c>
      <c r="F1513" s="698"/>
      <c r="G1513" s="698"/>
      <c r="H1513" s="63" t="str">
        <f>IFERROR(IF([1]K_Summary!$H$1498 = "", "", [1]K_Summary!$H$1498 ),"")</f>
        <v>tonnes</v>
      </c>
      <c r="I1513" s="698"/>
      <c r="J1513" s="157" t="str">
        <f>IFERROR(IF([1]K_Summary!$J$1498 = "", "", [1]K_Summary!$J$1498 ),"")</f>
        <v/>
      </c>
      <c r="K1513" s="147" t="str">
        <f>IFERROR(IF([1]K_Summary!$K$1498 = "", "", [1]K_Summary!$K$1498 ),"")</f>
        <v/>
      </c>
      <c r="L1513" s="147" t="str">
        <f>IFERROR(IF([1]K_Summary!$L$1498 = "", "", [1]K_Summary!$L$1498 ),"")</f>
        <v/>
      </c>
      <c r="M1513" s="147" t="str">
        <f>IFERROR(IF([1]K_Summary!$M$1498 = "", "", [1]K_Summary!$M$1498 ),"")</f>
        <v/>
      </c>
      <c r="N1513" s="158" t="str">
        <f>IFERROR(IF([1]K_Summary!$N$1498 = "", "", [1]K_Summary!$N$1498 ),"")</f>
        <v/>
      </c>
    </row>
    <row r="1514" spans="1:14" ht="15" hidden="1">
      <c r="A1514" s="719" t="s">
        <v>2289</v>
      </c>
      <c r="C1514" s="559"/>
      <c r="D1514" s="706"/>
      <c r="E1514" s="720" t="s">
        <v>303</v>
      </c>
      <c r="F1514" s="720"/>
      <c r="G1514" s="720"/>
      <c r="H1514" s="721" t="s">
        <v>2090</v>
      </c>
      <c r="I1514" s="722"/>
      <c r="J1514" s="159" t="str">
        <f>IFERROR(IF([1]K_Summary!$J$1499 = "", "", [1]K_Summary!$J$1499 ),"")</f>
        <v/>
      </c>
      <c r="K1514" s="160" t="str">
        <f>IFERROR(IF([1]K_Summary!$K$1499 = "", "", [1]K_Summary!$K$1499 ),"")</f>
        <v/>
      </c>
      <c r="L1514" s="160" t="str">
        <f>IFERROR(IF([1]K_Summary!$L$1499 = "", "", [1]K_Summary!$L$1499 ),"")</f>
        <v/>
      </c>
      <c r="M1514" s="160" t="str">
        <f>IFERROR(IF([1]K_Summary!$M$1499 = "", "", [1]K_Summary!$M$1499 ),"")</f>
        <v/>
      </c>
      <c r="N1514" s="161" t="str">
        <f>IFERROR(IF([1]K_Summary!$N$1499 = "", "", [1]K_Summary!$N$1499 ),"")</f>
        <v/>
      </c>
    </row>
    <row r="1515" spans="1:14" ht="15" hidden="1">
      <c r="A1515" s="719" t="s">
        <v>2289</v>
      </c>
      <c r="C1515" s="559"/>
      <c r="D1515" s="706"/>
      <c r="E1515" s="723" t="s">
        <v>1422</v>
      </c>
      <c r="F1515" s="723"/>
      <c r="G1515" s="723"/>
      <c r="H1515" s="724" t="s">
        <v>2090</v>
      </c>
      <c r="I1515" s="725"/>
      <c r="J1515" s="162" t="str">
        <f>IFERROR(IF([1]K_Summary!$J$1500 = "", "", [1]K_Summary!$J$1500 ),"")</f>
        <v/>
      </c>
      <c r="K1515" s="163" t="str">
        <f>IFERROR(IF([1]K_Summary!$K$1500 = "", "", [1]K_Summary!$K$1500 ),"")</f>
        <v/>
      </c>
      <c r="L1515" s="163" t="str">
        <f>IFERROR(IF([1]K_Summary!$L$1500 = "", "", [1]K_Summary!$L$1500 ),"")</f>
        <v/>
      </c>
      <c r="M1515" s="163" t="str">
        <f>IFERROR(IF([1]K_Summary!$M$1500 = "", "", [1]K_Summary!$M$1500 ),"")</f>
        <v/>
      </c>
      <c r="N1515" s="164" t="str">
        <f>IFERROR(IF([1]K_Summary!$N$1500 = "", "", [1]K_Summary!$N$1500 ),"")</f>
        <v/>
      </c>
    </row>
    <row r="1516" spans="1:14" ht="15" hidden="1">
      <c r="A1516" s="719" t="s">
        <v>2289</v>
      </c>
      <c r="C1516" s="559"/>
      <c r="D1516" s="706"/>
      <c r="E1516" s="745" t="s">
        <v>1390</v>
      </c>
      <c r="F1516" s="745"/>
      <c r="G1516" s="745"/>
      <c r="H1516" s="746" t="s">
        <v>2090</v>
      </c>
      <c r="I1516" s="747"/>
      <c r="J1516" s="186" t="str">
        <f>IFERROR(IF([1]K_Summary!$J$1501 = "", "", [1]K_Summary!$J$1501 ),"")</f>
        <v/>
      </c>
      <c r="K1516" s="187" t="str">
        <f>IFERROR(IF([1]K_Summary!$K$1501 = "", "", [1]K_Summary!$K$1501 ),"")</f>
        <v/>
      </c>
      <c r="L1516" s="187" t="str">
        <f>IFERROR(IF([1]K_Summary!$L$1501 = "", "", [1]K_Summary!$L$1501 ),"")</f>
        <v/>
      </c>
      <c r="M1516" s="187" t="str">
        <f>IFERROR(IF([1]K_Summary!$M$1501 = "", "", [1]K_Summary!$M$1501 ),"")</f>
        <v/>
      </c>
      <c r="N1516" s="188" t="str">
        <f>IFERROR(IF([1]K_Summary!$N$1501 = "", "", [1]K_Summary!$N$1501 ),"")</f>
        <v/>
      </c>
    </row>
    <row r="1517" spans="1:14" ht="15">
      <c r="C1517" s="559"/>
      <c r="D1517" s="706"/>
      <c r="E1517" s="720" t="s">
        <v>1691</v>
      </c>
      <c r="F1517" s="720"/>
      <c r="G1517" s="720"/>
      <c r="H1517" s="748" t="s">
        <v>1021</v>
      </c>
      <c r="I1517" s="722"/>
      <c r="J1517" s="189" t="str">
        <f>IFERROR(IF([1]K_Summary!$J$1502 = "", "", [1]K_Summary!$J$1502 ),"")</f>
        <v/>
      </c>
      <c r="K1517" s="190" t="str">
        <f>IFERROR(IF([1]K_Summary!$K$1502 = "", "", [1]K_Summary!$K$1502 ),"")</f>
        <v/>
      </c>
      <c r="L1517" s="190" t="str">
        <f>IFERROR(IF([1]K_Summary!$L$1502 = "", "", [1]K_Summary!$L$1502 ),"")</f>
        <v/>
      </c>
      <c r="M1517" s="190" t="str">
        <f>IFERROR(IF([1]K_Summary!$M$1502 = "", "", [1]K_Summary!$M$1502 ),"")</f>
        <v/>
      </c>
      <c r="N1517" s="191" t="str">
        <f>IFERROR(IF([1]K_Summary!$N$1502 = "", "", [1]K_Summary!$N$1502 ),"")</f>
        <v/>
      </c>
    </row>
    <row r="1518" spans="1:14" ht="15">
      <c r="C1518" s="559"/>
      <c r="D1518" s="706"/>
      <c r="E1518" s="723" t="s">
        <v>1648</v>
      </c>
      <c r="F1518" s="723"/>
      <c r="G1518" s="723"/>
      <c r="H1518" s="734" t="s">
        <v>1021</v>
      </c>
      <c r="I1518" s="735"/>
      <c r="J1518" s="174" t="str">
        <f>IFERROR(IF([1]K_Summary!$J$1503 = "", "", [1]K_Summary!$J$1503 ),"")</f>
        <v/>
      </c>
      <c r="K1518" s="175" t="str">
        <f>IFERROR(IF([1]K_Summary!$K$1503 = "", "", [1]K_Summary!$K$1503 ),"")</f>
        <v/>
      </c>
      <c r="L1518" s="175" t="str">
        <f>IFERROR(IF([1]K_Summary!$L$1503 = "", "", [1]K_Summary!$L$1503 ),"")</f>
        <v/>
      </c>
      <c r="M1518" s="175" t="str">
        <f>IFERROR(IF([1]K_Summary!$M$1503 = "", "", [1]K_Summary!$M$1503 ),"")</f>
        <v/>
      </c>
      <c r="N1518" s="176" t="str">
        <f>IFERROR(IF([1]K_Summary!$N$1503 = "", "", [1]K_Summary!$N$1503 ),"")</f>
        <v/>
      </c>
    </row>
    <row r="1519" spans="1:14" ht="15">
      <c r="C1519" s="559"/>
      <c r="D1519" s="706"/>
      <c r="E1519" s="736" t="s">
        <v>1852</v>
      </c>
      <c r="F1519" s="736"/>
      <c r="G1519" s="736"/>
      <c r="H1519" s="737" t="s">
        <v>1021</v>
      </c>
      <c r="I1519" s="738"/>
      <c r="J1519" s="177" t="str">
        <f>IFERROR(IF([1]K_Summary!$J$1504 = "", "", [1]K_Summary!$J$1504 ),"")</f>
        <v/>
      </c>
      <c r="K1519" s="178" t="str">
        <f>IFERROR(IF([1]K_Summary!$K$1504 = "", "", [1]K_Summary!$K$1504 ),"")</f>
        <v/>
      </c>
      <c r="L1519" s="178" t="str">
        <f>IFERROR(IF([1]K_Summary!$L$1504 = "", "", [1]K_Summary!$L$1504 ),"")</f>
        <v/>
      </c>
      <c r="M1519" s="178" t="str">
        <f>IFERROR(IF([1]K_Summary!$M$1504 = "", "", [1]K_Summary!$M$1504 ),"")</f>
        <v/>
      </c>
      <c r="N1519" s="179" t="str">
        <f>IFERROR(IF([1]K_Summary!$N$1504 = "", "", [1]K_Summary!$N$1504 ),"")</f>
        <v/>
      </c>
    </row>
    <row r="1520" spans="1:14" ht="15">
      <c r="C1520" s="559"/>
      <c r="D1520" s="706"/>
      <c r="E1520" s="727" t="s">
        <v>1689</v>
      </c>
      <c r="F1520" s="727"/>
      <c r="G1520" s="727"/>
      <c r="H1520" s="749" t="s">
        <v>1021</v>
      </c>
      <c r="I1520" s="727"/>
      <c r="J1520" s="192" t="str">
        <f>IFERROR(IF([1]K_Summary!$J$1505 = "", "", [1]K_Summary!$J$1505 ),"")</f>
        <v/>
      </c>
      <c r="K1520" s="193" t="str">
        <f>IFERROR(IF([1]K_Summary!$K$1505 = "", "", [1]K_Summary!$K$1505 ),"")</f>
        <v/>
      </c>
      <c r="L1520" s="193" t="str">
        <f>IFERROR(IF([1]K_Summary!$L$1505 = "", "", [1]K_Summary!$L$1505 ),"")</f>
        <v/>
      </c>
      <c r="M1520" s="193" t="str">
        <f>IFERROR(IF([1]K_Summary!$M$1505 = "", "", [1]K_Summary!$M$1505 ),"")</f>
        <v/>
      </c>
      <c r="N1520" s="194" t="str">
        <f>IFERROR(IF([1]K_Summary!$N$1505 = "", "", [1]K_Summary!$N$1505 ),"")</f>
        <v/>
      </c>
    </row>
    <row r="1521" spans="1:14" ht="15" hidden="1">
      <c r="A1521" s="719" t="s">
        <v>2289</v>
      </c>
      <c r="C1521" s="559"/>
      <c r="D1521" s="706"/>
      <c r="E1521" s="727" t="s">
        <v>1391</v>
      </c>
      <c r="F1521" s="727"/>
      <c r="G1521" s="727"/>
      <c r="H1521" s="750" t="s">
        <v>1021</v>
      </c>
      <c r="I1521" s="729"/>
      <c r="J1521" s="168" t="str">
        <f>IFERROR(IF([1]K_Summary!$J$1506 = "", "", [1]K_Summary!$J$1506 ),"")</f>
        <v/>
      </c>
      <c r="K1521" s="169" t="str">
        <f>IFERROR(IF([1]K_Summary!$K$1506 = "", "", [1]K_Summary!$K$1506 ),"")</f>
        <v/>
      </c>
      <c r="L1521" s="169" t="str">
        <f>IFERROR(IF([1]K_Summary!$L$1506 = "", "", [1]K_Summary!$L$1506 ),"")</f>
        <v/>
      </c>
      <c r="M1521" s="169" t="str">
        <f>IFERROR(IF([1]K_Summary!$M$1506 = "", "", [1]K_Summary!$M$1506 ),"")</f>
        <v/>
      </c>
      <c r="N1521" s="170" t="str">
        <f>IFERROR(IF([1]K_Summary!$N$1506 = "", "", [1]K_Summary!$N$1506 ),"")</f>
        <v/>
      </c>
    </row>
    <row r="1522" spans="1:14" ht="15">
      <c r="C1522" s="559"/>
      <c r="D1522" s="706"/>
      <c r="E1522" s="698" t="s">
        <v>1671</v>
      </c>
      <c r="F1522" s="698"/>
      <c r="G1522" s="698"/>
      <c r="H1522" s="730" t="s">
        <v>2090</v>
      </c>
      <c r="I1522" s="731"/>
      <c r="J1522" s="148" t="str">
        <f>IFERROR(IF([1]K_Summary!$J$1507 = "", "", [1]K_Summary!$J$1507 ),"")</f>
        <v/>
      </c>
      <c r="K1522" s="150" t="str">
        <f>IFERROR(IF([1]K_Summary!$K$1507 = "", "", [1]K_Summary!$K$1507 ),"")</f>
        <v/>
      </c>
      <c r="L1522" s="150" t="str">
        <f>IFERROR(IF([1]K_Summary!$L$1507 = "", "", [1]K_Summary!$L$1507 ),"")</f>
        <v/>
      </c>
      <c r="M1522" s="150" t="str">
        <f>IFERROR(IF([1]K_Summary!$M$1507 = "", "", [1]K_Summary!$M$1507 ),"")</f>
        <v/>
      </c>
      <c r="N1522" s="171" t="str">
        <f>IFERROR(IF([1]K_Summary!$N$1507 = "", "", [1]K_Summary!$N$1507 ),"")</f>
        <v/>
      </c>
    </row>
    <row r="1523" spans="1:14" ht="15">
      <c r="C1523" s="559"/>
      <c r="D1523" s="706"/>
      <c r="E1523" s="698" t="s">
        <v>1670</v>
      </c>
      <c r="F1523" s="698"/>
      <c r="G1523" s="698"/>
      <c r="H1523" s="730" t="s">
        <v>2090</v>
      </c>
      <c r="I1523" s="731"/>
      <c r="J1523" s="148" t="str">
        <f>IFERROR(IF([1]K_Summary!$J$1508 = "", "", [1]K_Summary!$J$1508 ),"")</f>
        <v/>
      </c>
      <c r="K1523" s="150" t="str">
        <f>IFERROR(IF([1]K_Summary!$K$1508 = "", "", [1]K_Summary!$K$1508 ),"")</f>
        <v/>
      </c>
      <c r="L1523" s="150" t="str">
        <f>IFERROR(IF([1]K_Summary!$L$1508 = "", "", [1]K_Summary!$L$1508 ),"")</f>
        <v/>
      </c>
      <c r="M1523" s="150" t="str">
        <f>IFERROR(IF([1]K_Summary!$M$1508 = "", "", [1]K_Summary!$M$1508 ),"")</f>
        <v/>
      </c>
      <c r="N1523" s="171" t="str">
        <f>IFERROR(IF([1]K_Summary!$N$1508 = "", "", [1]K_Summary!$N$1508 ),"")</f>
        <v/>
      </c>
    </row>
    <row r="1524" spans="1:14" ht="15">
      <c r="C1524" s="559"/>
      <c r="D1524" s="706"/>
      <c r="E1524" s="740" t="s">
        <v>2131</v>
      </c>
      <c r="F1524" s="740"/>
      <c r="G1524" s="740"/>
      <c r="H1524" s="741" t="s">
        <v>1021</v>
      </c>
      <c r="I1524" s="742"/>
      <c r="J1524" s="183" t="str">
        <f>IFERROR(IF([1]K_Summary!$J$1509 = "", "", [1]K_Summary!$J$1509 ),"")</f>
        <v/>
      </c>
      <c r="K1524" s="184" t="str">
        <f>IFERROR(IF([1]K_Summary!$K$1509 = "", "", [1]K_Summary!$K$1509 ),"")</f>
        <v/>
      </c>
      <c r="L1524" s="184" t="str">
        <f>IFERROR(IF([1]K_Summary!$L$1509 = "", "", [1]K_Summary!$L$1509 ),"")</f>
        <v/>
      </c>
      <c r="M1524" s="184" t="str">
        <f>IFERROR(IF([1]K_Summary!$M$1509 = "", "", [1]K_Summary!$M$1509 ),"")</f>
        <v/>
      </c>
      <c r="N1524" s="185" t="str">
        <f>IFERROR(IF([1]K_Summary!$N$1509 = "", "", [1]K_Summary!$N$1509 ),"")</f>
        <v/>
      </c>
    </row>
    <row r="1525" spans="1:14" ht="15">
      <c r="C1525" s="559"/>
      <c r="D1525" s="706"/>
      <c r="E1525" s="485"/>
      <c r="F1525" s="485"/>
      <c r="G1525" s="485"/>
      <c r="H1525" s="485"/>
      <c r="I1525" s="743"/>
      <c r="J1525" s="485"/>
      <c r="K1525" s="485"/>
      <c r="L1525" s="485"/>
      <c r="M1525" s="485"/>
      <c r="N1525" s="744"/>
    </row>
    <row r="1526" spans="1:14" ht="15">
      <c r="C1526" s="559"/>
      <c r="D1526" s="706"/>
      <c r="E1526" s="707" t="s">
        <v>1754</v>
      </c>
      <c r="F1526" s="637"/>
      <c r="G1526" s="637"/>
      <c r="H1526" s="663" t="s">
        <v>884</v>
      </c>
      <c r="I1526" s="708"/>
      <c r="J1526" s="709">
        <v>2021</v>
      </c>
      <c r="K1526" s="671">
        <v>2022</v>
      </c>
      <c r="L1526" s="671">
        <v>2023</v>
      </c>
      <c r="M1526" s="671">
        <v>2024</v>
      </c>
      <c r="N1526" s="710">
        <v>2025</v>
      </c>
    </row>
    <row r="1527" spans="1:14" ht="15" hidden="1">
      <c r="A1527" s="719" t="s">
        <v>2289</v>
      </c>
      <c r="C1527" s="559"/>
      <c r="D1527" s="706"/>
      <c r="E1527" s="698" t="s">
        <v>1714</v>
      </c>
      <c r="F1527" s="698"/>
      <c r="G1527" s="698"/>
      <c r="H1527" s="63" t="str">
        <f>IFERROR(IF([1]K_Summary!$H$1512 = "", "", [1]K_Summary!$H$1512 ),"")</f>
        <v>tonnes</v>
      </c>
      <c r="I1527" s="698"/>
      <c r="J1527" s="157" t="str">
        <f>IFERROR(IF([1]K_Summary!$J$1512 = "", "", [1]K_Summary!$J$1512 ),"")</f>
        <v/>
      </c>
      <c r="K1527" s="147" t="str">
        <f>IFERROR(IF([1]K_Summary!$K$1512 = "", "", [1]K_Summary!$K$1512 ),"")</f>
        <v/>
      </c>
      <c r="L1527" s="147" t="str">
        <f>IFERROR(IF([1]K_Summary!$L$1512 = "", "", [1]K_Summary!$L$1512 ),"")</f>
        <v/>
      </c>
      <c r="M1527" s="147" t="str">
        <f>IFERROR(IF([1]K_Summary!$M$1512 = "", "", [1]K_Summary!$M$1512 ),"")</f>
        <v/>
      </c>
      <c r="N1527" s="158" t="str">
        <f>IFERROR(IF([1]K_Summary!$N$1512 = "", "", [1]K_Summary!$N$1512 ),"")</f>
        <v/>
      </c>
    </row>
    <row r="1528" spans="1:14" ht="15">
      <c r="C1528" s="559"/>
      <c r="D1528" s="706"/>
      <c r="E1528" s="720" t="s">
        <v>1691</v>
      </c>
      <c r="F1528" s="720"/>
      <c r="G1528" s="720"/>
      <c r="H1528" s="748" t="s">
        <v>2090</v>
      </c>
      <c r="I1528" s="722"/>
      <c r="J1528" s="172" t="str">
        <f>IFERROR(IF([1]K_Summary!$J$1513 = "", "", [1]K_Summary!$J$1513 ),"")</f>
        <v/>
      </c>
      <c r="K1528" s="54" t="str">
        <f>IFERROR(IF([1]K_Summary!$K$1513 = "", "", [1]K_Summary!$K$1513 ),"")</f>
        <v/>
      </c>
      <c r="L1528" s="54" t="str">
        <f>IFERROR(IF([1]K_Summary!$L$1513 = "", "", [1]K_Summary!$L$1513 ),"")</f>
        <v/>
      </c>
      <c r="M1528" s="54" t="str">
        <f>IFERROR(IF([1]K_Summary!$M$1513 = "", "", [1]K_Summary!$M$1513 ),"")</f>
        <v/>
      </c>
      <c r="N1528" s="173" t="str">
        <f>IFERROR(IF([1]K_Summary!$N$1513 = "", "", [1]K_Summary!$N$1513 ),"")</f>
        <v/>
      </c>
    </row>
    <row r="1529" spans="1:14" ht="15">
      <c r="C1529" s="559"/>
      <c r="D1529" s="706"/>
      <c r="E1529" s="723" t="s">
        <v>1648</v>
      </c>
      <c r="F1529" s="723"/>
      <c r="G1529" s="723"/>
      <c r="H1529" s="734" t="s">
        <v>1021</v>
      </c>
      <c r="I1529" s="735"/>
      <c r="J1529" s="174" t="str">
        <f>IFERROR(IF([1]K_Summary!$J$1514 = "", "", [1]K_Summary!$J$1514 ),"")</f>
        <v/>
      </c>
      <c r="K1529" s="175" t="str">
        <f>IFERROR(IF([1]K_Summary!$K$1514 = "", "", [1]K_Summary!$K$1514 ),"")</f>
        <v/>
      </c>
      <c r="L1529" s="175" t="str">
        <f>IFERROR(IF([1]K_Summary!$L$1514 = "", "", [1]K_Summary!$L$1514 ),"")</f>
        <v/>
      </c>
      <c r="M1529" s="175" t="str">
        <f>IFERROR(IF([1]K_Summary!$M$1514 = "", "", [1]K_Summary!$M$1514 ),"")</f>
        <v/>
      </c>
      <c r="N1529" s="176" t="str">
        <f>IFERROR(IF([1]K_Summary!$N$1514 = "", "", [1]K_Summary!$N$1514 ),"")</f>
        <v/>
      </c>
    </row>
    <row r="1530" spans="1:14" ht="15">
      <c r="C1530" s="559"/>
      <c r="D1530" s="706"/>
      <c r="E1530" s="736" t="s">
        <v>1853</v>
      </c>
      <c r="F1530" s="736"/>
      <c r="G1530" s="736"/>
      <c r="H1530" s="737" t="s">
        <v>1021</v>
      </c>
      <c r="I1530" s="738"/>
      <c r="J1530" s="177" t="str">
        <f>IFERROR(IF([1]K_Summary!$J$1515 = "", "", [1]K_Summary!$J$1515 ),"")</f>
        <v/>
      </c>
      <c r="K1530" s="178" t="str">
        <f>IFERROR(IF([1]K_Summary!$K$1515 = "", "", [1]K_Summary!$K$1515 ),"")</f>
        <v/>
      </c>
      <c r="L1530" s="178" t="str">
        <f>IFERROR(IF([1]K_Summary!$L$1515 = "", "", [1]K_Summary!$L$1515 ),"")</f>
        <v/>
      </c>
      <c r="M1530" s="178" t="str">
        <f>IFERROR(IF([1]K_Summary!$M$1515 = "", "", [1]K_Summary!$M$1515 ),"")</f>
        <v/>
      </c>
      <c r="N1530" s="179" t="str">
        <f>IFERROR(IF([1]K_Summary!$N$1515 = "", "", [1]K_Summary!$N$1515 ),"")</f>
        <v/>
      </c>
    </row>
    <row r="1531" spans="1:14" ht="15">
      <c r="C1531" s="559"/>
      <c r="D1531" s="706"/>
      <c r="E1531" s="727" t="s">
        <v>1689</v>
      </c>
      <c r="F1531" s="727"/>
      <c r="G1531" s="727"/>
      <c r="H1531" s="749" t="s">
        <v>2090</v>
      </c>
      <c r="I1531" s="727"/>
      <c r="J1531" s="180" t="str">
        <f>IFERROR(IF([1]K_Summary!$J$1516 = "", "", [1]K_Summary!$J$1516 ),"")</f>
        <v/>
      </c>
      <c r="K1531" s="181" t="str">
        <f>IFERROR(IF([1]K_Summary!$K$1516 = "", "", [1]K_Summary!$K$1516 ),"")</f>
        <v/>
      </c>
      <c r="L1531" s="181" t="str">
        <f>IFERROR(IF([1]K_Summary!$L$1516 = "", "", [1]K_Summary!$L$1516 ),"")</f>
        <v/>
      </c>
      <c r="M1531" s="181" t="str">
        <f>IFERROR(IF([1]K_Summary!$M$1516 = "", "", [1]K_Summary!$M$1516 ),"")</f>
        <v/>
      </c>
      <c r="N1531" s="182" t="str">
        <f>IFERROR(IF([1]K_Summary!$N$1516 = "", "", [1]K_Summary!$N$1516 ),"")</f>
        <v/>
      </c>
    </row>
    <row r="1532" spans="1:14" ht="15" hidden="1">
      <c r="A1532" s="719" t="s">
        <v>2289</v>
      </c>
      <c r="C1532" s="559"/>
      <c r="D1532" s="706"/>
      <c r="E1532" s="723" t="s">
        <v>1422</v>
      </c>
      <c r="F1532" s="723"/>
      <c r="G1532" s="723"/>
      <c r="H1532" s="724" t="s">
        <v>2090</v>
      </c>
      <c r="I1532" s="725"/>
      <c r="J1532" s="162" t="str">
        <f>IFERROR(IF([1]K_Summary!$J$1517 = "", "", [1]K_Summary!$J$1517 ),"")</f>
        <v/>
      </c>
      <c r="K1532" s="163" t="str">
        <f>IFERROR(IF([1]K_Summary!$K$1517 = "", "", [1]K_Summary!$K$1517 ),"")</f>
        <v/>
      </c>
      <c r="L1532" s="163" t="str">
        <f>IFERROR(IF([1]K_Summary!$L$1517 = "", "", [1]K_Summary!$L$1517 ),"")</f>
        <v/>
      </c>
      <c r="M1532" s="163" t="str">
        <f>IFERROR(IF([1]K_Summary!$M$1517 = "", "", [1]K_Summary!$M$1517 ),"")</f>
        <v/>
      </c>
      <c r="N1532" s="164" t="str">
        <f>IFERROR(IF([1]K_Summary!$N$1517 = "", "", [1]K_Summary!$N$1517 ),"")</f>
        <v/>
      </c>
    </row>
    <row r="1533" spans="1:14" ht="15" hidden="1">
      <c r="A1533" s="719" t="s">
        <v>2289</v>
      </c>
      <c r="C1533" s="559"/>
      <c r="D1533" s="706"/>
      <c r="E1533" s="723" t="s">
        <v>1390</v>
      </c>
      <c r="F1533" s="723"/>
      <c r="G1533" s="723"/>
      <c r="H1533" s="724" t="s">
        <v>2090</v>
      </c>
      <c r="I1533" s="725"/>
      <c r="J1533" s="162" t="str">
        <f>IFERROR(IF([1]K_Summary!$J$1518 = "", "", [1]K_Summary!$J$1518 ),"")</f>
        <v/>
      </c>
      <c r="K1533" s="163" t="str">
        <f>IFERROR(IF([1]K_Summary!$K$1518 = "", "", [1]K_Summary!$K$1518 ),"")</f>
        <v/>
      </c>
      <c r="L1533" s="163" t="str">
        <f>IFERROR(IF([1]K_Summary!$L$1518 = "", "", [1]K_Summary!$L$1518 ),"")</f>
        <v/>
      </c>
      <c r="M1533" s="163" t="str">
        <f>IFERROR(IF([1]K_Summary!$M$1518 = "", "", [1]K_Summary!$M$1518 ),"")</f>
        <v/>
      </c>
      <c r="N1533" s="164" t="str">
        <f>IFERROR(IF([1]K_Summary!$N$1518 = "", "", [1]K_Summary!$N$1518 ),"")</f>
        <v/>
      </c>
    </row>
    <row r="1534" spans="1:14" ht="15" hidden="1">
      <c r="A1534" s="719" t="s">
        <v>2289</v>
      </c>
      <c r="C1534" s="559"/>
      <c r="D1534" s="706"/>
      <c r="E1534" s="723" t="s">
        <v>1389</v>
      </c>
      <c r="F1534" s="723"/>
      <c r="G1534" s="723"/>
      <c r="H1534" s="726" t="s">
        <v>1021</v>
      </c>
      <c r="I1534" s="725"/>
      <c r="J1534" s="165" t="str">
        <f>IFERROR(IF([1]K_Summary!$J$1519 = "", "", [1]K_Summary!$J$1519 ),"")</f>
        <v/>
      </c>
      <c r="K1534" s="166" t="str">
        <f>IFERROR(IF([1]K_Summary!$K$1519 = "", "", [1]K_Summary!$K$1519 ),"")</f>
        <v/>
      </c>
      <c r="L1534" s="166" t="str">
        <f>IFERROR(IF([1]K_Summary!$L$1519 = "", "", [1]K_Summary!$L$1519 ),"")</f>
        <v/>
      </c>
      <c r="M1534" s="166" t="str">
        <f>IFERROR(IF([1]K_Summary!$M$1519 = "", "", [1]K_Summary!$M$1519 ),"")</f>
        <v/>
      </c>
      <c r="N1534" s="167" t="str">
        <f>IFERROR(IF([1]K_Summary!$N$1519 = "", "", [1]K_Summary!$N$1519 ),"")</f>
        <v/>
      </c>
    </row>
    <row r="1535" spans="1:14" ht="15" hidden="1">
      <c r="A1535" s="719" t="s">
        <v>2289</v>
      </c>
      <c r="C1535" s="559"/>
      <c r="D1535" s="706"/>
      <c r="E1535" s="727" t="s">
        <v>1391</v>
      </c>
      <c r="F1535" s="727"/>
      <c r="G1535" s="727"/>
      <c r="H1535" s="728" t="s">
        <v>1021</v>
      </c>
      <c r="I1535" s="729"/>
      <c r="J1535" s="168" t="str">
        <f>IFERROR(IF([1]K_Summary!$J$1520 = "", "", [1]K_Summary!$J$1520 ),"")</f>
        <v/>
      </c>
      <c r="K1535" s="169" t="str">
        <f>IFERROR(IF([1]K_Summary!$K$1520 = "", "", [1]K_Summary!$K$1520 ),"")</f>
        <v/>
      </c>
      <c r="L1535" s="169" t="str">
        <f>IFERROR(IF([1]K_Summary!$L$1520 = "", "", [1]K_Summary!$L$1520 ),"")</f>
        <v/>
      </c>
      <c r="M1535" s="169" t="str">
        <f>IFERROR(IF([1]K_Summary!$M$1520 = "", "", [1]K_Summary!$M$1520 ),"")</f>
        <v/>
      </c>
      <c r="N1535" s="170" t="str">
        <f>IFERROR(IF([1]K_Summary!$N$1520 = "", "", [1]K_Summary!$N$1520 ),"")</f>
        <v/>
      </c>
    </row>
    <row r="1536" spans="1:14" ht="15">
      <c r="C1536" s="559"/>
      <c r="D1536" s="706"/>
      <c r="E1536" s="698" t="s">
        <v>1671</v>
      </c>
      <c r="F1536" s="698"/>
      <c r="G1536" s="698"/>
      <c r="H1536" s="730" t="s">
        <v>2090</v>
      </c>
      <c r="I1536" s="731"/>
      <c r="J1536" s="148" t="str">
        <f>IFERROR(IF([1]K_Summary!$J$1521 = "", "", [1]K_Summary!$J$1521 ),"")</f>
        <v/>
      </c>
      <c r="K1536" s="150" t="str">
        <f>IFERROR(IF([1]K_Summary!$K$1521 = "", "", [1]K_Summary!$K$1521 ),"")</f>
        <v/>
      </c>
      <c r="L1536" s="150" t="str">
        <f>IFERROR(IF([1]K_Summary!$L$1521 = "", "", [1]K_Summary!$L$1521 ),"")</f>
        <v/>
      </c>
      <c r="M1536" s="150" t="str">
        <f>IFERROR(IF([1]K_Summary!$M$1521 = "", "", [1]K_Summary!$M$1521 ),"")</f>
        <v/>
      </c>
      <c r="N1536" s="171" t="str">
        <f>IFERROR(IF([1]K_Summary!$N$1521 = "", "", [1]K_Summary!$N$1521 ),"")</f>
        <v/>
      </c>
    </row>
    <row r="1537" spans="1:14" ht="15">
      <c r="C1537" s="559"/>
      <c r="D1537" s="706"/>
      <c r="E1537" s="698" t="s">
        <v>1670</v>
      </c>
      <c r="F1537" s="698"/>
      <c r="G1537" s="698"/>
      <c r="H1537" s="730" t="s">
        <v>2090</v>
      </c>
      <c r="I1537" s="731"/>
      <c r="J1537" s="148" t="str">
        <f>IFERROR(IF([1]K_Summary!$J$1522 = "", "", [1]K_Summary!$J$1522 ),"")</f>
        <v/>
      </c>
      <c r="K1537" s="150" t="str">
        <f>IFERROR(IF([1]K_Summary!$K$1522 = "", "", [1]K_Summary!$K$1522 ),"")</f>
        <v/>
      </c>
      <c r="L1537" s="150" t="str">
        <f>IFERROR(IF([1]K_Summary!$L$1522 = "", "", [1]K_Summary!$L$1522 ),"")</f>
        <v/>
      </c>
      <c r="M1537" s="150" t="str">
        <f>IFERROR(IF([1]K_Summary!$M$1522 = "", "", [1]K_Summary!$M$1522 ),"")</f>
        <v/>
      </c>
      <c r="N1537" s="171" t="str">
        <f>IFERROR(IF([1]K_Summary!$N$1522 = "", "", [1]K_Summary!$N$1522 ),"")</f>
        <v/>
      </c>
    </row>
    <row r="1538" spans="1:14" ht="15">
      <c r="C1538" s="559"/>
      <c r="D1538" s="706"/>
      <c r="E1538" s="740" t="s">
        <v>2132</v>
      </c>
      <c r="F1538" s="740"/>
      <c r="G1538" s="740"/>
      <c r="H1538" s="741" t="s">
        <v>1021</v>
      </c>
      <c r="I1538" s="742"/>
      <c r="J1538" s="183" t="str">
        <f>IFERROR(IF([1]K_Summary!$J$1523 = "", "", [1]K_Summary!$J$1523 ),"")</f>
        <v/>
      </c>
      <c r="K1538" s="184" t="str">
        <f>IFERROR(IF([1]K_Summary!$K$1523 = "", "", [1]K_Summary!$K$1523 ),"")</f>
        <v/>
      </c>
      <c r="L1538" s="184" t="str">
        <f>IFERROR(IF([1]K_Summary!$L$1523 = "", "", [1]K_Summary!$L$1523 ),"")</f>
        <v/>
      </c>
      <c r="M1538" s="184" t="str">
        <f>IFERROR(IF([1]K_Summary!$M$1523 = "", "", [1]K_Summary!$M$1523 ),"")</f>
        <v/>
      </c>
      <c r="N1538" s="185" t="str">
        <f>IFERROR(IF([1]K_Summary!$N$1523 = "", "", [1]K_Summary!$N$1523 ),"")</f>
        <v/>
      </c>
    </row>
    <row r="1539" spans="1:14" ht="15">
      <c r="C1539" s="559"/>
      <c r="D1539" s="706"/>
      <c r="E1539" s="485"/>
      <c r="F1539" s="485"/>
      <c r="G1539" s="485"/>
      <c r="H1539" s="485"/>
      <c r="I1539" s="743"/>
      <c r="J1539" s="485"/>
      <c r="K1539" s="485"/>
      <c r="L1539" s="485"/>
      <c r="M1539" s="485"/>
      <c r="N1539" s="744"/>
    </row>
    <row r="1540" spans="1:14" ht="15">
      <c r="C1540" s="559"/>
      <c r="D1540" s="706"/>
      <c r="E1540" s="707" t="s">
        <v>1755</v>
      </c>
      <c r="F1540" s="637"/>
      <c r="G1540" s="637"/>
      <c r="H1540" s="663" t="s">
        <v>884</v>
      </c>
      <c r="I1540" s="708"/>
      <c r="J1540" s="709">
        <v>2021</v>
      </c>
      <c r="K1540" s="671">
        <v>2022</v>
      </c>
      <c r="L1540" s="671">
        <v>2023</v>
      </c>
      <c r="M1540" s="671">
        <v>2024</v>
      </c>
      <c r="N1540" s="710">
        <v>2025</v>
      </c>
    </row>
    <row r="1541" spans="1:14" ht="15" hidden="1">
      <c r="A1541" s="719" t="s">
        <v>2289</v>
      </c>
      <c r="C1541" s="559"/>
      <c r="D1541" s="706"/>
      <c r="E1541" s="698" t="s">
        <v>1714</v>
      </c>
      <c r="F1541" s="698"/>
      <c r="G1541" s="698"/>
      <c r="H1541" s="63" t="str">
        <f>IFERROR(IF([1]K_Summary!$H$1526 = "", "", [1]K_Summary!$H$1526 ),"")</f>
        <v>tonnes</v>
      </c>
      <c r="I1541" s="698"/>
      <c r="J1541" s="157" t="str">
        <f>IFERROR(IF([1]K_Summary!$J$1526 = "", "", [1]K_Summary!$J$1526 ),"")</f>
        <v/>
      </c>
      <c r="K1541" s="147" t="str">
        <f>IFERROR(IF([1]K_Summary!$K$1526 = "", "", [1]K_Summary!$K$1526 ),"")</f>
        <v/>
      </c>
      <c r="L1541" s="147" t="str">
        <f>IFERROR(IF([1]K_Summary!$L$1526 = "", "", [1]K_Summary!$L$1526 ),"")</f>
        <v/>
      </c>
      <c r="M1541" s="147" t="str">
        <f>IFERROR(IF([1]K_Summary!$M$1526 = "", "", [1]K_Summary!$M$1526 ),"")</f>
        <v/>
      </c>
      <c r="N1541" s="158" t="str">
        <f>IFERROR(IF([1]K_Summary!$N$1526 = "", "", [1]K_Summary!$N$1526 ),"")</f>
        <v/>
      </c>
    </row>
    <row r="1542" spans="1:14" ht="15" hidden="1">
      <c r="A1542" s="719" t="s">
        <v>2289</v>
      </c>
      <c r="C1542" s="559"/>
      <c r="D1542" s="706"/>
      <c r="E1542" s="720" t="s">
        <v>303</v>
      </c>
      <c r="F1542" s="720"/>
      <c r="G1542" s="720"/>
      <c r="H1542" s="721" t="s">
        <v>2090</v>
      </c>
      <c r="I1542" s="722"/>
      <c r="J1542" s="159" t="str">
        <f>IFERROR(IF([1]K_Summary!$J$1527 = "", "", [1]K_Summary!$J$1527 ),"")</f>
        <v/>
      </c>
      <c r="K1542" s="160" t="str">
        <f>IFERROR(IF([1]K_Summary!$K$1527 = "", "", [1]K_Summary!$K$1527 ),"")</f>
        <v/>
      </c>
      <c r="L1542" s="160" t="str">
        <f>IFERROR(IF([1]K_Summary!$L$1527 = "", "", [1]K_Summary!$L$1527 ),"")</f>
        <v/>
      </c>
      <c r="M1542" s="160" t="str">
        <f>IFERROR(IF([1]K_Summary!$M$1527 = "", "", [1]K_Summary!$M$1527 ),"")</f>
        <v/>
      </c>
      <c r="N1542" s="161" t="str">
        <f>IFERROR(IF([1]K_Summary!$N$1527 = "", "", [1]K_Summary!$N$1527 ),"")</f>
        <v/>
      </c>
    </row>
    <row r="1543" spans="1:14" ht="15" hidden="1">
      <c r="A1543" s="719" t="s">
        <v>2289</v>
      </c>
      <c r="C1543" s="559"/>
      <c r="D1543" s="706"/>
      <c r="E1543" s="745" t="s">
        <v>1422</v>
      </c>
      <c r="F1543" s="745"/>
      <c r="G1543" s="745"/>
      <c r="H1543" s="746" t="s">
        <v>2090</v>
      </c>
      <c r="I1543" s="747"/>
      <c r="J1543" s="186" t="str">
        <f>IFERROR(IF([1]K_Summary!$J$1528 = "", "", [1]K_Summary!$J$1528 ),"")</f>
        <v/>
      </c>
      <c r="K1543" s="187" t="str">
        <f>IFERROR(IF([1]K_Summary!$K$1528 = "", "", [1]K_Summary!$K$1528 ),"")</f>
        <v/>
      </c>
      <c r="L1543" s="187" t="str">
        <f>IFERROR(IF([1]K_Summary!$L$1528 = "", "", [1]K_Summary!$L$1528 ),"")</f>
        <v/>
      </c>
      <c r="M1543" s="187" t="str">
        <f>IFERROR(IF([1]K_Summary!$M$1528 = "", "", [1]K_Summary!$M$1528 ),"")</f>
        <v/>
      </c>
      <c r="N1543" s="188" t="str">
        <f>IFERROR(IF([1]K_Summary!$N$1528 = "", "", [1]K_Summary!$N$1528 ),"")</f>
        <v/>
      </c>
    </row>
    <row r="1544" spans="1:14" ht="15">
      <c r="C1544" s="559"/>
      <c r="D1544" s="706"/>
      <c r="E1544" s="720" t="s">
        <v>1691</v>
      </c>
      <c r="F1544" s="720"/>
      <c r="G1544" s="720"/>
      <c r="H1544" s="721" t="s">
        <v>2090</v>
      </c>
      <c r="I1544" s="722"/>
      <c r="J1544" s="195" t="str">
        <f>IFERROR(IF([1]K_Summary!$J$1529 = "", "", [1]K_Summary!$J$1529 ),"")</f>
        <v/>
      </c>
      <c r="K1544" s="196" t="str">
        <f>IFERROR(IF([1]K_Summary!$K$1529 = "", "", [1]K_Summary!$K$1529 ),"")</f>
        <v/>
      </c>
      <c r="L1544" s="196" t="str">
        <f>IFERROR(IF([1]K_Summary!$L$1529 = "", "", [1]K_Summary!$L$1529 ),"")</f>
        <v/>
      </c>
      <c r="M1544" s="196" t="str">
        <f>IFERROR(IF([1]K_Summary!$M$1529 = "", "", [1]K_Summary!$M$1529 ),"")</f>
        <v/>
      </c>
      <c r="N1544" s="197" t="str">
        <f>IFERROR(IF([1]K_Summary!$N$1529 = "", "", [1]K_Summary!$N$1529 ),"")</f>
        <v/>
      </c>
    </row>
    <row r="1545" spans="1:14" ht="15">
      <c r="C1545" s="559"/>
      <c r="D1545" s="706"/>
      <c r="E1545" s="723" t="s">
        <v>1648</v>
      </c>
      <c r="F1545" s="723"/>
      <c r="G1545" s="723"/>
      <c r="H1545" s="751" t="s">
        <v>1021</v>
      </c>
      <c r="I1545" s="735"/>
      <c r="J1545" s="174" t="str">
        <f>IFERROR(IF([1]K_Summary!$J$1530 = "", "", [1]K_Summary!$J$1530 ),"")</f>
        <v/>
      </c>
      <c r="K1545" s="175" t="str">
        <f>IFERROR(IF([1]K_Summary!$K$1530 = "", "", [1]K_Summary!$K$1530 ),"")</f>
        <v/>
      </c>
      <c r="L1545" s="175" t="str">
        <f>IFERROR(IF([1]K_Summary!$L$1530 = "", "", [1]K_Summary!$L$1530 ),"")</f>
        <v/>
      </c>
      <c r="M1545" s="175" t="str">
        <f>IFERROR(IF([1]K_Summary!$M$1530 = "", "", [1]K_Summary!$M$1530 ),"")</f>
        <v/>
      </c>
      <c r="N1545" s="176" t="str">
        <f>IFERROR(IF([1]K_Summary!$N$1530 = "", "", [1]K_Summary!$N$1530 ),"")</f>
        <v/>
      </c>
    </row>
    <row r="1546" spans="1:14" ht="15">
      <c r="C1546" s="559"/>
      <c r="D1546" s="706"/>
      <c r="E1546" s="736" t="s">
        <v>1854</v>
      </c>
      <c r="F1546" s="736"/>
      <c r="G1546" s="736"/>
      <c r="H1546" s="738" t="s">
        <v>1021</v>
      </c>
      <c r="I1546" s="738"/>
      <c r="J1546" s="177" t="str">
        <f>IFERROR(IF([1]K_Summary!$J$1531 = "", "", [1]K_Summary!$J$1531 ),"")</f>
        <v/>
      </c>
      <c r="K1546" s="178" t="str">
        <f>IFERROR(IF([1]K_Summary!$K$1531 = "", "", [1]K_Summary!$K$1531 ),"")</f>
        <v/>
      </c>
      <c r="L1546" s="178" t="str">
        <f>IFERROR(IF([1]K_Summary!$L$1531 = "", "", [1]K_Summary!$L$1531 ),"")</f>
        <v/>
      </c>
      <c r="M1546" s="178" t="str">
        <f>IFERROR(IF([1]K_Summary!$M$1531 = "", "", [1]K_Summary!$M$1531 ),"")</f>
        <v/>
      </c>
      <c r="N1546" s="179" t="str">
        <f>IFERROR(IF([1]K_Summary!$N$1531 = "", "", [1]K_Summary!$N$1531 ),"")</f>
        <v/>
      </c>
    </row>
    <row r="1547" spans="1:14" ht="15">
      <c r="C1547" s="559"/>
      <c r="D1547" s="706"/>
      <c r="E1547" s="727" t="s">
        <v>1689</v>
      </c>
      <c r="F1547" s="727"/>
      <c r="G1547" s="727"/>
      <c r="H1547" s="728" t="s">
        <v>2090</v>
      </c>
      <c r="I1547" s="729"/>
      <c r="J1547" s="198" t="str">
        <f>IFERROR(IF([1]K_Summary!$J$1532 = "", "", [1]K_Summary!$J$1532 ),"")</f>
        <v/>
      </c>
      <c r="K1547" s="199" t="str">
        <f>IFERROR(IF([1]K_Summary!$K$1532 = "", "", [1]K_Summary!$K$1532 ),"")</f>
        <v/>
      </c>
      <c r="L1547" s="199" t="str">
        <f>IFERROR(IF([1]K_Summary!$L$1532 = "", "", [1]K_Summary!$L$1532 ),"")</f>
        <v/>
      </c>
      <c r="M1547" s="199" t="str">
        <f>IFERROR(IF([1]K_Summary!$M$1532 = "", "", [1]K_Summary!$M$1532 ),"")</f>
        <v/>
      </c>
      <c r="N1547" s="200" t="str">
        <f>IFERROR(IF([1]K_Summary!$N$1532 = "", "", [1]K_Summary!$N$1532 ),"")</f>
        <v/>
      </c>
    </row>
    <row r="1548" spans="1:14" ht="15" hidden="1">
      <c r="A1548" s="719" t="s">
        <v>2289</v>
      </c>
      <c r="C1548" s="559"/>
      <c r="D1548" s="706"/>
      <c r="E1548" s="645" t="s">
        <v>1389</v>
      </c>
      <c r="F1548" s="645"/>
      <c r="G1548" s="645"/>
      <c r="H1548" s="752" t="s">
        <v>1021</v>
      </c>
      <c r="I1548" s="753"/>
      <c r="J1548" s="201" t="str">
        <f>IFERROR(IF([1]K_Summary!$J$1533 = "", "", [1]K_Summary!$J$1533 ),"")</f>
        <v/>
      </c>
      <c r="K1548" s="202" t="str">
        <f>IFERROR(IF([1]K_Summary!$K$1533 = "", "", [1]K_Summary!$K$1533 ),"")</f>
        <v/>
      </c>
      <c r="L1548" s="202" t="str">
        <f>IFERROR(IF([1]K_Summary!$L$1533 = "", "", [1]K_Summary!$L$1533 ),"")</f>
        <v/>
      </c>
      <c r="M1548" s="202" t="str">
        <f>IFERROR(IF([1]K_Summary!$M$1533 = "", "", [1]K_Summary!$M$1533 ),"")</f>
        <v/>
      </c>
      <c r="N1548" s="203" t="str">
        <f>IFERROR(IF([1]K_Summary!$N$1533 = "", "", [1]K_Summary!$N$1533 ),"")</f>
        <v/>
      </c>
    </row>
    <row r="1549" spans="1:14" ht="15" hidden="1">
      <c r="A1549" s="719" t="s">
        <v>2289</v>
      </c>
      <c r="C1549" s="559"/>
      <c r="D1549" s="706"/>
      <c r="E1549" s="727" t="s">
        <v>1391</v>
      </c>
      <c r="F1549" s="727"/>
      <c r="G1549" s="727"/>
      <c r="H1549" s="728" t="s">
        <v>1021</v>
      </c>
      <c r="I1549" s="729"/>
      <c r="J1549" s="168" t="str">
        <f>IFERROR(IF([1]K_Summary!$J$1534 = "", "", [1]K_Summary!$J$1534 ),"")</f>
        <v/>
      </c>
      <c r="K1549" s="169" t="str">
        <f>IFERROR(IF([1]K_Summary!$K$1534 = "", "", [1]K_Summary!$K$1534 ),"")</f>
        <v/>
      </c>
      <c r="L1549" s="169" t="str">
        <f>IFERROR(IF([1]K_Summary!$L$1534 = "", "", [1]K_Summary!$L$1534 ),"")</f>
        <v/>
      </c>
      <c r="M1549" s="169" t="str">
        <f>IFERROR(IF([1]K_Summary!$M$1534 = "", "", [1]K_Summary!$M$1534 ),"")</f>
        <v/>
      </c>
      <c r="N1549" s="170" t="str">
        <f>IFERROR(IF([1]K_Summary!$N$1534 = "", "", [1]K_Summary!$N$1534 ),"")</f>
        <v/>
      </c>
    </row>
    <row r="1550" spans="1:14" ht="15">
      <c r="C1550" s="559"/>
      <c r="D1550" s="706"/>
      <c r="E1550" s="698" t="s">
        <v>1671</v>
      </c>
      <c r="F1550" s="698"/>
      <c r="G1550" s="698"/>
      <c r="H1550" s="730" t="s">
        <v>2090</v>
      </c>
      <c r="I1550" s="731"/>
      <c r="J1550" s="148" t="str">
        <f>IFERROR(IF([1]K_Summary!$J$1535 = "", "", [1]K_Summary!$J$1535 ),"")</f>
        <v/>
      </c>
      <c r="K1550" s="150" t="str">
        <f>IFERROR(IF([1]K_Summary!$K$1535 = "", "", [1]K_Summary!$K$1535 ),"")</f>
        <v/>
      </c>
      <c r="L1550" s="150" t="str">
        <f>IFERROR(IF([1]K_Summary!$L$1535 = "", "", [1]K_Summary!$L$1535 ),"")</f>
        <v/>
      </c>
      <c r="M1550" s="150" t="str">
        <f>IFERROR(IF([1]K_Summary!$M$1535 = "", "", [1]K_Summary!$M$1535 ),"")</f>
        <v/>
      </c>
      <c r="N1550" s="171" t="str">
        <f>IFERROR(IF([1]K_Summary!$N$1535 = "", "", [1]K_Summary!$N$1535 ),"")</f>
        <v/>
      </c>
    </row>
    <row r="1551" spans="1:14" ht="15">
      <c r="C1551" s="559"/>
      <c r="D1551" s="706"/>
      <c r="E1551" s="698" t="s">
        <v>1670</v>
      </c>
      <c r="F1551" s="698"/>
      <c r="G1551" s="698"/>
      <c r="H1551" s="730" t="s">
        <v>2090</v>
      </c>
      <c r="I1551" s="731"/>
      <c r="J1551" s="148" t="str">
        <f>IFERROR(IF([1]K_Summary!$J$1536 = "", "", [1]K_Summary!$J$1536 ),"")</f>
        <v/>
      </c>
      <c r="K1551" s="150" t="str">
        <f>IFERROR(IF([1]K_Summary!$K$1536 = "", "", [1]K_Summary!$K$1536 ),"")</f>
        <v/>
      </c>
      <c r="L1551" s="150" t="str">
        <f>IFERROR(IF([1]K_Summary!$L$1536 = "", "", [1]K_Summary!$L$1536 ),"")</f>
        <v/>
      </c>
      <c r="M1551" s="150" t="str">
        <f>IFERROR(IF([1]K_Summary!$M$1536 = "", "", [1]K_Summary!$M$1536 ),"")</f>
        <v/>
      </c>
      <c r="N1551" s="171" t="str">
        <f>IFERROR(IF([1]K_Summary!$N$1536 = "", "", [1]K_Summary!$N$1536 ),"")</f>
        <v/>
      </c>
    </row>
    <row r="1552" spans="1:14" ht="15">
      <c r="C1552" s="559"/>
      <c r="D1552" s="706"/>
      <c r="E1552" s="740" t="s">
        <v>2133</v>
      </c>
      <c r="F1552" s="698"/>
      <c r="G1552" s="698"/>
      <c r="H1552" s="741" t="s">
        <v>1021</v>
      </c>
      <c r="I1552" s="742"/>
      <c r="J1552" s="183" t="str">
        <f>IFERROR(IF([1]K_Summary!$J$1537 = "", "", [1]K_Summary!$J$1537 ),"")</f>
        <v/>
      </c>
      <c r="K1552" s="184" t="str">
        <f>IFERROR(IF([1]K_Summary!$K$1537 = "", "", [1]K_Summary!$K$1537 ),"")</f>
        <v/>
      </c>
      <c r="L1552" s="184" t="str">
        <f>IFERROR(IF([1]K_Summary!$L$1537 = "", "", [1]K_Summary!$L$1537 ),"")</f>
        <v/>
      </c>
      <c r="M1552" s="184" t="str">
        <f>IFERROR(IF([1]K_Summary!$M$1537 = "", "", [1]K_Summary!$M$1537 ),"")</f>
        <v/>
      </c>
      <c r="N1552" s="185" t="str">
        <f>IFERROR(IF([1]K_Summary!$N$1537 = "", "", [1]K_Summary!$N$1537 ),"")</f>
        <v/>
      </c>
    </row>
    <row r="1553" spans="1:14" ht="15">
      <c r="C1553" s="559"/>
      <c r="D1553" s="706"/>
      <c r="E1553" s="485"/>
      <c r="F1553" s="485"/>
      <c r="G1553" s="485"/>
      <c r="H1553" s="485"/>
      <c r="I1553" s="743"/>
      <c r="J1553" s="485"/>
      <c r="K1553" s="485"/>
      <c r="L1553" s="485"/>
      <c r="M1553" s="485"/>
      <c r="N1553" s="744"/>
    </row>
    <row r="1554" spans="1:14" ht="15">
      <c r="C1554" s="559"/>
      <c r="D1554" s="706"/>
      <c r="E1554" s="707" t="s">
        <v>1756</v>
      </c>
      <c r="F1554" s="637"/>
      <c r="G1554" s="637"/>
      <c r="H1554" s="663" t="s">
        <v>884</v>
      </c>
      <c r="I1554" s="708"/>
      <c r="J1554" s="709">
        <v>2021</v>
      </c>
      <c r="K1554" s="671">
        <v>2022</v>
      </c>
      <c r="L1554" s="671">
        <v>2023</v>
      </c>
      <c r="M1554" s="671">
        <v>2024</v>
      </c>
      <c r="N1554" s="710">
        <v>2025</v>
      </c>
    </row>
    <row r="1555" spans="1:14" ht="15" hidden="1">
      <c r="A1555" s="719" t="s">
        <v>2289</v>
      </c>
      <c r="C1555" s="559"/>
      <c r="D1555" s="706"/>
      <c r="E1555" s="698" t="s">
        <v>1714</v>
      </c>
      <c r="F1555" s="698"/>
      <c r="G1555" s="698"/>
      <c r="H1555" s="63" t="str">
        <f>IFERROR(IF([1]K_Summary!$H$1540 = "", "", [1]K_Summary!$H$1540 ),"")</f>
        <v>tonnes</v>
      </c>
      <c r="I1555" s="698"/>
      <c r="J1555" s="157" t="str">
        <f>IFERROR(IF([1]K_Summary!$J$1540 = "", "", [1]K_Summary!$J$1540 ),"")</f>
        <v/>
      </c>
      <c r="K1555" s="147" t="str">
        <f>IFERROR(IF([1]K_Summary!$K$1540 = "", "", [1]K_Summary!$K$1540 ),"")</f>
        <v/>
      </c>
      <c r="L1555" s="147" t="str">
        <f>IFERROR(IF([1]K_Summary!$L$1540 = "", "", [1]K_Summary!$L$1540 ),"")</f>
        <v/>
      </c>
      <c r="M1555" s="147" t="str">
        <f>IFERROR(IF([1]K_Summary!$M$1540 = "", "", [1]K_Summary!$M$1540 ),"")</f>
        <v/>
      </c>
      <c r="N1555" s="158" t="str">
        <f>IFERROR(IF([1]K_Summary!$N$1540 = "", "", [1]K_Summary!$N$1540 ),"")</f>
        <v/>
      </c>
    </row>
    <row r="1556" spans="1:14" ht="15" hidden="1">
      <c r="A1556" s="719" t="s">
        <v>2289</v>
      </c>
      <c r="C1556" s="559"/>
      <c r="D1556" s="706"/>
      <c r="E1556" s="720" t="s">
        <v>303</v>
      </c>
      <c r="F1556" s="720"/>
      <c r="G1556" s="720"/>
      <c r="H1556" s="721" t="s">
        <v>2090</v>
      </c>
      <c r="I1556" s="722"/>
      <c r="J1556" s="159" t="str">
        <f>IFERROR(IF([1]K_Summary!$J$1541 = "", "", [1]K_Summary!$J$1541 ),"")</f>
        <v/>
      </c>
      <c r="K1556" s="160" t="str">
        <f>IFERROR(IF([1]K_Summary!$K$1541 = "", "", [1]K_Summary!$K$1541 ),"")</f>
        <v/>
      </c>
      <c r="L1556" s="160" t="str">
        <f>IFERROR(IF([1]K_Summary!$L$1541 = "", "", [1]K_Summary!$L$1541 ),"")</f>
        <v/>
      </c>
      <c r="M1556" s="160" t="str">
        <f>IFERROR(IF([1]K_Summary!$M$1541 = "", "", [1]K_Summary!$M$1541 ),"")</f>
        <v/>
      </c>
      <c r="N1556" s="161" t="str">
        <f>IFERROR(IF([1]K_Summary!$N$1541 = "", "", [1]K_Summary!$N$1541 ),"")</f>
        <v/>
      </c>
    </row>
    <row r="1557" spans="1:14" ht="15" hidden="1">
      <c r="A1557" s="719" t="s">
        <v>2289</v>
      </c>
      <c r="C1557" s="559"/>
      <c r="D1557" s="706"/>
      <c r="E1557" s="723" t="s">
        <v>1422</v>
      </c>
      <c r="F1557" s="723"/>
      <c r="G1557" s="723"/>
      <c r="H1557" s="724" t="s">
        <v>2090</v>
      </c>
      <c r="I1557" s="725"/>
      <c r="J1557" s="162" t="str">
        <f>IFERROR(IF([1]K_Summary!$J$1542 = "", "", [1]K_Summary!$J$1542 ),"")</f>
        <v/>
      </c>
      <c r="K1557" s="163" t="str">
        <f>IFERROR(IF([1]K_Summary!$K$1542 = "", "", [1]K_Summary!$K$1542 ),"")</f>
        <v/>
      </c>
      <c r="L1557" s="163" t="str">
        <f>IFERROR(IF([1]K_Summary!$L$1542 = "", "", [1]K_Summary!$L$1542 ),"")</f>
        <v/>
      </c>
      <c r="M1557" s="163" t="str">
        <f>IFERROR(IF([1]K_Summary!$M$1542 = "", "", [1]K_Summary!$M$1542 ),"")</f>
        <v/>
      </c>
      <c r="N1557" s="164" t="str">
        <f>IFERROR(IF([1]K_Summary!$N$1542 = "", "", [1]K_Summary!$N$1542 ),"")</f>
        <v/>
      </c>
    </row>
    <row r="1558" spans="1:14" ht="15" hidden="1">
      <c r="A1558" s="719" t="s">
        <v>2289</v>
      </c>
      <c r="C1558" s="559"/>
      <c r="D1558" s="706"/>
      <c r="E1558" s="723" t="s">
        <v>1390</v>
      </c>
      <c r="F1558" s="723"/>
      <c r="G1558" s="723"/>
      <c r="H1558" s="724" t="s">
        <v>2090</v>
      </c>
      <c r="I1558" s="725"/>
      <c r="J1558" s="162" t="str">
        <f>IFERROR(IF([1]K_Summary!$J$1543 = "", "", [1]K_Summary!$J$1543 ),"")</f>
        <v/>
      </c>
      <c r="K1558" s="163" t="str">
        <f>IFERROR(IF([1]K_Summary!$K$1543 = "", "", [1]K_Summary!$K$1543 ),"")</f>
        <v/>
      </c>
      <c r="L1558" s="163" t="str">
        <f>IFERROR(IF([1]K_Summary!$L$1543 = "", "", [1]K_Summary!$L$1543 ),"")</f>
        <v/>
      </c>
      <c r="M1558" s="163" t="str">
        <f>IFERROR(IF([1]K_Summary!$M$1543 = "", "", [1]K_Summary!$M$1543 ),"")</f>
        <v/>
      </c>
      <c r="N1558" s="164" t="str">
        <f>IFERROR(IF([1]K_Summary!$N$1543 = "", "", [1]K_Summary!$N$1543 ),"")</f>
        <v/>
      </c>
    </row>
    <row r="1559" spans="1:14" ht="15" hidden="1">
      <c r="A1559" s="719" t="s">
        <v>2289</v>
      </c>
      <c r="C1559" s="559"/>
      <c r="D1559" s="706"/>
      <c r="E1559" s="745" t="s">
        <v>1389</v>
      </c>
      <c r="F1559" s="745"/>
      <c r="G1559" s="745"/>
      <c r="H1559" s="754" t="s">
        <v>1021</v>
      </c>
      <c r="I1559" s="747"/>
      <c r="J1559" s="204" t="str">
        <f>IFERROR(IF([1]K_Summary!$J$1544 = "", "", [1]K_Summary!$J$1544 ),"")</f>
        <v/>
      </c>
      <c r="K1559" s="205" t="str">
        <f>IFERROR(IF([1]K_Summary!$K$1544 = "", "", [1]K_Summary!$K$1544 ),"")</f>
        <v/>
      </c>
      <c r="L1559" s="205" t="str">
        <f>IFERROR(IF([1]K_Summary!$L$1544 = "", "", [1]K_Summary!$L$1544 ),"")</f>
        <v/>
      </c>
      <c r="M1559" s="205" t="str">
        <f>IFERROR(IF([1]K_Summary!$M$1544 = "", "", [1]K_Summary!$M$1544 ),"")</f>
        <v/>
      </c>
      <c r="N1559" s="206" t="str">
        <f>IFERROR(IF([1]K_Summary!$N$1544 = "", "", [1]K_Summary!$N$1544 ),"")</f>
        <v/>
      </c>
    </row>
    <row r="1560" spans="1:14" ht="15">
      <c r="C1560" s="559"/>
      <c r="D1560" s="706"/>
      <c r="E1560" s="720" t="s">
        <v>1691</v>
      </c>
      <c r="F1560" s="720"/>
      <c r="G1560" s="720"/>
      <c r="H1560" s="748" t="s">
        <v>1021</v>
      </c>
      <c r="I1560" s="722"/>
      <c r="J1560" s="189" t="str">
        <f>IFERROR(IF([1]K_Summary!$J$1545 = "", "", [1]K_Summary!$J$1545 ),"")</f>
        <v/>
      </c>
      <c r="K1560" s="190" t="str">
        <f>IFERROR(IF([1]K_Summary!$K$1545 = "", "", [1]K_Summary!$K$1545 ),"")</f>
        <v/>
      </c>
      <c r="L1560" s="190" t="str">
        <f>IFERROR(IF([1]K_Summary!$L$1545 = "", "", [1]K_Summary!$L$1545 ),"")</f>
        <v/>
      </c>
      <c r="M1560" s="190" t="str">
        <f>IFERROR(IF([1]K_Summary!$M$1545 = "", "", [1]K_Summary!$M$1545 ),"")</f>
        <v/>
      </c>
      <c r="N1560" s="191" t="str">
        <f>IFERROR(IF([1]K_Summary!$N$1545 = "", "", [1]K_Summary!$N$1545 ),"")</f>
        <v/>
      </c>
    </row>
    <row r="1561" spans="1:14" ht="15">
      <c r="C1561" s="559"/>
      <c r="D1561" s="706"/>
      <c r="E1561" s="723" t="s">
        <v>1648</v>
      </c>
      <c r="F1561" s="723"/>
      <c r="G1561" s="723"/>
      <c r="H1561" s="751" t="s">
        <v>1021</v>
      </c>
      <c r="I1561" s="735"/>
      <c r="J1561" s="174" t="str">
        <f>IFERROR(IF([1]K_Summary!$J$1546 = "", "", [1]K_Summary!$J$1546 ),"")</f>
        <v/>
      </c>
      <c r="K1561" s="175" t="str">
        <f>IFERROR(IF([1]K_Summary!$K$1546 = "", "", [1]K_Summary!$K$1546 ),"")</f>
        <v/>
      </c>
      <c r="L1561" s="175" t="str">
        <f>IFERROR(IF([1]K_Summary!$L$1546 = "", "", [1]K_Summary!$L$1546 ),"")</f>
        <v/>
      </c>
      <c r="M1561" s="175" t="str">
        <f>IFERROR(IF([1]K_Summary!$M$1546 = "", "", [1]K_Summary!$M$1546 ),"")</f>
        <v/>
      </c>
      <c r="N1561" s="176" t="str">
        <f>IFERROR(IF([1]K_Summary!$N$1546 = "", "", [1]K_Summary!$N$1546 ),"")</f>
        <v/>
      </c>
    </row>
    <row r="1562" spans="1:14" ht="15">
      <c r="C1562" s="559"/>
      <c r="D1562" s="706"/>
      <c r="E1562" s="736" t="s">
        <v>1855</v>
      </c>
      <c r="F1562" s="736"/>
      <c r="G1562" s="736"/>
      <c r="H1562" s="738" t="s">
        <v>1021</v>
      </c>
      <c r="I1562" s="738"/>
      <c r="J1562" s="177" t="str">
        <f>IFERROR(IF([1]K_Summary!$J$1547 = "", "", [1]K_Summary!$J$1547 ),"")</f>
        <v/>
      </c>
      <c r="K1562" s="178" t="str">
        <f>IFERROR(IF([1]K_Summary!$K$1547 = "", "", [1]K_Summary!$K$1547 ),"")</f>
        <v/>
      </c>
      <c r="L1562" s="178" t="str">
        <f>IFERROR(IF([1]K_Summary!$L$1547 = "", "", [1]K_Summary!$L$1547 ),"")</f>
        <v/>
      </c>
      <c r="M1562" s="178" t="str">
        <f>IFERROR(IF([1]K_Summary!$M$1547 = "", "", [1]K_Summary!$M$1547 ),"")</f>
        <v/>
      </c>
      <c r="N1562" s="179" t="str">
        <f>IFERROR(IF([1]K_Summary!$N$1547 = "", "", [1]K_Summary!$N$1547 ),"")</f>
        <v/>
      </c>
    </row>
    <row r="1563" spans="1:14" ht="15">
      <c r="C1563" s="559"/>
      <c r="D1563" s="706"/>
      <c r="E1563" s="727" t="s">
        <v>1689</v>
      </c>
      <c r="F1563" s="727"/>
      <c r="G1563" s="727"/>
      <c r="H1563" s="728" t="s">
        <v>1021</v>
      </c>
      <c r="I1563" s="729"/>
      <c r="J1563" s="192" t="str">
        <f>IFERROR(IF([1]K_Summary!$J$1548 = "", "", [1]K_Summary!$J$1548 ),"")</f>
        <v/>
      </c>
      <c r="K1563" s="193" t="str">
        <f>IFERROR(IF([1]K_Summary!$K$1548 = "", "", [1]K_Summary!$K$1548 ),"")</f>
        <v/>
      </c>
      <c r="L1563" s="193" t="str">
        <f>IFERROR(IF([1]K_Summary!$L$1548 = "", "", [1]K_Summary!$L$1548 ),"")</f>
        <v/>
      </c>
      <c r="M1563" s="193" t="str">
        <f>IFERROR(IF([1]K_Summary!$M$1548 = "", "", [1]K_Summary!$M$1548 ),"")</f>
        <v/>
      </c>
      <c r="N1563" s="194" t="str">
        <f>IFERROR(IF([1]K_Summary!$N$1548 = "", "", [1]K_Summary!$N$1548 ),"")</f>
        <v/>
      </c>
    </row>
    <row r="1564" spans="1:14" ht="15">
      <c r="C1564" s="559"/>
      <c r="D1564" s="706"/>
      <c r="E1564" s="698" t="s">
        <v>1671</v>
      </c>
      <c r="F1564" s="698"/>
      <c r="G1564" s="698"/>
      <c r="H1564" s="730" t="s">
        <v>2090</v>
      </c>
      <c r="I1564" s="731"/>
      <c r="J1564" s="148" t="str">
        <f>IFERROR(IF([1]K_Summary!$J$1549 = "", "", [1]K_Summary!$J$1549 ),"")</f>
        <v/>
      </c>
      <c r="K1564" s="150" t="str">
        <f>IFERROR(IF([1]K_Summary!$K$1549 = "", "", [1]K_Summary!$K$1549 ),"")</f>
        <v/>
      </c>
      <c r="L1564" s="150" t="str">
        <f>IFERROR(IF([1]K_Summary!$L$1549 = "", "", [1]K_Summary!$L$1549 ),"")</f>
        <v/>
      </c>
      <c r="M1564" s="150" t="str">
        <f>IFERROR(IF([1]K_Summary!$M$1549 = "", "", [1]K_Summary!$M$1549 ),"")</f>
        <v/>
      </c>
      <c r="N1564" s="171" t="str">
        <f>IFERROR(IF([1]K_Summary!$N$1549 = "", "", [1]K_Summary!$N$1549 ),"")</f>
        <v/>
      </c>
    </row>
    <row r="1565" spans="1:14" ht="15">
      <c r="C1565" s="559"/>
      <c r="D1565" s="706"/>
      <c r="E1565" s="698" t="s">
        <v>1670</v>
      </c>
      <c r="F1565" s="698"/>
      <c r="G1565" s="698"/>
      <c r="H1565" s="730" t="s">
        <v>2090</v>
      </c>
      <c r="I1565" s="731"/>
      <c r="J1565" s="148" t="str">
        <f>IFERROR(IF([1]K_Summary!$J$1550 = "", "", [1]K_Summary!$J$1550 ),"")</f>
        <v/>
      </c>
      <c r="K1565" s="150" t="str">
        <f>IFERROR(IF([1]K_Summary!$K$1550 = "", "", [1]K_Summary!$K$1550 ),"")</f>
        <v/>
      </c>
      <c r="L1565" s="150" t="str">
        <f>IFERROR(IF([1]K_Summary!$L$1550 = "", "", [1]K_Summary!$L$1550 ),"")</f>
        <v/>
      </c>
      <c r="M1565" s="150" t="str">
        <f>IFERROR(IF([1]K_Summary!$M$1550 = "", "", [1]K_Summary!$M$1550 ),"")</f>
        <v/>
      </c>
      <c r="N1565" s="171" t="str">
        <f>IFERROR(IF([1]K_Summary!$N$1550 = "", "", [1]K_Summary!$N$1550 ),"")</f>
        <v/>
      </c>
    </row>
    <row r="1566" spans="1:14" ht="15">
      <c r="C1566" s="559"/>
      <c r="D1566" s="706"/>
      <c r="E1566" s="740" t="s">
        <v>2134</v>
      </c>
      <c r="F1566" s="698"/>
      <c r="G1566" s="698"/>
      <c r="H1566" s="741" t="s">
        <v>1021</v>
      </c>
      <c r="I1566" s="742"/>
      <c r="J1566" s="183" t="str">
        <f>IFERROR(IF([1]K_Summary!$J$1551 = "", "", [1]K_Summary!$J$1551 ),"")</f>
        <v/>
      </c>
      <c r="K1566" s="184" t="str">
        <f>IFERROR(IF([1]K_Summary!$K$1551 = "", "", [1]K_Summary!$K$1551 ),"")</f>
        <v/>
      </c>
      <c r="L1566" s="184" t="str">
        <f>IFERROR(IF([1]K_Summary!$L$1551 = "", "", [1]K_Summary!$L$1551 ),"")</f>
        <v/>
      </c>
      <c r="M1566" s="184" t="str">
        <f>IFERROR(IF([1]K_Summary!$M$1551 = "", "", [1]K_Summary!$M$1551 ),"")</f>
        <v/>
      </c>
      <c r="N1566" s="185" t="str">
        <f>IFERROR(IF([1]K_Summary!$N$1551 = "", "", [1]K_Summary!$N$1551 ),"")</f>
        <v/>
      </c>
    </row>
    <row r="1567" spans="1:14" ht="15">
      <c r="C1567" s="559"/>
      <c r="D1567" s="706"/>
      <c r="E1567" s="485"/>
      <c r="F1567" s="485"/>
      <c r="G1567" s="485"/>
      <c r="H1567" s="485"/>
      <c r="I1567" s="743"/>
      <c r="J1567" s="485"/>
      <c r="K1567" s="485"/>
      <c r="L1567" s="485"/>
      <c r="M1567" s="485"/>
      <c r="N1567" s="744"/>
    </row>
    <row r="1568" spans="1:14" ht="15">
      <c r="C1568" s="559"/>
      <c r="D1568" s="706"/>
      <c r="E1568" s="707" t="s">
        <v>1757</v>
      </c>
      <c r="F1568" s="637"/>
      <c r="G1568" s="637"/>
      <c r="H1568" s="663" t="s">
        <v>884</v>
      </c>
      <c r="I1568" s="708"/>
      <c r="J1568" s="709">
        <v>2021</v>
      </c>
      <c r="K1568" s="671">
        <v>2022</v>
      </c>
      <c r="L1568" s="671">
        <v>2023</v>
      </c>
      <c r="M1568" s="671">
        <v>2024</v>
      </c>
      <c r="N1568" s="710">
        <v>2025</v>
      </c>
    </row>
    <row r="1569" spans="1:14" ht="15" hidden="1">
      <c r="A1569" s="719" t="s">
        <v>2289</v>
      </c>
      <c r="C1569" s="559"/>
      <c r="D1569" s="706"/>
      <c r="E1569" s="698" t="s">
        <v>1714</v>
      </c>
      <c r="F1569" s="698"/>
      <c r="G1569" s="698"/>
      <c r="H1569" s="63" t="str">
        <f>IFERROR(IF([1]K_Summary!$H$1554 = "", "", [1]K_Summary!$H$1554 ),"")</f>
        <v>tonnes</v>
      </c>
      <c r="I1569" s="698"/>
      <c r="J1569" s="157" t="str">
        <f>IFERROR(IF([1]K_Summary!$J$1554 = "", "", [1]K_Summary!$J$1554 ),"")</f>
        <v/>
      </c>
      <c r="K1569" s="147" t="str">
        <f>IFERROR(IF([1]K_Summary!$K$1554 = "", "", [1]K_Summary!$K$1554 ),"")</f>
        <v/>
      </c>
      <c r="L1569" s="147" t="str">
        <f>IFERROR(IF([1]K_Summary!$L$1554 = "", "", [1]K_Summary!$L$1554 ),"")</f>
        <v/>
      </c>
      <c r="M1569" s="147" t="str">
        <f>IFERROR(IF([1]K_Summary!$M$1554 = "", "", [1]K_Summary!$M$1554 ),"")</f>
        <v/>
      </c>
      <c r="N1569" s="158" t="str">
        <f>IFERROR(IF([1]K_Summary!$N$1554 = "", "", [1]K_Summary!$N$1554 ),"")</f>
        <v/>
      </c>
    </row>
    <row r="1570" spans="1:14" ht="15" hidden="1">
      <c r="A1570" s="719" t="s">
        <v>2289</v>
      </c>
      <c r="C1570" s="559"/>
      <c r="D1570" s="706"/>
      <c r="E1570" s="720" t="s">
        <v>303</v>
      </c>
      <c r="F1570" s="720"/>
      <c r="G1570" s="720"/>
      <c r="H1570" s="721" t="s">
        <v>2090</v>
      </c>
      <c r="I1570" s="722"/>
      <c r="J1570" s="159" t="str">
        <f>IFERROR(IF([1]K_Summary!$J$1555 = "", "", [1]K_Summary!$J$1555 ),"")</f>
        <v/>
      </c>
      <c r="K1570" s="160" t="str">
        <f>IFERROR(IF([1]K_Summary!$K$1555 = "", "", [1]K_Summary!$K$1555 ),"")</f>
        <v/>
      </c>
      <c r="L1570" s="160" t="str">
        <f>IFERROR(IF([1]K_Summary!$L$1555 = "", "", [1]K_Summary!$L$1555 ),"")</f>
        <v/>
      </c>
      <c r="M1570" s="160" t="str">
        <f>IFERROR(IF([1]K_Summary!$M$1555 = "", "", [1]K_Summary!$M$1555 ),"")</f>
        <v/>
      </c>
      <c r="N1570" s="161" t="str">
        <f>IFERROR(IF([1]K_Summary!$N$1555 = "", "", [1]K_Summary!$N$1555 ),"")</f>
        <v/>
      </c>
    </row>
    <row r="1571" spans="1:14" ht="15">
      <c r="C1571" s="559"/>
      <c r="D1571" s="706"/>
      <c r="E1571" s="720" t="s">
        <v>1691</v>
      </c>
      <c r="F1571" s="720"/>
      <c r="G1571" s="720"/>
      <c r="H1571" s="748" t="s">
        <v>471</v>
      </c>
      <c r="I1571" s="722"/>
      <c r="J1571" s="172" t="str">
        <f>IFERROR(IF([1]K_Summary!$J$1556 = "", "", [1]K_Summary!$J$1556 ),"")</f>
        <v/>
      </c>
      <c r="K1571" s="54" t="str">
        <f>IFERROR(IF([1]K_Summary!$K$1556 = "", "", [1]K_Summary!$K$1556 ),"")</f>
        <v/>
      </c>
      <c r="L1571" s="54" t="str">
        <f>IFERROR(IF([1]K_Summary!$L$1556 = "", "", [1]K_Summary!$L$1556 ),"")</f>
        <v/>
      </c>
      <c r="M1571" s="54" t="str">
        <f>IFERROR(IF([1]K_Summary!$M$1556 = "", "", [1]K_Summary!$M$1556 ),"")</f>
        <v/>
      </c>
      <c r="N1571" s="173" t="str">
        <f>IFERROR(IF([1]K_Summary!$N$1556 = "", "", [1]K_Summary!$N$1556 ),"")</f>
        <v/>
      </c>
    </row>
    <row r="1572" spans="1:14" ht="15">
      <c r="C1572" s="559"/>
      <c r="D1572" s="706"/>
      <c r="E1572" s="723" t="s">
        <v>1648</v>
      </c>
      <c r="F1572" s="723"/>
      <c r="G1572" s="723"/>
      <c r="H1572" s="734" t="s">
        <v>1021</v>
      </c>
      <c r="I1572" s="735"/>
      <c r="J1572" s="174" t="str">
        <f>IFERROR(IF([1]K_Summary!$J$1557 = "", "", [1]K_Summary!$J$1557 ),"")</f>
        <v/>
      </c>
      <c r="K1572" s="175" t="str">
        <f>IFERROR(IF([1]K_Summary!$K$1557 = "", "", [1]K_Summary!$K$1557 ),"")</f>
        <v/>
      </c>
      <c r="L1572" s="175" t="str">
        <f>IFERROR(IF([1]K_Summary!$L$1557 = "", "", [1]K_Summary!$L$1557 ),"")</f>
        <v/>
      </c>
      <c r="M1572" s="175" t="str">
        <f>IFERROR(IF([1]K_Summary!$M$1557 = "", "", [1]K_Summary!$M$1557 ),"")</f>
        <v/>
      </c>
      <c r="N1572" s="176" t="str">
        <f>IFERROR(IF([1]K_Summary!$N$1557 = "", "", [1]K_Summary!$N$1557 ),"")</f>
        <v/>
      </c>
    </row>
    <row r="1573" spans="1:14" ht="15">
      <c r="C1573" s="559"/>
      <c r="D1573" s="706"/>
      <c r="E1573" s="736" t="s">
        <v>1856</v>
      </c>
      <c r="F1573" s="736"/>
      <c r="G1573" s="736"/>
      <c r="H1573" s="737" t="s">
        <v>1021</v>
      </c>
      <c r="I1573" s="738"/>
      <c r="J1573" s="177" t="str">
        <f>IFERROR(IF([1]K_Summary!$J$1558 = "", "", [1]K_Summary!$J$1558 ),"")</f>
        <v/>
      </c>
      <c r="K1573" s="178" t="str">
        <f>IFERROR(IF([1]K_Summary!$K$1558 = "", "", [1]K_Summary!$K$1558 ),"")</f>
        <v/>
      </c>
      <c r="L1573" s="178" t="str">
        <f>IFERROR(IF([1]K_Summary!$L$1558 = "", "", [1]K_Summary!$L$1558 ),"")</f>
        <v/>
      </c>
      <c r="M1573" s="178" t="str">
        <f>IFERROR(IF([1]K_Summary!$M$1558 = "", "", [1]K_Summary!$M$1558 ),"")</f>
        <v/>
      </c>
      <c r="N1573" s="179" t="str">
        <f>IFERROR(IF([1]K_Summary!$N$1558 = "", "", [1]K_Summary!$N$1558 ),"")</f>
        <v/>
      </c>
    </row>
    <row r="1574" spans="1:14" ht="15">
      <c r="C1574" s="559"/>
      <c r="D1574" s="706"/>
      <c r="E1574" s="727" t="s">
        <v>1689</v>
      </c>
      <c r="F1574" s="727"/>
      <c r="G1574" s="727"/>
      <c r="H1574" s="728" t="s">
        <v>471</v>
      </c>
      <c r="I1574" s="729"/>
      <c r="J1574" s="180" t="str">
        <f>IFERROR(IF([1]K_Summary!$J$1559 = "", "", [1]K_Summary!$J$1559 ),"")</f>
        <v/>
      </c>
      <c r="K1574" s="181" t="str">
        <f>IFERROR(IF([1]K_Summary!$K$1559 = "", "", [1]K_Summary!$K$1559 ),"")</f>
        <v/>
      </c>
      <c r="L1574" s="181" t="str">
        <f>IFERROR(IF([1]K_Summary!$L$1559 = "", "", [1]K_Summary!$L$1559 ),"")</f>
        <v/>
      </c>
      <c r="M1574" s="181" t="str">
        <f>IFERROR(IF([1]K_Summary!$M$1559 = "", "", [1]K_Summary!$M$1559 ),"")</f>
        <v/>
      </c>
      <c r="N1574" s="182" t="str">
        <f>IFERROR(IF([1]K_Summary!$N$1559 = "", "", [1]K_Summary!$N$1559 ),"")</f>
        <v/>
      </c>
    </row>
    <row r="1575" spans="1:14" ht="15" hidden="1">
      <c r="A1575" s="719" t="s">
        <v>2289</v>
      </c>
      <c r="C1575" s="559"/>
      <c r="D1575" s="706"/>
      <c r="E1575" s="723" t="s">
        <v>1390</v>
      </c>
      <c r="F1575" s="723"/>
      <c r="G1575" s="723"/>
      <c r="H1575" s="724" t="s">
        <v>2090</v>
      </c>
      <c r="I1575" s="725"/>
      <c r="J1575" s="162" t="str">
        <f>IFERROR(IF([1]K_Summary!$J$1560 = "", "", [1]K_Summary!$J$1560 ),"")</f>
        <v/>
      </c>
      <c r="K1575" s="163" t="str">
        <f>IFERROR(IF([1]K_Summary!$K$1560 = "", "", [1]K_Summary!$K$1560 ),"")</f>
        <v/>
      </c>
      <c r="L1575" s="163" t="str">
        <f>IFERROR(IF([1]K_Summary!$L$1560 = "", "", [1]K_Summary!$L$1560 ),"")</f>
        <v/>
      </c>
      <c r="M1575" s="163" t="str">
        <f>IFERROR(IF([1]K_Summary!$M$1560 = "", "", [1]K_Summary!$M$1560 ),"")</f>
        <v/>
      </c>
      <c r="N1575" s="164" t="str">
        <f>IFERROR(IF([1]K_Summary!$N$1560 = "", "", [1]K_Summary!$N$1560 ),"")</f>
        <v/>
      </c>
    </row>
    <row r="1576" spans="1:14" ht="15" hidden="1">
      <c r="A1576" s="719" t="s">
        <v>2289</v>
      </c>
      <c r="C1576" s="559"/>
      <c r="D1576" s="706"/>
      <c r="E1576" s="723" t="s">
        <v>1389</v>
      </c>
      <c r="F1576" s="723"/>
      <c r="G1576" s="723"/>
      <c r="H1576" s="726" t="s">
        <v>1021</v>
      </c>
      <c r="I1576" s="725"/>
      <c r="J1576" s="165" t="str">
        <f>IFERROR(IF([1]K_Summary!$J$1561 = "", "", [1]K_Summary!$J$1561 ),"")</f>
        <v/>
      </c>
      <c r="K1576" s="166" t="str">
        <f>IFERROR(IF([1]K_Summary!$K$1561 = "", "", [1]K_Summary!$K$1561 ),"")</f>
        <v/>
      </c>
      <c r="L1576" s="166" t="str">
        <f>IFERROR(IF([1]K_Summary!$L$1561 = "", "", [1]K_Summary!$L$1561 ),"")</f>
        <v/>
      </c>
      <c r="M1576" s="166" t="str">
        <f>IFERROR(IF([1]K_Summary!$M$1561 = "", "", [1]K_Summary!$M$1561 ),"")</f>
        <v/>
      </c>
      <c r="N1576" s="167" t="str">
        <f>IFERROR(IF([1]K_Summary!$N$1561 = "", "", [1]K_Summary!$N$1561 ),"")</f>
        <v/>
      </c>
    </row>
    <row r="1577" spans="1:14" ht="15" hidden="1">
      <c r="A1577" s="719" t="s">
        <v>2289</v>
      </c>
      <c r="C1577" s="559"/>
      <c r="D1577" s="706"/>
      <c r="E1577" s="727" t="s">
        <v>1391</v>
      </c>
      <c r="F1577" s="727"/>
      <c r="G1577" s="727"/>
      <c r="H1577" s="728" t="s">
        <v>1021</v>
      </c>
      <c r="I1577" s="729"/>
      <c r="J1577" s="168" t="str">
        <f>IFERROR(IF([1]K_Summary!$J$1562 = "", "", [1]K_Summary!$J$1562 ),"")</f>
        <v/>
      </c>
      <c r="K1577" s="169" t="str">
        <f>IFERROR(IF([1]K_Summary!$K$1562 = "", "", [1]K_Summary!$K$1562 ),"")</f>
        <v/>
      </c>
      <c r="L1577" s="169" t="str">
        <f>IFERROR(IF([1]K_Summary!$L$1562 = "", "", [1]K_Summary!$L$1562 ),"")</f>
        <v/>
      </c>
      <c r="M1577" s="169" t="str">
        <f>IFERROR(IF([1]K_Summary!$M$1562 = "", "", [1]K_Summary!$M$1562 ),"")</f>
        <v/>
      </c>
      <c r="N1577" s="170" t="str">
        <f>IFERROR(IF([1]K_Summary!$N$1562 = "", "", [1]K_Summary!$N$1562 ),"")</f>
        <v/>
      </c>
    </row>
    <row r="1578" spans="1:14" ht="15">
      <c r="C1578" s="559"/>
      <c r="D1578" s="706"/>
      <c r="E1578" s="698" t="s">
        <v>1671</v>
      </c>
      <c r="F1578" s="698"/>
      <c r="G1578" s="698"/>
      <c r="H1578" s="730" t="s">
        <v>2090</v>
      </c>
      <c r="I1578" s="731"/>
      <c r="J1578" s="148" t="str">
        <f>IFERROR(IF([1]K_Summary!$J$1563 = "", "", [1]K_Summary!$J$1563 ),"")</f>
        <v/>
      </c>
      <c r="K1578" s="150" t="str">
        <f>IFERROR(IF([1]K_Summary!$K$1563 = "", "", [1]K_Summary!$K$1563 ),"")</f>
        <v/>
      </c>
      <c r="L1578" s="150" t="str">
        <f>IFERROR(IF([1]K_Summary!$L$1563 = "", "", [1]K_Summary!$L$1563 ),"")</f>
        <v/>
      </c>
      <c r="M1578" s="150" t="str">
        <f>IFERROR(IF([1]K_Summary!$M$1563 = "", "", [1]K_Summary!$M$1563 ),"")</f>
        <v/>
      </c>
      <c r="N1578" s="171" t="str">
        <f>IFERROR(IF([1]K_Summary!$N$1563 = "", "", [1]K_Summary!$N$1563 ),"")</f>
        <v/>
      </c>
    </row>
    <row r="1579" spans="1:14" ht="15">
      <c r="C1579" s="559"/>
      <c r="D1579" s="706"/>
      <c r="E1579" s="698" t="s">
        <v>1670</v>
      </c>
      <c r="F1579" s="698"/>
      <c r="G1579" s="698"/>
      <c r="H1579" s="730" t="s">
        <v>2090</v>
      </c>
      <c r="I1579" s="731"/>
      <c r="J1579" s="148" t="str">
        <f>IFERROR(IF([1]K_Summary!$J$1564 = "", "", [1]K_Summary!$J$1564 ),"")</f>
        <v/>
      </c>
      <c r="K1579" s="150" t="str">
        <f>IFERROR(IF([1]K_Summary!$K$1564 = "", "", [1]K_Summary!$K$1564 ),"")</f>
        <v/>
      </c>
      <c r="L1579" s="150" t="str">
        <f>IFERROR(IF([1]K_Summary!$L$1564 = "", "", [1]K_Summary!$L$1564 ),"")</f>
        <v/>
      </c>
      <c r="M1579" s="150" t="str">
        <f>IFERROR(IF([1]K_Summary!$M$1564 = "", "", [1]K_Summary!$M$1564 ),"")</f>
        <v/>
      </c>
      <c r="N1579" s="171" t="str">
        <f>IFERROR(IF([1]K_Summary!$N$1564 = "", "", [1]K_Summary!$N$1564 ),"")</f>
        <v/>
      </c>
    </row>
    <row r="1580" spans="1:14" ht="15">
      <c r="C1580" s="559"/>
      <c r="D1580" s="706"/>
      <c r="E1580" s="740" t="s">
        <v>2135</v>
      </c>
      <c r="F1580" s="698"/>
      <c r="G1580" s="698"/>
      <c r="H1580" s="741" t="s">
        <v>1021</v>
      </c>
      <c r="I1580" s="742"/>
      <c r="J1580" s="183" t="str">
        <f>IFERROR(IF([1]K_Summary!$J$1565 = "", "", [1]K_Summary!$J$1565 ),"")</f>
        <v/>
      </c>
      <c r="K1580" s="184" t="str">
        <f>IFERROR(IF([1]K_Summary!$K$1565 = "", "", [1]K_Summary!$K$1565 ),"")</f>
        <v/>
      </c>
      <c r="L1580" s="184" t="str">
        <f>IFERROR(IF([1]K_Summary!$L$1565 = "", "", [1]K_Summary!$L$1565 ),"")</f>
        <v/>
      </c>
      <c r="M1580" s="184" t="str">
        <f>IFERROR(IF([1]K_Summary!$M$1565 = "", "", [1]K_Summary!$M$1565 ),"")</f>
        <v/>
      </c>
      <c r="N1580" s="185" t="str">
        <f>IFERROR(IF([1]K_Summary!$N$1565 = "", "", [1]K_Summary!$N$1565 ),"")</f>
        <v/>
      </c>
    </row>
    <row r="1581" spans="1:14" ht="15.75" thickBot="1">
      <c r="C1581" s="559"/>
      <c r="D1581" s="755"/>
      <c r="E1581" s="756"/>
      <c r="F1581" s="756"/>
      <c r="G1581" s="756"/>
      <c r="H1581" s="756"/>
      <c r="I1581" s="757"/>
      <c r="J1581" s="756"/>
      <c r="K1581" s="756"/>
      <c r="L1581" s="756"/>
      <c r="M1581" s="756"/>
      <c r="N1581" s="758"/>
    </row>
    <row r="1582" spans="1:14" ht="15.75" thickBot="1">
      <c r="C1582" s="559"/>
      <c r="D1582" s="559"/>
      <c r="E1582" s="485"/>
      <c r="F1582" s="485"/>
      <c r="G1582" s="485"/>
      <c r="H1582" s="485"/>
      <c r="I1582" s="743"/>
      <c r="J1582" s="485"/>
      <c r="K1582" s="485"/>
      <c r="L1582" s="485"/>
      <c r="M1582" s="485"/>
      <c r="N1582" s="485"/>
    </row>
    <row r="1583" spans="1:14">
      <c r="C1583" s="485"/>
      <c r="D1583" s="759"/>
      <c r="E1583" s="760"/>
      <c r="F1583" s="760"/>
      <c r="G1583" s="760"/>
      <c r="H1583" s="760"/>
      <c r="I1583" s="761"/>
      <c r="J1583" s="760"/>
      <c r="K1583" s="760"/>
      <c r="L1583" s="760"/>
      <c r="M1583" s="760"/>
      <c r="N1583" s="762"/>
    </row>
    <row r="1584" spans="1:14">
      <c r="C1584" s="485"/>
      <c r="D1584" s="539"/>
      <c r="E1584" s="496" t="s">
        <v>1786</v>
      </c>
      <c r="F1584" s="485"/>
      <c r="G1584" s="485"/>
      <c r="H1584" s="663" t="s">
        <v>884</v>
      </c>
      <c r="I1584" s="763" t="s">
        <v>1675</v>
      </c>
      <c r="J1584" s="709">
        <v>2021</v>
      </c>
      <c r="K1584" s="671">
        <v>2022</v>
      </c>
      <c r="L1584" s="671">
        <v>2023</v>
      </c>
      <c r="M1584" s="671">
        <v>2024</v>
      </c>
      <c r="N1584" s="710">
        <v>2025</v>
      </c>
    </row>
    <row r="1585" spans="3:14">
      <c r="C1585" s="485"/>
      <c r="D1585" s="539"/>
      <c r="E1585" s="720" t="s">
        <v>1714</v>
      </c>
      <c r="F1585" s="720"/>
      <c r="G1585" s="720"/>
      <c r="H1585" s="67" t="str">
        <f>IFERROR(IF([1]K_Summary!$H$1570 = "", "", [1]K_Summary!$H$1570 ),"")</f>
        <v>tonnes</v>
      </c>
      <c r="I1585" s="207" t="str">
        <f>IFERROR(IF([1]K_Summary!$I$1570 = "", "", [1]K_Summary!$I$1570 ),"")</f>
        <v/>
      </c>
      <c r="J1585" s="172" t="str">
        <f>IFERROR(IF([1]K_Summary!$J$1570 = "", "", [1]K_Summary!$J$1570 ),"")</f>
        <v/>
      </c>
      <c r="K1585" s="54" t="str">
        <f>IFERROR(IF([1]K_Summary!$K$1570 = "", "", [1]K_Summary!$K$1570 ),"")</f>
        <v/>
      </c>
      <c r="L1585" s="54" t="str">
        <f>IFERROR(IF([1]K_Summary!$L$1570 = "", "", [1]K_Summary!$L$1570 ),"")</f>
        <v/>
      </c>
      <c r="M1585" s="54" t="str">
        <f>IFERROR(IF([1]K_Summary!$M$1570 = "", "", [1]K_Summary!$M$1570 ),"")</f>
        <v/>
      </c>
      <c r="N1585" s="173" t="str">
        <f>IFERROR(IF([1]K_Summary!$N$1570 = "", "", [1]K_Summary!$N$1570 ),"")</f>
        <v/>
      </c>
    </row>
    <row r="1586" spans="3:14">
      <c r="C1586" s="485"/>
      <c r="D1586" s="539"/>
      <c r="E1586" s="645" t="s">
        <v>303</v>
      </c>
      <c r="F1586" s="645"/>
      <c r="G1586" s="645"/>
      <c r="H1586" s="765" t="s">
        <v>2090</v>
      </c>
      <c r="I1586" s="208" t="str">
        <f>IFERROR(IF([1]K_Summary!$I$1571 = "", "", [1]K_Summary!$I$1571 ),"")</f>
        <v/>
      </c>
      <c r="J1586" s="209" t="str">
        <f>IFERROR(IF([1]K_Summary!$J$1571 = "", "", [1]K_Summary!$J$1571 ),"")</f>
        <v/>
      </c>
      <c r="K1586" s="210" t="str">
        <f>IFERROR(IF([1]K_Summary!$K$1571 = "", "", [1]K_Summary!$K$1571 ),"")</f>
        <v/>
      </c>
      <c r="L1586" s="210" t="str">
        <f>IFERROR(IF([1]K_Summary!$L$1571 = "", "", [1]K_Summary!$L$1571 ),"")</f>
        <v/>
      </c>
      <c r="M1586" s="210" t="str">
        <f>IFERROR(IF([1]K_Summary!$M$1571 = "", "", [1]K_Summary!$M$1571 ),"")</f>
        <v/>
      </c>
      <c r="N1586" s="211" t="str">
        <f>IFERROR(IF([1]K_Summary!$N$1571 = "", "", [1]K_Summary!$N$1571 ),"")</f>
        <v/>
      </c>
    </row>
    <row r="1587" spans="3:14">
      <c r="C1587" s="485"/>
      <c r="D1587" s="539"/>
      <c r="E1587" s="723" t="s">
        <v>1422</v>
      </c>
      <c r="F1587" s="723"/>
      <c r="G1587" s="723"/>
      <c r="H1587" s="724" t="s">
        <v>2090</v>
      </c>
      <c r="I1587" s="212" t="str">
        <f>IFERROR(IF([1]K_Summary!$I$1572 = "", "", [1]K_Summary!$I$1572 ),"")</f>
        <v/>
      </c>
      <c r="J1587" s="213" t="str">
        <f>IFERROR(IF([1]K_Summary!$J$1572 = "", "", [1]K_Summary!$J$1572 ),"")</f>
        <v/>
      </c>
      <c r="K1587" s="214" t="str">
        <f>IFERROR(IF([1]K_Summary!$K$1572 = "", "", [1]K_Summary!$K$1572 ),"")</f>
        <v/>
      </c>
      <c r="L1587" s="214" t="str">
        <f>IFERROR(IF([1]K_Summary!$L$1572 = "", "", [1]K_Summary!$L$1572 ),"")</f>
        <v/>
      </c>
      <c r="M1587" s="214" t="str">
        <f>IFERROR(IF([1]K_Summary!$M$1572 = "", "", [1]K_Summary!$M$1572 ),"")</f>
        <v/>
      </c>
      <c r="N1587" s="215" t="str">
        <f>IFERROR(IF([1]K_Summary!$N$1572 = "", "", [1]K_Summary!$N$1572 ),"")</f>
        <v/>
      </c>
    </row>
    <row r="1588" spans="3:14">
      <c r="C1588" s="485"/>
      <c r="D1588" s="539"/>
      <c r="E1588" s="723" t="s">
        <v>1390</v>
      </c>
      <c r="F1588" s="723"/>
      <c r="G1588" s="723"/>
      <c r="H1588" s="724" t="s">
        <v>2090</v>
      </c>
      <c r="I1588" s="212" t="str">
        <f>IFERROR(IF([1]K_Summary!$I$1573 = "", "", [1]K_Summary!$I$1573 ),"")</f>
        <v/>
      </c>
      <c r="J1588" s="213" t="str">
        <f>IFERROR(IF([1]K_Summary!$J$1573 = "", "", [1]K_Summary!$J$1573 ),"")</f>
        <v/>
      </c>
      <c r="K1588" s="214" t="str">
        <f>IFERROR(IF([1]K_Summary!$K$1573 = "", "", [1]K_Summary!$K$1573 ),"")</f>
        <v/>
      </c>
      <c r="L1588" s="214" t="str">
        <f>IFERROR(IF([1]K_Summary!$L$1573 = "", "", [1]K_Summary!$L$1573 ),"")</f>
        <v/>
      </c>
      <c r="M1588" s="214" t="str">
        <f>IFERROR(IF([1]K_Summary!$M$1573 = "", "", [1]K_Summary!$M$1573 ),"")</f>
        <v/>
      </c>
      <c r="N1588" s="215" t="str">
        <f>IFERROR(IF([1]K_Summary!$N$1573 = "", "", [1]K_Summary!$N$1573 ),"")</f>
        <v/>
      </c>
    </row>
    <row r="1589" spans="3:14">
      <c r="C1589" s="485"/>
      <c r="D1589" s="539"/>
      <c r="E1589" s="723" t="s">
        <v>1389</v>
      </c>
      <c r="F1589" s="723"/>
      <c r="G1589" s="723"/>
      <c r="H1589" s="726" t="s">
        <v>1021</v>
      </c>
      <c r="I1589" s="216" t="str">
        <f>IFERROR(IF([1]K_Summary!$I$1574 = "", "", [1]K_Summary!$I$1574 ),"")</f>
        <v/>
      </c>
      <c r="J1589" s="217" t="str">
        <f>IFERROR(IF([1]K_Summary!$J$1574 = "", "", [1]K_Summary!$J$1574 ),"")</f>
        <v/>
      </c>
      <c r="K1589" s="218" t="str">
        <f>IFERROR(IF([1]K_Summary!$K$1574 = "", "", [1]K_Summary!$K$1574 ),"")</f>
        <v/>
      </c>
      <c r="L1589" s="218" t="str">
        <f>IFERROR(IF([1]K_Summary!$L$1574 = "", "", [1]K_Summary!$L$1574 ),"")</f>
        <v/>
      </c>
      <c r="M1589" s="218" t="str">
        <f>IFERROR(IF([1]K_Summary!$M$1574 = "", "", [1]K_Summary!$M$1574 ),"")</f>
        <v/>
      </c>
      <c r="N1589" s="219" t="str">
        <f>IFERROR(IF([1]K_Summary!$N$1574 = "", "", [1]K_Summary!$N$1574 ),"")</f>
        <v/>
      </c>
    </row>
    <row r="1590" spans="3:14">
      <c r="C1590" s="485"/>
      <c r="D1590" s="539"/>
      <c r="E1590" s="727" t="s">
        <v>1391</v>
      </c>
      <c r="F1590" s="727"/>
      <c r="G1590" s="727"/>
      <c r="H1590" s="728" t="s">
        <v>1021</v>
      </c>
      <c r="I1590" s="220" t="str">
        <f>IFERROR(IF([1]K_Summary!$I$1575 = "", "", [1]K_Summary!$I$1575 ),"")</f>
        <v/>
      </c>
      <c r="J1590" s="221" t="str">
        <f>IFERROR(IF([1]K_Summary!$J$1575 = "", "", [1]K_Summary!$J$1575 ),"")</f>
        <v/>
      </c>
      <c r="K1590" s="222" t="str">
        <f>IFERROR(IF([1]K_Summary!$K$1575 = "", "", [1]K_Summary!$K$1575 ),"")</f>
        <v/>
      </c>
      <c r="L1590" s="222" t="str">
        <f>IFERROR(IF([1]K_Summary!$L$1575 = "", "", [1]K_Summary!$L$1575 ),"")</f>
        <v/>
      </c>
      <c r="M1590" s="222" t="str">
        <f>IFERROR(IF([1]K_Summary!$M$1575 = "", "", [1]K_Summary!$M$1575 ),"")</f>
        <v/>
      </c>
      <c r="N1590" s="223" t="str">
        <f>IFERROR(IF([1]K_Summary!$N$1575 = "", "", [1]K_Summary!$N$1575 ),"")</f>
        <v/>
      </c>
    </row>
    <row r="1591" spans="3:14">
      <c r="C1591" s="485"/>
      <c r="D1591" s="539"/>
      <c r="E1591" s="698" t="s">
        <v>222</v>
      </c>
      <c r="F1591" s="698"/>
      <c r="G1591" s="698"/>
      <c r="H1591" s="730" t="s">
        <v>2090</v>
      </c>
      <c r="I1591" s="224" t="str">
        <f>IFERROR(IF([1]K_Summary!$I$1576 = "", "", [1]K_Summary!$I$1576 ),"")</f>
        <v/>
      </c>
      <c r="J1591" s="148" t="str">
        <f>IFERROR(IF([1]K_Summary!$J$1576 = "", "", [1]K_Summary!$J$1576 ),"")</f>
        <v/>
      </c>
      <c r="K1591" s="150" t="str">
        <f>IFERROR(IF([1]K_Summary!$K$1576 = "", "", [1]K_Summary!$K$1576 ),"")</f>
        <v/>
      </c>
      <c r="L1591" s="150" t="str">
        <f>IFERROR(IF([1]K_Summary!$L$1576 = "", "", [1]K_Summary!$L$1576 ),"")</f>
        <v/>
      </c>
      <c r="M1591" s="150" t="str">
        <f>IFERROR(IF([1]K_Summary!$M$1576 = "", "", [1]K_Summary!$M$1576 ),"")</f>
        <v/>
      </c>
      <c r="N1591" s="171" t="str">
        <f>IFERROR(IF([1]K_Summary!$N$1576 = "", "", [1]K_Summary!$N$1576 ),"")</f>
        <v/>
      </c>
    </row>
    <row r="1592" spans="3:14" ht="13.5" thickBot="1">
      <c r="C1592" s="485"/>
      <c r="D1592" s="771"/>
      <c r="E1592" s="756"/>
      <c r="F1592" s="756"/>
      <c r="G1592" s="756"/>
      <c r="H1592" s="756"/>
      <c r="I1592" s="756"/>
      <c r="J1592" s="756"/>
      <c r="K1592" s="756"/>
      <c r="L1592" s="756"/>
      <c r="M1592" s="756"/>
      <c r="N1592" s="758"/>
    </row>
    <row r="1593" spans="3:14" ht="13.5" thickBot="1">
      <c r="C1593" s="485"/>
      <c r="D1593" s="562"/>
      <c r="E1593" s="561"/>
      <c r="F1593" s="485"/>
      <c r="G1593" s="485"/>
      <c r="H1593" s="485"/>
      <c r="I1593" s="485"/>
      <c r="J1593" s="485"/>
      <c r="K1593" s="485"/>
      <c r="L1593" s="485"/>
      <c r="M1593" s="485"/>
      <c r="N1593" s="485"/>
    </row>
    <row r="1594" spans="3:14">
      <c r="C1594" s="485"/>
      <c r="D1594" s="772"/>
      <c r="E1594" s="773"/>
      <c r="F1594" s="773"/>
      <c r="G1594" s="774"/>
      <c r="H1594" s="774"/>
      <c r="I1594" s="774"/>
      <c r="J1594" s="774"/>
      <c r="K1594" s="774"/>
      <c r="L1594" s="774"/>
      <c r="M1594" s="774"/>
      <c r="N1594" s="775"/>
    </row>
    <row r="1595" spans="3:14" ht="13.5" thickBot="1">
      <c r="C1595" s="485"/>
      <c r="D1595" s="776"/>
      <c r="E1595" s="777"/>
      <c r="F1595" s="777"/>
      <c r="G1595" s="778" t="s">
        <v>884</v>
      </c>
      <c r="H1595" s="779">
        <v>2019</v>
      </c>
      <c r="I1595" s="780">
        <v>2020</v>
      </c>
      <c r="J1595" s="781">
        <v>2021</v>
      </c>
      <c r="K1595" s="782">
        <v>2022</v>
      </c>
      <c r="L1595" s="782">
        <v>2023</v>
      </c>
      <c r="M1595" s="782">
        <v>2024</v>
      </c>
      <c r="N1595" s="783">
        <v>2025</v>
      </c>
    </row>
    <row r="1596" spans="3:14" ht="13.5" thickBot="1">
      <c r="C1596" s="485"/>
      <c r="D1596" s="776"/>
      <c r="E1596" s="2470" t="s">
        <v>1504</v>
      </c>
      <c r="F1596" s="2470"/>
      <c r="G1596" s="808" t="s">
        <v>2016</v>
      </c>
      <c r="H1596" s="225" t="str">
        <f>IFERROR(IF([1]K_Summary!$H$1581 = "", "", [1]K_Summary!$H$1581 ),"")</f>
        <v/>
      </c>
      <c r="I1596" s="226" t="str">
        <f>IFERROR(IF([1]K_Summary!$I$1581 = "", "", [1]K_Summary!$I$1581 ),"")</f>
        <v/>
      </c>
      <c r="J1596" s="225" t="str">
        <f>IFERROR(IF([1]K_Summary!$J$1581 = "", "", [1]K_Summary!$J$1581 ),"")</f>
        <v/>
      </c>
      <c r="K1596" s="227" t="str">
        <f>IFERROR(IF([1]K_Summary!$K$1581 = "", "", [1]K_Summary!$K$1581 ),"")</f>
        <v/>
      </c>
      <c r="L1596" s="227" t="str">
        <f>IFERROR(IF([1]K_Summary!$L$1581 = "", "", [1]K_Summary!$L$1581 ),"")</f>
        <v/>
      </c>
      <c r="M1596" s="227" t="str">
        <f>IFERROR(IF([1]K_Summary!$M$1581 = "", "", [1]K_Summary!$M$1581 ),"")</f>
        <v/>
      </c>
      <c r="N1596" s="228" t="str">
        <f>IFERROR(IF([1]K_Summary!$N$1581 = "", "", [1]K_Summary!$N$1581 ),"")</f>
        <v/>
      </c>
    </row>
    <row r="1597" spans="3:14">
      <c r="C1597" s="485"/>
      <c r="D1597" s="776"/>
      <c r="E1597" s="809"/>
      <c r="F1597" s="809"/>
      <c r="G1597" s="777"/>
      <c r="H1597" s="777"/>
      <c r="I1597" s="777"/>
      <c r="J1597" s="777"/>
      <c r="K1597" s="777"/>
      <c r="L1597" s="777"/>
      <c r="M1597" s="777"/>
      <c r="N1597" s="810"/>
    </row>
    <row r="1598" spans="3:14">
      <c r="C1598" s="485"/>
      <c r="D1598" s="776"/>
      <c r="E1598" s="2471" t="s">
        <v>1344</v>
      </c>
      <c r="F1598" s="2472"/>
      <c r="G1598" s="811" t="s">
        <v>2017</v>
      </c>
      <c r="H1598" s="127" t="str">
        <f>IFERROR(IF([1]K_Summary!$H$1583 = "", "", [1]K_Summary!$H$1583 ),"")</f>
        <v/>
      </c>
      <c r="I1598" s="229" t="str">
        <f>IFERROR(IF([1]K_Summary!$I$1583 = "", "", [1]K_Summary!$I$1583 ),"")</f>
        <v/>
      </c>
      <c r="J1598" s="230" t="str">
        <f>IFERROR(IF([1]K_Summary!$J$1583 = "", "", [1]K_Summary!$J$1583 ),"")</f>
        <v/>
      </c>
      <c r="K1598" s="127" t="str">
        <f>IFERROR(IF([1]K_Summary!$K$1583 = "", "", [1]K_Summary!$K$1583 ),"")</f>
        <v/>
      </c>
      <c r="L1598" s="127" t="str">
        <f>IFERROR(IF([1]K_Summary!$L$1583 = "", "", [1]K_Summary!$L$1583 ),"")</f>
        <v/>
      </c>
      <c r="M1598" s="127" t="str">
        <f>IFERROR(IF([1]K_Summary!$M$1583 = "", "", [1]K_Summary!$M$1583 ),"")</f>
        <v/>
      </c>
      <c r="N1598" s="231" t="str">
        <f>IFERROR(IF([1]K_Summary!$N$1583 = "", "", [1]K_Summary!$N$1583 ),"")</f>
        <v/>
      </c>
    </row>
    <row r="1599" spans="3:14">
      <c r="C1599" s="485"/>
      <c r="D1599" s="776"/>
      <c r="E1599" s="2473" t="s">
        <v>1182</v>
      </c>
      <c r="F1599" s="2474"/>
      <c r="G1599" s="812" t="s">
        <v>2018</v>
      </c>
      <c r="H1599" s="128" t="str">
        <f>IFERROR(IF([1]K_Summary!$H$1584 = "", "", [1]K_Summary!$H$1584 ),"")</f>
        <v/>
      </c>
      <c r="I1599" s="232" t="str">
        <f>IFERROR(IF([1]K_Summary!$I$1584 = "", "", [1]K_Summary!$I$1584 ),"")</f>
        <v/>
      </c>
      <c r="J1599" s="233" t="str">
        <f>IFERROR(IF([1]K_Summary!$J$1584 = "", "", [1]K_Summary!$J$1584 ),"")</f>
        <v/>
      </c>
      <c r="K1599" s="128" t="str">
        <f>IFERROR(IF([1]K_Summary!$K$1584 = "", "", [1]K_Summary!$K$1584 ),"")</f>
        <v/>
      </c>
      <c r="L1599" s="128" t="str">
        <f>IFERROR(IF([1]K_Summary!$L$1584 = "", "", [1]K_Summary!$L$1584 ),"")</f>
        <v/>
      </c>
      <c r="M1599" s="128" t="str">
        <f>IFERROR(IF([1]K_Summary!$M$1584 = "", "", [1]K_Summary!$M$1584 ),"")</f>
        <v/>
      </c>
      <c r="N1599" s="234" t="str">
        <f>IFERROR(IF([1]K_Summary!$N$1584 = "", "", [1]K_Summary!$N$1584 ),"")</f>
        <v/>
      </c>
    </row>
    <row r="1600" spans="3:14">
      <c r="C1600" s="485"/>
      <c r="D1600" s="776"/>
      <c r="E1600" s="809"/>
      <c r="F1600" s="809"/>
      <c r="G1600" s="813"/>
      <c r="H1600" s="813"/>
      <c r="I1600" s="813"/>
      <c r="J1600" s="813"/>
      <c r="K1600" s="813"/>
      <c r="L1600" s="813"/>
      <c r="M1600" s="813"/>
      <c r="N1600" s="814"/>
    </row>
    <row r="1601" spans="3:14">
      <c r="C1601" s="485"/>
      <c r="D1601" s="776"/>
      <c r="E1601" s="2475" t="s">
        <v>63</v>
      </c>
      <c r="F1601" s="2410"/>
      <c r="G1601" s="815" t="s">
        <v>2015</v>
      </c>
      <c r="H1601" s="126" t="str">
        <f>IFERROR(IF([1]K_Summary!$H$1586 = "", "", [1]K_Summary!$H$1586 ),"")</f>
        <v/>
      </c>
      <c r="I1601" s="235" t="str">
        <f>IFERROR(IF([1]K_Summary!$I$1586 = "", "", [1]K_Summary!$I$1586 ),"")</f>
        <v/>
      </c>
      <c r="J1601" s="236" t="str">
        <f>IFERROR(IF([1]K_Summary!$J$1586 = "", "", [1]K_Summary!$J$1586 ),"")</f>
        <v/>
      </c>
      <c r="K1601" s="126" t="str">
        <f>IFERROR(IF([1]K_Summary!$K$1586 = "", "", [1]K_Summary!$K$1586 ),"")</f>
        <v/>
      </c>
      <c r="L1601" s="126" t="str">
        <f>IFERROR(IF([1]K_Summary!$L$1586 = "", "", [1]K_Summary!$L$1586 ),"")</f>
        <v/>
      </c>
      <c r="M1601" s="126" t="str">
        <f>IFERROR(IF([1]K_Summary!$M$1586 = "", "", [1]K_Summary!$M$1586 ),"")</f>
        <v/>
      </c>
      <c r="N1601" s="237" t="str">
        <f>IFERROR(IF([1]K_Summary!$N$1586 = "", "", [1]K_Summary!$N$1586 ),"")</f>
        <v/>
      </c>
    </row>
    <row r="1602" spans="3:14">
      <c r="C1602" s="485"/>
      <c r="D1602" s="776"/>
      <c r="E1602" s="2475" t="s">
        <v>1154</v>
      </c>
      <c r="F1602" s="2410"/>
      <c r="G1602" s="815" t="s">
        <v>2015</v>
      </c>
      <c r="H1602" s="126" t="str">
        <f>IFERROR(IF([1]K_Summary!$H$1587 = "", "", [1]K_Summary!$H$1587 ),"")</f>
        <v/>
      </c>
      <c r="I1602" s="235" t="str">
        <f>IFERROR(IF([1]K_Summary!$I$1587 = "", "", [1]K_Summary!$I$1587 ),"")</f>
        <v/>
      </c>
      <c r="J1602" s="236" t="str">
        <f>IFERROR(IF([1]K_Summary!$J$1587 = "", "", [1]K_Summary!$J$1587 ),"")</f>
        <v/>
      </c>
      <c r="K1602" s="126" t="str">
        <f>IFERROR(IF([1]K_Summary!$K$1587 = "", "", [1]K_Summary!$K$1587 ),"")</f>
        <v/>
      </c>
      <c r="L1602" s="126" t="str">
        <f>IFERROR(IF([1]K_Summary!$L$1587 = "", "", [1]K_Summary!$L$1587 ),"")</f>
        <v/>
      </c>
      <c r="M1602" s="126" t="str">
        <f>IFERROR(IF([1]K_Summary!$M$1587 = "", "", [1]K_Summary!$M$1587 ),"")</f>
        <v/>
      </c>
      <c r="N1602" s="237" t="str">
        <f>IFERROR(IF([1]K_Summary!$N$1587 = "", "", [1]K_Summary!$N$1587 ),"")</f>
        <v/>
      </c>
    </row>
    <row r="1603" spans="3:14">
      <c r="C1603" s="485"/>
      <c r="D1603" s="776"/>
      <c r="E1603" s="2475" t="s">
        <v>1155</v>
      </c>
      <c r="F1603" s="2410"/>
      <c r="G1603" s="815" t="s">
        <v>2015</v>
      </c>
      <c r="H1603" s="126" t="str">
        <f>IFERROR(IF([1]K_Summary!$H$1588 = "", "", [1]K_Summary!$H$1588 ),"")</f>
        <v/>
      </c>
      <c r="I1603" s="235" t="str">
        <f>IFERROR(IF([1]K_Summary!$I$1588 = "", "", [1]K_Summary!$I$1588 ),"")</f>
        <v/>
      </c>
      <c r="J1603" s="236" t="str">
        <f>IFERROR(IF([1]K_Summary!$J$1588 = "", "", [1]K_Summary!$J$1588 ),"")</f>
        <v/>
      </c>
      <c r="K1603" s="126" t="str">
        <f>IFERROR(IF([1]K_Summary!$K$1588 = "", "", [1]K_Summary!$K$1588 ),"")</f>
        <v/>
      </c>
      <c r="L1603" s="126" t="str">
        <f>IFERROR(IF([1]K_Summary!$L$1588 = "", "", [1]K_Summary!$L$1588 ),"")</f>
        <v/>
      </c>
      <c r="M1603" s="126" t="str">
        <f>IFERROR(IF([1]K_Summary!$M$1588 = "", "", [1]K_Summary!$M$1588 ),"")</f>
        <v/>
      </c>
      <c r="N1603" s="237" t="str">
        <f>IFERROR(IF([1]K_Summary!$N$1588 = "", "", [1]K_Summary!$N$1588 ),"")</f>
        <v/>
      </c>
    </row>
    <row r="1604" spans="3:14">
      <c r="C1604" s="485"/>
      <c r="D1604" s="776"/>
      <c r="E1604" s="2475" t="s">
        <v>1156</v>
      </c>
      <c r="F1604" s="2410"/>
      <c r="G1604" s="815" t="s">
        <v>2016</v>
      </c>
      <c r="H1604" s="126" t="str">
        <f>IFERROR(IF([1]K_Summary!$H$1589 = "", "", [1]K_Summary!$H$1589 ),"")</f>
        <v/>
      </c>
      <c r="I1604" s="235" t="str">
        <f>IFERROR(IF([1]K_Summary!$I$1589 = "", "", [1]K_Summary!$I$1589 ),"")</f>
        <v/>
      </c>
      <c r="J1604" s="236" t="str">
        <f>IFERROR(IF([1]K_Summary!$J$1589 = "", "", [1]K_Summary!$J$1589 ),"")</f>
        <v/>
      </c>
      <c r="K1604" s="126" t="str">
        <f>IFERROR(IF([1]K_Summary!$K$1589 = "", "", [1]K_Summary!$K$1589 ),"")</f>
        <v/>
      </c>
      <c r="L1604" s="126" t="str">
        <f>IFERROR(IF([1]K_Summary!$L$1589 = "", "", [1]K_Summary!$L$1589 ),"")</f>
        <v/>
      </c>
      <c r="M1604" s="126" t="str">
        <f>IFERROR(IF([1]K_Summary!$M$1589 = "", "", [1]K_Summary!$M$1589 ),"")</f>
        <v/>
      </c>
      <c r="N1604" s="237" t="str">
        <f>IFERROR(IF([1]K_Summary!$N$1589 = "", "", [1]K_Summary!$N$1589 ),"")</f>
        <v/>
      </c>
    </row>
    <row r="1605" spans="3:14">
      <c r="C1605" s="485"/>
      <c r="D1605" s="776"/>
      <c r="E1605" s="809"/>
      <c r="F1605" s="809"/>
      <c r="G1605" s="813"/>
      <c r="H1605" s="813"/>
      <c r="I1605" s="813"/>
      <c r="J1605" s="813"/>
      <c r="K1605" s="813"/>
      <c r="L1605" s="813"/>
      <c r="M1605" s="813"/>
      <c r="N1605" s="814"/>
    </row>
    <row r="1606" spans="3:14">
      <c r="C1606" s="485"/>
      <c r="D1606" s="776"/>
      <c r="E1606" s="2471" t="s">
        <v>1087</v>
      </c>
      <c r="F1606" s="2472"/>
      <c r="G1606" s="811" t="s">
        <v>2017</v>
      </c>
      <c r="H1606" s="127" t="str">
        <f>IFERROR(IF([1]K_Summary!$H$1591 = "", "", [1]K_Summary!$H$1591 ),"")</f>
        <v/>
      </c>
      <c r="I1606" s="229" t="str">
        <f>IFERROR(IF([1]K_Summary!$I$1591 = "", "", [1]K_Summary!$I$1591 ),"")</f>
        <v/>
      </c>
      <c r="J1606" s="230" t="str">
        <f>IFERROR(IF([1]K_Summary!$J$1591 = "", "", [1]K_Summary!$J$1591 ),"")</f>
        <v/>
      </c>
      <c r="K1606" s="127" t="str">
        <f>IFERROR(IF([1]K_Summary!$K$1591 = "", "", [1]K_Summary!$K$1591 ),"")</f>
        <v/>
      </c>
      <c r="L1606" s="127" t="str">
        <f>IFERROR(IF([1]K_Summary!$L$1591 = "", "", [1]K_Summary!$L$1591 ),"")</f>
        <v/>
      </c>
      <c r="M1606" s="127" t="str">
        <f>IFERROR(IF([1]K_Summary!$M$1591 = "", "", [1]K_Summary!$M$1591 ),"")</f>
        <v/>
      </c>
      <c r="N1606" s="231" t="str">
        <f>IFERROR(IF([1]K_Summary!$N$1591 = "", "", [1]K_Summary!$N$1591 ),"")</f>
        <v/>
      </c>
    </row>
    <row r="1607" spans="3:14">
      <c r="C1607" s="485"/>
      <c r="D1607" s="776"/>
      <c r="E1607" s="2473" t="s">
        <v>1103</v>
      </c>
      <c r="F1607" s="2474"/>
      <c r="G1607" s="812" t="s">
        <v>2018</v>
      </c>
      <c r="H1607" s="128" t="str">
        <f>IFERROR(IF([1]K_Summary!$H$1592 = "", "", [1]K_Summary!$H$1592 ),"")</f>
        <v/>
      </c>
      <c r="I1607" s="232" t="str">
        <f>IFERROR(IF([1]K_Summary!$I$1592 = "", "", [1]K_Summary!$I$1592 ),"")</f>
        <v/>
      </c>
      <c r="J1607" s="233" t="str">
        <f>IFERROR(IF([1]K_Summary!$J$1592 = "", "", [1]K_Summary!$J$1592 ),"")</f>
        <v/>
      </c>
      <c r="K1607" s="128" t="str">
        <f>IFERROR(IF([1]K_Summary!$K$1592 = "", "", [1]K_Summary!$K$1592 ),"")</f>
        <v/>
      </c>
      <c r="L1607" s="128" t="str">
        <f>IFERROR(IF([1]K_Summary!$L$1592 = "", "", [1]K_Summary!$L$1592 ),"")</f>
        <v/>
      </c>
      <c r="M1607" s="128" t="str">
        <f>IFERROR(IF([1]K_Summary!$M$1592 = "", "", [1]K_Summary!$M$1592 ),"")</f>
        <v/>
      </c>
      <c r="N1607" s="234" t="str">
        <f>IFERROR(IF([1]K_Summary!$N$1592 = "", "", [1]K_Summary!$N$1592 ),"")</f>
        <v/>
      </c>
    </row>
    <row r="1608" spans="3:14">
      <c r="C1608" s="485"/>
      <c r="D1608" s="776"/>
      <c r="E1608" s="809"/>
      <c r="F1608" s="809"/>
      <c r="G1608" s="813"/>
      <c r="H1608" s="813"/>
      <c r="I1608" s="813"/>
      <c r="J1608" s="813"/>
      <c r="K1608" s="813"/>
      <c r="L1608" s="813"/>
      <c r="M1608" s="813"/>
      <c r="N1608" s="814"/>
    </row>
    <row r="1609" spans="3:14">
      <c r="C1609" s="485"/>
      <c r="D1609" s="776"/>
      <c r="E1609" s="2475" t="s">
        <v>1150</v>
      </c>
      <c r="F1609" s="2410"/>
      <c r="G1609" s="815" t="s">
        <v>2017</v>
      </c>
      <c r="H1609" s="126" t="str">
        <f>IFERROR(IF([1]K_Summary!$H$1594 = "", "", [1]K_Summary!$H$1594 ),"")</f>
        <v/>
      </c>
      <c r="I1609" s="235" t="str">
        <f>IFERROR(IF([1]K_Summary!$I$1594 = "", "", [1]K_Summary!$I$1594 ),"")</f>
        <v/>
      </c>
      <c r="J1609" s="236" t="str">
        <f>IFERROR(IF([1]K_Summary!$J$1594 = "", "", [1]K_Summary!$J$1594 ),"")</f>
        <v/>
      </c>
      <c r="K1609" s="126" t="str">
        <f>IFERROR(IF([1]K_Summary!$K$1594 = "", "", [1]K_Summary!$K$1594 ),"")</f>
        <v/>
      </c>
      <c r="L1609" s="126" t="str">
        <f>IFERROR(IF([1]K_Summary!$L$1594 = "", "", [1]K_Summary!$L$1594 ),"")</f>
        <v/>
      </c>
      <c r="M1609" s="126" t="str">
        <f>IFERROR(IF([1]K_Summary!$M$1594 = "", "", [1]K_Summary!$M$1594 ),"")</f>
        <v/>
      </c>
      <c r="N1609" s="237" t="str">
        <f>IFERROR(IF([1]K_Summary!$N$1594 = "", "", [1]K_Summary!$N$1594 ),"")</f>
        <v/>
      </c>
    </row>
    <row r="1610" spans="3:14" ht="13.15" customHeight="1">
      <c r="C1610" s="485"/>
      <c r="D1610" s="776"/>
      <c r="E1610" s="2475" t="s">
        <v>1149</v>
      </c>
      <c r="F1610" s="2410"/>
      <c r="G1610" s="815" t="s">
        <v>2017</v>
      </c>
      <c r="H1610" s="126" t="str">
        <f>IFERROR(IF([1]K_Summary!$H$1595 = "", "", [1]K_Summary!$H$1595 ),"")</f>
        <v/>
      </c>
      <c r="I1610" s="235" t="str">
        <f>IFERROR(IF([1]K_Summary!$I$1595 = "", "", [1]K_Summary!$I$1595 ),"")</f>
        <v/>
      </c>
      <c r="J1610" s="236" t="str">
        <f>IFERROR(IF([1]K_Summary!$J$1595 = "", "", [1]K_Summary!$J$1595 ),"")</f>
        <v/>
      </c>
      <c r="K1610" s="126" t="str">
        <f>IFERROR(IF([1]K_Summary!$K$1595 = "", "", [1]K_Summary!$K$1595 ),"")</f>
        <v/>
      </c>
      <c r="L1610" s="126" t="str">
        <f>IFERROR(IF([1]K_Summary!$L$1595 = "", "", [1]K_Summary!$L$1595 ),"")</f>
        <v/>
      </c>
      <c r="M1610" s="126" t="str">
        <f>IFERROR(IF([1]K_Summary!$M$1595 = "", "", [1]K_Summary!$M$1595 ),"")</f>
        <v/>
      </c>
      <c r="N1610" s="237" t="str">
        <f>IFERROR(IF([1]K_Summary!$N$1595 = "", "", [1]K_Summary!$N$1595 ),"")</f>
        <v/>
      </c>
    </row>
    <row r="1611" spans="3:14">
      <c r="C1611" s="485"/>
      <c r="D1611" s="776"/>
      <c r="E1611" s="809"/>
      <c r="F1611" s="809"/>
      <c r="G1611" s="777"/>
      <c r="H1611" s="813"/>
      <c r="I1611" s="813"/>
      <c r="J1611" s="813"/>
      <c r="K1611" s="813"/>
      <c r="L1611" s="813"/>
      <c r="M1611" s="813"/>
      <c r="N1611" s="814"/>
    </row>
    <row r="1612" spans="3:14">
      <c r="C1612" s="485"/>
      <c r="D1612" s="776"/>
      <c r="E1612" s="2471" t="s">
        <v>1079</v>
      </c>
      <c r="F1612" s="2472"/>
      <c r="G1612" s="811" t="s">
        <v>2017</v>
      </c>
      <c r="H1612" s="127" t="str">
        <f>IFERROR(IF([1]K_Summary!$H$1597 = "", "", [1]K_Summary!$H$1597 ),"")</f>
        <v/>
      </c>
      <c r="I1612" s="229" t="str">
        <f>IFERROR(IF([1]K_Summary!$I$1597 = "", "", [1]K_Summary!$I$1597 ),"")</f>
        <v/>
      </c>
      <c r="J1612" s="230" t="str">
        <f>IFERROR(IF([1]K_Summary!$J$1597 = "", "", [1]K_Summary!$J$1597 ),"")</f>
        <v/>
      </c>
      <c r="K1612" s="127" t="str">
        <f>IFERROR(IF([1]K_Summary!$K$1597 = "", "", [1]K_Summary!$K$1597 ),"")</f>
        <v/>
      </c>
      <c r="L1612" s="127" t="str">
        <f>IFERROR(IF([1]K_Summary!$L$1597 = "", "", [1]K_Summary!$L$1597 ),"")</f>
        <v/>
      </c>
      <c r="M1612" s="127" t="str">
        <f>IFERROR(IF([1]K_Summary!$M$1597 = "", "", [1]K_Summary!$M$1597 ),"")</f>
        <v/>
      </c>
      <c r="N1612" s="231" t="str">
        <f>IFERROR(IF([1]K_Summary!$N$1597 = "", "", [1]K_Summary!$N$1597 ),"")</f>
        <v/>
      </c>
    </row>
    <row r="1613" spans="3:14">
      <c r="C1613" s="485"/>
      <c r="D1613" s="776"/>
      <c r="E1613" s="2473" t="s">
        <v>1104</v>
      </c>
      <c r="F1613" s="2474"/>
      <c r="G1613" s="812" t="s">
        <v>2018</v>
      </c>
      <c r="H1613" s="128" t="str">
        <f>IFERROR(IF([1]K_Summary!$H$1598 = "", "", [1]K_Summary!$H$1598 ),"")</f>
        <v/>
      </c>
      <c r="I1613" s="232" t="str">
        <f>IFERROR(IF([1]K_Summary!$I$1598 = "", "", [1]K_Summary!$I$1598 ),"")</f>
        <v/>
      </c>
      <c r="J1613" s="233" t="str">
        <f>IFERROR(IF([1]K_Summary!$J$1598 = "", "", [1]K_Summary!$J$1598 ),"")</f>
        <v/>
      </c>
      <c r="K1613" s="128" t="str">
        <f>IFERROR(IF([1]K_Summary!$K$1598 = "", "", [1]K_Summary!$K$1598 ),"")</f>
        <v/>
      </c>
      <c r="L1613" s="128" t="str">
        <f>IFERROR(IF([1]K_Summary!$L$1598 = "", "", [1]K_Summary!$L$1598 ),"")</f>
        <v/>
      </c>
      <c r="M1613" s="128" t="str">
        <f>IFERROR(IF([1]K_Summary!$M$1598 = "", "", [1]K_Summary!$M$1598 ),"")</f>
        <v/>
      </c>
      <c r="N1613" s="234" t="str">
        <f>IFERROR(IF([1]K_Summary!$N$1598 = "", "", [1]K_Summary!$N$1598 ),"")</f>
        <v/>
      </c>
    </row>
    <row r="1614" spans="3:14">
      <c r="C1614" s="485"/>
      <c r="D1614" s="776"/>
      <c r="E1614" s="809"/>
      <c r="F1614" s="809"/>
      <c r="G1614" s="777"/>
      <c r="H1614" s="813"/>
      <c r="I1614" s="813"/>
      <c r="J1614" s="813"/>
      <c r="K1614" s="813"/>
      <c r="L1614" s="813"/>
      <c r="M1614" s="813"/>
      <c r="N1614" s="814"/>
    </row>
    <row r="1615" spans="3:14">
      <c r="C1615" s="485"/>
      <c r="D1615" s="776"/>
      <c r="E1615" s="2471" t="s">
        <v>1141</v>
      </c>
      <c r="F1615" s="2472"/>
      <c r="G1615" s="811" t="s">
        <v>2017</v>
      </c>
      <c r="H1615" s="127" t="str">
        <f>IFERROR(IF([1]K_Summary!$H$1600 = "", "", [1]K_Summary!$H$1600 ),"")</f>
        <v/>
      </c>
      <c r="I1615" s="229" t="str">
        <f>IFERROR(IF([1]K_Summary!$I$1600 = "", "", [1]K_Summary!$I$1600 ),"")</f>
        <v/>
      </c>
      <c r="J1615" s="230" t="str">
        <f>IFERROR(IF([1]K_Summary!$J$1600 = "", "", [1]K_Summary!$J$1600 ),"")</f>
        <v/>
      </c>
      <c r="K1615" s="127" t="str">
        <f>IFERROR(IF([1]K_Summary!$K$1600 = "", "", [1]K_Summary!$K$1600 ),"")</f>
        <v/>
      </c>
      <c r="L1615" s="127" t="str">
        <f>IFERROR(IF([1]K_Summary!$L$1600 = "", "", [1]K_Summary!$L$1600 ),"")</f>
        <v/>
      </c>
      <c r="M1615" s="127" t="str">
        <f>IFERROR(IF([1]K_Summary!$M$1600 = "", "", [1]K_Summary!$M$1600 ),"")</f>
        <v/>
      </c>
      <c r="N1615" s="231" t="str">
        <f>IFERROR(IF([1]K_Summary!$N$1600 = "", "", [1]K_Summary!$N$1600 ),"")</f>
        <v/>
      </c>
    </row>
    <row r="1616" spans="3:14" ht="13.15" customHeight="1">
      <c r="C1616" s="485"/>
      <c r="D1616" s="776"/>
      <c r="E1616" s="2473" t="s">
        <v>1258</v>
      </c>
      <c r="F1616" s="2474"/>
      <c r="G1616" s="812" t="s">
        <v>2018</v>
      </c>
      <c r="H1616" s="128" t="str">
        <f>IFERROR(IF([1]K_Summary!$H$1601 = "", "", [1]K_Summary!$H$1601 ),"")</f>
        <v/>
      </c>
      <c r="I1616" s="232" t="str">
        <f>IFERROR(IF([1]K_Summary!$I$1601 = "", "", [1]K_Summary!$I$1601 ),"")</f>
        <v/>
      </c>
      <c r="J1616" s="233" t="str">
        <f>IFERROR(IF([1]K_Summary!$J$1601 = "", "", [1]K_Summary!$J$1601 ),"")</f>
        <v/>
      </c>
      <c r="K1616" s="128" t="str">
        <f>IFERROR(IF([1]K_Summary!$K$1601 = "", "", [1]K_Summary!$K$1601 ),"")</f>
        <v/>
      </c>
      <c r="L1616" s="128" t="str">
        <f>IFERROR(IF([1]K_Summary!$L$1601 = "", "", [1]K_Summary!$L$1601 ),"")</f>
        <v/>
      </c>
      <c r="M1616" s="128" t="str">
        <f>IFERROR(IF([1]K_Summary!$M$1601 = "", "", [1]K_Summary!$M$1601 ),"")</f>
        <v/>
      </c>
      <c r="N1616" s="234" t="str">
        <f>IFERROR(IF([1]K_Summary!$N$1601 = "", "", [1]K_Summary!$N$1601 ),"")</f>
        <v/>
      </c>
    </row>
    <row r="1617" spans="3:14">
      <c r="C1617" s="485"/>
      <c r="D1617" s="776"/>
      <c r="E1617" s="2471" t="s">
        <v>1309</v>
      </c>
      <c r="F1617" s="2472"/>
      <c r="G1617" s="811" t="s">
        <v>2017</v>
      </c>
      <c r="H1617" s="127" t="str">
        <f>IFERROR(IF([1]K_Summary!$H$1602 = "", "", [1]K_Summary!$H$1602 ),"")</f>
        <v/>
      </c>
      <c r="I1617" s="229" t="str">
        <f>IFERROR(IF([1]K_Summary!$I$1602 = "", "", [1]K_Summary!$I$1602 ),"")</f>
        <v/>
      </c>
      <c r="J1617" s="230" t="str">
        <f>IFERROR(IF([1]K_Summary!$J$1602 = "", "", [1]K_Summary!$J$1602 ),"")</f>
        <v/>
      </c>
      <c r="K1617" s="127" t="str">
        <f>IFERROR(IF([1]K_Summary!$K$1602 = "", "", [1]K_Summary!$K$1602 ),"")</f>
        <v/>
      </c>
      <c r="L1617" s="127" t="str">
        <f>IFERROR(IF([1]K_Summary!$L$1602 = "", "", [1]K_Summary!$L$1602 ),"")</f>
        <v/>
      </c>
      <c r="M1617" s="127" t="str">
        <f>IFERROR(IF([1]K_Summary!$M$1602 = "", "", [1]K_Summary!$M$1602 ),"")</f>
        <v/>
      </c>
      <c r="N1617" s="231" t="str">
        <f>IFERROR(IF([1]K_Summary!$N$1602 = "", "", [1]K_Summary!$N$1602 ),"")</f>
        <v/>
      </c>
    </row>
    <row r="1618" spans="3:14" ht="13.15" customHeight="1">
      <c r="C1618" s="485"/>
      <c r="D1618" s="776"/>
      <c r="E1618" s="2473" t="s">
        <v>1307</v>
      </c>
      <c r="F1618" s="2474"/>
      <c r="G1618" s="812" t="s">
        <v>2018</v>
      </c>
      <c r="H1618" s="128" t="str">
        <f>IFERROR(IF([1]K_Summary!$H$1603 = "", "", [1]K_Summary!$H$1603 ),"")</f>
        <v/>
      </c>
      <c r="I1618" s="232" t="str">
        <f>IFERROR(IF([1]K_Summary!$I$1603 = "", "", [1]K_Summary!$I$1603 ),"")</f>
        <v/>
      </c>
      <c r="J1618" s="233" t="str">
        <f>IFERROR(IF([1]K_Summary!$J$1603 = "", "", [1]K_Summary!$J$1603 ),"")</f>
        <v/>
      </c>
      <c r="K1618" s="128" t="str">
        <f>IFERROR(IF([1]K_Summary!$K$1603 = "", "", [1]K_Summary!$K$1603 ),"")</f>
        <v/>
      </c>
      <c r="L1618" s="128" t="str">
        <f>IFERROR(IF([1]K_Summary!$L$1603 = "", "", [1]K_Summary!$L$1603 ),"")</f>
        <v/>
      </c>
      <c r="M1618" s="128" t="str">
        <f>IFERROR(IF([1]K_Summary!$M$1603 = "", "", [1]K_Summary!$M$1603 ),"")</f>
        <v/>
      </c>
      <c r="N1618" s="234" t="str">
        <f>IFERROR(IF([1]K_Summary!$N$1603 = "", "", [1]K_Summary!$N$1603 ),"")</f>
        <v/>
      </c>
    </row>
    <row r="1619" spans="3:14">
      <c r="C1619" s="485"/>
      <c r="D1619" s="776"/>
      <c r="E1619" s="2471" t="s">
        <v>1288</v>
      </c>
      <c r="F1619" s="2472"/>
      <c r="G1619" s="811" t="s">
        <v>2017</v>
      </c>
      <c r="H1619" s="127" t="str">
        <f>IFERROR(IF([1]K_Summary!$H$1604 = "", "", [1]K_Summary!$H$1604 ),"")</f>
        <v/>
      </c>
      <c r="I1619" s="229" t="str">
        <f>IFERROR(IF([1]K_Summary!$I$1604 = "", "", [1]K_Summary!$I$1604 ),"")</f>
        <v/>
      </c>
      <c r="J1619" s="230" t="str">
        <f>IFERROR(IF([1]K_Summary!$J$1604 = "", "", [1]K_Summary!$J$1604 ),"")</f>
        <v/>
      </c>
      <c r="K1619" s="127" t="str">
        <f>IFERROR(IF([1]K_Summary!$K$1604 = "", "", [1]K_Summary!$K$1604 ),"")</f>
        <v/>
      </c>
      <c r="L1619" s="127" t="str">
        <f>IFERROR(IF([1]K_Summary!$L$1604 = "", "", [1]K_Summary!$L$1604 ),"")</f>
        <v/>
      </c>
      <c r="M1619" s="127" t="str">
        <f>IFERROR(IF([1]K_Summary!$M$1604 = "", "", [1]K_Summary!$M$1604 ),"")</f>
        <v/>
      </c>
      <c r="N1619" s="231" t="str">
        <f>IFERROR(IF([1]K_Summary!$N$1604 = "", "", [1]K_Summary!$N$1604 ),"")</f>
        <v/>
      </c>
    </row>
    <row r="1620" spans="3:14">
      <c r="C1620" s="485"/>
      <c r="D1620" s="776"/>
      <c r="E1620" s="2473" t="s">
        <v>1308</v>
      </c>
      <c r="F1620" s="2474"/>
      <c r="G1620" s="812" t="s">
        <v>2018</v>
      </c>
      <c r="H1620" s="128" t="str">
        <f>IFERROR(IF([1]K_Summary!$H$1605 = "", "", [1]K_Summary!$H$1605 ),"")</f>
        <v/>
      </c>
      <c r="I1620" s="232" t="str">
        <f>IFERROR(IF([1]K_Summary!$I$1605 = "", "", [1]K_Summary!$I$1605 ),"")</f>
        <v/>
      </c>
      <c r="J1620" s="233" t="str">
        <f>IFERROR(IF([1]K_Summary!$J$1605 = "", "", [1]K_Summary!$J$1605 ),"")</f>
        <v/>
      </c>
      <c r="K1620" s="128" t="str">
        <f>IFERROR(IF([1]K_Summary!$K$1605 = "", "", [1]K_Summary!$K$1605 ),"")</f>
        <v/>
      </c>
      <c r="L1620" s="128" t="str">
        <f>IFERROR(IF([1]K_Summary!$L$1605 = "", "", [1]K_Summary!$L$1605 ),"")</f>
        <v/>
      </c>
      <c r="M1620" s="128" t="str">
        <f>IFERROR(IF([1]K_Summary!$M$1605 = "", "", [1]K_Summary!$M$1605 ),"")</f>
        <v/>
      </c>
      <c r="N1620" s="234" t="str">
        <f>IFERROR(IF([1]K_Summary!$N$1605 = "", "", [1]K_Summary!$N$1605 ),"")</f>
        <v/>
      </c>
    </row>
    <row r="1621" spans="3:14">
      <c r="C1621" s="485"/>
      <c r="D1621" s="776"/>
      <c r="E1621" s="2471" t="s">
        <v>1102</v>
      </c>
      <c r="F1621" s="2472"/>
      <c r="G1621" s="811" t="s">
        <v>2017</v>
      </c>
      <c r="H1621" s="127" t="str">
        <f>IFERROR(IF([1]K_Summary!$H$1606 = "", "", [1]K_Summary!$H$1606 ),"")</f>
        <v/>
      </c>
      <c r="I1621" s="229" t="str">
        <f>IFERROR(IF([1]K_Summary!$I$1606 = "", "", [1]K_Summary!$I$1606 ),"")</f>
        <v/>
      </c>
      <c r="J1621" s="230" t="str">
        <f>IFERROR(IF([1]K_Summary!$J$1606 = "", "", [1]K_Summary!$J$1606 ),"")</f>
        <v/>
      </c>
      <c r="K1621" s="127" t="str">
        <f>IFERROR(IF([1]K_Summary!$K$1606 = "", "", [1]K_Summary!$K$1606 ),"")</f>
        <v/>
      </c>
      <c r="L1621" s="127" t="str">
        <f>IFERROR(IF([1]K_Summary!$L$1606 = "", "", [1]K_Summary!$L$1606 ),"")</f>
        <v/>
      </c>
      <c r="M1621" s="127" t="str">
        <f>IFERROR(IF([1]K_Summary!$M$1606 = "", "", [1]K_Summary!$M$1606 ),"")</f>
        <v/>
      </c>
      <c r="N1621" s="231" t="str">
        <f>IFERROR(IF([1]K_Summary!$N$1606 = "", "", [1]K_Summary!$N$1606 ),"")</f>
        <v/>
      </c>
    </row>
    <row r="1622" spans="3:14">
      <c r="C1622" s="485"/>
      <c r="D1622" s="776"/>
      <c r="E1622" s="816" t="s">
        <v>1275</v>
      </c>
      <c r="F1622" s="816"/>
      <c r="G1622" s="812" t="s">
        <v>2018</v>
      </c>
      <c r="H1622" s="128" t="str">
        <f>IFERROR(IF([1]K_Summary!$H$1607 = "", "", [1]K_Summary!$H$1607 ),"")</f>
        <v/>
      </c>
      <c r="I1622" s="232" t="str">
        <f>IFERROR(IF([1]K_Summary!$I$1607 = "", "", [1]K_Summary!$I$1607 ),"")</f>
        <v/>
      </c>
      <c r="J1622" s="233" t="str">
        <f>IFERROR(IF([1]K_Summary!$J$1607 = "", "", [1]K_Summary!$J$1607 ),"")</f>
        <v/>
      </c>
      <c r="K1622" s="128" t="str">
        <f>IFERROR(IF([1]K_Summary!$K$1607 = "", "", [1]K_Summary!$K$1607 ),"")</f>
        <v/>
      </c>
      <c r="L1622" s="128" t="str">
        <f>IFERROR(IF([1]K_Summary!$L$1607 = "", "", [1]K_Summary!$L$1607 ),"")</f>
        <v/>
      </c>
      <c r="M1622" s="128" t="str">
        <f>IFERROR(IF([1]K_Summary!$M$1607 = "", "", [1]K_Summary!$M$1607 ),"")</f>
        <v/>
      </c>
      <c r="N1622" s="234" t="str">
        <f>IFERROR(IF([1]K_Summary!$N$1607 = "", "", [1]K_Summary!$N$1607 ),"")</f>
        <v/>
      </c>
    </row>
    <row r="1623" spans="3:14">
      <c r="C1623" s="485"/>
      <c r="D1623" s="776"/>
      <c r="E1623" s="2471" t="s">
        <v>1080</v>
      </c>
      <c r="F1623" s="2472"/>
      <c r="G1623" s="811" t="s">
        <v>2017</v>
      </c>
      <c r="H1623" s="127" t="str">
        <f>IFERROR(IF([1]K_Summary!$H$1608 = "", "", [1]K_Summary!$H$1608 ),"")</f>
        <v/>
      </c>
      <c r="I1623" s="229" t="str">
        <f>IFERROR(IF([1]K_Summary!$I$1608 = "", "", [1]K_Summary!$I$1608 ),"")</f>
        <v/>
      </c>
      <c r="J1623" s="230" t="str">
        <f>IFERROR(IF([1]K_Summary!$J$1608 = "", "", [1]K_Summary!$J$1608 ),"")</f>
        <v/>
      </c>
      <c r="K1623" s="127" t="str">
        <f>IFERROR(IF([1]K_Summary!$K$1608 = "", "", [1]K_Summary!$K$1608 ),"")</f>
        <v/>
      </c>
      <c r="L1623" s="127" t="str">
        <f>IFERROR(IF([1]K_Summary!$L$1608 = "", "", [1]K_Summary!$L$1608 ),"")</f>
        <v/>
      </c>
      <c r="M1623" s="127" t="str">
        <f>IFERROR(IF([1]K_Summary!$M$1608 = "", "", [1]K_Summary!$M$1608 ),"")</f>
        <v/>
      </c>
      <c r="N1623" s="231" t="str">
        <f>IFERROR(IF([1]K_Summary!$N$1608 = "", "", [1]K_Summary!$N$1608 ),"")</f>
        <v/>
      </c>
    </row>
    <row r="1624" spans="3:14">
      <c r="C1624" s="485"/>
      <c r="D1624" s="776"/>
      <c r="E1624" s="2473" t="s">
        <v>1276</v>
      </c>
      <c r="F1624" s="2474"/>
      <c r="G1624" s="812" t="s">
        <v>2018</v>
      </c>
      <c r="H1624" s="128" t="str">
        <f>IFERROR(IF([1]K_Summary!$H$1609 = "", "", [1]K_Summary!$H$1609 ),"")</f>
        <v/>
      </c>
      <c r="I1624" s="232" t="str">
        <f>IFERROR(IF([1]K_Summary!$I$1609 = "", "", [1]K_Summary!$I$1609 ),"")</f>
        <v/>
      </c>
      <c r="J1624" s="233" t="str">
        <f>IFERROR(IF([1]K_Summary!$J$1609 = "", "", [1]K_Summary!$J$1609 ),"")</f>
        <v/>
      </c>
      <c r="K1624" s="128" t="str">
        <f>IFERROR(IF([1]K_Summary!$K$1609 = "", "", [1]K_Summary!$K$1609 ),"")</f>
        <v/>
      </c>
      <c r="L1624" s="128" t="str">
        <f>IFERROR(IF([1]K_Summary!$L$1609 = "", "", [1]K_Summary!$L$1609 ),"")</f>
        <v/>
      </c>
      <c r="M1624" s="128" t="str">
        <f>IFERROR(IF([1]K_Summary!$M$1609 = "", "", [1]K_Summary!$M$1609 ),"")</f>
        <v/>
      </c>
      <c r="N1624" s="234" t="str">
        <f>IFERROR(IF([1]K_Summary!$N$1609 = "", "", [1]K_Summary!$N$1609 ),"")</f>
        <v/>
      </c>
    </row>
    <row r="1625" spans="3:14">
      <c r="C1625" s="485"/>
      <c r="D1625" s="776"/>
      <c r="E1625" s="809"/>
      <c r="F1625" s="809"/>
      <c r="G1625" s="777"/>
      <c r="H1625" s="813"/>
      <c r="I1625" s="813"/>
      <c r="J1625" s="813"/>
      <c r="K1625" s="813"/>
      <c r="L1625" s="813"/>
      <c r="M1625" s="813"/>
      <c r="N1625" s="814"/>
    </row>
    <row r="1626" spans="3:14">
      <c r="C1626" s="485"/>
      <c r="D1626" s="776"/>
      <c r="E1626" s="2475" t="s">
        <v>914</v>
      </c>
      <c r="F1626" s="2410"/>
      <c r="G1626" s="815" t="s">
        <v>2021</v>
      </c>
      <c r="H1626" s="126" t="str">
        <f>IFERROR(IF([1]K_Summary!$H$1611 = "", "", [1]K_Summary!$H$1611 ),"")</f>
        <v/>
      </c>
      <c r="I1626" s="235" t="str">
        <f>IFERROR(IF([1]K_Summary!$I$1611 = "", "", [1]K_Summary!$I$1611 ),"")</f>
        <v/>
      </c>
      <c r="J1626" s="236" t="str">
        <f>IFERROR(IF([1]K_Summary!$J$1611 = "", "", [1]K_Summary!$J$1611 ),"")</f>
        <v/>
      </c>
      <c r="K1626" s="126" t="str">
        <f>IFERROR(IF([1]K_Summary!$K$1611 = "", "", [1]K_Summary!$K$1611 ),"")</f>
        <v/>
      </c>
      <c r="L1626" s="126" t="str">
        <f>IFERROR(IF([1]K_Summary!$L$1611 = "", "", [1]K_Summary!$L$1611 ),"")</f>
        <v/>
      </c>
      <c r="M1626" s="126" t="str">
        <f>IFERROR(IF([1]K_Summary!$M$1611 = "", "", [1]K_Summary!$M$1611 ),"")</f>
        <v/>
      </c>
      <c r="N1626" s="237" t="str">
        <f>IFERROR(IF([1]K_Summary!$N$1611 = "", "", [1]K_Summary!$N$1611 ),"")</f>
        <v/>
      </c>
    </row>
    <row r="1627" spans="3:14">
      <c r="C1627" s="485"/>
      <c r="D1627" s="776"/>
      <c r="E1627" s="2475" t="s">
        <v>1354</v>
      </c>
      <c r="F1627" s="2410"/>
      <c r="G1627" s="815" t="s">
        <v>2021</v>
      </c>
      <c r="H1627" s="126" t="str">
        <f>IFERROR(IF([1]K_Summary!$H$1612 = "", "", [1]K_Summary!$H$1612 ),"")</f>
        <v/>
      </c>
      <c r="I1627" s="235" t="str">
        <f>IFERROR(IF([1]K_Summary!$I$1612 = "", "", [1]K_Summary!$I$1612 ),"")</f>
        <v/>
      </c>
      <c r="J1627" s="236" t="str">
        <f>IFERROR(IF([1]K_Summary!$J$1612 = "", "", [1]K_Summary!$J$1612 ),"")</f>
        <v/>
      </c>
      <c r="K1627" s="126" t="str">
        <f>IFERROR(IF([1]K_Summary!$K$1612 = "", "", [1]K_Summary!$K$1612 ),"")</f>
        <v/>
      </c>
      <c r="L1627" s="126" t="str">
        <f>IFERROR(IF([1]K_Summary!$L$1612 = "", "", [1]K_Summary!$L$1612 ),"")</f>
        <v/>
      </c>
      <c r="M1627" s="126" t="str">
        <f>IFERROR(IF([1]K_Summary!$M$1612 = "", "", [1]K_Summary!$M$1612 ),"")</f>
        <v/>
      </c>
      <c r="N1627" s="237" t="str">
        <f>IFERROR(IF([1]K_Summary!$N$1612 = "", "", [1]K_Summary!$N$1612 ),"")</f>
        <v/>
      </c>
    </row>
    <row r="1628" spans="3:14">
      <c r="C1628" s="485"/>
      <c r="D1628" s="776"/>
      <c r="E1628" s="809"/>
      <c r="F1628" s="809"/>
      <c r="G1628" s="777"/>
      <c r="H1628" s="813"/>
      <c r="I1628" s="813"/>
      <c r="J1628" s="813"/>
      <c r="K1628" s="813"/>
      <c r="L1628" s="813"/>
      <c r="M1628" s="813"/>
      <c r="N1628" s="814"/>
    </row>
    <row r="1629" spans="3:14">
      <c r="C1629" s="485"/>
      <c r="D1629" s="776"/>
      <c r="E1629" s="2475" t="s">
        <v>1157</v>
      </c>
      <c r="F1629" s="2410"/>
      <c r="G1629" s="815" t="s">
        <v>1020</v>
      </c>
      <c r="H1629" s="126" t="str">
        <f>IFERROR(IF([1]K_Summary!$H$1614 = "", "", [1]K_Summary!$H$1614 ),"")</f>
        <v/>
      </c>
      <c r="I1629" s="235" t="str">
        <f>IFERROR(IF([1]K_Summary!$I$1614 = "", "", [1]K_Summary!$I$1614 ),"")</f>
        <v/>
      </c>
      <c r="J1629" s="236" t="str">
        <f>IFERROR(IF([1]K_Summary!$J$1614 = "", "", [1]K_Summary!$J$1614 ),"")</f>
        <v/>
      </c>
      <c r="K1629" s="126" t="str">
        <f>IFERROR(IF([1]K_Summary!$K$1614 = "", "", [1]K_Summary!$K$1614 ),"")</f>
        <v/>
      </c>
      <c r="L1629" s="126" t="str">
        <f>IFERROR(IF([1]K_Summary!$L$1614 = "", "", [1]K_Summary!$L$1614 ),"")</f>
        <v/>
      </c>
      <c r="M1629" s="126" t="str">
        <f>IFERROR(IF([1]K_Summary!$M$1614 = "", "", [1]K_Summary!$M$1614 ),"")</f>
        <v/>
      </c>
      <c r="N1629" s="237" t="str">
        <f>IFERROR(IF([1]K_Summary!$N$1614 = "", "", [1]K_Summary!$N$1614 ),"")</f>
        <v/>
      </c>
    </row>
    <row r="1630" spans="3:14">
      <c r="C1630" s="485"/>
      <c r="D1630" s="776"/>
      <c r="E1630" s="809"/>
      <c r="F1630" s="809"/>
      <c r="G1630" s="777"/>
      <c r="H1630" s="813"/>
      <c r="I1630" s="813"/>
      <c r="J1630" s="813"/>
      <c r="K1630" s="813"/>
      <c r="L1630" s="813"/>
      <c r="M1630" s="813"/>
      <c r="N1630" s="814"/>
    </row>
    <row r="1631" spans="3:14">
      <c r="C1631" s="485"/>
      <c r="D1631" s="776"/>
      <c r="E1631" s="2492" t="s">
        <v>1440</v>
      </c>
      <c r="F1631" s="2493"/>
      <c r="G1631" s="777"/>
      <c r="H1631" s="813"/>
      <c r="I1631" s="813"/>
      <c r="J1631" s="813"/>
      <c r="K1631" s="813"/>
      <c r="L1631" s="813"/>
      <c r="M1631" s="813"/>
      <c r="N1631" s="814"/>
    </row>
    <row r="1632" spans="3:14">
      <c r="C1632" s="485"/>
      <c r="D1632" s="776"/>
      <c r="E1632" s="2487" t="str">
        <f>IFERROR(IF([1]K_Summary!$E$1617 = "", "", [1]K_Summary!$E$1617 ),"")</f>
        <v/>
      </c>
      <c r="F1632" s="2488"/>
      <c r="G1632" s="815" t="s">
        <v>1020</v>
      </c>
      <c r="H1632" s="126" t="str">
        <f>IFERROR(IF([1]K_Summary!$H$1617 = "", "", [1]K_Summary!$H$1617 ),"")</f>
        <v/>
      </c>
      <c r="I1632" s="235" t="str">
        <f>IFERROR(IF([1]K_Summary!$I$1617 = "", "", [1]K_Summary!$I$1617 ),"")</f>
        <v/>
      </c>
      <c r="J1632" s="236" t="str">
        <f>IFERROR(IF([1]K_Summary!$J$1617 = "", "", [1]K_Summary!$J$1617 ),"")</f>
        <v/>
      </c>
      <c r="K1632" s="126" t="str">
        <f>IFERROR(IF([1]K_Summary!$K$1617 = "", "", [1]K_Summary!$K$1617 ),"")</f>
        <v/>
      </c>
      <c r="L1632" s="126" t="str">
        <f>IFERROR(IF([1]K_Summary!$L$1617 = "", "", [1]K_Summary!$L$1617 ),"")</f>
        <v/>
      </c>
      <c r="M1632" s="126" t="str">
        <f>IFERROR(IF([1]K_Summary!$M$1617 = "", "", [1]K_Summary!$M$1617 ),"")</f>
        <v/>
      </c>
      <c r="N1632" s="237" t="str">
        <f>IFERROR(IF([1]K_Summary!$N$1617 = "", "", [1]K_Summary!$N$1617 ),"")</f>
        <v/>
      </c>
    </row>
    <row r="1633" spans="3:14">
      <c r="C1633" s="485"/>
      <c r="D1633" s="776"/>
      <c r="E1633" s="2487" t="str">
        <f>IFERROR(IF([1]K_Summary!$E$1618 = "", "", [1]K_Summary!$E$1618 ),"")</f>
        <v/>
      </c>
      <c r="F1633" s="2488"/>
      <c r="G1633" s="815" t="s">
        <v>1020</v>
      </c>
      <c r="H1633" s="126" t="str">
        <f>IFERROR(IF([1]K_Summary!$H$1618 = "", "", [1]K_Summary!$H$1618 ),"")</f>
        <v/>
      </c>
      <c r="I1633" s="235" t="str">
        <f>IFERROR(IF([1]K_Summary!$I$1618 = "", "", [1]K_Summary!$I$1618 ),"")</f>
        <v/>
      </c>
      <c r="J1633" s="236" t="str">
        <f>IFERROR(IF([1]K_Summary!$J$1618 = "", "", [1]K_Summary!$J$1618 ),"")</f>
        <v/>
      </c>
      <c r="K1633" s="126" t="str">
        <f>IFERROR(IF([1]K_Summary!$K$1618 = "", "", [1]K_Summary!$K$1618 ),"")</f>
        <v/>
      </c>
      <c r="L1633" s="126" t="str">
        <f>IFERROR(IF([1]K_Summary!$L$1618 = "", "", [1]K_Summary!$L$1618 ),"")</f>
        <v/>
      </c>
      <c r="M1633" s="126" t="str">
        <f>IFERROR(IF([1]K_Summary!$M$1618 = "", "", [1]K_Summary!$M$1618 ),"")</f>
        <v/>
      </c>
      <c r="N1633" s="237" t="str">
        <f>IFERROR(IF([1]K_Summary!$N$1618 = "", "", [1]K_Summary!$N$1618 ),"")</f>
        <v/>
      </c>
    </row>
    <row r="1634" spans="3:14">
      <c r="C1634" s="485"/>
      <c r="D1634" s="776"/>
      <c r="E1634" s="2475" t="s">
        <v>1441</v>
      </c>
      <c r="F1634" s="2410"/>
      <c r="G1634" s="777"/>
      <c r="H1634" s="813"/>
      <c r="I1634" s="813"/>
      <c r="J1634" s="813"/>
      <c r="K1634" s="813"/>
      <c r="L1634" s="813"/>
      <c r="M1634" s="813"/>
      <c r="N1634" s="814"/>
    </row>
    <row r="1635" spans="3:14">
      <c r="C1635" s="485"/>
      <c r="D1635" s="776"/>
      <c r="E1635" s="2487" t="str">
        <f>IFERROR(IF([1]K_Summary!$E$1620 = "", "", [1]K_Summary!$E$1620 ),"")</f>
        <v/>
      </c>
      <c r="F1635" s="2488"/>
      <c r="G1635" s="815" t="s">
        <v>1020</v>
      </c>
      <c r="H1635" s="126" t="str">
        <f>IFERROR(IF([1]K_Summary!$H$1620 = "", "", [1]K_Summary!$H$1620 ),"")</f>
        <v/>
      </c>
      <c r="I1635" s="235" t="str">
        <f>IFERROR(IF([1]K_Summary!$I$1620 = "", "", [1]K_Summary!$I$1620 ),"")</f>
        <v/>
      </c>
      <c r="J1635" s="236" t="str">
        <f>IFERROR(IF([1]K_Summary!$J$1620 = "", "", [1]K_Summary!$J$1620 ),"")</f>
        <v/>
      </c>
      <c r="K1635" s="126" t="str">
        <f>IFERROR(IF([1]K_Summary!$K$1620 = "", "", [1]K_Summary!$K$1620 ),"")</f>
        <v/>
      </c>
      <c r="L1635" s="126" t="str">
        <f>IFERROR(IF([1]K_Summary!$L$1620 = "", "", [1]K_Summary!$L$1620 ),"")</f>
        <v/>
      </c>
      <c r="M1635" s="126" t="str">
        <f>IFERROR(IF([1]K_Summary!$M$1620 = "", "", [1]K_Summary!$M$1620 ),"")</f>
        <v/>
      </c>
      <c r="N1635" s="237" t="str">
        <f>IFERROR(IF([1]K_Summary!$N$1620 = "", "", [1]K_Summary!$N$1620 ),"")</f>
        <v/>
      </c>
    </row>
    <row r="1636" spans="3:14">
      <c r="C1636" s="485"/>
      <c r="D1636" s="776"/>
      <c r="E1636" s="2487" t="str">
        <f>IFERROR(IF([1]K_Summary!$E$1621 = "", "", [1]K_Summary!$E$1621 ),"")</f>
        <v/>
      </c>
      <c r="F1636" s="2488"/>
      <c r="G1636" s="815" t="s">
        <v>1020</v>
      </c>
      <c r="H1636" s="126" t="str">
        <f>IFERROR(IF([1]K_Summary!$H$1621 = "", "", [1]K_Summary!$H$1621 ),"")</f>
        <v/>
      </c>
      <c r="I1636" s="235" t="str">
        <f>IFERROR(IF([1]K_Summary!$I$1621 = "", "", [1]K_Summary!$I$1621 ),"")</f>
        <v/>
      </c>
      <c r="J1636" s="236" t="str">
        <f>IFERROR(IF([1]K_Summary!$J$1621 = "", "", [1]K_Summary!$J$1621 ),"")</f>
        <v/>
      </c>
      <c r="K1636" s="126" t="str">
        <f>IFERROR(IF([1]K_Summary!$K$1621 = "", "", [1]K_Summary!$K$1621 ),"")</f>
        <v/>
      </c>
      <c r="L1636" s="126" t="str">
        <f>IFERROR(IF([1]K_Summary!$L$1621 = "", "", [1]K_Summary!$L$1621 ),"")</f>
        <v/>
      </c>
      <c r="M1636" s="126" t="str">
        <f>IFERROR(IF([1]K_Summary!$M$1621 = "", "", [1]K_Summary!$M$1621 ),"")</f>
        <v/>
      </c>
      <c r="N1636" s="237" t="str">
        <f>IFERROR(IF([1]K_Summary!$N$1621 = "", "", [1]K_Summary!$N$1621 ),"")</f>
        <v/>
      </c>
    </row>
    <row r="1637" spans="3:14" ht="13.5" thickBot="1">
      <c r="C1637" s="485"/>
      <c r="D1637" s="802"/>
      <c r="E1637" s="803"/>
      <c r="F1637" s="803"/>
      <c r="G1637" s="804"/>
      <c r="H1637" s="804"/>
      <c r="I1637" s="805"/>
      <c r="J1637" s="805"/>
      <c r="K1637" s="805"/>
      <c r="L1637" s="805"/>
      <c r="M1637" s="805"/>
      <c r="N1637" s="806"/>
    </row>
    <row r="1638" spans="3:14" ht="13.5" thickBot="1">
      <c r="C1638" s="485"/>
      <c r="D1638" s="485"/>
      <c r="E1638" s="807"/>
      <c r="F1638" s="562"/>
      <c r="G1638" s="562"/>
      <c r="H1638" s="562"/>
      <c r="I1638" s="562"/>
      <c r="J1638" s="562"/>
      <c r="K1638" s="562"/>
      <c r="L1638" s="562"/>
      <c r="M1638" s="562"/>
      <c r="N1638" s="562"/>
    </row>
    <row r="1639" spans="3:14">
      <c r="C1639" s="686"/>
      <c r="D1639" s="686"/>
      <c r="E1639" s="686"/>
      <c r="F1639" s="686"/>
      <c r="G1639" s="686"/>
      <c r="H1639" s="686"/>
      <c r="I1639" s="686"/>
      <c r="J1639" s="686"/>
      <c r="K1639" s="686"/>
      <c r="L1639" s="686"/>
      <c r="M1639" s="686"/>
      <c r="N1639" s="686"/>
    </row>
    <row r="1640" spans="3:14" ht="13.9" customHeight="1">
      <c r="C1640" s="559">
        <v>8</v>
      </c>
      <c r="D1640" s="2482" t="s">
        <v>2029</v>
      </c>
      <c r="E1640" s="2482"/>
      <c r="F1640" s="2482"/>
      <c r="G1640" s="2482"/>
      <c r="H1640" s="2483"/>
      <c r="I1640" s="2489" t="str">
        <f>IFERROR(IF([1]K_Summary!$I$1625 = "", "", [1]K_Summary!$I$1625 ),"")</f>
        <v/>
      </c>
      <c r="J1640" s="2490"/>
      <c r="K1640" s="2490"/>
      <c r="L1640" s="2490"/>
      <c r="M1640" s="2490"/>
      <c r="N1640" s="2491"/>
    </row>
    <row r="1641" spans="3:14" ht="15">
      <c r="C1641" s="559"/>
      <c r="D1641" s="559"/>
      <c r="E1641" s="559"/>
      <c r="F1641" s="559"/>
      <c r="G1641" s="559"/>
      <c r="H1641" s="559"/>
      <c r="I1641" s="559"/>
      <c r="J1641" s="559"/>
      <c r="K1641" s="559"/>
      <c r="L1641" s="559"/>
      <c r="M1641" s="559"/>
      <c r="N1641" s="559"/>
    </row>
    <row r="1642" spans="3:14" ht="15">
      <c r="C1642" s="559"/>
      <c r="D1642" s="559"/>
      <c r="E1642" s="559"/>
      <c r="F1642" s="559"/>
      <c r="G1642" s="562"/>
      <c r="H1642" s="688" t="s">
        <v>458</v>
      </c>
      <c r="I1642" s="688" t="s">
        <v>1256</v>
      </c>
      <c r="J1642" s="688" t="s">
        <v>1434</v>
      </c>
      <c r="K1642" s="688" t="s">
        <v>1684</v>
      </c>
      <c r="L1642" s="689" t="s">
        <v>156</v>
      </c>
      <c r="M1642" s="2469" t="s">
        <v>302</v>
      </c>
      <c r="N1642" s="2469"/>
    </row>
    <row r="1643" spans="3:14" ht="15">
      <c r="C1643" s="559"/>
      <c r="D1643" s="559"/>
      <c r="E1643" s="66" t="str">
        <f>IFERROR(IF([1]K_Summary!$E$1628 = "", "", [1]K_Summary!$E$1628 ),"")</f>
        <v/>
      </c>
      <c r="F1643" s="51"/>
      <c r="G1643" s="51"/>
      <c r="H1643" s="143" t="str">
        <f>IFERROR(IF([1]K_Summary!$H$1628 = "", "", [1]K_Summary!$H$1628 ),"")</f>
        <v>N.A.</v>
      </c>
      <c r="I1643" s="143" t="str">
        <f>IFERROR(IF([1]K_Summary!$I$1628 = "", "", [1]K_Summary!$I$1628 ),"")</f>
        <v/>
      </c>
      <c r="J1643" s="53" t="str">
        <f>IFERROR(IF([1]K_Summary!$J$1628 = "", "", [1]K_Summary!$J$1628 ),"")</f>
        <v>N.A.</v>
      </c>
      <c r="K1643" s="53" t="str">
        <f>IFERROR(IF([1]K_Summary!$K$1628 = "", "", [1]K_Summary!$K$1628 ),"")</f>
        <v>N.A.</v>
      </c>
      <c r="L1643" s="144" t="str">
        <f>IFERROR(IF([1]K_Summary!$L$1628 = "", "", [1]K_Summary!$L$1628 ),"")</f>
        <v>N.A.</v>
      </c>
      <c r="M1643" s="145" t="str">
        <f>IFERROR(IF([1]K_Summary!$M$1628 = "", "", [1]K_Summary!$M$1628 ),"")</f>
        <v>N.A.</v>
      </c>
      <c r="N1643" s="50" t="str">
        <f>IFERROR(IF([1]K_Summary!$N$1628 = "", "", [1]K_Summary!$N$1628 ),"")</f>
        <v>EUA/tonnes</v>
      </c>
    </row>
    <row r="1644" spans="3:14" ht="15">
      <c r="C1644" s="485"/>
      <c r="D1644" s="485"/>
      <c r="E1644" s="559"/>
      <c r="F1644" s="562"/>
      <c r="G1644" s="562"/>
      <c r="H1644" s="562"/>
      <c r="I1644" s="562"/>
      <c r="J1644" s="485"/>
      <c r="K1644" s="485"/>
      <c r="L1644" s="485"/>
      <c r="M1644" s="485"/>
      <c r="N1644" s="485"/>
    </row>
    <row r="1645" spans="3:14">
      <c r="C1645" s="485"/>
      <c r="D1645" s="485"/>
      <c r="E1645" s="496"/>
      <c r="F1645" s="482" t="s">
        <v>884</v>
      </c>
      <c r="G1645" s="695" t="s">
        <v>1646</v>
      </c>
      <c r="H1645" s="696">
        <v>2019</v>
      </c>
      <c r="I1645" s="697">
        <v>2020</v>
      </c>
      <c r="J1645" s="696">
        <v>2021</v>
      </c>
      <c r="K1645" s="578">
        <v>2022</v>
      </c>
      <c r="L1645" s="578">
        <v>2023</v>
      </c>
      <c r="M1645" s="578">
        <v>2024</v>
      </c>
      <c r="N1645" s="578">
        <v>2025</v>
      </c>
    </row>
    <row r="1646" spans="3:14">
      <c r="C1646" s="485"/>
      <c r="D1646" s="485"/>
      <c r="E1646" s="698" t="s">
        <v>1665</v>
      </c>
      <c r="F1646" s="146" t="str">
        <f>IFERROR(IF([1]K_Summary!$F$1631 = "", "", [1]K_Summary!$F$1631 ),"")</f>
        <v>tonnes</v>
      </c>
      <c r="G1646" s="147" t="str">
        <f>IFERROR(IF([1]K_Summary!$G$1631 = "", "", [1]K_Summary!$G$1631 ),"")</f>
        <v/>
      </c>
      <c r="H1646" s="148" t="str">
        <f>IFERROR(IF([1]K_Summary!$H$1631 = "", "", [1]K_Summary!$H$1631 ),"")</f>
        <v/>
      </c>
      <c r="I1646" s="149" t="str">
        <f>IFERROR(IF([1]K_Summary!$I$1631 = "", "", [1]K_Summary!$I$1631 ),"")</f>
        <v/>
      </c>
      <c r="J1646" s="148" t="str">
        <f>IFERROR(IF([1]K_Summary!$J$1631 = "", "", [1]K_Summary!$J$1631 ),"")</f>
        <v/>
      </c>
      <c r="K1646" s="150" t="str">
        <f>IFERROR(IF([1]K_Summary!$K$1631 = "", "", [1]K_Summary!$K$1631 ),"")</f>
        <v/>
      </c>
      <c r="L1646" s="150" t="str">
        <f>IFERROR(IF([1]K_Summary!$L$1631 = "", "", [1]K_Summary!$L$1631 ),"")</f>
        <v/>
      </c>
      <c r="M1646" s="150" t="str">
        <f>IFERROR(IF([1]K_Summary!$M$1631 = "", "", [1]K_Summary!$M$1631 ),"")</f>
        <v/>
      </c>
      <c r="N1646" s="150" t="str">
        <f>IFERROR(IF([1]K_Summary!$N$1631 = "", "", [1]K_Summary!$N$1631 ),"")</f>
        <v/>
      </c>
    </row>
    <row r="1647" spans="3:14" ht="15.75" thickBot="1">
      <c r="C1647" s="559"/>
      <c r="D1647" s="559"/>
      <c r="E1647" s="559"/>
      <c r="F1647" s="559"/>
      <c r="G1647" s="559"/>
      <c r="H1647" s="559"/>
      <c r="I1647" s="559"/>
      <c r="J1647" s="559"/>
      <c r="K1647" s="559"/>
      <c r="L1647" s="559"/>
      <c r="M1647" s="559"/>
      <c r="N1647" s="559"/>
    </row>
    <row r="1648" spans="3:14" ht="15">
      <c r="C1648" s="559"/>
      <c r="D1648" s="703"/>
      <c r="E1648" s="704"/>
      <c r="F1648" s="704"/>
      <c r="G1648" s="704"/>
      <c r="H1648" s="704"/>
      <c r="I1648" s="704"/>
      <c r="J1648" s="704"/>
      <c r="K1648" s="704"/>
      <c r="L1648" s="704"/>
      <c r="M1648" s="704"/>
      <c r="N1648" s="705"/>
    </row>
    <row r="1649" spans="1:14" ht="15">
      <c r="C1649" s="559"/>
      <c r="D1649" s="706"/>
      <c r="E1649" s="707" t="s">
        <v>1787</v>
      </c>
      <c r="F1649" s="637"/>
      <c r="G1649" s="637"/>
      <c r="H1649" s="663"/>
      <c r="I1649" s="708"/>
      <c r="J1649" s="709">
        <v>2021</v>
      </c>
      <c r="K1649" s="671">
        <v>2022</v>
      </c>
      <c r="L1649" s="671">
        <v>2023</v>
      </c>
      <c r="M1649" s="671">
        <v>2024</v>
      </c>
      <c r="N1649" s="710">
        <v>2025</v>
      </c>
    </row>
    <row r="1650" spans="1:14" ht="15">
      <c r="C1650" s="559"/>
      <c r="D1650" s="706"/>
      <c r="E1650" s="711" t="s">
        <v>1783</v>
      </c>
      <c r="F1650" s="712"/>
      <c r="G1650" s="712"/>
      <c r="H1650" s="713"/>
      <c r="I1650" s="712"/>
      <c r="J1650" s="151" t="str">
        <f>IFERROR(IF([1]K_Summary!$J$1635 = "", "", [1]K_Summary!$J$1635 ),"")</f>
        <v/>
      </c>
      <c r="K1650" s="152" t="str">
        <f>IFERROR(IF([1]K_Summary!$K$1635 = "", "", [1]K_Summary!$K$1635 ),"")</f>
        <v/>
      </c>
      <c r="L1650" s="152" t="str">
        <f>IFERROR(IF([1]K_Summary!$L$1635 = "", "", [1]K_Summary!$L$1635 ),"")</f>
        <v/>
      </c>
      <c r="M1650" s="152" t="str">
        <f>IFERROR(IF([1]K_Summary!$M$1635 = "", "", [1]K_Summary!$M$1635 ),"")</f>
        <v/>
      </c>
      <c r="N1650" s="153" t="str">
        <f>IFERROR(IF([1]K_Summary!$N$1635 = "", "", [1]K_Summary!$N$1635 ),"")</f>
        <v/>
      </c>
    </row>
    <row r="1651" spans="1:14" ht="15">
      <c r="C1651" s="559"/>
      <c r="D1651" s="706"/>
      <c r="E1651" s="714" t="s">
        <v>1784</v>
      </c>
      <c r="F1651" s="715"/>
      <c r="G1651" s="715"/>
      <c r="H1651" s="716"/>
      <c r="I1651" s="715"/>
      <c r="J1651" s="154" t="str">
        <f>IFERROR(IF([1]K_Summary!$J$1636 = "", "", [1]K_Summary!$J$1636 ),"")</f>
        <v/>
      </c>
      <c r="K1651" s="155" t="str">
        <f>IFERROR(IF([1]K_Summary!$K$1636 = "", "", [1]K_Summary!$K$1636 ),"")</f>
        <v/>
      </c>
      <c r="L1651" s="155" t="str">
        <f>IFERROR(IF([1]K_Summary!$L$1636 = "", "", [1]K_Summary!$L$1636 ),"")</f>
        <v/>
      </c>
      <c r="M1651" s="155" t="str">
        <f>IFERROR(IF([1]K_Summary!$M$1636 = "", "", [1]K_Summary!$M$1636 ),"")</f>
        <v/>
      </c>
      <c r="N1651" s="156" t="str">
        <f>IFERROR(IF([1]K_Summary!$N$1636 = "", "", [1]K_Summary!$N$1636 ),"")</f>
        <v/>
      </c>
    </row>
    <row r="1652" spans="1:14" ht="15">
      <c r="C1652" s="559"/>
      <c r="D1652" s="706"/>
      <c r="E1652" s="559"/>
      <c r="F1652" s="559"/>
      <c r="G1652" s="559"/>
      <c r="H1652" s="559"/>
      <c r="I1652" s="559"/>
      <c r="J1652" s="559"/>
      <c r="K1652" s="559"/>
      <c r="L1652" s="559"/>
      <c r="M1652" s="559"/>
      <c r="N1652" s="717"/>
    </row>
    <row r="1653" spans="1:14" ht="15">
      <c r="C1653" s="559"/>
      <c r="D1653" s="706"/>
      <c r="E1653" s="496" t="s">
        <v>1762</v>
      </c>
      <c r="F1653" s="485"/>
      <c r="G1653" s="485"/>
      <c r="H1653" s="663" t="s">
        <v>884</v>
      </c>
      <c r="I1653" s="708"/>
      <c r="J1653" s="696">
        <v>2021</v>
      </c>
      <c r="K1653" s="578">
        <v>2022</v>
      </c>
      <c r="L1653" s="578">
        <v>2023</v>
      </c>
      <c r="M1653" s="578">
        <v>2024</v>
      </c>
      <c r="N1653" s="718">
        <v>2025</v>
      </c>
    </row>
    <row r="1654" spans="1:14" ht="15" hidden="1">
      <c r="A1654" s="719" t="s">
        <v>2289</v>
      </c>
      <c r="C1654" s="559"/>
      <c r="D1654" s="706"/>
      <c r="E1654" s="698" t="s">
        <v>1714</v>
      </c>
      <c r="F1654" s="698"/>
      <c r="G1654" s="698"/>
      <c r="H1654" s="63" t="str">
        <f>IFERROR(IF([1]K_Summary!$H$1639 = "", "", [1]K_Summary!$H$1639 ),"")</f>
        <v>tonnes</v>
      </c>
      <c r="I1654" s="698"/>
      <c r="J1654" s="157" t="str">
        <f>IFERROR(IF([1]K_Summary!$J$1639 = "", "", [1]K_Summary!$J$1639 ),"")</f>
        <v/>
      </c>
      <c r="K1654" s="147" t="str">
        <f>IFERROR(IF([1]K_Summary!$K$1639 = "", "", [1]K_Summary!$K$1639 ),"")</f>
        <v/>
      </c>
      <c r="L1654" s="147" t="str">
        <f>IFERROR(IF([1]K_Summary!$L$1639 = "", "", [1]K_Summary!$L$1639 ),"")</f>
        <v/>
      </c>
      <c r="M1654" s="147" t="str">
        <f>IFERROR(IF([1]K_Summary!$M$1639 = "", "", [1]K_Summary!$M$1639 ),"")</f>
        <v/>
      </c>
      <c r="N1654" s="158" t="str">
        <f>IFERROR(IF([1]K_Summary!$N$1639 = "", "", [1]K_Summary!$N$1639 ),"")</f>
        <v/>
      </c>
    </row>
    <row r="1655" spans="1:14" ht="15" hidden="1">
      <c r="A1655" s="719" t="s">
        <v>2289</v>
      </c>
      <c r="C1655" s="559"/>
      <c r="D1655" s="706"/>
      <c r="E1655" s="720" t="s">
        <v>303</v>
      </c>
      <c r="F1655" s="720"/>
      <c r="G1655" s="720"/>
      <c r="H1655" s="721" t="s">
        <v>2090</v>
      </c>
      <c r="I1655" s="722"/>
      <c r="J1655" s="159" t="str">
        <f>IFERROR(IF([1]K_Summary!$J$1640 = "", "", [1]K_Summary!$J$1640 ),"")</f>
        <v/>
      </c>
      <c r="K1655" s="160" t="str">
        <f>IFERROR(IF([1]K_Summary!$K$1640 = "", "", [1]K_Summary!$K$1640 ),"")</f>
        <v/>
      </c>
      <c r="L1655" s="160" t="str">
        <f>IFERROR(IF([1]K_Summary!$L$1640 = "", "", [1]K_Summary!$L$1640 ),"")</f>
        <v/>
      </c>
      <c r="M1655" s="160" t="str">
        <f>IFERROR(IF([1]K_Summary!$M$1640 = "", "", [1]K_Summary!$M$1640 ),"")</f>
        <v/>
      </c>
      <c r="N1655" s="161" t="str">
        <f>IFERROR(IF([1]K_Summary!$N$1640 = "", "", [1]K_Summary!$N$1640 ),"")</f>
        <v/>
      </c>
    </row>
    <row r="1656" spans="1:14" ht="15" hidden="1">
      <c r="A1656" s="719" t="s">
        <v>2289</v>
      </c>
      <c r="C1656" s="559"/>
      <c r="D1656" s="706"/>
      <c r="E1656" s="723" t="s">
        <v>1422</v>
      </c>
      <c r="F1656" s="723"/>
      <c r="G1656" s="723"/>
      <c r="H1656" s="724" t="s">
        <v>2090</v>
      </c>
      <c r="I1656" s="725"/>
      <c r="J1656" s="162" t="str">
        <f>IFERROR(IF([1]K_Summary!$J$1641 = "", "", [1]K_Summary!$J$1641 ),"")</f>
        <v/>
      </c>
      <c r="K1656" s="163" t="str">
        <f>IFERROR(IF([1]K_Summary!$K$1641 = "", "", [1]K_Summary!$K$1641 ),"")</f>
        <v/>
      </c>
      <c r="L1656" s="163" t="str">
        <f>IFERROR(IF([1]K_Summary!$L$1641 = "", "", [1]K_Summary!$L$1641 ),"")</f>
        <v/>
      </c>
      <c r="M1656" s="163" t="str">
        <f>IFERROR(IF([1]K_Summary!$M$1641 = "", "", [1]K_Summary!$M$1641 ),"")</f>
        <v/>
      </c>
      <c r="N1656" s="164" t="str">
        <f>IFERROR(IF([1]K_Summary!$N$1641 = "", "", [1]K_Summary!$N$1641 ),"")</f>
        <v/>
      </c>
    </row>
    <row r="1657" spans="1:14" ht="15" hidden="1">
      <c r="A1657" s="719" t="s">
        <v>2289</v>
      </c>
      <c r="C1657" s="559"/>
      <c r="D1657" s="706"/>
      <c r="E1657" s="723" t="s">
        <v>1390</v>
      </c>
      <c r="F1657" s="723"/>
      <c r="G1657" s="723"/>
      <c r="H1657" s="724" t="s">
        <v>2090</v>
      </c>
      <c r="I1657" s="725"/>
      <c r="J1657" s="162" t="str">
        <f>IFERROR(IF([1]K_Summary!$J$1642 = "", "", [1]K_Summary!$J$1642 ),"")</f>
        <v/>
      </c>
      <c r="K1657" s="163" t="str">
        <f>IFERROR(IF([1]K_Summary!$K$1642 = "", "", [1]K_Summary!$K$1642 ),"")</f>
        <v/>
      </c>
      <c r="L1657" s="163" t="str">
        <f>IFERROR(IF([1]K_Summary!$L$1642 = "", "", [1]K_Summary!$L$1642 ),"")</f>
        <v/>
      </c>
      <c r="M1657" s="163" t="str">
        <f>IFERROR(IF([1]K_Summary!$M$1642 = "", "", [1]K_Summary!$M$1642 ),"")</f>
        <v/>
      </c>
      <c r="N1657" s="164" t="str">
        <f>IFERROR(IF([1]K_Summary!$N$1642 = "", "", [1]K_Summary!$N$1642 ),"")</f>
        <v/>
      </c>
    </row>
    <row r="1658" spans="1:14" ht="15" hidden="1">
      <c r="A1658" s="719" t="s">
        <v>2289</v>
      </c>
      <c r="C1658" s="559"/>
      <c r="D1658" s="706"/>
      <c r="E1658" s="723" t="s">
        <v>1389</v>
      </c>
      <c r="F1658" s="723"/>
      <c r="G1658" s="723"/>
      <c r="H1658" s="726" t="s">
        <v>1021</v>
      </c>
      <c r="I1658" s="725"/>
      <c r="J1658" s="165" t="str">
        <f>IFERROR(IF([1]K_Summary!$J$1643 = "", "", [1]K_Summary!$J$1643 ),"")</f>
        <v/>
      </c>
      <c r="K1658" s="166" t="str">
        <f>IFERROR(IF([1]K_Summary!$K$1643 = "", "", [1]K_Summary!$K$1643 ),"")</f>
        <v/>
      </c>
      <c r="L1658" s="166" t="str">
        <f>IFERROR(IF([1]K_Summary!$L$1643 = "", "", [1]K_Summary!$L$1643 ),"")</f>
        <v/>
      </c>
      <c r="M1658" s="166" t="str">
        <f>IFERROR(IF([1]K_Summary!$M$1643 = "", "", [1]K_Summary!$M$1643 ),"")</f>
        <v/>
      </c>
      <c r="N1658" s="167" t="str">
        <f>IFERROR(IF([1]K_Summary!$N$1643 = "", "", [1]K_Summary!$N$1643 ),"")</f>
        <v/>
      </c>
    </row>
    <row r="1659" spans="1:14" ht="15" hidden="1">
      <c r="A1659" s="719" t="s">
        <v>2289</v>
      </c>
      <c r="C1659" s="559"/>
      <c r="D1659" s="706"/>
      <c r="E1659" s="727" t="s">
        <v>1391</v>
      </c>
      <c r="F1659" s="727"/>
      <c r="G1659" s="727"/>
      <c r="H1659" s="728" t="s">
        <v>1021</v>
      </c>
      <c r="I1659" s="729"/>
      <c r="J1659" s="168" t="str">
        <f>IFERROR(IF([1]K_Summary!$J$1644 = "", "", [1]K_Summary!$J$1644 ),"")</f>
        <v/>
      </c>
      <c r="K1659" s="169" t="str">
        <f>IFERROR(IF([1]K_Summary!$K$1644 = "", "", [1]K_Summary!$K$1644 ),"")</f>
        <v/>
      </c>
      <c r="L1659" s="169" t="str">
        <f>IFERROR(IF([1]K_Summary!$L$1644 = "", "", [1]K_Summary!$L$1644 ),"")</f>
        <v/>
      </c>
      <c r="M1659" s="169" t="str">
        <f>IFERROR(IF([1]K_Summary!$M$1644 = "", "", [1]K_Summary!$M$1644 ),"")</f>
        <v/>
      </c>
      <c r="N1659" s="170" t="str">
        <f>IFERROR(IF([1]K_Summary!$N$1644 = "", "", [1]K_Summary!$N$1644 ),"")</f>
        <v/>
      </c>
    </row>
    <row r="1660" spans="1:14" ht="15">
      <c r="C1660" s="559"/>
      <c r="D1660" s="706"/>
      <c r="E1660" s="698" t="s">
        <v>1671</v>
      </c>
      <c r="F1660" s="698"/>
      <c r="G1660" s="698"/>
      <c r="H1660" s="730" t="s">
        <v>2090</v>
      </c>
      <c r="I1660" s="731"/>
      <c r="J1660" s="148" t="str">
        <f>IFERROR(IF([1]K_Summary!$J$1645 = "", "", [1]K_Summary!$J$1645 ),"")</f>
        <v/>
      </c>
      <c r="K1660" s="150" t="str">
        <f>IFERROR(IF([1]K_Summary!$K$1645 = "", "", [1]K_Summary!$K$1645 ),"")</f>
        <v/>
      </c>
      <c r="L1660" s="150" t="str">
        <f>IFERROR(IF([1]K_Summary!$L$1645 = "", "", [1]K_Summary!$L$1645 ),"")</f>
        <v/>
      </c>
      <c r="M1660" s="150" t="str">
        <f>IFERROR(IF([1]K_Summary!$M$1645 = "", "", [1]K_Summary!$M$1645 ),"")</f>
        <v/>
      </c>
      <c r="N1660" s="171" t="str">
        <f>IFERROR(IF([1]K_Summary!$N$1645 = "", "", [1]K_Summary!$N$1645 ),"")</f>
        <v/>
      </c>
    </row>
    <row r="1661" spans="1:14" ht="15">
      <c r="C1661" s="559"/>
      <c r="D1661" s="706"/>
      <c r="E1661" s="559"/>
      <c r="F1661" s="559"/>
      <c r="G1661" s="559"/>
      <c r="H1661" s="559"/>
      <c r="I1661" s="559"/>
      <c r="J1661" s="559"/>
      <c r="K1661" s="559"/>
      <c r="L1661" s="559"/>
      <c r="M1661" s="559"/>
      <c r="N1661" s="717"/>
    </row>
    <row r="1662" spans="1:14" ht="15">
      <c r="C1662" s="559"/>
      <c r="D1662" s="706"/>
      <c r="E1662" s="707" t="s">
        <v>1752</v>
      </c>
      <c r="F1662" s="637"/>
      <c r="G1662" s="637"/>
      <c r="H1662" s="663" t="s">
        <v>884</v>
      </c>
      <c r="I1662" s="708"/>
      <c r="J1662" s="709">
        <v>2021</v>
      </c>
      <c r="K1662" s="671">
        <v>2022</v>
      </c>
      <c r="L1662" s="671">
        <v>2023</v>
      </c>
      <c r="M1662" s="671">
        <v>2024</v>
      </c>
      <c r="N1662" s="710">
        <v>2025</v>
      </c>
    </row>
    <row r="1663" spans="1:14" ht="15">
      <c r="C1663" s="559"/>
      <c r="D1663" s="706"/>
      <c r="E1663" s="720" t="s">
        <v>1691</v>
      </c>
      <c r="F1663" s="720"/>
      <c r="G1663" s="720"/>
      <c r="H1663" s="67" t="str">
        <f>IFERROR(IF([1]K_Summary!$H$1648 = "", "", [1]K_Summary!$H$1648 ),"")</f>
        <v>tonnes</v>
      </c>
      <c r="I1663" s="733"/>
      <c r="J1663" s="172" t="str">
        <f>IFERROR(IF([1]K_Summary!$J$1648 = "", "", [1]K_Summary!$J$1648 ),"")</f>
        <v/>
      </c>
      <c r="K1663" s="54" t="str">
        <f>IFERROR(IF([1]K_Summary!$K$1648 = "", "", [1]K_Summary!$K$1648 ),"")</f>
        <v/>
      </c>
      <c r="L1663" s="54" t="str">
        <f>IFERROR(IF([1]K_Summary!$L$1648 = "", "", [1]K_Summary!$L$1648 ),"")</f>
        <v/>
      </c>
      <c r="M1663" s="54" t="str">
        <f>IFERROR(IF([1]K_Summary!$M$1648 = "", "", [1]K_Summary!$M$1648 ),"")</f>
        <v/>
      </c>
      <c r="N1663" s="173" t="str">
        <f>IFERROR(IF([1]K_Summary!$N$1648 = "", "", [1]K_Summary!$N$1648 ),"")</f>
        <v/>
      </c>
    </row>
    <row r="1664" spans="1:14" ht="15">
      <c r="C1664" s="559"/>
      <c r="D1664" s="706"/>
      <c r="E1664" s="723" t="s">
        <v>1648</v>
      </c>
      <c r="F1664" s="723"/>
      <c r="G1664" s="723"/>
      <c r="H1664" s="734" t="s">
        <v>1021</v>
      </c>
      <c r="I1664" s="735"/>
      <c r="J1664" s="174" t="str">
        <f>IFERROR(IF([1]K_Summary!$J$1649 = "", "", [1]K_Summary!$J$1649 ),"")</f>
        <v/>
      </c>
      <c r="K1664" s="175" t="str">
        <f>IFERROR(IF([1]K_Summary!$K$1649 = "", "", [1]K_Summary!$K$1649 ),"")</f>
        <v/>
      </c>
      <c r="L1664" s="175" t="str">
        <f>IFERROR(IF([1]K_Summary!$L$1649 = "", "", [1]K_Summary!$L$1649 ),"")</f>
        <v/>
      </c>
      <c r="M1664" s="175" t="str">
        <f>IFERROR(IF([1]K_Summary!$M$1649 = "", "", [1]K_Summary!$M$1649 ),"")</f>
        <v/>
      </c>
      <c r="N1664" s="176" t="str">
        <f>IFERROR(IF([1]K_Summary!$N$1649 = "", "", [1]K_Summary!$N$1649 ),"")</f>
        <v/>
      </c>
    </row>
    <row r="1665" spans="1:14" ht="15">
      <c r="C1665" s="559"/>
      <c r="D1665" s="706"/>
      <c r="E1665" s="736" t="s">
        <v>1850</v>
      </c>
      <c r="F1665" s="736"/>
      <c r="G1665" s="736"/>
      <c r="H1665" s="737" t="s">
        <v>1021</v>
      </c>
      <c r="I1665" s="738"/>
      <c r="J1665" s="177" t="str">
        <f>IFERROR(IF([1]K_Summary!$J$1650 = "", "", [1]K_Summary!$J$1650 ),"")</f>
        <v/>
      </c>
      <c r="K1665" s="178" t="str">
        <f>IFERROR(IF([1]K_Summary!$K$1650 = "", "", [1]K_Summary!$K$1650 ),"")</f>
        <v/>
      </c>
      <c r="L1665" s="178" t="str">
        <f>IFERROR(IF([1]K_Summary!$L$1650 = "", "", [1]K_Summary!$L$1650 ),"")</f>
        <v/>
      </c>
      <c r="M1665" s="178" t="str">
        <f>IFERROR(IF([1]K_Summary!$M$1650 = "", "", [1]K_Summary!$M$1650 ),"")</f>
        <v/>
      </c>
      <c r="N1665" s="179" t="str">
        <f>IFERROR(IF([1]K_Summary!$N$1650 = "", "", [1]K_Summary!$N$1650 ),"")</f>
        <v/>
      </c>
    </row>
    <row r="1666" spans="1:14" ht="15">
      <c r="C1666" s="559"/>
      <c r="D1666" s="706"/>
      <c r="E1666" s="727" t="s">
        <v>1689</v>
      </c>
      <c r="F1666" s="727"/>
      <c r="G1666" s="727"/>
      <c r="H1666" s="68" t="str">
        <f>IFERROR(IF([1]K_Summary!$H$1651 = "", "", [1]K_Summary!$H$1651 ),"")</f>
        <v>tonnes</v>
      </c>
      <c r="I1666" s="727"/>
      <c r="J1666" s="180" t="str">
        <f>IFERROR(IF([1]K_Summary!$J$1651 = "", "", [1]K_Summary!$J$1651 ),"")</f>
        <v/>
      </c>
      <c r="K1666" s="181" t="str">
        <f>IFERROR(IF([1]K_Summary!$K$1651 = "", "", [1]K_Summary!$K$1651 ),"")</f>
        <v/>
      </c>
      <c r="L1666" s="181" t="str">
        <f>IFERROR(IF([1]K_Summary!$L$1651 = "", "", [1]K_Summary!$L$1651 ),"")</f>
        <v/>
      </c>
      <c r="M1666" s="181" t="str">
        <f>IFERROR(IF([1]K_Summary!$M$1651 = "", "", [1]K_Summary!$M$1651 ),"")</f>
        <v/>
      </c>
      <c r="N1666" s="182" t="str">
        <f>IFERROR(IF([1]K_Summary!$N$1651 = "", "", [1]K_Summary!$N$1651 ),"")</f>
        <v/>
      </c>
    </row>
    <row r="1667" spans="1:14" ht="15" hidden="1">
      <c r="A1667" s="719" t="s">
        <v>2289</v>
      </c>
      <c r="C1667" s="559"/>
      <c r="D1667" s="706"/>
      <c r="E1667" s="720" t="s">
        <v>303</v>
      </c>
      <c r="F1667" s="720"/>
      <c r="G1667" s="720"/>
      <c r="H1667" s="721" t="s">
        <v>2090</v>
      </c>
      <c r="I1667" s="722"/>
      <c r="J1667" s="159" t="str">
        <f>IFERROR(IF([1]K_Summary!$J$1652 = "", "", [1]K_Summary!$J$1652 ),"")</f>
        <v/>
      </c>
      <c r="K1667" s="160" t="str">
        <f>IFERROR(IF([1]K_Summary!$K$1652 = "", "", [1]K_Summary!$K$1652 ),"")</f>
        <v/>
      </c>
      <c r="L1667" s="160" t="str">
        <f>IFERROR(IF([1]K_Summary!$L$1652 = "", "", [1]K_Summary!$L$1652 ),"")</f>
        <v/>
      </c>
      <c r="M1667" s="160" t="str">
        <f>IFERROR(IF([1]K_Summary!$M$1652 = "", "", [1]K_Summary!$M$1652 ),"")</f>
        <v/>
      </c>
      <c r="N1667" s="161" t="str">
        <f>IFERROR(IF([1]K_Summary!$N$1652 = "", "", [1]K_Summary!$N$1652 ),"")</f>
        <v/>
      </c>
    </row>
    <row r="1668" spans="1:14" ht="15" hidden="1">
      <c r="A1668" s="719" t="s">
        <v>2289</v>
      </c>
      <c r="C1668" s="559"/>
      <c r="D1668" s="706"/>
      <c r="E1668" s="723" t="s">
        <v>1422</v>
      </c>
      <c r="F1668" s="723"/>
      <c r="G1668" s="723"/>
      <c r="H1668" s="724" t="s">
        <v>2090</v>
      </c>
      <c r="I1668" s="725"/>
      <c r="J1668" s="162" t="str">
        <f>IFERROR(IF([1]K_Summary!$J$1653 = "", "", [1]K_Summary!$J$1653 ),"")</f>
        <v/>
      </c>
      <c r="K1668" s="163" t="str">
        <f>IFERROR(IF([1]K_Summary!$K$1653 = "", "", [1]K_Summary!$K$1653 ),"")</f>
        <v/>
      </c>
      <c r="L1668" s="163" t="str">
        <f>IFERROR(IF([1]K_Summary!$L$1653 = "", "", [1]K_Summary!$L$1653 ),"")</f>
        <v/>
      </c>
      <c r="M1668" s="163" t="str">
        <f>IFERROR(IF([1]K_Summary!$M$1653 = "", "", [1]K_Summary!$M$1653 ),"")</f>
        <v/>
      </c>
      <c r="N1668" s="164" t="str">
        <f>IFERROR(IF([1]K_Summary!$N$1653 = "", "", [1]K_Summary!$N$1653 ),"")</f>
        <v/>
      </c>
    </row>
    <row r="1669" spans="1:14" ht="15" hidden="1">
      <c r="A1669" s="719" t="s">
        <v>2289</v>
      </c>
      <c r="C1669" s="559"/>
      <c r="D1669" s="706"/>
      <c r="E1669" s="723" t="s">
        <v>1390</v>
      </c>
      <c r="F1669" s="723"/>
      <c r="G1669" s="723"/>
      <c r="H1669" s="724" t="s">
        <v>2090</v>
      </c>
      <c r="I1669" s="725"/>
      <c r="J1669" s="162" t="str">
        <f>IFERROR(IF([1]K_Summary!$J$1654 = "", "", [1]K_Summary!$J$1654 ),"")</f>
        <v/>
      </c>
      <c r="K1669" s="163" t="str">
        <f>IFERROR(IF([1]K_Summary!$K$1654 = "", "", [1]K_Summary!$K$1654 ),"")</f>
        <v/>
      </c>
      <c r="L1669" s="163" t="str">
        <f>IFERROR(IF([1]K_Summary!$L$1654 = "", "", [1]K_Summary!$L$1654 ),"")</f>
        <v/>
      </c>
      <c r="M1669" s="163" t="str">
        <f>IFERROR(IF([1]K_Summary!$M$1654 = "", "", [1]K_Summary!$M$1654 ),"")</f>
        <v/>
      </c>
      <c r="N1669" s="164" t="str">
        <f>IFERROR(IF([1]K_Summary!$N$1654 = "", "", [1]K_Summary!$N$1654 ),"")</f>
        <v/>
      </c>
    </row>
    <row r="1670" spans="1:14" ht="15" hidden="1">
      <c r="A1670" s="719" t="s">
        <v>2289</v>
      </c>
      <c r="C1670" s="559"/>
      <c r="D1670" s="706"/>
      <c r="E1670" s="723" t="s">
        <v>1389</v>
      </c>
      <c r="F1670" s="723"/>
      <c r="G1670" s="723"/>
      <c r="H1670" s="726" t="s">
        <v>1021</v>
      </c>
      <c r="I1670" s="725"/>
      <c r="J1670" s="165" t="str">
        <f>IFERROR(IF([1]K_Summary!$J$1655 = "", "", [1]K_Summary!$J$1655 ),"")</f>
        <v/>
      </c>
      <c r="K1670" s="166" t="str">
        <f>IFERROR(IF([1]K_Summary!$K$1655 = "", "", [1]K_Summary!$K$1655 ),"")</f>
        <v/>
      </c>
      <c r="L1670" s="166" t="str">
        <f>IFERROR(IF([1]K_Summary!$L$1655 = "", "", [1]K_Summary!$L$1655 ),"")</f>
        <v/>
      </c>
      <c r="M1670" s="166" t="str">
        <f>IFERROR(IF([1]K_Summary!$M$1655 = "", "", [1]K_Summary!$M$1655 ),"")</f>
        <v/>
      </c>
      <c r="N1670" s="167" t="str">
        <f>IFERROR(IF([1]K_Summary!$N$1655 = "", "", [1]K_Summary!$N$1655 ),"")</f>
        <v/>
      </c>
    </row>
    <row r="1671" spans="1:14" ht="15" hidden="1">
      <c r="A1671" s="719" t="s">
        <v>2289</v>
      </c>
      <c r="C1671" s="559"/>
      <c r="D1671" s="706"/>
      <c r="E1671" s="727" t="s">
        <v>1391</v>
      </c>
      <c r="F1671" s="727"/>
      <c r="G1671" s="727"/>
      <c r="H1671" s="728" t="s">
        <v>1021</v>
      </c>
      <c r="I1671" s="729"/>
      <c r="J1671" s="168" t="str">
        <f>IFERROR(IF([1]K_Summary!$J$1656 = "", "", [1]K_Summary!$J$1656 ),"")</f>
        <v/>
      </c>
      <c r="K1671" s="169" t="str">
        <f>IFERROR(IF([1]K_Summary!$K$1656 = "", "", [1]K_Summary!$K$1656 ),"")</f>
        <v/>
      </c>
      <c r="L1671" s="169" t="str">
        <f>IFERROR(IF([1]K_Summary!$L$1656 = "", "", [1]K_Summary!$L$1656 ),"")</f>
        <v/>
      </c>
      <c r="M1671" s="169" t="str">
        <f>IFERROR(IF([1]K_Summary!$M$1656 = "", "", [1]K_Summary!$M$1656 ),"")</f>
        <v/>
      </c>
      <c r="N1671" s="170" t="str">
        <f>IFERROR(IF([1]K_Summary!$N$1656 = "", "", [1]K_Summary!$N$1656 ),"")</f>
        <v/>
      </c>
    </row>
    <row r="1672" spans="1:14" ht="15">
      <c r="C1672" s="559"/>
      <c r="D1672" s="706"/>
      <c r="E1672" s="698" t="s">
        <v>1671</v>
      </c>
      <c r="F1672" s="698"/>
      <c r="G1672" s="698"/>
      <c r="H1672" s="730" t="s">
        <v>2090</v>
      </c>
      <c r="I1672" s="731"/>
      <c r="J1672" s="148" t="str">
        <f>IFERROR(IF([1]K_Summary!$J$1657 = "", "", [1]K_Summary!$J$1657 ),"")</f>
        <v/>
      </c>
      <c r="K1672" s="150" t="str">
        <f>IFERROR(IF([1]K_Summary!$K$1657 = "", "", [1]K_Summary!$K$1657 ),"")</f>
        <v/>
      </c>
      <c r="L1672" s="150" t="str">
        <f>IFERROR(IF([1]K_Summary!$L$1657 = "", "", [1]K_Summary!$L$1657 ),"")</f>
        <v/>
      </c>
      <c r="M1672" s="150" t="str">
        <f>IFERROR(IF([1]K_Summary!$M$1657 = "", "", [1]K_Summary!$M$1657 ),"")</f>
        <v/>
      </c>
      <c r="N1672" s="171" t="str">
        <f>IFERROR(IF([1]K_Summary!$N$1657 = "", "", [1]K_Summary!$N$1657 ),"")</f>
        <v/>
      </c>
    </row>
    <row r="1673" spans="1:14" ht="15">
      <c r="C1673" s="559"/>
      <c r="D1673" s="706"/>
      <c r="E1673" s="698" t="s">
        <v>1670</v>
      </c>
      <c r="F1673" s="698"/>
      <c r="G1673" s="698"/>
      <c r="H1673" s="730" t="s">
        <v>2090</v>
      </c>
      <c r="I1673" s="731"/>
      <c r="J1673" s="148" t="str">
        <f>IFERROR(IF([1]K_Summary!$J$1658 = "", "", [1]K_Summary!$J$1658 ),"")</f>
        <v/>
      </c>
      <c r="K1673" s="150" t="str">
        <f>IFERROR(IF([1]K_Summary!$K$1658 = "", "", [1]K_Summary!$K$1658 ),"")</f>
        <v/>
      </c>
      <c r="L1673" s="150" t="str">
        <f>IFERROR(IF([1]K_Summary!$L$1658 = "", "", [1]K_Summary!$L$1658 ),"")</f>
        <v/>
      </c>
      <c r="M1673" s="150" t="str">
        <f>IFERROR(IF([1]K_Summary!$M$1658 = "", "", [1]K_Summary!$M$1658 ),"")</f>
        <v/>
      </c>
      <c r="N1673" s="171" t="str">
        <f>IFERROR(IF([1]K_Summary!$N$1658 = "", "", [1]K_Summary!$N$1658 ),"")</f>
        <v/>
      </c>
    </row>
    <row r="1674" spans="1:14" ht="15">
      <c r="C1674" s="559"/>
      <c r="D1674" s="706"/>
      <c r="E1674" s="740" t="s">
        <v>2130</v>
      </c>
      <c r="F1674" s="740"/>
      <c r="G1674" s="740"/>
      <c r="H1674" s="741" t="s">
        <v>1021</v>
      </c>
      <c r="I1674" s="742"/>
      <c r="J1674" s="183" t="str">
        <f>IFERROR(IF([1]K_Summary!$J$1659 = "", "", [1]K_Summary!$J$1659 ),"")</f>
        <v/>
      </c>
      <c r="K1674" s="184" t="str">
        <f>IFERROR(IF([1]K_Summary!$K$1659 = "", "", [1]K_Summary!$K$1659 ),"")</f>
        <v/>
      </c>
      <c r="L1674" s="184" t="str">
        <f>IFERROR(IF([1]K_Summary!$L$1659 = "", "", [1]K_Summary!$L$1659 ),"")</f>
        <v/>
      </c>
      <c r="M1674" s="184" t="str">
        <f>IFERROR(IF([1]K_Summary!$M$1659 = "", "", [1]K_Summary!$M$1659 ),"")</f>
        <v/>
      </c>
      <c r="N1674" s="185" t="str">
        <f>IFERROR(IF([1]K_Summary!$N$1659 = "", "", [1]K_Summary!$N$1659 ),"")</f>
        <v/>
      </c>
    </row>
    <row r="1675" spans="1:14" ht="15">
      <c r="C1675" s="559"/>
      <c r="D1675" s="706"/>
      <c r="E1675" s="485"/>
      <c r="F1675" s="485"/>
      <c r="G1675" s="485"/>
      <c r="H1675" s="485"/>
      <c r="I1675" s="743"/>
      <c r="J1675" s="485"/>
      <c r="K1675" s="485"/>
      <c r="L1675" s="485"/>
      <c r="M1675" s="485"/>
      <c r="N1675" s="744"/>
    </row>
    <row r="1676" spans="1:14" ht="15">
      <c r="C1676" s="559"/>
      <c r="D1676" s="706"/>
      <c r="E1676" s="707" t="s">
        <v>1753</v>
      </c>
      <c r="F1676" s="637"/>
      <c r="G1676" s="637"/>
      <c r="H1676" s="663" t="s">
        <v>884</v>
      </c>
      <c r="I1676" s="708"/>
      <c r="J1676" s="709">
        <v>2021</v>
      </c>
      <c r="K1676" s="671">
        <v>2022</v>
      </c>
      <c r="L1676" s="671">
        <v>2023</v>
      </c>
      <c r="M1676" s="671">
        <v>2024</v>
      </c>
      <c r="N1676" s="710">
        <v>2025</v>
      </c>
    </row>
    <row r="1677" spans="1:14" ht="15" hidden="1">
      <c r="A1677" s="719" t="s">
        <v>2289</v>
      </c>
      <c r="C1677" s="559"/>
      <c r="D1677" s="706"/>
      <c r="E1677" s="698" t="s">
        <v>1714</v>
      </c>
      <c r="F1677" s="698"/>
      <c r="G1677" s="698"/>
      <c r="H1677" s="63" t="str">
        <f>IFERROR(IF([1]K_Summary!$H$1662 = "", "", [1]K_Summary!$H$1662 ),"")</f>
        <v>tonnes</v>
      </c>
      <c r="I1677" s="698"/>
      <c r="J1677" s="157" t="str">
        <f>IFERROR(IF([1]K_Summary!$J$1662 = "", "", [1]K_Summary!$J$1662 ),"")</f>
        <v/>
      </c>
      <c r="K1677" s="147" t="str">
        <f>IFERROR(IF([1]K_Summary!$K$1662 = "", "", [1]K_Summary!$K$1662 ),"")</f>
        <v/>
      </c>
      <c r="L1677" s="147" t="str">
        <f>IFERROR(IF([1]K_Summary!$L$1662 = "", "", [1]K_Summary!$L$1662 ),"")</f>
        <v/>
      </c>
      <c r="M1677" s="147" t="str">
        <f>IFERROR(IF([1]K_Summary!$M$1662 = "", "", [1]K_Summary!$M$1662 ),"")</f>
        <v/>
      </c>
      <c r="N1677" s="158" t="str">
        <f>IFERROR(IF([1]K_Summary!$N$1662 = "", "", [1]K_Summary!$N$1662 ),"")</f>
        <v/>
      </c>
    </row>
    <row r="1678" spans="1:14" ht="15" hidden="1">
      <c r="A1678" s="719" t="s">
        <v>2289</v>
      </c>
      <c r="C1678" s="559"/>
      <c r="D1678" s="706"/>
      <c r="E1678" s="720" t="s">
        <v>303</v>
      </c>
      <c r="F1678" s="720"/>
      <c r="G1678" s="720"/>
      <c r="H1678" s="721" t="s">
        <v>2090</v>
      </c>
      <c r="I1678" s="722"/>
      <c r="J1678" s="159" t="str">
        <f>IFERROR(IF([1]K_Summary!$J$1663 = "", "", [1]K_Summary!$J$1663 ),"")</f>
        <v/>
      </c>
      <c r="K1678" s="160" t="str">
        <f>IFERROR(IF([1]K_Summary!$K$1663 = "", "", [1]K_Summary!$K$1663 ),"")</f>
        <v/>
      </c>
      <c r="L1678" s="160" t="str">
        <f>IFERROR(IF([1]K_Summary!$L$1663 = "", "", [1]K_Summary!$L$1663 ),"")</f>
        <v/>
      </c>
      <c r="M1678" s="160" t="str">
        <f>IFERROR(IF([1]K_Summary!$M$1663 = "", "", [1]K_Summary!$M$1663 ),"")</f>
        <v/>
      </c>
      <c r="N1678" s="161" t="str">
        <f>IFERROR(IF([1]K_Summary!$N$1663 = "", "", [1]K_Summary!$N$1663 ),"")</f>
        <v/>
      </c>
    </row>
    <row r="1679" spans="1:14" ht="15" hidden="1">
      <c r="A1679" s="719" t="s">
        <v>2289</v>
      </c>
      <c r="C1679" s="559"/>
      <c r="D1679" s="706"/>
      <c r="E1679" s="723" t="s">
        <v>1422</v>
      </c>
      <c r="F1679" s="723"/>
      <c r="G1679" s="723"/>
      <c r="H1679" s="724" t="s">
        <v>2090</v>
      </c>
      <c r="I1679" s="725"/>
      <c r="J1679" s="162" t="str">
        <f>IFERROR(IF([1]K_Summary!$J$1664 = "", "", [1]K_Summary!$J$1664 ),"")</f>
        <v/>
      </c>
      <c r="K1679" s="163" t="str">
        <f>IFERROR(IF([1]K_Summary!$K$1664 = "", "", [1]K_Summary!$K$1664 ),"")</f>
        <v/>
      </c>
      <c r="L1679" s="163" t="str">
        <f>IFERROR(IF([1]K_Summary!$L$1664 = "", "", [1]K_Summary!$L$1664 ),"")</f>
        <v/>
      </c>
      <c r="M1679" s="163" t="str">
        <f>IFERROR(IF([1]K_Summary!$M$1664 = "", "", [1]K_Summary!$M$1664 ),"")</f>
        <v/>
      </c>
      <c r="N1679" s="164" t="str">
        <f>IFERROR(IF([1]K_Summary!$N$1664 = "", "", [1]K_Summary!$N$1664 ),"")</f>
        <v/>
      </c>
    </row>
    <row r="1680" spans="1:14" ht="15" hidden="1">
      <c r="A1680" s="719" t="s">
        <v>2289</v>
      </c>
      <c r="C1680" s="559"/>
      <c r="D1680" s="706"/>
      <c r="E1680" s="745" t="s">
        <v>1390</v>
      </c>
      <c r="F1680" s="745"/>
      <c r="G1680" s="745"/>
      <c r="H1680" s="746" t="s">
        <v>2090</v>
      </c>
      <c r="I1680" s="747"/>
      <c r="J1680" s="186" t="str">
        <f>IFERROR(IF([1]K_Summary!$J$1665 = "", "", [1]K_Summary!$J$1665 ),"")</f>
        <v/>
      </c>
      <c r="K1680" s="187" t="str">
        <f>IFERROR(IF([1]K_Summary!$K$1665 = "", "", [1]K_Summary!$K$1665 ),"")</f>
        <v/>
      </c>
      <c r="L1680" s="187" t="str">
        <f>IFERROR(IF([1]K_Summary!$L$1665 = "", "", [1]K_Summary!$L$1665 ),"")</f>
        <v/>
      </c>
      <c r="M1680" s="187" t="str">
        <f>IFERROR(IF([1]K_Summary!$M$1665 = "", "", [1]K_Summary!$M$1665 ),"")</f>
        <v/>
      </c>
      <c r="N1680" s="188" t="str">
        <f>IFERROR(IF([1]K_Summary!$N$1665 = "", "", [1]K_Summary!$N$1665 ),"")</f>
        <v/>
      </c>
    </row>
    <row r="1681" spans="1:14" ht="15">
      <c r="C1681" s="559"/>
      <c r="D1681" s="706"/>
      <c r="E1681" s="720" t="s">
        <v>1691</v>
      </c>
      <c r="F1681" s="720"/>
      <c r="G1681" s="720"/>
      <c r="H1681" s="748" t="s">
        <v>1021</v>
      </c>
      <c r="I1681" s="722"/>
      <c r="J1681" s="189" t="str">
        <f>IFERROR(IF([1]K_Summary!$J$1666 = "", "", [1]K_Summary!$J$1666 ),"")</f>
        <v/>
      </c>
      <c r="K1681" s="190" t="str">
        <f>IFERROR(IF([1]K_Summary!$K$1666 = "", "", [1]K_Summary!$K$1666 ),"")</f>
        <v/>
      </c>
      <c r="L1681" s="190" t="str">
        <f>IFERROR(IF([1]K_Summary!$L$1666 = "", "", [1]K_Summary!$L$1666 ),"")</f>
        <v/>
      </c>
      <c r="M1681" s="190" t="str">
        <f>IFERROR(IF([1]K_Summary!$M$1666 = "", "", [1]K_Summary!$M$1666 ),"")</f>
        <v/>
      </c>
      <c r="N1681" s="191" t="str">
        <f>IFERROR(IF([1]K_Summary!$N$1666 = "", "", [1]K_Summary!$N$1666 ),"")</f>
        <v/>
      </c>
    </row>
    <row r="1682" spans="1:14" ht="15">
      <c r="C1682" s="559"/>
      <c r="D1682" s="706"/>
      <c r="E1682" s="723" t="s">
        <v>1648</v>
      </c>
      <c r="F1682" s="723"/>
      <c r="G1682" s="723"/>
      <c r="H1682" s="734" t="s">
        <v>1021</v>
      </c>
      <c r="I1682" s="735"/>
      <c r="J1682" s="174" t="str">
        <f>IFERROR(IF([1]K_Summary!$J$1667 = "", "", [1]K_Summary!$J$1667 ),"")</f>
        <v/>
      </c>
      <c r="K1682" s="175" t="str">
        <f>IFERROR(IF([1]K_Summary!$K$1667 = "", "", [1]K_Summary!$K$1667 ),"")</f>
        <v/>
      </c>
      <c r="L1682" s="175" t="str">
        <f>IFERROR(IF([1]K_Summary!$L$1667 = "", "", [1]K_Summary!$L$1667 ),"")</f>
        <v/>
      </c>
      <c r="M1682" s="175" t="str">
        <f>IFERROR(IF([1]K_Summary!$M$1667 = "", "", [1]K_Summary!$M$1667 ),"")</f>
        <v/>
      </c>
      <c r="N1682" s="176" t="str">
        <f>IFERROR(IF([1]K_Summary!$N$1667 = "", "", [1]K_Summary!$N$1667 ),"")</f>
        <v/>
      </c>
    </row>
    <row r="1683" spans="1:14" ht="15">
      <c r="C1683" s="559"/>
      <c r="D1683" s="706"/>
      <c r="E1683" s="736" t="s">
        <v>1852</v>
      </c>
      <c r="F1683" s="736"/>
      <c r="G1683" s="736"/>
      <c r="H1683" s="737" t="s">
        <v>1021</v>
      </c>
      <c r="I1683" s="738"/>
      <c r="J1683" s="177" t="str">
        <f>IFERROR(IF([1]K_Summary!$J$1668 = "", "", [1]K_Summary!$J$1668 ),"")</f>
        <v/>
      </c>
      <c r="K1683" s="178" t="str">
        <f>IFERROR(IF([1]K_Summary!$K$1668 = "", "", [1]K_Summary!$K$1668 ),"")</f>
        <v/>
      </c>
      <c r="L1683" s="178" t="str">
        <f>IFERROR(IF([1]K_Summary!$L$1668 = "", "", [1]K_Summary!$L$1668 ),"")</f>
        <v/>
      </c>
      <c r="M1683" s="178" t="str">
        <f>IFERROR(IF([1]K_Summary!$M$1668 = "", "", [1]K_Summary!$M$1668 ),"")</f>
        <v/>
      </c>
      <c r="N1683" s="179" t="str">
        <f>IFERROR(IF([1]K_Summary!$N$1668 = "", "", [1]K_Summary!$N$1668 ),"")</f>
        <v/>
      </c>
    </row>
    <row r="1684" spans="1:14" ht="15">
      <c r="C1684" s="559"/>
      <c r="D1684" s="706"/>
      <c r="E1684" s="727" t="s">
        <v>1689</v>
      </c>
      <c r="F1684" s="727"/>
      <c r="G1684" s="727"/>
      <c r="H1684" s="749" t="s">
        <v>1021</v>
      </c>
      <c r="I1684" s="727"/>
      <c r="J1684" s="192" t="str">
        <f>IFERROR(IF([1]K_Summary!$J$1669 = "", "", [1]K_Summary!$J$1669 ),"")</f>
        <v/>
      </c>
      <c r="K1684" s="193" t="str">
        <f>IFERROR(IF([1]K_Summary!$K$1669 = "", "", [1]K_Summary!$K$1669 ),"")</f>
        <v/>
      </c>
      <c r="L1684" s="193" t="str">
        <f>IFERROR(IF([1]K_Summary!$L$1669 = "", "", [1]K_Summary!$L$1669 ),"")</f>
        <v/>
      </c>
      <c r="M1684" s="193" t="str">
        <f>IFERROR(IF([1]K_Summary!$M$1669 = "", "", [1]K_Summary!$M$1669 ),"")</f>
        <v/>
      </c>
      <c r="N1684" s="194" t="str">
        <f>IFERROR(IF([1]K_Summary!$N$1669 = "", "", [1]K_Summary!$N$1669 ),"")</f>
        <v/>
      </c>
    </row>
    <row r="1685" spans="1:14" ht="15" hidden="1">
      <c r="A1685" s="719" t="s">
        <v>2289</v>
      </c>
      <c r="C1685" s="559"/>
      <c r="D1685" s="706"/>
      <c r="E1685" s="727" t="s">
        <v>1391</v>
      </c>
      <c r="F1685" s="727"/>
      <c r="G1685" s="727"/>
      <c r="H1685" s="750" t="s">
        <v>1021</v>
      </c>
      <c r="I1685" s="729"/>
      <c r="J1685" s="168" t="str">
        <f>IFERROR(IF([1]K_Summary!$J$1670 = "", "", [1]K_Summary!$J$1670 ),"")</f>
        <v/>
      </c>
      <c r="K1685" s="169" t="str">
        <f>IFERROR(IF([1]K_Summary!$K$1670 = "", "", [1]K_Summary!$K$1670 ),"")</f>
        <v/>
      </c>
      <c r="L1685" s="169" t="str">
        <f>IFERROR(IF([1]K_Summary!$L$1670 = "", "", [1]K_Summary!$L$1670 ),"")</f>
        <v/>
      </c>
      <c r="M1685" s="169" t="str">
        <f>IFERROR(IF([1]K_Summary!$M$1670 = "", "", [1]K_Summary!$M$1670 ),"")</f>
        <v/>
      </c>
      <c r="N1685" s="170" t="str">
        <f>IFERROR(IF([1]K_Summary!$N$1670 = "", "", [1]K_Summary!$N$1670 ),"")</f>
        <v/>
      </c>
    </row>
    <row r="1686" spans="1:14" ht="15">
      <c r="C1686" s="559"/>
      <c r="D1686" s="706"/>
      <c r="E1686" s="698" t="s">
        <v>1671</v>
      </c>
      <c r="F1686" s="698"/>
      <c r="G1686" s="698"/>
      <c r="H1686" s="730" t="s">
        <v>2090</v>
      </c>
      <c r="I1686" s="731"/>
      <c r="J1686" s="148" t="str">
        <f>IFERROR(IF([1]K_Summary!$J$1671 = "", "", [1]K_Summary!$J$1671 ),"")</f>
        <v/>
      </c>
      <c r="K1686" s="150" t="str">
        <f>IFERROR(IF([1]K_Summary!$K$1671 = "", "", [1]K_Summary!$K$1671 ),"")</f>
        <v/>
      </c>
      <c r="L1686" s="150" t="str">
        <f>IFERROR(IF([1]K_Summary!$L$1671 = "", "", [1]K_Summary!$L$1671 ),"")</f>
        <v/>
      </c>
      <c r="M1686" s="150" t="str">
        <f>IFERROR(IF([1]K_Summary!$M$1671 = "", "", [1]K_Summary!$M$1671 ),"")</f>
        <v/>
      </c>
      <c r="N1686" s="171" t="str">
        <f>IFERROR(IF([1]K_Summary!$N$1671 = "", "", [1]K_Summary!$N$1671 ),"")</f>
        <v/>
      </c>
    </row>
    <row r="1687" spans="1:14" ht="15">
      <c r="C1687" s="559"/>
      <c r="D1687" s="706"/>
      <c r="E1687" s="698" t="s">
        <v>1670</v>
      </c>
      <c r="F1687" s="698"/>
      <c r="G1687" s="698"/>
      <c r="H1687" s="730" t="s">
        <v>2090</v>
      </c>
      <c r="I1687" s="731"/>
      <c r="J1687" s="148" t="str">
        <f>IFERROR(IF([1]K_Summary!$J$1672 = "", "", [1]K_Summary!$J$1672 ),"")</f>
        <v/>
      </c>
      <c r="K1687" s="150" t="str">
        <f>IFERROR(IF([1]K_Summary!$K$1672 = "", "", [1]K_Summary!$K$1672 ),"")</f>
        <v/>
      </c>
      <c r="L1687" s="150" t="str">
        <f>IFERROR(IF([1]K_Summary!$L$1672 = "", "", [1]K_Summary!$L$1672 ),"")</f>
        <v/>
      </c>
      <c r="M1687" s="150" t="str">
        <f>IFERROR(IF([1]K_Summary!$M$1672 = "", "", [1]K_Summary!$M$1672 ),"")</f>
        <v/>
      </c>
      <c r="N1687" s="171" t="str">
        <f>IFERROR(IF([1]K_Summary!$N$1672 = "", "", [1]K_Summary!$N$1672 ),"")</f>
        <v/>
      </c>
    </row>
    <row r="1688" spans="1:14" ht="15">
      <c r="C1688" s="559"/>
      <c r="D1688" s="706"/>
      <c r="E1688" s="740" t="s">
        <v>2131</v>
      </c>
      <c r="F1688" s="740"/>
      <c r="G1688" s="740"/>
      <c r="H1688" s="741" t="s">
        <v>1021</v>
      </c>
      <c r="I1688" s="742"/>
      <c r="J1688" s="183" t="str">
        <f>IFERROR(IF([1]K_Summary!$J$1673 = "", "", [1]K_Summary!$J$1673 ),"")</f>
        <v/>
      </c>
      <c r="K1688" s="184" t="str">
        <f>IFERROR(IF([1]K_Summary!$K$1673 = "", "", [1]K_Summary!$K$1673 ),"")</f>
        <v/>
      </c>
      <c r="L1688" s="184" t="str">
        <f>IFERROR(IF([1]K_Summary!$L$1673 = "", "", [1]K_Summary!$L$1673 ),"")</f>
        <v/>
      </c>
      <c r="M1688" s="184" t="str">
        <f>IFERROR(IF([1]K_Summary!$M$1673 = "", "", [1]K_Summary!$M$1673 ),"")</f>
        <v/>
      </c>
      <c r="N1688" s="185" t="str">
        <f>IFERROR(IF([1]K_Summary!$N$1673 = "", "", [1]K_Summary!$N$1673 ),"")</f>
        <v/>
      </c>
    </row>
    <row r="1689" spans="1:14" ht="15">
      <c r="C1689" s="559"/>
      <c r="D1689" s="706"/>
      <c r="E1689" s="485"/>
      <c r="F1689" s="485"/>
      <c r="G1689" s="485"/>
      <c r="H1689" s="485"/>
      <c r="I1689" s="743"/>
      <c r="J1689" s="485"/>
      <c r="K1689" s="485"/>
      <c r="L1689" s="485"/>
      <c r="M1689" s="485"/>
      <c r="N1689" s="744"/>
    </row>
    <row r="1690" spans="1:14" ht="15">
      <c r="C1690" s="559"/>
      <c r="D1690" s="706"/>
      <c r="E1690" s="707" t="s">
        <v>1754</v>
      </c>
      <c r="F1690" s="637"/>
      <c r="G1690" s="637"/>
      <c r="H1690" s="663" t="s">
        <v>884</v>
      </c>
      <c r="I1690" s="708"/>
      <c r="J1690" s="709">
        <v>2021</v>
      </c>
      <c r="K1690" s="671">
        <v>2022</v>
      </c>
      <c r="L1690" s="671">
        <v>2023</v>
      </c>
      <c r="M1690" s="671">
        <v>2024</v>
      </c>
      <c r="N1690" s="710">
        <v>2025</v>
      </c>
    </row>
    <row r="1691" spans="1:14" ht="15" hidden="1">
      <c r="A1691" s="719" t="s">
        <v>2289</v>
      </c>
      <c r="C1691" s="559"/>
      <c r="D1691" s="706"/>
      <c r="E1691" s="698" t="s">
        <v>1714</v>
      </c>
      <c r="F1691" s="698"/>
      <c r="G1691" s="698"/>
      <c r="H1691" s="63" t="str">
        <f>IFERROR(IF([1]K_Summary!$H$1676 = "", "", [1]K_Summary!$H$1676 ),"")</f>
        <v>tonnes</v>
      </c>
      <c r="I1691" s="698"/>
      <c r="J1691" s="157" t="str">
        <f>IFERROR(IF([1]K_Summary!$J$1676 = "", "", [1]K_Summary!$J$1676 ),"")</f>
        <v/>
      </c>
      <c r="K1691" s="147" t="str">
        <f>IFERROR(IF([1]K_Summary!$K$1676 = "", "", [1]K_Summary!$K$1676 ),"")</f>
        <v/>
      </c>
      <c r="L1691" s="147" t="str">
        <f>IFERROR(IF([1]K_Summary!$L$1676 = "", "", [1]K_Summary!$L$1676 ),"")</f>
        <v/>
      </c>
      <c r="M1691" s="147" t="str">
        <f>IFERROR(IF([1]K_Summary!$M$1676 = "", "", [1]K_Summary!$M$1676 ),"")</f>
        <v/>
      </c>
      <c r="N1691" s="158" t="str">
        <f>IFERROR(IF([1]K_Summary!$N$1676 = "", "", [1]K_Summary!$N$1676 ),"")</f>
        <v/>
      </c>
    </row>
    <row r="1692" spans="1:14" ht="15">
      <c r="C1692" s="559"/>
      <c r="D1692" s="706"/>
      <c r="E1692" s="720" t="s">
        <v>1691</v>
      </c>
      <c r="F1692" s="720"/>
      <c r="G1692" s="720"/>
      <c r="H1692" s="748" t="s">
        <v>2090</v>
      </c>
      <c r="I1692" s="722"/>
      <c r="J1692" s="172" t="str">
        <f>IFERROR(IF([1]K_Summary!$J$1677 = "", "", [1]K_Summary!$J$1677 ),"")</f>
        <v/>
      </c>
      <c r="K1692" s="54" t="str">
        <f>IFERROR(IF([1]K_Summary!$K$1677 = "", "", [1]K_Summary!$K$1677 ),"")</f>
        <v/>
      </c>
      <c r="L1692" s="54" t="str">
        <f>IFERROR(IF([1]K_Summary!$L$1677 = "", "", [1]K_Summary!$L$1677 ),"")</f>
        <v/>
      </c>
      <c r="M1692" s="54" t="str">
        <f>IFERROR(IF([1]K_Summary!$M$1677 = "", "", [1]K_Summary!$M$1677 ),"")</f>
        <v/>
      </c>
      <c r="N1692" s="173" t="str">
        <f>IFERROR(IF([1]K_Summary!$N$1677 = "", "", [1]K_Summary!$N$1677 ),"")</f>
        <v/>
      </c>
    </row>
    <row r="1693" spans="1:14" ht="15">
      <c r="C1693" s="559"/>
      <c r="D1693" s="706"/>
      <c r="E1693" s="723" t="s">
        <v>1648</v>
      </c>
      <c r="F1693" s="723"/>
      <c r="G1693" s="723"/>
      <c r="H1693" s="734" t="s">
        <v>1021</v>
      </c>
      <c r="I1693" s="735"/>
      <c r="J1693" s="174" t="str">
        <f>IFERROR(IF([1]K_Summary!$J$1678 = "", "", [1]K_Summary!$J$1678 ),"")</f>
        <v/>
      </c>
      <c r="K1693" s="175" t="str">
        <f>IFERROR(IF([1]K_Summary!$K$1678 = "", "", [1]K_Summary!$K$1678 ),"")</f>
        <v/>
      </c>
      <c r="L1693" s="175" t="str">
        <f>IFERROR(IF([1]K_Summary!$L$1678 = "", "", [1]K_Summary!$L$1678 ),"")</f>
        <v/>
      </c>
      <c r="M1693" s="175" t="str">
        <f>IFERROR(IF([1]K_Summary!$M$1678 = "", "", [1]K_Summary!$M$1678 ),"")</f>
        <v/>
      </c>
      <c r="N1693" s="176" t="str">
        <f>IFERROR(IF([1]K_Summary!$N$1678 = "", "", [1]K_Summary!$N$1678 ),"")</f>
        <v/>
      </c>
    </row>
    <row r="1694" spans="1:14" ht="15">
      <c r="C1694" s="559"/>
      <c r="D1694" s="706"/>
      <c r="E1694" s="736" t="s">
        <v>1853</v>
      </c>
      <c r="F1694" s="736"/>
      <c r="G1694" s="736"/>
      <c r="H1694" s="737" t="s">
        <v>1021</v>
      </c>
      <c r="I1694" s="738"/>
      <c r="J1694" s="177" t="str">
        <f>IFERROR(IF([1]K_Summary!$J$1679 = "", "", [1]K_Summary!$J$1679 ),"")</f>
        <v/>
      </c>
      <c r="K1694" s="178" t="str">
        <f>IFERROR(IF([1]K_Summary!$K$1679 = "", "", [1]K_Summary!$K$1679 ),"")</f>
        <v/>
      </c>
      <c r="L1694" s="178" t="str">
        <f>IFERROR(IF([1]K_Summary!$L$1679 = "", "", [1]K_Summary!$L$1679 ),"")</f>
        <v/>
      </c>
      <c r="M1694" s="178" t="str">
        <f>IFERROR(IF([1]K_Summary!$M$1679 = "", "", [1]K_Summary!$M$1679 ),"")</f>
        <v/>
      </c>
      <c r="N1694" s="179" t="str">
        <f>IFERROR(IF([1]K_Summary!$N$1679 = "", "", [1]K_Summary!$N$1679 ),"")</f>
        <v/>
      </c>
    </row>
    <row r="1695" spans="1:14" ht="15">
      <c r="C1695" s="559"/>
      <c r="D1695" s="706"/>
      <c r="E1695" s="727" t="s">
        <v>1689</v>
      </c>
      <c r="F1695" s="727"/>
      <c r="G1695" s="727"/>
      <c r="H1695" s="749" t="s">
        <v>2090</v>
      </c>
      <c r="I1695" s="727"/>
      <c r="J1695" s="180" t="str">
        <f>IFERROR(IF([1]K_Summary!$J$1680 = "", "", [1]K_Summary!$J$1680 ),"")</f>
        <v/>
      </c>
      <c r="K1695" s="181" t="str">
        <f>IFERROR(IF([1]K_Summary!$K$1680 = "", "", [1]K_Summary!$K$1680 ),"")</f>
        <v/>
      </c>
      <c r="L1695" s="181" t="str">
        <f>IFERROR(IF([1]K_Summary!$L$1680 = "", "", [1]K_Summary!$L$1680 ),"")</f>
        <v/>
      </c>
      <c r="M1695" s="181" t="str">
        <f>IFERROR(IF([1]K_Summary!$M$1680 = "", "", [1]K_Summary!$M$1680 ),"")</f>
        <v/>
      </c>
      <c r="N1695" s="182" t="str">
        <f>IFERROR(IF([1]K_Summary!$N$1680 = "", "", [1]K_Summary!$N$1680 ),"")</f>
        <v/>
      </c>
    </row>
    <row r="1696" spans="1:14" ht="15" hidden="1">
      <c r="A1696" s="719" t="s">
        <v>2289</v>
      </c>
      <c r="C1696" s="559"/>
      <c r="D1696" s="706"/>
      <c r="E1696" s="723" t="s">
        <v>1422</v>
      </c>
      <c r="F1696" s="723"/>
      <c r="G1696" s="723"/>
      <c r="H1696" s="724" t="s">
        <v>2090</v>
      </c>
      <c r="I1696" s="725"/>
      <c r="J1696" s="162" t="str">
        <f>IFERROR(IF([1]K_Summary!$J$1681 = "", "", [1]K_Summary!$J$1681 ),"")</f>
        <v/>
      </c>
      <c r="K1696" s="163" t="str">
        <f>IFERROR(IF([1]K_Summary!$K$1681 = "", "", [1]K_Summary!$K$1681 ),"")</f>
        <v/>
      </c>
      <c r="L1696" s="163" t="str">
        <f>IFERROR(IF([1]K_Summary!$L$1681 = "", "", [1]K_Summary!$L$1681 ),"")</f>
        <v/>
      </c>
      <c r="M1696" s="163" t="str">
        <f>IFERROR(IF([1]K_Summary!$M$1681 = "", "", [1]K_Summary!$M$1681 ),"")</f>
        <v/>
      </c>
      <c r="N1696" s="164" t="str">
        <f>IFERROR(IF([1]K_Summary!$N$1681 = "", "", [1]K_Summary!$N$1681 ),"")</f>
        <v/>
      </c>
    </row>
    <row r="1697" spans="1:14" ht="15" hidden="1">
      <c r="A1697" s="719" t="s">
        <v>2289</v>
      </c>
      <c r="C1697" s="559"/>
      <c r="D1697" s="706"/>
      <c r="E1697" s="723" t="s">
        <v>1390</v>
      </c>
      <c r="F1697" s="723"/>
      <c r="G1697" s="723"/>
      <c r="H1697" s="724" t="s">
        <v>2090</v>
      </c>
      <c r="I1697" s="725"/>
      <c r="J1697" s="162" t="str">
        <f>IFERROR(IF([1]K_Summary!$J$1682 = "", "", [1]K_Summary!$J$1682 ),"")</f>
        <v/>
      </c>
      <c r="K1697" s="163" t="str">
        <f>IFERROR(IF([1]K_Summary!$K$1682 = "", "", [1]K_Summary!$K$1682 ),"")</f>
        <v/>
      </c>
      <c r="L1697" s="163" t="str">
        <f>IFERROR(IF([1]K_Summary!$L$1682 = "", "", [1]K_Summary!$L$1682 ),"")</f>
        <v/>
      </c>
      <c r="M1697" s="163" t="str">
        <f>IFERROR(IF([1]K_Summary!$M$1682 = "", "", [1]K_Summary!$M$1682 ),"")</f>
        <v/>
      </c>
      <c r="N1697" s="164" t="str">
        <f>IFERROR(IF([1]K_Summary!$N$1682 = "", "", [1]K_Summary!$N$1682 ),"")</f>
        <v/>
      </c>
    </row>
    <row r="1698" spans="1:14" ht="15" hidden="1">
      <c r="A1698" s="719" t="s">
        <v>2289</v>
      </c>
      <c r="C1698" s="559"/>
      <c r="D1698" s="706"/>
      <c r="E1698" s="723" t="s">
        <v>1389</v>
      </c>
      <c r="F1698" s="723"/>
      <c r="G1698" s="723"/>
      <c r="H1698" s="726" t="s">
        <v>1021</v>
      </c>
      <c r="I1698" s="725"/>
      <c r="J1698" s="165" t="str">
        <f>IFERROR(IF([1]K_Summary!$J$1683 = "", "", [1]K_Summary!$J$1683 ),"")</f>
        <v/>
      </c>
      <c r="K1698" s="166" t="str">
        <f>IFERROR(IF([1]K_Summary!$K$1683 = "", "", [1]K_Summary!$K$1683 ),"")</f>
        <v/>
      </c>
      <c r="L1698" s="166" t="str">
        <f>IFERROR(IF([1]K_Summary!$L$1683 = "", "", [1]K_Summary!$L$1683 ),"")</f>
        <v/>
      </c>
      <c r="M1698" s="166" t="str">
        <f>IFERROR(IF([1]K_Summary!$M$1683 = "", "", [1]K_Summary!$M$1683 ),"")</f>
        <v/>
      </c>
      <c r="N1698" s="167" t="str">
        <f>IFERROR(IF([1]K_Summary!$N$1683 = "", "", [1]K_Summary!$N$1683 ),"")</f>
        <v/>
      </c>
    </row>
    <row r="1699" spans="1:14" ht="15" hidden="1">
      <c r="A1699" s="719" t="s">
        <v>2289</v>
      </c>
      <c r="C1699" s="559"/>
      <c r="D1699" s="706"/>
      <c r="E1699" s="727" t="s">
        <v>1391</v>
      </c>
      <c r="F1699" s="727"/>
      <c r="G1699" s="727"/>
      <c r="H1699" s="728" t="s">
        <v>1021</v>
      </c>
      <c r="I1699" s="729"/>
      <c r="J1699" s="168" t="str">
        <f>IFERROR(IF([1]K_Summary!$J$1684 = "", "", [1]K_Summary!$J$1684 ),"")</f>
        <v/>
      </c>
      <c r="K1699" s="169" t="str">
        <f>IFERROR(IF([1]K_Summary!$K$1684 = "", "", [1]K_Summary!$K$1684 ),"")</f>
        <v/>
      </c>
      <c r="L1699" s="169" t="str">
        <f>IFERROR(IF([1]K_Summary!$L$1684 = "", "", [1]K_Summary!$L$1684 ),"")</f>
        <v/>
      </c>
      <c r="M1699" s="169" t="str">
        <f>IFERROR(IF([1]K_Summary!$M$1684 = "", "", [1]K_Summary!$M$1684 ),"")</f>
        <v/>
      </c>
      <c r="N1699" s="170" t="str">
        <f>IFERROR(IF([1]K_Summary!$N$1684 = "", "", [1]K_Summary!$N$1684 ),"")</f>
        <v/>
      </c>
    </row>
    <row r="1700" spans="1:14" ht="15">
      <c r="C1700" s="559"/>
      <c r="D1700" s="706"/>
      <c r="E1700" s="698" t="s">
        <v>1671</v>
      </c>
      <c r="F1700" s="698"/>
      <c r="G1700" s="698"/>
      <c r="H1700" s="730" t="s">
        <v>2090</v>
      </c>
      <c r="I1700" s="731"/>
      <c r="J1700" s="148" t="str">
        <f>IFERROR(IF([1]K_Summary!$J$1685 = "", "", [1]K_Summary!$J$1685 ),"")</f>
        <v/>
      </c>
      <c r="K1700" s="150" t="str">
        <f>IFERROR(IF([1]K_Summary!$K$1685 = "", "", [1]K_Summary!$K$1685 ),"")</f>
        <v/>
      </c>
      <c r="L1700" s="150" t="str">
        <f>IFERROR(IF([1]K_Summary!$L$1685 = "", "", [1]K_Summary!$L$1685 ),"")</f>
        <v/>
      </c>
      <c r="M1700" s="150" t="str">
        <f>IFERROR(IF([1]K_Summary!$M$1685 = "", "", [1]K_Summary!$M$1685 ),"")</f>
        <v/>
      </c>
      <c r="N1700" s="171" t="str">
        <f>IFERROR(IF([1]K_Summary!$N$1685 = "", "", [1]K_Summary!$N$1685 ),"")</f>
        <v/>
      </c>
    </row>
    <row r="1701" spans="1:14" ht="15">
      <c r="C1701" s="559"/>
      <c r="D1701" s="706"/>
      <c r="E1701" s="698" t="s">
        <v>1670</v>
      </c>
      <c r="F1701" s="698"/>
      <c r="G1701" s="698"/>
      <c r="H1701" s="730" t="s">
        <v>2090</v>
      </c>
      <c r="I1701" s="731"/>
      <c r="J1701" s="148" t="str">
        <f>IFERROR(IF([1]K_Summary!$J$1686 = "", "", [1]K_Summary!$J$1686 ),"")</f>
        <v/>
      </c>
      <c r="K1701" s="150" t="str">
        <f>IFERROR(IF([1]K_Summary!$K$1686 = "", "", [1]K_Summary!$K$1686 ),"")</f>
        <v/>
      </c>
      <c r="L1701" s="150" t="str">
        <f>IFERROR(IF([1]K_Summary!$L$1686 = "", "", [1]K_Summary!$L$1686 ),"")</f>
        <v/>
      </c>
      <c r="M1701" s="150" t="str">
        <f>IFERROR(IF([1]K_Summary!$M$1686 = "", "", [1]K_Summary!$M$1686 ),"")</f>
        <v/>
      </c>
      <c r="N1701" s="171" t="str">
        <f>IFERROR(IF([1]K_Summary!$N$1686 = "", "", [1]K_Summary!$N$1686 ),"")</f>
        <v/>
      </c>
    </row>
    <row r="1702" spans="1:14" ht="15">
      <c r="C1702" s="559"/>
      <c r="D1702" s="706"/>
      <c r="E1702" s="740" t="s">
        <v>2132</v>
      </c>
      <c r="F1702" s="740"/>
      <c r="G1702" s="740"/>
      <c r="H1702" s="741" t="s">
        <v>1021</v>
      </c>
      <c r="I1702" s="742"/>
      <c r="J1702" s="183" t="str">
        <f>IFERROR(IF([1]K_Summary!$J$1687 = "", "", [1]K_Summary!$J$1687 ),"")</f>
        <v/>
      </c>
      <c r="K1702" s="184" t="str">
        <f>IFERROR(IF([1]K_Summary!$K$1687 = "", "", [1]K_Summary!$K$1687 ),"")</f>
        <v/>
      </c>
      <c r="L1702" s="184" t="str">
        <f>IFERROR(IF([1]K_Summary!$L$1687 = "", "", [1]K_Summary!$L$1687 ),"")</f>
        <v/>
      </c>
      <c r="M1702" s="184" t="str">
        <f>IFERROR(IF([1]K_Summary!$M$1687 = "", "", [1]K_Summary!$M$1687 ),"")</f>
        <v/>
      </c>
      <c r="N1702" s="185" t="str">
        <f>IFERROR(IF([1]K_Summary!$N$1687 = "", "", [1]K_Summary!$N$1687 ),"")</f>
        <v/>
      </c>
    </row>
    <row r="1703" spans="1:14" ht="15">
      <c r="C1703" s="559"/>
      <c r="D1703" s="706"/>
      <c r="E1703" s="485"/>
      <c r="F1703" s="485"/>
      <c r="G1703" s="485"/>
      <c r="H1703" s="485"/>
      <c r="I1703" s="743"/>
      <c r="J1703" s="485"/>
      <c r="K1703" s="485"/>
      <c r="L1703" s="485"/>
      <c r="M1703" s="485"/>
      <c r="N1703" s="744"/>
    </row>
    <row r="1704" spans="1:14" ht="15">
      <c r="C1704" s="559"/>
      <c r="D1704" s="706"/>
      <c r="E1704" s="707" t="s">
        <v>1755</v>
      </c>
      <c r="F1704" s="637"/>
      <c r="G1704" s="637"/>
      <c r="H1704" s="663" t="s">
        <v>884</v>
      </c>
      <c r="I1704" s="708"/>
      <c r="J1704" s="709">
        <v>2021</v>
      </c>
      <c r="K1704" s="671">
        <v>2022</v>
      </c>
      <c r="L1704" s="671">
        <v>2023</v>
      </c>
      <c r="M1704" s="671">
        <v>2024</v>
      </c>
      <c r="N1704" s="710">
        <v>2025</v>
      </c>
    </row>
    <row r="1705" spans="1:14" ht="15" hidden="1">
      <c r="A1705" s="719" t="s">
        <v>2289</v>
      </c>
      <c r="C1705" s="559"/>
      <c r="D1705" s="706"/>
      <c r="E1705" s="698" t="s">
        <v>1714</v>
      </c>
      <c r="F1705" s="698"/>
      <c r="G1705" s="698"/>
      <c r="H1705" s="63" t="str">
        <f>IFERROR(IF([1]K_Summary!$H$1690 = "", "", [1]K_Summary!$H$1690 ),"")</f>
        <v>tonnes</v>
      </c>
      <c r="I1705" s="698"/>
      <c r="J1705" s="157" t="str">
        <f>IFERROR(IF([1]K_Summary!$J$1690 = "", "", [1]K_Summary!$J$1690 ),"")</f>
        <v/>
      </c>
      <c r="K1705" s="147" t="str">
        <f>IFERROR(IF([1]K_Summary!$K$1690 = "", "", [1]K_Summary!$K$1690 ),"")</f>
        <v/>
      </c>
      <c r="L1705" s="147" t="str">
        <f>IFERROR(IF([1]K_Summary!$L$1690 = "", "", [1]K_Summary!$L$1690 ),"")</f>
        <v/>
      </c>
      <c r="M1705" s="147" t="str">
        <f>IFERROR(IF([1]K_Summary!$M$1690 = "", "", [1]K_Summary!$M$1690 ),"")</f>
        <v/>
      </c>
      <c r="N1705" s="158" t="str">
        <f>IFERROR(IF([1]K_Summary!$N$1690 = "", "", [1]K_Summary!$N$1690 ),"")</f>
        <v/>
      </c>
    </row>
    <row r="1706" spans="1:14" ht="15" hidden="1">
      <c r="A1706" s="719" t="s">
        <v>2289</v>
      </c>
      <c r="C1706" s="559"/>
      <c r="D1706" s="706"/>
      <c r="E1706" s="720" t="s">
        <v>303</v>
      </c>
      <c r="F1706" s="720"/>
      <c r="G1706" s="720"/>
      <c r="H1706" s="721" t="s">
        <v>2090</v>
      </c>
      <c r="I1706" s="722"/>
      <c r="J1706" s="159" t="str">
        <f>IFERROR(IF([1]K_Summary!$J$1691 = "", "", [1]K_Summary!$J$1691 ),"")</f>
        <v/>
      </c>
      <c r="K1706" s="160" t="str">
        <f>IFERROR(IF([1]K_Summary!$K$1691 = "", "", [1]K_Summary!$K$1691 ),"")</f>
        <v/>
      </c>
      <c r="L1706" s="160" t="str">
        <f>IFERROR(IF([1]K_Summary!$L$1691 = "", "", [1]K_Summary!$L$1691 ),"")</f>
        <v/>
      </c>
      <c r="M1706" s="160" t="str">
        <f>IFERROR(IF([1]K_Summary!$M$1691 = "", "", [1]K_Summary!$M$1691 ),"")</f>
        <v/>
      </c>
      <c r="N1706" s="161" t="str">
        <f>IFERROR(IF([1]K_Summary!$N$1691 = "", "", [1]K_Summary!$N$1691 ),"")</f>
        <v/>
      </c>
    </row>
    <row r="1707" spans="1:14" ht="15" hidden="1">
      <c r="A1707" s="719" t="s">
        <v>2289</v>
      </c>
      <c r="C1707" s="559"/>
      <c r="D1707" s="706"/>
      <c r="E1707" s="745" t="s">
        <v>1422</v>
      </c>
      <c r="F1707" s="745"/>
      <c r="G1707" s="745"/>
      <c r="H1707" s="746" t="s">
        <v>2090</v>
      </c>
      <c r="I1707" s="747"/>
      <c r="J1707" s="186" t="str">
        <f>IFERROR(IF([1]K_Summary!$J$1692 = "", "", [1]K_Summary!$J$1692 ),"")</f>
        <v/>
      </c>
      <c r="K1707" s="187" t="str">
        <f>IFERROR(IF([1]K_Summary!$K$1692 = "", "", [1]K_Summary!$K$1692 ),"")</f>
        <v/>
      </c>
      <c r="L1707" s="187" t="str">
        <f>IFERROR(IF([1]K_Summary!$L$1692 = "", "", [1]K_Summary!$L$1692 ),"")</f>
        <v/>
      </c>
      <c r="M1707" s="187" t="str">
        <f>IFERROR(IF([1]K_Summary!$M$1692 = "", "", [1]K_Summary!$M$1692 ),"")</f>
        <v/>
      </c>
      <c r="N1707" s="188" t="str">
        <f>IFERROR(IF([1]K_Summary!$N$1692 = "", "", [1]K_Summary!$N$1692 ),"")</f>
        <v/>
      </c>
    </row>
    <row r="1708" spans="1:14" ht="15">
      <c r="C1708" s="559"/>
      <c r="D1708" s="706"/>
      <c r="E1708" s="720" t="s">
        <v>1691</v>
      </c>
      <c r="F1708" s="720"/>
      <c r="G1708" s="720"/>
      <c r="H1708" s="721" t="s">
        <v>2090</v>
      </c>
      <c r="I1708" s="722"/>
      <c r="J1708" s="195" t="str">
        <f>IFERROR(IF([1]K_Summary!$J$1693 = "", "", [1]K_Summary!$J$1693 ),"")</f>
        <v/>
      </c>
      <c r="K1708" s="196" t="str">
        <f>IFERROR(IF([1]K_Summary!$K$1693 = "", "", [1]K_Summary!$K$1693 ),"")</f>
        <v/>
      </c>
      <c r="L1708" s="196" t="str">
        <f>IFERROR(IF([1]K_Summary!$L$1693 = "", "", [1]K_Summary!$L$1693 ),"")</f>
        <v/>
      </c>
      <c r="M1708" s="196" t="str">
        <f>IFERROR(IF([1]K_Summary!$M$1693 = "", "", [1]K_Summary!$M$1693 ),"")</f>
        <v/>
      </c>
      <c r="N1708" s="197" t="str">
        <f>IFERROR(IF([1]K_Summary!$N$1693 = "", "", [1]K_Summary!$N$1693 ),"")</f>
        <v/>
      </c>
    </row>
    <row r="1709" spans="1:14" ht="15">
      <c r="C1709" s="559"/>
      <c r="D1709" s="706"/>
      <c r="E1709" s="723" t="s">
        <v>1648</v>
      </c>
      <c r="F1709" s="723"/>
      <c r="G1709" s="723"/>
      <c r="H1709" s="751" t="s">
        <v>1021</v>
      </c>
      <c r="I1709" s="735"/>
      <c r="J1709" s="174" t="str">
        <f>IFERROR(IF([1]K_Summary!$J$1694 = "", "", [1]K_Summary!$J$1694 ),"")</f>
        <v/>
      </c>
      <c r="K1709" s="175" t="str">
        <f>IFERROR(IF([1]K_Summary!$K$1694 = "", "", [1]K_Summary!$K$1694 ),"")</f>
        <v/>
      </c>
      <c r="L1709" s="175" t="str">
        <f>IFERROR(IF([1]K_Summary!$L$1694 = "", "", [1]K_Summary!$L$1694 ),"")</f>
        <v/>
      </c>
      <c r="M1709" s="175" t="str">
        <f>IFERROR(IF([1]K_Summary!$M$1694 = "", "", [1]K_Summary!$M$1694 ),"")</f>
        <v/>
      </c>
      <c r="N1709" s="176" t="str">
        <f>IFERROR(IF([1]K_Summary!$N$1694 = "", "", [1]K_Summary!$N$1694 ),"")</f>
        <v/>
      </c>
    </row>
    <row r="1710" spans="1:14" ht="15">
      <c r="C1710" s="559"/>
      <c r="D1710" s="706"/>
      <c r="E1710" s="736" t="s">
        <v>1854</v>
      </c>
      <c r="F1710" s="736"/>
      <c r="G1710" s="736"/>
      <c r="H1710" s="738" t="s">
        <v>1021</v>
      </c>
      <c r="I1710" s="738"/>
      <c r="J1710" s="177" t="str">
        <f>IFERROR(IF([1]K_Summary!$J$1695 = "", "", [1]K_Summary!$J$1695 ),"")</f>
        <v/>
      </c>
      <c r="K1710" s="178" t="str">
        <f>IFERROR(IF([1]K_Summary!$K$1695 = "", "", [1]K_Summary!$K$1695 ),"")</f>
        <v/>
      </c>
      <c r="L1710" s="178" t="str">
        <f>IFERROR(IF([1]K_Summary!$L$1695 = "", "", [1]K_Summary!$L$1695 ),"")</f>
        <v/>
      </c>
      <c r="M1710" s="178" t="str">
        <f>IFERROR(IF([1]K_Summary!$M$1695 = "", "", [1]K_Summary!$M$1695 ),"")</f>
        <v/>
      </c>
      <c r="N1710" s="179" t="str">
        <f>IFERROR(IF([1]K_Summary!$N$1695 = "", "", [1]K_Summary!$N$1695 ),"")</f>
        <v/>
      </c>
    </row>
    <row r="1711" spans="1:14" ht="15">
      <c r="C1711" s="559"/>
      <c r="D1711" s="706"/>
      <c r="E1711" s="727" t="s">
        <v>1689</v>
      </c>
      <c r="F1711" s="727"/>
      <c r="G1711" s="727"/>
      <c r="H1711" s="728" t="s">
        <v>2090</v>
      </c>
      <c r="I1711" s="729"/>
      <c r="J1711" s="198" t="str">
        <f>IFERROR(IF([1]K_Summary!$J$1696 = "", "", [1]K_Summary!$J$1696 ),"")</f>
        <v/>
      </c>
      <c r="K1711" s="199" t="str">
        <f>IFERROR(IF([1]K_Summary!$K$1696 = "", "", [1]K_Summary!$K$1696 ),"")</f>
        <v/>
      </c>
      <c r="L1711" s="199" t="str">
        <f>IFERROR(IF([1]K_Summary!$L$1696 = "", "", [1]K_Summary!$L$1696 ),"")</f>
        <v/>
      </c>
      <c r="M1711" s="199" t="str">
        <f>IFERROR(IF([1]K_Summary!$M$1696 = "", "", [1]K_Summary!$M$1696 ),"")</f>
        <v/>
      </c>
      <c r="N1711" s="200" t="str">
        <f>IFERROR(IF([1]K_Summary!$N$1696 = "", "", [1]K_Summary!$N$1696 ),"")</f>
        <v/>
      </c>
    </row>
    <row r="1712" spans="1:14" ht="15" hidden="1">
      <c r="A1712" s="719" t="s">
        <v>2289</v>
      </c>
      <c r="C1712" s="559"/>
      <c r="D1712" s="706"/>
      <c r="E1712" s="645" t="s">
        <v>1389</v>
      </c>
      <c r="F1712" s="645"/>
      <c r="G1712" s="645"/>
      <c r="H1712" s="752" t="s">
        <v>1021</v>
      </c>
      <c r="I1712" s="753"/>
      <c r="J1712" s="201" t="str">
        <f>IFERROR(IF([1]K_Summary!$J$1697 = "", "", [1]K_Summary!$J$1697 ),"")</f>
        <v/>
      </c>
      <c r="K1712" s="202" t="str">
        <f>IFERROR(IF([1]K_Summary!$K$1697 = "", "", [1]K_Summary!$K$1697 ),"")</f>
        <v/>
      </c>
      <c r="L1712" s="202" t="str">
        <f>IFERROR(IF([1]K_Summary!$L$1697 = "", "", [1]K_Summary!$L$1697 ),"")</f>
        <v/>
      </c>
      <c r="M1712" s="202" t="str">
        <f>IFERROR(IF([1]K_Summary!$M$1697 = "", "", [1]K_Summary!$M$1697 ),"")</f>
        <v/>
      </c>
      <c r="N1712" s="203" t="str">
        <f>IFERROR(IF([1]K_Summary!$N$1697 = "", "", [1]K_Summary!$N$1697 ),"")</f>
        <v/>
      </c>
    </row>
    <row r="1713" spans="1:14" ht="15" hidden="1">
      <c r="A1713" s="719" t="s">
        <v>2289</v>
      </c>
      <c r="C1713" s="559"/>
      <c r="D1713" s="706"/>
      <c r="E1713" s="727" t="s">
        <v>1391</v>
      </c>
      <c r="F1713" s="727"/>
      <c r="G1713" s="727"/>
      <c r="H1713" s="728" t="s">
        <v>1021</v>
      </c>
      <c r="I1713" s="729"/>
      <c r="J1713" s="168" t="str">
        <f>IFERROR(IF([1]K_Summary!$J$1698 = "", "", [1]K_Summary!$J$1698 ),"")</f>
        <v/>
      </c>
      <c r="K1713" s="169" t="str">
        <f>IFERROR(IF([1]K_Summary!$K$1698 = "", "", [1]K_Summary!$K$1698 ),"")</f>
        <v/>
      </c>
      <c r="L1713" s="169" t="str">
        <f>IFERROR(IF([1]K_Summary!$L$1698 = "", "", [1]K_Summary!$L$1698 ),"")</f>
        <v/>
      </c>
      <c r="M1713" s="169" t="str">
        <f>IFERROR(IF([1]K_Summary!$M$1698 = "", "", [1]K_Summary!$M$1698 ),"")</f>
        <v/>
      </c>
      <c r="N1713" s="170" t="str">
        <f>IFERROR(IF([1]K_Summary!$N$1698 = "", "", [1]K_Summary!$N$1698 ),"")</f>
        <v/>
      </c>
    </row>
    <row r="1714" spans="1:14" ht="15">
      <c r="C1714" s="559"/>
      <c r="D1714" s="706"/>
      <c r="E1714" s="698" t="s">
        <v>1671</v>
      </c>
      <c r="F1714" s="698"/>
      <c r="G1714" s="698"/>
      <c r="H1714" s="730" t="s">
        <v>2090</v>
      </c>
      <c r="I1714" s="731"/>
      <c r="J1714" s="148" t="str">
        <f>IFERROR(IF([1]K_Summary!$J$1699 = "", "", [1]K_Summary!$J$1699 ),"")</f>
        <v/>
      </c>
      <c r="K1714" s="150" t="str">
        <f>IFERROR(IF([1]K_Summary!$K$1699 = "", "", [1]K_Summary!$K$1699 ),"")</f>
        <v/>
      </c>
      <c r="L1714" s="150" t="str">
        <f>IFERROR(IF([1]K_Summary!$L$1699 = "", "", [1]K_Summary!$L$1699 ),"")</f>
        <v/>
      </c>
      <c r="M1714" s="150" t="str">
        <f>IFERROR(IF([1]K_Summary!$M$1699 = "", "", [1]K_Summary!$M$1699 ),"")</f>
        <v/>
      </c>
      <c r="N1714" s="171" t="str">
        <f>IFERROR(IF([1]K_Summary!$N$1699 = "", "", [1]K_Summary!$N$1699 ),"")</f>
        <v/>
      </c>
    </row>
    <row r="1715" spans="1:14" ht="15">
      <c r="C1715" s="559"/>
      <c r="D1715" s="706"/>
      <c r="E1715" s="698" t="s">
        <v>1670</v>
      </c>
      <c r="F1715" s="698"/>
      <c r="G1715" s="698"/>
      <c r="H1715" s="730" t="s">
        <v>2090</v>
      </c>
      <c r="I1715" s="731"/>
      <c r="J1715" s="148" t="str">
        <f>IFERROR(IF([1]K_Summary!$J$1700 = "", "", [1]K_Summary!$J$1700 ),"")</f>
        <v/>
      </c>
      <c r="K1715" s="150" t="str">
        <f>IFERROR(IF([1]K_Summary!$K$1700 = "", "", [1]K_Summary!$K$1700 ),"")</f>
        <v/>
      </c>
      <c r="L1715" s="150" t="str">
        <f>IFERROR(IF([1]K_Summary!$L$1700 = "", "", [1]K_Summary!$L$1700 ),"")</f>
        <v/>
      </c>
      <c r="M1715" s="150" t="str">
        <f>IFERROR(IF([1]K_Summary!$M$1700 = "", "", [1]K_Summary!$M$1700 ),"")</f>
        <v/>
      </c>
      <c r="N1715" s="171" t="str">
        <f>IFERROR(IF([1]K_Summary!$N$1700 = "", "", [1]K_Summary!$N$1700 ),"")</f>
        <v/>
      </c>
    </row>
    <row r="1716" spans="1:14" ht="15">
      <c r="C1716" s="559"/>
      <c r="D1716" s="706"/>
      <c r="E1716" s="740" t="s">
        <v>2133</v>
      </c>
      <c r="F1716" s="698"/>
      <c r="G1716" s="698"/>
      <c r="H1716" s="741" t="s">
        <v>1021</v>
      </c>
      <c r="I1716" s="742"/>
      <c r="J1716" s="183" t="str">
        <f>IFERROR(IF([1]K_Summary!$J$1701 = "", "", [1]K_Summary!$J$1701 ),"")</f>
        <v/>
      </c>
      <c r="K1716" s="184" t="str">
        <f>IFERROR(IF([1]K_Summary!$K$1701 = "", "", [1]K_Summary!$K$1701 ),"")</f>
        <v/>
      </c>
      <c r="L1716" s="184" t="str">
        <f>IFERROR(IF([1]K_Summary!$L$1701 = "", "", [1]K_Summary!$L$1701 ),"")</f>
        <v/>
      </c>
      <c r="M1716" s="184" t="str">
        <f>IFERROR(IF([1]K_Summary!$M$1701 = "", "", [1]K_Summary!$M$1701 ),"")</f>
        <v/>
      </c>
      <c r="N1716" s="185" t="str">
        <f>IFERROR(IF([1]K_Summary!$N$1701 = "", "", [1]K_Summary!$N$1701 ),"")</f>
        <v/>
      </c>
    </row>
    <row r="1717" spans="1:14" ht="15">
      <c r="C1717" s="559"/>
      <c r="D1717" s="706"/>
      <c r="E1717" s="485"/>
      <c r="F1717" s="485"/>
      <c r="G1717" s="485"/>
      <c r="H1717" s="485"/>
      <c r="I1717" s="743"/>
      <c r="J1717" s="485"/>
      <c r="K1717" s="485"/>
      <c r="L1717" s="485"/>
      <c r="M1717" s="485"/>
      <c r="N1717" s="744"/>
    </row>
    <row r="1718" spans="1:14" ht="15">
      <c r="C1718" s="559"/>
      <c r="D1718" s="706"/>
      <c r="E1718" s="707" t="s">
        <v>1756</v>
      </c>
      <c r="F1718" s="637"/>
      <c r="G1718" s="637"/>
      <c r="H1718" s="663" t="s">
        <v>884</v>
      </c>
      <c r="I1718" s="708"/>
      <c r="J1718" s="709">
        <v>2021</v>
      </c>
      <c r="K1718" s="671">
        <v>2022</v>
      </c>
      <c r="L1718" s="671">
        <v>2023</v>
      </c>
      <c r="M1718" s="671">
        <v>2024</v>
      </c>
      <c r="N1718" s="710">
        <v>2025</v>
      </c>
    </row>
    <row r="1719" spans="1:14" ht="15" hidden="1">
      <c r="A1719" s="719" t="s">
        <v>2289</v>
      </c>
      <c r="C1719" s="559"/>
      <c r="D1719" s="706"/>
      <c r="E1719" s="698" t="s">
        <v>1714</v>
      </c>
      <c r="F1719" s="698"/>
      <c r="G1719" s="698"/>
      <c r="H1719" s="63" t="str">
        <f>IFERROR(IF([1]K_Summary!$H$1704 = "", "", [1]K_Summary!$H$1704 ),"")</f>
        <v>tonnes</v>
      </c>
      <c r="I1719" s="698"/>
      <c r="J1719" s="157" t="str">
        <f>IFERROR(IF([1]K_Summary!$J$1704 = "", "", [1]K_Summary!$J$1704 ),"")</f>
        <v/>
      </c>
      <c r="K1719" s="147" t="str">
        <f>IFERROR(IF([1]K_Summary!$K$1704 = "", "", [1]K_Summary!$K$1704 ),"")</f>
        <v/>
      </c>
      <c r="L1719" s="147" t="str">
        <f>IFERROR(IF([1]K_Summary!$L$1704 = "", "", [1]K_Summary!$L$1704 ),"")</f>
        <v/>
      </c>
      <c r="M1719" s="147" t="str">
        <f>IFERROR(IF([1]K_Summary!$M$1704 = "", "", [1]K_Summary!$M$1704 ),"")</f>
        <v/>
      </c>
      <c r="N1719" s="158" t="str">
        <f>IFERROR(IF([1]K_Summary!$N$1704 = "", "", [1]K_Summary!$N$1704 ),"")</f>
        <v/>
      </c>
    </row>
    <row r="1720" spans="1:14" ht="15" hidden="1">
      <c r="A1720" s="719" t="s">
        <v>2289</v>
      </c>
      <c r="C1720" s="559"/>
      <c r="D1720" s="706"/>
      <c r="E1720" s="720" t="s">
        <v>303</v>
      </c>
      <c r="F1720" s="720"/>
      <c r="G1720" s="720"/>
      <c r="H1720" s="721" t="s">
        <v>2090</v>
      </c>
      <c r="I1720" s="722"/>
      <c r="J1720" s="159" t="str">
        <f>IFERROR(IF([1]K_Summary!$J$1705 = "", "", [1]K_Summary!$J$1705 ),"")</f>
        <v/>
      </c>
      <c r="K1720" s="160" t="str">
        <f>IFERROR(IF([1]K_Summary!$K$1705 = "", "", [1]K_Summary!$K$1705 ),"")</f>
        <v/>
      </c>
      <c r="L1720" s="160" t="str">
        <f>IFERROR(IF([1]K_Summary!$L$1705 = "", "", [1]K_Summary!$L$1705 ),"")</f>
        <v/>
      </c>
      <c r="M1720" s="160" t="str">
        <f>IFERROR(IF([1]K_Summary!$M$1705 = "", "", [1]K_Summary!$M$1705 ),"")</f>
        <v/>
      </c>
      <c r="N1720" s="161" t="str">
        <f>IFERROR(IF([1]K_Summary!$N$1705 = "", "", [1]K_Summary!$N$1705 ),"")</f>
        <v/>
      </c>
    </row>
    <row r="1721" spans="1:14" ht="15" hidden="1">
      <c r="A1721" s="719" t="s">
        <v>2289</v>
      </c>
      <c r="C1721" s="559"/>
      <c r="D1721" s="706"/>
      <c r="E1721" s="723" t="s">
        <v>1422</v>
      </c>
      <c r="F1721" s="723"/>
      <c r="G1721" s="723"/>
      <c r="H1721" s="724" t="s">
        <v>2090</v>
      </c>
      <c r="I1721" s="725"/>
      <c r="J1721" s="162" t="str">
        <f>IFERROR(IF([1]K_Summary!$J$1706 = "", "", [1]K_Summary!$J$1706 ),"")</f>
        <v/>
      </c>
      <c r="K1721" s="163" t="str">
        <f>IFERROR(IF([1]K_Summary!$K$1706 = "", "", [1]K_Summary!$K$1706 ),"")</f>
        <v/>
      </c>
      <c r="L1721" s="163" t="str">
        <f>IFERROR(IF([1]K_Summary!$L$1706 = "", "", [1]K_Summary!$L$1706 ),"")</f>
        <v/>
      </c>
      <c r="M1721" s="163" t="str">
        <f>IFERROR(IF([1]K_Summary!$M$1706 = "", "", [1]K_Summary!$M$1706 ),"")</f>
        <v/>
      </c>
      <c r="N1721" s="164" t="str">
        <f>IFERROR(IF([1]K_Summary!$N$1706 = "", "", [1]K_Summary!$N$1706 ),"")</f>
        <v/>
      </c>
    </row>
    <row r="1722" spans="1:14" ht="15" hidden="1">
      <c r="A1722" s="719" t="s">
        <v>2289</v>
      </c>
      <c r="C1722" s="559"/>
      <c r="D1722" s="706"/>
      <c r="E1722" s="723" t="s">
        <v>1390</v>
      </c>
      <c r="F1722" s="723"/>
      <c r="G1722" s="723"/>
      <c r="H1722" s="724" t="s">
        <v>2090</v>
      </c>
      <c r="I1722" s="725"/>
      <c r="J1722" s="162" t="str">
        <f>IFERROR(IF([1]K_Summary!$J$1707 = "", "", [1]K_Summary!$J$1707 ),"")</f>
        <v/>
      </c>
      <c r="K1722" s="163" t="str">
        <f>IFERROR(IF([1]K_Summary!$K$1707 = "", "", [1]K_Summary!$K$1707 ),"")</f>
        <v/>
      </c>
      <c r="L1722" s="163" t="str">
        <f>IFERROR(IF([1]K_Summary!$L$1707 = "", "", [1]K_Summary!$L$1707 ),"")</f>
        <v/>
      </c>
      <c r="M1722" s="163" t="str">
        <f>IFERROR(IF([1]K_Summary!$M$1707 = "", "", [1]K_Summary!$M$1707 ),"")</f>
        <v/>
      </c>
      <c r="N1722" s="164" t="str">
        <f>IFERROR(IF([1]K_Summary!$N$1707 = "", "", [1]K_Summary!$N$1707 ),"")</f>
        <v/>
      </c>
    </row>
    <row r="1723" spans="1:14" ht="15" hidden="1">
      <c r="A1723" s="719" t="s">
        <v>2289</v>
      </c>
      <c r="C1723" s="559"/>
      <c r="D1723" s="706"/>
      <c r="E1723" s="745" t="s">
        <v>1389</v>
      </c>
      <c r="F1723" s="745"/>
      <c r="G1723" s="745"/>
      <c r="H1723" s="754" t="s">
        <v>1021</v>
      </c>
      <c r="I1723" s="747"/>
      <c r="J1723" s="204" t="str">
        <f>IFERROR(IF([1]K_Summary!$J$1708 = "", "", [1]K_Summary!$J$1708 ),"")</f>
        <v/>
      </c>
      <c r="K1723" s="205" t="str">
        <f>IFERROR(IF([1]K_Summary!$K$1708 = "", "", [1]K_Summary!$K$1708 ),"")</f>
        <v/>
      </c>
      <c r="L1723" s="205" t="str">
        <f>IFERROR(IF([1]K_Summary!$L$1708 = "", "", [1]K_Summary!$L$1708 ),"")</f>
        <v/>
      </c>
      <c r="M1723" s="205" t="str">
        <f>IFERROR(IF([1]K_Summary!$M$1708 = "", "", [1]K_Summary!$M$1708 ),"")</f>
        <v/>
      </c>
      <c r="N1723" s="206" t="str">
        <f>IFERROR(IF([1]K_Summary!$N$1708 = "", "", [1]K_Summary!$N$1708 ),"")</f>
        <v/>
      </c>
    </row>
    <row r="1724" spans="1:14" ht="15">
      <c r="C1724" s="559"/>
      <c r="D1724" s="706"/>
      <c r="E1724" s="720" t="s">
        <v>1691</v>
      </c>
      <c r="F1724" s="720"/>
      <c r="G1724" s="720"/>
      <c r="H1724" s="748" t="s">
        <v>1021</v>
      </c>
      <c r="I1724" s="722"/>
      <c r="J1724" s="189" t="str">
        <f>IFERROR(IF([1]K_Summary!$J$1709 = "", "", [1]K_Summary!$J$1709 ),"")</f>
        <v/>
      </c>
      <c r="K1724" s="190" t="str">
        <f>IFERROR(IF([1]K_Summary!$K$1709 = "", "", [1]K_Summary!$K$1709 ),"")</f>
        <v/>
      </c>
      <c r="L1724" s="190" t="str">
        <f>IFERROR(IF([1]K_Summary!$L$1709 = "", "", [1]K_Summary!$L$1709 ),"")</f>
        <v/>
      </c>
      <c r="M1724" s="190" t="str">
        <f>IFERROR(IF([1]K_Summary!$M$1709 = "", "", [1]K_Summary!$M$1709 ),"")</f>
        <v/>
      </c>
      <c r="N1724" s="191" t="str">
        <f>IFERROR(IF([1]K_Summary!$N$1709 = "", "", [1]K_Summary!$N$1709 ),"")</f>
        <v/>
      </c>
    </row>
    <row r="1725" spans="1:14" ht="15">
      <c r="C1725" s="559"/>
      <c r="D1725" s="706"/>
      <c r="E1725" s="723" t="s">
        <v>1648</v>
      </c>
      <c r="F1725" s="723"/>
      <c r="G1725" s="723"/>
      <c r="H1725" s="751" t="s">
        <v>1021</v>
      </c>
      <c r="I1725" s="735"/>
      <c r="J1725" s="174" t="str">
        <f>IFERROR(IF([1]K_Summary!$J$1710 = "", "", [1]K_Summary!$J$1710 ),"")</f>
        <v/>
      </c>
      <c r="K1725" s="175" t="str">
        <f>IFERROR(IF([1]K_Summary!$K$1710 = "", "", [1]K_Summary!$K$1710 ),"")</f>
        <v/>
      </c>
      <c r="L1725" s="175" t="str">
        <f>IFERROR(IF([1]K_Summary!$L$1710 = "", "", [1]K_Summary!$L$1710 ),"")</f>
        <v/>
      </c>
      <c r="M1725" s="175" t="str">
        <f>IFERROR(IF([1]K_Summary!$M$1710 = "", "", [1]K_Summary!$M$1710 ),"")</f>
        <v/>
      </c>
      <c r="N1725" s="176" t="str">
        <f>IFERROR(IF([1]K_Summary!$N$1710 = "", "", [1]K_Summary!$N$1710 ),"")</f>
        <v/>
      </c>
    </row>
    <row r="1726" spans="1:14" ht="15">
      <c r="C1726" s="559"/>
      <c r="D1726" s="706"/>
      <c r="E1726" s="736" t="s">
        <v>1855</v>
      </c>
      <c r="F1726" s="736"/>
      <c r="G1726" s="736"/>
      <c r="H1726" s="738" t="s">
        <v>1021</v>
      </c>
      <c r="I1726" s="738"/>
      <c r="J1726" s="177" t="str">
        <f>IFERROR(IF([1]K_Summary!$J$1711 = "", "", [1]K_Summary!$J$1711 ),"")</f>
        <v/>
      </c>
      <c r="K1726" s="178" t="str">
        <f>IFERROR(IF([1]K_Summary!$K$1711 = "", "", [1]K_Summary!$K$1711 ),"")</f>
        <v/>
      </c>
      <c r="L1726" s="178" t="str">
        <f>IFERROR(IF([1]K_Summary!$L$1711 = "", "", [1]K_Summary!$L$1711 ),"")</f>
        <v/>
      </c>
      <c r="M1726" s="178" t="str">
        <f>IFERROR(IF([1]K_Summary!$M$1711 = "", "", [1]K_Summary!$M$1711 ),"")</f>
        <v/>
      </c>
      <c r="N1726" s="179" t="str">
        <f>IFERROR(IF([1]K_Summary!$N$1711 = "", "", [1]K_Summary!$N$1711 ),"")</f>
        <v/>
      </c>
    </row>
    <row r="1727" spans="1:14" ht="15">
      <c r="C1727" s="559"/>
      <c r="D1727" s="706"/>
      <c r="E1727" s="727" t="s">
        <v>1689</v>
      </c>
      <c r="F1727" s="727"/>
      <c r="G1727" s="727"/>
      <c r="H1727" s="728" t="s">
        <v>1021</v>
      </c>
      <c r="I1727" s="729"/>
      <c r="J1727" s="192" t="str">
        <f>IFERROR(IF([1]K_Summary!$J$1712 = "", "", [1]K_Summary!$J$1712 ),"")</f>
        <v/>
      </c>
      <c r="K1727" s="193" t="str">
        <f>IFERROR(IF([1]K_Summary!$K$1712 = "", "", [1]K_Summary!$K$1712 ),"")</f>
        <v/>
      </c>
      <c r="L1727" s="193" t="str">
        <f>IFERROR(IF([1]K_Summary!$L$1712 = "", "", [1]K_Summary!$L$1712 ),"")</f>
        <v/>
      </c>
      <c r="M1727" s="193" t="str">
        <f>IFERROR(IF([1]K_Summary!$M$1712 = "", "", [1]K_Summary!$M$1712 ),"")</f>
        <v/>
      </c>
      <c r="N1727" s="194" t="str">
        <f>IFERROR(IF([1]K_Summary!$N$1712 = "", "", [1]K_Summary!$N$1712 ),"")</f>
        <v/>
      </c>
    </row>
    <row r="1728" spans="1:14" ht="15">
      <c r="C1728" s="559"/>
      <c r="D1728" s="706"/>
      <c r="E1728" s="698" t="s">
        <v>1671</v>
      </c>
      <c r="F1728" s="698"/>
      <c r="G1728" s="698"/>
      <c r="H1728" s="730" t="s">
        <v>2090</v>
      </c>
      <c r="I1728" s="731"/>
      <c r="J1728" s="148" t="str">
        <f>IFERROR(IF([1]K_Summary!$J$1713 = "", "", [1]K_Summary!$J$1713 ),"")</f>
        <v/>
      </c>
      <c r="K1728" s="150" t="str">
        <f>IFERROR(IF([1]K_Summary!$K$1713 = "", "", [1]K_Summary!$K$1713 ),"")</f>
        <v/>
      </c>
      <c r="L1728" s="150" t="str">
        <f>IFERROR(IF([1]K_Summary!$L$1713 = "", "", [1]K_Summary!$L$1713 ),"")</f>
        <v/>
      </c>
      <c r="M1728" s="150" t="str">
        <f>IFERROR(IF([1]K_Summary!$M$1713 = "", "", [1]K_Summary!$M$1713 ),"")</f>
        <v/>
      </c>
      <c r="N1728" s="171" t="str">
        <f>IFERROR(IF([1]K_Summary!$N$1713 = "", "", [1]K_Summary!$N$1713 ),"")</f>
        <v/>
      </c>
    </row>
    <row r="1729" spans="1:14" ht="15">
      <c r="C1729" s="559"/>
      <c r="D1729" s="706"/>
      <c r="E1729" s="698" t="s">
        <v>1670</v>
      </c>
      <c r="F1729" s="698"/>
      <c r="G1729" s="698"/>
      <c r="H1729" s="730" t="s">
        <v>2090</v>
      </c>
      <c r="I1729" s="731"/>
      <c r="J1729" s="148" t="str">
        <f>IFERROR(IF([1]K_Summary!$J$1714 = "", "", [1]K_Summary!$J$1714 ),"")</f>
        <v/>
      </c>
      <c r="K1729" s="150" t="str">
        <f>IFERROR(IF([1]K_Summary!$K$1714 = "", "", [1]K_Summary!$K$1714 ),"")</f>
        <v/>
      </c>
      <c r="L1729" s="150" t="str">
        <f>IFERROR(IF([1]K_Summary!$L$1714 = "", "", [1]K_Summary!$L$1714 ),"")</f>
        <v/>
      </c>
      <c r="M1729" s="150" t="str">
        <f>IFERROR(IF([1]K_Summary!$M$1714 = "", "", [1]K_Summary!$M$1714 ),"")</f>
        <v/>
      </c>
      <c r="N1729" s="171" t="str">
        <f>IFERROR(IF([1]K_Summary!$N$1714 = "", "", [1]K_Summary!$N$1714 ),"")</f>
        <v/>
      </c>
    </row>
    <row r="1730" spans="1:14" ht="15">
      <c r="C1730" s="559"/>
      <c r="D1730" s="706"/>
      <c r="E1730" s="740" t="s">
        <v>2134</v>
      </c>
      <c r="F1730" s="698"/>
      <c r="G1730" s="698"/>
      <c r="H1730" s="741" t="s">
        <v>1021</v>
      </c>
      <c r="I1730" s="742"/>
      <c r="J1730" s="183" t="str">
        <f>IFERROR(IF([1]K_Summary!$J$1715 = "", "", [1]K_Summary!$J$1715 ),"")</f>
        <v/>
      </c>
      <c r="K1730" s="184" t="str">
        <f>IFERROR(IF([1]K_Summary!$K$1715 = "", "", [1]K_Summary!$K$1715 ),"")</f>
        <v/>
      </c>
      <c r="L1730" s="184" t="str">
        <f>IFERROR(IF([1]K_Summary!$L$1715 = "", "", [1]K_Summary!$L$1715 ),"")</f>
        <v/>
      </c>
      <c r="M1730" s="184" t="str">
        <f>IFERROR(IF([1]K_Summary!$M$1715 = "", "", [1]K_Summary!$M$1715 ),"")</f>
        <v/>
      </c>
      <c r="N1730" s="185" t="str">
        <f>IFERROR(IF([1]K_Summary!$N$1715 = "", "", [1]K_Summary!$N$1715 ),"")</f>
        <v/>
      </c>
    </row>
    <row r="1731" spans="1:14" ht="15">
      <c r="C1731" s="559"/>
      <c r="D1731" s="706"/>
      <c r="E1731" s="485"/>
      <c r="F1731" s="485"/>
      <c r="G1731" s="485"/>
      <c r="H1731" s="485"/>
      <c r="I1731" s="743"/>
      <c r="J1731" s="485"/>
      <c r="K1731" s="485"/>
      <c r="L1731" s="485"/>
      <c r="M1731" s="485"/>
      <c r="N1731" s="744"/>
    </row>
    <row r="1732" spans="1:14" ht="15">
      <c r="C1732" s="559"/>
      <c r="D1732" s="706"/>
      <c r="E1732" s="707" t="s">
        <v>1757</v>
      </c>
      <c r="F1732" s="637"/>
      <c r="G1732" s="637"/>
      <c r="H1732" s="663" t="s">
        <v>884</v>
      </c>
      <c r="I1732" s="708"/>
      <c r="J1732" s="709">
        <v>2021</v>
      </c>
      <c r="K1732" s="671">
        <v>2022</v>
      </c>
      <c r="L1732" s="671">
        <v>2023</v>
      </c>
      <c r="M1732" s="671">
        <v>2024</v>
      </c>
      <c r="N1732" s="710">
        <v>2025</v>
      </c>
    </row>
    <row r="1733" spans="1:14" ht="15" hidden="1">
      <c r="A1733" s="719" t="s">
        <v>2289</v>
      </c>
      <c r="C1733" s="559"/>
      <c r="D1733" s="706"/>
      <c r="E1733" s="698" t="s">
        <v>1714</v>
      </c>
      <c r="F1733" s="698"/>
      <c r="G1733" s="698"/>
      <c r="H1733" s="63" t="str">
        <f>IFERROR(IF([1]K_Summary!$H$1718 = "", "", [1]K_Summary!$H$1718 ),"")</f>
        <v>tonnes</v>
      </c>
      <c r="I1733" s="698"/>
      <c r="J1733" s="157" t="str">
        <f>IFERROR(IF([1]K_Summary!$J$1718 = "", "", [1]K_Summary!$J$1718 ),"")</f>
        <v/>
      </c>
      <c r="K1733" s="147" t="str">
        <f>IFERROR(IF([1]K_Summary!$K$1718 = "", "", [1]K_Summary!$K$1718 ),"")</f>
        <v/>
      </c>
      <c r="L1733" s="147" t="str">
        <f>IFERROR(IF([1]K_Summary!$L$1718 = "", "", [1]K_Summary!$L$1718 ),"")</f>
        <v/>
      </c>
      <c r="M1733" s="147" t="str">
        <f>IFERROR(IF([1]K_Summary!$M$1718 = "", "", [1]K_Summary!$M$1718 ),"")</f>
        <v/>
      </c>
      <c r="N1733" s="158" t="str">
        <f>IFERROR(IF([1]K_Summary!$N$1718 = "", "", [1]K_Summary!$N$1718 ),"")</f>
        <v/>
      </c>
    </row>
    <row r="1734" spans="1:14" ht="15" hidden="1">
      <c r="A1734" s="719" t="s">
        <v>2289</v>
      </c>
      <c r="C1734" s="559"/>
      <c r="D1734" s="706"/>
      <c r="E1734" s="720" t="s">
        <v>303</v>
      </c>
      <c r="F1734" s="720"/>
      <c r="G1734" s="720"/>
      <c r="H1734" s="721" t="s">
        <v>2090</v>
      </c>
      <c r="I1734" s="722"/>
      <c r="J1734" s="159" t="str">
        <f>IFERROR(IF([1]K_Summary!$J$1719 = "", "", [1]K_Summary!$J$1719 ),"")</f>
        <v/>
      </c>
      <c r="K1734" s="160" t="str">
        <f>IFERROR(IF([1]K_Summary!$K$1719 = "", "", [1]K_Summary!$K$1719 ),"")</f>
        <v/>
      </c>
      <c r="L1734" s="160" t="str">
        <f>IFERROR(IF([1]K_Summary!$L$1719 = "", "", [1]K_Summary!$L$1719 ),"")</f>
        <v/>
      </c>
      <c r="M1734" s="160" t="str">
        <f>IFERROR(IF([1]K_Summary!$M$1719 = "", "", [1]K_Summary!$M$1719 ),"")</f>
        <v/>
      </c>
      <c r="N1734" s="161" t="str">
        <f>IFERROR(IF([1]K_Summary!$N$1719 = "", "", [1]K_Summary!$N$1719 ),"")</f>
        <v/>
      </c>
    </row>
    <row r="1735" spans="1:14" ht="15">
      <c r="C1735" s="559"/>
      <c r="D1735" s="706"/>
      <c r="E1735" s="720" t="s">
        <v>1691</v>
      </c>
      <c r="F1735" s="720"/>
      <c r="G1735" s="720"/>
      <c r="H1735" s="748" t="s">
        <v>471</v>
      </c>
      <c r="I1735" s="722"/>
      <c r="J1735" s="172" t="str">
        <f>IFERROR(IF([1]K_Summary!$J$1720 = "", "", [1]K_Summary!$J$1720 ),"")</f>
        <v/>
      </c>
      <c r="K1735" s="54" t="str">
        <f>IFERROR(IF([1]K_Summary!$K$1720 = "", "", [1]K_Summary!$K$1720 ),"")</f>
        <v/>
      </c>
      <c r="L1735" s="54" t="str">
        <f>IFERROR(IF([1]K_Summary!$L$1720 = "", "", [1]K_Summary!$L$1720 ),"")</f>
        <v/>
      </c>
      <c r="M1735" s="54" t="str">
        <f>IFERROR(IF([1]K_Summary!$M$1720 = "", "", [1]K_Summary!$M$1720 ),"")</f>
        <v/>
      </c>
      <c r="N1735" s="173" t="str">
        <f>IFERROR(IF([1]K_Summary!$N$1720 = "", "", [1]K_Summary!$N$1720 ),"")</f>
        <v/>
      </c>
    </row>
    <row r="1736" spans="1:14" ht="15">
      <c r="C1736" s="559"/>
      <c r="D1736" s="706"/>
      <c r="E1736" s="723" t="s">
        <v>1648</v>
      </c>
      <c r="F1736" s="723"/>
      <c r="G1736" s="723"/>
      <c r="H1736" s="734" t="s">
        <v>1021</v>
      </c>
      <c r="I1736" s="735"/>
      <c r="J1736" s="174" t="str">
        <f>IFERROR(IF([1]K_Summary!$J$1721 = "", "", [1]K_Summary!$J$1721 ),"")</f>
        <v/>
      </c>
      <c r="K1736" s="175" t="str">
        <f>IFERROR(IF([1]K_Summary!$K$1721 = "", "", [1]K_Summary!$K$1721 ),"")</f>
        <v/>
      </c>
      <c r="L1736" s="175" t="str">
        <f>IFERROR(IF([1]K_Summary!$L$1721 = "", "", [1]K_Summary!$L$1721 ),"")</f>
        <v/>
      </c>
      <c r="M1736" s="175" t="str">
        <f>IFERROR(IF([1]K_Summary!$M$1721 = "", "", [1]K_Summary!$M$1721 ),"")</f>
        <v/>
      </c>
      <c r="N1736" s="176" t="str">
        <f>IFERROR(IF([1]K_Summary!$N$1721 = "", "", [1]K_Summary!$N$1721 ),"")</f>
        <v/>
      </c>
    </row>
    <row r="1737" spans="1:14" ht="15">
      <c r="C1737" s="559"/>
      <c r="D1737" s="706"/>
      <c r="E1737" s="736" t="s">
        <v>1856</v>
      </c>
      <c r="F1737" s="736"/>
      <c r="G1737" s="736"/>
      <c r="H1737" s="737" t="s">
        <v>1021</v>
      </c>
      <c r="I1737" s="738"/>
      <c r="J1737" s="177" t="str">
        <f>IFERROR(IF([1]K_Summary!$J$1722 = "", "", [1]K_Summary!$J$1722 ),"")</f>
        <v/>
      </c>
      <c r="K1737" s="178" t="str">
        <f>IFERROR(IF([1]K_Summary!$K$1722 = "", "", [1]K_Summary!$K$1722 ),"")</f>
        <v/>
      </c>
      <c r="L1737" s="178" t="str">
        <f>IFERROR(IF([1]K_Summary!$L$1722 = "", "", [1]K_Summary!$L$1722 ),"")</f>
        <v/>
      </c>
      <c r="M1737" s="178" t="str">
        <f>IFERROR(IF([1]K_Summary!$M$1722 = "", "", [1]K_Summary!$M$1722 ),"")</f>
        <v/>
      </c>
      <c r="N1737" s="179" t="str">
        <f>IFERROR(IF([1]K_Summary!$N$1722 = "", "", [1]K_Summary!$N$1722 ),"")</f>
        <v/>
      </c>
    </row>
    <row r="1738" spans="1:14" ht="15">
      <c r="C1738" s="559"/>
      <c r="D1738" s="706"/>
      <c r="E1738" s="727" t="s">
        <v>1689</v>
      </c>
      <c r="F1738" s="727"/>
      <c r="G1738" s="727"/>
      <c r="H1738" s="728" t="s">
        <v>471</v>
      </c>
      <c r="I1738" s="729"/>
      <c r="J1738" s="180" t="str">
        <f>IFERROR(IF([1]K_Summary!$J$1723 = "", "", [1]K_Summary!$J$1723 ),"")</f>
        <v/>
      </c>
      <c r="K1738" s="181" t="str">
        <f>IFERROR(IF([1]K_Summary!$K$1723 = "", "", [1]K_Summary!$K$1723 ),"")</f>
        <v/>
      </c>
      <c r="L1738" s="181" t="str">
        <f>IFERROR(IF([1]K_Summary!$L$1723 = "", "", [1]K_Summary!$L$1723 ),"")</f>
        <v/>
      </c>
      <c r="M1738" s="181" t="str">
        <f>IFERROR(IF([1]K_Summary!$M$1723 = "", "", [1]K_Summary!$M$1723 ),"")</f>
        <v/>
      </c>
      <c r="N1738" s="182" t="str">
        <f>IFERROR(IF([1]K_Summary!$N$1723 = "", "", [1]K_Summary!$N$1723 ),"")</f>
        <v/>
      </c>
    </row>
    <row r="1739" spans="1:14" ht="15" hidden="1">
      <c r="A1739" s="719" t="s">
        <v>2289</v>
      </c>
      <c r="C1739" s="559"/>
      <c r="D1739" s="706"/>
      <c r="E1739" s="723" t="s">
        <v>1390</v>
      </c>
      <c r="F1739" s="723"/>
      <c r="G1739" s="723"/>
      <c r="H1739" s="724" t="s">
        <v>2090</v>
      </c>
      <c r="I1739" s="725"/>
      <c r="J1739" s="162" t="str">
        <f>IFERROR(IF([1]K_Summary!$J$1724 = "", "", [1]K_Summary!$J$1724 ),"")</f>
        <v/>
      </c>
      <c r="K1739" s="163" t="str">
        <f>IFERROR(IF([1]K_Summary!$K$1724 = "", "", [1]K_Summary!$K$1724 ),"")</f>
        <v/>
      </c>
      <c r="L1739" s="163" t="str">
        <f>IFERROR(IF([1]K_Summary!$L$1724 = "", "", [1]K_Summary!$L$1724 ),"")</f>
        <v/>
      </c>
      <c r="M1739" s="163" t="str">
        <f>IFERROR(IF([1]K_Summary!$M$1724 = "", "", [1]K_Summary!$M$1724 ),"")</f>
        <v/>
      </c>
      <c r="N1739" s="164" t="str">
        <f>IFERROR(IF([1]K_Summary!$N$1724 = "", "", [1]K_Summary!$N$1724 ),"")</f>
        <v/>
      </c>
    </row>
    <row r="1740" spans="1:14" ht="15" hidden="1">
      <c r="A1740" s="719" t="s">
        <v>2289</v>
      </c>
      <c r="C1740" s="559"/>
      <c r="D1740" s="706"/>
      <c r="E1740" s="723" t="s">
        <v>1389</v>
      </c>
      <c r="F1740" s="723"/>
      <c r="G1740" s="723"/>
      <c r="H1740" s="726" t="s">
        <v>1021</v>
      </c>
      <c r="I1740" s="725"/>
      <c r="J1740" s="165" t="str">
        <f>IFERROR(IF([1]K_Summary!$J$1725 = "", "", [1]K_Summary!$J$1725 ),"")</f>
        <v/>
      </c>
      <c r="K1740" s="166" t="str">
        <f>IFERROR(IF([1]K_Summary!$K$1725 = "", "", [1]K_Summary!$K$1725 ),"")</f>
        <v/>
      </c>
      <c r="L1740" s="166" t="str">
        <f>IFERROR(IF([1]K_Summary!$L$1725 = "", "", [1]K_Summary!$L$1725 ),"")</f>
        <v/>
      </c>
      <c r="M1740" s="166" t="str">
        <f>IFERROR(IF([1]K_Summary!$M$1725 = "", "", [1]K_Summary!$M$1725 ),"")</f>
        <v/>
      </c>
      <c r="N1740" s="167" t="str">
        <f>IFERROR(IF([1]K_Summary!$N$1725 = "", "", [1]K_Summary!$N$1725 ),"")</f>
        <v/>
      </c>
    </row>
    <row r="1741" spans="1:14" ht="15" hidden="1">
      <c r="A1741" s="719" t="s">
        <v>2289</v>
      </c>
      <c r="C1741" s="559"/>
      <c r="D1741" s="706"/>
      <c r="E1741" s="727" t="s">
        <v>1391</v>
      </c>
      <c r="F1741" s="727"/>
      <c r="G1741" s="727"/>
      <c r="H1741" s="728" t="s">
        <v>1021</v>
      </c>
      <c r="I1741" s="729"/>
      <c r="J1741" s="168" t="str">
        <f>IFERROR(IF([1]K_Summary!$J$1726 = "", "", [1]K_Summary!$J$1726 ),"")</f>
        <v/>
      </c>
      <c r="K1741" s="169" t="str">
        <f>IFERROR(IF([1]K_Summary!$K$1726 = "", "", [1]K_Summary!$K$1726 ),"")</f>
        <v/>
      </c>
      <c r="L1741" s="169" t="str">
        <f>IFERROR(IF([1]K_Summary!$L$1726 = "", "", [1]K_Summary!$L$1726 ),"")</f>
        <v/>
      </c>
      <c r="M1741" s="169" t="str">
        <f>IFERROR(IF([1]K_Summary!$M$1726 = "", "", [1]K_Summary!$M$1726 ),"")</f>
        <v/>
      </c>
      <c r="N1741" s="170" t="str">
        <f>IFERROR(IF([1]K_Summary!$N$1726 = "", "", [1]K_Summary!$N$1726 ),"")</f>
        <v/>
      </c>
    </row>
    <row r="1742" spans="1:14" ht="15">
      <c r="C1742" s="559"/>
      <c r="D1742" s="706"/>
      <c r="E1742" s="698" t="s">
        <v>1671</v>
      </c>
      <c r="F1742" s="698"/>
      <c r="G1742" s="698"/>
      <c r="H1742" s="730" t="s">
        <v>2090</v>
      </c>
      <c r="I1742" s="731"/>
      <c r="J1742" s="148" t="str">
        <f>IFERROR(IF([1]K_Summary!$J$1727 = "", "", [1]K_Summary!$J$1727 ),"")</f>
        <v/>
      </c>
      <c r="K1742" s="150" t="str">
        <f>IFERROR(IF([1]K_Summary!$K$1727 = "", "", [1]K_Summary!$K$1727 ),"")</f>
        <v/>
      </c>
      <c r="L1742" s="150" t="str">
        <f>IFERROR(IF([1]K_Summary!$L$1727 = "", "", [1]K_Summary!$L$1727 ),"")</f>
        <v/>
      </c>
      <c r="M1742" s="150" t="str">
        <f>IFERROR(IF([1]K_Summary!$M$1727 = "", "", [1]K_Summary!$M$1727 ),"")</f>
        <v/>
      </c>
      <c r="N1742" s="171" t="str">
        <f>IFERROR(IF([1]K_Summary!$N$1727 = "", "", [1]K_Summary!$N$1727 ),"")</f>
        <v/>
      </c>
    </row>
    <row r="1743" spans="1:14" ht="15">
      <c r="C1743" s="559"/>
      <c r="D1743" s="706"/>
      <c r="E1743" s="698" t="s">
        <v>1670</v>
      </c>
      <c r="F1743" s="698"/>
      <c r="G1743" s="698"/>
      <c r="H1743" s="730" t="s">
        <v>2090</v>
      </c>
      <c r="I1743" s="731"/>
      <c r="J1743" s="148" t="str">
        <f>IFERROR(IF([1]K_Summary!$J$1728 = "", "", [1]K_Summary!$J$1728 ),"")</f>
        <v/>
      </c>
      <c r="K1743" s="150" t="str">
        <f>IFERROR(IF([1]K_Summary!$K$1728 = "", "", [1]K_Summary!$K$1728 ),"")</f>
        <v/>
      </c>
      <c r="L1743" s="150" t="str">
        <f>IFERROR(IF([1]K_Summary!$L$1728 = "", "", [1]K_Summary!$L$1728 ),"")</f>
        <v/>
      </c>
      <c r="M1743" s="150" t="str">
        <f>IFERROR(IF([1]K_Summary!$M$1728 = "", "", [1]K_Summary!$M$1728 ),"")</f>
        <v/>
      </c>
      <c r="N1743" s="171" t="str">
        <f>IFERROR(IF([1]K_Summary!$N$1728 = "", "", [1]K_Summary!$N$1728 ),"")</f>
        <v/>
      </c>
    </row>
    <row r="1744" spans="1:14" ht="15">
      <c r="C1744" s="559"/>
      <c r="D1744" s="706"/>
      <c r="E1744" s="740" t="s">
        <v>2135</v>
      </c>
      <c r="F1744" s="698"/>
      <c r="G1744" s="698"/>
      <c r="H1744" s="741" t="s">
        <v>1021</v>
      </c>
      <c r="I1744" s="742"/>
      <c r="J1744" s="183" t="str">
        <f>IFERROR(IF([1]K_Summary!$J$1729 = "", "", [1]K_Summary!$J$1729 ),"")</f>
        <v/>
      </c>
      <c r="K1744" s="184" t="str">
        <f>IFERROR(IF([1]K_Summary!$K$1729 = "", "", [1]K_Summary!$K$1729 ),"")</f>
        <v/>
      </c>
      <c r="L1744" s="184" t="str">
        <f>IFERROR(IF([1]K_Summary!$L$1729 = "", "", [1]K_Summary!$L$1729 ),"")</f>
        <v/>
      </c>
      <c r="M1744" s="184" t="str">
        <f>IFERROR(IF([1]K_Summary!$M$1729 = "", "", [1]K_Summary!$M$1729 ),"")</f>
        <v/>
      </c>
      <c r="N1744" s="185" t="str">
        <f>IFERROR(IF([1]K_Summary!$N$1729 = "", "", [1]K_Summary!$N$1729 ),"")</f>
        <v/>
      </c>
    </row>
    <row r="1745" spans="3:14" ht="15.75" thickBot="1">
      <c r="C1745" s="559"/>
      <c r="D1745" s="755"/>
      <c r="E1745" s="756"/>
      <c r="F1745" s="756"/>
      <c r="G1745" s="756"/>
      <c r="H1745" s="756"/>
      <c r="I1745" s="757"/>
      <c r="J1745" s="756"/>
      <c r="K1745" s="756"/>
      <c r="L1745" s="756"/>
      <c r="M1745" s="756"/>
      <c r="N1745" s="758"/>
    </row>
    <row r="1746" spans="3:14" ht="15.75" thickBot="1">
      <c r="C1746" s="559"/>
      <c r="D1746" s="559"/>
      <c r="E1746" s="485"/>
      <c r="F1746" s="485"/>
      <c r="G1746" s="485"/>
      <c r="H1746" s="485"/>
      <c r="I1746" s="743"/>
      <c r="J1746" s="485"/>
      <c r="K1746" s="485"/>
      <c r="L1746" s="485"/>
      <c r="M1746" s="485"/>
      <c r="N1746" s="485"/>
    </row>
    <row r="1747" spans="3:14">
      <c r="C1747" s="485"/>
      <c r="D1747" s="759"/>
      <c r="E1747" s="760"/>
      <c r="F1747" s="760"/>
      <c r="G1747" s="760"/>
      <c r="H1747" s="760"/>
      <c r="I1747" s="761"/>
      <c r="J1747" s="760"/>
      <c r="K1747" s="760"/>
      <c r="L1747" s="760"/>
      <c r="M1747" s="760"/>
      <c r="N1747" s="762"/>
    </row>
    <row r="1748" spans="3:14">
      <c r="C1748" s="485"/>
      <c r="D1748" s="539"/>
      <c r="E1748" s="496" t="s">
        <v>1786</v>
      </c>
      <c r="F1748" s="485"/>
      <c r="G1748" s="485"/>
      <c r="H1748" s="663" t="s">
        <v>884</v>
      </c>
      <c r="I1748" s="763" t="s">
        <v>1675</v>
      </c>
      <c r="J1748" s="709">
        <v>2021</v>
      </c>
      <c r="K1748" s="671">
        <v>2022</v>
      </c>
      <c r="L1748" s="671">
        <v>2023</v>
      </c>
      <c r="M1748" s="671">
        <v>2024</v>
      </c>
      <c r="N1748" s="710">
        <v>2025</v>
      </c>
    </row>
    <row r="1749" spans="3:14">
      <c r="C1749" s="485"/>
      <c r="D1749" s="539"/>
      <c r="E1749" s="720" t="s">
        <v>1714</v>
      </c>
      <c r="F1749" s="720"/>
      <c r="G1749" s="720"/>
      <c r="H1749" s="67" t="str">
        <f>IFERROR(IF([1]K_Summary!$H$1734 = "", "", [1]K_Summary!$H$1734 ),"")</f>
        <v>tonnes</v>
      </c>
      <c r="I1749" s="207" t="str">
        <f>IFERROR(IF([1]K_Summary!$I$1734 = "", "", [1]K_Summary!$I$1734 ),"")</f>
        <v/>
      </c>
      <c r="J1749" s="172" t="str">
        <f>IFERROR(IF([1]K_Summary!$J$1734 = "", "", [1]K_Summary!$J$1734 ),"")</f>
        <v/>
      </c>
      <c r="K1749" s="54" t="str">
        <f>IFERROR(IF([1]K_Summary!$K$1734 = "", "", [1]K_Summary!$K$1734 ),"")</f>
        <v/>
      </c>
      <c r="L1749" s="54" t="str">
        <f>IFERROR(IF([1]K_Summary!$L$1734 = "", "", [1]K_Summary!$L$1734 ),"")</f>
        <v/>
      </c>
      <c r="M1749" s="54" t="str">
        <f>IFERROR(IF([1]K_Summary!$M$1734 = "", "", [1]K_Summary!$M$1734 ),"")</f>
        <v/>
      </c>
      <c r="N1749" s="173" t="str">
        <f>IFERROR(IF([1]K_Summary!$N$1734 = "", "", [1]K_Summary!$N$1734 ),"")</f>
        <v/>
      </c>
    </row>
    <row r="1750" spans="3:14">
      <c r="C1750" s="485"/>
      <c r="D1750" s="539"/>
      <c r="E1750" s="645" t="s">
        <v>303</v>
      </c>
      <c r="F1750" s="645"/>
      <c r="G1750" s="645"/>
      <c r="H1750" s="765" t="s">
        <v>2090</v>
      </c>
      <c r="I1750" s="208" t="str">
        <f>IFERROR(IF([1]K_Summary!$I$1735 = "", "", [1]K_Summary!$I$1735 ),"")</f>
        <v/>
      </c>
      <c r="J1750" s="209" t="str">
        <f>IFERROR(IF([1]K_Summary!$J$1735 = "", "", [1]K_Summary!$J$1735 ),"")</f>
        <v/>
      </c>
      <c r="K1750" s="210" t="str">
        <f>IFERROR(IF([1]K_Summary!$K$1735 = "", "", [1]K_Summary!$K$1735 ),"")</f>
        <v/>
      </c>
      <c r="L1750" s="210" t="str">
        <f>IFERROR(IF([1]K_Summary!$L$1735 = "", "", [1]K_Summary!$L$1735 ),"")</f>
        <v/>
      </c>
      <c r="M1750" s="210" t="str">
        <f>IFERROR(IF([1]K_Summary!$M$1735 = "", "", [1]K_Summary!$M$1735 ),"")</f>
        <v/>
      </c>
      <c r="N1750" s="211" t="str">
        <f>IFERROR(IF([1]K_Summary!$N$1735 = "", "", [1]K_Summary!$N$1735 ),"")</f>
        <v/>
      </c>
    </row>
    <row r="1751" spans="3:14">
      <c r="C1751" s="485"/>
      <c r="D1751" s="539"/>
      <c r="E1751" s="723" t="s">
        <v>1422</v>
      </c>
      <c r="F1751" s="723"/>
      <c r="G1751" s="723"/>
      <c r="H1751" s="724" t="s">
        <v>2090</v>
      </c>
      <c r="I1751" s="212" t="str">
        <f>IFERROR(IF([1]K_Summary!$I$1736 = "", "", [1]K_Summary!$I$1736 ),"")</f>
        <v/>
      </c>
      <c r="J1751" s="213" t="str">
        <f>IFERROR(IF([1]K_Summary!$J$1736 = "", "", [1]K_Summary!$J$1736 ),"")</f>
        <v/>
      </c>
      <c r="K1751" s="214" t="str">
        <f>IFERROR(IF([1]K_Summary!$K$1736 = "", "", [1]K_Summary!$K$1736 ),"")</f>
        <v/>
      </c>
      <c r="L1751" s="214" t="str">
        <f>IFERROR(IF([1]K_Summary!$L$1736 = "", "", [1]K_Summary!$L$1736 ),"")</f>
        <v/>
      </c>
      <c r="M1751" s="214" t="str">
        <f>IFERROR(IF([1]K_Summary!$M$1736 = "", "", [1]K_Summary!$M$1736 ),"")</f>
        <v/>
      </c>
      <c r="N1751" s="215" t="str">
        <f>IFERROR(IF([1]K_Summary!$N$1736 = "", "", [1]K_Summary!$N$1736 ),"")</f>
        <v/>
      </c>
    </row>
    <row r="1752" spans="3:14">
      <c r="C1752" s="485"/>
      <c r="D1752" s="539"/>
      <c r="E1752" s="723" t="s">
        <v>1390</v>
      </c>
      <c r="F1752" s="723"/>
      <c r="G1752" s="723"/>
      <c r="H1752" s="724" t="s">
        <v>2090</v>
      </c>
      <c r="I1752" s="212" t="str">
        <f>IFERROR(IF([1]K_Summary!$I$1737 = "", "", [1]K_Summary!$I$1737 ),"")</f>
        <v/>
      </c>
      <c r="J1752" s="213" t="str">
        <f>IFERROR(IF([1]K_Summary!$J$1737 = "", "", [1]K_Summary!$J$1737 ),"")</f>
        <v/>
      </c>
      <c r="K1752" s="214" t="str">
        <f>IFERROR(IF([1]K_Summary!$K$1737 = "", "", [1]K_Summary!$K$1737 ),"")</f>
        <v/>
      </c>
      <c r="L1752" s="214" t="str">
        <f>IFERROR(IF([1]K_Summary!$L$1737 = "", "", [1]K_Summary!$L$1737 ),"")</f>
        <v/>
      </c>
      <c r="M1752" s="214" t="str">
        <f>IFERROR(IF([1]K_Summary!$M$1737 = "", "", [1]K_Summary!$M$1737 ),"")</f>
        <v/>
      </c>
      <c r="N1752" s="215" t="str">
        <f>IFERROR(IF([1]K_Summary!$N$1737 = "", "", [1]K_Summary!$N$1737 ),"")</f>
        <v/>
      </c>
    </row>
    <row r="1753" spans="3:14">
      <c r="C1753" s="485"/>
      <c r="D1753" s="539"/>
      <c r="E1753" s="723" t="s">
        <v>1389</v>
      </c>
      <c r="F1753" s="723"/>
      <c r="G1753" s="723"/>
      <c r="H1753" s="726" t="s">
        <v>1021</v>
      </c>
      <c r="I1753" s="216" t="str">
        <f>IFERROR(IF([1]K_Summary!$I$1738 = "", "", [1]K_Summary!$I$1738 ),"")</f>
        <v/>
      </c>
      <c r="J1753" s="217" t="str">
        <f>IFERROR(IF([1]K_Summary!$J$1738 = "", "", [1]K_Summary!$J$1738 ),"")</f>
        <v/>
      </c>
      <c r="K1753" s="218" t="str">
        <f>IFERROR(IF([1]K_Summary!$K$1738 = "", "", [1]K_Summary!$K$1738 ),"")</f>
        <v/>
      </c>
      <c r="L1753" s="218" t="str">
        <f>IFERROR(IF([1]K_Summary!$L$1738 = "", "", [1]K_Summary!$L$1738 ),"")</f>
        <v/>
      </c>
      <c r="M1753" s="218" t="str">
        <f>IFERROR(IF([1]K_Summary!$M$1738 = "", "", [1]K_Summary!$M$1738 ),"")</f>
        <v/>
      </c>
      <c r="N1753" s="219" t="str">
        <f>IFERROR(IF([1]K_Summary!$N$1738 = "", "", [1]K_Summary!$N$1738 ),"")</f>
        <v/>
      </c>
    </row>
    <row r="1754" spans="3:14">
      <c r="C1754" s="485"/>
      <c r="D1754" s="539"/>
      <c r="E1754" s="727" t="s">
        <v>1391</v>
      </c>
      <c r="F1754" s="727"/>
      <c r="G1754" s="727"/>
      <c r="H1754" s="728" t="s">
        <v>1021</v>
      </c>
      <c r="I1754" s="220" t="str">
        <f>IFERROR(IF([1]K_Summary!$I$1739 = "", "", [1]K_Summary!$I$1739 ),"")</f>
        <v/>
      </c>
      <c r="J1754" s="221" t="str">
        <f>IFERROR(IF([1]K_Summary!$J$1739 = "", "", [1]K_Summary!$J$1739 ),"")</f>
        <v/>
      </c>
      <c r="K1754" s="222" t="str">
        <f>IFERROR(IF([1]K_Summary!$K$1739 = "", "", [1]K_Summary!$K$1739 ),"")</f>
        <v/>
      </c>
      <c r="L1754" s="222" t="str">
        <f>IFERROR(IF([1]K_Summary!$L$1739 = "", "", [1]K_Summary!$L$1739 ),"")</f>
        <v/>
      </c>
      <c r="M1754" s="222" t="str">
        <f>IFERROR(IF([1]K_Summary!$M$1739 = "", "", [1]K_Summary!$M$1739 ),"")</f>
        <v/>
      </c>
      <c r="N1754" s="223" t="str">
        <f>IFERROR(IF([1]K_Summary!$N$1739 = "", "", [1]K_Summary!$N$1739 ),"")</f>
        <v/>
      </c>
    </row>
    <row r="1755" spans="3:14">
      <c r="C1755" s="485"/>
      <c r="D1755" s="539"/>
      <c r="E1755" s="698" t="s">
        <v>222</v>
      </c>
      <c r="F1755" s="698"/>
      <c r="G1755" s="698"/>
      <c r="H1755" s="730" t="s">
        <v>2090</v>
      </c>
      <c r="I1755" s="224" t="str">
        <f>IFERROR(IF([1]K_Summary!$I$1740 = "", "", [1]K_Summary!$I$1740 ),"")</f>
        <v/>
      </c>
      <c r="J1755" s="148" t="str">
        <f>IFERROR(IF([1]K_Summary!$J$1740 = "", "", [1]K_Summary!$J$1740 ),"")</f>
        <v/>
      </c>
      <c r="K1755" s="150" t="str">
        <f>IFERROR(IF([1]K_Summary!$K$1740 = "", "", [1]K_Summary!$K$1740 ),"")</f>
        <v/>
      </c>
      <c r="L1755" s="150" t="str">
        <f>IFERROR(IF([1]K_Summary!$L$1740 = "", "", [1]K_Summary!$L$1740 ),"")</f>
        <v/>
      </c>
      <c r="M1755" s="150" t="str">
        <f>IFERROR(IF([1]K_Summary!$M$1740 = "", "", [1]K_Summary!$M$1740 ),"")</f>
        <v/>
      </c>
      <c r="N1755" s="171" t="str">
        <f>IFERROR(IF([1]K_Summary!$N$1740 = "", "", [1]K_Summary!$N$1740 ),"")</f>
        <v/>
      </c>
    </row>
    <row r="1756" spans="3:14" ht="13.5" thickBot="1">
      <c r="C1756" s="485"/>
      <c r="D1756" s="771"/>
      <c r="E1756" s="756"/>
      <c r="F1756" s="756"/>
      <c r="G1756" s="756"/>
      <c r="H1756" s="756"/>
      <c r="I1756" s="756"/>
      <c r="J1756" s="756"/>
      <c r="K1756" s="756"/>
      <c r="L1756" s="756"/>
      <c r="M1756" s="756"/>
      <c r="N1756" s="758"/>
    </row>
    <row r="1757" spans="3:14" ht="13.5" thickBot="1">
      <c r="C1757" s="485"/>
      <c r="D1757" s="562"/>
      <c r="E1757" s="561"/>
      <c r="F1757" s="485"/>
      <c r="G1757" s="485"/>
      <c r="H1757" s="485"/>
      <c r="I1757" s="485"/>
      <c r="J1757" s="485"/>
      <c r="K1757" s="485"/>
      <c r="L1757" s="485"/>
      <c r="M1757" s="485"/>
      <c r="N1757" s="485"/>
    </row>
    <row r="1758" spans="3:14">
      <c r="C1758" s="485"/>
      <c r="D1758" s="772"/>
      <c r="E1758" s="773"/>
      <c r="F1758" s="773"/>
      <c r="G1758" s="774"/>
      <c r="H1758" s="774"/>
      <c r="I1758" s="774"/>
      <c r="J1758" s="774"/>
      <c r="K1758" s="774"/>
      <c r="L1758" s="774"/>
      <c r="M1758" s="774"/>
      <c r="N1758" s="775"/>
    </row>
    <row r="1759" spans="3:14" ht="13.5" thickBot="1">
      <c r="C1759" s="485"/>
      <c r="D1759" s="776"/>
      <c r="E1759" s="777"/>
      <c r="F1759" s="777"/>
      <c r="G1759" s="778" t="s">
        <v>884</v>
      </c>
      <c r="H1759" s="779">
        <v>2019</v>
      </c>
      <c r="I1759" s="780">
        <v>2020</v>
      </c>
      <c r="J1759" s="781">
        <v>2021</v>
      </c>
      <c r="K1759" s="782">
        <v>2022</v>
      </c>
      <c r="L1759" s="782">
        <v>2023</v>
      </c>
      <c r="M1759" s="782">
        <v>2024</v>
      </c>
      <c r="N1759" s="783">
        <v>2025</v>
      </c>
    </row>
    <row r="1760" spans="3:14" ht="13.5" thickBot="1">
      <c r="C1760" s="485"/>
      <c r="D1760" s="776"/>
      <c r="E1760" s="2470" t="s">
        <v>1504</v>
      </c>
      <c r="F1760" s="2470"/>
      <c r="G1760" s="808" t="s">
        <v>2016</v>
      </c>
      <c r="H1760" s="225" t="str">
        <f>IFERROR(IF([1]K_Summary!$H$1745 = "", "", [1]K_Summary!$H$1745 ),"")</f>
        <v/>
      </c>
      <c r="I1760" s="226" t="str">
        <f>IFERROR(IF([1]K_Summary!$I$1745 = "", "", [1]K_Summary!$I$1745 ),"")</f>
        <v/>
      </c>
      <c r="J1760" s="225" t="str">
        <f>IFERROR(IF([1]K_Summary!$J$1745 = "", "", [1]K_Summary!$J$1745 ),"")</f>
        <v/>
      </c>
      <c r="K1760" s="227" t="str">
        <f>IFERROR(IF([1]K_Summary!$K$1745 = "", "", [1]K_Summary!$K$1745 ),"")</f>
        <v/>
      </c>
      <c r="L1760" s="227" t="str">
        <f>IFERROR(IF([1]K_Summary!$L$1745 = "", "", [1]K_Summary!$L$1745 ),"")</f>
        <v/>
      </c>
      <c r="M1760" s="227" t="str">
        <f>IFERROR(IF([1]K_Summary!$M$1745 = "", "", [1]K_Summary!$M$1745 ),"")</f>
        <v/>
      </c>
      <c r="N1760" s="228" t="str">
        <f>IFERROR(IF([1]K_Summary!$N$1745 = "", "", [1]K_Summary!$N$1745 ),"")</f>
        <v/>
      </c>
    </row>
    <row r="1761" spans="3:14">
      <c r="C1761" s="485"/>
      <c r="D1761" s="776"/>
      <c r="E1761" s="809"/>
      <c r="F1761" s="809"/>
      <c r="G1761" s="777"/>
      <c r="H1761" s="777"/>
      <c r="I1761" s="777"/>
      <c r="J1761" s="777"/>
      <c r="K1761" s="777"/>
      <c r="L1761" s="777"/>
      <c r="M1761" s="777"/>
      <c r="N1761" s="810"/>
    </row>
    <row r="1762" spans="3:14">
      <c r="C1762" s="485"/>
      <c r="D1762" s="776"/>
      <c r="E1762" s="2471" t="s">
        <v>1344</v>
      </c>
      <c r="F1762" s="2472"/>
      <c r="G1762" s="811" t="s">
        <v>2017</v>
      </c>
      <c r="H1762" s="127" t="str">
        <f>IFERROR(IF([1]K_Summary!$H$1747 = "", "", [1]K_Summary!$H$1747 ),"")</f>
        <v/>
      </c>
      <c r="I1762" s="229" t="str">
        <f>IFERROR(IF([1]K_Summary!$I$1747 = "", "", [1]K_Summary!$I$1747 ),"")</f>
        <v/>
      </c>
      <c r="J1762" s="230" t="str">
        <f>IFERROR(IF([1]K_Summary!$J$1747 = "", "", [1]K_Summary!$J$1747 ),"")</f>
        <v/>
      </c>
      <c r="K1762" s="127" t="str">
        <f>IFERROR(IF([1]K_Summary!$K$1747 = "", "", [1]K_Summary!$K$1747 ),"")</f>
        <v/>
      </c>
      <c r="L1762" s="127" t="str">
        <f>IFERROR(IF([1]K_Summary!$L$1747 = "", "", [1]K_Summary!$L$1747 ),"")</f>
        <v/>
      </c>
      <c r="M1762" s="127" t="str">
        <f>IFERROR(IF([1]K_Summary!$M$1747 = "", "", [1]K_Summary!$M$1747 ),"")</f>
        <v/>
      </c>
      <c r="N1762" s="231" t="str">
        <f>IFERROR(IF([1]K_Summary!$N$1747 = "", "", [1]K_Summary!$N$1747 ),"")</f>
        <v/>
      </c>
    </row>
    <row r="1763" spans="3:14">
      <c r="C1763" s="485"/>
      <c r="D1763" s="776"/>
      <c r="E1763" s="2473" t="s">
        <v>1182</v>
      </c>
      <c r="F1763" s="2474"/>
      <c r="G1763" s="812" t="s">
        <v>2018</v>
      </c>
      <c r="H1763" s="128" t="str">
        <f>IFERROR(IF([1]K_Summary!$H$1748 = "", "", [1]K_Summary!$H$1748 ),"")</f>
        <v/>
      </c>
      <c r="I1763" s="232" t="str">
        <f>IFERROR(IF([1]K_Summary!$I$1748 = "", "", [1]K_Summary!$I$1748 ),"")</f>
        <v/>
      </c>
      <c r="J1763" s="233" t="str">
        <f>IFERROR(IF([1]K_Summary!$J$1748 = "", "", [1]K_Summary!$J$1748 ),"")</f>
        <v/>
      </c>
      <c r="K1763" s="128" t="str">
        <f>IFERROR(IF([1]K_Summary!$K$1748 = "", "", [1]K_Summary!$K$1748 ),"")</f>
        <v/>
      </c>
      <c r="L1763" s="128" t="str">
        <f>IFERROR(IF([1]K_Summary!$L$1748 = "", "", [1]K_Summary!$L$1748 ),"")</f>
        <v/>
      </c>
      <c r="M1763" s="128" t="str">
        <f>IFERROR(IF([1]K_Summary!$M$1748 = "", "", [1]K_Summary!$M$1748 ),"")</f>
        <v/>
      </c>
      <c r="N1763" s="234" t="str">
        <f>IFERROR(IF([1]K_Summary!$N$1748 = "", "", [1]K_Summary!$N$1748 ),"")</f>
        <v/>
      </c>
    </row>
    <row r="1764" spans="3:14">
      <c r="C1764" s="485"/>
      <c r="D1764" s="776"/>
      <c r="E1764" s="809"/>
      <c r="F1764" s="809"/>
      <c r="G1764" s="813"/>
      <c r="H1764" s="813"/>
      <c r="I1764" s="813"/>
      <c r="J1764" s="813"/>
      <c r="K1764" s="813"/>
      <c r="L1764" s="813"/>
      <c r="M1764" s="813"/>
      <c r="N1764" s="814"/>
    </row>
    <row r="1765" spans="3:14">
      <c r="C1765" s="485"/>
      <c r="D1765" s="776"/>
      <c r="E1765" s="2475" t="s">
        <v>63</v>
      </c>
      <c r="F1765" s="2410"/>
      <c r="G1765" s="815" t="s">
        <v>2015</v>
      </c>
      <c r="H1765" s="126" t="str">
        <f>IFERROR(IF([1]K_Summary!$H$1750 = "", "", [1]K_Summary!$H$1750 ),"")</f>
        <v/>
      </c>
      <c r="I1765" s="235" t="str">
        <f>IFERROR(IF([1]K_Summary!$I$1750 = "", "", [1]K_Summary!$I$1750 ),"")</f>
        <v/>
      </c>
      <c r="J1765" s="236" t="str">
        <f>IFERROR(IF([1]K_Summary!$J$1750 = "", "", [1]K_Summary!$J$1750 ),"")</f>
        <v/>
      </c>
      <c r="K1765" s="126" t="str">
        <f>IFERROR(IF([1]K_Summary!$K$1750 = "", "", [1]K_Summary!$K$1750 ),"")</f>
        <v/>
      </c>
      <c r="L1765" s="126" t="str">
        <f>IFERROR(IF([1]K_Summary!$L$1750 = "", "", [1]K_Summary!$L$1750 ),"")</f>
        <v/>
      </c>
      <c r="M1765" s="126" t="str">
        <f>IFERROR(IF([1]K_Summary!$M$1750 = "", "", [1]K_Summary!$M$1750 ),"")</f>
        <v/>
      </c>
      <c r="N1765" s="237" t="str">
        <f>IFERROR(IF([1]K_Summary!$N$1750 = "", "", [1]K_Summary!$N$1750 ),"")</f>
        <v/>
      </c>
    </row>
    <row r="1766" spans="3:14">
      <c r="C1766" s="485"/>
      <c r="D1766" s="776"/>
      <c r="E1766" s="2475" t="s">
        <v>1154</v>
      </c>
      <c r="F1766" s="2410"/>
      <c r="G1766" s="815" t="s">
        <v>2015</v>
      </c>
      <c r="H1766" s="126" t="str">
        <f>IFERROR(IF([1]K_Summary!$H$1751 = "", "", [1]K_Summary!$H$1751 ),"")</f>
        <v/>
      </c>
      <c r="I1766" s="235" t="str">
        <f>IFERROR(IF([1]K_Summary!$I$1751 = "", "", [1]K_Summary!$I$1751 ),"")</f>
        <v/>
      </c>
      <c r="J1766" s="236" t="str">
        <f>IFERROR(IF([1]K_Summary!$J$1751 = "", "", [1]K_Summary!$J$1751 ),"")</f>
        <v/>
      </c>
      <c r="K1766" s="126" t="str">
        <f>IFERROR(IF([1]K_Summary!$K$1751 = "", "", [1]K_Summary!$K$1751 ),"")</f>
        <v/>
      </c>
      <c r="L1766" s="126" t="str">
        <f>IFERROR(IF([1]K_Summary!$L$1751 = "", "", [1]K_Summary!$L$1751 ),"")</f>
        <v/>
      </c>
      <c r="M1766" s="126" t="str">
        <f>IFERROR(IF([1]K_Summary!$M$1751 = "", "", [1]K_Summary!$M$1751 ),"")</f>
        <v/>
      </c>
      <c r="N1766" s="237" t="str">
        <f>IFERROR(IF([1]K_Summary!$N$1751 = "", "", [1]K_Summary!$N$1751 ),"")</f>
        <v/>
      </c>
    </row>
    <row r="1767" spans="3:14">
      <c r="C1767" s="485"/>
      <c r="D1767" s="776"/>
      <c r="E1767" s="2475" t="s">
        <v>1155</v>
      </c>
      <c r="F1767" s="2410"/>
      <c r="G1767" s="815" t="s">
        <v>2015</v>
      </c>
      <c r="H1767" s="126" t="str">
        <f>IFERROR(IF([1]K_Summary!$H$1752 = "", "", [1]K_Summary!$H$1752 ),"")</f>
        <v/>
      </c>
      <c r="I1767" s="235" t="str">
        <f>IFERROR(IF([1]K_Summary!$I$1752 = "", "", [1]K_Summary!$I$1752 ),"")</f>
        <v/>
      </c>
      <c r="J1767" s="236" t="str">
        <f>IFERROR(IF([1]K_Summary!$J$1752 = "", "", [1]K_Summary!$J$1752 ),"")</f>
        <v/>
      </c>
      <c r="K1767" s="126" t="str">
        <f>IFERROR(IF([1]K_Summary!$K$1752 = "", "", [1]K_Summary!$K$1752 ),"")</f>
        <v/>
      </c>
      <c r="L1767" s="126" t="str">
        <f>IFERROR(IF([1]K_Summary!$L$1752 = "", "", [1]K_Summary!$L$1752 ),"")</f>
        <v/>
      </c>
      <c r="M1767" s="126" t="str">
        <f>IFERROR(IF([1]K_Summary!$M$1752 = "", "", [1]K_Summary!$M$1752 ),"")</f>
        <v/>
      </c>
      <c r="N1767" s="237" t="str">
        <f>IFERROR(IF([1]K_Summary!$N$1752 = "", "", [1]K_Summary!$N$1752 ),"")</f>
        <v/>
      </c>
    </row>
    <row r="1768" spans="3:14">
      <c r="C1768" s="485"/>
      <c r="D1768" s="776"/>
      <c r="E1768" s="2475" t="s">
        <v>1156</v>
      </c>
      <c r="F1768" s="2410"/>
      <c r="G1768" s="815" t="s">
        <v>2016</v>
      </c>
      <c r="H1768" s="126" t="str">
        <f>IFERROR(IF([1]K_Summary!$H$1753 = "", "", [1]K_Summary!$H$1753 ),"")</f>
        <v/>
      </c>
      <c r="I1768" s="235" t="str">
        <f>IFERROR(IF([1]K_Summary!$I$1753 = "", "", [1]K_Summary!$I$1753 ),"")</f>
        <v/>
      </c>
      <c r="J1768" s="236" t="str">
        <f>IFERROR(IF([1]K_Summary!$J$1753 = "", "", [1]K_Summary!$J$1753 ),"")</f>
        <v/>
      </c>
      <c r="K1768" s="126" t="str">
        <f>IFERROR(IF([1]K_Summary!$K$1753 = "", "", [1]K_Summary!$K$1753 ),"")</f>
        <v/>
      </c>
      <c r="L1768" s="126" t="str">
        <f>IFERROR(IF([1]K_Summary!$L$1753 = "", "", [1]K_Summary!$L$1753 ),"")</f>
        <v/>
      </c>
      <c r="M1768" s="126" t="str">
        <f>IFERROR(IF([1]K_Summary!$M$1753 = "", "", [1]K_Summary!$M$1753 ),"")</f>
        <v/>
      </c>
      <c r="N1768" s="237" t="str">
        <f>IFERROR(IF([1]K_Summary!$N$1753 = "", "", [1]K_Summary!$N$1753 ),"")</f>
        <v/>
      </c>
    </row>
    <row r="1769" spans="3:14">
      <c r="C1769" s="485"/>
      <c r="D1769" s="776"/>
      <c r="E1769" s="809"/>
      <c r="F1769" s="809"/>
      <c r="G1769" s="813"/>
      <c r="H1769" s="813"/>
      <c r="I1769" s="813"/>
      <c r="J1769" s="813"/>
      <c r="K1769" s="813"/>
      <c r="L1769" s="813"/>
      <c r="M1769" s="813"/>
      <c r="N1769" s="814"/>
    </row>
    <row r="1770" spans="3:14">
      <c r="C1770" s="485"/>
      <c r="D1770" s="776"/>
      <c r="E1770" s="2471" t="s">
        <v>1087</v>
      </c>
      <c r="F1770" s="2472"/>
      <c r="G1770" s="811" t="s">
        <v>2017</v>
      </c>
      <c r="H1770" s="127" t="str">
        <f>IFERROR(IF([1]K_Summary!$H$1755 = "", "", [1]K_Summary!$H$1755 ),"")</f>
        <v/>
      </c>
      <c r="I1770" s="229" t="str">
        <f>IFERROR(IF([1]K_Summary!$I$1755 = "", "", [1]K_Summary!$I$1755 ),"")</f>
        <v/>
      </c>
      <c r="J1770" s="230" t="str">
        <f>IFERROR(IF([1]K_Summary!$J$1755 = "", "", [1]K_Summary!$J$1755 ),"")</f>
        <v/>
      </c>
      <c r="K1770" s="127" t="str">
        <f>IFERROR(IF([1]K_Summary!$K$1755 = "", "", [1]K_Summary!$K$1755 ),"")</f>
        <v/>
      </c>
      <c r="L1770" s="127" t="str">
        <f>IFERROR(IF([1]K_Summary!$L$1755 = "", "", [1]K_Summary!$L$1755 ),"")</f>
        <v/>
      </c>
      <c r="M1770" s="127" t="str">
        <f>IFERROR(IF([1]K_Summary!$M$1755 = "", "", [1]K_Summary!$M$1755 ),"")</f>
        <v/>
      </c>
      <c r="N1770" s="231" t="str">
        <f>IFERROR(IF([1]K_Summary!$N$1755 = "", "", [1]K_Summary!$N$1755 ),"")</f>
        <v/>
      </c>
    </row>
    <row r="1771" spans="3:14">
      <c r="C1771" s="485"/>
      <c r="D1771" s="776"/>
      <c r="E1771" s="2473" t="s">
        <v>1103</v>
      </c>
      <c r="F1771" s="2474"/>
      <c r="G1771" s="812" t="s">
        <v>2018</v>
      </c>
      <c r="H1771" s="128" t="str">
        <f>IFERROR(IF([1]K_Summary!$H$1756 = "", "", [1]K_Summary!$H$1756 ),"")</f>
        <v/>
      </c>
      <c r="I1771" s="232" t="str">
        <f>IFERROR(IF([1]K_Summary!$I$1756 = "", "", [1]K_Summary!$I$1756 ),"")</f>
        <v/>
      </c>
      <c r="J1771" s="233" t="str">
        <f>IFERROR(IF([1]K_Summary!$J$1756 = "", "", [1]K_Summary!$J$1756 ),"")</f>
        <v/>
      </c>
      <c r="K1771" s="128" t="str">
        <f>IFERROR(IF([1]K_Summary!$K$1756 = "", "", [1]K_Summary!$K$1756 ),"")</f>
        <v/>
      </c>
      <c r="L1771" s="128" t="str">
        <f>IFERROR(IF([1]K_Summary!$L$1756 = "", "", [1]K_Summary!$L$1756 ),"")</f>
        <v/>
      </c>
      <c r="M1771" s="128" t="str">
        <f>IFERROR(IF([1]K_Summary!$M$1756 = "", "", [1]K_Summary!$M$1756 ),"")</f>
        <v/>
      </c>
      <c r="N1771" s="234" t="str">
        <f>IFERROR(IF([1]K_Summary!$N$1756 = "", "", [1]K_Summary!$N$1756 ),"")</f>
        <v/>
      </c>
    </row>
    <row r="1772" spans="3:14">
      <c r="C1772" s="485"/>
      <c r="D1772" s="776"/>
      <c r="E1772" s="809"/>
      <c r="F1772" s="809"/>
      <c r="G1772" s="813"/>
      <c r="H1772" s="813"/>
      <c r="I1772" s="813"/>
      <c r="J1772" s="813"/>
      <c r="K1772" s="813"/>
      <c r="L1772" s="813"/>
      <c r="M1772" s="813"/>
      <c r="N1772" s="814"/>
    </row>
    <row r="1773" spans="3:14">
      <c r="C1773" s="485"/>
      <c r="D1773" s="776"/>
      <c r="E1773" s="2475" t="s">
        <v>1150</v>
      </c>
      <c r="F1773" s="2410"/>
      <c r="G1773" s="815" t="s">
        <v>2017</v>
      </c>
      <c r="H1773" s="126" t="str">
        <f>IFERROR(IF([1]K_Summary!$H$1758 = "", "", [1]K_Summary!$H$1758 ),"")</f>
        <v/>
      </c>
      <c r="I1773" s="235" t="str">
        <f>IFERROR(IF([1]K_Summary!$I$1758 = "", "", [1]K_Summary!$I$1758 ),"")</f>
        <v/>
      </c>
      <c r="J1773" s="236" t="str">
        <f>IFERROR(IF([1]K_Summary!$J$1758 = "", "", [1]K_Summary!$J$1758 ),"")</f>
        <v/>
      </c>
      <c r="K1773" s="126" t="str">
        <f>IFERROR(IF([1]K_Summary!$K$1758 = "", "", [1]K_Summary!$K$1758 ),"")</f>
        <v/>
      </c>
      <c r="L1773" s="126" t="str">
        <f>IFERROR(IF([1]K_Summary!$L$1758 = "", "", [1]K_Summary!$L$1758 ),"")</f>
        <v/>
      </c>
      <c r="M1773" s="126" t="str">
        <f>IFERROR(IF([1]K_Summary!$M$1758 = "", "", [1]K_Summary!$M$1758 ),"")</f>
        <v/>
      </c>
      <c r="N1773" s="237" t="str">
        <f>IFERROR(IF([1]K_Summary!$N$1758 = "", "", [1]K_Summary!$N$1758 ),"")</f>
        <v/>
      </c>
    </row>
    <row r="1774" spans="3:14" ht="13.15" customHeight="1">
      <c r="C1774" s="485"/>
      <c r="D1774" s="776"/>
      <c r="E1774" s="2475" t="s">
        <v>1149</v>
      </c>
      <c r="F1774" s="2410"/>
      <c r="G1774" s="815" t="s">
        <v>2017</v>
      </c>
      <c r="H1774" s="126" t="str">
        <f>IFERROR(IF([1]K_Summary!$H$1759 = "", "", [1]K_Summary!$H$1759 ),"")</f>
        <v/>
      </c>
      <c r="I1774" s="235" t="str">
        <f>IFERROR(IF([1]K_Summary!$I$1759 = "", "", [1]K_Summary!$I$1759 ),"")</f>
        <v/>
      </c>
      <c r="J1774" s="236" t="str">
        <f>IFERROR(IF([1]K_Summary!$J$1759 = "", "", [1]K_Summary!$J$1759 ),"")</f>
        <v/>
      </c>
      <c r="K1774" s="126" t="str">
        <f>IFERROR(IF([1]K_Summary!$K$1759 = "", "", [1]K_Summary!$K$1759 ),"")</f>
        <v/>
      </c>
      <c r="L1774" s="126" t="str">
        <f>IFERROR(IF([1]K_Summary!$L$1759 = "", "", [1]K_Summary!$L$1759 ),"")</f>
        <v/>
      </c>
      <c r="M1774" s="126" t="str">
        <f>IFERROR(IF([1]K_Summary!$M$1759 = "", "", [1]K_Summary!$M$1759 ),"")</f>
        <v/>
      </c>
      <c r="N1774" s="237" t="str">
        <f>IFERROR(IF([1]K_Summary!$N$1759 = "", "", [1]K_Summary!$N$1759 ),"")</f>
        <v/>
      </c>
    </row>
    <row r="1775" spans="3:14">
      <c r="C1775" s="485"/>
      <c r="D1775" s="776"/>
      <c r="E1775" s="809"/>
      <c r="F1775" s="809"/>
      <c r="G1775" s="777"/>
      <c r="H1775" s="813"/>
      <c r="I1775" s="813"/>
      <c r="J1775" s="813"/>
      <c r="K1775" s="813"/>
      <c r="L1775" s="813"/>
      <c r="M1775" s="813"/>
      <c r="N1775" s="814"/>
    </row>
    <row r="1776" spans="3:14">
      <c r="C1776" s="485"/>
      <c r="D1776" s="776"/>
      <c r="E1776" s="2471" t="s">
        <v>1079</v>
      </c>
      <c r="F1776" s="2472"/>
      <c r="G1776" s="811" t="s">
        <v>2017</v>
      </c>
      <c r="H1776" s="127" t="str">
        <f>IFERROR(IF([1]K_Summary!$H$1761 = "", "", [1]K_Summary!$H$1761 ),"")</f>
        <v/>
      </c>
      <c r="I1776" s="229" t="str">
        <f>IFERROR(IF([1]K_Summary!$I$1761 = "", "", [1]K_Summary!$I$1761 ),"")</f>
        <v/>
      </c>
      <c r="J1776" s="230" t="str">
        <f>IFERROR(IF([1]K_Summary!$J$1761 = "", "", [1]K_Summary!$J$1761 ),"")</f>
        <v/>
      </c>
      <c r="K1776" s="127" t="str">
        <f>IFERROR(IF([1]K_Summary!$K$1761 = "", "", [1]K_Summary!$K$1761 ),"")</f>
        <v/>
      </c>
      <c r="L1776" s="127" t="str">
        <f>IFERROR(IF([1]K_Summary!$L$1761 = "", "", [1]K_Summary!$L$1761 ),"")</f>
        <v/>
      </c>
      <c r="M1776" s="127" t="str">
        <f>IFERROR(IF([1]K_Summary!$M$1761 = "", "", [1]K_Summary!$M$1761 ),"")</f>
        <v/>
      </c>
      <c r="N1776" s="231" t="str">
        <f>IFERROR(IF([1]K_Summary!$N$1761 = "", "", [1]K_Summary!$N$1761 ),"")</f>
        <v/>
      </c>
    </row>
    <row r="1777" spans="3:14">
      <c r="C1777" s="485"/>
      <c r="D1777" s="776"/>
      <c r="E1777" s="2473" t="s">
        <v>1104</v>
      </c>
      <c r="F1777" s="2474"/>
      <c r="G1777" s="812" t="s">
        <v>2018</v>
      </c>
      <c r="H1777" s="128" t="str">
        <f>IFERROR(IF([1]K_Summary!$H$1762 = "", "", [1]K_Summary!$H$1762 ),"")</f>
        <v/>
      </c>
      <c r="I1777" s="232" t="str">
        <f>IFERROR(IF([1]K_Summary!$I$1762 = "", "", [1]K_Summary!$I$1762 ),"")</f>
        <v/>
      </c>
      <c r="J1777" s="233" t="str">
        <f>IFERROR(IF([1]K_Summary!$J$1762 = "", "", [1]K_Summary!$J$1762 ),"")</f>
        <v/>
      </c>
      <c r="K1777" s="128" t="str">
        <f>IFERROR(IF([1]K_Summary!$K$1762 = "", "", [1]K_Summary!$K$1762 ),"")</f>
        <v/>
      </c>
      <c r="L1777" s="128" t="str">
        <f>IFERROR(IF([1]K_Summary!$L$1762 = "", "", [1]K_Summary!$L$1762 ),"")</f>
        <v/>
      </c>
      <c r="M1777" s="128" t="str">
        <f>IFERROR(IF([1]K_Summary!$M$1762 = "", "", [1]K_Summary!$M$1762 ),"")</f>
        <v/>
      </c>
      <c r="N1777" s="234" t="str">
        <f>IFERROR(IF([1]K_Summary!$N$1762 = "", "", [1]K_Summary!$N$1762 ),"")</f>
        <v/>
      </c>
    </row>
    <row r="1778" spans="3:14">
      <c r="C1778" s="485"/>
      <c r="D1778" s="776"/>
      <c r="E1778" s="809"/>
      <c r="F1778" s="809"/>
      <c r="G1778" s="777"/>
      <c r="H1778" s="813"/>
      <c r="I1778" s="813"/>
      <c r="J1778" s="813"/>
      <c r="K1778" s="813"/>
      <c r="L1778" s="813"/>
      <c r="M1778" s="813"/>
      <c r="N1778" s="814"/>
    </row>
    <row r="1779" spans="3:14">
      <c r="C1779" s="485"/>
      <c r="D1779" s="776"/>
      <c r="E1779" s="2471" t="s">
        <v>1141</v>
      </c>
      <c r="F1779" s="2472"/>
      <c r="G1779" s="811" t="s">
        <v>2017</v>
      </c>
      <c r="H1779" s="127" t="str">
        <f>IFERROR(IF([1]K_Summary!$H$1764 = "", "", [1]K_Summary!$H$1764 ),"")</f>
        <v/>
      </c>
      <c r="I1779" s="229" t="str">
        <f>IFERROR(IF([1]K_Summary!$I$1764 = "", "", [1]K_Summary!$I$1764 ),"")</f>
        <v/>
      </c>
      <c r="J1779" s="230" t="str">
        <f>IFERROR(IF([1]K_Summary!$J$1764 = "", "", [1]K_Summary!$J$1764 ),"")</f>
        <v/>
      </c>
      <c r="K1779" s="127" t="str">
        <f>IFERROR(IF([1]K_Summary!$K$1764 = "", "", [1]K_Summary!$K$1764 ),"")</f>
        <v/>
      </c>
      <c r="L1779" s="127" t="str">
        <f>IFERROR(IF([1]K_Summary!$L$1764 = "", "", [1]K_Summary!$L$1764 ),"")</f>
        <v/>
      </c>
      <c r="M1779" s="127" t="str">
        <f>IFERROR(IF([1]K_Summary!$M$1764 = "", "", [1]K_Summary!$M$1764 ),"")</f>
        <v/>
      </c>
      <c r="N1779" s="231" t="str">
        <f>IFERROR(IF([1]K_Summary!$N$1764 = "", "", [1]K_Summary!$N$1764 ),"")</f>
        <v/>
      </c>
    </row>
    <row r="1780" spans="3:14" ht="13.15" customHeight="1">
      <c r="C1780" s="485"/>
      <c r="D1780" s="776"/>
      <c r="E1780" s="2473" t="s">
        <v>1258</v>
      </c>
      <c r="F1780" s="2474"/>
      <c r="G1780" s="812" t="s">
        <v>2018</v>
      </c>
      <c r="H1780" s="128" t="str">
        <f>IFERROR(IF([1]K_Summary!$H$1765 = "", "", [1]K_Summary!$H$1765 ),"")</f>
        <v/>
      </c>
      <c r="I1780" s="232" t="str">
        <f>IFERROR(IF([1]K_Summary!$I$1765 = "", "", [1]K_Summary!$I$1765 ),"")</f>
        <v/>
      </c>
      <c r="J1780" s="233" t="str">
        <f>IFERROR(IF([1]K_Summary!$J$1765 = "", "", [1]K_Summary!$J$1765 ),"")</f>
        <v/>
      </c>
      <c r="K1780" s="128" t="str">
        <f>IFERROR(IF([1]K_Summary!$K$1765 = "", "", [1]K_Summary!$K$1765 ),"")</f>
        <v/>
      </c>
      <c r="L1780" s="128" t="str">
        <f>IFERROR(IF([1]K_Summary!$L$1765 = "", "", [1]K_Summary!$L$1765 ),"")</f>
        <v/>
      </c>
      <c r="M1780" s="128" t="str">
        <f>IFERROR(IF([1]K_Summary!$M$1765 = "", "", [1]K_Summary!$M$1765 ),"")</f>
        <v/>
      </c>
      <c r="N1780" s="234" t="str">
        <f>IFERROR(IF([1]K_Summary!$N$1765 = "", "", [1]K_Summary!$N$1765 ),"")</f>
        <v/>
      </c>
    </row>
    <row r="1781" spans="3:14">
      <c r="C1781" s="485"/>
      <c r="D1781" s="776"/>
      <c r="E1781" s="2471" t="s">
        <v>1309</v>
      </c>
      <c r="F1781" s="2472"/>
      <c r="G1781" s="811" t="s">
        <v>2017</v>
      </c>
      <c r="H1781" s="127" t="str">
        <f>IFERROR(IF([1]K_Summary!$H$1766 = "", "", [1]K_Summary!$H$1766 ),"")</f>
        <v/>
      </c>
      <c r="I1781" s="229" t="str">
        <f>IFERROR(IF([1]K_Summary!$I$1766 = "", "", [1]K_Summary!$I$1766 ),"")</f>
        <v/>
      </c>
      <c r="J1781" s="230" t="str">
        <f>IFERROR(IF([1]K_Summary!$J$1766 = "", "", [1]K_Summary!$J$1766 ),"")</f>
        <v/>
      </c>
      <c r="K1781" s="127" t="str">
        <f>IFERROR(IF([1]K_Summary!$K$1766 = "", "", [1]K_Summary!$K$1766 ),"")</f>
        <v/>
      </c>
      <c r="L1781" s="127" t="str">
        <f>IFERROR(IF([1]K_Summary!$L$1766 = "", "", [1]K_Summary!$L$1766 ),"")</f>
        <v/>
      </c>
      <c r="M1781" s="127" t="str">
        <f>IFERROR(IF([1]K_Summary!$M$1766 = "", "", [1]K_Summary!$M$1766 ),"")</f>
        <v/>
      </c>
      <c r="N1781" s="231" t="str">
        <f>IFERROR(IF([1]K_Summary!$N$1766 = "", "", [1]K_Summary!$N$1766 ),"")</f>
        <v/>
      </c>
    </row>
    <row r="1782" spans="3:14" ht="13.15" customHeight="1">
      <c r="C1782" s="485"/>
      <c r="D1782" s="776"/>
      <c r="E1782" s="2473" t="s">
        <v>1307</v>
      </c>
      <c r="F1782" s="2474"/>
      <c r="G1782" s="812" t="s">
        <v>2018</v>
      </c>
      <c r="H1782" s="128" t="str">
        <f>IFERROR(IF([1]K_Summary!$H$1767 = "", "", [1]K_Summary!$H$1767 ),"")</f>
        <v/>
      </c>
      <c r="I1782" s="232" t="str">
        <f>IFERROR(IF([1]K_Summary!$I$1767 = "", "", [1]K_Summary!$I$1767 ),"")</f>
        <v/>
      </c>
      <c r="J1782" s="233" t="str">
        <f>IFERROR(IF([1]K_Summary!$J$1767 = "", "", [1]K_Summary!$J$1767 ),"")</f>
        <v/>
      </c>
      <c r="K1782" s="128" t="str">
        <f>IFERROR(IF([1]K_Summary!$K$1767 = "", "", [1]K_Summary!$K$1767 ),"")</f>
        <v/>
      </c>
      <c r="L1782" s="128" t="str">
        <f>IFERROR(IF([1]K_Summary!$L$1767 = "", "", [1]K_Summary!$L$1767 ),"")</f>
        <v/>
      </c>
      <c r="M1782" s="128" t="str">
        <f>IFERROR(IF([1]K_Summary!$M$1767 = "", "", [1]K_Summary!$M$1767 ),"")</f>
        <v/>
      </c>
      <c r="N1782" s="234" t="str">
        <f>IFERROR(IF([1]K_Summary!$N$1767 = "", "", [1]K_Summary!$N$1767 ),"")</f>
        <v/>
      </c>
    </row>
    <row r="1783" spans="3:14">
      <c r="C1783" s="485"/>
      <c r="D1783" s="776"/>
      <c r="E1783" s="2471" t="s">
        <v>1288</v>
      </c>
      <c r="F1783" s="2472"/>
      <c r="G1783" s="811" t="s">
        <v>2017</v>
      </c>
      <c r="H1783" s="127" t="str">
        <f>IFERROR(IF([1]K_Summary!$H$1768 = "", "", [1]K_Summary!$H$1768 ),"")</f>
        <v/>
      </c>
      <c r="I1783" s="229" t="str">
        <f>IFERROR(IF([1]K_Summary!$I$1768 = "", "", [1]K_Summary!$I$1768 ),"")</f>
        <v/>
      </c>
      <c r="J1783" s="230" t="str">
        <f>IFERROR(IF([1]K_Summary!$J$1768 = "", "", [1]K_Summary!$J$1768 ),"")</f>
        <v/>
      </c>
      <c r="K1783" s="127" t="str">
        <f>IFERROR(IF([1]K_Summary!$K$1768 = "", "", [1]K_Summary!$K$1768 ),"")</f>
        <v/>
      </c>
      <c r="L1783" s="127" t="str">
        <f>IFERROR(IF([1]K_Summary!$L$1768 = "", "", [1]K_Summary!$L$1768 ),"")</f>
        <v/>
      </c>
      <c r="M1783" s="127" t="str">
        <f>IFERROR(IF([1]K_Summary!$M$1768 = "", "", [1]K_Summary!$M$1768 ),"")</f>
        <v/>
      </c>
      <c r="N1783" s="231" t="str">
        <f>IFERROR(IF([1]K_Summary!$N$1768 = "", "", [1]K_Summary!$N$1768 ),"")</f>
        <v/>
      </c>
    </row>
    <row r="1784" spans="3:14">
      <c r="C1784" s="485"/>
      <c r="D1784" s="776"/>
      <c r="E1784" s="2473" t="s">
        <v>1308</v>
      </c>
      <c r="F1784" s="2474"/>
      <c r="G1784" s="812" t="s">
        <v>2018</v>
      </c>
      <c r="H1784" s="128" t="str">
        <f>IFERROR(IF([1]K_Summary!$H$1769 = "", "", [1]K_Summary!$H$1769 ),"")</f>
        <v/>
      </c>
      <c r="I1784" s="232" t="str">
        <f>IFERROR(IF([1]K_Summary!$I$1769 = "", "", [1]K_Summary!$I$1769 ),"")</f>
        <v/>
      </c>
      <c r="J1784" s="233" t="str">
        <f>IFERROR(IF([1]K_Summary!$J$1769 = "", "", [1]K_Summary!$J$1769 ),"")</f>
        <v/>
      </c>
      <c r="K1784" s="128" t="str">
        <f>IFERROR(IF([1]K_Summary!$K$1769 = "", "", [1]K_Summary!$K$1769 ),"")</f>
        <v/>
      </c>
      <c r="L1784" s="128" t="str">
        <f>IFERROR(IF([1]K_Summary!$L$1769 = "", "", [1]K_Summary!$L$1769 ),"")</f>
        <v/>
      </c>
      <c r="M1784" s="128" t="str">
        <f>IFERROR(IF([1]K_Summary!$M$1769 = "", "", [1]K_Summary!$M$1769 ),"")</f>
        <v/>
      </c>
      <c r="N1784" s="234" t="str">
        <f>IFERROR(IF([1]K_Summary!$N$1769 = "", "", [1]K_Summary!$N$1769 ),"")</f>
        <v/>
      </c>
    </row>
    <row r="1785" spans="3:14">
      <c r="C1785" s="485"/>
      <c r="D1785" s="776"/>
      <c r="E1785" s="2471" t="s">
        <v>1102</v>
      </c>
      <c r="F1785" s="2472"/>
      <c r="G1785" s="811" t="s">
        <v>2017</v>
      </c>
      <c r="H1785" s="127" t="str">
        <f>IFERROR(IF([1]K_Summary!$H$1770 = "", "", [1]K_Summary!$H$1770 ),"")</f>
        <v/>
      </c>
      <c r="I1785" s="229" t="str">
        <f>IFERROR(IF([1]K_Summary!$I$1770 = "", "", [1]K_Summary!$I$1770 ),"")</f>
        <v/>
      </c>
      <c r="J1785" s="230" t="str">
        <f>IFERROR(IF([1]K_Summary!$J$1770 = "", "", [1]K_Summary!$J$1770 ),"")</f>
        <v/>
      </c>
      <c r="K1785" s="127" t="str">
        <f>IFERROR(IF([1]K_Summary!$K$1770 = "", "", [1]K_Summary!$K$1770 ),"")</f>
        <v/>
      </c>
      <c r="L1785" s="127" t="str">
        <f>IFERROR(IF([1]K_Summary!$L$1770 = "", "", [1]K_Summary!$L$1770 ),"")</f>
        <v/>
      </c>
      <c r="M1785" s="127" t="str">
        <f>IFERROR(IF([1]K_Summary!$M$1770 = "", "", [1]K_Summary!$M$1770 ),"")</f>
        <v/>
      </c>
      <c r="N1785" s="231" t="str">
        <f>IFERROR(IF([1]K_Summary!$N$1770 = "", "", [1]K_Summary!$N$1770 ),"")</f>
        <v/>
      </c>
    </row>
    <row r="1786" spans="3:14">
      <c r="C1786" s="485"/>
      <c r="D1786" s="776"/>
      <c r="E1786" s="816" t="s">
        <v>1275</v>
      </c>
      <c r="F1786" s="816"/>
      <c r="G1786" s="812" t="s">
        <v>2018</v>
      </c>
      <c r="H1786" s="128" t="str">
        <f>IFERROR(IF([1]K_Summary!$H$1771 = "", "", [1]K_Summary!$H$1771 ),"")</f>
        <v/>
      </c>
      <c r="I1786" s="232" t="str">
        <f>IFERROR(IF([1]K_Summary!$I$1771 = "", "", [1]K_Summary!$I$1771 ),"")</f>
        <v/>
      </c>
      <c r="J1786" s="233" t="str">
        <f>IFERROR(IF([1]K_Summary!$J$1771 = "", "", [1]K_Summary!$J$1771 ),"")</f>
        <v/>
      </c>
      <c r="K1786" s="128" t="str">
        <f>IFERROR(IF([1]K_Summary!$K$1771 = "", "", [1]K_Summary!$K$1771 ),"")</f>
        <v/>
      </c>
      <c r="L1786" s="128" t="str">
        <f>IFERROR(IF([1]K_Summary!$L$1771 = "", "", [1]K_Summary!$L$1771 ),"")</f>
        <v/>
      </c>
      <c r="M1786" s="128" t="str">
        <f>IFERROR(IF([1]K_Summary!$M$1771 = "", "", [1]K_Summary!$M$1771 ),"")</f>
        <v/>
      </c>
      <c r="N1786" s="234" t="str">
        <f>IFERROR(IF([1]K_Summary!$N$1771 = "", "", [1]K_Summary!$N$1771 ),"")</f>
        <v/>
      </c>
    </row>
    <row r="1787" spans="3:14">
      <c r="C1787" s="485"/>
      <c r="D1787" s="776"/>
      <c r="E1787" s="2471" t="s">
        <v>1080</v>
      </c>
      <c r="F1787" s="2472"/>
      <c r="G1787" s="811" t="s">
        <v>2017</v>
      </c>
      <c r="H1787" s="127" t="str">
        <f>IFERROR(IF([1]K_Summary!$H$1772 = "", "", [1]K_Summary!$H$1772 ),"")</f>
        <v/>
      </c>
      <c r="I1787" s="229" t="str">
        <f>IFERROR(IF([1]K_Summary!$I$1772 = "", "", [1]K_Summary!$I$1772 ),"")</f>
        <v/>
      </c>
      <c r="J1787" s="230" t="str">
        <f>IFERROR(IF([1]K_Summary!$J$1772 = "", "", [1]K_Summary!$J$1772 ),"")</f>
        <v/>
      </c>
      <c r="K1787" s="127" t="str">
        <f>IFERROR(IF([1]K_Summary!$K$1772 = "", "", [1]K_Summary!$K$1772 ),"")</f>
        <v/>
      </c>
      <c r="L1787" s="127" t="str">
        <f>IFERROR(IF([1]K_Summary!$L$1772 = "", "", [1]K_Summary!$L$1772 ),"")</f>
        <v/>
      </c>
      <c r="M1787" s="127" t="str">
        <f>IFERROR(IF([1]K_Summary!$M$1772 = "", "", [1]K_Summary!$M$1772 ),"")</f>
        <v/>
      </c>
      <c r="N1787" s="231" t="str">
        <f>IFERROR(IF([1]K_Summary!$N$1772 = "", "", [1]K_Summary!$N$1772 ),"")</f>
        <v/>
      </c>
    </row>
    <row r="1788" spans="3:14">
      <c r="C1788" s="485"/>
      <c r="D1788" s="776"/>
      <c r="E1788" s="2473" t="s">
        <v>1276</v>
      </c>
      <c r="F1788" s="2474"/>
      <c r="G1788" s="812" t="s">
        <v>2018</v>
      </c>
      <c r="H1788" s="128" t="str">
        <f>IFERROR(IF([1]K_Summary!$H$1773 = "", "", [1]K_Summary!$H$1773 ),"")</f>
        <v/>
      </c>
      <c r="I1788" s="232" t="str">
        <f>IFERROR(IF([1]K_Summary!$I$1773 = "", "", [1]K_Summary!$I$1773 ),"")</f>
        <v/>
      </c>
      <c r="J1788" s="233" t="str">
        <f>IFERROR(IF([1]K_Summary!$J$1773 = "", "", [1]K_Summary!$J$1773 ),"")</f>
        <v/>
      </c>
      <c r="K1788" s="128" t="str">
        <f>IFERROR(IF([1]K_Summary!$K$1773 = "", "", [1]K_Summary!$K$1773 ),"")</f>
        <v/>
      </c>
      <c r="L1788" s="128" t="str">
        <f>IFERROR(IF([1]K_Summary!$L$1773 = "", "", [1]K_Summary!$L$1773 ),"")</f>
        <v/>
      </c>
      <c r="M1788" s="128" t="str">
        <f>IFERROR(IF([1]K_Summary!$M$1773 = "", "", [1]K_Summary!$M$1773 ),"")</f>
        <v/>
      </c>
      <c r="N1788" s="234" t="str">
        <f>IFERROR(IF([1]K_Summary!$N$1773 = "", "", [1]K_Summary!$N$1773 ),"")</f>
        <v/>
      </c>
    </row>
    <row r="1789" spans="3:14">
      <c r="C1789" s="485"/>
      <c r="D1789" s="776"/>
      <c r="E1789" s="809"/>
      <c r="F1789" s="809"/>
      <c r="G1789" s="777"/>
      <c r="H1789" s="813"/>
      <c r="I1789" s="813"/>
      <c r="J1789" s="813"/>
      <c r="K1789" s="813"/>
      <c r="L1789" s="813"/>
      <c r="M1789" s="813"/>
      <c r="N1789" s="814"/>
    </row>
    <row r="1790" spans="3:14">
      <c r="C1790" s="485"/>
      <c r="D1790" s="776"/>
      <c r="E1790" s="2475" t="s">
        <v>914</v>
      </c>
      <c r="F1790" s="2410"/>
      <c r="G1790" s="815" t="s">
        <v>2021</v>
      </c>
      <c r="H1790" s="126" t="str">
        <f>IFERROR(IF([1]K_Summary!$H$1775 = "", "", [1]K_Summary!$H$1775 ),"")</f>
        <v/>
      </c>
      <c r="I1790" s="235" t="str">
        <f>IFERROR(IF([1]K_Summary!$I$1775 = "", "", [1]K_Summary!$I$1775 ),"")</f>
        <v/>
      </c>
      <c r="J1790" s="236" t="str">
        <f>IFERROR(IF([1]K_Summary!$J$1775 = "", "", [1]K_Summary!$J$1775 ),"")</f>
        <v/>
      </c>
      <c r="K1790" s="126" t="str">
        <f>IFERROR(IF([1]K_Summary!$K$1775 = "", "", [1]K_Summary!$K$1775 ),"")</f>
        <v/>
      </c>
      <c r="L1790" s="126" t="str">
        <f>IFERROR(IF([1]K_Summary!$L$1775 = "", "", [1]K_Summary!$L$1775 ),"")</f>
        <v/>
      </c>
      <c r="M1790" s="126" t="str">
        <f>IFERROR(IF([1]K_Summary!$M$1775 = "", "", [1]K_Summary!$M$1775 ),"")</f>
        <v/>
      </c>
      <c r="N1790" s="237" t="str">
        <f>IFERROR(IF([1]K_Summary!$N$1775 = "", "", [1]K_Summary!$N$1775 ),"")</f>
        <v/>
      </c>
    </row>
    <row r="1791" spans="3:14">
      <c r="C1791" s="485"/>
      <c r="D1791" s="776"/>
      <c r="E1791" s="2475" t="s">
        <v>1354</v>
      </c>
      <c r="F1791" s="2410"/>
      <c r="G1791" s="815" t="s">
        <v>2021</v>
      </c>
      <c r="H1791" s="126" t="str">
        <f>IFERROR(IF([1]K_Summary!$H$1776 = "", "", [1]K_Summary!$H$1776 ),"")</f>
        <v/>
      </c>
      <c r="I1791" s="235" t="str">
        <f>IFERROR(IF([1]K_Summary!$I$1776 = "", "", [1]K_Summary!$I$1776 ),"")</f>
        <v/>
      </c>
      <c r="J1791" s="236" t="str">
        <f>IFERROR(IF([1]K_Summary!$J$1776 = "", "", [1]K_Summary!$J$1776 ),"")</f>
        <v/>
      </c>
      <c r="K1791" s="126" t="str">
        <f>IFERROR(IF([1]K_Summary!$K$1776 = "", "", [1]K_Summary!$K$1776 ),"")</f>
        <v/>
      </c>
      <c r="L1791" s="126" t="str">
        <f>IFERROR(IF([1]K_Summary!$L$1776 = "", "", [1]K_Summary!$L$1776 ),"")</f>
        <v/>
      </c>
      <c r="M1791" s="126" t="str">
        <f>IFERROR(IF([1]K_Summary!$M$1776 = "", "", [1]K_Summary!$M$1776 ),"")</f>
        <v/>
      </c>
      <c r="N1791" s="237" t="str">
        <f>IFERROR(IF([1]K_Summary!$N$1776 = "", "", [1]K_Summary!$N$1776 ),"")</f>
        <v/>
      </c>
    </row>
    <row r="1792" spans="3:14">
      <c r="C1792" s="485"/>
      <c r="D1792" s="776"/>
      <c r="E1792" s="809"/>
      <c r="F1792" s="809"/>
      <c r="G1792" s="777"/>
      <c r="H1792" s="813"/>
      <c r="I1792" s="813"/>
      <c r="J1792" s="813"/>
      <c r="K1792" s="813"/>
      <c r="L1792" s="813"/>
      <c r="M1792" s="813"/>
      <c r="N1792" s="814"/>
    </row>
    <row r="1793" spans="3:14">
      <c r="C1793" s="485"/>
      <c r="D1793" s="776"/>
      <c r="E1793" s="2475" t="s">
        <v>1157</v>
      </c>
      <c r="F1793" s="2410"/>
      <c r="G1793" s="815" t="s">
        <v>1020</v>
      </c>
      <c r="H1793" s="126" t="str">
        <f>IFERROR(IF([1]K_Summary!$H$1778 = "", "", [1]K_Summary!$H$1778 ),"")</f>
        <v/>
      </c>
      <c r="I1793" s="235" t="str">
        <f>IFERROR(IF([1]K_Summary!$I$1778 = "", "", [1]K_Summary!$I$1778 ),"")</f>
        <v/>
      </c>
      <c r="J1793" s="236" t="str">
        <f>IFERROR(IF([1]K_Summary!$J$1778 = "", "", [1]K_Summary!$J$1778 ),"")</f>
        <v/>
      </c>
      <c r="K1793" s="126" t="str">
        <f>IFERROR(IF([1]K_Summary!$K$1778 = "", "", [1]K_Summary!$K$1778 ),"")</f>
        <v/>
      </c>
      <c r="L1793" s="126" t="str">
        <f>IFERROR(IF([1]K_Summary!$L$1778 = "", "", [1]K_Summary!$L$1778 ),"")</f>
        <v/>
      </c>
      <c r="M1793" s="126" t="str">
        <f>IFERROR(IF([1]K_Summary!$M$1778 = "", "", [1]K_Summary!$M$1778 ),"")</f>
        <v/>
      </c>
      <c r="N1793" s="237" t="str">
        <f>IFERROR(IF([1]K_Summary!$N$1778 = "", "", [1]K_Summary!$N$1778 ),"")</f>
        <v/>
      </c>
    </row>
    <row r="1794" spans="3:14">
      <c r="C1794" s="485"/>
      <c r="D1794" s="776"/>
      <c r="E1794" s="809"/>
      <c r="F1794" s="809"/>
      <c r="G1794" s="777"/>
      <c r="H1794" s="813"/>
      <c r="I1794" s="813"/>
      <c r="J1794" s="813"/>
      <c r="K1794" s="813"/>
      <c r="L1794" s="813"/>
      <c r="M1794" s="813"/>
      <c r="N1794" s="814"/>
    </row>
    <row r="1795" spans="3:14">
      <c r="C1795" s="485"/>
      <c r="D1795" s="776"/>
      <c r="E1795" s="2492" t="s">
        <v>1440</v>
      </c>
      <c r="F1795" s="2493"/>
      <c r="G1795" s="777"/>
      <c r="H1795" s="813"/>
      <c r="I1795" s="813"/>
      <c r="J1795" s="813"/>
      <c r="K1795" s="813"/>
      <c r="L1795" s="813"/>
      <c r="M1795" s="813"/>
      <c r="N1795" s="814"/>
    </row>
    <row r="1796" spans="3:14">
      <c r="C1796" s="485"/>
      <c r="D1796" s="776"/>
      <c r="E1796" s="2487" t="str">
        <f>IFERROR(IF([1]K_Summary!$E$1781 = "", "", [1]K_Summary!$E$1781 ),"")</f>
        <v/>
      </c>
      <c r="F1796" s="2488"/>
      <c r="G1796" s="815" t="s">
        <v>1020</v>
      </c>
      <c r="H1796" s="126" t="str">
        <f>IFERROR(IF([1]K_Summary!$H$1781 = "", "", [1]K_Summary!$H$1781 ),"")</f>
        <v/>
      </c>
      <c r="I1796" s="235" t="str">
        <f>IFERROR(IF([1]K_Summary!$I$1781 = "", "", [1]K_Summary!$I$1781 ),"")</f>
        <v/>
      </c>
      <c r="J1796" s="236" t="str">
        <f>IFERROR(IF([1]K_Summary!$J$1781 = "", "", [1]K_Summary!$J$1781 ),"")</f>
        <v/>
      </c>
      <c r="K1796" s="126" t="str">
        <f>IFERROR(IF([1]K_Summary!$K$1781 = "", "", [1]K_Summary!$K$1781 ),"")</f>
        <v/>
      </c>
      <c r="L1796" s="126" t="str">
        <f>IFERROR(IF([1]K_Summary!$L$1781 = "", "", [1]K_Summary!$L$1781 ),"")</f>
        <v/>
      </c>
      <c r="M1796" s="126" t="str">
        <f>IFERROR(IF([1]K_Summary!$M$1781 = "", "", [1]K_Summary!$M$1781 ),"")</f>
        <v/>
      </c>
      <c r="N1796" s="237" t="str">
        <f>IFERROR(IF([1]K_Summary!$N$1781 = "", "", [1]K_Summary!$N$1781 ),"")</f>
        <v/>
      </c>
    </row>
    <row r="1797" spans="3:14">
      <c r="C1797" s="485"/>
      <c r="D1797" s="776"/>
      <c r="E1797" s="2487" t="str">
        <f>IFERROR(IF([1]K_Summary!$E$1782 = "", "", [1]K_Summary!$E$1782 ),"")</f>
        <v/>
      </c>
      <c r="F1797" s="2488"/>
      <c r="G1797" s="815" t="s">
        <v>1020</v>
      </c>
      <c r="H1797" s="126" t="str">
        <f>IFERROR(IF([1]K_Summary!$H$1782 = "", "", [1]K_Summary!$H$1782 ),"")</f>
        <v/>
      </c>
      <c r="I1797" s="235" t="str">
        <f>IFERROR(IF([1]K_Summary!$I$1782 = "", "", [1]K_Summary!$I$1782 ),"")</f>
        <v/>
      </c>
      <c r="J1797" s="236" t="str">
        <f>IFERROR(IF([1]K_Summary!$J$1782 = "", "", [1]K_Summary!$J$1782 ),"")</f>
        <v/>
      </c>
      <c r="K1797" s="126" t="str">
        <f>IFERROR(IF([1]K_Summary!$K$1782 = "", "", [1]K_Summary!$K$1782 ),"")</f>
        <v/>
      </c>
      <c r="L1797" s="126" t="str">
        <f>IFERROR(IF([1]K_Summary!$L$1782 = "", "", [1]K_Summary!$L$1782 ),"")</f>
        <v/>
      </c>
      <c r="M1797" s="126" t="str">
        <f>IFERROR(IF([1]K_Summary!$M$1782 = "", "", [1]K_Summary!$M$1782 ),"")</f>
        <v/>
      </c>
      <c r="N1797" s="237" t="str">
        <f>IFERROR(IF([1]K_Summary!$N$1782 = "", "", [1]K_Summary!$N$1782 ),"")</f>
        <v/>
      </c>
    </row>
    <row r="1798" spans="3:14">
      <c r="C1798" s="485"/>
      <c r="D1798" s="776"/>
      <c r="E1798" s="2475" t="s">
        <v>1441</v>
      </c>
      <c r="F1798" s="2410"/>
      <c r="G1798" s="777"/>
      <c r="H1798" s="813"/>
      <c r="I1798" s="813"/>
      <c r="J1798" s="813"/>
      <c r="K1798" s="813"/>
      <c r="L1798" s="813"/>
      <c r="M1798" s="813"/>
      <c r="N1798" s="814"/>
    </row>
    <row r="1799" spans="3:14">
      <c r="C1799" s="485"/>
      <c r="D1799" s="776"/>
      <c r="E1799" s="2487" t="str">
        <f>IFERROR(IF([1]K_Summary!$E$1784 = "", "", [1]K_Summary!$E$1784 ),"")</f>
        <v/>
      </c>
      <c r="F1799" s="2488"/>
      <c r="G1799" s="815" t="s">
        <v>1020</v>
      </c>
      <c r="H1799" s="126" t="str">
        <f>IFERROR(IF([1]K_Summary!$H$1784 = "", "", [1]K_Summary!$H$1784 ),"")</f>
        <v/>
      </c>
      <c r="I1799" s="235" t="str">
        <f>IFERROR(IF([1]K_Summary!$I$1784 = "", "", [1]K_Summary!$I$1784 ),"")</f>
        <v/>
      </c>
      <c r="J1799" s="236" t="str">
        <f>IFERROR(IF([1]K_Summary!$J$1784 = "", "", [1]K_Summary!$J$1784 ),"")</f>
        <v/>
      </c>
      <c r="K1799" s="126" t="str">
        <f>IFERROR(IF([1]K_Summary!$K$1784 = "", "", [1]K_Summary!$K$1784 ),"")</f>
        <v/>
      </c>
      <c r="L1799" s="126" t="str">
        <f>IFERROR(IF([1]K_Summary!$L$1784 = "", "", [1]K_Summary!$L$1784 ),"")</f>
        <v/>
      </c>
      <c r="M1799" s="126" t="str">
        <f>IFERROR(IF([1]K_Summary!$M$1784 = "", "", [1]K_Summary!$M$1784 ),"")</f>
        <v/>
      </c>
      <c r="N1799" s="237" t="str">
        <f>IFERROR(IF([1]K_Summary!$N$1784 = "", "", [1]K_Summary!$N$1784 ),"")</f>
        <v/>
      </c>
    </row>
    <row r="1800" spans="3:14">
      <c r="C1800" s="485"/>
      <c r="D1800" s="776"/>
      <c r="E1800" s="2487" t="str">
        <f>IFERROR(IF([1]K_Summary!$E$1785 = "", "", [1]K_Summary!$E$1785 ),"")</f>
        <v/>
      </c>
      <c r="F1800" s="2488"/>
      <c r="G1800" s="815" t="s">
        <v>1020</v>
      </c>
      <c r="H1800" s="126" t="str">
        <f>IFERROR(IF([1]K_Summary!$H$1785 = "", "", [1]K_Summary!$H$1785 ),"")</f>
        <v/>
      </c>
      <c r="I1800" s="235" t="str">
        <f>IFERROR(IF([1]K_Summary!$I$1785 = "", "", [1]K_Summary!$I$1785 ),"")</f>
        <v/>
      </c>
      <c r="J1800" s="236" t="str">
        <f>IFERROR(IF([1]K_Summary!$J$1785 = "", "", [1]K_Summary!$J$1785 ),"")</f>
        <v/>
      </c>
      <c r="K1800" s="126" t="str">
        <f>IFERROR(IF([1]K_Summary!$K$1785 = "", "", [1]K_Summary!$K$1785 ),"")</f>
        <v/>
      </c>
      <c r="L1800" s="126" t="str">
        <f>IFERROR(IF([1]K_Summary!$L$1785 = "", "", [1]K_Summary!$L$1785 ),"")</f>
        <v/>
      </c>
      <c r="M1800" s="126" t="str">
        <f>IFERROR(IF([1]K_Summary!$M$1785 = "", "", [1]K_Summary!$M$1785 ),"")</f>
        <v/>
      </c>
      <c r="N1800" s="237" t="str">
        <f>IFERROR(IF([1]K_Summary!$N$1785 = "", "", [1]K_Summary!$N$1785 ),"")</f>
        <v/>
      </c>
    </row>
    <row r="1801" spans="3:14" ht="13.5" thickBot="1">
      <c r="C1801" s="485"/>
      <c r="D1801" s="802"/>
      <c r="E1801" s="803"/>
      <c r="F1801" s="803"/>
      <c r="G1801" s="804"/>
      <c r="H1801" s="804"/>
      <c r="I1801" s="805"/>
      <c r="J1801" s="805"/>
      <c r="K1801" s="805"/>
      <c r="L1801" s="805"/>
      <c r="M1801" s="805"/>
      <c r="N1801" s="806"/>
    </row>
    <row r="1802" spans="3:14" ht="13.5" thickBot="1">
      <c r="C1802" s="485"/>
      <c r="D1802" s="485"/>
      <c r="E1802" s="807"/>
      <c r="F1802" s="562"/>
      <c r="G1802" s="562"/>
      <c r="H1802" s="562"/>
      <c r="I1802" s="562"/>
      <c r="J1802" s="562"/>
      <c r="K1802" s="562"/>
      <c r="L1802" s="562"/>
      <c r="M1802" s="562"/>
      <c r="N1802" s="562"/>
    </row>
    <row r="1803" spans="3:14">
      <c r="C1803" s="686"/>
      <c r="D1803" s="686"/>
      <c r="E1803" s="686"/>
      <c r="F1803" s="686"/>
      <c r="G1803" s="686"/>
      <c r="H1803" s="686"/>
      <c r="I1803" s="686"/>
      <c r="J1803" s="686"/>
      <c r="K1803" s="686"/>
      <c r="L1803" s="686"/>
      <c r="M1803" s="686"/>
      <c r="N1803" s="686"/>
    </row>
    <row r="1804" spans="3:14" ht="13.9" customHeight="1">
      <c r="C1804" s="559">
        <v>9</v>
      </c>
      <c r="D1804" s="2482" t="s">
        <v>2030</v>
      </c>
      <c r="E1804" s="2482"/>
      <c r="F1804" s="2482"/>
      <c r="G1804" s="2482"/>
      <c r="H1804" s="2483"/>
      <c r="I1804" s="2489" t="str">
        <f>IFERROR(IF([1]K_Summary!$I$1789 = "", "", [1]K_Summary!$I$1789 ),"")</f>
        <v/>
      </c>
      <c r="J1804" s="2490"/>
      <c r="K1804" s="2490"/>
      <c r="L1804" s="2490"/>
      <c r="M1804" s="2490"/>
      <c r="N1804" s="2491"/>
    </row>
    <row r="1805" spans="3:14" ht="15">
      <c r="C1805" s="559"/>
      <c r="D1805" s="559"/>
      <c r="E1805" s="559"/>
      <c r="F1805" s="559"/>
      <c r="G1805" s="559"/>
      <c r="H1805" s="559"/>
      <c r="I1805" s="559"/>
      <c r="J1805" s="559"/>
      <c r="K1805" s="559"/>
      <c r="L1805" s="559"/>
      <c r="M1805" s="559"/>
      <c r="N1805" s="559"/>
    </row>
    <row r="1806" spans="3:14" ht="15">
      <c r="C1806" s="559"/>
      <c r="D1806" s="559"/>
      <c r="E1806" s="559"/>
      <c r="F1806" s="559"/>
      <c r="G1806" s="562"/>
      <c r="H1806" s="688" t="s">
        <v>458</v>
      </c>
      <c r="I1806" s="688" t="s">
        <v>1256</v>
      </c>
      <c r="J1806" s="688" t="s">
        <v>1434</v>
      </c>
      <c r="K1806" s="688" t="s">
        <v>1684</v>
      </c>
      <c r="L1806" s="689" t="s">
        <v>156</v>
      </c>
      <c r="M1806" s="2469" t="s">
        <v>302</v>
      </c>
      <c r="N1806" s="2469"/>
    </row>
    <row r="1807" spans="3:14" ht="15">
      <c r="C1807" s="559"/>
      <c r="D1807" s="559"/>
      <c r="E1807" s="66" t="str">
        <f>IFERROR(IF([1]K_Summary!$E$1792 = "", "", [1]K_Summary!$E$1792 ),"")</f>
        <v/>
      </c>
      <c r="F1807" s="51"/>
      <c r="G1807" s="51"/>
      <c r="H1807" s="143" t="str">
        <f>IFERROR(IF([1]K_Summary!$H$1792 = "", "", [1]K_Summary!$H$1792 ),"")</f>
        <v>N.A.</v>
      </c>
      <c r="I1807" s="143" t="str">
        <f>IFERROR(IF([1]K_Summary!$I$1792 = "", "", [1]K_Summary!$I$1792 ),"")</f>
        <v/>
      </c>
      <c r="J1807" s="53" t="str">
        <f>IFERROR(IF([1]K_Summary!$J$1792 = "", "", [1]K_Summary!$J$1792 ),"")</f>
        <v>N.A.</v>
      </c>
      <c r="K1807" s="53" t="str">
        <f>IFERROR(IF([1]K_Summary!$K$1792 = "", "", [1]K_Summary!$K$1792 ),"")</f>
        <v>N.A.</v>
      </c>
      <c r="L1807" s="144" t="str">
        <f>IFERROR(IF([1]K_Summary!$L$1792 = "", "", [1]K_Summary!$L$1792 ),"")</f>
        <v>N.A.</v>
      </c>
      <c r="M1807" s="145" t="str">
        <f>IFERROR(IF([1]K_Summary!$M$1792 = "", "", [1]K_Summary!$M$1792 ),"")</f>
        <v>N.A.</v>
      </c>
      <c r="N1807" s="50" t="str">
        <f>IFERROR(IF([1]K_Summary!$N$1792 = "", "", [1]K_Summary!$N$1792 ),"")</f>
        <v>EUA/tonnes</v>
      </c>
    </row>
    <row r="1808" spans="3:14" ht="15">
      <c r="C1808" s="485"/>
      <c r="D1808" s="485"/>
      <c r="E1808" s="559"/>
      <c r="F1808" s="562"/>
      <c r="G1808" s="562"/>
      <c r="H1808" s="562"/>
      <c r="I1808" s="562"/>
      <c r="J1808" s="485"/>
      <c r="K1808" s="485"/>
      <c r="L1808" s="485"/>
      <c r="M1808" s="485"/>
      <c r="N1808" s="485"/>
    </row>
    <row r="1809" spans="1:14">
      <c r="C1809" s="485"/>
      <c r="D1809" s="485"/>
      <c r="E1809" s="496"/>
      <c r="F1809" s="482" t="s">
        <v>884</v>
      </c>
      <c r="G1809" s="695" t="s">
        <v>1646</v>
      </c>
      <c r="H1809" s="696">
        <v>2019</v>
      </c>
      <c r="I1809" s="697">
        <v>2020</v>
      </c>
      <c r="J1809" s="696">
        <v>2021</v>
      </c>
      <c r="K1809" s="578">
        <v>2022</v>
      </c>
      <c r="L1809" s="578">
        <v>2023</v>
      </c>
      <c r="M1809" s="578">
        <v>2024</v>
      </c>
      <c r="N1809" s="578">
        <v>2025</v>
      </c>
    </row>
    <row r="1810" spans="1:14">
      <c r="C1810" s="485"/>
      <c r="D1810" s="485"/>
      <c r="E1810" s="698" t="s">
        <v>1665</v>
      </c>
      <c r="F1810" s="146" t="str">
        <f>IFERROR(IF([1]K_Summary!$F$1795 = "", "", [1]K_Summary!$F$1795 ),"")</f>
        <v>tonnes</v>
      </c>
      <c r="G1810" s="147" t="str">
        <f>IFERROR(IF([1]K_Summary!$G$1795 = "", "", [1]K_Summary!$G$1795 ),"")</f>
        <v/>
      </c>
      <c r="H1810" s="148" t="str">
        <f>IFERROR(IF([1]K_Summary!$H$1795 = "", "", [1]K_Summary!$H$1795 ),"")</f>
        <v/>
      </c>
      <c r="I1810" s="149" t="str">
        <f>IFERROR(IF([1]K_Summary!$I$1795 = "", "", [1]K_Summary!$I$1795 ),"")</f>
        <v/>
      </c>
      <c r="J1810" s="148" t="str">
        <f>IFERROR(IF([1]K_Summary!$J$1795 = "", "", [1]K_Summary!$J$1795 ),"")</f>
        <v/>
      </c>
      <c r="K1810" s="150" t="str">
        <f>IFERROR(IF([1]K_Summary!$K$1795 = "", "", [1]K_Summary!$K$1795 ),"")</f>
        <v/>
      </c>
      <c r="L1810" s="150" t="str">
        <f>IFERROR(IF([1]K_Summary!$L$1795 = "", "", [1]K_Summary!$L$1795 ),"")</f>
        <v/>
      </c>
      <c r="M1810" s="150" t="str">
        <f>IFERROR(IF([1]K_Summary!$M$1795 = "", "", [1]K_Summary!$M$1795 ),"")</f>
        <v/>
      </c>
      <c r="N1810" s="150" t="str">
        <f>IFERROR(IF([1]K_Summary!$N$1795 = "", "", [1]K_Summary!$N$1795 ),"")</f>
        <v/>
      </c>
    </row>
    <row r="1811" spans="1:14" ht="15.75" thickBot="1">
      <c r="C1811" s="559"/>
      <c r="D1811" s="559"/>
      <c r="E1811" s="559"/>
      <c r="F1811" s="559"/>
      <c r="G1811" s="559"/>
      <c r="H1811" s="559"/>
      <c r="I1811" s="559"/>
      <c r="J1811" s="559"/>
      <c r="K1811" s="559"/>
      <c r="L1811" s="559"/>
      <c r="M1811" s="559"/>
      <c r="N1811" s="559"/>
    </row>
    <row r="1812" spans="1:14" ht="15">
      <c r="C1812" s="559"/>
      <c r="D1812" s="703"/>
      <c r="E1812" s="704"/>
      <c r="F1812" s="704"/>
      <c r="G1812" s="704"/>
      <c r="H1812" s="704"/>
      <c r="I1812" s="704"/>
      <c r="J1812" s="704"/>
      <c r="K1812" s="704"/>
      <c r="L1812" s="704"/>
      <c r="M1812" s="704"/>
      <c r="N1812" s="705"/>
    </row>
    <row r="1813" spans="1:14" ht="15">
      <c r="C1813" s="559"/>
      <c r="D1813" s="706"/>
      <c r="E1813" s="707" t="s">
        <v>1787</v>
      </c>
      <c r="F1813" s="637"/>
      <c r="G1813" s="637"/>
      <c r="H1813" s="663"/>
      <c r="I1813" s="708"/>
      <c r="J1813" s="709">
        <v>2021</v>
      </c>
      <c r="K1813" s="671">
        <v>2022</v>
      </c>
      <c r="L1813" s="671">
        <v>2023</v>
      </c>
      <c r="M1813" s="671">
        <v>2024</v>
      </c>
      <c r="N1813" s="710">
        <v>2025</v>
      </c>
    </row>
    <row r="1814" spans="1:14" ht="15">
      <c r="C1814" s="559"/>
      <c r="D1814" s="706"/>
      <c r="E1814" s="711" t="s">
        <v>1783</v>
      </c>
      <c r="F1814" s="712"/>
      <c r="G1814" s="712"/>
      <c r="H1814" s="713"/>
      <c r="I1814" s="712"/>
      <c r="J1814" s="151" t="str">
        <f>IFERROR(IF([1]K_Summary!$J$1799 = "", "", [1]K_Summary!$J$1799 ),"")</f>
        <v/>
      </c>
      <c r="K1814" s="152" t="str">
        <f>IFERROR(IF([1]K_Summary!$K$1799 = "", "", [1]K_Summary!$K$1799 ),"")</f>
        <v/>
      </c>
      <c r="L1814" s="152" t="str">
        <f>IFERROR(IF([1]K_Summary!$L$1799 = "", "", [1]K_Summary!$L$1799 ),"")</f>
        <v/>
      </c>
      <c r="M1814" s="152" t="str">
        <f>IFERROR(IF([1]K_Summary!$M$1799 = "", "", [1]K_Summary!$M$1799 ),"")</f>
        <v/>
      </c>
      <c r="N1814" s="153" t="str">
        <f>IFERROR(IF([1]K_Summary!$N$1799 = "", "", [1]K_Summary!$N$1799 ),"")</f>
        <v/>
      </c>
    </row>
    <row r="1815" spans="1:14" ht="15">
      <c r="C1815" s="559"/>
      <c r="D1815" s="706"/>
      <c r="E1815" s="714" t="s">
        <v>1784</v>
      </c>
      <c r="F1815" s="715"/>
      <c r="G1815" s="715"/>
      <c r="H1815" s="716"/>
      <c r="I1815" s="715"/>
      <c r="J1815" s="154" t="str">
        <f>IFERROR(IF([1]K_Summary!$J$1800 = "", "", [1]K_Summary!$J$1800 ),"")</f>
        <v/>
      </c>
      <c r="K1815" s="155" t="str">
        <f>IFERROR(IF([1]K_Summary!$K$1800 = "", "", [1]K_Summary!$K$1800 ),"")</f>
        <v/>
      </c>
      <c r="L1815" s="155" t="str">
        <f>IFERROR(IF([1]K_Summary!$L$1800 = "", "", [1]K_Summary!$L$1800 ),"")</f>
        <v/>
      </c>
      <c r="M1815" s="155" t="str">
        <f>IFERROR(IF([1]K_Summary!$M$1800 = "", "", [1]K_Summary!$M$1800 ),"")</f>
        <v/>
      </c>
      <c r="N1815" s="156" t="str">
        <f>IFERROR(IF([1]K_Summary!$N$1800 = "", "", [1]K_Summary!$N$1800 ),"")</f>
        <v/>
      </c>
    </row>
    <row r="1816" spans="1:14" ht="15">
      <c r="C1816" s="559"/>
      <c r="D1816" s="706"/>
      <c r="E1816" s="559"/>
      <c r="F1816" s="559"/>
      <c r="G1816" s="559"/>
      <c r="H1816" s="559"/>
      <c r="I1816" s="559"/>
      <c r="J1816" s="559"/>
      <c r="K1816" s="559"/>
      <c r="L1816" s="559"/>
      <c r="M1816" s="559"/>
      <c r="N1816" s="717"/>
    </row>
    <row r="1817" spans="1:14" ht="15">
      <c r="C1817" s="559"/>
      <c r="D1817" s="706"/>
      <c r="E1817" s="496" t="s">
        <v>1762</v>
      </c>
      <c r="F1817" s="485"/>
      <c r="G1817" s="485"/>
      <c r="H1817" s="663" t="s">
        <v>884</v>
      </c>
      <c r="I1817" s="708"/>
      <c r="J1817" s="696">
        <v>2021</v>
      </c>
      <c r="K1817" s="578">
        <v>2022</v>
      </c>
      <c r="L1817" s="578">
        <v>2023</v>
      </c>
      <c r="M1817" s="578">
        <v>2024</v>
      </c>
      <c r="N1817" s="718">
        <v>2025</v>
      </c>
    </row>
    <row r="1818" spans="1:14" ht="15" hidden="1">
      <c r="A1818" s="719" t="s">
        <v>2289</v>
      </c>
      <c r="C1818" s="559"/>
      <c r="D1818" s="706"/>
      <c r="E1818" s="698" t="s">
        <v>1714</v>
      </c>
      <c r="F1818" s="698"/>
      <c r="G1818" s="698"/>
      <c r="H1818" s="63" t="str">
        <f>IFERROR(IF([1]K_Summary!$H$1803 = "", "", [1]K_Summary!$H$1803 ),"")</f>
        <v>tonnes</v>
      </c>
      <c r="I1818" s="698"/>
      <c r="J1818" s="157" t="str">
        <f>IFERROR(IF([1]K_Summary!$J$1803 = "", "", [1]K_Summary!$J$1803 ),"")</f>
        <v/>
      </c>
      <c r="K1818" s="147" t="str">
        <f>IFERROR(IF([1]K_Summary!$K$1803 = "", "", [1]K_Summary!$K$1803 ),"")</f>
        <v/>
      </c>
      <c r="L1818" s="147" t="str">
        <f>IFERROR(IF([1]K_Summary!$L$1803 = "", "", [1]K_Summary!$L$1803 ),"")</f>
        <v/>
      </c>
      <c r="M1818" s="147" t="str">
        <f>IFERROR(IF([1]K_Summary!$M$1803 = "", "", [1]K_Summary!$M$1803 ),"")</f>
        <v/>
      </c>
      <c r="N1818" s="158" t="str">
        <f>IFERROR(IF([1]K_Summary!$N$1803 = "", "", [1]K_Summary!$N$1803 ),"")</f>
        <v/>
      </c>
    </row>
    <row r="1819" spans="1:14" ht="15" hidden="1">
      <c r="A1819" s="719" t="s">
        <v>2289</v>
      </c>
      <c r="C1819" s="559"/>
      <c r="D1819" s="706"/>
      <c r="E1819" s="720" t="s">
        <v>303</v>
      </c>
      <c r="F1819" s="720"/>
      <c r="G1819" s="720"/>
      <c r="H1819" s="721" t="s">
        <v>2090</v>
      </c>
      <c r="I1819" s="722"/>
      <c r="J1819" s="159" t="str">
        <f>IFERROR(IF([1]K_Summary!$J$1804 = "", "", [1]K_Summary!$J$1804 ),"")</f>
        <v/>
      </c>
      <c r="K1819" s="160" t="str">
        <f>IFERROR(IF([1]K_Summary!$K$1804 = "", "", [1]K_Summary!$K$1804 ),"")</f>
        <v/>
      </c>
      <c r="L1819" s="160" t="str">
        <f>IFERROR(IF([1]K_Summary!$L$1804 = "", "", [1]K_Summary!$L$1804 ),"")</f>
        <v/>
      </c>
      <c r="M1819" s="160" t="str">
        <f>IFERROR(IF([1]K_Summary!$M$1804 = "", "", [1]K_Summary!$M$1804 ),"")</f>
        <v/>
      </c>
      <c r="N1819" s="161" t="str">
        <f>IFERROR(IF([1]K_Summary!$N$1804 = "", "", [1]K_Summary!$N$1804 ),"")</f>
        <v/>
      </c>
    </row>
    <row r="1820" spans="1:14" ht="15" hidden="1">
      <c r="A1820" s="719" t="s">
        <v>2289</v>
      </c>
      <c r="C1820" s="559"/>
      <c r="D1820" s="706"/>
      <c r="E1820" s="723" t="s">
        <v>1422</v>
      </c>
      <c r="F1820" s="723"/>
      <c r="G1820" s="723"/>
      <c r="H1820" s="724" t="s">
        <v>2090</v>
      </c>
      <c r="I1820" s="725"/>
      <c r="J1820" s="162" t="str">
        <f>IFERROR(IF([1]K_Summary!$J$1805 = "", "", [1]K_Summary!$J$1805 ),"")</f>
        <v/>
      </c>
      <c r="K1820" s="163" t="str">
        <f>IFERROR(IF([1]K_Summary!$K$1805 = "", "", [1]K_Summary!$K$1805 ),"")</f>
        <v/>
      </c>
      <c r="L1820" s="163" t="str">
        <f>IFERROR(IF([1]K_Summary!$L$1805 = "", "", [1]K_Summary!$L$1805 ),"")</f>
        <v/>
      </c>
      <c r="M1820" s="163" t="str">
        <f>IFERROR(IF([1]K_Summary!$M$1805 = "", "", [1]K_Summary!$M$1805 ),"")</f>
        <v/>
      </c>
      <c r="N1820" s="164" t="str">
        <f>IFERROR(IF([1]K_Summary!$N$1805 = "", "", [1]K_Summary!$N$1805 ),"")</f>
        <v/>
      </c>
    </row>
    <row r="1821" spans="1:14" ht="15" hidden="1">
      <c r="A1821" s="719" t="s">
        <v>2289</v>
      </c>
      <c r="C1821" s="559"/>
      <c r="D1821" s="706"/>
      <c r="E1821" s="723" t="s">
        <v>1390</v>
      </c>
      <c r="F1821" s="723"/>
      <c r="G1821" s="723"/>
      <c r="H1821" s="724" t="s">
        <v>2090</v>
      </c>
      <c r="I1821" s="725"/>
      <c r="J1821" s="162" t="str">
        <f>IFERROR(IF([1]K_Summary!$J$1806 = "", "", [1]K_Summary!$J$1806 ),"")</f>
        <v/>
      </c>
      <c r="K1821" s="163" t="str">
        <f>IFERROR(IF([1]K_Summary!$K$1806 = "", "", [1]K_Summary!$K$1806 ),"")</f>
        <v/>
      </c>
      <c r="L1821" s="163" t="str">
        <f>IFERROR(IF([1]K_Summary!$L$1806 = "", "", [1]K_Summary!$L$1806 ),"")</f>
        <v/>
      </c>
      <c r="M1821" s="163" t="str">
        <f>IFERROR(IF([1]K_Summary!$M$1806 = "", "", [1]K_Summary!$M$1806 ),"")</f>
        <v/>
      </c>
      <c r="N1821" s="164" t="str">
        <f>IFERROR(IF([1]K_Summary!$N$1806 = "", "", [1]K_Summary!$N$1806 ),"")</f>
        <v/>
      </c>
    </row>
    <row r="1822" spans="1:14" ht="15" hidden="1">
      <c r="A1822" s="719" t="s">
        <v>2289</v>
      </c>
      <c r="C1822" s="559"/>
      <c r="D1822" s="706"/>
      <c r="E1822" s="723" t="s">
        <v>1389</v>
      </c>
      <c r="F1822" s="723"/>
      <c r="G1822" s="723"/>
      <c r="H1822" s="726" t="s">
        <v>1021</v>
      </c>
      <c r="I1822" s="725"/>
      <c r="J1822" s="165" t="str">
        <f>IFERROR(IF([1]K_Summary!$J$1807 = "", "", [1]K_Summary!$J$1807 ),"")</f>
        <v/>
      </c>
      <c r="K1822" s="166" t="str">
        <f>IFERROR(IF([1]K_Summary!$K$1807 = "", "", [1]K_Summary!$K$1807 ),"")</f>
        <v/>
      </c>
      <c r="L1822" s="166" t="str">
        <f>IFERROR(IF([1]K_Summary!$L$1807 = "", "", [1]K_Summary!$L$1807 ),"")</f>
        <v/>
      </c>
      <c r="M1822" s="166" t="str">
        <f>IFERROR(IF([1]K_Summary!$M$1807 = "", "", [1]K_Summary!$M$1807 ),"")</f>
        <v/>
      </c>
      <c r="N1822" s="167" t="str">
        <f>IFERROR(IF([1]K_Summary!$N$1807 = "", "", [1]K_Summary!$N$1807 ),"")</f>
        <v/>
      </c>
    </row>
    <row r="1823" spans="1:14" ht="15" hidden="1">
      <c r="A1823" s="719" t="s">
        <v>2289</v>
      </c>
      <c r="C1823" s="559"/>
      <c r="D1823" s="706"/>
      <c r="E1823" s="727" t="s">
        <v>1391</v>
      </c>
      <c r="F1823" s="727"/>
      <c r="G1823" s="727"/>
      <c r="H1823" s="728" t="s">
        <v>1021</v>
      </c>
      <c r="I1823" s="729"/>
      <c r="J1823" s="168" t="str">
        <f>IFERROR(IF([1]K_Summary!$J$1808 = "", "", [1]K_Summary!$J$1808 ),"")</f>
        <v/>
      </c>
      <c r="K1823" s="169" t="str">
        <f>IFERROR(IF([1]K_Summary!$K$1808 = "", "", [1]K_Summary!$K$1808 ),"")</f>
        <v/>
      </c>
      <c r="L1823" s="169" t="str">
        <f>IFERROR(IF([1]K_Summary!$L$1808 = "", "", [1]K_Summary!$L$1808 ),"")</f>
        <v/>
      </c>
      <c r="M1823" s="169" t="str">
        <f>IFERROR(IF([1]K_Summary!$M$1808 = "", "", [1]K_Summary!$M$1808 ),"")</f>
        <v/>
      </c>
      <c r="N1823" s="170" t="str">
        <f>IFERROR(IF([1]K_Summary!$N$1808 = "", "", [1]K_Summary!$N$1808 ),"")</f>
        <v/>
      </c>
    </row>
    <row r="1824" spans="1:14" ht="15">
      <c r="C1824" s="559"/>
      <c r="D1824" s="706"/>
      <c r="E1824" s="698" t="s">
        <v>1671</v>
      </c>
      <c r="F1824" s="698"/>
      <c r="G1824" s="698"/>
      <c r="H1824" s="730" t="s">
        <v>2090</v>
      </c>
      <c r="I1824" s="731"/>
      <c r="J1824" s="148" t="str">
        <f>IFERROR(IF([1]K_Summary!$J$1809 = "", "", [1]K_Summary!$J$1809 ),"")</f>
        <v/>
      </c>
      <c r="K1824" s="150" t="str">
        <f>IFERROR(IF([1]K_Summary!$K$1809 = "", "", [1]K_Summary!$K$1809 ),"")</f>
        <v/>
      </c>
      <c r="L1824" s="150" t="str">
        <f>IFERROR(IF([1]K_Summary!$L$1809 = "", "", [1]K_Summary!$L$1809 ),"")</f>
        <v/>
      </c>
      <c r="M1824" s="150" t="str">
        <f>IFERROR(IF([1]K_Summary!$M$1809 = "", "", [1]K_Summary!$M$1809 ),"")</f>
        <v/>
      </c>
      <c r="N1824" s="171" t="str">
        <f>IFERROR(IF([1]K_Summary!$N$1809 = "", "", [1]K_Summary!$N$1809 ),"")</f>
        <v/>
      </c>
    </row>
    <row r="1825" spans="1:14" ht="15">
      <c r="C1825" s="559"/>
      <c r="D1825" s="706"/>
      <c r="E1825" s="559"/>
      <c r="F1825" s="559"/>
      <c r="G1825" s="559"/>
      <c r="H1825" s="559"/>
      <c r="I1825" s="559"/>
      <c r="J1825" s="559"/>
      <c r="K1825" s="559"/>
      <c r="L1825" s="559"/>
      <c r="M1825" s="559"/>
      <c r="N1825" s="717"/>
    </row>
    <row r="1826" spans="1:14" ht="15">
      <c r="C1826" s="559"/>
      <c r="D1826" s="706"/>
      <c r="E1826" s="707" t="s">
        <v>1752</v>
      </c>
      <c r="F1826" s="637"/>
      <c r="G1826" s="637"/>
      <c r="H1826" s="663" t="s">
        <v>884</v>
      </c>
      <c r="I1826" s="708"/>
      <c r="J1826" s="709">
        <v>2021</v>
      </c>
      <c r="K1826" s="671">
        <v>2022</v>
      </c>
      <c r="L1826" s="671">
        <v>2023</v>
      </c>
      <c r="M1826" s="671">
        <v>2024</v>
      </c>
      <c r="N1826" s="710">
        <v>2025</v>
      </c>
    </row>
    <row r="1827" spans="1:14" ht="15">
      <c r="C1827" s="559"/>
      <c r="D1827" s="706"/>
      <c r="E1827" s="720" t="s">
        <v>1691</v>
      </c>
      <c r="F1827" s="720"/>
      <c r="G1827" s="720"/>
      <c r="H1827" s="67" t="str">
        <f>IFERROR(IF([1]K_Summary!$H$1812 = "", "", [1]K_Summary!$H$1812 ),"")</f>
        <v>tonnes</v>
      </c>
      <c r="I1827" s="733"/>
      <c r="J1827" s="172" t="str">
        <f>IFERROR(IF([1]K_Summary!$J$1812 = "", "", [1]K_Summary!$J$1812 ),"")</f>
        <v/>
      </c>
      <c r="K1827" s="54" t="str">
        <f>IFERROR(IF([1]K_Summary!$K$1812 = "", "", [1]K_Summary!$K$1812 ),"")</f>
        <v/>
      </c>
      <c r="L1827" s="54" t="str">
        <f>IFERROR(IF([1]K_Summary!$L$1812 = "", "", [1]K_Summary!$L$1812 ),"")</f>
        <v/>
      </c>
      <c r="M1827" s="54" t="str">
        <f>IFERROR(IF([1]K_Summary!$M$1812 = "", "", [1]K_Summary!$M$1812 ),"")</f>
        <v/>
      </c>
      <c r="N1827" s="173" t="str">
        <f>IFERROR(IF([1]K_Summary!$N$1812 = "", "", [1]K_Summary!$N$1812 ),"")</f>
        <v/>
      </c>
    </row>
    <row r="1828" spans="1:14" ht="15">
      <c r="C1828" s="559"/>
      <c r="D1828" s="706"/>
      <c r="E1828" s="723" t="s">
        <v>1648</v>
      </c>
      <c r="F1828" s="723"/>
      <c r="G1828" s="723"/>
      <c r="H1828" s="734" t="s">
        <v>1021</v>
      </c>
      <c r="I1828" s="735"/>
      <c r="J1828" s="174" t="str">
        <f>IFERROR(IF([1]K_Summary!$J$1813 = "", "", [1]K_Summary!$J$1813 ),"")</f>
        <v/>
      </c>
      <c r="K1828" s="175" t="str">
        <f>IFERROR(IF([1]K_Summary!$K$1813 = "", "", [1]K_Summary!$K$1813 ),"")</f>
        <v/>
      </c>
      <c r="L1828" s="175" t="str">
        <f>IFERROR(IF([1]K_Summary!$L$1813 = "", "", [1]K_Summary!$L$1813 ),"")</f>
        <v/>
      </c>
      <c r="M1828" s="175" t="str">
        <f>IFERROR(IF([1]K_Summary!$M$1813 = "", "", [1]K_Summary!$M$1813 ),"")</f>
        <v/>
      </c>
      <c r="N1828" s="176" t="str">
        <f>IFERROR(IF([1]K_Summary!$N$1813 = "", "", [1]K_Summary!$N$1813 ),"")</f>
        <v/>
      </c>
    </row>
    <row r="1829" spans="1:14" ht="15">
      <c r="C1829" s="559"/>
      <c r="D1829" s="706"/>
      <c r="E1829" s="736" t="s">
        <v>1850</v>
      </c>
      <c r="F1829" s="736"/>
      <c r="G1829" s="736"/>
      <c r="H1829" s="737" t="s">
        <v>1021</v>
      </c>
      <c r="I1829" s="738"/>
      <c r="J1829" s="177" t="str">
        <f>IFERROR(IF([1]K_Summary!$J$1814 = "", "", [1]K_Summary!$J$1814 ),"")</f>
        <v/>
      </c>
      <c r="K1829" s="178" t="str">
        <f>IFERROR(IF([1]K_Summary!$K$1814 = "", "", [1]K_Summary!$K$1814 ),"")</f>
        <v/>
      </c>
      <c r="L1829" s="178" t="str">
        <f>IFERROR(IF([1]K_Summary!$L$1814 = "", "", [1]K_Summary!$L$1814 ),"")</f>
        <v/>
      </c>
      <c r="M1829" s="178" t="str">
        <f>IFERROR(IF([1]K_Summary!$M$1814 = "", "", [1]K_Summary!$M$1814 ),"")</f>
        <v/>
      </c>
      <c r="N1829" s="179" t="str">
        <f>IFERROR(IF([1]K_Summary!$N$1814 = "", "", [1]K_Summary!$N$1814 ),"")</f>
        <v/>
      </c>
    </row>
    <row r="1830" spans="1:14" ht="15">
      <c r="C1830" s="559"/>
      <c r="D1830" s="706"/>
      <c r="E1830" s="727" t="s">
        <v>1689</v>
      </c>
      <c r="F1830" s="727"/>
      <c r="G1830" s="727"/>
      <c r="H1830" s="68" t="str">
        <f>IFERROR(IF([1]K_Summary!$H$1815 = "", "", [1]K_Summary!$H$1815 ),"")</f>
        <v>tonnes</v>
      </c>
      <c r="I1830" s="727"/>
      <c r="J1830" s="180" t="str">
        <f>IFERROR(IF([1]K_Summary!$J$1815 = "", "", [1]K_Summary!$J$1815 ),"")</f>
        <v/>
      </c>
      <c r="K1830" s="181" t="str">
        <f>IFERROR(IF([1]K_Summary!$K$1815 = "", "", [1]K_Summary!$K$1815 ),"")</f>
        <v/>
      </c>
      <c r="L1830" s="181" t="str">
        <f>IFERROR(IF([1]K_Summary!$L$1815 = "", "", [1]K_Summary!$L$1815 ),"")</f>
        <v/>
      </c>
      <c r="M1830" s="181" t="str">
        <f>IFERROR(IF([1]K_Summary!$M$1815 = "", "", [1]K_Summary!$M$1815 ),"")</f>
        <v/>
      </c>
      <c r="N1830" s="182" t="str">
        <f>IFERROR(IF([1]K_Summary!$N$1815 = "", "", [1]K_Summary!$N$1815 ),"")</f>
        <v/>
      </c>
    </row>
    <row r="1831" spans="1:14" ht="15" hidden="1">
      <c r="A1831" s="719" t="s">
        <v>2289</v>
      </c>
      <c r="C1831" s="559"/>
      <c r="D1831" s="706"/>
      <c r="E1831" s="720" t="s">
        <v>303</v>
      </c>
      <c r="F1831" s="720"/>
      <c r="G1831" s="720"/>
      <c r="H1831" s="721" t="s">
        <v>2090</v>
      </c>
      <c r="I1831" s="722"/>
      <c r="J1831" s="159" t="str">
        <f>IFERROR(IF([1]K_Summary!$J$1816 = "", "", [1]K_Summary!$J$1816 ),"")</f>
        <v/>
      </c>
      <c r="K1831" s="160" t="str">
        <f>IFERROR(IF([1]K_Summary!$K$1816 = "", "", [1]K_Summary!$K$1816 ),"")</f>
        <v/>
      </c>
      <c r="L1831" s="160" t="str">
        <f>IFERROR(IF([1]K_Summary!$L$1816 = "", "", [1]K_Summary!$L$1816 ),"")</f>
        <v/>
      </c>
      <c r="M1831" s="160" t="str">
        <f>IFERROR(IF([1]K_Summary!$M$1816 = "", "", [1]K_Summary!$M$1816 ),"")</f>
        <v/>
      </c>
      <c r="N1831" s="161" t="str">
        <f>IFERROR(IF([1]K_Summary!$N$1816 = "", "", [1]K_Summary!$N$1816 ),"")</f>
        <v/>
      </c>
    </row>
    <row r="1832" spans="1:14" ht="15" hidden="1">
      <c r="A1832" s="719" t="s">
        <v>2289</v>
      </c>
      <c r="C1832" s="559"/>
      <c r="D1832" s="706"/>
      <c r="E1832" s="723" t="s">
        <v>1422</v>
      </c>
      <c r="F1832" s="723"/>
      <c r="G1832" s="723"/>
      <c r="H1832" s="724" t="s">
        <v>2090</v>
      </c>
      <c r="I1832" s="725"/>
      <c r="J1832" s="162" t="str">
        <f>IFERROR(IF([1]K_Summary!$J$1817 = "", "", [1]K_Summary!$J$1817 ),"")</f>
        <v/>
      </c>
      <c r="K1832" s="163" t="str">
        <f>IFERROR(IF([1]K_Summary!$K$1817 = "", "", [1]K_Summary!$K$1817 ),"")</f>
        <v/>
      </c>
      <c r="L1832" s="163" t="str">
        <f>IFERROR(IF([1]K_Summary!$L$1817 = "", "", [1]K_Summary!$L$1817 ),"")</f>
        <v/>
      </c>
      <c r="M1832" s="163" t="str">
        <f>IFERROR(IF([1]K_Summary!$M$1817 = "", "", [1]K_Summary!$M$1817 ),"")</f>
        <v/>
      </c>
      <c r="N1832" s="164" t="str">
        <f>IFERROR(IF([1]K_Summary!$N$1817 = "", "", [1]K_Summary!$N$1817 ),"")</f>
        <v/>
      </c>
    </row>
    <row r="1833" spans="1:14" ht="15" hidden="1">
      <c r="A1833" s="719" t="s">
        <v>2289</v>
      </c>
      <c r="C1833" s="559"/>
      <c r="D1833" s="706"/>
      <c r="E1833" s="723" t="s">
        <v>1390</v>
      </c>
      <c r="F1833" s="723"/>
      <c r="G1833" s="723"/>
      <c r="H1833" s="724" t="s">
        <v>2090</v>
      </c>
      <c r="I1833" s="725"/>
      <c r="J1833" s="162" t="str">
        <f>IFERROR(IF([1]K_Summary!$J$1818 = "", "", [1]K_Summary!$J$1818 ),"")</f>
        <v/>
      </c>
      <c r="K1833" s="163" t="str">
        <f>IFERROR(IF([1]K_Summary!$K$1818 = "", "", [1]K_Summary!$K$1818 ),"")</f>
        <v/>
      </c>
      <c r="L1833" s="163" t="str">
        <f>IFERROR(IF([1]K_Summary!$L$1818 = "", "", [1]K_Summary!$L$1818 ),"")</f>
        <v/>
      </c>
      <c r="M1833" s="163" t="str">
        <f>IFERROR(IF([1]K_Summary!$M$1818 = "", "", [1]K_Summary!$M$1818 ),"")</f>
        <v/>
      </c>
      <c r="N1833" s="164" t="str">
        <f>IFERROR(IF([1]K_Summary!$N$1818 = "", "", [1]K_Summary!$N$1818 ),"")</f>
        <v/>
      </c>
    </row>
    <row r="1834" spans="1:14" ht="15" hidden="1">
      <c r="A1834" s="719" t="s">
        <v>2289</v>
      </c>
      <c r="C1834" s="559"/>
      <c r="D1834" s="706"/>
      <c r="E1834" s="723" t="s">
        <v>1389</v>
      </c>
      <c r="F1834" s="723"/>
      <c r="G1834" s="723"/>
      <c r="H1834" s="726" t="s">
        <v>1021</v>
      </c>
      <c r="I1834" s="725"/>
      <c r="J1834" s="165" t="str">
        <f>IFERROR(IF([1]K_Summary!$J$1819 = "", "", [1]K_Summary!$J$1819 ),"")</f>
        <v/>
      </c>
      <c r="K1834" s="166" t="str">
        <f>IFERROR(IF([1]K_Summary!$K$1819 = "", "", [1]K_Summary!$K$1819 ),"")</f>
        <v/>
      </c>
      <c r="L1834" s="166" t="str">
        <f>IFERROR(IF([1]K_Summary!$L$1819 = "", "", [1]K_Summary!$L$1819 ),"")</f>
        <v/>
      </c>
      <c r="M1834" s="166" t="str">
        <f>IFERROR(IF([1]K_Summary!$M$1819 = "", "", [1]K_Summary!$M$1819 ),"")</f>
        <v/>
      </c>
      <c r="N1834" s="167" t="str">
        <f>IFERROR(IF([1]K_Summary!$N$1819 = "", "", [1]K_Summary!$N$1819 ),"")</f>
        <v/>
      </c>
    </row>
    <row r="1835" spans="1:14" ht="15" hidden="1">
      <c r="A1835" s="719" t="s">
        <v>2289</v>
      </c>
      <c r="C1835" s="559"/>
      <c r="D1835" s="706"/>
      <c r="E1835" s="727" t="s">
        <v>1391</v>
      </c>
      <c r="F1835" s="727"/>
      <c r="G1835" s="727"/>
      <c r="H1835" s="728" t="s">
        <v>1021</v>
      </c>
      <c r="I1835" s="729"/>
      <c r="J1835" s="168" t="str">
        <f>IFERROR(IF([1]K_Summary!$J$1820 = "", "", [1]K_Summary!$J$1820 ),"")</f>
        <v/>
      </c>
      <c r="K1835" s="169" t="str">
        <f>IFERROR(IF([1]K_Summary!$K$1820 = "", "", [1]K_Summary!$K$1820 ),"")</f>
        <v/>
      </c>
      <c r="L1835" s="169" t="str">
        <f>IFERROR(IF([1]K_Summary!$L$1820 = "", "", [1]K_Summary!$L$1820 ),"")</f>
        <v/>
      </c>
      <c r="M1835" s="169" t="str">
        <f>IFERROR(IF([1]K_Summary!$M$1820 = "", "", [1]K_Summary!$M$1820 ),"")</f>
        <v/>
      </c>
      <c r="N1835" s="170" t="str">
        <f>IFERROR(IF([1]K_Summary!$N$1820 = "", "", [1]K_Summary!$N$1820 ),"")</f>
        <v/>
      </c>
    </row>
    <row r="1836" spans="1:14" ht="15">
      <c r="C1836" s="559"/>
      <c r="D1836" s="706"/>
      <c r="E1836" s="698" t="s">
        <v>1671</v>
      </c>
      <c r="F1836" s="698"/>
      <c r="G1836" s="698"/>
      <c r="H1836" s="730" t="s">
        <v>2090</v>
      </c>
      <c r="I1836" s="731"/>
      <c r="J1836" s="148" t="str">
        <f>IFERROR(IF([1]K_Summary!$J$1821 = "", "", [1]K_Summary!$J$1821 ),"")</f>
        <v/>
      </c>
      <c r="K1836" s="150" t="str">
        <f>IFERROR(IF([1]K_Summary!$K$1821 = "", "", [1]K_Summary!$K$1821 ),"")</f>
        <v/>
      </c>
      <c r="L1836" s="150" t="str">
        <f>IFERROR(IF([1]K_Summary!$L$1821 = "", "", [1]K_Summary!$L$1821 ),"")</f>
        <v/>
      </c>
      <c r="M1836" s="150" t="str">
        <f>IFERROR(IF([1]K_Summary!$M$1821 = "", "", [1]K_Summary!$M$1821 ),"")</f>
        <v/>
      </c>
      <c r="N1836" s="171" t="str">
        <f>IFERROR(IF([1]K_Summary!$N$1821 = "", "", [1]K_Summary!$N$1821 ),"")</f>
        <v/>
      </c>
    </row>
    <row r="1837" spans="1:14" ht="15">
      <c r="C1837" s="559"/>
      <c r="D1837" s="706"/>
      <c r="E1837" s="698" t="s">
        <v>1670</v>
      </c>
      <c r="F1837" s="698"/>
      <c r="G1837" s="698"/>
      <c r="H1837" s="730" t="s">
        <v>2090</v>
      </c>
      <c r="I1837" s="731"/>
      <c r="J1837" s="148" t="str">
        <f>IFERROR(IF([1]K_Summary!$J$1822 = "", "", [1]K_Summary!$J$1822 ),"")</f>
        <v/>
      </c>
      <c r="K1837" s="150" t="str">
        <f>IFERROR(IF([1]K_Summary!$K$1822 = "", "", [1]K_Summary!$K$1822 ),"")</f>
        <v/>
      </c>
      <c r="L1837" s="150" t="str">
        <f>IFERROR(IF([1]K_Summary!$L$1822 = "", "", [1]K_Summary!$L$1822 ),"")</f>
        <v/>
      </c>
      <c r="M1837" s="150" t="str">
        <f>IFERROR(IF([1]K_Summary!$M$1822 = "", "", [1]K_Summary!$M$1822 ),"")</f>
        <v/>
      </c>
      <c r="N1837" s="171" t="str">
        <f>IFERROR(IF([1]K_Summary!$N$1822 = "", "", [1]K_Summary!$N$1822 ),"")</f>
        <v/>
      </c>
    </row>
    <row r="1838" spans="1:14" ht="15">
      <c r="C1838" s="559"/>
      <c r="D1838" s="706"/>
      <c r="E1838" s="740" t="s">
        <v>2130</v>
      </c>
      <c r="F1838" s="740"/>
      <c r="G1838" s="740"/>
      <c r="H1838" s="741" t="s">
        <v>1021</v>
      </c>
      <c r="I1838" s="742"/>
      <c r="J1838" s="183" t="str">
        <f>IFERROR(IF([1]K_Summary!$J$1823 = "", "", [1]K_Summary!$J$1823 ),"")</f>
        <v/>
      </c>
      <c r="K1838" s="184" t="str">
        <f>IFERROR(IF([1]K_Summary!$K$1823 = "", "", [1]K_Summary!$K$1823 ),"")</f>
        <v/>
      </c>
      <c r="L1838" s="184" t="str">
        <f>IFERROR(IF([1]K_Summary!$L$1823 = "", "", [1]K_Summary!$L$1823 ),"")</f>
        <v/>
      </c>
      <c r="M1838" s="184" t="str">
        <f>IFERROR(IF([1]K_Summary!$M$1823 = "", "", [1]K_Summary!$M$1823 ),"")</f>
        <v/>
      </c>
      <c r="N1838" s="185" t="str">
        <f>IFERROR(IF([1]K_Summary!$N$1823 = "", "", [1]K_Summary!$N$1823 ),"")</f>
        <v/>
      </c>
    </row>
    <row r="1839" spans="1:14" ht="15">
      <c r="C1839" s="559"/>
      <c r="D1839" s="706"/>
      <c r="E1839" s="485"/>
      <c r="F1839" s="485"/>
      <c r="G1839" s="485"/>
      <c r="H1839" s="485"/>
      <c r="I1839" s="743"/>
      <c r="J1839" s="485"/>
      <c r="K1839" s="485"/>
      <c r="L1839" s="485"/>
      <c r="M1839" s="485"/>
      <c r="N1839" s="744"/>
    </row>
    <row r="1840" spans="1:14" ht="15">
      <c r="C1840" s="559"/>
      <c r="D1840" s="706"/>
      <c r="E1840" s="707" t="s">
        <v>1753</v>
      </c>
      <c r="F1840" s="637"/>
      <c r="G1840" s="637"/>
      <c r="H1840" s="663" t="s">
        <v>884</v>
      </c>
      <c r="I1840" s="708"/>
      <c r="J1840" s="709">
        <v>2021</v>
      </c>
      <c r="K1840" s="671">
        <v>2022</v>
      </c>
      <c r="L1840" s="671">
        <v>2023</v>
      </c>
      <c r="M1840" s="671">
        <v>2024</v>
      </c>
      <c r="N1840" s="710">
        <v>2025</v>
      </c>
    </row>
    <row r="1841" spans="1:14" ht="15" hidden="1">
      <c r="A1841" s="719" t="s">
        <v>2289</v>
      </c>
      <c r="C1841" s="559"/>
      <c r="D1841" s="706"/>
      <c r="E1841" s="698" t="s">
        <v>1714</v>
      </c>
      <c r="F1841" s="698"/>
      <c r="G1841" s="698"/>
      <c r="H1841" s="63" t="str">
        <f>IFERROR(IF([1]K_Summary!$H$1826 = "", "", [1]K_Summary!$H$1826 ),"")</f>
        <v>tonnes</v>
      </c>
      <c r="I1841" s="698"/>
      <c r="J1841" s="157" t="str">
        <f>IFERROR(IF([1]K_Summary!$J$1826 = "", "", [1]K_Summary!$J$1826 ),"")</f>
        <v/>
      </c>
      <c r="K1841" s="147" t="str">
        <f>IFERROR(IF([1]K_Summary!$K$1826 = "", "", [1]K_Summary!$K$1826 ),"")</f>
        <v/>
      </c>
      <c r="L1841" s="147" t="str">
        <f>IFERROR(IF([1]K_Summary!$L$1826 = "", "", [1]K_Summary!$L$1826 ),"")</f>
        <v/>
      </c>
      <c r="M1841" s="147" t="str">
        <f>IFERROR(IF([1]K_Summary!$M$1826 = "", "", [1]K_Summary!$M$1826 ),"")</f>
        <v/>
      </c>
      <c r="N1841" s="158" t="str">
        <f>IFERROR(IF([1]K_Summary!$N$1826 = "", "", [1]K_Summary!$N$1826 ),"")</f>
        <v/>
      </c>
    </row>
    <row r="1842" spans="1:14" ht="15" hidden="1">
      <c r="A1842" s="719" t="s">
        <v>2289</v>
      </c>
      <c r="C1842" s="559"/>
      <c r="D1842" s="706"/>
      <c r="E1842" s="720" t="s">
        <v>303</v>
      </c>
      <c r="F1842" s="720"/>
      <c r="G1842" s="720"/>
      <c r="H1842" s="721" t="s">
        <v>2090</v>
      </c>
      <c r="I1842" s="722"/>
      <c r="J1842" s="159" t="str">
        <f>IFERROR(IF([1]K_Summary!$J$1827 = "", "", [1]K_Summary!$J$1827 ),"")</f>
        <v/>
      </c>
      <c r="K1842" s="160" t="str">
        <f>IFERROR(IF([1]K_Summary!$K$1827 = "", "", [1]K_Summary!$K$1827 ),"")</f>
        <v/>
      </c>
      <c r="L1842" s="160" t="str">
        <f>IFERROR(IF([1]K_Summary!$L$1827 = "", "", [1]K_Summary!$L$1827 ),"")</f>
        <v/>
      </c>
      <c r="M1842" s="160" t="str">
        <f>IFERROR(IF([1]K_Summary!$M$1827 = "", "", [1]K_Summary!$M$1827 ),"")</f>
        <v/>
      </c>
      <c r="N1842" s="161" t="str">
        <f>IFERROR(IF([1]K_Summary!$N$1827 = "", "", [1]K_Summary!$N$1827 ),"")</f>
        <v/>
      </c>
    </row>
    <row r="1843" spans="1:14" ht="15" hidden="1">
      <c r="A1843" s="719" t="s">
        <v>2289</v>
      </c>
      <c r="C1843" s="559"/>
      <c r="D1843" s="706"/>
      <c r="E1843" s="723" t="s">
        <v>1422</v>
      </c>
      <c r="F1843" s="723"/>
      <c r="G1843" s="723"/>
      <c r="H1843" s="724" t="s">
        <v>2090</v>
      </c>
      <c r="I1843" s="725"/>
      <c r="J1843" s="162" t="str">
        <f>IFERROR(IF([1]K_Summary!$J$1828 = "", "", [1]K_Summary!$J$1828 ),"")</f>
        <v/>
      </c>
      <c r="K1843" s="163" t="str">
        <f>IFERROR(IF([1]K_Summary!$K$1828 = "", "", [1]K_Summary!$K$1828 ),"")</f>
        <v/>
      </c>
      <c r="L1843" s="163" t="str">
        <f>IFERROR(IF([1]K_Summary!$L$1828 = "", "", [1]K_Summary!$L$1828 ),"")</f>
        <v/>
      </c>
      <c r="M1843" s="163" t="str">
        <f>IFERROR(IF([1]K_Summary!$M$1828 = "", "", [1]K_Summary!$M$1828 ),"")</f>
        <v/>
      </c>
      <c r="N1843" s="164" t="str">
        <f>IFERROR(IF([1]K_Summary!$N$1828 = "", "", [1]K_Summary!$N$1828 ),"")</f>
        <v/>
      </c>
    </row>
    <row r="1844" spans="1:14" ht="15" hidden="1">
      <c r="A1844" s="719" t="s">
        <v>2289</v>
      </c>
      <c r="C1844" s="559"/>
      <c r="D1844" s="706"/>
      <c r="E1844" s="745" t="s">
        <v>1390</v>
      </c>
      <c r="F1844" s="745"/>
      <c r="G1844" s="745"/>
      <c r="H1844" s="746" t="s">
        <v>2090</v>
      </c>
      <c r="I1844" s="747"/>
      <c r="J1844" s="186" t="str">
        <f>IFERROR(IF([1]K_Summary!$J$1829 = "", "", [1]K_Summary!$J$1829 ),"")</f>
        <v/>
      </c>
      <c r="K1844" s="187" t="str">
        <f>IFERROR(IF([1]K_Summary!$K$1829 = "", "", [1]K_Summary!$K$1829 ),"")</f>
        <v/>
      </c>
      <c r="L1844" s="187" t="str">
        <f>IFERROR(IF([1]K_Summary!$L$1829 = "", "", [1]K_Summary!$L$1829 ),"")</f>
        <v/>
      </c>
      <c r="M1844" s="187" t="str">
        <f>IFERROR(IF([1]K_Summary!$M$1829 = "", "", [1]K_Summary!$M$1829 ),"")</f>
        <v/>
      </c>
      <c r="N1844" s="188" t="str">
        <f>IFERROR(IF([1]K_Summary!$N$1829 = "", "", [1]K_Summary!$N$1829 ),"")</f>
        <v/>
      </c>
    </row>
    <row r="1845" spans="1:14" ht="15">
      <c r="C1845" s="559"/>
      <c r="D1845" s="706"/>
      <c r="E1845" s="720" t="s">
        <v>1691</v>
      </c>
      <c r="F1845" s="720"/>
      <c r="G1845" s="720"/>
      <c r="H1845" s="748" t="s">
        <v>1021</v>
      </c>
      <c r="I1845" s="722"/>
      <c r="J1845" s="189" t="str">
        <f>IFERROR(IF([1]K_Summary!$J$1830 = "", "", [1]K_Summary!$J$1830 ),"")</f>
        <v/>
      </c>
      <c r="K1845" s="190" t="str">
        <f>IFERROR(IF([1]K_Summary!$K$1830 = "", "", [1]K_Summary!$K$1830 ),"")</f>
        <v/>
      </c>
      <c r="L1845" s="190" t="str">
        <f>IFERROR(IF([1]K_Summary!$L$1830 = "", "", [1]K_Summary!$L$1830 ),"")</f>
        <v/>
      </c>
      <c r="M1845" s="190" t="str">
        <f>IFERROR(IF([1]K_Summary!$M$1830 = "", "", [1]K_Summary!$M$1830 ),"")</f>
        <v/>
      </c>
      <c r="N1845" s="191" t="str">
        <f>IFERROR(IF([1]K_Summary!$N$1830 = "", "", [1]K_Summary!$N$1830 ),"")</f>
        <v/>
      </c>
    </row>
    <row r="1846" spans="1:14" ht="15">
      <c r="C1846" s="559"/>
      <c r="D1846" s="706"/>
      <c r="E1846" s="723" t="s">
        <v>1648</v>
      </c>
      <c r="F1846" s="723"/>
      <c r="G1846" s="723"/>
      <c r="H1846" s="734" t="s">
        <v>1021</v>
      </c>
      <c r="I1846" s="735"/>
      <c r="J1846" s="174" t="str">
        <f>IFERROR(IF([1]K_Summary!$J$1831 = "", "", [1]K_Summary!$J$1831 ),"")</f>
        <v/>
      </c>
      <c r="K1846" s="175" t="str">
        <f>IFERROR(IF([1]K_Summary!$K$1831 = "", "", [1]K_Summary!$K$1831 ),"")</f>
        <v/>
      </c>
      <c r="L1846" s="175" t="str">
        <f>IFERROR(IF([1]K_Summary!$L$1831 = "", "", [1]K_Summary!$L$1831 ),"")</f>
        <v/>
      </c>
      <c r="M1846" s="175" t="str">
        <f>IFERROR(IF([1]K_Summary!$M$1831 = "", "", [1]K_Summary!$M$1831 ),"")</f>
        <v/>
      </c>
      <c r="N1846" s="176" t="str">
        <f>IFERROR(IF([1]K_Summary!$N$1831 = "", "", [1]K_Summary!$N$1831 ),"")</f>
        <v/>
      </c>
    </row>
    <row r="1847" spans="1:14" ht="15">
      <c r="C1847" s="559"/>
      <c r="D1847" s="706"/>
      <c r="E1847" s="736" t="s">
        <v>1852</v>
      </c>
      <c r="F1847" s="736"/>
      <c r="G1847" s="736"/>
      <c r="H1847" s="737" t="s">
        <v>1021</v>
      </c>
      <c r="I1847" s="738"/>
      <c r="J1847" s="177" t="str">
        <f>IFERROR(IF([1]K_Summary!$J$1832 = "", "", [1]K_Summary!$J$1832 ),"")</f>
        <v/>
      </c>
      <c r="K1847" s="178" t="str">
        <f>IFERROR(IF([1]K_Summary!$K$1832 = "", "", [1]K_Summary!$K$1832 ),"")</f>
        <v/>
      </c>
      <c r="L1847" s="178" t="str">
        <f>IFERROR(IF([1]K_Summary!$L$1832 = "", "", [1]K_Summary!$L$1832 ),"")</f>
        <v/>
      </c>
      <c r="M1847" s="178" t="str">
        <f>IFERROR(IF([1]K_Summary!$M$1832 = "", "", [1]K_Summary!$M$1832 ),"")</f>
        <v/>
      </c>
      <c r="N1847" s="179" t="str">
        <f>IFERROR(IF([1]K_Summary!$N$1832 = "", "", [1]K_Summary!$N$1832 ),"")</f>
        <v/>
      </c>
    </row>
    <row r="1848" spans="1:14" ht="15">
      <c r="C1848" s="559"/>
      <c r="D1848" s="706"/>
      <c r="E1848" s="727" t="s">
        <v>1689</v>
      </c>
      <c r="F1848" s="727"/>
      <c r="G1848" s="727"/>
      <c r="H1848" s="749" t="s">
        <v>1021</v>
      </c>
      <c r="I1848" s="727"/>
      <c r="J1848" s="192" t="str">
        <f>IFERROR(IF([1]K_Summary!$J$1833 = "", "", [1]K_Summary!$J$1833 ),"")</f>
        <v/>
      </c>
      <c r="K1848" s="193" t="str">
        <f>IFERROR(IF([1]K_Summary!$K$1833 = "", "", [1]K_Summary!$K$1833 ),"")</f>
        <v/>
      </c>
      <c r="L1848" s="193" t="str">
        <f>IFERROR(IF([1]K_Summary!$L$1833 = "", "", [1]K_Summary!$L$1833 ),"")</f>
        <v/>
      </c>
      <c r="M1848" s="193" t="str">
        <f>IFERROR(IF([1]K_Summary!$M$1833 = "", "", [1]K_Summary!$M$1833 ),"")</f>
        <v/>
      </c>
      <c r="N1848" s="194" t="str">
        <f>IFERROR(IF([1]K_Summary!$N$1833 = "", "", [1]K_Summary!$N$1833 ),"")</f>
        <v/>
      </c>
    </row>
    <row r="1849" spans="1:14" ht="15" hidden="1">
      <c r="A1849" s="719" t="s">
        <v>2289</v>
      </c>
      <c r="C1849" s="559"/>
      <c r="D1849" s="706"/>
      <c r="E1849" s="727" t="s">
        <v>1391</v>
      </c>
      <c r="F1849" s="727"/>
      <c r="G1849" s="727"/>
      <c r="H1849" s="750" t="s">
        <v>1021</v>
      </c>
      <c r="I1849" s="729"/>
      <c r="J1849" s="168" t="str">
        <f>IFERROR(IF([1]K_Summary!$J$1834 = "", "", [1]K_Summary!$J$1834 ),"")</f>
        <v/>
      </c>
      <c r="K1849" s="169" t="str">
        <f>IFERROR(IF([1]K_Summary!$K$1834 = "", "", [1]K_Summary!$K$1834 ),"")</f>
        <v/>
      </c>
      <c r="L1849" s="169" t="str">
        <f>IFERROR(IF([1]K_Summary!$L$1834 = "", "", [1]K_Summary!$L$1834 ),"")</f>
        <v/>
      </c>
      <c r="M1849" s="169" t="str">
        <f>IFERROR(IF([1]K_Summary!$M$1834 = "", "", [1]K_Summary!$M$1834 ),"")</f>
        <v/>
      </c>
      <c r="N1849" s="170" t="str">
        <f>IFERROR(IF([1]K_Summary!$N$1834 = "", "", [1]K_Summary!$N$1834 ),"")</f>
        <v/>
      </c>
    </row>
    <row r="1850" spans="1:14" ht="15">
      <c r="C1850" s="559"/>
      <c r="D1850" s="706"/>
      <c r="E1850" s="698" t="s">
        <v>1671</v>
      </c>
      <c r="F1850" s="698"/>
      <c r="G1850" s="698"/>
      <c r="H1850" s="730" t="s">
        <v>2090</v>
      </c>
      <c r="I1850" s="731"/>
      <c r="J1850" s="148" t="str">
        <f>IFERROR(IF([1]K_Summary!$J$1835 = "", "", [1]K_Summary!$J$1835 ),"")</f>
        <v/>
      </c>
      <c r="K1850" s="150" t="str">
        <f>IFERROR(IF([1]K_Summary!$K$1835 = "", "", [1]K_Summary!$K$1835 ),"")</f>
        <v/>
      </c>
      <c r="L1850" s="150" t="str">
        <f>IFERROR(IF([1]K_Summary!$L$1835 = "", "", [1]K_Summary!$L$1835 ),"")</f>
        <v/>
      </c>
      <c r="M1850" s="150" t="str">
        <f>IFERROR(IF([1]K_Summary!$M$1835 = "", "", [1]K_Summary!$M$1835 ),"")</f>
        <v/>
      </c>
      <c r="N1850" s="171" t="str">
        <f>IFERROR(IF([1]K_Summary!$N$1835 = "", "", [1]K_Summary!$N$1835 ),"")</f>
        <v/>
      </c>
    </row>
    <row r="1851" spans="1:14" ht="15">
      <c r="C1851" s="559"/>
      <c r="D1851" s="706"/>
      <c r="E1851" s="698" t="s">
        <v>1670</v>
      </c>
      <c r="F1851" s="698"/>
      <c r="G1851" s="698"/>
      <c r="H1851" s="730" t="s">
        <v>2090</v>
      </c>
      <c r="I1851" s="731"/>
      <c r="J1851" s="148" t="str">
        <f>IFERROR(IF([1]K_Summary!$J$1836 = "", "", [1]K_Summary!$J$1836 ),"")</f>
        <v/>
      </c>
      <c r="K1851" s="150" t="str">
        <f>IFERROR(IF([1]K_Summary!$K$1836 = "", "", [1]K_Summary!$K$1836 ),"")</f>
        <v/>
      </c>
      <c r="L1851" s="150" t="str">
        <f>IFERROR(IF([1]K_Summary!$L$1836 = "", "", [1]K_Summary!$L$1836 ),"")</f>
        <v/>
      </c>
      <c r="M1851" s="150" t="str">
        <f>IFERROR(IF([1]K_Summary!$M$1836 = "", "", [1]K_Summary!$M$1836 ),"")</f>
        <v/>
      </c>
      <c r="N1851" s="171" t="str">
        <f>IFERROR(IF([1]K_Summary!$N$1836 = "", "", [1]K_Summary!$N$1836 ),"")</f>
        <v/>
      </c>
    </row>
    <row r="1852" spans="1:14" ht="15">
      <c r="C1852" s="559"/>
      <c r="D1852" s="706"/>
      <c r="E1852" s="740" t="s">
        <v>2131</v>
      </c>
      <c r="F1852" s="740"/>
      <c r="G1852" s="740"/>
      <c r="H1852" s="741" t="s">
        <v>1021</v>
      </c>
      <c r="I1852" s="742"/>
      <c r="J1852" s="183" t="str">
        <f>IFERROR(IF([1]K_Summary!$J$1837 = "", "", [1]K_Summary!$J$1837 ),"")</f>
        <v/>
      </c>
      <c r="K1852" s="184" t="str">
        <f>IFERROR(IF([1]K_Summary!$K$1837 = "", "", [1]K_Summary!$K$1837 ),"")</f>
        <v/>
      </c>
      <c r="L1852" s="184" t="str">
        <f>IFERROR(IF([1]K_Summary!$L$1837 = "", "", [1]K_Summary!$L$1837 ),"")</f>
        <v/>
      </c>
      <c r="M1852" s="184" t="str">
        <f>IFERROR(IF([1]K_Summary!$M$1837 = "", "", [1]K_Summary!$M$1837 ),"")</f>
        <v/>
      </c>
      <c r="N1852" s="185" t="str">
        <f>IFERROR(IF([1]K_Summary!$N$1837 = "", "", [1]K_Summary!$N$1837 ),"")</f>
        <v/>
      </c>
    </row>
    <row r="1853" spans="1:14" ht="15">
      <c r="C1853" s="559"/>
      <c r="D1853" s="706"/>
      <c r="E1853" s="485"/>
      <c r="F1853" s="485"/>
      <c r="G1853" s="485"/>
      <c r="H1853" s="485"/>
      <c r="I1853" s="743"/>
      <c r="J1853" s="485"/>
      <c r="K1853" s="485"/>
      <c r="L1853" s="485"/>
      <c r="M1853" s="485"/>
      <c r="N1853" s="744"/>
    </row>
    <row r="1854" spans="1:14" ht="15">
      <c r="C1854" s="559"/>
      <c r="D1854" s="706"/>
      <c r="E1854" s="707" t="s">
        <v>1754</v>
      </c>
      <c r="F1854" s="637"/>
      <c r="G1854" s="637"/>
      <c r="H1854" s="663" t="s">
        <v>884</v>
      </c>
      <c r="I1854" s="708"/>
      <c r="J1854" s="709">
        <v>2021</v>
      </c>
      <c r="K1854" s="671">
        <v>2022</v>
      </c>
      <c r="L1854" s="671">
        <v>2023</v>
      </c>
      <c r="M1854" s="671">
        <v>2024</v>
      </c>
      <c r="N1854" s="710">
        <v>2025</v>
      </c>
    </row>
    <row r="1855" spans="1:14" ht="15" hidden="1">
      <c r="A1855" s="719" t="s">
        <v>2289</v>
      </c>
      <c r="C1855" s="559"/>
      <c r="D1855" s="706"/>
      <c r="E1855" s="698" t="s">
        <v>1714</v>
      </c>
      <c r="F1855" s="698"/>
      <c r="G1855" s="698"/>
      <c r="H1855" s="63" t="str">
        <f>IFERROR(IF([1]K_Summary!$H$1840 = "", "", [1]K_Summary!$H$1840 ),"")</f>
        <v>tonnes</v>
      </c>
      <c r="I1855" s="698"/>
      <c r="J1855" s="157" t="str">
        <f>IFERROR(IF([1]K_Summary!$J$1840 = "", "", [1]K_Summary!$J$1840 ),"")</f>
        <v/>
      </c>
      <c r="K1855" s="147" t="str">
        <f>IFERROR(IF([1]K_Summary!$K$1840 = "", "", [1]K_Summary!$K$1840 ),"")</f>
        <v/>
      </c>
      <c r="L1855" s="147" t="str">
        <f>IFERROR(IF([1]K_Summary!$L$1840 = "", "", [1]K_Summary!$L$1840 ),"")</f>
        <v/>
      </c>
      <c r="M1855" s="147" t="str">
        <f>IFERROR(IF([1]K_Summary!$M$1840 = "", "", [1]K_Summary!$M$1840 ),"")</f>
        <v/>
      </c>
      <c r="N1855" s="158" t="str">
        <f>IFERROR(IF([1]K_Summary!$N$1840 = "", "", [1]K_Summary!$N$1840 ),"")</f>
        <v/>
      </c>
    </row>
    <row r="1856" spans="1:14" ht="15">
      <c r="C1856" s="559"/>
      <c r="D1856" s="706"/>
      <c r="E1856" s="720" t="s">
        <v>1691</v>
      </c>
      <c r="F1856" s="720"/>
      <c r="G1856" s="720"/>
      <c r="H1856" s="748" t="s">
        <v>2090</v>
      </c>
      <c r="I1856" s="722"/>
      <c r="J1856" s="172" t="str">
        <f>IFERROR(IF([1]K_Summary!$J$1841 = "", "", [1]K_Summary!$J$1841 ),"")</f>
        <v/>
      </c>
      <c r="K1856" s="54" t="str">
        <f>IFERROR(IF([1]K_Summary!$K$1841 = "", "", [1]K_Summary!$K$1841 ),"")</f>
        <v/>
      </c>
      <c r="L1856" s="54" t="str">
        <f>IFERROR(IF([1]K_Summary!$L$1841 = "", "", [1]K_Summary!$L$1841 ),"")</f>
        <v/>
      </c>
      <c r="M1856" s="54" t="str">
        <f>IFERROR(IF([1]K_Summary!$M$1841 = "", "", [1]K_Summary!$M$1841 ),"")</f>
        <v/>
      </c>
      <c r="N1856" s="173" t="str">
        <f>IFERROR(IF([1]K_Summary!$N$1841 = "", "", [1]K_Summary!$N$1841 ),"")</f>
        <v/>
      </c>
    </row>
    <row r="1857" spans="1:14" ht="15">
      <c r="C1857" s="559"/>
      <c r="D1857" s="706"/>
      <c r="E1857" s="723" t="s">
        <v>1648</v>
      </c>
      <c r="F1857" s="723"/>
      <c r="G1857" s="723"/>
      <c r="H1857" s="734" t="s">
        <v>1021</v>
      </c>
      <c r="I1857" s="735"/>
      <c r="J1857" s="174" t="str">
        <f>IFERROR(IF([1]K_Summary!$J$1842 = "", "", [1]K_Summary!$J$1842 ),"")</f>
        <v/>
      </c>
      <c r="K1857" s="175" t="str">
        <f>IFERROR(IF([1]K_Summary!$K$1842 = "", "", [1]K_Summary!$K$1842 ),"")</f>
        <v/>
      </c>
      <c r="L1857" s="175" t="str">
        <f>IFERROR(IF([1]K_Summary!$L$1842 = "", "", [1]K_Summary!$L$1842 ),"")</f>
        <v/>
      </c>
      <c r="M1857" s="175" t="str">
        <f>IFERROR(IF([1]K_Summary!$M$1842 = "", "", [1]K_Summary!$M$1842 ),"")</f>
        <v/>
      </c>
      <c r="N1857" s="176" t="str">
        <f>IFERROR(IF([1]K_Summary!$N$1842 = "", "", [1]K_Summary!$N$1842 ),"")</f>
        <v/>
      </c>
    </row>
    <row r="1858" spans="1:14" ht="15">
      <c r="C1858" s="559"/>
      <c r="D1858" s="706"/>
      <c r="E1858" s="736" t="s">
        <v>1853</v>
      </c>
      <c r="F1858" s="736"/>
      <c r="G1858" s="736"/>
      <c r="H1858" s="737" t="s">
        <v>1021</v>
      </c>
      <c r="I1858" s="738"/>
      <c r="J1858" s="177" t="str">
        <f>IFERROR(IF([1]K_Summary!$J$1843 = "", "", [1]K_Summary!$J$1843 ),"")</f>
        <v/>
      </c>
      <c r="K1858" s="178" t="str">
        <f>IFERROR(IF([1]K_Summary!$K$1843 = "", "", [1]K_Summary!$K$1843 ),"")</f>
        <v/>
      </c>
      <c r="L1858" s="178" t="str">
        <f>IFERROR(IF([1]K_Summary!$L$1843 = "", "", [1]K_Summary!$L$1843 ),"")</f>
        <v/>
      </c>
      <c r="M1858" s="178" t="str">
        <f>IFERROR(IF([1]K_Summary!$M$1843 = "", "", [1]K_Summary!$M$1843 ),"")</f>
        <v/>
      </c>
      <c r="N1858" s="179" t="str">
        <f>IFERROR(IF([1]K_Summary!$N$1843 = "", "", [1]K_Summary!$N$1843 ),"")</f>
        <v/>
      </c>
    </row>
    <row r="1859" spans="1:14" ht="15">
      <c r="C1859" s="559"/>
      <c r="D1859" s="706"/>
      <c r="E1859" s="727" t="s">
        <v>1689</v>
      </c>
      <c r="F1859" s="727"/>
      <c r="G1859" s="727"/>
      <c r="H1859" s="749" t="s">
        <v>2090</v>
      </c>
      <c r="I1859" s="727"/>
      <c r="J1859" s="180" t="str">
        <f>IFERROR(IF([1]K_Summary!$J$1844 = "", "", [1]K_Summary!$J$1844 ),"")</f>
        <v/>
      </c>
      <c r="K1859" s="181" t="str">
        <f>IFERROR(IF([1]K_Summary!$K$1844 = "", "", [1]K_Summary!$K$1844 ),"")</f>
        <v/>
      </c>
      <c r="L1859" s="181" t="str">
        <f>IFERROR(IF([1]K_Summary!$L$1844 = "", "", [1]K_Summary!$L$1844 ),"")</f>
        <v/>
      </c>
      <c r="M1859" s="181" t="str">
        <f>IFERROR(IF([1]K_Summary!$M$1844 = "", "", [1]K_Summary!$M$1844 ),"")</f>
        <v/>
      </c>
      <c r="N1859" s="182" t="str">
        <f>IFERROR(IF([1]K_Summary!$N$1844 = "", "", [1]K_Summary!$N$1844 ),"")</f>
        <v/>
      </c>
    </row>
    <row r="1860" spans="1:14" ht="15" hidden="1">
      <c r="A1860" s="719" t="s">
        <v>2289</v>
      </c>
      <c r="C1860" s="559"/>
      <c r="D1860" s="706"/>
      <c r="E1860" s="723" t="s">
        <v>1422</v>
      </c>
      <c r="F1860" s="723"/>
      <c r="G1860" s="723"/>
      <c r="H1860" s="724" t="s">
        <v>2090</v>
      </c>
      <c r="I1860" s="725"/>
      <c r="J1860" s="162" t="str">
        <f>IFERROR(IF([1]K_Summary!$J$1845 = "", "", [1]K_Summary!$J$1845 ),"")</f>
        <v/>
      </c>
      <c r="K1860" s="163" t="str">
        <f>IFERROR(IF([1]K_Summary!$K$1845 = "", "", [1]K_Summary!$K$1845 ),"")</f>
        <v/>
      </c>
      <c r="L1860" s="163" t="str">
        <f>IFERROR(IF([1]K_Summary!$L$1845 = "", "", [1]K_Summary!$L$1845 ),"")</f>
        <v/>
      </c>
      <c r="M1860" s="163" t="str">
        <f>IFERROR(IF([1]K_Summary!$M$1845 = "", "", [1]K_Summary!$M$1845 ),"")</f>
        <v/>
      </c>
      <c r="N1860" s="164" t="str">
        <f>IFERROR(IF([1]K_Summary!$N$1845 = "", "", [1]K_Summary!$N$1845 ),"")</f>
        <v/>
      </c>
    </row>
    <row r="1861" spans="1:14" ht="15" hidden="1">
      <c r="A1861" s="719" t="s">
        <v>2289</v>
      </c>
      <c r="C1861" s="559"/>
      <c r="D1861" s="706"/>
      <c r="E1861" s="723" t="s">
        <v>1390</v>
      </c>
      <c r="F1861" s="723"/>
      <c r="G1861" s="723"/>
      <c r="H1861" s="724" t="s">
        <v>2090</v>
      </c>
      <c r="I1861" s="725"/>
      <c r="J1861" s="162" t="str">
        <f>IFERROR(IF([1]K_Summary!$J$1846 = "", "", [1]K_Summary!$J$1846 ),"")</f>
        <v/>
      </c>
      <c r="K1861" s="163" t="str">
        <f>IFERROR(IF([1]K_Summary!$K$1846 = "", "", [1]K_Summary!$K$1846 ),"")</f>
        <v/>
      </c>
      <c r="L1861" s="163" t="str">
        <f>IFERROR(IF([1]K_Summary!$L$1846 = "", "", [1]K_Summary!$L$1846 ),"")</f>
        <v/>
      </c>
      <c r="M1861" s="163" t="str">
        <f>IFERROR(IF([1]K_Summary!$M$1846 = "", "", [1]K_Summary!$M$1846 ),"")</f>
        <v/>
      </c>
      <c r="N1861" s="164" t="str">
        <f>IFERROR(IF([1]K_Summary!$N$1846 = "", "", [1]K_Summary!$N$1846 ),"")</f>
        <v/>
      </c>
    </row>
    <row r="1862" spans="1:14" ht="15" hidden="1">
      <c r="A1862" s="719" t="s">
        <v>2289</v>
      </c>
      <c r="C1862" s="559"/>
      <c r="D1862" s="706"/>
      <c r="E1862" s="723" t="s">
        <v>1389</v>
      </c>
      <c r="F1862" s="723"/>
      <c r="G1862" s="723"/>
      <c r="H1862" s="726" t="s">
        <v>1021</v>
      </c>
      <c r="I1862" s="725"/>
      <c r="J1862" s="165" t="str">
        <f>IFERROR(IF([1]K_Summary!$J$1847 = "", "", [1]K_Summary!$J$1847 ),"")</f>
        <v/>
      </c>
      <c r="K1862" s="166" t="str">
        <f>IFERROR(IF([1]K_Summary!$K$1847 = "", "", [1]K_Summary!$K$1847 ),"")</f>
        <v/>
      </c>
      <c r="L1862" s="166" t="str">
        <f>IFERROR(IF([1]K_Summary!$L$1847 = "", "", [1]K_Summary!$L$1847 ),"")</f>
        <v/>
      </c>
      <c r="M1862" s="166" t="str">
        <f>IFERROR(IF([1]K_Summary!$M$1847 = "", "", [1]K_Summary!$M$1847 ),"")</f>
        <v/>
      </c>
      <c r="N1862" s="167" t="str">
        <f>IFERROR(IF([1]K_Summary!$N$1847 = "", "", [1]K_Summary!$N$1847 ),"")</f>
        <v/>
      </c>
    </row>
    <row r="1863" spans="1:14" ht="15" hidden="1">
      <c r="A1863" s="719" t="s">
        <v>2289</v>
      </c>
      <c r="C1863" s="559"/>
      <c r="D1863" s="706"/>
      <c r="E1863" s="727" t="s">
        <v>1391</v>
      </c>
      <c r="F1863" s="727"/>
      <c r="G1863" s="727"/>
      <c r="H1863" s="728" t="s">
        <v>1021</v>
      </c>
      <c r="I1863" s="729"/>
      <c r="J1863" s="168" t="str">
        <f>IFERROR(IF([1]K_Summary!$J$1848 = "", "", [1]K_Summary!$J$1848 ),"")</f>
        <v/>
      </c>
      <c r="K1863" s="169" t="str">
        <f>IFERROR(IF([1]K_Summary!$K$1848 = "", "", [1]K_Summary!$K$1848 ),"")</f>
        <v/>
      </c>
      <c r="L1863" s="169" t="str">
        <f>IFERROR(IF([1]K_Summary!$L$1848 = "", "", [1]K_Summary!$L$1848 ),"")</f>
        <v/>
      </c>
      <c r="M1863" s="169" t="str">
        <f>IFERROR(IF([1]K_Summary!$M$1848 = "", "", [1]K_Summary!$M$1848 ),"")</f>
        <v/>
      </c>
      <c r="N1863" s="170" t="str">
        <f>IFERROR(IF([1]K_Summary!$N$1848 = "", "", [1]K_Summary!$N$1848 ),"")</f>
        <v/>
      </c>
    </row>
    <row r="1864" spans="1:14" ht="15">
      <c r="C1864" s="559"/>
      <c r="D1864" s="706"/>
      <c r="E1864" s="698" t="s">
        <v>1671</v>
      </c>
      <c r="F1864" s="698"/>
      <c r="G1864" s="698"/>
      <c r="H1864" s="730" t="s">
        <v>2090</v>
      </c>
      <c r="I1864" s="731"/>
      <c r="J1864" s="148" t="str">
        <f>IFERROR(IF([1]K_Summary!$J$1849 = "", "", [1]K_Summary!$J$1849 ),"")</f>
        <v/>
      </c>
      <c r="K1864" s="150" t="str">
        <f>IFERROR(IF([1]K_Summary!$K$1849 = "", "", [1]K_Summary!$K$1849 ),"")</f>
        <v/>
      </c>
      <c r="L1864" s="150" t="str">
        <f>IFERROR(IF([1]K_Summary!$L$1849 = "", "", [1]K_Summary!$L$1849 ),"")</f>
        <v/>
      </c>
      <c r="M1864" s="150" t="str">
        <f>IFERROR(IF([1]K_Summary!$M$1849 = "", "", [1]K_Summary!$M$1849 ),"")</f>
        <v/>
      </c>
      <c r="N1864" s="171" t="str">
        <f>IFERROR(IF([1]K_Summary!$N$1849 = "", "", [1]K_Summary!$N$1849 ),"")</f>
        <v/>
      </c>
    </row>
    <row r="1865" spans="1:14" ht="15">
      <c r="C1865" s="559"/>
      <c r="D1865" s="706"/>
      <c r="E1865" s="698" t="s">
        <v>1670</v>
      </c>
      <c r="F1865" s="698"/>
      <c r="G1865" s="698"/>
      <c r="H1865" s="730" t="s">
        <v>2090</v>
      </c>
      <c r="I1865" s="731"/>
      <c r="J1865" s="148" t="str">
        <f>IFERROR(IF([1]K_Summary!$J$1850 = "", "", [1]K_Summary!$J$1850 ),"")</f>
        <v/>
      </c>
      <c r="K1865" s="150" t="str">
        <f>IFERROR(IF([1]K_Summary!$K$1850 = "", "", [1]K_Summary!$K$1850 ),"")</f>
        <v/>
      </c>
      <c r="L1865" s="150" t="str">
        <f>IFERROR(IF([1]K_Summary!$L$1850 = "", "", [1]K_Summary!$L$1850 ),"")</f>
        <v/>
      </c>
      <c r="M1865" s="150" t="str">
        <f>IFERROR(IF([1]K_Summary!$M$1850 = "", "", [1]K_Summary!$M$1850 ),"")</f>
        <v/>
      </c>
      <c r="N1865" s="171" t="str">
        <f>IFERROR(IF([1]K_Summary!$N$1850 = "", "", [1]K_Summary!$N$1850 ),"")</f>
        <v/>
      </c>
    </row>
    <row r="1866" spans="1:14" ht="15">
      <c r="C1866" s="559"/>
      <c r="D1866" s="706"/>
      <c r="E1866" s="740" t="s">
        <v>2132</v>
      </c>
      <c r="F1866" s="740"/>
      <c r="G1866" s="740"/>
      <c r="H1866" s="741" t="s">
        <v>1021</v>
      </c>
      <c r="I1866" s="742"/>
      <c r="J1866" s="183" t="str">
        <f>IFERROR(IF([1]K_Summary!$J$1851 = "", "", [1]K_Summary!$J$1851 ),"")</f>
        <v/>
      </c>
      <c r="K1866" s="184" t="str">
        <f>IFERROR(IF([1]K_Summary!$K$1851 = "", "", [1]K_Summary!$K$1851 ),"")</f>
        <v/>
      </c>
      <c r="L1866" s="184" t="str">
        <f>IFERROR(IF([1]K_Summary!$L$1851 = "", "", [1]K_Summary!$L$1851 ),"")</f>
        <v/>
      </c>
      <c r="M1866" s="184" t="str">
        <f>IFERROR(IF([1]K_Summary!$M$1851 = "", "", [1]K_Summary!$M$1851 ),"")</f>
        <v/>
      </c>
      <c r="N1866" s="185" t="str">
        <f>IFERROR(IF([1]K_Summary!$N$1851 = "", "", [1]K_Summary!$N$1851 ),"")</f>
        <v/>
      </c>
    </row>
    <row r="1867" spans="1:14" ht="15">
      <c r="C1867" s="559"/>
      <c r="D1867" s="706"/>
      <c r="E1867" s="485"/>
      <c r="F1867" s="485"/>
      <c r="G1867" s="485"/>
      <c r="H1867" s="485"/>
      <c r="I1867" s="743"/>
      <c r="J1867" s="485"/>
      <c r="K1867" s="485"/>
      <c r="L1867" s="485"/>
      <c r="M1867" s="485"/>
      <c r="N1867" s="744"/>
    </row>
    <row r="1868" spans="1:14" ht="15">
      <c r="C1868" s="559"/>
      <c r="D1868" s="706"/>
      <c r="E1868" s="707" t="s">
        <v>1755</v>
      </c>
      <c r="F1868" s="637"/>
      <c r="G1868" s="637"/>
      <c r="H1868" s="663" t="s">
        <v>884</v>
      </c>
      <c r="I1868" s="708"/>
      <c r="J1868" s="709">
        <v>2021</v>
      </c>
      <c r="K1868" s="671">
        <v>2022</v>
      </c>
      <c r="L1868" s="671">
        <v>2023</v>
      </c>
      <c r="M1868" s="671">
        <v>2024</v>
      </c>
      <c r="N1868" s="710">
        <v>2025</v>
      </c>
    </row>
    <row r="1869" spans="1:14" ht="15" hidden="1">
      <c r="A1869" s="719" t="s">
        <v>2289</v>
      </c>
      <c r="C1869" s="559"/>
      <c r="D1869" s="706"/>
      <c r="E1869" s="698" t="s">
        <v>1714</v>
      </c>
      <c r="F1869" s="698"/>
      <c r="G1869" s="698"/>
      <c r="H1869" s="63" t="str">
        <f>IFERROR(IF([1]K_Summary!$H$1854 = "", "", [1]K_Summary!$H$1854 ),"")</f>
        <v>tonnes</v>
      </c>
      <c r="I1869" s="698"/>
      <c r="J1869" s="157" t="str">
        <f>IFERROR(IF([1]K_Summary!$J$1854 = "", "", [1]K_Summary!$J$1854 ),"")</f>
        <v/>
      </c>
      <c r="K1869" s="147" t="str">
        <f>IFERROR(IF([1]K_Summary!$K$1854 = "", "", [1]K_Summary!$K$1854 ),"")</f>
        <v/>
      </c>
      <c r="L1869" s="147" t="str">
        <f>IFERROR(IF([1]K_Summary!$L$1854 = "", "", [1]K_Summary!$L$1854 ),"")</f>
        <v/>
      </c>
      <c r="M1869" s="147" t="str">
        <f>IFERROR(IF([1]K_Summary!$M$1854 = "", "", [1]K_Summary!$M$1854 ),"")</f>
        <v/>
      </c>
      <c r="N1869" s="158" t="str">
        <f>IFERROR(IF([1]K_Summary!$N$1854 = "", "", [1]K_Summary!$N$1854 ),"")</f>
        <v/>
      </c>
    </row>
    <row r="1870" spans="1:14" ht="15" hidden="1">
      <c r="A1870" s="719" t="s">
        <v>2289</v>
      </c>
      <c r="C1870" s="559"/>
      <c r="D1870" s="706"/>
      <c r="E1870" s="720" t="s">
        <v>303</v>
      </c>
      <c r="F1870" s="720"/>
      <c r="G1870" s="720"/>
      <c r="H1870" s="721" t="s">
        <v>2090</v>
      </c>
      <c r="I1870" s="722"/>
      <c r="J1870" s="159" t="str">
        <f>IFERROR(IF([1]K_Summary!$J$1855 = "", "", [1]K_Summary!$J$1855 ),"")</f>
        <v/>
      </c>
      <c r="K1870" s="160" t="str">
        <f>IFERROR(IF([1]K_Summary!$K$1855 = "", "", [1]K_Summary!$K$1855 ),"")</f>
        <v/>
      </c>
      <c r="L1870" s="160" t="str">
        <f>IFERROR(IF([1]K_Summary!$L$1855 = "", "", [1]K_Summary!$L$1855 ),"")</f>
        <v/>
      </c>
      <c r="M1870" s="160" t="str">
        <f>IFERROR(IF([1]K_Summary!$M$1855 = "", "", [1]K_Summary!$M$1855 ),"")</f>
        <v/>
      </c>
      <c r="N1870" s="161" t="str">
        <f>IFERROR(IF([1]K_Summary!$N$1855 = "", "", [1]K_Summary!$N$1855 ),"")</f>
        <v/>
      </c>
    </row>
    <row r="1871" spans="1:14" ht="15" hidden="1">
      <c r="A1871" s="719" t="s">
        <v>2289</v>
      </c>
      <c r="C1871" s="559"/>
      <c r="D1871" s="706"/>
      <c r="E1871" s="745" t="s">
        <v>1422</v>
      </c>
      <c r="F1871" s="745"/>
      <c r="G1871" s="745"/>
      <c r="H1871" s="746" t="s">
        <v>2090</v>
      </c>
      <c r="I1871" s="747"/>
      <c r="J1871" s="186" t="str">
        <f>IFERROR(IF([1]K_Summary!$J$1856 = "", "", [1]K_Summary!$J$1856 ),"")</f>
        <v/>
      </c>
      <c r="K1871" s="187" t="str">
        <f>IFERROR(IF([1]K_Summary!$K$1856 = "", "", [1]K_Summary!$K$1856 ),"")</f>
        <v/>
      </c>
      <c r="L1871" s="187" t="str">
        <f>IFERROR(IF([1]K_Summary!$L$1856 = "", "", [1]K_Summary!$L$1856 ),"")</f>
        <v/>
      </c>
      <c r="M1871" s="187" t="str">
        <f>IFERROR(IF([1]K_Summary!$M$1856 = "", "", [1]K_Summary!$M$1856 ),"")</f>
        <v/>
      </c>
      <c r="N1871" s="188" t="str">
        <f>IFERROR(IF([1]K_Summary!$N$1856 = "", "", [1]K_Summary!$N$1856 ),"")</f>
        <v/>
      </c>
    </row>
    <row r="1872" spans="1:14" ht="15">
      <c r="C1872" s="559"/>
      <c r="D1872" s="706"/>
      <c r="E1872" s="720" t="s">
        <v>1691</v>
      </c>
      <c r="F1872" s="720"/>
      <c r="G1872" s="720"/>
      <c r="H1872" s="721" t="s">
        <v>2090</v>
      </c>
      <c r="I1872" s="722"/>
      <c r="J1872" s="195" t="str">
        <f>IFERROR(IF([1]K_Summary!$J$1857 = "", "", [1]K_Summary!$J$1857 ),"")</f>
        <v/>
      </c>
      <c r="K1872" s="196" t="str">
        <f>IFERROR(IF([1]K_Summary!$K$1857 = "", "", [1]K_Summary!$K$1857 ),"")</f>
        <v/>
      </c>
      <c r="L1872" s="196" t="str">
        <f>IFERROR(IF([1]K_Summary!$L$1857 = "", "", [1]K_Summary!$L$1857 ),"")</f>
        <v/>
      </c>
      <c r="M1872" s="196" t="str">
        <f>IFERROR(IF([1]K_Summary!$M$1857 = "", "", [1]K_Summary!$M$1857 ),"")</f>
        <v/>
      </c>
      <c r="N1872" s="197" t="str">
        <f>IFERROR(IF([1]K_Summary!$N$1857 = "", "", [1]K_Summary!$N$1857 ),"")</f>
        <v/>
      </c>
    </row>
    <row r="1873" spans="1:14" ht="15">
      <c r="C1873" s="559"/>
      <c r="D1873" s="706"/>
      <c r="E1873" s="723" t="s">
        <v>1648</v>
      </c>
      <c r="F1873" s="723"/>
      <c r="G1873" s="723"/>
      <c r="H1873" s="751" t="s">
        <v>1021</v>
      </c>
      <c r="I1873" s="735"/>
      <c r="J1873" s="174" t="str">
        <f>IFERROR(IF([1]K_Summary!$J$1858 = "", "", [1]K_Summary!$J$1858 ),"")</f>
        <v/>
      </c>
      <c r="K1873" s="175" t="str">
        <f>IFERROR(IF([1]K_Summary!$K$1858 = "", "", [1]K_Summary!$K$1858 ),"")</f>
        <v/>
      </c>
      <c r="L1873" s="175" t="str">
        <f>IFERROR(IF([1]K_Summary!$L$1858 = "", "", [1]K_Summary!$L$1858 ),"")</f>
        <v/>
      </c>
      <c r="M1873" s="175" t="str">
        <f>IFERROR(IF([1]K_Summary!$M$1858 = "", "", [1]K_Summary!$M$1858 ),"")</f>
        <v/>
      </c>
      <c r="N1873" s="176" t="str">
        <f>IFERROR(IF([1]K_Summary!$N$1858 = "", "", [1]K_Summary!$N$1858 ),"")</f>
        <v/>
      </c>
    </row>
    <row r="1874" spans="1:14" ht="15">
      <c r="C1874" s="559"/>
      <c r="D1874" s="706"/>
      <c r="E1874" s="736" t="s">
        <v>1854</v>
      </c>
      <c r="F1874" s="736"/>
      <c r="G1874" s="736"/>
      <c r="H1874" s="738" t="s">
        <v>1021</v>
      </c>
      <c r="I1874" s="738"/>
      <c r="J1874" s="177" t="str">
        <f>IFERROR(IF([1]K_Summary!$J$1859 = "", "", [1]K_Summary!$J$1859 ),"")</f>
        <v/>
      </c>
      <c r="K1874" s="178" t="str">
        <f>IFERROR(IF([1]K_Summary!$K$1859 = "", "", [1]K_Summary!$K$1859 ),"")</f>
        <v/>
      </c>
      <c r="L1874" s="178" t="str">
        <f>IFERROR(IF([1]K_Summary!$L$1859 = "", "", [1]K_Summary!$L$1859 ),"")</f>
        <v/>
      </c>
      <c r="M1874" s="178" t="str">
        <f>IFERROR(IF([1]K_Summary!$M$1859 = "", "", [1]K_Summary!$M$1859 ),"")</f>
        <v/>
      </c>
      <c r="N1874" s="179" t="str">
        <f>IFERROR(IF([1]K_Summary!$N$1859 = "", "", [1]K_Summary!$N$1859 ),"")</f>
        <v/>
      </c>
    </row>
    <row r="1875" spans="1:14" ht="15">
      <c r="C1875" s="559"/>
      <c r="D1875" s="706"/>
      <c r="E1875" s="727" t="s">
        <v>1689</v>
      </c>
      <c r="F1875" s="727"/>
      <c r="G1875" s="727"/>
      <c r="H1875" s="728" t="s">
        <v>2090</v>
      </c>
      <c r="I1875" s="729"/>
      <c r="J1875" s="198" t="str">
        <f>IFERROR(IF([1]K_Summary!$J$1860 = "", "", [1]K_Summary!$J$1860 ),"")</f>
        <v/>
      </c>
      <c r="K1875" s="199" t="str">
        <f>IFERROR(IF([1]K_Summary!$K$1860 = "", "", [1]K_Summary!$K$1860 ),"")</f>
        <v/>
      </c>
      <c r="L1875" s="199" t="str">
        <f>IFERROR(IF([1]K_Summary!$L$1860 = "", "", [1]K_Summary!$L$1860 ),"")</f>
        <v/>
      </c>
      <c r="M1875" s="199" t="str">
        <f>IFERROR(IF([1]K_Summary!$M$1860 = "", "", [1]K_Summary!$M$1860 ),"")</f>
        <v/>
      </c>
      <c r="N1875" s="200" t="str">
        <f>IFERROR(IF([1]K_Summary!$N$1860 = "", "", [1]K_Summary!$N$1860 ),"")</f>
        <v/>
      </c>
    </row>
    <row r="1876" spans="1:14" ht="15" hidden="1">
      <c r="A1876" s="719" t="s">
        <v>2289</v>
      </c>
      <c r="C1876" s="559"/>
      <c r="D1876" s="706"/>
      <c r="E1876" s="645" t="s">
        <v>1389</v>
      </c>
      <c r="F1876" s="645"/>
      <c r="G1876" s="645"/>
      <c r="H1876" s="752" t="s">
        <v>1021</v>
      </c>
      <c r="I1876" s="753"/>
      <c r="J1876" s="201" t="str">
        <f>IFERROR(IF([1]K_Summary!$J$1861 = "", "", [1]K_Summary!$J$1861 ),"")</f>
        <v/>
      </c>
      <c r="K1876" s="202" t="str">
        <f>IFERROR(IF([1]K_Summary!$K$1861 = "", "", [1]K_Summary!$K$1861 ),"")</f>
        <v/>
      </c>
      <c r="L1876" s="202" t="str">
        <f>IFERROR(IF([1]K_Summary!$L$1861 = "", "", [1]K_Summary!$L$1861 ),"")</f>
        <v/>
      </c>
      <c r="M1876" s="202" t="str">
        <f>IFERROR(IF([1]K_Summary!$M$1861 = "", "", [1]K_Summary!$M$1861 ),"")</f>
        <v/>
      </c>
      <c r="N1876" s="203" t="str">
        <f>IFERROR(IF([1]K_Summary!$N$1861 = "", "", [1]K_Summary!$N$1861 ),"")</f>
        <v/>
      </c>
    </row>
    <row r="1877" spans="1:14" ht="15" hidden="1">
      <c r="A1877" s="719" t="s">
        <v>2289</v>
      </c>
      <c r="C1877" s="559"/>
      <c r="D1877" s="706"/>
      <c r="E1877" s="727" t="s">
        <v>1391</v>
      </c>
      <c r="F1877" s="727"/>
      <c r="G1877" s="727"/>
      <c r="H1877" s="728" t="s">
        <v>1021</v>
      </c>
      <c r="I1877" s="729"/>
      <c r="J1877" s="168" t="str">
        <f>IFERROR(IF([1]K_Summary!$J$1862 = "", "", [1]K_Summary!$J$1862 ),"")</f>
        <v/>
      </c>
      <c r="K1877" s="169" t="str">
        <f>IFERROR(IF([1]K_Summary!$K$1862 = "", "", [1]K_Summary!$K$1862 ),"")</f>
        <v/>
      </c>
      <c r="L1877" s="169" t="str">
        <f>IFERROR(IF([1]K_Summary!$L$1862 = "", "", [1]K_Summary!$L$1862 ),"")</f>
        <v/>
      </c>
      <c r="M1877" s="169" t="str">
        <f>IFERROR(IF([1]K_Summary!$M$1862 = "", "", [1]K_Summary!$M$1862 ),"")</f>
        <v/>
      </c>
      <c r="N1877" s="170" t="str">
        <f>IFERROR(IF([1]K_Summary!$N$1862 = "", "", [1]K_Summary!$N$1862 ),"")</f>
        <v/>
      </c>
    </row>
    <row r="1878" spans="1:14" ht="15">
      <c r="C1878" s="559"/>
      <c r="D1878" s="706"/>
      <c r="E1878" s="698" t="s">
        <v>1671</v>
      </c>
      <c r="F1878" s="698"/>
      <c r="G1878" s="698"/>
      <c r="H1878" s="730" t="s">
        <v>2090</v>
      </c>
      <c r="I1878" s="731"/>
      <c r="J1878" s="148" t="str">
        <f>IFERROR(IF([1]K_Summary!$J$1863 = "", "", [1]K_Summary!$J$1863 ),"")</f>
        <v/>
      </c>
      <c r="K1878" s="150" t="str">
        <f>IFERROR(IF([1]K_Summary!$K$1863 = "", "", [1]K_Summary!$K$1863 ),"")</f>
        <v/>
      </c>
      <c r="L1878" s="150" t="str">
        <f>IFERROR(IF([1]K_Summary!$L$1863 = "", "", [1]K_Summary!$L$1863 ),"")</f>
        <v/>
      </c>
      <c r="M1878" s="150" t="str">
        <f>IFERROR(IF([1]K_Summary!$M$1863 = "", "", [1]K_Summary!$M$1863 ),"")</f>
        <v/>
      </c>
      <c r="N1878" s="171" t="str">
        <f>IFERROR(IF([1]K_Summary!$N$1863 = "", "", [1]K_Summary!$N$1863 ),"")</f>
        <v/>
      </c>
    </row>
    <row r="1879" spans="1:14" ht="15">
      <c r="C1879" s="559"/>
      <c r="D1879" s="706"/>
      <c r="E1879" s="698" t="s">
        <v>1670</v>
      </c>
      <c r="F1879" s="698"/>
      <c r="G1879" s="698"/>
      <c r="H1879" s="730" t="s">
        <v>2090</v>
      </c>
      <c r="I1879" s="731"/>
      <c r="J1879" s="148" t="str">
        <f>IFERROR(IF([1]K_Summary!$J$1864 = "", "", [1]K_Summary!$J$1864 ),"")</f>
        <v/>
      </c>
      <c r="K1879" s="150" t="str">
        <f>IFERROR(IF([1]K_Summary!$K$1864 = "", "", [1]K_Summary!$K$1864 ),"")</f>
        <v/>
      </c>
      <c r="L1879" s="150" t="str">
        <f>IFERROR(IF([1]K_Summary!$L$1864 = "", "", [1]K_Summary!$L$1864 ),"")</f>
        <v/>
      </c>
      <c r="M1879" s="150" t="str">
        <f>IFERROR(IF([1]K_Summary!$M$1864 = "", "", [1]K_Summary!$M$1864 ),"")</f>
        <v/>
      </c>
      <c r="N1879" s="171" t="str">
        <f>IFERROR(IF([1]K_Summary!$N$1864 = "", "", [1]K_Summary!$N$1864 ),"")</f>
        <v/>
      </c>
    </row>
    <row r="1880" spans="1:14" ht="15">
      <c r="C1880" s="559"/>
      <c r="D1880" s="706"/>
      <c r="E1880" s="740" t="s">
        <v>2133</v>
      </c>
      <c r="F1880" s="698"/>
      <c r="G1880" s="698"/>
      <c r="H1880" s="741" t="s">
        <v>1021</v>
      </c>
      <c r="I1880" s="742"/>
      <c r="J1880" s="183" t="str">
        <f>IFERROR(IF([1]K_Summary!$J$1865 = "", "", [1]K_Summary!$J$1865 ),"")</f>
        <v/>
      </c>
      <c r="K1880" s="184" t="str">
        <f>IFERROR(IF([1]K_Summary!$K$1865 = "", "", [1]K_Summary!$K$1865 ),"")</f>
        <v/>
      </c>
      <c r="L1880" s="184" t="str">
        <f>IFERROR(IF([1]K_Summary!$L$1865 = "", "", [1]K_Summary!$L$1865 ),"")</f>
        <v/>
      </c>
      <c r="M1880" s="184" t="str">
        <f>IFERROR(IF([1]K_Summary!$M$1865 = "", "", [1]K_Summary!$M$1865 ),"")</f>
        <v/>
      </c>
      <c r="N1880" s="185" t="str">
        <f>IFERROR(IF([1]K_Summary!$N$1865 = "", "", [1]K_Summary!$N$1865 ),"")</f>
        <v/>
      </c>
    </row>
    <row r="1881" spans="1:14" ht="15">
      <c r="C1881" s="559"/>
      <c r="D1881" s="706"/>
      <c r="E1881" s="485"/>
      <c r="F1881" s="485"/>
      <c r="G1881" s="485"/>
      <c r="H1881" s="485"/>
      <c r="I1881" s="743"/>
      <c r="J1881" s="485"/>
      <c r="K1881" s="485"/>
      <c r="L1881" s="485"/>
      <c r="M1881" s="485"/>
      <c r="N1881" s="744"/>
    </row>
    <row r="1882" spans="1:14" ht="15">
      <c r="C1882" s="559"/>
      <c r="D1882" s="706"/>
      <c r="E1882" s="707" t="s">
        <v>1756</v>
      </c>
      <c r="F1882" s="637"/>
      <c r="G1882" s="637"/>
      <c r="H1882" s="663" t="s">
        <v>884</v>
      </c>
      <c r="I1882" s="708"/>
      <c r="J1882" s="709">
        <v>2021</v>
      </c>
      <c r="K1882" s="671">
        <v>2022</v>
      </c>
      <c r="L1882" s="671">
        <v>2023</v>
      </c>
      <c r="M1882" s="671">
        <v>2024</v>
      </c>
      <c r="N1882" s="710">
        <v>2025</v>
      </c>
    </row>
    <row r="1883" spans="1:14" ht="15" hidden="1">
      <c r="A1883" s="719" t="s">
        <v>2289</v>
      </c>
      <c r="C1883" s="559"/>
      <c r="D1883" s="706"/>
      <c r="E1883" s="698" t="s">
        <v>1714</v>
      </c>
      <c r="F1883" s="698"/>
      <c r="G1883" s="698"/>
      <c r="H1883" s="63" t="str">
        <f>IFERROR(IF([1]K_Summary!$H$1868 = "", "", [1]K_Summary!$H$1868 ),"")</f>
        <v>tonnes</v>
      </c>
      <c r="I1883" s="698"/>
      <c r="J1883" s="157" t="str">
        <f>IFERROR(IF([1]K_Summary!$J$1868 = "", "", [1]K_Summary!$J$1868 ),"")</f>
        <v/>
      </c>
      <c r="K1883" s="147" t="str">
        <f>IFERROR(IF([1]K_Summary!$K$1868 = "", "", [1]K_Summary!$K$1868 ),"")</f>
        <v/>
      </c>
      <c r="L1883" s="147" t="str">
        <f>IFERROR(IF([1]K_Summary!$L$1868 = "", "", [1]K_Summary!$L$1868 ),"")</f>
        <v/>
      </c>
      <c r="M1883" s="147" t="str">
        <f>IFERROR(IF([1]K_Summary!$M$1868 = "", "", [1]K_Summary!$M$1868 ),"")</f>
        <v/>
      </c>
      <c r="N1883" s="158" t="str">
        <f>IFERROR(IF([1]K_Summary!$N$1868 = "", "", [1]K_Summary!$N$1868 ),"")</f>
        <v/>
      </c>
    </row>
    <row r="1884" spans="1:14" ht="15" hidden="1">
      <c r="A1884" s="719" t="s">
        <v>2289</v>
      </c>
      <c r="C1884" s="559"/>
      <c r="D1884" s="706"/>
      <c r="E1884" s="720" t="s">
        <v>303</v>
      </c>
      <c r="F1884" s="720"/>
      <c r="G1884" s="720"/>
      <c r="H1884" s="721" t="s">
        <v>2090</v>
      </c>
      <c r="I1884" s="722"/>
      <c r="J1884" s="159" t="str">
        <f>IFERROR(IF([1]K_Summary!$J$1869 = "", "", [1]K_Summary!$J$1869 ),"")</f>
        <v/>
      </c>
      <c r="K1884" s="160" t="str">
        <f>IFERROR(IF([1]K_Summary!$K$1869 = "", "", [1]K_Summary!$K$1869 ),"")</f>
        <v/>
      </c>
      <c r="L1884" s="160" t="str">
        <f>IFERROR(IF([1]K_Summary!$L$1869 = "", "", [1]K_Summary!$L$1869 ),"")</f>
        <v/>
      </c>
      <c r="M1884" s="160" t="str">
        <f>IFERROR(IF([1]K_Summary!$M$1869 = "", "", [1]K_Summary!$M$1869 ),"")</f>
        <v/>
      </c>
      <c r="N1884" s="161" t="str">
        <f>IFERROR(IF([1]K_Summary!$N$1869 = "", "", [1]K_Summary!$N$1869 ),"")</f>
        <v/>
      </c>
    </row>
    <row r="1885" spans="1:14" ht="15" hidden="1">
      <c r="A1885" s="719" t="s">
        <v>2289</v>
      </c>
      <c r="C1885" s="559"/>
      <c r="D1885" s="706"/>
      <c r="E1885" s="723" t="s">
        <v>1422</v>
      </c>
      <c r="F1885" s="723"/>
      <c r="G1885" s="723"/>
      <c r="H1885" s="724" t="s">
        <v>2090</v>
      </c>
      <c r="I1885" s="725"/>
      <c r="J1885" s="162" t="str">
        <f>IFERROR(IF([1]K_Summary!$J$1870 = "", "", [1]K_Summary!$J$1870 ),"")</f>
        <v/>
      </c>
      <c r="K1885" s="163" t="str">
        <f>IFERROR(IF([1]K_Summary!$K$1870 = "", "", [1]K_Summary!$K$1870 ),"")</f>
        <v/>
      </c>
      <c r="L1885" s="163" t="str">
        <f>IFERROR(IF([1]K_Summary!$L$1870 = "", "", [1]K_Summary!$L$1870 ),"")</f>
        <v/>
      </c>
      <c r="M1885" s="163" t="str">
        <f>IFERROR(IF([1]K_Summary!$M$1870 = "", "", [1]K_Summary!$M$1870 ),"")</f>
        <v/>
      </c>
      <c r="N1885" s="164" t="str">
        <f>IFERROR(IF([1]K_Summary!$N$1870 = "", "", [1]K_Summary!$N$1870 ),"")</f>
        <v/>
      </c>
    </row>
    <row r="1886" spans="1:14" ht="15" hidden="1">
      <c r="A1886" s="719" t="s">
        <v>2289</v>
      </c>
      <c r="C1886" s="559"/>
      <c r="D1886" s="706"/>
      <c r="E1886" s="723" t="s">
        <v>1390</v>
      </c>
      <c r="F1886" s="723"/>
      <c r="G1886" s="723"/>
      <c r="H1886" s="724" t="s">
        <v>2090</v>
      </c>
      <c r="I1886" s="725"/>
      <c r="J1886" s="162" t="str">
        <f>IFERROR(IF([1]K_Summary!$J$1871 = "", "", [1]K_Summary!$J$1871 ),"")</f>
        <v/>
      </c>
      <c r="K1886" s="163" t="str">
        <f>IFERROR(IF([1]K_Summary!$K$1871 = "", "", [1]K_Summary!$K$1871 ),"")</f>
        <v/>
      </c>
      <c r="L1886" s="163" t="str">
        <f>IFERROR(IF([1]K_Summary!$L$1871 = "", "", [1]K_Summary!$L$1871 ),"")</f>
        <v/>
      </c>
      <c r="M1886" s="163" t="str">
        <f>IFERROR(IF([1]K_Summary!$M$1871 = "", "", [1]K_Summary!$M$1871 ),"")</f>
        <v/>
      </c>
      <c r="N1886" s="164" t="str">
        <f>IFERROR(IF([1]K_Summary!$N$1871 = "", "", [1]K_Summary!$N$1871 ),"")</f>
        <v/>
      </c>
    </row>
    <row r="1887" spans="1:14" ht="15" hidden="1">
      <c r="A1887" s="719" t="s">
        <v>2289</v>
      </c>
      <c r="C1887" s="559"/>
      <c r="D1887" s="706"/>
      <c r="E1887" s="745" t="s">
        <v>1389</v>
      </c>
      <c r="F1887" s="745"/>
      <c r="G1887" s="745"/>
      <c r="H1887" s="754" t="s">
        <v>1021</v>
      </c>
      <c r="I1887" s="747"/>
      <c r="J1887" s="204" t="str">
        <f>IFERROR(IF([1]K_Summary!$J$1872 = "", "", [1]K_Summary!$J$1872 ),"")</f>
        <v/>
      </c>
      <c r="K1887" s="205" t="str">
        <f>IFERROR(IF([1]K_Summary!$K$1872 = "", "", [1]K_Summary!$K$1872 ),"")</f>
        <v/>
      </c>
      <c r="L1887" s="205" t="str">
        <f>IFERROR(IF([1]K_Summary!$L$1872 = "", "", [1]K_Summary!$L$1872 ),"")</f>
        <v/>
      </c>
      <c r="M1887" s="205" t="str">
        <f>IFERROR(IF([1]K_Summary!$M$1872 = "", "", [1]K_Summary!$M$1872 ),"")</f>
        <v/>
      </c>
      <c r="N1887" s="206" t="str">
        <f>IFERROR(IF([1]K_Summary!$N$1872 = "", "", [1]K_Summary!$N$1872 ),"")</f>
        <v/>
      </c>
    </row>
    <row r="1888" spans="1:14" ht="15">
      <c r="C1888" s="559"/>
      <c r="D1888" s="706"/>
      <c r="E1888" s="720" t="s">
        <v>1691</v>
      </c>
      <c r="F1888" s="720"/>
      <c r="G1888" s="720"/>
      <c r="H1888" s="748" t="s">
        <v>1021</v>
      </c>
      <c r="I1888" s="722"/>
      <c r="J1888" s="189" t="str">
        <f>IFERROR(IF([1]K_Summary!$J$1873 = "", "", [1]K_Summary!$J$1873 ),"")</f>
        <v/>
      </c>
      <c r="K1888" s="190" t="str">
        <f>IFERROR(IF([1]K_Summary!$K$1873 = "", "", [1]K_Summary!$K$1873 ),"")</f>
        <v/>
      </c>
      <c r="L1888" s="190" t="str">
        <f>IFERROR(IF([1]K_Summary!$L$1873 = "", "", [1]K_Summary!$L$1873 ),"")</f>
        <v/>
      </c>
      <c r="M1888" s="190" t="str">
        <f>IFERROR(IF([1]K_Summary!$M$1873 = "", "", [1]K_Summary!$M$1873 ),"")</f>
        <v/>
      </c>
      <c r="N1888" s="191" t="str">
        <f>IFERROR(IF([1]K_Summary!$N$1873 = "", "", [1]K_Summary!$N$1873 ),"")</f>
        <v/>
      </c>
    </row>
    <row r="1889" spans="1:14" ht="15">
      <c r="C1889" s="559"/>
      <c r="D1889" s="706"/>
      <c r="E1889" s="723" t="s">
        <v>1648</v>
      </c>
      <c r="F1889" s="723"/>
      <c r="G1889" s="723"/>
      <c r="H1889" s="751" t="s">
        <v>1021</v>
      </c>
      <c r="I1889" s="735"/>
      <c r="J1889" s="174" t="str">
        <f>IFERROR(IF([1]K_Summary!$J$1874 = "", "", [1]K_Summary!$J$1874 ),"")</f>
        <v/>
      </c>
      <c r="K1889" s="175" t="str">
        <f>IFERROR(IF([1]K_Summary!$K$1874 = "", "", [1]K_Summary!$K$1874 ),"")</f>
        <v/>
      </c>
      <c r="L1889" s="175" t="str">
        <f>IFERROR(IF([1]K_Summary!$L$1874 = "", "", [1]K_Summary!$L$1874 ),"")</f>
        <v/>
      </c>
      <c r="M1889" s="175" t="str">
        <f>IFERROR(IF([1]K_Summary!$M$1874 = "", "", [1]K_Summary!$M$1874 ),"")</f>
        <v/>
      </c>
      <c r="N1889" s="176" t="str">
        <f>IFERROR(IF([1]K_Summary!$N$1874 = "", "", [1]K_Summary!$N$1874 ),"")</f>
        <v/>
      </c>
    </row>
    <row r="1890" spans="1:14" ht="15">
      <c r="C1890" s="559"/>
      <c r="D1890" s="706"/>
      <c r="E1890" s="736" t="s">
        <v>1855</v>
      </c>
      <c r="F1890" s="736"/>
      <c r="G1890" s="736"/>
      <c r="H1890" s="738" t="s">
        <v>1021</v>
      </c>
      <c r="I1890" s="738"/>
      <c r="J1890" s="177" t="str">
        <f>IFERROR(IF([1]K_Summary!$J$1875 = "", "", [1]K_Summary!$J$1875 ),"")</f>
        <v/>
      </c>
      <c r="K1890" s="178" t="str">
        <f>IFERROR(IF([1]K_Summary!$K$1875 = "", "", [1]K_Summary!$K$1875 ),"")</f>
        <v/>
      </c>
      <c r="L1890" s="178" t="str">
        <f>IFERROR(IF([1]K_Summary!$L$1875 = "", "", [1]K_Summary!$L$1875 ),"")</f>
        <v/>
      </c>
      <c r="M1890" s="178" t="str">
        <f>IFERROR(IF([1]K_Summary!$M$1875 = "", "", [1]K_Summary!$M$1875 ),"")</f>
        <v/>
      </c>
      <c r="N1890" s="179" t="str">
        <f>IFERROR(IF([1]K_Summary!$N$1875 = "", "", [1]K_Summary!$N$1875 ),"")</f>
        <v/>
      </c>
    </row>
    <row r="1891" spans="1:14" ht="15">
      <c r="C1891" s="559"/>
      <c r="D1891" s="706"/>
      <c r="E1891" s="727" t="s">
        <v>1689</v>
      </c>
      <c r="F1891" s="727"/>
      <c r="G1891" s="727"/>
      <c r="H1891" s="728" t="s">
        <v>1021</v>
      </c>
      <c r="I1891" s="729"/>
      <c r="J1891" s="192" t="str">
        <f>IFERROR(IF([1]K_Summary!$J$1876 = "", "", [1]K_Summary!$J$1876 ),"")</f>
        <v/>
      </c>
      <c r="K1891" s="193" t="str">
        <f>IFERROR(IF([1]K_Summary!$K$1876 = "", "", [1]K_Summary!$K$1876 ),"")</f>
        <v/>
      </c>
      <c r="L1891" s="193" t="str">
        <f>IFERROR(IF([1]K_Summary!$L$1876 = "", "", [1]K_Summary!$L$1876 ),"")</f>
        <v/>
      </c>
      <c r="M1891" s="193" t="str">
        <f>IFERROR(IF([1]K_Summary!$M$1876 = "", "", [1]K_Summary!$M$1876 ),"")</f>
        <v/>
      </c>
      <c r="N1891" s="194" t="str">
        <f>IFERROR(IF([1]K_Summary!$N$1876 = "", "", [1]K_Summary!$N$1876 ),"")</f>
        <v/>
      </c>
    </row>
    <row r="1892" spans="1:14" ht="15">
      <c r="C1892" s="559"/>
      <c r="D1892" s="706"/>
      <c r="E1892" s="698" t="s">
        <v>1671</v>
      </c>
      <c r="F1892" s="698"/>
      <c r="G1892" s="698"/>
      <c r="H1892" s="730" t="s">
        <v>2090</v>
      </c>
      <c r="I1892" s="731"/>
      <c r="J1892" s="148" t="str">
        <f>IFERROR(IF([1]K_Summary!$J$1877 = "", "", [1]K_Summary!$J$1877 ),"")</f>
        <v/>
      </c>
      <c r="K1892" s="150" t="str">
        <f>IFERROR(IF([1]K_Summary!$K$1877 = "", "", [1]K_Summary!$K$1877 ),"")</f>
        <v/>
      </c>
      <c r="L1892" s="150" t="str">
        <f>IFERROR(IF([1]K_Summary!$L$1877 = "", "", [1]K_Summary!$L$1877 ),"")</f>
        <v/>
      </c>
      <c r="M1892" s="150" t="str">
        <f>IFERROR(IF([1]K_Summary!$M$1877 = "", "", [1]K_Summary!$M$1877 ),"")</f>
        <v/>
      </c>
      <c r="N1892" s="171" t="str">
        <f>IFERROR(IF([1]K_Summary!$N$1877 = "", "", [1]K_Summary!$N$1877 ),"")</f>
        <v/>
      </c>
    </row>
    <row r="1893" spans="1:14" ht="15">
      <c r="C1893" s="559"/>
      <c r="D1893" s="706"/>
      <c r="E1893" s="698" t="s">
        <v>1670</v>
      </c>
      <c r="F1893" s="698"/>
      <c r="G1893" s="698"/>
      <c r="H1893" s="730" t="s">
        <v>2090</v>
      </c>
      <c r="I1893" s="731"/>
      <c r="J1893" s="148" t="str">
        <f>IFERROR(IF([1]K_Summary!$J$1878 = "", "", [1]K_Summary!$J$1878 ),"")</f>
        <v/>
      </c>
      <c r="K1893" s="150" t="str">
        <f>IFERROR(IF([1]K_Summary!$K$1878 = "", "", [1]K_Summary!$K$1878 ),"")</f>
        <v/>
      </c>
      <c r="L1893" s="150" t="str">
        <f>IFERROR(IF([1]K_Summary!$L$1878 = "", "", [1]K_Summary!$L$1878 ),"")</f>
        <v/>
      </c>
      <c r="M1893" s="150" t="str">
        <f>IFERROR(IF([1]K_Summary!$M$1878 = "", "", [1]K_Summary!$M$1878 ),"")</f>
        <v/>
      </c>
      <c r="N1893" s="171" t="str">
        <f>IFERROR(IF([1]K_Summary!$N$1878 = "", "", [1]K_Summary!$N$1878 ),"")</f>
        <v/>
      </c>
    </row>
    <row r="1894" spans="1:14" ht="15">
      <c r="C1894" s="559"/>
      <c r="D1894" s="706"/>
      <c r="E1894" s="740" t="s">
        <v>2134</v>
      </c>
      <c r="F1894" s="698"/>
      <c r="G1894" s="698"/>
      <c r="H1894" s="741" t="s">
        <v>1021</v>
      </c>
      <c r="I1894" s="742"/>
      <c r="J1894" s="183" t="str">
        <f>IFERROR(IF([1]K_Summary!$J$1879 = "", "", [1]K_Summary!$J$1879 ),"")</f>
        <v/>
      </c>
      <c r="K1894" s="184" t="str">
        <f>IFERROR(IF([1]K_Summary!$K$1879 = "", "", [1]K_Summary!$K$1879 ),"")</f>
        <v/>
      </c>
      <c r="L1894" s="184" t="str">
        <f>IFERROR(IF([1]K_Summary!$L$1879 = "", "", [1]K_Summary!$L$1879 ),"")</f>
        <v/>
      </c>
      <c r="M1894" s="184" t="str">
        <f>IFERROR(IF([1]K_Summary!$M$1879 = "", "", [1]K_Summary!$M$1879 ),"")</f>
        <v/>
      </c>
      <c r="N1894" s="185" t="str">
        <f>IFERROR(IF([1]K_Summary!$N$1879 = "", "", [1]K_Summary!$N$1879 ),"")</f>
        <v/>
      </c>
    </row>
    <row r="1895" spans="1:14" ht="15">
      <c r="C1895" s="559"/>
      <c r="D1895" s="706"/>
      <c r="E1895" s="485"/>
      <c r="F1895" s="485"/>
      <c r="G1895" s="485"/>
      <c r="H1895" s="485"/>
      <c r="I1895" s="743"/>
      <c r="J1895" s="485"/>
      <c r="K1895" s="485"/>
      <c r="L1895" s="485"/>
      <c r="M1895" s="485"/>
      <c r="N1895" s="744"/>
    </row>
    <row r="1896" spans="1:14" ht="15">
      <c r="C1896" s="559"/>
      <c r="D1896" s="706"/>
      <c r="E1896" s="707" t="s">
        <v>1757</v>
      </c>
      <c r="F1896" s="637"/>
      <c r="G1896" s="637"/>
      <c r="H1896" s="663" t="s">
        <v>884</v>
      </c>
      <c r="I1896" s="708"/>
      <c r="J1896" s="709">
        <v>2021</v>
      </c>
      <c r="K1896" s="671">
        <v>2022</v>
      </c>
      <c r="L1896" s="671">
        <v>2023</v>
      </c>
      <c r="M1896" s="671">
        <v>2024</v>
      </c>
      <c r="N1896" s="710">
        <v>2025</v>
      </c>
    </row>
    <row r="1897" spans="1:14" ht="15" hidden="1">
      <c r="A1897" s="719" t="s">
        <v>2289</v>
      </c>
      <c r="C1897" s="559"/>
      <c r="D1897" s="706"/>
      <c r="E1897" s="698" t="s">
        <v>1714</v>
      </c>
      <c r="F1897" s="698"/>
      <c r="G1897" s="698"/>
      <c r="H1897" s="63" t="str">
        <f>IFERROR(IF([1]K_Summary!$H$1882 = "", "", [1]K_Summary!$H$1882 ),"")</f>
        <v>tonnes</v>
      </c>
      <c r="I1897" s="698"/>
      <c r="J1897" s="157" t="str">
        <f>IFERROR(IF([1]K_Summary!$J$1882 = "", "", [1]K_Summary!$J$1882 ),"")</f>
        <v/>
      </c>
      <c r="K1897" s="147" t="str">
        <f>IFERROR(IF([1]K_Summary!$K$1882 = "", "", [1]K_Summary!$K$1882 ),"")</f>
        <v/>
      </c>
      <c r="L1897" s="147" t="str">
        <f>IFERROR(IF([1]K_Summary!$L$1882 = "", "", [1]K_Summary!$L$1882 ),"")</f>
        <v/>
      </c>
      <c r="M1897" s="147" t="str">
        <f>IFERROR(IF([1]K_Summary!$M$1882 = "", "", [1]K_Summary!$M$1882 ),"")</f>
        <v/>
      </c>
      <c r="N1897" s="158" t="str">
        <f>IFERROR(IF([1]K_Summary!$N$1882 = "", "", [1]K_Summary!$N$1882 ),"")</f>
        <v/>
      </c>
    </row>
    <row r="1898" spans="1:14" ht="15" hidden="1">
      <c r="A1898" s="719" t="s">
        <v>2289</v>
      </c>
      <c r="C1898" s="559"/>
      <c r="D1898" s="706"/>
      <c r="E1898" s="720" t="s">
        <v>303</v>
      </c>
      <c r="F1898" s="720"/>
      <c r="G1898" s="720"/>
      <c r="H1898" s="721" t="s">
        <v>2090</v>
      </c>
      <c r="I1898" s="722"/>
      <c r="J1898" s="159" t="str">
        <f>IFERROR(IF([1]K_Summary!$J$1883 = "", "", [1]K_Summary!$J$1883 ),"")</f>
        <v/>
      </c>
      <c r="K1898" s="160" t="str">
        <f>IFERROR(IF([1]K_Summary!$K$1883 = "", "", [1]K_Summary!$K$1883 ),"")</f>
        <v/>
      </c>
      <c r="L1898" s="160" t="str">
        <f>IFERROR(IF([1]K_Summary!$L$1883 = "", "", [1]K_Summary!$L$1883 ),"")</f>
        <v/>
      </c>
      <c r="M1898" s="160" t="str">
        <f>IFERROR(IF([1]K_Summary!$M$1883 = "", "", [1]K_Summary!$M$1883 ),"")</f>
        <v/>
      </c>
      <c r="N1898" s="161" t="str">
        <f>IFERROR(IF([1]K_Summary!$N$1883 = "", "", [1]K_Summary!$N$1883 ),"")</f>
        <v/>
      </c>
    </row>
    <row r="1899" spans="1:14" ht="15">
      <c r="C1899" s="559"/>
      <c r="D1899" s="706"/>
      <c r="E1899" s="720" t="s">
        <v>1691</v>
      </c>
      <c r="F1899" s="720"/>
      <c r="G1899" s="720"/>
      <c r="H1899" s="748" t="s">
        <v>471</v>
      </c>
      <c r="I1899" s="722"/>
      <c r="J1899" s="172" t="str">
        <f>IFERROR(IF([1]K_Summary!$J$1884 = "", "", [1]K_Summary!$J$1884 ),"")</f>
        <v/>
      </c>
      <c r="K1899" s="54" t="str">
        <f>IFERROR(IF([1]K_Summary!$K$1884 = "", "", [1]K_Summary!$K$1884 ),"")</f>
        <v/>
      </c>
      <c r="L1899" s="54" t="str">
        <f>IFERROR(IF([1]K_Summary!$L$1884 = "", "", [1]K_Summary!$L$1884 ),"")</f>
        <v/>
      </c>
      <c r="M1899" s="54" t="str">
        <f>IFERROR(IF([1]K_Summary!$M$1884 = "", "", [1]K_Summary!$M$1884 ),"")</f>
        <v/>
      </c>
      <c r="N1899" s="173" t="str">
        <f>IFERROR(IF([1]K_Summary!$N$1884 = "", "", [1]K_Summary!$N$1884 ),"")</f>
        <v/>
      </c>
    </row>
    <row r="1900" spans="1:14" ht="15">
      <c r="C1900" s="559"/>
      <c r="D1900" s="706"/>
      <c r="E1900" s="723" t="s">
        <v>1648</v>
      </c>
      <c r="F1900" s="723"/>
      <c r="G1900" s="723"/>
      <c r="H1900" s="734" t="s">
        <v>1021</v>
      </c>
      <c r="I1900" s="735"/>
      <c r="J1900" s="174" t="str">
        <f>IFERROR(IF([1]K_Summary!$J$1885 = "", "", [1]K_Summary!$J$1885 ),"")</f>
        <v/>
      </c>
      <c r="K1900" s="175" t="str">
        <f>IFERROR(IF([1]K_Summary!$K$1885 = "", "", [1]K_Summary!$K$1885 ),"")</f>
        <v/>
      </c>
      <c r="L1900" s="175" t="str">
        <f>IFERROR(IF([1]K_Summary!$L$1885 = "", "", [1]K_Summary!$L$1885 ),"")</f>
        <v/>
      </c>
      <c r="M1900" s="175" t="str">
        <f>IFERROR(IF([1]K_Summary!$M$1885 = "", "", [1]K_Summary!$M$1885 ),"")</f>
        <v/>
      </c>
      <c r="N1900" s="176" t="str">
        <f>IFERROR(IF([1]K_Summary!$N$1885 = "", "", [1]K_Summary!$N$1885 ),"")</f>
        <v/>
      </c>
    </row>
    <row r="1901" spans="1:14" ht="15">
      <c r="C1901" s="559"/>
      <c r="D1901" s="706"/>
      <c r="E1901" s="736" t="s">
        <v>1856</v>
      </c>
      <c r="F1901" s="736"/>
      <c r="G1901" s="736"/>
      <c r="H1901" s="737" t="s">
        <v>1021</v>
      </c>
      <c r="I1901" s="738"/>
      <c r="J1901" s="177" t="str">
        <f>IFERROR(IF([1]K_Summary!$J$1886 = "", "", [1]K_Summary!$J$1886 ),"")</f>
        <v/>
      </c>
      <c r="K1901" s="178" t="str">
        <f>IFERROR(IF([1]K_Summary!$K$1886 = "", "", [1]K_Summary!$K$1886 ),"")</f>
        <v/>
      </c>
      <c r="L1901" s="178" t="str">
        <f>IFERROR(IF([1]K_Summary!$L$1886 = "", "", [1]K_Summary!$L$1886 ),"")</f>
        <v/>
      </c>
      <c r="M1901" s="178" t="str">
        <f>IFERROR(IF([1]K_Summary!$M$1886 = "", "", [1]K_Summary!$M$1886 ),"")</f>
        <v/>
      </c>
      <c r="N1901" s="179" t="str">
        <f>IFERROR(IF([1]K_Summary!$N$1886 = "", "", [1]K_Summary!$N$1886 ),"")</f>
        <v/>
      </c>
    </row>
    <row r="1902" spans="1:14" ht="15">
      <c r="C1902" s="559"/>
      <c r="D1902" s="706"/>
      <c r="E1902" s="727" t="s">
        <v>1689</v>
      </c>
      <c r="F1902" s="727"/>
      <c r="G1902" s="727"/>
      <c r="H1902" s="728" t="s">
        <v>471</v>
      </c>
      <c r="I1902" s="729"/>
      <c r="J1902" s="180" t="str">
        <f>IFERROR(IF([1]K_Summary!$J$1887 = "", "", [1]K_Summary!$J$1887 ),"")</f>
        <v/>
      </c>
      <c r="K1902" s="181" t="str">
        <f>IFERROR(IF([1]K_Summary!$K$1887 = "", "", [1]K_Summary!$K$1887 ),"")</f>
        <v/>
      </c>
      <c r="L1902" s="181" t="str">
        <f>IFERROR(IF([1]K_Summary!$L$1887 = "", "", [1]K_Summary!$L$1887 ),"")</f>
        <v/>
      </c>
      <c r="M1902" s="181" t="str">
        <f>IFERROR(IF([1]K_Summary!$M$1887 = "", "", [1]K_Summary!$M$1887 ),"")</f>
        <v/>
      </c>
      <c r="N1902" s="182" t="str">
        <f>IFERROR(IF([1]K_Summary!$N$1887 = "", "", [1]K_Summary!$N$1887 ),"")</f>
        <v/>
      </c>
    </row>
    <row r="1903" spans="1:14" ht="15" hidden="1">
      <c r="A1903" s="719" t="s">
        <v>2289</v>
      </c>
      <c r="C1903" s="559"/>
      <c r="D1903" s="706"/>
      <c r="E1903" s="723" t="s">
        <v>1390</v>
      </c>
      <c r="F1903" s="723"/>
      <c r="G1903" s="723"/>
      <c r="H1903" s="724" t="s">
        <v>2090</v>
      </c>
      <c r="I1903" s="725"/>
      <c r="J1903" s="162" t="str">
        <f>IFERROR(IF([1]K_Summary!$J$1888 = "", "", [1]K_Summary!$J$1888 ),"")</f>
        <v/>
      </c>
      <c r="K1903" s="163" t="str">
        <f>IFERROR(IF([1]K_Summary!$K$1888 = "", "", [1]K_Summary!$K$1888 ),"")</f>
        <v/>
      </c>
      <c r="L1903" s="163" t="str">
        <f>IFERROR(IF([1]K_Summary!$L$1888 = "", "", [1]K_Summary!$L$1888 ),"")</f>
        <v/>
      </c>
      <c r="M1903" s="163" t="str">
        <f>IFERROR(IF([1]K_Summary!$M$1888 = "", "", [1]K_Summary!$M$1888 ),"")</f>
        <v/>
      </c>
      <c r="N1903" s="164" t="str">
        <f>IFERROR(IF([1]K_Summary!$N$1888 = "", "", [1]K_Summary!$N$1888 ),"")</f>
        <v/>
      </c>
    </row>
    <row r="1904" spans="1:14" ht="15" hidden="1">
      <c r="A1904" s="719" t="s">
        <v>2289</v>
      </c>
      <c r="C1904" s="559"/>
      <c r="D1904" s="706"/>
      <c r="E1904" s="723" t="s">
        <v>1389</v>
      </c>
      <c r="F1904" s="723"/>
      <c r="G1904" s="723"/>
      <c r="H1904" s="726" t="s">
        <v>1021</v>
      </c>
      <c r="I1904" s="725"/>
      <c r="J1904" s="165" t="str">
        <f>IFERROR(IF([1]K_Summary!$J$1889 = "", "", [1]K_Summary!$J$1889 ),"")</f>
        <v/>
      </c>
      <c r="K1904" s="166" t="str">
        <f>IFERROR(IF([1]K_Summary!$K$1889 = "", "", [1]K_Summary!$K$1889 ),"")</f>
        <v/>
      </c>
      <c r="L1904" s="166" t="str">
        <f>IFERROR(IF([1]K_Summary!$L$1889 = "", "", [1]K_Summary!$L$1889 ),"")</f>
        <v/>
      </c>
      <c r="M1904" s="166" t="str">
        <f>IFERROR(IF([1]K_Summary!$M$1889 = "", "", [1]K_Summary!$M$1889 ),"")</f>
        <v/>
      </c>
      <c r="N1904" s="167" t="str">
        <f>IFERROR(IF([1]K_Summary!$N$1889 = "", "", [1]K_Summary!$N$1889 ),"")</f>
        <v/>
      </c>
    </row>
    <row r="1905" spans="1:14" ht="15" hidden="1">
      <c r="A1905" s="719" t="s">
        <v>2289</v>
      </c>
      <c r="C1905" s="559"/>
      <c r="D1905" s="706"/>
      <c r="E1905" s="727" t="s">
        <v>1391</v>
      </c>
      <c r="F1905" s="727"/>
      <c r="G1905" s="727"/>
      <c r="H1905" s="728" t="s">
        <v>1021</v>
      </c>
      <c r="I1905" s="729"/>
      <c r="J1905" s="168" t="str">
        <f>IFERROR(IF([1]K_Summary!$J$1890 = "", "", [1]K_Summary!$J$1890 ),"")</f>
        <v/>
      </c>
      <c r="K1905" s="169" t="str">
        <f>IFERROR(IF([1]K_Summary!$K$1890 = "", "", [1]K_Summary!$K$1890 ),"")</f>
        <v/>
      </c>
      <c r="L1905" s="169" t="str">
        <f>IFERROR(IF([1]K_Summary!$L$1890 = "", "", [1]K_Summary!$L$1890 ),"")</f>
        <v/>
      </c>
      <c r="M1905" s="169" t="str">
        <f>IFERROR(IF([1]K_Summary!$M$1890 = "", "", [1]K_Summary!$M$1890 ),"")</f>
        <v/>
      </c>
      <c r="N1905" s="170" t="str">
        <f>IFERROR(IF([1]K_Summary!$N$1890 = "", "", [1]K_Summary!$N$1890 ),"")</f>
        <v/>
      </c>
    </row>
    <row r="1906" spans="1:14" ht="15">
      <c r="C1906" s="559"/>
      <c r="D1906" s="706"/>
      <c r="E1906" s="698" t="s">
        <v>1671</v>
      </c>
      <c r="F1906" s="698"/>
      <c r="G1906" s="698"/>
      <c r="H1906" s="730" t="s">
        <v>2090</v>
      </c>
      <c r="I1906" s="731"/>
      <c r="J1906" s="148" t="str">
        <f>IFERROR(IF([1]K_Summary!$J$1891 = "", "", [1]K_Summary!$J$1891 ),"")</f>
        <v/>
      </c>
      <c r="K1906" s="150" t="str">
        <f>IFERROR(IF([1]K_Summary!$K$1891 = "", "", [1]K_Summary!$K$1891 ),"")</f>
        <v/>
      </c>
      <c r="L1906" s="150" t="str">
        <f>IFERROR(IF([1]K_Summary!$L$1891 = "", "", [1]K_Summary!$L$1891 ),"")</f>
        <v/>
      </c>
      <c r="M1906" s="150" t="str">
        <f>IFERROR(IF([1]K_Summary!$M$1891 = "", "", [1]K_Summary!$M$1891 ),"")</f>
        <v/>
      </c>
      <c r="N1906" s="171" t="str">
        <f>IFERROR(IF([1]K_Summary!$N$1891 = "", "", [1]K_Summary!$N$1891 ),"")</f>
        <v/>
      </c>
    </row>
    <row r="1907" spans="1:14" ht="15">
      <c r="C1907" s="559"/>
      <c r="D1907" s="706"/>
      <c r="E1907" s="698" t="s">
        <v>1670</v>
      </c>
      <c r="F1907" s="698"/>
      <c r="G1907" s="698"/>
      <c r="H1907" s="730" t="s">
        <v>2090</v>
      </c>
      <c r="I1907" s="731"/>
      <c r="J1907" s="148" t="str">
        <f>IFERROR(IF([1]K_Summary!$J$1892 = "", "", [1]K_Summary!$J$1892 ),"")</f>
        <v/>
      </c>
      <c r="K1907" s="150" t="str">
        <f>IFERROR(IF([1]K_Summary!$K$1892 = "", "", [1]K_Summary!$K$1892 ),"")</f>
        <v/>
      </c>
      <c r="L1907" s="150" t="str">
        <f>IFERROR(IF([1]K_Summary!$L$1892 = "", "", [1]K_Summary!$L$1892 ),"")</f>
        <v/>
      </c>
      <c r="M1907" s="150" t="str">
        <f>IFERROR(IF([1]K_Summary!$M$1892 = "", "", [1]K_Summary!$M$1892 ),"")</f>
        <v/>
      </c>
      <c r="N1907" s="171" t="str">
        <f>IFERROR(IF([1]K_Summary!$N$1892 = "", "", [1]K_Summary!$N$1892 ),"")</f>
        <v/>
      </c>
    </row>
    <row r="1908" spans="1:14" ht="15">
      <c r="C1908" s="559"/>
      <c r="D1908" s="706"/>
      <c r="E1908" s="740" t="s">
        <v>2135</v>
      </c>
      <c r="F1908" s="698"/>
      <c r="G1908" s="698"/>
      <c r="H1908" s="741" t="s">
        <v>1021</v>
      </c>
      <c r="I1908" s="742"/>
      <c r="J1908" s="183" t="str">
        <f>IFERROR(IF([1]K_Summary!$J$1893 = "", "", [1]K_Summary!$J$1893 ),"")</f>
        <v/>
      </c>
      <c r="K1908" s="184" t="str">
        <f>IFERROR(IF([1]K_Summary!$K$1893 = "", "", [1]K_Summary!$K$1893 ),"")</f>
        <v/>
      </c>
      <c r="L1908" s="184" t="str">
        <f>IFERROR(IF([1]K_Summary!$L$1893 = "", "", [1]K_Summary!$L$1893 ),"")</f>
        <v/>
      </c>
      <c r="M1908" s="184" t="str">
        <f>IFERROR(IF([1]K_Summary!$M$1893 = "", "", [1]K_Summary!$M$1893 ),"")</f>
        <v/>
      </c>
      <c r="N1908" s="185" t="str">
        <f>IFERROR(IF([1]K_Summary!$N$1893 = "", "", [1]K_Summary!$N$1893 ),"")</f>
        <v/>
      </c>
    </row>
    <row r="1909" spans="1:14" ht="15.75" thickBot="1">
      <c r="C1909" s="559"/>
      <c r="D1909" s="755"/>
      <c r="E1909" s="756"/>
      <c r="F1909" s="756"/>
      <c r="G1909" s="756"/>
      <c r="H1909" s="756"/>
      <c r="I1909" s="757"/>
      <c r="J1909" s="756"/>
      <c r="K1909" s="756"/>
      <c r="L1909" s="756"/>
      <c r="M1909" s="756"/>
      <c r="N1909" s="758"/>
    </row>
    <row r="1910" spans="1:14" ht="15.75" thickBot="1">
      <c r="C1910" s="559"/>
      <c r="D1910" s="559"/>
      <c r="E1910" s="485"/>
      <c r="F1910" s="485"/>
      <c r="G1910" s="485"/>
      <c r="H1910" s="485"/>
      <c r="I1910" s="743"/>
      <c r="J1910" s="485"/>
      <c r="K1910" s="485"/>
      <c r="L1910" s="485"/>
      <c r="M1910" s="485"/>
      <c r="N1910" s="485"/>
    </row>
    <row r="1911" spans="1:14">
      <c r="C1911" s="485"/>
      <c r="D1911" s="759"/>
      <c r="E1911" s="760"/>
      <c r="F1911" s="760"/>
      <c r="G1911" s="760"/>
      <c r="H1911" s="760"/>
      <c r="I1911" s="761"/>
      <c r="J1911" s="760"/>
      <c r="K1911" s="760"/>
      <c r="L1911" s="760"/>
      <c r="M1911" s="760"/>
      <c r="N1911" s="762"/>
    </row>
    <row r="1912" spans="1:14">
      <c r="C1912" s="485"/>
      <c r="D1912" s="539"/>
      <c r="E1912" s="496" t="s">
        <v>1786</v>
      </c>
      <c r="F1912" s="485"/>
      <c r="G1912" s="485"/>
      <c r="H1912" s="663" t="s">
        <v>884</v>
      </c>
      <c r="I1912" s="763" t="s">
        <v>1675</v>
      </c>
      <c r="J1912" s="709">
        <v>2021</v>
      </c>
      <c r="K1912" s="671">
        <v>2022</v>
      </c>
      <c r="L1912" s="671">
        <v>2023</v>
      </c>
      <c r="M1912" s="671">
        <v>2024</v>
      </c>
      <c r="N1912" s="710">
        <v>2025</v>
      </c>
    </row>
    <row r="1913" spans="1:14">
      <c r="C1913" s="485"/>
      <c r="D1913" s="539"/>
      <c r="E1913" s="720" t="s">
        <v>1714</v>
      </c>
      <c r="F1913" s="720"/>
      <c r="G1913" s="720"/>
      <c r="H1913" s="67" t="str">
        <f>IFERROR(IF([1]K_Summary!$H$1898 = "", "", [1]K_Summary!$H$1898 ),"")</f>
        <v>tonnes</v>
      </c>
      <c r="I1913" s="207" t="str">
        <f>IFERROR(IF([1]K_Summary!$I$1898 = "", "", [1]K_Summary!$I$1898 ),"")</f>
        <v/>
      </c>
      <c r="J1913" s="172" t="str">
        <f>IFERROR(IF([1]K_Summary!$J$1898 = "", "", [1]K_Summary!$J$1898 ),"")</f>
        <v/>
      </c>
      <c r="K1913" s="54" t="str">
        <f>IFERROR(IF([1]K_Summary!$K$1898 = "", "", [1]K_Summary!$K$1898 ),"")</f>
        <v/>
      </c>
      <c r="L1913" s="54" t="str">
        <f>IFERROR(IF([1]K_Summary!$L$1898 = "", "", [1]K_Summary!$L$1898 ),"")</f>
        <v/>
      </c>
      <c r="M1913" s="54" t="str">
        <f>IFERROR(IF([1]K_Summary!$M$1898 = "", "", [1]K_Summary!$M$1898 ),"")</f>
        <v/>
      </c>
      <c r="N1913" s="173" t="str">
        <f>IFERROR(IF([1]K_Summary!$N$1898 = "", "", [1]K_Summary!$N$1898 ),"")</f>
        <v/>
      </c>
    </row>
    <row r="1914" spans="1:14">
      <c r="C1914" s="485"/>
      <c r="D1914" s="539"/>
      <c r="E1914" s="645" t="s">
        <v>303</v>
      </c>
      <c r="F1914" s="645"/>
      <c r="G1914" s="645"/>
      <c r="H1914" s="765" t="s">
        <v>2090</v>
      </c>
      <c r="I1914" s="208" t="str">
        <f>IFERROR(IF([1]K_Summary!$I$1899 = "", "", [1]K_Summary!$I$1899 ),"")</f>
        <v/>
      </c>
      <c r="J1914" s="209" t="str">
        <f>IFERROR(IF([1]K_Summary!$J$1899 = "", "", [1]K_Summary!$J$1899 ),"")</f>
        <v/>
      </c>
      <c r="K1914" s="210" t="str">
        <f>IFERROR(IF([1]K_Summary!$K$1899 = "", "", [1]K_Summary!$K$1899 ),"")</f>
        <v/>
      </c>
      <c r="L1914" s="210" t="str">
        <f>IFERROR(IF([1]K_Summary!$L$1899 = "", "", [1]K_Summary!$L$1899 ),"")</f>
        <v/>
      </c>
      <c r="M1914" s="210" t="str">
        <f>IFERROR(IF([1]K_Summary!$M$1899 = "", "", [1]K_Summary!$M$1899 ),"")</f>
        <v/>
      </c>
      <c r="N1914" s="211" t="str">
        <f>IFERROR(IF([1]K_Summary!$N$1899 = "", "", [1]K_Summary!$N$1899 ),"")</f>
        <v/>
      </c>
    </row>
    <row r="1915" spans="1:14">
      <c r="C1915" s="485"/>
      <c r="D1915" s="539"/>
      <c r="E1915" s="723" t="s">
        <v>1422</v>
      </c>
      <c r="F1915" s="723"/>
      <c r="G1915" s="723"/>
      <c r="H1915" s="724" t="s">
        <v>2090</v>
      </c>
      <c r="I1915" s="212" t="str">
        <f>IFERROR(IF([1]K_Summary!$I$1900 = "", "", [1]K_Summary!$I$1900 ),"")</f>
        <v/>
      </c>
      <c r="J1915" s="213" t="str">
        <f>IFERROR(IF([1]K_Summary!$J$1900 = "", "", [1]K_Summary!$J$1900 ),"")</f>
        <v/>
      </c>
      <c r="K1915" s="214" t="str">
        <f>IFERROR(IF([1]K_Summary!$K$1900 = "", "", [1]K_Summary!$K$1900 ),"")</f>
        <v/>
      </c>
      <c r="L1915" s="214" t="str">
        <f>IFERROR(IF([1]K_Summary!$L$1900 = "", "", [1]K_Summary!$L$1900 ),"")</f>
        <v/>
      </c>
      <c r="M1915" s="214" t="str">
        <f>IFERROR(IF([1]K_Summary!$M$1900 = "", "", [1]K_Summary!$M$1900 ),"")</f>
        <v/>
      </c>
      <c r="N1915" s="215" t="str">
        <f>IFERROR(IF([1]K_Summary!$N$1900 = "", "", [1]K_Summary!$N$1900 ),"")</f>
        <v/>
      </c>
    </row>
    <row r="1916" spans="1:14">
      <c r="C1916" s="485"/>
      <c r="D1916" s="539"/>
      <c r="E1916" s="723" t="s">
        <v>1390</v>
      </c>
      <c r="F1916" s="723"/>
      <c r="G1916" s="723"/>
      <c r="H1916" s="724" t="s">
        <v>2090</v>
      </c>
      <c r="I1916" s="212" t="str">
        <f>IFERROR(IF([1]K_Summary!$I$1901 = "", "", [1]K_Summary!$I$1901 ),"")</f>
        <v/>
      </c>
      <c r="J1916" s="213" t="str">
        <f>IFERROR(IF([1]K_Summary!$J$1901 = "", "", [1]K_Summary!$J$1901 ),"")</f>
        <v/>
      </c>
      <c r="K1916" s="214" t="str">
        <f>IFERROR(IF([1]K_Summary!$K$1901 = "", "", [1]K_Summary!$K$1901 ),"")</f>
        <v/>
      </c>
      <c r="L1916" s="214" t="str">
        <f>IFERROR(IF([1]K_Summary!$L$1901 = "", "", [1]K_Summary!$L$1901 ),"")</f>
        <v/>
      </c>
      <c r="M1916" s="214" t="str">
        <f>IFERROR(IF([1]K_Summary!$M$1901 = "", "", [1]K_Summary!$M$1901 ),"")</f>
        <v/>
      </c>
      <c r="N1916" s="215" t="str">
        <f>IFERROR(IF([1]K_Summary!$N$1901 = "", "", [1]K_Summary!$N$1901 ),"")</f>
        <v/>
      </c>
    </row>
    <row r="1917" spans="1:14">
      <c r="C1917" s="485"/>
      <c r="D1917" s="539"/>
      <c r="E1917" s="723" t="s">
        <v>1389</v>
      </c>
      <c r="F1917" s="723"/>
      <c r="G1917" s="723"/>
      <c r="H1917" s="726" t="s">
        <v>1021</v>
      </c>
      <c r="I1917" s="216" t="str">
        <f>IFERROR(IF([1]K_Summary!$I$1902 = "", "", [1]K_Summary!$I$1902 ),"")</f>
        <v/>
      </c>
      <c r="J1917" s="217" t="str">
        <f>IFERROR(IF([1]K_Summary!$J$1902 = "", "", [1]K_Summary!$J$1902 ),"")</f>
        <v/>
      </c>
      <c r="K1917" s="218" t="str">
        <f>IFERROR(IF([1]K_Summary!$K$1902 = "", "", [1]K_Summary!$K$1902 ),"")</f>
        <v/>
      </c>
      <c r="L1917" s="218" t="str">
        <f>IFERROR(IF([1]K_Summary!$L$1902 = "", "", [1]K_Summary!$L$1902 ),"")</f>
        <v/>
      </c>
      <c r="M1917" s="218" t="str">
        <f>IFERROR(IF([1]K_Summary!$M$1902 = "", "", [1]K_Summary!$M$1902 ),"")</f>
        <v/>
      </c>
      <c r="N1917" s="219" t="str">
        <f>IFERROR(IF([1]K_Summary!$N$1902 = "", "", [1]K_Summary!$N$1902 ),"")</f>
        <v/>
      </c>
    </row>
    <row r="1918" spans="1:14">
      <c r="C1918" s="485"/>
      <c r="D1918" s="539"/>
      <c r="E1918" s="727" t="s">
        <v>1391</v>
      </c>
      <c r="F1918" s="727"/>
      <c r="G1918" s="727"/>
      <c r="H1918" s="728" t="s">
        <v>1021</v>
      </c>
      <c r="I1918" s="220" t="str">
        <f>IFERROR(IF([1]K_Summary!$I$1903 = "", "", [1]K_Summary!$I$1903 ),"")</f>
        <v/>
      </c>
      <c r="J1918" s="221" t="str">
        <f>IFERROR(IF([1]K_Summary!$J$1903 = "", "", [1]K_Summary!$J$1903 ),"")</f>
        <v/>
      </c>
      <c r="K1918" s="222" t="str">
        <f>IFERROR(IF([1]K_Summary!$K$1903 = "", "", [1]K_Summary!$K$1903 ),"")</f>
        <v/>
      </c>
      <c r="L1918" s="222" t="str">
        <f>IFERROR(IF([1]K_Summary!$L$1903 = "", "", [1]K_Summary!$L$1903 ),"")</f>
        <v/>
      </c>
      <c r="M1918" s="222" t="str">
        <f>IFERROR(IF([1]K_Summary!$M$1903 = "", "", [1]K_Summary!$M$1903 ),"")</f>
        <v/>
      </c>
      <c r="N1918" s="223" t="str">
        <f>IFERROR(IF([1]K_Summary!$N$1903 = "", "", [1]K_Summary!$N$1903 ),"")</f>
        <v/>
      </c>
    </row>
    <row r="1919" spans="1:14">
      <c r="C1919" s="485"/>
      <c r="D1919" s="539"/>
      <c r="E1919" s="698" t="s">
        <v>222</v>
      </c>
      <c r="F1919" s="698"/>
      <c r="G1919" s="698"/>
      <c r="H1919" s="730" t="s">
        <v>2090</v>
      </c>
      <c r="I1919" s="224" t="str">
        <f>IFERROR(IF([1]K_Summary!$I$1904 = "", "", [1]K_Summary!$I$1904 ),"")</f>
        <v/>
      </c>
      <c r="J1919" s="148" t="str">
        <f>IFERROR(IF([1]K_Summary!$J$1904 = "", "", [1]K_Summary!$J$1904 ),"")</f>
        <v/>
      </c>
      <c r="K1919" s="150" t="str">
        <f>IFERROR(IF([1]K_Summary!$K$1904 = "", "", [1]K_Summary!$K$1904 ),"")</f>
        <v/>
      </c>
      <c r="L1919" s="150" t="str">
        <f>IFERROR(IF([1]K_Summary!$L$1904 = "", "", [1]K_Summary!$L$1904 ),"")</f>
        <v/>
      </c>
      <c r="M1919" s="150" t="str">
        <f>IFERROR(IF([1]K_Summary!$M$1904 = "", "", [1]K_Summary!$M$1904 ),"")</f>
        <v/>
      </c>
      <c r="N1919" s="171" t="str">
        <f>IFERROR(IF([1]K_Summary!$N$1904 = "", "", [1]K_Summary!$N$1904 ),"")</f>
        <v/>
      </c>
    </row>
    <row r="1920" spans="1:14" ht="13.5" thickBot="1">
      <c r="C1920" s="485"/>
      <c r="D1920" s="771"/>
      <c r="E1920" s="756"/>
      <c r="F1920" s="756"/>
      <c r="G1920" s="756"/>
      <c r="H1920" s="756"/>
      <c r="I1920" s="756"/>
      <c r="J1920" s="756"/>
      <c r="K1920" s="756"/>
      <c r="L1920" s="756"/>
      <c r="M1920" s="756"/>
      <c r="N1920" s="758"/>
    </row>
    <row r="1921" spans="3:14" ht="13.5" thickBot="1">
      <c r="C1921" s="485"/>
      <c r="D1921" s="562"/>
      <c r="E1921" s="561"/>
      <c r="F1921" s="485"/>
      <c r="G1921" s="485"/>
      <c r="H1921" s="485"/>
      <c r="I1921" s="485"/>
      <c r="J1921" s="485"/>
      <c r="K1921" s="485"/>
      <c r="L1921" s="485"/>
      <c r="M1921" s="485"/>
      <c r="N1921" s="485"/>
    </row>
    <row r="1922" spans="3:14">
      <c r="C1922" s="485"/>
      <c r="D1922" s="772"/>
      <c r="E1922" s="773"/>
      <c r="F1922" s="773"/>
      <c r="G1922" s="774"/>
      <c r="H1922" s="774"/>
      <c r="I1922" s="774"/>
      <c r="J1922" s="774"/>
      <c r="K1922" s="774"/>
      <c r="L1922" s="774"/>
      <c r="M1922" s="774"/>
      <c r="N1922" s="775"/>
    </row>
    <row r="1923" spans="3:14" ht="13.5" thickBot="1">
      <c r="C1923" s="485"/>
      <c r="D1923" s="776"/>
      <c r="E1923" s="777"/>
      <c r="F1923" s="777"/>
      <c r="G1923" s="778" t="s">
        <v>884</v>
      </c>
      <c r="H1923" s="779">
        <v>2019</v>
      </c>
      <c r="I1923" s="780">
        <v>2020</v>
      </c>
      <c r="J1923" s="781">
        <v>2021</v>
      </c>
      <c r="K1923" s="782">
        <v>2022</v>
      </c>
      <c r="L1923" s="782">
        <v>2023</v>
      </c>
      <c r="M1923" s="782">
        <v>2024</v>
      </c>
      <c r="N1923" s="783">
        <v>2025</v>
      </c>
    </row>
    <row r="1924" spans="3:14" ht="13.5" thickBot="1">
      <c r="C1924" s="485"/>
      <c r="D1924" s="776"/>
      <c r="E1924" s="2470" t="s">
        <v>1504</v>
      </c>
      <c r="F1924" s="2470"/>
      <c r="G1924" s="808" t="s">
        <v>2016</v>
      </c>
      <c r="H1924" s="225" t="str">
        <f>IFERROR(IF([1]K_Summary!$H$1909 = "", "", [1]K_Summary!$H$1909 ),"")</f>
        <v/>
      </c>
      <c r="I1924" s="226" t="str">
        <f>IFERROR(IF([1]K_Summary!$I$1909 = "", "", [1]K_Summary!$I$1909 ),"")</f>
        <v/>
      </c>
      <c r="J1924" s="225" t="str">
        <f>IFERROR(IF([1]K_Summary!$J$1909 = "", "", [1]K_Summary!$J$1909 ),"")</f>
        <v/>
      </c>
      <c r="K1924" s="227" t="str">
        <f>IFERROR(IF([1]K_Summary!$K$1909 = "", "", [1]K_Summary!$K$1909 ),"")</f>
        <v/>
      </c>
      <c r="L1924" s="227" t="str">
        <f>IFERROR(IF([1]K_Summary!$L$1909 = "", "", [1]K_Summary!$L$1909 ),"")</f>
        <v/>
      </c>
      <c r="M1924" s="227" t="str">
        <f>IFERROR(IF([1]K_Summary!$M$1909 = "", "", [1]K_Summary!$M$1909 ),"")</f>
        <v/>
      </c>
      <c r="N1924" s="228" t="str">
        <f>IFERROR(IF([1]K_Summary!$N$1909 = "", "", [1]K_Summary!$N$1909 ),"")</f>
        <v/>
      </c>
    </row>
    <row r="1925" spans="3:14">
      <c r="C1925" s="485"/>
      <c r="D1925" s="776"/>
      <c r="E1925" s="809"/>
      <c r="F1925" s="809"/>
      <c r="G1925" s="777"/>
      <c r="H1925" s="777"/>
      <c r="I1925" s="777"/>
      <c r="J1925" s="777"/>
      <c r="K1925" s="777"/>
      <c r="L1925" s="777"/>
      <c r="M1925" s="777"/>
      <c r="N1925" s="810"/>
    </row>
    <row r="1926" spans="3:14">
      <c r="C1926" s="485"/>
      <c r="D1926" s="776"/>
      <c r="E1926" s="2471" t="s">
        <v>1344</v>
      </c>
      <c r="F1926" s="2472"/>
      <c r="G1926" s="811" t="s">
        <v>2017</v>
      </c>
      <c r="H1926" s="127" t="str">
        <f>IFERROR(IF([1]K_Summary!$H$1911 = "", "", [1]K_Summary!$H$1911 ),"")</f>
        <v/>
      </c>
      <c r="I1926" s="229" t="str">
        <f>IFERROR(IF([1]K_Summary!$I$1911 = "", "", [1]K_Summary!$I$1911 ),"")</f>
        <v/>
      </c>
      <c r="J1926" s="230" t="str">
        <f>IFERROR(IF([1]K_Summary!$J$1911 = "", "", [1]K_Summary!$J$1911 ),"")</f>
        <v/>
      </c>
      <c r="K1926" s="127" t="str">
        <f>IFERROR(IF([1]K_Summary!$K$1911 = "", "", [1]K_Summary!$K$1911 ),"")</f>
        <v/>
      </c>
      <c r="L1926" s="127" t="str">
        <f>IFERROR(IF([1]K_Summary!$L$1911 = "", "", [1]K_Summary!$L$1911 ),"")</f>
        <v/>
      </c>
      <c r="M1926" s="127" t="str">
        <f>IFERROR(IF([1]K_Summary!$M$1911 = "", "", [1]K_Summary!$M$1911 ),"")</f>
        <v/>
      </c>
      <c r="N1926" s="231" t="str">
        <f>IFERROR(IF([1]K_Summary!$N$1911 = "", "", [1]K_Summary!$N$1911 ),"")</f>
        <v/>
      </c>
    </row>
    <row r="1927" spans="3:14">
      <c r="C1927" s="485"/>
      <c r="D1927" s="776"/>
      <c r="E1927" s="2473" t="s">
        <v>1182</v>
      </c>
      <c r="F1927" s="2474"/>
      <c r="G1927" s="812" t="s">
        <v>2018</v>
      </c>
      <c r="H1927" s="128" t="str">
        <f>IFERROR(IF([1]K_Summary!$H$1912 = "", "", [1]K_Summary!$H$1912 ),"")</f>
        <v/>
      </c>
      <c r="I1927" s="232" t="str">
        <f>IFERROR(IF([1]K_Summary!$I$1912 = "", "", [1]K_Summary!$I$1912 ),"")</f>
        <v/>
      </c>
      <c r="J1927" s="233" t="str">
        <f>IFERROR(IF([1]K_Summary!$J$1912 = "", "", [1]K_Summary!$J$1912 ),"")</f>
        <v/>
      </c>
      <c r="K1927" s="128" t="str">
        <f>IFERROR(IF([1]K_Summary!$K$1912 = "", "", [1]K_Summary!$K$1912 ),"")</f>
        <v/>
      </c>
      <c r="L1927" s="128" t="str">
        <f>IFERROR(IF([1]K_Summary!$L$1912 = "", "", [1]K_Summary!$L$1912 ),"")</f>
        <v/>
      </c>
      <c r="M1927" s="128" t="str">
        <f>IFERROR(IF([1]K_Summary!$M$1912 = "", "", [1]K_Summary!$M$1912 ),"")</f>
        <v/>
      </c>
      <c r="N1927" s="234" t="str">
        <f>IFERROR(IF([1]K_Summary!$N$1912 = "", "", [1]K_Summary!$N$1912 ),"")</f>
        <v/>
      </c>
    </row>
    <row r="1928" spans="3:14">
      <c r="C1928" s="485"/>
      <c r="D1928" s="776"/>
      <c r="E1928" s="809"/>
      <c r="F1928" s="809"/>
      <c r="G1928" s="813"/>
      <c r="H1928" s="813"/>
      <c r="I1928" s="813"/>
      <c r="J1928" s="813"/>
      <c r="K1928" s="813"/>
      <c r="L1928" s="813"/>
      <c r="M1928" s="813"/>
      <c r="N1928" s="814"/>
    </row>
    <row r="1929" spans="3:14">
      <c r="C1929" s="485"/>
      <c r="D1929" s="776"/>
      <c r="E1929" s="2475" t="s">
        <v>63</v>
      </c>
      <c r="F1929" s="2410"/>
      <c r="G1929" s="815" t="s">
        <v>2015</v>
      </c>
      <c r="H1929" s="126" t="str">
        <f>IFERROR(IF([1]K_Summary!$H$1914 = "", "", [1]K_Summary!$H$1914 ),"")</f>
        <v/>
      </c>
      <c r="I1929" s="235" t="str">
        <f>IFERROR(IF([1]K_Summary!$I$1914 = "", "", [1]K_Summary!$I$1914 ),"")</f>
        <v/>
      </c>
      <c r="J1929" s="236" t="str">
        <f>IFERROR(IF([1]K_Summary!$J$1914 = "", "", [1]K_Summary!$J$1914 ),"")</f>
        <v/>
      </c>
      <c r="K1929" s="126" t="str">
        <f>IFERROR(IF([1]K_Summary!$K$1914 = "", "", [1]K_Summary!$K$1914 ),"")</f>
        <v/>
      </c>
      <c r="L1929" s="126" t="str">
        <f>IFERROR(IF([1]K_Summary!$L$1914 = "", "", [1]K_Summary!$L$1914 ),"")</f>
        <v/>
      </c>
      <c r="M1929" s="126" t="str">
        <f>IFERROR(IF([1]K_Summary!$M$1914 = "", "", [1]K_Summary!$M$1914 ),"")</f>
        <v/>
      </c>
      <c r="N1929" s="237" t="str">
        <f>IFERROR(IF([1]K_Summary!$N$1914 = "", "", [1]K_Summary!$N$1914 ),"")</f>
        <v/>
      </c>
    </row>
    <row r="1930" spans="3:14">
      <c r="C1930" s="485"/>
      <c r="D1930" s="776"/>
      <c r="E1930" s="2475" t="s">
        <v>1154</v>
      </c>
      <c r="F1930" s="2410"/>
      <c r="G1930" s="815" t="s">
        <v>2015</v>
      </c>
      <c r="H1930" s="126" t="str">
        <f>IFERROR(IF([1]K_Summary!$H$1915 = "", "", [1]K_Summary!$H$1915 ),"")</f>
        <v/>
      </c>
      <c r="I1930" s="235" t="str">
        <f>IFERROR(IF([1]K_Summary!$I$1915 = "", "", [1]K_Summary!$I$1915 ),"")</f>
        <v/>
      </c>
      <c r="J1930" s="236" t="str">
        <f>IFERROR(IF([1]K_Summary!$J$1915 = "", "", [1]K_Summary!$J$1915 ),"")</f>
        <v/>
      </c>
      <c r="K1930" s="126" t="str">
        <f>IFERROR(IF([1]K_Summary!$K$1915 = "", "", [1]K_Summary!$K$1915 ),"")</f>
        <v/>
      </c>
      <c r="L1930" s="126" t="str">
        <f>IFERROR(IF([1]K_Summary!$L$1915 = "", "", [1]K_Summary!$L$1915 ),"")</f>
        <v/>
      </c>
      <c r="M1930" s="126" t="str">
        <f>IFERROR(IF([1]K_Summary!$M$1915 = "", "", [1]K_Summary!$M$1915 ),"")</f>
        <v/>
      </c>
      <c r="N1930" s="237" t="str">
        <f>IFERROR(IF([1]K_Summary!$N$1915 = "", "", [1]K_Summary!$N$1915 ),"")</f>
        <v/>
      </c>
    </row>
    <row r="1931" spans="3:14">
      <c r="C1931" s="485"/>
      <c r="D1931" s="776"/>
      <c r="E1931" s="2475" t="s">
        <v>1155</v>
      </c>
      <c r="F1931" s="2410"/>
      <c r="G1931" s="815" t="s">
        <v>2015</v>
      </c>
      <c r="H1931" s="126" t="str">
        <f>IFERROR(IF([1]K_Summary!$H$1916 = "", "", [1]K_Summary!$H$1916 ),"")</f>
        <v/>
      </c>
      <c r="I1931" s="235" t="str">
        <f>IFERROR(IF([1]K_Summary!$I$1916 = "", "", [1]K_Summary!$I$1916 ),"")</f>
        <v/>
      </c>
      <c r="J1931" s="236" t="str">
        <f>IFERROR(IF([1]K_Summary!$J$1916 = "", "", [1]K_Summary!$J$1916 ),"")</f>
        <v/>
      </c>
      <c r="K1931" s="126" t="str">
        <f>IFERROR(IF([1]K_Summary!$K$1916 = "", "", [1]K_Summary!$K$1916 ),"")</f>
        <v/>
      </c>
      <c r="L1931" s="126" t="str">
        <f>IFERROR(IF([1]K_Summary!$L$1916 = "", "", [1]K_Summary!$L$1916 ),"")</f>
        <v/>
      </c>
      <c r="M1931" s="126" t="str">
        <f>IFERROR(IF([1]K_Summary!$M$1916 = "", "", [1]K_Summary!$M$1916 ),"")</f>
        <v/>
      </c>
      <c r="N1931" s="237" t="str">
        <f>IFERROR(IF([1]K_Summary!$N$1916 = "", "", [1]K_Summary!$N$1916 ),"")</f>
        <v/>
      </c>
    </row>
    <row r="1932" spans="3:14">
      <c r="C1932" s="485"/>
      <c r="D1932" s="776"/>
      <c r="E1932" s="2475" t="s">
        <v>1156</v>
      </c>
      <c r="F1932" s="2410"/>
      <c r="G1932" s="815" t="s">
        <v>2016</v>
      </c>
      <c r="H1932" s="126" t="str">
        <f>IFERROR(IF([1]K_Summary!$H$1917 = "", "", [1]K_Summary!$H$1917 ),"")</f>
        <v/>
      </c>
      <c r="I1932" s="235" t="str">
        <f>IFERROR(IF([1]K_Summary!$I$1917 = "", "", [1]K_Summary!$I$1917 ),"")</f>
        <v/>
      </c>
      <c r="J1932" s="236" t="str">
        <f>IFERROR(IF([1]K_Summary!$J$1917 = "", "", [1]K_Summary!$J$1917 ),"")</f>
        <v/>
      </c>
      <c r="K1932" s="126" t="str">
        <f>IFERROR(IF([1]K_Summary!$K$1917 = "", "", [1]K_Summary!$K$1917 ),"")</f>
        <v/>
      </c>
      <c r="L1932" s="126" t="str">
        <f>IFERROR(IF([1]K_Summary!$L$1917 = "", "", [1]K_Summary!$L$1917 ),"")</f>
        <v/>
      </c>
      <c r="M1932" s="126" t="str">
        <f>IFERROR(IF([1]K_Summary!$M$1917 = "", "", [1]K_Summary!$M$1917 ),"")</f>
        <v/>
      </c>
      <c r="N1932" s="237" t="str">
        <f>IFERROR(IF([1]K_Summary!$N$1917 = "", "", [1]K_Summary!$N$1917 ),"")</f>
        <v/>
      </c>
    </row>
    <row r="1933" spans="3:14">
      <c r="C1933" s="485"/>
      <c r="D1933" s="776"/>
      <c r="E1933" s="809"/>
      <c r="F1933" s="809"/>
      <c r="G1933" s="813"/>
      <c r="H1933" s="813"/>
      <c r="I1933" s="813"/>
      <c r="J1933" s="813"/>
      <c r="K1933" s="813"/>
      <c r="L1933" s="813"/>
      <c r="M1933" s="813"/>
      <c r="N1933" s="814"/>
    </row>
    <row r="1934" spans="3:14">
      <c r="C1934" s="485"/>
      <c r="D1934" s="776"/>
      <c r="E1934" s="2471" t="s">
        <v>1087</v>
      </c>
      <c r="F1934" s="2472"/>
      <c r="G1934" s="811" t="s">
        <v>2017</v>
      </c>
      <c r="H1934" s="127" t="str">
        <f>IFERROR(IF([1]K_Summary!$H$1919 = "", "", [1]K_Summary!$H$1919 ),"")</f>
        <v/>
      </c>
      <c r="I1934" s="229" t="str">
        <f>IFERROR(IF([1]K_Summary!$I$1919 = "", "", [1]K_Summary!$I$1919 ),"")</f>
        <v/>
      </c>
      <c r="J1934" s="230" t="str">
        <f>IFERROR(IF([1]K_Summary!$J$1919 = "", "", [1]K_Summary!$J$1919 ),"")</f>
        <v/>
      </c>
      <c r="K1934" s="127" t="str">
        <f>IFERROR(IF([1]K_Summary!$K$1919 = "", "", [1]K_Summary!$K$1919 ),"")</f>
        <v/>
      </c>
      <c r="L1934" s="127" t="str">
        <f>IFERROR(IF([1]K_Summary!$L$1919 = "", "", [1]K_Summary!$L$1919 ),"")</f>
        <v/>
      </c>
      <c r="M1934" s="127" t="str">
        <f>IFERROR(IF([1]K_Summary!$M$1919 = "", "", [1]K_Summary!$M$1919 ),"")</f>
        <v/>
      </c>
      <c r="N1934" s="231" t="str">
        <f>IFERROR(IF([1]K_Summary!$N$1919 = "", "", [1]K_Summary!$N$1919 ),"")</f>
        <v/>
      </c>
    </row>
    <row r="1935" spans="3:14">
      <c r="C1935" s="485"/>
      <c r="D1935" s="776"/>
      <c r="E1935" s="2473" t="s">
        <v>1103</v>
      </c>
      <c r="F1935" s="2474"/>
      <c r="G1935" s="812" t="s">
        <v>2018</v>
      </c>
      <c r="H1935" s="128" t="str">
        <f>IFERROR(IF([1]K_Summary!$H$1920 = "", "", [1]K_Summary!$H$1920 ),"")</f>
        <v/>
      </c>
      <c r="I1935" s="232" t="str">
        <f>IFERROR(IF([1]K_Summary!$I$1920 = "", "", [1]K_Summary!$I$1920 ),"")</f>
        <v/>
      </c>
      <c r="J1935" s="233" t="str">
        <f>IFERROR(IF([1]K_Summary!$J$1920 = "", "", [1]K_Summary!$J$1920 ),"")</f>
        <v/>
      </c>
      <c r="K1935" s="128" t="str">
        <f>IFERROR(IF([1]K_Summary!$K$1920 = "", "", [1]K_Summary!$K$1920 ),"")</f>
        <v/>
      </c>
      <c r="L1935" s="128" t="str">
        <f>IFERROR(IF([1]K_Summary!$L$1920 = "", "", [1]K_Summary!$L$1920 ),"")</f>
        <v/>
      </c>
      <c r="M1935" s="128" t="str">
        <f>IFERROR(IF([1]K_Summary!$M$1920 = "", "", [1]K_Summary!$M$1920 ),"")</f>
        <v/>
      </c>
      <c r="N1935" s="234" t="str">
        <f>IFERROR(IF([1]K_Summary!$N$1920 = "", "", [1]K_Summary!$N$1920 ),"")</f>
        <v/>
      </c>
    </row>
    <row r="1936" spans="3:14">
      <c r="C1936" s="485"/>
      <c r="D1936" s="776"/>
      <c r="E1936" s="809"/>
      <c r="F1936" s="809"/>
      <c r="G1936" s="813"/>
      <c r="H1936" s="813"/>
      <c r="I1936" s="813"/>
      <c r="J1936" s="813"/>
      <c r="K1936" s="813"/>
      <c r="L1936" s="813"/>
      <c r="M1936" s="813"/>
      <c r="N1936" s="814"/>
    </row>
    <row r="1937" spans="3:14">
      <c r="C1937" s="485"/>
      <c r="D1937" s="776"/>
      <c r="E1937" s="2475" t="s">
        <v>1150</v>
      </c>
      <c r="F1937" s="2410"/>
      <c r="G1937" s="815" t="s">
        <v>2017</v>
      </c>
      <c r="H1937" s="126" t="str">
        <f>IFERROR(IF([1]K_Summary!$H$1922 = "", "", [1]K_Summary!$H$1922 ),"")</f>
        <v/>
      </c>
      <c r="I1937" s="235" t="str">
        <f>IFERROR(IF([1]K_Summary!$I$1922 = "", "", [1]K_Summary!$I$1922 ),"")</f>
        <v/>
      </c>
      <c r="J1937" s="236" t="str">
        <f>IFERROR(IF([1]K_Summary!$J$1922 = "", "", [1]K_Summary!$J$1922 ),"")</f>
        <v/>
      </c>
      <c r="K1937" s="126" t="str">
        <f>IFERROR(IF([1]K_Summary!$K$1922 = "", "", [1]K_Summary!$K$1922 ),"")</f>
        <v/>
      </c>
      <c r="L1937" s="126" t="str">
        <f>IFERROR(IF([1]K_Summary!$L$1922 = "", "", [1]K_Summary!$L$1922 ),"")</f>
        <v/>
      </c>
      <c r="M1937" s="126" t="str">
        <f>IFERROR(IF([1]K_Summary!$M$1922 = "", "", [1]K_Summary!$M$1922 ),"")</f>
        <v/>
      </c>
      <c r="N1937" s="237" t="str">
        <f>IFERROR(IF([1]K_Summary!$N$1922 = "", "", [1]K_Summary!$N$1922 ),"")</f>
        <v/>
      </c>
    </row>
    <row r="1938" spans="3:14" ht="13.15" customHeight="1">
      <c r="C1938" s="485"/>
      <c r="D1938" s="776"/>
      <c r="E1938" s="2475" t="s">
        <v>1149</v>
      </c>
      <c r="F1938" s="2410"/>
      <c r="G1938" s="815" t="s">
        <v>2017</v>
      </c>
      <c r="H1938" s="126" t="str">
        <f>IFERROR(IF([1]K_Summary!$H$1923 = "", "", [1]K_Summary!$H$1923 ),"")</f>
        <v/>
      </c>
      <c r="I1938" s="235" t="str">
        <f>IFERROR(IF([1]K_Summary!$I$1923 = "", "", [1]K_Summary!$I$1923 ),"")</f>
        <v/>
      </c>
      <c r="J1938" s="236" t="str">
        <f>IFERROR(IF([1]K_Summary!$J$1923 = "", "", [1]K_Summary!$J$1923 ),"")</f>
        <v/>
      </c>
      <c r="K1938" s="126" t="str">
        <f>IFERROR(IF([1]K_Summary!$K$1923 = "", "", [1]K_Summary!$K$1923 ),"")</f>
        <v/>
      </c>
      <c r="L1938" s="126" t="str">
        <f>IFERROR(IF([1]K_Summary!$L$1923 = "", "", [1]K_Summary!$L$1923 ),"")</f>
        <v/>
      </c>
      <c r="M1938" s="126" t="str">
        <f>IFERROR(IF([1]K_Summary!$M$1923 = "", "", [1]K_Summary!$M$1923 ),"")</f>
        <v/>
      </c>
      <c r="N1938" s="237" t="str">
        <f>IFERROR(IF([1]K_Summary!$N$1923 = "", "", [1]K_Summary!$N$1923 ),"")</f>
        <v/>
      </c>
    </row>
    <row r="1939" spans="3:14">
      <c r="C1939" s="485"/>
      <c r="D1939" s="776"/>
      <c r="E1939" s="809"/>
      <c r="F1939" s="809"/>
      <c r="G1939" s="777"/>
      <c r="H1939" s="813"/>
      <c r="I1939" s="813"/>
      <c r="J1939" s="813"/>
      <c r="K1939" s="813"/>
      <c r="L1939" s="813"/>
      <c r="M1939" s="813"/>
      <c r="N1939" s="814"/>
    </row>
    <row r="1940" spans="3:14">
      <c r="C1940" s="485"/>
      <c r="D1940" s="776"/>
      <c r="E1940" s="2471" t="s">
        <v>1079</v>
      </c>
      <c r="F1940" s="2472"/>
      <c r="G1940" s="811" t="s">
        <v>2017</v>
      </c>
      <c r="H1940" s="127" t="str">
        <f>IFERROR(IF([1]K_Summary!$H$1925 = "", "", [1]K_Summary!$H$1925 ),"")</f>
        <v/>
      </c>
      <c r="I1940" s="229" t="str">
        <f>IFERROR(IF([1]K_Summary!$I$1925 = "", "", [1]K_Summary!$I$1925 ),"")</f>
        <v/>
      </c>
      <c r="J1940" s="230" t="str">
        <f>IFERROR(IF([1]K_Summary!$J$1925 = "", "", [1]K_Summary!$J$1925 ),"")</f>
        <v/>
      </c>
      <c r="K1940" s="127" t="str">
        <f>IFERROR(IF([1]K_Summary!$K$1925 = "", "", [1]K_Summary!$K$1925 ),"")</f>
        <v/>
      </c>
      <c r="L1940" s="127" t="str">
        <f>IFERROR(IF([1]K_Summary!$L$1925 = "", "", [1]K_Summary!$L$1925 ),"")</f>
        <v/>
      </c>
      <c r="M1940" s="127" t="str">
        <f>IFERROR(IF([1]K_Summary!$M$1925 = "", "", [1]K_Summary!$M$1925 ),"")</f>
        <v/>
      </c>
      <c r="N1940" s="231" t="str">
        <f>IFERROR(IF([1]K_Summary!$N$1925 = "", "", [1]K_Summary!$N$1925 ),"")</f>
        <v/>
      </c>
    </row>
    <row r="1941" spans="3:14">
      <c r="C1941" s="485"/>
      <c r="D1941" s="776"/>
      <c r="E1941" s="2473" t="s">
        <v>1104</v>
      </c>
      <c r="F1941" s="2474"/>
      <c r="G1941" s="812" t="s">
        <v>2018</v>
      </c>
      <c r="H1941" s="128" t="str">
        <f>IFERROR(IF([1]K_Summary!$H$1926 = "", "", [1]K_Summary!$H$1926 ),"")</f>
        <v/>
      </c>
      <c r="I1941" s="232" t="str">
        <f>IFERROR(IF([1]K_Summary!$I$1926 = "", "", [1]K_Summary!$I$1926 ),"")</f>
        <v/>
      </c>
      <c r="J1941" s="233" t="str">
        <f>IFERROR(IF([1]K_Summary!$J$1926 = "", "", [1]K_Summary!$J$1926 ),"")</f>
        <v/>
      </c>
      <c r="K1941" s="128" t="str">
        <f>IFERROR(IF([1]K_Summary!$K$1926 = "", "", [1]K_Summary!$K$1926 ),"")</f>
        <v/>
      </c>
      <c r="L1941" s="128" t="str">
        <f>IFERROR(IF([1]K_Summary!$L$1926 = "", "", [1]K_Summary!$L$1926 ),"")</f>
        <v/>
      </c>
      <c r="M1941" s="128" t="str">
        <f>IFERROR(IF([1]K_Summary!$M$1926 = "", "", [1]K_Summary!$M$1926 ),"")</f>
        <v/>
      </c>
      <c r="N1941" s="234" t="str">
        <f>IFERROR(IF([1]K_Summary!$N$1926 = "", "", [1]K_Summary!$N$1926 ),"")</f>
        <v/>
      </c>
    </row>
    <row r="1942" spans="3:14">
      <c r="C1942" s="485"/>
      <c r="D1942" s="776"/>
      <c r="E1942" s="809"/>
      <c r="F1942" s="809"/>
      <c r="G1942" s="777"/>
      <c r="H1942" s="813"/>
      <c r="I1942" s="813"/>
      <c r="J1942" s="813"/>
      <c r="K1942" s="813"/>
      <c r="L1942" s="813"/>
      <c r="M1942" s="813"/>
      <c r="N1942" s="814"/>
    </row>
    <row r="1943" spans="3:14">
      <c r="C1943" s="485"/>
      <c r="D1943" s="776"/>
      <c r="E1943" s="2471" t="s">
        <v>1141</v>
      </c>
      <c r="F1943" s="2472"/>
      <c r="G1943" s="811" t="s">
        <v>2017</v>
      </c>
      <c r="H1943" s="127" t="str">
        <f>IFERROR(IF([1]K_Summary!$H$1928 = "", "", [1]K_Summary!$H$1928 ),"")</f>
        <v/>
      </c>
      <c r="I1943" s="229" t="str">
        <f>IFERROR(IF([1]K_Summary!$I$1928 = "", "", [1]K_Summary!$I$1928 ),"")</f>
        <v/>
      </c>
      <c r="J1943" s="230" t="str">
        <f>IFERROR(IF([1]K_Summary!$J$1928 = "", "", [1]K_Summary!$J$1928 ),"")</f>
        <v/>
      </c>
      <c r="K1943" s="127" t="str">
        <f>IFERROR(IF([1]K_Summary!$K$1928 = "", "", [1]K_Summary!$K$1928 ),"")</f>
        <v/>
      </c>
      <c r="L1943" s="127" t="str">
        <f>IFERROR(IF([1]K_Summary!$L$1928 = "", "", [1]K_Summary!$L$1928 ),"")</f>
        <v/>
      </c>
      <c r="M1943" s="127" t="str">
        <f>IFERROR(IF([1]K_Summary!$M$1928 = "", "", [1]K_Summary!$M$1928 ),"")</f>
        <v/>
      </c>
      <c r="N1943" s="231" t="str">
        <f>IFERROR(IF([1]K_Summary!$N$1928 = "", "", [1]K_Summary!$N$1928 ),"")</f>
        <v/>
      </c>
    </row>
    <row r="1944" spans="3:14" ht="13.15" customHeight="1">
      <c r="C1944" s="485"/>
      <c r="D1944" s="776"/>
      <c r="E1944" s="2473" t="s">
        <v>1258</v>
      </c>
      <c r="F1944" s="2474"/>
      <c r="G1944" s="812" t="s">
        <v>2018</v>
      </c>
      <c r="H1944" s="128" t="str">
        <f>IFERROR(IF([1]K_Summary!$H$1929 = "", "", [1]K_Summary!$H$1929 ),"")</f>
        <v/>
      </c>
      <c r="I1944" s="232" t="str">
        <f>IFERROR(IF([1]K_Summary!$I$1929 = "", "", [1]K_Summary!$I$1929 ),"")</f>
        <v/>
      </c>
      <c r="J1944" s="233" t="str">
        <f>IFERROR(IF([1]K_Summary!$J$1929 = "", "", [1]K_Summary!$J$1929 ),"")</f>
        <v/>
      </c>
      <c r="K1944" s="128" t="str">
        <f>IFERROR(IF([1]K_Summary!$K$1929 = "", "", [1]K_Summary!$K$1929 ),"")</f>
        <v/>
      </c>
      <c r="L1944" s="128" t="str">
        <f>IFERROR(IF([1]K_Summary!$L$1929 = "", "", [1]K_Summary!$L$1929 ),"")</f>
        <v/>
      </c>
      <c r="M1944" s="128" t="str">
        <f>IFERROR(IF([1]K_Summary!$M$1929 = "", "", [1]K_Summary!$M$1929 ),"")</f>
        <v/>
      </c>
      <c r="N1944" s="234" t="str">
        <f>IFERROR(IF([1]K_Summary!$N$1929 = "", "", [1]K_Summary!$N$1929 ),"")</f>
        <v/>
      </c>
    </row>
    <row r="1945" spans="3:14">
      <c r="C1945" s="485"/>
      <c r="D1945" s="776"/>
      <c r="E1945" s="2471" t="s">
        <v>1309</v>
      </c>
      <c r="F1945" s="2472"/>
      <c r="G1945" s="811" t="s">
        <v>2017</v>
      </c>
      <c r="H1945" s="127" t="str">
        <f>IFERROR(IF([1]K_Summary!$H$1930 = "", "", [1]K_Summary!$H$1930 ),"")</f>
        <v/>
      </c>
      <c r="I1945" s="229" t="str">
        <f>IFERROR(IF([1]K_Summary!$I$1930 = "", "", [1]K_Summary!$I$1930 ),"")</f>
        <v/>
      </c>
      <c r="J1945" s="230" t="str">
        <f>IFERROR(IF([1]K_Summary!$J$1930 = "", "", [1]K_Summary!$J$1930 ),"")</f>
        <v/>
      </c>
      <c r="K1945" s="127" t="str">
        <f>IFERROR(IF([1]K_Summary!$K$1930 = "", "", [1]K_Summary!$K$1930 ),"")</f>
        <v/>
      </c>
      <c r="L1945" s="127" t="str">
        <f>IFERROR(IF([1]K_Summary!$L$1930 = "", "", [1]K_Summary!$L$1930 ),"")</f>
        <v/>
      </c>
      <c r="M1945" s="127" t="str">
        <f>IFERROR(IF([1]K_Summary!$M$1930 = "", "", [1]K_Summary!$M$1930 ),"")</f>
        <v/>
      </c>
      <c r="N1945" s="231" t="str">
        <f>IFERROR(IF([1]K_Summary!$N$1930 = "", "", [1]K_Summary!$N$1930 ),"")</f>
        <v/>
      </c>
    </row>
    <row r="1946" spans="3:14" ht="13.15" customHeight="1">
      <c r="C1946" s="485"/>
      <c r="D1946" s="776"/>
      <c r="E1946" s="2473" t="s">
        <v>1307</v>
      </c>
      <c r="F1946" s="2474"/>
      <c r="G1946" s="812" t="s">
        <v>2018</v>
      </c>
      <c r="H1946" s="128" t="str">
        <f>IFERROR(IF([1]K_Summary!$H$1931 = "", "", [1]K_Summary!$H$1931 ),"")</f>
        <v/>
      </c>
      <c r="I1946" s="232" t="str">
        <f>IFERROR(IF([1]K_Summary!$I$1931 = "", "", [1]K_Summary!$I$1931 ),"")</f>
        <v/>
      </c>
      <c r="J1946" s="233" t="str">
        <f>IFERROR(IF([1]K_Summary!$J$1931 = "", "", [1]K_Summary!$J$1931 ),"")</f>
        <v/>
      </c>
      <c r="K1946" s="128" t="str">
        <f>IFERROR(IF([1]K_Summary!$K$1931 = "", "", [1]K_Summary!$K$1931 ),"")</f>
        <v/>
      </c>
      <c r="L1946" s="128" t="str">
        <f>IFERROR(IF([1]K_Summary!$L$1931 = "", "", [1]K_Summary!$L$1931 ),"")</f>
        <v/>
      </c>
      <c r="M1946" s="128" t="str">
        <f>IFERROR(IF([1]K_Summary!$M$1931 = "", "", [1]K_Summary!$M$1931 ),"")</f>
        <v/>
      </c>
      <c r="N1946" s="234" t="str">
        <f>IFERROR(IF([1]K_Summary!$N$1931 = "", "", [1]K_Summary!$N$1931 ),"")</f>
        <v/>
      </c>
    </row>
    <row r="1947" spans="3:14">
      <c r="C1947" s="485"/>
      <c r="D1947" s="776"/>
      <c r="E1947" s="2471" t="s">
        <v>1288</v>
      </c>
      <c r="F1947" s="2472"/>
      <c r="G1947" s="811" t="s">
        <v>2017</v>
      </c>
      <c r="H1947" s="127" t="str">
        <f>IFERROR(IF([1]K_Summary!$H$1932 = "", "", [1]K_Summary!$H$1932 ),"")</f>
        <v/>
      </c>
      <c r="I1947" s="229" t="str">
        <f>IFERROR(IF([1]K_Summary!$I$1932 = "", "", [1]K_Summary!$I$1932 ),"")</f>
        <v/>
      </c>
      <c r="J1947" s="230" t="str">
        <f>IFERROR(IF([1]K_Summary!$J$1932 = "", "", [1]K_Summary!$J$1932 ),"")</f>
        <v/>
      </c>
      <c r="K1947" s="127" t="str">
        <f>IFERROR(IF([1]K_Summary!$K$1932 = "", "", [1]K_Summary!$K$1932 ),"")</f>
        <v/>
      </c>
      <c r="L1947" s="127" t="str">
        <f>IFERROR(IF([1]K_Summary!$L$1932 = "", "", [1]K_Summary!$L$1932 ),"")</f>
        <v/>
      </c>
      <c r="M1947" s="127" t="str">
        <f>IFERROR(IF([1]K_Summary!$M$1932 = "", "", [1]K_Summary!$M$1932 ),"")</f>
        <v/>
      </c>
      <c r="N1947" s="231" t="str">
        <f>IFERROR(IF([1]K_Summary!$N$1932 = "", "", [1]K_Summary!$N$1932 ),"")</f>
        <v/>
      </c>
    </row>
    <row r="1948" spans="3:14">
      <c r="C1948" s="485"/>
      <c r="D1948" s="776"/>
      <c r="E1948" s="2473" t="s">
        <v>1308</v>
      </c>
      <c r="F1948" s="2474"/>
      <c r="G1948" s="812" t="s">
        <v>2018</v>
      </c>
      <c r="H1948" s="128" t="str">
        <f>IFERROR(IF([1]K_Summary!$H$1933 = "", "", [1]K_Summary!$H$1933 ),"")</f>
        <v/>
      </c>
      <c r="I1948" s="232" t="str">
        <f>IFERROR(IF([1]K_Summary!$I$1933 = "", "", [1]K_Summary!$I$1933 ),"")</f>
        <v/>
      </c>
      <c r="J1948" s="233" t="str">
        <f>IFERROR(IF([1]K_Summary!$J$1933 = "", "", [1]K_Summary!$J$1933 ),"")</f>
        <v/>
      </c>
      <c r="K1948" s="128" t="str">
        <f>IFERROR(IF([1]K_Summary!$K$1933 = "", "", [1]K_Summary!$K$1933 ),"")</f>
        <v/>
      </c>
      <c r="L1948" s="128" t="str">
        <f>IFERROR(IF([1]K_Summary!$L$1933 = "", "", [1]K_Summary!$L$1933 ),"")</f>
        <v/>
      </c>
      <c r="M1948" s="128" t="str">
        <f>IFERROR(IF([1]K_Summary!$M$1933 = "", "", [1]K_Summary!$M$1933 ),"")</f>
        <v/>
      </c>
      <c r="N1948" s="234" t="str">
        <f>IFERROR(IF([1]K_Summary!$N$1933 = "", "", [1]K_Summary!$N$1933 ),"")</f>
        <v/>
      </c>
    </row>
    <row r="1949" spans="3:14">
      <c r="C1949" s="485"/>
      <c r="D1949" s="776"/>
      <c r="E1949" s="2471" t="s">
        <v>1102</v>
      </c>
      <c r="F1949" s="2472"/>
      <c r="G1949" s="811" t="s">
        <v>2017</v>
      </c>
      <c r="H1949" s="127" t="str">
        <f>IFERROR(IF([1]K_Summary!$H$1934 = "", "", [1]K_Summary!$H$1934 ),"")</f>
        <v/>
      </c>
      <c r="I1949" s="229" t="str">
        <f>IFERROR(IF([1]K_Summary!$I$1934 = "", "", [1]K_Summary!$I$1934 ),"")</f>
        <v/>
      </c>
      <c r="J1949" s="230" t="str">
        <f>IFERROR(IF([1]K_Summary!$J$1934 = "", "", [1]K_Summary!$J$1934 ),"")</f>
        <v/>
      </c>
      <c r="K1949" s="127" t="str">
        <f>IFERROR(IF([1]K_Summary!$K$1934 = "", "", [1]K_Summary!$K$1934 ),"")</f>
        <v/>
      </c>
      <c r="L1949" s="127" t="str">
        <f>IFERROR(IF([1]K_Summary!$L$1934 = "", "", [1]K_Summary!$L$1934 ),"")</f>
        <v/>
      </c>
      <c r="M1949" s="127" t="str">
        <f>IFERROR(IF([1]K_Summary!$M$1934 = "", "", [1]K_Summary!$M$1934 ),"")</f>
        <v/>
      </c>
      <c r="N1949" s="231" t="str">
        <f>IFERROR(IF([1]K_Summary!$N$1934 = "", "", [1]K_Summary!$N$1934 ),"")</f>
        <v/>
      </c>
    </row>
    <row r="1950" spans="3:14">
      <c r="C1950" s="485"/>
      <c r="D1950" s="776"/>
      <c r="E1950" s="816" t="s">
        <v>1275</v>
      </c>
      <c r="F1950" s="816"/>
      <c r="G1950" s="812" t="s">
        <v>2018</v>
      </c>
      <c r="H1950" s="128" t="str">
        <f>IFERROR(IF([1]K_Summary!$H$1935 = "", "", [1]K_Summary!$H$1935 ),"")</f>
        <v/>
      </c>
      <c r="I1950" s="232" t="str">
        <f>IFERROR(IF([1]K_Summary!$I$1935 = "", "", [1]K_Summary!$I$1935 ),"")</f>
        <v/>
      </c>
      <c r="J1950" s="233" t="str">
        <f>IFERROR(IF([1]K_Summary!$J$1935 = "", "", [1]K_Summary!$J$1935 ),"")</f>
        <v/>
      </c>
      <c r="K1950" s="128" t="str">
        <f>IFERROR(IF([1]K_Summary!$K$1935 = "", "", [1]K_Summary!$K$1935 ),"")</f>
        <v/>
      </c>
      <c r="L1950" s="128" t="str">
        <f>IFERROR(IF([1]K_Summary!$L$1935 = "", "", [1]K_Summary!$L$1935 ),"")</f>
        <v/>
      </c>
      <c r="M1950" s="128" t="str">
        <f>IFERROR(IF([1]K_Summary!$M$1935 = "", "", [1]K_Summary!$M$1935 ),"")</f>
        <v/>
      </c>
      <c r="N1950" s="234" t="str">
        <f>IFERROR(IF([1]K_Summary!$N$1935 = "", "", [1]K_Summary!$N$1935 ),"")</f>
        <v/>
      </c>
    </row>
    <row r="1951" spans="3:14">
      <c r="C1951" s="485"/>
      <c r="D1951" s="776"/>
      <c r="E1951" s="2471" t="s">
        <v>1080</v>
      </c>
      <c r="F1951" s="2472"/>
      <c r="G1951" s="811" t="s">
        <v>2017</v>
      </c>
      <c r="H1951" s="127" t="str">
        <f>IFERROR(IF([1]K_Summary!$H$1936 = "", "", [1]K_Summary!$H$1936 ),"")</f>
        <v/>
      </c>
      <c r="I1951" s="229" t="str">
        <f>IFERROR(IF([1]K_Summary!$I$1936 = "", "", [1]K_Summary!$I$1936 ),"")</f>
        <v/>
      </c>
      <c r="J1951" s="230" t="str">
        <f>IFERROR(IF([1]K_Summary!$J$1936 = "", "", [1]K_Summary!$J$1936 ),"")</f>
        <v/>
      </c>
      <c r="K1951" s="127" t="str">
        <f>IFERROR(IF([1]K_Summary!$K$1936 = "", "", [1]K_Summary!$K$1936 ),"")</f>
        <v/>
      </c>
      <c r="L1951" s="127" t="str">
        <f>IFERROR(IF([1]K_Summary!$L$1936 = "", "", [1]K_Summary!$L$1936 ),"")</f>
        <v/>
      </c>
      <c r="M1951" s="127" t="str">
        <f>IFERROR(IF([1]K_Summary!$M$1936 = "", "", [1]K_Summary!$M$1936 ),"")</f>
        <v/>
      </c>
      <c r="N1951" s="231" t="str">
        <f>IFERROR(IF([1]K_Summary!$N$1936 = "", "", [1]K_Summary!$N$1936 ),"")</f>
        <v/>
      </c>
    </row>
    <row r="1952" spans="3:14">
      <c r="C1952" s="485"/>
      <c r="D1952" s="776"/>
      <c r="E1952" s="2473" t="s">
        <v>1276</v>
      </c>
      <c r="F1952" s="2474"/>
      <c r="G1952" s="812" t="s">
        <v>2018</v>
      </c>
      <c r="H1952" s="128" t="str">
        <f>IFERROR(IF([1]K_Summary!$H$1937 = "", "", [1]K_Summary!$H$1937 ),"")</f>
        <v/>
      </c>
      <c r="I1952" s="232" t="str">
        <f>IFERROR(IF([1]K_Summary!$I$1937 = "", "", [1]K_Summary!$I$1937 ),"")</f>
        <v/>
      </c>
      <c r="J1952" s="233" t="str">
        <f>IFERROR(IF([1]K_Summary!$J$1937 = "", "", [1]K_Summary!$J$1937 ),"")</f>
        <v/>
      </c>
      <c r="K1952" s="128" t="str">
        <f>IFERROR(IF([1]K_Summary!$K$1937 = "", "", [1]K_Summary!$K$1937 ),"")</f>
        <v/>
      </c>
      <c r="L1952" s="128" t="str">
        <f>IFERROR(IF([1]K_Summary!$L$1937 = "", "", [1]K_Summary!$L$1937 ),"")</f>
        <v/>
      </c>
      <c r="M1952" s="128" t="str">
        <f>IFERROR(IF([1]K_Summary!$M$1937 = "", "", [1]K_Summary!$M$1937 ),"")</f>
        <v/>
      </c>
      <c r="N1952" s="234" t="str">
        <f>IFERROR(IF([1]K_Summary!$N$1937 = "", "", [1]K_Summary!$N$1937 ),"")</f>
        <v/>
      </c>
    </row>
    <row r="1953" spans="3:14">
      <c r="C1953" s="485"/>
      <c r="D1953" s="776"/>
      <c r="E1953" s="809"/>
      <c r="F1953" s="809"/>
      <c r="G1953" s="777"/>
      <c r="H1953" s="813"/>
      <c r="I1953" s="813"/>
      <c r="J1953" s="813"/>
      <c r="K1953" s="813"/>
      <c r="L1953" s="813"/>
      <c r="M1953" s="813"/>
      <c r="N1953" s="814"/>
    </row>
    <row r="1954" spans="3:14">
      <c r="C1954" s="485"/>
      <c r="D1954" s="776"/>
      <c r="E1954" s="2475" t="s">
        <v>914</v>
      </c>
      <c r="F1954" s="2410"/>
      <c r="G1954" s="815" t="s">
        <v>2021</v>
      </c>
      <c r="H1954" s="126" t="str">
        <f>IFERROR(IF([1]K_Summary!$H$1939 = "", "", [1]K_Summary!$H$1939 ),"")</f>
        <v/>
      </c>
      <c r="I1954" s="235" t="str">
        <f>IFERROR(IF([1]K_Summary!$I$1939 = "", "", [1]K_Summary!$I$1939 ),"")</f>
        <v/>
      </c>
      <c r="J1954" s="236" t="str">
        <f>IFERROR(IF([1]K_Summary!$J$1939 = "", "", [1]K_Summary!$J$1939 ),"")</f>
        <v/>
      </c>
      <c r="K1954" s="126" t="str">
        <f>IFERROR(IF([1]K_Summary!$K$1939 = "", "", [1]K_Summary!$K$1939 ),"")</f>
        <v/>
      </c>
      <c r="L1954" s="126" t="str">
        <f>IFERROR(IF([1]K_Summary!$L$1939 = "", "", [1]K_Summary!$L$1939 ),"")</f>
        <v/>
      </c>
      <c r="M1954" s="126" t="str">
        <f>IFERROR(IF([1]K_Summary!$M$1939 = "", "", [1]K_Summary!$M$1939 ),"")</f>
        <v/>
      </c>
      <c r="N1954" s="237" t="str">
        <f>IFERROR(IF([1]K_Summary!$N$1939 = "", "", [1]K_Summary!$N$1939 ),"")</f>
        <v/>
      </c>
    </row>
    <row r="1955" spans="3:14">
      <c r="C1955" s="485"/>
      <c r="D1955" s="776"/>
      <c r="E1955" s="2475" t="s">
        <v>1354</v>
      </c>
      <c r="F1955" s="2410"/>
      <c r="G1955" s="815" t="s">
        <v>2021</v>
      </c>
      <c r="H1955" s="126" t="str">
        <f>IFERROR(IF([1]K_Summary!$H$1940 = "", "", [1]K_Summary!$H$1940 ),"")</f>
        <v/>
      </c>
      <c r="I1955" s="235" t="str">
        <f>IFERROR(IF([1]K_Summary!$I$1940 = "", "", [1]K_Summary!$I$1940 ),"")</f>
        <v/>
      </c>
      <c r="J1955" s="236" t="str">
        <f>IFERROR(IF([1]K_Summary!$J$1940 = "", "", [1]K_Summary!$J$1940 ),"")</f>
        <v/>
      </c>
      <c r="K1955" s="126" t="str">
        <f>IFERROR(IF([1]K_Summary!$K$1940 = "", "", [1]K_Summary!$K$1940 ),"")</f>
        <v/>
      </c>
      <c r="L1955" s="126" t="str">
        <f>IFERROR(IF([1]K_Summary!$L$1940 = "", "", [1]K_Summary!$L$1940 ),"")</f>
        <v/>
      </c>
      <c r="M1955" s="126" t="str">
        <f>IFERROR(IF([1]K_Summary!$M$1940 = "", "", [1]K_Summary!$M$1940 ),"")</f>
        <v/>
      </c>
      <c r="N1955" s="237" t="str">
        <f>IFERROR(IF([1]K_Summary!$N$1940 = "", "", [1]K_Summary!$N$1940 ),"")</f>
        <v/>
      </c>
    </row>
    <row r="1956" spans="3:14">
      <c r="C1956" s="485"/>
      <c r="D1956" s="776"/>
      <c r="E1956" s="809"/>
      <c r="F1956" s="809"/>
      <c r="G1956" s="777"/>
      <c r="H1956" s="813"/>
      <c r="I1956" s="813"/>
      <c r="J1956" s="813"/>
      <c r="K1956" s="813"/>
      <c r="L1956" s="813"/>
      <c r="M1956" s="813"/>
      <c r="N1956" s="814"/>
    </row>
    <row r="1957" spans="3:14">
      <c r="C1957" s="485"/>
      <c r="D1957" s="776"/>
      <c r="E1957" s="2475" t="s">
        <v>1157</v>
      </c>
      <c r="F1957" s="2410"/>
      <c r="G1957" s="815" t="s">
        <v>1020</v>
      </c>
      <c r="H1957" s="126" t="str">
        <f>IFERROR(IF([1]K_Summary!$H$1942 = "", "", [1]K_Summary!$H$1942 ),"")</f>
        <v/>
      </c>
      <c r="I1957" s="235" t="str">
        <f>IFERROR(IF([1]K_Summary!$I$1942 = "", "", [1]K_Summary!$I$1942 ),"")</f>
        <v/>
      </c>
      <c r="J1957" s="236" t="str">
        <f>IFERROR(IF([1]K_Summary!$J$1942 = "", "", [1]K_Summary!$J$1942 ),"")</f>
        <v/>
      </c>
      <c r="K1957" s="126" t="str">
        <f>IFERROR(IF([1]K_Summary!$K$1942 = "", "", [1]K_Summary!$K$1942 ),"")</f>
        <v/>
      </c>
      <c r="L1957" s="126" t="str">
        <f>IFERROR(IF([1]K_Summary!$L$1942 = "", "", [1]K_Summary!$L$1942 ),"")</f>
        <v/>
      </c>
      <c r="M1957" s="126" t="str">
        <f>IFERROR(IF([1]K_Summary!$M$1942 = "", "", [1]K_Summary!$M$1942 ),"")</f>
        <v/>
      </c>
      <c r="N1957" s="237" t="str">
        <f>IFERROR(IF([1]K_Summary!$N$1942 = "", "", [1]K_Summary!$N$1942 ),"")</f>
        <v/>
      </c>
    </row>
    <row r="1958" spans="3:14">
      <c r="C1958" s="485"/>
      <c r="D1958" s="776"/>
      <c r="E1958" s="809"/>
      <c r="F1958" s="809"/>
      <c r="G1958" s="777"/>
      <c r="H1958" s="813"/>
      <c r="I1958" s="813"/>
      <c r="J1958" s="813"/>
      <c r="K1958" s="813"/>
      <c r="L1958" s="813"/>
      <c r="M1958" s="813"/>
      <c r="N1958" s="814"/>
    </row>
    <row r="1959" spans="3:14">
      <c r="C1959" s="485"/>
      <c r="D1959" s="776"/>
      <c r="E1959" s="2492" t="s">
        <v>1440</v>
      </c>
      <c r="F1959" s="2493"/>
      <c r="G1959" s="777"/>
      <c r="H1959" s="813"/>
      <c r="I1959" s="813"/>
      <c r="J1959" s="813"/>
      <c r="K1959" s="813"/>
      <c r="L1959" s="813"/>
      <c r="M1959" s="813"/>
      <c r="N1959" s="814"/>
    </row>
    <row r="1960" spans="3:14">
      <c r="C1960" s="485"/>
      <c r="D1960" s="776"/>
      <c r="E1960" s="2487" t="str">
        <f>IFERROR(IF([1]K_Summary!$E$1945 = "", "", [1]K_Summary!$E$1945 ),"")</f>
        <v/>
      </c>
      <c r="F1960" s="2488"/>
      <c r="G1960" s="815" t="s">
        <v>1020</v>
      </c>
      <c r="H1960" s="126" t="str">
        <f>IFERROR(IF([1]K_Summary!$H$1945 = "", "", [1]K_Summary!$H$1945 ),"")</f>
        <v/>
      </c>
      <c r="I1960" s="235" t="str">
        <f>IFERROR(IF([1]K_Summary!$I$1945 = "", "", [1]K_Summary!$I$1945 ),"")</f>
        <v/>
      </c>
      <c r="J1960" s="236" t="str">
        <f>IFERROR(IF([1]K_Summary!$J$1945 = "", "", [1]K_Summary!$J$1945 ),"")</f>
        <v/>
      </c>
      <c r="K1960" s="126" t="str">
        <f>IFERROR(IF([1]K_Summary!$K$1945 = "", "", [1]K_Summary!$K$1945 ),"")</f>
        <v/>
      </c>
      <c r="L1960" s="126" t="str">
        <f>IFERROR(IF([1]K_Summary!$L$1945 = "", "", [1]K_Summary!$L$1945 ),"")</f>
        <v/>
      </c>
      <c r="M1960" s="126" t="str">
        <f>IFERROR(IF([1]K_Summary!$M$1945 = "", "", [1]K_Summary!$M$1945 ),"")</f>
        <v/>
      </c>
      <c r="N1960" s="237" t="str">
        <f>IFERROR(IF([1]K_Summary!$N$1945 = "", "", [1]K_Summary!$N$1945 ),"")</f>
        <v/>
      </c>
    </row>
    <row r="1961" spans="3:14">
      <c r="C1961" s="485"/>
      <c r="D1961" s="776"/>
      <c r="E1961" s="2487" t="str">
        <f>IFERROR(IF([1]K_Summary!$E$1946 = "", "", [1]K_Summary!$E$1946 ),"")</f>
        <v/>
      </c>
      <c r="F1961" s="2488"/>
      <c r="G1961" s="815" t="s">
        <v>1020</v>
      </c>
      <c r="H1961" s="126" t="str">
        <f>IFERROR(IF([1]K_Summary!$H$1946 = "", "", [1]K_Summary!$H$1946 ),"")</f>
        <v/>
      </c>
      <c r="I1961" s="235" t="str">
        <f>IFERROR(IF([1]K_Summary!$I$1946 = "", "", [1]K_Summary!$I$1946 ),"")</f>
        <v/>
      </c>
      <c r="J1961" s="236" t="str">
        <f>IFERROR(IF([1]K_Summary!$J$1946 = "", "", [1]K_Summary!$J$1946 ),"")</f>
        <v/>
      </c>
      <c r="K1961" s="126" t="str">
        <f>IFERROR(IF([1]K_Summary!$K$1946 = "", "", [1]K_Summary!$K$1946 ),"")</f>
        <v/>
      </c>
      <c r="L1961" s="126" t="str">
        <f>IFERROR(IF([1]K_Summary!$L$1946 = "", "", [1]K_Summary!$L$1946 ),"")</f>
        <v/>
      </c>
      <c r="M1961" s="126" t="str">
        <f>IFERROR(IF([1]K_Summary!$M$1946 = "", "", [1]K_Summary!$M$1946 ),"")</f>
        <v/>
      </c>
      <c r="N1961" s="237" t="str">
        <f>IFERROR(IF([1]K_Summary!$N$1946 = "", "", [1]K_Summary!$N$1946 ),"")</f>
        <v/>
      </c>
    </row>
    <row r="1962" spans="3:14">
      <c r="C1962" s="485"/>
      <c r="D1962" s="776"/>
      <c r="E1962" s="2475" t="s">
        <v>1441</v>
      </c>
      <c r="F1962" s="2410"/>
      <c r="G1962" s="777"/>
      <c r="H1962" s="813"/>
      <c r="I1962" s="813"/>
      <c r="J1962" s="813"/>
      <c r="K1962" s="813"/>
      <c r="L1962" s="813"/>
      <c r="M1962" s="813"/>
      <c r="N1962" s="814"/>
    </row>
    <row r="1963" spans="3:14">
      <c r="C1963" s="485"/>
      <c r="D1963" s="776"/>
      <c r="E1963" s="2487" t="str">
        <f>IFERROR(IF([1]K_Summary!$E$1948 = "", "", [1]K_Summary!$E$1948 ),"")</f>
        <v/>
      </c>
      <c r="F1963" s="2488"/>
      <c r="G1963" s="815" t="s">
        <v>1020</v>
      </c>
      <c r="H1963" s="126" t="str">
        <f>IFERROR(IF([1]K_Summary!$H$1948 = "", "", [1]K_Summary!$H$1948 ),"")</f>
        <v/>
      </c>
      <c r="I1963" s="235" t="str">
        <f>IFERROR(IF([1]K_Summary!$I$1948 = "", "", [1]K_Summary!$I$1948 ),"")</f>
        <v/>
      </c>
      <c r="J1963" s="236" t="str">
        <f>IFERROR(IF([1]K_Summary!$J$1948 = "", "", [1]K_Summary!$J$1948 ),"")</f>
        <v/>
      </c>
      <c r="K1963" s="126" t="str">
        <f>IFERROR(IF([1]K_Summary!$K$1948 = "", "", [1]K_Summary!$K$1948 ),"")</f>
        <v/>
      </c>
      <c r="L1963" s="126" t="str">
        <f>IFERROR(IF([1]K_Summary!$L$1948 = "", "", [1]K_Summary!$L$1948 ),"")</f>
        <v/>
      </c>
      <c r="M1963" s="126" t="str">
        <f>IFERROR(IF([1]K_Summary!$M$1948 = "", "", [1]K_Summary!$M$1948 ),"")</f>
        <v/>
      </c>
      <c r="N1963" s="237" t="str">
        <f>IFERROR(IF([1]K_Summary!$N$1948 = "", "", [1]K_Summary!$N$1948 ),"")</f>
        <v/>
      </c>
    </row>
    <row r="1964" spans="3:14">
      <c r="C1964" s="485"/>
      <c r="D1964" s="776"/>
      <c r="E1964" s="2487" t="str">
        <f>IFERROR(IF([1]K_Summary!$E$1949 = "", "", [1]K_Summary!$E$1949 ),"")</f>
        <v/>
      </c>
      <c r="F1964" s="2488"/>
      <c r="G1964" s="815" t="s">
        <v>1020</v>
      </c>
      <c r="H1964" s="126" t="str">
        <f>IFERROR(IF([1]K_Summary!$H$1949 = "", "", [1]K_Summary!$H$1949 ),"")</f>
        <v/>
      </c>
      <c r="I1964" s="235" t="str">
        <f>IFERROR(IF([1]K_Summary!$I$1949 = "", "", [1]K_Summary!$I$1949 ),"")</f>
        <v/>
      </c>
      <c r="J1964" s="236" t="str">
        <f>IFERROR(IF([1]K_Summary!$J$1949 = "", "", [1]K_Summary!$J$1949 ),"")</f>
        <v/>
      </c>
      <c r="K1964" s="126" t="str">
        <f>IFERROR(IF([1]K_Summary!$K$1949 = "", "", [1]K_Summary!$K$1949 ),"")</f>
        <v/>
      </c>
      <c r="L1964" s="126" t="str">
        <f>IFERROR(IF([1]K_Summary!$L$1949 = "", "", [1]K_Summary!$L$1949 ),"")</f>
        <v/>
      </c>
      <c r="M1964" s="126" t="str">
        <f>IFERROR(IF([1]K_Summary!$M$1949 = "", "", [1]K_Summary!$M$1949 ),"")</f>
        <v/>
      </c>
      <c r="N1964" s="237" t="str">
        <f>IFERROR(IF([1]K_Summary!$N$1949 = "", "", [1]K_Summary!$N$1949 ),"")</f>
        <v/>
      </c>
    </row>
    <row r="1965" spans="3:14" ht="13.5" thickBot="1">
      <c r="C1965" s="485"/>
      <c r="D1965" s="802"/>
      <c r="E1965" s="803"/>
      <c r="F1965" s="803"/>
      <c r="G1965" s="804"/>
      <c r="H1965" s="804"/>
      <c r="I1965" s="805"/>
      <c r="J1965" s="805"/>
      <c r="K1965" s="805"/>
      <c r="L1965" s="805"/>
      <c r="M1965" s="805"/>
      <c r="N1965" s="806"/>
    </row>
    <row r="1966" spans="3:14">
      <c r="C1966" s="485"/>
      <c r="D1966" s="485"/>
      <c r="E1966" s="807"/>
      <c r="F1966" s="562"/>
      <c r="G1966" s="562"/>
      <c r="H1966" s="562"/>
      <c r="I1966" s="562"/>
      <c r="J1966" s="562"/>
      <c r="K1966" s="562"/>
      <c r="L1966" s="562"/>
      <c r="M1966" s="562"/>
      <c r="N1966" s="562"/>
    </row>
    <row r="1967" spans="3:14"/>
    <row r="1968" spans="3:14" ht="13.9" customHeight="1">
      <c r="C1968" s="559">
        <v>10</v>
      </c>
      <c r="D1968" s="2482" t="s">
        <v>2031</v>
      </c>
      <c r="E1968" s="2482"/>
      <c r="F1968" s="2482"/>
      <c r="G1968" s="2482"/>
      <c r="H1968" s="2483"/>
      <c r="I1968" s="2489" t="str">
        <f>IFERROR(IF([1]K_Summary!$I$1953 = "", "", [1]K_Summary!$I$1953 ),"")</f>
        <v/>
      </c>
      <c r="J1968" s="2490"/>
      <c r="K1968" s="2490"/>
      <c r="L1968" s="2490"/>
      <c r="M1968" s="2490"/>
      <c r="N1968" s="2491"/>
    </row>
    <row r="1969" spans="1:14" ht="15">
      <c r="C1969" s="559"/>
      <c r="D1969" s="559"/>
      <c r="E1969" s="559"/>
      <c r="F1969" s="559"/>
      <c r="G1969" s="559"/>
      <c r="H1969" s="559"/>
      <c r="I1969" s="559"/>
      <c r="J1969" s="559"/>
      <c r="K1969" s="559"/>
      <c r="L1969" s="559"/>
      <c r="M1969" s="559"/>
      <c r="N1969" s="559"/>
    </row>
    <row r="1970" spans="1:14" ht="15">
      <c r="C1970" s="559"/>
      <c r="D1970" s="559"/>
      <c r="E1970" s="559"/>
      <c r="F1970" s="559"/>
      <c r="G1970" s="562"/>
      <c r="H1970" s="688" t="s">
        <v>458</v>
      </c>
      <c r="I1970" s="688" t="s">
        <v>1256</v>
      </c>
      <c r="J1970" s="688" t="s">
        <v>1434</v>
      </c>
      <c r="K1970" s="688" t="s">
        <v>1684</v>
      </c>
      <c r="L1970" s="689" t="s">
        <v>156</v>
      </c>
      <c r="M1970" s="2469" t="s">
        <v>302</v>
      </c>
      <c r="N1970" s="2469"/>
    </row>
    <row r="1971" spans="1:14" ht="15">
      <c r="C1971" s="559"/>
      <c r="D1971" s="559"/>
      <c r="E1971" s="66" t="str">
        <f>IFERROR(IF([1]K_Summary!$E$1956 = "", "", [1]K_Summary!$E$1956 ),"")</f>
        <v/>
      </c>
      <c r="F1971" s="51"/>
      <c r="G1971" s="51"/>
      <c r="H1971" s="143" t="str">
        <f>IFERROR(IF([1]K_Summary!$H$1956 = "", "", [1]K_Summary!$H$1956 ),"")</f>
        <v>N.A.</v>
      </c>
      <c r="I1971" s="143" t="str">
        <f>IFERROR(IF([1]K_Summary!$I$1956 = "", "", [1]K_Summary!$I$1956 ),"")</f>
        <v/>
      </c>
      <c r="J1971" s="53" t="str">
        <f>IFERROR(IF([1]K_Summary!$J$1956 = "", "", [1]K_Summary!$J$1956 ),"")</f>
        <v>N.A.</v>
      </c>
      <c r="K1971" s="53" t="str">
        <f>IFERROR(IF([1]K_Summary!$K$1956 = "", "", [1]K_Summary!$K$1956 ),"")</f>
        <v>N.A.</v>
      </c>
      <c r="L1971" s="144" t="str">
        <f>IFERROR(IF([1]K_Summary!$L$1956 = "", "", [1]K_Summary!$L$1956 ),"")</f>
        <v>N.A.</v>
      </c>
      <c r="M1971" s="145" t="str">
        <f>IFERROR(IF([1]K_Summary!$M$1956 = "", "", [1]K_Summary!$M$1956 ),"")</f>
        <v>N.A.</v>
      </c>
      <c r="N1971" s="50" t="str">
        <f>IFERROR(IF([1]K_Summary!$N$1956 = "", "", [1]K_Summary!$N$1956 ),"")</f>
        <v>EUA/tonnes</v>
      </c>
    </row>
    <row r="1972" spans="1:14" ht="15">
      <c r="C1972" s="485"/>
      <c r="D1972" s="485"/>
      <c r="E1972" s="559"/>
      <c r="F1972" s="562"/>
      <c r="G1972" s="562"/>
      <c r="H1972" s="562"/>
      <c r="I1972" s="562"/>
      <c r="J1972" s="485"/>
      <c r="K1972" s="485"/>
      <c r="L1972" s="485"/>
      <c r="M1972" s="485"/>
      <c r="N1972" s="485"/>
    </row>
    <row r="1973" spans="1:14">
      <c r="C1973" s="485"/>
      <c r="D1973" s="485"/>
      <c r="E1973" s="496"/>
      <c r="F1973" s="482" t="s">
        <v>884</v>
      </c>
      <c r="G1973" s="695" t="s">
        <v>1646</v>
      </c>
      <c r="H1973" s="696">
        <v>2019</v>
      </c>
      <c r="I1973" s="697">
        <v>2020</v>
      </c>
      <c r="J1973" s="696">
        <v>2021</v>
      </c>
      <c r="K1973" s="578">
        <v>2022</v>
      </c>
      <c r="L1973" s="578">
        <v>2023</v>
      </c>
      <c r="M1973" s="578">
        <v>2024</v>
      </c>
      <c r="N1973" s="578">
        <v>2025</v>
      </c>
    </row>
    <row r="1974" spans="1:14">
      <c r="C1974" s="485"/>
      <c r="D1974" s="485"/>
      <c r="E1974" s="698" t="s">
        <v>1665</v>
      </c>
      <c r="F1974" s="146" t="str">
        <f>IFERROR(IF([1]K_Summary!$F$1959 = "", "", [1]K_Summary!$F$1959 ),"")</f>
        <v>tonnes</v>
      </c>
      <c r="G1974" s="147" t="str">
        <f>IFERROR(IF([1]K_Summary!$G$1959 = "", "", [1]K_Summary!$G$1959 ),"")</f>
        <v/>
      </c>
      <c r="H1974" s="148" t="str">
        <f>IFERROR(IF([1]K_Summary!$H$1959 = "", "", [1]K_Summary!$H$1959 ),"")</f>
        <v/>
      </c>
      <c r="I1974" s="149" t="str">
        <f>IFERROR(IF([1]K_Summary!$I$1959 = "", "", [1]K_Summary!$I$1959 ),"")</f>
        <v/>
      </c>
      <c r="J1974" s="148" t="str">
        <f>IFERROR(IF([1]K_Summary!$J$1959 = "", "", [1]K_Summary!$J$1959 ),"")</f>
        <v/>
      </c>
      <c r="K1974" s="150" t="str">
        <f>IFERROR(IF([1]K_Summary!$K$1959 = "", "", [1]K_Summary!$K$1959 ),"")</f>
        <v/>
      </c>
      <c r="L1974" s="150" t="str">
        <f>IFERROR(IF([1]K_Summary!$L$1959 = "", "", [1]K_Summary!$L$1959 ),"")</f>
        <v/>
      </c>
      <c r="M1974" s="150" t="str">
        <f>IFERROR(IF([1]K_Summary!$M$1959 = "", "", [1]K_Summary!$M$1959 ),"")</f>
        <v/>
      </c>
      <c r="N1974" s="150" t="str">
        <f>IFERROR(IF([1]K_Summary!$N$1959 = "", "", [1]K_Summary!$N$1959 ),"")</f>
        <v/>
      </c>
    </row>
    <row r="1975" spans="1:14" ht="15.75" thickBot="1">
      <c r="C1975" s="559"/>
      <c r="D1975" s="559"/>
      <c r="E1975" s="559"/>
      <c r="F1975" s="559"/>
      <c r="G1975" s="559"/>
      <c r="H1975" s="559"/>
      <c r="I1975" s="559"/>
      <c r="J1975" s="559"/>
      <c r="K1975" s="559"/>
      <c r="L1975" s="559"/>
      <c r="M1975" s="559"/>
      <c r="N1975" s="559"/>
    </row>
    <row r="1976" spans="1:14" ht="15">
      <c r="C1976" s="559"/>
      <c r="D1976" s="703"/>
      <c r="E1976" s="704"/>
      <c r="F1976" s="704"/>
      <c r="G1976" s="704"/>
      <c r="H1976" s="704"/>
      <c r="I1976" s="704"/>
      <c r="J1976" s="704"/>
      <c r="K1976" s="704"/>
      <c r="L1976" s="704"/>
      <c r="M1976" s="704"/>
      <c r="N1976" s="705"/>
    </row>
    <row r="1977" spans="1:14" ht="15">
      <c r="C1977" s="559"/>
      <c r="D1977" s="706"/>
      <c r="E1977" s="707" t="s">
        <v>1787</v>
      </c>
      <c r="F1977" s="637"/>
      <c r="G1977" s="637"/>
      <c r="H1977" s="663"/>
      <c r="I1977" s="708"/>
      <c r="J1977" s="709">
        <v>2021</v>
      </c>
      <c r="K1977" s="671">
        <v>2022</v>
      </c>
      <c r="L1977" s="671">
        <v>2023</v>
      </c>
      <c r="M1977" s="671">
        <v>2024</v>
      </c>
      <c r="N1977" s="710">
        <v>2025</v>
      </c>
    </row>
    <row r="1978" spans="1:14" ht="15">
      <c r="C1978" s="559"/>
      <c r="D1978" s="706"/>
      <c r="E1978" s="711" t="s">
        <v>1783</v>
      </c>
      <c r="F1978" s="712"/>
      <c r="G1978" s="712"/>
      <c r="H1978" s="713"/>
      <c r="I1978" s="712"/>
      <c r="J1978" s="151" t="str">
        <f>IFERROR(IF([1]K_Summary!$J$1963 = "", "", [1]K_Summary!$J$1963 ),"")</f>
        <v/>
      </c>
      <c r="K1978" s="152" t="str">
        <f>IFERROR(IF([1]K_Summary!$K$1963 = "", "", [1]K_Summary!$K$1963 ),"")</f>
        <v/>
      </c>
      <c r="L1978" s="152" t="str">
        <f>IFERROR(IF([1]K_Summary!$L$1963 = "", "", [1]K_Summary!$L$1963 ),"")</f>
        <v/>
      </c>
      <c r="M1978" s="152" t="str">
        <f>IFERROR(IF([1]K_Summary!$M$1963 = "", "", [1]K_Summary!$M$1963 ),"")</f>
        <v/>
      </c>
      <c r="N1978" s="153" t="str">
        <f>IFERROR(IF([1]K_Summary!$N$1963 = "", "", [1]K_Summary!$N$1963 ),"")</f>
        <v/>
      </c>
    </row>
    <row r="1979" spans="1:14" ht="15">
      <c r="C1979" s="559"/>
      <c r="D1979" s="706"/>
      <c r="E1979" s="714" t="s">
        <v>1784</v>
      </c>
      <c r="F1979" s="715"/>
      <c r="G1979" s="715"/>
      <c r="H1979" s="716"/>
      <c r="I1979" s="715"/>
      <c r="J1979" s="154" t="str">
        <f>IFERROR(IF([1]K_Summary!$J$1964 = "", "", [1]K_Summary!$J$1964 ),"")</f>
        <v/>
      </c>
      <c r="K1979" s="155" t="str">
        <f>IFERROR(IF([1]K_Summary!$K$1964 = "", "", [1]K_Summary!$K$1964 ),"")</f>
        <v/>
      </c>
      <c r="L1979" s="155" t="str">
        <f>IFERROR(IF([1]K_Summary!$L$1964 = "", "", [1]K_Summary!$L$1964 ),"")</f>
        <v/>
      </c>
      <c r="M1979" s="155" t="str">
        <f>IFERROR(IF([1]K_Summary!$M$1964 = "", "", [1]K_Summary!$M$1964 ),"")</f>
        <v/>
      </c>
      <c r="N1979" s="156" t="str">
        <f>IFERROR(IF([1]K_Summary!$N$1964 = "", "", [1]K_Summary!$N$1964 ),"")</f>
        <v/>
      </c>
    </row>
    <row r="1980" spans="1:14" ht="15">
      <c r="C1980" s="559"/>
      <c r="D1980" s="706"/>
      <c r="E1980" s="559"/>
      <c r="F1980" s="559"/>
      <c r="G1980" s="559"/>
      <c r="H1980" s="559"/>
      <c r="I1980" s="559"/>
      <c r="J1980" s="559"/>
      <c r="K1980" s="559"/>
      <c r="L1980" s="559"/>
      <c r="M1980" s="559"/>
      <c r="N1980" s="717"/>
    </row>
    <row r="1981" spans="1:14" ht="15">
      <c r="C1981" s="559"/>
      <c r="D1981" s="706"/>
      <c r="E1981" s="496" t="s">
        <v>1762</v>
      </c>
      <c r="F1981" s="485"/>
      <c r="G1981" s="485"/>
      <c r="H1981" s="663" t="s">
        <v>884</v>
      </c>
      <c r="I1981" s="708"/>
      <c r="J1981" s="696">
        <v>2021</v>
      </c>
      <c r="K1981" s="578">
        <v>2022</v>
      </c>
      <c r="L1981" s="578">
        <v>2023</v>
      </c>
      <c r="M1981" s="578">
        <v>2024</v>
      </c>
      <c r="N1981" s="718">
        <v>2025</v>
      </c>
    </row>
    <row r="1982" spans="1:14" ht="15" hidden="1">
      <c r="A1982" s="719" t="s">
        <v>2289</v>
      </c>
      <c r="C1982" s="559"/>
      <c r="D1982" s="706"/>
      <c r="E1982" s="698" t="s">
        <v>1714</v>
      </c>
      <c r="F1982" s="698"/>
      <c r="G1982" s="698"/>
      <c r="H1982" s="63" t="str">
        <f>IFERROR(IF([1]K_Summary!$H$1967 = "", "", [1]K_Summary!$H$1967 ),"")</f>
        <v>tonnes</v>
      </c>
      <c r="I1982" s="698"/>
      <c r="J1982" s="157" t="str">
        <f>IFERROR(IF([1]K_Summary!$J$1967 = "", "", [1]K_Summary!$J$1967 ),"")</f>
        <v/>
      </c>
      <c r="K1982" s="147" t="str">
        <f>IFERROR(IF([1]K_Summary!$K$1967 = "", "", [1]K_Summary!$K$1967 ),"")</f>
        <v/>
      </c>
      <c r="L1982" s="147" t="str">
        <f>IFERROR(IF([1]K_Summary!$L$1967 = "", "", [1]K_Summary!$L$1967 ),"")</f>
        <v/>
      </c>
      <c r="M1982" s="147" t="str">
        <f>IFERROR(IF([1]K_Summary!$M$1967 = "", "", [1]K_Summary!$M$1967 ),"")</f>
        <v/>
      </c>
      <c r="N1982" s="158" t="str">
        <f>IFERROR(IF([1]K_Summary!$N$1967 = "", "", [1]K_Summary!$N$1967 ),"")</f>
        <v/>
      </c>
    </row>
    <row r="1983" spans="1:14" ht="15" hidden="1">
      <c r="A1983" s="719" t="s">
        <v>2289</v>
      </c>
      <c r="C1983" s="559"/>
      <c r="D1983" s="706"/>
      <c r="E1983" s="720" t="s">
        <v>303</v>
      </c>
      <c r="F1983" s="720"/>
      <c r="G1983" s="720"/>
      <c r="H1983" s="721" t="s">
        <v>2090</v>
      </c>
      <c r="I1983" s="722"/>
      <c r="J1983" s="159" t="str">
        <f>IFERROR(IF([1]K_Summary!$J$1968 = "", "", [1]K_Summary!$J$1968 ),"")</f>
        <v/>
      </c>
      <c r="K1983" s="160" t="str">
        <f>IFERROR(IF([1]K_Summary!$K$1968 = "", "", [1]K_Summary!$K$1968 ),"")</f>
        <v/>
      </c>
      <c r="L1983" s="160" t="str">
        <f>IFERROR(IF([1]K_Summary!$L$1968 = "", "", [1]K_Summary!$L$1968 ),"")</f>
        <v/>
      </c>
      <c r="M1983" s="160" t="str">
        <f>IFERROR(IF([1]K_Summary!$M$1968 = "", "", [1]K_Summary!$M$1968 ),"")</f>
        <v/>
      </c>
      <c r="N1983" s="161" t="str">
        <f>IFERROR(IF([1]K_Summary!$N$1968 = "", "", [1]K_Summary!$N$1968 ),"")</f>
        <v/>
      </c>
    </row>
    <row r="1984" spans="1:14" ht="15" hidden="1">
      <c r="A1984" s="719" t="s">
        <v>2289</v>
      </c>
      <c r="C1984" s="559"/>
      <c r="D1984" s="706"/>
      <c r="E1984" s="723" t="s">
        <v>1422</v>
      </c>
      <c r="F1984" s="723"/>
      <c r="G1984" s="723"/>
      <c r="H1984" s="724" t="s">
        <v>2090</v>
      </c>
      <c r="I1984" s="725"/>
      <c r="J1984" s="162" t="str">
        <f>IFERROR(IF([1]K_Summary!$J$1969 = "", "", [1]K_Summary!$J$1969 ),"")</f>
        <v/>
      </c>
      <c r="K1984" s="163" t="str">
        <f>IFERROR(IF([1]K_Summary!$K$1969 = "", "", [1]K_Summary!$K$1969 ),"")</f>
        <v/>
      </c>
      <c r="L1984" s="163" t="str">
        <f>IFERROR(IF([1]K_Summary!$L$1969 = "", "", [1]K_Summary!$L$1969 ),"")</f>
        <v/>
      </c>
      <c r="M1984" s="163" t="str">
        <f>IFERROR(IF([1]K_Summary!$M$1969 = "", "", [1]K_Summary!$M$1969 ),"")</f>
        <v/>
      </c>
      <c r="N1984" s="164" t="str">
        <f>IFERROR(IF([1]K_Summary!$N$1969 = "", "", [1]K_Summary!$N$1969 ),"")</f>
        <v/>
      </c>
    </row>
    <row r="1985" spans="1:14" ht="15" hidden="1">
      <c r="A1985" s="719" t="s">
        <v>2289</v>
      </c>
      <c r="C1985" s="559"/>
      <c r="D1985" s="706"/>
      <c r="E1985" s="723" t="s">
        <v>1390</v>
      </c>
      <c r="F1985" s="723"/>
      <c r="G1985" s="723"/>
      <c r="H1985" s="724" t="s">
        <v>2090</v>
      </c>
      <c r="I1985" s="725"/>
      <c r="J1985" s="162" t="str">
        <f>IFERROR(IF([1]K_Summary!$J$1970 = "", "", [1]K_Summary!$J$1970 ),"")</f>
        <v/>
      </c>
      <c r="K1985" s="163" t="str">
        <f>IFERROR(IF([1]K_Summary!$K$1970 = "", "", [1]K_Summary!$K$1970 ),"")</f>
        <v/>
      </c>
      <c r="L1985" s="163" t="str">
        <f>IFERROR(IF([1]K_Summary!$L$1970 = "", "", [1]K_Summary!$L$1970 ),"")</f>
        <v/>
      </c>
      <c r="M1985" s="163" t="str">
        <f>IFERROR(IF([1]K_Summary!$M$1970 = "", "", [1]K_Summary!$M$1970 ),"")</f>
        <v/>
      </c>
      <c r="N1985" s="164" t="str">
        <f>IFERROR(IF([1]K_Summary!$N$1970 = "", "", [1]K_Summary!$N$1970 ),"")</f>
        <v/>
      </c>
    </row>
    <row r="1986" spans="1:14" ht="15" hidden="1">
      <c r="A1986" s="719" t="s">
        <v>2289</v>
      </c>
      <c r="C1986" s="559"/>
      <c r="D1986" s="706"/>
      <c r="E1986" s="723" t="s">
        <v>1389</v>
      </c>
      <c r="F1986" s="723"/>
      <c r="G1986" s="723"/>
      <c r="H1986" s="726" t="s">
        <v>1021</v>
      </c>
      <c r="I1986" s="725"/>
      <c r="J1986" s="165" t="str">
        <f>IFERROR(IF([1]K_Summary!$J$1971 = "", "", [1]K_Summary!$J$1971 ),"")</f>
        <v/>
      </c>
      <c r="K1986" s="166" t="str">
        <f>IFERROR(IF([1]K_Summary!$K$1971 = "", "", [1]K_Summary!$K$1971 ),"")</f>
        <v/>
      </c>
      <c r="L1986" s="166" t="str">
        <f>IFERROR(IF([1]K_Summary!$L$1971 = "", "", [1]K_Summary!$L$1971 ),"")</f>
        <v/>
      </c>
      <c r="M1986" s="166" t="str">
        <f>IFERROR(IF([1]K_Summary!$M$1971 = "", "", [1]K_Summary!$M$1971 ),"")</f>
        <v/>
      </c>
      <c r="N1986" s="167" t="str">
        <f>IFERROR(IF([1]K_Summary!$N$1971 = "", "", [1]K_Summary!$N$1971 ),"")</f>
        <v/>
      </c>
    </row>
    <row r="1987" spans="1:14" ht="15" hidden="1">
      <c r="A1987" s="719" t="s">
        <v>2289</v>
      </c>
      <c r="C1987" s="559"/>
      <c r="D1987" s="706"/>
      <c r="E1987" s="727" t="s">
        <v>1391</v>
      </c>
      <c r="F1987" s="727"/>
      <c r="G1987" s="727"/>
      <c r="H1987" s="728" t="s">
        <v>1021</v>
      </c>
      <c r="I1987" s="729"/>
      <c r="J1987" s="168" t="str">
        <f>IFERROR(IF([1]K_Summary!$J$1972 = "", "", [1]K_Summary!$J$1972 ),"")</f>
        <v/>
      </c>
      <c r="K1987" s="169" t="str">
        <f>IFERROR(IF([1]K_Summary!$K$1972 = "", "", [1]K_Summary!$K$1972 ),"")</f>
        <v/>
      </c>
      <c r="L1987" s="169" t="str">
        <f>IFERROR(IF([1]K_Summary!$L$1972 = "", "", [1]K_Summary!$L$1972 ),"")</f>
        <v/>
      </c>
      <c r="M1987" s="169" t="str">
        <f>IFERROR(IF([1]K_Summary!$M$1972 = "", "", [1]K_Summary!$M$1972 ),"")</f>
        <v/>
      </c>
      <c r="N1987" s="170" t="str">
        <f>IFERROR(IF([1]K_Summary!$N$1972 = "", "", [1]K_Summary!$N$1972 ),"")</f>
        <v/>
      </c>
    </row>
    <row r="1988" spans="1:14" ht="15">
      <c r="C1988" s="559"/>
      <c r="D1988" s="706"/>
      <c r="E1988" s="698" t="s">
        <v>1671</v>
      </c>
      <c r="F1988" s="698"/>
      <c r="G1988" s="698"/>
      <c r="H1988" s="730" t="s">
        <v>2090</v>
      </c>
      <c r="I1988" s="731"/>
      <c r="J1988" s="148" t="str">
        <f>IFERROR(IF([1]K_Summary!$J$1973 = "", "", [1]K_Summary!$J$1973 ),"")</f>
        <v/>
      </c>
      <c r="K1988" s="150" t="str">
        <f>IFERROR(IF([1]K_Summary!$K$1973 = "", "", [1]K_Summary!$K$1973 ),"")</f>
        <v/>
      </c>
      <c r="L1988" s="150" t="str">
        <f>IFERROR(IF([1]K_Summary!$L$1973 = "", "", [1]K_Summary!$L$1973 ),"")</f>
        <v/>
      </c>
      <c r="M1988" s="150" t="str">
        <f>IFERROR(IF([1]K_Summary!$M$1973 = "", "", [1]K_Summary!$M$1973 ),"")</f>
        <v/>
      </c>
      <c r="N1988" s="171" t="str">
        <f>IFERROR(IF([1]K_Summary!$N$1973 = "", "", [1]K_Summary!$N$1973 ),"")</f>
        <v/>
      </c>
    </row>
    <row r="1989" spans="1:14" ht="15">
      <c r="C1989" s="559"/>
      <c r="D1989" s="706"/>
      <c r="E1989" s="559"/>
      <c r="F1989" s="559"/>
      <c r="G1989" s="559"/>
      <c r="H1989" s="559"/>
      <c r="I1989" s="559"/>
      <c r="J1989" s="559"/>
      <c r="K1989" s="559"/>
      <c r="L1989" s="559"/>
      <c r="M1989" s="559"/>
      <c r="N1989" s="717"/>
    </row>
    <row r="1990" spans="1:14" ht="15">
      <c r="C1990" s="559"/>
      <c r="D1990" s="706"/>
      <c r="E1990" s="707" t="s">
        <v>1752</v>
      </c>
      <c r="F1990" s="637"/>
      <c r="G1990" s="637"/>
      <c r="H1990" s="663" t="s">
        <v>884</v>
      </c>
      <c r="I1990" s="708"/>
      <c r="J1990" s="709">
        <v>2021</v>
      </c>
      <c r="K1990" s="671">
        <v>2022</v>
      </c>
      <c r="L1990" s="671">
        <v>2023</v>
      </c>
      <c r="M1990" s="671">
        <v>2024</v>
      </c>
      <c r="N1990" s="710">
        <v>2025</v>
      </c>
    </row>
    <row r="1991" spans="1:14" ht="15">
      <c r="C1991" s="559"/>
      <c r="D1991" s="706"/>
      <c r="E1991" s="720" t="s">
        <v>1691</v>
      </c>
      <c r="F1991" s="720"/>
      <c r="G1991" s="720"/>
      <c r="H1991" s="67" t="str">
        <f>IFERROR(IF([1]K_Summary!$H$1976 = "", "", [1]K_Summary!$H$1976 ),"")</f>
        <v>tonnes</v>
      </c>
      <c r="I1991" s="733"/>
      <c r="J1991" s="172" t="str">
        <f>IFERROR(IF([1]K_Summary!$J$1976 = "", "", [1]K_Summary!$J$1976 ),"")</f>
        <v/>
      </c>
      <c r="K1991" s="54" t="str">
        <f>IFERROR(IF([1]K_Summary!$K$1976 = "", "", [1]K_Summary!$K$1976 ),"")</f>
        <v/>
      </c>
      <c r="L1991" s="54" t="str">
        <f>IFERROR(IF([1]K_Summary!$L$1976 = "", "", [1]K_Summary!$L$1976 ),"")</f>
        <v/>
      </c>
      <c r="M1991" s="54" t="str">
        <f>IFERROR(IF([1]K_Summary!$M$1976 = "", "", [1]K_Summary!$M$1976 ),"")</f>
        <v/>
      </c>
      <c r="N1991" s="173" t="str">
        <f>IFERROR(IF([1]K_Summary!$N$1976 = "", "", [1]K_Summary!$N$1976 ),"")</f>
        <v/>
      </c>
    </row>
    <row r="1992" spans="1:14" ht="15">
      <c r="C1992" s="559"/>
      <c r="D1992" s="706"/>
      <c r="E1992" s="723" t="s">
        <v>1648</v>
      </c>
      <c r="F1992" s="723"/>
      <c r="G1992" s="723"/>
      <c r="H1992" s="734" t="s">
        <v>1021</v>
      </c>
      <c r="I1992" s="735"/>
      <c r="J1992" s="174" t="str">
        <f>IFERROR(IF([1]K_Summary!$J$1977 = "", "", [1]K_Summary!$J$1977 ),"")</f>
        <v/>
      </c>
      <c r="K1992" s="175" t="str">
        <f>IFERROR(IF([1]K_Summary!$K$1977 = "", "", [1]K_Summary!$K$1977 ),"")</f>
        <v/>
      </c>
      <c r="L1992" s="175" t="str">
        <f>IFERROR(IF([1]K_Summary!$L$1977 = "", "", [1]K_Summary!$L$1977 ),"")</f>
        <v/>
      </c>
      <c r="M1992" s="175" t="str">
        <f>IFERROR(IF([1]K_Summary!$M$1977 = "", "", [1]K_Summary!$M$1977 ),"")</f>
        <v/>
      </c>
      <c r="N1992" s="176" t="str">
        <f>IFERROR(IF([1]K_Summary!$N$1977 = "", "", [1]K_Summary!$N$1977 ),"")</f>
        <v/>
      </c>
    </row>
    <row r="1993" spans="1:14" ht="15">
      <c r="C1993" s="559"/>
      <c r="D1993" s="706"/>
      <c r="E1993" s="736" t="s">
        <v>1850</v>
      </c>
      <c r="F1993" s="736"/>
      <c r="G1993" s="736"/>
      <c r="H1993" s="737" t="s">
        <v>1021</v>
      </c>
      <c r="I1993" s="738"/>
      <c r="J1993" s="177" t="str">
        <f>IFERROR(IF([1]K_Summary!$J$1978 = "", "", [1]K_Summary!$J$1978 ),"")</f>
        <v/>
      </c>
      <c r="K1993" s="178" t="str">
        <f>IFERROR(IF([1]K_Summary!$K$1978 = "", "", [1]K_Summary!$K$1978 ),"")</f>
        <v/>
      </c>
      <c r="L1993" s="178" t="str">
        <f>IFERROR(IF([1]K_Summary!$L$1978 = "", "", [1]K_Summary!$L$1978 ),"")</f>
        <v/>
      </c>
      <c r="M1993" s="178" t="str">
        <f>IFERROR(IF([1]K_Summary!$M$1978 = "", "", [1]K_Summary!$M$1978 ),"")</f>
        <v/>
      </c>
      <c r="N1993" s="179" t="str">
        <f>IFERROR(IF([1]K_Summary!$N$1978 = "", "", [1]K_Summary!$N$1978 ),"")</f>
        <v/>
      </c>
    </row>
    <row r="1994" spans="1:14" ht="15">
      <c r="C1994" s="559"/>
      <c r="D1994" s="706"/>
      <c r="E1994" s="727" t="s">
        <v>1689</v>
      </c>
      <c r="F1994" s="727"/>
      <c r="G1994" s="727"/>
      <c r="H1994" s="68" t="str">
        <f>IFERROR(IF([1]K_Summary!$H$1979 = "", "", [1]K_Summary!$H$1979 ),"")</f>
        <v>tonnes</v>
      </c>
      <c r="I1994" s="727"/>
      <c r="J1994" s="180" t="str">
        <f>IFERROR(IF([1]K_Summary!$J$1979 = "", "", [1]K_Summary!$J$1979 ),"")</f>
        <v/>
      </c>
      <c r="K1994" s="181" t="str">
        <f>IFERROR(IF([1]K_Summary!$K$1979 = "", "", [1]K_Summary!$K$1979 ),"")</f>
        <v/>
      </c>
      <c r="L1994" s="181" t="str">
        <f>IFERROR(IF([1]K_Summary!$L$1979 = "", "", [1]K_Summary!$L$1979 ),"")</f>
        <v/>
      </c>
      <c r="M1994" s="181" t="str">
        <f>IFERROR(IF([1]K_Summary!$M$1979 = "", "", [1]K_Summary!$M$1979 ),"")</f>
        <v/>
      </c>
      <c r="N1994" s="182" t="str">
        <f>IFERROR(IF([1]K_Summary!$N$1979 = "", "", [1]K_Summary!$N$1979 ),"")</f>
        <v/>
      </c>
    </row>
    <row r="1995" spans="1:14" ht="15" hidden="1">
      <c r="A1995" s="719" t="s">
        <v>2289</v>
      </c>
      <c r="C1995" s="559"/>
      <c r="D1995" s="706"/>
      <c r="E1995" s="720" t="s">
        <v>303</v>
      </c>
      <c r="F1995" s="720"/>
      <c r="G1995" s="720"/>
      <c r="H1995" s="721" t="s">
        <v>2090</v>
      </c>
      <c r="I1995" s="722"/>
      <c r="J1995" s="159" t="str">
        <f>IFERROR(IF([1]K_Summary!$J$1980 = "", "", [1]K_Summary!$J$1980 ),"")</f>
        <v/>
      </c>
      <c r="K1995" s="160" t="str">
        <f>IFERROR(IF([1]K_Summary!$K$1980 = "", "", [1]K_Summary!$K$1980 ),"")</f>
        <v/>
      </c>
      <c r="L1995" s="160" t="str">
        <f>IFERROR(IF([1]K_Summary!$L$1980 = "", "", [1]K_Summary!$L$1980 ),"")</f>
        <v/>
      </c>
      <c r="M1995" s="160" t="str">
        <f>IFERROR(IF([1]K_Summary!$M$1980 = "", "", [1]K_Summary!$M$1980 ),"")</f>
        <v/>
      </c>
      <c r="N1995" s="161" t="str">
        <f>IFERROR(IF([1]K_Summary!$N$1980 = "", "", [1]K_Summary!$N$1980 ),"")</f>
        <v/>
      </c>
    </row>
    <row r="1996" spans="1:14" ht="15" hidden="1">
      <c r="A1996" s="719" t="s">
        <v>2289</v>
      </c>
      <c r="C1996" s="559"/>
      <c r="D1996" s="706"/>
      <c r="E1996" s="723" t="s">
        <v>1422</v>
      </c>
      <c r="F1996" s="723"/>
      <c r="G1996" s="723"/>
      <c r="H1996" s="724" t="s">
        <v>2090</v>
      </c>
      <c r="I1996" s="725"/>
      <c r="J1996" s="162" t="str">
        <f>IFERROR(IF([1]K_Summary!$J$1981 = "", "", [1]K_Summary!$J$1981 ),"")</f>
        <v/>
      </c>
      <c r="K1996" s="163" t="str">
        <f>IFERROR(IF([1]K_Summary!$K$1981 = "", "", [1]K_Summary!$K$1981 ),"")</f>
        <v/>
      </c>
      <c r="L1996" s="163" t="str">
        <f>IFERROR(IF([1]K_Summary!$L$1981 = "", "", [1]K_Summary!$L$1981 ),"")</f>
        <v/>
      </c>
      <c r="M1996" s="163" t="str">
        <f>IFERROR(IF([1]K_Summary!$M$1981 = "", "", [1]K_Summary!$M$1981 ),"")</f>
        <v/>
      </c>
      <c r="N1996" s="164" t="str">
        <f>IFERROR(IF([1]K_Summary!$N$1981 = "", "", [1]K_Summary!$N$1981 ),"")</f>
        <v/>
      </c>
    </row>
    <row r="1997" spans="1:14" ht="15" hidden="1">
      <c r="A1997" s="719" t="s">
        <v>2289</v>
      </c>
      <c r="C1997" s="559"/>
      <c r="D1997" s="706"/>
      <c r="E1997" s="723" t="s">
        <v>1390</v>
      </c>
      <c r="F1997" s="723"/>
      <c r="G1997" s="723"/>
      <c r="H1997" s="724" t="s">
        <v>2090</v>
      </c>
      <c r="I1997" s="725"/>
      <c r="J1997" s="162" t="str">
        <f>IFERROR(IF([1]K_Summary!$J$1982 = "", "", [1]K_Summary!$J$1982 ),"")</f>
        <v/>
      </c>
      <c r="K1997" s="163" t="str">
        <f>IFERROR(IF([1]K_Summary!$K$1982 = "", "", [1]K_Summary!$K$1982 ),"")</f>
        <v/>
      </c>
      <c r="L1997" s="163" t="str">
        <f>IFERROR(IF([1]K_Summary!$L$1982 = "", "", [1]K_Summary!$L$1982 ),"")</f>
        <v/>
      </c>
      <c r="M1997" s="163" t="str">
        <f>IFERROR(IF([1]K_Summary!$M$1982 = "", "", [1]K_Summary!$M$1982 ),"")</f>
        <v/>
      </c>
      <c r="N1997" s="164" t="str">
        <f>IFERROR(IF([1]K_Summary!$N$1982 = "", "", [1]K_Summary!$N$1982 ),"")</f>
        <v/>
      </c>
    </row>
    <row r="1998" spans="1:14" ht="15" hidden="1">
      <c r="A1998" s="719" t="s">
        <v>2289</v>
      </c>
      <c r="C1998" s="559"/>
      <c r="D1998" s="706"/>
      <c r="E1998" s="723" t="s">
        <v>1389</v>
      </c>
      <c r="F1998" s="723"/>
      <c r="G1998" s="723"/>
      <c r="H1998" s="726" t="s">
        <v>1021</v>
      </c>
      <c r="I1998" s="725"/>
      <c r="J1998" s="165" t="str">
        <f>IFERROR(IF([1]K_Summary!$J$1983 = "", "", [1]K_Summary!$J$1983 ),"")</f>
        <v/>
      </c>
      <c r="K1998" s="166" t="str">
        <f>IFERROR(IF([1]K_Summary!$K$1983 = "", "", [1]K_Summary!$K$1983 ),"")</f>
        <v/>
      </c>
      <c r="L1998" s="166" t="str">
        <f>IFERROR(IF([1]K_Summary!$L$1983 = "", "", [1]K_Summary!$L$1983 ),"")</f>
        <v/>
      </c>
      <c r="M1998" s="166" t="str">
        <f>IFERROR(IF([1]K_Summary!$M$1983 = "", "", [1]K_Summary!$M$1983 ),"")</f>
        <v/>
      </c>
      <c r="N1998" s="167" t="str">
        <f>IFERROR(IF([1]K_Summary!$N$1983 = "", "", [1]K_Summary!$N$1983 ),"")</f>
        <v/>
      </c>
    </row>
    <row r="1999" spans="1:14" ht="15" hidden="1">
      <c r="A1999" s="719" t="s">
        <v>2289</v>
      </c>
      <c r="C1999" s="559"/>
      <c r="D1999" s="706"/>
      <c r="E1999" s="727" t="s">
        <v>1391</v>
      </c>
      <c r="F1999" s="727"/>
      <c r="G1999" s="727"/>
      <c r="H1999" s="728" t="s">
        <v>1021</v>
      </c>
      <c r="I1999" s="729"/>
      <c r="J1999" s="168" t="str">
        <f>IFERROR(IF([1]K_Summary!$J$1984 = "", "", [1]K_Summary!$J$1984 ),"")</f>
        <v/>
      </c>
      <c r="K1999" s="169" t="str">
        <f>IFERROR(IF([1]K_Summary!$K$1984 = "", "", [1]K_Summary!$K$1984 ),"")</f>
        <v/>
      </c>
      <c r="L1999" s="169" t="str">
        <f>IFERROR(IF([1]K_Summary!$L$1984 = "", "", [1]K_Summary!$L$1984 ),"")</f>
        <v/>
      </c>
      <c r="M1999" s="169" t="str">
        <f>IFERROR(IF([1]K_Summary!$M$1984 = "", "", [1]K_Summary!$M$1984 ),"")</f>
        <v/>
      </c>
      <c r="N1999" s="170" t="str">
        <f>IFERROR(IF([1]K_Summary!$N$1984 = "", "", [1]K_Summary!$N$1984 ),"")</f>
        <v/>
      </c>
    </row>
    <row r="2000" spans="1:14" ht="15">
      <c r="C2000" s="559"/>
      <c r="D2000" s="706"/>
      <c r="E2000" s="698" t="s">
        <v>1671</v>
      </c>
      <c r="F2000" s="698"/>
      <c r="G2000" s="698"/>
      <c r="H2000" s="730" t="s">
        <v>2090</v>
      </c>
      <c r="I2000" s="731"/>
      <c r="J2000" s="148" t="str">
        <f>IFERROR(IF([1]K_Summary!$J$1985 = "", "", [1]K_Summary!$J$1985 ),"")</f>
        <v/>
      </c>
      <c r="K2000" s="150" t="str">
        <f>IFERROR(IF([1]K_Summary!$K$1985 = "", "", [1]K_Summary!$K$1985 ),"")</f>
        <v/>
      </c>
      <c r="L2000" s="150" t="str">
        <f>IFERROR(IF([1]K_Summary!$L$1985 = "", "", [1]K_Summary!$L$1985 ),"")</f>
        <v/>
      </c>
      <c r="M2000" s="150" t="str">
        <f>IFERROR(IF([1]K_Summary!$M$1985 = "", "", [1]K_Summary!$M$1985 ),"")</f>
        <v/>
      </c>
      <c r="N2000" s="171" t="str">
        <f>IFERROR(IF([1]K_Summary!$N$1985 = "", "", [1]K_Summary!$N$1985 ),"")</f>
        <v/>
      </c>
    </row>
    <row r="2001" spans="1:14" ht="15">
      <c r="C2001" s="559"/>
      <c r="D2001" s="706"/>
      <c r="E2001" s="698" t="s">
        <v>1670</v>
      </c>
      <c r="F2001" s="698"/>
      <c r="G2001" s="698"/>
      <c r="H2001" s="730" t="s">
        <v>2090</v>
      </c>
      <c r="I2001" s="731"/>
      <c r="J2001" s="148" t="str">
        <f>IFERROR(IF([1]K_Summary!$J$1986 = "", "", [1]K_Summary!$J$1986 ),"")</f>
        <v/>
      </c>
      <c r="K2001" s="150" t="str">
        <f>IFERROR(IF([1]K_Summary!$K$1986 = "", "", [1]K_Summary!$K$1986 ),"")</f>
        <v/>
      </c>
      <c r="L2001" s="150" t="str">
        <f>IFERROR(IF([1]K_Summary!$L$1986 = "", "", [1]K_Summary!$L$1986 ),"")</f>
        <v/>
      </c>
      <c r="M2001" s="150" t="str">
        <f>IFERROR(IF([1]K_Summary!$M$1986 = "", "", [1]K_Summary!$M$1986 ),"")</f>
        <v/>
      </c>
      <c r="N2001" s="171" t="str">
        <f>IFERROR(IF([1]K_Summary!$N$1986 = "", "", [1]K_Summary!$N$1986 ),"")</f>
        <v/>
      </c>
    </row>
    <row r="2002" spans="1:14" ht="15">
      <c r="C2002" s="559"/>
      <c r="D2002" s="706"/>
      <c r="E2002" s="740" t="s">
        <v>2130</v>
      </c>
      <c r="F2002" s="740"/>
      <c r="G2002" s="740"/>
      <c r="H2002" s="741" t="s">
        <v>1021</v>
      </c>
      <c r="I2002" s="742"/>
      <c r="J2002" s="183" t="str">
        <f>IFERROR(IF([1]K_Summary!$J$1987 = "", "", [1]K_Summary!$J$1987 ),"")</f>
        <v/>
      </c>
      <c r="K2002" s="184" t="str">
        <f>IFERROR(IF([1]K_Summary!$K$1987 = "", "", [1]K_Summary!$K$1987 ),"")</f>
        <v/>
      </c>
      <c r="L2002" s="184" t="str">
        <f>IFERROR(IF([1]K_Summary!$L$1987 = "", "", [1]K_Summary!$L$1987 ),"")</f>
        <v/>
      </c>
      <c r="M2002" s="184" t="str">
        <f>IFERROR(IF([1]K_Summary!$M$1987 = "", "", [1]K_Summary!$M$1987 ),"")</f>
        <v/>
      </c>
      <c r="N2002" s="185" t="str">
        <f>IFERROR(IF([1]K_Summary!$N$1987 = "", "", [1]K_Summary!$N$1987 ),"")</f>
        <v/>
      </c>
    </row>
    <row r="2003" spans="1:14" ht="15">
      <c r="C2003" s="559"/>
      <c r="D2003" s="706"/>
      <c r="E2003" s="485"/>
      <c r="F2003" s="485"/>
      <c r="G2003" s="485"/>
      <c r="H2003" s="485"/>
      <c r="I2003" s="743"/>
      <c r="J2003" s="485"/>
      <c r="K2003" s="485"/>
      <c r="L2003" s="485"/>
      <c r="M2003" s="485"/>
      <c r="N2003" s="744"/>
    </row>
    <row r="2004" spans="1:14" ht="15">
      <c r="C2004" s="559"/>
      <c r="D2004" s="706"/>
      <c r="E2004" s="707" t="s">
        <v>1753</v>
      </c>
      <c r="F2004" s="637"/>
      <c r="G2004" s="637"/>
      <c r="H2004" s="663" t="s">
        <v>884</v>
      </c>
      <c r="I2004" s="708"/>
      <c r="J2004" s="709">
        <v>2021</v>
      </c>
      <c r="K2004" s="671">
        <v>2022</v>
      </c>
      <c r="L2004" s="671">
        <v>2023</v>
      </c>
      <c r="M2004" s="671">
        <v>2024</v>
      </c>
      <c r="N2004" s="710">
        <v>2025</v>
      </c>
    </row>
    <row r="2005" spans="1:14" ht="15" hidden="1">
      <c r="A2005" s="719" t="s">
        <v>2289</v>
      </c>
      <c r="C2005" s="559"/>
      <c r="D2005" s="706"/>
      <c r="E2005" s="698" t="s">
        <v>1714</v>
      </c>
      <c r="F2005" s="698"/>
      <c r="G2005" s="698"/>
      <c r="H2005" s="63" t="str">
        <f>IFERROR(IF([1]K_Summary!$H$1990 = "", "", [1]K_Summary!$H$1990 ),"")</f>
        <v>tonnes</v>
      </c>
      <c r="I2005" s="698"/>
      <c r="J2005" s="157" t="str">
        <f>IFERROR(IF([1]K_Summary!$J$1990 = "", "", [1]K_Summary!$J$1990 ),"")</f>
        <v/>
      </c>
      <c r="K2005" s="147" t="str">
        <f>IFERROR(IF([1]K_Summary!$K$1990 = "", "", [1]K_Summary!$K$1990 ),"")</f>
        <v/>
      </c>
      <c r="L2005" s="147" t="str">
        <f>IFERROR(IF([1]K_Summary!$L$1990 = "", "", [1]K_Summary!$L$1990 ),"")</f>
        <v/>
      </c>
      <c r="M2005" s="147" t="str">
        <f>IFERROR(IF([1]K_Summary!$M$1990 = "", "", [1]K_Summary!$M$1990 ),"")</f>
        <v/>
      </c>
      <c r="N2005" s="158" t="str">
        <f>IFERROR(IF([1]K_Summary!$N$1990 = "", "", [1]K_Summary!$N$1990 ),"")</f>
        <v/>
      </c>
    </row>
    <row r="2006" spans="1:14" ht="15" hidden="1">
      <c r="A2006" s="719" t="s">
        <v>2289</v>
      </c>
      <c r="C2006" s="559"/>
      <c r="D2006" s="706"/>
      <c r="E2006" s="720" t="s">
        <v>303</v>
      </c>
      <c r="F2006" s="720"/>
      <c r="G2006" s="720"/>
      <c r="H2006" s="721" t="s">
        <v>2090</v>
      </c>
      <c r="I2006" s="722"/>
      <c r="J2006" s="159" t="str">
        <f>IFERROR(IF([1]K_Summary!$J$1991 = "", "", [1]K_Summary!$J$1991 ),"")</f>
        <v/>
      </c>
      <c r="K2006" s="160" t="str">
        <f>IFERROR(IF([1]K_Summary!$K$1991 = "", "", [1]K_Summary!$K$1991 ),"")</f>
        <v/>
      </c>
      <c r="L2006" s="160" t="str">
        <f>IFERROR(IF([1]K_Summary!$L$1991 = "", "", [1]K_Summary!$L$1991 ),"")</f>
        <v/>
      </c>
      <c r="M2006" s="160" t="str">
        <f>IFERROR(IF([1]K_Summary!$M$1991 = "", "", [1]K_Summary!$M$1991 ),"")</f>
        <v/>
      </c>
      <c r="N2006" s="161" t="str">
        <f>IFERROR(IF([1]K_Summary!$N$1991 = "", "", [1]K_Summary!$N$1991 ),"")</f>
        <v/>
      </c>
    </row>
    <row r="2007" spans="1:14" ht="15" hidden="1">
      <c r="A2007" s="719" t="s">
        <v>2289</v>
      </c>
      <c r="C2007" s="559"/>
      <c r="D2007" s="706"/>
      <c r="E2007" s="723" t="s">
        <v>1422</v>
      </c>
      <c r="F2007" s="723"/>
      <c r="G2007" s="723"/>
      <c r="H2007" s="724" t="s">
        <v>2090</v>
      </c>
      <c r="I2007" s="725"/>
      <c r="J2007" s="162" t="str">
        <f>IFERROR(IF([1]K_Summary!$J$1992 = "", "", [1]K_Summary!$J$1992 ),"")</f>
        <v/>
      </c>
      <c r="K2007" s="163" t="str">
        <f>IFERROR(IF([1]K_Summary!$K$1992 = "", "", [1]K_Summary!$K$1992 ),"")</f>
        <v/>
      </c>
      <c r="L2007" s="163" t="str">
        <f>IFERROR(IF([1]K_Summary!$L$1992 = "", "", [1]K_Summary!$L$1992 ),"")</f>
        <v/>
      </c>
      <c r="M2007" s="163" t="str">
        <f>IFERROR(IF([1]K_Summary!$M$1992 = "", "", [1]K_Summary!$M$1992 ),"")</f>
        <v/>
      </c>
      <c r="N2007" s="164" t="str">
        <f>IFERROR(IF([1]K_Summary!$N$1992 = "", "", [1]K_Summary!$N$1992 ),"")</f>
        <v/>
      </c>
    </row>
    <row r="2008" spans="1:14" ht="15" hidden="1">
      <c r="A2008" s="719" t="s">
        <v>2289</v>
      </c>
      <c r="C2008" s="559"/>
      <c r="D2008" s="706"/>
      <c r="E2008" s="745" t="s">
        <v>1390</v>
      </c>
      <c r="F2008" s="745"/>
      <c r="G2008" s="745"/>
      <c r="H2008" s="746" t="s">
        <v>2090</v>
      </c>
      <c r="I2008" s="747"/>
      <c r="J2008" s="186" t="str">
        <f>IFERROR(IF([1]K_Summary!$J$1993 = "", "", [1]K_Summary!$J$1993 ),"")</f>
        <v/>
      </c>
      <c r="K2008" s="187" t="str">
        <f>IFERROR(IF([1]K_Summary!$K$1993 = "", "", [1]K_Summary!$K$1993 ),"")</f>
        <v/>
      </c>
      <c r="L2008" s="187" t="str">
        <f>IFERROR(IF([1]K_Summary!$L$1993 = "", "", [1]K_Summary!$L$1993 ),"")</f>
        <v/>
      </c>
      <c r="M2008" s="187" t="str">
        <f>IFERROR(IF([1]K_Summary!$M$1993 = "", "", [1]K_Summary!$M$1993 ),"")</f>
        <v/>
      </c>
      <c r="N2008" s="188" t="str">
        <f>IFERROR(IF([1]K_Summary!$N$1993 = "", "", [1]K_Summary!$N$1993 ),"")</f>
        <v/>
      </c>
    </row>
    <row r="2009" spans="1:14" ht="15">
      <c r="C2009" s="559"/>
      <c r="D2009" s="706"/>
      <c r="E2009" s="720" t="s">
        <v>1691</v>
      </c>
      <c r="F2009" s="720"/>
      <c r="G2009" s="720"/>
      <c r="H2009" s="748" t="s">
        <v>1021</v>
      </c>
      <c r="I2009" s="722"/>
      <c r="J2009" s="189" t="str">
        <f>IFERROR(IF([1]K_Summary!$J$1994 = "", "", [1]K_Summary!$J$1994 ),"")</f>
        <v/>
      </c>
      <c r="K2009" s="190" t="str">
        <f>IFERROR(IF([1]K_Summary!$K$1994 = "", "", [1]K_Summary!$K$1994 ),"")</f>
        <v/>
      </c>
      <c r="L2009" s="190" t="str">
        <f>IFERROR(IF([1]K_Summary!$L$1994 = "", "", [1]K_Summary!$L$1994 ),"")</f>
        <v/>
      </c>
      <c r="M2009" s="190" t="str">
        <f>IFERROR(IF([1]K_Summary!$M$1994 = "", "", [1]K_Summary!$M$1994 ),"")</f>
        <v/>
      </c>
      <c r="N2009" s="191" t="str">
        <f>IFERROR(IF([1]K_Summary!$N$1994 = "", "", [1]K_Summary!$N$1994 ),"")</f>
        <v/>
      </c>
    </row>
    <row r="2010" spans="1:14" ht="15">
      <c r="C2010" s="559"/>
      <c r="D2010" s="706"/>
      <c r="E2010" s="723" t="s">
        <v>1648</v>
      </c>
      <c r="F2010" s="723"/>
      <c r="G2010" s="723"/>
      <c r="H2010" s="734" t="s">
        <v>1021</v>
      </c>
      <c r="I2010" s="735"/>
      <c r="J2010" s="174" t="str">
        <f>IFERROR(IF([1]K_Summary!$J$1995 = "", "", [1]K_Summary!$J$1995 ),"")</f>
        <v/>
      </c>
      <c r="K2010" s="175" t="str">
        <f>IFERROR(IF([1]K_Summary!$K$1995 = "", "", [1]K_Summary!$K$1995 ),"")</f>
        <v/>
      </c>
      <c r="L2010" s="175" t="str">
        <f>IFERROR(IF([1]K_Summary!$L$1995 = "", "", [1]K_Summary!$L$1995 ),"")</f>
        <v/>
      </c>
      <c r="M2010" s="175" t="str">
        <f>IFERROR(IF([1]K_Summary!$M$1995 = "", "", [1]K_Summary!$M$1995 ),"")</f>
        <v/>
      </c>
      <c r="N2010" s="176" t="str">
        <f>IFERROR(IF([1]K_Summary!$N$1995 = "", "", [1]K_Summary!$N$1995 ),"")</f>
        <v/>
      </c>
    </row>
    <row r="2011" spans="1:14" ht="15">
      <c r="C2011" s="559"/>
      <c r="D2011" s="706"/>
      <c r="E2011" s="736" t="s">
        <v>1852</v>
      </c>
      <c r="F2011" s="736"/>
      <c r="G2011" s="736"/>
      <c r="H2011" s="737" t="s">
        <v>1021</v>
      </c>
      <c r="I2011" s="738"/>
      <c r="J2011" s="177" t="str">
        <f>IFERROR(IF([1]K_Summary!$J$1996 = "", "", [1]K_Summary!$J$1996 ),"")</f>
        <v/>
      </c>
      <c r="K2011" s="178" t="str">
        <f>IFERROR(IF([1]K_Summary!$K$1996 = "", "", [1]K_Summary!$K$1996 ),"")</f>
        <v/>
      </c>
      <c r="L2011" s="178" t="str">
        <f>IFERROR(IF([1]K_Summary!$L$1996 = "", "", [1]K_Summary!$L$1996 ),"")</f>
        <v/>
      </c>
      <c r="M2011" s="178" t="str">
        <f>IFERROR(IF([1]K_Summary!$M$1996 = "", "", [1]K_Summary!$M$1996 ),"")</f>
        <v/>
      </c>
      <c r="N2011" s="179" t="str">
        <f>IFERROR(IF([1]K_Summary!$N$1996 = "", "", [1]K_Summary!$N$1996 ),"")</f>
        <v/>
      </c>
    </row>
    <row r="2012" spans="1:14" ht="15">
      <c r="C2012" s="559"/>
      <c r="D2012" s="706"/>
      <c r="E2012" s="727" t="s">
        <v>1689</v>
      </c>
      <c r="F2012" s="727"/>
      <c r="G2012" s="727"/>
      <c r="H2012" s="749" t="s">
        <v>1021</v>
      </c>
      <c r="I2012" s="727"/>
      <c r="J2012" s="192" t="str">
        <f>IFERROR(IF([1]K_Summary!$J$1997 = "", "", [1]K_Summary!$J$1997 ),"")</f>
        <v/>
      </c>
      <c r="K2012" s="193" t="str">
        <f>IFERROR(IF([1]K_Summary!$K$1997 = "", "", [1]K_Summary!$K$1997 ),"")</f>
        <v/>
      </c>
      <c r="L2012" s="193" t="str">
        <f>IFERROR(IF([1]K_Summary!$L$1997 = "", "", [1]K_Summary!$L$1997 ),"")</f>
        <v/>
      </c>
      <c r="M2012" s="193" t="str">
        <f>IFERROR(IF([1]K_Summary!$M$1997 = "", "", [1]K_Summary!$M$1997 ),"")</f>
        <v/>
      </c>
      <c r="N2012" s="194" t="str">
        <f>IFERROR(IF([1]K_Summary!$N$1997 = "", "", [1]K_Summary!$N$1997 ),"")</f>
        <v/>
      </c>
    </row>
    <row r="2013" spans="1:14" ht="15" hidden="1">
      <c r="A2013" s="719" t="s">
        <v>2289</v>
      </c>
      <c r="C2013" s="559"/>
      <c r="D2013" s="706"/>
      <c r="E2013" s="727" t="s">
        <v>1391</v>
      </c>
      <c r="F2013" s="727"/>
      <c r="G2013" s="727"/>
      <c r="H2013" s="750" t="s">
        <v>1021</v>
      </c>
      <c r="I2013" s="729"/>
      <c r="J2013" s="168" t="str">
        <f>IFERROR(IF([1]K_Summary!$J$1998 = "", "", [1]K_Summary!$J$1998 ),"")</f>
        <v/>
      </c>
      <c r="K2013" s="169" t="str">
        <f>IFERROR(IF([1]K_Summary!$K$1998 = "", "", [1]K_Summary!$K$1998 ),"")</f>
        <v/>
      </c>
      <c r="L2013" s="169" t="str">
        <f>IFERROR(IF([1]K_Summary!$L$1998 = "", "", [1]K_Summary!$L$1998 ),"")</f>
        <v/>
      </c>
      <c r="M2013" s="169" t="str">
        <f>IFERROR(IF([1]K_Summary!$M$1998 = "", "", [1]K_Summary!$M$1998 ),"")</f>
        <v/>
      </c>
      <c r="N2013" s="170" t="str">
        <f>IFERROR(IF([1]K_Summary!$N$1998 = "", "", [1]K_Summary!$N$1998 ),"")</f>
        <v/>
      </c>
    </row>
    <row r="2014" spans="1:14" ht="15">
      <c r="C2014" s="559"/>
      <c r="D2014" s="706"/>
      <c r="E2014" s="698" t="s">
        <v>1671</v>
      </c>
      <c r="F2014" s="698"/>
      <c r="G2014" s="698"/>
      <c r="H2014" s="730" t="s">
        <v>2090</v>
      </c>
      <c r="I2014" s="731"/>
      <c r="J2014" s="148" t="str">
        <f>IFERROR(IF([1]K_Summary!$J$1999 = "", "", [1]K_Summary!$J$1999 ),"")</f>
        <v/>
      </c>
      <c r="K2014" s="150" t="str">
        <f>IFERROR(IF([1]K_Summary!$K$1999 = "", "", [1]K_Summary!$K$1999 ),"")</f>
        <v/>
      </c>
      <c r="L2014" s="150" t="str">
        <f>IFERROR(IF([1]K_Summary!$L$1999 = "", "", [1]K_Summary!$L$1999 ),"")</f>
        <v/>
      </c>
      <c r="M2014" s="150" t="str">
        <f>IFERROR(IF([1]K_Summary!$M$1999 = "", "", [1]K_Summary!$M$1999 ),"")</f>
        <v/>
      </c>
      <c r="N2014" s="171" t="str">
        <f>IFERROR(IF([1]K_Summary!$N$1999 = "", "", [1]K_Summary!$N$1999 ),"")</f>
        <v/>
      </c>
    </row>
    <row r="2015" spans="1:14" ht="15">
      <c r="C2015" s="559"/>
      <c r="D2015" s="706"/>
      <c r="E2015" s="698" t="s">
        <v>1670</v>
      </c>
      <c r="F2015" s="698"/>
      <c r="G2015" s="698"/>
      <c r="H2015" s="730" t="s">
        <v>2090</v>
      </c>
      <c r="I2015" s="731"/>
      <c r="J2015" s="148" t="str">
        <f>IFERROR(IF([1]K_Summary!$J$2000 = "", "", [1]K_Summary!$J$2000 ),"")</f>
        <v/>
      </c>
      <c r="K2015" s="150" t="str">
        <f>IFERROR(IF([1]K_Summary!$K$2000 = "", "", [1]K_Summary!$K$2000 ),"")</f>
        <v/>
      </c>
      <c r="L2015" s="150" t="str">
        <f>IFERROR(IF([1]K_Summary!$L$2000 = "", "", [1]K_Summary!$L$2000 ),"")</f>
        <v/>
      </c>
      <c r="M2015" s="150" t="str">
        <f>IFERROR(IF([1]K_Summary!$M$2000 = "", "", [1]K_Summary!$M$2000 ),"")</f>
        <v/>
      </c>
      <c r="N2015" s="171" t="str">
        <f>IFERROR(IF([1]K_Summary!$N$2000 = "", "", [1]K_Summary!$N$2000 ),"")</f>
        <v/>
      </c>
    </row>
    <row r="2016" spans="1:14" ht="15">
      <c r="C2016" s="559"/>
      <c r="D2016" s="706"/>
      <c r="E2016" s="740" t="s">
        <v>2131</v>
      </c>
      <c r="F2016" s="740"/>
      <c r="G2016" s="740"/>
      <c r="H2016" s="741" t="s">
        <v>1021</v>
      </c>
      <c r="I2016" s="742"/>
      <c r="J2016" s="183" t="str">
        <f>IFERROR(IF([1]K_Summary!$J$2001 = "", "", [1]K_Summary!$J$2001 ),"")</f>
        <v/>
      </c>
      <c r="K2016" s="184" t="str">
        <f>IFERROR(IF([1]K_Summary!$K$2001 = "", "", [1]K_Summary!$K$2001 ),"")</f>
        <v/>
      </c>
      <c r="L2016" s="184" t="str">
        <f>IFERROR(IF([1]K_Summary!$L$2001 = "", "", [1]K_Summary!$L$2001 ),"")</f>
        <v/>
      </c>
      <c r="M2016" s="184" t="str">
        <f>IFERROR(IF([1]K_Summary!$M$2001 = "", "", [1]K_Summary!$M$2001 ),"")</f>
        <v/>
      </c>
      <c r="N2016" s="185" t="str">
        <f>IFERROR(IF([1]K_Summary!$N$2001 = "", "", [1]K_Summary!$N$2001 ),"")</f>
        <v/>
      </c>
    </row>
    <row r="2017" spans="1:14" ht="15">
      <c r="C2017" s="559"/>
      <c r="D2017" s="706"/>
      <c r="E2017" s="485"/>
      <c r="F2017" s="485"/>
      <c r="G2017" s="485"/>
      <c r="H2017" s="485"/>
      <c r="I2017" s="743"/>
      <c r="J2017" s="485"/>
      <c r="K2017" s="485"/>
      <c r="L2017" s="485"/>
      <c r="M2017" s="485"/>
      <c r="N2017" s="744"/>
    </row>
    <row r="2018" spans="1:14" ht="15">
      <c r="C2018" s="559"/>
      <c r="D2018" s="706"/>
      <c r="E2018" s="707" t="s">
        <v>1754</v>
      </c>
      <c r="F2018" s="637"/>
      <c r="G2018" s="637"/>
      <c r="H2018" s="663" t="s">
        <v>884</v>
      </c>
      <c r="I2018" s="708"/>
      <c r="J2018" s="709">
        <v>2021</v>
      </c>
      <c r="K2018" s="671">
        <v>2022</v>
      </c>
      <c r="L2018" s="671">
        <v>2023</v>
      </c>
      <c r="M2018" s="671">
        <v>2024</v>
      </c>
      <c r="N2018" s="710">
        <v>2025</v>
      </c>
    </row>
    <row r="2019" spans="1:14" ht="15" hidden="1">
      <c r="A2019" s="719" t="s">
        <v>2289</v>
      </c>
      <c r="C2019" s="559"/>
      <c r="D2019" s="706"/>
      <c r="E2019" s="698" t="s">
        <v>1714</v>
      </c>
      <c r="F2019" s="698"/>
      <c r="G2019" s="698"/>
      <c r="H2019" s="63" t="str">
        <f>IFERROR(IF([1]K_Summary!$H$2004 = "", "", [1]K_Summary!$H$2004 ),"")</f>
        <v>tonnes</v>
      </c>
      <c r="I2019" s="698"/>
      <c r="J2019" s="157" t="str">
        <f>IFERROR(IF([1]K_Summary!$J$2004 = "", "", [1]K_Summary!$J$2004 ),"")</f>
        <v/>
      </c>
      <c r="K2019" s="147" t="str">
        <f>IFERROR(IF([1]K_Summary!$K$2004 = "", "", [1]K_Summary!$K$2004 ),"")</f>
        <v/>
      </c>
      <c r="L2019" s="147" t="str">
        <f>IFERROR(IF([1]K_Summary!$L$2004 = "", "", [1]K_Summary!$L$2004 ),"")</f>
        <v/>
      </c>
      <c r="M2019" s="147" t="str">
        <f>IFERROR(IF([1]K_Summary!$M$2004 = "", "", [1]K_Summary!$M$2004 ),"")</f>
        <v/>
      </c>
      <c r="N2019" s="158" t="str">
        <f>IFERROR(IF([1]K_Summary!$N$2004 = "", "", [1]K_Summary!$N$2004 ),"")</f>
        <v/>
      </c>
    </row>
    <row r="2020" spans="1:14" ht="15">
      <c r="C2020" s="559"/>
      <c r="D2020" s="706"/>
      <c r="E2020" s="720" t="s">
        <v>1691</v>
      </c>
      <c r="F2020" s="720"/>
      <c r="G2020" s="720"/>
      <c r="H2020" s="748" t="s">
        <v>2090</v>
      </c>
      <c r="I2020" s="722"/>
      <c r="J2020" s="172" t="str">
        <f>IFERROR(IF([1]K_Summary!$J$2005 = "", "", [1]K_Summary!$J$2005 ),"")</f>
        <v/>
      </c>
      <c r="K2020" s="54" t="str">
        <f>IFERROR(IF([1]K_Summary!$K$2005 = "", "", [1]K_Summary!$K$2005 ),"")</f>
        <v/>
      </c>
      <c r="L2020" s="54" t="str">
        <f>IFERROR(IF([1]K_Summary!$L$2005 = "", "", [1]K_Summary!$L$2005 ),"")</f>
        <v/>
      </c>
      <c r="M2020" s="54" t="str">
        <f>IFERROR(IF([1]K_Summary!$M$2005 = "", "", [1]K_Summary!$M$2005 ),"")</f>
        <v/>
      </c>
      <c r="N2020" s="173" t="str">
        <f>IFERROR(IF([1]K_Summary!$N$2005 = "", "", [1]K_Summary!$N$2005 ),"")</f>
        <v/>
      </c>
    </row>
    <row r="2021" spans="1:14" ht="15">
      <c r="C2021" s="559"/>
      <c r="D2021" s="706"/>
      <c r="E2021" s="723" t="s">
        <v>1648</v>
      </c>
      <c r="F2021" s="723"/>
      <c r="G2021" s="723"/>
      <c r="H2021" s="734" t="s">
        <v>1021</v>
      </c>
      <c r="I2021" s="735"/>
      <c r="J2021" s="174" t="str">
        <f>IFERROR(IF([1]K_Summary!$J$2006 = "", "", [1]K_Summary!$J$2006 ),"")</f>
        <v/>
      </c>
      <c r="K2021" s="175" t="str">
        <f>IFERROR(IF([1]K_Summary!$K$2006 = "", "", [1]K_Summary!$K$2006 ),"")</f>
        <v/>
      </c>
      <c r="L2021" s="175" t="str">
        <f>IFERROR(IF([1]K_Summary!$L$2006 = "", "", [1]K_Summary!$L$2006 ),"")</f>
        <v/>
      </c>
      <c r="M2021" s="175" t="str">
        <f>IFERROR(IF([1]K_Summary!$M$2006 = "", "", [1]K_Summary!$M$2006 ),"")</f>
        <v/>
      </c>
      <c r="N2021" s="176" t="str">
        <f>IFERROR(IF([1]K_Summary!$N$2006 = "", "", [1]K_Summary!$N$2006 ),"")</f>
        <v/>
      </c>
    </row>
    <row r="2022" spans="1:14" ht="15">
      <c r="C2022" s="559"/>
      <c r="D2022" s="706"/>
      <c r="E2022" s="736" t="s">
        <v>1853</v>
      </c>
      <c r="F2022" s="736"/>
      <c r="G2022" s="736"/>
      <c r="H2022" s="737" t="s">
        <v>1021</v>
      </c>
      <c r="I2022" s="738"/>
      <c r="J2022" s="177" t="str">
        <f>IFERROR(IF([1]K_Summary!$J$2007 = "", "", [1]K_Summary!$J$2007 ),"")</f>
        <v/>
      </c>
      <c r="K2022" s="178" t="str">
        <f>IFERROR(IF([1]K_Summary!$K$2007 = "", "", [1]K_Summary!$K$2007 ),"")</f>
        <v/>
      </c>
      <c r="L2022" s="178" t="str">
        <f>IFERROR(IF([1]K_Summary!$L$2007 = "", "", [1]K_Summary!$L$2007 ),"")</f>
        <v/>
      </c>
      <c r="M2022" s="178" t="str">
        <f>IFERROR(IF([1]K_Summary!$M$2007 = "", "", [1]K_Summary!$M$2007 ),"")</f>
        <v/>
      </c>
      <c r="N2022" s="179" t="str">
        <f>IFERROR(IF([1]K_Summary!$N$2007 = "", "", [1]K_Summary!$N$2007 ),"")</f>
        <v/>
      </c>
    </row>
    <row r="2023" spans="1:14" ht="15">
      <c r="C2023" s="559"/>
      <c r="D2023" s="706"/>
      <c r="E2023" s="727" t="s">
        <v>1689</v>
      </c>
      <c r="F2023" s="727"/>
      <c r="G2023" s="727"/>
      <c r="H2023" s="749" t="s">
        <v>2090</v>
      </c>
      <c r="I2023" s="727"/>
      <c r="J2023" s="180" t="str">
        <f>IFERROR(IF([1]K_Summary!$J$2008 = "", "", [1]K_Summary!$J$2008 ),"")</f>
        <v/>
      </c>
      <c r="K2023" s="181" t="str">
        <f>IFERROR(IF([1]K_Summary!$K$2008 = "", "", [1]K_Summary!$K$2008 ),"")</f>
        <v/>
      </c>
      <c r="L2023" s="181" t="str">
        <f>IFERROR(IF([1]K_Summary!$L$2008 = "", "", [1]K_Summary!$L$2008 ),"")</f>
        <v/>
      </c>
      <c r="M2023" s="181" t="str">
        <f>IFERROR(IF([1]K_Summary!$M$2008 = "", "", [1]K_Summary!$M$2008 ),"")</f>
        <v/>
      </c>
      <c r="N2023" s="182" t="str">
        <f>IFERROR(IF([1]K_Summary!$N$2008 = "", "", [1]K_Summary!$N$2008 ),"")</f>
        <v/>
      </c>
    </row>
    <row r="2024" spans="1:14" ht="15" hidden="1">
      <c r="A2024" s="719" t="s">
        <v>2289</v>
      </c>
      <c r="C2024" s="559"/>
      <c r="D2024" s="706"/>
      <c r="E2024" s="723" t="s">
        <v>1422</v>
      </c>
      <c r="F2024" s="723"/>
      <c r="G2024" s="723"/>
      <c r="H2024" s="724" t="s">
        <v>2090</v>
      </c>
      <c r="I2024" s="725"/>
      <c r="J2024" s="162" t="str">
        <f>IFERROR(IF([1]K_Summary!$J$2009 = "", "", [1]K_Summary!$J$2009 ),"")</f>
        <v/>
      </c>
      <c r="K2024" s="163" t="str">
        <f>IFERROR(IF([1]K_Summary!$K$2009 = "", "", [1]K_Summary!$K$2009 ),"")</f>
        <v/>
      </c>
      <c r="L2024" s="163" t="str">
        <f>IFERROR(IF([1]K_Summary!$L$2009 = "", "", [1]K_Summary!$L$2009 ),"")</f>
        <v/>
      </c>
      <c r="M2024" s="163" t="str">
        <f>IFERROR(IF([1]K_Summary!$M$2009 = "", "", [1]K_Summary!$M$2009 ),"")</f>
        <v/>
      </c>
      <c r="N2024" s="164" t="str">
        <f>IFERROR(IF([1]K_Summary!$N$2009 = "", "", [1]K_Summary!$N$2009 ),"")</f>
        <v/>
      </c>
    </row>
    <row r="2025" spans="1:14" ht="15" hidden="1">
      <c r="A2025" s="719" t="s">
        <v>2289</v>
      </c>
      <c r="C2025" s="559"/>
      <c r="D2025" s="706"/>
      <c r="E2025" s="723" t="s">
        <v>1390</v>
      </c>
      <c r="F2025" s="723"/>
      <c r="G2025" s="723"/>
      <c r="H2025" s="724" t="s">
        <v>2090</v>
      </c>
      <c r="I2025" s="725"/>
      <c r="J2025" s="162" t="str">
        <f>IFERROR(IF([1]K_Summary!$J$2010 = "", "", [1]K_Summary!$J$2010 ),"")</f>
        <v/>
      </c>
      <c r="K2025" s="163" t="str">
        <f>IFERROR(IF([1]K_Summary!$K$2010 = "", "", [1]K_Summary!$K$2010 ),"")</f>
        <v/>
      </c>
      <c r="L2025" s="163" t="str">
        <f>IFERROR(IF([1]K_Summary!$L$2010 = "", "", [1]K_Summary!$L$2010 ),"")</f>
        <v/>
      </c>
      <c r="M2025" s="163" t="str">
        <f>IFERROR(IF([1]K_Summary!$M$2010 = "", "", [1]K_Summary!$M$2010 ),"")</f>
        <v/>
      </c>
      <c r="N2025" s="164" t="str">
        <f>IFERROR(IF([1]K_Summary!$N$2010 = "", "", [1]K_Summary!$N$2010 ),"")</f>
        <v/>
      </c>
    </row>
    <row r="2026" spans="1:14" ht="15" hidden="1">
      <c r="A2026" s="719" t="s">
        <v>2289</v>
      </c>
      <c r="C2026" s="559"/>
      <c r="D2026" s="706"/>
      <c r="E2026" s="723" t="s">
        <v>1389</v>
      </c>
      <c r="F2026" s="723"/>
      <c r="G2026" s="723"/>
      <c r="H2026" s="726" t="s">
        <v>1021</v>
      </c>
      <c r="I2026" s="725"/>
      <c r="J2026" s="165" t="str">
        <f>IFERROR(IF([1]K_Summary!$J$2011 = "", "", [1]K_Summary!$J$2011 ),"")</f>
        <v/>
      </c>
      <c r="K2026" s="166" t="str">
        <f>IFERROR(IF([1]K_Summary!$K$2011 = "", "", [1]K_Summary!$K$2011 ),"")</f>
        <v/>
      </c>
      <c r="L2026" s="166" t="str">
        <f>IFERROR(IF([1]K_Summary!$L$2011 = "", "", [1]K_Summary!$L$2011 ),"")</f>
        <v/>
      </c>
      <c r="M2026" s="166" t="str">
        <f>IFERROR(IF([1]K_Summary!$M$2011 = "", "", [1]K_Summary!$M$2011 ),"")</f>
        <v/>
      </c>
      <c r="N2026" s="167" t="str">
        <f>IFERROR(IF([1]K_Summary!$N$2011 = "", "", [1]K_Summary!$N$2011 ),"")</f>
        <v/>
      </c>
    </row>
    <row r="2027" spans="1:14" ht="15" hidden="1">
      <c r="A2027" s="719" t="s">
        <v>2289</v>
      </c>
      <c r="C2027" s="559"/>
      <c r="D2027" s="706"/>
      <c r="E2027" s="727" t="s">
        <v>1391</v>
      </c>
      <c r="F2027" s="727"/>
      <c r="G2027" s="727"/>
      <c r="H2027" s="728" t="s">
        <v>1021</v>
      </c>
      <c r="I2027" s="729"/>
      <c r="J2027" s="168" t="str">
        <f>IFERROR(IF([1]K_Summary!$J$2012 = "", "", [1]K_Summary!$J$2012 ),"")</f>
        <v/>
      </c>
      <c r="K2027" s="169" t="str">
        <f>IFERROR(IF([1]K_Summary!$K$2012 = "", "", [1]K_Summary!$K$2012 ),"")</f>
        <v/>
      </c>
      <c r="L2027" s="169" t="str">
        <f>IFERROR(IF([1]K_Summary!$L$2012 = "", "", [1]K_Summary!$L$2012 ),"")</f>
        <v/>
      </c>
      <c r="M2027" s="169" t="str">
        <f>IFERROR(IF([1]K_Summary!$M$2012 = "", "", [1]K_Summary!$M$2012 ),"")</f>
        <v/>
      </c>
      <c r="N2027" s="170" t="str">
        <f>IFERROR(IF([1]K_Summary!$N$2012 = "", "", [1]K_Summary!$N$2012 ),"")</f>
        <v/>
      </c>
    </row>
    <row r="2028" spans="1:14" ht="15">
      <c r="C2028" s="559"/>
      <c r="D2028" s="706"/>
      <c r="E2028" s="698" t="s">
        <v>1671</v>
      </c>
      <c r="F2028" s="698"/>
      <c r="G2028" s="698"/>
      <c r="H2028" s="730" t="s">
        <v>2090</v>
      </c>
      <c r="I2028" s="731"/>
      <c r="J2028" s="148" t="str">
        <f>IFERROR(IF([1]K_Summary!$J$2013 = "", "", [1]K_Summary!$J$2013 ),"")</f>
        <v/>
      </c>
      <c r="K2028" s="150" t="str">
        <f>IFERROR(IF([1]K_Summary!$K$2013 = "", "", [1]K_Summary!$K$2013 ),"")</f>
        <v/>
      </c>
      <c r="L2028" s="150" t="str">
        <f>IFERROR(IF([1]K_Summary!$L$2013 = "", "", [1]K_Summary!$L$2013 ),"")</f>
        <v/>
      </c>
      <c r="M2028" s="150" t="str">
        <f>IFERROR(IF([1]K_Summary!$M$2013 = "", "", [1]K_Summary!$M$2013 ),"")</f>
        <v/>
      </c>
      <c r="N2028" s="171" t="str">
        <f>IFERROR(IF([1]K_Summary!$N$2013 = "", "", [1]K_Summary!$N$2013 ),"")</f>
        <v/>
      </c>
    </row>
    <row r="2029" spans="1:14" ht="15">
      <c r="C2029" s="559"/>
      <c r="D2029" s="706"/>
      <c r="E2029" s="698" t="s">
        <v>1670</v>
      </c>
      <c r="F2029" s="698"/>
      <c r="G2029" s="698"/>
      <c r="H2029" s="730" t="s">
        <v>2090</v>
      </c>
      <c r="I2029" s="731"/>
      <c r="J2029" s="148" t="str">
        <f>IFERROR(IF([1]K_Summary!$J$2014 = "", "", [1]K_Summary!$J$2014 ),"")</f>
        <v/>
      </c>
      <c r="K2029" s="150" t="str">
        <f>IFERROR(IF([1]K_Summary!$K$2014 = "", "", [1]K_Summary!$K$2014 ),"")</f>
        <v/>
      </c>
      <c r="L2029" s="150" t="str">
        <f>IFERROR(IF([1]K_Summary!$L$2014 = "", "", [1]K_Summary!$L$2014 ),"")</f>
        <v/>
      </c>
      <c r="M2029" s="150" t="str">
        <f>IFERROR(IF([1]K_Summary!$M$2014 = "", "", [1]K_Summary!$M$2014 ),"")</f>
        <v/>
      </c>
      <c r="N2029" s="171" t="str">
        <f>IFERROR(IF([1]K_Summary!$N$2014 = "", "", [1]K_Summary!$N$2014 ),"")</f>
        <v/>
      </c>
    </row>
    <row r="2030" spans="1:14" ht="15">
      <c r="C2030" s="559"/>
      <c r="D2030" s="706"/>
      <c r="E2030" s="740" t="s">
        <v>2132</v>
      </c>
      <c r="F2030" s="740"/>
      <c r="G2030" s="740"/>
      <c r="H2030" s="741" t="s">
        <v>1021</v>
      </c>
      <c r="I2030" s="742"/>
      <c r="J2030" s="183" t="str">
        <f>IFERROR(IF([1]K_Summary!$J$2015 = "", "", [1]K_Summary!$J$2015 ),"")</f>
        <v/>
      </c>
      <c r="K2030" s="184" t="str">
        <f>IFERROR(IF([1]K_Summary!$K$2015 = "", "", [1]K_Summary!$K$2015 ),"")</f>
        <v/>
      </c>
      <c r="L2030" s="184" t="str">
        <f>IFERROR(IF([1]K_Summary!$L$2015 = "", "", [1]K_Summary!$L$2015 ),"")</f>
        <v/>
      </c>
      <c r="M2030" s="184" t="str">
        <f>IFERROR(IF([1]K_Summary!$M$2015 = "", "", [1]K_Summary!$M$2015 ),"")</f>
        <v/>
      </c>
      <c r="N2030" s="185" t="str">
        <f>IFERROR(IF([1]K_Summary!$N$2015 = "", "", [1]K_Summary!$N$2015 ),"")</f>
        <v/>
      </c>
    </row>
    <row r="2031" spans="1:14" ht="15">
      <c r="C2031" s="559"/>
      <c r="D2031" s="706"/>
      <c r="E2031" s="485"/>
      <c r="F2031" s="485"/>
      <c r="G2031" s="485"/>
      <c r="H2031" s="485"/>
      <c r="I2031" s="743"/>
      <c r="J2031" s="485"/>
      <c r="K2031" s="485"/>
      <c r="L2031" s="485"/>
      <c r="M2031" s="485"/>
      <c r="N2031" s="744"/>
    </row>
    <row r="2032" spans="1:14" ht="15">
      <c r="C2032" s="559"/>
      <c r="D2032" s="706"/>
      <c r="E2032" s="707" t="s">
        <v>1755</v>
      </c>
      <c r="F2032" s="637"/>
      <c r="G2032" s="637"/>
      <c r="H2032" s="663" t="s">
        <v>884</v>
      </c>
      <c r="I2032" s="708"/>
      <c r="J2032" s="709">
        <v>2021</v>
      </c>
      <c r="K2032" s="671">
        <v>2022</v>
      </c>
      <c r="L2032" s="671">
        <v>2023</v>
      </c>
      <c r="M2032" s="671">
        <v>2024</v>
      </c>
      <c r="N2032" s="710">
        <v>2025</v>
      </c>
    </row>
    <row r="2033" spans="1:14" ht="15" hidden="1">
      <c r="A2033" s="719" t="s">
        <v>2289</v>
      </c>
      <c r="C2033" s="559"/>
      <c r="D2033" s="706"/>
      <c r="E2033" s="698" t="s">
        <v>1714</v>
      </c>
      <c r="F2033" s="698"/>
      <c r="G2033" s="698"/>
      <c r="H2033" s="63" t="str">
        <f>IFERROR(IF([1]K_Summary!$H$2018 = "", "", [1]K_Summary!$H$2018 ),"")</f>
        <v>tonnes</v>
      </c>
      <c r="I2033" s="698"/>
      <c r="J2033" s="157" t="str">
        <f>IFERROR(IF([1]K_Summary!$J$2018 = "", "", [1]K_Summary!$J$2018 ),"")</f>
        <v/>
      </c>
      <c r="K2033" s="147" t="str">
        <f>IFERROR(IF([1]K_Summary!$K$2018 = "", "", [1]K_Summary!$K$2018 ),"")</f>
        <v/>
      </c>
      <c r="L2033" s="147" t="str">
        <f>IFERROR(IF([1]K_Summary!$L$2018 = "", "", [1]K_Summary!$L$2018 ),"")</f>
        <v/>
      </c>
      <c r="M2033" s="147" t="str">
        <f>IFERROR(IF([1]K_Summary!$M$2018 = "", "", [1]K_Summary!$M$2018 ),"")</f>
        <v/>
      </c>
      <c r="N2033" s="158" t="str">
        <f>IFERROR(IF([1]K_Summary!$N$2018 = "", "", [1]K_Summary!$N$2018 ),"")</f>
        <v/>
      </c>
    </row>
    <row r="2034" spans="1:14" ht="15" hidden="1">
      <c r="A2034" s="719" t="s">
        <v>2289</v>
      </c>
      <c r="C2034" s="559"/>
      <c r="D2034" s="706"/>
      <c r="E2034" s="720" t="s">
        <v>303</v>
      </c>
      <c r="F2034" s="720"/>
      <c r="G2034" s="720"/>
      <c r="H2034" s="721" t="s">
        <v>2090</v>
      </c>
      <c r="I2034" s="722"/>
      <c r="J2034" s="159" t="str">
        <f>IFERROR(IF([1]K_Summary!$J$2019 = "", "", [1]K_Summary!$J$2019 ),"")</f>
        <v/>
      </c>
      <c r="K2034" s="160" t="str">
        <f>IFERROR(IF([1]K_Summary!$K$2019 = "", "", [1]K_Summary!$K$2019 ),"")</f>
        <v/>
      </c>
      <c r="L2034" s="160" t="str">
        <f>IFERROR(IF([1]K_Summary!$L$2019 = "", "", [1]K_Summary!$L$2019 ),"")</f>
        <v/>
      </c>
      <c r="M2034" s="160" t="str">
        <f>IFERROR(IF([1]K_Summary!$M$2019 = "", "", [1]K_Summary!$M$2019 ),"")</f>
        <v/>
      </c>
      <c r="N2034" s="161" t="str">
        <f>IFERROR(IF([1]K_Summary!$N$2019 = "", "", [1]K_Summary!$N$2019 ),"")</f>
        <v/>
      </c>
    </row>
    <row r="2035" spans="1:14" ht="15" hidden="1">
      <c r="A2035" s="719" t="s">
        <v>2289</v>
      </c>
      <c r="C2035" s="559"/>
      <c r="D2035" s="706"/>
      <c r="E2035" s="745" t="s">
        <v>1422</v>
      </c>
      <c r="F2035" s="745"/>
      <c r="G2035" s="745"/>
      <c r="H2035" s="746" t="s">
        <v>2090</v>
      </c>
      <c r="I2035" s="747"/>
      <c r="J2035" s="186" t="str">
        <f>IFERROR(IF([1]K_Summary!$J$2020 = "", "", [1]K_Summary!$J$2020 ),"")</f>
        <v/>
      </c>
      <c r="K2035" s="187" t="str">
        <f>IFERROR(IF([1]K_Summary!$K$2020 = "", "", [1]K_Summary!$K$2020 ),"")</f>
        <v/>
      </c>
      <c r="L2035" s="187" t="str">
        <f>IFERROR(IF([1]K_Summary!$L$2020 = "", "", [1]K_Summary!$L$2020 ),"")</f>
        <v/>
      </c>
      <c r="M2035" s="187" t="str">
        <f>IFERROR(IF([1]K_Summary!$M$2020 = "", "", [1]K_Summary!$M$2020 ),"")</f>
        <v/>
      </c>
      <c r="N2035" s="188" t="str">
        <f>IFERROR(IF([1]K_Summary!$N$2020 = "", "", [1]K_Summary!$N$2020 ),"")</f>
        <v/>
      </c>
    </row>
    <row r="2036" spans="1:14" ht="15">
      <c r="C2036" s="559"/>
      <c r="D2036" s="706"/>
      <c r="E2036" s="720" t="s">
        <v>1691</v>
      </c>
      <c r="F2036" s="720"/>
      <c r="G2036" s="720"/>
      <c r="H2036" s="721" t="s">
        <v>2090</v>
      </c>
      <c r="I2036" s="722"/>
      <c r="J2036" s="195" t="str">
        <f>IFERROR(IF([1]K_Summary!$J$2021 = "", "", [1]K_Summary!$J$2021 ),"")</f>
        <v/>
      </c>
      <c r="K2036" s="196" t="str">
        <f>IFERROR(IF([1]K_Summary!$K$2021 = "", "", [1]K_Summary!$K$2021 ),"")</f>
        <v/>
      </c>
      <c r="L2036" s="196" t="str">
        <f>IFERROR(IF([1]K_Summary!$L$2021 = "", "", [1]K_Summary!$L$2021 ),"")</f>
        <v/>
      </c>
      <c r="M2036" s="196" t="str">
        <f>IFERROR(IF([1]K_Summary!$M$2021 = "", "", [1]K_Summary!$M$2021 ),"")</f>
        <v/>
      </c>
      <c r="N2036" s="197" t="str">
        <f>IFERROR(IF([1]K_Summary!$N$2021 = "", "", [1]K_Summary!$N$2021 ),"")</f>
        <v/>
      </c>
    </row>
    <row r="2037" spans="1:14" ht="15">
      <c r="C2037" s="559"/>
      <c r="D2037" s="706"/>
      <c r="E2037" s="723" t="s">
        <v>1648</v>
      </c>
      <c r="F2037" s="723"/>
      <c r="G2037" s="723"/>
      <c r="H2037" s="751" t="s">
        <v>1021</v>
      </c>
      <c r="I2037" s="735"/>
      <c r="J2037" s="174" t="str">
        <f>IFERROR(IF([1]K_Summary!$J$2022 = "", "", [1]K_Summary!$J$2022 ),"")</f>
        <v/>
      </c>
      <c r="K2037" s="175" t="str">
        <f>IFERROR(IF([1]K_Summary!$K$2022 = "", "", [1]K_Summary!$K$2022 ),"")</f>
        <v/>
      </c>
      <c r="L2037" s="175" t="str">
        <f>IFERROR(IF([1]K_Summary!$L$2022 = "", "", [1]K_Summary!$L$2022 ),"")</f>
        <v/>
      </c>
      <c r="M2037" s="175" t="str">
        <f>IFERROR(IF([1]K_Summary!$M$2022 = "", "", [1]K_Summary!$M$2022 ),"")</f>
        <v/>
      </c>
      <c r="N2037" s="176" t="str">
        <f>IFERROR(IF([1]K_Summary!$N$2022 = "", "", [1]K_Summary!$N$2022 ),"")</f>
        <v/>
      </c>
    </row>
    <row r="2038" spans="1:14" ht="15">
      <c r="C2038" s="559"/>
      <c r="D2038" s="706"/>
      <c r="E2038" s="736" t="s">
        <v>1854</v>
      </c>
      <c r="F2038" s="736"/>
      <c r="G2038" s="736"/>
      <c r="H2038" s="738" t="s">
        <v>1021</v>
      </c>
      <c r="I2038" s="738"/>
      <c r="J2038" s="177" t="str">
        <f>IFERROR(IF([1]K_Summary!$J$2023 = "", "", [1]K_Summary!$J$2023 ),"")</f>
        <v/>
      </c>
      <c r="K2038" s="178" t="str">
        <f>IFERROR(IF([1]K_Summary!$K$2023 = "", "", [1]K_Summary!$K$2023 ),"")</f>
        <v/>
      </c>
      <c r="L2038" s="178" t="str">
        <f>IFERROR(IF([1]K_Summary!$L$2023 = "", "", [1]K_Summary!$L$2023 ),"")</f>
        <v/>
      </c>
      <c r="M2038" s="178" t="str">
        <f>IFERROR(IF([1]K_Summary!$M$2023 = "", "", [1]K_Summary!$M$2023 ),"")</f>
        <v/>
      </c>
      <c r="N2038" s="179" t="str">
        <f>IFERROR(IF([1]K_Summary!$N$2023 = "", "", [1]K_Summary!$N$2023 ),"")</f>
        <v/>
      </c>
    </row>
    <row r="2039" spans="1:14" ht="15">
      <c r="C2039" s="559"/>
      <c r="D2039" s="706"/>
      <c r="E2039" s="727" t="s">
        <v>1689</v>
      </c>
      <c r="F2039" s="727"/>
      <c r="G2039" s="727"/>
      <c r="H2039" s="728" t="s">
        <v>2090</v>
      </c>
      <c r="I2039" s="729"/>
      <c r="J2039" s="198" t="str">
        <f>IFERROR(IF([1]K_Summary!$J$2024 = "", "", [1]K_Summary!$J$2024 ),"")</f>
        <v/>
      </c>
      <c r="K2039" s="199" t="str">
        <f>IFERROR(IF([1]K_Summary!$K$2024 = "", "", [1]K_Summary!$K$2024 ),"")</f>
        <v/>
      </c>
      <c r="L2039" s="199" t="str">
        <f>IFERROR(IF([1]K_Summary!$L$2024 = "", "", [1]K_Summary!$L$2024 ),"")</f>
        <v/>
      </c>
      <c r="M2039" s="199" t="str">
        <f>IFERROR(IF([1]K_Summary!$M$2024 = "", "", [1]K_Summary!$M$2024 ),"")</f>
        <v/>
      </c>
      <c r="N2039" s="200" t="str">
        <f>IFERROR(IF([1]K_Summary!$N$2024 = "", "", [1]K_Summary!$N$2024 ),"")</f>
        <v/>
      </c>
    </row>
    <row r="2040" spans="1:14" ht="15" hidden="1">
      <c r="A2040" s="719" t="s">
        <v>2289</v>
      </c>
      <c r="C2040" s="559"/>
      <c r="D2040" s="706"/>
      <c r="E2040" s="645" t="s">
        <v>1389</v>
      </c>
      <c r="F2040" s="645"/>
      <c r="G2040" s="645"/>
      <c r="H2040" s="752" t="s">
        <v>1021</v>
      </c>
      <c r="I2040" s="753"/>
      <c r="J2040" s="201" t="str">
        <f>IFERROR(IF([1]K_Summary!$J$2025 = "", "", [1]K_Summary!$J$2025 ),"")</f>
        <v/>
      </c>
      <c r="K2040" s="202" t="str">
        <f>IFERROR(IF([1]K_Summary!$K$2025 = "", "", [1]K_Summary!$K$2025 ),"")</f>
        <v/>
      </c>
      <c r="L2040" s="202" t="str">
        <f>IFERROR(IF([1]K_Summary!$L$2025 = "", "", [1]K_Summary!$L$2025 ),"")</f>
        <v/>
      </c>
      <c r="M2040" s="202" t="str">
        <f>IFERROR(IF([1]K_Summary!$M$2025 = "", "", [1]K_Summary!$M$2025 ),"")</f>
        <v/>
      </c>
      <c r="N2040" s="203" t="str">
        <f>IFERROR(IF([1]K_Summary!$N$2025 = "", "", [1]K_Summary!$N$2025 ),"")</f>
        <v/>
      </c>
    </row>
    <row r="2041" spans="1:14" ht="15" hidden="1">
      <c r="A2041" s="719" t="s">
        <v>2289</v>
      </c>
      <c r="C2041" s="559"/>
      <c r="D2041" s="706"/>
      <c r="E2041" s="727" t="s">
        <v>1391</v>
      </c>
      <c r="F2041" s="727"/>
      <c r="G2041" s="727"/>
      <c r="H2041" s="728" t="s">
        <v>1021</v>
      </c>
      <c r="I2041" s="729"/>
      <c r="J2041" s="168" t="str">
        <f>IFERROR(IF([1]K_Summary!$J$2026 = "", "", [1]K_Summary!$J$2026 ),"")</f>
        <v/>
      </c>
      <c r="K2041" s="169" t="str">
        <f>IFERROR(IF([1]K_Summary!$K$2026 = "", "", [1]K_Summary!$K$2026 ),"")</f>
        <v/>
      </c>
      <c r="L2041" s="169" t="str">
        <f>IFERROR(IF([1]K_Summary!$L$2026 = "", "", [1]K_Summary!$L$2026 ),"")</f>
        <v/>
      </c>
      <c r="M2041" s="169" t="str">
        <f>IFERROR(IF([1]K_Summary!$M$2026 = "", "", [1]K_Summary!$M$2026 ),"")</f>
        <v/>
      </c>
      <c r="N2041" s="170" t="str">
        <f>IFERROR(IF([1]K_Summary!$N$2026 = "", "", [1]K_Summary!$N$2026 ),"")</f>
        <v/>
      </c>
    </row>
    <row r="2042" spans="1:14" ht="15">
      <c r="C2042" s="559"/>
      <c r="D2042" s="706"/>
      <c r="E2042" s="698" t="s">
        <v>1671</v>
      </c>
      <c r="F2042" s="698"/>
      <c r="G2042" s="698"/>
      <c r="H2042" s="730" t="s">
        <v>2090</v>
      </c>
      <c r="I2042" s="731"/>
      <c r="J2042" s="148" t="str">
        <f>IFERROR(IF([1]K_Summary!$J$2027 = "", "", [1]K_Summary!$J$2027 ),"")</f>
        <v/>
      </c>
      <c r="K2042" s="150" t="str">
        <f>IFERROR(IF([1]K_Summary!$K$2027 = "", "", [1]K_Summary!$K$2027 ),"")</f>
        <v/>
      </c>
      <c r="L2042" s="150" t="str">
        <f>IFERROR(IF([1]K_Summary!$L$2027 = "", "", [1]K_Summary!$L$2027 ),"")</f>
        <v/>
      </c>
      <c r="M2042" s="150" t="str">
        <f>IFERROR(IF([1]K_Summary!$M$2027 = "", "", [1]K_Summary!$M$2027 ),"")</f>
        <v/>
      </c>
      <c r="N2042" s="171" t="str">
        <f>IFERROR(IF([1]K_Summary!$N$2027 = "", "", [1]K_Summary!$N$2027 ),"")</f>
        <v/>
      </c>
    </row>
    <row r="2043" spans="1:14" ht="15">
      <c r="C2043" s="559"/>
      <c r="D2043" s="706"/>
      <c r="E2043" s="698" t="s">
        <v>1670</v>
      </c>
      <c r="F2043" s="698"/>
      <c r="G2043" s="698"/>
      <c r="H2043" s="730" t="s">
        <v>2090</v>
      </c>
      <c r="I2043" s="731"/>
      <c r="J2043" s="148" t="str">
        <f>IFERROR(IF([1]K_Summary!$J$2028 = "", "", [1]K_Summary!$J$2028 ),"")</f>
        <v/>
      </c>
      <c r="K2043" s="150" t="str">
        <f>IFERROR(IF([1]K_Summary!$K$2028 = "", "", [1]K_Summary!$K$2028 ),"")</f>
        <v/>
      </c>
      <c r="L2043" s="150" t="str">
        <f>IFERROR(IF([1]K_Summary!$L$2028 = "", "", [1]K_Summary!$L$2028 ),"")</f>
        <v/>
      </c>
      <c r="M2043" s="150" t="str">
        <f>IFERROR(IF([1]K_Summary!$M$2028 = "", "", [1]K_Summary!$M$2028 ),"")</f>
        <v/>
      </c>
      <c r="N2043" s="171" t="str">
        <f>IFERROR(IF([1]K_Summary!$N$2028 = "", "", [1]K_Summary!$N$2028 ),"")</f>
        <v/>
      </c>
    </row>
    <row r="2044" spans="1:14" ht="15">
      <c r="C2044" s="559"/>
      <c r="D2044" s="706"/>
      <c r="E2044" s="740" t="s">
        <v>2133</v>
      </c>
      <c r="F2044" s="698"/>
      <c r="G2044" s="698"/>
      <c r="H2044" s="741" t="s">
        <v>1021</v>
      </c>
      <c r="I2044" s="742"/>
      <c r="J2044" s="183" t="str">
        <f>IFERROR(IF([1]K_Summary!$J$2029 = "", "", [1]K_Summary!$J$2029 ),"")</f>
        <v/>
      </c>
      <c r="K2044" s="184" t="str">
        <f>IFERROR(IF([1]K_Summary!$K$2029 = "", "", [1]K_Summary!$K$2029 ),"")</f>
        <v/>
      </c>
      <c r="L2044" s="184" t="str">
        <f>IFERROR(IF([1]K_Summary!$L$2029 = "", "", [1]K_Summary!$L$2029 ),"")</f>
        <v/>
      </c>
      <c r="M2044" s="184" t="str">
        <f>IFERROR(IF([1]K_Summary!$M$2029 = "", "", [1]K_Summary!$M$2029 ),"")</f>
        <v/>
      </c>
      <c r="N2044" s="185" t="str">
        <f>IFERROR(IF([1]K_Summary!$N$2029 = "", "", [1]K_Summary!$N$2029 ),"")</f>
        <v/>
      </c>
    </row>
    <row r="2045" spans="1:14" ht="15">
      <c r="C2045" s="559"/>
      <c r="D2045" s="706"/>
      <c r="E2045" s="485"/>
      <c r="F2045" s="485"/>
      <c r="G2045" s="485"/>
      <c r="H2045" s="485"/>
      <c r="I2045" s="743"/>
      <c r="J2045" s="485"/>
      <c r="K2045" s="485"/>
      <c r="L2045" s="485"/>
      <c r="M2045" s="485"/>
      <c r="N2045" s="744"/>
    </row>
    <row r="2046" spans="1:14" ht="15">
      <c r="C2046" s="559"/>
      <c r="D2046" s="706"/>
      <c r="E2046" s="707" t="s">
        <v>1756</v>
      </c>
      <c r="F2046" s="637"/>
      <c r="G2046" s="637"/>
      <c r="H2046" s="663" t="s">
        <v>884</v>
      </c>
      <c r="I2046" s="708"/>
      <c r="J2046" s="709">
        <v>2021</v>
      </c>
      <c r="K2046" s="671">
        <v>2022</v>
      </c>
      <c r="L2046" s="671">
        <v>2023</v>
      </c>
      <c r="M2046" s="671">
        <v>2024</v>
      </c>
      <c r="N2046" s="710">
        <v>2025</v>
      </c>
    </row>
    <row r="2047" spans="1:14" ht="15" hidden="1">
      <c r="A2047" s="719" t="s">
        <v>2289</v>
      </c>
      <c r="C2047" s="559"/>
      <c r="D2047" s="706"/>
      <c r="E2047" s="698" t="s">
        <v>1714</v>
      </c>
      <c r="F2047" s="698"/>
      <c r="G2047" s="698"/>
      <c r="H2047" s="63" t="str">
        <f>IFERROR(IF([1]K_Summary!$H$2032 = "", "", [1]K_Summary!$H$2032 ),"")</f>
        <v>tonnes</v>
      </c>
      <c r="I2047" s="698"/>
      <c r="J2047" s="157" t="str">
        <f>IFERROR(IF([1]K_Summary!$J$2032 = "", "", [1]K_Summary!$J$2032 ),"")</f>
        <v/>
      </c>
      <c r="K2047" s="147" t="str">
        <f>IFERROR(IF([1]K_Summary!$K$2032 = "", "", [1]K_Summary!$K$2032 ),"")</f>
        <v/>
      </c>
      <c r="L2047" s="147" t="str">
        <f>IFERROR(IF([1]K_Summary!$L$2032 = "", "", [1]K_Summary!$L$2032 ),"")</f>
        <v/>
      </c>
      <c r="M2047" s="147" t="str">
        <f>IFERROR(IF([1]K_Summary!$M$2032 = "", "", [1]K_Summary!$M$2032 ),"")</f>
        <v/>
      </c>
      <c r="N2047" s="158" t="str">
        <f>IFERROR(IF([1]K_Summary!$N$2032 = "", "", [1]K_Summary!$N$2032 ),"")</f>
        <v/>
      </c>
    </row>
    <row r="2048" spans="1:14" ht="15" hidden="1">
      <c r="A2048" s="719" t="s">
        <v>2289</v>
      </c>
      <c r="C2048" s="559"/>
      <c r="D2048" s="706"/>
      <c r="E2048" s="720" t="s">
        <v>303</v>
      </c>
      <c r="F2048" s="720"/>
      <c r="G2048" s="720"/>
      <c r="H2048" s="721" t="s">
        <v>2090</v>
      </c>
      <c r="I2048" s="722"/>
      <c r="J2048" s="159" t="str">
        <f>IFERROR(IF([1]K_Summary!$J$2033 = "", "", [1]K_Summary!$J$2033 ),"")</f>
        <v/>
      </c>
      <c r="K2048" s="160" t="str">
        <f>IFERROR(IF([1]K_Summary!$K$2033 = "", "", [1]K_Summary!$K$2033 ),"")</f>
        <v/>
      </c>
      <c r="L2048" s="160" t="str">
        <f>IFERROR(IF([1]K_Summary!$L$2033 = "", "", [1]K_Summary!$L$2033 ),"")</f>
        <v/>
      </c>
      <c r="M2048" s="160" t="str">
        <f>IFERROR(IF([1]K_Summary!$M$2033 = "", "", [1]K_Summary!$M$2033 ),"")</f>
        <v/>
      </c>
      <c r="N2048" s="161" t="str">
        <f>IFERROR(IF([1]K_Summary!$N$2033 = "", "", [1]K_Summary!$N$2033 ),"")</f>
        <v/>
      </c>
    </row>
    <row r="2049" spans="1:14" ht="15" hidden="1">
      <c r="A2049" s="719" t="s">
        <v>2289</v>
      </c>
      <c r="C2049" s="559"/>
      <c r="D2049" s="706"/>
      <c r="E2049" s="723" t="s">
        <v>1422</v>
      </c>
      <c r="F2049" s="723"/>
      <c r="G2049" s="723"/>
      <c r="H2049" s="724" t="s">
        <v>2090</v>
      </c>
      <c r="I2049" s="725"/>
      <c r="J2049" s="162" t="str">
        <f>IFERROR(IF([1]K_Summary!$J$2034 = "", "", [1]K_Summary!$J$2034 ),"")</f>
        <v/>
      </c>
      <c r="K2049" s="163" t="str">
        <f>IFERROR(IF([1]K_Summary!$K$2034 = "", "", [1]K_Summary!$K$2034 ),"")</f>
        <v/>
      </c>
      <c r="L2049" s="163" t="str">
        <f>IFERROR(IF([1]K_Summary!$L$2034 = "", "", [1]K_Summary!$L$2034 ),"")</f>
        <v/>
      </c>
      <c r="M2049" s="163" t="str">
        <f>IFERROR(IF([1]K_Summary!$M$2034 = "", "", [1]K_Summary!$M$2034 ),"")</f>
        <v/>
      </c>
      <c r="N2049" s="164" t="str">
        <f>IFERROR(IF([1]K_Summary!$N$2034 = "", "", [1]K_Summary!$N$2034 ),"")</f>
        <v/>
      </c>
    </row>
    <row r="2050" spans="1:14" ht="15" hidden="1">
      <c r="A2050" s="719" t="s">
        <v>2289</v>
      </c>
      <c r="C2050" s="559"/>
      <c r="D2050" s="706"/>
      <c r="E2050" s="723" t="s">
        <v>1390</v>
      </c>
      <c r="F2050" s="723"/>
      <c r="G2050" s="723"/>
      <c r="H2050" s="724" t="s">
        <v>2090</v>
      </c>
      <c r="I2050" s="725"/>
      <c r="J2050" s="162" t="str">
        <f>IFERROR(IF([1]K_Summary!$J$2035 = "", "", [1]K_Summary!$J$2035 ),"")</f>
        <v/>
      </c>
      <c r="K2050" s="163" t="str">
        <f>IFERROR(IF([1]K_Summary!$K$2035 = "", "", [1]K_Summary!$K$2035 ),"")</f>
        <v/>
      </c>
      <c r="L2050" s="163" t="str">
        <f>IFERROR(IF([1]K_Summary!$L$2035 = "", "", [1]K_Summary!$L$2035 ),"")</f>
        <v/>
      </c>
      <c r="M2050" s="163" t="str">
        <f>IFERROR(IF([1]K_Summary!$M$2035 = "", "", [1]K_Summary!$M$2035 ),"")</f>
        <v/>
      </c>
      <c r="N2050" s="164" t="str">
        <f>IFERROR(IF([1]K_Summary!$N$2035 = "", "", [1]K_Summary!$N$2035 ),"")</f>
        <v/>
      </c>
    </row>
    <row r="2051" spans="1:14" ht="15" hidden="1">
      <c r="A2051" s="719" t="s">
        <v>2289</v>
      </c>
      <c r="C2051" s="559"/>
      <c r="D2051" s="706"/>
      <c r="E2051" s="745" t="s">
        <v>1389</v>
      </c>
      <c r="F2051" s="745"/>
      <c r="G2051" s="745"/>
      <c r="H2051" s="754" t="s">
        <v>1021</v>
      </c>
      <c r="I2051" s="747"/>
      <c r="J2051" s="204" t="str">
        <f>IFERROR(IF([1]K_Summary!$J$2036 = "", "", [1]K_Summary!$J$2036 ),"")</f>
        <v/>
      </c>
      <c r="K2051" s="205" t="str">
        <f>IFERROR(IF([1]K_Summary!$K$2036 = "", "", [1]K_Summary!$K$2036 ),"")</f>
        <v/>
      </c>
      <c r="L2051" s="205" t="str">
        <f>IFERROR(IF([1]K_Summary!$L$2036 = "", "", [1]K_Summary!$L$2036 ),"")</f>
        <v/>
      </c>
      <c r="M2051" s="205" t="str">
        <f>IFERROR(IF([1]K_Summary!$M$2036 = "", "", [1]K_Summary!$M$2036 ),"")</f>
        <v/>
      </c>
      <c r="N2051" s="206" t="str">
        <f>IFERROR(IF([1]K_Summary!$N$2036 = "", "", [1]K_Summary!$N$2036 ),"")</f>
        <v/>
      </c>
    </row>
    <row r="2052" spans="1:14" ht="15">
      <c r="C2052" s="559"/>
      <c r="D2052" s="706"/>
      <c r="E2052" s="720" t="s">
        <v>1691</v>
      </c>
      <c r="F2052" s="720"/>
      <c r="G2052" s="720"/>
      <c r="H2052" s="748" t="s">
        <v>1021</v>
      </c>
      <c r="I2052" s="722"/>
      <c r="J2052" s="189" t="str">
        <f>IFERROR(IF([1]K_Summary!$J$2037 = "", "", [1]K_Summary!$J$2037 ),"")</f>
        <v/>
      </c>
      <c r="K2052" s="190" t="str">
        <f>IFERROR(IF([1]K_Summary!$K$2037 = "", "", [1]K_Summary!$K$2037 ),"")</f>
        <v/>
      </c>
      <c r="L2052" s="190" t="str">
        <f>IFERROR(IF([1]K_Summary!$L$2037 = "", "", [1]K_Summary!$L$2037 ),"")</f>
        <v/>
      </c>
      <c r="M2052" s="190" t="str">
        <f>IFERROR(IF([1]K_Summary!$M$2037 = "", "", [1]K_Summary!$M$2037 ),"")</f>
        <v/>
      </c>
      <c r="N2052" s="191" t="str">
        <f>IFERROR(IF([1]K_Summary!$N$2037 = "", "", [1]K_Summary!$N$2037 ),"")</f>
        <v/>
      </c>
    </row>
    <row r="2053" spans="1:14" ht="15">
      <c r="C2053" s="559"/>
      <c r="D2053" s="706"/>
      <c r="E2053" s="723" t="s">
        <v>1648</v>
      </c>
      <c r="F2053" s="723"/>
      <c r="G2053" s="723"/>
      <c r="H2053" s="751" t="s">
        <v>1021</v>
      </c>
      <c r="I2053" s="735"/>
      <c r="J2053" s="174" t="str">
        <f>IFERROR(IF([1]K_Summary!$J$2038 = "", "", [1]K_Summary!$J$2038 ),"")</f>
        <v/>
      </c>
      <c r="K2053" s="175" t="str">
        <f>IFERROR(IF([1]K_Summary!$K$2038 = "", "", [1]K_Summary!$K$2038 ),"")</f>
        <v/>
      </c>
      <c r="L2053" s="175" t="str">
        <f>IFERROR(IF([1]K_Summary!$L$2038 = "", "", [1]K_Summary!$L$2038 ),"")</f>
        <v/>
      </c>
      <c r="M2053" s="175" t="str">
        <f>IFERROR(IF([1]K_Summary!$M$2038 = "", "", [1]K_Summary!$M$2038 ),"")</f>
        <v/>
      </c>
      <c r="N2053" s="176" t="str">
        <f>IFERROR(IF([1]K_Summary!$N$2038 = "", "", [1]K_Summary!$N$2038 ),"")</f>
        <v/>
      </c>
    </row>
    <row r="2054" spans="1:14" ht="15">
      <c r="C2054" s="559"/>
      <c r="D2054" s="706"/>
      <c r="E2054" s="736" t="s">
        <v>1855</v>
      </c>
      <c r="F2054" s="736"/>
      <c r="G2054" s="736"/>
      <c r="H2054" s="738" t="s">
        <v>1021</v>
      </c>
      <c r="I2054" s="738"/>
      <c r="J2054" s="177" t="str">
        <f>IFERROR(IF([1]K_Summary!$J$2039 = "", "", [1]K_Summary!$J$2039 ),"")</f>
        <v/>
      </c>
      <c r="K2054" s="178" t="str">
        <f>IFERROR(IF([1]K_Summary!$K$2039 = "", "", [1]K_Summary!$K$2039 ),"")</f>
        <v/>
      </c>
      <c r="L2054" s="178" t="str">
        <f>IFERROR(IF([1]K_Summary!$L$2039 = "", "", [1]K_Summary!$L$2039 ),"")</f>
        <v/>
      </c>
      <c r="M2054" s="178" t="str">
        <f>IFERROR(IF([1]K_Summary!$M$2039 = "", "", [1]K_Summary!$M$2039 ),"")</f>
        <v/>
      </c>
      <c r="N2054" s="179" t="str">
        <f>IFERROR(IF([1]K_Summary!$N$2039 = "", "", [1]K_Summary!$N$2039 ),"")</f>
        <v/>
      </c>
    </row>
    <row r="2055" spans="1:14" ht="15">
      <c r="C2055" s="559"/>
      <c r="D2055" s="706"/>
      <c r="E2055" s="727" t="s">
        <v>1689</v>
      </c>
      <c r="F2055" s="727"/>
      <c r="G2055" s="727"/>
      <c r="H2055" s="728" t="s">
        <v>1021</v>
      </c>
      <c r="I2055" s="729"/>
      <c r="J2055" s="192" t="str">
        <f>IFERROR(IF([1]K_Summary!$J$2040 = "", "", [1]K_Summary!$J$2040 ),"")</f>
        <v/>
      </c>
      <c r="K2055" s="193" t="str">
        <f>IFERROR(IF([1]K_Summary!$K$2040 = "", "", [1]K_Summary!$K$2040 ),"")</f>
        <v/>
      </c>
      <c r="L2055" s="193" t="str">
        <f>IFERROR(IF([1]K_Summary!$L$2040 = "", "", [1]K_Summary!$L$2040 ),"")</f>
        <v/>
      </c>
      <c r="M2055" s="193" t="str">
        <f>IFERROR(IF([1]K_Summary!$M$2040 = "", "", [1]K_Summary!$M$2040 ),"")</f>
        <v/>
      </c>
      <c r="N2055" s="194" t="str">
        <f>IFERROR(IF([1]K_Summary!$N$2040 = "", "", [1]K_Summary!$N$2040 ),"")</f>
        <v/>
      </c>
    </row>
    <row r="2056" spans="1:14" ht="15">
      <c r="C2056" s="559"/>
      <c r="D2056" s="706"/>
      <c r="E2056" s="698" t="s">
        <v>1671</v>
      </c>
      <c r="F2056" s="698"/>
      <c r="G2056" s="698"/>
      <c r="H2056" s="730" t="s">
        <v>2090</v>
      </c>
      <c r="I2056" s="731"/>
      <c r="J2056" s="148" t="str">
        <f>IFERROR(IF([1]K_Summary!$J$2041 = "", "", [1]K_Summary!$J$2041 ),"")</f>
        <v/>
      </c>
      <c r="K2056" s="150" t="str">
        <f>IFERROR(IF([1]K_Summary!$K$2041 = "", "", [1]K_Summary!$K$2041 ),"")</f>
        <v/>
      </c>
      <c r="L2056" s="150" t="str">
        <f>IFERROR(IF([1]K_Summary!$L$2041 = "", "", [1]K_Summary!$L$2041 ),"")</f>
        <v/>
      </c>
      <c r="M2056" s="150" t="str">
        <f>IFERROR(IF([1]K_Summary!$M$2041 = "", "", [1]K_Summary!$M$2041 ),"")</f>
        <v/>
      </c>
      <c r="N2056" s="171" t="str">
        <f>IFERROR(IF([1]K_Summary!$N$2041 = "", "", [1]K_Summary!$N$2041 ),"")</f>
        <v/>
      </c>
    </row>
    <row r="2057" spans="1:14" ht="15">
      <c r="C2057" s="559"/>
      <c r="D2057" s="706"/>
      <c r="E2057" s="698" t="s">
        <v>1670</v>
      </c>
      <c r="F2057" s="698"/>
      <c r="G2057" s="698"/>
      <c r="H2057" s="730" t="s">
        <v>2090</v>
      </c>
      <c r="I2057" s="731"/>
      <c r="J2057" s="148" t="str">
        <f>IFERROR(IF([1]K_Summary!$J$2042 = "", "", [1]K_Summary!$J$2042 ),"")</f>
        <v/>
      </c>
      <c r="K2057" s="150" t="str">
        <f>IFERROR(IF([1]K_Summary!$K$2042 = "", "", [1]K_Summary!$K$2042 ),"")</f>
        <v/>
      </c>
      <c r="L2057" s="150" t="str">
        <f>IFERROR(IF([1]K_Summary!$L$2042 = "", "", [1]K_Summary!$L$2042 ),"")</f>
        <v/>
      </c>
      <c r="M2057" s="150" t="str">
        <f>IFERROR(IF([1]K_Summary!$M$2042 = "", "", [1]K_Summary!$M$2042 ),"")</f>
        <v/>
      </c>
      <c r="N2057" s="171" t="str">
        <f>IFERROR(IF([1]K_Summary!$N$2042 = "", "", [1]K_Summary!$N$2042 ),"")</f>
        <v/>
      </c>
    </row>
    <row r="2058" spans="1:14" ht="15">
      <c r="C2058" s="559"/>
      <c r="D2058" s="706"/>
      <c r="E2058" s="740" t="s">
        <v>2134</v>
      </c>
      <c r="F2058" s="698"/>
      <c r="G2058" s="698"/>
      <c r="H2058" s="741" t="s">
        <v>1021</v>
      </c>
      <c r="I2058" s="742"/>
      <c r="J2058" s="183" t="str">
        <f>IFERROR(IF([1]K_Summary!$J$2043 = "", "", [1]K_Summary!$J$2043 ),"")</f>
        <v/>
      </c>
      <c r="K2058" s="184" t="str">
        <f>IFERROR(IF([1]K_Summary!$K$2043 = "", "", [1]K_Summary!$K$2043 ),"")</f>
        <v/>
      </c>
      <c r="L2058" s="184" t="str">
        <f>IFERROR(IF([1]K_Summary!$L$2043 = "", "", [1]K_Summary!$L$2043 ),"")</f>
        <v/>
      </c>
      <c r="M2058" s="184" t="str">
        <f>IFERROR(IF([1]K_Summary!$M$2043 = "", "", [1]K_Summary!$M$2043 ),"")</f>
        <v/>
      </c>
      <c r="N2058" s="185" t="str">
        <f>IFERROR(IF([1]K_Summary!$N$2043 = "", "", [1]K_Summary!$N$2043 ),"")</f>
        <v/>
      </c>
    </row>
    <row r="2059" spans="1:14" ht="15">
      <c r="C2059" s="559"/>
      <c r="D2059" s="706"/>
      <c r="E2059" s="485"/>
      <c r="F2059" s="485"/>
      <c r="G2059" s="485"/>
      <c r="H2059" s="485"/>
      <c r="I2059" s="743"/>
      <c r="J2059" s="485"/>
      <c r="K2059" s="485"/>
      <c r="L2059" s="485"/>
      <c r="M2059" s="485"/>
      <c r="N2059" s="744"/>
    </row>
    <row r="2060" spans="1:14" ht="15">
      <c r="C2060" s="559"/>
      <c r="D2060" s="706"/>
      <c r="E2060" s="707" t="s">
        <v>1757</v>
      </c>
      <c r="F2060" s="637"/>
      <c r="G2060" s="637"/>
      <c r="H2060" s="663" t="s">
        <v>884</v>
      </c>
      <c r="I2060" s="708"/>
      <c r="J2060" s="709">
        <v>2021</v>
      </c>
      <c r="K2060" s="671">
        <v>2022</v>
      </c>
      <c r="L2060" s="671">
        <v>2023</v>
      </c>
      <c r="M2060" s="671">
        <v>2024</v>
      </c>
      <c r="N2060" s="710">
        <v>2025</v>
      </c>
    </row>
    <row r="2061" spans="1:14" ht="15" hidden="1">
      <c r="A2061" s="719" t="s">
        <v>2289</v>
      </c>
      <c r="C2061" s="559"/>
      <c r="D2061" s="706"/>
      <c r="E2061" s="698" t="s">
        <v>1714</v>
      </c>
      <c r="F2061" s="698"/>
      <c r="G2061" s="698"/>
      <c r="H2061" s="63" t="str">
        <f>IFERROR(IF([1]K_Summary!$H$2046 = "", "", [1]K_Summary!$H$2046 ),"")</f>
        <v>tonnes</v>
      </c>
      <c r="I2061" s="698"/>
      <c r="J2061" s="157" t="str">
        <f>IFERROR(IF([1]K_Summary!$J$2046 = "", "", [1]K_Summary!$J$2046 ),"")</f>
        <v/>
      </c>
      <c r="K2061" s="147" t="str">
        <f>IFERROR(IF([1]K_Summary!$K$2046 = "", "", [1]K_Summary!$K$2046 ),"")</f>
        <v/>
      </c>
      <c r="L2061" s="147" t="str">
        <f>IFERROR(IF([1]K_Summary!$L$2046 = "", "", [1]K_Summary!$L$2046 ),"")</f>
        <v/>
      </c>
      <c r="M2061" s="147" t="str">
        <f>IFERROR(IF([1]K_Summary!$M$2046 = "", "", [1]K_Summary!$M$2046 ),"")</f>
        <v/>
      </c>
      <c r="N2061" s="158" t="str">
        <f>IFERROR(IF([1]K_Summary!$N$2046 = "", "", [1]K_Summary!$N$2046 ),"")</f>
        <v/>
      </c>
    </row>
    <row r="2062" spans="1:14" ht="15" hidden="1">
      <c r="A2062" s="719" t="s">
        <v>2289</v>
      </c>
      <c r="C2062" s="559"/>
      <c r="D2062" s="706"/>
      <c r="E2062" s="720" t="s">
        <v>303</v>
      </c>
      <c r="F2062" s="720"/>
      <c r="G2062" s="720"/>
      <c r="H2062" s="721" t="s">
        <v>2090</v>
      </c>
      <c r="I2062" s="722"/>
      <c r="J2062" s="159" t="str">
        <f>IFERROR(IF([1]K_Summary!$J$2047 = "", "", [1]K_Summary!$J$2047 ),"")</f>
        <v/>
      </c>
      <c r="K2062" s="160" t="str">
        <f>IFERROR(IF([1]K_Summary!$K$2047 = "", "", [1]K_Summary!$K$2047 ),"")</f>
        <v/>
      </c>
      <c r="L2062" s="160" t="str">
        <f>IFERROR(IF([1]K_Summary!$L$2047 = "", "", [1]K_Summary!$L$2047 ),"")</f>
        <v/>
      </c>
      <c r="M2062" s="160" t="str">
        <f>IFERROR(IF([1]K_Summary!$M$2047 = "", "", [1]K_Summary!$M$2047 ),"")</f>
        <v/>
      </c>
      <c r="N2062" s="161" t="str">
        <f>IFERROR(IF([1]K_Summary!$N$2047 = "", "", [1]K_Summary!$N$2047 ),"")</f>
        <v/>
      </c>
    </row>
    <row r="2063" spans="1:14" ht="15">
      <c r="C2063" s="559"/>
      <c r="D2063" s="706"/>
      <c r="E2063" s="720" t="s">
        <v>1691</v>
      </c>
      <c r="F2063" s="720"/>
      <c r="G2063" s="720"/>
      <c r="H2063" s="748" t="s">
        <v>471</v>
      </c>
      <c r="I2063" s="722"/>
      <c r="J2063" s="172" t="str">
        <f>IFERROR(IF([1]K_Summary!$J$2048 = "", "", [1]K_Summary!$J$2048 ),"")</f>
        <v/>
      </c>
      <c r="K2063" s="54" t="str">
        <f>IFERROR(IF([1]K_Summary!$K$2048 = "", "", [1]K_Summary!$K$2048 ),"")</f>
        <v/>
      </c>
      <c r="L2063" s="54" t="str">
        <f>IFERROR(IF([1]K_Summary!$L$2048 = "", "", [1]K_Summary!$L$2048 ),"")</f>
        <v/>
      </c>
      <c r="M2063" s="54" t="str">
        <f>IFERROR(IF([1]K_Summary!$M$2048 = "", "", [1]K_Summary!$M$2048 ),"")</f>
        <v/>
      </c>
      <c r="N2063" s="173" t="str">
        <f>IFERROR(IF([1]K_Summary!$N$2048 = "", "", [1]K_Summary!$N$2048 ),"")</f>
        <v/>
      </c>
    </row>
    <row r="2064" spans="1:14" ht="15">
      <c r="C2064" s="559"/>
      <c r="D2064" s="706"/>
      <c r="E2064" s="723" t="s">
        <v>1648</v>
      </c>
      <c r="F2064" s="723"/>
      <c r="G2064" s="723"/>
      <c r="H2064" s="734" t="s">
        <v>1021</v>
      </c>
      <c r="I2064" s="735"/>
      <c r="J2064" s="174" t="str">
        <f>IFERROR(IF([1]K_Summary!$J$2049 = "", "", [1]K_Summary!$J$2049 ),"")</f>
        <v/>
      </c>
      <c r="K2064" s="175" t="str">
        <f>IFERROR(IF([1]K_Summary!$K$2049 = "", "", [1]K_Summary!$K$2049 ),"")</f>
        <v/>
      </c>
      <c r="L2064" s="175" t="str">
        <f>IFERROR(IF([1]K_Summary!$L$2049 = "", "", [1]K_Summary!$L$2049 ),"")</f>
        <v/>
      </c>
      <c r="M2064" s="175" t="str">
        <f>IFERROR(IF([1]K_Summary!$M$2049 = "", "", [1]K_Summary!$M$2049 ),"")</f>
        <v/>
      </c>
      <c r="N2064" s="176" t="str">
        <f>IFERROR(IF([1]K_Summary!$N$2049 = "", "", [1]K_Summary!$N$2049 ),"")</f>
        <v/>
      </c>
    </row>
    <row r="2065" spans="1:14" ht="15">
      <c r="C2065" s="559"/>
      <c r="D2065" s="706"/>
      <c r="E2065" s="736" t="s">
        <v>1856</v>
      </c>
      <c r="F2065" s="736"/>
      <c r="G2065" s="736"/>
      <c r="H2065" s="737" t="s">
        <v>1021</v>
      </c>
      <c r="I2065" s="738"/>
      <c r="J2065" s="177" t="str">
        <f>IFERROR(IF([1]K_Summary!$J$2050 = "", "", [1]K_Summary!$J$2050 ),"")</f>
        <v/>
      </c>
      <c r="K2065" s="178" t="str">
        <f>IFERROR(IF([1]K_Summary!$K$2050 = "", "", [1]K_Summary!$K$2050 ),"")</f>
        <v/>
      </c>
      <c r="L2065" s="178" t="str">
        <f>IFERROR(IF([1]K_Summary!$L$2050 = "", "", [1]K_Summary!$L$2050 ),"")</f>
        <v/>
      </c>
      <c r="M2065" s="178" t="str">
        <f>IFERROR(IF([1]K_Summary!$M$2050 = "", "", [1]K_Summary!$M$2050 ),"")</f>
        <v/>
      </c>
      <c r="N2065" s="179" t="str">
        <f>IFERROR(IF([1]K_Summary!$N$2050 = "", "", [1]K_Summary!$N$2050 ),"")</f>
        <v/>
      </c>
    </row>
    <row r="2066" spans="1:14" ht="15">
      <c r="C2066" s="559"/>
      <c r="D2066" s="706"/>
      <c r="E2066" s="727" t="s">
        <v>1689</v>
      </c>
      <c r="F2066" s="727"/>
      <c r="G2066" s="727"/>
      <c r="H2066" s="728" t="s">
        <v>471</v>
      </c>
      <c r="I2066" s="729"/>
      <c r="J2066" s="180" t="str">
        <f>IFERROR(IF([1]K_Summary!$J$2051 = "", "", [1]K_Summary!$J$2051 ),"")</f>
        <v/>
      </c>
      <c r="K2066" s="181" t="str">
        <f>IFERROR(IF([1]K_Summary!$K$2051 = "", "", [1]K_Summary!$K$2051 ),"")</f>
        <v/>
      </c>
      <c r="L2066" s="181" t="str">
        <f>IFERROR(IF([1]K_Summary!$L$2051 = "", "", [1]K_Summary!$L$2051 ),"")</f>
        <v/>
      </c>
      <c r="M2066" s="181" t="str">
        <f>IFERROR(IF([1]K_Summary!$M$2051 = "", "", [1]K_Summary!$M$2051 ),"")</f>
        <v/>
      </c>
      <c r="N2066" s="182" t="str">
        <f>IFERROR(IF([1]K_Summary!$N$2051 = "", "", [1]K_Summary!$N$2051 ),"")</f>
        <v/>
      </c>
    </row>
    <row r="2067" spans="1:14" ht="15" hidden="1">
      <c r="A2067" s="719" t="s">
        <v>2289</v>
      </c>
      <c r="C2067" s="559"/>
      <c r="D2067" s="706"/>
      <c r="E2067" s="723" t="s">
        <v>1390</v>
      </c>
      <c r="F2067" s="723"/>
      <c r="G2067" s="723"/>
      <c r="H2067" s="724" t="s">
        <v>2090</v>
      </c>
      <c r="I2067" s="725"/>
      <c r="J2067" s="162" t="str">
        <f>IFERROR(IF([1]K_Summary!$J$2052 = "", "", [1]K_Summary!$J$2052 ),"")</f>
        <v/>
      </c>
      <c r="K2067" s="163" t="str">
        <f>IFERROR(IF([1]K_Summary!$K$2052 = "", "", [1]K_Summary!$K$2052 ),"")</f>
        <v/>
      </c>
      <c r="L2067" s="163" t="str">
        <f>IFERROR(IF([1]K_Summary!$L$2052 = "", "", [1]K_Summary!$L$2052 ),"")</f>
        <v/>
      </c>
      <c r="M2067" s="163" t="str">
        <f>IFERROR(IF([1]K_Summary!$M$2052 = "", "", [1]K_Summary!$M$2052 ),"")</f>
        <v/>
      </c>
      <c r="N2067" s="164" t="str">
        <f>IFERROR(IF([1]K_Summary!$N$2052 = "", "", [1]K_Summary!$N$2052 ),"")</f>
        <v/>
      </c>
    </row>
    <row r="2068" spans="1:14" ht="15" hidden="1">
      <c r="A2068" s="719" t="s">
        <v>2289</v>
      </c>
      <c r="C2068" s="559"/>
      <c r="D2068" s="706"/>
      <c r="E2068" s="723" t="s">
        <v>1389</v>
      </c>
      <c r="F2068" s="723"/>
      <c r="G2068" s="723"/>
      <c r="H2068" s="726" t="s">
        <v>1021</v>
      </c>
      <c r="I2068" s="725"/>
      <c r="J2068" s="165" t="str">
        <f>IFERROR(IF([1]K_Summary!$J$2053 = "", "", [1]K_Summary!$J$2053 ),"")</f>
        <v/>
      </c>
      <c r="K2068" s="166" t="str">
        <f>IFERROR(IF([1]K_Summary!$K$2053 = "", "", [1]K_Summary!$K$2053 ),"")</f>
        <v/>
      </c>
      <c r="L2068" s="166" t="str">
        <f>IFERROR(IF([1]K_Summary!$L$2053 = "", "", [1]K_Summary!$L$2053 ),"")</f>
        <v/>
      </c>
      <c r="M2068" s="166" t="str">
        <f>IFERROR(IF([1]K_Summary!$M$2053 = "", "", [1]K_Summary!$M$2053 ),"")</f>
        <v/>
      </c>
      <c r="N2068" s="167" t="str">
        <f>IFERROR(IF([1]K_Summary!$N$2053 = "", "", [1]K_Summary!$N$2053 ),"")</f>
        <v/>
      </c>
    </row>
    <row r="2069" spans="1:14" ht="15" hidden="1">
      <c r="A2069" s="719" t="s">
        <v>2289</v>
      </c>
      <c r="C2069" s="559"/>
      <c r="D2069" s="706"/>
      <c r="E2069" s="727" t="s">
        <v>1391</v>
      </c>
      <c r="F2069" s="727"/>
      <c r="G2069" s="727"/>
      <c r="H2069" s="728" t="s">
        <v>1021</v>
      </c>
      <c r="I2069" s="729"/>
      <c r="J2069" s="168" t="str">
        <f>IFERROR(IF([1]K_Summary!$J$2054 = "", "", [1]K_Summary!$J$2054 ),"")</f>
        <v/>
      </c>
      <c r="K2069" s="169" t="str">
        <f>IFERROR(IF([1]K_Summary!$K$2054 = "", "", [1]K_Summary!$K$2054 ),"")</f>
        <v/>
      </c>
      <c r="L2069" s="169" t="str">
        <f>IFERROR(IF([1]K_Summary!$L$2054 = "", "", [1]K_Summary!$L$2054 ),"")</f>
        <v/>
      </c>
      <c r="M2069" s="169" t="str">
        <f>IFERROR(IF([1]K_Summary!$M$2054 = "", "", [1]K_Summary!$M$2054 ),"")</f>
        <v/>
      </c>
      <c r="N2069" s="170" t="str">
        <f>IFERROR(IF([1]K_Summary!$N$2054 = "", "", [1]K_Summary!$N$2054 ),"")</f>
        <v/>
      </c>
    </row>
    <row r="2070" spans="1:14" ht="15">
      <c r="C2070" s="559"/>
      <c r="D2070" s="706"/>
      <c r="E2070" s="698" t="s">
        <v>1671</v>
      </c>
      <c r="F2070" s="698"/>
      <c r="G2070" s="698"/>
      <c r="H2070" s="730" t="s">
        <v>2090</v>
      </c>
      <c r="I2070" s="731"/>
      <c r="J2070" s="148" t="str">
        <f>IFERROR(IF([1]K_Summary!$J$2055 = "", "", [1]K_Summary!$J$2055 ),"")</f>
        <v/>
      </c>
      <c r="K2070" s="150" t="str">
        <f>IFERROR(IF([1]K_Summary!$K$2055 = "", "", [1]K_Summary!$K$2055 ),"")</f>
        <v/>
      </c>
      <c r="L2070" s="150" t="str">
        <f>IFERROR(IF([1]K_Summary!$L$2055 = "", "", [1]K_Summary!$L$2055 ),"")</f>
        <v/>
      </c>
      <c r="M2070" s="150" t="str">
        <f>IFERROR(IF([1]K_Summary!$M$2055 = "", "", [1]K_Summary!$M$2055 ),"")</f>
        <v/>
      </c>
      <c r="N2070" s="171" t="str">
        <f>IFERROR(IF([1]K_Summary!$N$2055 = "", "", [1]K_Summary!$N$2055 ),"")</f>
        <v/>
      </c>
    </row>
    <row r="2071" spans="1:14" ht="15">
      <c r="C2071" s="559"/>
      <c r="D2071" s="706"/>
      <c r="E2071" s="698" t="s">
        <v>1670</v>
      </c>
      <c r="F2071" s="698"/>
      <c r="G2071" s="698"/>
      <c r="H2071" s="730" t="s">
        <v>2090</v>
      </c>
      <c r="I2071" s="731"/>
      <c r="J2071" s="148" t="str">
        <f>IFERROR(IF([1]K_Summary!$J$2056 = "", "", [1]K_Summary!$J$2056 ),"")</f>
        <v/>
      </c>
      <c r="K2071" s="150" t="str">
        <f>IFERROR(IF([1]K_Summary!$K$2056 = "", "", [1]K_Summary!$K$2056 ),"")</f>
        <v/>
      </c>
      <c r="L2071" s="150" t="str">
        <f>IFERROR(IF([1]K_Summary!$L$2056 = "", "", [1]K_Summary!$L$2056 ),"")</f>
        <v/>
      </c>
      <c r="M2071" s="150" t="str">
        <f>IFERROR(IF([1]K_Summary!$M$2056 = "", "", [1]K_Summary!$M$2056 ),"")</f>
        <v/>
      </c>
      <c r="N2071" s="171" t="str">
        <f>IFERROR(IF([1]K_Summary!$N$2056 = "", "", [1]K_Summary!$N$2056 ),"")</f>
        <v/>
      </c>
    </row>
    <row r="2072" spans="1:14" ht="15">
      <c r="C2072" s="559"/>
      <c r="D2072" s="706"/>
      <c r="E2072" s="740" t="s">
        <v>2135</v>
      </c>
      <c r="F2072" s="698"/>
      <c r="G2072" s="698"/>
      <c r="H2072" s="741" t="s">
        <v>1021</v>
      </c>
      <c r="I2072" s="742"/>
      <c r="J2072" s="183" t="str">
        <f>IFERROR(IF([1]K_Summary!$J$2057 = "", "", [1]K_Summary!$J$2057 ),"")</f>
        <v/>
      </c>
      <c r="K2072" s="184" t="str">
        <f>IFERROR(IF([1]K_Summary!$K$2057 = "", "", [1]K_Summary!$K$2057 ),"")</f>
        <v/>
      </c>
      <c r="L2072" s="184" t="str">
        <f>IFERROR(IF([1]K_Summary!$L$2057 = "", "", [1]K_Summary!$L$2057 ),"")</f>
        <v/>
      </c>
      <c r="M2072" s="184" t="str">
        <f>IFERROR(IF([1]K_Summary!$M$2057 = "", "", [1]K_Summary!$M$2057 ),"")</f>
        <v/>
      </c>
      <c r="N2072" s="185" t="str">
        <f>IFERROR(IF([1]K_Summary!$N$2057 = "", "", [1]K_Summary!$N$2057 ),"")</f>
        <v/>
      </c>
    </row>
    <row r="2073" spans="1:14" ht="15.75" thickBot="1">
      <c r="C2073" s="559"/>
      <c r="D2073" s="755"/>
      <c r="E2073" s="756"/>
      <c r="F2073" s="756"/>
      <c r="G2073" s="756"/>
      <c r="H2073" s="756"/>
      <c r="I2073" s="757"/>
      <c r="J2073" s="756"/>
      <c r="K2073" s="756"/>
      <c r="L2073" s="756"/>
      <c r="M2073" s="756"/>
      <c r="N2073" s="758"/>
    </row>
    <row r="2074" spans="1:14" ht="15.75" thickBot="1">
      <c r="C2074" s="559"/>
      <c r="D2074" s="559"/>
      <c r="E2074" s="485"/>
      <c r="F2074" s="485"/>
      <c r="G2074" s="485"/>
      <c r="H2074" s="485"/>
      <c r="I2074" s="743"/>
      <c r="J2074" s="485"/>
      <c r="K2074" s="485"/>
      <c r="L2074" s="485"/>
      <c r="M2074" s="485"/>
      <c r="N2074" s="485"/>
    </row>
    <row r="2075" spans="1:14">
      <c r="C2075" s="485"/>
      <c r="D2075" s="759"/>
      <c r="E2075" s="760"/>
      <c r="F2075" s="760"/>
      <c r="G2075" s="760"/>
      <c r="H2075" s="760"/>
      <c r="I2075" s="761"/>
      <c r="J2075" s="760"/>
      <c r="K2075" s="760"/>
      <c r="L2075" s="760"/>
      <c r="M2075" s="760"/>
      <c r="N2075" s="762"/>
    </row>
    <row r="2076" spans="1:14">
      <c r="C2076" s="485"/>
      <c r="D2076" s="539"/>
      <c r="E2076" s="496" t="s">
        <v>1786</v>
      </c>
      <c r="F2076" s="485"/>
      <c r="G2076" s="485"/>
      <c r="H2076" s="663" t="s">
        <v>884</v>
      </c>
      <c r="I2076" s="763" t="s">
        <v>1675</v>
      </c>
      <c r="J2076" s="709">
        <v>2021</v>
      </c>
      <c r="K2076" s="671">
        <v>2022</v>
      </c>
      <c r="L2076" s="671">
        <v>2023</v>
      </c>
      <c r="M2076" s="671">
        <v>2024</v>
      </c>
      <c r="N2076" s="710">
        <v>2025</v>
      </c>
    </row>
    <row r="2077" spans="1:14">
      <c r="C2077" s="485"/>
      <c r="D2077" s="539"/>
      <c r="E2077" s="720" t="s">
        <v>1714</v>
      </c>
      <c r="F2077" s="720"/>
      <c r="G2077" s="720"/>
      <c r="H2077" s="67" t="str">
        <f>IFERROR(IF([1]K_Summary!$H$2062 = "", "", [1]K_Summary!$H$2062 ),"")</f>
        <v>tonnes</v>
      </c>
      <c r="I2077" s="207" t="str">
        <f>IFERROR(IF([1]K_Summary!$I$2062 = "", "", [1]K_Summary!$I$2062 ),"")</f>
        <v/>
      </c>
      <c r="J2077" s="172" t="str">
        <f>IFERROR(IF([1]K_Summary!$J$2062 = "", "", [1]K_Summary!$J$2062 ),"")</f>
        <v/>
      </c>
      <c r="K2077" s="54" t="str">
        <f>IFERROR(IF([1]K_Summary!$K$2062 = "", "", [1]K_Summary!$K$2062 ),"")</f>
        <v/>
      </c>
      <c r="L2077" s="54" t="str">
        <f>IFERROR(IF([1]K_Summary!$L$2062 = "", "", [1]K_Summary!$L$2062 ),"")</f>
        <v/>
      </c>
      <c r="M2077" s="54" t="str">
        <f>IFERROR(IF([1]K_Summary!$M$2062 = "", "", [1]K_Summary!$M$2062 ),"")</f>
        <v/>
      </c>
      <c r="N2077" s="173" t="str">
        <f>IFERROR(IF([1]K_Summary!$N$2062 = "", "", [1]K_Summary!$N$2062 ),"")</f>
        <v/>
      </c>
    </row>
    <row r="2078" spans="1:14">
      <c r="C2078" s="485"/>
      <c r="D2078" s="539"/>
      <c r="E2078" s="645" t="s">
        <v>303</v>
      </c>
      <c r="F2078" s="645"/>
      <c r="G2078" s="645"/>
      <c r="H2078" s="765" t="s">
        <v>2090</v>
      </c>
      <c r="I2078" s="208" t="str">
        <f>IFERROR(IF([1]K_Summary!$I$2063 = "", "", [1]K_Summary!$I$2063 ),"")</f>
        <v/>
      </c>
      <c r="J2078" s="209" t="str">
        <f>IFERROR(IF([1]K_Summary!$J$2063 = "", "", [1]K_Summary!$J$2063 ),"")</f>
        <v/>
      </c>
      <c r="K2078" s="210" t="str">
        <f>IFERROR(IF([1]K_Summary!$K$2063 = "", "", [1]K_Summary!$K$2063 ),"")</f>
        <v/>
      </c>
      <c r="L2078" s="210" t="str">
        <f>IFERROR(IF([1]K_Summary!$L$2063 = "", "", [1]K_Summary!$L$2063 ),"")</f>
        <v/>
      </c>
      <c r="M2078" s="210" t="str">
        <f>IFERROR(IF([1]K_Summary!$M$2063 = "", "", [1]K_Summary!$M$2063 ),"")</f>
        <v/>
      </c>
      <c r="N2078" s="211" t="str">
        <f>IFERROR(IF([1]K_Summary!$N$2063 = "", "", [1]K_Summary!$N$2063 ),"")</f>
        <v/>
      </c>
    </row>
    <row r="2079" spans="1:14">
      <c r="C2079" s="485"/>
      <c r="D2079" s="539"/>
      <c r="E2079" s="723" t="s">
        <v>1422</v>
      </c>
      <c r="F2079" s="723"/>
      <c r="G2079" s="723"/>
      <c r="H2079" s="724" t="s">
        <v>2090</v>
      </c>
      <c r="I2079" s="212" t="str">
        <f>IFERROR(IF([1]K_Summary!$I$2064 = "", "", [1]K_Summary!$I$2064 ),"")</f>
        <v/>
      </c>
      <c r="J2079" s="213" t="str">
        <f>IFERROR(IF([1]K_Summary!$J$2064 = "", "", [1]K_Summary!$J$2064 ),"")</f>
        <v/>
      </c>
      <c r="K2079" s="214" t="str">
        <f>IFERROR(IF([1]K_Summary!$K$2064 = "", "", [1]K_Summary!$K$2064 ),"")</f>
        <v/>
      </c>
      <c r="L2079" s="214" t="str">
        <f>IFERROR(IF([1]K_Summary!$L$2064 = "", "", [1]K_Summary!$L$2064 ),"")</f>
        <v/>
      </c>
      <c r="M2079" s="214" t="str">
        <f>IFERROR(IF([1]K_Summary!$M$2064 = "", "", [1]K_Summary!$M$2064 ),"")</f>
        <v/>
      </c>
      <c r="N2079" s="215" t="str">
        <f>IFERROR(IF([1]K_Summary!$N$2064 = "", "", [1]K_Summary!$N$2064 ),"")</f>
        <v/>
      </c>
    </row>
    <row r="2080" spans="1:14">
      <c r="C2080" s="485"/>
      <c r="D2080" s="539"/>
      <c r="E2080" s="723" t="s">
        <v>1390</v>
      </c>
      <c r="F2080" s="723"/>
      <c r="G2080" s="723"/>
      <c r="H2080" s="724" t="s">
        <v>2090</v>
      </c>
      <c r="I2080" s="212" t="str">
        <f>IFERROR(IF([1]K_Summary!$I$2065 = "", "", [1]K_Summary!$I$2065 ),"")</f>
        <v/>
      </c>
      <c r="J2080" s="213" t="str">
        <f>IFERROR(IF([1]K_Summary!$J$2065 = "", "", [1]K_Summary!$J$2065 ),"")</f>
        <v/>
      </c>
      <c r="K2080" s="214" t="str">
        <f>IFERROR(IF([1]K_Summary!$K$2065 = "", "", [1]K_Summary!$K$2065 ),"")</f>
        <v/>
      </c>
      <c r="L2080" s="214" t="str">
        <f>IFERROR(IF([1]K_Summary!$L$2065 = "", "", [1]K_Summary!$L$2065 ),"")</f>
        <v/>
      </c>
      <c r="M2080" s="214" t="str">
        <f>IFERROR(IF([1]K_Summary!$M$2065 = "", "", [1]K_Summary!$M$2065 ),"")</f>
        <v/>
      </c>
      <c r="N2080" s="215" t="str">
        <f>IFERROR(IF([1]K_Summary!$N$2065 = "", "", [1]K_Summary!$N$2065 ),"")</f>
        <v/>
      </c>
    </row>
    <row r="2081" spans="3:14">
      <c r="C2081" s="485"/>
      <c r="D2081" s="539"/>
      <c r="E2081" s="723" t="s">
        <v>1389</v>
      </c>
      <c r="F2081" s="723"/>
      <c r="G2081" s="723"/>
      <c r="H2081" s="726" t="s">
        <v>1021</v>
      </c>
      <c r="I2081" s="216" t="str">
        <f>IFERROR(IF([1]K_Summary!$I$2066 = "", "", [1]K_Summary!$I$2066 ),"")</f>
        <v/>
      </c>
      <c r="J2081" s="217" t="str">
        <f>IFERROR(IF([1]K_Summary!$J$2066 = "", "", [1]K_Summary!$J$2066 ),"")</f>
        <v/>
      </c>
      <c r="K2081" s="218" t="str">
        <f>IFERROR(IF([1]K_Summary!$K$2066 = "", "", [1]K_Summary!$K$2066 ),"")</f>
        <v/>
      </c>
      <c r="L2081" s="218" t="str">
        <f>IFERROR(IF([1]K_Summary!$L$2066 = "", "", [1]K_Summary!$L$2066 ),"")</f>
        <v/>
      </c>
      <c r="M2081" s="218" t="str">
        <f>IFERROR(IF([1]K_Summary!$M$2066 = "", "", [1]K_Summary!$M$2066 ),"")</f>
        <v/>
      </c>
      <c r="N2081" s="219" t="str">
        <f>IFERROR(IF([1]K_Summary!$N$2066 = "", "", [1]K_Summary!$N$2066 ),"")</f>
        <v/>
      </c>
    </row>
    <row r="2082" spans="3:14">
      <c r="C2082" s="485"/>
      <c r="D2082" s="539"/>
      <c r="E2082" s="727" t="s">
        <v>1391</v>
      </c>
      <c r="F2082" s="727"/>
      <c r="G2082" s="727"/>
      <c r="H2082" s="728" t="s">
        <v>1021</v>
      </c>
      <c r="I2082" s="220" t="str">
        <f>IFERROR(IF([1]K_Summary!$I$2067 = "", "", [1]K_Summary!$I$2067 ),"")</f>
        <v/>
      </c>
      <c r="J2082" s="221" t="str">
        <f>IFERROR(IF([1]K_Summary!$J$2067 = "", "", [1]K_Summary!$J$2067 ),"")</f>
        <v/>
      </c>
      <c r="K2082" s="222" t="str">
        <f>IFERROR(IF([1]K_Summary!$K$2067 = "", "", [1]K_Summary!$K$2067 ),"")</f>
        <v/>
      </c>
      <c r="L2082" s="222" t="str">
        <f>IFERROR(IF([1]K_Summary!$L$2067 = "", "", [1]K_Summary!$L$2067 ),"")</f>
        <v/>
      </c>
      <c r="M2082" s="222" t="str">
        <f>IFERROR(IF([1]K_Summary!$M$2067 = "", "", [1]K_Summary!$M$2067 ),"")</f>
        <v/>
      </c>
      <c r="N2082" s="223" t="str">
        <f>IFERROR(IF([1]K_Summary!$N$2067 = "", "", [1]K_Summary!$N$2067 ),"")</f>
        <v/>
      </c>
    </row>
    <row r="2083" spans="3:14">
      <c r="C2083" s="485"/>
      <c r="D2083" s="539"/>
      <c r="E2083" s="698" t="s">
        <v>222</v>
      </c>
      <c r="F2083" s="698"/>
      <c r="G2083" s="698"/>
      <c r="H2083" s="730" t="s">
        <v>2090</v>
      </c>
      <c r="I2083" s="224" t="str">
        <f>IFERROR(IF([1]K_Summary!$I$2068 = "", "", [1]K_Summary!$I$2068 ),"")</f>
        <v/>
      </c>
      <c r="J2083" s="148" t="str">
        <f>IFERROR(IF([1]K_Summary!$J$2068 = "", "", [1]K_Summary!$J$2068 ),"")</f>
        <v/>
      </c>
      <c r="K2083" s="150" t="str">
        <f>IFERROR(IF([1]K_Summary!$K$2068 = "", "", [1]K_Summary!$K$2068 ),"")</f>
        <v/>
      </c>
      <c r="L2083" s="150" t="str">
        <f>IFERROR(IF([1]K_Summary!$L$2068 = "", "", [1]K_Summary!$L$2068 ),"")</f>
        <v/>
      </c>
      <c r="M2083" s="150" t="str">
        <f>IFERROR(IF([1]K_Summary!$M$2068 = "", "", [1]K_Summary!$M$2068 ),"")</f>
        <v/>
      </c>
      <c r="N2083" s="171" t="str">
        <f>IFERROR(IF([1]K_Summary!$N$2068 = "", "", [1]K_Summary!$N$2068 ),"")</f>
        <v/>
      </c>
    </row>
    <row r="2084" spans="3:14" ht="13.5" thickBot="1">
      <c r="C2084" s="485"/>
      <c r="D2084" s="771"/>
      <c r="E2084" s="756"/>
      <c r="F2084" s="756"/>
      <c r="G2084" s="756"/>
      <c r="H2084" s="756"/>
      <c r="I2084" s="756"/>
      <c r="J2084" s="756"/>
      <c r="K2084" s="756"/>
      <c r="L2084" s="756"/>
      <c r="M2084" s="756"/>
      <c r="N2084" s="758"/>
    </row>
    <row r="2085" spans="3:14" ht="13.5" thickBot="1">
      <c r="C2085" s="485"/>
      <c r="D2085" s="562"/>
      <c r="E2085" s="561"/>
      <c r="F2085" s="485"/>
      <c r="G2085" s="485"/>
      <c r="H2085" s="485"/>
      <c r="I2085" s="485"/>
      <c r="J2085" s="485"/>
      <c r="K2085" s="485"/>
      <c r="L2085" s="485"/>
      <c r="M2085" s="485"/>
      <c r="N2085" s="485"/>
    </row>
    <row r="2086" spans="3:14">
      <c r="C2086" s="485"/>
      <c r="D2086" s="772"/>
      <c r="E2086" s="773"/>
      <c r="F2086" s="773"/>
      <c r="G2086" s="774"/>
      <c r="H2086" s="774"/>
      <c r="I2086" s="774"/>
      <c r="J2086" s="774"/>
      <c r="K2086" s="774"/>
      <c r="L2086" s="774"/>
      <c r="M2086" s="774"/>
      <c r="N2086" s="775"/>
    </row>
    <row r="2087" spans="3:14" ht="13.5" thickBot="1">
      <c r="C2087" s="485"/>
      <c r="D2087" s="776"/>
      <c r="E2087" s="777"/>
      <c r="F2087" s="777"/>
      <c r="G2087" s="778" t="s">
        <v>884</v>
      </c>
      <c r="H2087" s="779">
        <v>2019</v>
      </c>
      <c r="I2087" s="780">
        <v>2020</v>
      </c>
      <c r="J2087" s="781">
        <v>2021</v>
      </c>
      <c r="K2087" s="782">
        <v>2022</v>
      </c>
      <c r="L2087" s="782">
        <v>2023</v>
      </c>
      <c r="M2087" s="782">
        <v>2024</v>
      </c>
      <c r="N2087" s="783">
        <v>2025</v>
      </c>
    </row>
    <row r="2088" spans="3:14" ht="13.5" thickBot="1">
      <c r="C2088" s="485"/>
      <c r="D2088" s="776"/>
      <c r="E2088" s="2470" t="s">
        <v>1504</v>
      </c>
      <c r="F2088" s="2470"/>
      <c r="G2088" s="808" t="s">
        <v>2016</v>
      </c>
      <c r="H2088" s="225" t="str">
        <f>IFERROR(IF([1]K_Summary!$H$2073 = "", "", [1]K_Summary!$H$2073 ),"")</f>
        <v/>
      </c>
      <c r="I2088" s="226" t="str">
        <f>IFERROR(IF([1]K_Summary!$I$2073 = "", "", [1]K_Summary!$I$2073 ),"")</f>
        <v/>
      </c>
      <c r="J2088" s="225" t="str">
        <f>IFERROR(IF([1]K_Summary!$J$2073 = "", "", [1]K_Summary!$J$2073 ),"")</f>
        <v/>
      </c>
      <c r="K2088" s="227" t="str">
        <f>IFERROR(IF([1]K_Summary!$K$2073 = "", "", [1]K_Summary!$K$2073 ),"")</f>
        <v/>
      </c>
      <c r="L2088" s="227" t="str">
        <f>IFERROR(IF([1]K_Summary!$L$2073 = "", "", [1]K_Summary!$L$2073 ),"")</f>
        <v/>
      </c>
      <c r="M2088" s="227" t="str">
        <f>IFERROR(IF([1]K_Summary!$M$2073 = "", "", [1]K_Summary!$M$2073 ),"")</f>
        <v/>
      </c>
      <c r="N2088" s="228" t="str">
        <f>IFERROR(IF([1]K_Summary!$N$2073 = "", "", [1]K_Summary!$N$2073 ),"")</f>
        <v/>
      </c>
    </row>
    <row r="2089" spans="3:14">
      <c r="C2089" s="485"/>
      <c r="D2089" s="776"/>
      <c r="E2089" s="809"/>
      <c r="F2089" s="809"/>
      <c r="G2089" s="777"/>
      <c r="H2089" s="777"/>
      <c r="I2089" s="777"/>
      <c r="J2089" s="777"/>
      <c r="K2089" s="777"/>
      <c r="L2089" s="777"/>
      <c r="M2089" s="777"/>
      <c r="N2089" s="810"/>
    </row>
    <row r="2090" spans="3:14">
      <c r="C2090" s="485"/>
      <c r="D2090" s="776"/>
      <c r="E2090" s="2471" t="s">
        <v>1344</v>
      </c>
      <c r="F2090" s="2472"/>
      <c r="G2090" s="811" t="s">
        <v>2017</v>
      </c>
      <c r="H2090" s="127" t="str">
        <f>IFERROR(IF([1]K_Summary!$H$2075 = "", "", [1]K_Summary!$H$2075 ),"")</f>
        <v/>
      </c>
      <c r="I2090" s="229" t="str">
        <f>IFERROR(IF([1]K_Summary!$I$2075 = "", "", [1]K_Summary!$I$2075 ),"")</f>
        <v/>
      </c>
      <c r="J2090" s="230" t="str">
        <f>IFERROR(IF([1]K_Summary!$J$2075 = "", "", [1]K_Summary!$J$2075 ),"")</f>
        <v/>
      </c>
      <c r="K2090" s="127" t="str">
        <f>IFERROR(IF([1]K_Summary!$K$2075 = "", "", [1]K_Summary!$K$2075 ),"")</f>
        <v/>
      </c>
      <c r="L2090" s="127" t="str">
        <f>IFERROR(IF([1]K_Summary!$L$2075 = "", "", [1]K_Summary!$L$2075 ),"")</f>
        <v/>
      </c>
      <c r="M2090" s="127" t="str">
        <f>IFERROR(IF([1]K_Summary!$M$2075 = "", "", [1]K_Summary!$M$2075 ),"")</f>
        <v/>
      </c>
      <c r="N2090" s="231" t="str">
        <f>IFERROR(IF([1]K_Summary!$N$2075 = "", "", [1]K_Summary!$N$2075 ),"")</f>
        <v/>
      </c>
    </row>
    <row r="2091" spans="3:14">
      <c r="C2091" s="485"/>
      <c r="D2091" s="776"/>
      <c r="E2091" s="2473" t="s">
        <v>1182</v>
      </c>
      <c r="F2091" s="2474"/>
      <c r="G2091" s="812" t="s">
        <v>2018</v>
      </c>
      <c r="H2091" s="128" t="str">
        <f>IFERROR(IF([1]K_Summary!$H$2076 = "", "", [1]K_Summary!$H$2076 ),"")</f>
        <v/>
      </c>
      <c r="I2091" s="232" t="str">
        <f>IFERROR(IF([1]K_Summary!$I$2076 = "", "", [1]K_Summary!$I$2076 ),"")</f>
        <v/>
      </c>
      <c r="J2091" s="233" t="str">
        <f>IFERROR(IF([1]K_Summary!$J$2076 = "", "", [1]K_Summary!$J$2076 ),"")</f>
        <v/>
      </c>
      <c r="K2091" s="128" t="str">
        <f>IFERROR(IF([1]K_Summary!$K$2076 = "", "", [1]K_Summary!$K$2076 ),"")</f>
        <v/>
      </c>
      <c r="L2091" s="128" t="str">
        <f>IFERROR(IF([1]K_Summary!$L$2076 = "", "", [1]K_Summary!$L$2076 ),"")</f>
        <v/>
      </c>
      <c r="M2091" s="128" t="str">
        <f>IFERROR(IF([1]K_Summary!$M$2076 = "", "", [1]K_Summary!$M$2076 ),"")</f>
        <v/>
      </c>
      <c r="N2091" s="234" t="str">
        <f>IFERROR(IF([1]K_Summary!$N$2076 = "", "", [1]K_Summary!$N$2076 ),"")</f>
        <v/>
      </c>
    </row>
    <row r="2092" spans="3:14">
      <c r="C2092" s="485"/>
      <c r="D2092" s="776"/>
      <c r="E2092" s="809"/>
      <c r="F2092" s="809"/>
      <c r="G2092" s="813"/>
      <c r="H2092" s="813"/>
      <c r="I2092" s="813"/>
      <c r="J2092" s="813"/>
      <c r="K2092" s="813"/>
      <c r="L2092" s="813"/>
      <c r="M2092" s="813"/>
      <c r="N2092" s="814"/>
    </row>
    <row r="2093" spans="3:14">
      <c r="C2093" s="485"/>
      <c r="D2093" s="776"/>
      <c r="E2093" s="2475" t="s">
        <v>63</v>
      </c>
      <c r="F2093" s="2410"/>
      <c r="G2093" s="815" t="s">
        <v>2015</v>
      </c>
      <c r="H2093" s="126" t="str">
        <f>IFERROR(IF([1]K_Summary!$H$2078 = "", "", [1]K_Summary!$H$2078 ),"")</f>
        <v/>
      </c>
      <c r="I2093" s="235" t="str">
        <f>IFERROR(IF([1]K_Summary!$I$2078 = "", "", [1]K_Summary!$I$2078 ),"")</f>
        <v/>
      </c>
      <c r="J2093" s="236" t="str">
        <f>IFERROR(IF([1]K_Summary!$J$2078 = "", "", [1]K_Summary!$J$2078 ),"")</f>
        <v/>
      </c>
      <c r="K2093" s="126" t="str">
        <f>IFERROR(IF([1]K_Summary!$K$2078 = "", "", [1]K_Summary!$K$2078 ),"")</f>
        <v/>
      </c>
      <c r="L2093" s="126" t="str">
        <f>IFERROR(IF([1]K_Summary!$L$2078 = "", "", [1]K_Summary!$L$2078 ),"")</f>
        <v/>
      </c>
      <c r="M2093" s="126" t="str">
        <f>IFERROR(IF([1]K_Summary!$M$2078 = "", "", [1]K_Summary!$M$2078 ),"")</f>
        <v/>
      </c>
      <c r="N2093" s="237" t="str">
        <f>IFERROR(IF([1]K_Summary!$N$2078 = "", "", [1]K_Summary!$N$2078 ),"")</f>
        <v/>
      </c>
    </row>
    <row r="2094" spans="3:14">
      <c r="C2094" s="485"/>
      <c r="D2094" s="776"/>
      <c r="E2094" s="2475" t="s">
        <v>1154</v>
      </c>
      <c r="F2094" s="2410"/>
      <c r="G2094" s="815" t="s">
        <v>2015</v>
      </c>
      <c r="H2094" s="126" t="str">
        <f>IFERROR(IF([1]K_Summary!$H$2079 = "", "", [1]K_Summary!$H$2079 ),"")</f>
        <v/>
      </c>
      <c r="I2094" s="235" t="str">
        <f>IFERROR(IF([1]K_Summary!$I$2079 = "", "", [1]K_Summary!$I$2079 ),"")</f>
        <v/>
      </c>
      <c r="J2094" s="236" t="str">
        <f>IFERROR(IF([1]K_Summary!$J$2079 = "", "", [1]K_Summary!$J$2079 ),"")</f>
        <v/>
      </c>
      <c r="K2094" s="126" t="str">
        <f>IFERROR(IF([1]K_Summary!$K$2079 = "", "", [1]K_Summary!$K$2079 ),"")</f>
        <v/>
      </c>
      <c r="L2094" s="126" t="str">
        <f>IFERROR(IF([1]K_Summary!$L$2079 = "", "", [1]K_Summary!$L$2079 ),"")</f>
        <v/>
      </c>
      <c r="M2094" s="126" t="str">
        <f>IFERROR(IF([1]K_Summary!$M$2079 = "", "", [1]K_Summary!$M$2079 ),"")</f>
        <v/>
      </c>
      <c r="N2094" s="237" t="str">
        <f>IFERROR(IF([1]K_Summary!$N$2079 = "", "", [1]K_Summary!$N$2079 ),"")</f>
        <v/>
      </c>
    </row>
    <row r="2095" spans="3:14">
      <c r="C2095" s="485"/>
      <c r="D2095" s="776"/>
      <c r="E2095" s="2475" t="s">
        <v>1155</v>
      </c>
      <c r="F2095" s="2410"/>
      <c r="G2095" s="815" t="s">
        <v>2015</v>
      </c>
      <c r="H2095" s="126" t="str">
        <f>IFERROR(IF([1]K_Summary!$H$2080 = "", "", [1]K_Summary!$H$2080 ),"")</f>
        <v/>
      </c>
      <c r="I2095" s="235" t="str">
        <f>IFERROR(IF([1]K_Summary!$I$2080 = "", "", [1]K_Summary!$I$2080 ),"")</f>
        <v/>
      </c>
      <c r="J2095" s="236" t="str">
        <f>IFERROR(IF([1]K_Summary!$J$2080 = "", "", [1]K_Summary!$J$2080 ),"")</f>
        <v/>
      </c>
      <c r="K2095" s="126" t="str">
        <f>IFERROR(IF([1]K_Summary!$K$2080 = "", "", [1]K_Summary!$K$2080 ),"")</f>
        <v/>
      </c>
      <c r="L2095" s="126" t="str">
        <f>IFERROR(IF([1]K_Summary!$L$2080 = "", "", [1]K_Summary!$L$2080 ),"")</f>
        <v/>
      </c>
      <c r="M2095" s="126" t="str">
        <f>IFERROR(IF([1]K_Summary!$M$2080 = "", "", [1]K_Summary!$M$2080 ),"")</f>
        <v/>
      </c>
      <c r="N2095" s="237" t="str">
        <f>IFERROR(IF([1]K_Summary!$N$2080 = "", "", [1]K_Summary!$N$2080 ),"")</f>
        <v/>
      </c>
    </row>
    <row r="2096" spans="3:14">
      <c r="C2096" s="485"/>
      <c r="D2096" s="776"/>
      <c r="E2096" s="2475" t="s">
        <v>1156</v>
      </c>
      <c r="F2096" s="2410"/>
      <c r="G2096" s="815" t="s">
        <v>2016</v>
      </c>
      <c r="H2096" s="126" t="str">
        <f>IFERROR(IF([1]K_Summary!$H$2081 = "", "", [1]K_Summary!$H$2081 ),"")</f>
        <v/>
      </c>
      <c r="I2096" s="235" t="str">
        <f>IFERROR(IF([1]K_Summary!$I$2081 = "", "", [1]K_Summary!$I$2081 ),"")</f>
        <v/>
      </c>
      <c r="J2096" s="236" t="str">
        <f>IFERROR(IF([1]K_Summary!$J$2081 = "", "", [1]K_Summary!$J$2081 ),"")</f>
        <v/>
      </c>
      <c r="K2096" s="126" t="str">
        <f>IFERROR(IF([1]K_Summary!$K$2081 = "", "", [1]K_Summary!$K$2081 ),"")</f>
        <v/>
      </c>
      <c r="L2096" s="126" t="str">
        <f>IFERROR(IF([1]K_Summary!$L$2081 = "", "", [1]K_Summary!$L$2081 ),"")</f>
        <v/>
      </c>
      <c r="M2096" s="126" t="str">
        <f>IFERROR(IF([1]K_Summary!$M$2081 = "", "", [1]K_Summary!$M$2081 ),"")</f>
        <v/>
      </c>
      <c r="N2096" s="237" t="str">
        <f>IFERROR(IF([1]K_Summary!$N$2081 = "", "", [1]K_Summary!$N$2081 ),"")</f>
        <v/>
      </c>
    </row>
    <row r="2097" spans="3:14">
      <c r="C2097" s="485"/>
      <c r="D2097" s="776"/>
      <c r="E2097" s="809"/>
      <c r="F2097" s="809"/>
      <c r="G2097" s="813"/>
      <c r="H2097" s="813"/>
      <c r="I2097" s="813"/>
      <c r="J2097" s="813"/>
      <c r="K2097" s="813"/>
      <c r="L2097" s="813"/>
      <c r="M2097" s="813"/>
      <c r="N2097" s="814"/>
    </row>
    <row r="2098" spans="3:14">
      <c r="C2098" s="485"/>
      <c r="D2098" s="776"/>
      <c r="E2098" s="2471" t="s">
        <v>1087</v>
      </c>
      <c r="F2098" s="2472"/>
      <c r="G2098" s="811" t="s">
        <v>2017</v>
      </c>
      <c r="H2098" s="127" t="str">
        <f>IFERROR(IF([1]K_Summary!$H$2083 = "", "", [1]K_Summary!$H$2083 ),"")</f>
        <v/>
      </c>
      <c r="I2098" s="229" t="str">
        <f>IFERROR(IF([1]K_Summary!$I$2083 = "", "", [1]K_Summary!$I$2083 ),"")</f>
        <v/>
      </c>
      <c r="J2098" s="230" t="str">
        <f>IFERROR(IF([1]K_Summary!$J$2083 = "", "", [1]K_Summary!$J$2083 ),"")</f>
        <v/>
      </c>
      <c r="K2098" s="127" t="str">
        <f>IFERROR(IF([1]K_Summary!$K$2083 = "", "", [1]K_Summary!$K$2083 ),"")</f>
        <v/>
      </c>
      <c r="L2098" s="127" t="str">
        <f>IFERROR(IF([1]K_Summary!$L$2083 = "", "", [1]K_Summary!$L$2083 ),"")</f>
        <v/>
      </c>
      <c r="M2098" s="127" t="str">
        <f>IFERROR(IF([1]K_Summary!$M$2083 = "", "", [1]K_Summary!$M$2083 ),"")</f>
        <v/>
      </c>
      <c r="N2098" s="231" t="str">
        <f>IFERROR(IF([1]K_Summary!$N$2083 = "", "", [1]K_Summary!$N$2083 ),"")</f>
        <v/>
      </c>
    </row>
    <row r="2099" spans="3:14">
      <c r="C2099" s="485"/>
      <c r="D2099" s="776"/>
      <c r="E2099" s="2473" t="s">
        <v>1103</v>
      </c>
      <c r="F2099" s="2474"/>
      <c r="G2099" s="812" t="s">
        <v>2018</v>
      </c>
      <c r="H2099" s="128" t="str">
        <f>IFERROR(IF([1]K_Summary!$H$2084 = "", "", [1]K_Summary!$H$2084 ),"")</f>
        <v/>
      </c>
      <c r="I2099" s="232" t="str">
        <f>IFERROR(IF([1]K_Summary!$I$2084 = "", "", [1]K_Summary!$I$2084 ),"")</f>
        <v/>
      </c>
      <c r="J2099" s="233" t="str">
        <f>IFERROR(IF([1]K_Summary!$J$2084 = "", "", [1]K_Summary!$J$2084 ),"")</f>
        <v/>
      </c>
      <c r="K2099" s="128" t="str">
        <f>IFERROR(IF([1]K_Summary!$K$2084 = "", "", [1]K_Summary!$K$2084 ),"")</f>
        <v/>
      </c>
      <c r="L2099" s="128" t="str">
        <f>IFERROR(IF([1]K_Summary!$L$2084 = "", "", [1]K_Summary!$L$2084 ),"")</f>
        <v/>
      </c>
      <c r="M2099" s="128" t="str">
        <f>IFERROR(IF([1]K_Summary!$M$2084 = "", "", [1]K_Summary!$M$2084 ),"")</f>
        <v/>
      </c>
      <c r="N2099" s="234" t="str">
        <f>IFERROR(IF([1]K_Summary!$N$2084 = "", "", [1]K_Summary!$N$2084 ),"")</f>
        <v/>
      </c>
    </row>
    <row r="2100" spans="3:14">
      <c r="C2100" s="485"/>
      <c r="D2100" s="776"/>
      <c r="E2100" s="809"/>
      <c r="F2100" s="809"/>
      <c r="G2100" s="813"/>
      <c r="H2100" s="813"/>
      <c r="I2100" s="813"/>
      <c r="J2100" s="813"/>
      <c r="K2100" s="813"/>
      <c r="L2100" s="813"/>
      <c r="M2100" s="813"/>
      <c r="N2100" s="814"/>
    </row>
    <row r="2101" spans="3:14">
      <c r="C2101" s="485"/>
      <c r="D2101" s="776"/>
      <c r="E2101" s="2475" t="s">
        <v>1150</v>
      </c>
      <c r="F2101" s="2410"/>
      <c r="G2101" s="815" t="s">
        <v>2017</v>
      </c>
      <c r="H2101" s="126" t="str">
        <f>IFERROR(IF([1]K_Summary!$H$2086 = "", "", [1]K_Summary!$H$2086 ),"")</f>
        <v/>
      </c>
      <c r="I2101" s="235" t="str">
        <f>IFERROR(IF([1]K_Summary!$I$2086 = "", "", [1]K_Summary!$I$2086 ),"")</f>
        <v/>
      </c>
      <c r="J2101" s="236" t="str">
        <f>IFERROR(IF([1]K_Summary!$J$2086 = "", "", [1]K_Summary!$J$2086 ),"")</f>
        <v/>
      </c>
      <c r="K2101" s="126" t="str">
        <f>IFERROR(IF([1]K_Summary!$K$2086 = "", "", [1]K_Summary!$K$2086 ),"")</f>
        <v/>
      </c>
      <c r="L2101" s="126" t="str">
        <f>IFERROR(IF([1]K_Summary!$L$2086 = "", "", [1]K_Summary!$L$2086 ),"")</f>
        <v/>
      </c>
      <c r="M2101" s="126" t="str">
        <f>IFERROR(IF([1]K_Summary!$M$2086 = "", "", [1]K_Summary!$M$2086 ),"")</f>
        <v/>
      </c>
      <c r="N2101" s="237" t="str">
        <f>IFERROR(IF([1]K_Summary!$N$2086 = "", "", [1]K_Summary!$N$2086 ),"")</f>
        <v/>
      </c>
    </row>
    <row r="2102" spans="3:14" ht="13.15" customHeight="1">
      <c r="C2102" s="485"/>
      <c r="D2102" s="776"/>
      <c r="E2102" s="2475" t="s">
        <v>1149</v>
      </c>
      <c r="F2102" s="2410"/>
      <c r="G2102" s="815" t="s">
        <v>2017</v>
      </c>
      <c r="H2102" s="126" t="str">
        <f>IFERROR(IF([1]K_Summary!$H$2087 = "", "", [1]K_Summary!$H$2087 ),"")</f>
        <v/>
      </c>
      <c r="I2102" s="235" t="str">
        <f>IFERROR(IF([1]K_Summary!$I$2087 = "", "", [1]K_Summary!$I$2087 ),"")</f>
        <v/>
      </c>
      <c r="J2102" s="236" t="str">
        <f>IFERROR(IF([1]K_Summary!$J$2087 = "", "", [1]K_Summary!$J$2087 ),"")</f>
        <v/>
      </c>
      <c r="K2102" s="126" t="str">
        <f>IFERROR(IF([1]K_Summary!$K$2087 = "", "", [1]K_Summary!$K$2087 ),"")</f>
        <v/>
      </c>
      <c r="L2102" s="126" t="str">
        <f>IFERROR(IF([1]K_Summary!$L$2087 = "", "", [1]K_Summary!$L$2087 ),"")</f>
        <v/>
      </c>
      <c r="M2102" s="126" t="str">
        <f>IFERROR(IF([1]K_Summary!$M$2087 = "", "", [1]K_Summary!$M$2087 ),"")</f>
        <v/>
      </c>
      <c r="N2102" s="237" t="str">
        <f>IFERROR(IF([1]K_Summary!$N$2087 = "", "", [1]K_Summary!$N$2087 ),"")</f>
        <v/>
      </c>
    </row>
    <row r="2103" spans="3:14">
      <c r="C2103" s="485"/>
      <c r="D2103" s="776"/>
      <c r="E2103" s="809"/>
      <c r="F2103" s="809"/>
      <c r="G2103" s="777"/>
      <c r="H2103" s="813"/>
      <c r="I2103" s="813"/>
      <c r="J2103" s="813"/>
      <c r="K2103" s="813"/>
      <c r="L2103" s="813"/>
      <c r="M2103" s="813"/>
      <c r="N2103" s="814"/>
    </row>
    <row r="2104" spans="3:14">
      <c r="C2104" s="485"/>
      <c r="D2104" s="776"/>
      <c r="E2104" s="2471" t="s">
        <v>1079</v>
      </c>
      <c r="F2104" s="2472"/>
      <c r="G2104" s="811" t="s">
        <v>2017</v>
      </c>
      <c r="H2104" s="127" t="str">
        <f>IFERROR(IF([1]K_Summary!$H$2089 = "", "", [1]K_Summary!$H$2089 ),"")</f>
        <v/>
      </c>
      <c r="I2104" s="229" t="str">
        <f>IFERROR(IF([1]K_Summary!$I$2089 = "", "", [1]K_Summary!$I$2089 ),"")</f>
        <v/>
      </c>
      <c r="J2104" s="230" t="str">
        <f>IFERROR(IF([1]K_Summary!$J$2089 = "", "", [1]K_Summary!$J$2089 ),"")</f>
        <v/>
      </c>
      <c r="K2104" s="127" t="str">
        <f>IFERROR(IF([1]K_Summary!$K$2089 = "", "", [1]K_Summary!$K$2089 ),"")</f>
        <v/>
      </c>
      <c r="L2104" s="127" t="str">
        <f>IFERROR(IF([1]K_Summary!$L$2089 = "", "", [1]K_Summary!$L$2089 ),"")</f>
        <v/>
      </c>
      <c r="M2104" s="127" t="str">
        <f>IFERROR(IF([1]K_Summary!$M$2089 = "", "", [1]K_Summary!$M$2089 ),"")</f>
        <v/>
      </c>
      <c r="N2104" s="231" t="str">
        <f>IFERROR(IF([1]K_Summary!$N$2089 = "", "", [1]K_Summary!$N$2089 ),"")</f>
        <v/>
      </c>
    </row>
    <row r="2105" spans="3:14">
      <c r="C2105" s="485"/>
      <c r="D2105" s="776"/>
      <c r="E2105" s="2473" t="s">
        <v>1104</v>
      </c>
      <c r="F2105" s="2474"/>
      <c r="G2105" s="812" t="s">
        <v>2018</v>
      </c>
      <c r="H2105" s="128" t="str">
        <f>IFERROR(IF([1]K_Summary!$H$2090 = "", "", [1]K_Summary!$H$2090 ),"")</f>
        <v/>
      </c>
      <c r="I2105" s="232" t="str">
        <f>IFERROR(IF([1]K_Summary!$I$2090 = "", "", [1]K_Summary!$I$2090 ),"")</f>
        <v/>
      </c>
      <c r="J2105" s="233" t="str">
        <f>IFERROR(IF([1]K_Summary!$J$2090 = "", "", [1]K_Summary!$J$2090 ),"")</f>
        <v/>
      </c>
      <c r="K2105" s="128" t="str">
        <f>IFERROR(IF([1]K_Summary!$K$2090 = "", "", [1]K_Summary!$K$2090 ),"")</f>
        <v/>
      </c>
      <c r="L2105" s="128" t="str">
        <f>IFERROR(IF([1]K_Summary!$L$2090 = "", "", [1]K_Summary!$L$2090 ),"")</f>
        <v/>
      </c>
      <c r="M2105" s="128" t="str">
        <f>IFERROR(IF([1]K_Summary!$M$2090 = "", "", [1]K_Summary!$M$2090 ),"")</f>
        <v/>
      </c>
      <c r="N2105" s="234" t="str">
        <f>IFERROR(IF([1]K_Summary!$N$2090 = "", "", [1]K_Summary!$N$2090 ),"")</f>
        <v/>
      </c>
    </row>
    <row r="2106" spans="3:14">
      <c r="C2106" s="485"/>
      <c r="D2106" s="776"/>
      <c r="E2106" s="809"/>
      <c r="F2106" s="809"/>
      <c r="G2106" s="777"/>
      <c r="H2106" s="813"/>
      <c r="I2106" s="813"/>
      <c r="J2106" s="813"/>
      <c r="K2106" s="813"/>
      <c r="L2106" s="813"/>
      <c r="M2106" s="813"/>
      <c r="N2106" s="814"/>
    </row>
    <row r="2107" spans="3:14">
      <c r="C2107" s="485"/>
      <c r="D2107" s="776"/>
      <c r="E2107" s="2471" t="s">
        <v>1141</v>
      </c>
      <c r="F2107" s="2472"/>
      <c r="G2107" s="811" t="s">
        <v>2017</v>
      </c>
      <c r="H2107" s="127" t="str">
        <f>IFERROR(IF([1]K_Summary!$H$2092 = "", "", [1]K_Summary!$H$2092 ),"")</f>
        <v/>
      </c>
      <c r="I2107" s="229" t="str">
        <f>IFERROR(IF([1]K_Summary!$I$2092 = "", "", [1]K_Summary!$I$2092 ),"")</f>
        <v/>
      </c>
      <c r="J2107" s="230" t="str">
        <f>IFERROR(IF([1]K_Summary!$J$2092 = "", "", [1]K_Summary!$J$2092 ),"")</f>
        <v/>
      </c>
      <c r="K2107" s="127" t="str">
        <f>IFERROR(IF([1]K_Summary!$K$2092 = "", "", [1]K_Summary!$K$2092 ),"")</f>
        <v/>
      </c>
      <c r="L2107" s="127" t="str">
        <f>IFERROR(IF([1]K_Summary!$L$2092 = "", "", [1]K_Summary!$L$2092 ),"")</f>
        <v/>
      </c>
      <c r="M2107" s="127" t="str">
        <f>IFERROR(IF([1]K_Summary!$M$2092 = "", "", [1]K_Summary!$M$2092 ),"")</f>
        <v/>
      </c>
      <c r="N2107" s="231" t="str">
        <f>IFERROR(IF([1]K_Summary!$N$2092 = "", "", [1]K_Summary!$N$2092 ),"")</f>
        <v/>
      </c>
    </row>
    <row r="2108" spans="3:14" ht="13.15" customHeight="1">
      <c r="C2108" s="485"/>
      <c r="D2108" s="776"/>
      <c r="E2108" s="2473" t="s">
        <v>1258</v>
      </c>
      <c r="F2108" s="2474"/>
      <c r="G2108" s="812" t="s">
        <v>2018</v>
      </c>
      <c r="H2108" s="128" t="str">
        <f>IFERROR(IF([1]K_Summary!$H$2093 = "", "", [1]K_Summary!$H$2093 ),"")</f>
        <v/>
      </c>
      <c r="I2108" s="232" t="str">
        <f>IFERROR(IF([1]K_Summary!$I$2093 = "", "", [1]K_Summary!$I$2093 ),"")</f>
        <v/>
      </c>
      <c r="J2108" s="233" t="str">
        <f>IFERROR(IF([1]K_Summary!$J$2093 = "", "", [1]K_Summary!$J$2093 ),"")</f>
        <v/>
      </c>
      <c r="K2108" s="128" t="str">
        <f>IFERROR(IF([1]K_Summary!$K$2093 = "", "", [1]K_Summary!$K$2093 ),"")</f>
        <v/>
      </c>
      <c r="L2108" s="128" t="str">
        <f>IFERROR(IF([1]K_Summary!$L$2093 = "", "", [1]K_Summary!$L$2093 ),"")</f>
        <v/>
      </c>
      <c r="M2108" s="128" t="str">
        <f>IFERROR(IF([1]K_Summary!$M$2093 = "", "", [1]K_Summary!$M$2093 ),"")</f>
        <v/>
      </c>
      <c r="N2108" s="234" t="str">
        <f>IFERROR(IF([1]K_Summary!$N$2093 = "", "", [1]K_Summary!$N$2093 ),"")</f>
        <v/>
      </c>
    </row>
    <row r="2109" spans="3:14">
      <c r="C2109" s="485"/>
      <c r="D2109" s="776"/>
      <c r="E2109" s="2471" t="s">
        <v>1309</v>
      </c>
      <c r="F2109" s="2472"/>
      <c r="G2109" s="811" t="s">
        <v>2017</v>
      </c>
      <c r="H2109" s="127" t="str">
        <f>IFERROR(IF([1]K_Summary!$H$2094 = "", "", [1]K_Summary!$H$2094 ),"")</f>
        <v/>
      </c>
      <c r="I2109" s="229" t="str">
        <f>IFERROR(IF([1]K_Summary!$I$2094 = "", "", [1]K_Summary!$I$2094 ),"")</f>
        <v/>
      </c>
      <c r="J2109" s="230" t="str">
        <f>IFERROR(IF([1]K_Summary!$J$2094 = "", "", [1]K_Summary!$J$2094 ),"")</f>
        <v/>
      </c>
      <c r="K2109" s="127" t="str">
        <f>IFERROR(IF([1]K_Summary!$K$2094 = "", "", [1]K_Summary!$K$2094 ),"")</f>
        <v/>
      </c>
      <c r="L2109" s="127" t="str">
        <f>IFERROR(IF([1]K_Summary!$L$2094 = "", "", [1]K_Summary!$L$2094 ),"")</f>
        <v/>
      </c>
      <c r="M2109" s="127" t="str">
        <f>IFERROR(IF([1]K_Summary!$M$2094 = "", "", [1]K_Summary!$M$2094 ),"")</f>
        <v/>
      </c>
      <c r="N2109" s="231" t="str">
        <f>IFERROR(IF([1]K_Summary!$N$2094 = "", "", [1]K_Summary!$N$2094 ),"")</f>
        <v/>
      </c>
    </row>
    <row r="2110" spans="3:14" ht="13.15" customHeight="1">
      <c r="C2110" s="485"/>
      <c r="D2110" s="776"/>
      <c r="E2110" s="2473" t="s">
        <v>1307</v>
      </c>
      <c r="F2110" s="2474"/>
      <c r="G2110" s="812" t="s">
        <v>2018</v>
      </c>
      <c r="H2110" s="128" t="str">
        <f>IFERROR(IF([1]K_Summary!$H$2095 = "", "", [1]K_Summary!$H$2095 ),"")</f>
        <v/>
      </c>
      <c r="I2110" s="232" t="str">
        <f>IFERROR(IF([1]K_Summary!$I$2095 = "", "", [1]K_Summary!$I$2095 ),"")</f>
        <v/>
      </c>
      <c r="J2110" s="233" t="str">
        <f>IFERROR(IF([1]K_Summary!$J$2095 = "", "", [1]K_Summary!$J$2095 ),"")</f>
        <v/>
      </c>
      <c r="K2110" s="128" t="str">
        <f>IFERROR(IF([1]K_Summary!$K$2095 = "", "", [1]K_Summary!$K$2095 ),"")</f>
        <v/>
      </c>
      <c r="L2110" s="128" t="str">
        <f>IFERROR(IF([1]K_Summary!$L$2095 = "", "", [1]K_Summary!$L$2095 ),"")</f>
        <v/>
      </c>
      <c r="M2110" s="128" t="str">
        <f>IFERROR(IF([1]K_Summary!$M$2095 = "", "", [1]K_Summary!$M$2095 ),"")</f>
        <v/>
      </c>
      <c r="N2110" s="234" t="str">
        <f>IFERROR(IF([1]K_Summary!$N$2095 = "", "", [1]K_Summary!$N$2095 ),"")</f>
        <v/>
      </c>
    </row>
    <row r="2111" spans="3:14">
      <c r="C2111" s="485"/>
      <c r="D2111" s="776"/>
      <c r="E2111" s="2471" t="s">
        <v>1288</v>
      </c>
      <c r="F2111" s="2472"/>
      <c r="G2111" s="811" t="s">
        <v>2017</v>
      </c>
      <c r="H2111" s="127" t="str">
        <f>IFERROR(IF([1]K_Summary!$H$2096 = "", "", [1]K_Summary!$H$2096 ),"")</f>
        <v/>
      </c>
      <c r="I2111" s="229" t="str">
        <f>IFERROR(IF([1]K_Summary!$I$2096 = "", "", [1]K_Summary!$I$2096 ),"")</f>
        <v/>
      </c>
      <c r="J2111" s="230" t="str">
        <f>IFERROR(IF([1]K_Summary!$J$2096 = "", "", [1]K_Summary!$J$2096 ),"")</f>
        <v/>
      </c>
      <c r="K2111" s="127" t="str">
        <f>IFERROR(IF([1]K_Summary!$K$2096 = "", "", [1]K_Summary!$K$2096 ),"")</f>
        <v/>
      </c>
      <c r="L2111" s="127" t="str">
        <f>IFERROR(IF([1]K_Summary!$L$2096 = "", "", [1]K_Summary!$L$2096 ),"")</f>
        <v/>
      </c>
      <c r="M2111" s="127" t="str">
        <f>IFERROR(IF([1]K_Summary!$M$2096 = "", "", [1]K_Summary!$M$2096 ),"")</f>
        <v/>
      </c>
      <c r="N2111" s="231" t="str">
        <f>IFERROR(IF([1]K_Summary!$N$2096 = "", "", [1]K_Summary!$N$2096 ),"")</f>
        <v/>
      </c>
    </row>
    <row r="2112" spans="3:14">
      <c r="C2112" s="485"/>
      <c r="D2112" s="776"/>
      <c r="E2112" s="2473" t="s">
        <v>1308</v>
      </c>
      <c r="F2112" s="2474"/>
      <c r="G2112" s="812" t="s">
        <v>2018</v>
      </c>
      <c r="H2112" s="128" t="str">
        <f>IFERROR(IF([1]K_Summary!$H$2097 = "", "", [1]K_Summary!$H$2097 ),"")</f>
        <v/>
      </c>
      <c r="I2112" s="232" t="str">
        <f>IFERROR(IF([1]K_Summary!$I$2097 = "", "", [1]K_Summary!$I$2097 ),"")</f>
        <v/>
      </c>
      <c r="J2112" s="233" t="str">
        <f>IFERROR(IF([1]K_Summary!$J$2097 = "", "", [1]K_Summary!$J$2097 ),"")</f>
        <v/>
      </c>
      <c r="K2112" s="128" t="str">
        <f>IFERROR(IF([1]K_Summary!$K$2097 = "", "", [1]K_Summary!$K$2097 ),"")</f>
        <v/>
      </c>
      <c r="L2112" s="128" t="str">
        <f>IFERROR(IF([1]K_Summary!$L$2097 = "", "", [1]K_Summary!$L$2097 ),"")</f>
        <v/>
      </c>
      <c r="M2112" s="128" t="str">
        <f>IFERROR(IF([1]K_Summary!$M$2097 = "", "", [1]K_Summary!$M$2097 ),"")</f>
        <v/>
      </c>
      <c r="N2112" s="234" t="str">
        <f>IFERROR(IF([1]K_Summary!$N$2097 = "", "", [1]K_Summary!$N$2097 ),"")</f>
        <v/>
      </c>
    </row>
    <row r="2113" spans="3:14">
      <c r="C2113" s="485"/>
      <c r="D2113" s="776"/>
      <c r="E2113" s="2471" t="s">
        <v>1102</v>
      </c>
      <c r="F2113" s="2472"/>
      <c r="G2113" s="811" t="s">
        <v>2017</v>
      </c>
      <c r="H2113" s="127" t="str">
        <f>IFERROR(IF([1]K_Summary!$H$2098 = "", "", [1]K_Summary!$H$2098 ),"")</f>
        <v/>
      </c>
      <c r="I2113" s="229" t="str">
        <f>IFERROR(IF([1]K_Summary!$I$2098 = "", "", [1]K_Summary!$I$2098 ),"")</f>
        <v/>
      </c>
      <c r="J2113" s="230" t="str">
        <f>IFERROR(IF([1]K_Summary!$J$2098 = "", "", [1]K_Summary!$J$2098 ),"")</f>
        <v/>
      </c>
      <c r="K2113" s="127" t="str">
        <f>IFERROR(IF([1]K_Summary!$K$2098 = "", "", [1]K_Summary!$K$2098 ),"")</f>
        <v/>
      </c>
      <c r="L2113" s="127" t="str">
        <f>IFERROR(IF([1]K_Summary!$L$2098 = "", "", [1]K_Summary!$L$2098 ),"")</f>
        <v/>
      </c>
      <c r="M2113" s="127" t="str">
        <f>IFERROR(IF([1]K_Summary!$M$2098 = "", "", [1]K_Summary!$M$2098 ),"")</f>
        <v/>
      </c>
      <c r="N2113" s="231" t="str">
        <f>IFERROR(IF([1]K_Summary!$N$2098 = "", "", [1]K_Summary!$N$2098 ),"")</f>
        <v/>
      </c>
    </row>
    <row r="2114" spans="3:14">
      <c r="C2114" s="485"/>
      <c r="D2114" s="776"/>
      <c r="E2114" s="816" t="s">
        <v>1275</v>
      </c>
      <c r="F2114" s="816"/>
      <c r="G2114" s="812" t="s">
        <v>2018</v>
      </c>
      <c r="H2114" s="128" t="str">
        <f>IFERROR(IF([1]K_Summary!$H$2099 = "", "", [1]K_Summary!$H$2099 ),"")</f>
        <v/>
      </c>
      <c r="I2114" s="232" t="str">
        <f>IFERROR(IF([1]K_Summary!$I$2099 = "", "", [1]K_Summary!$I$2099 ),"")</f>
        <v/>
      </c>
      <c r="J2114" s="233" t="str">
        <f>IFERROR(IF([1]K_Summary!$J$2099 = "", "", [1]K_Summary!$J$2099 ),"")</f>
        <v/>
      </c>
      <c r="K2114" s="128" t="str">
        <f>IFERROR(IF([1]K_Summary!$K$2099 = "", "", [1]K_Summary!$K$2099 ),"")</f>
        <v/>
      </c>
      <c r="L2114" s="128" t="str">
        <f>IFERROR(IF([1]K_Summary!$L$2099 = "", "", [1]K_Summary!$L$2099 ),"")</f>
        <v/>
      </c>
      <c r="M2114" s="128" t="str">
        <f>IFERROR(IF([1]K_Summary!$M$2099 = "", "", [1]K_Summary!$M$2099 ),"")</f>
        <v/>
      </c>
      <c r="N2114" s="234" t="str">
        <f>IFERROR(IF([1]K_Summary!$N$2099 = "", "", [1]K_Summary!$N$2099 ),"")</f>
        <v/>
      </c>
    </row>
    <row r="2115" spans="3:14">
      <c r="C2115" s="485"/>
      <c r="D2115" s="776"/>
      <c r="E2115" s="2471" t="s">
        <v>1080</v>
      </c>
      <c r="F2115" s="2472"/>
      <c r="G2115" s="811" t="s">
        <v>2017</v>
      </c>
      <c r="H2115" s="127" t="str">
        <f>IFERROR(IF([1]K_Summary!$H$2100 = "", "", [1]K_Summary!$H$2100 ),"")</f>
        <v/>
      </c>
      <c r="I2115" s="229" t="str">
        <f>IFERROR(IF([1]K_Summary!$I$2100 = "", "", [1]K_Summary!$I$2100 ),"")</f>
        <v/>
      </c>
      <c r="J2115" s="230" t="str">
        <f>IFERROR(IF([1]K_Summary!$J$2100 = "", "", [1]K_Summary!$J$2100 ),"")</f>
        <v/>
      </c>
      <c r="K2115" s="127" t="str">
        <f>IFERROR(IF([1]K_Summary!$K$2100 = "", "", [1]K_Summary!$K$2100 ),"")</f>
        <v/>
      </c>
      <c r="L2115" s="127" t="str">
        <f>IFERROR(IF([1]K_Summary!$L$2100 = "", "", [1]K_Summary!$L$2100 ),"")</f>
        <v/>
      </c>
      <c r="M2115" s="127" t="str">
        <f>IFERROR(IF([1]K_Summary!$M$2100 = "", "", [1]K_Summary!$M$2100 ),"")</f>
        <v/>
      </c>
      <c r="N2115" s="231" t="str">
        <f>IFERROR(IF([1]K_Summary!$N$2100 = "", "", [1]K_Summary!$N$2100 ),"")</f>
        <v/>
      </c>
    </row>
    <row r="2116" spans="3:14">
      <c r="C2116" s="485"/>
      <c r="D2116" s="776"/>
      <c r="E2116" s="2473" t="s">
        <v>1276</v>
      </c>
      <c r="F2116" s="2474"/>
      <c r="G2116" s="812" t="s">
        <v>2018</v>
      </c>
      <c r="H2116" s="128" t="str">
        <f>IFERROR(IF([1]K_Summary!$H$2101 = "", "", [1]K_Summary!$H$2101 ),"")</f>
        <v/>
      </c>
      <c r="I2116" s="232" t="str">
        <f>IFERROR(IF([1]K_Summary!$I$2101 = "", "", [1]K_Summary!$I$2101 ),"")</f>
        <v/>
      </c>
      <c r="J2116" s="233" t="str">
        <f>IFERROR(IF([1]K_Summary!$J$2101 = "", "", [1]K_Summary!$J$2101 ),"")</f>
        <v/>
      </c>
      <c r="K2116" s="128" t="str">
        <f>IFERROR(IF([1]K_Summary!$K$2101 = "", "", [1]K_Summary!$K$2101 ),"")</f>
        <v/>
      </c>
      <c r="L2116" s="128" t="str">
        <f>IFERROR(IF([1]K_Summary!$L$2101 = "", "", [1]K_Summary!$L$2101 ),"")</f>
        <v/>
      </c>
      <c r="M2116" s="128" t="str">
        <f>IFERROR(IF([1]K_Summary!$M$2101 = "", "", [1]K_Summary!$M$2101 ),"")</f>
        <v/>
      </c>
      <c r="N2116" s="234" t="str">
        <f>IFERROR(IF([1]K_Summary!$N$2101 = "", "", [1]K_Summary!$N$2101 ),"")</f>
        <v/>
      </c>
    </row>
    <row r="2117" spans="3:14">
      <c r="C2117" s="485"/>
      <c r="D2117" s="776"/>
      <c r="E2117" s="809"/>
      <c r="F2117" s="809"/>
      <c r="G2117" s="777"/>
      <c r="H2117" s="813"/>
      <c r="I2117" s="813"/>
      <c r="J2117" s="813"/>
      <c r="K2117" s="813"/>
      <c r="L2117" s="813"/>
      <c r="M2117" s="813"/>
      <c r="N2117" s="814"/>
    </row>
    <row r="2118" spans="3:14">
      <c r="C2118" s="485"/>
      <c r="D2118" s="776"/>
      <c r="E2118" s="2475" t="s">
        <v>914</v>
      </c>
      <c r="F2118" s="2410"/>
      <c r="G2118" s="815" t="s">
        <v>2021</v>
      </c>
      <c r="H2118" s="126" t="str">
        <f>IFERROR(IF([1]K_Summary!$H$2103 = "", "", [1]K_Summary!$H$2103 ),"")</f>
        <v/>
      </c>
      <c r="I2118" s="235" t="str">
        <f>IFERROR(IF([1]K_Summary!$I$2103 = "", "", [1]K_Summary!$I$2103 ),"")</f>
        <v/>
      </c>
      <c r="J2118" s="236" t="str">
        <f>IFERROR(IF([1]K_Summary!$J$2103 = "", "", [1]K_Summary!$J$2103 ),"")</f>
        <v/>
      </c>
      <c r="K2118" s="126" t="str">
        <f>IFERROR(IF([1]K_Summary!$K$2103 = "", "", [1]K_Summary!$K$2103 ),"")</f>
        <v/>
      </c>
      <c r="L2118" s="126" t="str">
        <f>IFERROR(IF([1]K_Summary!$L$2103 = "", "", [1]K_Summary!$L$2103 ),"")</f>
        <v/>
      </c>
      <c r="M2118" s="126" t="str">
        <f>IFERROR(IF([1]K_Summary!$M$2103 = "", "", [1]K_Summary!$M$2103 ),"")</f>
        <v/>
      </c>
      <c r="N2118" s="237" t="str">
        <f>IFERROR(IF([1]K_Summary!$N$2103 = "", "", [1]K_Summary!$N$2103 ),"")</f>
        <v/>
      </c>
    </row>
    <row r="2119" spans="3:14">
      <c r="C2119" s="485"/>
      <c r="D2119" s="776"/>
      <c r="E2119" s="2475" t="s">
        <v>1354</v>
      </c>
      <c r="F2119" s="2410"/>
      <c r="G2119" s="815" t="s">
        <v>2021</v>
      </c>
      <c r="H2119" s="126" t="str">
        <f>IFERROR(IF([1]K_Summary!$H$2104 = "", "", [1]K_Summary!$H$2104 ),"")</f>
        <v/>
      </c>
      <c r="I2119" s="235" t="str">
        <f>IFERROR(IF([1]K_Summary!$I$2104 = "", "", [1]K_Summary!$I$2104 ),"")</f>
        <v/>
      </c>
      <c r="J2119" s="236" t="str">
        <f>IFERROR(IF([1]K_Summary!$J$2104 = "", "", [1]K_Summary!$J$2104 ),"")</f>
        <v/>
      </c>
      <c r="K2119" s="126" t="str">
        <f>IFERROR(IF([1]K_Summary!$K$2104 = "", "", [1]K_Summary!$K$2104 ),"")</f>
        <v/>
      </c>
      <c r="L2119" s="126" t="str">
        <f>IFERROR(IF([1]K_Summary!$L$2104 = "", "", [1]K_Summary!$L$2104 ),"")</f>
        <v/>
      </c>
      <c r="M2119" s="126" t="str">
        <f>IFERROR(IF([1]K_Summary!$M$2104 = "", "", [1]K_Summary!$M$2104 ),"")</f>
        <v/>
      </c>
      <c r="N2119" s="237" t="str">
        <f>IFERROR(IF([1]K_Summary!$N$2104 = "", "", [1]K_Summary!$N$2104 ),"")</f>
        <v/>
      </c>
    </row>
    <row r="2120" spans="3:14">
      <c r="C2120" s="485"/>
      <c r="D2120" s="776"/>
      <c r="E2120" s="809"/>
      <c r="F2120" s="809"/>
      <c r="G2120" s="777"/>
      <c r="H2120" s="813"/>
      <c r="I2120" s="813"/>
      <c r="J2120" s="813"/>
      <c r="K2120" s="813"/>
      <c r="L2120" s="813"/>
      <c r="M2120" s="813"/>
      <c r="N2120" s="814"/>
    </row>
    <row r="2121" spans="3:14">
      <c r="C2121" s="485"/>
      <c r="D2121" s="776"/>
      <c r="E2121" s="2475" t="s">
        <v>1157</v>
      </c>
      <c r="F2121" s="2410"/>
      <c r="G2121" s="815" t="s">
        <v>1020</v>
      </c>
      <c r="H2121" s="126" t="str">
        <f>IFERROR(IF([1]K_Summary!$H$2106 = "", "", [1]K_Summary!$H$2106 ),"")</f>
        <v/>
      </c>
      <c r="I2121" s="235" t="str">
        <f>IFERROR(IF([1]K_Summary!$I$2106 = "", "", [1]K_Summary!$I$2106 ),"")</f>
        <v/>
      </c>
      <c r="J2121" s="236" t="str">
        <f>IFERROR(IF([1]K_Summary!$J$2106 = "", "", [1]K_Summary!$J$2106 ),"")</f>
        <v/>
      </c>
      <c r="K2121" s="126" t="str">
        <f>IFERROR(IF([1]K_Summary!$K$2106 = "", "", [1]K_Summary!$K$2106 ),"")</f>
        <v/>
      </c>
      <c r="L2121" s="126" t="str">
        <f>IFERROR(IF([1]K_Summary!$L$2106 = "", "", [1]K_Summary!$L$2106 ),"")</f>
        <v/>
      </c>
      <c r="M2121" s="126" t="str">
        <f>IFERROR(IF([1]K_Summary!$M$2106 = "", "", [1]K_Summary!$M$2106 ),"")</f>
        <v/>
      </c>
      <c r="N2121" s="237" t="str">
        <f>IFERROR(IF([1]K_Summary!$N$2106 = "", "", [1]K_Summary!$N$2106 ),"")</f>
        <v/>
      </c>
    </row>
    <row r="2122" spans="3:14">
      <c r="C2122" s="485"/>
      <c r="D2122" s="776"/>
      <c r="E2122" s="809"/>
      <c r="F2122" s="809"/>
      <c r="G2122" s="777"/>
      <c r="H2122" s="813"/>
      <c r="I2122" s="813"/>
      <c r="J2122" s="813"/>
      <c r="K2122" s="813"/>
      <c r="L2122" s="813"/>
      <c r="M2122" s="813"/>
      <c r="N2122" s="814"/>
    </row>
    <row r="2123" spans="3:14">
      <c r="C2123" s="485"/>
      <c r="D2123" s="776"/>
      <c r="E2123" s="2492" t="s">
        <v>1440</v>
      </c>
      <c r="F2123" s="2493"/>
      <c r="G2123" s="777"/>
      <c r="H2123" s="813"/>
      <c r="I2123" s="813"/>
      <c r="J2123" s="813"/>
      <c r="K2123" s="813"/>
      <c r="L2123" s="813"/>
      <c r="M2123" s="813"/>
      <c r="N2123" s="814"/>
    </row>
    <row r="2124" spans="3:14">
      <c r="C2124" s="485"/>
      <c r="D2124" s="776"/>
      <c r="E2124" s="2487" t="str">
        <f>IFERROR(IF([1]K_Summary!$E$2109 = "", "", [1]K_Summary!$E$2109 ),"")</f>
        <v/>
      </c>
      <c r="F2124" s="2488"/>
      <c r="G2124" s="815" t="s">
        <v>1020</v>
      </c>
      <c r="H2124" s="126" t="str">
        <f>IFERROR(IF([1]K_Summary!$H$2109 = "", "", [1]K_Summary!$H$2109 ),"")</f>
        <v/>
      </c>
      <c r="I2124" s="235" t="str">
        <f>IFERROR(IF([1]K_Summary!$I$2109 = "", "", [1]K_Summary!$I$2109 ),"")</f>
        <v/>
      </c>
      <c r="J2124" s="236" t="str">
        <f>IFERROR(IF([1]K_Summary!$J$2109 = "", "", [1]K_Summary!$J$2109 ),"")</f>
        <v/>
      </c>
      <c r="K2124" s="126" t="str">
        <f>IFERROR(IF([1]K_Summary!$K$2109 = "", "", [1]K_Summary!$K$2109 ),"")</f>
        <v/>
      </c>
      <c r="L2124" s="126" t="str">
        <f>IFERROR(IF([1]K_Summary!$L$2109 = "", "", [1]K_Summary!$L$2109 ),"")</f>
        <v/>
      </c>
      <c r="M2124" s="126" t="str">
        <f>IFERROR(IF([1]K_Summary!$M$2109 = "", "", [1]K_Summary!$M$2109 ),"")</f>
        <v/>
      </c>
      <c r="N2124" s="237" t="str">
        <f>IFERROR(IF([1]K_Summary!$N$2109 = "", "", [1]K_Summary!$N$2109 ),"")</f>
        <v/>
      </c>
    </row>
    <row r="2125" spans="3:14">
      <c r="C2125" s="485"/>
      <c r="D2125" s="776"/>
      <c r="E2125" s="2487" t="str">
        <f>IFERROR(IF([1]K_Summary!$E$2110 = "", "", [1]K_Summary!$E$2110 ),"")</f>
        <v/>
      </c>
      <c r="F2125" s="2488"/>
      <c r="G2125" s="815" t="s">
        <v>1020</v>
      </c>
      <c r="H2125" s="126" t="str">
        <f>IFERROR(IF([1]K_Summary!$H$2110 = "", "", [1]K_Summary!$H$2110 ),"")</f>
        <v/>
      </c>
      <c r="I2125" s="235" t="str">
        <f>IFERROR(IF([1]K_Summary!$I$2110 = "", "", [1]K_Summary!$I$2110 ),"")</f>
        <v/>
      </c>
      <c r="J2125" s="236" t="str">
        <f>IFERROR(IF([1]K_Summary!$J$2110 = "", "", [1]K_Summary!$J$2110 ),"")</f>
        <v/>
      </c>
      <c r="K2125" s="126" t="str">
        <f>IFERROR(IF([1]K_Summary!$K$2110 = "", "", [1]K_Summary!$K$2110 ),"")</f>
        <v/>
      </c>
      <c r="L2125" s="126" t="str">
        <f>IFERROR(IF([1]K_Summary!$L$2110 = "", "", [1]K_Summary!$L$2110 ),"")</f>
        <v/>
      </c>
      <c r="M2125" s="126" t="str">
        <f>IFERROR(IF([1]K_Summary!$M$2110 = "", "", [1]K_Summary!$M$2110 ),"")</f>
        <v/>
      </c>
      <c r="N2125" s="237" t="str">
        <f>IFERROR(IF([1]K_Summary!$N$2110 = "", "", [1]K_Summary!$N$2110 ),"")</f>
        <v/>
      </c>
    </row>
    <row r="2126" spans="3:14">
      <c r="C2126" s="485"/>
      <c r="D2126" s="776"/>
      <c r="E2126" s="2475" t="s">
        <v>1441</v>
      </c>
      <c r="F2126" s="2410"/>
      <c r="G2126" s="777"/>
      <c r="H2126" s="813"/>
      <c r="I2126" s="813"/>
      <c r="J2126" s="813"/>
      <c r="K2126" s="813"/>
      <c r="L2126" s="813"/>
      <c r="M2126" s="813"/>
      <c r="N2126" s="814"/>
    </row>
    <row r="2127" spans="3:14">
      <c r="C2127" s="485"/>
      <c r="D2127" s="776"/>
      <c r="E2127" s="2487" t="str">
        <f>IFERROR(IF([1]K_Summary!$E$2112 = "", "", [1]K_Summary!$E$2112 ),"")</f>
        <v/>
      </c>
      <c r="F2127" s="2488"/>
      <c r="G2127" s="815" t="s">
        <v>1020</v>
      </c>
      <c r="H2127" s="126" t="str">
        <f>IFERROR(IF([1]K_Summary!$H$2112 = "", "", [1]K_Summary!$H$2112 ),"")</f>
        <v/>
      </c>
      <c r="I2127" s="235" t="str">
        <f>IFERROR(IF([1]K_Summary!$I$2112 = "", "", [1]K_Summary!$I$2112 ),"")</f>
        <v/>
      </c>
      <c r="J2127" s="236" t="str">
        <f>IFERROR(IF([1]K_Summary!$J$2112 = "", "", [1]K_Summary!$J$2112 ),"")</f>
        <v/>
      </c>
      <c r="K2127" s="126" t="str">
        <f>IFERROR(IF([1]K_Summary!$K$2112 = "", "", [1]K_Summary!$K$2112 ),"")</f>
        <v/>
      </c>
      <c r="L2127" s="126" t="str">
        <f>IFERROR(IF([1]K_Summary!$L$2112 = "", "", [1]K_Summary!$L$2112 ),"")</f>
        <v/>
      </c>
      <c r="M2127" s="126" t="str">
        <f>IFERROR(IF([1]K_Summary!$M$2112 = "", "", [1]K_Summary!$M$2112 ),"")</f>
        <v/>
      </c>
      <c r="N2127" s="237" t="str">
        <f>IFERROR(IF([1]K_Summary!$N$2112 = "", "", [1]K_Summary!$N$2112 ),"")</f>
        <v/>
      </c>
    </row>
    <row r="2128" spans="3:14">
      <c r="C2128" s="485"/>
      <c r="D2128" s="776"/>
      <c r="E2128" s="2487" t="str">
        <f>IFERROR(IF([1]K_Summary!$E$2113 = "", "", [1]K_Summary!$E$2113 ),"")</f>
        <v/>
      </c>
      <c r="F2128" s="2488"/>
      <c r="G2128" s="815" t="s">
        <v>1020</v>
      </c>
      <c r="H2128" s="126" t="str">
        <f>IFERROR(IF([1]K_Summary!$H$2113 = "", "", [1]K_Summary!$H$2113 ),"")</f>
        <v/>
      </c>
      <c r="I2128" s="235" t="str">
        <f>IFERROR(IF([1]K_Summary!$I$2113 = "", "", [1]K_Summary!$I$2113 ),"")</f>
        <v/>
      </c>
      <c r="J2128" s="236" t="str">
        <f>IFERROR(IF([1]K_Summary!$J$2113 = "", "", [1]K_Summary!$J$2113 ),"")</f>
        <v/>
      </c>
      <c r="K2128" s="126" t="str">
        <f>IFERROR(IF([1]K_Summary!$K$2113 = "", "", [1]K_Summary!$K$2113 ),"")</f>
        <v/>
      </c>
      <c r="L2128" s="126" t="str">
        <f>IFERROR(IF([1]K_Summary!$L$2113 = "", "", [1]K_Summary!$L$2113 ),"")</f>
        <v/>
      </c>
      <c r="M2128" s="126" t="str">
        <f>IFERROR(IF([1]K_Summary!$M$2113 = "", "", [1]K_Summary!$M$2113 ),"")</f>
        <v/>
      </c>
      <c r="N2128" s="237" t="str">
        <f>IFERROR(IF([1]K_Summary!$N$2113 = "", "", [1]K_Summary!$N$2113 ),"")</f>
        <v/>
      </c>
    </row>
    <row r="2129" spans="1:14" ht="13.5" thickBot="1">
      <c r="C2129" s="485"/>
      <c r="D2129" s="802"/>
      <c r="E2129" s="803"/>
      <c r="F2129" s="803"/>
      <c r="G2129" s="804"/>
      <c r="H2129" s="804"/>
      <c r="I2129" s="805"/>
      <c r="J2129" s="805"/>
      <c r="K2129" s="805"/>
      <c r="L2129" s="805"/>
      <c r="M2129" s="805"/>
      <c r="N2129" s="806"/>
    </row>
    <row r="2130" spans="1:14" ht="13.5" thickBot="1">
      <c r="C2130" s="485"/>
      <c r="D2130" s="485"/>
      <c r="E2130" s="807"/>
      <c r="F2130" s="562"/>
      <c r="G2130" s="562"/>
      <c r="H2130" s="562"/>
      <c r="I2130" s="562"/>
      <c r="J2130" s="562"/>
      <c r="K2130" s="562"/>
      <c r="L2130" s="562"/>
      <c r="M2130" s="562"/>
      <c r="N2130" s="562"/>
    </row>
    <row r="2131" spans="1:14" ht="13.5" thickBot="1">
      <c r="C2131" s="686"/>
      <c r="D2131" s="686"/>
      <c r="E2131" s="686"/>
      <c r="F2131" s="686"/>
      <c r="G2131" s="686"/>
      <c r="H2131" s="686"/>
      <c r="I2131" s="686"/>
      <c r="J2131" s="686"/>
      <c r="K2131" s="686"/>
      <c r="L2131" s="686"/>
      <c r="M2131" s="686"/>
      <c r="N2131" s="686"/>
    </row>
    <row r="2132" spans="1:14" ht="13.5" thickBot="1">
      <c r="C2132" s="686"/>
      <c r="D2132" s="686"/>
      <c r="E2132" s="686"/>
      <c r="F2132" s="686"/>
      <c r="G2132" s="686"/>
      <c r="H2132" s="686"/>
      <c r="I2132" s="686"/>
      <c r="J2132" s="686"/>
      <c r="K2132" s="686"/>
      <c r="L2132" s="686"/>
      <c r="M2132" s="686"/>
      <c r="N2132" s="686"/>
    </row>
    <row r="2133" spans="1:14" ht="14.45" customHeight="1" thickBot="1">
      <c r="A2133" s="817"/>
      <c r="C2133" s="559">
        <v>11</v>
      </c>
      <c r="D2133" s="2482" t="s">
        <v>2032</v>
      </c>
      <c r="E2133" s="2482"/>
      <c r="F2133" s="2482"/>
      <c r="G2133" s="2482"/>
      <c r="H2133" s="2483"/>
      <c r="I2133" s="2484" t="str">
        <f>IFERROR(IF([1]K_Summary!$I$2118 = "", "", [1]K_Summary!$I$2118 ),"")</f>
        <v>Heat benchmark sub-installation, CL</v>
      </c>
      <c r="J2133" s="2485"/>
      <c r="K2133" s="2485"/>
      <c r="L2133" s="2486"/>
      <c r="M2133" s="2476" t="str">
        <f>IFERROR(IF([1]K_Summary!$M$2118 = "", "", [1]K_Summary!$M$2118 ),"")</f>
        <v/>
      </c>
      <c r="N2133" s="2477"/>
    </row>
    <row r="2134" spans="1:14" ht="15">
      <c r="A2134" s="817"/>
      <c r="C2134" s="559"/>
      <c r="D2134" s="559"/>
      <c r="E2134" s="559"/>
      <c r="F2134" s="559"/>
      <c r="G2134" s="559"/>
      <c r="H2134" s="559"/>
      <c r="I2134" s="559"/>
      <c r="J2134" s="559"/>
      <c r="K2134" s="559"/>
      <c r="L2134" s="559"/>
      <c r="M2134" s="559"/>
      <c r="N2134" s="559"/>
    </row>
    <row r="2135" spans="1:14" ht="15">
      <c r="A2135" s="817"/>
      <c r="C2135" s="559"/>
      <c r="D2135" s="559"/>
      <c r="E2135" s="559"/>
      <c r="F2135" s="559"/>
      <c r="G2135" s="562"/>
      <c r="H2135" s="688" t="s">
        <v>458</v>
      </c>
      <c r="I2135" s="485"/>
      <c r="J2135" s="688" t="s">
        <v>1434</v>
      </c>
      <c r="K2135" s="688" t="s">
        <v>1684</v>
      </c>
      <c r="L2135" s="689" t="s">
        <v>156</v>
      </c>
      <c r="M2135" s="2469" t="s">
        <v>302</v>
      </c>
      <c r="N2135" s="2469"/>
    </row>
    <row r="2136" spans="1:14" ht="15">
      <c r="A2136" s="817"/>
      <c r="C2136" s="559"/>
      <c r="D2136" s="559"/>
      <c r="E2136" s="66" t="str">
        <f>IFERROR(IF([1]K_Summary!$E$2121 = "", "", [1]K_Summary!$E$2121 ),"")</f>
        <v>Heat benchmark sub-installation, CL</v>
      </c>
      <c r="F2136" s="51"/>
      <c r="G2136" s="51"/>
      <c r="H2136" s="143" t="b">
        <f>IFERROR(IF([1]K_Summary!$H$2121 = "", "", [1]K_Summary!$H$2121 ),"")</f>
        <v>1</v>
      </c>
      <c r="I2136" s="485"/>
      <c r="J2136" s="53" t="str">
        <f>IFERROR(IF([1]K_Summary!$J$2121 = "", "", [1]K_Summary!$J$2121 ),"")</f>
        <v>N.A.</v>
      </c>
      <c r="K2136" s="53" t="str">
        <f>IFERROR(IF([1]K_Summary!$K$2121 = "", "", [1]K_Summary!$K$2121 ),"")</f>
        <v>N.A.</v>
      </c>
      <c r="L2136" s="144">
        <f>IFERROR(IF([1]K_Summary!$L$2121 = "", "", [1]K_Summary!$L$2121 ),"")</f>
        <v>1</v>
      </c>
      <c r="M2136" s="238" t="str">
        <f>IFERROR(IF([1]K_Summary!$M$2121 = "", "", [1]K_Summary!$M$2121 ),"")</f>
        <v>N.A.</v>
      </c>
      <c r="N2136" s="50" t="str">
        <f>IFERROR(IF([1]K_Summary!$N$2121 = "", "", [1]K_Summary!$N$2121 ),"")</f>
        <v>EUA/TJ</v>
      </c>
    </row>
    <row r="2137" spans="1:14" ht="15">
      <c r="A2137" s="817"/>
      <c r="C2137" s="485"/>
      <c r="D2137" s="485"/>
      <c r="E2137" s="559"/>
      <c r="F2137" s="562"/>
      <c r="G2137" s="562"/>
      <c r="H2137" s="562"/>
      <c r="I2137" s="562"/>
      <c r="J2137" s="485"/>
      <c r="K2137" s="485"/>
      <c r="L2137" s="485"/>
      <c r="M2137" s="485"/>
      <c r="N2137" s="485"/>
    </row>
    <row r="2138" spans="1:14">
      <c r="A2138" s="817"/>
      <c r="C2138" s="485"/>
      <c r="D2138" s="485"/>
      <c r="E2138" s="496"/>
      <c r="F2138" s="482" t="s">
        <v>884</v>
      </c>
      <c r="G2138" s="819" t="s">
        <v>1646</v>
      </c>
      <c r="H2138" s="696">
        <v>2019</v>
      </c>
      <c r="I2138" s="697">
        <v>2020</v>
      </c>
      <c r="J2138" s="696">
        <v>2021</v>
      </c>
      <c r="K2138" s="578">
        <v>2022</v>
      </c>
      <c r="L2138" s="578">
        <v>2023</v>
      </c>
      <c r="M2138" s="578">
        <v>2024</v>
      </c>
      <c r="N2138" s="578">
        <v>2025</v>
      </c>
    </row>
    <row r="2139" spans="1:14">
      <c r="A2139" s="817"/>
      <c r="C2139" s="485"/>
      <c r="D2139" s="485"/>
      <c r="E2139" s="698" t="s">
        <v>1665</v>
      </c>
      <c r="F2139" s="146" t="str">
        <f>IFERROR(IF([1]K_Summary!$F$2124 = "", "", [1]K_Summary!$F$2124 ),"")</f>
        <v>TJ</v>
      </c>
      <c r="G2139" s="239" t="str">
        <f>IFERROR(IF([1]K_Summary!$G$2124 = "", "", [1]K_Summary!$G$2124 ),"")</f>
        <v/>
      </c>
      <c r="H2139" s="240" t="str">
        <f>IFERROR(IF([1]K_Summary!$H$2124 = "", "", [1]K_Summary!$H$2124 ),"")</f>
        <v/>
      </c>
      <c r="I2139" s="241" t="str">
        <f>IFERROR(IF([1]K_Summary!$I$2124 = "", "", [1]K_Summary!$I$2124 ),"")</f>
        <v/>
      </c>
      <c r="J2139" s="240" t="str">
        <f>IFERROR(IF([1]K_Summary!$J$2124 = "", "", [1]K_Summary!$J$2124 ),"")</f>
        <v/>
      </c>
      <c r="K2139" s="242" t="str">
        <f>IFERROR(IF([1]K_Summary!$K$2124 = "", "", [1]K_Summary!$K$2124 ),"")</f>
        <v/>
      </c>
      <c r="L2139" s="242" t="str">
        <f>IFERROR(IF([1]K_Summary!$L$2124 = "", "", [1]K_Summary!$L$2124 ),"")</f>
        <v/>
      </c>
      <c r="M2139" s="242" t="str">
        <f>IFERROR(IF([1]K_Summary!$M$2124 = "", "", [1]K_Summary!$M$2124 ),"")</f>
        <v/>
      </c>
      <c r="N2139" s="242" t="str">
        <f>IFERROR(IF([1]K_Summary!$N$2124 = "", "", [1]K_Summary!$N$2124 ),"")</f>
        <v/>
      </c>
    </row>
    <row r="2140" spans="1:14">
      <c r="A2140" s="817"/>
      <c r="C2140" s="485"/>
      <c r="D2140" s="485"/>
      <c r="E2140" s="698" t="s">
        <v>1782</v>
      </c>
      <c r="F2140" s="146" t="str">
        <f>IFERROR(IF([1]K_Summary!$F$2125 = "", "", [1]K_Summary!$F$2125 ),"")</f>
        <v/>
      </c>
      <c r="G2140" s="243" t="str">
        <f>IFERROR(IF([1]K_Summary!$G$2125 = "", "", [1]K_Summary!$G$2125 ),"")</f>
        <v/>
      </c>
      <c r="H2140" s="244" t="str">
        <f>IFERROR(IF([1]K_Summary!$H$2125 = "", "", [1]K_Summary!$H$2125 ),"")</f>
        <v/>
      </c>
      <c r="I2140" s="245" t="str">
        <f>IFERROR(IF([1]K_Summary!$I$2125 = "", "", [1]K_Summary!$I$2125 ),"")</f>
        <v/>
      </c>
      <c r="J2140" s="244" t="str">
        <f>IFERROR(IF([1]K_Summary!$J$2125 = "", "", [1]K_Summary!$J$2125 ),"")</f>
        <v/>
      </c>
      <c r="K2140" s="246" t="str">
        <f>IFERROR(IF([1]K_Summary!$K$2125 = "", "", [1]K_Summary!$K$2125 ),"")</f>
        <v/>
      </c>
      <c r="L2140" s="246" t="str">
        <f>IFERROR(IF([1]K_Summary!$L$2125 = "", "", [1]K_Summary!$L$2125 ),"")</f>
        <v/>
      </c>
      <c r="M2140" s="246" t="str">
        <f>IFERROR(IF([1]K_Summary!$M$2125 = "", "", [1]K_Summary!$M$2125 ),"")</f>
        <v/>
      </c>
      <c r="N2140" s="246" t="str">
        <f>IFERROR(IF([1]K_Summary!$N$2125 = "", "", [1]K_Summary!$N$2125 ),"")</f>
        <v/>
      </c>
    </row>
    <row r="2141" spans="1:14" ht="13.5" thickBot="1">
      <c r="A2141" s="817"/>
      <c r="C2141" s="485"/>
      <c r="D2141" s="485"/>
      <c r="E2141" s="562"/>
      <c r="F2141" s="485"/>
      <c r="G2141" s="485"/>
      <c r="H2141" s="485"/>
      <c r="I2141" s="743"/>
      <c r="J2141" s="485"/>
      <c r="K2141" s="485"/>
      <c r="L2141" s="485"/>
      <c r="M2141" s="485"/>
      <c r="N2141" s="485"/>
    </row>
    <row r="2142" spans="1:14" ht="15">
      <c r="A2142" s="817"/>
      <c r="C2142" s="559"/>
      <c r="D2142" s="703"/>
      <c r="E2142" s="704"/>
      <c r="F2142" s="704"/>
      <c r="G2142" s="704"/>
      <c r="H2142" s="704"/>
      <c r="I2142" s="704"/>
      <c r="J2142" s="704"/>
      <c r="K2142" s="704"/>
      <c r="L2142" s="704"/>
      <c r="M2142" s="704"/>
      <c r="N2142" s="705"/>
    </row>
    <row r="2143" spans="1:14" ht="15">
      <c r="A2143" s="817"/>
      <c r="C2143" s="559"/>
      <c r="D2143" s="706"/>
      <c r="E2143" s="707" t="s">
        <v>1787</v>
      </c>
      <c r="F2143" s="637"/>
      <c r="G2143" s="637"/>
      <c r="H2143" s="663" t="s">
        <v>884</v>
      </c>
      <c r="I2143" s="708"/>
      <c r="J2143" s="709">
        <v>2021</v>
      </c>
      <c r="K2143" s="671">
        <v>2022</v>
      </c>
      <c r="L2143" s="671">
        <v>2023</v>
      </c>
      <c r="M2143" s="671">
        <v>2024</v>
      </c>
      <c r="N2143" s="710">
        <v>2025</v>
      </c>
    </row>
    <row r="2144" spans="1:14" ht="15">
      <c r="A2144" s="817"/>
      <c r="C2144" s="559"/>
      <c r="D2144" s="706"/>
      <c r="E2144" s="711" t="s">
        <v>1783</v>
      </c>
      <c r="F2144" s="712"/>
      <c r="G2144" s="712"/>
      <c r="H2144" s="713" t="s">
        <v>1021</v>
      </c>
      <c r="I2144" s="712"/>
      <c r="J2144" s="151" t="str">
        <f>IFERROR(IF([1]K_Summary!$J$2129 = "", "", [1]K_Summary!$J$2129 ),"")</f>
        <v/>
      </c>
      <c r="K2144" s="152" t="str">
        <f>IFERROR(IF([1]K_Summary!$K$2129 = "", "", [1]K_Summary!$K$2129 ),"")</f>
        <v/>
      </c>
      <c r="L2144" s="152" t="str">
        <f>IFERROR(IF([1]K_Summary!$L$2129 = "", "", [1]K_Summary!$L$2129 ),"")</f>
        <v/>
      </c>
      <c r="M2144" s="152" t="str">
        <f>IFERROR(IF([1]K_Summary!$M$2129 = "", "", [1]K_Summary!$M$2129 ),"")</f>
        <v/>
      </c>
      <c r="N2144" s="153" t="str">
        <f>IFERROR(IF([1]K_Summary!$N$2129 = "", "", [1]K_Summary!$N$2129 ),"")</f>
        <v/>
      </c>
    </row>
    <row r="2145" spans="1:14" ht="15">
      <c r="A2145" s="817"/>
      <c r="C2145" s="559"/>
      <c r="D2145" s="706"/>
      <c r="E2145" s="714" t="s">
        <v>1784</v>
      </c>
      <c r="F2145" s="715"/>
      <c r="G2145" s="715"/>
      <c r="H2145" s="716" t="s">
        <v>1021</v>
      </c>
      <c r="I2145" s="715"/>
      <c r="J2145" s="154" t="str">
        <f>IFERROR(IF([1]K_Summary!$J$2130 = "", "", [1]K_Summary!$J$2130 ),"")</f>
        <v/>
      </c>
      <c r="K2145" s="155" t="str">
        <f>IFERROR(IF([1]K_Summary!$K$2130 = "", "", [1]K_Summary!$K$2130 ),"")</f>
        <v/>
      </c>
      <c r="L2145" s="155" t="str">
        <f>IFERROR(IF([1]K_Summary!$L$2130 = "", "", [1]K_Summary!$L$2130 ),"")</f>
        <v/>
      </c>
      <c r="M2145" s="155" t="str">
        <f>IFERROR(IF([1]K_Summary!$M$2130 = "", "", [1]K_Summary!$M$2130 ),"")</f>
        <v/>
      </c>
      <c r="N2145" s="156" t="str">
        <f>IFERROR(IF([1]K_Summary!$N$2130 = "", "", [1]K_Summary!$N$2130 ),"")</f>
        <v/>
      </c>
    </row>
    <row r="2146" spans="1:14" ht="15">
      <c r="A2146" s="817"/>
      <c r="C2146" s="559"/>
      <c r="D2146" s="706"/>
      <c r="E2146" s="559"/>
      <c r="F2146" s="559"/>
      <c r="G2146" s="559"/>
      <c r="H2146" s="559"/>
      <c r="I2146" s="559"/>
      <c r="J2146" s="559"/>
      <c r="K2146" s="559"/>
      <c r="L2146" s="559"/>
      <c r="M2146" s="559"/>
      <c r="N2146" s="717"/>
    </row>
    <row r="2147" spans="1:14" ht="15">
      <c r="A2147" s="817"/>
      <c r="C2147" s="559"/>
      <c r="D2147" s="706"/>
      <c r="E2147" s="496" t="s">
        <v>1762</v>
      </c>
      <c r="F2147" s="485"/>
      <c r="G2147" s="485"/>
      <c r="H2147" s="663" t="s">
        <v>884</v>
      </c>
      <c r="I2147" s="708"/>
      <c r="J2147" s="696">
        <v>2021</v>
      </c>
      <c r="K2147" s="578">
        <v>2022</v>
      </c>
      <c r="L2147" s="578">
        <v>2023</v>
      </c>
      <c r="M2147" s="578">
        <v>2024</v>
      </c>
      <c r="N2147" s="718">
        <v>2025</v>
      </c>
    </row>
    <row r="2148" spans="1:14" ht="15" hidden="1">
      <c r="A2148" s="817" t="s">
        <v>2289</v>
      </c>
      <c r="C2148" s="559"/>
      <c r="D2148" s="706"/>
      <c r="E2148" s="698" t="s">
        <v>1714</v>
      </c>
      <c r="F2148" s="698"/>
      <c r="G2148" s="698"/>
      <c r="H2148" s="63" t="str">
        <f>IFERROR(IF([1]K_Summary!$H$2133 = "", "", [1]K_Summary!$H$2133 ),"")</f>
        <v>TJ</v>
      </c>
      <c r="I2148" s="698"/>
      <c r="J2148" s="247" t="str">
        <f>IFERROR(IF([1]K_Summary!$J$2133 = "", "", [1]K_Summary!$J$2133 ),"")</f>
        <v/>
      </c>
      <c r="K2148" s="248" t="str">
        <f>IFERROR(IF([1]K_Summary!$K$2133 = "", "", [1]K_Summary!$K$2133 ),"")</f>
        <v/>
      </c>
      <c r="L2148" s="248" t="str">
        <f>IFERROR(IF([1]K_Summary!$L$2133 = "", "", [1]K_Summary!$L$2133 ),"")</f>
        <v/>
      </c>
      <c r="M2148" s="248" t="str">
        <f>IFERROR(IF([1]K_Summary!$M$2133 = "", "", [1]K_Summary!$M$2133 ),"")</f>
        <v/>
      </c>
      <c r="N2148" s="249" t="str">
        <f>IFERROR(IF([1]K_Summary!$N$2133 = "", "", [1]K_Summary!$N$2133 ),"")</f>
        <v/>
      </c>
    </row>
    <row r="2149" spans="1:14" ht="15">
      <c r="A2149" s="817"/>
      <c r="C2149" s="559"/>
      <c r="D2149" s="706"/>
      <c r="E2149" s="698" t="s">
        <v>1671</v>
      </c>
      <c r="F2149" s="698"/>
      <c r="G2149" s="698"/>
      <c r="H2149" s="730" t="s">
        <v>2090</v>
      </c>
      <c r="I2149" s="731"/>
      <c r="J2149" s="148" t="str">
        <f>IFERROR(IF([1]K_Summary!$J$2134 = "", "", [1]K_Summary!$J$2134 ),"")</f>
        <v/>
      </c>
      <c r="K2149" s="150" t="str">
        <f>IFERROR(IF([1]K_Summary!$K$2134 = "", "", [1]K_Summary!$K$2134 ),"")</f>
        <v/>
      </c>
      <c r="L2149" s="150" t="str">
        <f>IFERROR(IF([1]K_Summary!$L$2134 = "", "", [1]K_Summary!$L$2134 ),"")</f>
        <v/>
      </c>
      <c r="M2149" s="150" t="str">
        <f>IFERROR(IF([1]K_Summary!$M$2134 = "", "", [1]K_Summary!$M$2134 ),"")</f>
        <v/>
      </c>
      <c r="N2149" s="171" t="str">
        <f>IFERROR(IF([1]K_Summary!$N$2134 = "", "", [1]K_Summary!$N$2134 ),"")</f>
        <v/>
      </c>
    </row>
    <row r="2150" spans="1:14" ht="15">
      <c r="A2150" s="817"/>
      <c r="C2150" s="559"/>
      <c r="D2150" s="706"/>
      <c r="E2150" s="559"/>
      <c r="F2150" s="559"/>
      <c r="G2150" s="559"/>
      <c r="H2150" s="559"/>
      <c r="I2150" s="559"/>
      <c r="J2150" s="559"/>
      <c r="K2150" s="559"/>
      <c r="L2150" s="559"/>
      <c r="M2150" s="559"/>
      <c r="N2150" s="717"/>
    </row>
    <row r="2151" spans="1:14" ht="15">
      <c r="A2151" s="817"/>
      <c r="C2151" s="559"/>
      <c r="D2151" s="706"/>
      <c r="E2151" s="707" t="s">
        <v>1752</v>
      </c>
      <c r="F2151" s="637"/>
      <c r="G2151" s="637"/>
      <c r="H2151" s="663" t="s">
        <v>884</v>
      </c>
      <c r="I2151" s="708"/>
      <c r="J2151" s="709">
        <v>2021</v>
      </c>
      <c r="K2151" s="671">
        <v>2022</v>
      </c>
      <c r="L2151" s="671">
        <v>2023</v>
      </c>
      <c r="M2151" s="671">
        <v>2024</v>
      </c>
      <c r="N2151" s="710">
        <v>2025</v>
      </c>
    </row>
    <row r="2152" spans="1:14" ht="15">
      <c r="A2152" s="817"/>
      <c r="C2152" s="559"/>
      <c r="D2152" s="706"/>
      <c r="E2152" s="720" t="s">
        <v>1691</v>
      </c>
      <c r="F2152" s="720"/>
      <c r="G2152" s="720"/>
      <c r="H2152" s="67" t="str">
        <f>IFERROR(IF([1]K_Summary!$H$2137 = "", "", [1]K_Summary!$H$2137 ),"")</f>
        <v>TJ</v>
      </c>
      <c r="I2152" s="733"/>
      <c r="J2152" s="250" t="str">
        <f>IFERROR(IF([1]K_Summary!$J$2137 = "", "", [1]K_Summary!$J$2137 ),"")</f>
        <v/>
      </c>
      <c r="K2152" s="251" t="str">
        <f>IFERROR(IF([1]K_Summary!$K$2137 = "", "", [1]K_Summary!$K$2137 ),"")</f>
        <v/>
      </c>
      <c r="L2152" s="251" t="str">
        <f>IFERROR(IF([1]K_Summary!$L$2137 = "", "", [1]K_Summary!$L$2137 ),"")</f>
        <v/>
      </c>
      <c r="M2152" s="251" t="str">
        <f>IFERROR(IF([1]K_Summary!$M$2137 = "", "", [1]K_Summary!$M$2137 ),"")</f>
        <v/>
      </c>
      <c r="N2152" s="252" t="str">
        <f>IFERROR(IF([1]K_Summary!$N$2137 = "", "", [1]K_Summary!$N$2137 ),"")</f>
        <v/>
      </c>
    </row>
    <row r="2153" spans="1:14" ht="15">
      <c r="A2153" s="817"/>
      <c r="C2153" s="559"/>
      <c r="D2153" s="706"/>
      <c r="E2153" s="723" t="s">
        <v>1648</v>
      </c>
      <c r="F2153" s="723"/>
      <c r="G2153" s="723"/>
      <c r="H2153" s="734" t="s">
        <v>1021</v>
      </c>
      <c r="I2153" s="735"/>
      <c r="J2153" s="174" t="str">
        <f>IFERROR(IF([1]K_Summary!$J$2138 = "", "", [1]K_Summary!$J$2138 ),"")</f>
        <v/>
      </c>
      <c r="K2153" s="175" t="str">
        <f>IFERROR(IF([1]K_Summary!$K$2138 = "", "", [1]K_Summary!$K$2138 ),"")</f>
        <v/>
      </c>
      <c r="L2153" s="175" t="str">
        <f>IFERROR(IF([1]K_Summary!$L$2138 = "", "", [1]K_Summary!$L$2138 ),"")</f>
        <v/>
      </c>
      <c r="M2153" s="436" t="str">
        <f>IFERROR(IF([1]K_Summary!$M$2138 = "", "", [1]K_Summary!$M$2138 ),"")</f>
        <v/>
      </c>
      <c r="N2153" s="176" t="str">
        <f>IFERROR(IF([1]K_Summary!$N$2138 = "", "", [1]K_Summary!$N$2138 ),"")</f>
        <v/>
      </c>
    </row>
    <row r="2154" spans="1:14" ht="15">
      <c r="A2154" s="817"/>
      <c r="C2154" s="559"/>
      <c r="D2154" s="706"/>
      <c r="E2154" s="736" t="s">
        <v>1785</v>
      </c>
      <c r="F2154" s="736"/>
      <c r="G2154" s="736"/>
      <c r="H2154" s="737" t="s">
        <v>1021</v>
      </c>
      <c r="I2154" s="738"/>
      <c r="J2154" s="177" t="str">
        <f>IFERROR(IF([1]K_Summary!$J$2139 = "", "", [1]K_Summary!$J$2139 ),"")</f>
        <v/>
      </c>
      <c r="K2154" s="178" t="str">
        <f>IFERROR(IF([1]K_Summary!$K$2139 = "", "", [1]K_Summary!$K$2139 ),"")</f>
        <v/>
      </c>
      <c r="L2154" s="178" t="str">
        <f>IFERROR(IF([1]K_Summary!$L$2139 = "", "", [1]K_Summary!$L$2139 ),"")</f>
        <v/>
      </c>
      <c r="M2154" s="178" t="str">
        <f>IFERROR(IF([1]K_Summary!$M$2139 = "", "", [1]K_Summary!$M$2139 ),"")</f>
        <v/>
      </c>
      <c r="N2154" s="179" t="str">
        <f>IFERROR(IF([1]K_Summary!$N$2139 = "", "", [1]K_Summary!$N$2139 ),"")</f>
        <v/>
      </c>
    </row>
    <row r="2155" spans="1:14" ht="15">
      <c r="A2155" s="817"/>
      <c r="C2155" s="559"/>
      <c r="D2155" s="706"/>
      <c r="E2155" s="727" t="s">
        <v>1689</v>
      </c>
      <c r="F2155" s="727"/>
      <c r="G2155" s="727"/>
      <c r="H2155" s="68" t="str">
        <f>IFERROR(IF([1]K_Summary!$H$2140 = "", "", [1]K_Summary!$H$2140 ),"")</f>
        <v>TJ</v>
      </c>
      <c r="I2155" s="727"/>
      <c r="J2155" s="253" t="str">
        <f>IFERROR(IF([1]K_Summary!$J$2140 = "", "", [1]K_Summary!$J$2140 ),"")</f>
        <v/>
      </c>
      <c r="K2155" s="254" t="str">
        <f>IFERROR(IF([1]K_Summary!$K$2140 = "", "", [1]K_Summary!$K$2140 ),"")</f>
        <v/>
      </c>
      <c r="L2155" s="254" t="str">
        <f>IFERROR(IF([1]K_Summary!$L$2140 = "", "", [1]K_Summary!$L$2140 ),"")</f>
        <v/>
      </c>
      <c r="M2155" s="254" t="str">
        <f>IFERROR(IF([1]K_Summary!$M$2140 = "", "", [1]K_Summary!$M$2140 ),"")</f>
        <v/>
      </c>
      <c r="N2155" s="255" t="str">
        <f>IFERROR(IF([1]K_Summary!$N$2140 = "", "", [1]K_Summary!$N$2140 ),"")</f>
        <v/>
      </c>
    </row>
    <row r="2156" spans="1:14" ht="15">
      <c r="A2156" s="817"/>
      <c r="C2156" s="559"/>
      <c r="D2156" s="706"/>
      <c r="E2156" s="698" t="s">
        <v>1671</v>
      </c>
      <c r="F2156" s="698"/>
      <c r="G2156" s="698"/>
      <c r="H2156" s="730" t="s">
        <v>2090</v>
      </c>
      <c r="I2156" s="731"/>
      <c r="J2156" s="148" t="str">
        <f>IFERROR(IF([1]K_Summary!$J$2141 = "", "", [1]K_Summary!$J$2141 ),"")</f>
        <v/>
      </c>
      <c r="K2156" s="150" t="str">
        <f>IFERROR(IF([1]K_Summary!$K$2141 = "", "", [1]K_Summary!$K$2141 ),"")</f>
        <v/>
      </c>
      <c r="L2156" s="150" t="str">
        <f>IFERROR(IF([1]K_Summary!$L$2141 = "", "", [1]K_Summary!$L$2141 ),"")</f>
        <v/>
      </c>
      <c r="M2156" s="150" t="str">
        <f>IFERROR(IF([1]K_Summary!$M$2141 = "", "", [1]K_Summary!$M$2141 ),"")</f>
        <v/>
      </c>
      <c r="N2156" s="171" t="str">
        <f>IFERROR(IF([1]K_Summary!$N$2141 = "", "", [1]K_Summary!$N$2141 ),"")</f>
        <v/>
      </c>
    </row>
    <row r="2157" spans="1:14" ht="15">
      <c r="A2157" s="817"/>
      <c r="C2157" s="559"/>
      <c r="D2157" s="706"/>
      <c r="E2157" s="698" t="s">
        <v>1670</v>
      </c>
      <c r="F2157" s="698"/>
      <c r="G2157" s="698"/>
      <c r="H2157" s="730" t="s">
        <v>2090</v>
      </c>
      <c r="I2157" s="731"/>
      <c r="J2157" s="148" t="str">
        <f>IFERROR(IF([1]K_Summary!$J$2142 = "", "", [1]K_Summary!$J$2142 ),"")</f>
        <v/>
      </c>
      <c r="K2157" s="150" t="str">
        <f>IFERROR(IF([1]K_Summary!$K$2142 = "", "", [1]K_Summary!$K$2142 ),"")</f>
        <v/>
      </c>
      <c r="L2157" s="150" t="str">
        <f>IFERROR(IF([1]K_Summary!$L$2142 = "", "", [1]K_Summary!$L$2142 ),"")</f>
        <v/>
      </c>
      <c r="M2157" s="150" t="str">
        <f>IFERROR(IF([1]K_Summary!$M$2142 = "", "", [1]K_Summary!$M$2142 ),"")</f>
        <v/>
      </c>
      <c r="N2157" s="171" t="str">
        <f>IFERROR(IF([1]K_Summary!$N$2142 = "", "", [1]K_Summary!$N$2142 ),"")</f>
        <v/>
      </c>
    </row>
    <row r="2158" spans="1:14" ht="15">
      <c r="A2158" s="817"/>
      <c r="C2158" s="559"/>
      <c r="D2158" s="706"/>
      <c r="E2158" s="740" t="s">
        <v>2136</v>
      </c>
      <c r="F2158" s="740"/>
      <c r="G2158" s="740"/>
      <c r="H2158" s="741" t="s">
        <v>1021</v>
      </c>
      <c r="I2158" s="742"/>
      <c r="J2158" s="183" t="str">
        <f>IFERROR(IF([1]K_Summary!$J$2143 = "", "", [1]K_Summary!$J$2143 ),"")</f>
        <v/>
      </c>
      <c r="K2158" s="184" t="str">
        <f>IFERROR(IF([1]K_Summary!$K$2143 = "", "", [1]K_Summary!$K$2143 ),"")</f>
        <v/>
      </c>
      <c r="L2158" s="184" t="str">
        <f>IFERROR(IF([1]K_Summary!$L$2143 = "", "", [1]K_Summary!$L$2143 ),"")</f>
        <v/>
      </c>
      <c r="M2158" s="184" t="str">
        <f>IFERROR(IF([1]K_Summary!$M$2143 = "", "", [1]K_Summary!$M$2143 ),"")</f>
        <v/>
      </c>
      <c r="N2158" s="185" t="str">
        <f>IFERROR(IF([1]K_Summary!$N$2143 = "", "", [1]K_Summary!$N$2143 ),"")</f>
        <v/>
      </c>
    </row>
    <row r="2159" spans="1:14" ht="15">
      <c r="A2159" s="817"/>
      <c r="C2159" s="559"/>
      <c r="D2159" s="706"/>
      <c r="E2159" s="485"/>
      <c r="F2159" s="485"/>
      <c r="G2159" s="485"/>
      <c r="H2159" s="485"/>
      <c r="I2159" s="743"/>
      <c r="J2159" s="485"/>
      <c r="K2159" s="485"/>
      <c r="L2159" s="485"/>
      <c r="M2159" s="485"/>
      <c r="N2159" s="744"/>
    </row>
    <row r="2160" spans="1:14">
      <c r="A2160" s="817"/>
      <c r="C2160" s="485"/>
      <c r="D2160" s="539"/>
      <c r="E2160" s="707" t="s">
        <v>1791</v>
      </c>
      <c r="F2160" s="637"/>
      <c r="G2160" s="637"/>
      <c r="H2160" s="663"/>
      <c r="I2160" s="708"/>
      <c r="J2160" s="696">
        <v>2021</v>
      </c>
      <c r="K2160" s="578">
        <v>2022</v>
      </c>
      <c r="L2160" s="578">
        <v>2023</v>
      </c>
      <c r="M2160" s="578">
        <v>2024</v>
      </c>
      <c r="N2160" s="718">
        <v>2025</v>
      </c>
    </row>
    <row r="2161" spans="1:14">
      <c r="A2161" s="817"/>
      <c r="C2161" s="485"/>
      <c r="D2161" s="539"/>
      <c r="E2161" s="720" t="s">
        <v>1691</v>
      </c>
      <c r="F2161" s="720"/>
      <c r="G2161" s="720"/>
      <c r="H2161" s="720"/>
      <c r="I2161" s="827"/>
      <c r="J2161" s="256" t="str">
        <f>IFERROR(IF([1]K_Summary!$J$2146 = "", "", [1]K_Summary!$J$2146 ),"")</f>
        <v/>
      </c>
      <c r="K2161" s="257" t="str">
        <f>IFERROR(IF([1]K_Summary!$K$2146 = "", "", [1]K_Summary!$K$2146 ),"")</f>
        <v/>
      </c>
      <c r="L2161" s="257" t="str">
        <f>IFERROR(IF([1]K_Summary!$L$2146 = "", "", [1]K_Summary!$L$2146 ),"")</f>
        <v/>
      </c>
      <c r="M2161" s="257" t="str">
        <f>IFERROR(IF([1]K_Summary!$M$2146 = "", "", [1]K_Summary!$M$2146 ),"")</f>
        <v/>
      </c>
      <c r="N2161" s="258" t="str">
        <f>IFERROR(IF([1]K_Summary!$N$2146 = "", "", [1]K_Summary!$N$2146 ),"")</f>
        <v/>
      </c>
    </row>
    <row r="2162" spans="1:14">
      <c r="A2162" s="817"/>
      <c r="C2162" s="485"/>
      <c r="D2162" s="539"/>
      <c r="E2162" s="727" t="s">
        <v>1648</v>
      </c>
      <c r="F2162" s="727"/>
      <c r="G2162" s="727"/>
      <c r="H2162" s="727"/>
      <c r="I2162" s="828"/>
      <c r="J2162" s="259" t="str">
        <f>IFERROR(IF([1]K_Summary!$J$2147 = "", "", [1]K_Summary!$J$2147 ),"")</f>
        <v/>
      </c>
      <c r="K2162" s="260" t="str">
        <f>IFERROR(IF([1]K_Summary!$K$2147 = "", "", [1]K_Summary!$K$2147 ),"")</f>
        <v/>
      </c>
      <c r="L2162" s="260" t="str">
        <f>IFERROR(IF([1]K_Summary!$L$2147 = "", "", [1]K_Summary!$L$2147 ),"")</f>
        <v/>
      </c>
      <c r="M2162" s="260" t="str">
        <f>IFERROR(IF([1]K_Summary!$M$2147 = "", "", [1]K_Summary!$M$2147 ),"")</f>
        <v/>
      </c>
      <c r="N2162" s="261" t="str">
        <f>IFERROR(IF([1]K_Summary!$N$2147 = "", "", [1]K_Summary!$N$2147 ),"")</f>
        <v/>
      </c>
    </row>
    <row r="2163" spans="1:14">
      <c r="A2163" s="817"/>
      <c r="C2163" s="485"/>
      <c r="D2163" s="539"/>
      <c r="E2163" s="829" t="s">
        <v>1790</v>
      </c>
      <c r="F2163" s="829"/>
      <c r="G2163" s="829"/>
      <c r="H2163" s="830" t="s">
        <v>1021</v>
      </c>
      <c r="I2163" s="831"/>
      <c r="J2163" s="151" t="str">
        <f>IFERROR(IF([1]K_Summary!$J$2148 = "", "", [1]K_Summary!$J$2148 ),"")</f>
        <v/>
      </c>
      <c r="K2163" s="152" t="str">
        <f>IFERROR(IF([1]K_Summary!$K$2148 = "", "", [1]K_Summary!$K$2148 ),"")</f>
        <v/>
      </c>
      <c r="L2163" s="152" t="str">
        <f>IFERROR(IF([1]K_Summary!$L$2148 = "", "", [1]K_Summary!$L$2148 ),"")</f>
        <v/>
      </c>
      <c r="M2163" s="152" t="str">
        <f>IFERROR(IF([1]K_Summary!$M$2148 = "", "", [1]K_Summary!$M$2148 ),"")</f>
        <v/>
      </c>
      <c r="N2163" s="153" t="str">
        <f>IFERROR(IF([1]K_Summary!$N$2148 = "", "", [1]K_Summary!$N$2148 ),"")</f>
        <v/>
      </c>
    </row>
    <row r="2164" spans="1:14">
      <c r="A2164" s="817"/>
      <c r="C2164" s="485"/>
      <c r="D2164" s="539"/>
      <c r="E2164" s="714" t="s">
        <v>1795</v>
      </c>
      <c r="F2164" s="714"/>
      <c r="G2164" s="714"/>
      <c r="H2164" s="832" t="s">
        <v>1021</v>
      </c>
      <c r="I2164" s="716"/>
      <c r="J2164" s="154" t="str">
        <f>IFERROR(IF([1]K_Summary!$J$2149 = "", "", [1]K_Summary!$J$2149 ),"")</f>
        <v/>
      </c>
      <c r="K2164" s="155" t="str">
        <f>IFERROR(IF([1]K_Summary!$K$2149 = "", "", [1]K_Summary!$K$2149 ),"")</f>
        <v/>
      </c>
      <c r="L2164" s="155" t="str">
        <f>IFERROR(IF([1]K_Summary!$L$2149 = "", "", [1]K_Summary!$L$2149 ),"")</f>
        <v/>
      </c>
      <c r="M2164" s="155" t="str">
        <f>IFERROR(IF([1]K_Summary!$M$2149 = "", "", [1]K_Summary!$M$2149 ),"")</f>
        <v/>
      </c>
      <c r="N2164" s="156" t="str">
        <f>IFERROR(IF([1]K_Summary!$N$2149 = "", "", [1]K_Summary!$N$2149 ),"")</f>
        <v/>
      </c>
    </row>
    <row r="2165" spans="1:14">
      <c r="A2165" s="817"/>
      <c r="C2165" s="485"/>
      <c r="D2165" s="539"/>
      <c r="E2165" s="698" t="s">
        <v>1794</v>
      </c>
      <c r="F2165" s="698"/>
      <c r="G2165" s="698"/>
      <c r="H2165" s="833" t="s">
        <v>1021</v>
      </c>
      <c r="I2165" s="834"/>
      <c r="J2165" s="262" t="str">
        <f>IFERROR(IF([1]K_Summary!$J$2150 = "", "", [1]K_Summary!$J$2150 ),"")</f>
        <v/>
      </c>
      <c r="K2165" s="263" t="str">
        <f>IFERROR(IF([1]K_Summary!$K$2150 = "", "", [1]K_Summary!$K$2150 ),"")</f>
        <v/>
      </c>
      <c r="L2165" s="263" t="str">
        <f>IFERROR(IF([1]K_Summary!$L$2150 = "", "", [1]K_Summary!$L$2150 ),"")</f>
        <v/>
      </c>
      <c r="M2165" s="263" t="str">
        <f>IFERROR(IF([1]K_Summary!$M$2150 = "", "", [1]K_Summary!$M$2150 ),"")</f>
        <v/>
      </c>
      <c r="N2165" s="264" t="str">
        <f>IFERROR(IF([1]K_Summary!$N$2150 = "", "", [1]K_Summary!$N$2150 ),"")</f>
        <v/>
      </c>
    </row>
    <row r="2166" spans="1:14" ht="13.5" thickBot="1">
      <c r="A2166" s="817"/>
      <c r="C2166" s="485"/>
      <c r="D2166" s="771"/>
      <c r="E2166" s="756"/>
      <c r="F2166" s="756"/>
      <c r="G2166" s="756"/>
      <c r="H2166" s="756"/>
      <c r="I2166" s="835"/>
      <c r="J2166" s="756"/>
      <c r="K2166" s="756"/>
      <c r="L2166" s="756"/>
      <c r="M2166" s="756"/>
      <c r="N2166" s="758"/>
    </row>
    <row r="2167" spans="1:14" ht="13.5" thickBot="1">
      <c r="A2167" s="817"/>
      <c r="C2167" s="485"/>
      <c r="D2167" s="485"/>
      <c r="E2167" s="485"/>
      <c r="F2167" s="485"/>
      <c r="G2167" s="485"/>
      <c r="H2167" s="485"/>
      <c r="I2167" s="836"/>
      <c r="J2167" s="485"/>
      <c r="K2167" s="485"/>
      <c r="L2167" s="485"/>
      <c r="M2167" s="485"/>
      <c r="N2167" s="485"/>
    </row>
    <row r="2168" spans="1:14">
      <c r="A2168" s="817"/>
      <c r="C2168" s="485"/>
      <c r="D2168" s="759"/>
      <c r="E2168" s="760"/>
      <c r="F2168" s="760"/>
      <c r="G2168" s="760"/>
      <c r="H2168" s="760"/>
      <c r="I2168" s="761"/>
      <c r="J2168" s="760"/>
      <c r="K2168" s="760"/>
      <c r="L2168" s="760"/>
      <c r="M2168" s="760"/>
      <c r="N2168" s="762"/>
    </row>
    <row r="2169" spans="1:14">
      <c r="A2169" s="817"/>
      <c r="C2169" s="485"/>
      <c r="D2169" s="539"/>
      <c r="E2169" s="496" t="s">
        <v>1786</v>
      </c>
      <c r="F2169" s="485"/>
      <c r="G2169" s="485"/>
      <c r="H2169" s="663" t="s">
        <v>884</v>
      </c>
      <c r="I2169" s="837" t="s">
        <v>1675</v>
      </c>
      <c r="J2169" s="709">
        <v>2021</v>
      </c>
      <c r="K2169" s="671">
        <v>2022</v>
      </c>
      <c r="L2169" s="671">
        <v>2023</v>
      </c>
      <c r="M2169" s="671">
        <v>2024</v>
      </c>
      <c r="N2169" s="710">
        <v>2025</v>
      </c>
    </row>
    <row r="2170" spans="1:14">
      <c r="A2170" s="817"/>
      <c r="C2170" s="485"/>
      <c r="D2170" s="539"/>
      <c r="E2170" s="698" t="s">
        <v>1692</v>
      </c>
      <c r="F2170" s="698"/>
      <c r="G2170" s="698"/>
      <c r="H2170" s="63" t="str">
        <f>IFERROR(IF([1]K_Summary!$H$2155 = "", "", [1]K_Summary!$H$2155 ),"")</f>
        <v>TJ</v>
      </c>
      <c r="I2170" s="247" t="str">
        <f>IFERROR(IF([1]K_Summary!$I$2155 = "", "", [1]K_Summary!$I$2155 ),"")</f>
        <v/>
      </c>
      <c r="J2170" s="240" t="str">
        <f>IFERROR(IF([1]K_Summary!$J$2155 = "", "", [1]K_Summary!$J$2155 ),"")</f>
        <v/>
      </c>
      <c r="K2170" s="242" t="str">
        <f>IFERROR(IF([1]K_Summary!$K$2155 = "", "", [1]K_Summary!$K$2155 ),"")</f>
        <v/>
      </c>
      <c r="L2170" s="242" t="str">
        <f>IFERROR(IF([1]K_Summary!$L$2155 = "", "", [1]K_Summary!$L$2155 ),"")</f>
        <v/>
      </c>
      <c r="M2170" s="242" t="str">
        <f>IFERROR(IF([1]K_Summary!$M$2155 = "", "", [1]K_Summary!$M$2155 ),"")</f>
        <v/>
      </c>
      <c r="N2170" s="265" t="str">
        <f>IFERROR(IF([1]K_Summary!$N$2155 = "", "", [1]K_Summary!$N$2155 ),"")</f>
        <v/>
      </c>
    </row>
    <row r="2171" spans="1:14">
      <c r="A2171" s="817"/>
      <c r="C2171" s="485"/>
      <c r="D2171" s="539"/>
      <c r="E2171" s="698" t="s">
        <v>222</v>
      </c>
      <c r="F2171" s="698"/>
      <c r="G2171" s="698"/>
      <c r="H2171" s="730" t="s">
        <v>2090</v>
      </c>
      <c r="I2171" s="266" t="str">
        <f>IFERROR(IF([1]K_Summary!$I$2156 = "", "", [1]K_Summary!$I$2156 ),"")</f>
        <v/>
      </c>
      <c r="J2171" s="148" t="str">
        <f>IFERROR(IF([1]K_Summary!$J$2156 = "", "", [1]K_Summary!$J$2156 ),"")</f>
        <v/>
      </c>
      <c r="K2171" s="150" t="str">
        <f>IFERROR(IF([1]K_Summary!$K$2156 = "", "", [1]K_Summary!$K$2156 ),"")</f>
        <v/>
      </c>
      <c r="L2171" s="150" t="str">
        <f>IFERROR(IF([1]K_Summary!$L$2156 = "", "", [1]K_Summary!$L$2156 ),"")</f>
        <v/>
      </c>
      <c r="M2171" s="150" t="str">
        <f>IFERROR(IF([1]K_Summary!$M$2156 = "", "", [1]K_Summary!$M$2156 ),"")</f>
        <v/>
      </c>
      <c r="N2171" s="171" t="str">
        <f>IFERROR(IF([1]K_Summary!$N$2156 = "", "", [1]K_Summary!$N$2156 ),"")</f>
        <v/>
      </c>
    </row>
    <row r="2172" spans="1:14" ht="13.5" thickBot="1">
      <c r="A2172" s="817"/>
      <c r="C2172" s="485"/>
      <c r="D2172" s="771"/>
      <c r="E2172" s="756"/>
      <c r="F2172" s="756"/>
      <c r="G2172" s="756"/>
      <c r="H2172" s="756"/>
      <c r="I2172" s="756"/>
      <c r="J2172" s="756"/>
      <c r="K2172" s="756"/>
      <c r="L2172" s="756"/>
      <c r="M2172" s="756"/>
      <c r="N2172" s="758"/>
    </row>
    <row r="2173" spans="1:14" ht="13.5" thickBot="1">
      <c r="A2173" s="817"/>
      <c r="C2173" s="485"/>
      <c r="D2173" s="485"/>
      <c r="E2173" s="485"/>
      <c r="F2173" s="485"/>
      <c r="G2173" s="485"/>
      <c r="H2173" s="562"/>
      <c r="I2173" s="562"/>
      <c r="J2173" s="562"/>
      <c r="K2173" s="562"/>
      <c r="L2173" s="562"/>
      <c r="M2173" s="485"/>
      <c r="N2173" s="485"/>
    </row>
    <row r="2174" spans="1:14">
      <c r="A2174" s="817"/>
      <c r="C2174" s="485"/>
      <c r="D2174" s="772"/>
      <c r="E2174" s="773"/>
      <c r="F2174" s="774"/>
      <c r="G2174" s="774"/>
      <c r="H2174" s="774"/>
      <c r="I2174" s="774"/>
      <c r="J2174" s="774"/>
      <c r="K2174" s="774"/>
      <c r="L2174" s="774"/>
      <c r="M2174" s="774"/>
      <c r="N2174" s="775"/>
    </row>
    <row r="2175" spans="1:14" ht="13.5" thickBot="1">
      <c r="A2175" s="817"/>
      <c r="C2175" s="485"/>
      <c r="D2175" s="776"/>
      <c r="E2175" s="777"/>
      <c r="F2175" s="813"/>
      <c r="G2175" s="778" t="s">
        <v>884</v>
      </c>
      <c r="H2175" s="779">
        <v>2019</v>
      </c>
      <c r="I2175" s="779">
        <v>2020</v>
      </c>
      <c r="J2175" s="779">
        <v>2021</v>
      </c>
      <c r="K2175" s="782">
        <v>2022</v>
      </c>
      <c r="L2175" s="782">
        <v>2023</v>
      </c>
      <c r="M2175" s="782">
        <v>2024</v>
      </c>
      <c r="N2175" s="783">
        <v>2025</v>
      </c>
    </row>
    <row r="2176" spans="1:14" ht="13.5" thickBot="1">
      <c r="A2176" s="817"/>
      <c r="C2176" s="485"/>
      <c r="D2176" s="776"/>
      <c r="E2176" s="2470" t="s">
        <v>52</v>
      </c>
      <c r="F2176" s="2410"/>
      <c r="G2176" s="808" t="s">
        <v>2017</v>
      </c>
      <c r="H2176" s="225" t="str">
        <f>IFERROR(IF([1]K_Summary!$H$2161 = "", "", [1]K_Summary!$H$2161 ),"")</f>
        <v/>
      </c>
      <c r="I2176" s="228" t="str">
        <f>IFERROR(IF([1]K_Summary!$I$2161 = "", "", [1]K_Summary!$I$2161 ),"")</f>
        <v/>
      </c>
      <c r="J2176" s="225" t="str">
        <f>IFERROR(IF([1]K_Summary!$J$2161 = "", "", [1]K_Summary!$J$2161 ),"")</f>
        <v/>
      </c>
      <c r="K2176" s="227" t="str">
        <f>IFERROR(IF([1]K_Summary!$K$2161 = "", "", [1]K_Summary!$K$2161 ),"")</f>
        <v/>
      </c>
      <c r="L2176" s="227" t="str">
        <f>IFERROR(IF([1]K_Summary!$L$2161 = "", "", [1]K_Summary!$L$2161 ),"")</f>
        <v/>
      </c>
      <c r="M2176" s="227" t="str">
        <f>IFERROR(IF([1]K_Summary!$M$2161 = "", "", [1]K_Summary!$M$2161 ),"")</f>
        <v/>
      </c>
      <c r="N2176" s="228" t="str">
        <f>IFERROR(IF([1]K_Summary!$N$2161 = "", "", [1]K_Summary!$N$2161 ),"")</f>
        <v/>
      </c>
    </row>
    <row r="2177" spans="1:14" ht="13.5" thickBot="1">
      <c r="A2177" s="817"/>
      <c r="C2177" s="485"/>
      <c r="D2177" s="776"/>
      <c r="E2177" s="777"/>
      <c r="F2177" s="777"/>
      <c r="G2177" s="777"/>
      <c r="H2177" s="813"/>
      <c r="I2177" s="813"/>
      <c r="J2177" s="813"/>
      <c r="K2177" s="813"/>
      <c r="L2177" s="813"/>
      <c r="M2177" s="813"/>
      <c r="N2177" s="814"/>
    </row>
    <row r="2178" spans="1:14" ht="13.5" thickBot="1">
      <c r="A2178" s="817"/>
      <c r="C2178" s="485"/>
      <c r="D2178" s="776"/>
      <c r="E2178" s="2470" t="s">
        <v>1504</v>
      </c>
      <c r="F2178" s="2410"/>
      <c r="G2178" s="808" t="s">
        <v>2016</v>
      </c>
      <c r="H2178" s="225" t="str">
        <f>IFERROR(IF([1]K_Summary!$H$2163 = "", "", [1]K_Summary!$H$2163 ),"")</f>
        <v/>
      </c>
      <c r="I2178" s="228" t="str">
        <f>IFERROR(IF([1]K_Summary!$I$2163 = "", "", [1]K_Summary!$I$2163 ),"")</f>
        <v/>
      </c>
      <c r="J2178" s="225" t="str">
        <f>IFERROR(IF([1]K_Summary!$J$2163 = "", "", [1]K_Summary!$J$2163 ),"")</f>
        <v/>
      </c>
      <c r="K2178" s="227" t="str">
        <f>IFERROR(IF([1]K_Summary!$K$2163 = "", "", [1]K_Summary!$K$2163 ),"")</f>
        <v/>
      </c>
      <c r="L2178" s="227" t="str">
        <f>IFERROR(IF([1]K_Summary!$L$2163 = "", "", [1]K_Summary!$L$2163 ),"")</f>
        <v/>
      </c>
      <c r="M2178" s="227" t="str">
        <f>IFERROR(IF([1]K_Summary!$M$2163 = "", "", [1]K_Summary!$M$2163 ),"")</f>
        <v/>
      </c>
      <c r="N2178" s="228" t="str">
        <f>IFERROR(IF([1]K_Summary!$N$2163 = "", "", [1]K_Summary!$N$2163 ),"")</f>
        <v/>
      </c>
    </row>
    <row r="2179" spans="1:14">
      <c r="A2179" s="817"/>
      <c r="C2179" s="485"/>
      <c r="D2179" s="776"/>
      <c r="E2179" s="777"/>
      <c r="F2179" s="777"/>
      <c r="G2179" s="777"/>
      <c r="H2179" s="777"/>
      <c r="I2179" s="777"/>
      <c r="J2179" s="777"/>
      <c r="K2179" s="777"/>
      <c r="L2179" s="777"/>
      <c r="M2179" s="777"/>
      <c r="N2179" s="810"/>
    </row>
    <row r="2180" spans="1:14">
      <c r="A2180" s="817"/>
      <c r="C2180" s="485"/>
      <c r="D2180" s="776"/>
      <c r="E2180" s="2471" t="s">
        <v>1344</v>
      </c>
      <c r="F2180" s="2472"/>
      <c r="G2180" s="811" t="s">
        <v>2017</v>
      </c>
      <c r="H2180" s="127" t="str">
        <f>IFERROR(IF([1]K_Summary!$H$2165 = "", "", [1]K_Summary!$H$2165 ),"")</f>
        <v/>
      </c>
      <c r="I2180" s="229" t="str">
        <f>IFERROR(IF([1]K_Summary!$I$2165 = "", "", [1]K_Summary!$I$2165 ),"")</f>
        <v/>
      </c>
      <c r="J2180" s="230" t="str">
        <f>IFERROR(IF([1]K_Summary!$J$2165 = "", "", [1]K_Summary!$J$2165 ),"")</f>
        <v/>
      </c>
      <c r="K2180" s="127" t="str">
        <f>IFERROR(IF([1]K_Summary!$K$2165 = "", "", [1]K_Summary!$K$2165 ),"")</f>
        <v/>
      </c>
      <c r="L2180" s="127" t="str">
        <f>IFERROR(IF([1]K_Summary!$L$2165 = "", "", [1]K_Summary!$L$2165 ),"")</f>
        <v/>
      </c>
      <c r="M2180" s="127" t="str">
        <f>IFERROR(IF([1]K_Summary!$M$2165 = "", "", [1]K_Summary!$M$2165 ),"")</f>
        <v/>
      </c>
      <c r="N2180" s="231" t="str">
        <f>IFERROR(IF([1]K_Summary!$N$2165 = "", "", [1]K_Summary!$N$2165 ),"")</f>
        <v/>
      </c>
    </row>
    <row r="2181" spans="1:14">
      <c r="A2181" s="817"/>
      <c r="C2181" s="485"/>
      <c r="D2181" s="776"/>
      <c r="E2181" s="2473" t="s">
        <v>1182</v>
      </c>
      <c r="F2181" s="2474"/>
      <c r="G2181" s="812" t="s">
        <v>2018</v>
      </c>
      <c r="H2181" s="128" t="str">
        <f>IFERROR(IF([1]K_Summary!$H$2166 = "", "", [1]K_Summary!$H$2166 ),"")</f>
        <v/>
      </c>
      <c r="I2181" s="232" t="str">
        <f>IFERROR(IF([1]K_Summary!$I$2166 = "", "", [1]K_Summary!$I$2166 ),"")</f>
        <v/>
      </c>
      <c r="J2181" s="233" t="str">
        <f>IFERROR(IF([1]K_Summary!$J$2166 = "", "", [1]K_Summary!$J$2166 ),"")</f>
        <v/>
      </c>
      <c r="K2181" s="128" t="str">
        <f>IFERROR(IF([1]K_Summary!$K$2166 = "", "", [1]K_Summary!$K$2166 ),"")</f>
        <v/>
      </c>
      <c r="L2181" s="128" t="str">
        <f>IFERROR(IF([1]K_Summary!$L$2166 = "", "", [1]K_Summary!$L$2166 ),"")</f>
        <v/>
      </c>
      <c r="M2181" s="128" t="str">
        <f>IFERROR(IF([1]K_Summary!$M$2166 = "", "", [1]K_Summary!$M$2166 ),"")</f>
        <v/>
      </c>
      <c r="N2181" s="234" t="str">
        <f>IFERROR(IF([1]K_Summary!$N$2166 = "", "", [1]K_Summary!$N$2166 ),"")</f>
        <v/>
      </c>
    </row>
    <row r="2182" spans="1:14">
      <c r="A2182" s="817"/>
      <c r="C2182" s="485"/>
      <c r="D2182" s="776"/>
      <c r="E2182" s="2471" t="s">
        <v>1481</v>
      </c>
      <c r="F2182" s="2472"/>
      <c r="G2182" s="811" t="s">
        <v>2017</v>
      </c>
      <c r="H2182" s="127" t="str">
        <f>IFERROR(IF([1]K_Summary!$H$2167 = "", "", [1]K_Summary!$H$2167 ),"")</f>
        <v/>
      </c>
      <c r="I2182" s="229" t="str">
        <f>IFERROR(IF([1]K_Summary!$I$2167 = "", "", [1]K_Summary!$I$2167 ),"")</f>
        <v/>
      </c>
      <c r="J2182" s="230" t="str">
        <f>IFERROR(IF([1]K_Summary!$J$2167 = "", "", [1]K_Summary!$J$2167 ),"")</f>
        <v/>
      </c>
      <c r="K2182" s="127" t="str">
        <f>IFERROR(IF([1]K_Summary!$K$2167 = "", "", [1]K_Summary!$K$2167 ),"")</f>
        <v/>
      </c>
      <c r="L2182" s="127" t="str">
        <f>IFERROR(IF([1]K_Summary!$L$2167 = "", "", [1]K_Summary!$L$2167 ),"")</f>
        <v/>
      </c>
      <c r="M2182" s="127" t="str">
        <f>IFERROR(IF([1]K_Summary!$M$2167 = "", "", [1]K_Summary!$M$2167 ),"")</f>
        <v/>
      </c>
      <c r="N2182" s="231" t="str">
        <f>IFERROR(IF([1]K_Summary!$N$2167 = "", "", [1]K_Summary!$N$2167 ),"")</f>
        <v/>
      </c>
    </row>
    <row r="2183" spans="1:14">
      <c r="A2183" s="817"/>
      <c r="C2183" s="485"/>
      <c r="D2183" s="776"/>
      <c r="E2183" s="2473" t="s">
        <v>1182</v>
      </c>
      <c r="F2183" s="2474"/>
      <c r="G2183" s="812" t="s">
        <v>2018</v>
      </c>
      <c r="H2183" s="128" t="str">
        <f>IFERROR(IF([1]K_Summary!$H$2168 = "", "", [1]K_Summary!$H$2168 ),"")</f>
        <v/>
      </c>
      <c r="I2183" s="232" t="str">
        <f>IFERROR(IF([1]K_Summary!$I$2168 = "", "", [1]K_Summary!$I$2168 ),"")</f>
        <v/>
      </c>
      <c r="J2183" s="233" t="str">
        <f>IFERROR(IF([1]K_Summary!$J$2168 = "", "", [1]K_Summary!$J$2168 ),"")</f>
        <v/>
      </c>
      <c r="K2183" s="128" t="str">
        <f>IFERROR(IF([1]K_Summary!$K$2168 = "", "", [1]K_Summary!$K$2168 ),"")</f>
        <v/>
      </c>
      <c r="L2183" s="128" t="str">
        <f>IFERROR(IF([1]K_Summary!$L$2168 = "", "", [1]K_Summary!$L$2168 ),"")</f>
        <v/>
      </c>
      <c r="M2183" s="128" t="str">
        <f>IFERROR(IF([1]K_Summary!$M$2168 = "", "", [1]K_Summary!$M$2168 ),"")</f>
        <v/>
      </c>
      <c r="N2183" s="234" t="str">
        <f>IFERROR(IF([1]K_Summary!$N$2168 = "", "", [1]K_Summary!$N$2168 ),"")</f>
        <v/>
      </c>
    </row>
    <row r="2184" spans="1:14">
      <c r="A2184" s="817"/>
      <c r="C2184" s="485"/>
      <c r="D2184" s="776"/>
      <c r="E2184" s="777"/>
      <c r="F2184" s="813"/>
      <c r="G2184" s="813"/>
      <c r="H2184" s="813"/>
      <c r="I2184" s="813"/>
      <c r="J2184" s="813"/>
      <c r="K2184" s="813"/>
      <c r="L2184" s="813"/>
      <c r="M2184" s="813"/>
      <c r="N2184" s="814"/>
    </row>
    <row r="2185" spans="1:14">
      <c r="A2185" s="817"/>
      <c r="C2185" s="485"/>
      <c r="D2185" s="776"/>
      <c r="E2185" s="2475" t="s">
        <v>63</v>
      </c>
      <c r="F2185" s="2410"/>
      <c r="G2185" s="815" t="s">
        <v>2015</v>
      </c>
      <c r="H2185" s="126" t="str">
        <f>IFERROR(IF([1]K_Summary!$H$2170 = "", "", [1]K_Summary!$H$2170 ),"")</f>
        <v/>
      </c>
      <c r="I2185" s="235" t="str">
        <f>IFERROR(IF([1]K_Summary!$I$2170 = "", "", [1]K_Summary!$I$2170 ),"")</f>
        <v/>
      </c>
      <c r="J2185" s="236" t="str">
        <f>IFERROR(IF([1]K_Summary!$J$2170 = "", "", [1]K_Summary!$J$2170 ),"")</f>
        <v/>
      </c>
      <c r="K2185" s="126" t="str">
        <f>IFERROR(IF([1]K_Summary!$K$2170 = "", "", [1]K_Summary!$K$2170 ),"")</f>
        <v/>
      </c>
      <c r="L2185" s="126" t="str">
        <f>IFERROR(IF([1]K_Summary!$L$2170 = "", "", [1]K_Summary!$L$2170 ),"")</f>
        <v/>
      </c>
      <c r="M2185" s="126" t="str">
        <f>IFERROR(IF([1]K_Summary!$M$2170 = "", "", [1]K_Summary!$M$2170 ),"")</f>
        <v/>
      </c>
      <c r="N2185" s="237" t="str">
        <f>IFERROR(IF([1]K_Summary!$N$2170 = "", "", [1]K_Summary!$N$2170 ),"")</f>
        <v/>
      </c>
    </row>
    <row r="2186" spans="1:14">
      <c r="A2186" s="817"/>
      <c r="C2186" s="485"/>
      <c r="D2186" s="776"/>
      <c r="E2186" s="777"/>
      <c r="F2186" s="777"/>
      <c r="G2186" s="777"/>
      <c r="H2186" s="813"/>
      <c r="I2186" s="813"/>
      <c r="J2186" s="813"/>
      <c r="K2186" s="813"/>
      <c r="L2186" s="813"/>
      <c r="M2186" s="813"/>
      <c r="N2186" s="814"/>
    </row>
    <row r="2187" spans="1:14">
      <c r="A2187" s="817"/>
      <c r="C2187" s="485"/>
      <c r="D2187" s="776"/>
      <c r="E2187" s="2471" t="s">
        <v>1505</v>
      </c>
      <c r="F2187" s="2472"/>
      <c r="G2187" s="811" t="s">
        <v>2017</v>
      </c>
      <c r="H2187" s="127" t="str">
        <f>IFERROR(IF([1]K_Summary!$H$2172 = "", "", [1]K_Summary!$H$2172 ),"")</f>
        <v/>
      </c>
      <c r="I2187" s="229" t="str">
        <f>IFERROR(IF([1]K_Summary!$I$2172 = "", "", [1]K_Summary!$I$2172 ),"")</f>
        <v/>
      </c>
      <c r="J2187" s="230" t="str">
        <f>IFERROR(IF([1]K_Summary!$J$2172 = "", "", [1]K_Summary!$J$2172 ),"")</f>
        <v/>
      </c>
      <c r="K2187" s="127" t="str">
        <f>IFERROR(IF([1]K_Summary!$K$2172 = "", "", [1]K_Summary!$K$2172 ),"")</f>
        <v/>
      </c>
      <c r="L2187" s="127" t="str">
        <f>IFERROR(IF([1]K_Summary!$L$2172 = "", "", [1]K_Summary!$L$2172 ),"")</f>
        <v/>
      </c>
      <c r="M2187" s="127" t="str">
        <f>IFERROR(IF([1]K_Summary!$M$2172 = "", "", [1]K_Summary!$M$2172 ),"")</f>
        <v/>
      </c>
      <c r="N2187" s="231" t="str">
        <f>IFERROR(IF([1]K_Summary!$N$2172 = "", "", [1]K_Summary!$N$2172 ),"")</f>
        <v/>
      </c>
    </row>
    <row r="2188" spans="1:14">
      <c r="A2188" s="817"/>
      <c r="C2188" s="485"/>
      <c r="D2188" s="776"/>
      <c r="E2188" s="2473" t="s">
        <v>1103</v>
      </c>
      <c r="F2188" s="2474"/>
      <c r="G2188" s="812" t="s">
        <v>2018</v>
      </c>
      <c r="H2188" s="128" t="str">
        <f>IFERROR(IF([1]K_Summary!$H$2173 = "", "", [1]K_Summary!$H$2173 ),"")</f>
        <v/>
      </c>
      <c r="I2188" s="232" t="str">
        <f>IFERROR(IF([1]K_Summary!$I$2173 = "", "", [1]K_Summary!$I$2173 ),"")</f>
        <v/>
      </c>
      <c r="J2188" s="233" t="str">
        <f>IFERROR(IF([1]K_Summary!$J$2173 = "", "", [1]K_Summary!$J$2173 ),"")</f>
        <v/>
      </c>
      <c r="K2188" s="128" t="str">
        <f>IFERROR(IF([1]K_Summary!$K$2173 = "", "", [1]K_Summary!$K$2173 ),"")</f>
        <v/>
      </c>
      <c r="L2188" s="128" t="str">
        <f>IFERROR(IF([1]K_Summary!$L$2173 = "", "", [1]K_Summary!$L$2173 ),"")</f>
        <v/>
      </c>
      <c r="M2188" s="128" t="str">
        <f>IFERROR(IF([1]K_Summary!$M$2173 = "", "", [1]K_Summary!$M$2173 ),"")</f>
        <v/>
      </c>
      <c r="N2188" s="234" t="str">
        <f>IFERROR(IF([1]K_Summary!$N$2173 = "", "", [1]K_Summary!$N$2173 ),"")</f>
        <v/>
      </c>
    </row>
    <row r="2189" spans="1:14">
      <c r="A2189" s="817"/>
      <c r="C2189" s="485"/>
      <c r="D2189" s="776"/>
      <c r="E2189" s="2471" t="s">
        <v>1506</v>
      </c>
      <c r="F2189" s="2472"/>
      <c r="G2189" s="811" t="s">
        <v>2017</v>
      </c>
      <c r="H2189" s="127" t="str">
        <f>IFERROR(IF([1]K_Summary!$H$2174 = "", "", [1]K_Summary!$H$2174 ),"")</f>
        <v/>
      </c>
      <c r="I2189" s="229" t="str">
        <f>IFERROR(IF([1]K_Summary!$I$2174 = "", "", [1]K_Summary!$I$2174 ),"")</f>
        <v/>
      </c>
      <c r="J2189" s="230" t="str">
        <f>IFERROR(IF([1]K_Summary!$J$2174 = "", "", [1]K_Summary!$J$2174 ),"")</f>
        <v/>
      </c>
      <c r="K2189" s="127" t="str">
        <f>IFERROR(IF([1]K_Summary!$K$2174 = "", "", [1]K_Summary!$K$2174 ),"")</f>
        <v/>
      </c>
      <c r="L2189" s="127" t="str">
        <f>IFERROR(IF([1]K_Summary!$L$2174 = "", "", [1]K_Summary!$L$2174 ),"")</f>
        <v/>
      </c>
      <c r="M2189" s="127" t="str">
        <f>IFERROR(IF([1]K_Summary!$M$2174 = "", "", [1]K_Summary!$M$2174 ),"")</f>
        <v/>
      </c>
      <c r="N2189" s="231" t="str">
        <f>IFERROR(IF([1]K_Summary!$N$2174 = "", "", [1]K_Summary!$N$2174 ),"")</f>
        <v/>
      </c>
    </row>
    <row r="2190" spans="1:14">
      <c r="A2190" s="817"/>
      <c r="C2190" s="485"/>
      <c r="D2190" s="776"/>
      <c r="E2190" s="2473" t="s">
        <v>1490</v>
      </c>
      <c r="F2190" s="2474"/>
      <c r="G2190" s="812" t="s">
        <v>2018</v>
      </c>
      <c r="H2190" s="128" t="str">
        <f>IFERROR(IF([1]K_Summary!$H$2175 = "", "", [1]K_Summary!$H$2175 ),"")</f>
        <v/>
      </c>
      <c r="I2190" s="232" t="str">
        <f>IFERROR(IF([1]K_Summary!$I$2175 = "", "", [1]K_Summary!$I$2175 ),"")</f>
        <v/>
      </c>
      <c r="J2190" s="233" t="str">
        <f>IFERROR(IF([1]K_Summary!$J$2175 = "", "", [1]K_Summary!$J$2175 ),"")</f>
        <v/>
      </c>
      <c r="K2190" s="128" t="str">
        <f>IFERROR(IF([1]K_Summary!$K$2175 = "", "", [1]K_Summary!$K$2175 ),"")</f>
        <v/>
      </c>
      <c r="L2190" s="128" t="str">
        <f>IFERROR(IF([1]K_Summary!$L$2175 = "", "", [1]K_Summary!$L$2175 ),"")</f>
        <v/>
      </c>
      <c r="M2190" s="128" t="str">
        <f>IFERROR(IF([1]K_Summary!$M$2175 = "", "", [1]K_Summary!$M$2175 ),"")</f>
        <v/>
      </c>
      <c r="N2190" s="234" t="str">
        <f>IFERROR(IF([1]K_Summary!$N$2175 = "", "", [1]K_Summary!$N$2175 ),"")</f>
        <v/>
      </c>
    </row>
    <row r="2191" spans="1:14">
      <c r="A2191" s="817"/>
      <c r="C2191" s="485"/>
      <c r="D2191" s="776"/>
      <c r="E2191" s="2471" t="s">
        <v>1507</v>
      </c>
      <c r="F2191" s="2472"/>
      <c r="G2191" s="811" t="s">
        <v>2017</v>
      </c>
      <c r="H2191" s="127" t="str">
        <f>IFERROR(IF([1]K_Summary!$H$2176 = "", "", [1]K_Summary!$H$2176 ),"")</f>
        <v/>
      </c>
      <c r="I2191" s="229" t="str">
        <f>IFERROR(IF([1]K_Summary!$I$2176 = "", "", [1]K_Summary!$I$2176 ),"")</f>
        <v/>
      </c>
      <c r="J2191" s="230" t="str">
        <f>IFERROR(IF([1]K_Summary!$J$2176 = "", "", [1]K_Summary!$J$2176 ),"")</f>
        <v/>
      </c>
      <c r="K2191" s="127" t="str">
        <f>IFERROR(IF([1]K_Summary!$K$2176 = "", "", [1]K_Summary!$K$2176 ),"")</f>
        <v/>
      </c>
      <c r="L2191" s="127" t="str">
        <f>IFERROR(IF([1]K_Summary!$L$2176 = "", "", [1]K_Summary!$L$2176 ),"")</f>
        <v/>
      </c>
      <c r="M2191" s="127" t="str">
        <f>IFERROR(IF([1]K_Summary!$M$2176 = "", "", [1]K_Summary!$M$2176 ),"")</f>
        <v/>
      </c>
      <c r="N2191" s="231" t="str">
        <f>IFERROR(IF([1]K_Summary!$N$2176 = "", "", [1]K_Summary!$N$2176 ),"")</f>
        <v/>
      </c>
    </row>
    <row r="2192" spans="1:14">
      <c r="A2192" s="817"/>
      <c r="C2192" s="485"/>
      <c r="D2192" s="776"/>
      <c r="E2192" s="2473" t="s">
        <v>1489</v>
      </c>
      <c r="F2192" s="2474"/>
      <c r="G2192" s="812" t="s">
        <v>2018</v>
      </c>
      <c r="H2192" s="128" t="str">
        <f>IFERROR(IF([1]K_Summary!$H$2177 = "", "", [1]K_Summary!$H$2177 ),"")</f>
        <v/>
      </c>
      <c r="I2192" s="232" t="str">
        <f>IFERROR(IF([1]K_Summary!$I$2177 = "", "", [1]K_Summary!$I$2177 ),"")</f>
        <v/>
      </c>
      <c r="J2192" s="233" t="str">
        <f>IFERROR(IF([1]K_Summary!$J$2177 = "", "", [1]K_Summary!$J$2177 ),"")</f>
        <v/>
      </c>
      <c r="K2192" s="128" t="str">
        <f>IFERROR(IF([1]K_Summary!$K$2177 = "", "", [1]K_Summary!$K$2177 ),"")</f>
        <v/>
      </c>
      <c r="L2192" s="128" t="str">
        <f>IFERROR(IF([1]K_Summary!$L$2177 = "", "", [1]K_Summary!$L$2177 ),"")</f>
        <v/>
      </c>
      <c r="M2192" s="128" t="str">
        <f>IFERROR(IF([1]K_Summary!$M$2177 = "", "", [1]K_Summary!$M$2177 ),"")</f>
        <v/>
      </c>
      <c r="N2192" s="234" t="str">
        <f>IFERROR(IF([1]K_Summary!$N$2177 = "", "", [1]K_Summary!$N$2177 ),"")</f>
        <v/>
      </c>
    </row>
    <row r="2193" spans="1:14">
      <c r="A2193" s="817"/>
      <c r="C2193" s="485"/>
      <c r="D2193" s="776"/>
      <c r="E2193" s="2471" t="s">
        <v>1508</v>
      </c>
      <c r="F2193" s="2472"/>
      <c r="G2193" s="811" t="s">
        <v>2017</v>
      </c>
      <c r="H2193" s="127" t="str">
        <f>IFERROR(IF([1]K_Summary!$H$2178 = "", "", [1]K_Summary!$H$2178 ),"")</f>
        <v/>
      </c>
      <c r="I2193" s="229" t="str">
        <f>IFERROR(IF([1]K_Summary!$I$2178 = "", "", [1]K_Summary!$I$2178 ),"")</f>
        <v/>
      </c>
      <c r="J2193" s="230" t="str">
        <f>IFERROR(IF([1]K_Summary!$J$2178 = "", "", [1]K_Summary!$J$2178 ),"")</f>
        <v/>
      </c>
      <c r="K2193" s="127" t="str">
        <f>IFERROR(IF([1]K_Summary!$K$2178 = "", "", [1]K_Summary!$K$2178 ),"")</f>
        <v/>
      </c>
      <c r="L2193" s="127" t="str">
        <f>IFERROR(IF([1]K_Summary!$L$2178 = "", "", [1]K_Summary!$L$2178 ),"")</f>
        <v/>
      </c>
      <c r="M2193" s="127" t="str">
        <f>IFERROR(IF([1]K_Summary!$M$2178 = "", "", [1]K_Summary!$M$2178 ),"")</f>
        <v/>
      </c>
      <c r="N2193" s="231" t="str">
        <f>IFERROR(IF([1]K_Summary!$N$2178 = "", "", [1]K_Summary!$N$2178 ),"")</f>
        <v/>
      </c>
    </row>
    <row r="2194" spans="1:14">
      <c r="A2194" s="817"/>
      <c r="C2194" s="485"/>
      <c r="D2194" s="776"/>
      <c r="E2194" s="2473" t="s">
        <v>1491</v>
      </c>
      <c r="F2194" s="2474"/>
      <c r="G2194" s="812" t="s">
        <v>2018</v>
      </c>
      <c r="H2194" s="128" t="str">
        <f>IFERROR(IF([1]K_Summary!$H$2179 = "", "", [1]K_Summary!$H$2179 ),"")</f>
        <v/>
      </c>
      <c r="I2194" s="232" t="str">
        <f>IFERROR(IF([1]K_Summary!$I$2179 = "", "", [1]K_Summary!$I$2179 ),"")</f>
        <v/>
      </c>
      <c r="J2194" s="233" t="str">
        <f>IFERROR(IF([1]K_Summary!$J$2179 = "", "", [1]K_Summary!$J$2179 ),"")</f>
        <v/>
      </c>
      <c r="K2194" s="128" t="str">
        <f>IFERROR(IF([1]K_Summary!$K$2179 = "", "", [1]K_Summary!$K$2179 ),"")</f>
        <v/>
      </c>
      <c r="L2194" s="128" t="str">
        <f>IFERROR(IF([1]K_Summary!$L$2179 = "", "", [1]K_Summary!$L$2179 ),"")</f>
        <v/>
      </c>
      <c r="M2194" s="128" t="str">
        <f>IFERROR(IF([1]K_Summary!$M$2179 = "", "", [1]K_Summary!$M$2179 ),"")</f>
        <v/>
      </c>
      <c r="N2194" s="234" t="str">
        <f>IFERROR(IF([1]K_Summary!$N$2179 = "", "", [1]K_Summary!$N$2179 ),"")</f>
        <v/>
      </c>
    </row>
    <row r="2195" spans="1:14">
      <c r="A2195" s="817"/>
      <c r="C2195" s="485"/>
      <c r="D2195" s="776"/>
      <c r="E2195" s="2471" t="s">
        <v>1509</v>
      </c>
      <c r="F2195" s="2472"/>
      <c r="G2195" s="811" t="s">
        <v>2017</v>
      </c>
      <c r="H2195" s="127" t="str">
        <f>IFERROR(IF([1]K_Summary!$H$2180 = "", "", [1]K_Summary!$H$2180 ),"")</f>
        <v/>
      </c>
      <c r="I2195" s="229" t="str">
        <f>IFERROR(IF([1]K_Summary!$I$2180 = "", "", [1]K_Summary!$I$2180 ),"")</f>
        <v/>
      </c>
      <c r="J2195" s="230" t="str">
        <f>IFERROR(IF([1]K_Summary!$J$2180 = "", "", [1]K_Summary!$J$2180 ),"")</f>
        <v/>
      </c>
      <c r="K2195" s="127" t="str">
        <f>IFERROR(IF([1]K_Summary!$K$2180 = "", "", [1]K_Summary!$K$2180 ),"")</f>
        <v/>
      </c>
      <c r="L2195" s="127" t="str">
        <f>IFERROR(IF([1]K_Summary!$L$2180 = "", "", [1]K_Summary!$L$2180 ),"")</f>
        <v/>
      </c>
      <c r="M2195" s="127" t="str">
        <f>IFERROR(IF([1]K_Summary!$M$2180 = "", "", [1]K_Summary!$M$2180 ),"")</f>
        <v/>
      </c>
      <c r="N2195" s="231" t="str">
        <f>IFERROR(IF([1]K_Summary!$N$2180 = "", "", [1]K_Summary!$N$2180 ),"")</f>
        <v/>
      </c>
    </row>
    <row r="2196" spans="1:14">
      <c r="A2196" s="817"/>
      <c r="C2196" s="485"/>
      <c r="D2196" s="776"/>
      <c r="E2196" s="2473" t="s">
        <v>1492</v>
      </c>
      <c r="F2196" s="2474"/>
      <c r="G2196" s="812" t="s">
        <v>2018</v>
      </c>
      <c r="H2196" s="128" t="str">
        <f>IFERROR(IF([1]K_Summary!$H$2181 = "", "", [1]K_Summary!$H$2181 ),"")</f>
        <v/>
      </c>
      <c r="I2196" s="232" t="str">
        <f>IFERROR(IF([1]K_Summary!$I$2181 = "", "", [1]K_Summary!$I$2181 ),"")</f>
        <v/>
      </c>
      <c r="J2196" s="233" t="str">
        <f>IFERROR(IF([1]K_Summary!$J$2181 = "", "", [1]K_Summary!$J$2181 ),"")</f>
        <v/>
      </c>
      <c r="K2196" s="128" t="str">
        <f>IFERROR(IF([1]K_Summary!$K$2181 = "", "", [1]K_Summary!$K$2181 ),"")</f>
        <v/>
      </c>
      <c r="L2196" s="128" t="str">
        <f>IFERROR(IF([1]K_Summary!$L$2181 = "", "", [1]K_Summary!$L$2181 ),"")</f>
        <v/>
      </c>
      <c r="M2196" s="128" t="str">
        <f>IFERROR(IF([1]K_Summary!$M$2181 = "", "", [1]K_Summary!$M$2181 ),"")</f>
        <v/>
      </c>
      <c r="N2196" s="234" t="str">
        <f>IFERROR(IF([1]K_Summary!$N$2181 = "", "", [1]K_Summary!$N$2181 ),"")</f>
        <v/>
      </c>
    </row>
    <row r="2197" spans="1:14" ht="13.5" thickBot="1">
      <c r="A2197" s="817"/>
      <c r="C2197" s="485"/>
      <c r="D2197" s="839"/>
      <c r="E2197" s="805"/>
      <c r="F2197" s="805"/>
      <c r="G2197" s="805"/>
      <c r="H2197" s="805"/>
      <c r="I2197" s="805"/>
      <c r="J2197" s="805"/>
      <c r="K2197" s="805"/>
      <c r="L2197" s="805"/>
      <c r="M2197" s="805"/>
      <c r="N2197" s="806"/>
    </row>
    <row r="2198" spans="1:14" ht="13.5" thickBot="1">
      <c r="A2198" s="817"/>
      <c r="C2198" s="485"/>
      <c r="D2198" s="485"/>
      <c r="E2198" s="485"/>
      <c r="F2198" s="485"/>
      <c r="G2198" s="485"/>
      <c r="H2198" s="562"/>
      <c r="I2198" s="562"/>
      <c r="J2198" s="562"/>
      <c r="K2198" s="562"/>
      <c r="L2198" s="562"/>
      <c r="M2198" s="485"/>
      <c r="N2198" s="485"/>
    </row>
    <row r="2199" spans="1:14" ht="13.5" thickBot="1">
      <c r="A2199" s="817"/>
      <c r="C2199" s="686"/>
      <c r="D2199" s="686"/>
      <c r="E2199" s="686"/>
      <c r="F2199" s="686"/>
      <c r="G2199" s="686"/>
      <c r="H2199" s="686"/>
      <c r="I2199" s="686"/>
      <c r="J2199" s="686"/>
      <c r="K2199" s="686"/>
      <c r="L2199" s="686"/>
      <c r="M2199" s="686"/>
      <c r="N2199" s="686"/>
    </row>
    <row r="2200" spans="1:14" ht="14.45" customHeight="1" thickBot="1">
      <c r="A2200" s="817"/>
      <c r="C2200" s="559">
        <v>12</v>
      </c>
      <c r="D2200" s="2482" t="s">
        <v>2033</v>
      </c>
      <c r="E2200" s="2482"/>
      <c r="F2200" s="2482"/>
      <c r="G2200" s="2482"/>
      <c r="H2200" s="2483"/>
      <c r="I2200" s="2484" t="str">
        <f>IFERROR(IF([1]K_Summary!$I$2185 = "", "", [1]K_Summary!$I$2185 ),"")</f>
        <v>Heat benchmark sub-installation, non-CL</v>
      </c>
      <c r="J2200" s="2485"/>
      <c r="K2200" s="2485"/>
      <c r="L2200" s="2486"/>
      <c r="M2200" s="2476" t="str">
        <f>IFERROR(IF([1]K_Summary!$M$2185 = "", "", [1]K_Summary!$M$2185 ),"")</f>
        <v/>
      </c>
      <c r="N2200" s="2477"/>
    </row>
    <row r="2201" spans="1:14" ht="15">
      <c r="A2201" s="817"/>
      <c r="C2201" s="559"/>
      <c r="D2201" s="559"/>
      <c r="E2201" s="559"/>
      <c r="F2201" s="559"/>
      <c r="G2201" s="559"/>
      <c r="H2201" s="559"/>
      <c r="I2201" s="559"/>
      <c r="J2201" s="559"/>
      <c r="K2201" s="559"/>
      <c r="L2201" s="559"/>
      <c r="M2201" s="559"/>
      <c r="N2201" s="559"/>
    </row>
    <row r="2202" spans="1:14" ht="15">
      <c r="A2202" s="817"/>
      <c r="C2202" s="559"/>
      <c r="D2202" s="559"/>
      <c r="E2202" s="559"/>
      <c r="F2202" s="559"/>
      <c r="G2202" s="562"/>
      <c r="H2202" s="688" t="s">
        <v>458</v>
      </c>
      <c r="I2202" s="485"/>
      <c r="J2202" s="688" t="s">
        <v>1434</v>
      </c>
      <c r="K2202" s="688" t="s">
        <v>1684</v>
      </c>
      <c r="L2202" s="689" t="s">
        <v>156</v>
      </c>
      <c r="M2202" s="2469" t="s">
        <v>302</v>
      </c>
      <c r="N2202" s="2469"/>
    </row>
    <row r="2203" spans="1:14" ht="15">
      <c r="A2203" s="817"/>
      <c r="C2203" s="559"/>
      <c r="D2203" s="559"/>
      <c r="E2203" s="66" t="str">
        <f>IFERROR(IF([1]K_Summary!$E$2188 = "", "", [1]K_Summary!$E$2188 ),"")</f>
        <v>Heat benchmark sub-installation, non-CL</v>
      </c>
      <c r="F2203" s="51"/>
      <c r="G2203" s="51"/>
      <c r="H2203" s="143" t="b">
        <f>IFERROR(IF([1]K_Summary!$H$2188 = "", "", [1]K_Summary!$H$2188 ),"")</f>
        <v>0</v>
      </c>
      <c r="I2203" s="485"/>
      <c r="J2203" s="53" t="str">
        <f>IFERROR(IF([1]K_Summary!$J$2188 = "", "", [1]K_Summary!$J$2188 ),"")</f>
        <v>N.A.</v>
      </c>
      <c r="K2203" s="53" t="str">
        <f>IFERROR(IF([1]K_Summary!$K$2188 = "", "", [1]K_Summary!$K$2188 ),"")</f>
        <v>N.A.</v>
      </c>
      <c r="L2203" s="144">
        <f>IFERROR(IF([1]K_Summary!$L$2188 = "", "", [1]K_Summary!$L$2188 ),"")</f>
        <v>2</v>
      </c>
      <c r="M2203" s="238" t="str">
        <f>IFERROR(IF([1]K_Summary!$M$2188 = "", "", [1]K_Summary!$M$2188 ),"")</f>
        <v>N.A.</v>
      </c>
      <c r="N2203" s="50" t="str">
        <f>IFERROR(IF([1]K_Summary!$N$2188 = "", "", [1]K_Summary!$N$2188 ),"")</f>
        <v>EUA/TJ</v>
      </c>
    </row>
    <row r="2204" spans="1:14" ht="15">
      <c r="A2204" s="817"/>
      <c r="C2204" s="485"/>
      <c r="D2204" s="485"/>
      <c r="E2204" s="559"/>
      <c r="F2204" s="562"/>
      <c r="G2204" s="562"/>
      <c r="H2204" s="562"/>
      <c r="I2204" s="562"/>
      <c r="J2204" s="485"/>
      <c r="K2204" s="485"/>
      <c r="L2204" s="485"/>
      <c r="M2204" s="485"/>
      <c r="N2204" s="485"/>
    </row>
    <row r="2205" spans="1:14">
      <c r="A2205" s="817"/>
      <c r="C2205" s="485"/>
      <c r="D2205" s="485"/>
      <c r="E2205" s="496"/>
      <c r="F2205" s="482" t="s">
        <v>884</v>
      </c>
      <c r="G2205" s="819" t="s">
        <v>1646</v>
      </c>
      <c r="H2205" s="696">
        <v>2019</v>
      </c>
      <c r="I2205" s="697">
        <v>2020</v>
      </c>
      <c r="J2205" s="696">
        <v>2021</v>
      </c>
      <c r="K2205" s="578">
        <v>2022</v>
      </c>
      <c r="L2205" s="578">
        <v>2023</v>
      </c>
      <c r="M2205" s="578">
        <v>2024</v>
      </c>
      <c r="N2205" s="578">
        <v>2025</v>
      </c>
    </row>
    <row r="2206" spans="1:14">
      <c r="A2206" s="817"/>
      <c r="C2206" s="485"/>
      <c r="D2206" s="485"/>
      <c r="E2206" s="698" t="s">
        <v>1665</v>
      </c>
      <c r="F2206" s="146" t="str">
        <f>IFERROR(IF([1]K_Summary!$F$2191 = "", "", [1]K_Summary!$F$2191 ),"")</f>
        <v>TJ</v>
      </c>
      <c r="G2206" s="239" t="str">
        <f>IFERROR(IF([1]K_Summary!$G$2191 = "", "", [1]K_Summary!$G$2191 ),"")</f>
        <v/>
      </c>
      <c r="H2206" s="240" t="str">
        <f>IFERROR(IF([1]K_Summary!$H$2191 = "", "", [1]K_Summary!$H$2191 ),"")</f>
        <v/>
      </c>
      <c r="I2206" s="241" t="str">
        <f>IFERROR(IF([1]K_Summary!$I$2191 = "", "", [1]K_Summary!$I$2191 ),"")</f>
        <v/>
      </c>
      <c r="J2206" s="240" t="str">
        <f>IFERROR(IF([1]K_Summary!$J$2191 = "", "", [1]K_Summary!$J$2191 ),"")</f>
        <v/>
      </c>
      <c r="K2206" s="242" t="str">
        <f>IFERROR(IF([1]K_Summary!$K$2191 = "", "", [1]K_Summary!$K$2191 ),"")</f>
        <v/>
      </c>
      <c r="L2206" s="242" t="str">
        <f>IFERROR(IF([1]K_Summary!$L$2191 = "", "", [1]K_Summary!$L$2191 ),"")</f>
        <v/>
      </c>
      <c r="M2206" s="242" t="str">
        <f>IFERROR(IF([1]K_Summary!$M$2191 = "", "", [1]K_Summary!$M$2191 ),"")</f>
        <v/>
      </c>
      <c r="N2206" s="242" t="str">
        <f>IFERROR(IF([1]K_Summary!$N$2191 = "", "", [1]K_Summary!$N$2191 ),"")</f>
        <v/>
      </c>
    </row>
    <row r="2207" spans="1:14">
      <c r="A2207" s="817"/>
      <c r="C2207" s="485"/>
      <c r="D2207" s="485"/>
      <c r="E2207" s="698" t="s">
        <v>1782</v>
      </c>
      <c r="F2207" s="146" t="str">
        <f>IFERROR(IF([1]K_Summary!$F$2192 = "", "", [1]K_Summary!$F$2192 ),"")</f>
        <v/>
      </c>
      <c r="G2207" s="243" t="str">
        <f>IFERROR(IF([1]K_Summary!$G$2192 = "", "", [1]K_Summary!$G$2192 ),"")</f>
        <v/>
      </c>
      <c r="H2207" s="244" t="str">
        <f>IFERROR(IF([1]K_Summary!$H$2192 = "", "", [1]K_Summary!$H$2192 ),"")</f>
        <v/>
      </c>
      <c r="I2207" s="245" t="str">
        <f>IFERROR(IF([1]K_Summary!$I$2192 = "", "", [1]K_Summary!$I$2192 ),"")</f>
        <v/>
      </c>
      <c r="J2207" s="244" t="str">
        <f>IFERROR(IF([1]K_Summary!$J$2192 = "", "", [1]K_Summary!$J$2192 ),"")</f>
        <v/>
      </c>
      <c r="K2207" s="246" t="str">
        <f>IFERROR(IF([1]K_Summary!$K$2192 = "", "", [1]K_Summary!$K$2192 ),"")</f>
        <v/>
      </c>
      <c r="L2207" s="246" t="str">
        <f>IFERROR(IF([1]K_Summary!$L$2192 = "", "", [1]K_Summary!$L$2192 ),"")</f>
        <v/>
      </c>
      <c r="M2207" s="246" t="str">
        <f>IFERROR(IF([1]K_Summary!$M$2192 = "", "", [1]K_Summary!$M$2192 ),"")</f>
        <v/>
      </c>
      <c r="N2207" s="246" t="str">
        <f>IFERROR(IF([1]K_Summary!$N$2192 = "", "", [1]K_Summary!$N$2192 ),"")</f>
        <v/>
      </c>
    </row>
    <row r="2208" spans="1:14" ht="13.5" thickBot="1">
      <c r="A2208" s="817"/>
      <c r="C2208" s="485"/>
      <c r="D2208" s="485"/>
      <c r="E2208" s="562"/>
      <c r="F2208" s="485"/>
      <c r="G2208" s="485"/>
      <c r="H2208" s="485"/>
      <c r="I2208" s="743"/>
      <c r="J2208" s="485"/>
      <c r="K2208" s="485"/>
      <c r="L2208" s="485"/>
      <c r="M2208" s="485"/>
      <c r="N2208" s="485"/>
    </row>
    <row r="2209" spans="1:14" ht="15">
      <c r="A2209" s="817"/>
      <c r="C2209" s="559"/>
      <c r="D2209" s="703"/>
      <c r="E2209" s="704"/>
      <c r="F2209" s="704"/>
      <c r="G2209" s="704"/>
      <c r="H2209" s="704"/>
      <c r="I2209" s="704"/>
      <c r="J2209" s="704"/>
      <c r="K2209" s="704"/>
      <c r="L2209" s="704"/>
      <c r="M2209" s="704"/>
      <c r="N2209" s="705"/>
    </row>
    <row r="2210" spans="1:14" ht="15">
      <c r="A2210" s="817"/>
      <c r="C2210" s="559"/>
      <c r="D2210" s="706"/>
      <c r="E2210" s="707" t="s">
        <v>1787</v>
      </c>
      <c r="F2210" s="637"/>
      <c r="G2210" s="637"/>
      <c r="H2210" s="663" t="s">
        <v>884</v>
      </c>
      <c r="I2210" s="708"/>
      <c r="J2210" s="709">
        <v>2021</v>
      </c>
      <c r="K2210" s="671">
        <v>2022</v>
      </c>
      <c r="L2210" s="671">
        <v>2023</v>
      </c>
      <c r="M2210" s="671">
        <v>2024</v>
      </c>
      <c r="N2210" s="710">
        <v>2025</v>
      </c>
    </row>
    <row r="2211" spans="1:14" ht="15">
      <c r="A2211" s="817"/>
      <c r="C2211" s="559"/>
      <c r="D2211" s="706"/>
      <c r="E2211" s="711" t="s">
        <v>1783</v>
      </c>
      <c r="F2211" s="712"/>
      <c r="G2211" s="712"/>
      <c r="H2211" s="713" t="s">
        <v>1021</v>
      </c>
      <c r="I2211" s="712"/>
      <c r="J2211" s="151" t="str">
        <f>IFERROR(IF([1]K_Summary!$J$2196 = "", "", [1]K_Summary!$J$2196 ),"")</f>
        <v/>
      </c>
      <c r="K2211" s="152" t="str">
        <f>IFERROR(IF([1]K_Summary!$K$2196 = "", "", [1]K_Summary!$K$2196 ),"")</f>
        <v/>
      </c>
      <c r="L2211" s="152" t="str">
        <f>IFERROR(IF([1]K_Summary!$L$2196 = "", "", [1]K_Summary!$L$2196 ),"")</f>
        <v/>
      </c>
      <c r="M2211" s="152" t="str">
        <f>IFERROR(IF([1]K_Summary!$M$2196 = "", "", [1]K_Summary!$M$2196 ),"")</f>
        <v/>
      </c>
      <c r="N2211" s="153" t="str">
        <f>IFERROR(IF([1]K_Summary!$N$2196 = "", "", [1]K_Summary!$N$2196 ),"")</f>
        <v/>
      </c>
    </row>
    <row r="2212" spans="1:14" ht="15">
      <c r="A2212" s="817"/>
      <c r="C2212" s="559"/>
      <c r="D2212" s="706"/>
      <c r="E2212" s="714" t="s">
        <v>1784</v>
      </c>
      <c r="F2212" s="715"/>
      <c r="G2212" s="715"/>
      <c r="H2212" s="716" t="s">
        <v>1021</v>
      </c>
      <c r="I2212" s="715"/>
      <c r="J2212" s="154" t="str">
        <f>IFERROR(IF([1]K_Summary!$J$2197 = "", "", [1]K_Summary!$J$2197 ),"")</f>
        <v/>
      </c>
      <c r="K2212" s="155" t="str">
        <f>IFERROR(IF([1]K_Summary!$K$2197 = "", "", [1]K_Summary!$K$2197 ),"")</f>
        <v/>
      </c>
      <c r="L2212" s="155" t="str">
        <f>IFERROR(IF([1]K_Summary!$L$2197 = "", "", [1]K_Summary!$L$2197 ),"")</f>
        <v/>
      </c>
      <c r="M2212" s="155" t="str">
        <f>IFERROR(IF([1]K_Summary!$M$2197 = "", "", [1]K_Summary!$M$2197 ),"")</f>
        <v/>
      </c>
      <c r="N2212" s="156" t="str">
        <f>IFERROR(IF([1]K_Summary!$N$2197 = "", "", [1]K_Summary!$N$2197 ),"")</f>
        <v/>
      </c>
    </row>
    <row r="2213" spans="1:14" ht="15">
      <c r="A2213" s="817"/>
      <c r="C2213" s="559"/>
      <c r="D2213" s="706"/>
      <c r="E2213" s="559"/>
      <c r="F2213" s="559"/>
      <c r="G2213" s="559"/>
      <c r="H2213" s="559"/>
      <c r="I2213" s="559"/>
      <c r="J2213" s="559"/>
      <c r="K2213" s="559"/>
      <c r="L2213" s="559"/>
      <c r="M2213" s="559"/>
      <c r="N2213" s="717"/>
    </row>
    <row r="2214" spans="1:14" ht="15">
      <c r="A2214" s="817"/>
      <c r="C2214" s="559"/>
      <c r="D2214" s="706"/>
      <c r="E2214" s="496" t="s">
        <v>1762</v>
      </c>
      <c r="F2214" s="485"/>
      <c r="G2214" s="485"/>
      <c r="H2214" s="663" t="s">
        <v>884</v>
      </c>
      <c r="I2214" s="708"/>
      <c r="J2214" s="696">
        <v>2021</v>
      </c>
      <c r="K2214" s="578">
        <v>2022</v>
      </c>
      <c r="L2214" s="578">
        <v>2023</v>
      </c>
      <c r="M2214" s="578">
        <v>2024</v>
      </c>
      <c r="N2214" s="718">
        <v>2025</v>
      </c>
    </row>
    <row r="2215" spans="1:14" ht="15" hidden="1">
      <c r="A2215" s="817" t="s">
        <v>2289</v>
      </c>
      <c r="C2215" s="559"/>
      <c r="D2215" s="706"/>
      <c r="E2215" s="698" t="s">
        <v>1714</v>
      </c>
      <c r="F2215" s="698"/>
      <c r="G2215" s="698"/>
      <c r="H2215" s="63" t="str">
        <f>IFERROR(IF([1]K_Summary!$H$2200 = "", "", [1]K_Summary!$H$2200 ),"")</f>
        <v>TJ</v>
      </c>
      <c r="I2215" s="698"/>
      <c r="J2215" s="247" t="str">
        <f>IFERROR(IF([1]K_Summary!$J$2200 = "", "", [1]K_Summary!$J$2200 ),"")</f>
        <v/>
      </c>
      <c r="K2215" s="248" t="str">
        <f>IFERROR(IF([1]K_Summary!$K$2200 = "", "", [1]K_Summary!$K$2200 ),"")</f>
        <v/>
      </c>
      <c r="L2215" s="248" t="str">
        <f>IFERROR(IF([1]K_Summary!$L$2200 = "", "", [1]K_Summary!$L$2200 ),"")</f>
        <v/>
      </c>
      <c r="M2215" s="248" t="str">
        <f>IFERROR(IF([1]K_Summary!$M$2200 = "", "", [1]K_Summary!$M$2200 ),"")</f>
        <v/>
      </c>
      <c r="N2215" s="249" t="str">
        <f>IFERROR(IF([1]K_Summary!$N$2200 = "", "", [1]K_Summary!$N$2200 ),"")</f>
        <v/>
      </c>
    </row>
    <row r="2216" spans="1:14" ht="15">
      <c r="A2216" s="817"/>
      <c r="C2216" s="559"/>
      <c r="D2216" s="706"/>
      <c r="E2216" s="698" t="s">
        <v>1671</v>
      </c>
      <c r="F2216" s="698"/>
      <c r="G2216" s="698"/>
      <c r="H2216" s="730" t="s">
        <v>2090</v>
      </c>
      <c r="I2216" s="731"/>
      <c r="J2216" s="148" t="str">
        <f>IFERROR(IF([1]K_Summary!$J$2201 = "", "", [1]K_Summary!$J$2201 ),"")</f>
        <v/>
      </c>
      <c r="K2216" s="150" t="str">
        <f>IFERROR(IF([1]K_Summary!$K$2201 = "", "", [1]K_Summary!$K$2201 ),"")</f>
        <v/>
      </c>
      <c r="L2216" s="150" t="str">
        <f>IFERROR(IF([1]K_Summary!$L$2201 = "", "", [1]K_Summary!$L$2201 ),"")</f>
        <v/>
      </c>
      <c r="M2216" s="150" t="str">
        <f>IFERROR(IF([1]K_Summary!$M$2201 = "", "", [1]K_Summary!$M$2201 ),"")</f>
        <v/>
      </c>
      <c r="N2216" s="171" t="str">
        <f>IFERROR(IF([1]K_Summary!$N$2201 = "", "", [1]K_Summary!$N$2201 ),"")</f>
        <v/>
      </c>
    </row>
    <row r="2217" spans="1:14" ht="15">
      <c r="A2217" s="817"/>
      <c r="C2217" s="559"/>
      <c r="D2217" s="706"/>
      <c r="E2217" s="559"/>
      <c r="F2217" s="559"/>
      <c r="G2217" s="559"/>
      <c r="H2217" s="559"/>
      <c r="I2217" s="559"/>
      <c r="J2217" s="559"/>
      <c r="K2217" s="559"/>
      <c r="L2217" s="559"/>
      <c r="M2217" s="559"/>
      <c r="N2217" s="717"/>
    </row>
    <row r="2218" spans="1:14" ht="15">
      <c r="A2218" s="817"/>
      <c r="C2218" s="559"/>
      <c r="D2218" s="706"/>
      <c r="E2218" s="707" t="s">
        <v>1752</v>
      </c>
      <c r="F2218" s="637"/>
      <c r="G2218" s="637"/>
      <c r="H2218" s="663" t="s">
        <v>884</v>
      </c>
      <c r="I2218" s="708"/>
      <c r="J2218" s="709">
        <v>2021</v>
      </c>
      <c r="K2218" s="671">
        <v>2022</v>
      </c>
      <c r="L2218" s="671">
        <v>2023</v>
      </c>
      <c r="M2218" s="671">
        <v>2024</v>
      </c>
      <c r="N2218" s="710">
        <v>2025</v>
      </c>
    </row>
    <row r="2219" spans="1:14" ht="15">
      <c r="A2219" s="817"/>
      <c r="C2219" s="559"/>
      <c r="D2219" s="706"/>
      <c r="E2219" s="720" t="s">
        <v>1691</v>
      </c>
      <c r="F2219" s="720"/>
      <c r="G2219" s="720"/>
      <c r="H2219" s="67" t="str">
        <f>IFERROR(IF([1]K_Summary!$H$2204 = "", "", [1]K_Summary!$H$2204 ),"")</f>
        <v>TJ</v>
      </c>
      <c r="I2219" s="733"/>
      <c r="J2219" s="250" t="str">
        <f>IFERROR(IF([1]K_Summary!$J$2204 = "", "", [1]K_Summary!$J$2204 ),"")</f>
        <v/>
      </c>
      <c r="K2219" s="251" t="str">
        <f>IFERROR(IF([1]K_Summary!$K$2204 = "", "", [1]K_Summary!$K$2204 ),"")</f>
        <v/>
      </c>
      <c r="L2219" s="251" t="str">
        <f>IFERROR(IF([1]K_Summary!$L$2204 = "", "", [1]K_Summary!$L$2204 ),"")</f>
        <v/>
      </c>
      <c r="M2219" s="251" t="str">
        <f>IFERROR(IF([1]K_Summary!$M$2204 = "", "", [1]K_Summary!$M$2204 ),"")</f>
        <v/>
      </c>
      <c r="N2219" s="252" t="str">
        <f>IFERROR(IF([1]K_Summary!$N$2204 = "", "", [1]K_Summary!$N$2204 ),"")</f>
        <v/>
      </c>
    </row>
    <row r="2220" spans="1:14" ht="15">
      <c r="A2220" s="817"/>
      <c r="C2220" s="559"/>
      <c r="D2220" s="706"/>
      <c r="E2220" s="723" t="s">
        <v>1648</v>
      </c>
      <c r="F2220" s="723"/>
      <c r="G2220" s="723"/>
      <c r="H2220" s="734" t="s">
        <v>1021</v>
      </c>
      <c r="I2220" s="735"/>
      <c r="J2220" s="174" t="str">
        <f>IFERROR(IF([1]K_Summary!$J$2205 = "", "", [1]K_Summary!$J$2205 ),"")</f>
        <v/>
      </c>
      <c r="K2220" s="175" t="str">
        <f>IFERROR(IF([1]K_Summary!$K$2205 = "", "", [1]K_Summary!$K$2205 ),"")</f>
        <v/>
      </c>
      <c r="L2220" s="175" t="str">
        <f>IFERROR(IF([1]K_Summary!$L$2205 = "", "", [1]K_Summary!$L$2205 ),"")</f>
        <v/>
      </c>
      <c r="M2220" s="436" t="str">
        <f>IFERROR(IF([1]K_Summary!$M$2205 = "", "", [1]K_Summary!$M$2205 ),"")</f>
        <v/>
      </c>
      <c r="N2220" s="176" t="str">
        <f>IFERROR(IF([1]K_Summary!$N$2205 = "", "", [1]K_Summary!$N$2205 ),"")</f>
        <v/>
      </c>
    </row>
    <row r="2221" spans="1:14" ht="15">
      <c r="A2221" s="817"/>
      <c r="C2221" s="559"/>
      <c r="D2221" s="706"/>
      <c r="E2221" s="736" t="s">
        <v>1785</v>
      </c>
      <c r="F2221" s="736"/>
      <c r="G2221" s="736"/>
      <c r="H2221" s="737" t="s">
        <v>1021</v>
      </c>
      <c r="I2221" s="738"/>
      <c r="J2221" s="177" t="str">
        <f>IFERROR(IF([1]K_Summary!$J$2206 = "", "", [1]K_Summary!$J$2206 ),"")</f>
        <v/>
      </c>
      <c r="K2221" s="178" t="str">
        <f>IFERROR(IF([1]K_Summary!$K$2206 = "", "", [1]K_Summary!$K$2206 ),"")</f>
        <v/>
      </c>
      <c r="L2221" s="178" t="str">
        <f>IFERROR(IF([1]K_Summary!$L$2206 = "", "", [1]K_Summary!$L$2206 ),"")</f>
        <v/>
      </c>
      <c r="M2221" s="178" t="str">
        <f>IFERROR(IF([1]K_Summary!$M$2206 = "", "", [1]K_Summary!$M$2206 ),"")</f>
        <v/>
      </c>
      <c r="N2221" s="179" t="str">
        <f>IFERROR(IF([1]K_Summary!$N$2206 = "", "", [1]K_Summary!$N$2206 ),"")</f>
        <v/>
      </c>
    </row>
    <row r="2222" spans="1:14" ht="15">
      <c r="A2222" s="817"/>
      <c r="C2222" s="559"/>
      <c r="D2222" s="706"/>
      <c r="E2222" s="727" t="s">
        <v>1689</v>
      </c>
      <c r="F2222" s="727"/>
      <c r="G2222" s="727"/>
      <c r="H2222" s="68" t="str">
        <f>IFERROR(IF([1]K_Summary!$H$2207 = "", "", [1]K_Summary!$H$2207 ),"")</f>
        <v>TJ</v>
      </c>
      <c r="I2222" s="727"/>
      <c r="J2222" s="253" t="str">
        <f>IFERROR(IF([1]K_Summary!$J$2207 = "", "", [1]K_Summary!$J$2207 ),"")</f>
        <v/>
      </c>
      <c r="K2222" s="254" t="str">
        <f>IFERROR(IF([1]K_Summary!$K$2207 = "", "", [1]K_Summary!$K$2207 ),"")</f>
        <v/>
      </c>
      <c r="L2222" s="254" t="str">
        <f>IFERROR(IF([1]K_Summary!$L$2207 = "", "", [1]K_Summary!$L$2207 ),"")</f>
        <v/>
      </c>
      <c r="M2222" s="254" t="str">
        <f>IFERROR(IF([1]K_Summary!$M$2207 = "", "", [1]K_Summary!$M$2207 ),"")</f>
        <v/>
      </c>
      <c r="N2222" s="255" t="str">
        <f>IFERROR(IF([1]K_Summary!$N$2207 = "", "", [1]K_Summary!$N$2207 ),"")</f>
        <v/>
      </c>
    </row>
    <row r="2223" spans="1:14" ht="15">
      <c r="A2223" s="817"/>
      <c r="C2223" s="559"/>
      <c r="D2223" s="706"/>
      <c r="E2223" s="698" t="s">
        <v>1671</v>
      </c>
      <c r="F2223" s="698"/>
      <c r="G2223" s="698"/>
      <c r="H2223" s="730" t="s">
        <v>2090</v>
      </c>
      <c r="I2223" s="731"/>
      <c r="J2223" s="148" t="str">
        <f>IFERROR(IF([1]K_Summary!$J$2208 = "", "", [1]K_Summary!$J$2208 ),"")</f>
        <v/>
      </c>
      <c r="K2223" s="150" t="str">
        <f>IFERROR(IF([1]K_Summary!$K$2208 = "", "", [1]K_Summary!$K$2208 ),"")</f>
        <v/>
      </c>
      <c r="L2223" s="150" t="str">
        <f>IFERROR(IF([1]K_Summary!$L$2208 = "", "", [1]K_Summary!$L$2208 ),"")</f>
        <v/>
      </c>
      <c r="M2223" s="150" t="str">
        <f>IFERROR(IF([1]K_Summary!$M$2208 = "", "", [1]K_Summary!$M$2208 ),"")</f>
        <v/>
      </c>
      <c r="N2223" s="171" t="str">
        <f>IFERROR(IF([1]K_Summary!$N$2208 = "", "", [1]K_Summary!$N$2208 ),"")</f>
        <v/>
      </c>
    </row>
    <row r="2224" spans="1:14" ht="15">
      <c r="A2224" s="817"/>
      <c r="C2224" s="559"/>
      <c r="D2224" s="706"/>
      <c r="E2224" s="698" t="s">
        <v>1670</v>
      </c>
      <c r="F2224" s="698"/>
      <c r="G2224" s="698"/>
      <c r="H2224" s="730" t="s">
        <v>2090</v>
      </c>
      <c r="I2224" s="731"/>
      <c r="J2224" s="148" t="str">
        <f>IFERROR(IF([1]K_Summary!$J$2209 = "", "", [1]K_Summary!$J$2209 ),"")</f>
        <v/>
      </c>
      <c r="K2224" s="150" t="str">
        <f>IFERROR(IF([1]K_Summary!$K$2209 = "", "", [1]K_Summary!$K$2209 ),"")</f>
        <v/>
      </c>
      <c r="L2224" s="150" t="str">
        <f>IFERROR(IF([1]K_Summary!$L$2209 = "", "", [1]K_Summary!$L$2209 ),"")</f>
        <v/>
      </c>
      <c r="M2224" s="150" t="str">
        <f>IFERROR(IF([1]K_Summary!$M$2209 = "", "", [1]K_Summary!$M$2209 ),"")</f>
        <v/>
      </c>
      <c r="N2224" s="171" t="str">
        <f>IFERROR(IF([1]K_Summary!$N$2209 = "", "", [1]K_Summary!$N$2209 ),"")</f>
        <v/>
      </c>
    </row>
    <row r="2225" spans="1:14" ht="15">
      <c r="A2225" s="817"/>
      <c r="C2225" s="559"/>
      <c r="D2225" s="706"/>
      <c r="E2225" s="740" t="s">
        <v>2136</v>
      </c>
      <c r="F2225" s="740"/>
      <c r="G2225" s="740"/>
      <c r="H2225" s="741" t="s">
        <v>1021</v>
      </c>
      <c r="I2225" s="742"/>
      <c r="J2225" s="183" t="str">
        <f>IFERROR(IF([1]K_Summary!$J$2210 = "", "", [1]K_Summary!$J$2210 ),"")</f>
        <v/>
      </c>
      <c r="K2225" s="184" t="str">
        <f>IFERROR(IF([1]K_Summary!$K$2210 = "", "", [1]K_Summary!$K$2210 ),"")</f>
        <v/>
      </c>
      <c r="L2225" s="184" t="str">
        <f>IFERROR(IF([1]K_Summary!$L$2210 = "", "", [1]K_Summary!$L$2210 ),"")</f>
        <v/>
      </c>
      <c r="M2225" s="184" t="str">
        <f>IFERROR(IF([1]K_Summary!$M$2210 = "", "", [1]K_Summary!$M$2210 ),"")</f>
        <v/>
      </c>
      <c r="N2225" s="185" t="str">
        <f>IFERROR(IF([1]K_Summary!$N$2210 = "", "", [1]K_Summary!$N$2210 ),"")</f>
        <v/>
      </c>
    </row>
    <row r="2226" spans="1:14" ht="15">
      <c r="A2226" s="817"/>
      <c r="C2226" s="559"/>
      <c r="D2226" s="706"/>
      <c r="E2226" s="485"/>
      <c r="F2226" s="485"/>
      <c r="G2226" s="485"/>
      <c r="H2226" s="485"/>
      <c r="I2226" s="743"/>
      <c r="J2226" s="485"/>
      <c r="K2226" s="485"/>
      <c r="L2226" s="485"/>
      <c r="M2226" s="485"/>
      <c r="N2226" s="744"/>
    </row>
    <row r="2227" spans="1:14">
      <c r="A2227" s="817"/>
      <c r="C2227" s="485"/>
      <c r="D2227" s="539"/>
      <c r="E2227" s="707" t="s">
        <v>1791</v>
      </c>
      <c r="F2227" s="637"/>
      <c r="G2227" s="637"/>
      <c r="H2227" s="663"/>
      <c r="I2227" s="708"/>
      <c r="J2227" s="696">
        <v>2021</v>
      </c>
      <c r="K2227" s="578">
        <v>2022</v>
      </c>
      <c r="L2227" s="578">
        <v>2023</v>
      </c>
      <c r="M2227" s="578">
        <v>2024</v>
      </c>
      <c r="N2227" s="718">
        <v>2025</v>
      </c>
    </row>
    <row r="2228" spans="1:14">
      <c r="A2228" s="817"/>
      <c r="C2228" s="485"/>
      <c r="D2228" s="539"/>
      <c r="E2228" s="720" t="s">
        <v>1691</v>
      </c>
      <c r="F2228" s="720"/>
      <c r="G2228" s="720"/>
      <c r="H2228" s="720"/>
      <c r="I2228" s="827"/>
      <c r="J2228" s="256" t="str">
        <f>IFERROR(IF([1]K_Summary!$J$2213 = "", "", [1]K_Summary!$J$2213 ),"")</f>
        <v/>
      </c>
      <c r="K2228" s="257" t="str">
        <f>IFERROR(IF([1]K_Summary!$K$2213 = "", "", [1]K_Summary!$K$2213 ),"")</f>
        <v/>
      </c>
      <c r="L2228" s="257" t="str">
        <f>IFERROR(IF([1]K_Summary!$L$2213 = "", "", [1]K_Summary!$L$2213 ),"")</f>
        <v/>
      </c>
      <c r="M2228" s="257" t="str">
        <f>IFERROR(IF([1]K_Summary!$M$2213 = "", "", [1]K_Summary!$M$2213 ),"")</f>
        <v/>
      </c>
      <c r="N2228" s="258" t="str">
        <f>IFERROR(IF([1]K_Summary!$N$2213 = "", "", [1]K_Summary!$N$2213 ),"")</f>
        <v/>
      </c>
    </row>
    <row r="2229" spans="1:14">
      <c r="A2229" s="817"/>
      <c r="C2229" s="485"/>
      <c r="D2229" s="539"/>
      <c r="E2229" s="727" t="s">
        <v>1648</v>
      </c>
      <c r="F2229" s="727"/>
      <c r="G2229" s="727"/>
      <c r="H2229" s="727"/>
      <c r="I2229" s="828"/>
      <c r="J2229" s="259" t="str">
        <f>IFERROR(IF([1]K_Summary!$J$2214 = "", "", [1]K_Summary!$J$2214 ),"")</f>
        <v/>
      </c>
      <c r="K2229" s="260" t="str">
        <f>IFERROR(IF([1]K_Summary!$K$2214 = "", "", [1]K_Summary!$K$2214 ),"")</f>
        <v/>
      </c>
      <c r="L2229" s="260" t="str">
        <f>IFERROR(IF([1]K_Summary!$L$2214 = "", "", [1]K_Summary!$L$2214 ),"")</f>
        <v/>
      </c>
      <c r="M2229" s="260" t="str">
        <f>IFERROR(IF([1]K_Summary!$M$2214 = "", "", [1]K_Summary!$M$2214 ),"")</f>
        <v/>
      </c>
      <c r="N2229" s="261" t="str">
        <f>IFERROR(IF([1]K_Summary!$N$2214 = "", "", [1]K_Summary!$N$2214 ),"")</f>
        <v/>
      </c>
    </row>
    <row r="2230" spans="1:14">
      <c r="A2230" s="817"/>
      <c r="C2230" s="485"/>
      <c r="D2230" s="539"/>
      <c r="E2230" s="829" t="s">
        <v>1790</v>
      </c>
      <c r="F2230" s="829"/>
      <c r="G2230" s="829"/>
      <c r="H2230" s="830" t="s">
        <v>1021</v>
      </c>
      <c r="I2230" s="831"/>
      <c r="J2230" s="151" t="str">
        <f>IFERROR(IF([1]K_Summary!$J$2215 = "", "", [1]K_Summary!$J$2215 ),"")</f>
        <v/>
      </c>
      <c r="K2230" s="152" t="str">
        <f>IFERROR(IF([1]K_Summary!$K$2215 = "", "", [1]K_Summary!$K$2215 ),"")</f>
        <v/>
      </c>
      <c r="L2230" s="152" t="str">
        <f>IFERROR(IF([1]K_Summary!$L$2215 = "", "", [1]K_Summary!$L$2215 ),"")</f>
        <v/>
      </c>
      <c r="M2230" s="152" t="str">
        <f>IFERROR(IF([1]K_Summary!$M$2215 = "", "", [1]K_Summary!$M$2215 ),"")</f>
        <v/>
      </c>
      <c r="N2230" s="153" t="str">
        <f>IFERROR(IF([1]K_Summary!$N$2215 = "", "", [1]K_Summary!$N$2215 ),"")</f>
        <v/>
      </c>
    </row>
    <row r="2231" spans="1:14">
      <c r="A2231" s="817"/>
      <c r="C2231" s="485"/>
      <c r="D2231" s="539"/>
      <c r="E2231" s="714" t="s">
        <v>1795</v>
      </c>
      <c r="F2231" s="714"/>
      <c r="G2231" s="714"/>
      <c r="H2231" s="832" t="s">
        <v>1021</v>
      </c>
      <c r="I2231" s="716"/>
      <c r="J2231" s="154" t="str">
        <f>IFERROR(IF([1]K_Summary!$J$2216 = "", "", [1]K_Summary!$J$2216 ),"")</f>
        <v/>
      </c>
      <c r="K2231" s="155" t="str">
        <f>IFERROR(IF([1]K_Summary!$K$2216 = "", "", [1]K_Summary!$K$2216 ),"")</f>
        <v/>
      </c>
      <c r="L2231" s="155" t="str">
        <f>IFERROR(IF([1]K_Summary!$L$2216 = "", "", [1]K_Summary!$L$2216 ),"")</f>
        <v/>
      </c>
      <c r="M2231" s="155" t="str">
        <f>IFERROR(IF([1]K_Summary!$M$2216 = "", "", [1]K_Summary!$M$2216 ),"")</f>
        <v/>
      </c>
      <c r="N2231" s="156" t="str">
        <f>IFERROR(IF([1]K_Summary!$N$2216 = "", "", [1]K_Summary!$N$2216 ),"")</f>
        <v/>
      </c>
    </row>
    <row r="2232" spans="1:14">
      <c r="A2232" s="817"/>
      <c r="C2232" s="485"/>
      <c r="D2232" s="539"/>
      <c r="E2232" s="698" t="s">
        <v>1794</v>
      </c>
      <c r="F2232" s="698"/>
      <c r="G2232" s="698"/>
      <c r="H2232" s="833" t="s">
        <v>1021</v>
      </c>
      <c r="I2232" s="834"/>
      <c r="J2232" s="262" t="str">
        <f>IFERROR(IF([1]K_Summary!$J$2217 = "", "", [1]K_Summary!$J$2217 ),"")</f>
        <v/>
      </c>
      <c r="K2232" s="263" t="str">
        <f>IFERROR(IF([1]K_Summary!$K$2217 = "", "", [1]K_Summary!$K$2217 ),"")</f>
        <v/>
      </c>
      <c r="L2232" s="263" t="str">
        <f>IFERROR(IF([1]K_Summary!$L$2217 = "", "", [1]K_Summary!$L$2217 ),"")</f>
        <v/>
      </c>
      <c r="M2232" s="263" t="str">
        <f>IFERROR(IF([1]K_Summary!$M$2217 = "", "", [1]K_Summary!$M$2217 ),"")</f>
        <v/>
      </c>
      <c r="N2232" s="264" t="str">
        <f>IFERROR(IF([1]K_Summary!$N$2217 = "", "", [1]K_Summary!$N$2217 ),"")</f>
        <v/>
      </c>
    </row>
    <row r="2233" spans="1:14" ht="13.5" thickBot="1">
      <c r="A2233" s="817"/>
      <c r="C2233" s="485"/>
      <c r="D2233" s="771"/>
      <c r="E2233" s="756"/>
      <c r="F2233" s="756"/>
      <c r="G2233" s="756"/>
      <c r="H2233" s="756"/>
      <c r="I2233" s="835"/>
      <c r="J2233" s="756"/>
      <c r="K2233" s="756"/>
      <c r="L2233" s="756"/>
      <c r="M2233" s="756"/>
      <c r="N2233" s="758"/>
    </row>
    <row r="2234" spans="1:14" ht="13.5" thickBot="1">
      <c r="A2234" s="817"/>
      <c r="C2234" s="485"/>
      <c r="D2234" s="485"/>
      <c r="E2234" s="485"/>
      <c r="F2234" s="485"/>
      <c r="G2234" s="485"/>
      <c r="H2234" s="485"/>
      <c r="I2234" s="836"/>
      <c r="J2234" s="485"/>
      <c r="K2234" s="485"/>
      <c r="L2234" s="485"/>
      <c r="M2234" s="485"/>
      <c r="N2234" s="485"/>
    </row>
    <row r="2235" spans="1:14">
      <c r="A2235" s="817"/>
      <c r="C2235" s="485"/>
      <c r="D2235" s="759"/>
      <c r="E2235" s="760"/>
      <c r="F2235" s="760"/>
      <c r="G2235" s="760"/>
      <c r="H2235" s="760"/>
      <c r="I2235" s="761"/>
      <c r="J2235" s="760"/>
      <c r="K2235" s="760"/>
      <c r="L2235" s="760"/>
      <c r="M2235" s="760"/>
      <c r="N2235" s="762"/>
    </row>
    <row r="2236" spans="1:14">
      <c r="A2236" s="817"/>
      <c r="C2236" s="485"/>
      <c r="D2236" s="539"/>
      <c r="E2236" s="496" t="s">
        <v>1786</v>
      </c>
      <c r="F2236" s="485"/>
      <c r="G2236" s="485"/>
      <c r="H2236" s="663" t="s">
        <v>884</v>
      </c>
      <c r="I2236" s="837" t="s">
        <v>1675</v>
      </c>
      <c r="J2236" s="709">
        <v>2021</v>
      </c>
      <c r="K2236" s="671">
        <v>2022</v>
      </c>
      <c r="L2236" s="671">
        <v>2023</v>
      </c>
      <c r="M2236" s="671">
        <v>2024</v>
      </c>
      <c r="N2236" s="710">
        <v>2025</v>
      </c>
    </row>
    <row r="2237" spans="1:14">
      <c r="A2237" s="817"/>
      <c r="C2237" s="485"/>
      <c r="D2237" s="539"/>
      <c r="E2237" s="698" t="s">
        <v>1692</v>
      </c>
      <c r="F2237" s="698"/>
      <c r="G2237" s="698"/>
      <c r="H2237" s="63" t="str">
        <f>IFERROR(IF([1]K_Summary!$H$2222 = "", "", [1]K_Summary!$H$2222 ),"")</f>
        <v>TJ</v>
      </c>
      <c r="I2237" s="247" t="str">
        <f>IFERROR(IF([1]K_Summary!$I$2222 = "", "", [1]K_Summary!$I$2222 ),"")</f>
        <v/>
      </c>
      <c r="J2237" s="240" t="str">
        <f>IFERROR(IF([1]K_Summary!$J$2222 = "", "", [1]K_Summary!$J$2222 ),"")</f>
        <v/>
      </c>
      <c r="K2237" s="242" t="str">
        <f>IFERROR(IF([1]K_Summary!$K$2222 = "", "", [1]K_Summary!$K$2222 ),"")</f>
        <v/>
      </c>
      <c r="L2237" s="242" t="str">
        <f>IFERROR(IF([1]K_Summary!$L$2222 = "", "", [1]K_Summary!$L$2222 ),"")</f>
        <v/>
      </c>
      <c r="M2237" s="242" t="str">
        <f>IFERROR(IF([1]K_Summary!$M$2222 = "", "", [1]K_Summary!$M$2222 ),"")</f>
        <v/>
      </c>
      <c r="N2237" s="265" t="str">
        <f>IFERROR(IF([1]K_Summary!$N$2222 = "", "", [1]K_Summary!$N$2222 ),"")</f>
        <v/>
      </c>
    </row>
    <row r="2238" spans="1:14">
      <c r="A2238" s="817"/>
      <c r="C2238" s="485"/>
      <c r="D2238" s="539"/>
      <c r="E2238" s="698" t="s">
        <v>222</v>
      </c>
      <c r="F2238" s="698"/>
      <c r="G2238" s="698"/>
      <c r="H2238" s="730" t="s">
        <v>2090</v>
      </c>
      <c r="I2238" s="266" t="str">
        <f>IFERROR(IF([1]K_Summary!$I$2223 = "", "", [1]K_Summary!$I$2223 ),"")</f>
        <v/>
      </c>
      <c r="J2238" s="148" t="str">
        <f>IFERROR(IF([1]K_Summary!$J$2223 = "", "", [1]K_Summary!$J$2223 ),"")</f>
        <v/>
      </c>
      <c r="K2238" s="150" t="str">
        <f>IFERROR(IF([1]K_Summary!$K$2223 = "", "", [1]K_Summary!$K$2223 ),"")</f>
        <v/>
      </c>
      <c r="L2238" s="150" t="str">
        <f>IFERROR(IF([1]K_Summary!$L$2223 = "", "", [1]K_Summary!$L$2223 ),"")</f>
        <v/>
      </c>
      <c r="M2238" s="150" t="str">
        <f>IFERROR(IF([1]K_Summary!$M$2223 = "", "", [1]K_Summary!$M$2223 ),"")</f>
        <v/>
      </c>
      <c r="N2238" s="171" t="str">
        <f>IFERROR(IF([1]K_Summary!$N$2223 = "", "", [1]K_Summary!$N$2223 ),"")</f>
        <v/>
      </c>
    </row>
    <row r="2239" spans="1:14" ht="13.5" thickBot="1">
      <c r="A2239" s="817"/>
      <c r="C2239" s="485"/>
      <c r="D2239" s="771"/>
      <c r="E2239" s="756"/>
      <c r="F2239" s="756"/>
      <c r="G2239" s="756"/>
      <c r="H2239" s="756"/>
      <c r="I2239" s="756"/>
      <c r="J2239" s="756"/>
      <c r="K2239" s="756"/>
      <c r="L2239" s="756"/>
      <c r="M2239" s="756"/>
      <c r="N2239" s="758"/>
    </row>
    <row r="2240" spans="1:14" ht="13.5" thickBot="1">
      <c r="A2240" s="817"/>
      <c r="C2240" s="485"/>
      <c r="D2240" s="485"/>
      <c r="E2240" s="485"/>
      <c r="F2240" s="485"/>
      <c r="G2240" s="485"/>
      <c r="H2240" s="562"/>
      <c r="I2240" s="562"/>
      <c r="J2240" s="562"/>
      <c r="K2240" s="562"/>
      <c r="L2240" s="562"/>
      <c r="M2240" s="485"/>
      <c r="N2240" s="485"/>
    </row>
    <row r="2241" spans="1:14">
      <c r="A2241" s="817"/>
      <c r="C2241" s="485"/>
      <c r="D2241" s="772"/>
      <c r="E2241" s="773"/>
      <c r="F2241" s="774"/>
      <c r="G2241" s="774"/>
      <c r="H2241" s="774"/>
      <c r="I2241" s="774"/>
      <c r="J2241" s="774"/>
      <c r="K2241" s="774"/>
      <c r="L2241" s="774"/>
      <c r="M2241" s="774"/>
      <c r="N2241" s="775"/>
    </row>
    <row r="2242" spans="1:14" ht="13.5" thickBot="1">
      <c r="A2242" s="817"/>
      <c r="C2242" s="485"/>
      <c r="D2242" s="776"/>
      <c r="E2242" s="777"/>
      <c r="F2242" s="813"/>
      <c r="G2242" s="778" t="s">
        <v>884</v>
      </c>
      <c r="H2242" s="779">
        <v>2019</v>
      </c>
      <c r="I2242" s="779">
        <v>2020</v>
      </c>
      <c r="J2242" s="779">
        <v>2021</v>
      </c>
      <c r="K2242" s="782">
        <v>2022</v>
      </c>
      <c r="L2242" s="782">
        <v>2023</v>
      </c>
      <c r="M2242" s="782">
        <v>2024</v>
      </c>
      <c r="N2242" s="783">
        <v>2025</v>
      </c>
    </row>
    <row r="2243" spans="1:14" ht="13.5" thickBot="1">
      <c r="A2243" s="817"/>
      <c r="C2243" s="485"/>
      <c r="D2243" s="776"/>
      <c r="E2243" s="2470" t="s">
        <v>52</v>
      </c>
      <c r="F2243" s="2410"/>
      <c r="G2243" s="808" t="s">
        <v>2017</v>
      </c>
      <c r="H2243" s="225" t="str">
        <f>IFERROR(IF([1]K_Summary!$H$2228 = "", "", [1]K_Summary!$H$2228 ),"")</f>
        <v/>
      </c>
      <c r="I2243" s="228" t="str">
        <f>IFERROR(IF([1]K_Summary!$I$2228 = "", "", [1]K_Summary!$I$2228 ),"")</f>
        <v/>
      </c>
      <c r="J2243" s="225" t="str">
        <f>IFERROR(IF([1]K_Summary!$J$2228 = "", "", [1]K_Summary!$J$2228 ),"")</f>
        <v/>
      </c>
      <c r="K2243" s="227" t="str">
        <f>IFERROR(IF([1]K_Summary!$K$2228 = "", "", [1]K_Summary!$K$2228 ),"")</f>
        <v/>
      </c>
      <c r="L2243" s="227" t="str">
        <f>IFERROR(IF([1]K_Summary!$L$2228 = "", "", [1]K_Summary!$L$2228 ),"")</f>
        <v/>
      </c>
      <c r="M2243" s="227" t="str">
        <f>IFERROR(IF([1]K_Summary!$M$2228 = "", "", [1]K_Summary!$M$2228 ),"")</f>
        <v/>
      </c>
      <c r="N2243" s="228" t="str">
        <f>IFERROR(IF([1]K_Summary!$N$2228 = "", "", [1]K_Summary!$N$2228 ),"")</f>
        <v/>
      </c>
    </row>
    <row r="2244" spans="1:14" ht="13.5" thickBot="1">
      <c r="A2244" s="817"/>
      <c r="C2244" s="485"/>
      <c r="D2244" s="776"/>
      <c r="E2244" s="777"/>
      <c r="F2244" s="777"/>
      <c r="G2244" s="777"/>
      <c r="H2244" s="813"/>
      <c r="I2244" s="813"/>
      <c r="J2244" s="813"/>
      <c r="K2244" s="813"/>
      <c r="L2244" s="813"/>
      <c r="M2244" s="813"/>
      <c r="N2244" s="814"/>
    </row>
    <row r="2245" spans="1:14" ht="13.5" thickBot="1">
      <c r="A2245" s="817"/>
      <c r="C2245" s="485"/>
      <c r="D2245" s="776"/>
      <c r="E2245" s="2470" t="s">
        <v>1504</v>
      </c>
      <c r="F2245" s="2410"/>
      <c r="G2245" s="808" t="s">
        <v>2016</v>
      </c>
      <c r="H2245" s="225" t="str">
        <f>IFERROR(IF([1]K_Summary!$H$2230 = "", "", [1]K_Summary!$H$2230 ),"")</f>
        <v/>
      </c>
      <c r="I2245" s="228" t="str">
        <f>IFERROR(IF([1]K_Summary!$I$2230 = "", "", [1]K_Summary!$I$2230 ),"")</f>
        <v/>
      </c>
      <c r="J2245" s="225" t="str">
        <f>IFERROR(IF([1]K_Summary!$J$2230 = "", "", [1]K_Summary!$J$2230 ),"")</f>
        <v/>
      </c>
      <c r="K2245" s="227" t="str">
        <f>IFERROR(IF([1]K_Summary!$K$2230 = "", "", [1]K_Summary!$K$2230 ),"")</f>
        <v/>
      </c>
      <c r="L2245" s="227" t="str">
        <f>IFERROR(IF([1]K_Summary!$L$2230 = "", "", [1]K_Summary!$L$2230 ),"")</f>
        <v/>
      </c>
      <c r="M2245" s="227" t="str">
        <f>IFERROR(IF([1]K_Summary!$M$2230 = "", "", [1]K_Summary!$M$2230 ),"")</f>
        <v/>
      </c>
      <c r="N2245" s="228" t="str">
        <f>IFERROR(IF([1]K_Summary!$N$2230 = "", "", [1]K_Summary!$N$2230 ),"")</f>
        <v/>
      </c>
    </row>
    <row r="2246" spans="1:14">
      <c r="A2246" s="817"/>
      <c r="C2246" s="485"/>
      <c r="D2246" s="776"/>
      <c r="E2246" s="777"/>
      <c r="F2246" s="777"/>
      <c r="G2246" s="777"/>
      <c r="H2246" s="777"/>
      <c r="I2246" s="777"/>
      <c r="J2246" s="777"/>
      <c r="K2246" s="777"/>
      <c r="L2246" s="777"/>
      <c r="M2246" s="777"/>
      <c r="N2246" s="810"/>
    </row>
    <row r="2247" spans="1:14">
      <c r="A2247" s="817"/>
      <c r="C2247" s="485"/>
      <c r="D2247" s="776"/>
      <c r="E2247" s="2471" t="s">
        <v>1344</v>
      </c>
      <c r="F2247" s="2472"/>
      <c r="G2247" s="811" t="s">
        <v>2017</v>
      </c>
      <c r="H2247" s="127" t="str">
        <f>IFERROR(IF([1]K_Summary!$H$2232 = "", "", [1]K_Summary!$H$2232 ),"")</f>
        <v/>
      </c>
      <c r="I2247" s="229" t="str">
        <f>IFERROR(IF([1]K_Summary!$I$2232 = "", "", [1]K_Summary!$I$2232 ),"")</f>
        <v/>
      </c>
      <c r="J2247" s="230" t="str">
        <f>IFERROR(IF([1]K_Summary!$J$2232 = "", "", [1]K_Summary!$J$2232 ),"")</f>
        <v/>
      </c>
      <c r="K2247" s="127" t="str">
        <f>IFERROR(IF([1]K_Summary!$K$2232 = "", "", [1]K_Summary!$K$2232 ),"")</f>
        <v/>
      </c>
      <c r="L2247" s="127" t="str">
        <f>IFERROR(IF([1]K_Summary!$L$2232 = "", "", [1]K_Summary!$L$2232 ),"")</f>
        <v/>
      </c>
      <c r="M2247" s="127" t="str">
        <f>IFERROR(IF([1]K_Summary!$M$2232 = "", "", [1]K_Summary!$M$2232 ),"")</f>
        <v/>
      </c>
      <c r="N2247" s="231" t="str">
        <f>IFERROR(IF([1]K_Summary!$N$2232 = "", "", [1]K_Summary!$N$2232 ),"")</f>
        <v/>
      </c>
    </row>
    <row r="2248" spans="1:14">
      <c r="A2248" s="817"/>
      <c r="C2248" s="485"/>
      <c r="D2248" s="776"/>
      <c r="E2248" s="2473" t="s">
        <v>1182</v>
      </c>
      <c r="F2248" s="2474"/>
      <c r="G2248" s="812" t="s">
        <v>2018</v>
      </c>
      <c r="H2248" s="128" t="str">
        <f>IFERROR(IF([1]K_Summary!$H$2233 = "", "", [1]K_Summary!$H$2233 ),"")</f>
        <v/>
      </c>
      <c r="I2248" s="232" t="str">
        <f>IFERROR(IF([1]K_Summary!$I$2233 = "", "", [1]K_Summary!$I$2233 ),"")</f>
        <v/>
      </c>
      <c r="J2248" s="233" t="str">
        <f>IFERROR(IF([1]K_Summary!$J$2233 = "", "", [1]K_Summary!$J$2233 ),"")</f>
        <v/>
      </c>
      <c r="K2248" s="128" t="str">
        <f>IFERROR(IF([1]K_Summary!$K$2233 = "", "", [1]K_Summary!$K$2233 ),"")</f>
        <v/>
      </c>
      <c r="L2248" s="128" t="str">
        <f>IFERROR(IF([1]K_Summary!$L$2233 = "", "", [1]K_Summary!$L$2233 ),"")</f>
        <v/>
      </c>
      <c r="M2248" s="128" t="str">
        <f>IFERROR(IF([1]K_Summary!$M$2233 = "", "", [1]K_Summary!$M$2233 ),"")</f>
        <v/>
      </c>
      <c r="N2248" s="234" t="str">
        <f>IFERROR(IF([1]K_Summary!$N$2233 = "", "", [1]K_Summary!$N$2233 ),"")</f>
        <v/>
      </c>
    </row>
    <row r="2249" spans="1:14">
      <c r="A2249" s="817"/>
      <c r="C2249" s="485"/>
      <c r="D2249" s="776"/>
      <c r="E2249" s="2471" t="s">
        <v>1481</v>
      </c>
      <c r="F2249" s="2472"/>
      <c r="G2249" s="811" t="s">
        <v>2017</v>
      </c>
      <c r="H2249" s="127" t="str">
        <f>IFERROR(IF([1]K_Summary!$H$2234 = "", "", [1]K_Summary!$H$2234 ),"")</f>
        <v/>
      </c>
      <c r="I2249" s="229" t="str">
        <f>IFERROR(IF([1]K_Summary!$I$2234 = "", "", [1]K_Summary!$I$2234 ),"")</f>
        <v/>
      </c>
      <c r="J2249" s="230" t="str">
        <f>IFERROR(IF([1]K_Summary!$J$2234 = "", "", [1]K_Summary!$J$2234 ),"")</f>
        <v/>
      </c>
      <c r="K2249" s="127" t="str">
        <f>IFERROR(IF([1]K_Summary!$K$2234 = "", "", [1]K_Summary!$K$2234 ),"")</f>
        <v/>
      </c>
      <c r="L2249" s="127" t="str">
        <f>IFERROR(IF([1]K_Summary!$L$2234 = "", "", [1]K_Summary!$L$2234 ),"")</f>
        <v/>
      </c>
      <c r="M2249" s="127" t="str">
        <f>IFERROR(IF([1]K_Summary!$M$2234 = "", "", [1]K_Summary!$M$2234 ),"")</f>
        <v/>
      </c>
      <c r="N2249" s="231" t="str">
        <f>IFERROR(IF([1]K_Summary!$N$2234 = "", "", [1]K_Summary!$N$2234 ),"")</f>
        <v/>
      </c>
    </row>
    <row r="2250" spans="1:14">
      <c r="A2250" s="817"/>
      <c r="C2250" s="485"/>
      <c r="D2250" s="776"/>
      <c r="E2250" s="2473" t="s">
        <v>1182</v>
      </c>
      <c r="F2250" s="2474"/>
      <c r="G2250" s="812" t="s">
        <v>2018</v>
      </c>
      <c r="H2250" s="128" t="str">
        <f>IFERROR(IF([1]K_Summary!$H$2235 = "", "", [1]K_Summary!$H$2235 ),"")</f>
        <v/>
      </c>
      <c r="I2250" s="232" t="str">
        <f>IFERROR(IF([1]K_Summary!$I$2235 = "", "", [1]K_Summary!$I$2235 ),"")</f>
        <v/>
      </c>
      <c r="J2250" s="233" t="str">
        <f>IFERROR(IF([1]K_Summary!$J$2235 = "", "", [1]K_Summary!$J$2235 ),"")</f>
        <v/>
      </c>
      <c r="K2250" s="128" t="str">
        <f>IFERROR(IF([1]K_Summary!$K$2235 = "", "", [1]K_Summary!$K$2235 ),"")</f>
        <v/>
      </c>
      <c r="L2250" s="128" t="str">
        <f>IFERROR(IF([1]K_Summary!$L$2235 = "", "", [1]K_Summary!$L$2235 ),"")</f>
        <v/>
      </c>
      <c r="M2250" s="128" t="str">
        <f>IFERROR(IF([1]K_Summary!$M$2235 = "", "", [1]K_Summary!$M$2235 ),"")</f>
        <v/>
      </c>
      <c r="N2250" s="234" t="str">
        <f>IFERROR(IF([1]K_Summary!$N$2235 = "", "", [1]K_Summary!$N$2235 ),"")</f>
        <v/>
      </c>
    </row>
    <row r="2251" spans="1:14">
      <c r="A2251" s="817"/>
      <c r="C2251" s="485"/>
      <c r="D2251" s="776"/>
      <c r="E2251" s="777"/>
      <c r="F2251" s="813"/>
      <c r="G2251" s="813"/>
      <c r="H2251" s="813"/>
      <c r="I2251" s="813"/>
      <c r="J2251" s="813"/>
      <c r="K2251" s="813"/>
      <c r="L2251" s="813"/>
      <c r="M2251" s="813"/>
      <c r="N2251" s="814"/>
    </row>
    <row r="2252" spans="1:14">
      <c r="A2252" s="817"/>
      <c r="C2252" s="485"/>
      <c r="D2252" s="776"/>
      <c r="E2252" s="2475" t="s">
        <v>63</v>
      </c>
      <c r="F2252" s="2410"/>
      <c r="G2252" s="815" t="s">
        <v>2015</v>
      </c>
      <c r="H2252" s="126" t="str">
        <f>IFERROR(IF([1]K_Summary!$H$2237 = "", "", [1]K_Summary!$H$2237 ),"")</f>
        <v/>
      </c>
      <c r="I2252" s="235" t="str">
        <f>IFERROR(IF([1]K_Summary!$I$2237 = "", "", [1]K_Summary!$I$2237 ),"")</f>
        <v/>
      </c>
      <c r="J2252" s="236" t="str">
        <f>IFERROR(IF([1]K_Summary!$J$2237 = "", "", [1]K_Summary!$J$2237 ),"")</f>
        <v/>
      </c>
      <c r="K2252" s="126" t="str">
        <f>IFERROR(IF([1]K_Summary!$K$2237 = "", "", [1]K_Summary!$K$2237 ),"")</f>
        <v/>
      </c>
      <c r="L2252" s="126" t="str">
        <f>IFERROR(IF([1]K_Summary!$L$2237 = "", "", [1]K_Summary!$L$2237 ),"")</f>
        <v/>
      </c>
      <c r="M2252" s="126" t="str">
        <f>IFERROR(IF([1]K_Summary!$M$2237 = "", "", [1]K_Summary!$M$2237 ),"")</f>
        <v/>
      </c>
      <c r="N2252" s="237" t="str">
        <f>IFERROR(IF([1]K_Summary!$N$2237 = "", "", [1]K_Summary!$N$2237 ),"")</f>
        <v/>
      </c>
    </row>
    <row r="2253" spans="1:14">
      <c r="A2253" s="817"/>
      <c r="C2253" s="485"/>
      <c r="D2253" s="776"/>
      <c r="E2253" s="777"/>
      <c r="F2253" s="777"/>
      <c r="G2253" s="777"/>
      <c r="H2253" s="813"/>
      <c r="I2253" s="813"/>
      <c r="J2253" s="813"/>
      <c r="K2253" s="813"/>
      <c r="L2253" s="813"/>
      <c r="M2253" s="813"/>
      <c r="N2253" s="814"/>
    </row>
    <row r="2254" spans="1:14">
      <c r="A2254" s="817"/>
      <c r="C2254" s="485"/>
      <c r="D2254" s="776"/>
      <c r="E2254" s="2471" t="s">
        <v>1505</v>
      </c>
      <c r="F2254" s="2472"/>
      <c r="G2254" s="811" t="s">
        <v>2017</v>
      </c>
      <c r="H2254" s="127" t="str">
        <f>IFERROR(IF([1]K_Summary!$H$2239 = "", "", [1]K_Summary!$H$2239 ),"")</f>
        <v/>
      </c>
      <c r="I2254" s="229" t="str">
        <f>IFERROR(IF([1]K_Summary!$I$2239 = "", "", [1]K_Summary!$I$2239 ),"")</f>
        <v/>
      </c>
      <c r="J2254" s="230" t="str">
        <f>IFERROR(IF([1]K_Summary!$J$2239 = "", "", [1]K_Summary!$J$2239 ),"")</f>
        <v/>
      </c>
      <c r="K2254" s="127" t="str">
        <f>IFERROR(IF([1]K_Summary!$K$2239 = "", "", [1]K_Summary!$K$2239 ),"")</f>
        <v/>
      </c>
      <c r="L2254" s="127" t="str">
        <f>IFERROR(IF([1]K_Summary!$L$2239 = "", "", [1]K_Summary!$L$2239 ),"")</f>
        <v/>
      </c>
      <c r="M2254" s="127" t="str">
        <f>IFERROR(IF([1]K_Summary!$M$2239 = "", "", [1]K_Summary!$M$2239 ),"")</f>
        <v/>
      </c>
      <c r="N2254" s="231" t="str">
        <f>IFERROR(IF([1]K_Summary!$N$2239 = "", "", [1]K_Summary!$N$2239 ),"")</f>
        <v/>
      </c>
    </row>
    <row r="2255" spans="1:14">
      <c r="A2255" s="817"/>
      <c r="C2255" s="485"/>
      <c r="D2255" s="776"/>
      <c r="E2255" s="2473" t="s">
        <v>1103</v>
      </c>
      <c r="F2255" s="2474"/>
      <c r="G2255" s="812" t="s">
        <v>2018</v>
      </c>
      <c r="H2255" s="128" t="str">
        <f>IFERROR(IF([1]K_Summary!$H$2240 = "", "", [1]K_Summary!$H$2240 ),"")</f>
        <v/>
      </c>
      <c r="I2255" s="232" t="str">
        <f>IFERROR(IF([1]K_Summary!$I$2240 = "", "", [1]K_Summary!$I$2240 ),"")</f>
        <v/>
      </c>
      <c r="J2255" s="233" t="str">
        <f>IFERROR(IF([1]K_Summary!$J$2240 = "", "", [1]K_Summary!$J$2240 ),"")</f>
        <v/>
      </c>
      <c r="K2255" s="128" t="str">
        <f>IFERROR(IF([1]K_Summary!$K$2240 = "", "", [1]K_Summary!$K$2240 ),"")</f>
        <v/>
      </c>
      <c r="L2255" s="128" t="str">
        <f>IFERROR(IF([1]K_Summary!$L$2240 = "", "", [1]K_Summary!$L$2240 ),"")</f>
        <v/>
      </c>
      <c r="M2255" s="128" t="str">
        <f>IFERROR(IF([1]K_Summary!$M$2240 = "", "", [1]K_Summary!$M$2240 ),"")</f>
        <v/>
      </c>
      <c r="N2255" s="234" t="str">
        <f>IFERROR(IF([1]K_Summary!$N$2240 = "", "", [1]K_Summary!$N$2240 ),"")</f>
        <v/>
      </c>
    </row>
    <row r="2256" spans="1:14">
      <c r="A2256" s="817"/>
      <c r="C2256" s="485"/>
      <c r="D2256" s="776"/>
      <c r="E2256" s="2471" t="s">
        <v>1506</v>
      </c>
      <c r="F2256" s="2472"/>
      <c r="G2256" s="811" t="s">
        <v>2017</v>
      </c>
      <c r="H2256" s="127" t="str">
        <f>IFERROR(IF([1]K_Summary!$H$2241 = "", "", [1]K_Summary!$H$2241 ),"")</f>
        <v/>
      </c>
      <c r="I2256" s="229" t="str">
        <f>IFERROR(IF([1]K_Summary!$I$2241 = "", "", [1]K_Summary!$I$2241 ),"")</f>
        <v/>
      </c>
      <c r="J2256" s="230" t="str">
        <f>IFERROR(IF([1]K_Summary!$J$2241 = "", "", [1]K_Summary!$J$2241 ),"")</f>
        <v/>
      </c>
      <c r="K2256" s="127" t="str">
        <f>IFERROR(IF([1]K_Summary!$K$2241 = "", "", [1]K_Summary!$K$2241 ),"")</f>
        <v/>
      </c>
      <c r="L2256" s="127" t="str">
        <f>IFERROR(IF([1]K_Summary!$L$2241 = "", "", [1]K_Summary!$L$2241 ),"")</f>
        <v/>
      </c>
      <c r="M2256" s="127" t="str">
        <f>IFERROR(IF([1]K_Summary!$M$2241 = "", "", [1]K_Summary!$M$2241 ),"")</f>
        <v/>
      </c>
      <c r="N2256" s="231" t="str">
        <f>IFERROR(IF([1]K_Summary!$N$2241 = "", "", [1]K_Summary!$N$2241 ),"")</f>
        <v/>
      </c>
    </row>
    <row r="2257" spans="1:14">
      <c r="A2257" s="817"/>
      <c r="C2257" s="485"/>
      <c r="D2257" s="776"/>
      <c r="E2257" s="2473" t="s">
        <v>1490</v>
      </c>
      <c r="F2257" s="2474"/>
      <c r="G2257" s="812" t="s">
        <v>2018</v>
      </c>
      <c r="H2257" s="128" t="str">
        <f>IFERROR(IF([1]K_Summary!$H$2242 = "", "", [1]K_Summary!$H$2242 ),"")</f>
        <v/>
      </c>
      <c r="I2257" s="232" t="str">
        <f>IFERROR(IF([1]K_Summary!$I$2242 = "", "", [1]K_Summary!$I$2242 ),"")</f>
        <v/>
      </c>
      <c r="J2257" s="233" t="str">
        <f>IFERROR(IF([1]K_Summary!$J$2242 = "", "", [1]K_Summary!$J$2242 ),"")</f>
        <v/>
      </c>
      <c r="K2257" s="128" t="str">
        <f>IFERROR(IF([1]K_Summary!$K$2242 = "", "", [1]K_Summary!$K$2242 ),"")</f>
        <v/>
      </c>
      <c r="L2257" s="128" t="str">
        <f>IFERROR(IF([1]K_Summary!$L$2242 = "", "", [1]K_Summary!$L$2242 ),"")</f>
        <v/>
      </c>
      <c r="M2257" s="128" t="str">
        <f>IFERROR(IF([1]K_Summary!$M$2242 = "", "", [1]K_Summary!$M$2242 ),"")</f>
        <v/>
      </c>
      <c r="N2257" s="234" t="str">
        <f>IFERROR(IF([1]K_Summary!$N$2242 = "", "", [1]K_Summary!$N$2242 ),"")</f>
        <v/>
      </c>
    </row>
    <row r="2258" spans="1:14">
      <c r="A2258" s="817"/>
      <c r="C2258" s="485"/>
      <c r="D2258" s="776"/>
      <c r="E2258" s="2471" t="s">
        <v>1507</v>
      </c>
      <c r="F2258" s="2472"/>
      <c r="G2258" s="811" t="s">
        <v>2017</v>
      </c>
      <c r="H2258" s="127" t="str">
        <f>IFERROR(IF([1]K_Summary!$H$2243 = "", "", [1]K_Summary!$H$2243 ),"")</f>
        <v/>
      </c>
      <c r="I2258" s="229" t="str">
        <f>IFERROR(IF([1]K_Summary!$I$2243 = "", "", [1]K_Summary!$I$2243 ),"")</f>
        <v/>
      </c>
      <c r="J2258" s="230" t="str">
        <f>IFERROR(IF([1]K_Summary!$J$2243 = "", "", [1]K_Summary!$J$2243 ),"")</f>
        <v/>
      </c>
      <c r="K2258" s="127" t="str">
        <f>IFERROR(IF([1]K_Summary!$K$2243 = "", "", [1]K_Summary!$K$2243 ),"")</f>
        <v/>
      </c>
      <c r="L2258" s="127" t="str">
        <f>IFERROR(IF([1]K_Summary!$L$2243 = "", "", [1]K_Summary!$L$2243 ),"")</f>
        <v/>
      </c>
      <c r="M2258" s="127" t="str">
        <f>IFERROR(IF([1]K_Summary!$M$2243 = "", "", [1]K_Summary!$M$2243 ),"")</f>
        <v/>
      </c>
      <c r="N2258" s="231" t="str">
        <f>IFERROR(IF([1]K_Summary!$N$2243 = "", "", [1]K_Summary!$N$2243 ),"")</f>
        <v/>
      </c>
    </row>
    <row r="2259" spans="1:14">
      <c r="A2259" s="817"/>
      <c r="C2259" s="485"/>
      <c r="D2259" s="776"/>
      <c r="E2259" s="2473" t="s">
        <v>1489</v>
      </c>
      <c r="F2259" s="2474"/>
      <c r="G2259" s="812" t="s">
        <v>2018</v>
      </c>
      <c r="H2259" s="128" t="str">
        <f>IFERROR(IF([1]K_Summary!$H$2244 = "", "", [1]K_Summary!$H$2244 ),"")</f>
        <v/>
      </c>
      <c r="I2259" s="232" t="str">
        <f>IFERROR(IF([1]K_Summary!$I$2244 = "", "", [1]K_Summary!$I$2244 ),"")</f>
        <v/>
      </c>
      <c r="J2259" s="233" t="str">
        <f>IFERROR(IF([1]K_Summary!$J$2244 = "", "", [1]K_Summary!$J$2244 ),"")</f>
        <v/>
      </c>
      <c r="K2259" s="128" t="str">
        <f>IFERROR(IF([1]K_Summary!$K$2244 = "", "", [1]K_Summary!$K$2244 ),"")</f>
        <v/>
      </c>
      <c r="L2259" s="128" t="str">
        <f>IFERROR(IF([1]K_Summary!$L$2244 = "", "", [1]K_Summary!$L$2244 ),"")</f>
        <v/>
      </c>
      <c r="M2259" s="128" t="str">
        <f>IFERROR(IF([1]K_Summary!$M$2244 = "", "", [1]K_Summary!$M$2244 ),"")</f>
        <v/>
      </c>
      <c r="N2259" s="234" t="str">
        <f>IFERROR(IF([1]K_Summary!$N$2244 = "", "", [1]K_Summary!$N$2244 ),"")</f>
        <v/>
      </c>
    </row>
    <row r="2260" spans="1:14">
      <c r="A2260" s="817"/>
      <c r="C2260" s="485"/>
      <c r="D2260" s="776"/>
      <c r="E2260" s="2471" t="s">
        <v>1508</v>
      </c>
      <c r="F2260" s="2472"/>
      <c r="G2260" s="811" t="s">
        <v>2017</v>
      </c>
      <c r="H2260" s="127" t="str">
        <f>IFERROR(IF([1]K_Summary!$H$2245 = "", "", [1]K_Summary!$H$2245 ),"")</f>
        <v/>
      </c>
      <c r="I2260" s="229" t="str">
        <f>IFERROR(IF([1]K_Summary!$I$2245 = "", "", [1]K_Summary!$I$2245 ),"")</f>
        <v/>
      </c>
      <c r="J2260" s="230" t="str">
        <f>IFERROR(IF([1]K_Summary!$J$2245 = "", "", [1]K_Summary!$J$2245 ),"")</f>
        <v/>
      </c>
      <c r="K2260" s="127" t="str">
        <f>IFERROR(IF([1]K_Summary!$K$2245 = "", "", [1]K_Summary!$K$2245 ),"")</f>
        <v/>
      </c>
      <c r="L2260" s="127" t="str">
        <f>IFERROR(IF([1]K_Summary!$L$2245 = "", "", [1]K_Summary!$L$2245 ),"")</f>
        <v/>
      </c>
      <c r="M2260" s="127" t="str">
        <f>IFERROR(IF([1]K_Summary!$M$2245 = "", "", [1]K_Summary!$M$2245 ),"")</f>
        <v/>
      </c>
      <c r="N2260" s="231" t="str">
        <f>IFERROR(IF([1]K_Summary!$N$2245 = "", "", [1]K_Summary!$N$2245 ),"")</f>
        <v/>
      </c>
    </row>
    <row r="2261" spans="1:14">
      <c r="A2261" s="817"/>
      <c r="C2261" s="485"/>
      <c r="D2261" s="776"/>
      <c r="E2261" s="2473" t="s">
        <v>1491</v>
      </c>
      <c r="F2261" s="2474"/>
      <c r="G2261" s="812" t="s">
        <v>2018</v>
      </c>
      <c r="H2261" s="128" t="str">
        <f>IFERROR(IF([1]K_Summary!$H$2246 = "", "", [1]K_Summary!$H$2246 ),"")</f>
        <v/>
      </c>
      <c r="I2261" s="232" t="str">
        <f>IFERROR(IF([1]K_Summary!$I$2246 = "", "", [1]K_Summary!$I$2246 ),"")</f>
        <v/>
      </c>
      <c r="J2261" s="233" t="str">
        <f>IFERROR(IF([1]K_Summary!$J$2246 = "", "", [1]K_Summary!$J$2246 ),"")</f>
        <v/>
      </c>
      <c r="K2261" s="128" t="str">
        <f>IFERROR(IF([1]K_Summary!$K$2246 = "", "", [1]K_Summary!$K$2246 ),"")</f>
        <v/>
      </c>
      <c r="L2261" s="128" t="str">
        <f>IFERROR(IF([1]K_Summary!$L$2246 = "", "", [1]K_Summary!$L$2246 ),"")</f>
        <v/>
      </c>
      <c r="M2261" s="128" t="str">
        <f>IFERROR(IF([1]K_Summary!$M$2246 = "", "", [1]K_Summary!$M$2246 ),"")</f>
        <v/>
      </c>
      <c r="N2261" s="234" t="str">
        <f>IFERROR(IF([1]K_Summary!$N$2246 = "", "", [1]K_Summary!$N$2246 ),"")</f>
        <v/>
      </c>
    </row>
    <row r="2262" spans="1:14">
      <c r="A2262" s="817"/>
      <c r="C2262" s="485"/>
      <c r="D2262" s="776"/>
      <c r="E2262" s="2471" t="s">
        <v>1509</v>
      </c>
      <c r="F2262" s="2472"/>
      <c r="G2262" s="811" t="s">
        <v>2017</v>
      </c>
      <c r="H2262" s="127" t="str">
        <f>IFERROR(IF([1]K_Summary!$H$2247 = "", "", [1]K_Summary!$H$2247 ),"")</f>
        <v/>
      </c>
      <c r="I2262" s="229" t="str">
        <f>IFERROR(IF([1]K_Summary!$I$2247 = "", "", [1]K_Summary!$I$2247 ),"")</f>
        <v/>
      </c>
      <c r="J2262" s="230" t="str">
        <f>IFERROR(IF([1]K_Summary!$J$2247 = "", "", [1]K_Summary!$J$2247 ),"")</f>
        <v/>
      </c>
      <c r="K2262" s="127" t="str">
        <f>IFERROR(IF([1]K_Summary!$K$2247 = "", "", [1]K_Summary!$K$2247 ),"")</f>
        <v/>
      </c>
      <c r="L2262" s="127" t="str">
        <f>IFERROR(IF([1]K_Summary!$L$2247 = "", "", [1]K_Summary!$L$2247 ),"")</f>
        <v/>
      </c>
      <c r="M2262" s="127" t="str">
        <f>IFERROR(IF([1]K_Summary!$M$2247 = "", "", [1]K_Summary!$M$2247 ),"")</f>
        <v/>
      </c>
      <c r="N2262" s="231" t="str">
        <f>IFERROR(IF([1]K_Summary!$N$2247 = "", "", [1]K_Summary!$N$2247 ),"")</f>
        <v/>
      </c>
    </row>
    <row r="2263" spans="1:14">
      <c r="A2263" s="817"/>
      <c r="C2263" s="485"/>
      <c r="D2263" s="776"/>
      <c r="E2263" s="2473" t="s">
        <v>1492</v>
      </c>
      <c r="F2263" s="2474"/>
      <c r="G2263" s="812" t="s">
        <v>2018</v>
      </c>
      <c r="H2263" s="128" t="str">
        <f>IFERROR(IF([1]K_Summary!$H$2248 = "", "", [1]K_Summary!$H$2248 ),"")</f>
        <v/>
      </c>
      <c r="I2263" s="232" t="str">
        <f>IFERROR(IF([1]K_Summary!$I$2248 = "", "", [1]K_Summary!$I$2248 ),"")</f>
        <v/>
      </c>
      <c r="J2263" s="233" t="str">
        <f>IFERROR(IF([1]K_Summary!$J$2248 = "", "", [1]K_Summary!$J$2248 ),"")</f>
        <v/>
      </c>
      <c r="K2263" s="128" t="str">
        <f>IFERROR(IF([1]K_Summary!$K$2248 = "", "", [1]K_Summary!$K$2248 ),"")</f>
        <v/>
      </c>
      <c r="L2263" s="128" t="str">
        <f>IFERROR(IF([1]K_Summary!$L$2248 = "", "", [1]K_Summary!$L$2248 ),"")</f>
        <v/>
      </c>
      <c r="M2263" s="128" t="str">
        <f>IFERROR(IF([1]K_Summary!$M$2248 = "", "", [1]K_Summary!$M$2248 ),"")</f>
        <v/>
      </c>
      <c r="N2263" s="234" t="str">
        <f>IFERROR(IF([1]K_Summary!$N$2248 = "", "", [1]K_Summary!$N$2248 ),"")</f>
        <v/>
      </c>
    </row>
    <row r="2264" spans="1:14" ht="13.5" thickBot="1">
      <c r="A2264" s="817"/>
      <c r="C2264" s="485"/>
      <c r="D2264" s="839"/>
      <c r="E2264" s="805"/>
      <c r="F2264" s="805"/>
      <c r="G2264" s="805"/>
      <c r="H2264" s="805"/>
      <c r="I2264" s="805"/>
      <c r="J2264" s="805"/>
      <c r="K2264" s="805"/>
      <c r="L2264" s="805"/>
      <c r="M2264" s="805"/>
      <c r="N2264" s="806"/>
    </row>
    <row r="2265" spans="1:14" ht="13.5" thickBot="1">
      <c r="A2265" s="817"/>
      <c r="C2265" s="485"/>
      <c r="D2265" s="485"/>
      <c r="E2265" s="485"/>
      <c r="F2265" s="485"/>
      <c r="G2265" s="485"/>
      <c r="H2265" s="562"/>
      <c r="I2265" s="562"/>
      <c r="J2265" s="562"/>
      <c r="K2265" s="562"/>
      <c r="L2265" s="562"/>
      <c r="M2265" s="485"/>
      <c r="N2265" s="485"/>
    </row>
    <row r="2266" spans="1:14" ht="13.5" thickBot="1">
      <c r="A2266" s="817"/>
      <c r="C2266" s="686"/>
      <c r="D2266" s="686"/>
      <c r="E2266" s="686"/>
      <c r="F2266" s="686"/>
      <c r="G2266" s="686"/>
      <c r="H2266" s="686"/>
      <c r="I2266" s="686"/>
      <c r="J2266" s="686"/>
      <c r="K2266" s="686"/>
      <c r="L2266" s="686"/>
      <c r="M2266" s="686"/>
      <c r="N2266" s="686"/>
    </row>
    <row r="2267" spans="1:14" ht="14.45" customHeight="1" thickBot="1">
      <c r="A2267" s="817"/>
      <c r="C2267" s="559">
        <v>13</v>
      </c>
      <c r="D2267" s="2482" t="s">
        <v>2034</v>
      </c>
      <c r="E2267" s="2482"/>
      <c r="F2267" s="2482"/>
      <c r="G2267" s="2482"/>
      <c r="H2267" s="2483"/>
      <c r="I2267" s="2484" t="str">
        <f>IFERROR(IF([1]K_Summary!$I$2252 = "", "", [1]K_Summary!$I$2252 ),"")</f>
        <v>District heating sub-installation</v>
      </c>
      <c r="J2267" s="2485"/>
      <c r="K2267" s="2485"/>
      <c r="L2267" s="2486"/>
      <c r="M2267" s="2476" t="str">
        <f>IFERROR(IF([1]K_Summary!$M$2252 = "", "", [1]K_Summary!$M$2252 ),"")</f>
        <v/>
      </c>
      <c r="N2267" s="2477"/>
    </row>
    <row r="2268" spans="1:14" ht="15">
      <c r="A2268" s="817"/>
      <c r="C2268" s="559"/>
      <c r="D2268" s="559"/>
      <c r="E2268" s="559"/>
      <c r="F2268" s="559"/>
      <c r="G2268" s="559"/>
      <c r="H2268" s="559"/>
      <c r="I2268" s="559"/>
      <c r="J2268" s="559"/>
      <c r="K2268" s="559"/>
      <c r="L2268" s="559"/>
      <c r="M2268" s="559"/>
      <c r="N2268" s="559"/>
    </row>
    <row r="2269" spans="1:14" ht="15">
      <c r="A2269" s="817"/>
      <c r="C2269" s="559"/>
      <c r="D2269" s="559"/>
      <c r="E2269" s="559"/>
      <c r="F2269" s="559"/>
      <c r="G2269" s="562"/>
      <c r="H2269" s="688" t="s">
        <v>458</v>
      </c>
      <c r="I2269" s="485"/>
      <c r="J2269" s="688" t="s">
        <v>1434</v>
      </c>
      <c r="K2269" s="688" t="s">
        <v>1684</v>
      </c>
      <c r="L2269" s="689" t="s">
        <v>156</v>
      </c>
      <c r="M2269" s="2469" t="s">
        <v>302</v>
      </c>
      <c r="N2269" s="2469"/>
    </row>
    <row r="2270" spans="1:14" ht="15">
      <c r="A2270" s="817"/>
      <c r="C2270" s="559"/>
      <c r="D2270" s="559"/>
      <c r="E2270" s="66" t="str">
        <f>IFERROR(IF([1]K_Summary!$E$2255 = "", "", [1]K_Summary!$E$2255 ),"")</f>
        <v>District heating sub-installation</v>
      </c>
      <c r="F2270" s="51"/>
      <c r="G2270" s="51"/>
      <c r="H2270" s="143" t="b">
        <f>IFERROR(IF([1]K_Summary!$H$2255 = "", "", [1]K_Summary!$H$2255 ),"")</f>
        <v>0</v>
      </c>
      <c r="I2270" s="485"/>
      <c r="J2270" s="53" t="str">
        <f>IFERROR(IF([1]K_Summary!$J$2255 = "", "", [1]K_Summary!$J$2255 ),"")</f>
        <v>N.A.</v>
      </c>
      <c r="K2270" s="53" t="str">
        <f>IFERROR(IF([1]K_Summary!$K$2255 = "", "", [1]K_Summary!$K$2255 ),"")</f>
        <v>N.A.</v>
      </c>
      <c r="L2270" s="144">
        <f>IFERROR(IF([1]K_Summary!$L$2255 = "", "", [1]K_Summary!$L$2255 ),"")</f>
        <v>3</v>
      </c>
      <c r="M2270" s="238" t="str">
        <f>IFERROR(IF([1]K_Summary!$M$2255 = "", "", [1]K_Summary!$M$2255 ),"")</f>
        <v>N.A.</v>
      </c>
      <c r="N2270" s="50" t="str">
        <f>IFERROR(IF([1]K_Summary!$N$2255 = "", "", [1]K_Summary!$N$2255 ),"")</f>
        <v>EUA/TJ</v>
      </c>
    </row>
    <row r="2271" spans="1:14" ht="15">
      <c r="A2271" s="817"/>
      <c r="C2271" s="485"/>
      <c r="D2271" s="485"/>
      <c r="E2271" s="559"/>
      <c r="F2271" s="562"/>
      <c r="G2271" s="562"/>
      <c r="H2271" s="562"/>
      <c r="I2271" s="562"/>
      <c r="J2271" s="485"/>
      <c r="K2271" s="485"/>
      <c r="L2271" s="485"/>
      <c r="M2271" s="485"/>
      <c r="N2271" s="485"/>
    </row>
    <row r="2272" spans="1:14">
      <c r="A2272" s="817"/>
      <c r="C2272" s="485"/>
      <c r="D2272" s="485"/>
      <c r="E2272" s="496"/>
      <c r="F2272" s="482" t="s">
        <v>884</v>
      </c>
      <c r="G2272" s="819" t="s">
        <v>1646</v>
      </c>
      <c r="H2272" s="696">
        <v>2019</v>
      </c>
      <c r="I2272" s="697">
        <v>2020</v>
      </c>
      <c r="J2272" s="696">
        <v>2021</v>
      </c>
      <c r="K2272" s="578">
        <v>2022</v>
      </c>
      <c r="L2272" s="578">
        <v>2023</v>
      </c>
      <c r="M2272" s="578">
        <v>2024</v>
      </c>
      <c r="N2272" s="578">
        <v>2025</v>
      </c>
    </row>
    <row r="2273" spans="1:14">
      <c r="A2273" s="817"/>
      <c r="C2273" s="485"/>
      <c r="D2273" s="485"/>
      <c r="E2273" s="698" t="s">
        <v>1665</v>
      </c>
      <c r="F2273" s="146" t="str">
        <f>IFERROR(IF([1]K_Summary!$F$2258 = "", "", [1]K_Summary!$F$2258 ),"")</f>
        <v>TJ</v>
      </c>
      <c r="G2273" s="239" t="str">
        <f>IFERROR(IF([1]K_Summary!$G$2258 = "", "", [1]K_Summary!$G$2258 ),"")</f>
        <v/>
      </c>
      <c r="H2273" s="240" t="str">
        <f>IFERROR(IF([1]K_Summary!$H$2258 = "", "", [1]K_Summary!$H$2258 ),"")</f>
        <v/>
      </c>
      <c r="I2273" s="241" t="str">
        <f>IFERROR(IF([1]K_Summary!$I$2258 = "", "", [1]K_Summary!$I$2258 ),"")</f>
        <v/>
      </c>
      <c r="J2273" s="240" t="str">
        <f>IFERROR(IF([1]K_Summary!$J$2258 = "", "", [1]K_Summary!$J$2258 ),"")</f>
        <v/>
      </c>
      <c r="K2273" s="242" t="str">
        <f>IFERROR(IF([1]K_Summary!$K$2258 = "", "", [1]K_Summary!$K$2258 ),"")</f>
        <v/>
      </c>
      <c r="L2273" s="242" t="str">
        <f>IFERROR(IF([1]K_Summary!$L$2258 = "", "", [1]K_Summary!$L$2258 ),"")</f>
        <v/>
      </c>
      <c r="M2273" s="242" t="str">
        <f>IFERROR(IF([1]K_Summary!$M$2258 = "", "", [1]K_Summary!$M$2258 ),"")</f>
        <v/>
      </c>
      <c r="N2273" s="242" t="str">
        <f>IFERROR(IF([1]K_Summary!$N$2258 = "", "", [1]K_Summary!$N$2258 ),"")</f>
        <v/>
      </c>
    </row>
    <row r="2274" spans="1:14" ht="13.5" thickBot="1">
      <c r="A2274" s="817"/>
      <c r="C2274" s="485"/>
      <c r="D2274" s="485"/>
      <c r="E2274" s="562"/>
      <c r="F2274" s="485"/>
      <c r="G2274" s="485"/>
      <c r="H2274" s="485"/>
      <c r="I2274" s="743"/>
      <c r="J2274" s="485"/>
      <c r="K2274" s="485"/>
      <c r="L2274" s="485"/>
      <c r="M2274" s="485"/>
      <c r="N2274" s="485"/>
    </row>
    <row r="2275" spans="1:14" ht="15">
      <c r="A2275" s="817"/>
      <c r="C2275" s="559"/>
      <c r="D2275" s="703"/>
      <c r="E2275" s="704"/>
      <c r="F2275" s="704"/>
      <c r="G2275" s="704"/>
      <c r="H2275" s="704"/>
      <c r="I2275" s="704"/>
      <c r="J2275" s="704"/>
      <c r="K2275" s="704"/>
      <c r="L2275" s="704"/>
      <c r="M2275" s="704"/>
      <c r="N2275" s="705"/>
    </row>
    <row r="2276" spans="1:14" ht="15">
      <c r="A2276" s="817"/>
      <c r="C2276" s="559"/>
      <c r="D2276" s="706"/>
      <c r="E2276" s="707" t="s">
        <v>1787</v>
      </c>
      <c r="F2276" s="637"/>
      <c r="G2276" s="637"/>
      <c r="H2276" s="663" t="s">
        <v>884</v>
      </c>
      <c r="I2276" s="708"/>
      <c r="J2276" s="709">
        <v>2021</v>
      </c>
      <c r="K2276" s="671">
        <v>2022</v>
      </c>
      <c r="L2276" s="671">
        <v>2023</v>
      </c>
      <c r="M2276" s="671">
        <v>2024</v>
      </c>
      <c r="N2276" s="710">
        <v>2025</v>
      </c>
    </row>
    <row r="2277" spans="1:14" ht="15">
      <c r="A2277" s="817"/>
      <c r="C2277" s="559"/>
      <c r="D2277" s="706"/>
      <c r="E2277" s="711" t="s">
        <v>1783</v>
      </c>
      <c r="F2277" s="712"/>
      <c r="G2277" s="712"/>
      <c r="H2277" s="713" t="s">
        <v>1021</v>
      </c>
      <c r="I2277" s="712"/>
      <c r="J2277" s="151" t="str">
        <f>IFERROR(IF([1]K_Summary!$J$2262 = "", "", [1]K_Summary!$J$2262 ),"")</f>
        <v/>
      </c>
      <c r="K2277" s="152" t="str">
        <f>IFERROR(IF([1]K_Summary!$K$2262 = "", "", [1]K_Summary!$K$2262 ),"")</f>
        <v/>
      </c>
      <c r="L2277" s="152" t="str">
        <f>IFERROR(IF([1]K_Summary!$L$2262 = "", "", [1]K_Summary!$L$2262 ),"")</f>
        <v/>
      </c>
      <c r="M2277" s="152" t="str">
        <f>IFERROR(IF([1]K_Summary!$M$2262 = "", "", [1]K_Summary!$M$2262 ),"")</f>
        <v/>
      </c>
      <c r="N2277" s="153" t="str">
        <f>IFERROR(IF([1]K_Summary!$N$2262 = "", "", [1]K_Summary!$N$2262 ),"")</f>
        <v/>
      </c>
    </row>
    <row r="2278" spans="1:14" ht="15">
      <c r="A2278" s="817"/>
      <c r="C2278" s="559"/>
      <c r="D2278" s="706"/>
      <c r="E2278" s="714" t="s">
        <v>1784</v>
      </c>
      <c r="F2278" s="715"/>
      <c r="G2278" s="715"/>
      <c r="H2278" s="716" t="s">
        <v>1021</v>
      </c>
      <c r="I2278" s="715"/>
      <c r="J2278" s="154" t="str">
        <f>IFERROR(IF([1]K_Summary!$J$2263 = "", "", [1]K_Summary!$J$2263 ),"")</f>
        <v/>
      </c>
      <c r="K2278" s="155" t="str">
        <f>IFERROR(IF([1]K_Summary!$K$2263 = "", "", [1]K_Summary!$K$2263 ),"")</f>
        <v/>
      </c>
      <c r="L2278" s="155" t="str">
        <f>IFERROR(IF([1]K_Summary!$L$2263 = "", "", [1]K_Summary!$L$2263 ),"")</f>
        <v/>
      </c>
      <c r="M2278" s="155" t="str">
        <f>IFERROR(IF([1]K_Summary!$M$2263 = "", "", [1]K_Summary!$M$2263 ),"")</f>
        <v/>
      </c>
      <c r="N2278" s="156" t="str">
        <f>IFERROR(IF([1]K_Summary!$N$2263 = "", "", [1]K_Summary!$N$2263 ),"")</f>
        <v/>
      </c>
    </row>
    <row r="2279" spans="1:14" ht="15">
      <c r="A2279" s="817"/>
      <c r="C2279" s="559"/>
      <c r="D2279" s="706"/>
      <c r="E2279" s="559"/>
      <c r="F2279" s="559"/>
      <c r="G2279" s="559"/>
      <c r="H2279" s="559"/>
      <c r="I2279" s="559"/>
      <c r="J2279" s="559"/>
      <c r="K2279" s="559"/>
      <c r="L2279" s="559"/>
      <c r="M2279" s="559"/>
      <c r="N2279" s="717"/>
    </row>
    <row r="2280" spans="1:14" ht="15">
      <c r="A2280" s="817"/>
      <c r="C2280" s="559"/>
      <c r="D2280" s="706"/>
      <c r="E2280" s="496" t="s">
        <v>1762</v>
      </c>
      <c r="F2280" s="485"/>
      <c r="G2280" s="485"/>
      <c r="H2280" s="663" t="s">
        <v>884</v>
      </c>
      <c r="I2280" s="708"/>
      <c r="J2280" s="696">
        <v>2021</v>
      </c>
      <c r="K2280" s="578">
        <v>2022</v>
      </c>
      <c r="L2280" s="578">
        <v>2023</v>
      </c>
      <c r="M2280" s="578">
        <v>2024</v>
      </c>
      <c r="N2280" s="718">
        <v>2025</v>
      </c>
    </row>
    <row r="2281" spans="1:14" ht="15" hidden="1">
      <c r="A2281" s="817" t="s">
        <v>2289</v>
      </c>
      <c r="C2281" s="559"/>
      <c r="D2281" s="706"/>
      <c r="E2281" s="698" t="s">
        <v>1714</v>
      </c>
      <c r="F2281" s="698"/>
      <c r="G2281" s="698"/>
      <c r="H2281" s="63" t="str">
        <f>IFERROR(IF([1]K_Summary!$H$2266 = "", "", [1]K_Summary!$H$2266 ),"")</f>
        <v>TJ</v>
      </c>
      <c r="I2281" s="698"/>
      <c r="J2281" s="247" t="str">
        <f>IFERROR(IF([1]K_Summary!$J$2266 = "", "", [1]K_Summary!$J$2266 ),"")</f>
        <v/>
      </c>
      <c r="K2281" s="248" t="str">
        <f>IFERROR(IF([1]K_Summary!$K$2266 = "", "", [1]K_Summary!$K$2266 ),"")</f>
        <v/>
      </c>
      <c r="L2281" s="248" t="str">
        <f>IFERROR(IF([1]K_Summary!$L$2266 = "", "", [1]K_Summary!$L$2266 ),"")</f>
        <v/>
      </c>
      <c r="M2281" s="248" t="str">
        <f>IFERROR(IF([1]K_Summary!$M$2266 = "", "", [1]K_Summary!$M$2266 ),"")</f>
        <v/>
      </c>
      <c r="N2281" s="249" t="str">
        <f>IFERROR(IF([1]K_Summary!$N$2266 = "", "", [1]K_Summary!$N$2266 ),"")</f>
        <v/>
      </c>
    </row>
    <row r="2282" spans="1:14" ht="15">
      <c r="A2282" s="817"/>
      <c r="C2282" s="559"/>
      <c r="D2282" s="706"/>
      <c r="E2282" s="698" t="s">
        <v>1671</v>
      </c>
      <c r="F2282" s="698"/>
      <c r="G2282" s="698"/>
      <c r="H2282" s="730" t="s">
        <v>2090</v>
      </c>
      <c r="I2282" s="731"/>
      <c r="J2282" s="148" t="str">
        <f>IFERROR(IF([1]K_Summary!$J$2267 = "", "", [1]K_Summary!$J$2267 ),"")</f>
        <v/>
      </c>
      <c r="K2282" s="150" t="str">
        <f>IFERROR(IF([1]K_Summary!$K$2267 = "", "", [1]K_Summary!$K$2267 ),"")</f>
        <v/>
      </c>
      <c r="L2282" s="150" t="str">
        <f>IFERROR(IF([1]K_Summary!$L$2267 = "", "", [1]K_Summary!$L$2267 ),"")</f>
        <v/>
      </c>
      <c r="M2282" s="150" t="str">
        <f>IFERROR(IF([1]K_Summary!$M$2267 = "", "", [1]K_Summary!$M$2267 ),"")</f>
        <v/>
      </c>
      <c r="N2282" s="171" t="str">
        <f>IFERROR(IF([1]K_Summary!$N$2267 = "", "", [1]K_Summary!$N$2267 ),"")</f>
        <v/>
      </c>
    </row>
    <row r="2283" spans="1:14" ht="15">
      <c r="A2283" s="817"/>
      <c r="C2283" s="559"/>
      <c r="D2283" s="706"/>
      <c r="E2283" s="559"/>
      <c r="F2283" s="559"/>
      <c r="G2283" s="559"/>
      <c r="H2283" s="559"/>
      <c r="I2283" s="559"/>
      <c r="J2283" s="559"/>
      <c r="K2283" s="559"/>
      <c r="L2283" s="559"/>
      <c r="M2283" s="559"/>
      <c r="N2283" s="717"/>
    </row>
    <row r="2284" spans="1:14" ht="15">
      <c r="A2284" s="817"/>
      <c r="C2284" s="559"/>
      <c r="D2284" s="706"/>
      <c r="E2284" s="707" t="s">
        <v>1752</v>
      </c>
      <c r="F2284" s="637"/>
      <c r="G2284" s="637"/>
      <c r="H2284" s="663" t="s">
        <v>884</v>
      </c>
      <c r="I2284" s="708"/>
      <c r="J2284" s="709">
        <v>2021</v>
      </c>
      <c r="K2284" s="671">
        <v>2022</v>
      </c>
      <c r="L2284" s="671">
        <v>2023</v>
      </c>
      <c r="M2284" s="671">
        <v>2024</v>
      </c>
      <c r="N2284" s="710">
        <v>2025</v>
      </c>
    </row>
    <row r="2285" spans="1:14" ht="15">
      <c r="A2285" s="817"/>
      <c r="C2285" s="559"/>
      <c r="D2285" s="706"/>
      <c r="E2285" s="720" t="s">
        <v>1691</v>
      </c>
      <c r="F2285" s="720"/>
      <c r="G2285" s="720"/>
      <c r="H2285" s="67" t="str">
        <f>IFERROR(IF([1]K_Summary!$H$2270 = "", "", [1]K_Summary!$H$2270 ),"")</f>
        <v>TJ</v>
      </c>
      <c r="I2285" s="733"/>
      <c r="J2285" s="250" t="str">
        <f>IFERROR(IF([1]K_Summary!$J$2270 = "", "", [1]K_Summary!$J$2270 ),"")</f>
        <v/>
      </c>
      <c r="K2285" s="251" t="str">
        <f>IFERROR(IF([1]K_Summary!$K$2270 = "", "", [1]K_Summary!$K$2270 ),"")</f>
        <v/>
      </c>
      <c r="L2285" s="251" t="str">
        <f>IFERROR(IF([1]K_Summary!$L$2270 = "", "", [1]K_Summary!$L$2270 ),"")</f>
        <v/>
      </c>
      <c r="M2285" s="251" t="str">
        <f>IFERROR(IF([1]K_Summary!$M$2270 = "", "", [1]K_Summary!$M$2270 ),"")</f>
        <v/>
      </c>
      <c r="N2285" s="252" t="str">
        <f>IFERROR(IF([1]K_Summary!$N$2270 = "", "", [1]K_Summary!$N$2270 ),"")</f>
        <v/>
      </c>
    </row>
    <row r="2286" spans="1:14" ht="15">
      <c r="A2286" s="817"/>
      <c r="C2286" s="559"/>
      <c r="D2286" s="706"/>
      <c r="E2286" s="723" t="s">
        <v>1648</v>
      </c>
      <c r="F2286" s="723"/>
      <c r="G2286" s="723"/>
      <c r="H2286" s="734" t="s">
        <v>1021</v>
      </c>
      <c r="I2286" s="735"/>
      <c r="J2286" s="174" t="str">
        <f>IFERROR(IF([1]K_Summary!$J$2271 = "", "", [1]K_Summary!$J$2271 ),"")</f>
        <v/>
      </c>
      <c r="K2286" s="175" t="str">
        <f>IFERROR(IF([1]K_Summary!$K$2271 = "", "", [1]K_Summary!$K$2271 ),"")</f>
        <v/>
      </c>
      <c r="L2286" s="175" t="str">
        <f>IFERROR(IF([1]K_Summary!$L$2271 = "", "", [1]K_Summary!$L$2271 ),"")</f>
        <v/>
      </c>
      <c r="M2286" s="175" t="str">
        <f>IFERROR(IF([1]K_Summary!$M$2271 = "", "", [1]K_Summary!$M$2271 ),"")</f>
        <v/>
      </c>
      <c r="N2286" s="176" t="str">
        <f>IFERROR(IF([1]K_Summary!$N$2271 = "", "", [1]K_Summary!$N$2271 ),"")</f>
        <v/>
      </c>
    </row>
    <row r="2287" spans="1:14" ht="15">
      <c r="A2287" s="817"/>
      <c r="C2287" s="559"/>
      <c r="D2287" s="706"/>
      <c r="E2287" s="736" t="s">
        <v>1785</v>
      </c>
      <c r="F2287" s="736"/>
      <c r="G2287" s="736"/>
      <c r="H2287" s="737" t="s">
        <v>1021</v>
      </c>
      <c r="I2287" s="738"/>
      <c r="J2287" s="177" t="str">
        <f>IFERROR(IF([1]K_Summary!$J$2272 = "", "", [1]K_Summary!$J$2272 ),"")</f>
        <v/>
      </c>
      <c r="K2287" s="178" t="str">
        <f>IFERROR(IF([1]K_Summary!$K$2272 = "", "", [1]K_Summary!$K$2272 ),"")</f>
        <v/>
      </c>
      <c r="L2287" s="178" t="str">
        <f>IFERROR(IF([1]K_Summary!$L$2272 = "", "", [1]K_Summary!$L$2272 ),"")</f>
        <v/>
      </c>
      <c r="M2287" s="178" t="str">
        <f>IFERROR(IF([1]K_Summary!$M$2272 = "", "", [1]K_Summary!$M$2272 ),"")</f>
        <v/>
      </c>
      <c r="N2287" s="179" t="str">
        <f>IFERROR(IF([1]K_Summary!$N$2272 = "", "", [1]K_Summary!$N$2272 ),"")</f>
        <v/>
      </c>
    </row>
    <row r="2288" spans="1:14" ht="15">
      <c r="A2288" s="817"/>
      <c r="C2288" s="559"/>
      <c r="D2288" s="706"/>
      <c r="E2288" s="727" t="s">
        <v>1689</v>
      </c>
      <c r="F2288" s="727"/>
      <c r="G2288" s="727"/>
      <c r="H2288" s="68" t="str">
        <f>IFERROR(IF([1]K_Summary!$H$2273 = "", "", [1]K_Summary!$H$2273 ),"")</f>
        <v>TJ</v>
      </c>
      <c r="I2288" s="727"/>
      <c r="J2288" s="253" t="str">
        <f>IFERROR(IF([1]K_Summary!$J$2273 = "", "", [1]K_Summary!$J$2273 ),"")</f>
        <v/>
      </c>
      <c r="K2288" s="254" t="str">
        <f>IFERROR(IF([1]K_Summary!$K$2273 = "", "", [1]K_Summary!$K$2273 ),"")</f>
        <v/>
      </c>
      <c r="L2288" s="254" t="str">
        <f>IFERROR(IF([1]K_Summary!$L$2273 = "", "", [1]K_Summary!$L$2273 ),"")</f>
        <v/>
      </c>
      <c r="M2288" s="254" t="str">
        <f>IFERROR(IF([1]K_Summary!$M$2273 = "", "", [1]K_Summary!$M$2273 ),"")</f>
        <v/>
      </c>
      <c r="N2288" s="255" t="str">
        <f>IFERROR(IF([1]K_Summary!$N$2273 = "", "", [1]K_Summary!$N$2273 ),"")</f>
        <v/>
      </c>
    </row>
    <row r="2289" spans="1:14" ht="15">
      <c r="A2289" s="817"/>
      <c r="C2289" s="559"/>
      <c r="D2289" s="706"/>
      <c r="E2289" s="698" t="s">
        <v>1671</v>
      </c>
      <c r="F2289" s="698"/>
      <c r="G2289" s="698"/>
      <c r="H2289" s="730" t="s">
        <v>2090</v>
      </c>
      <c r="I2289" s="731"/>
      <c r="J2289" s="148" t="str">
        <f>IFERROR(IF([1]K_Summary!$J$2274 = "", "", [1]K_Summary!$J$2274 ),"")</f>
        <v/>
      </c>
      <c r="K2289" s="150" t="str">
        <f>IFERROR(IF([1]K_Summary!$K$2274 = "", "", [1]K_Summary!$K$2274 ),"")</f>
        <v/>
      </c>
      <c r="L2289" s="150" t="str">
        <f>IFERROR(IF([1]K_Summary!$L$2274 = "", "", [1]K_Summary!$L$2274 ),"")</f>
        <v/>
      </c>
      <c r="M2289" s="150" t="str">
        <f>IFERROR(IF([1]K_Summary!$M$2274 = "", "", [1]K_Summary!$M$2274 ),"")</f>
        <v/>
      </c>
      <c r="N2289" s="171" t="str">
        <f>IFERROR(IF([1]K_Summary!$N$2274 = "", "", [1]K_Summary!$N$2274 ),"")</f>
        <v/>
      </c>
    </row>
    <row r="2290" spans="1:14" ht="15">
      <c r="A2290" s="817"/>
      <c r="C2290" s="559"/>
      <c r="D2290" s="706"/>
      <c r="E2290" s="698" t="s">
        <v>1670</v>
      </c>
      <c r="F2290" s="698"/>
      <c r="G2290" s="698"/>
      <c r="H2290" s="730" t="s">
        <v>2090</v>
      </c>
      <c r="I2290" s="731"/>
      <c r="J2290" s="148" t="str">
        <f>IFERROR(IF([1]K_Summary!$J$2275 = "", "", [1]K_Summary!$J$2275 ),"")</f>
        <v/>
      </c>
      <c r="K2290" s="150" t="str">
        <f>IFERROR(IF([1]K_Summary!$K$2275 = "", "", [1]K_Summary!$K$2275 ),"")</f>
        <v/>
      </c>
      <c r="L2290" s="150" t="str">
        <f>IFERROR(IF([1]K_Summary!$L$2275 = "", "", [1]K_Summary!$L$2275 ),"")</f>
        <v/>
      </c>
      <c r="M2290" s="150" t="str">
        <f>IFERROR(IF([1]K_Summary!$M$2275 = "", "", [1]K_Summary!$M$2275 ),"")</f>
        <v/>
      </c>
      <c r="N2290" s="171" t="str">
        <f>IFERROR(IF([1]K_Summary!$N$2275 = "", "", [1]K_Summary!$N$2275 ),"")</f>
        <v/>
      </c>
    </row>
    <row r="2291" spans="1:14" ht="15">
      <c r="A2291" s="817"/>
      <c r="C2291" s="559"/>
      <c r="D2291" s="706"/>
      <c r="E2291" s="740" t="s">
        <v>2136</v>
      </c>
      <c r="F2291" s="740"/>
      <c r="G2291" s="740"/>
      <c r="H2291" s="741" t="s">
        <v>1021</v>
      </c>
      <c r="I2291" s="742"/>
      <c r="J2291" s="183" t="str">
        <f>IFERROR(IF([1]K_Summary!$J$2276 = "", "", [1]K_Summary!$J$2276 ),"")</f>
        <v/>
      </c>
      <c r="K2291" s="184" t="str">
        <f>IFERROR(IF([1]K_Summary!$K$2276 = "", "", [1]K_Summary!$K$2276 ),"")</f>
        <v/>
      </c>
      <c r="L2291" s="184" t="str">
        <f>IFERROR(IF([1]K_Summary!$L$2276 = "", "", [1]K_Summary!$L$2276 ),"")</f>
        <v/>
      </c>
      <c r="M2291" s="184" t="str">
        <f>IFERROR(IF([1]K_Summary!$M$2276 = "", "", [1]K_Summary!$M$2276 ),"")</f>
        <v/>
      </c>
      <c r="N2291" s="185" t="str">
        <f>IFERROR(IF([1]K_Summary!$N$2276 = "", "", [1]K_Summary!$N$2276 ),"")</f>
        <v/>
      </c>
    </row>
    <row r="2292" spans="1:14" ht="13.5" thickBot="1">
      <c r="A2292" s="817"/>
      <c r="C2292" s="485"/>
      <c r="D2292" s="771"/>
      <c r="E2292" s="756"/>
      <c r="F2292" s="756"/>
      <c r="G2292" s="756"/>
      <c r="H2292" s="756"/>
      <c r="I2292" s="835"/>
      <c r="J2292" s="756"/>
      <c r="K2292" s="756"/>
      <c r="L2292" s="756"/>
      <c r="M2292" s="756"/>
      <c r="N2292" s="758"/>
    </row>
    <row r="2293" spans="1:14" ht="13.5" thickBot="1">
      <c r="A2293" s="817"/>
      <c r="C2293" s="485"/>
      <c r="D2293" s="485"/>
      <c r="E2293" s="485"/>
      <c r="F2293" s="485"/>
      <c r="G2293" s="485"/>
      <c r="H2293" s="485"/>
      <c r="I2293" s="836"/>
      <c r="J2293" s="485"/>
      <c r="K2293" s="485"/>
      <c r="L2293" s="485"/>
      <c r="M2293" s="485"/>
      <c r="N2293" s="485"/>
    </row>
    <row r="2294" spans="1:14">
      <c r="A2294" s="817"/>
      <c r="C2294" s="485"/>
      <c r="D2294" s="759"/>
      <c r="E2294" s="760"/>
      <c r="F2294" s="760"/>
      <c r="G2294" s="760"/>
      <c r="H2294" s="760"/>
      <c r="I2294" s="761"/>
      <c r="J2294" s="760"/>
      <c r="K2294" s="760"/>
      <c r="L2294" s="760"/>
      <c r="M2294" s="760"/>
      <c r="N2294" s="762"/>
    </row>
    <row r="2295" spans="1:14">
      <c r="A2295" s="817"/>
      <c r="C2295" s="485"/>
      <c r="D2295" s="539"/>
      <c r="E2295" s="496" t="s">
        <v>1786</v>
      </c>
      <c r="F2295" s="485"/>
      <c r="G2295" s="485"/>
      <c r="H2295" s="663" t="s">
        <v>884</v>
      </c>
      <c r="I2295" s="837" t="s">
        <v>1675</v>
      </c>
      <c r="J2295" s="709">
        <v>2021</v>
      </c>
      <c r="K2295" s="671">
        <v>2022</v>
      </c>
      <c r="L2295" s="671">
        <v>2023</v>
      </c>
      <c r="M2295" s="671">
        <v>2024</v>
      </c>
      <c r="N2295" s="710">
        <v>2025</v>
      </c>
    </row>
    <row r="2296" spans="1:14">
      <c r="A2296" s="817"/>
      <c r="C2296" s="485"/>
      <c r="D2296" s="539"/>
      <c r="E2296" s="698" t="s">
        <v>1692</v>
      </c>
      <c r="F2296" s="698"/>
      <c r="G2296" s="698"/>
      <c r="H2296" s="63" t="str">
        <f>IFERROR(IF([1]K_Summary!$H$2281 = "", "", [1]K_Summary!$H$2281 ),"")</f>
        <v>TJ</v>
      </c>
      <c r="I2296" s="247" t="str">
        <f>IFERROR(IF([1]K_Summary!$I$2281 = "", "", [1]K_Summary!$I$2281 ),"")</f>
        <v/>
      </c>
      <c r="J2296" s="240" t="str">
        <f>IFERROR(IF([1]K_Summary!$J$2281 = "", "", [1]K_Summary!$J$2281 ),"")</f>
        <v/>
      </c>
      <c r="K2296" s="242" t="str">
        <f>IFERROR(IF([1]K_Summary!$K$2281 = "", "", [1]K_Summary!$K$2281 ),"")</f>
        <v/>
      </c>
      <c r="L2296" s="242" t="str">
        <f>IFERROR(IF([1]K_Summary!$L$2281 = "", "", [1]K_Summary!$L$2281 ),"")</f>
        <v/>
      </c>
      <c r="M2296" s="242" t="str">
        <f>IFERROR(IF([1]K_Summary!$M$2281 = "", "", [1]K_Summary!$M$2281 ),"")</f>
        <v/>
      </c>
      <c r="N2296" s="265" t="str">
        <f>IFERROR(IF([1]K_Summary!$N$2281 = "", "", [1]K_Summary!$N$2281 ),"")</f>
        <v/>
      </c>
    </row>
    <row r="2297" spans="1:14">
      <c r="A2297" s="817"/>
      <c r="C2297" s="485"/>
      <c r="D2297" s="539"/>
      <c r="E2297" s="698" t="s">
        <v>222</v>
      </c>
      <c r="F2297" s="698"/>
      <c r="G2297" s="698"/>
      <c r="H2297" s="730" t="s">
        <v>2090</v>
      </c>
      <c r="I2297" s="266" t="str">
        <f>IFERROR(IF([1]K_Summary!$I$2282 = "", "", [1]K_Summary!$I$2282 ),"")</f>
        <v/>
      </c>
      <c r="J2297" s="148" t="str">
        <f>IFERROR(IF([1]K_Summary!$J$2282 = "", "", [1]K_Summary!$J$2282 ),"")</f>
        <v/>
      </c>
      <c r="K2297" s="150" t="str">
        <f>IFERROR(IF([1]K_Summary!$K$2282 = "", "", [1]K_Summary!$K$2282 ),"")</f>
        <v/>
      </c>
      <c r="L2297" s="150" t="str">
        <f>IFERROR(IF([1]K_Summary!$L$2282 = "", "", [1]K_Summary!$L$2282 ),"")</f>
        <v/>
      </c>
      <c r="M2297" s="150" t="str">
        <f>IFERROR(IF([1]K_Summary!$M$2282 = "", "", [1]K_Summary!$M$2282 ),"")</f>
        <v/>
      </c>
      <c r="N2297" s="171" t="str">
        <f>IFERROR(IF([1]K_Summary!$N$2282 = "", "", [1]K_Summary!$N$2282 ),"")</f>
        <v/>
      </c>
    </row>
    <row r="2298" spans="1:14" ht="13.5" thickBot="1">
      <c r="A2298" s="817"/>
      <c r="C2298" s="485"/>
      <c r="D2298" s="771"/>
      <c r="E2298" s="756"/>
      <c r="F2298" s="756"/>
      <c r="G2298" s="756"/>
      <c r="H2298" s="756"/>
      <c r="I2298" s="756"/>
      <c r="J2298" s="756"/>
      <c r="K2298" s="756"/>
      <c r="L2298" s="756"/>
      <c r="M2298" s="756"/>
      <c r="N2298" s="758"/>
    </row>
    <row r="2299" spans="1:14" ht="13.5" thickBot="1">
      <c r="A2299" s="817"/>
      <c r="C2299" s="485"/>
      <c r="D2299" s="485"/>
      <c r="E2299" s="485"/>
      <c r="F2299" s="485"/>
      <c r="G2299" s="485"/>
      <c r="H2299" s="562"/>
      <c r="I2299" s="562"/>
      <c r="J2299" s="562"/>
      <c r="K2299" s="562"/>
      <c r="L2299" s="562"/>
      <c r="M2299" s="485"/>
      <c r="N2299" s="485"/>
    </row>
    <row r="2300" spans="1:14">
      <c r="A2300" s="817"/>
      <c r="C2300" s="485"/>
      <c r="D2300" s="772"/>
      <c r="E2300" s="773"/>
      <c r="F2300" s="774"/>
      <c r="G2300" s="774"/>
      <c r="H2300" s="774"/>
      <c r="I2300" s="774"/>
      <c r="J2300" s="774"/>
      <c r="K2300" s="774"/>
      <c r="L2300" s="774"/>
      <c r="M2300" s="774"/>
      <c r="N2300" s="775"/>
    </row>
    <row r="2301" spans="1:14" ht="13.5" thickBot="1">
      <c r="A2301" s="817"/>
      <c r="C2301" s="485"/>
      <c r="D2301" s="776"/>
      <c r="E2301" s="777"/>
      <c r="F2301" s="813"/>
      <c r="G2301" s="778" t="s">
        <v>884</v>
      </c>
      <c r="H2301" s="779">
        <v>2019</v>
      </c>
      <c r="I2301" s="779">
        <v>2020</v>
      </c>
      <c r="J2301" s="779">
        <v>2021</v>
      </c>
      <c r="K2301" s="782">
        <v>2022</v>
      </c>
      <c r="L2301" s="782">
        <v>2023</v>
      </c>
      <c r="M2301" s="782">
        <v>2024</v>
      </c>
      <c r="N2301" s="783">
        <v>2025</v>
      </c>
    </row>
    <row r="2302" spans="1:14" ht="13.5" thickBot="1">
      <c r="A2302" s="817"/>
      <c r="C2302" s="485"/>
      <c r="D2302" s="776"/>
      <c r="E2302" s="2470" t="s">
        <v>52</v>
      </c>
      <c r="F2302" s="2410"/>
      <c r="G2302" s="808" t="s">
        <v>2017</v>
      </c>
      <c r="H2302" s="225" t="str">
        <f>IFERROR(IF([1]K_Summary!$H$2287 = "", "", [1]K_Summary!$H$2287 ),"")</f>
        <v/>
      </c>
      <c r="I2302" s="228" t="str">
        <f>IFERROR(IF([1]K_Summary!$I$2287 = "", "", [1]K_Summary!$I$2287 ),"")</f>
        <v/>
      </c>
      <c r="J2302" s="225" t="str">
        <f>IFERROR(IF([1]K_Summary!$J$2287 = "", "", [1]K_Summary!$J$2287 ),"")</f>
        <v/>
      </c>
      <c r="K2302" s="227" t="str">
        <f>IFERROR(IF([1]K_Summary!$K$2287 = "", "", [1]K_Summary!$K$2287 ),"")</f>
        <v/>
      </c>
      <c r="L2302" s="227" t="str">
        <f>IFERROR(IF([1]K_Summary!$L$2287 = "", "", [1]K_Summary!$L$2287 ),"")</f>
        <v/>
      </c>
      <c r="M2302" s="227" t="str">
        <f>IFERROR(IF([1]K_Summary!$M$2287 = "", "", [1]K_Summary!$M$2287 ),"")</f>
        <v/>
      </c>
      <c r="N2302" s="228" t="str">
        <f>IFERROR(IF([1]K_Summary!$N$2287 = "", "", [1]K_Summary!$N$2287 ),"")</f>
        <v/>
      </c>
    </row>
    <row r="2303" spans="1:14" ht="13.5" thickBot="1">
      <c r="A2303" s="817"/>
      <c r="C2303" s="485"/>
      <c r="D2303" s="776"/>
      <c r="E2303" s="777"/>
      <c r="F2303" s="777"/>
      <c r="G2303" s="777"/>
      <c r="H2303" s="813"/>
      <c r="I2303" s="813"/>
      <c r="J2303" s="813"/>
      <c r="K2303" s="813"/>
      <c r="L2303" s="813"/>
      <c r="M2303" s="813"/>
      <c r="N2303" s="814"/>
    </row>
    <row r="2304" spans="1:14" ht="13.5" thickBot="1">
      <c r="A2304" s="817"/>
      <c r="C2304" s="485"/>
      <c r="D2304" s="776"/>
      <c r="E2304" s="2470" t="s">
        <v>1504</v>
      </c>
      <c r="F2304" s="2410"/>
      <c r="G2304" s="808" t="s">
        <v>2016</v>
      </c>
      <c r="H2304" s="225" t="str">
        <f>IFERROR(IF([1]K_Summary!$H$2289 = "", "", [1]K_Summary!$H$2289 ),"")</f>
        <v/>
      </c>
      <c r="I2304" s="228" t="str">
        <f>IFERROR(IF([1]K_Summary!$I$2289 = "", "", [1]K_Summary!$I$2289 ),"")</f>
        <v/>
      </c>
      <c r="J2304" s="225" t="str">
        <f>IFERROR(IF([1]K_Summary!$J$2289 = "", "", [1]K_Summary!$J$2289 ),"")</f>
        <v/>
      </c>
      <c r="K2304" s="227" t="str">
        <f>IFERROR(IF([1]K_Summary!$K$2289 = "", "", [1]K_Summary!$K$2289 ),"")</f>
        <v/>
      </c>
      <c r="L2304" s="227" t="str">
        <f>IFERROR(IF([1]K_Summary!$L$2289 = "", "", [1]K_Summary!$L$2289 ),"")</f>
        <v/>
      </c>
      <c r="M2304" s="227" t="str">
        <f>IFERROR(IF([1]K_Summary!$M$2289 = "", "", [1]K_Summary!$M$2289 ),"")</f>
        <v/>
      </c>
      <c r="N2304" s="228" t="str">
        <f>IFERROR(IF([1]K_Summary!$N$2289 = "", "", [1]K_Summary!$N$2289 ),"")</f>
        <v/>
      </c>
    </row>
    <row r="2305" spans="1:14">
      <c r="A2305" s="817"/>
      <c r="C2305" s="485"/>
      <c r="D2305" s="776"/>
      <c r="E2305" s="777"/>
      <c r="F2305" s="777"/>
      <c r="G2305" s="777"/>
      <c r="H2305" s="777"/>
      <c r="I2305" s="777"/>
      <c r="J2305" s="777"/>
      <c r="K2305" s="777"/>
      <c r="L2305" s="777"/>
      <c r="M2305" s="777"/>
      <c r="N2305" s="810"/>
    </row>
    <row r="2306" spans="1:14">
      <c r="A2306" s="817"/>
      <c r="C2306" s="485"/>
      <c r="D2306" s="776"/>
      <c r="E2306" s="2471" t="s">
        <v>1344</v>
      </c>
      <c r="F2306" s="2472"/>
      <c r="G2306" s="811" t="s">
        <v>2017</v>
      </c>
      <c r="H2306" s="127" t="str">
        <f>IFERROR(IF([1]K_Summary!$H$2291 = "", "", [1]K_Summary!$H$2291 ),"")</f>
        <v/>
      </c>
      <c r="I2306" s="229" t="str">
        <f>IFERROR(IF([1]K_Summary!$I$2291 = "", "", [1]K_Summary!$I$2291 ),"")</f>
        <v/>
      </c>
      <c r="J2306" s="230" t="str">
        <f>IFERROR(IF([1]K_Summary!$J$2291 = "", "", [1]K_Summary!$J$2291 ),"")</f>
        <v/>
      </c>
      <c r="K2306" s="127" t="str">
        <f>IFERROR(IF([1]K_Summary!$K$2291 = "", "", [1]K_Summary!$K$2291 ),"")</f>
        <v/>
      </c>
      <c r="L2306" s="127" t="str">
        <f>IFERROR(IF([1]K_Summary!$L$2291 = "", "", [1]K_Summary!$L$2291 ),"")</f>
        <v/>
      </c>
      <c r="M2306" s="127" t="str">
        <f>IFERROR(IF([1]K_Summary!$M$2291 = "", "", [1]K_Summary!$M$2291 ),"")</f>
        <v/>
      </c>
      <c r="N2306" s="231" t="str">
        <f>IFERROR(IF([1]K_Summary!$N$2291 = "", "", [1]K_Summary!$N$2291 ),"")</f>
        <v/>
      </c>
    </row>
    <row r="2307" spans="1:14">
      <c r="A2307" s="817"/>
      <c r="C2307" s="485"/>
      <c r="D2307" s="776"/>
      <c r="E2307" s="2473" t="s">
        <v>1182</v>
      </c>
      <c r="F2307" s="2474"/>
      <c r="G2307" s="812" t="s">
        <v>2018</v>
      </c>
      <c r="H2307" s="128" t="str">
        <f>IFERROR(IF([1]K_Summary!$H$2292 = "", "", [1]K_Summary!$H$2292 ),"")</f>
        <v/>
      </c>
      <c r="I2307" s="232" t="str">
        <f>IFERROR(IF([1]K_Summary!$I$2292 = "", "", [1]K_Summary!$I$2292 ),"")</f>
        <v/>
      </c>
      <c r="J2307" s="233" t="str">
        <f>IFERROR(IF([1]K_Summary!$J$2292 = "", "", [1]K_Summary!$J$2292 ),"")</f>
        <v/>
      </c>
      <c r="K2307" s="128" t="str">
        <f>IFERROR(IF([1]K_Summary!$K$2292 = "", "", [1]K_Summary!$K$2292 ),"")</f>
        <v/>
      </c>
      <c r="L2307" s="128" t="str">
        <f>IFERROR(IF([1]K_Summary!$L$2292 = "", "", [1]K_Summary!$L$2292 ),"")</f>
        <v/>
      </c>
      <c r="M2307" s="128" t="str">
        <f>IFERROR(IF([1]K_Summary!$M$2292 = "", "", [1]K_Summary!$M$2292 ),"")</f>
        <v/>
      </c>
      <c r="N2307" s="234" t="str">
        <f>IFERROR(IF([1]K_Summary!$N$2292 = "", "", [1]K_Summary!$N$2292 ),"")</f>
        <v/>
      </c>
    </row>
    <row r="2308" spans="1:14">
      <c r="A2308" s="817"/>
      <c r="C2308" s="485"/>
      <c r="D2308" s="776"/>
      <c r="E2308" s="2471" t="s">
        <v>1481</v>
      </c>
      <c r="F2308" s="2472"/>
      <c r="G2308" s="811" t="s">
        <v>2017</v>
      </c>
      <c r="H2308" s="127" t="str">
        <f>IFERROR(IF([1]K_Summary!$H$2293 = "", "", [1]K_Summary!$H$2293 ),"")</f>
        <v/>
      </c>
      <c r="I2308" s="229" t="str">
        <f>IFERROR(IF([1]K_Summary!$I$2293 = "", "", [1]K_Summary!$I$2293 ),"")</f>
        <v/>
      </c>
      <c r="J2308" s="230" t="str">
        <f>IFERROR(IF([1]K_Summary!$J$2293 = "", "", [1]K_Summary!$J$2293 ),"")</f>
        <v/>
      </c>
      <c r="K2308" s="127" t="str">
        <f>IFERROR(IF([1]K_Summary!$K$2293 = "", "", [1]K_Summary!$K$2293 ),"")</f>
        <v/>
      </c>
      <c r="L2308" s="127" t="str">
        <f>IFERROR(IF([1]K_Summary!$L$2293 = "", "", [1]K_Summary!$L$2293 ),"")</f>
        <v/>
      </c>
      <c r="M2308" s="127" t="str">
        <f>IFERROR(IF([1]K_Summary!$M$2293 = "", "", [1]K_Summary!$M$2293 ),"")</f>
        <v/>
      </c>
      <c r="N2308" s="231" t="str">
        <f>IFERROR(IF([1]K_Summary!$N$2293 = "", "", [1]K_Summary!$N$2293 ),"")</f>
        <v/>
      </c>
    </row>
    <row r="2309" spans="1:14">
      <c r="A2309" s="817"/>
      <c r="C2309" s="485"/>
      <c r="D2309" s="776"/>
      <c r="E2309" s="2473" t="s">
        <v>1182</v>
      </c>
      <c r="F2309" s="2474"/>
      <c r="G2309" s="812" t="s">
        <v>2018</v>
      </c>
      <c r="H2309" s="128" t="str">
        <f>IFERROR(IF([1]K_Summary!$H$2294 = "", "", [1]K_Summary!$H$2294 ),"")</f>
        <v/>
      </c>
      <c r="I2309" s="232" t="str">
        <f>IFERROR(IF([1]K_Summary!$I$2294 = "", "", [1]K_Summary!$I$2294 ),"")</f>
        <v/>
      </c>
      <c r="J2309" s="233" t="str">
        <f>IFERROR(IF([1]K_Summary!$J$2294 = "", "", [1]K_Summary!$J$2294 ),"")</f>
        <v/>
      </c>
      <c r="K2309" s="128" t="str">
        <f>IFERROR(IF([1]K_Summary!$K$2294 = "", "", [1]K_Summary!$K$2294 ),"")</f>
        <v/>
      </c>
      <c r="L2309" s="128" t="str">
        <f>IFERROR(IF([1]K_Summary!$L$2294 = "", "", [1]K_Summary!$L$2294 ),"")</f>
        <v/>
      </c>
      <c r="M2309" s="128" t="str">
        <f>IFERROR(IF([1]K_Summary!$M$2294 = "", "", [1]K_Summary!$M$2294 ),"")</f>
        <v/>
      </c>
      <c r="N2309" s="234" t="str">
        <f>IFERROR(IF([1]K_Summary!$N$2294 = "", "", [1]K_Summary!$N$2294 ),"")</f>
        <v/>
      </c>
    </row>
    <row r="2310" spans="1:14">
      <c r="A2310" s="817"/>
      <c r="C2310" s="485"/>
      <c r="D2310" s="776"/>
      <c r="E2310" s="777"/>
      <c r="F2310" s="813"/>
      <c r="G2310" s="813"/>
      <c r="H2310" s="813"/>
      <c r="I2310" s="813"/>
      <c r="J2310" s="813"/>
      <c r="K2310" s="813"/>
      <c r="L2310" s="813"/>
      <c r="M2310" s="813"/>
      <c r="N2310" s="814"/>
    </row>
    <row r="2311" spans="1:14">
      <c r="A2311" s="817"/>
      <c r="C2311" s="485"/>
      <c r="D2311" s="776"/>
      <c r="E2311" s="2475" t="s">
        <v>63</v>
      </c>
      <c r="F2311" s="2410"/>
      <c r="G2311" s="815" t="s">
        <v>2015</v>
      </c>
      <c r="H2311" s="126" t="str">
        <f>IFERROR(IF([1]K_Summary!$H$2296 = "", "", [1]K_Summary!$H$2296 ),"")</f>
        <v/>
      </c>
      <c r="I2311" s="235" t="str">
        <f>IFERROR(IF([1]K_Summary!$I$2296 = "", "", [1]K_Summary!$I$2296 ),"")</f>
        <v/>
      </c>
      <c r="J2311" s="236" t="str">
        <f>IFERROR(IF([1]K_Summary!$J$2296 = "", "", [1]K_Summary!$J$2296 ),"")</f>
        <v/>
      </c>
      <c r="K2311" s="126" t="str">
        <f>IFERROR(IF([1]K_Summary!$K$2296 = "", "", [1]K_Summary!$K$2296 ),"")</f>
        <v/>
      </c>
      <c r="L2311" s="126" t="str">
        <f>IFERROR(IF([1]K_Summary!$L$2296 = "", "", [1]K_Summary!$L$2296 ),"")</f>
        <v/>
      </c>
      <c r="M2311" s="126" t="str">
        <f>IFERROR(IF([1]K_Summary!$M$2296 = "", "", [1]K_Summary!$M$2296 ),"")</f>
        <v/>
      </c>
      <c r="N2311" s="237" t="str">
        <f>IFERROR(IF([1]K_Summary!$N$2296 = "", "", [1]K_Summary!$N$2296 ),"")</f>
        <v/>
      </c>
    </row>
    <row r="2312" spans="1:14">
      <c r="A2312" s="817"/>
      <c r="C2312" s="485"/>
      <c r="D2312" s="776"/>
      <c r="E2312" s="777"/>
      <c r="F2312" s="777"/>
      <c r="G2312" s="777"/>
      <c r="H2312" s="813"/>
      <c r="I2312" s="813"/>
      <c r="J2312" s="813"/>
      <c r="K2312" s="813"/>
      <c r="L2312" s="813"/>
      <c r="M2312" s="813"/>
      <c r="N2312" s="814"/>
    </row>
    <row r="2313" spans="1:14">
      <c r="A2313" s="817"/>
      <c r="C2313" s="485"/>
      <c r="D2313" s="776"/>
      <c r="E2313" s="2471" t="s">
        <v>1505</v>
      </c>
      <c r="F2313" s="2472"/>
      <c r="G2313" s="811" t="s">
        <v>2017</v>
      </c>
      <c r="H2313" s="127" t="str">
        <f>IFERROR(IF([1]K_Summary!$H$2298 = "", "", [1]K_Summary!$H$2298 ),"")</f>
        <v/>
      </c>
      <c r="I2313" s="229" t="str">
        <f>IFERROR(IF([1]K_Summary!$I$2298 = "", "", [1]K_Summary!$I$2298 ),"")</f>
        <v/>
      </c>
      <c r="J2313" s="230" t="str">
        <f>IFERROR(IF([1]K_Summary!$J$2298 = "", "", [1]K_Summary!$J$2298 ),"")</f>
        <v/>
      </c>
      <c r="K2313" s="127" t="str">
        <f>IFERROR(IF([1]K_Summary!$K$2298 = "", "", [1]K_Summary!$K$2298 ),"")</f>
        <v/>
      </c>
      <c r="L2313" s="127" t="str">
        <f>IFERROR(IF([1]K_Summary!$L$2298 = "", "", [1]K_Summary!$L$2298 ),"")</f>
        <v/>
      </c>
      <c r="M2313" s="127" t="str">
        <f>IFERROR(IF([1]K_Summary!$M$2298 = "", "", [1]K_Summary!$M$2298 ),"")</f>
        <v/>
      </c>
      <c r="N2313" s="231" t="str">
        <f>IFERROR(IF([1]K_Summary!$N$2298 = "", "", [1]K_Summary!$N$2298 ),"")</f>
        <v/>
      </c>
    </row>
    <row r="2314" spans="1:14">
      <c r="A2314" s="817"/>
      <c r="C2314" s="485"/>
      <c r="D2314" s="776"/>
      <c r="E2314" s="2473" t="s">
        <v>1103</v>
      </c>
      <c r="F2314" s="2474"/>
      <c r="G2314" s="812" t="s">
        <v>2018</v>
      </c>
      <c r="H2314" s="128" t="str">
        <f>IFERROR(IF([1]K_Summary!$H$2299 = "", "", [1]K_Summary!$H$2299 ),"")</f>
        <v/>
      </c>
      <c r="I2314" s="232" t="str">
        <f>IFERROR(IF([1]K_Summary!$I$2299 = "", "", [1]K_Summary!$I$2299 ),"")</f>
        <v/>
      </c>
      <c r="J2314" s="233" t="str">
        <f>IFERROR(IF([1]K_Summary!$J$2299 = "", "", [1]K_Summary!$J$2299 ),"")</f>
        <v/>
      </c>
      <c r="K2314" s="128" t="str">
        <f>IFERROR(IF([1]K_Summary!$K$2299 = "", "", [1]K_Summary!$K$2299 ),"")</f>
        <v/>
      </c>
      <c r="L2314" s="128" t="str">
        <f>IFERROR(IF([1]K_Summary!$L$2299 = "", "", [1]K_Summary!$L$2299 ),"")</f>
        <v/>
      </c>
      <c r="M2314" s="128" t="str">
        <f>IFERROR(IF([1]K_Summary!$M$2299 = "", "", [1]K_Summary!$M$2299 ),"")</f>
        <v/>
      </c>
      <c r="N2314" s="234" t="str">
        <f>IFERROR(IF([1]K_Summary!$N$2299 = "", "", [1]K_Summary!$N$2299 ),"")</f>
        <v/>
      </c>
    </row>
    <row r="2315" spans="1:14">
      <c r="A2315" s="817"/>
      <c r="C2315" s="485"/>
      <c r="D2315" s="776"/>
      <c r="E2315" s="2471" t="s">
        <v>1506</v>
      </c>
      <c r="F2315" s="2472"/>
      <c r="G2315" s="811" t="s">
        <v>2017</v>
      </c>
      <c r="H2315" s="127" t="str">
        <f>IFERROR(IF([1]K_Summary!$H$2300 = "", "", [1]K_Summary!$H$2300 ),"")</f>
        <v/>
      </c>
      <c r="I2315" s="229" t="str">
        <f>IFERROR(IF([1]K_Summary!$I$2300 = "", "", [1]K_Summary!$I$2300 ),"")</f>
        <v/>
      </c>
      <c r="J2315" s="230" t="str">
        <f>IFERROR(IF([1]K_Summary!$J$2300 = "", "", [1]K_Summary!$J$2300 ),"")</f>
        <v/>
      </c>
      <c r="K2315" s="127" t="str">
        <f>IFERROR(IF([1]K_Summary!$K$2300 = "", "", [1]K_Summary!$K$2300 ),"")</f>
        <v/>
      </c>
      <c r="L2315" s="127" t="str">
        <f>IFERROR(IF([1]K_Summary!$L$2300 = "", "", [1]K_Summary!$L$2300 ),"")</f>
        <v/>
      </c>
      <c r="M2315" s="127" t="str">
        <f>IFERROR(IF([1]K_Summary!$M$2300 = "", "", [1]K_Summary!$M$2300 ),"")</f>
        <v/>
      </c>
      <c r="N2315" s="231" t="str">
        <f>IFERROR(IF([1]K_Summary!$N$2300 = "", "", [1]K_Summary!$N$2300 ),"")</f>
        <v/>
      </c>
    </row>
    <row r="2316" spans="1:14">
      <c r="A2316" s="817"/>
      <c r="C2316" s="485"/>
      <c r="D2316" s="776"/>
      <c r="E2316" s="2473" t="s">
        <v>1490</v>
      </c>
      <c r="F2316" s="2474"/>
      <c r="G2316" s="812" t="s">
        <v>2018</v>
      </c>
      <c r="H2316" s="128" t="str">
        <f>IFERROR(IF([1]K_Summary!$H$2301 = "", "", [1]K_Summary!$H$2301 ),"")</f>
        <v/>
      </c>
      <c r="I2316" s="232" t="str">
        <f>IFERROR(IF([1]K_Summary!$I$2301 = "", "", [1]K_Summary!$I$2301 ),"")</f>
        <v/>
      </c>
      <c r="J2316" s="233" t="str">
        <f>IFERROR(IF([1]K_Summary!$J$2301 = "", "", [1]K_Summary!$J$2301 ),"")</f>
        <v/>
      </c>
      <c r="K2316" s="128" t="str">
        <f>IFERROR(IF([1]K_Summary!$K$2301 = "", "", [1]K_Summary!$K$2301 ),"")</f>
        <v/>
      </c>
      <c r="L2316" s="128" t="str">
        <f>IFERROR(IF([1]K_Summary!$L$2301 = "", "", [1]K_Summary!$L$2301 ),"")</f>
        <v/>
      </c>
      <c r="M2316" s="128" t="str">
        <f>IFERROR(IF([1]K_Summary!$M$2301 = "", "", [1]K_Summary!$M$2301 ),"")</f>
        <v/>
      </c>
      <c r="N2316" s="234" t="str">
        <f>IFERROR(IF([1]K_Summary!$N$2301 = "", "", [1]K_Summary!$N$2301 ),"")</f>
        <v/>
      </c>
    </row>
    <row r="2317" spans="1:14">
      <c r="A2317" s="817"/>
      <c r="C2317" s="485"/>
      <c r="D2317" s="776"/>
      <c r="E2317" s="2471" t="s">
        <v>1507</v>
      </c>
      <c r="F2317" s="2472"/>
      <c r="G2317" s="811" t="s">
        <v>2017</v>
      </c>
      <c r="H2317" s="127" t="str">
        <f>IFERROR(IF([1]K_Summary!$H$2302 = "", "", [1]K_Summary!$H$2302 ),"")</f>
        <v/>
      </c>
      <c r="I2317" s="229" t="str">
        <f>IFERROR(IF([1]K_Summary!$I$2302 = "", "", [1]K_Summary!$I$2302 ),"")</f>
        <v/>
      </c>
      <c r="J2317" s="230" t="str">
        <f>IFERROR(IF([1]K_Summary!$J$2302 = "", "", [1]K_Summary!$J$2302 ),"")</f>
        <v/>
      </c>
      <c r="K2317" s="127" t="str">
        <f>IFERROR(IF([1]K_Summary!$K$2302 = "", "", [1]K_Summary!$K$2302 ),"")</f>
        <v/>
      </c>
      <c r="L2317" s="127" t="str">
        <f>IFERROR(IF([1]K_Summary!$L$2302 = "", "", [1]K_Summary!$L$2302 ),"")</f>
        <v/>
      </c>
      <c r="M2317" s="127" t="str">
        <f>IFERROR(IF([1]K_Summary!$M$2302 = "", "", [1]K_Summary!$M$2302 ),"")</f>
        <v/>
      </c>
      <c r="N2317" s="231" t="str">
        <f>IFERROR(IF([1]K_Summary!$N$2302 = "", "", [1]K_Summary!$N$2302 ),"")</f>
        <v/>
      </c>
    </row>
    <row r="2318" spans="1:14">
      <c r="A2318" s="817"/>
      <c r="C2318" s="485"/>
      <c r="D2318" s="776"/>
      <c r="E2318" s="2473" t="s">
        <v>1489</v>
      </c>
      <c r="F2318" s="2474"/>
      <c r="G2318" s="812" t="s">
        <v>2018</v>
      </c>
      <c r="H2318" s="128" t="str">
        <f>IFERROR(IF([1]K_Summary!$H$2303 = "", "", [1]K_Summary!$H$2303 ),"")</f>
        <v/>
      </c>
      <c r="I2318" s="232" t="str">
        <f>IFERROR(IF([1]K_Summary!$I$2303 = "", "", [1]K_Summary!$I$2303 ),"")</f>
        <v/>
      </c>
      <c r="J2318" s="233" t="str">
        <f>IFERROR(IF([1]K_Summary!$J$2303 = "", "", [1]K_Summary!$J$2303 ),"")</f>
        <v/>
      </c>
      <c r="K2318" s="128" t="str">
        <f>IFERROR(IF([1]K_Summary!$K$2303 = "", "", [1]K_Summary!$K$2303 ),"")</f>
        <v/>
      </c>
      <c r="L2318" s="128" t="str">
        <f>IFERROR(IF([1]K_Summary!$L$2303 = "", "", [1]K_Summary!$L$2303 ),"")</f>
        <v/>
      </c>
      <c r="M2318" s="128" t="str">
        <f>IFERROR(IF([1]K_Summary!$M$2303 = "", "", [1]K_Summary!$M$2303 ),"")</f>
        <v/>
      </c>
      <c r="N2318" s="234" t="str">
        <f>IFERROR(IF([1]K_Summary!$N$2303 = "", "", [1]K_Summary!$N$2303 ),"")</f>
        <v/>
      </c>
    </row>
    <row r="2319" spans="1:14">
      <c r="A2319" s="817"/>
      <c r="C2319" s="485"/>
      <c r="D2319" s="776"/>
      <c r="E2319" s="2471" t="s">
        <v>1508</v>
      </c>
      <c r="F2319" s="2472"/>
      <c r="G2319" s="811" t="s">
        <v>2017</v>
      </c>
      <c r="H2319" s="127" t="str">
        <f>IFERROR(IF([1]K_Summary!$H$2304 = "", "", [1]K_Summary!$H$2304 ),"")</f>
        <v/>
      </c>
      <c r="I2319" s="229" t="str">
        <f>IFERROR(IF([1]K_Summary!$I$2304 = "", "", [1]K_Summary!$I$2304 ),"")</f>
        <v/>
      </c>
      <c r="J2319" s="230" t="str">
        <f>IFERROR(IF([1]K_Summary!$J$2304 = "", "", [1]K_Summary!$J$2304 ),"")</f>
        <v/>
      </c>
      <c r="K2319" s="127" t="str">
        <f>IFERROR(IF([1]K_Summary!$K$2304 = "", "", [1]K_Summary!$K$2304 ),"")</f>
        <v/>
      </c>
      <c r="L2319" s="127" t="str">
        <f>IFERROR(IF([1]K_Summary!$L$2304 = "", "", [1]K_Summary!$L$2304 ),"")</f>
        <v/>
      </c>
      <c r="M2319" s="127" t="str">
        <f>IFERROR(IF([1]K_Summary!$M$2304 = "", "", [1]K_Summary!$M$2304 ),"")</f>
        <v/>
      </c>
      <c r="N2319" s="231" t="str">
        <f>IFERROR(IF([1]K_Summary!$N$2304 = "", "", [1]K_Summary!$N$2304 ),"")</f>
        <v/>
      </c>
    </row>
    <row r="2320" spans="1:14">
      <c r="A2320" s="817"/>
      <c r="C2320" s="485"/>
      <c r="D2320" s="776"/>
      <c r="E2320" s="2473" t="s">
        <v>1491</v>
      </c>
      <c r="F2320" s="2474"/>
      <c r="G2320" s="812" t="s">
        <v>2018</v>
      </c>
      <c r="H2320" s="128" t="str">
        <f>IFERROR(IF([1]K_Summary!$H$2305 = "", "", [1]K_Summary!$H$2305 ),"")</f>
        <v/>
      </c>
      <c r="I2320" s="232" t="str">
        <f>IFERROR(IF([1]K_Summary!$I$2305 = "", "", [1]K_Summary!$I$2305 ),"")</f>
        <v/>
      </c>
      <c r="J2320" s="233" t="str">
        <f>IFERROR(IF([1]K_Summary!$J$2305 = "", "", [1]K_Summary!$J$2305 ),"")</f>
        <v/>
      </c>
      <c r="K2320" s="128" t="str">
        <f>IFERROR(IF([1]K_Summary!$K$2305 = "", "", [1]K_Summary!$K$2305 ),"")</f>
        <v/>
      </c>
      <c r="L2320" s="128" t="str">
        <f>IFERROR(IF([1]K_Summary!$L$2305 = "", "", [1]K_Summary!$L$2305 ),"")</f>
        <v/>
      </c>
      <c r="M2320" s="128" t="str">
        <f>IFERROR(IF([1]K_Summary!$M$2305 = "", "", [1]K_Summary!$M$2305 ),"")</f>
        <v/>
      </c>
      <c r="N2320" s="234" t="str">
        <f>IFERROR(IF([1]K_Summary!$N$2305 = "", "", [1]K_Summary!$N$2305 ),"")</f>
        <v/>
      </c>
    </row>
    <row r="2321" spans="1:14">
      <c r="A2321" s="817"/>
      <c r="C2321" s="485"/>
      <c r="D2321" s="776"/>
      <c r="E2321" s="2471" t="s">
        <v>1509</v>
      </c>
      <c r="F2321" s="2472"/>
      <c r="G2321" s="811" t="s">
        <v>2017</v>
      </c>
      <c r="H2321" s="127" t="str">
        <f>IFERROR(IF([1]K_Summary!$H$2306 = "", "", [1]K_Summary!$H$2306 ),"")</f>
        <v/>
      </c>
      <c r="I2321" s="229" t="str">
        <f>IFERROR(IF([1]K_Summary!$I$2306 = "", "", [1]K_Summary!$I$2306 ),"")</f>
        <v/>
      </c>
      <c r="J2321" s="230" t="str">
        <f>IFERROR(IF([1]K_Summary!$J$2306 = "", "", [1]K_Summary!$J$2306 ),"")</f>
        <v/>
      </c>
      <c r="K2321" s="127" t="str">
        <f>IFERROR(IF([1]K_Summary!$K$2306 = "", "", [1]K_Summary!$K$2306 ),"")</f>
        <v/>
      </c>
      <c r="L2321" s="127" t="str">
        <f>IFERROR(IF([1]K_Summary!$L$2306 = "", "", [1]K_Summary!$L$2306 ),"")</f>
        <v/>
      </c>
      <c r="M2321" s="127" t="str">
        <f>IFERROR(IF([1]K_Summary!$M$2306 = "", "", [1]K_Summary!$M$2306 ),"")</f>
        <v/>
      </c>
      <c r="N2321" s="231" t="str">
        <f>IFERROR(IF([1]K_Summary!$N$2306 = "", "", [1]K_Summary!$N$2306 ),"")</f>
        <v/>
      </c>
    </row>
    <row r="2322" spans="1:14">
      <c r="A2322" s="817"/>
      <c r="C2322" s="485"/>
      <c r="D2322" s="776"/>
      <c r="E2322" s="2473" t="s">
        <v>1492</v>
      </c>
      <c r="F2322" s="2474"/>
      <c r="G2322" s="812" t="s">
        <v>2018</v>
      </c>
      <c r="H2322" s="128" t="str">
        <f>IFERROR(IF([1]K_Summary!$H$2307 = "", "", [1]K_Summary!$H$2307 ),"")</f>
        <v/>
      </c>
      <c r="I2322" s="232" t="str">
        <f>IFERROR(IF([1]K_Summary!$I$2307 = "", "", [1]K_Summary!$I$2307 ),"")</f>
        <v/>
      </c>
      <c r="J2322" s="233" t="str">
        <f>IFERROR(IF([1]K_Summary!$J$2307 = "", "", [1]K_Summary!$J$2307 ),"")</f>
        <v/>
      </c>
      <c r="K2322" s="128" t="str">
        <f>IFERROR(IF([1]K_Summary!$K$2307 = "", "", [1]K_Summary!$K$2307 ),"")</f>
        <v/>
      </c>
      <c r="L2322" s="128" t="str">
        <f>IFERROR(IF([1]K_Summary!$L$2307 = "", "", [1]K_Summary!$L$2307 ),"")</f>
        <v/>
      </c>
      <c r="M2322" s="128" t="str">
        <f>IFERROR(IF([1]K_Summary!$M$2307 = "", "", [1]K_Summary!$M$2307 ),"")</f>
        <v/>
      </c>
      <c r="N2322" s="234" t="str">
        <f>IFERROR(IF([1]K_Summary!$N$2307 = "", "", [1]K_Summary!$N$2307 ),"")</f>
        <v/>
      </c>
    </row>
    <row r="2323" spans="1:14" ht="13.5" thickBot="1">
      <c r="A2323" s="817"/>
      <c r="C2323" s="485"/>
      <c r="D2323" s="839"/>
      <c r="E2323" s="805"/>
      <c r="F2323" s="805"/>
      <c r="G2323" s="805"/>
      <c r="H2323" s="805"/>
      <c r="I2323" s="805"/>
      <c r="J2323" s="805"/>
      <c r="K2323" s="805"/>
      <c r="L2323" s="805"/>
      <c r="M2323" s="805"/>
      <c r="N2323" s="806"/>
    </row>
    <row r="2324" spans="1:14" ht="13.5" thickBot="1">
      <c r="A2324" s="817"/>
      <c r="C2324" s="485"/>
      <c r="D2324" s="485"/>
      <c r="E2324" s="485"/>
      <c r="F2324" s="485"/>
      <c r="G2324" s="485"/>
      <c r="H2324" s="562"/>
      <c r="I2324" s="562"/>
      <c r="J2324" s="562"/>
      <c r="K2324" s="562"/>
      <c r="L2324" s="562"/>
      <c r="M2324" s="485"/>
      <c r="N2324" s="485"/>
    </row>
    <row r="2325" spans="1:14" ht="13.5" thickBot="1">
      <c r="A2325" s="817"/>
      <c r="C2325" s="686"/>
      <c r="D2325" s="686"/>
      <c r="E2325" s="686"/>
      <c r="F2325" s="686"/>
      <c r="G2325" s="686"/>
      <c r="H2325" s="686"/>
      <c r="I2325" s="686"/>
      <c r="J2325" s="686"/>
      <c r="K2325" s="686"/>
      <c r="L2325" s="686"/>
      <c r="M2325" s="686"/>
      <c r="N2325" s="686"/>
    </row>
    <row r="2326" spans="1:14" ht="14.45" customHeight="1" thickBot="1">
      <c r="A2326" s="817"/>
      <c r="C2326" s="559">
        <v>14</v>
      </c>
      <c r="D2326" s="2482" t="s">
        <v>2035</v>
      </c>
      <c r="E2326" s="2482"/>
      <c r="F2326" s="2482"/>
      <c r="G2326" s="2482"/>
      <c r="H2326" s="2483"/>
      <c r="I2326" s="2484" t="str">
        <f>IFERROR(IF([1]K_Summary!$I$2311 = "", "", [1]K_Summary!$I$2311 ),"")</f>
        <v>Fuel benchmark sub-installation, CL</v>
      </c>
      <c r="J2326" s="2485"/>
      <c r="K2326" s="2485"/>
      <c r="L2326" s="2486"/>
      <c r="M2326" s="2476" t="str">
        <f>IFERROR(IF([1]K_Summary!$M$2311 = "", "", [1]K_Summary!$M$2311 ),"")</f>
        <v/>
      </c>
      <c r="N2326" s="2477"/>
    </row>
    <row r="2327" spans="1:14" ht="15">
      <c r="A2327" s="817"/>
      <c r="C2327" s="559"/>
      <c r="D2327" s="559"/>
      <c r="E2327" s="559"/>
      <c r="F2327" s="559"/>
      <c r="G2327" s="559"/>
      <c r="H2327" s="559"/>
      <c r="I2327" s="559"/>
      <c r="J2327" s="559"/>
      <c r="K2327" s="559"/>
      <c r="L2327" s="559"/>
      <c r="M2327" s="559"/>
      <c r="N2327" s="559"/>
    </row>
    <row r="2328" spans="1:14" ht="15">
      <c r="A2328" s="817"/>
      <c r="C2328" s="559"/>
      <c r="D2328" s="559"/>
      <c r="E2328" s="559"/>
      <c r="F2328" s="559"/>
      <c r="G2328" s="562"/>
      <c r="H2328" s="688" t="s">
        <v>458</v>
      </c>
      <c r="I2328" s="485"/>
      <c r="J2328" s="688" t="s">
        <v>1434</v>
      </c>
      <c r="K2328" s="688" t="s">
        <v>1684</v>
      </c>
      <c r="L2328" s="689" t="s">
        <v>156</v>
      </c>
      <c r="M2328" s="2469" t="s">
        <v>302</v>
      </c>
      <c r="N2328" s="2469"/>
    </row>
    <row r="2329" spans="1:14" ht="15">
      <c r="A2329" s="817"/>
      <c r="C2329" s="559"/>
      <c r="D2329" s="559"/>
      <c r="E2329" s="66" t="str">
        <f>IFERROR(IF([1]K_Summary!$E$2314 = "", "", [1]K_Summary!$E$2314 ),"")</f>
        <v>Fuel benchmark sub-installation, CL</v>
      </c>
      <c r="F2329" s="51"/>
      <c r="G2329" s="51"/>
      <c r="H2329" s="143" t="b">
        <f>IFERROR(IF([1]K_Summary!$H$2314 = "", "", [1]K_Summary!$H$2314 ),"")</f>
        <v>1</v>
      </c>
      <c r="I2329" s="485"/>
      <c r="J2329" s="53" t="str">
        <f>IFERROR(IF([1]K_Summary!$J$2314 = "", "", [1]K_Summary!$J$2314 ),"")</f>
        <v>N.A.</v>
      </c>
      <c r="K2329" s="53" t="str">
        <f>IFERROR(IF([1]K_Summary!$K$2314 = "", "", [1]K_Summary!$K$2314 ),"")</f>
        <v>N.A.</v>
      </c>
      <c r="L2329" s="144">
        <f>IFERROR(IF([1]K_Summary!$L$2314 = "", "", [1]K_Summary!$L$2314 ),"")</f>
        <v>4</v>
      </c>
      <c r="M2329" s="238" t="str">
        <f>IFERROR(IF([1]K_Summary!$M$2314 = "", "", [1]K_Summary!$M$2314 ),"")</f>
        <v>N.A.</v>
      </c>
      <c r="N2329" s="50" t="str">
        <f>IFERROR(IF([1]K_Summary!$N$2314 = "", "", [1]K_Summary!$N$2314 ),"")</f>
        <v>EUA/TJ</v>
      </c>
    </row>
    <row r="2330" spans="1:14" ht="15">
      <c r="A2330" s="817"/>
      <c r="C2330" s="485"/>
      <c r="D2330" s="485"/>
      <c r="E2330" s="559"/>
      <c r="F2330" s="562"/>
      <c r="G2330" s="562"/>
      <c r="H2330" s="562"/>
      <c r="I2330" s="562"/>
      <c r="J2330" s="485"/>
      <c r="K2330" s="485"/>
      <c r="L2330" s="485"/>
      <c r="M2330" s="485"/>
      <c r="N2330" s="485"/>
    </row>
    <row r="2331" spans="1:14">
      <c r="A2331" s="817"/>
      <c r="C2331" s="485"/>
      <c r="D2331" s="485"/>
      <c r="E2331" s="496"/>
      <c r="F2331" s="482" t="s">
        <v>884</v>
      </c>
      <c r="G2331" s="819" t="s">
        <v>1646</v>
      </c>
      <c r="H2331" s="696">
        <v>2019</v>
      </c>
      <c r="I2331" s="697">
        <v>2020</v>
      </c>
      <c r="J2331" s="696">
        <v>2021</v>
      </c>
      <c r="K2331" s="578">
        <v>2022</v>
      </c>
      <c r="L2331" s="578">
        <v>2023</v>
      </c>
      <c r="M2331" s="578">
        <v>2024</v>
      </c>
      <c r="N2331" s="578">
        <v>2025</v>
      </c>
    </row>
    <row r="2332" spans="1:14">
      <c r="A2332" s="817"/>
      <c r="C2332" s="485"/>
      <c r="D2332" s="485"/>
      <c r="E2332" s="698" t="s">
        <v>1665</v>
      </c>
      <c r="F2332" s="146" t="str">
        <f>IFERROR(IF([1]K_Summary!$F$2317 = "", "", [1]K_Summary!$F$2317 ),"")</f>
        <v>TJ</v>
      </c>
      <c r="G2332" s="239" t="str">
        <f>IFERROR(IF([1]K_Summary!$G$2317 = "", "", [1]K_Summary!$G$2317 ),"")</f>
        <v/>
      </c>
      <c r="H2332" s="240" t="str">
        <f>IFERROR(IF([1]K_Summary!$H$2317 = "", "", [1]K_Summary!$H$2317 ),"")</f>
        <v/>
      </c>
      <c r="I2332" s="241" t="str">
        <f>IFERROR(IF([1]K_Summary!$I$2317 = "", "", [1]K_Summary!$I$2317 ),"")</f>
        <v/>
      </c>
      <c r="J2332" s="240" t="str">
        <f>IFERROR(IF([1]K_Summary!$J$2317 = "", "", [1]K_Summary!$J$2317 ),"")</f>
        <v/>
      </c>
      <c r="K2332" s="242" t="str">
        <f>IFERROR(IF([1]K_Summary!$K$2317 = "", "", [1]K_Summary!$K$2317 ),"")</f>
        <v/>
      </c>
      <c r="L2332" s="242" t="str">
        <f>IFERROR(IF([1]K_Summary!$L$2317 = "", "", [1]K_Summary!$L$2317 ),"")</f>
        <v/>
      </c>
      <c r="M2332" s="242" t="str">
        <f>IFERROR(IF([1]K_Summary!$M$2317 = "", "", [1]K_Summary!$M$2317 ),"")</f>
        <v/>
      </c>
      <c r="N2332" s="242" t="str">
        <f>IFERROR(IF([1]K_Summary!$N$2317 = "", "", [1]K_Summary!$N$2317 ),"")</f>
        <v/>
      </c>
    </row>
    <row r="2333" spans="1:14">
      <c r="A2333" s="817"/>
      <c r="C2333" s="485"/>
      <c r="D2333" s="485"/>
      <c r="E2333" s="698" t="s">
        <v>1782</v>
      </c>
      <c r="F2333" s="146" t="str">
        <f>IFERROR(IF([1]K_Summary!$F$2318 = "", "", [1]K_Summary!$F$2318 ),"")</f>
        <v/>
      </c>
      <c r="G2333" s="243" t="str">
        <f>IFERROR(IF([1]K_Summary!$G$2318 = "", "", [1]K_Summary!$G$2318 ),"")</f>
        <v/>
      </c>
      <c r="H2333" s="244" t="str">
        <f>IFERROR(IF([1]K_Summary!$H$2318 = "", "", [1]K_Summary!$H$2318 ),"")</f>
        <v/>
      </c>
      <c r="I2333" s="245" t="str">
        <f>IFERROR(IF([1]K_Summary!$I$2318 = "", "", [1]K_Summary!$I$2318 ),"")</f>
        <v/>
      </c>
      <c r="J2333" s="244" t="str">
        <f>IFERROR(IF([1]K_Summary!$J$2318 = "", "", [1]K_Summary!$J$2318 ),"")</f>
        <v/>
      </c>
      <c r="K2333" s="246" t="str">
        <f>IFERROR(IF([1]K_Summary!$K$2318 = "", "", [1]K_Summary!$K$2318 ),"")</f>
        <v/>
      </c>
      <c r="L2333" s="246" t="str">
        <f>IFERROR(IF([1]K_Summary!$L$2318 = "", "", [1]K_Summary!$L$2318 ),"")</f>
        <v/>
      </c>
      <c r="M2333" s="246" t="str">
        <f>IFERROR(IF([1]K_Summary!$M$2318 = "", "", [1]K_Summary!$M$2318 ),"")</f>
        <v/>
      </c>
      <c r="N2333" s="246" t="str">
        <f>IFERROR(IF([1]K_Summary!$N$2318 = "", "", [1]K_Summary!$N$2318 ),"")</f>
        <v/>
      </c>
    </row>
    <row r="2334" spans="1:14" ht="13.5" thickBot="1">
      <c r="A2334" s="817"/>
      <c r="C2334" s="485"/>
      <c r="D2334" s="485"/>
      <c r="E2334" s="562"/>
      <c r="F2334" s="485"/>
      <c r="G2334" s="485"/>
      <c r="H2334" s="485"/>
      <c r="I2334" s="743"/>
      <c r="J2334" s="485"/>
      <c r="K2334" s="485"/>
      <c r="L2334" s="485"/>
      <c r="M2334" s="485"/>
      <c r="N2334" s="485"/>
    </row>
    <row r="2335" spans="1:14" ht="15">
      <c r="A2335" s="817"/>
      <c r="C2335" s="559"/>
      <c r="D2335" s="703"/>
      <c r="E2335" s="704"/>
      <c r="F2335" s="704"/>
      <c r="G2335" s="704"/>
      <c r="H2335" s="704"/>
      <c r="I2335" s="704"/>
      <c r="J2335" s="704"/>
      <c r="K2335" s="704"/>
      <c r="L2335" s="704"/>
      <c r="M2335" s="704"/>
      <c r="N2335" s="705"/>
    </row>
    <row r="2336" spans="1:14" ht="15">
      <c r="A2336" s="817"/>
      <c r="C2336" s="559"/>
      <c r="D2336" s="706"/>
      <c r="E2336" s="707" t="s">
        <v>1787</v>
      </c>
      <c r="F2336" s="637"/>
      <c r="G2336" s="637"/>
      <c r="H2336" s="663" t="s">
        <v>884</v>
      </c>
      <c r="I2336" s="708"/>
      <c r="J2336" s="709">
        <v>2021</v>
      </c>
      <c r="K2336" s="671">
        <v>2022</v>
      </c>
      <c r="L2336" s="671">
        <v>2023</v>
      </c>
      <c r="M2336" s="671">
        <v>2024</v>
      </c>
      <c r="N2336" s="710">
        <v>2025</v>
      </c>
    </row>
    <row r="2337" spans="1:14" ht="15">
      <c r="A2337" s="817"/>
      <c r="C2337" s="559"/>
      <c r="D2337" s="706"/>
      <c r="E2337" s="711" t="s">
        <v>1783</v>
      </c>
      <c r="F2337" s="712"/>
      <c r="G2337" s="712"/>
      <c r="H2337" s="713" t="s">
        <v>1021</v>
      </c>
      <c r="I2337" s="712"/>
      <c r="J2337" s="151" t="str">
        <f>IFERROR(IF([1]K_Summary!$J$2322 = "", "", [1]K_Summary!$J$2322 ),"")</f>
        <v/>
      </c>
      <c r="K2337" s="152" t="str">
        <f>IFERROR(IF([1]K_Summary!$K$2322 = "", "", [1]K_Summary!$K$2322 ),"")</f>
        <v/>
      </c>
      <c r="L2337" s="152" t="str">
        <f>IFERROR(IF([1]K_Summary!$L$2322 = "", "", [1]K_Summary!$L$2322 ),"")</f>
        <v/>
      </c>
      <c r="M2337" s="152" t="str">
        <f>IFERROR(IF([1]K_Summary!$M$2322 = "", "", [1]K_Summary!$M$2322 ),"")</f>
        <v/>
      </c>
      <c r="N2337" s="153" t="str">
        <f>IFERROR(IF([1]K_Summary!$N$2322 = "", "", [1]K_Summary!$N$2322 ),"")</f>
        <v/>
      </c>
    </row>
    <row r="2338" spans="1:14" ht="15">
      <c r="A2338" s="817"/>
      <c r="C2338" s="559"/>
      <c r="D2338" s="706"/>
      <c r="E2338" s="714" t="s">
        <v>1784</v>
      </c>
      <c r="F2338" s="715"/>
      <c r="G2338" s="715"/>
      <c r="H2338" s="716" t="s">
        <v>1021</v>
      </c>
      <c r="I2338" s="715"/>
      <c r="J2338" s="154" t="str">
        <f>IFERROR(IF([1]K_Summary!$J$2323 = "", "", [1]K_Summary!$J$2323 ),"")</f>
        <v/>
      </c>
      <c r="K2338" s="155" t="str">
        <f>IFERROR(IF([1]K_Summary!$K$2323 = "", "", [1]K_Summary!$K$2323 ),"")</f>
        <v/>
      </c>
      <c r="L2338" s="155" t="str">
        <f>IFERROR(IF([1]K_Summary!$L$2323 = "", "", [1]K_Summary!$L$2323 ),"")</f>
        <v/>
      </c>
      <c r="M2338" s="155" t="str">
        <f>IFERROR(IF([1]K_Summary!$M$2323 = "", "", [1]K_Summary!$M$2323 ),"")</f>
        <v/>
      </c>
      <c r="N2338" s="156" t="str">
        <f>IFERROR(IF([1]K_Summary!$N$2323 = "", "", [1]K_Summary!$N$2323 ),"")</f>
        <v/>
      </c>
    </row>
    <row r="2339" spans="1:14" ht="15">
      <c r="A2339" s="817"/>
      <c r="C2339" s="559"/>
      <c r="D2339" s="706"/>
      <c r="E2339" s="559"/>
      <c r="F2339" s="559"/>
      <c r="G2339" s="559"/>
      <c r="H2339" s="559"/>
      <c r="I2339" s="559"/>
      <c r="J2339" s="559"/>
      <c r="K2339" s="559"/>
      <c r="L2339" s="559"/>
      <c r="M2339" s="559"/>
      <c r="N2339" s="717"/>
    </row>
    <row r="2340" spans="1:14" ht="15">
      <c r="A2340" s="817"/>
      <c r="C2340" s="559"/>
      <c r="D2340" s="706"/>
      <c r="E2340" s="496" t="s">
        <v>1762</v>
      </c>
      <c r="F2340" s="485"/>
      <c r="G2340" s="485"/>
      <c r="H2340" s="663" t="s">
        <v>884</v>
      </c>
      <c r="I2340" s="708"/>
      <c r="J2340" s="696">
        <v>2021</v>
      </c>
      <c r="K2340" s="578">
        <v>2022</v>
      </c>
      <c r="L2340" s="578">
        <v>2023</v>
      </c>
      <c r="M2340" s="578">
        <v>2024</v>
      </c>
      <c r="N2340" s="718">
        <v>2025</v>
      </c>
    </row>
    <row r="2341" spans="1:14" ht="15" hidden="1">
      <c r="A2341" s="817" t="s">
        <v>2289</v>
      </c>
      <c r="C2341" s="559"/>
      <c r="D2341" s="706"/>
      <c r="E2341" s="698" t="s">
        <v>1714</v>
      </c>
      <c r="F2341" s="698"/>
      <c r="G2341" s="698"/>
      <c r="H2341" s="63" t="str">
        <f>IFERROR(IF([1]K_Summary!$H$2326 = "", "", [1]K_Summary!$H$2326 ),"")</f>
        <v>TJ</v>
      </c>
      <c r="I2341" s="698"/>
      <c r="J2341" s="247" t="str">
        <f>IFERROR(IF([1]K_Summary!$J$2326 = "", "", [1]K_Summary!$J$2326 ),"")</f>
        <v/>
      </c>
      <c r="K2341" s="248" t="str">
        <f>IFERROR(IF([1]K_Summary!$K$2326 = "", "", [1]K_Summary!$K$2326 ),"")</f>
        <v/>
      </c>
      <c r="L2341" s="248" t="str">
        <f>IFERROR(IF([1]K_Summary!$L$2326 = "", "", [1]K_Summary!$L$2326 ),"")</f>
        <v/>
      </c>
      <c r="M2341" s="248" t="str">
        <f>IFERROR(IF([1]K_Summary!$M$2326 = "", "", [1]K_Summary!$M$2326 ),"")</f>
        <v/>
      </c>
      <c r="N2341" s="249" t="str">
        <f>IFERROR(IF([1]K_Summary!$N$2326 = "", "", [1]K_Summary!$N$2326 ),"")</f>
        <v/>
      </c>
    </row>
    <row r="2342" spans="1:14" ht="15">
      <c r="A2342" s="817"/>
      <c r="C2342" s="559"/>
      <c r="D2342" s="706"/>
      <c r="E2342" s="698" t="s">
        <v>1671</v>
      </c>
      <c r="F2342" s="698"/>
      <c r="G2342" s="698"/>
      <c r="H2342" s="730" t="s">
        <v>2090</v>
      </c>
      <c r="I2342" s="731"/>
      <c r="J2342" s="148" t="str">
        <f>IFERROR(IF([1]K_Summary!$J$2327 = "", "", [1]K_Summary!$J$2327 ),"")</f>
        <v/>
      </c>
      <c r="K2342" s="150" t="str">
        <f>IFERROR(IF([1]K_Summary!$K$2327 = "", "", [1]K_Summary!$K$2327 ),"")</f>
        <v/>
      </c>
      <c r="L2342" s="150" t="str">
        <f>IFERROR(IF([1]K_Summary!$L$2327 = "", "", [1]K_Summary!$L$2327 ),"")</f>
        <v/>
      </c>
      <c r="M2342" s="150" t="str">
        <f>IFERROR(IF([1]K_Summary!$M$2327 = "", "", [1]K_Summary!$M$2327 ),"")</f>
        <v/>
      </c>
      <c r="N2342" s="171" t="str">
        <f>IFERROR(IF([1]K_Summary!$N$2327 = "", "", [1]K_Summary!$N$2327 ),"")</f>
        <v/>
      </c>
    </row>
    <row r="2343" spans="1:14" ht="15">
      <c r="A2343" s="817"/>
      <c r="C2343" s="559"/>
      <c r="D2343" s="706"/>
      <c r="E2343" s="559"/>
      <c r="F2343" s="559"/>
      <c r="G2343" s="559"/>
      <c r="H2343" s="559"/>
      <c r="I2343" s="559"/>
      <c r="J2343" s="559"/>
      <c r="K2343" s="559"/>
      <c r="L2343" s="559"/>
      <c r="M2343" s="559"/>
      <c r="N2343" s="717"/>
    </row>
    <row r="2344" spans="1:14" ht="15">
      <c r="A2344" s="817"/>
      <c r="C2344" s="559"/>
      <c r="D2344" s="706"/>
      <c r="E2344" s="707" t="s">
        <v>1752</v>
      </c>
      <c r="F2344" s="637"/>
      <c r="G2344" s="637"/>
      <c r="H2344" s="663" t="s">
        <v>884</v>
      </c>
      <c r="I2344" s="708"/>
      <c r="J2344" s="709">
        <v>2021</v>
      </c>
      <c r="K2344" s="671">
        <v>2022</v>
      </c>
      <c r="L2344" s="671">
        <v>2023</v>
      </c>
      <c r="M2344" s="671">
        <v>2024</v>
      </c>
      <c r="N2344" s="710">
        <v>2025</v>
      </c>
    </row>
    <row r="2345" spans="1:14" ht="15">
      <c r="A2345" s="817"/>
      <c r="C2345" s="559"/>
      <c r="D2345" s="706"/>
      <c r="E2345" s="720" t="s">
        <v>1691</v>
      </c>
      <c r="F2345" s="720"/>
      <c r="G2345" s="720"/>
      <c r="H2345" s="67" t="str">
        <f>IFERROR(IF([1]K_Summary!$H$2330 = "", "", [1]K_Summary!$H$2330 ),"")</f>
        <v>TJ</v>
      </c>
      <c r="I2345" s="733"/>
      <c r="J2345" s="250" t="str">
        <f>IFERROR(IF([1]K_Summary!$J$2330 = "", "", [1]K_Summary!$J$2330 ),"")</f>
        <v/>
      </c>
      <c r="K2345" s="251" t="str">
        <f>IFERROR(IF([1]K_Summary!$K$2330 = "", "", [1]K_Summary!$K$2330 ),"")</f>
        <v/>
      </c>
      <c r="L2345" s="251" t="str">
        <f>IFERROR(IF([1]K_Summary!$L$2330 = "", "", [1]K_Summary!$L$2330 ),"")</f>
        <v/>
      </c>
      <c r="M2345" s="251" t="str">
        <f>IFERROR(IF([1]K_Summary!$M$2330 = "", "", [1]K_Summary!$M$2330 ),"")</f>
        <v/>
      </c>
      <c r="N2345" s="252" t="str">
        <f>IFERROR(IF([1]K_Summary!$N$2330 = "", "", [1]K_Summary!$N$2330 ),"")</f>
        <v/>
      </c>
    </row>
    <row r="2346" spans="1:14" ht="15">
      <c r="A2346" s="817"/>
      <c r="C2346" s="559"/>
      <c r="D2346" s="706"/>
      <c r="E2346" s="723" t="s">
        <v>1648</v>
      </c>
      <c r="F2346" s="723"/>
      <c r="G2346" s="723"/>
      <c r="H2346" s="734" t="s">
        <v>1021</v>
      </c>
      <c r="I2346" s="735"/>
      <c r="J2346" s="174" t="str">
        <f>IFERROR(IF([1]K_Summary!$J$2331 = "", "", [1]K_Summary!$J$2331 ),"")</f>
        <v/>
      </c>
      <c r="K2346" s="175" t="str">
        <f>IFERROR(IF([1]K_Summary!$K$2331 = "", "", [1]K_Summary!$K$2331 ),"")</f>
        <v/>
      </c>
      <c r="L2346" s="175" t="str">
        <f>IFERROR(IF([1]K_Summary!$L$2331 = "", "", [1]K_Summary!$L$2331 ),"")</f>
        <v/>
      </c>
      <c r="M2346" s="436" t="str">
        <f>IFERROR(IF([1]K_Summary!$M$2331 = "", "", [1]K_Summary!$M$2331 ),"")</f>
        <v/>
      </c>
      <c r="N2346" s="176" t="str">
        <f>IFERROR(IF([1]K_Summary!$N$2331 = "", "", [1]K_Summary!$N$2331 ),"")</f>
        <v/>
      </c>
    </row>
    <row r="2347" spans="1:14" ht="15">
      <c r="A2347" s="817"/>
      <c r="C2347" s="559"/>
      <c r="D2347" s="706"/>
      <c r="E2347" s="736" t="s">
        <v>1785</v>
      </c>
      <c r="F2347" s="736"/>
      <c r="G2347" s="736"/>
      <c r="H2347" s="737" t="s">
        <v>1021</v>
      </c>
      <c r="I2347" s="738"/>
      <c r="J2347" s="177" t="str">
        <f>IFERROR(IF([1]K_Summary!$J$2332 = "", "", [1]K_Summary!$J$2332 ),"")</f>
        <v/>
      </c>
      <c r="K2347" s="178" t="str">
        <f>IFERROR(IF([1]K_Summary!$K$2332 = "", "", [1]K_Summary!$K$2332 ),"")</f>
        <v/>
      </c>
      <c r="L2347" s="178" t="str">
        <f>IFERROR(IF([1]K_Summary!$L$2332 = "", "", [1]K_Summary!$L$2332 ),"")</f>
        <v/>
      </c>
      <c r="M2347" s="178" t="str">
        <f>IFERROR(IF([1]K_Summary!$M$2332 = "", "", [1]K_Summary!$M$2332 ),"")</f>
        <v/>
      </c>
      <c r="N2347" s="179" t="str">
        <f>IFERROR(IF([1]K_Summary!$N$2332 = "", "", [1]K_Summary!$N$2332 ),"")</f>
        <v/>
      </c>
    </row>
    <row r="2348" spans="1:14" ht="15">
      <c r="A2348" s="817"/>
      <c r="C2348" s="559"/>
      <c r="D2348" s="706"/>
      <c r="E2348" s="727" t="s">
        <v>1689</v>
      </c>
      <c r="F2348" s="727"/>
      <c r="G2348" s="727"/>
      <c r="H2348" s="68" t="str">
        <f>IFERROR(IF([1]K_Summary!$H$2333 = "", "", [1]K_Summary!$H$2333 ),"")</f>
        <v>TJ</v>
      </c>
      <c r="I2348" s="727"/>
      <c r="J2348" s="253" t="str">
        <f>IFERROR(IF([1]K_Summary!$J$2333 = "", "", [1]K_Summary!$J$2333 ),"")</f>
        <v/>
      </c>
      <c r="K2348" s="254" t="str">
        <f>IFERROR(IF([1]K_Summary!$K$2333 = "", "", [1]K_Summary!$K$2333 ),"")</f>
        <v/>
      </c>
      <c r="L2348" s="254" t="str">
        <f>IFERROR(IF([1]K_Summary!$L$2333 = "", "", [1]K_Summary!$L$2333 ),"")</f>
        <v/>
      </c>
      <c r="M2348" s="254" t="str">
        <f>IFERROR(IF([1]K_Summary!$M$2333 = "", "", [1]K_Summary!$M$2333 ),"")</f>
        <v/>
      </c>
      <c r="N2348" s="255" t="str">
        <f>IFERROR(IF([1]K_Summary!$N$2333 = "", "", [1]K_Summary!$N$2333 ),"")</f>
        <v/>
      </c>
    </row>
    <row r="2349" spans="1:14" ht="15">
      <c r="A2349" s="817"/>
      <c r="C2349" s="559"/>
      <c r="D2349" s="706"/>
      <c r="E2349" s="698" t="s">
        <v>1671</v>
      </c>
      <c r="F2349" s="698"/>
      <c r="G2349" s="698"/>
      <c r="H2349" s="730" t="s">
        <v>2090</v>
      </c>
      <c r="I2349" s="731"/>
      <c r="J2349" s="148" t="str">
        <f>IFERROR(IF([1]K_Summary!$J$2334 = "", "", [1]K_Summary!$J$2334 ),"")</f>
        <v/>
      </c>
      <c r="K2349" s="150" t="str">
        <f>IFERROR(IF([1]K_Summary!$K$2334 = "", "", [1]K_Summary!$K$2334 ),"")</f>
        <v/>
      </c>
      <c r="L2349" s="150" t="str">
        <f>IFERROR(IF([1]K_Summary!$L$2334 = "", "", [1]K_Summary!$L$2334 ),"")</f>
        <v/>
      </c>
      <c r="M2349" s="150" t="str">
        <f>IFERROR(IF([1]K_Summary!$M$2334 = "", "", [1]K_Summary!$M$2334 ),"")</f>
        <v/>
      </c>
      <c r="N2349" s="171" t="str">
        <f>IFERROR(IF([1]K_Summary!$N$2334 = "", "", [1]K_Summary!$N$2334 ),"")</f>
        <v/>
      </c>
    </row>
    <row r="2350" spans="1:14" ht="15">
      <c r="A2350" s="817"/>
      <c r="C2350" s="559"/>
      <c r="D2350" s="706"/>
      <c r="E2350" s="698" t="s">
        <v>1670</v>
      </c>
      <c r="F2350" s="698"/>
      <c r="G2350" s="698"/>
      <c r="H2350" s="730" t="s">
        <v>2090</v>
      </c>
      <c r="I2350" s="731"/>
      <c r="J2350" s="148" t="str">
        <f>IFERROR(IF([1]K_Summary!$J$2335 = "", "", [1]K_Summary!$J$2335 ),"")</f>
        <v/>
      </c>
      <c r="K2350" s="150" t="str">
        <f>IFERROR(IF([1]K_Summary!$K$2335 = "", "", [1]K_Summary!$K$2335 ),"")</f>
        <v/>
      </c>
      <c r="L2350" s="150" t="str">
        <f>IFERROR(IF([1]K_Summary!$L$2335 = "", "", [1]K_Summary!$L$2335 ),"")</f>
        <v/>
      </c>
      <c r="M2350" s="150" t="str">
        <f>IFERROR(IF([1]K_Summary!$M$2335 = "", "", [1]K_Summary!$M$2335 ),"")</f>
        <v/>
      </c>
      <c r="N2350" s="171" t="str">
        <f>IFERROR(IF([1]K_Summary!$N$2335 = "", "", [1]K_Summary!$N$2335 ),"")</f>
        <v/>
      </c>
    </row>
    <row r="2351" spans="1:14" ht="15">
      <c r="A2351" s="817"/>
      <c r="C2351" s="559"/>
      <c r="D2351" s="706"/>
      <c r="E2351" s="740" t="s">
        <v>2136</v>
      </c>
      <c r="F2351" s="740"/>
      <c r="G2351" s="740"/>
      <c r="H2351" s="741" t="s">
        <v>1021</v>
      </c>
      <c r="I2351" s="742"/>
      <c r="J2351" s="183" t="str">
        <f>IFERROR(IF([1]K_Summary!$J$2336 = "", "", [1]K_Summary!$J$2336 ),"")</f>
        <v/>
      </c>
      <c r="K2351" s="184" t="str">
        <f>IFERROR(IF([1]K_Summary!$K$2336 = "", "", [1]K_Summary!$K$2336 ),"")</f>
        <v/>
      </c>
      <c r="L2351" s="184" t="str">
        <f>IFERROR(IF([1]K_Summary!$L$2336 = "", "", [1]K_Summary!$L$2336 ),"")</f>
        <v/>
      </c>
      <c r="M2351" s="184" t="str">
        <f>IFERROR(IF([1]K_Summary!$M$2336 = "", "", [1]K_Summary!$M$2336 ),"")</f>
        <v/>
      </c>
      <c r="N2351" s="185" t="str">
        <f>IFERROR(IF([1]K_Summary!$N$2336 = "", "", [1]K_Summary!$N$2336 ),"")</f>
        <v/>
      </c>
    </row>
    <row r="2352" spans="1:14" ht="15">
      <c r="A2352" s="817"/>
      <c r="C2352" s="559"/>
      <c r="D2352" s="706"/>
      <c r="E2352" s="485"/>
      <c r="F2352" s="485"/>
      <c r="G2352" s="485"/>
      <c r="H2352" s="485"/>
      <c r="I2352" s="743"/>
      <c r="J2352" s="485"/>
      <c r="K2352" s="485"/>
      <c r="L2352" s="485"/>
      <c r="M2352" s="485"/>
      <c r="N2352" s="744"/>
    </row>
    <row r="2353" spans="1:14">
      <c r="A2353" s="817"/>
      <c r="C2353" s="485"/>
      <c r="D2353" s="539"/>
      <c r="E2353" s="707" t="s">
        <v>1791</v>
      </c>
      <c r="F2353" s="637"/>
      <c r="G2353" s="637"/>
      <c r="H2353" s="663"/>
      <c r="I2353" s="708"/>
      <c r="J2353" s="696">
        <v>2021</v>
      </c>
      <c r="K2353" s="578">
        <v>2022</v>
      </c>
      <c r="L2353" s="578">
        <v>2023</v>
      </c>
      <c r="M2353" s="578">
        <v>2024</v>
      </c>
      <c r="N2353" s="718">
        <v>2025</v>
      </c>
    </row>
    <row r="2354" spans="1:14">
      <c r="A2354" s="817"/>
      <c r="C2354" s="485"/>
      <c r="D2354" s="539"/>
      <c r="E2354" s="720" t="s">
        <v>1691</v>
      </c>
      <c r="F2354" s="720"/>
      <c r="G2354" s="720"/>
      <c r="H2354" s="720"/>
      <c r="I2354" s="827"/>
      <c r="J2354" s="256" t="str">
        <f>IFERROR(IF([1]K_Summary!$J$2339 = "", "", [1]K_Summary!$J$2339 ),"")</f>
        <v/>
      </c>
      <c r="K2354" s="257" t="str">
        <f>IFERROR(IF([1]K_Summary!$K$2339 = "", "", [1]K_Summary!$K$2339 ),"")</f>
        <v/>
      </c>
      <c r="L2354" s="257" t="str">
        <f>IFERROR(IF([1]K_Summary!$L$2339 = "", "", [1]K_Summary!$L$2339 ),"")</f>
        <v/>
      </c>
      <c r="M2354" s="257" t="str">
        <f>IFERROR(IF([1]K_Summary!$M$2339 = "", "", [1]K_Summary!$M$2339 ),"")</f>
        <v/>
      </c>
      <c r="N2354" s="258" t="str">
        <f>IFERROR(IF([1]K_Summary!$N$2339 = "", "", [1]K_Summary!$N$2339 ),"")</f>
        <v/>
      </c>
    </row>
    <row r="2355" spans="1:14">
      <c r="A2355" s="817"/>
      <c r="C2355" s="485"/>
      <c r="D2355" s="539"/>
      <c r="E2355" s="727" t="s">
        <v>1648</v>
      </c>
      <c r="F2355" s="727"/>
      <c r="G2355" s="727"/>
      <c r="H2355" s="727"/>
      <c r="I2355" s="828"/>
      <c r="J2355" s="259" t="str">
        <f>IFERROR(IF([1]K_Summary!$J$2340 = "", "", [1]K_Summary!$J$2340 ),"")</f>
        <v/>
      </c>
      <c r="K2355" s="260" t="str">
        <f>IFERROR(IF([1]K_Summary!$K$2340 = "", "", [1]K_Summary!$K$2340 ),"")</f>
        <v/>
      </c>
      <c r="L2355" s="260" t="str">
        <f>IFERROR(IF([1]K_Summary!$L$2340 = "", "", [1]K_Summary!$L$2340 ),"")</f>
        <v/>
      </c>
      <c r="M2355" s="260" t="str">
        <f>IFERROR(IF([1]K_Summary!$M$2340 = "", "", [1]K_Summary!$M$2340 ),"")</f>
        <v/>
      </c>
      <c r="N2355" s="261" t="str">
        <f>IFERROR(IF([1]K_Summary!$N$2340 = "", "", [1]K_Summary!$N$2340 ),"")</f>
        <v/>
      </c>
    </row>
    <row r="2356" spans="1:14">
      <c r="A2356" s="817"/>
      <c r="C2356" s="485"/>
      <c r="D2356" s="539"/>
      <c r="E2356" s="829" t="s">
        <v>1790</v>
      </c>
      <c r="F2356" s="829"/>
      <c r="G2356" s="829"/>
      <c r="H2356" s="830" t="s">
        <v>1021</v>
      </c>
      <c r="I2356" s="831"/>
      <c r="J2356" s="151" t="str">
        <f>IFERROR(IF([1]K_Summary!$J$2341 = "", "", [1]K_Summary!$J$2341 ),"")</f>
        <v/>
      </c>
      <c r="K2356" s="152" t="str">
        <f>IFERROR(IF([1]K_Summary!$K$2341 = "", "", [1]K_Summary!$K$2341 ),"")</f>
        <v/>
      </c>
      <c r="L2356" s="152" t="str">
        <f>IFERROR(IF([1]K_Summary!$L$2341 = "", "", [1]K_Summary!$L$2341 ),"")</f>
        <v/>
      </c>
      <c r="M2356" s="152" t="str">
        <f>IFERROR(IF([1]K_Summary!$M$2341 = "", "", [1]K_Summary!$M$2341 ),"")</f>
        <v/>
      </c>
      <c r="N2356" s="153" t="str">
        <f>IFERROR(IF([1]K_Summary!$N$2341 = "", "", [1]K_Summary!$N$2341 ),"")</f>
        <v/>
      </c>
    </row>
    <row r="2357" spans="1:14">
      <c r="A2357" s="817"/>
      <c r="C2357" s="485"/>
      <c r="D2357" s="539"/>
      <c r="E2357" s="714" t="s">
        <v>1795</v>
      </c>
      <c r="F2357" s="714"/>
      <c r="G2357" s="714"/>
      <c r="H2357" s="832" t="s">
        <v>1021</v>
      </c>
      <c r="I2357" s="716"/>
      <c r="J2357" s="154" t="str">
        <f>IFERROR(IF([1]K_Summary!$J$2342 = "", "", [1]K_Summary!$J$2342 ),"")</f>
        <v/>
      </c>
      <c r="K2357" s="155" t="str">
        <f>IFERROR(IF([1]K_Summary!$K$2342 = "", "", [1]K_Summary!$K$2342 ),"")</f>
        <v/>
      </c>
      <c r="L2357" s="155" t="str">
        <f>IFERROR(IF([1]K_Summary!$L$2342 = "", "", [1]K_Summary!$L$2342 ),"")</f>
        <v/>
      </c>
      <c r="M2357" s="155" t="str">
        <f>IFERROR(IF([1]K_Summary!$M$2342 = "", "", [1]K_Summary!$M$2342 ),"")</f>
        <v/>
      </c>
      <c r="N2357" s="156" t="str">
        <f>IFERROR(IF([1]K_Summary!$N$2342 = "", "", [1]K_Summary!$N$2342 ),"")</f>
        <v/>
      </c>
    </row>
    <row r="2358" spans="1:14">
      <c r="A2358" s="817"/>
      <c r="C2358" s="485"/>
      <c r="D2358" s="539"/>
      <c r="E2358" s="698" t="s">
        <v>1794</v>
      </c>
      <c r="F2358" s="698"/>
      <c r="G2358" s="698"/>
      <c r="H2358" s="833" t="s">
        <v>1021</v>
      </c>
      <c r="I2358" s="834"/>
      <c r="J2358" s="262" t="str">
        <f>IFERROR(IF([1]K_Summary!$J$2343 = "", "", [1]K_Summary!$J$2343 ),"")</f>
        <v/>
      </c>
      <c r="K2358" s="263" t="str">
        <f>IFERROR(IF([1]K_Summary!$K$2343 = "", "", [1]K_Summary!$K$2343 ),"")</f>
        <v/>
      </c>
      <c r="L2358" s="263" t="str">
        <f>IFERROR(IF([1]K_Summary!$L$2343 = "", "", [1]K_Summary!$L$2343 ),"")</f>
        <v/>
      </c>
      <c r="M2358" s="263" t="str">
        <f>IFERROR(IF([1]K_Summary!$M$2343 = "", "", [1]K_Summary!$M$2343 ),"")</f>
        <v/>
      </c>
      <c r="N2358" s="264" t="str">
        <f>IFERROR(IF([1]K_Summary!$N$2343 = "", "", [1]K_Summary!$N$2343 ),"")</f>
        <v/>
      </c>
    </row>
    <row r="2359" spans="1:14" ht="13.5" thickBot="1">
      <c r="A2359" s="817"/>
      <c r="C2359" s="485"/>
      <c r="D2359" s="771"/>
      <c r="E2359" s="756"/>
      <c r="F2359" s="756"/>
      <c r="G2359" s="756"/>
      <c r="H2359" s="756"/>
      <c r="I2359" s="835"/>
      <c r="J2359" s="756"/>
      <c r="K2359" s="756"/>
      <c r="L2359" s="756"/>
      <c r="M2359" s="756"/>
      <c r="N2359" s="758"/>
    </row>
    <row r="2360" spans="1:14" ht="13.5" thickBot="1">
      <c r="A2360" s="817"/>
      <c r="C2360" s="485"/>
      <c r="D2360" s="485"/>
      <c r="E2360" s="485"/>
      <c r="F2360" s="485"/>
      <c r="G2360" s="485"/>
      <c r="H2360" s="485"/>
      <c r="I2360" s="836"/>
      <c r="J2360" s="485"/>
      <c r="K2360" s="485"/>
      <c r="L2360" s="485"/>
      <c r="M2360" s="485"/>
      <c r="N2360" s="485"/>
    </row>
    <row r="2361" spans="1:14">
      <c r="A2361" s="817"/>
      <c r="C2361" s="485"/>
      <c r="D2361" s="759"/>
      <c r="E2361" s="760"/>
      <c r="F2361" s="760"/>
      <c r="G2361" s="760"/>
      <c r="H2361" s="760"/>
      <c r="I2361" s="761"/>
      <c r="J2361" s="760"/>
      <c r="K2361" s="760"/>
      <c r="L2361" s="760"/>
      <c r="M2361" s="760"/>
      <c r="N2361" s="762"/>
    </row>
    <row r="2362" spans="1:14">
      <c r="A2362" s="817"/>
      <c r="C2362" s="485"/>
      <c r="D2362" s="539"/>
      <c r="E2362" s="496" t="s">
        <v>1786</v>
      </c>
      <c r="F2362" s="485"/>
      <c r="G2362" s="485"/>
      <c r="H2362" s="663" t="s">
        <v>884</v>
      </c>
      <c r="I2362" s="837" t="s">
        <v>1675</v>
      </c>
      <c r="J2362" s="709">
        <v>2021</v>
      </c>
      <c r="K2362" s="671">
        <v>2022</v>
      </c>
      <c r="L2362" s="671">
        <v>2023</v>
      </c>
      <c r="M2362" s="671">
        <v>2024</v>
      </c>
      <c r="N2362" s="710">
        <v>2025</v>
      </c>
    </row>
    <row r="2363" spans="1:14">
      <c r="A2363" s="817"/>
      <c r="C2363" s="485"/>
      <c r="D2363" s="539"/>
      <c r="E2363" s="698" t="s">
        <v>1692</v>
      </c>
      <c r="F2363" s="698"/>
      <c r="G2363" s="698"/>
      <c r="H2363" s="63" t="str">
        <f>IFERROR(IF([1]K_Summary!$H$2348 = "", "", [1]K_Summary!$H$2348 ),"")</f>
        <v>TJ</v>
      </c>
      <c r="I2363" s="247" t="str">
        <f>IFERROR(IF([1]K_Summary!$I$2348 = "", "", [1]K_Summary!$I$2348 ),"")</f>
        <v/>
      </c>
      <c r="J2363" s="240" t="str">
        <f>IFERROR(IF([1]K_Summary!$J$2348 = "", "", [1]K_Summary!$J$2348 ),"")</f>
        <v/>
      </c>
      <c r="K2363" s="242" t="str">
        <f>IFERROR(IF([1]K_Summary!$K$2348 = "", "", [1]K_Summary!$K$2348 ),"")</f>
        <v/>
      </c>
      <c r="L2363" s="242" t="str">
        <f>IFERROR(IF([1]K_Summary!$L$2348 = "", "", [1]K_Summary!$L$2348 ),"")</f>
        <v/>
      </c>
      <c r="M2363" s="242" t="str">
        <f>IFERROR(IF([1]K_Summary!$M$2348 = "", "", [1]K_Summary!$M$2348 ),"")</f>
        <v/>
      </c>
      <c r="N2363" s="265" t="str">
        <f>IFERROR(IF([1]K_Summary!$N$2348 = "", "", [1]K_Summary!$N$2348 ),"")</f>
        <v/>
      </c>
    </row>
    <row r="2364" spans="1:14">
      <c r="A2364" s="817"/>
      <c r="C2364" s="485"/>
      <c r="D2364" s="539"/>
      <c r="E2364" s="698" t="s">
        <v>222</v>
      </c>
      <c r="F2364" s="698"/>
      <c r="G2364" s="698"/>
      <c r="H2364" s="730" t="s">
        <v>2090</v>
      </c>
      <c r="I2364" s="266" t="str">
        <f>IFERROR(IF([1]K_Summary!$I$2349 = "", "", [1]K_Summary!$I$2349 ),"")</f>
        <v/>
      </c>
      <c r="J2364" s="148" t="str">
        <f>IFERROR(IF([1]K_Summary!$J$2349 = "", "", [1]K_Summary!$J$2349 ),"")</f>
        <v/>
      </c>
      <c r="K2364" s="150" t="str">
        <f>IFERROR(IF([1]K_Summary!$K$2349 = "", "", [1]K_Summary!$K$2349 ),"")</f>
        <v/>
      </c>
      <c r="L2364" s="150" t="str">
        <f>IFERROR(IF([1]K_Summary!$L$2349 = "", "", [1]K_Summary!$L$2349 ),"")</f>
        <v/>
      </c>
      <c r="M2364" s="150" t="str">
        <f>IFERROR(IF([1]K_Summary!$M$2349 = "", "", [1]K_Summary!$M$2349 ),"")</f>
        <v/>
      </c>
      <c r="N2364" s="171" t="str">
        <f>IFERROR(IF([1]K_Summary!$N$2349 = "", "", [1]K_Summary!$N$2349 ),"")</f>
        <v/>
      </c>
    </row>
    <row r="2365" spans="1:14" ht="13.5" thickBot="1">
      <c r="A2365" s="817"/>
      <c r="C2365" s="485"/>
      <c r="D2365" s="771"/>
      <c r="E2365" s="756"/>
      <c r="F2365" s="756"/>
      <c r="G2365" s="756"/>
      <c r="H2365" s="756"/>
      <c r="I2365" s="756"/>
      <c r="J2365" s="756"/>
      <c r="K2365" s="756"/>
      <c r="L2365" s="756"/>
      <c r="M2365" s="756"/>
      <c r="N2365" s="758"/>
    </row>
    <row r="2366" spans="1:14" ht="13.5" thickBot="1">
      <c r="A2366" s="817"/>
      <c r="C2366" s="485"/>
      <c r="D2366" s="485"/>
      <c r="E2366" s="485"/>
      <c r="F2366" s="485"/>
      <c r="G2366" s="485"/>
      <c r="H2366" s="562"/>
      <c r="I2366" s="562"/>
      <c r="J2366" s="562"/>
      <c r="K2366" s="562"/>
      <c r="L2366" s="562"/>
      <c r="M2366" s="485"/>
      <c r="N2366" s="485"/>
    </row>
    <row r="2367" spans="1:14">
      <c r="A2367" s="817"/>
      <c r="C2367" s="485"/>
      <c r="D2367" s="840"/>
      <c r="E2367" s="773"/>
      <c r="F2367" s="774"/>
      <c r="G2367" s="774"/>
      <c r="H2367" s="774"/>
      <c r="I2367" s="774"/>
      <c r="J2367" s="774"/>
      <c r="K2367" s="774"/>
      <c r="L2367" s="774"/>
      <c r="M2367" s="774"/>
      <c r="N2367" s="775"/>
    </row>
    <row r="2368" spans="1:14" ht="13.5" thickBot="1">
      <c r="A2368" s="817"/>
      <c r="C2368" s="485"/>
      <c r="D2368" s="841"/>
      <c r="E2368" s="777"/>
      <c r="F2368" s="842"/>
      <c r="G2368" s="778" t="s">
        <v>884</v>
      </c>
      <c r="H2368" s="843">
        <v>2019</v>
      </c>
      <c r="I2368" s="843">
        <v>2020</v>
      </c>
      <c r="J2368" s="843">
        <v>2021</v>
      </c>
      <c r="K2368" s="844">
        <v>2022</v>
      </c>
      <c r="L2368" s="844">
        <v>2023</v>
      </c>
      <c r="M2368" s="844">
        <v>2024</v>
      </c>
      <c r="N2368" s="844">
        <v>2025</v>
      </c>
    </row>
    <row r="2369" spans="1:14" ht="13.5" thickBot="1">
      <c r="A2369" s="817"/>
      <c r="C2369" s="485"/>
      <c r="D2369" s="841"/>
      <c r="E2369" s="845" t="s">
        <v>1504</v>
      </c>
      <c r="F2369" s="845"/>
      <c r="G2369" s="808" t="s">
        <v>2016</v>
      </c>
      <c r="H2369" s="225" t="str">
        <f>IFERROR(IF([1]K_Summary!$H$2354 = "", "", [1]K_Summary!$H$2354 ),"")</f>
        <v/>
      </c>
      <c r="I2369" s="228" t="str">
        <f>IFERROR(IF([1]K_Summary!$I$2354 = "", "", [1]K_Summary!$I$2354 ),"")</f>
        <v/>
      </c>
      <c r="J2369" s="225" t="str">
        <f>IFERROR(IF([1]K_Summary!$J$2354 = "", "", [1]K_Summary!$J$2354 ),"")</f>
        <v/>
      </c>
      <c r="K2369" s="227" t="str">
        <f>IFERROR(IF([1]K_Summary!$K$2354 = "", "", [1]K_Summary!$K$2354 ),"")</f>
        <v/>
      </c>
      <c r="L2369" s="227" t="str">
        <f>IFERROR(IF([1]K_Summary!$L$2354 = "", "", [1]K_Summary!$L$2354 ),"")</f>
        <v/>
      </c>
      <c r="M2369" s="227" t="str">
        <f>IFERROR(IF([1]K_Summary!$M$2354 = "", "", [1]K_Summary!$M$2354 ),"")</f>
        <v/>
      </c>
      <c r="N2369" s="228" t="str">
        <f>IFERROR(IF([1]K_Summary!$N$2354 = "", "", [1]K_Summary!$N$2354 ),"")</f>
        <v/>
      </c>
    </row>
    <row r="2370" spans="1:14">
      <c r="A2370" s="817"/>
      <c r="C2370" s="485"/>
      <c r="D2370" s="841"/>
      <c r="E2370" s="777"/>
      <c r="F2370" s="777"/>
      <c r="G2370" s="777"/>
      <c r="H2370" s="777"/>
      <c r="I2370" s="777"/>
      <c r="J2370" s="777"/>
      <c r="K2370" s="777"/>
      <c r="L2370" s="777"/>
      <c r="M2370" s="777"/>
      <c r="N2370" s="777"/>
    </row>
    <row r="2371" spans="1:14">
      <c r="A2371" s="817"/>
      <c r="C2371" s="485"/>
      <c r="D2371" s="841"/>
      <c r="E2371" s="846" t="s">
        <v>1344</v>
      </c>
      <c r="F2371" s="846"/>
      <c r="G2371" s="811" t="s">
        <v>2017</v>
      </c>
      <c r="H2371" s="127" t="str">
        <f>IFERROR(IF([1]K_Summary!$H$2356 = "", "", [1]K_Summary!$H$2356 ),"")</f>
        <v/>
      </c>
      <c r="I2371" s="229" t="str">
        <f>IFERROR(IF([1]K_Summary!$I$2356 = "", "", [1]K_Summary!$I$2356 ),"")</f>
        <v/>
      </c>
      <c r="J2371" s="230" t="str">
        <f>IFERROR(IF([1]K_Summary!$J$2356 = "", "", [1]K_Summary!$J$2356 ),"")</f>
        <v/>
      </c>
      <c r="K2371" s="127" t="str">
        <f>IFERROR(IF([1]K_Summary!$K$2356 = "", "", [1]K_Summary!$K$2356 ),"")</f>
        <v/>
      </c>
      <c r="L2371" s="127" t="str">
        <f>IFERROR(IF([1]K_Summary!$L$2356 = "", "", [1]K_Summary!$L$2356 ),"")</f>
        <v/>
      </c>
      <c r="M2371" s="127" t="str">
        <f>IFERROR(IF([1]K_Summary!$M$2356 = "", "", [1]K_Summary!$M$2356 ),"")</f>
        <v/>
      </c>
      <c r="N2371" s="127" t="str">
        <f>IFERROR(IF([1]K_Summary!$N$2356 = "", "", [1]K_Summary!$N$2356 ),"")</f>
        <v/>
      </c>
    </row>
    <row r="2372" spans="1:14">
      <c r="A2372" s="817"/>
      <c r="C2372" s="485"/>
      <c r="D2372" s="841"/>
      <c r="E2372" s="816" t="s">
        <v>1182</v>
      </c>
      <c r="F2372" s="816"/>
      <c r="G2372" s="812" t="s">
        <v>2018</v>
      </c>
      <c r="H2372" s="128" t="str">
        <f>IFERROR(IF([1]K_Summary!$H$2357 = "", "", [1]K_Summary!$H$2357 ),"")</f>
        <v/>
      </c>
      <c r="I2372" s="232" t="str">
        <f>IFERROR(IF([1]K_Summary!$I$2357 = "", "", [1]K_Summary!$I$2357 ),"")</f>
        <v/>
      </c>
      <c r="J2372" s="233" t="str">
        <f>IFERROR(IF([1]K_Summary!$J$2357 = "", "", [1]K_Summary!$J$2357 ),"")</f>
        <v/>
      </c>
      <c r="K2372" s="128" t="str">
        <f>IFERROR(IF([1]K_Summary!$K$2357 = "", "", [1]K_Summary!$K$2357 ),"")</f>
        <v/>
      </c>
      <c r="L2372" s="128" t="str">
        <f>IFERROR(IF([1]K_Summary!$L$2357 = "", "", [1]K_Summary!$L$2357 ),"")</f>
        <v/>
      </c>
      <c r="M2372" s="128" t="str">
        <f>IFERROR(IF([1]K_Summary!$M$2357 = "", "", [1]K_Summary!$M$2357 ),"")</f>
        <v/>
      </c>
      <c r="N2372" s="128" t="str">
        <f>IFERROR(IF([1]K_Summary!$N$2357 = "", "", [1]K_Summary!$N$2357 ),"")</f>
        <v/>
      </c>
    </row>
    <row r="2373" spans="1:14">
      <c r="A2373" s="817"/>
      <c r="C2373" s="485"/>
      <c r="D2373" s="841"/>
      <c r="E2373" s="846" t="s">
        <v>1481</v>
      </c>
      <c r="F2373" s="846"/>
      <c r="G2373" s="811" t="s">
        <v>2017</v>
      </c>
      <c r="H2373" s="127" t="str">
        <f>IFERROR(IF([1]K_Summary!$H$2358 = "", "", [1]K_Summary!$H$2358 ),"")</f>
        <v/>
      </c>
      <c r="I2373" s="229" t="str">
        <f>IFERROR(IF([1]K_Summary!$I$2358 = "", "", [1]K_Summary!$I$2358 ),"")</f>
        <v/>
      </c>
      <c r="J2373" s="230" t="str">
        <f>IFERROR(IF([1]K_Summary!$J$2358 = "", "", [1]K_Summary!$J$2358 ),"")</f>
        <v/>
      </c>
      <c r="K2373" s="127" t="str">
        <f>IFERROR(IF([1]K_Summary!$K$2358 = "", "", [1]K_Summary!$K$2358 ),"")</f>
        <v/>
      </c>
      <c r="L2373" s="127" t="str">
        <f>IFERROR(IF([1]K_Summary!$L$2358 = "", "", [1]K_Summary!$L$2358 ),"")</f>
        <v/>
      </c>
      <c r="M2373" s="127" t="str">
        <f>IFERROR(IF([1]K_Summary!$M$2358 = "", "", [1]K_Summary!$M$2358 ),"")</f>
        <v/>
      </c>
      <c r="N2373" s="127" t="str">
        <f>IFERROR(IF([1]K_Summary!$N$2358 = "", "", [1]K_Summary!$N$2358 ),"")</f>
        <v/>
      </c>
    </row>
    <row r="2374" spans="1:14">
      <c r="A2374" s="817"/>
      <c r="C2374" s="485"/>
      <c r="D2374" s="841"/>
      <c r="E2374" s="816" t="s">
        <v>1182</v>
      </c>
      <c r="F2374" s="816"/>
      <c r="G2374" s="812" t="s">
        <v>2018</v>
      </c>
      <c r="H2374" s="128" t="str">
        <f>IFERROR(IF([1]K_Summary!$H$2359 = "", "", [1]K_Summary!$H$2359 ),"")</f>
        <v/>
      </c>
      <c r="I2374" s="232" t="str">
        <f>IFERROR(IF([1]K_Summary!$I$2359 = "", "", [1]K_Summary!$I$2359 ),"")</f>
        <v/>
      </c>
      <c r="J2374" s="233" t="str">
        <f>IFERROR(IF([1]K_Summary!$J$2359 = "", "", [1]K_Summary!$J$2359 ),"")</f>
        <v/>
      </c>
      <c r="K2374" s="128" t="str">
        <f>IFERROR(IF([1]K_Summary!$K$2359 = "", "", [1]K_Summary!$K$2359 ),"")</f>
        <v/>
      </c>
      <c r="L2374" s="128" t="str">
        <f>IFERROR(IF([1]K_Summary!$L$2359 = "", "", [1]K_Summary!$L$2359 ),"")</f>
        <v/>
      </c>
      <c r="M2374" s="128" t="str">
        <f>IFERROR(IF([1]K_Summary!$M$2359 = "", "", [1]K_Summary!$M$2359 ),"")</f>
        <v/>
      </c>
      <c r="N2374" s="128" t="str">
        <f>IFERROR(IF([1]K_Summary!$N$2359 = "", "", [1]K_Summary!$N$2359 ),"")</f>
        <v/>
      </c>
    </row>
    <row r="2375" spans="1:14">
      <c r="A2375" s="817"/>
      <c r="C2375" s="485"/>
      <c r="D2375" s="841"/>
      <c r="E2375" s="777"/>
      <c r="F2375" s="813"/>
      <c r="G2375" s="813"/>
      <c r="H2375" s="813"/>
      <c r="I2375" s="813"/>
      <c r="J2375" s="813"/>
      <c r="K2375" s="813"/>
      <c r="L2375" s="813"/>
      <c r="M2375" s="813"/>
      <c r="N2375" s="813"/>
    </row>
    <row r="2376" spans="1:14">
      <c r="A2376" s="817"/>
      <c r="C2376" s="485"/>
      <c r="D2376" s="841"/>
      <c r="E2376" s="847" t="s">
        <v>63</v>
      </c>
      <c r="F2376" s="847"/>
      <c r="G2376" s="815" t="s">
        <v>2015</v>
      </c>
      <c r="H2376" s="126" t="str">
        <f>IFERROR(IF([1]K_Summary!$H$2361 = "", "", [1]K_Summary!$H$2361 ),"")</f>
        <v/>
      </c>
      <c r="I2376" s="235" t="str">
        <f>IFERROR(IF([1]K_Summary!$I$2361 = "", "", [1]K_Summary!$I$2361 ),"")</f>
        <v/>
      </c>
      <c r="J2376" s="236" t="str">
        <f>IFERROR(IF([1]K_Summary!$J$2361 = "", "", [1]K_Summary!$J$2361 ),"")</f>
        <v/>
      </c>
      <c r="K2376" s="126" t="str">
        <f>IFERROR(IF([1]K_Summary!$K$2361 = "", "", [1]K_Summary!$K$2361 ),"")</f>
        <v/>
      </c>
      <c r="L2376" s="126" t="str">
        <f>IFERROR(IF([1]K_Summary!$L$2361 = "", "", [1]K_Summary!$L$2361 ),"")</f>
        <v/>
      </c>
      <c r="M2376" s="126" t="str">
        <f>IFERROR(IF([1]K_Summary!$M$2361 = "", "", [1]K_Summary!$M$2361 ),"")</f>
        <v/>
      </c>
      <c r="N2376" s="126" t="str">
        <f>IFERROR(IF([1]K_Summary!$N$2361 = "", "", [1]K_Summary!$N$2361 ),"")</f>
        <v/>
      </c>
    </row>
    <row r="2377" spans="1:14">
      <c r="A2377" s="817"/>
      <c r="C2377" s="485"/>
      <c r="D2377" s="841"/>
      <c r="E2377" s="777"/>
      <c r="F2377" s="777"/>
      <c r="G2377" s="777"/>
      <c r="H2377" s="813"/>
      <c r="I2377" s="813"/>
      <c r="J2377" s="813"/>
      <c r="K2377" s="813"/>
      <c r="L2377" s="813"/>
      <c r="M2377" s="813"/>
      <c r="N2377" s="813"/>
    </row>
    <row r="2378" spans="1:14">
      <c r="A2378" s="817"/>
      <c r="C2378" s="485"/>
      <c r="D2378" s="841"/>
      <c r="E2378" s="847" t="s">
        <v>1079</v>
      </c>
      <c r="F2378" s="847"/>
      <c r="G2378" s="815" t="s">
        <v>2017</v>
      </c>
      <c r="H2378" s="126" t="str">
        <f>IFERROR(IF([1]K_Summary!$H$2363 = "", "", [1]K_Summary!$H$2363 ),"")</f>
        <v/>
      </c>
      <c r="I2378" s="235" t="str">
        <f>IFERROR(IF([1]K_Summary!$I$2363 = "", "", [1]K_Summary!$I$2363 ),"")</f>
        <v/>
      </c>
      <c r="J2378" s="236" t="str">
        <f>IFERROR(IF([1]K_Summary!$J$2363 = "", "", [1]K_Summary!$J$2363 ),"")</f>
        <v/>
      </c>
      <c r="K2378" s="126" t="str">
        <f>IFERROR(IF([1]K_Summary!$K$2363 = "", "", [1]K_Summary!$K$2363 ),"")</f>
        <v/>
      </c>
      <c r="L2378" s="126" t="str">
        <f>IFERROR(IF([1]K_Summary!$L$2363 = "", "", [1]K_Summary!$L$2363 ),"")</f>
        <v/>
      </c>
      <c r="M2378" s="126" t="str">
        <f>IFERROR(IF([1]K_Summary!$M$2363 = "", "", [1]K_Summary!$M$2363 ),"")</f>
        <v/>
      </c>
      <c r="N2378" s="126" t="str">
        <f>IFERROR(IF([1]K_Summary!$N$2363 = "", "", [1]K_Summary!$N$2363 ),"")</f>
        <v/>
      </c>
    </row>
    <row r="2379" spans="1:14">
      <c r="A2379" s="817"/>
      <c r="C2379" s="485"/>
      <c r="D2379" s="841"/>
      <c r="E2379" s="847" t="s">
        <v>1541</v>
      </c>
      <c r="F2379" s="847"/>
      <c r="G2379" s="815" t="s">
        <v>2017</v>
      </c>
      <c r="H2379" s="126" t="str">
        <f>IFERROR(IF([1]K_Summary!$H$2364 = "", "", [1]K_Summary!$H$2364 ),"")</f>
        <v/>
      </c>
      <c r="I2379" s="235" t="str">
        <f>IFERROR(IF([1]K_Summary!$I$2364 = "", "", [1]K_Summary!$I$2364 ),"")</f>
        <v/>
      </c>
      <c r="J2379" s="236" t="str">
        <f>IFERROR(IF([1]K_Summary!$J$2364 = "", "", [1]K_Summary!$J$2364 ),"")</f>
        <v/>
      </c>
      <c r="K2379" s="126" t="str">
        <f>IFERROR(IF([1]K_Summary!$K$2364 = "", "", [1]K_Summary!$K$2364 ),"")</f>
        <v/>
      </c>
      <c r="L2379" s="126" t="str">
        <f>IFERROR(IF([1]K_Summary!$L$2364 = "", "", [1]K_Summary!$L$2364 ),"")</f>
        <v/>
      </c>
      <c r="M2379" s="126" t="str">
        <f>IFERROR(IF([1]K_Summary!$M$2364 = "", "", [1]K_Summary!$M$2364 ),"")</f>
        <v/>
      </c>
      <c r="N2379" s="126" t="str">
        <f>IFERROR(IF([1]K_Summary!$N$2364 = "", "", [1]K_Summary!$N$2364 ),"")</f>
        <v/>
      </c>
    </row>
    <row r="2380" spans="1:14" ht="13.5" thickBot="1">
      <c r="A2380" s="817"/>
      <c r="C2380" s="485"/>
      <c r="D2380" s="848"/>
      <c r="E2380" s="805"/>
      <c r="F2380" s="805"/>
      <c r="G2380" s="805"/>
      <c r="H2380" s="805"/>
      <c r="I2380" s="805"/>
      <c r="J2380" s="805"/>
      <c r="K2380" s="805"/>
      <c r="L2380" s="805"/>
      <c r="M2380" s="805"/>
      <c r="N2380" s="806"/>
    </row>
    <row r="2381" spans="1:14" ht="13.5" thickBot="1">
      <c r="A2381" s="817"/>
      <c r="C2381" s="485"/>
      <c r="D2381" s="485"/>
      <c r="E2381" s="485"/>
      <c r="F2381" s="485"/>
      <c r="G2381" s="485"/>
      <c r="H2381" s="562"/>
      <c r="I2381" s="562"/>
      <c r="J2381" s="562"/>
      <c r="K2381" s="562"/>
      <c r="L2381" s="562"/>
      <c r="M2381" s="485"/>
      <c r="N2381" s="485"/>
    </row>
    <row r="2382" spans="1:14" ht="13.5" thickBot="1">
      <c r="A2382" s="817"/>
      <c r="C2382" s="686"/>
      <c r="D2382" s="686"/>
      <c r="E2382" s="686"/>
      <c r="F2382" s="686"/>
      <c r="G2382" s="686"/>
      <c r="H2382" s="686"/>
      <c r="I2382" s="686"/>
      <c r="J2382" s="686"/>
      <c r="K2382" s="686"/>
      <c r="L2382" s="686"/>
      <c r="M2382" s="686"/>
      <c r="N2382" s="686"/>
    </row>
    <row r="2383" spans="1:14" ht="14.45" customHeight="1" thickBot="1">
      <c r="A2383" s="817"/>
      <c r="C2383" s="559">
        <v>15</v>
      </c>
      <c r="D2383" s="2482" t="s">
        <v>2036</v>
      </c>
      <c r="E2383" s="2482"/>
      <c r="F2383" s="2482"/>
      <c r="G2383" s="2482"/>
      <c r="H2383" s="2483"/>
      <c r="I2383" s="2484" t="str">
        <f>IFERROR(IF([1]K_Summary!$I$2368 = "", "", [1]K_Summary!$I$2368 ),"")</f>
        <v>Fuel benchmark sub-installation, non-CL</v>
      </c>
      <c r="J2383" s="2485"/>
      <c r="K2383" s="2485"/>
      <c r="L2383" s="2486"/>
      <c r="M2383" s="2476" t="str">
        <f>IFERROR(IF([1]K_Summary!$M$2368 = "", "", [1]K_Summary!$M$2368 ),"")</f>
        <v/>
      </c>
      <c r="N2383" s="2477"/>
    </row>
    <row r="2384" spans="1:14" ht="15">
      <c r="A2384" s="817"/>
      <c r="C2384" s="559"/>
      <c r="D2384" s="559"/>
      <c r="E2384" s="559"/>
      <c r="F2384" s="559"/>
      <c r="G2384" s="559"/>
      <c r="H2384" s="559"/>
      <c r="I2384" s="559"/>
      <c r="J2384" s="559"/>
      <c r="K2384" s="559"/>
      <c r="L2384" s="559"/>
      <c r="M2384" s="559"/>
      <c r="N2384" s="559"/>
    </row>
    <row r="2385" spans="1:14" ht="15">
      <c r="A2385" s="817"/>
      <c r="C2385" s="559"/>
      <c r="D2385" s="559"/>
      <c r="E2385" s="559"/>
      <c r="F2385" s="559"/>
      <c r="G2385" s="562"/>
      <c r="H2385" s="688" t="s">
        <v>458</v>
      </c>
      <c r="I2385" s="485"/>
      <c r="J2385" s="688" t="s">
        <v>1434</v>
      </c>
      <c r="K2385" s="688" t="s">
        <v>1684</v>
      </c>
      <c r="L2385" s="689" t="s">
        <v>156</v>
      </c>
      <c r="M2385" s="2469" t="s">
        <v>302</v>
      </c>
      <c r="N2385" s="2469"/>
    </row>
    <row r="2386" spans="1:14" ht="15">
      <c r="A2386" s="817"/>
      <c r="C2386" s="559"/>
      <c r="D2386" s="559"/>
      <c r="E2386" s="66" t="str">
        <f>IFERROR(IF([1]K_Summary!$E$2371 = "", "", [1]K_Summary!$E$2371 ),"")</f>
        <v>Fuel benchmark sub-installation, non-CL</v>
      </c>
      <c r="F2386" s="51"/>
      <c r="G2386" s="51"/>
      <c r="H2386" s="143" t="b">
        <f>IFERROR(IF([1]K_Summary!$H$2371 = "", "", [1]K_Summary!$H$2371 ),"")</f>
        <v>0</v>
      </c>
      <c r="I2386" s="485"/>
      <c r="J2386" s="53" t="str">
        <f>IFERROR(IF([1]K_Summary!$J$2371 = "", "", [1]K_Summary!$J$2371 ),"")</f>
        <v>N.A.</v>
      </c>
      <c r="K2386" s="53" t="str">
        <f>IFERROR(IF([1]K_Summary!$K$2371 = "", "", [1]K_Summary!$K$2371 ),"")</f>
        <v>N.A.</v>
      </c>
      <c r="L2386" s="144">
        <f>IFERROR(IF([1]K_Summary!$L$2371 = "", "", [1]K_Summary!$L$2371 ),"")</f>
        <v>5</v>
      </c>
      <c r="M2386" s="238" t="str">
        <f>IFERROR(IF([1]K_Summary!$M$2371 = "", "", [1]K_Summary!$M$2371 ),"")</f>
        <v>N.A.</v>
      </c>
      <c r="N2386" s="50" t="str">
        <f>IFERROR(IF([1]K_Summary!$N$2371 = "", "", [1]K_Summary!$N$2371 ),"")</f>
        <v>EUA/TJ</v>
      </c>
    </row>
    <row r="2387" spans="1:14" ht="15">
      <c r="A2387" s="817"/>
      <c r="C2387" s="485"/>
      <c r="D2387" s="485"/>
      <c r="E2387" s="559"/>
      <c r="F2387" s="562"/>
      <c r="G2387" s="562"/>
      <c r="H2387" s="562"/>
      <c r="I2387" s="562"/>
      <c r="J2387" s="485"/>
      <c r="K2387" s="485"/>
      <c r="L2387" s="485"/>
      <c r="M2387" s="485"/>
      <c r="N2387" s="485"/>
    </row>
    <row r="2388" spans="1:14">
      <c r="A2388" s="817"/>
      <c r="C2388" s="485"/>
      <c r="D2388" s="485"/>
      <c r="E2388" s="496"/>
      <c r="F2388" s="482" t="s">
        <v>884</v>
      </c>
      <c r="G2388" s="819" t="s">
        <v>1646</v>
      </c>
      <c r="H2388" s="696">
        <v>2019</v>
      </c>
      <c r="I2388" s="697">
        <v>2020</v>
      </c>
      <c r="J2388" s="696">
        <v>2021</v>
      </c>
      <c r="K2388" s="578">
        <v>2022</v>
      </c>
      <c r="L2388" s="578">
        <v>2023</v>
      </c>
      <c r="M2388" s="578">
        <v>2024</v>
      </c>
      <c r="N2388" s="578">
        <v>2025</v>
      </c>
    </row>
    <row r="2389" spans="1:14">
      <c r="A2389" s="817"/>
      <c r="C2389" s="485"/>
      <c r="D2389" s="485"/>
      <c r="E2389" s="698" t="s">
        <v>1665</v>
      </c>
      <c r="F2389" s="146" t="str">
        <f>IFERROR(IF([1]K_Summary!$F$2374 = "", "", [1]K_Summary!$F$2374 ),"")</f>
        <v>TJ</v>
      </c>
      <c r="G2389" s="239" t="str">
        <f>IFERROR(IF([1]K_Summary!$G$2374 = "", "", [1]K_Summary!$G$2374 ),"")</f>
        <v/>
      </c>
      <c r="H2389" s="240" t="str">
        <f>IFERROR(IF([1]K_Summary!$H$2374 = "", "", [1]K_Summary!$H$2374 ),"")</f>
        <v/>
      </c>
      <c r="I2389" s="241" t="str">
        <f>IFERROR(IF([1]K_Summary!$I$2374 = "", "", [1]K_Summary!$I$2374 ),"")</f>
        <v/>
      </c>
      <c r="J2389" s="240" t="str">
        <f>IFERROR(IF([1]K_Summary!$J$2374 = "", "", [1]K_Summary!$J$2374 ),"")</f>
        <v/>
      </c>
      <c r="K2389" s="242" t="str">
        <f>IFERROR(IF([1]K_Summary!$K$2374 = "", "", [1]K_Summary!$K$2374 ),"")</f>
        <v/>
      </c>
      <c r="L2389" s="242" t="str">
        <f>IFERROR(IF([1]K_Summary!$L$2374 = "", "", [1]K_Summary!$L$2374 ),"")</f>
        <v/>
      </c>
      <c r="M2389" s="242" t="str">
        <f>IFERROR(IF([1]K_Summary!$M$2374 = "", "", [1]K_Summary!$M$2374 ),"")</f>
        <v/>
      </c>
      <c r="N2389" s="242" t="str">
        <f>IFERROR(IF([1]K_Summary!$N$2374 = "", "", [1]K_Summary!$N$2374 ),"")</f>
        <v/>
      </c>
    </row>
    <row r="2390" spans="1:14">
      <c r="A2390" s="817"/>
      <c r="C2390" s="485"/>
      <c r="D2390" s="485"/>
      <c r="E2390" s="698" t="s">
        <v>1782</v>
      </c>
      <c r="F2390" s="146" t="str">
        <f>IFERROR(IF([1]K_Summary!$F$2375 = "", "", [1]K_Summary!$F$2375 ),"")</f>
        <v/>
      </c>
      <c r="G2390" s="243" t="str">
        <f>IFERROR(IF([1]K_Summary!$G$2375 = "", "", [1]K_Summary!$G$2375 ),"")</f>
        <v/>
      </c>
      <c r="H2390" s="244" t="str">
        <f>IFERROR(IF([1]K_Summary!$H$2375 = "", "", [1]K_Summary!$H$2375 ),"")</f>
        <v/>
      </c>
      <c r="I2390" s="245" t="str">
        <f>IFERROR(IF([1]K_Summary!$I$2375 = "", "", [1]K_Summary!$I$2375 ),"")</f>
        <v/>
      </c>
      <c r="J2390" s="244" t="str">
        <f>IFERROR(IF([1]K_Summary!$J$2375 = "", "", [1]K_Summary!$J$2375 ),"")</f>
        <v/>
      </c>
      <c r="K2390" s="246" t="str">
        <f>IFERROR(IF([1]K_Summary!$K$2375 = "", "", [1]K_Summary!$K$2375 ),"")</f>
        <v/>
      </c>
      <c r="L2390" s="246" t="str">
        <f>IFERROR(IF([1]K_Summary!$L$2375 = "", "", [1]K_Summary!$L$2375 ),"")</f>
        <v/>
      </c>
      <c r="M2390" s="246" t="str">
        <f>IFERROR(IF([1]K_Summary!$M$2375 = "", "", [1]K_Summary!$M$2375 ),"")</f>
        <v/>
      </c>
      <c r="N2390" s="246" t="str">
        <f>IFERROR(IF([1]K_Summary!$N$2375 = "", "", [1]K_Summary!$N$2375 ),"")</f>
        <v/>
      </c>
    </row>
    <row r="2391" spans="1:14" ht="13.5" thickBot="1">
      <c r="A2391" s="817"/>
      <c r="C2391" s="485"/>
      <c r="D2391" s="485"/>
      <c r="E2391" s="562"/>
      <c r="F2391" s="485"/>
      <c r="G2391" s="485"/>
      <c r="H2391" s="485"/>
      <c r="I2391" s="743"/>
      <c r="J2391" s="485"/>
      <c r="K2391" s="485"/>
      <c r="L2391" s="485"/>
      <c r="M2391" s="485"/>
      <c r="N2391" s="485"/>
    </row>
    <row r="2392" spans="1:14" ht="15">
      <c r="A2392" s="817"/>
      <c r="C2392" s="559"/>
      <c r="D2392" s="703"/>
      <c r="E2392" s="704"/>
      <c r="F2392" s="704"/>
      <c r="G2392" s="704"/>
      <c r="H2392" s="704"/>
      <c r="I2392" s="704"/>
      <c r="J2392" s="704"/>
      <c r="K2392" s="704"/>
      <c r="L2392" s="704"/>
      <c r="M2392" s="704"/>
      <c r="N2392" s="705"/>
    </row>
    <row r="2393" spans="1:14" ht="15">
      <c r="A2393" s="817"/>
      <c r="C2393" s="559"/>
      <c r="D2393" s="706"/>
      <c r="E2393" s="707" t="s">
        <v>1787</v>
      </c>
      <c r="F2393" s="637"/>
      <c r="G2393" s="637"/>
      <c r="H2393" s="663" t="s">
        <v>884</v>
      </c>
      <c r="I2393" s="708"/>
      <c r="J2393" s="709">
        <v>2021</v>
      </c>
      <c r="K2393" s="671">
        <v>2022</v>
      </c>
      <c r="L2393" s="671">
        <v>2023</v>
      </c>
      <c r="M2393" s="671">
        <v>2024</v>
      </c>
      <c r="N2393" s="710">
        <v>2025</v>
      </c>
    </row>
    <row r="2394" spans="1:14" ht="15">
      <c r="A2394" s="817"/>
      <c r="C2394" s="559"/>
      <c r="D2394" s="706"/>
      <c r="E2394" s="711" t="s">
        <v>1783</v>
      </c>
      <c r="F2394" s="712"/>
      <c r="G2394" s="712"/>
      <c r="H2394" s="713" t="s">
        <v>1021</v>
      </c>
      <c r="I2394" s="712"/>
      <c r="J2394" s="151" t="str">
        <f>IFERROR(IF([1]K_Summary!$J$2379 = "", "", [1]K_Summary!$J$2379 ),"")</f>
        <v/>
      </c>
      <c r="K2394" s="152" t="str">
        <f>IFERROR(IF([1]K_Summary!$K$2379 = "", "", [1]K_Summary!$K$2379 ),"")</f>
        <v/>
      </c>
      <c r="L2394" s="152" t="str">
        <f>IFERROR(IF([1]K_Summary!$L$2379 = "", "", [1]K_Summary!$L$2379 ),"")</f>
        <v/>
      </c>
      <c r="M2394" s="152" t="str">
        <f>IFERROR(IF([1]K_Summary!$M$2379 = "", "", [1]K_Summary!$M$2379 ),"")</f>
        <v/>
      </c>
      <c r="N2394" s="153" t="str">
        <f>IFERROR(IF([1]K_Summary!$N$2379 = "", "", [1]K_Summary!$N$2379 ),"")</f>
        <v/>
      </c>
    </row>
    <row r="2395" spans="1:14" ht="15">
      <c r="A2395" s="817"/>
      <c r="C2395" s="559"/>
      <c r="D2395" s="706"/>
      <c r="E2395" s="714" t="s">
        <v>1784</v>
      </c>
      <c r="F2395" s="715"/>
      <c r="G2395" s="715"/>
      <c r="H2395" s="716" t="s">
        <v>1021</v>
      </c>
      <c r="I2395" s="715"/>
      <c r="J2395" s="154" t="str">
        <f>IFERROR(IF([1]K_Summary!$J$2380 = "", "", [1]K_Summary!$J$2380 ),"")</f>
        <v/>
      </c>
      <c r="K2395" s="155" t="str">
        <f>IFERROR(IF([1]K_Summary!$K$2380 = "", "", [1]K_Summary!$K$2380 ),"")</f>
        <v/>
      </c>
      <c r="L2395" s="155" t="str">
        <f>IFERROR(IF([1]K_Summary!$L$2380 = "", "", [1]K_Summary!$L$2380 ),"")</f>
        <v/>
      </c>
      <c r="M2395" s="155" t="str">
        <f>IFERROR(IF([1]K_Summary!$M$2380 = "", "", [1]K_Summary!$M$2380 ),"")</f>
        <v/>
      </c>
      <c r="N2395" s="156" t="str">
        <f>IFERROR(IF([1]K_Summary!$N$2380 = "", "", [1]K_Summary!$N$2380 ),"")</f>
        <v/>
      </c>
    </row>
    <row r="2396" spans="1:14" ht="15">
      <c r="A2396" s="817"/>
      <c r="C2396" s="559"/>
      <c r="D2396" s="706"/>
      <c r="E2396" s="559"/>
      <c r="F2396" s="559"/>
      <c r="G2396" s="559"/>
      <c r="H2396" s="559"/>
      <c r="I2396" s="559"/>
      <c r="J2396" s="559"/>
      <c r="K2396" s="559"/>
      <c r="L2396" s="559"/>
      <c r="M2396" s="559"/>
      <c r="N2396" s="717"/>
    </row>
    <row r="2397" spans="1:14" ht="15">
      <c r="A2397" s="817"/>
      <c r="C2397" s="559"/>
      <c r="D2397" s="706"/>
      <c r="E2397" s="496" t="s">
        <v>1762</v>
      </c>
      <c r="F2397" s="485"/>
      <c r="G2397" s="485"/>
      <c r="H2397" s="663" t="s">
        <v>884</v>
      </c>
      <c r="I2397" s="708"/>
      <c r="J2397" s="696">
        <v>2021</v>
      </c>
      <c r="K2397" s="578">
        <v>2022</v>
      </c>
      <c r="L2397" s="578">
        <v>2023</v>
      </c>
      <c r="M2397" s="578">
        <v>2024</v>
      </c>
      <c r="N2397" s="718">
        <v>2025</v>
      </c>
    </row>
    <row r="2398" spans="1:14" ht="15" hidden="1">
      <c r="A2398" s="817" t="s">
        <v>2289</v>
      </c>
      <c r="C2398" s="559"/>
      <c r="D2398" s="706"/>
      <c r="E2398" s="698" t="s">
        <v>1714</v>
      </c>
      <c r="F2398" s="698"/>
      <c r="G2398" s="698"/>
      <c r="H2398" s="63" t="str">
        <f>IFERROR(IF([1]K_Summary!$H$2383 = "", "", [1]K_Summary!$H$2383 ),"")</f>
        <v>TJ</v>
      </c>
      <c r="I2398" s="698"/>
      <c r="J2398" s="247" t="str">
        <f>IFERROR(IF([1]K_Summary!$J$2383 = "", "", [1]K_Summary!$J$2383 ),"")</f>
        <v/>
      </c>
      <c r="K2398" s="248" t="str">
        <f>IFERROR(IF([1]K_Summary!$K$2383 = "", "", [1]K_Summary!$K$2383 ),"")</f>
        <v/>
      </c>
      <c r="L2398" s="248" t="str">
        <f>IFERROR(IF([1]K_Summary!$L$2383 = "", "", [1]K_Summary!$L$2383 ),"")</f>
        <v/>
      </c>
      <c r="M2398" s="248" t="str">
        <f>IFERROR(IF([1]K_Summary!$M$2383 = "", "", [1]K_Summary!$M$2383 ),"")</f>
        <v/>
      </c>
      <c r="N2398" s="249" t="str">
        <f>IFERROR(IF([1]K_Summary!$N$2383 = "", "", [1]K_Summary!$N$2383 ),"")</f>
        <v/>
      </c>
    </row>
    <row r="2399" spans="1:14" ht="15">
      <c r="A2399" s="817"/>
      <c r="C2399" s="559"/>
      <c r="D2399" s="706"/>
      <c r="E2399" s="698" t="s">
        <v>1671</v>
      </c>
      <c r="F2399" s="698"/>
      <c r="G2399" s="698"/>
      <c r="H2399" s="730" t="s">
        <v>2090</v>
      </c>
      <c r="I2399" s="731"/>
      <c r="J2399" s="148" t="str">
        <f>IFERROR(IF([1]K_Summary!$J$2384 = "", "", [1]K_Summary!$J$2384 ),"")</f>
        <v/>
      </c>
      <c r="K2399" s="150" t="str">
        <f>IFERROR(IF([1]K_Summary!$K$2384 = "", "", [1]K_Summary!$K$2384 ),"")</f>
        <v/>
      </c>
      <c r="L2399" s="150" t="str">
        <f>IFERROR(IF([1]K_Summary!$L$2384 = "", "", [1]K_Summary!$L$2384 ),"")</f>
        <v/>
      </c>
      <c r="M2399" s="150" t="str">
        <f>IFERROR(IF([1]K_Summary!$M$2384 = "", "", [1]K_Summary!$M$2384 ),"")</f>
        <v/>
      </c>
      <c r="N2399" s="171" t="str">
        <f>IFERROR(IF([1]K_Summary!$N$2384 = "", "", [1]K_Summary!$N$2384 ),"")</f>
        <v/>
      </c>
    </row>
    <row r="2400" spans="1:14" ht="15">
      <c r="A2400" s="817"/>
      <c r="C2400" s="559"/>
      <c r="D2400" s="706"/>
      <c r="E2400" s="559"/>
      <c r="F2400" s="559"/>
      <c r="G2400" s="559"/>
      <c r="H2400" s="559"/>
      <c r="I2400" s="559"/>
      <c r="J2400" s="559"/>
      <c r="K2400" s="559"/>
      <c r="L2400" s="559"/>
      <c r="M2400" s="559"/>
      <c r="N2400" s="717"/>
    </row>
    <row r="2401" spans="1:14" ht="15">
      <c r="A2401" s="817"/>
      <c r="C2401" s="559"/>
      <c r="D2401" s="706"/>
      <c r="E2401" s="707" t="s">
        <v>1752</v>
      </c>
      <c r="F2401" s="637"/>
      <c r="G2401" s="637"/>
      <c r="H2401" s="663" t="s">
        <v>884</v>
      </c>
      <c r="I2401" s="708"/>
      <c r="J2401" s="709">
        <v>2021</v>
      </c>
      <c r="K2401" s="671">
        <v>2022</v>
      </c>
      <c r="L2401" s="671">
        <v>2023</v>
      </c>
      <c r="M2401" s="671">
        <v>2024</v>
      </c>
      <c r="N2401" s="710">
        <v>2025</v>
      </c>
    </row>
    <row r="2402" spans="1:14" ht="15">
      <c r="A2402" s="817"/>
      <c r="C2402" s="559"/>
      <c r="D2402" s="706"/>
      <c r="E2402" s="720" t="s">
        <v>1691</v>
      </c>
      <c r="F2402" s="720"/>
      <c r="G2402" s="720"/>
      <c r="H2402" s="67" t="str">
        <f>IFERROR(IF([1]K_Summary!$H$2387 = "", "", [1]K_Summary!$H$2387 ),"")</f>
        <v>TJ</v>
      </c>
      <c r="I2402" s="733"/>
      <c r="J2402" s="250" t="str">
        <f>IFERROR(IF([1]K_Summary!$J$2387 = "", "", [1]K_Summary!$J$2387 ),"")</f>
        <v/>
      </c>
      <c r="K2402" s="251" t="str">
        <f>IFERROR(IF([1]K_Summary!$K$2387 = "", "", [1]K_Summary!$K$2387 ),"")</f>
        <v/>
      </c>
      <c r="L2402" s="251" t="str">
        <f>IFERROR(IF([1]K_Summary!$L$2387 = "", "", [1]K_Summary!$L$2387 ),"")</f>
        <v/>
      </c>
      <c r="M2402" s="251" t="str">
        <f>IFERROR(IF([1]K_Summary!$M$2387 = "", "", [1]K_Summary!$M$2387 ),"")</f>
        <v/>
      </c>
      <c r="N2402" s="252" t="str">
        <f>IFERROR(IF([1]K_Summary!$N$2387 = "", "", [1]K_Summary!$N$2387 ),"")</f>
        <v/>
      </c>
    </row>
    <row r="2403" spans="1:14" ht="15">
      <c r="A2403" s="817"/>
      <c r="C2403" s="559"/>
      <c r="D2403" s="706"/>
      <c r="E2403" s="723" t="s">
        <v>1648</v>
      </c>
      <c r="F2403" s="723"/>
      <c r="G2403" s="723"/>
      <c r="H2403" s="734" t="s">
        <v>1021</v>
      </c>
      <c r="I2403" s="735"/>
      <c r="J2403" s="174" t="str">
        <f>IFERROR(IF([1]K_Summary!$J$2388 = "", "", [1]K_Summary!$J$2388 ),"")</f>
        <v/>
      </c>
      <c r="K2403" s="175" t="str">
        <f>IFERROR(IF([1]K_Summary!$K$2388 = "", "", [1]K_Summary!$K$2388 ),"")</f>
        <v/>
      </c>
      <c r="L2403" s="175" t="str">
        <f>IFERROR(IF([1]K_Summary!$L$2388 = "", "", [1]K_Summary!$L$2388 ),"")</f>
        <v/>
      </c>
      <c r="M2403" s="436" t="str">
        <f>IFERROR(IF([1]K_Summary!$M$2388 = "", "", [1]K_Summary!$M$2388 ),"")</f>
        <v/>
      </c>
      <c r="N2403" s="176" t="str">
        <f>IFERROR(IF([1]K_Summary!$N$2388 = "", "", [1]K_Summary!$N$2388 ),"")</f>
        <v/>
      </c>
    </row>
    <row r="2404" spans="1:14" ht="15">
      <c r="A2404" s="817"/>
      <c r="C2404" s="559"/>
      <c r="D2404" s="706"/>
      <c r="E2404" s="736" t="s">
        <v>1785</v>
      </c>
      <c r="F2404" s="736"/>
      <c r="G2404" s="736"/>
      <c r="H2404" s="737" t="s">
        <v>1021</v>
      </c>
      <c r="I2404" s="738"/>
      <c r="J2404" s="177" t="str">
        <f>IFERROR(IF([1]K_Summary!$J$2389 = "", "", [1]K_Summary!$J$2389 ),"")</f>
        <v/>
      </c>
      <c r="K2404" s="178" t="str">
        <f>IFERROR(IF([1]K_Summary!$K$2389 = "", "", [1]K_Summary!$K$2389 ),"")</f>
        <v/>
      </c>
      <c r="L2404" s="178" t="str">
        <f>IFERROR(IF([1]K_Summary!$L$2389 = "", "", [1]K_Summary!$L$2389 ),"")</f>
        <v/>
      </c>
      <c r="M2404" s="178" t="str">
        <f>IFERROR(IF([1]K_Summary!$M$2389 = "", "", [1]K_Summary!$M$2389 ),"")</f>
        <v/>
      </c>
      <c r="N2404" s="179" t="str">
        <f>IFERROR(IF([1]K_Summary!$N$2389 = "", "", [1]K_Summary!$N$2389 ),"")</f>
        <v/>
      </c>
    </row>
    <row r="2405" spans="1:14" ht="15">
      <c r="A2405" s="817"/>
      <c r="C2405" s="559"/>
      <c r="D2405" s="706"/>
      <c r="E2405" s="727" t="s">
        <v>1689</v>
      </c>
      <c r="F2405" s="727"/>
      <c r="G2405" s="727"/>
      <c r="H2405" s="68" t="str">
        <f>IFERROR(IF([1]K_Summary!$H$2390 = "", "", [1]K_Summary!$H$2390 ),"")</f>
        <v>TJ</v>
      </c>
      <c r="I2405" s="727"/>
      <c r="J2405" s="253" t="str">
        <f>IFERROR(IF([1]K_Summary!$J$2390 = "", "", [1]K_Summary!$J$2390 ),"")</f>
        <v/>
      </c>
      <c r="K2405" s="254" t="str">
        <f>IFERROR(IF([1]K_Summary!$K$2390 = "", "", [1]K_Summary!$K$2390 ),"")</f>
        <v/>
      </c>
      <c r="L2405" s="254" t="str">
        <f>IFERROR(IF([1]K_Summary!$L$2390 = "", "", [1]K_Summary!$L$2390 ),"")</f>
        <v/>
      </c>
      <c r="M2405" s="254" t="str">
        <f>IFERROR(IF([1]K_Summary!$M$2390 = "", "", [1]K_Summary!$M$2390 ),"")</f>
        <v/>
      </c>
      <c r="N2405" s="255" t="str">
        <f>IFERROR(IF([1]K_Summary!$N$2390 = "", "", [1]K_Summary!$N$2390 ),"")</f>
        <v/>
      </c>
    </row>
    <row r="2406" spans="1:14" ht="15">
      <c r="A2406" s="817"/>
      <c r="C2406" s="559"/>
      <c r="D2406" s="706"/>
      <c r="E2406" s="698" t="s">
        <v>1671</v>
      </c>
      <c r="F2406" s="698"/>
      <c r="G2406" s="698"/>
      <c r="H2406" s="730" t="s">
        <v>2090</v>
      </c>
      <c r="I2406" s="731"/>
      <c r="J2406" s="148" t="str">
        <f>IFERROR(IF([1]K_Summary!$J$2391 = "", "", [1]K_Summary!$J$2391 ),"")</f>
        <v/>
      </c>
      <c r="K2406" s="150" t="str">
        <f>IFERROR(IF([1]K_Summary!$K$2391 = "", "", [1]K_Summary!$K$2391 ),"")</f>
        <v/>
      </c>
      <c r="L2406" s="150" t="str">
        <f>IFERROR(IF([1]K_Summary!$L$2391 = "", "", [1]K_Summary!$L$2391 ),"")</f>
        <v/>
      </c>
      <c r="M2406" s="150" t="str">
        <f>IFERROR(IF([1]K_Summary!$M$2391 = "", "", [1]K_Summary!$M$2391 ),"")</f>
        <v/>
      </c>
      <c r="N2406" s="171" t="str">
        <f>IFERROR(IF([1]K_Summary!$N$2391 = "", "", [1]K_Summary!$N$2391 ),"")</f>
        <v/>
      </c>
    </row>
    <row r="2407" spans="1:14" ht="15">
      <c r="A2407" s="817"/>
      <c r="C2407" s="559"/>
      <c r="D2407" s="706"/>
      <c r="E2407" s="698" t="s">
        <v>1670</v>
      </c>
      <c r="F2407" s="698"/>
      <c r="G2407" s="698"/>
      <c r="H2407" s="730" t="s">
        <v>2090</v>
      </c>
      <c r="I2407" s="731"/>
      <c r="J2407" s="148" t="str">
        <f>IFERROR(IF([1]K_Summary!$J$2392 = "", "", [1]K_Summary!$J$2392 ),"")</f>
        <v/>
      </c>
      <c r="K2407" s="150" t="str">
        <f>IFERROR(IF([1]K_Summary!$K$2392 = "", "", [1]K_Summary!$K$2392 ),"")</f>
        <v/>
      </c>
      <c r="L2407" s="150" t="str">
        <f>IFERROR(IF([1]K_Summary!$L$2392 = "", "", [1]K_Summary!$L$2392 ),"")</f>
        <v/>
      </c>
      <c r="M2407" s="150" t="str">
        <f>IFERROR(IF([1]K_Summary!$M$2392 = "", "", [1]K_Summary!$M$2392 ),"")</f>
        <v/>
      </c>
      <c r="N2407" s="171" t="str">
        <f>IFERROR(IF([1]K_Summary!$N$2392 = "", "", [1]K_Summary!$N$2392 ),"")</f>
        <v/>
      </c>
    </row>
    <row r="2408" spans="1:14" ht="15">
      <c r="A2408" s="817"/>
      <c r="C2408" s="559"/>
      <c r="D2408" s="706"/>
      <c r="E2408" s="740" t="s">
        <v>2136</v>
      </c>
      <c r="F2408" s="740"/>
      <c r="G2408" s="740"/>
      <c r="H2408" s="741" t="s">
        <v>1021</v>
      </c>
      <c r="I2408" s="742"/>
      <c r="J2408" s="183" t="str">
        <f>IFERROR(IF([1]K_Summary!$J$2393 = "", "", [1]K_Summary!$J$2393 ),"")</f>
        <v/>
      </c>
      <c r="K2408" s="184" t="str">
        <f>IFERROR(IF([1]K_Summary!$K$2393 = "", "", [1]K_Summary!$K$2393 ),"")</f>
        <v/>
      </c>
      <c r="L2408" s="184" t="str">
        <f>IFERROR(IF([1]K_Summary!$L$2393 = "", "", [1]K_Summary!$L$2393 ),"")</f>
        <v/>
      </c>
      <c r="M2408" s="184" t="str">
        <f>IFERROR(IF([1]K_Summary!$M$2393 = "", "", [1]K_Summary!$M$2393 ),"")</f>
        <v/>
      </c>
      <c r="N2408" s="185" t="str">
        <f>IFERROR(IF([1]K_Summary!$N$2393 = "", "", [1]K_Summary!$N$2393 ),"")</f>
        <v/>
      </c>
    </row>
    <row r="2409" spans="1:14" ht="15">
      <c r="A2409" s="817"/>
      <c r="C2409" s="559"/>
      <c r="D2409" s="706"/>
      <c r="E2409" s="485"/>
      <c r="F2409" s="485"/>
      <c r="G2409" s="485"/>
      <c r="H2409" s="485"/>
      <c r="I2409" s="743"/>
      <c r="J2409" s="485"/>
      <c r="K2409" s="485"/>
      <c r="L2409" s="485"/>
      <c r="M2409" s="485"/>
      <c r="N2409" s="744"/>
    </row>
    <row r="2410" spans="1:14">
      <c r="A2410" s="817"/>
      <c r="C2410" s="485"/>
      <c r="D2410" s="539"/>
      <c r="E2410" s="707" t="s">
        <v>1791</v>
      </c>
      <c r="F2410" s="637"/>
      <c r="G2410" s="637"/>
      <c r="H2410" s="663"/>
      <c r="I2410" s="708"/>
      <c r="J2410" s="696">
        <v>2021</v>
      </c>
      <c r="K2410" s="578">
        <v>2022</v>
      </c>
      <c r="L2410" s="578">
        <v>2023</v>
      </c>
      <c r="M2410" s="578">
        <v>2024</v>
      </c>
      <c r="N2410" s="718">
        <v>2025</v>
      </c>
    </row>
    <row r="2411" spans="1:14">
      <c r="A2411" s="817"/>
      <c r="C2411" s="485"/>
      <c r="D2411" s="539"/>
      <c r="E2411" s="720" t="s">
        <v>1691</v>
      </c>
      <c r="F2411" s="720"/>
      <c r="G2411" s="720"/>
      <c r="H2411" s="720"/>
      <c r="I2411" s="827"/>
      <c r="J2411" s="256" t="str">
        <f>IFERROR(IF([1]K_Summary!$J$2396 = "", "", [1]K_Summary!$J$2396 ),"")</f>
        <v/>
      </c>
      <c r="K2411" s="257" t="str">
        <f>IFERROR(IF([1]K_Summary!$K$2396 = "", "", [1]K_Summary!$K$2396 ),"")</f>
        <v/>
      </c>
      <c r="L2411" s="257" t="str">
        <f>IFERROR(IF([1]K_Summary!$L$2396 = "", "", [1]K_Summary!$L$2396 ),"")</f>
        <v/>
      </c>
      <c r="M2411" s="257" t="str">
        <f>IFERROR(IF([1]K_Summary!$M$2396 = "", "", [1]K_Summary!$M$2396 ),"")</f>
        <v/>
      </c>
      <c r="N2411" s="258" t="str">
        <f>IFERROR(IF([1]K_Summary!$N$2396 = "", "", [1]K_Summary!$N$2396 ),"")</f>
        <v/>
      </c>
    </row>
    <row r="2412" spans="1:14">
      <c r="A2412" s="817"/>
      <c r="C2412" s="485"/>
      <c r="D2412" s="539"/>
      <c r="E2412" s="727" t="s">
        <v>1648</v>
      </c>
      <c r="F2412" s="727"/>
      <c r="G2412" s="727"/>
      <c r="H2412" s="727"/>
      <c r="I2412" s="828"/>
      <c r="J2412" s="259" t="str">
        <f>IFERROR(IF([1]K_Summary!$J$2397 = "", "", [1]K_Summary!$J$2397 ),"")</f>
        <v/>
      </c>
      <c r="K2412" s="260" t="str">
        <f>IFERROR(IF([1]K_Summary!$K$2397 = "", "", [1]K_Summary!$K$2397 ),"")</f>
        <v/>
      </c>
      <c r="L2412" s="260" t="str">
        <f>IFERROR(IF([1]K_Summary!$L$2397 = "", "", [1]K_Summary!$L$2397 ),"")</f>
        <v/>
      </c>
      <c r="M2412" s="260" t="str">
        <f>IFERROR(IF([1]K_Summary!$M$2397 = "", "", [1]K_Summary!$M$2397 ),"")</f>
        <v/>
      </c>
      <c r="N2412" s="261" t="str">
        <f>IFERROR(IF([1]K_Summary!$N$2397 = "", "", [1]K_Summary!$N$2397 ),"")</f>
        <v/>
      </c>
    </row>
    <row r="2413" spans="1:14">
      <c r="A2413" s="817"/>
      <c r="C2413" s="485"/>
      <c r="D2413" s="539"/>
      <c r="E2413" s="829" t="s">
        <v>1790</v>
      </c>
      <c r="F2413" s="829"/>
      <c r="G2413" s="829"/>
      <c r="H2413" s="830" t="s">
        <v>1021</v>
      </c>
      <c r="I2413" s="831"/>
      <c r="J2413" s="151" t="str">
        <f>IFERROR(IF([1]K_Summary!$J$2398 = "", "", [1]K_Summary!$J$2398 ),"")</f>
        <v/>
      </c>
      <c r="K2413" s="152" t="str">
        <f>IFERROR(IF([1]K_Summary!$K$2398 = "", "", [1]K_Summary!$K$2398 ),"")</f>
        <v/>
      </c>
      <c r="L2413" s="152" t="str">
        <f>IFERROR(IF([1]K_Summary!$L$2398 = "", "", [1]K_Summary!$L$2398 ),"")</f>
        <v/>
      </c>
      <c r="M2413" s="152" t="str">
        <f>IFERROR(IF([1]K_Summary!$M$2398 = "", "", [1]K_Summary!$M$2398 ),"")</f>
        <v/>
      </c>
      <c r="N2413" s="153" t="str">
        <f>IFERROR(IF([1]K_Summary!$N$2398 = "", "", [1]K_Summary!$N$2398 ),"")</f>
        <v/>
      </c>
    </row>
    <row r="2414" spans="1:14">
      <c r="A2414" s="817"/>
      <c r="C2414" s="485"/>
      <c r="D2414" s="539"/>
      <c r="E2414" s="714" t="s">
        <v>1795</v>
      </c>
      <c r="F2414" s="714"/>
      <c r="G2414" s="714"/>
      <c r="H2414" s="832" t="s">
        <v>1021</v>
      </c>
      <c r="I2414" s="716"/>
      <c r="J2414" s="154" t="str">
        <f>IFERROR(IF([1]K_Summary!$J$2399 = "", "", [1]K_Summary!$J$2399 ),"")</f>
        <v/>
      </c>
      <c r="K2414" s="155" t="str">
        <f>IFERROR(IF([1]K_Summary!$K$2399 = "", "", [1]K_Summary!$K$2399 ),"")</f>
        <v/>
      </c>
      <c r="L2414" s="155" t="str">
        <f>IFERROR(IF([1]K_Summary!$L$2399 = "", "", [1]K_Summary!$L$2399 ),"")</f>
        <v/>
      </c>
      <c r="M2414" s="155" t="str">
        <f>IFERROR(IF([1]K_Summary!$M$2399 = "", "", [1]K_Summary!$M$2399 ),"")</f>
        <v/>
      </c>
      <c r="N2414" s="156" t="str">
        <f>IFERROR(IF([1]K_Summary!$N$2399 = "", "", [1]K_Summary!$N$2399 ),"")</f>
        <v/>
      </c>
    </row>
    <row r="2415" spans="1:14">
      <c r="A2415" s="817"/>
      <c r="C2415" s="485"/>
      <c r="D2415" s="539"/>
      <c r="E2415" s="698" t="s">
        <v>1794</v>
      </c>
      <c r="F2415" s="698"/>
      <c r="G2415" s="698"/>
      <c r="H2415" s="833" t="s">
        <v>1021</v>
      </c>
      <c r="I2415" s="834"/>
      <c r="J2415" s="262" t="str">
        <f>IFERROR(IF([1]K_Summary!$J$2400 = "", "", [1]K_Summary!$J$2400 ),"")</f>
        <v/>
      </c>
      <c r="K2415" s="263" t="str">
        <f>IFERROR(IF([1]K_Summary!$K$2400 = "", "", [1]K_Summary!$K$2400 ),"")</f>
        <v/>
      </c>
      <c r="L2415" s="263" t="str">
        <f>IFERROR(IF([1]K_Summary!$L$2400 = "", "", [1]K_Summary!$L$2400 ),"")</f>
        <v/>
      </c>
      <c r="M2415" s="263" t="str">
        <f>IFERROR(IF([1]K_Summary!$M$2400 = "", "", [1]K_Summary!$M$2400 ),"")</f>
        <v/>
      </c>
      <c r="N2415" s="264" t="str">
        <f>IFERROR(IF([1]K_Summary!$N$2400 = "", "", [1]K_Summary!$N$2400 ),"")</f>
        <v/>
      </c>
    </row>
    <row r="2416" spans="1:14" ht="13.5" thickBot="1">
      <c r="A2416" s="817"/>
      <c r="C2416" s="485"/>
      <c r="D2416" s="771"/>
      <c r="E2416" s="756"/>
      <c r="F2416" s="756"/>
      <c r="G2416" s="756"/>
      <c r="H2416" s="756"/>
      <c r="I2416" s="835"/>
      <c r="J2416" s="756"/>
      <c r="K2416" s="756"/>
      <c r="L2416" s="756"/>
      <c r="M2416" s="756"/>
      <c r="N2416" s="758"/>
    </row>
    <row r="2417" spans="1:14" ht="13.5" thickBot="1">
      <c r="A2417" s="817"/>
      <c r="C2417" s="485"/>
      <c r="D2417" s="485"/>
      <c r="E2417" s="485"/>
      <c r="F2417" s="485"/>
      <c r="G2417" s="485"/>
      <c r="H2417" s="485"/>
      <c r="I2417" s="836"/>
      <c r="J2417" s="485"/>
      <c r="K2417" s="485"/>
      <c r="L2417" s="485"/>
      <c r="M2417" s="485"/>
      <c r="N2417" s="485"/>
    </row>
    <row r="2418" spans="1:14">
      <c r="A2418" s="817"/>
      <c r="C2418" s="485"/>
      <c r="D2418" s="759"/>
      <c r="E2418" s="760"/>
      <c r="F2418" s="760"/>
      <c r="G2418" s="760"/>
      <c r="H2418" s="760"/>
      <c r="I2418" s="761"/>
      <c r="J2418" s="760"/>
      <c r="K2418" s="760"/>
      <c r="L2418" s="760"/>
      <c r="M2418" s="760"/>
      <c r="N2418" s="762"/>
    </row>
    <row r="2419" spans="1:14">
      <c r="A2419" s="817"/>
      <c r="C2419" s="485"/>
      <c r="D2419" s="539"/>
      <c r="E2419" s="496" t="s">
        <v>1786</v>
      </c>
      <c r="F2419" s="485"/>
      <c r="G2419" s="485"/>
      <c r="H2419" s="663" t="s">
        <v>884</v>
      </c>
      <c r="I2419" s="837" t="s">
        <v>1675</v>
      </c>
      <c r="J2419" s="709">
        <v>2021</v>
      </c>
      <c r="K2419" s="671">
        <v>2022</v>
      </c>
      <c r="L2419" s="671">
        <v>2023</v>
      </c>
      <c r="M2419" s="671">
        <v>2024</v>
      </c>
      <c r="N2419" s="710">
        <v>2025</v>
      </c>
    </row>
    <row r="2420" spans="1:14">
      <c r="A2420" s="817"/>
      <c r="C2420" s="485"/>
      <c r="D2420" s="539"/>
      <c r="E2420" s="698" t="s">
        <v>1692</v>
      </c>
      <c r="F2420" s="698"/>
      <c r="G2420" s="698"/>
      <c r="H2420" s="63" t="str">
        <f>IFERROR(IF([1]K_Summary!$H$2405 = "", "", [1]K_Summary!$H$2405 ),"")</f>
        <v>TJ</v>
      </c>
      <c r="I2420" s="247" t="str">
        <f>IFERROR(IF([1]K_Summary!$I$2405 = "", "", [1]K_Summary!$I$2405 ),"")</f>
        <v/>
      </c>
      <c r="J2420" s="240" t="str">
        <f>IFERROR(IF([1]K_Summary!$J$2405 = "", "", [1]K_Summary!$J$2405 ),"")</f>
        <v/>
      </c>
      <c r="K2420" s="242" t="str">
        <f>IFERROR(IF([1]K_Summary!$K$2405 = "", "", [1]K_Summary!$K$2405 ),"")</f>
        <v/>
      </c>
      <c r="L2420" s="242" t="str">
        <f>IFERROR(IF([1]K_Summary!$L$2405 = "", "", [1]K_Summary!$L$2405 ),"")</f>
        <v/>
      </c>
      <c r="M2420" s="242" t="str">
        <f>IFERROR(IF([1]K_Summary!$M$2405 = "", "", [1]K_Summary!$M$2405 ),"")</f>
        <v/>
      </c>
      <c r="N2420" s="265" t="str">
        <f>IFERROR(IF([1]K_Summary!$N$2405 = "", "", [1]K_Summary!$N$2405 ),"")</f>
        <v/>
      </c>
    </row>
    <row r="2421" spans="1:14">
      <c r="A2421" s="817"/>
      <c r="C2421" s="485"/>
      <c r="D2421" s="539"/>
      <c r="E2421" s="698" t="s">
        <v>222</v>
      </c>
      <c r="F2421" s="698"/>
      <c r="G2421" s="698"/>
      <c r="H2421" s="730" t="s">
        <v>2090</v>
      </c>
      <c r="I2421" s="266" t="str">
        <f>IFERROR(IF([1]K_Summary!$I$2406 = "", "", [1]K_Summary!$I$2406 ),"")</f>
        <v/>
      </c>
      <c r="J2421" s="148" t="str">
        <f>IFERROR(IF([1]K_Summary!$J$2406 = "", "", [1]K_Summary!$J$2406 ),"")</f>
        <v/>
      </c>
      <c r="K2421" s="150" t="str">
        <f>IFERROR(IF([1]K_Summary!$K$2406 = "", "", [1]K_Summary!$K$2406 ),"")</f>
        <v/>
      </c>
      <c r="L2421" s="150" t="str">
        <f>IFERROR(IF([1]K_Summary!$L$2406 = "", "", [1]K_Summary!$L$2406 ),"")</f>
        <v/>
      </c>
      <c r="M2421" s="150" t="str">
        <f>IFERROR(IF([1]K_Summary!$M$2406 = "", "", [1]K_Summary!$M$2406 ),"")</f>
        <v/>
      </c>
      <c r="N2421" s="171" t="str">
        <f>IFERROR(IF([1]K_Summary!$N$2406 = "", "", [1]K_Summary!$N$2406 ),"")</f>
        <v/>
      </c>
    </row>
    <row r="2422" spans="1:14" ht="13.5" thickBot="1">
      <c r="A2422" s="817"/>
      <c r="C2422" s="485"/>
      <c r="D2422" s="771"/>
      <c r="E2422" s="756"/>
      <c r="F2422" s="756"/>
      <c r="G2422" s="756"/>
      <c r="H2422" s="756"/>
      <c r="I2422" s="756"/>
      <c r="J2422" s="756"/>
      <c r="K2422" s="756"/>
      <c r="L2422" s="756"/>
      <c r="M2422" s="756"/>
      <c r="N2422" s="758"/>
    </row>
    <row r="2423" spans="1:14" ht="13.5" thickBot="1">
      <c r="A2423" s="817"/>
      <c r="C2423" s="485"/>
      <c r="D2423" s="485"/>
      <c r="E2423" s="485"/>
      <c r="F2423" s="485"/>
      <c r="G2423" s="485"/>
      <c r="H2423" s="562"/>
      <c r="I2423" s="562"/>
      <c r="J2423" s="562"/>
      <c r="K2423" s="562"/>
      <c r="L2423" s="562"/>
      <c r="M2423" s="485"/>
      <c r="N2423" s="485"/>
    </row>
    <row r="2424" spans="1:14">
      <c r="A2424" s="817"/>
      <c r="C2424" s="485"/>
      <c r="D2424" s="840"/>
      <c r="E2424" s="773"/>
      <c r="F2424" s="774"/>
      <c r="G2424" s="774"/>
      <c r="H2424" s="774"/>
      <c r="I2424" s="774"/>
      <c r="J2424" s="774"/>
      <c r="K2424" s="774"/>
      <c r="L2424" s="774"/>
      <c r="M2424" s="774"/>
      <c r="N2424" s="775"/>
    </row>
    <row r="2425" spans="1:14" ht="13.5" thickBot="1">
      <c r="A2425" s="817"/>
      <c r="C2425" s="485"/>
      <c r="D2425" s="841"/>
      <c r="E2425" s="777"/>
      <c r="F2425" s="842"/>
      <c r="G2425" s="778" t="s">
        <v>884</v>
      </c>
      <c r="H2425" s="843">
        <v>2019</v>
      </c>
      <c r="I2425" s="843">
        <v>2020</v>
      </c>
      <c r="J2425" s="843">
        <v>2021</v>
      </c>
      <c r="K2425" s="844">
        <v>2022</v>
      </c>
      <c r="L2425" s="844">
        <v>2023</v>
      </c>
      <c r="M2425" s="844">
        <v>2024</v>
      </c>
      <c r="N2425" s="844">
        <v>2025</v>
      </c>
    </row>
    <row r="2426" spans="1:14" ht="13.5" thickBot="1">
      <c r="A2426" s="817"/>
      <c r="C2426" s="485"/>
      <c r="D2426" s="841"/>
      <c r="E2426" s="845" t="s">
        <v>1504</v>
      </c>
      <c r="F2426" s="845"/>
      <c r="G2426" s="808" t="s">
        <v>2016</v>
      </c>
      <c r="H2426" s="225" t="str">
        <f>IFERROR(IF([1]K_Summary!$H$2411 = "", "", [1]K_Summary!$H$2411 ),"")</f>
        <v/>
      </c>
      <c r="I2426" s="228" t="str">
        <f>IFERROR(IF([1]K_Summary!$I$2411 = "", "", [1]K_Summary!$I$2411 ),"")</f>
        <v/>
      </c>
      <c r="J2426" s="225" t="str">
        <f>IFERROR(IF([1]K_Summary!$J$2411 = "", "", [1]K_Summary!$J$2411 ),"")</f>
        <v/>
      </c>
      <c r="K2426" s="227" t="str">
        <f>IFERROR(IF([1]K_Summary!$K$2411 = "", "", [1]K_Summary!$K$2411 ),"")</f>
        <v/>
      </c>
      <c r="L2426" s="227" t="str">
        <f>IFERROR(IF([1]K_Summary!$L$2411 = "", "", [1]K_Summary!$L$2411 ),"")</f>
        <v/>
      </c>
      <c r="M2426" s="227" t="str">
        <f>IFERROR(IF([1]K_Summary!$M$2411 = "", "", [1]K_Summary!$M$2411 ),"")</f>
        <v/>
      </c>
      <c r="N2426" s="228" t="str">
        <f>IFERROR(IF([1]K_Summary!$N$2411 = "", "", [1]K_Summary!$N$2411 ),"")</f>
        <v/>
      </c>
    </row>
    <row r="2427" spans="1:14">
      <c r="A2427" s="817"/>
      <c r="C2427" s="485"/>
      <c r="D2427" s="841"/>
      <c r="E2427" s="777"/>
      <c r="F2427" s="777"/>
      <c r="G2427" s="777"/>
      <c r="H2427" s="777"/>
      <c r="I2427" s="777"/>
      <c r="J2427" s="777"/>
      <c r="K2427" s="777"/>
      <c r="L2427" s="777"/>
      <c r="M2427" s="777"/>
      <c r="N2427" s="777"/>
    </row>
    <row r="2428" spans="1:14">
      <c r="A2428" s="817"/>
      <c r="C2428" s="485"/>
      <c r="D2428" s="841"/>
      <c r="E2428" s="846" t="s">
        <v>1344</v>
      </c>
      <c r="F2428" s="846"/>
      <c r="G2428" s="811" t="s">
        <v>2017</v>
      </c>
      <c r="H2428" s="127" t="str">
        <f>IFERROR(IF([1]K_Summary!$H$2413 = "", "", [1]K_Summary!$H$2413 ),"")</f>
        <v/>
      </c>
      <c r="I2428" s="229" t="str">
        <f>IFERROR(IF([1]K_Summary!$I$2413 = "", "", [1]K_Summary!$I$2413 ),"")</f>
        <v/>
      </c>
      <c r="J2428" s="230" t="str">
        <f>IFERROR(IF([1]K_Summary!$J$2413 = "", "", [1]K_Summary!$J$2413 ),"")</f>
        <v/>
      </c>
      <c r="K2428" s="127" t="str">
        <f>IFERROR(IF([1]K_Summary!$K$2413 = "", "", [1]K_Summary!$K$2413 ),"")</f>
        <v/>
      </c>
      <c r="L2428" s="127" t="str">
        <f>IFERROR(IF([1]K_Summary!$L$2413 = "", "", [1]K_Summary!$L$2413 ),"")</f>
        <v/>
      </c>
      <c r="M2428" s="127" t="str">
        <f>IFERROR(IF([1]K_Summary!$M$2413 = "", "", [1]K_Summary!$M$2413 ),"")</f>
        <v/>
      </c>
      <c r="N2428" s="127" t="str">
        <f>IFERROR(IF([1]K_Summary!$N$2413 = "", "", [1]K_Summary!$N$2413 ),"")</f>
        <v/>
      </c>
    </row>
    <row r="2429" spans="1:14">
      <c r="A2429" s="817"/>
      <c r="C2429" s="485"/>
      <c r="D2429" s="841"/>
      <c r="E2429" s="816" t="s">
        <v>1182</v>
      </c>
      <c r="F2429" s="816"/>
      <c r="G2429" s="812" t="s">
        <v>2018</v>
      </c>
      <c r="H2429" s="128" t="str">
        <f>IFERROR(IF([1]K_Summary!$H$2414 = "", "", [1]K_Summary!$H$2414 ),"")</f>
        <v/>
      </c>
      <c r="I2429" s="232" t="str">
        <f>IFERROR(IF([1]K_Summary!$I$2414 = "", "", [1]K_Summary!$I$2414 ),"")</f>
        <v/>
      </c>
      <c r="J2429" s="233" t="str">
        <f>IFERROR(IF([1]K_Summary!$J$2414 = "", "", [1]K_Summary!$J$2414 ),"")</f>
        <v/>
      </c>
      <c r="K2429" s="128" t="str">
        <f>IFERROR(IF([1]K_Summary!$K$2414 = "", "", [1]K_Summary!$K$2414 ),"")</f>
        <v/>
      </c>
      <c r="L2429" s="128" t="str">
        <f>IFERROR(IF([1]K_Summary!$L$2414 = "", "", [1]K_Summary!$L$2414 ),"")</f>
        <v/>
      </c>
      <c r="M2429" s="128" t="str">
        <f>IFERROR(IF([1]K_Summary!$M$2414 = "", "", [1]K_Summary!$M$2414 ),"")</f>
        <v/>
      </c>
      <c r="N2429" s="128" t="str">
        <f>IFERROR(IF([1]K_Summary!$N$2414 = "", "", [1]K_Summary!$N$2414 ),"")</f>
        <v/>
      </c>
    </row>
    <row r="2430" spans="1:14">
      <c r="A2430" s="817"/>
      <c r="C2430" s="485"/>
      <c r="D2430" s="841"/>
      <c r="E2430" s="846" t="s">
        <v>1481</v>
      </c>
      <c r="F2430" s="846"/>
      <c r="G2430" s="811" t="s">
        <v>2017</v>
      </c>
      <c r="H2430" s="127" t="str">
        <f>IFERROR(IF([1]K_Summary!$H$2415 = "", "", [1]K_Summary!$H$2415 ),"")</f>
        <v/>
      </c>
      <c r="I2430" s="229" t="str">
        <f>IFERROR(IF([1]K_Summary!$I$2415 = "", "", [1]K_Summary!$I$2415 ),"")</f>
        <v/>
      </c>
      <c r="J2430" s="230" t="str">
        <f>IFERROR(IF([1]K_Summary!$J$2415 = "", "", [1]K_Summary!$J$2415 ),"")</f>
        <v/>
      </c>
      <c r="K2430" s="127" t="str">
        <f>IFERROR(IF([1]K_Summary!$K$2415 = "", "", [1]K_Summary!$K$2415 ),"")</f>
        <v/>
      </c>
      <c r="L2430" s="127" t="str">
        <f>IFERROR(IF([1]K_Summary!$L$2415 = "", "", [1]K_Summary!$L$2415 ),"")</f>
        <v/>
      </c>
      <c r="M2430" s="127" t="str">
        <f>IFERROR(IF([1]K_Summary!$M$2415 = "", "", [1]K_Summary!$M$2415 ),"")</f>
        <v/>
      </c>
      <c r="N2430" s="127" t="str">
        <f>IFERROR(IF([1]K_Summary!$N$2415 = "", "", [1]K_Summary!$N$2415 ),"")</f>
        <v/>
      </c>
    </row>
    <row r="2431" spans="1:14">
      <c r="A2431" s="817"/>
      <c r="C2431" s="485"/>
      <c r="D2431" s="841"/>
      <c r="E2431" s="816" t="s">
        <v>1182</v>
      </c>
      <c r="F2431" s="816"/>
      <c r="G2431" s="812" t="s">
        <v>2018</v>
      </c>
      <c r="H2431" s="128" t="str">
        <f>IFERROR(IF([1]K_Summary!$H$2416 = "", "", [1]K_Summary!$H$2416 ),"")</f>
        <v/>
      </c>
      <c r="I2431" s="232" t="str">
        <f>IFERROR(IF([1]K_Summary!$I$2416 = "", "", [1]K_Summary!$I$2416 ),"")</f>
        <v/>
      </c>
      <c r="J2431" s="233" t="str">
        <f>IFERROR(IF([1]K_Summary!$J$2416 = "", "", [1]K_Summary!$J$2416 ),"")</f>
        <v/>
      </c>
      <c r="K2431" s="128" t="str">
        <f>IFERROR(IF([1]K_Summary!$K$2416 = "", "", [1]K_Summary!$K$2416 ),"")</f>
        <v/>
      </c>
      <c r="L2431" s="128" t="str">
        <f>IFERROR(IF([1]K_Summary!$L$2416 = "", "", [1]K_Summary!$L$2416 ),"")</f>
        <v/>
      </c>
      <c r="M2431" s="128" t="str">
        <f>IFERROR(IF([1]K_Summary!$M$2416 = "", "", [1]K_Summary!$M$2416 ),"")</f>
        <v/>
      </c>
      <c r="N2431" s="128" t="str">
        <f>IFERROR(IF([1]K_Summary!$N$2416 = "", "", [1]K_Summary!$N$2416 ),"")</f>
        <v/>
      </c>
    </row>
    <row r="2432" spans="1:14">
      <c r="A2432" s="817"/>
      <c r="C2432" s="485"/>
      <c r="D2432" s="841"/>
      <c r="E2432" s="777"/>
      <c r="F2432" s="813"/>
      <c r="G2432" s="813"/>
      <c r="H2432" s="813"/>
      <c r="I2432" s="813"/>
      <c r="J2432" s="813"/>
      <c r="K2432" s="813"/>
      <c r="L2432" s="813"/>
      <c r="M2432" s="813"/>
      <c r="N2432" s="813"/>
    </row>
    <row r="2433" spans="1:14">
      <c r="A2433" s="817"/>
      <c r="C2433" s="485"/>
      <c r="D2433" s="841"/>
      <c r="E2433" s="847" t="s">
        <v>63</v>
      </c>
      <c r="F2433" s="847"/>
      <c r="G2433" s="815" t="s">
        <v>2015</v>
      </c>
      <c r="H2433" s="126" t="str">
        <f>IFERROR(IF([1]K_Summary!$H$2418 = "", "", [1]K_Summary!$H$2418 ),"")</f>
        <v/>
      </c>
      <c r="I2433" s="235" t="str">
        <f>IFERROR(IF([1]K_Summary!$I$2418 = "", "", [1]K_Summary!$I$2418 ),"")</f>
        <v/>
      </c>
      <c r="J2433" s="236" t="str">
        <f>IFERROR(IF([1]K_Summary!$J$2418 = "", "", [1]K_Summary!$J$2418 ),"")</f>
        <v/>
      </c>
      <c r="K2433" s="126" t="str">
        <f>IFERROR(IF([1]K_Summary!$K$2418 = "", "", [1]K_Summary!$K$2418 ),"")</f>
        <v/>
      </c>
      <c r="L2433" s="126" t="str">
        <f>IFERROR(IF([1]K_Summary!$L$2418 = "", "", [1]K_Summary!$L$2418 ),"")</f>
        <v/>
      </c>
      <c r="M2433" s="126" t="str">
        <f>IFERROR(IF([1]K_Summary!$M$2418 = "", "", [1]K_Summary!$M$2418 ),"")</f>
        <v/>
      </c>
      <c r="N2433" s="126" t="str">
        <f>IFERROR(IF([1]K_Summary!$N$2418 = "", "", [1]K_Summary!$N$2418 ),"")</f>
        <v/>
      </c>
    </row>
    <row r="2434" spans="1:14">
      <c r="A2434" s="817"/>
      <c r="C2434" s="485"/>
      <c r="D2434" s="841"/>
      <c r="E2434" s="777"/>
      <c r="F2434" s="777"/>
      <c r="G2434" s="777"/>
      <c r="H2434" s="813"/>
      <c r="I2434" s="813"/>
      <c r="J2434" s="813"/>
      <c r="K2434" s="813"/>
      <c r="L2434" s="813"/>
      <c r="M2434" s="813"/>
      <c r="N2434" s="813"/>
    </row>
    <row r="2435" spans="1:14">
      <c r="A2435" s="817"/>
      <c r="C2435" s="485"/>
      <c r="D2435" s="841"/>
      <c r="E2435" s="847" t="s">
        <v>1079</v>
      </c>
      <c r="F2435" s="847"/>
      <c r="G2435" s="815" t="s">
        <v>2017</v>
      </c>
      <c r="H2435" s="126" t="str">
        <f>IFERROR(IF([1]K_Summary!$H$2420 = "", "", [1]K_Summary!$H$2420 ),"")</f>
        <v/>
      </c>
      <c r="I2435" s="235" t="str">
        <f>IFERROR(IF([1]K_Summary!$I$2420 = "", "", [1]K_Summary!$I$2420 ),"")</f>
        <v/>
      </c>
      <c r="J2435" s="236" t="str">
        <f>IFERROR(IF([1]K_Summary!$J$2420 = "", "", [1]K_Summary!$J$2420 ),"")</f>
        <v/>
      </c>
      <c r="K2435" s="126" t="str">
        <f>IFERROR(IF([1]K_Summary!$K$2420 = "", "", [1]K_Summary!$K$2420 ),"")</f>
        <v/>
      </c>
      <c r="L2435" s="126" t="str">
        <f>IFERROR(IF([1]K_Summary!$L$2420 = "", "", [1]K_Summary!$L$2420 ),"")</f>
        <v/>
      </c>
      <c r="M2435" s="126" t="str">
        <f>IFERROR(IF([1]K_Summary!$M$2420 = "", "", [1]K_Summary!$M$2420 ),"")</f>
        <v/>
      </c>
      <c r="N2435" s="126" t="str">
        <f>IFERROR(IF([1]K_Summary!$N$2420 = "", "", [1]K_Summary!$N$2420 ),"")</f>
        <v/>
      </c>
    </row>
    <row r="2436" spans="1:14">
      <c r="A2436" s="817"/>
      <c r="C2436" s="485"/>
      <c r="D2436" s="841"/>
      <c r="E2436" s="847" t="s">
        <v>1541</v>
      </c>
      <c r="F2436" s="847"/>
      <c r="G2436" s="815" t="s">
        <v>2017</v>
      </c>
      <c r="H2436" s="126" t="str">
        <f>IFERROR(IF([1]K_Summary!$H$2421 = "", "", [1]K_Summary!$H$2421 ),"")</f>
        <v/>
      </c>
      <c r="I2436" s="235" t="str">
        <f>IFERROR(IF([1]K_Summary!$I$2421 = "", "", [1]K_Summary!$I$2421 ),"")</f>
        <v/>
      </c>
      <c r="J2436" s="236" t="str">
        <f>IFERROR(IF([1]K_Summary!$J$2421 = "", "", [1]K_Summary!$J$2421 ),"")</f>
        <v/>
      </c>
      <c r="K2436" s="126" t="str">
        <f>IFERROR(IF([1]K_Summary!$K$2421 = "", "", [1]K_Summary!$K$2421 ),"")</f>
        <v/>
      </c>
      <c r="L2436" s="126" t="str">
        <f>IFERROR(IF([1]K_Summary!$L$2421 = "", "", [1]K_Summary!$L$2421 ),"")</f>
        <v/>
      </c>
      <c r="M2436" s="126" t="str">
        <f>IFERROR(IF([1]K_Summary!$M$2421 = "", "", [1]K_Summary!$M$2421 ),"")</f>
        <v/>
      </c>
      <c r="N2436" s="126" t="str">
        <f>IFERROR(IF([1]K_Summary!$N$2421 = "", "", [1]K_Summary!$N$2421 ),"")</f>
        <v/>
      </c>
    </row>
    <row r="2437" spans="1:14" ht="13.5" thickBot="1">
      <c r="A2437" s="817"/>
      <c r="C2437" s="485"/>
      <c r="D2437" s="848"/>
      <c r="E2437" s="805"/>
      <c r="F2437" s="805"/>
      <c r="G2437" s="805"/>
      <c r="H2437" s="805"/>
      <c r="I2437" s="805"/>
      <c r="J2437" s="805"/>
      <c r="K2437" s="805"/>
      <c r="L2437" s="805"/>
      <c r="M2437" s="805"/>
      <c r="N2437" s="806"/>
    </row>
    <row r="2438" spans="1:14" ht="13.5" thickBot="1">
      <c r="A2438" s="817"/>
      <c r="C2438" s="485"/>
      <c r="D2438" s="485"/>
      <c r="E2438" s="485"/>
      <c r="F2438" s="485"/>
      <c r="G2438" s="485"/>
      <c r="H2438" s="562"/>
      <c r="I2438" s="562"/>
      <c r="J2438" s="562"/>
      <c r="K2438" s="562"/>
      <c r="L2438" s="562"/>
      <c r="M2438" s="485"/>
      <c r="N2438" s="485"/>
    </row>
    <row r="2439" spans="1:14" ht="13.5" thickBot="1">
      <c r="A2439" s="817"/>
      <c r="C2439" s="686"/>
      <c r="D2439" s="686"/>
      <c r="E2439" s="686"/>
      <c r="F2439" s="686"/>
      <c r="G2439" s="686"/>
      <c r="H2439" s="686"/>
      <c r="I2439" s="686"/>
      <c r="J2439" s="686"/>
      <c r="K2439" s="686"/>
      <c r="L2439" s="686"/>
      <c r="M2439" s="686"/>
      <c r="N2439" s="686"/>
    </row>
    <row r="2440" spans="1:14" ht="14.45" customHeight="1" thickBot="1">
      <c r="A2440" s="817"/>
      <c r="C2440" s="559">
        <v>16</v>
      </c>
      <c r="D2440" s="2482" t="s">
        <v>2037</v>
      </c>
      <c r="E2440" s="2482"/>
      <c r="F2440" s="2482"/>
      <c r="G2440" s="2482"/>
      <c r="H2440" s="2483"/>
      <c r="I2440" s="2484" t="str">
        <f>IFERROR(IF([1]K_Summary!$I$2425 = "", "", [1]K_Summary!$I$2425 ),"")</f>
        <v>Process emissions sub-installation, CL</v>
      </c>
      <c r="J2440" s="2485"/>
      <c r="K2440" s="2485"/>
      <c r="L2440" s="2486"/>
      <c r="M2440" s="2476" t="str">
        <f>IFERROR(IF([1]K_Summary!$M$2425 = "", "", [1]K_Summary!$M$2425 ),"")</f>
        <v/>
      </c>
      <c r="N2440" s="2477"/>
    </row>
    <row r="2441" spans="1:14" ht="15">
      <c r="A2441" s="817"/>
      <c r="C2441" s="559"/>
      <c r="D2441" s="559"/>
      <c r="E2441" s="559"/>
      <c r="F2441" s="559"/>
      <c r="G2441" s="559"/>
      <c r="H2441" s="559"/>
      <c r="I2441" s="559"/>
      <c r="J2441" s="559"/>
      <c r="K2441" s="559"/>
      <c r="L2441" s="559"/>
      <c r="M2441" s="559"/>
      <c r="N2441" s="559"/>
    </row>
    <row r="2442" spans="1:14" ht="15">
      <c r="A2442" s="817"/>
      <c r="C2442" s="559"/>
      <c r="D2442" s="559"/>
      <c r="E2442" s="559"/>
      <c r="F2442" s="559"/>
      <c r="G2442" s="562"/>
      <c r="H2442" s="688" t="s">
        <v>458</v>
      </c>
      <c r="I2442" s="485"/>
      <c r="J2442" s="688" t="s">
        <v>1434</v>
      </c>
      <c r="K2442" s="688" t="s">
        <v>1684</v>
      </c>
      <c r="L2442" s="689" t="s">
        <v>156</v>
      </c>
      <c r="M2442" s="2469" t="s">
        <v>302</v>
      </c>
      <c r="N2442" s="2469"/>
    </row>
    <row r="2443" spans="1:14" ht="15">
      <c r="A2443" s="817"/>
      <c r="C2443" s="559"/>
      <c r="D2443" s="559"/>
      <c r="E2443" s="66" t="str">
        <f>IFERROR(IF([1]K_Summary!$E$2428 = "", "", [1]K_Summary!$E$2428 ),"")</f>
        <v>Process emissions sub-installation, CL</v>
      </c>
      <c r="F2443" s="51"/>
      <c r="G2443" s="51"/>
      <c r="H2443" s="143" t="b">
        <f>IFERROR(IF([1]K_Summary!$H$2428 = "", "", [1]K_Summary!$H$2428 ),"")</f>
        <v>1</v>
      </c>
      <c r="I2443" s="485"/>
      <c r="J2443" s="53" t="str">
        <f>IFERROR(IF([1]K_Summary!$J$2428 = "", "", [1]K_Summary!$J$2428 ),"")</f>
        <v>N.A.</v>
      </c>
      <c r="K2443" s="53" t="str">
        <f>IFERROR(IF([1]K_Summary!$K$2428 = "", "", [1]K_Summary!$K$2428 ),"")</f>
        <v>N.A.</v>
      </c>
      <c r="L2443" s="144">
        <f>IFERROR(IF([1]K_Summary!$L$2428 = "", "", [1]K_Summary!$L$2428 ),"")</f>
        <v>6</v>
      </c>
      <c r="M2443" s="267" t="str">
        <f>IFERROR(IF([1]K_Summary!$M$2428 = "", "", [1]K_Summary!$M$2428 ),"")</f>
        <v>N.A.</v>
      </c>
      <c r="N2443" s="50" t="str">
        <f>IFERROR(IF([1]K_Summary!$N$2428 = "", "", [1]K_Summary!$N$2428 ),"")</f>
        <v>EUA/t CO2e</v>
      </c>
    </row>
    <row r="2444" spans="1:14" ht="15">
      <c r="A2444" s="817"/>
      <c r="C2444" s="485"/>
      <c r="D2444" s="485"/>
      <c r="E2444" s="559"/>
      <c r="F2444" s="562"/>
      <c r="G2444" s="562"/>
      <c r="H2444" s="562"/>
      <c r="I2444" s="562"/>
      <c r="J2444" s="485"/>
      <c r="K2444" s="485"/>
      <c r="L2444" s="485"/>
      <c r="M2444" s="485"/>
      <c r="N2444" s="485"/>
    </row>
    <row r="2445" spans="1:14">
      <c r="A2445" s="817"/>
      <c r="C2445" s="485"/>
      <c r="D2445" s="485"/>
      <c r="E2445" s="496"/>
      <c r="F2445" s="482" t="s">
        <v>884</v>
      </c>
      <c r="G2445" s="819" t="s">
        <v>1646</v>
      </c>
      <c r="H2445" s="696">
        <v>2019</v>
      </c>
      <c r="I2445" s="697">
        <v>2020</v>
      </c>
      <c r="J2445" s="696">
        <v>2021</v>
      </c>
      <c r="K2445" s="578">
        <v>2022</v>
      </c>
      <c r="L2445" s="578">
        <v>2023</v>
      </c>
      <c r="M2445" s="578">
        <v>2024</v>
      </c>
      <c r="N2445" s="578">
        <v>2025</v>
      </c>
    </row>
    <row r="2446" spans="1:14">
      <c r="A2446" s="817"/>
      <c r="C2446" s="485"/>
      <c r="D2446" s="485"/>
      <c r="E2446" s="698" t="s">
        <v>1665</v>
      </c>
      <c r="F2446" s="146" t="str">
        <f>IFERROR(IF([1]K_Summary!$F$2431 = "", "", [1]K_Summary!$F$2431 ),"")</f>
        <v>t CO2e</v>
      </c>
      <c r="G2446" s="239" t="str">
        <f>IFERROR(IF([1]K_Summary!$G$2431 = "", "", [1]K_Summary!$G$2431 ),"")</f>
        <v/>
      </c>
      <c r="H2446" s="240" t="str">
        <f>IFERROR(IF([1]K_Summary!$H$2431 = "", "", [1]K_Summary!$H$2431 ),"")</f>
        <v/>
      </c>
      <c r="I2446" s="241" t="str">
        <f>IFERROR(IF([1]K_Summary!$I$2431 = "", "", [1]K_Summary!$I$2431 ),"")</f>
        <v/>
      </c>
      <c r="J2446" s="240" t="str">
        <f>IFERROR(IF([1]K_Summary!$J$2431 = "", "", [1]K_Summary!$J$2431 ),"")</f>
        <v/>
      </c>
      <c r="K2446" s="242" t="str">
        <f>IFERROR(IF([1]K_Summary!$K$2431 = "", "", [1]K_Summary!$K$2431 ),"")</f>
        <v/>
      </c>
      <c r="L2446" s="242" t="str">
        <f>IFERROR(IF([1]K_Summary!$L$2431 = "", "", [1]K_Summary!$L$2431 ),"")</f>
        <v/>
      </c>
      <c r="M2446" s="242" t="str">
        <f>IFERROR(IF([1]K_Summary!$M$2431 = "", "", [1]K_Summary!$M$2431 ),"")</f>
        <v/>
      </c>
      <c r="N2446" s="242" t="str">
        <f>IFERROR(IF([1]K_Summary!$N$2431 = "", "", [1]K_Summary!$N$2431 ),"")</f>
        <v/>
      </c>
    </row>
    <row r="2447" spans="1:14" ht="13.5" thickBot="1">
      <c r="A2447" s="817"/>
      <c r="C2447" s="485"/>
      <c r="D2447" s="485"/>
      <c r="E2447" s="562"/>
      <c r="F2447" s="485"/>
      <c r="G2447" s="485"/>
      <c r="H2447" s="485"/>
      <c r="I2447" s="743"/>
      <c r="J2447" s="485"/>
      <c r="K2447" s="485"/>
      <c r="L2447" s="485"/>
      <c r="M2447" s="485"/>
      <c r="N2447" s="485"/>
    </row>
    <row r="2448" spans="1:14" ht="15">
      <c r="A2448" s="817"/>
      <c r="C2448" s="559"/>
      <c r="D2448" s="703"/>
      <c r="E2448" s="704"/>
      <c r="F2448" s="704"/>
      <c r="G2448" s="704"/>
      <c r="H2448" s="704"/>
      <c r="I2448" s="704"/>
      <c r="J2448" s="704"/>
      <c r="K2448" s="704"/>
      <c r="L2448" s="704"/>
      <c r="M2448" s="704"/>
      <c r="N2448" s="705"/>
    </row>
    <row r="2449" spans="1:14" ht="15">
      <c r="A2449" s="817"/>
      <c r="C2449" s="559"/>
      <c r="D2449" s="706"/>
      <c r="E2449" s="707" t="s">
        <v>1787</v>
      </c>
      <c r="F2449" s="637"/>
      <c r="G2449" s="637"/>
      <c r="H2449" s="663" t="s">
        <v>884</v>
      </c>
      <c r="I2449" s="708"/>
      <c r="J2449" s="709">
        <v>2021</v>
      </c>
      <c r="K2449" s="671">
        <v>2022</v>
      </c>
      <c r="L2449" s="671">
        <v>2023</v>
      </c>
      <c r="M2449" s="671">
        <v>2024</v>
      </c>
      <c r="N2449" s="710">
        <v>2025</v>
      </c>
    </row>
    <row r="2450" spans="1:14" ht="15">
      <c r="A2450" s="817"/>
      <c r="C2450" s="559"/>
      <c r="D2450" s="706"/>
      <c r="E2450" s="711" t="s">
        <v>1783</v>
      </c>
      <c r="F2450" s="712"/>
      <c r="G2450" s="712"/>
      <c r="H2450" s="713" t="s">
        <v>1021</v>
      </c>
      <c r="I2450" s="712"/>
      <c r="J2450" s="151" t="str">
        <f>IFERROR(IF([1]K_Summary!$J$2435 = "", "", [1]K_Summary!$J$2435 ),"")</f>
        <v/>
      </c>
      <c r="K2450" s="152" t="str">
        <f>IFERROR(IF([1]K_Summary!$K$2435 = "", "", [1]K_Summary!$K$2435 ),"")</f>
        <v/>
      </c>
      <c r="L2450" s="152" t="str">
        <f>IFERROR(IF([1]K_Summary!$L$2435 = "", "", [1]K_Summary!$L$2435 ),"")</f>
        <v/>
      </c>
      <c r="M2450" s="152" t="str">
        <f>IFERROR(IF([1]K_Summary!$M$2435 = "", "", [1]K_Summary!$M$2435 ),"")</f>
        <v/>
      </c>
      <c r="N2450" s="153" t="str">
        <f>IFERROR(IF([1]K_Summary!$N$2435 = "", "", [1]K_Summary!$N$2435 ),"")</f>
        <v/>
      </c>
    </row>
    <row r="2451" spans="1:14" ht="15">
      <c r="A2451" s="817"/>
      <c r="C2451" s="559"/>
      <c r="D2451" s="706"/>
      <c r="E2451" s="714" t="s">
        <v>1784</v>
      </c>
      <c r="F2451" s="715"/>
      <c r="G2451" s="715"/>
      <c r="H2451" s="716" t="s">
        <v>1021</v>
      </c>
      <c r="I2451" s="715"/>
      <c r="J2451" s="154" t="str">
        <f>IFERROR(IF([1]K_Summary!$J$2436 = "", "", [1]K_Summary!$J$2436 ),"")</f>
        <v/>
      </c>
      <c r="K2451" s="155" t="str">
        <f>IFERROR(IF([1]K_Summary!$K$2436 = "", "", [1]K_Summary!$K$2436 ),"")</f>
        <v/>
      </c>
      <c r="L2451" s="155" t="str">
        <f>IFERROR(IF([1]K_Summary!$L$2436 = "", "", [1]K_Summary!$L$2436 ),"")</f>
        <v/>
      </c>
      <c r="M2451" s="155" t="str">
        <f>IFERROR(IF([1]K_Summary!$M$2436 = "", "", [1]K_Summary!$M$2436 ),"")</f>
        <v/>
      </c>
      <c r="N2451" s="156" t="str">
        <f>IFERROR(IF([1]K_Summary!$N$2436 = "", "", [1]K_Summary!$N$2436 ),"")</f>
        <v/>
      </c>
    </row>
    <row r="2452" spans="1:14" ht="15">
      <c r="A2452" s="817"/>
      <c r="C2452" s="559"/>
      <c r="D2452" s="706"/>
      <c r="E2452" s="559"/>
      <c r="F2452" s="559"/>
      <c r="G2452" s="559"/>
      <c r="H2452" s="559"/>
      <c r="I2452" s="559"/>
      <c r="J2452" s="559"/>
      <c r="K2452" s="559"/>
      <c r="L2452" s="559"/>
      <c r="M2452" s="559"/>
      <c r="N2452" s="717"/>
    </row>
    <row r="2453" spans="1:14" ht="15">
      <c r="A2453" s="817"/>
      <c r="C2453" s="559"/>
      <c r="D2453" s="706"/>
      <c r="E2453" s="496" t="s">
        <v>1762</v>
      </c>
      <c r="F2453" s="485"/>
      <c r="G2453" s="485"/>
      <c r="H2453" s="663" t="s">
        <v>884</v>
      </c>
      <c r="I2453" s="708"/>
      <c r="J2453" s="696">
        <v>2021</v>
      </c>
      <c r="K2453" s="578">
        <v>2022</v>
      </c>
      <c r="L2453" s="578">
        <v>2023</v>
      </c>
      <c r="M2453" s="578">
        <v>2024</v>
      </c>
      <c r="N2453" s="718">
        <v>2025</v>
      </c>
    </row>
    <row r="2454" spans="1:14" ht="15" hidden="1">
      <c r="A2454" s="817" t="s">
        <v>2289</v>
      </c>
      <c r="C2454" s="559"/>
      <c r="D2454" s="706"/>
      <c r="E2454" s="698" t="s">
        <v>1714</v>
      </c>
      <c r="F2454" s="698"/>
      <c r="G2454" s="698"/>
      <c r="H2454" s="63" t="str">
        <f>IFERROR(IF([1]K_Summary!$H$2439 = "", "", [1]K_Summary!$H$2439 ),"")</f>
        <v>t CO2e</v>
      </c>
      <c r="I2454" s="698"/>
      <c r="J2454" s="247" t="str">
        <f>IFERROR(IF([1]K_Summary!$J$2439 = "", "", [1]K_Summary!$J$2439 ),"")</f>
        <v/>
      </c>
      <c r="K2454" s="248" t="str">
        <f>IFERROR(IF([1]K_Summary!$K$2439 = "", "", [1]K_Summary!$K$2439 ),"")</f>
        <v/>
      </c>
      <c r="L2454" s="248" t="str">
        <f>IFERROR(IF([1]K_Summary!$L$2439 = "", "", [1]K_Summary!$L$2439 ),"")</f>
        <v/>
      </c>
      <c r="M2454" s="248" t="str">
        <f>IFERROR(IF([1]K_Summary!$M$2439 = "", "", [1]K_Summary!$M$2439 ),"")</f>
        <v/>
      </c>
      <c r="N2454" s="249" t="str">
        <f>IFERROR(IF([1]K_Summary!$N$2439 = "", "", [1]K_Summary!$N$2439 ),"")</f>
        <v/>
      </c>
    </row>
    <row r="2455" spans="1:14" ht="15">
      <c r="A2455" s="817"/>
      <c r="C2455" s="559"/>
      <c r="D2455" s="706"/>
      <c r="E2455" s="698" t="s">
        <v>1671</v>
      </c>
      <c r="F2455" s="698"/>
      <c r="G2455" s="698"/>
      <c r="H2455" s="730" t="s">
        <v>2090</v>
      </c>
      <c r="I2455" s="731"/>
      <c r="J2455" s="148" t="str">
        <f>IFERROR(IF([1]K_Summary!$J$2440 = "", "", [1]K_Summary!$J$2440 ),"")</f>
        <v/>
      </c>
      <c r="K2455" s="150" t="str">
        <f>IFERROR(IF([1]K_Summary!$K$2440 = "", "", [1]K_Summary!$K$2440 ),"")</f>
        <v/>
      </c>
      <c r="L2455" s="150" t="str">
        <f>IFERROR(IF([1]K_Summary!$L$2440 = "", "", [1]K_Summary!$L$2440 ),"")</f>
        <v/>
      </c>
      <c r="M2455" s="150" t="str">
        <f>IFERROR(IF([1]K_Summary!$M$2440 = "", "", [1]K_Summary!$M$2440 ),"")</f>
        <v/>
      </c>
      <c r="N2455" s="171" t="str">
        <f>IFERROR(IF([1]K_Summary!$N$2440 = "", "", [1]K_Summary!$N$2440 ),"")</f>
        <v/>
      </c>
    </row>
    <row r="2456" spans="1:14" ht="15">
      <c r="A2456" s="817"/>
      <c r="C2456" s="559"/>
      <c r="D2456" s="706"/>
      <c r="E2456" s="559"/>
      <c r="F2456" s="559"/>
      <c r="G2456" s="559"/>
      <c r="H2456" s="559"/>
      <c r="I2456" s="559"/>
      <c r="J2456" s="559"/>
      <c r="K2456" s="559"/>
      <c r="L2456" s="559"/>
      <c r="M2456" s="559"/>
      <c r="N2456" s="717"/>
    </row>
    <row r="2457" spans="1:14" ht="15">
      <c r="A2457" s="817"/>
      <c r="C2457" s="559"/>
      <c r="D2457" s="706"/>
      <c r="E2457" s="707" t="s">
        <v>1752</v>
      </c>
      <c r="F2457" s="637"/>
      <c r="G2457" s="637"/>
      <c r="H2457" s="663" t="s">
        <v>884</v>
      </c>
      <c r="I2457" s="708"/>
      <c r="J2457" s="709">
        <v>2021</v>
      </c>
      <c r="K2457" s="671">
        <v>2022</v>
      </c>
      <c r="L2457" s="671">
        <v>2023</v>
      </c>
      <c r="M2457" s="671">
        <v>2024</v>
      </c>
      <c r="N2457" s="710">
        <v>2025</v>
      </c>
    </row>
    <row r="2458" spans="1:14" ht="15">
      <c r="A2458" s="817"/>
      <c r="C2458" s="559"/>
      <c r="D2458" s="706"/>
      <c r="E2458" s="720" t="s">
        <v>1691</v>
      </c>
      <c r="F2458" s="720"/>
      <c r="G2458" s="720"/>
      <c r="H2458" s="67" t="str">
        <f>IFERROR(IF([1]K_Summary!$H$2443 = "", "", [1]K_Summary!$H$2443 ),"")</f>
        <v>t CO2e</v>
      </c>
      <c r="I2458" s="733"/>
      <c r="J2458" s="250" t="str">
        <f>IFERROR(IF([1]K_Summary!$J$2443 = "", "", [1]K_Summary!$J$2443 ),"")</f>
        <v/>
      </c>
      <c r="K2458" s="251" t="str">
        <f>IFERROR(IF([1]K_Summary!$K$2443 = "", "", [1]K_Summary!$K$2443 ),"")</f>
        <v/>
      </c>
      <c r="L2458" s="251" t="str">
        <f>IFERROR(IF([1]K_Summary!$L$2443 = "", "", [1]K_Summary!$L$2443 ),"")</f>
        <v/>
      </c>
      <c r="M2458" s="251" t="str">
        <f>IFERROR(IF([1]K_Summary!$M$2443 = "", "", [1]K_Summary!$M$2443 ),"")</f>
        <v/>
      </c>
      <c r="N2458" s="252" t="str">
        <f>IFERROR(IF([1]K_Summary!$N$2443 = "", "", [1]K_Summary!$N$2443 ),"")</f>
        <v/>
      </c>
    </row>
    <row r="2459" spans="1:14" ht="15">
      <c r="A2459" s="817"/>
      <c r="C2459" s="559"/>
      <c r="D2459" s="706"/>
      <c r="E2459" s="723" t="s">
        <v>1648</v>
      </c>
      <c r="F2459" s="723"/>
      <c r="G2459" s="723"/>
      <c r="H2459" s="734" t="s">
        <v>1021</v>
      </c>
      <c r="I2459" s="735"/>
      <c r="J2459" s="174" t="str">
        <f>IFERROR(IF([1]K_Summary!$J$2444 = "", "", [1]K_Summary!$J$2444 ),"")</f>
        <v/>
      </c>
      <c r="K2459" s="175" t="str">
        <f>IFERROR(IF([1]K_Summary!$K$2444 = "", "", [1]K_Summary!$K$2444 ),"")</f>
        <v/>
      </c>
      <c r="L2459" s="175" t="str">
        <f>IFERROR(IF([1]K_Summary!$L$2444 = "", "", [1]K_Summary!$L$2444 ),"")</f>
        <v/>
      </c>
      <c r="M2459" s="175" t="str">
        <f>IFERROR(IF([1]K_Summary!$M$2444 = "", "", [1]K_Summary!$M$2444 ),"")</f>
        <v/>
      </c>
      <c r="N2459" s="176" t="str">
        <f>IFERROR(IF([1]K_Summary!$N$2444 = "", "", [1]K_Summary!$N$2444 ),"")</f>
        <v/>
      </c>
    </row>
    <row r="2460" spans="1:14" ht="15">
      <c r="A2460" s="817"/>
      <c r="C2460" s="559"/>
      <c r="D2460" s="706"/>
      <c r="E2460" s="736" t="s">
        <v>1785</v>
      </c>
      <c r="F2460" s="736"/>
      <c r="G2460" s="736"/>
      <c r="H2460" s="737" t="s">
        <v>1021</v>
      </c>
      <c r="I2460" s="738"/>
      <c r="J2460" s="177" t="str">
        <f>IFERROR(IF([1]K_Summary!$J$2445 = "", "", [1]K_Summary!$J$2445 ),"")</f>
        <v/>
      </c>
      <c r="K2460" s="178" t="str">
        <f>IFERROR(IF([1]K_Summary!$K$2445 = "", "", [1]K_Summary!$K$2445 ),"")</f>
        <v/>
      </c>
      <c r="L2460" s="178" t="str">
        <f>IFERROR(IF([1]K_Summary!$L$2445 = "", "", [1]K_Summary!$L$2445 ),"")</f>
        <v/>
      </c>
      <c r="M2460" s="178" t="str">
        <f>IFERROR(IF([1]K_Summary!$M$2445 = "", "", [1]K_Summary!$M$2445 ),"")</f>
        <v/>
      </c>
      <c r="N2460" s="179" t="str">
        <f>IFERROR(IF([1]K_Summary!$N$2445 = "", "", [1]K_Summary!$N$2445 ),"")</f>
        <v/>
      </c>
    </row>
    <row r="2461" spans="1:14" ht="15">
      <c r="A2461" s="817"/>
      <c r="C2461" s="559"/>
      <c r="D2461" s="706"/>
      <c r="E2461" s="727" t="s">
        <v>1689</v>
      </c>
      <c r="F2461" s="727"/>
      <c r="G2461" s="727"/>
      <c r="H2461" s="68" t="str">
        <f>IFERROR(IF([1]K_Summary!$H$2446 = "", "", [1]K_Summary!$H$2446 ),"")</f>
        <v>t CO2e</v>
      </c>
      <c r="I2461" s="727"/>
      <c r="J2461" s="253" t="str">
        <f>IFERROR(IF([1]K_Summary!$J$2446 = "", "", [1]K_Summary!$J$2446 ),"")</f>
        <v/>
      </c>
      <c r="K2461" s="254" t="str">
        <f>IFERROR(IF([1]K_Summary!$K$2446 = "", "", [1]K_Summary!$K$2446 ),"")</f>
        <v/>
      </c>
      <c r="L2461" s="254" t="str">
        <f>IFERROR(IF([1]K_Summary!$L$2446 = "", "", [1]K_Summary!$L$2446 ),"")</f>
        <v/>
      </c>
      <c r="M2461" s="254" t="str">
        <f>IFERROR(IF([1]K_Summary!$M$2446 = "", "", [1]K_Summary!$M$2446 ),"")</f>
        <v/>
      </c>
      <c r="N2461" s="255" t="str">
        <f>IFERROR(IF([1]K_Summary!$N$2446 = "", "", [1]K_Summary!$N$2446 ),"")</f>
        <v/>
      </c>
    </row>
    <row r="2462" spans="1:14" ht="15">
      <c r="A2462" s="817"/>
      <c r="C2462" s="559"/>
      <c r="D2462" s="706"/>
      <c r="E2462" s="698" t="s">
        <v>1671</v>
      </c>
      <c r="F2462" s="698"/>
      <c r="G2462" s="698"/>
      <c r="H2462" s="730" t="s">
        <v>2090</v>
      </c>
      <c r="I2462" s="731"/>
      <c r="J2462" s="148" t="str">
        <f>IFERROR(IF([1]K_Summary!$J$2447 = "", "", [1]K_Summary!$J$2447 ),"")</f>
        <v/>
      </c>
      <c r="K2462" s="150" t="str">
        <f>IFERROR(IF([1]K_Summary!$K$2447 = "", "", [1]K_Summary!$K$2447 ),"")</f>
        <v/>
      </c>
      <c r="L2462" s="150" t="str">
        <f>IFERROR(IF([1]K_Summary!$L$2447 = "", "", [1]K_Summary!$L$2447 ),"")</f>
        <v/>
      </c>
      <c r="M2462" s="150" t="str">
        <f>IFERROR(IF([1]K_Summary!$M$2447 = "", "", [1]K_Summary!$M$2447 ),"")</f>
        <v/>
      </c>
      <c r="N2462" s="171" t="str">
        <f>IFERROR(IF([1]K_Summary!$N$2447 = "", "", [1]K_Summary!$N$2447 ),"")</f>
        <v/>
      </c>
    </row>
    <row r="2463" spans="1:14" ht="15">
      <c r="A2463" s="817"/>
      <c r="C2463" s="559"/>
      <c r="D2463" s="706"/>
      <c r="E2463" s="698" t="s">
        <v>1670</v>
      </c>
      <c r="F2463" s="698"/>
      <c r="G2463" s="698"/>
      <c r="H2463" s="730" t="s">
        <v>2090</v>
      </c>
      <c r="I2463" s="731"/>
      <c r="J2463" s="148" t="str">
        <f>IFERROR(IF([1]K_Summary!$J$2448 = "", "", [1]K_Summary!$J$2448 ),"")</f>
        <v/>
      </c>
      <c r="K2463" s="150" t="str">
        <f>IFERROR(IF([1]K_Summary!$K$2448 = "", "", [1]K_Summary!$K$2448 ),"")</f>
        <v/>
      </c>
      <c r="L2463" s="150" t="str">
        <f>IFERROR(IF([1]K_Summary!$L$2448 = "", "", [1]K_Summary!$L$2448 ),"")</f>
        <v/>
      </c>
      <c r="M2463" s="150" t="str">
        <f>IFERROR(IF([1]K_Summary!$M$2448 = "", "", [1]K_Summary!$M$2448 ),"")</f>
        <v/>
      </c>
      <c r="N2463" s="171" t="str">
        <f>IFERROR(IF([1]K_Summary!$N$2448 = "", "", [1]K_Summary!$N$2448 ),"")</f>
        <v/>
      </c>
    </row>
    <row r="2464" spans="1:14" ht="15">
      <c r="A2464" s="817"/>
      <c r="C2464" s="559"/>
      <c r="D2464" s="706"/>
      <c r="E2464" s="740" t="s">
        <v>2136</v>
      </c>
      <c r="F2464" s="740"/>
      <c r="G2464" s="740"/>
      <c r="H2464" s="741" t="s">
        <v>1021</v>
      </c>
      <c r="I2464" s="742"/>
      <c r="J2464" s="183" t="str">
        <f>IFERROR(IF([1]K_Summary!$J$2449 = "", "", [1]K_Summary!$J$2449 ),"")</f>
        <v/>
      </c>
      <c r="K2464" s="184" t="str">
        <f>IFERROR(IF([1]K_Summary!$K$2449 = "", "", [1]K_Summary!$K$2449 ),"")</f>
        <v/>
      </c>
      <c r="L2464" s="184" t="str">
        <f>IFERROR(IF([1]K_Summary!$L$2449 = "", "", [1]K_Summary!$L$2449 ),"")</f>
        <v/>
      </c>
      <c r="M2464" s="184" t="str">
        <f>IFERROR(IF([1]K_Summary!$M$2449 = "", "", [1]K_Summary!$M$2449 ),"")</f>
        <v/>
      </c>
      <c r="N2464" s="185" t="str">
        <f>IFERROR(IF([1]K_Summary!$N$2449 = "", "", [1]K_Summary!$N$2449 ),"")</f>
        <v/>
      </c>
    </row>
    <row r="2465" spans="1:14" ht="13.5" thickBot="1">
      <c r="A2465" s="817"/>
      <c r="C2465" s="485"/>
      <c r="D2465" s="771"/>
      <c r="E2465" s="756"/>
      <c r="F2465" s="756"/>
      <c r="G2465" s="756"/>
      <c r="H2465" s="756"/>
      <c r="I2465" s="835"/>
      <c r="J2465" s="756"/>
      <c r="K2465" s="756"/>
      <c r="L2465" s="756"/>
      <c r="M2465" s="756"/>
      <c r="N2465" s="758"/>
    </row>
    <row r="2466" spans="1:14" ht="13.5" thickBot="1">
      <c r="A2466" s="817"/>
      <c r="C2466" s="485"/>
      <c r="D2466" s="485"/>
      <c r="E2466" s="485"/>
      <c r="F2466" s="485"/>
      <c r="G2466" s="485"/>
      <c r="H2466" s="485"/>
      <c r="I2466" s="836"/>
      <c r="J2466" s="485"/>
      <c r="K2466" s="485"/>
      <c r="L2466" s="485"/>
      <c r="M2466" s="485"/>
      <c r="N2466" s="485"/>
    </row>
    <row r="2467" spans="1:14">
      <c r="A2467" s="817"/>
      <c r="C2467" s="485"/>
      <c r="D2467" s="759"/>
      <c r="E2467" s="760"/>
      <c r="F2467" s="760"/>
      <c r="G2467" s="760"/>
      <c r="H2467" s="760"/>
      <c r="I2467" s="761"/>
      <c r="J2467" s="760"/>
      <c r="K2467" s="760"/>
      <c r="L2467" s="760"/>
      <c r="M2467" s="760"/>
      <c r="N2467" s="762"/>
    </row>
    <row r="2468" spans="1:14">
      <c r="A2468" s="817"/>
      <c r="C2468" s="485"/>
      <c r="D2468" s="539"/>
      <c r="E2468" s="496" t="s">
        <v>1786</v>
      </c>
      <c r="F2468" s="485"/>
      <c r="G2468" s="485"/>
      <c r="H2468" s="663" t="s">
        <v>884</v>
      </c>
      <c r="I2468" s="837" t="s">
        <v>1675</v>
      </c>
      <c r="J2468" s="709">
        <v>2021</v>
      </c>
      <c r="K2468" s="671">
        <v>2022</v>
      </c>
      <c r="L2468" s="671">
        <v>2023</v>
      </c>
      <c r="M2468" s="671">
        <v>2024</v>
      </c>
      <c r="N2468" s="710">
        <v>2025</v>
      </c>
    </row>
    <row r="2469" spans="1:14">
      <c r="A2469" s="817"/>
      <c r="C2469" s="485"/>
      <c r="D2469" s="539"/>
      <c r="E2469" s="698" t="s">
        <v>1692</v>
      </c>
      <c r="F2469" s="698"/>
      <c r="G2469" s="698"/>
      <c r="H2469" s="63" t="str">
        <f>IFERROR(IF([1]K_Summary!$H$2454 = "", "", [1]K_Summary!$H$2454 ),"")</f>
        <v>t CO2e</v>
      </c>
      <c r="I2469" s="247" t="str">
        <f>IFERROR(IF([1]K_Summary!$I$2454 = "", "", [1]K_Summary!$I$2454 ),"")</f>
        <v/>
      </c>
      <c r="J2469" s="240" t="str">
        <f>IFERROR(IF([1]K_Summary!$J$2454 = "", "", [1]K_Summary!$J$2454 ),"")</f>
        <v/>
      </c>
      <c r="K2469" s="242" t="str">
        <f>IFERROR(IF([1]K_Summary!$K$2454 = "", "", [1]K_Summary!$K$2454 ),"")</f>
        <v/>
      </c>
      <c r="L2469" s="242" t="str">
        <f>IFERROR(IF([1]K_Summary!$L$2454 = "", "", [1]K_Summary!$L$2454 ),"")</f>
        <v/>
      </c>
      <c r="M2469" s="242" t="str">
        <f>IFERROR(IF([1]K_Summary!$M$2454 = "", "", [1]K_Summary!$M$2454 ),"")</f>
        <v/>
      </c>
      <c r="N2469" s="265" t="str">
        <f>IFERROR(IF([1]K_Summary!$N$2454 = "", "", [1]K_Summary!$N$2454 ),"")</f>
        <v/>
      </c>
    </row>
    <row r="2470" spans="1:14">
      <c r="A2470" s="817"/>
      <c r="C2470" s="485"/>
      <c r="D2470" s="539"/>
      <c r="E2470" s="698" t="s">
        <v>222</v>
      </c>
      <c r="F2470" s="698"/>
      <c r="G2470" s="698"/>
      <c r="H2470" s="730" t="s">
        <v>2090</v>
      </c>
      <c r="I2470" s="266" t="str">
        <f>IFERROR(IF([1]K_Summary!$I$2455 = "", "", [1]K_Summary!$I$2455 ),"")</f>
        <v/>
      </c>
      <c r="J2470" s="148" t="str">
        <f>IFERROR(IF([1]K_Summary!$J$2455 = "", "", [1]K_Summary!$J$2455 ),"")</f>
        <v/>
      </c>
      <c r="K2470" s="150" t="str">
        <f>IFERROR(IF([1]K_Summary!$K$2455 = "", "", [1]K_Summary!$K$2455 ),"")</f>
        <v/>
      </c>
      <c r="L2470" s="150" t="str">
        <f>IFERROR(IF([1]K_Summary!$L$2455 = "", "", [1]K_Summary!$L$2455 ),"")</f>
        <v/>
      </c>
      <c r="M2470" s="150" t="str">
        <f>IFERROR(IF([1]K_Summary!$M$2455 = "", "", [1]K_Summary!$M$2455 ),"")</f>
        <v/>
      </c>
      <c r="N2470" s="171" t="str">
        <f>IFERROR(IF([1]K_Summary!$N$2455 = "", "", [1]K_Summary!$N$2455 ),"")</f>
        <v/>
      </c>
    </row>
    <row r="2471" spans="1:14" ht="13.5" thickBot="1">
      <c r="A2471" s="817"/>
      <c r="C2471" s="485"/>
      <c r="D2471" s="771"/>
      <c r="E2471" s="756"/>
      <c r="F2471" s="756"/>
      <c r="G2471" s="756"/>
      <c r="H2471" s="756"/>
      <c r="I2471" s="756"/>
      <c r="J2471" s="756"/>
      <c r="K2471" s="756"/>
      <c r="L2471" s="756"/>
      <c r="M2471" s="756"/>
      <c r="N2471" s="758"/>
    </row>
    <row r="2472" spans="1:14" ht="13.5" thickBot="1">
      <c r="A2472" s="817"/>
      <c r="C2472" s="485"/>
      <c r="D2472" s="485"/>
      <c r="E2472" s="485"/>
      <c r="F2472" s="485"/>
      <c r="G2472" s="485"/>
      <c r="H2472" s="562"/>
      <c r="I2472" s="562"/>
      <c r="J2472" s="562"/>
      <c r="K2472" s="562"/>
      <c r="L2472" s="562"/>
      <c r="M2472" s="485"/>
      <c r="N2472" s="485"/>
    </row>
    <row r="2473" spans="1:14">
      <c r="A2473" s="817"/>
      <c r="C2473" s="485"/>
      <c r="D2473" s="772"/>
      <c r="E2473" s="773"/>
      <c r="F2473" s="774"/>
      <c r="G2473" s="774"/>
      <c r="H2473" s="774"/>
      <c r="I2473" s="774"/>
      <c r="J2473" s="774"/>
      <c r="K2473" s="774"/>
      <c r="L2473" s="774"/>
      <c r="M2473" s="774"/>
      <c r="N2473" s="775"/>
    </row>
    <row r="2474" spans="1:14" ht="13.5" thickBot="1">
      <c r="A2474" s="817"/>
      <c r="C2474" s="485"/>
      <c r="D2474" s="776"/>
      <c r="E2474" s="777"/>
      <c r="F2474" s="813"/>
      <c r="G2474" s="778" t="s">
        <v>884</v>
      </c>
      <c r="H2474" s="843">
        <v>2019</v>
      </c>
      <c r="I2474" s="844">
        <v>2020</v>
      </c>
      <c r="J2474" s="843">
        <v>2021</v>
      </c>
      <c r="K2474" s="844">
        <v>2022</v>
      </c>
      <c r="L2474" s="844">
        <v>2023</v>
      </c>
      <c r="M2474" s="844">
        <v>2024</v>
      </c>
      <c r="N2474" s="850">
        <v>2025</v>
      </c>
    </row>
    <row r="2475" spans="1:14" ht="13.5" thickBot="1">
      <c r="A2475" s="817"/>
      <c r="C2475" s="485"/>
      <c r="D2475" s="776"/>
      <c r="E2475" s="845" t="s">
        <v>1504</v>
      </c>
      <c r="F2475" s="845"/>
      <c r="G2475" s="808" t="s">
        <v>2016</v>
      </c>
      <c r="H2475" s="225" t="str">
        <f>IFERROR(IF([1]K_Summary!$H$2460 = "", "", [1]K_Summary!$H$2460 ),"")</f>
        <v/>
      </c>
      <c r="I2475" s="227" t="str">
        <f>IFERROR(IF([1]K_Summary!$I$2460 = "", "", [1]K_Summary!$I$2460 ),"")</f>
        <v/>
      </c>
      <c r="J2475" s="225" t="str">
        <f>IFERROR(IF([1]K_Summary!$J$2460 = "", "", [1]K_Summary!$J$2460 ),"")</f>
        <v/>
      </c>
      <c r="K2475" s="227" t="str">
        <f>IFERROR(IF([1]K_Summary!$K$2460 = "", "", [1]K_Summary!$K$2460 ),"")</f>
        <v/>
      </c>
      <c r="L2475" s="227" t="str">
        <f>IFERROR(IF([1]K_Summary!$L$2460 = "", "", [1]K_Summary!$L$2460 ),"")</f>
        <v/>
      </c>
      <c r="M2475" s="227" t="str">
        <f>IFERROR(IF([1]K_Summary!$M$2460 = "", "", [1]K_Summary!$M$2460 ),"")</f>
        <v/>
      </c>
      <c r="N2475" s="228" t="str">
        <f>IFERROR(IF([1]K_Summary!$N$2460 = "", "", [1]K_Summary!$N$2460 ),"")</f>
        <v/>
      </c>
    </row>
    <row r="2476" spans="1:14" ht="13.5" thickBot="1">
      <c r="A2476" s="817"/>
      <c r="C2476" s="485"/>
      <c r="D2476" s="839"/>
      <c r="E2476" s="805"/>
      <c r="F2476" s="805"/>
      <c r="G2476" s="805"/>
      <c r="H2476" s="805"/>
      <c r="I2476" s="805"/>
      <c r="J2476" s="805"/>
      <c r="K2476" s="805"/>
      <c r="L2476" s="805"/>
      <c r="M2476" s="805"/>
      <c r="N2476" s="806"/>
    </row>
    <row r="2477" spans="1:14" ht="13.5" thickBot="1">
      <c r="A2477" s="817"/>
      <c r="C2477" s="485"/>
      <c r="D2477" s="485"/>
      <c r="E2477" s="485"/>
      <c r="F2477" s="485"/>
      <c r="G2477" s="485"/>
      <c r="H2477" s="562"/>
      <c r="I2477" s="562"/>
      <c r="J2477" s="562"/>
      <c r="K2477" s="562"/>
      <c r="L2477" s="562"/>
      <c r="M2477" s="485"/>
      <c r="N2477" s="485"/>
    </row>
    <row r="2478" spans="1:14" ht="13.5" thickBot="1">
      <c r="A2478" s="817"/>
      <c r="C2478" s="686"/>
      <c r="D2478" s="686"/>
      <c r="E2478" s="686"/>
      <c r="F2478" s="686"/>
      <c r="G2478" s="686"/>
      <c r="H2478" s="686"/>
      <c r="I2478" s="686"/>
      <c r="J2478" s="686"/>
      <c r="K2478" s="686"/>
      <c r="L2478" s="686"/>
      <c r="M2478" s="686"/>
      <c r="N2478" s="686"/>
    </row>
    <row r="2479" spans="1:14" ht="14.45" customHeight="1" thickBot="1">
      <c r="A2479" s="817"/>
      <c r="C2479" s="559">
        <v>17</v>
      </c>
      <c r="D2479" s="2482" t="s">
        <v>2038</v>
      </c>
      <c r="E2479" s="2482"/>
      <c r="F2479" s="2482"/>
      <c r="G2479" s="2482"/>
      <c r="H2479" s="2483"/>
      <c r="I2479" s="2484" t="str">
        <f>IFERROR(IF([1]K_Summary!$I$2464 = "", "", [1]K_Summary!$I$2464 ),"")</f>
        <v>Process emissions sub-installation, non-CL</v>
      </c>
      <c r="J2479" s="2485"/>
      <c r="K2479" s="2485"/>
      <c r="L2479" s="2486"/>
      <c r="M2479" s="2476" t="str">
        <f>IFERROR(IF([1]K_Summary!$M$2464 = "", "", [1]K_Summary!$M$2464 ),"")</f>
        <v/>
      </c>
      <c r="N2479" s="2477"/>
    </row>
    <row r="2480" spans="1:14" ht="15">
      <c r="A2480" s="817"/>
      <c r="C2480" s="559"/>
      <c r="D2480" s="559"/>
      <c r="E2480" s="559"/>
      <c r="F2480" s="559"/>
      <c r="G2480" s="559"/>
      <c r="H2480" s="559"/>
      <c r="I2480" s="559"/>
      <c r="J2480" s="559"/>
      <c r="K2480" s="559"/>
      <c r="L2480" s="559"/>
      <c r="M2480" s="559"/>
      <c r="N2480" s="559"/>
    </row>
    <row r="2481" spans="1:14" ht="15">
      <c r="A2481" s="817"/>
      <c r="C2481" s="559"/>
      <c r="D2481" s="559"/>
      <c r="E2481" s="559"/>
      <c r="F2481" s="559"/>
      <c r="G2481" s="562"/>
      <c r="H2481" s="688" t="s">
        <v>458</v>
      </c>
      <c r="I2481" s="485"/>
      <c r="J2481" s="688" t="s">
        <v>1434</v>
      </c>
      <c r="K2481" s="688" t="s">
        <v>1684</v>
      </c>
      <c r="L2481" s="689" t="s">
        <v>156</v>
      </c>
      <c r="M2481" s="2469" t="s">
        <v>302</v>
      </c>
      <c r="N2481" s="2469"/>
    </row>
    <row r="2482" spans="1:14" ht="15">
      <c r="A2482" s="817"/>
      <c r="C2482" s="559"/>
      <c r="D2482" s="559"/>
      <c r="E2482" s="66" t="str">
        <f>IFERROR(IF([1]K_Summary!$E$2467 = "", "", [1]K_Summary!$E$2467 ),"")</f>
        <v>Process emissions sub-installation, non-CL</v>
      </c>
      <c r="F2482" s="51"/>
      <c r="G2482" s="51"/>
      <c r="H2482" s="143" t="b">
        <f>IFERROR(IF([1]K_Summary!$H$2467 = "", "", [1]K_Summary!$H$2467 ),"")</f>
        <v>0</v>
      </c>
      <c r="I2482" s="485"/>
      <c r="J2482" s="53" t="str">
        <f>IFERROR(IF([1]K_Summary!$J$2467 = "", "", [1]K_Summary!$J$2467 ),"")</f>
        <v>N.A.</v>
      </c>
      <c r="K2482" s="53" t="str">
        <f>IFERROR(IF([1]K_Summary!$K$2467 = "", "", [1]K_Summary!$K$2467 ),"")</f>
        <v>N.A.</v>
      </c>
      <c r="L2482" s="144">
        <f>IFERROR(IF([1]K_Summary!$L$2467 = "", "", [1]K_Summary!$L$2467 ),"")</f>
        <v>7</v>
      </c>
      <c r="M2482" s="267" t="str">
        <f>IFERROR(IF([1]K_Summary!$M$2467 = "", "", [1]K_Summary!$M$2467 ),"")</f>
        <v>N.A.</v>
      </c>
      <c r="N2482" s="50" t="str">
        <f>IFERROR(IF([1]K_Summary!$N$2467 = "", "", [1]K_Summary!$N$2467 ),"")</f>
        <v>EUA/t CO2e</v>
      </c>
    </row>
    <row r="2483" spans="1:14" ht="15">
      <c r="A2483" s="817"/>
      <c r="C2483" s="485"/>
      <c r="D2483" s="485"/>
      <c r="E2483" s="559"/>
      <c r="F2483" s="562"/>
      <c r="G2483" s="562"/>
      <c r="H2483" s="562"/>
      <c r="I2483" s="562"/>
      <c r="J2483" s="485"/>
      <c r="K2483" s="485"/>
      <c r="L2483" s="485"/>
      <c r="M2483" s="485"/>
      <c r="N2483" s="485"/>
    </row>
    <row r="2484" spans="1:14">
      <c r="A2484" s="817"/>
      <c r="C2484" s="485"/>
      <c r="D2484" s="485"/>
      <c r="E2484" s="496"/>
      <c r="F2484" s="482" t="s">
        <v>884</v>
      </c>
      <c r="G2484" s="819" t="s">
        <v>1646</v>
      </c>
      <c r="H2484" s="696">
        <v>2019</v>
      </c>
      <c r="I2484" s="697">
        <v>2020</v>
      </c>
      <c r="J2484" s="696">
        <v>2021</v>
      </c>
      <c r="K2484" s="578">
        <v>2022</v>
      </c>
      <c r="L2484" s="578">
        <v>2023</v>
      </c>
      <c r="M2484" s="578">
        <v>2024</v>
      </c>
      <c r="N2484" s="578">
        <v>2025</v>
      </c>
    </row>
    <row r="2485" spans="1:14">
      <c r="A2485" s="817"/>
      <c r="C2485" s="485"/>
      <c r="D2485" s="485"/>
      <c r="E2485" s="698" t="s">
        <v>1665</v>
      </c>
      <c r="F2485" s="146" t="str">
        <f>IFERROR(IF([1]K_Summary!$F$2470 = "", "", [1]K_Summary!$F$2470 ),"")</f>
        <v>t CO2e</v>
      </c>
      <c r="G2485" s="239" t="str">
        <f>IFERROR(IF([1]K_Summary!$G$2470 = "", "", [1]K_Summary!$G$2470 ),"")</f>
        <v/>
      </c>
      <c r="H2485" s="240" t="str">
        <f>IFERROR(IF([1]K_Summary!$H$2470 = "", "", [1]K_Summary!$H$2470 ),"")</f>
        <v/>
      </c>
      <c r="I2485" s="241" t="str">
        <f>IFERROR(IF([1]K_Summary!$I$2470 = "", "", [1]K_Summary!$I$2470 ),"")</f>
        <v/>
      </c>
      <c r="J2485" s="240" t="str">
        <f>IFERROR(IF([1]K_Summary!$J$2470 = "", "", [1]K_Summary!$J$2470 ),"")</f>
        <v/>
      </c>
      <c r="K2485" s="242" t="str">
        <f>IFERROR(IF([1]K_Summary!$K$2470 = "", "", [1]K_Summary!$K$2470 ),"")</f>
        <v/>
      </c>
      <c r="L2485" s="242" t="str">
        <f>IFERROR(IF([1]K_Summary!$L$2470 = "", "", [1]K_Summary!$L$2470 ),"")</f>
        <v/>
      </c>
      <c r="M2485" s="242" t="str">
        <f>IFERROR(IF([1]K_Summary!$M$2470 = "", "", [1]K_Summary!$M$2470 ),"")</f>
        <v/>
      </c>
      <c r="N2485" s="242" t="str">
        <f>IFERROR(IF([1]K_Summary!$N$2470 = "", "", [1]K_Summary!$N$2470 ),"")</f>
        <v/>
      </c>
    </row>
    <row r="2486" spans="1:14" ht="13.5" thickBot="1">
      <c r="A2486" s="817"/>
      <c r="C2486" s="485"/>
      <c r="D2486" s="485"/>
      <c r="E2486" s="562"/>
      <c r="F2486" s="485"/>
      <c r="G2486" s="485"/>
      <c r="H2486" s="485"/>
      <c r="I2486" s="743"/>
      <c r="J2486" s="485"/>
      <c r="K2486" s="485"/>
      <c r="L2486" s="485"/>
      <c r="M2486" s="485"/>
      <c r="N2486" s="485"/>
    </row>
    <row r="2487" spans="1:14" ht="15">
      <c r="A2487" s="817"/>
      <c r="C2487" s="559"/>
      <c r="D2487" s="703"/>
      <c r="E2487" s="704"/>
      <c r="F2487" s="704"/>
      <c r="G2487" s="704"/>
      <c r="H2487" s="704"/>
      <c r="I2487" s="704"/>
      <c r="J2487" s="704"/>
      <c r="K2487" s="704"/>
      <c r="L2487" s="704"/>
      <c r="M2487" s="704"/>
      <c r="N2487" s="705"/>
    </row>
    <row r="2488" spans="1:14" ht="15">
      <c r="A2488" s="817"/>
      <c r="C2488" s="559"/>
      <c r="D2488" s="706"/>
      <c r="E2488" s="707" t="s">
        <v>1787</v>
      </c>
      <c r="F2488" s="637"/>
      <c r="G2488" s="637"/>
      <c r="H2488" s="663" t="s">
        <v>884</v>
      </c>
      <c r="I2488" s="708"/>
      <c r="J2488" s="709">
        <v>2021</v>
      </c>
      <c r="K2488" s="671">
        <v>2022</v>
      </c>
      <c r="L2488" s="671">
        <v>2023</v>
      </c>
      <c r="M2488" s="671">
        <v>2024</v>
      </c>
      <c r="N2488" s="710">
        <v>2025</v>
      </c>
    </row>
    <row r="2489" spans="1:14" ht="15">
      <c r="A2489" s="817"/>
      <c r="C2489" s="559"/>
      <c r="D2489" s="706"/>
      <c r="E2489" s="711" t="s">
        <v>1783</v>
      </c>
      <c r="F2489" s="712"/>
      <c r="G2489" s="712"/>
      <c r="H2489" s="713" t="s">
        <v>1021</v>
      </c>
      <c r="I2489" s="712"/>
      <c r="J2489" s="151" t="str">
        <f>IFERROR(IF([1]K_Summary!$J$2474 = "", "", [1]K_Summary!$J$2474 ),"")</f>
        <v/>
      </c>
      <c r="K2489" s="152" t="str">
        <f>IFERROR(IF([1]K_Summary!$K$2474 = "", "", [1]K_Summary!$K$2474 ),"")</f>
        <v/>
      </c>
      <c r="L2489" s="152" t="str">
        <f>IFERROR(IF([1]K_Summary!$L$2474 = "", "", [1]K_Summary!$L$2474 ),"")</f>
        <v/>
      </c>
      <c r="M2489" s="152" t="str">
        <f>IFERROR(IF([1]K_Summary!$M$2474 = "", "", [1]K_Summary!$M$2474 ),"")</f>
        <v/>
      </c>
      <c r="N2489" s="153" t="str">
        <f>IFERROR(IF([1]K_Summary!$N$2474 = "", "", [1]K_Summary!$N$2474 ),"")</f>
        <v/>
      </c>
    </row>
    <row r="2490" spans="1:14" ht="15">
      <c r="A2490" s="817"/>
      <c r="C2490" s="559"/>
      <c r="D2490" s="706"/>
      <c r="E2490" s="714" t="s">
        <v>1784</v>
      </c>
      <c r="F2490" s="715"/>
      <c r="G2490" s="715"/>
      <c r="H2490" s="716" t="s">
        <v>1021</v>
      </c>
      <c r="I2490" s="715"/>
      <c r="J2490" s="154" t="str">
        <f>IFERROR(IF([1]K_Summary!$J$2475 = "", "", [1]K_Summary!$J$2475 ),"")</f>
        <v/>
      </c>
      <c r="K2490" s="155" t="str">
        <f>IFERROR(IF([1]K_Summary!$K$2475 = "", "", [1]K_Summary!$K$2475 ),"")</f>
        <v/>
      </c>
      <c r="L2490" s="155" t="str">
        <f>IFERROR(IF([1]K_Summary!$L$2475 = "", "", [1]K_Summary!$L$2475 ),"")</f>
        <v/>
      </c>
      <c r="M2490" s="155" t="str">
        <f>IFERROR(IF([1]K_Summary!$M$2475 = "", "", [1]K_Summary!$M$2475 ),"")</f>
        <v/>
      </c>
      <c r="N2490" s="156" t="str">
        <f>IFERROR(IF([1]K_Summary!$N$2475 = "", "", [1]K_Summary!$N$2475 ),"")</f>
        <v/>
      </c>
    </row>
    <row r="2491" spans="1:14" ht="15">
      <c r="A2491" s="817"/>
      <c r="C2491" s="559"/>
      <c r="D2491" s="706"/>
      <c r="E2491" s="559"/>
      <c r="F2491" s="559"/>
      <c r="G2491" s="559"/>
      <c r="H2491" s="559"/>
      <c r="I2491" s="559"/>
      <c r="J2491" s="559"/>
      <c r="K2491" s="559"/>
      <c r="L2491" s="559"/>
      <c r="M2491" s="559"/>
      <c r="N2491" s="717"/>
    </row>
    <row r="2492" spans="1:14" ht="15">
      <c r="A2492" s="817"/>
      <c r="C2492" s="559"/>
      <c r="D2492" s="706"/>
      <c r="E2492" s="496" t="s">
        <v>1762</v>
      </c>
      <c r="F2492" s="485"/>
      <c r="G2492" s="485"/>
      <c r="H2492" s="663" t="s">
        <v>884</v>
      </c>
      <c r="I2492" s="708"/>
      <c r="J2492" s="696">
        <v>2021</v>
      </c>
      <c r="K2492" s="578">
        <v>2022</v>
      </c>
      <c r="L2492" s="578">
        <v>2023</v>
      </c>
      <c r="M2492" s="578">
        <v>2024</v>
      </c>
      <c r="N2492" s="718">
        <v>2025</v>
      </c>
    </row>
    <row r="2493" spans="1:14" ht="15" hidden="1">
      <c r="A2493" s="817" t="s">
        <v>2289</v>
      </c>
      <c r="C2493" s="559"/>
      <c r="D2493" s="706"/>
      <c r="E2493" s="698" t="s">
        <v>1714</v>
      </c>
      <c r="F2493" s="698"/>
      <c r="G2493" s="698"/>
      <c r="H2493" s="63" t="str">
        <f>IFERROR(IF([1]K_Summary!$H$2478 = "", "", [1]K_Summary!$H$2478 ),"")</f>
        <v>t CO2e</v>
      </c>
      <c r="I2493" s="698"/>
      <c r="J2493" s="247" t="str">
        <f>IFERROR(IF([1]K_Summary!$J$2478 = "", "", [1]K_Summary!$J$2478 ),"")</f>
        <v/>
      </c>
      <c r="K2493" s="248" t="str">
        <f>IFERROR(IF([1]K_Summary!$K$2478 = "", "", [1]K_Summary!$K$2478 ),"")</f>
        <v/>
      </c>
      <c r="L2493" s="248" t="str">
        <f>IFERROR(IF([1]K_Summary!$L$2478 = "", "", [1]K_Summary!$L$2478 ),"")</f>
        <v/>
      </c>
      <c r="M2493" s="248" t="str">
        <f>IFERROR(IF([1]K_Summary!$M$2478 = "", "", [1]K_Summary!$M$2478 ),"")</f>
        <v/>
      </c>
      <c r="N2493" s="249" t="str">
        <f>IFERROR(IF([1]K_Summary!$N$2478 = "", "", [1]K_Summary!$N$2478 ),"")</f>
        <v/>
      </c>
    </row>
    <row r="2494" spans="1:14" ht="15">
      <c r="C2494" s="559"/>
      <c r="D2494" s="706"/>
      <c r="E2494" s="698" t="s">
        <v>1671</v>
      </c>
      <c r="F2494" s="698"/>
      <c r="G2494" s="698"/>
      <c r="H2494" s="730" t="s">
        <v>2090</v>
      </c>
      <c r="I2494" s="731"/>
      <c r="J2494" s="148" t="str">
        <f>IFERROR(IF([1]K_Summary!$J$2479 = "", "", [1]K_Summary!$J$2479 ),"")</f>
        <v/>
      </c>
      <c r="K2494" s="150" t="str">
        <f>IFERROR(IF([1]K_Summary!$K$2479 = "", "", [1]K_Summary!$K$2479 ),"")</f>
        <v/>
      </c>
      <c r="L2494" s="150" t="str">
        <f>IFERROR(IF([1]K_Summary!$L$2479 = "", "", [1]K_Summary!$L$2479 ),"")</f>
        <v/>
      </c>
      <c r="M2494" s="150" t="str">
        <f>IFERROR(IF([1]K_Summary!$M$2479 = "", "", [1]K_Summary!$M$2479 ),"")</f>
        <v/>
      </c>
      <c r="N2494" s="171" t="str">
        <f>IFERROR(IF([1]K_Summary!$N$2479 = "", "", [1]K_Summary!$N$2479 ),"")</f>
        <v/>
      </c>
    </row>
    <row r="2495" spans="1:14" ht="15">
      <c r="C2495" s="559"/>
      <c r="D2495" s="706"/>
      <c r="E2495" s="559"/>
      <c r="F2495" s="559"/>
      <c r="G2495" s="559"/>
      <c r="H2495" s="559"/>
      <c r="I2495" s="559"/>
      <c r="J2495" s="559"/>
      <c r="K2495" s="559"/>
      <c r="L2495" s="559"/>
      <c r="M2495" s="559"/>
      <c r="N2495" s="717"/>
    </row>
    <row r="2496" spans="1:14" ht="15">
      <c r="C2496" s="559"/>
      <c r="D2496" s="706"/>
      <c r="E2496" s="707" t="s">
        <v>1752</v>
      </c>
      <c r="F2496" s="637"/>
      <c r="G2496" s="637"/>
      <c r="H2496" s="663" t="s">
        <v>884</v>
      </c>
      <c r="I2496" s="708"/>
      <c r="J2496" s="709">
        <v>2021</v>
      </c>
      <c r="K2496" s="671">
        <v>2022</v>
      </c>
      <c r="L2496" s="671">
        <v>2023</v>
      </c>
      <c r="M2496" s="671">
        <v>2024</v>
      </c>
      <c r="N2496" s="710">
        <v>2025</v>
      </c>
    </row>
    <row r="2497" spans="3:14" ht="15">
      <c r="C2497" s="559"/>
      <c r="D2497" s="706"/>
      <c r="E2497" s="720" t="s">
        <v>1691</v>
      </c>
      <c r="F2497" s="720"/>
      <c r="G2497" s="720"/>
      <c r="H2497" s="67" t="str">
        <f>IFERROR(IF([1]K_Summary!$H$2482 = "", "", [1]K_Summary!$H$2482 ),"")</f>
        <v>t CO2e</v>
      </c>
      <c r="I2497" s="733"/>
      <c r="J2497" s="250" t="str">
        <f>IFERROR(IF([1]K_Summary!$J$2482 = "", "", [1]K_Summary!$J$2482 ),"")</f>
        <v/>
      </c>
      <c r="K2497" s="251" t="str">
        <f>IFERROR(IF([1]K_Summary!$K$2482 = "", "", [1]K_Summary!$K$2482 ),"")</f>
        <v/>
      </c>
      <c r="L2497" s="251" t="str">
        <f>IFERROR(IF([1]K_Summary!$L$2482 = "", "", [1]K_Summary!$L$2482 ),"")</f>
        <v/>
      </c>
      <c r="M2497" s="251" t="str">
        <f>IFERROR(IF([1]K_Summary!$M$2482 = "", "", [1]K_Summary!$M$2482 ),"")</f>
        <v/>
      </c>
      <c r="N2497" s="252" t="str">
        <f>IFERROR(IF([1]K_Summary!$N$2482 = "", "", [1]K_Summary!$N$2482 ),"")</f>
        <v/>
      </c>
    </row>
    <row r="2498" spans="3:14" ht="15">
      <c r="C2498" s="559"/>
      <c r="D2498" s="706"/>
      <c r="E2498" s="723" t="s">
        <v>1648</v>
      </c>
      <c r="F2498" s="723"/>
      <c r="G2498" s="723"/>
      <c r="H2498" s="734" t="s">
        <v>1021</v>
      </c>
      <c r="I2498" s="735"/>
      <c r="J2498" s="174" t="str">
        <f>IFERROR(IF([1]K_Summary!$J$2483 = "", "", [1]K_Summary!$J$2483 ),"")</f>
        <v/>
      </c>
      <c r="K2498" s="175" t="str">
        <f>IFERROR(IF([1]K_Summary!$K$2483 = "", "", [1]K_Summary!$K$2483 ),"")</f>
        <v/>
      </c>
      <c r="L2498" s="175" t="str">
        <f>IFERROR(IF([1]K_Summary!$L$2483 = "", "", [1]K_Summary!$L$2483 ),"")</f>
        <v/>
      </c>
      <c r="M2498" s="175" t="str">
        <f>IFERROR(IF([1]K_Summary!$M$2483 = "", "", [1]K_Summary!$M$2483 ),"")</f>
        <v/>
      </c>
      <c r="N2498" s="176" t="str">
        <f>IFERROR(IF([1]K_Summary!$N$2483 = "", "", [1]K_Summary!$N$2483 ),"")</f>
        <v/>
      </c>
    </row>
    <row r="2499" spans="3:14" ht="15">
      <c r="C2499" s="559"/>
      <c r="D2499" s="706"/>
      <c r="E2499" s="736" t="s">
        <v>1785</v>
      </c>
      <c r="F2499" s="736"/>
      <c r="G2499" s="736"/>
      <c r="H2499" s="737" t="s">
        <v>1021</v>
      </c>
      <c r="I2499" s="738"/>
      <c r="J2499" s="177" t="str">
        <f>IFERROR(IF([1]K_Summary!$J$2484 = "", "", [1]K_Summary!$J$2484 ),"")</f>
        <v/>
      </c>
      <c r="K2499" s="178" t="str">
        <f>IFERROR(IF([1]K_Summary!$K$2484 = "", "", [1]K_Summary!$K$2484 ),"")</f>
        <v/>
      </c>
      <c r="L2499" s="178" t="str">
        <f>IFERROR(IF([1]K_Summary!$L$2484 = "", "", [1]K_Summary!$L$2484 ),"")</f>
        <v/>
      </c>
      <c r="M2499" s="178" t="str">
        <f>IFERROR(IF([1]K_Summary!$M$2484 = "", "", [1]K_Summary!$M$2484 ),"")</f>
        <v/>
      </c>
      <c r="N2499" s="179" t="str">
        <f>IFERROR(IF([1]K_Summary!$N$2484 = "", "", [1]K_Summary!$N$2484 ),"")</f>
        <v/>
      </c>
    </row>
    <row r="2500" spans="3:14" ht="15">
      <c r="C2500" s="559"/>
      <c r="D2500" s="706"/>
      <c r="E2500" s="727" t="s">
        <v>1689</v>
      </c>
      <c r="F2500" s="727"/>
      <c r="G2500" s="727"/>
      <c r="H2500" s="68" t="str">
        <f>IFERROR(IF([1]K_Summary!$H$2485 = "", "", [1]K_Summary!$H$2485 ),"")</f>
        <v>t CO2e</v>
      </c>
      <c r="I2500" s="727"/>
      <c r="J2500" s="253" t="str">
        <f>IFERROR(IF([1]K_Summary!$J$2485 = "", "", [1]K_Summary!$J$2485 ),"")</f>
        <v/>
      </c>
      <c r="K2500" s="254" t="str">
        <f>IFERROR(IF([1]K_Summary!$K$2485 = "", "", [1]K_Summary!$K$2485 ),"")</f>
        <v/>
      </c>
      <c r="L2500" s="254" t="str">
        <f>IFERROR(IF([1]K_Summary!$L$2485 = "", "", [1]K_Summary!$L$2485 ),"")</f>
        <v/>
      </c>
      <c r="M2500" s="254" t="str">
        <f>IFERROR(IF([1]K_Summary!$M$2485 = "", "", [1]K_Summary!$M$2485 ),"")</f>
        <v/>
      </c>
      <c r="N2500" s="255" t="str">
        <f>IFERROR(IF([1]K_Summary!$N$2485 = "", "", [1]K_Summary!$N$2485 ),"")</f>
        <v/>
      </c>
    </row>
    <row r="2501" spans="3:14" ht="15">
      <c r="C2501" s="559"/>
      <c r="D2501" s="706"/>
      <c r="E2501" s="698" t="s">
        <v>1671</v>
      </c>
      <c r="F2501" s="698"/>
      <c r="G2501" s="698"/>
      <c r="H2501" s="730" t="s">
        <v>2090</v>
      </c>
      <c r="I2501" s="731"/>
      <c r="J2501" s="148" t="str">
        <f>IFERROR(IF([1]K_Summary!$J$2486 = "", "", [1]K_Summary!$J$2486 ),"")</f>
        <v/>
      </c>
      <c r="K2501" s="150" t="str">
        <f>IFERROR(IF([1]K_Summary!$K$2486 = "", "", [1]K_Summary!$K$2486 ),"")</f>
        <v/>
      </c>
      <c r="L2501" s="150" t="str">
        <f>IFERROR(IF([1]K_Summary!$L$2486 = "", "", [1]K_Summary!$L$2486 ),"")</f>
        <v/>
      </c>
      <c r="M2501" s="150" t="str">
        <f>IFERROR(IF([1]K_Summary!$M$2486 = "", "", [1]K_Summary!$M$2486 ),"")</f>
        <v/>
      </c>
      <c r="N2501" s="171" t="str">
        <f>IFERROR(IF([1]K_Summary!$N$2486 = "", "", [1]K_Summary!$N$2486 ),"")</f>
        <v/>
      </c>
    </row>
    <row r="2502" spans="3:14" ht="15">
      <c r="C2502" s="559"/>
      <c r="D2502" s="706"/>
      <c r="E2502" s="698" t="s">
        <v>1670</v>
      </c>
      <c r="F2502" s="698"/>
      <c r="G2502" s="698"/>
      <c r="H2502" s="730" t="s">
        <v>2090</v>
      </c>
      <c r="I2502" s="731"/>
      <c r="J2502" s="148" t="str">
        <f>IFERROR(IF([1]K_Summary!$J$2487 = "", "", [1]K_Summary!$J$2487 ),"")</f>
        <v/>
      </c>
      <c r="K2502" s="150" t="str">
        <f>IFERROR(IF([1]K_Summary!$K$2487 = "", "", [1]K_Summary!$K$2487 ),"")</f>
        <v/>
      </c>
      <c r="L2502" s="150" t="str">
        <f>IFERROR(IF([1]K_Summary!$L$2487 = "", "", [1]K_Summary!$L$2487 ),"")</f>
        <v/>
      </c>
      <c r="M2502" s="150" t="str">
        <f>IFERROR(IF([1]K_Summary!$M$2487 = "", "", [1]K_Summary!$M$2487 ),"")</f>
        <v/>
      </c>
      <c r="N2502" s="171" t="str">
        <f>IFERROR(IF([1]K_Summary!$N$2487 = "", "", [1]K_Summary!$N$2487 ),"")</f>
        <v/>
      </c>
    </row>
    <row r="2503" spans="3:14" ht="15">
      <c r="C2503" s="559"/>
      <c r="D2503" s="706"/>
      <c r="E2503" s="740" t="s">
        <v>2136</v>
      </c>
      <c r="F2503" s="740"/>
      <c r="G2503" s="740"/>
      <c r="H2503" s="741" t="s">
        <v>1021</v>
      </c>
      <c r="I2503" s="742"/>
      <c r="J2503" s="183" t="str">
        <f>IFERROR(IF([1]K_Summary!$J$2488 = "", "", [1]K_Summary!$J$2488 ),"")</f>
        <v/>
      </c>
      <c r="K2503" s="184" t="str">
        <f>IFERROR(IF([1]K_Summary!$K$2488 = "", "", [1]K_Summary!$K$2488 ),"")</f>
        <v/>
      </c>
      <c r="L2503" s="184" t="str">
        <f>IFERROR(IF([1]K_Summary!$L$2488 = "", "", [1]K_Summary!$L$2488 ),"")</f>
        <v/>
      </c>
      <c r="M2503" s="184" t="str">
        <f>IFERROR(IF([1]K_Summary!$M$2488 = "", "", [1]K_Summary!$M$2488 ),"")</f>
        <v/>
      </c>
      <c r="N2503" s="185" t="str">
        <f>IFERROR(IF([1]K_Summary!$N$2488 = "", "", [1]K_Summary!$N$2488 ),"")</f>
        <v/>
      </c>
    </row>
    <row r="2504" spans="3:14" ht="13.5" thickBot="1">
      <c r="C2504" s="485"/>
      <c r="D2504" s="771"/>
      <c r="E2504" s="756"/>
      <c r="F2504" s="756"/>
      <c r="G2504" s="756"/>
      <c r="H2504" s="756"/>
      <c r="I2504" s="835"/>
      <c r="J2504" s="756"/>
      <c r="K2504" s="756"/>
      <c r="L2504" s="756"/>
      <c r="M2504" s="756"/>
      <c r="N2504" s="758"/>
    </row>
    <row r="2505" spans="3:14" ht="13.5" thickBot="1">
      <c r="C2505" s="485"/>
      <c r="D2505" s="485"/>
      <c r="E2505" s="485"/>
      <c r="F2505" s="485"/>
      <c r="G2505" s="485"/>
      <c r="H2505" s="485"/>
      <c r="I2505" s="836"/>
      <c r="J2505" s="485"/>
      <c r="K2505" s="485"/>
      <c r="L2505" s="485"/>
      <c r="M2505" s="485"/>
      <c r="N2505" s="485"/>
    </row>
    <row r="2506" spans="3:14">
      <c r="C2506" s="485"/>
      <c r="D2506" s="759"/>
      <c r="E2506" s="760"/>
      <c r="F2506" s="760"/>
      <c r="G2506" s="760"/>
      <c r="H2506" s="760"/>
      <c r="I2506" s="761"/>
      <c r="J2506" s="760"/>
      <c r="K2506" s="760"/>
      <c r="L2506" s="760"/>
      <c r="M2506" s="760"/>
      <c r="N2506" s="762"/>
    </row>
    <row r="2507" spans="3:14">
      <c r="C2507" s="485"/>
      <c r="D2507" s="539"/>
      <c r="E2507" s="496" t="s">
        <v>1786</v>
      </c>
      <c r="F2507" s="485"/>
      <c r="G2507" s="485"/>
      <c r="H2507" s="663" t="s">
        <v>884</v>
      </c>
      <c r="I2507" s="837" t="s">
        <v>1675</v>
      </c>
      <c r="J2507" s="709">
        <v>2021</v>
      </c>
      <c r="K2507" s="671">
        <v>2022</v>
      </c>
      <c r="L2507" s="671">
        <v>2023</v>
      </c>
      <c r="M2507" s="671">
        <v>2024</v>
      </c>
      <c r="N2507" s="710">
        <v>2025</v>
      </c>
    </row>
    <row r="2508" spans="3:14">
      <c r="C2508" s="485"/>
      <c r="D2508" s="539"/>
      <c r="E2508" s="698" t="s">
        <v>1692</v>
      </c>
      <c r="F2508" s="698"/>
      <c r="G2508" s="698"/>
      <c r="H2508" s="63" t="str">
        <f>IFERROR(IF([1]K_Summary!$H$2493 = "", "", [1]K_Summary!$H$2493 ),"")</f>
        <v>t CO2e</v>
      </c>
      <c r="I2508" s="247" t="str">
        <f>IFERROR([1]K_Summary!$I$2493,"")</f>
        <v/>
      </c>
      <c r="J2508" s="240" t="str">
        <f>IFERROR(IF([1]K_Summary!$J$2493 = "", "", [1]K_Summary!$J$2493 ),"")</f>
        <v/>
      </c>
      <c r="K2508" s="242" t="str">
        <f>IFERROR(IF([1]K_Summary!$K$2493 = "", "", [1]K_Summary!$K$2493 ),"")</f>
        <v/>
      </c>
      <c r="L2508" s="242" t="str">
        <f>IFERROR(IF([1]K_Summary!$L$2493 = "", "", [1]K_Summary!$L$2493 ),"")</f>
        <v/>
      </c>
      <c r="M2508" s="242" t="str">
        <f>IFERROR(IF([1]K_Summary!$M$2493 = "", "", [1]K_Summary!$M$2493 ),"")</f>
        <v/>
      </c>
      <c r="N2508" s="265" t="str">
        <f>IFERROR(IF([1]K_Summary!$N$2493 = "", "", [1]K_Summary!$N$2493 ),"")</f>
        <v/>
      </c>
    </row>
    <row r="2509" spans="3:14">
      <c r="C2509" s="485"/>
      <c r="D2509" s="539"/>
      <c r="E2509" s="698" t="s">
        <v>222</v>
      </c>
      <c r="F2509" s="698"/>
      <c r="G2509" s="698"/>
      <c r="H2509" s="730" t="s">
        <v>2090</v>
      </c>
      <c r="I2509" s="266" t="str">
        <f>IFERROR(IF([1]K_Summary!$I$2494 = "", "", [1]K_Summary!$I$2494 ),"")</f>
        <v/>
      </c>
      <c r="J2509" s="148" t="str">
        <f>IFERROR(IF([1]K_Summary!$J$2494 = "", "", [1]K_Summary!$J$2494 ),"")</f>
        <v/>
      </c>
      <c r="K2509" s="150" t="str">
        <f>IFERROR(IF([1]K_Summary!$K$2494 = "", "", [1]K_Summary!$K$2494 ),"")</f>
        <v/>
      </c>
      <c r="L2509" s="150" t="str">
        <f>IFERROR(IF([1]K_Summary!$L$2494 = "", "", [1]K_Summary!$L$2494 ),"")</f>
        <v/>
      </c>
      <c r="M2509" s="150" t="str">
        <f>IFERROR(IF([1]K_Summary!$M$2494 = "", "", [1]K_Summary!$M$2494 ),"")</f>
        <v/>
      </c>
      <c r="N2509" s="171" t="str">
        <f>IFERROR(IF([1]K_Summary!$N$2494 = "", "", [1]K_Summary!$N$2494 ),"")</f>
        <v/>
      </c>
    </row>
    <row r="2510" spans="3:14" ht="13.5" thickBot="1">
      <c r="C2510" s="485"/>
      <c r="D2510" s="771"/>
      <c r="E2510" s="756"/>
      <c r="F2510" s="756"/>
      <c r="G2510" s="756"/>
      <c r="H2510" s="756"/>
      <c r="I2510" s="756"/>
      <c r="J2510" s="756"/>
      <c r="K2510" s="756"/>
      <c r="L2510" s="756"/>
      <c r="M2510" s="756"/>
      <c r="N2510" s="758"/>
    </row>
    <row r="2511" spans="3:14" ht="13.5" thickBot="1">
      <c r="C2511" s="485"/>
      <c r="D2511" s="485"/>
      <c r="E2511" s="485"/>
      <c r="F2511" s="485"/>
      <c r="G2511" s="485"/>
      <c r="H2511" s="562"/>
      <c r="I2511" s="562"/>
      <c r="J2511" s="562"/>
      <c r="K2511" s="562"/>
      <c r="L2511" s="562"/>
      <c r="M2511" s="485"/>
      <c r="N2511" s="485"/>
    </row>
    <row r="2512" spans="3:14">
      <c r="C2512" s="485"/>
      <c r="D2512" s="772"/>
      <c r="E2512" s="773"/>
      <c r="F2512" s="774"/>
      <c r="G2512" s="774"/>
      <c r="H2512" s="774"/>
      <c r="I2512" s="774"/>
      <c r="J2512" s="774"/>
      <c r="K2512" s="774"/>
      <c r="L2512" s="774"/>
      <c r="M2512" s="774"/>
      <c r="N2512" s="775"/>
    </row>
    <row r="2513" spans="3:14" ht="13.5" thickBot="1">
      <c r="C2513" s="485"/>
      <c r="D2513" s="776"/>
      <c r="E2513" s="777"/>
      <c r="F2513" s="813"/>
      <c r="G2513" s="778" t="s">
        <v>884</v>
      </c>
      <c r="H2513" s="843">
        <v>2019</v>
      </c>
      <c r="I2513" s="844">
        <v>2020</v>
      </c>
      <c r="J2513" s="843">
        <v>2021</v>
      </c>
      <c r="K2513" s="844">
        <v>2022</v>
      </c>
      <c r="L2513" s="844">
        <v>2023</v>
      </c>
      <c r="M2513" s="844">
        <v>2024</v>
      </c>
      <c r="N2513" s="850">
        <v>2025</v>
      </c>
    </row>
    <row r="2514" spans="3:14" ht="13.5" thickBot="1">
      <c r="C2514" s="485"/>
      <c r="D2514" s="776"/>
      <c r="E2514" s="845" t="s">
        <v>1504</v>
      </c>
      <c r="F2514" s="845"/>
      <c r="G2514" s="808" t="s">
        <v>2016</v>
      </c>
      <c r="H2514" s="225" t="str">
        <f>IFERROR(IF([1]K_Summary!$H$2499 = "", "", [1]K_Summary!$H$2499 ),"")</f>
        <v/>
      </c>
      <c r="I2514" s="227" t="str">
        <f>IFERROR(IF([1]K_Summary!$I$2499 = "", "", [1]K_Summary!$I$2499 ),"")</f>
        <v/>
      </c>
      <c r="J2514" s="225" t="str">
        <f>IFERROR(IF([1]K_Summary!$J$2499 = "", "", [1]K_Summary!$J$2499 ),"")</f>
        <v/>
      </c>
      <c r="K2514" s="227" t="str">
        <f>IFERROR(IF([1]K_Summary!$K$2499 = "", "", [1]K_Summary!$K$2499 ),"")</f>
        <v/>
      </c>
      <c r="L2514" s="227" t="str">
        <f>IFERROR(IF([1]K_Summary!$L$2499 = "", "", [1]K_Summary!$L$2499 ),"")</f>
        <v/>
      </c>
      <c r="M2514" s="227" t="str">
        <f>IFERROR(IF([1]K_Summary!$M$2499 = "", "", [1]K_Summary!$M$2499 ),"")</f>
        <v/>
      </c>
      <c r="N2514" s="228" t="str">
        <f>IFERROR(IF([1]K_Summary!$N$2499 = "", "", [1]K_Summary!$N$2499 ),"")</f>
        <v/>
      </c>
    </row>
    <row r="2515" spans="3:14" ht="13.5" thickBot="1">
      <c r="C2515" s="485"/>
      <c r="D2515" s="839"/>
      <c r="E2515" s="805"/>
      <c r="F2515" s="805"/>
      <c r="G2515" s="805"/>
      <c r="H2515" s="805"/>
      <c r="I2515" s="805"/>
      <c r="J2515" s="805"/>
      <c r="K2515" s="805"/>
      <c r="L2515" s="805"/>
      <c r="M2515" s="805"/>
      <c r="N2515" s="806"/>
    </row>
    <row r="2516" spans="3:14">
      <c r="C2516" s="485"/>
      <c r="D2516" s="485"/>
      <c r="E2516" s="485"/>
      <c r="F2516" s="485"/>
      <c r="G2516" s="485"/>
      <c r="H2516" s="485"/>
      <c r="I2516" s="485"/>
      <c r="J2516" s="485"/>
      <c r="K2516" s="485"/>
      <c r="L2516" s="485"/>
      <c r="M2516" s="485"/>
      <c r="N2516" s="485"/>
    </row>
    <row r="2517" spans="3:14" ht="15.75">
      <c r="C2517" s="507" t="s">
        <v>636</v>
      </c>
      <c r="D2517" s="558" t="s">
        <v>14</v>
      </c>
      <c r="E2517" s="558"/>
      <c r="F2517" s="558"/>
      <c r="G2517" s="558"/>
      <c r="H2517" s="558"/>
      <c r="I2517" s="558"/>
      <c r="J2517" s="558"/>
      <c r="K2517" s="558"/>
      <c r="L2517" s="558"/>
      <c r="M2517" s="558"/>
      <c r="N2517" s="558"/>
    </row>
    <row r="2518" spans="3:14">
      <c r="C2518" s="485"/>
      <c r="D2518" s="485"/>
      <c r="E2518" s="485"/>
      <c r="F2518" s="485"/>
      <c r="G2518" s="485"/>
      <c r="H2518" s="485"/>
      <c r="I2518" s="485"/>
      <c r="J2518" s="485"/>
      <c r="K2518" s="485"/>
      <c r="L2518" s="485"/>
      <c r="M2518" s="485"/>
      <c r="N2518" s="485"/>
    </row>
    <row r="2519" spans="3:14" ht="38.25" customHeight="1">
      <c r="C2519" s="467"/>
      <c r="D2519" s="485"/>
      <c r="E2519" s="2465" t="s">
        <v>2697</v>
      </c>
      <c r="F2519" s="2400"/>
      <c r="G2519" s="2400"/>
      <c r="H2519" s="2400"/>
      <c r="I2519" s="2400"/>
      <c r="J2519" s="2400"/>
      <c r="K2519" s="2400"/>
      <c r="L2519" s="2400"/>
      <c r="M2519" s="2400"/>
      <c r="N2519" s="2400"/>
    </row>
    <row r="2520" spans="3:14">
      <c r="C2520" s="467"/>
      <c r="D2520" s="485"/>
      <c r="E2520" s="595" t="s">
        <v>1021</v>
      </c>
      <c r="F2520" s="2465" t="s">
        <v>1949</v>
      </c>
      <c r="G2520" s="2465"/>
      <c r="H2520" s="2465"/>
      <c r="I2520" s="2465"/>
      <c r="J2520" s="2465"/>
      <c r="K2520" s="2465"/>
      <c r="L2520" s="2465"/>
      <c r="M2520" s="2465"/>
      <c r="N2520" s="2465"/>
    </row>
    <row r="2521" spans="3:14">
      <c r="C2521" s="467"/>
      <c r="D2521" s="485"/>
      <c r="E2521" s="595" t="s">
        <v>1021</v>
      </c>
      <c r="F2521" s="2465" t="s">
        <v>1950</v>
      </c>
      <c r="G2521" s="2465"/>
      <c r="H2521" s="2465"/>
      <c r="I2521" s="2465"/>
      <c r="J2521" s="2465"/>
      <c r="K2521" s="2465"/>
      <c r="L2521" s="2465"/>
      <c r="M2521" s="2465"/>
      <c r="N2521" s="2465"/>
    </row>
    <row r="2522" spans="3:14">
      <c r="C2522" s="467"/>
      <c r="D2522" s="485"/>
      <c r="E2522" s="595" t="s">
        <v>1021</v>
      </c>
      <c r="F2522" s="2465" t="s">
        <v>15</v>
      </c>
      <c r="G2522" s="2465"/>
      <c r="H2522" s="2465"/>
      <c r="I2522" s="2465"/>
      <c r="J2522" s="2465"/>
      <c r="K2522" s="2465"/>
      <c r="L2522" s="2465"/>
      <c r="M2522" s="2465"/>
      <c r="N2522" s="2465"/>
    </row>
    <row r="2523" spans="3:14" ht="13.5" thickBot="1">
      <c r="C2523" s="467"/>
      <c r="D2523" s="485"/>
      <c r="E2523" s="595"/>
      <c r="F2523" s="593"/>
      <c r="G2523" s="593"/>
      <c r="H2523" s="593"/>
      <c r="I2523" s="593"/>
      <c r="J2523" s="593"/>
      <c r="K2523" s="593"/>
      <c r="L2523" s="593"/>
      <c r="M2523" s="593"/>
      <c r="N2523" s="593"/>
    </row>
    <row r="2524" spans="3:14" ht="55.15" customHeight="1" thickBot="1">
      <c r="C2524" s="471"/>
      <c r="D2524" s="2501" t="s">
        <v>2698</v>
      </c>
      <c r="E2524" s="2502"/>
      <c r="F2524" s="2502"/>
      <c r="G2524" s="2502"/>
      <c r="H2524" s="2502"/>
      <c r="I2524" s="2502"/>
      <c r="J2524" s="2502"/>
      <c r="K2524" s="2502"/>
      <c r="L2524" s="2502"/>
      <c r="M2524" s="2502"/>
      <c r="N2524" s="2503"/>
    </row>
    <row r="2525" spans="3:14">
      <c r="C2525" s="485"/>
      <c r="D2525" s="485"/>
      <c r="E2525" s="485"/>
      <c r="F2525" s="485"/>
      <c r="G2525" s="485"/>
      <c r="H2525" s="485"/>
      <c r="I2525" s="485"/>
      <c r="J2525" s="485"/>
      <c r="K2525" s="485"/>
      <c r="L2525" s="485"/>
      <c r="M2525" s="485"/>
      <c r="N2525" s="485"/>
    </row>
    <row r="2526" spans="3:14" ht="15">
      <c r="C2526" s="559">
        <v>1</v>
      </c>
      <c r="D2526" s="2464" t="s">
        <v>16</v>
      </c>
      <c r="E2526" s="2391"/>
      <c r="F2526" s="2391"/>
      <c r="G2526" s="2391"/>
      <c r="H2526" s="2391"/>
      <c r="I2526" s="2391"/>
      <c r="J2526" s="2391"/>
      <c r="K2526" s="2391"/>
      <c r="L2526" s="2391"/>
      <c r="M2526" s="2391"/>
      <c r="N2526" s="2391"/>
    </row>
    <row r="2527" spans="3:14" ht="39.75" customHeight="1">
      <c r="C2527" s="467"/>
      <c r="D2527" s="485"/>
      <c r="E2527" s="2465" t="s">
        <v>1533</v>
      </c>
      <c r="F2527" s="2400"/>
      <c r="G2527" s="2400"/>
      <c r="H2527" s="2400"/>
      <c r="I2527" s="2400"/>
      <c r="J2527" s="2400"/>
      <c r="K2527" s="2400"/>
      <c r="L2527" s="2400"/>
      <c r="M2527" s="2400"/>
      <c r="N2527" s="2400"/>
    </row>
    <row r="2528" spans="3:14" ht="15.6" customHeight="1">
      <c r="C2528" s="467"/>
      <c r="D2528" s="485"/>
      <c r="E2528" s="2466" t="s">
        <v>218</v>
      </c>
      <c r="F2528" s="2467"/>
      <c r="G2528" s="2467"/>
      <c r="H2528" s="2467"/>
      <c r="I2528" s="2467"/>
      <c r="J2528" s="2467"/>
      <c r="K2528" s="2467"/>
      <c r="L2528" s="2467"/>
      <c r="M2528" s="2467"/>
      <c r="N2528" s="2467"/>
    </row>
    <row r="2529" spans="3:14">
      <c r="C2529" s="485"/>
      <c r="D2529" s="485"/>
      <c r="E2529" s="485"/>
      <c r="F2529" s="485"/>
      <c r="G2529" s="485"/>
      <c r="H2529" s="485"/>
      <c r="I2529" s="485"/>
      <c r="J2529" s="485"/>
      <c r="K2529" s="485"/>
      <c r="L2529" s="485"/>
      <c r="M2529" s="485"/>
      <c r="N2529" s="485"/>
    </row>
    <row r="2530" spans="3:14">
      <c r="C2530" s="618"/>
      <c r="D2530" s="482" t="s">
        <v>400</v>
      </c>
      <c r="E2530" s="496" t="s">
        <v>566</v>
      </c>
      <c r="F2530" s="496"/>
      <c r="G2530" s="496"/>
      <c r="H2530" s="479"/>
      <c r="I2530" s="570"/>
      <c r="J2530" s="570"/>
      <c r="K2530" s="468"/>
      <c r="L2530" s="485"/>
      <c r="M2530" s="485"/>
      <c r="N2530" s="485"/>
    </row>
    <row r="2531" spans="3:14">
      <c r="C2531" s="485"/>
      <c r="D2531" s="485"/>
      <c r="E2531" s="637"/>
      <c r="F2531" s="637"/>
      <c r="G2531" s="637"/>
      <c r="H2531" s="637"/>
      <c r="I2531" s="637"/>
      <c r="J2531" s="671">
        <v>2021</v>
      </c>
      <c r="K2531" s="671">
        <v>2022</v>
      </c>
      <c r="L2531" s="671">
        <v>2023</v>
      </c>
      <c r="M2531" s="671">
        <v>2024</v>
      </c>
      <c r="N2531" s="671">
        <v>2025</v>
      </c>
    </row>
    <row r="2532" spans="3:14">
      <c r="C2532" s="485"/>
      <c r="D2532" s="485"/>
      <c r="E2532" s="2468" t="s">
        <v>1642</v>
      </c>
      <c r="F2532" s="2468"/>
      <c r="G2532" s="2468"/>
      <c r="H2532" s="2468"/>
      <c r="I2532" s="2468"/>
      <c r="J2532" s="851">
        <v>0.3</v>
      </c>
      <c r="K2532" s="851">
        <v>0.3</v>
      </c>
      <c r="L2532" s="851">
        <v>0.3</v>
      </c>
      <c r="M2532" s="851">
        <v>0.3</v>
      </c>
      <c r="N2532" s="851">
        <v>0.3</v>
      </c>
    </row>
    <row r="2533" spans="3:14">
      <c r="C2533" s="485"/>
      <c r="D2533" s="485"/>
      <c r="E2533" s="2468" t="s">
        <v>1589</v>
      </c>
      <c r="F2533" s="2468"/>
      <c r="G2533" s="2468"/>
      <c r="H2533" s="2468"/>
      <c r="I2533" s="2468"/>
      <c r="J2533" s="851">
        <v>0.3</v>
      </c>
      <c r="K2533" s="851">
        <v>0.3</v>
      </c>
      <c r="L2533" s="851">
        <v>0.3</v>
      </c>
      <c r="M2533" s="851">
        <v>0.3</v>
      </c>
      <c r="N2533" s="851">
        <v>0.3</v>
      </c>
    </row>
    <row r="2534" spans="3:14">
      <c r="C2534" s="485"/>
      <c r="D2534" s="485"/>
      <c r="E2534" s="2465" t="s">
        <v>1590</v>
      </c>
      <c r="F2534" s="2465"/>
      <c r="G2534" s="2465"/>
      <c r="H2534" s="2465"/>
      <c r="I2534" s="2465"/>
      <c r="J2534" s="2465"/>
      <c r="K2534" s="2465"/>
      <c r="L2534" s="2465"/>
      <c r="M2534" s="2465"/>
      <c r="N2534" s="2465"/>
    </row>
    <row r="2535" spans="3:14">
      <c r="C2535" s="485"/>
      <c r="D2535" s="485"/>
      <c r="E2535" s="485"/>
      <c r="F2535" s="485"/>
      <c r="G2535" s="485"/>
      <c r="H2535" s="485"/>
      <c r="I2535" s="485"/>
      <c r="J2535" s="485"/>
      <c r="K2535" s="485"/>
      <c r="L2535" s="485"/>
      <c r="M2535" s="485"/>
      <c r="N2535" s="485"/>
    </row>
    <row r="2536" spans="3:14">
      <c r="C2536" s="618"/>
      <c r="D2536" s="482" t="s">
        <v>876</v>
      </c>
      <c r="E2536" s="496" t="s">
        <v>2699</v>
      </c>
      <c r="F2536" s="496"/>
      <c r="G2536" s="496"/>
      <c r="H2536" s="479"/>
      <c r="I2536" s="570"/>
      <c r="J2536" s="570"/>
      <c r="K2536" s="468"/>
      <c r="L2536" s="485"/>
      <c r="M2536" s="485"/>
      <c r="N2536" s="485"/>
    </row>
    <row r="2537" spans="3:14">
      <c r="C2537" s="485"/>
      <c r="D2537" s="485"/>
      <c r="E2537" s="485"/>
      <c r="F2537" s="485"/>
      <c r="G2537" s="485"/>
      <c r="H2537" s="485"/>
      <c r="I2537" s="485"/>
      <c r="J2537" s="485"/>
      <c r="K2537" s="485"/>
      <c r="L2537" s="485"/>
      <c r="M2537" s="485"/>
      <c r="N2537" s="485"/>
    </row>
    <row r="2538" spans="3:14" ht="13.5" thickBot="1">
      <c r="C2538" s="485"/>
      <c r="D2538" s="2546" t="s">
        <v>831</v>
      </c>
      <c r="E2538" s="2547"/>
      <c r="F2538" s="2547"/>
      <c r="G2538" s="2547"/>
      <c r="H2538" s="2547"/>
      <c r="I2538" s="2548"/>
      <c r="J2538" s="578">
        <v>2021</v>
      </c>
      <c r="K2538" s="578">
        <v>2022</v>
      </c>
      <c r="L2538" s="578">
        <v>2023</v>
      </c>
      <c r="M2538" s="578">
        <v>2024</v>
      </c>
      <c r="N2538" s="578">
        <v>2025</v>
      </c>
    </row>
    <row r="2539" spans="3:14">
      <c r="C2539" s="852">
        <v>1</v>
      </c>
      <c r="D2539" s="2555" t="s">
        <v>165</v>
      </c>
      <c r="E2539" s="2555"/>
      <c r="F2539" s="2555"/>
      <c r="G2539" s="2555"/>
      <c r="H2539" s="2555"/>
      <c r="I2539" s="2555"/>
      <c r="J2539" s="268" t="str">
        <f>IFERROR(IF([1]K_Summary!$J$2524 = "", "", [1]K_Summary!$J$2524 ),"")</f>
        <v/>
      </c>
      <c r="K2539" s="268" t="str">
        <f>IFERROR(IF([1]K_Summary!$K$2524 = "", "", [1]K_Summary!$K$2524 ),"")</f>
        <v/>
      </c>
      <c r="L2539" s="268" t="str">
        <f>IFERROR(IF([1]K_Summary!$L$2524 = "", "", [1]K_Summary!$L$2524 ),"")</f>
        <v/>
      </c>
      <c r="M2539" s="268" t="str">
        <f>IFERROR(IF([1]K_Summary!$M$2524 = "", "", [1]K_Summary!$M$2524 ),"")</f>
        <v/>
      </c>
      <c r="N2539" s="268" t="str">
        <f>IFERROR(IF([1]K_Summary!$N$2524 = "", "", [1]K_Summary!$N$2524 ),"")</f>
        <v/>
      </c>
    </row>
    <row r="2540" spans="3:14">
      <c r="C2540" s="484">
        <v>2</v>
      </c>
      <c r="D2540" s="2468" t="s">
        <v>162</v>
      </c>
      <c r="E2540" s="2481"/>
      <c r="F2540" s="2481"/>
      <c r="G2540" s="2481"/>
      <c r="H2540" s="2481"/>
      <c r="I2540" s="2481"/>
      <c r="J2540" s="269" t="str">
        <f>IFERROR(IF([1]K_Summary!$J$2525 = "", "", [1]K_Summary!$J$2525 ),"")</f>
        <v/>
      </c>
      <c r="K2540" s="269" t="str">
        <f>IFERROR(IF([1]K_Summary!$K$2525 = "", "", [1]K_Summary!$K$2525 ),"")</f>
        <v/>
      </c>
      <c r="L2540" s="269" t="str">
        <f>IFERROR(IF([1]K_Summary!$L$2525 = "", "", [1]K_Summary!$L$2525 ),"")</f>
        <v/>
      </c>
      <c r="M2540" s="269" t="str">
        <f>IFERROR(IF([1]K_Summary!$M$2525 = "", "", [1]K_Summary!$M$2525 ),"")</f>
        <v/>
      </c>
      <c r="N2540" s="269" t="str">
        <f>IFERROR(IF([1]K_Summary!$N$2525 = "", "", [1]K_Summary!$N$2525 ),"")</f>
        <v/>
      </c>
    </row>
    <row r="2541" spans="3:14">
      <c r="C2541" s="484">
        <v>3</v>
      </c>
      <c r="D2541" s="2468" t="s">
        <v>167</v>
      </c>
      <c r="E2541" s="2481"/>
      <c r="F2541" s="2481"/>
      <c r="G2541" s="2481"/>
      <c r="H2541" s="2481"/>
      <c r="I2541" s="2481"/>
      <c r="J2541" s="269" t="str">
        <f>IFERROR(IF([1]K_Summary!$J$2526 = "", "", [1]K_Summary!$J$2526 ),"")</f>
        <v/>
      </c>
      <c r="K2541" s="269" t="str">
        <f>IFERROR(IF([1]K_Summary!$K$2526 = "", "", [1]K_Summary!$K$2526 ),"")</f>
        <v/>
      </c>
      <c r="L2541" s="269" t="str">
        <f>IFERROR(IF([1]K_Summary!$L$2526 = "", "", [1]K_Summary!$L$2526 ),"")</f>
        <v/>
      </c>
      <c r="M2541" s="269" t="str">
        <f>IFERROR(IF([1]K_Summary!$M$2526 = "", "", [1]K_Summary!$M$2526 ),"")</f>
        <v/>
      </c>
      <c r="N2541" s="269" t="str">
        <f>IFERROR(IF([1]K_Summary!$N$2526 = "", "", [1]K_Summary!$N$2526 ),"")</f>
        <v/>
      </c>
    </row>
    <row r="2542" spans="3:14">
      <c r="C2542" s="484">
        <v>4</v>
      </c>
      <c r="D2542" s="2468" t="s">
        <v>170</v>
      </c>
      <c r="E2542" s="2481"/>
      <c r="F2542" s="2481"/>
      <c r="G2542" s="2481"/>
      <c r="H2542" s="2481"/>
      <c r="I2542" s="2481"/>
      <c r="J2542" s="269" t="str">
        <f>IFERROR(IF([1]K_Summary!$J$2527 = "", "", [1]K_Summary!$J$2527 ),"")</f>
        <v/>
      </c>
      <c r="K2542" s="269" t="str">
        <f>IFERROR(IF([1]K_Summary!$K$2527 = "", "", [1]K_Summary!$K$2527 ),"")</f>
        <v/>
      </c>
      <c r="L2542" s="269" t="str">
        <f>IFERROR(IF([1]K_Summary!$L$2527 = "", "", [1]K_Summary!$L$2527 ),"")</f>
        <v/>
      </c>
      <c r="M2542" s="269" t="str">
        <f>IFERROR(IF([1]K_Summary!$M$2527 = "", "", [1]K_Summary!$M$2527 ),"")</f>
        <v/>
      </c>
      <c r="N2542" s="269" t="str">
        <f>IFERROR(IF([1]K_Summary!$N$2527 = "", "", [1]K_Summary!$N$2527 ),"")</f>
        <v/>
      </c>
    </row>
    <row r="2543" spans="3:14">
      <c r="C2543" s="484">
        <v>5</v>
      </c>
      <c r="D2543" s="2468" t="s">
        <v>177</v>
      </c>
      <c r="E2543" s="2481"/>
      <c r="F2543" s="2481"/>
      <c r="G2543" s="2481"/>
      <c r="H2543" s="2481"/>
      <c r="I2543" s="2481"/>
      <c r="J2543" s="269" t="str">
        <f>IFERROR(IF([1]K_Summary!$J$2528 = "", "", [1]K_Summary!$J$2528 ),"")</f>
        <v/>
      </c>
      <c r="K2543" s="269" t="str">
        <f>IFERROR(IF([1]K_Summary!$K$2528 = "", "", [1]K_Summary!$K$2528 ),"")</f>
        <v/>
      </c>
      <c r="L2543" s="269" t="str">
        <f>IFERROR(IF([1]K_Summary!$L$2528 = "", "", [1]K_Summary!$L$2528 ),"")</f>
        <v/>
      </c>
      <c r="M2543" s="269" t="str">
        <f>IFERROR(IF([1]K_Summary!$M$2528 = "", "", [1]K_Summary!$M$2528 ),"")</f>
        <v/>
      </c>
      <c r="N2543" s="269" t="str">
        <f>IFERROR(IF([1]K_Summary!$N$2528 = "", "", [1]K_Summary!$N$2528 ),"")</f>
        <v/>
      </c>
    </row>
    <row r="2544" spans="3:14">
      <c r="C2544" s="484">
        <v>6</v>
      </c>
      <c r="D2544" s="2468" t="s">
        <v>811</v>
      </c>
      <c r="E2544" s="2481"/>
      <c r="F2544" s="2481"/>
      <c r="G2544" s="2481"/>
      <c r="H2544" s="2481"/>
      <c r="I2544" s="2481"/>
      <c r="J2544" s="269" t="str">
        <f>IFERROR(IF([1]K_Summary!$J$2529 = "", "", [1]K_Summary!$J$2529 ),"")</f>
        <v/>
      </c>
      <c r="K2544" s="269" t="str">
        <f>IFERROR(IF([1]K_Summary!$K$2529 = "", "", [1]K_Summary!$K$2529 ),"")</f>
        <v/>
      </c>
      <c r="L2544" s="269" t="str">
        <f>IFERROR(IF([1]K_Summary!$L$2529 = "", "", [1]K_Summary!$L$2529 ),"")</f>
        <v/>
      </c>
      <c r="M2544" s="269" t="str">
        <f>IFERROR(IF([1]K_Summary!$M$2529 = "", "", [1]K_Summary!$M$2529 ),"")</f>
        <v/>
      </c>
      <c r="N2544" s="269" t="str">
        <f>IFERROR(IF([1]K_Summary!$N$2529 = "", "", [1]K_Summary!$N$2529 ),"")</f>
        <v/>
      </c>
    </row>
    <row r="2545" spans="3:14">
      <c r="C2545" s="484">
        <v>7</v>
      </c>
      <c r="D2545" s="2468" t="s">
        <v>820</v>
      </c>
      <c r="E2545" s="2481"/>
      <c r="F2545" s="2481"/>
      <c r="G2545" s="2481"/>
      <c r="H2545" s="2481"/>
      <c r="I2545" s="2481"/>
      <c r="J2545" s="269" t="str">
        <f>IFERROR(IF([1]K_Summary!$J$2530 = "", "", [1]K_Summary!$J$2530 ),"")</f>
        <v/>
      </c>
      <c r="K2545" s="269" t="str">
        <f>IFERROR(IF([1]K_Summary!$K$2530 = "", "", [1]K_Summary!$K$2530 ),"")</f>
        <v/>
      </c>
      <c r="L2545" s="269" t="str">
        <f>IFERROR(IF([1]K_Summary!$L$2530 = "", "", [1]K_Summary!$L$2530 ),"")</f>
        <v/>
      </c>
      <c r="M2545" s="269" t="str">
        <f>IFERROR(IF([1]K_Summary!$M$2530 = "", "", [1]K_Summary!$M$2530 ),"")</f>
        <v/>
      </c>
      <c r="N2545" s="269" t="str">
        <f>IFERROR(IF([1]K_Summary!$N$2530 = "", "", [1]K_Summary!$N$2530 ),"")</f>
        <v/>
      </c>
    </row>
    <row r="2546" spans="3:14">
      <c r="C2546" s="484">
        <v>8</v>
      </c>
      <c r="D2546" s="2468" t="s">
        <v>816</v>
      </c>
      <c r="E2546" s="2481"/>
      <c r="F2546" s="2481"/>
      <c r="G2546" s="2481"/>
      <c r="H2546" s="2481"/>
      <c r="I2546" s="2481"/>
      <c r="J2546" s="269" t="str">
        <f>IFERROR(IF([1]K_Summary!$J$2531 = "", "", [1]K_Summary!$J$2531 ),"")</f>
        <v/>
      </c>
      <c r="K2546" s="269" t="str">
        <f>IFERROR(IF([1]K_Summary!$K$2531 = "", "", [1]K_Summary!$K$2531 ),"")</f>
        <v/>
      </c>
      <c r="L2546" s="269" t="str">
        <f>IFERROR(IF([1]K_Summary!$L$2531 = "", "", [1]K_Summary!$L$2531 ),"")</f>
        <v/>
      </c>
      <c r="M2546" s="269" t="str">
        <f>IFERROR(IF([1]K_Summary!$M$2531 = "", "", [1]K_Summary!$M$2531 ),"")</f>
        <v/>
      </c>
      <c r="N2546" s="269" t="str">
        <f>IFERROR(IF([1]K_Summary!$N$2531 = "", "", [1]K_Summary!$N$2531 ),"")</f>
        <v/>
      </c>
    </row>
    <row r="2547" spans="3:14">
      <c r="C2547" s="484">
        <v>9</v>
      </c>
      <c r="D2547" s="2468" t="s">
        <v>821</v>
      </c>
      <c r="E2547" s="2481"/>
      <c r="F2547" s="2481"/>
      <c r="G2547" s="2481"/>
      <c r="H2547" s="2481"/>
      <c r="I2547" s="2481"/>
      <c r="J2547" s="269" t="str">
        <f>IFERROR(IF([1]K_Summary!$J$2532 = "", "", [1]K_Summary!$J$2532 ),"")</f>
        <v/>
      </c>
      <c r="K2547" s="269" t="str">
        <f>IFERROR(IF([1]K_Summary!$K$2532 = "", "", [1]K_Summary!$K$2532 ),"")</f>
        <v/>
      </c>
      <c r="L2547" s="269" t="str">
        <f>IFERROR(IF([1]K_Summary!$L$2532 = "", "", [1]K_Summary!$L$2532 ),"")</f>
        <v/>
      </c>
      <c r="M2547" s="269" t="str">
        <f>IFERROR(IF([1]K_Summary!$M$2532 = "", "", [1]K_Summary!$M$2532 ),"")</f>
        <v/>
      </c>
      <c r="N2547" s="269" t="str">
        <f>IFERROR(IF([1]K_Summary!$N$2532 = "", "", [1]K_Summary!$N$2532 ),"")</f>
        <v/>
      </c>
    </row>
    <row r="2548" spans="3:14" ht="13.5" thickBot="1">
      <c r="C2548" s="854">
        <v>10</v>
      </c>
      <c r="D2548" s="2553" t="s">
        <v>815</v>
      </c>
      <c r="E2548" s="2554"/>
      <c r="F2548" s="2554"/>
      <c r="G2548" s="2554"/>
      <c r="H2548" s="2554"/>
      <c r="I2548" s="2554"/>
      <c r="J2548" s="270" t="str">
        <f>IFERROR(IF([1]K_Summary!$J$2533 = "", "", [1]K_Summary!$J$2533 ),"")</f>
        <v/>
      </c>
      <c r="K2548" s="270" t="str">
        <f>IFERROR(IF([1]K_Summary!$K$2533 = "", "", [1]K_Summary!$K$2533 ),"")</f>
        <v/>
      </c>
      <c r="L2548" s="270" t="str">
        <f>IFERROR(IF([1]K_Summary!$L$2533 = "", "", [1]K_Summary!$L$2533 ),"")</f>
        <v/>
      </c>
      <c r="M2548" s="270" t="str">
        <f>IFERROR(IF([1]K_Summary!$M$2533 = "", "", [1]K_Summary!$M$2533 ),"")</f>
        <v/>
      </c>
      <c r="N2548" s="270" t="str">
        <f>IFERROR(IF([1]K_Summary!$N$2533 = "", "", [1]K_Summary!$N$2533 ),"")</f>
        <v/>
      </c>
    </row>
    <row r="2549" spans="3:14">
      <c r="C2549" s="484">
        <v>11</v>
      </c>
      <c r="D2549" s="2555" t="s">
        <v>275</v>
      </c>
      <c r="E2549" s="2556"/>
      <c r="F2549" s="2556"/>
      <c r="G2549" s="2556"/>
      <c r="H2549" s="2556"/>
      <c r="I2549" s="2556"/>
      <c r="J2549" s="271" t="str">
        <f>IFERROR(IF([1]K_Summary!$J$2534 = "", "", [1]K_Summary!$J$2534 ),"")</f>
        <v/>
      </c>
      <c r="K2549" s="271" t="str">
        <f>IFERROR(IF([1]K_Summary!$K$2534 = "", "", [1]K_Summary!$K$2534 ),"")</f>
        <v/>
      </c>
      <c r="L2549" s="271" t="str">
        <f>IFERROR(IF([1]K_Summary!$L$2534 = "", "", [1]K_Summary!$L$2534 ),"")</f>
        <v/>
      </c>
      <c r="M2549" s="271" t="str">
        <f>IFERROR(IF([1]K_Summary!$M$2534 = "", "", [1]K_Summary!$M$2534 ),"")</f>
        <v/>
      </c>
      <c r="N2549" s="271" t="str">
        <f>IFERROR(IF([1]K_Summary!$N$2534 = "", "", [1]K_Summary!$N$2534 ),"")</f>
        <v/>
      </c>
    </row>
    <row r="2550" spans="3:14">
      <c r="C2550" s="484">
        <v>12</v>
      </c>
      <c r="D2550" s="2468" t="s">
        <v>276</v>
      </c>
      <c r="E2550" s="2481"/>
      <c r="F2550" s="2481"/>
      <c r="G2550" s="2481"/>
      <c r="H2550" s="2481"/>
      <c r="I2550" s="2481"/>
      <c r="J2550" s="269" t="str">
        <f>IFERROR(IF([1]K_Summary!$J$2535 = "", "", [1]K_Summary!$J$2535 ),"")</f>
        <v/>
      </c>
      <c r="K2550" s="269" t="str">
        <f>IFERROR(IF([1]K_Summary!$K$2535 = "", "", [1]K_Summary!$K$2535 ),"")</f>
        <v/>
      </c>
      <c r="L2550" s="269" t="str">
        <f>IFERROR(IF([1]K_Summary!$L$2535 = "", "", [1]K_Summary!$L$2535 ),"")</f>
        <v/>
      </c>
      <c r="M2550" s="269" t="str">
        <f>IFERROR(IF([1]K_Summary!$M$2535 = "", "", [1]K_Summary!$M$2535 ),"")</f>
        <v/>
      </c>
      <c r="N2550" s="269" t="str">
        <f>IFERROR(IF([1]K_Summary!$N$2535 = "", "", [1]K_Summary!$N$2535 ),"")</f>
        <v/>
      </c>
    </row>
    <row r="2551" spans="3:14">
      <c r="C2551" s="484">
        <v>13</v>
      </c>
      <c r="D2551" s="2468" t="s">
        <v>1209</v>
      </c>
      <c r="E2551" s="2481"/>
      <c r="F2551" s="2481"/>
      <c r="G2551" s="2481"/>
      <c r="H2551" s="2481"/>
      <c r="I2551" s="2481"/>
      <c r="J2551" s="269" t="str">
        <f>IFERROR(IF([1]K_Summary!$J$2536 = "", "", [1]K_Summary!$J$2536 ),"")</f>
        <v/>
      </c>
      <c r="K2551" s="269" t="str">
        <f>IFERROR(IF([1]K_Summary!$K$2536 = "", "", [1]K_Summary!$K$2536 ),"")</f>
        <v/>
      </c>
      <c r="L2551" s="269" t="str">
        <f>IFERROR(IF([1]K_Summary!$L$2536 = "", "", [1]K_Summary!$L$2536 ),"")</f>
        <v/>
      </c>
      <c r="M2551" s="269" t="str">
        <f>IFERROR(IF([1]K_Summary!$M$2536 = "", "", [1]K_Summary!$M$2536 ),"")</f>
        <v/>
      </c>
      <c r="N2551" s="269" t="str">
        <f>IFERROR(IF([1]K_Summary!$N$2536 = "", "", [1]K_Summary!$N$2536 ),"")</f>
        <v/>
      </c>
    </row>
    <row r="2552" spans="3:14">
      <c r="C2552" s="484">
        <v>14</v>
      </c>
      <c r="D2552" s="2468" t="s">
        <v>277</v>
      </c>
      <c r="E2552" s="2481"/>
      <c r="F2552" s="2481"/>
      <c r="G2552" s="2481"/>
      <c r="H2552" s="2481"/>
      <c r="I2552" s="2481"/>
      <c r="J2552" s="269" t="str">
        <f>IFERROR(IF([1]K_Summary!$J$2537 = "", "", [1]K_Summary!$J$2537 ),"")</f>
        <v/>
      </c>
      <c r="K2552" s="269" t="str">
        <f>IFERROR(IF([1]K_Summary!$K$2537 = "", "", [1]K_Summary!$K$2537 ),"")</f>
        <v/>
      </c>
      <c r="L2552" s="269" t="str">
        <f>IFERROR(IF([1]K_Summary!$L$2537 = "", "", [1]K_Summary!$L$2537 ),"")</f>
        <v/>
      </c>
      <c r="M2552" s="269" t="str">
        <f>IFERROR(IF([1]K_Summary!$M$2537 = "", "", [1]K_Summary!$M$2537 ),"")</f>
        <v/>
      </c>
      <c r="N2552" s="269" t="str">
        <f>IFERROR(IF([1]K_Summary!$N$2537 = "", "", [1]K_Summary!$N$2537 ),"")</f>
        <v/>
      </c>
    </row>
    <row r="2553" spans="3:14">
      <c r="C2553" s="484">
        <v>15</v>
      </c>
      <c r="D2553" s="2468" t="s">
        <v>278</v>
      </c>
      <c r="E2553" s="2481"/>
      <c r="F2553" s="2481"/>
      <c r="G2553" s="2481"/>
      <c r="H2553" s="2481"/>
      <c r="I2553" s="2481"/>
      <c r="J2553" s="269" t="str">
        <f>IFERROR(IF([1]K_Summary!$J$2538 = "", "", [1]K_Summary!$J$2538 ),"")</f>
        <v/>
      </c>
      <c r="K2553" s="269" t="str">
        <f>IFERROR(IF([1]K_Summary!$K$2538 = "", "", [1]K_Summary!$K$2538 ),"")</f>
        <v/>
      </c>
      <c r="L2553" s="269" t="str">
        <f>IFERROR(IF([1]K_Summary!$L$2538 = "", "", [1]K_Summary!$L$2538 ),"")</f>
        <v/>
      </c>
      <c r="M2553" s="269" t="str">
        <f>IFERROR(IF([1]K_Summary!$M$2538 = "", "", [1]K_Summary!$M$2538 ),"")</f>
        <v/>
      </c>
      <c r="N2553" s="269" t="str">
        <f>IFERROR(IF([1]K_Summary!$N$2538 = "", "", [1]K_Summary!$N$2538 ),"")</f>
        <v/>
      </c>
    </row>
    <row r="2554" spans="3:14">
      <c r="C2554" s="484">
        <v>16</v>
      </c>
      <c r="D2554" s="2468" t="s">
        <v>279</v>
      </c>
      <c r="E2554" s="2481"/>
      <c r="F2554" s="2481"/>
      <c r="G2554" s="2481"/>
      <c r="H2554" s="2481"/>
      <c r="I2554" s="2481"/>
      <c r="J2554" s="272" t="str">
        <f>IFERROR(IF([1]K_Summary!$J$2539 = "", "", [1]K_Summary!$J$2539 ),"")</f>
        <v/>
      </c>
      <c r="K2554" s="272" t="str">
        <f>IFERROR(IF([1]K_Summary!$K$2539 = "", "", [1]K_Summary!$K$2539 ),"")</f>
        <v/>
      </c>
      <c r="L2554" s="272" t="str">
        <f>IFERROR(IF([1]K_Summary!$L$2539 = "", "", [1]K_Summary!$L$2539 ),"")</f>
        <v/>
      </c>
      <c r="M2554" s="272" t="str">
        <f>IFERROR(IF([1]K_Summary!$M$2539 = "", "", [1]K_Summary!$M$2539 ),"")</f>
        <v/>
      </c>
      <c r="N2554" s="272" t="str">
        <f>IFERROR(IF([1]K_Summary!$N$2539 = "", "", [1]K_Summary!$N$2539 ),"")</f>
        <v/>
      </c>
    </row>
    <row r="2555" spans="3:14" ht="13.5" thickBot="1">
      <c r="C2555" s="855">
        <v>17</v>
      </c>
      <c r="D2555" s="2549" t="s">
        <v>280</v>
      </c>
      <c r="E2555" s="2550"/>
      <c r="F2555" s="2550"/>
      <c r="G2555" s="2550"/>
      <c r="H2555" s="2550"/>
      <c r="I2555" s="2550"/>
      <c r="J2555" s="270" t="str">
        <f>IFERROR(IF([1]K_Summary!$J$2540 = "", "", [1]K_Summary!$J$2540 ),"")</f>
        <v/>
      </c>
      <c r="K2555" s="270" t="str">
        <f>IFERROR(IF([1]K_Summary!$K$2540 = "", "", [1]K_Summary!$K$2540 ),"")</f>
        <v/>
      </c>
      <c r="L2555" s="270" t="str">
        <f>IFERROR(IF([1]K_Summary!$L$2540 = "", "", [1]K_Summary!$L$2540 ),"")</f>
        <v/>
      </c>
      <c r="M2555" s="270" t="str">
        <f>IFERROR(IF([1]K_Summary!$M$2540 = "", "", [1]K_Summary!$M$2540 ),"")</f>
        <v/>
      </c>
      <c r="N2555" s="270" t="str">
        <f>IFERROR(IF([1]K_Summary!$N$2540 = "", "", [1]K_Summary!$N$2540 ),"")</f>
        <v/>
      </c>
    </row>
    <row r="2556" spans="3:14">
      <c r="C2556" s="485"/>
      <c r="D2556" s="2551" t="s">
        <v>565</v>
      </c>
      <c r="E2556" s="2552"/>
      <c r="F2556" s="2552"/>
      <c r="G2556" s="2552"/>
      <c r="H2556" s="2552"/>
      <c r="I2556" s="2552"/>
      <c r="J2556" s="273" t="str">
        <f>IFERROR(IF([1]K_Summary!$J$2541 = "", "", [1]K_Summary!$J$2541 ),"")</f>
        <v/>
      </c>
      <c r="K2556" s="273" t="str">
        <f>IFERROR(IF([1]K_Summary!$K$2541 = "", "", [1]K_Summary!$K$2541 ),"")</f>
        <v/>
      </c>
      <c r="L2556" s="273" t="str">
        <f>IFERROR(IF([1]K_Summary!$L$2541 = "", "", [1]K_Summary!$L$2541 ),"")</f>
        <v/>
      </c>
      <c r="M2556" s="273" t="str">
        <f>IFERROR(IF([1]K_Summary!$M$2541 = "", "", [1]K_Summary!$M$2541 ),"")</f>
        <v/>
      </c>
      <c r="N2556" s="273" t="str">
        <f>IFERROR(IF([1]K_Summary!$N$2541 = "", "", [1]K_Summary!$N$2541 ),"")</f>
        <v/>
      </c>
    </row>
    <row r="2557" spans="3:14">
      <c r="C2557" s="485"/>
      <c r="D2557" s="485"/>
      <c r="E2557" s="485"/>
      <c r="F2557" s="485"/>
      <c r="G2557" s="485"/>
      <c r="H2557" s="485"/>
      <c r="I2557" s="485"/>
      <c r="J2557" s="485"/>
      <c r="K2557" s="485"/>
      <c r="L2557" s="485"/>
      <c r="M2557" s="485"/>
      <c r="N2557" s="485"/>
    </row>
    <row r="2558" spans="3:14" ht="15">
      <c r="C2558" s="559">
        <v>2</v>
      </c>
      <c r="D2558" s="856" t="s">
        <v>13</v>
      </c>
      <c r="E2558" s="479"/>
      <c r="F2558" s="479"/>
      <c r="G2558" s="479"/>
      <c r="H2558" s="479"/>
      <c r="I2558" s="570"/>
      <c r="J2558" s="570"/>
      <c r="K2558" s="468"/>
      <c r="L2558" s="485"/>
      <c r="M2558" s="485"/>
      <c r="N2558" s="485"/>
    </row>
    <row r="2559" spans="3:14"/>
    <row r="2560" spans="3:14">
      <c r="D2560" s="482" t="s">
        <v>400</v>
      </c>
      <c r="E2560" s="496" t="s">
        <v>2522</v>
      </c>
      <c r="F2560" s="496"/>
      <c r="G2560" s="496"/>
      <c r="H2560" s="479"/>
      <c r="I2560" s="570"/>
      <c r="J2560" s="570"/>
      <c r="K2560" s="468"/>
      <c r="L2560" s="485"/>
      <c r="M2560" s="485"/>
      <c r="N2560" s="485"/>
    </row>
    <row r="2561" spans="3:14">
      <c r="D2561" s="485"/>
      <c r="E2561" s="485"/>
      <c r="F2561" s="485"/>
      <c r="G2561" s="485"/>
      <c r="H2561" s="485"/>
      <c r="I2561" s="570"/>
      <c r="J2561" s="857">
        <v>2021</v>
      </c>
      <c r="K2561" s="671">
        <v>2022</v>
      </c>
      <c r="L2561" s="671">
        <v>2023</v>
      </c>
      <c r="M2561" s="671">
        <v>2024</v>
      </c>
      <c r="N2561" s="671">
        <v>2025</v>
      </c>
    </row>
    <row r="2562" spans="3:14">
      <c r="D2562" s="485"/>
      <c r="E2562" s="2478" t="s">
        <v>2523</v>
      </c>
      <c r="F2562" s="2478"/>
      <c r="G2562" s="2478"/>
      <c r="H2562" s="2478"/>
      <c r="I2562" s="2479"/>
      <c r="J2562" s="851">
        <v>0.85619999999999996</v>
      </c>
      <c r="K2562" s="851">
        <v>0.83420000000000005</v>
      </c>
      <c r="L2562" s="851">
        <v>0.81220000000000003</v>
      </c>
      <c r="M2562" s="851">
        <v>0.79020000000000001</v>
      </c>
      <c r="N2562" s="851">
        <v>0.76819999999999999</v>
      </c>
    </row>
    <row r="2563" spans="3:14">
      <c r="D2563" s="485"/>
      <c r="E2563" s="485"/>
      <c r="F2563" s="485"/>
      <c r="G2563" s="485"/>
      <c r="H2563" s="485"/>
      <c r="I2563" s="485"/>
      <c r="J2563" s="485"/>
      <c r="K2563" s="485"/>
      <c r="L2563" s="485"/>
      <c r="M2563" s="485"/>
      <c r="N2563" s="485"/>
    </row>
    <row r="2564" spans="3:14">
      <c r="D2564" s="482" t="s">
        <v>876</v>
      </c>
      <c r="E2564" s="496" t="s">
        <v>2524</v>
      </c>
      <c r="F2564" s="496"/>
      <c r="G2564" s="496"/>
      <c r="H2564" s="479"/>
      <c r="I2564" s="570"/>
      <c r="J2564" s="570"/>
      <c r="K2564" s="468"/>
      <c r="L2564" s="485"/>
      <c r="M2564" s="485"/>
      <c r="N2564" s="485"/>
    </row>
    <row r="2565" spans="3:14">
      <c r="D2565" s="485"/>
      <c r="E2565" s="485"/>
      <c r="F2565" s="485"/>
      <c r="G2565" s="485"/>
      <c r="H2565" s="485"/>
      <c r="I2565" s="570"/>
      <c r="J2565" s="857">
        <v>2021</v>
      </c>
      <c r="K2565" s="671">
        <v>2022</v>
      </c>
      <c r="L2565" s="671">
        <v>2023</v>
      </c>
      <c r="M2565" s="671">
        <v>2024</v>
      </c>
      <c r="N2565" s="671">
        <v>2025</v>
      </c>
    </row>
    <row r="2566" spans="3:14">
      <c r="D2566" s="485"/>
      <c r="E2566" s="2478" t="s">
        <v>1772</v>
      </c>
      <c r="F2566" s="2478"/>
      <c r="G2566" s="2478"/>
      <c r="H2566" s="2478"/>
      <c r="I2566" s="2479"/>
      <c r="J2566" s="851">
        <v>1</v>
      </c>
      <c r="K2566" s="851">
        <v>0.97799999999999998</v>
      </c>
      <c r="L2566" s="851">
        <v>0.95599999999999996</v>
      </c>
      <c r="M2566" s="851">
        <v>0.93399999999999994</v>
      </c>
      <c r="N2566" s="851">
        <v>0.91199999999999992</v>
      </c>
    </row>
    <row r="2567" spans="3:14">
      <c r="D2567" s="485"/>
      <c r="E2567" s="485"/>
      <c r="F2567" s="485"/>
      <c r="G2567" s="485"/>
      <c r="H2567" s="485"/>
      <c r="I2567" s="485"/>
      <c r="J2567" s="485"/>
      <c r="K2567" s="485"/>
      <c r="L2567" s="485"/>
      <c r="M2567" s="485"/>
      <c r="N2567" s="485"/>
    </row>
    <row r="2568" spans="3:14">
      <c r="D2568" s="482" t="s">
        <v>48</v>
      </c>
      <c r="E2568" s="496" t="s">
        <v>2525</v>
      </c>
      <c r="F2568" s="479"/>
      <c r="G2568" s="479"/>
      <c r="H2568" s="479"/>
      <c r="I2568" s="479"/>
      <c r="J2568" s="479"/>
      <c r="K2568" s="479"/>
      <c r="L2568" s="479"/>
      <c r="M2568" s="479"/>
      <c r="N2568" s="479"/>
    </row>
    <row r="2569" spans="3:14">
      <c r="D2569" s="485"/>
      <c r="E2569" s="485"/>
      <c r="F2569" s="485"/>
      <c r="G2569" s="485"/>
      <c r="H2569" s="485"/>
      <c r="I2569" s="570"/>
      <c r="J2569" s="857">
        <v>2021</v>
      </c>
      <c r="K2569" s="671">
        <v>2022</v>
      </c>
      <c r="L2569" s="671">
        <v>2023</v>
      </c>
      <c r="M2569" s="671">
        <v>2024</v>
      </c>
      <c r="N2569" s="671">
        <v>2025</v>
      </c>
    </row>
    <row r="2570" spans="3:14">
      <c r="D2570" s="485"/>
      <c r="E2570" s="2478" t="s">
        <v>1534</v>
      </c>
      <c r="F2570" s="2478"/>
      <c r="G2570" s="2478"/>
      <c r="H2570" s="2478"/>
      <c r="I2570" s="2480"/>
      <c r="J2570" s="859">
        <v>1</v>
      </c>
      <c r="K2570" s="859">
        <v>1</v>
      </c>
      <c r="L2570" s="859">
        <v>1</v>
      </c>
      <c r="M2570" s="859">
        <v>1</v>
      </c>
      <c r="N2570" s="859">
        <v>1</v>
      </c>
    </row>
    <row r="2571" spans="3:14">
      <c r="D2571" s="485"/>
      <c r="E2571" s="485"/>
      <c r="F2571" s="485"/>
      <c r="G2571" s="485"/>
      <c r="H2571" s="485"/>
      <c r="I2571" s="485"/>
      <c r="J2571" s="485"/>
      <c r="K2571" s="485"/>
      <c r="L2571" s="485"/>
      <c r="M2571" s="485"/>
      <c r="N2571" s="485"/>
    </row>
    <row r="2572" spans="3:14">
      <c r="D2572" s="482" t="s">
        <v>881</v>
      </c>
      <c r="E2572" s="496" t="s">
        <v>1544</v>
      </c>
      <c r="F2572" s="485"/>
      <c r="G2572" s="485"/>
      <c r="H2572" s="485"/>
      <c r="I2572" s="485"/>
      <c r="J2572" s="485"/>
      <c r="K2572" s="485"/>
      <c r="L2572" s="485"/>
      <c r="M2572" s="485"/>
      <c r="N2572" s="485"/>
    </row>
    <row r="2573" spans="3:14" ht="26.1" customHeight="1">
      <c r="D2573" s="485"/>
      <c r="E2573" s="2465" t="s">
        <v>2163</v>
      </c>
      <c r="F2573" s="2400"/>
      <c r="G2573" s="2400"/>
      <c r="H2573" s="2400"/>
      <c r="I2573" s="2400"/>
      <c r="J2573" s="2400"/>
      <c r="K2573" s="2400"/>
      <c r="L2573" s="2400"/>
      <c r="M2573" s="2400"/>
      <c r="N2573" s="2400"/>
    </row>
    <row r="2574" spans="3:14">
      <c r="D2574" s="485"/>
      <c r="E2574" s="2465" t="s">
        <v>2526</v>
      </c>
      <c r="F2574" s="2400"/>
      <c r="G2574" s="2400"/>
      <c r="H2574" s="2400"/>
      <c r="I2574" s="2400"/>
      <c r="J2574" s="2400"/>
      <c r="K2574" s="2400"/>
      <c r="L2574" s="2400"/>
      <c r="M2574" s="2400"/>
      <c r="N2574" s="2400"/>
    </row>
    <row r="2575" spans="3:14">
      <c r="D2575" s="485"/>
      <c r="E2575" s="485"/>
      <c r="F2575" s="485"/>
      <c r="G2575" s="485"/>
      <c r="H2575" s="485"/>
      <c r="I2575" s="570"/>
      <c r="J2575" s="857">
        <v>2021</v>
      </c>
      <c r="K2575" s="671">
        <v>2022</v>
      </c>
      <c r="L2575" s="671">
        <v>2023</v>
      </c>
      <c r="M2575" s="671">
        <v>2024</v>
      </c>
      <c r="N2575" s="671">
        <v>2025</v>
      </c>
    </row>
    <row r="2576" spans="3:14">
      <c r="C2576" s="485"/>
      <c r="D2576" s="485"/>
      <c r="E2576" s="2478" t="s">
        <v>567</v>
      </c>
      <c r="F2576" s="2478"/>
      <c r="G2576" s="2478"/>
      <c r="H2576" s="2478"/>
      <c r="I2576" s="2479"/>
      <c r="J2576" s="274" t="str">
        <f>IFERROR(IF([1]K_Summary!$J$2561 = "", "", [1]K_Summary!$J$2561 ),"")</f>
        <v/>
      </c>
      <c r="K2576" s="274" t="str">
        <f>IFERROR(IF([1]K_Summary!$K$2561 = "", "", [1]K_Summary!$K$2561 ),"")</f>
        <v/>
      </c>
      <c r="L2576" s="274" t="str">
        <f>IFERROR(IF([1]K_Summary!$L$2561 = "", "", [1]K_Summary!$L$2561 ),"")</f>
        <v/>
      </c>
      <c r="M2576" s="274" t="str">
        <f>IFERROR(IF([1]K_Summary!$M$2561 = "", "", [1]K_Summary!$M$2561 ),"")</f>
        <v/>
      </c>
      <c r="N2576" s="274" t="str">
        <f>IFERROR(IF([1]K_Summary!$N$2561 = "", "", [1]K_Summary!$N$2561 ),"")</f>
        <v/>
      </c>
    </row>
    <row r="2577" spans="3:14">
      <c r="C2577" s="485"/>
      <c r="D2577" s="485"/>
      <c r="E2577" s="485"/>
      <c r="F2577" s="485"/>
      <c r="G2577" s="485"/>
      <c r="H2577" s="485"/>
      <c r="I2577" s="485"/>
      <c r="J2577" s="485"/>
      <c r="K2577" s="485"/>
      <c r="L2577" s="485"/>
      <c r="M2577" s="485"/>
      <c r="N2577" s="485"/>
    </row>
    <row r="2578" spans="3:14">
      <c r="C2578" s="618"/>
      <c r="D2578" s="482" t="s">
        <v>57</v>
      </c>
      <c r="E2578" s="496" t="s">
        <v>2527</v>
      </c>
      <c r="F2578" s="496"/>
      <c r="G2578" s="496"/>
      <c r="H2578" s="479"/>
      <c r="I2578" s="570"/>
      <c r="J2578" s="570"/>
      <c r="K2578" s="468"/>
      <c r="L2578" s="485"/>
      <c r="M2578" s="485"/>
      <c r="N2578" s="485"/>
    </row>
    <row r="2579" spans="3:14" ht="24.6" customHeight="1">
      <c r="C2579" s="467"/>
      <c r="D2579" s="485"/>
      <c r="E2579" s="2465" t="s">
        <v>2700</v>
      </c>
      <c r="F2579" s="2400"/>
      <c r="G2579" s="2400"/>
      <c r="H2579" s="2400"/>
      <c r="I2579" s="2400"/>
      <c r="J2579" s="2400"/>
      <c r="K2579" s="2400"/>
      <c r="L2579" s="2400"/>
      <c r="M2579" s="2400"/>
      <c r="N2579" s="2400"/>
    </row>
    <row r="2580" spans="3:14">
      <c r="C2580" s="485"/>
      <c r="D2580" s="485"/>
      <c r="E2580" s="485"/>
      <c r="F2580" s="485"/>
      <c r="G2580" s="485"/>
      <c r="H2580" s="485"/>
      <c r="I2580" s="485"/>
      <c r="J2580" s="485"/>
      <c r="K2580" s="485"/>
      <c r="L2580" s="485"/>
      <c r="M2580" s="485"/>
      <c r="N2580" s="485"/>
    </row>
    <row r="2581" spans="3:14" ht="13.5" thickBot="1">
      <c r="C2581" s="485"/>
      <c r="D2581" s="2546" t="s">
        <v>831</v>
      </c>
      <c r="E2581" s="2547"/>
      <c r="F2581" s="2547"/>
      <c r="G2581" s="2547"/>
      <c r="H2581" s="2547"/>
      <c r="I2581" s="2548"/>
      <c r="J2581" s="578">
        <v>2021</v>
      </c>
      <c r="K2581" s="578">
        <v>2022</v>
      </c>
      <c r="L2581" s="578">
        <v>2023</v>
      </c>
      <c r="M2581" s="578">
        <v>2024</v>
      </c>
      <c r="N2581" s="578">
        <v>2025</v>
      </c>
    </row>
    <row r="2582" spans="3:14">
      <c r="C2582" s="852">
        <v>1</v>
      </c>
      <c r="D2582" s="2555" t="s">
        <v>165</v>
      </c>
      <c r="E2582" s="2555"/>
      <c r="F2582" s="2555"/>
      <c r="G2582" s="2555"/>
      <c r="H2582" s="2555"/>
      <c r="I2582" s="2555"/>
      <c r="J2582" s="268" t="str">
        <f>IFERROR(IF([1]K_Summary!$J$2567 = "", "", [1]K_Summary!$J$2567 ),"")</f>
        <v/>
      </c>
      <c r="K2582" s="268" t="str">
        <f>IFERROR(IF([1]K_Summary!$K$2567 = "", "", [1]K_Summary!$K$2567 ),"")</f>
        <v/>
      </c>
      <c r="L2582" s="268" t="str">
        <f>IFERROR(IF([1]K_Summary!$L$2567 = "", "", [1]K_Summary!$L$2567 ),"")</f>
        <v/>
      </c>
      <c r="M2582" s="268" t="str">
        <f>IFERROR(IF([1]K_Summary!$M$2567 = "", "", [1]K_Summary!$M$2567 ),"")</f>
        <v/>
      </c>
      <c r="N2582" s="268" t="str">
        <f>IFERROR(IF([1]K_Summary!$N$2567 = "", "", [1]K_Summary!$N$2567 ),"")</f>
        <v/>
      </c>
    </row>
    <row r="2583" spans="3:14">
      <c r="C2583" s="484">
        <v>2</v>
      </c>
      <c r="D2583" s="2468" t="s">
        <v>162</v>
      </c>
      <c r="E2583" s="2481"/>
      <c r="F2583" s="2481"/>
      <c r="G2583" s="2481"/>
      <c r="H2583" s="2481"/>
      <c r="I2583" s="2481"/>
      <c r="J2583" s="269" t="str">
        <f>IFERROR(IF([1]K_Summary!$J$2568 = "", "", [1]K_Summary!$J$2568 ),"")</f>
        <v/>
      </c>
      <c r="K2583" s="269" t="str">
        <f>IFERROR(IF([1]K_Summary!$K$2568 = "", "", [1]K_Summary!$K$2568 ),"")</f>
        <v/>
      </c>
      <c r="L2583" s="269" t="str">
        <f>IFERROR(IF([1]K_Summary!$L$2568 = "", "", [1]K_Summary!$L$2568 ),"")</f>
        <v/>
      </c>
      <c r="M2583" s="269" t="str">
        <f>IFERROR(IF([1]K_Summary!$M$2568 = "", "", [1]K_Summary!$M$2568 ),"")</f>
        <v/>
      </c>
      <c r="N2583" s="269" t="str">
        <f>IFERROR(IF([1]K_Summary!$N$2568 = "", "", [1]K_Summary!$N$2568 ),"")</f>
        <v/>
      </c>
    </row>
    <row r="2584" spans="3:14">
      <c r="C2584" s="484">
        <v>3</v>
      </c>
      <c r="D2584" s="2468" t="s">
        <v>167</v>
      </c>
      <c r="E2584" s="2481"/>
      <c r="F2584" s="2481"/>
      <c r="G2584" s="2481"/>
      <c r="H2584" s="2481"/>
      <c r="I2584" s="2481"/>
      <c r="J2584" s="269" t="str">
        <f>IFERROR(IF([1]K_Summary!$J$2569 = "", "", [1]K_Summary!$J$2569 ),"")</f>
        <v/>
      </c>
      <c r="K2584" s="269" t="str">
        <f>IFERROR(IF([1]K_Summary!$K$2569 = "", "", [1]K_Summary!$K$2569 ),"")</f>
        <v/>
      </c>
      <c r="L2584" s="269" t="str">
        <f>IFERROR(IF([1]K_Summary!$L$2569 = "", "", [1]K_Summary!$L$2569 ),"")</f>
        <v/>
      </c>
      <c r="M2584" s="269" t="str">
        <f>IFERROR(IF([1]K_Summary!$M$2569 = "", "", [1]K_Summary!$M$2569 ),"")</f>
        <v/>
      </c>
      <c r="N2584" s="269" t="str">
        <f>IFERROR(IF([1]K_Summary!$N$2569 = "", "", [1]K_Summary!$N$2569 ),"")</f>
        <v/>
      </c>
    </row>
    <row r="2585" spans="3:14">
      <c r="C2585" s="484">
        <v>4</v>
      </c>
      <c r="D2585" s="2468" t="s">
        <v>170</v>
      </c>
      <c r="E2585" s="2481"/>
      <c r="F2585" s="2481"/>
      <c r="G2585" s="2481"/>
      <c r="H2585" s="2481"/>
      <c r="I2585" s="2481"/>
      <c r="J2585" s="269" t="str">
        <f>IFERROR(IF([1]K_Summary!$J$2570 = "", "", [1]K_Summary!$J$2570 ),"")</f>
        <v/>
      </c>
      <c r="K2585" s="269" t="str">
        <f>IFERROR(IF([1]K_Summary!$K$2570 = "", "", [1]K_Summary!$K$2570 ),"")</f>
        <v/>
      </c>
      <c r="L2585" s="269" t="str">
        <f>IFERROR(IF([1]K_Summary!$L$2570 = "", "", [1]K_Summary!$L$2570 ),"")</f>
        <v/>
      </c>
      <c r="M2585" s="269" t="str">
        <f>IFERROR(IF([1]K_Summary!$M$2570 = "", "", [1]K_Summary!$M$2570 ),"")</f>
        <v/>
      </c>
      <c r="N2585" s="269" t="str">
        <f>IFERROR(IF([1]K_Summary!$N$2570 = "", "", [1]K_Summary!$N$2570 ),"")</f>
        <v/>
      </c>
    </row>
    <row r="2586" spans="3:14">
      <c r="C2586" s="484">
        <v>5</v>
      </c>
      <c r="D2586" s="2468" t="s">
        <v>177</v>
      </c>
      <c r="E2586" s="2481"/>
      <c r="F2586" s="2481"/>
      <c r="G2586" s="2481"/>
      <c r="H2586" s="2481"/>
      <c r="I2586" s="2481"/>
      <c r="J2586" s="269" t="str">
        <f>IFERROR(IF([1]K_Summary!$J$2571 = "", "", [1]K_Summary!$J$2571 ),"")</f>
        <v/>
      </c>
      <c r="K2586" s="269" t="str">
        <f>IFERROR(IF([1]K_Summary!$K$2571 = "", "", [1]K_Summary!$K$2571 ),"")</f>
        <v/>
      </c>
      <c r="L2586" s="269" t="str">
        <f>IFERROR(IF([1]K_Summary!$L$2571 = "", "", [1]K_Summary!$L$2571 ),"")</f>
        <v/>
      </c>
      <c r="M2586" s="269" t="str">
        <f>IFERROR(IF([1]K_Summary!$M$2571 = "", "", [1]K_Summary!$M$2571 ),"")</f>
        <v/>
      </c>
      <c r="N2586" s="269" t="str">
        <f>IFERROR(IF([1]K_Summary!$N$2571 = "", "", [1]K_Summary!$N$2571 ),"")</f>
        <v/>
      </c>
    </row>
    <row r="2587" spans="3:14">
      <c r="C2587" s="484">
        <v>6</v>
      </c>
      <c r="D2587" s="2468" t="s">
        <v>811</v>
      </c>
      <c r="E2587" s="2481"/>
      <c r="F2587" s="2481"/>
      <c r="G2587" s="2481"/>
      <c r="H2587" s="2481"/>
      <c r="I2587" s="2481"/>
      <c r="J2587" s="269" t="str">
        <f>IFERROR(IF([1]K_Summary!$J$2572 = "", "", [1]K_Summary!$J$2572 ),"")</f>
        <v/>
      </c>
      <c r="K2587" s="269" t="str">
        <f>IFERROR(IF([1]K_Summary!$K$2572 = "", "", [1]K_Summary!$K$2572 ),"")</f>
        <v/>
      </c>
      <c r="L2587" s="269" t="str">
        <f>IFERROR(IF([1]K_Summary!$L$2572 = "", "", [1]K_Summary!$L$2572 ),"")</f>
        <v/>
      </c>
      <c r="M2587" s="269" t="str">
        <f>IFERROR(IF([1]K_Summary!$M$2572 = "", "", [1]K_Summary!$M$2572 ),"")</f>
        <v/>
      </c>
      <c r="N2587" s="269" t="str">
        <f>IFERROR(IF([1]K_Summary!$N$2572 = "", "", [1]K_Summary!$N$2572 ),"")</f>
        <v/>
      </c>
    </row>
    <row r="2588" spans="3:14">
      <c r="C2588" s="484">
        <v>7</v>
      </c>
      <c r="D2588" s="2468" t="s">
        <v>820</v>
      </c>
      <c r="E2588" s="2481"/>
      <c r="F2588" s="2481"/>
      <c r="G2588" s="2481"/>
      <c r="H2588" s="2481"/>
      <c r="I2588" s="2481"/>
      <c r="J2588" s="269" t="str">
        <f>IFERROR(IF([1]K_Summary!$J$2573 = "", "", [1]K_Summary!$J$2573 ),"")</f>
        <v/>
      </c>
      <c r="K2588" s="269" t="str">
        <f>IFERROR(IF([1]K_Summary!$K$2573 = "", "", [1]K_Summary!$K$2573 ),"")</f>
        <v/>
      </c>
      <c r="L2588" s="269" t="str">
        <f>IFERROR(IF([1]K_Summary!$L$2573 = "", "", [1]K_Summary!$L$2573 ),"")</f>
        <v/>
      </c>
      <c r="M2588" s="269" t="str">
        <f>IFERROR(IF([1]K_Summary!$M$2573 = "", "", [1]K_Summary!$M$2573 ),"")</f>
        <v/>
      </c>
      <c r="N2588" s="269" t="str">
        <f>IFERROR(IF([1]K_Summary!$N$2573 = "", "", [1]K_Summary!$N$2573 ),"")</f>
        <v/>
      </c>
    </row>
    <row r="2589" spans="3:14">
      <c r="C2589" s="484">
        <v>8</v>
      </c>
      <c r="D2589" s="2468" t="s">
        <v>816</v>
      </c>
      <c r="E2589" s="2481"/>
      <c r="F2589" s="2481"/>
      <c r="G2589" s="2481"/>
      <c r="H2589" s="2481"/>
      <c r="I2589" s="2481"/>
      <c r="J2589" s="269" t="str">
        <f>IFERROR(IF([1]K_Summary!$J$2574 = "", "", [1]K_Summary!$J$2574 ),"")</f>
        <v/>
      </c>
      <c r="K2589" s="269" t="str">
        <f>IFERROR(IF([1]K_Summary!$K$2574 = "", "", [1]K_Summary!$K$2574 ),"")</f>
        <v/>
      </c>
      <c r="L2589" s="269" t="str">
        <f>IFERROR(IF([1]K_Summary!$L$2574 = "", "", [1]K_Summary!$L$2574 ),"")</f>
        <v/>
      </c>
      <c r="M2589" s="269" t="str">
        <f>IFERROR(IF([1]K_Summary!$M$2574 = "", "", [1]K_Summary!$M$2574 ),"")</f>
        <v/>
      </c>
      <c r="N2589" s="269" t="str">
        <f>IFERROR(IF([1]K_Summary!$N$2574 = "", "", [1]K_Summary!$N$2574 ),"")</f>
        <v/>
      </c>
    </row>
    <row r="2590" spans="3:14">
      <c r="C2590" s="484">
        <v>9</v>
      </c>
      <c r="D2590" s="2468" t="s">
        <v>821</v>
      </c>
      <c r="E2590" s="2481"/>
      <c r="F2590" s="2481"/>
      <c r="G2590" s="2481"/>
      <c r="H2590" s="2481"/>
      <c r="I2590" s="2481"/>
      <c r="J2590" s="269" t="str">
        <f>IFERROR(IF([1]K_Summary!$J$2575 = "", "", [1]K_Summary!$J$2575 ),"")</f>
        <v/>
      </c>
      <c r="K2590" s="269" t="str">
        <f>IFERROR(IF([1]K_Summary!$K$2575 = "", "", [1]K_Summary!$K$2575 ),"")</f>
        <v/>
      </c>
      <c r="L2590" s="269" t="str">
        <f>IFERROR(IF([1]K_Summary!$L$2575 = "", "", [1]K_Summary!$L$2575 ),"")</f>
        <v/>
      </c>
      <c r="M2590" s="269" t="str">
        <f>IFERROR(IF([1]K_Summary!$M$2575 = "", "", [1]K_Summary!$M$2575 ),"")</f>
        <v/>
      </c>
      <c r="N2590" s="269" t="str">
        <f>IFERROR(IF([1]K_Summary!$N$2575 = "", "", [1]K_Summary!$N$2575 ),"")</f>
        <v/>
      </c>
    </row>
    <row r="2591" spans="3:14" ht="13.5" thickBot="1">
      <c r="C2591" s="854">
        <v>10</v>
      </c>
      <c r="D2591" s="2553" t="s">
        <v>815</v>
      </c>
      <c r="E2591" s="2554"/>
      <c r="F2591" s="2554"/>
      <c r="G2591" s="2554"/>
      <c r="H2591" s="2554"/>
      <c r="I2591" s="2554"/>
      <c r="J2591" s="270" t="str">
        <f>IFERROR(IF([1]K_Summary!$J$2576 = "", "", [1]K_Summary!$J$2576 ),"")</f>
        <v/>
      </c>
      <c r="K2591" s="270" t="str">
        <f>IFERROR(IF([1]K_Summary!$K$2576 = "", "", [1]K_Summary!$K$2576 ),"")</f>
        <v/>
      </c>
      <c r="L2591" s="270" t="str">
        <f>IFERROR(IF([1]K_Summary!$L$2576 = "", "", [1]K_Summary!$L$2576 ),"")</f>
        <v/>
      </c>
      <c r="M2591" s="270" t="str">
        <f>IFERROR(IF([1]K_Summary!$M$2576 = "", "", [1]K_Summary!$M$2576 ),"")</f>
        <v/>
      </c>
      <c r="N2591" s="270" t="str">
        <f>IFERROR(IF([1]K_Summary!$N$2576 = "", "", [1]K_Summary!$N$2576 ),"")</f>
        <v/>
      </c>
    </row>
    <row r="2592" spans="3:14">
      <c r="C2592" s="484">
        <v>11</v>
      </c>
      <c r="D2592" s="2555" t="s">
        <v>275</v>
      </c>
      <c r="E2592" s="2556"/>
      <c r="F2592" s="2556"/>
      <c r="G2592" s="2556"/>
      <c r="H2592" s="2556"/>
      <c r="I2592" s="2556"/>
      <c r="J2592" s="271" t="str">
        <f>IFERROR(IF([1]K_Summary!$J$2577 = "", "", [1]K_Summary!$J$2577 ),"")</f>
        <v/>
      </c>
      <c r="K2592" s="271" t="str">
        <f>IFERROR(IF([1]K_Summary!$K$2577 = "", "", [1]K_Summary!$K$2577 ),"")</f>
        <v/>
      </c>
      <c r="L2592" s="271" t="str">
        <f>IFERROR(IF([1]K_Summary!$L$2577 = "", "", [1]K_Summary!$L$2577 ),"")</f>
        <v/>
      </c>
      <c r="M2592" s="271" t="str">
        <f>IFERROR(IF([1]K_Summary!$M$2577 = "", "", [1]K_Summary!$M$2577 ),"")</f>
        <v/>
      </c>
      <c r="N2592" s="271" t="str">
        <f>IFERROR(IF([1]K_Summary!$N$2577 = "", "", [1]K_Summary!$N$2577 ),"")</f>
        <v/>
      </c>
    </row>
    <row r="2593" spans="3:14">
      <c r="C2593" s="484">
        <v>12</v>
      </c>
      <c r="D2593" s="2468" t="s">
        <v>276</v>
      </c>
      <c r="E2593" s="2481"/>
      <c r="F2593" s="2481"/>
      <c r="G2593" s="2481"/>
      <c r="H2593" s="2481"/>
      <c r="I2593" s="2481"/>
      <c r="J2593" s="269" t="str">
        <f>IFERROR(IF([1]K_Summary!$J$2578 = "", "", [1]K_Summary!$J$2578 ),"")</f>
        <v/>
      </c>
      <c r="K2593" s="269" t="str">
        <f>IFERROR(IF([1]K_Summary!$K$2578 = "", "", [1]K_Summary!$K$2578 ),"")</f>
        <v/>
      </c>
      <c r="L2593" s="269" t="str">
        <f>IFERROR(IF([1]K_Summary!$L$2578 = "", "", [1]K_Summary!$L$2578 ),"")</f>
        <v/>
      </c>
      <c r="M2593" s="269" t="str">
        <f>IFERROR(IF([1]K_Summary!$M$2578 = "", "", [1]K_Summary!$M$2578 ),"")</f>
        <v/>
      </c>
      <c r="N2593" s="269" t="str">
        <f>IFERROR(IF([1]K_Summary!$N$2578 = "", "", [1]K_Summary!$N$2578 ),"")</f>
        <v/>
      </c>
    </row>
    <row r="2594" spans="3:14">
      <c r="C2594" s="484">
        <v>13</v>
      </c>
      <c r="D2594" s="2468" t="s">
        <v>1209</v>
      </c>
      <c r="E2594" s="2481"/>
      <c r="F2594" s="2481"/>
      <c r="G2594" s="2481"/>
      <c r="H2594" s="2481"/>
      <c r="I2594" s="2481"/>
      <c r="J2594" s="269" t="str">
        <f>IFERROR(IF([1]K_Summary!$J$2579 = "", "", [1]K_Summary!$J$2579 ),"")</f>
        <v/>
      </c>
      <c r="K2594" s="269" t="str">
        <f>IFERROR(IF([1]K_Summary!$K$2579 = "", "", [1]K_Summary!$K$2579 ),"")</f>
        <v/>
      </c>
      <c r="L2594" s="269" t="str">
        <f>IFERROR(IF([1]K_Summary!$L$2579 = "", "", [1]K_Summary!$L$2579 ),"")</f>
        <v/>
      </c>
      <c r="M2594" s="269" t="str">
        <f>IFERROR(IF([1]K_Summary!$M$2579 = "", "", [1]K_Summary!$M$2579 ),"")</f>
        <v/>
      </c>
      <c r="N2594" s="269" t="str">
        <f>IFERROR(IF([1]K_Summary!$N$2579 = "", "", [1]K_Summary!$N$2579 ),"")</f>
        <v/>
      </c>
    </row>
    <row r="2595" spans="3:14">
      <c r="C2595" s="484">
        <v>14</v>
      </c>
      <c r="D2595" s="2468" t="s">
        <v>277</v>
      </c>
      <c r="E2595" s="2481"/>
      <c r="F2595" s="2481"/>
      <c r="G2595" s="2481"/>
      <c r="H2595" s="2481"/>
      <c r="I2595" s="2481"/>
      <c r="J2595" s="269" t="str">
        <f>IFERROR(IF([1]K_Summary!$J$2580 = "", "", [1]K_Summary!$J$2580 ),"")</f>
        <v/>
      </c>
      <c r="K2595" s="269" t="str">
        <f>IFERROR(IF([1]K_Summary!$K$2580 = "", "", [1]K_Summary!$K$2580 ),"")</f>
        <v/>
      </c>
      <c r="L2595" s="269" t="str">
        <f>IFERROR(IF([1]K_Summary!$L$2580 = "", "", [1]K_Summary!$L$2580 ),"")</f>
        <v/>
      </c>
      <c r="M2595" s="269" t="str">
        <f>IFERROR(IF([1]K_Summary!$M$2580 = "", "", [1]K_Summary!$M$2580 ),"")</f>
        <v/>
      </c>
      <c r="N2595" s="269" t="str">
        <f>IFERROR(IF([1]K_Summary!$N$2580 = "", "", [1]K_Summary!$N$2580 ),"")</f>
        <v/>
      </c>
    </row>
    <row r="2596" spans="3:14">
      <c r="C2596" s="484">
        <v>15</v>
      </c>
      <c r="D2596" s="2468" t="s">
        <v>278</v>
      </c>
      <c r="E2596" s="2481"/>
      <c r="F2596" s="2481"/>
      <c r="G2596" s="2481"/>
      <c r="H2596" s="2481"/>
      <c r="I2596" s="2481"/>
      <c r="J2596" s="269" t="str">
        <f>IFERROR(IF([1]K_Summary!$J$2581 = "", "", [1]K_Summary!$J$2581 ),"")</f>
        <v/>
      </c>
      <c r="K2596" s="269" t="str">
        <f>IFERROR(IF([1]K_Summary!$K$2581 = "", "", [1]K_Summary!$K$2581 ),"")</f>
        <v/>
      </c>
      <c r="L2596" s="269" t="str">
        <f>IFERROR(IF([1]K_Summary!$L$2581 = "", "", [1]K_Summary!$L$2581 ),"")</f>
        <v/>
      </c>
      <c r="M2596" s="269" t="str">
        <f>IFERROR(IF([1]K_Summary!$M$2581 = "", "", [1]K_Summary!$M$2581 ),"")</f>
        <v/>
      </c>
      <c r="N2596" s="269" t="str">
        <f>IFERROR(IF([1]K_Summary!$N$2581 = "", "", [1]K_Summary!$N$2581 ),"")</f>
        <v/>
      </c>
    </row>
    <row r="2597" spans="3:14">
      <c r="C2597" s="484">
        <v>16</v>
      </c>
      <c r="D2597" s="2468" t="s">
        <v>279</v>
      </c>
      <c r="E2597" s="2481"/>
      <c r="F2597" s="2481"/>
      <c r="G2597" s="2481"/>
      <c r="H2597" s="2481"/>
      <c r="I2597" s="2481"/>
      <c r="J2597" s="272" t="str">
        <f>IFERROR(IF([1]K_Summary!$J$2582 = "", "", [1]K_Summary!$J$2582 ),"")</f>
        <v/>
      </c>
      <c r="K2597" s="272" t="str">
        <f>IFERROR(IF([1]K_Summary!$K$2582 = "", "", [1]K_Summary!$K$2582 ),"")</f>
        <v/>
      </c>
      <c r="L2597" s="272" t="str">
        <f>IFERROR(IF([1]K_Summary!$L$2582 = "", "", [1]K_Summary!$L$2582 ),"")</f>
        <v/>
      </c>
      <c r="M2597" s="272" t="str">
        <f>IFERROR(IF([1]K_Summary!$M$2582 = "", "", [1]K_Summary!$M$2582 ),"")</f>
        <v/>
      </c>
      <c r="N2597" s="272" t="str">
        <f>IFERROR(IF([1]K_Summary!$N$2582 = "", "", [1]K_Summary!$N$2582 ),"")</f>
        <v/>
      </c>
    </row>
    <row r="2598" spans="3:14" ht="13.5" thickBot="1">
      <c r="C2598" s="855">
        <v>17</v>
      </c>
      <c r="D2598" s="2549" t="s">
        <v>280</v>
      </c>
      <c r="E2598" s="2550"/>
      <c r="F2598" s="2550"/>
      <c r="G2598" s="2550"/>
      <c r="H2598" s="2550"/>
      <c r="I2598" s="2550"/>
      <c r="J2598" s="270" t="str">
        <f>IFERROR(IF([1]K_Summary!$J$2583 = "", "", [1]K_Summary!$J$2583 ),"")</f>
        <v/>
      </c>
      <c r="K2598" s="270" t="str">
        <f>IFERROR(IF([1]K_Summary!$K$2583 = "", "", [1]K_Summary!$K$2583 ),"")</f>
        <v/>
      </c>
      <c r="L2598" s="270" t="str">
        <f>IFERROR(IF([1]K_Summary!$L$2583 = "", "", [1]K_Summary!$L$2583 ),"")</f>
        <v/>
      </c>
      <c r="M2598" s="270" t="str">
        <f>IFERROR(IF([1]K_Summary!$M$2583 = "", "", [1]K_Summary!$M$2583 ),"")</f>
        <v/>
      </c>
      <c r="N2598" s="270" t="str">
        <f>IFERROR(IF([1]K_Summary!$N$2583 = "", "", [1]K_Summary!$N$2583 ),"")</f>
        <v/>
      </c>
    </row>
    <row r="2599" spans="3:14">
      <c r="C2599" s="485"/>
      <c r="D2599" s="2551" t="s">
        <v>1771</v>
      </c>
      <c r="E2599" s="2552"/>
      <c r="F2599" s="2552"/>
      <c r="G2599" s="2552"/>
      <c r="H2599" s="2552"/>
      <c r="I2599" s="2552"/>
      <c r="J2599" s="273" t="str">
        <f>IFERROR(IF([1]K_Summary!$J$2584 = "", "", [1]K_Summary!$J$2584 ),"")</f>
        <v/>
      </c>
      <c r="K2599" s="273" t="str">
        <f>IFERROR(IF([1]K_Summary!$K$2584 = "", "", [1]K_Summary!$K$2584 ),"")</f>
        <v/>
      </c>
      <c r="L2599" s="273" t="str">
        <f>IFERROR(IF([1]K_Summary!$L$2584 = "", "", [1]K_Summary!$L$2584 ),"")</f>
        <v/>
      </c>
      <c r="M2599" s="273" t="str">
        <f>IFERROR(IF([1]K_Summary!$M$2584 = "", "", [1]K_Summary!$M$2584 ),"")</f>
        <v/>
      </c>
      <c r="N2599" s="273" t="str">
        <f>IFERROR(IF([1]K_Summary!$N$2584 = "", "", [1]K_Summary!$N$2584 ),"")</f>
        <v/>
      </c>
    </row>
    <row r="2600" spans="3:14" ht="13.5" thickBot="1"/>
    <row r="2601" spans="3:14" ht="13.5" thickTop="1">
      <c r="C2601" s="861"/>
      <c r="D2601" s="861"/>
      <c r="E2601" s="861"/>
      <c r="F2601" s="861"/>
      <c r="G2601" s="861"/>
      <c r="H2601" s="861"/>
      <c r="I2601" s="861"/>
      <c r="J2601" s="861"/>
      <c r="K2601" s="861"/>
      <c r="L2601" s="861"/>
      <c r="M2601" s="861"/>
      <c r="N2601" s="861"/>
    </row>
    <row r="2602" spans="3:14" ht="17.45" customHeight="1">
      <c r="C2602" s="2424" t="s">
        <v>2041</v>
      </c>
      <c r="D2602" s="2424"/>
      <c r="E2602" s="2424"/>
      <c r="F2602" s="2424"/>
      <c r="G2602" s="2424"/>
      <c r="H2602" s="2424"/>
      <c r="I2602" s="2424"/>
      <c r="J2602" s="2424"/>
      <c r="K2602" s="2424"/>
      <c r="L2602" s="2424"/>
      <c r="M2602" s="2424"/>
      <c r="N2602" s="2424"/>
    </row>
    <row r="2603" spans="3:14"/>
    <row r="2604" spans="3:14" ht="15.75">
      <c r="C2604" s="507" t="s">
        <v>61</v>
      </c>
      <c r="D2604" s="2408" t="s">
        <v>1002</v>
      </c>
      <c r="E2604" s="2408"/>
      <c r="F2604" s="2408"/>
      <c r="G2604" s="2408"/>
      <c r="H2604" s="2408"/>
      <c r="I2604" s="2408"/>
      <c r="J2604" s="2408"/>
      <c r="K2604" s="2408"/>
      <c r="L2604" s="2408"/>
      <c r="M2604" s="2408"/>
      <c r="N2604" s="2408"/>
    </row>
    <row r="2605" spans="3:14">
      <c r="C2605" s="467"/>
      <c r="D2605" s="467"/>
      <c r="E2605" s="467"/>
      <c r="F2605" s="467"/>
      <c r="G2605" s="467"/>
      <c r="H2605" s="467"/>
      <c r="I2605" s="467"/>
      <c r="J2605" s="467"/>
      <c r="K2605" s="467"/>
      <c r="L2605" s="467"/>
      <c r="M2605" s="481"/>
      <c r="N2605" s="481"/>
    </row>
    <row r="2606" spans="3:14">
      <c r="C2606" s="485"/>
      <c r="D2606" s="482" t="s">
        <v>881</v>
      </c>
      <c r="E2606" s="2373" t="s">
        <v>2241</v>
      </c>
      <c r="F2606" s="2373"/>
      <c r="G2606" s="2373"/>
      <c r="H2606" s="2373"/>
      <c r="I2606" s="2604"/>
      <c r="J2606" s="2543">
        <f>IFERROR(IF([1]A_InstallationData!$J$65 = "", "", [1]A_InstallationData!$J$65),"")</f>
        <v>0</v>
      </c>
      <c r="K2606" s="2544"/>
      <c r="L2606" s="2544"/>
      <c r="M2606" s="2544"/>
      <c r="N2606" s="2545"/>
    </row>
    <row r="2607" spans="3:14"/>
    <row r="2608" spans="3:14">
      <c r="C2608" s="485"/>
      <c r="D2608" s="482" t="s">
        <v>57</v>
      </c>
      <c r="E2608" s="2373" t="s">
        <v>1221</v>
      </c>
      <c r="F2608" s="2373"/>
      <c r="G2608" s="2373"/>
      <c r="H2608" s="2373"/>
      <c r="I2608" s="2604"/>
      <c r="J2608" s="2543">
        <f>IFERROR(IF([1]A_InstallationData!$J$56 = "", "", [1]A_InstallationData!$J$56),"")</f>
        <v>0</v>
      </c>
      <c r="K2608" s="2544"/>
      <c r="L2608" s="2544"/>
      <c r="M2608" s="2544"/>
      <c r="N2608" s="2545"/>
    </row>
    <row r="2609" spans="3:14">
      <c r="C2609" s="467"/>
      <c r="D2609" s="467"/>
      <c r="E2609" s="467"/>
      <c r="F2609" s="467"/>
      <c r="G2609" s="467"/>
      <c r="H2609" s="467"/>
      <c r="I2609" s="467"/>
      <c r="J2609" s="467"/>
      <c r="K2609" s="467"/>
      <c r="L2609" s="467"/>
      <c r="M2609" s="481"/>
      <c r="N2609" s="481"/>
    </row>
    <row r="2610" spans="3:14">
      <c r="C2610" s="485"/>
      <c r="D2610" s="482" t="s">
        <v>266</v>
      </c>
      <c r="E2610" s="2373" t="s">
        <v>1220</v>
      </c>
      <c r="F2610" s="2373"/>
      <c r="G2610" s="2373"/>
      <c r="H2610" s="2373"/>
      <c r="I2610" s="2373"/>
      <c r="J2610" s="2373"/>
      <c r="K2610" s="2373"/>
      <c r="L2610" s="2373"/>
      <c r="M2610" s="2373"/>
      <c r="N2610" s="2373"/>
    </row>
    <row r="2611" spans="3:14">
      <c r="C2611" s="485"/>
      <c r="D2611" s="862"/>
      <c r="E2611" s="496"/>
      <c r="F2611" s="2594" t="s">
        <v>2242</v>
      </c>
      <c r="G2611" s="2594"/>
      <c r="H2611" s="2594"/>
      <c r="I2611" s="2595"/>
      <c r="J2611" s="2543" t="str">
        <f>IFERROR(IF([1]A_InstallationData!$J$88 = "", "", [1]A_InstallationData!$J$88),"")</f>
        <v/>
      </c>
      <c r="K2611" s="2544"/>
      <c r="L2611" s="2544"/>
      <c r="M2611" s="2544"/>
      <c r="N2611" s="2545"/>
    </row>
    <row r="2612" spans="3:14">
      <c r="C2612" s="485"/>
      <c r="D2612" s="482" t="s">
        <v>478</v>
      </c>
      <c r="E2612" s="2373" t="s">
        <v>847</v>
      </c>
      <c r="F2612" s="2373"/>
      <c r="G2612" s="2373"/>
      <c r="H2612" s="2373"/>
      <c r="I2612" s="2373"/>
      <c r="J2612" s="2373"/>
      <c r="K2612" s="2373"/>
      <c r="L2612" s="2373"/>
      <c r="M2612" s="2373"/>
      <c r="N2612" s="2373"/>
    </row>
    <row r="2613" spans="3:14">
      <c r="C2613" s="485"/>
      <c r="D2613" s="862"/>
      <c r="E2613" s="496"/>
      <c r="F2613" s="569" t="s">
        <v>6</v>
      </c>
      <c r="G2613" s="2596" t="s">
        <v>786</v>
      </c>
      <c r="H2613" s="2596"/>
      <c r="I2613" s="2597"/>
      <c r="J2613" s="2598">
        <f>IFERROR(IF([1]A_InstallationData!$J120 = "", "", [1]A_InstallationData!$J120),"")</f>
        <v>0</v>
      </c>
      <c r="K2613" s="2599"/>
      <c r="L2613" s="2599"/>
      <c r="M2613" s="2599"/>
      <c r="N2613" s="2599"/>
    </row>
    <row r="2614" spans="3:14">
      <c r="C2614" s="485"/>
      <c r="D2614" s="862"/>
      <c r="E2614" s="496"/>
      <c r="F2614" s="569" t="s">
        <v>7</v>
      </c>
      <c r="G2614" s="2600" t="s">
        <v>850</v>
      </c>
      <c r="H2614" s="2600"/>
      <c r="I2614" s="2601"/>
      <c r="J2614" s="2602">
        <f>IFERROR(IF([1]A_InstallationData!$J121 = "", "", [1]A_InstallationData!$J121),"")</f>
        <v>0</v>
      </c>
      <c r="K2614" s="2603"/>
      <c r="L2614" s="2603"/>
      <c r="M2614" s="2603"/>
      <c r="N2614" s="2603"/>
    </row>
    <row r="2615" spans="3:14">
      <c r="C2615" s="485"/>
      <c r="D2615" s="862"/>
      <c r="E2615" s="496"/>
      <c r="F2615" s="569" t="s">
        <v>8</v>
      </c>
      <c r="G2615" s="865" t="s">
        <v>2091</v>
      </c>
      <c r="H2615" s="2600"/>
      <c r="I2615" s="2600"/>
      <c r="J2615" s="2602">
        <f>IFERROR(IF([1]A_InstallationData!$J122 = "", "", [1]A_InstallationData!$J122),"")</f>
        <v>0</v>
      </c>
      <c r="K2615" s="2603"/>
      <c r="L2615" s="2603"/>
      <c r="M2615" s="2603"/>
      <c r="N2615" s="2603"/>
    </row>
    <row r="2616" spans="3:14">
      <c r="C2616" s="485"/>
      <c r="D2616" s="862"/>
      <c r="E2616" s="496"/>
      <c r="F2616" s="569" t="s">
        <v>18</v>
      </c>
      <c r="G2616" s="2600" t="s">
        <v>851</v>
      </c>
      <c r="H2616" s="2600"/>
      <c r="I2616" s="2601"/>
      <c r="J2616" s="2602">
        <f>IFERROR(IF([1]A_InstallationData!$J123 = "", "", [1]A_InstallationData!$J123),"")</f>
        <v>0</v>
      </c>
      <c r="K2616" s="2603"/>
      <c r="L2616" s="2603"/>
      <c r="M2616" s="2603"/>
      <c r="N2616" s="2603"/>
    </row>
    <row r="2617" spans="3:14">
      <c r="C2617" s="485"/>
      <c r="D2617" s="862"/>
      <c r="E2617" s="496"/>
      <c r="F2617" s="569" t="s">
        <v>787</v>
      </c>
      <c r="G2617" s="2600" t="s">
        <v>852</v>
      </c>
      <c r="H2617" s="2600"/>
      <c r="I2617" s="2601"/>
      <c r="J2617" s="2602">
        <f>IFERROR(IF([1]A_InstallationData!$J124 = "", "", [1]A_InstallationData!$J124),"")</f>
        <v>0</v>
      </c>
      <c r="K2617" s="2603"/>
      <c r="L2617" s="2603"/>
      <c r="M2617" s="2603"/>
      <c r="N2617" s="2603"/>
    </row>
    <row r="2618" spans="3:14">
      <c r="C2618" s="485"/>
      <c r="D2618" s="862"/>
      <c r="E2618" s="496"/>
      <c r="F2618" s="569" t="s">
        <v>788</v>
      </c>
      <c r="G2618" s="2600" t="s">
        <v>853</v>
      </c>
      <c r="H2618" s="2600"/>
      <c r="I2618" s="2601"/>
      <c r="J2618" s="2602">
        <f>IFERROR(IF([1]A_InstallationData!$J125 = "", "", [1]A_InstallationData!$J125),"")</f>
        <v>0</v>
      </c>
      <c r="K2618" s="2603"/>
      <c r="L2618" s="2603"/>
      <c r="M2618" s="2603"/>
      <c r="N2618" s="2603"/>
    </row>
    <row r="2619" spans="3:14">
      <c r="C2619" s="485"/>
      <c r="D2619" s="862"/>
      <c r="E2619" s="496"/>
      <c r="F2619" s="569" t="s">
        <v>789</v>
      </c>
      <c r="G2619" s="2600" t="s">
        <v>854</v>
      </c>
      <c r="H2619" s="2600"/>
      <c r="I2619" s="2601"/>
      <c r="J2619" s="2602">
        <f>IFERROR(IF([1]A_InstallationData!$J126 = "", "", [1]A_InstallationData!$J126),"")</f>
        <v>0</v>
      </c>
      <c r="K2619" s="2603"/>
      <c r="L2619" s="2603"/>
      <c r="M2619" s="2603"/>
      <c r="N2619" s="2603"/>
    </row>
    <row r="2620" spans="3:14">
      <c r="C2620" s="485"/>
      <c r="D2620" s="862"/>
      <c r="E2620" s="496"/>
      <c r="F2620" s="569" t="s">
        <v>790</v>
      </c>
      <c r="G2620" s="2600" t="s">
        <v>855</v>
      </c>
      <c r="H2620" s="2600"/>
      <c r="I2620" s="2601"/>
      <c r="J2620" s="2602">
        <f>IFERROR(IF([1]A_InstallationData!$J127 = "", "", [1]A_InstallationData!$J127),"")</f>
        <v>0</v>
      </c>
      <c r="K2620" s="2603"/>
      <c r="L2620" s="2603"/>
      <c r="M2620" s="2603"/>
      <c r="N2620" s="2603"/>
    </row>
    <row r="2621" spans="3:14">
      <c r="C2621" s="485"/>
      <c r="D2621" s="862"/>
      <c r="E2621" s="496"/>
      <c r="F2621" s="569" t="s">
        <v>791</v>
      </c>
      <c r="G2621" s="2610" t="s">
        <v>856</v>
      </c>
      <c r="H2621" s="2610"/>
      <c r="I2621" s="2611"/>
      <c r="J2621" s="2612">
        <f>IFERROR(IF([1]A_InstallationData!$J128 = "", "", [1]A_InstallationData!$J128),"")</f>
        <v>0</v>
      </c>
      <c r="K2621" s="2613"/>
      <c r="L2621" s="2613"/>
      <c r="M2621" s="2613"/>
      <c r="N2621" s="2613"/>
    </row>
    <row r="2622" spans="3:14">
      <c r="C2622" s="467"/>
      <c r="D2622" s="467"/>
      <c r="E2622" s="467"/>
      <c r="F2622" s="467"/>
      <c r="G2622" s="467"/>
      <c r="H2622" s="467"/>
      <c r="I2622" s="467"/>
      <c r="J2622" s="467"/>
      <c r="K2622" s="467"/>
      <c r="L2622" s="467"/>
      <c r="M2622" s="481"/>
      <c r="N2622" s="481"/>
    </row>
    <row r="2623" spans="3:14">
      <c r="C2623" s="485"/>
      <c r="D2623" s="482" t="s">
        <v>479</v>
      </c>
      <c r="E2623" s="2373" t="s">
        <v>849</v>
      </c>
      <c r="F2623" s="2373"/>
      <c r="G2623" s="2373"/>
      <c r="H2623" s="2373"/>
      <c r="I2623" s="2373"/>
      <c r="J2623" s="2373"/>
      <c r="K2623" s="2373"/>
      <c r="L2623" s="2373"/>
      <c r="M2623" s="2373"/>
      <c r="N2623" s="2373"/>
    </row>
    <row r="2624" spans="3:14">
      <c r="C2624" s="485"/>
      <c r="D2624" s="862"/>
      <c r="E2624" s="496"/>
      <c r="F2624" s="569" t="s">
        <v>6</v>
      </c>
      <c r="G2624" s="2596" t="s">
        <v>850</v>
      </c>
      <c r="H2624" s="2596"/>
      <c r="I2624" s="2597"/>
      <c r="J2624" s="2598">
        <f>IFERROR(IF([1]A_InstallationData!J141 = "", "", [1]A_InstallationData!J141),"")</f>
        <v>0</v>
      </c>
      <c r="K2624" s="2599"/>
      <c r="L2624" s="2599"/>
      <c r="M2624" s="2599"/>
      <c r="N2624" s="2599"/>
    </row>
    <row r="2625" spans="3:14">
      <c r="C2625" s="485"/>
      <c r="D2625" s="862"/>
      <c r="E2625" s="496"/>
      <c r="F2625" s="569" t="s">
        <v>7</v>
      </c>
      <c r="G2625" s="865" t="s">
        <v>2091</v>
      </c>
      <c r="H2625" s="2600"/>
      <c r="I2625" s="2600"/>
      <c r="J2625" s="2602">
        <f>IFERROR(IF([1]A_InstallationData!J142 = "", "", [1]A_InstallationData!J142),"")</f>
        <v>0</v>
      </c>
      <c r="K2625" s="2603"/>
      <c r="L2625" s="2603"/>
      <c r="M2625" s="2603"/>
      <c r="N2625" s="2603"/>
    </row>
    <row r="2626" spans="3:14">
      <c r="C2626" s="485"/>
      <c r="D2626" s="862"/>
      <c r="E2626" s="496"/>
      <c r="F2626" s="569" t="s">
        <v>8</v>
      </c>
      <c r="G2626" s="2600" t="s">
        <v>851</v>
      </c>
      <c r="H2626" s="2600"/>
      <c r="I2626" s="2601"/>
      <c r="J2626" s="2602">
        <f>IFERROR(IF([1]A_InstallationData!J143 = "", "", [1]A_InstallationData!J143),"")</f>
        <v>0</v>
      </c>
      <c r="K2626" s="2603"/>
      <c r="L2626" s="2603"/>
      <c r="M2626" s="2603"/>
      <c r="N2626" s="2603"/>
    </row>
    <row r="2627" spans="3:14">
      <c r="C2627" s="485"/>
      <c r="D2627" s="862"/>
      <c r="E2627" s="496"/>
      <c r="F2627" s="569" t="s">
        <v>18</v>
      </c>
      <c r="G2627" s="2610" t="s">
        <v>852</v>
      </c>
      <c r="H2627" s="2610"/>
      <c r="I2627" s="2611"/>
      <c r="J2627" s="2612">
        <f>IFERROR(IF([1]A_InstallationData!J144 = "", "", [1]A_InstallationData!J144),"")</f>
        <v>0</v>
      </c>
      <c r="K2627" s="2613"/>
      <c r="L2627" s="2613"/>
      <c r="M2627" s="2613"/>
      <c r="N2627" s="2613"/>
    </row>
    <row r="2628" spans="3:14" ht="15">
      <c r="C2628" s="559">
        <v>2</v>
      </c>
      <c r="D2628" s="2482" t="s">
        <v>262</v>
      </c>
      <c r="E2628" s="2482"/>
      <c r="F2628" s="2482"/>
      <c r="G2628" s="2482"/>
      <c r="H2628" s="2482"/>
      <c r="I2628" s="2482"/>
      <c r="J2628" s="2482"/>
      <c r="K2628" s="2482"/>
      <c r="L2628" s="2482"/>
      <c r="M2628" s="2482"/>
      <c r="N2628" s="2482"/>
    </row>
    <row r="2629" spans="3:14">
      <c r="C2629" s="485"/>
      <c r="D2629" s="482" t="s">
        <v>400</v>
      </c>
      <c r="E2629" s="2373" t="s">
        <v>1223</v>
      </c>
      <c r="F2629" s="2373"/>
      <c r="G2629" s="2373"/>
      <c r="H2629" s="2373"/>
      <c r="I2629" s="2373"/>
      <c r="J2629" s="2373"/>
      <c r="K2629" s="2373"/>
      <c r="L2629" s="2373"/>
      <c r="M2629" s="2373"/>
      <c r="N2629" s="2373"/>
    </row>
    <row r="2630" spans="3:14">
      <c r="C2630" s="485"/>
      <c r="D2630" s="862"/>
      <c r="E2630" s="496"/>
      <c r="F2630" s="569" t="s">
        <v>6</v>
      </c>
      <c r="G2630" s="2596" t="s">
        <v>848</v>
      </c>
      <c r="H2630" s="2596"/>
      <c r="I2630" s="2597"/>
      <c r="J2630" s="2598">
        <f>IFERROR(IF([1]A_InstallationData!J177 = "", "", [1]A_InstallationData!J177),"")</f>
        <v>0</v>
      </c>
      <c r="K2630" s="2599"/>
      <c r="L2630" s="2599"/>
      <c r="M2630" s="2599"/>
      <c r="N2630" s="2599"/>
    </row>
    <row r="2631" spans="3:14">
      <c r="C2631" s="485"/>
      <c r="D2631" s="862"/>
      <c r="E2631" s="496"/>
      <c r="F2631" s="569" t="s">
        <v>7</v>
      </c>
      <c r="G2631" s="2600" t="s">
        <v>854</v>
      </c>
      <c r="H2631" s="2600"/>
      <c r="I2631" s="2601"/>
      <c r="J2631" s="2602">
        <f>IFERROR(IF([1]A_InstallationData!J178 = "", "", [1]A_InstallationData!J178),"")</f>
        <v>0</v>
      </c>
      <c r="K2631" s="2603"/>
      <c r="L2631" s="2603"/>
      <c r="M2631" s="2603"/>
      <c r="N2631" s="2603"/>
    </row>
    <row r="2632" spans="3:14">
      <c r="C2632" s="485"/>
      <c r="D2632" s="862"/>
      <c r="E2632" s="496"/>
      <c r="F2632" s="569" t="s">
        <v>8</v>
      </c>
      <c r="G2632" s="2600" t="s">
        <v>855</v>
      </c>
      <c r="H2632" s="2600"/>
      <c r="I2632" s="2601"/>
      <c r="J2632" s="2602">
        <f>IFERROR(IF([1]A_InstallationData!J179 = "", "", [1]A_InstallationData!J179),"")</f>
        <v>0</v>
      </c>
      <c r="K2632" s="2603"/>
      <c r="L2632" s="2603"/>
      <c r="M2632" s="2603"/>
      <c r="N2632" s="2603"/>
    </row>
    <row r="2633" spans="3:14">
      <c r="C2633" s="485"/>
      <c r="D2633" s="862"/>
      <c r="E2633" s="496"/>
      <c r="F2633" s="569" t="s">
        <v>18</v>
      </c>
      <c r="G2633" s="2610" t="s">
        <v>856</v>
      </c>
      <c r="H2633" s="2610"/>
      <c r="I2633" s="2611"/>
      <c r="J2633" s="2612">
        <f>IFERROR(IF([1]A_InstallationData!J180 = "", "", [1]A_InstallationData!J180),"")</f>
        <v>0</v>
      </c>
      <c r="K2633" s="2613"/>
      <c r="L2633" s="2613"/>
      <c r="M2633" s="2613"/>
      <c r="N2633" s="2613"/>
    </row>
    <row r="2634" spans="3:14">
      <c r="C2634" s="467"/>
      <c r="D2634" s="467"/>
      <c r="E2634" s="467"/>
      <c r="F2634" s="467"/>
      <c r="G2634" s="467"/>
      <c r="H2634" s="467"/>
      <c r="I2634" s="467"/>
      <c r="J2634" s="467"/>
      <c r="K2634" s="467"/>
      <c r="L2634" s="467"/>
      <c r="M2634" s="481"/>
      <c r="N2634" s="481"/>
    </row>
    <row r="2635" spans="3:14" ht="15.75">
      <c r="C2635" s="507" t="s">
        <v>930</v>
      </c>
      <c r="D2635" s="2408" t="s">
        <v>152</v>
      </c>
      <c r="E2635" s="2408"/>
      <c r="F2635" s="2408"/>
      <c r="G2635" s="2408"/>
      <c r="H2635" s="2408"/>
      <c r="I2635" s="2408"/>
      <c r="J2635" s="2408"/>
      <c r="K2635" s="2408"/>
      <c r="L2635" s="2408"/>
      <c r="M2635" s="2408"/>
      <c r="N2635" s="2408"/>
    </row>
    <row r="2636" spans="3:14">
      <c r="C2636" s="467"/>
      <c r="D2636" s="467"/>
      <c r="E2636" s="467"/>
      <c r="F2636" s="467"/>
      <c r="G2636" s="467"/>
      <c r="H2636" s="467"/>
      <c r="I2636" s="467"/>
      <c r="J2636" s="467"/>
      <c r="K2636" s="467"/>
      <c r="L2636" s="467"/>
      <c r="M2636" s="481"/>
      <c r="N2636" s="481"/>
    </row>
    <row r="2637" spans="3:14">
      <c r="C2637" s="485"/>
      <c r="D2637" s="482" t="s">
        <v>400</v>
      </c>
      <c r="E2637" s="2373" t="s">
        <v>523</v>
      </c>
      <c r="F2637" s="2373"/>
      <c r="G2637" s="2373"/>
      <c r="H2637" s="2373"/>
      <c r="I2637" s="2373"/>
      <c r="J2637" s="2373"/>
      <c r="K2637" s="2373"/>
      <c r="L2637" s="2373"/>
      <c r="M2637" s="2373"/>
      <c r="N2637" s="2373"/>
    </row>
    <row r="2638" spans="3:14">
      <c r="C2638" s="485"/>
      <c r="D2638" s="484"/>
      <c r="E2638" s="869" t="s">
        <v>522</v>
      </c>
      <c r="F2638" s="2614" t="s">
        <v>524</v>
      </c>
      <c r="G2638" s="2615"/>
      <c r="H2638" s="2616"/>
      <c r="I2638" s="2614" t="s">
        <v>525</v>
      </c>
      <c r="J2638" s="2616"/>
      <c r="K2638" s="2614" t="s">
        <v>526</v>
      </c>
      <c r="L2638" s="2616"/>
      <c r="M2638" s="2614" t="s">
        <v>527</v>
      </c>
      <c r="N2638" s="2615"/>
    </row>
    <row r="2639" spans="3:14">
      <c r="C2639" s="485"/>
      <c r="D2639" s="484"/>
      <c r="E2639" s="873">
        <v>1</v>
      </c>
      <c r="F2639" s="2598" t="str">
        <f>IFERROR(IF([1]A_InstallationData!$F$383 = "", "", [1]A_InstallationData!$F$383),"")</f>
        <v/>
      </c>
      <c r="G2639" s="2599"/>
      <c r="H2639" s="2617"/>
      <c r="I2639" s="2598" t="str">
        <f>IFERROR(IF([1]A_InstallationData!$I$383 = "", "", [1]A_InstallationData!$I$383),"")</f>
        <v/>
      </c>
      <c r="J2639" s="2617"/>
      <c r="K2639" s="2598" t="str">
        <f>IFERROR(IF([1]A_InstallationData!$K$383 = "", "", [1]A_InstallationData!$K$383),"")</f>
        <v/>
      </c>
      <c r="L2639" s="2617"/>
      <c r="M2639" s="2618" t="str">
        <f>IFERROR(IF([1]A_InstallationData!$M$383 = "", "", [1]A_InstallationData!$M$383),"")</f>
        <v/>
      </c>
      <c r="N2639" s="2619"/>
    </row>
    <row r="2640" spans="3:14">
      <c r="D2640" s="484"/>
      <c r="E2640" s="874">
        <v>2</v>
      </c>
      <c r="F2640" s="2602" t="str">
        <f>IFERROR(IF([1]A_InstallationData!$F$384 = "", "", [1]A_InstallationData!$F$384),"")</f>
        <v/>
      </c>
      <c r="G2640" s="2603"/>
      <c r="H2640" s="2620"/>
      <c r="I2640" s="2602" t="str">
        <f>IFERROR(IF([1]A_InstallationData!$I$384 = "", "", [1]A_InstallationData!$I$384),"")</f>
        <v/>
      </c>
      <c r="J2640" s="2620"/>
      <c r="K2640" s="2602" t="str">
        <f>IFERROR(IF([1]A_InstallationData!$K$384 = "", "", [1]A_InstallationData!$K$384),"")</f>
        <v/>
      </c>
      <c r="L2640" s="2620"/>
      <c r="M2640" s="2621" t="str">
        <f>IFERROR(IF([1]A_InstallationData!$M$384 = "", "", [1]A_InstallationData!$M$384),"")</f>
        <v/>
      </c>
      <c r="N2640" s="2622"/>
    </row>
    <row r="2641" spans="3:14">
      <c r="D2641" s="484"/>
      <c r="E2641" s="874">
        <v>3</v>
      </c>
      <c r="F2641" s="2602" t="str">
        <f>IFERROR(IF([1]A_InstallationData!$F$385 = "", "", [1]A_InstallationData!$F$385),"")</f>
        <v/>
      </c>
      <c r="G2641" s="2603"/>
      <c r="H2641" s="2620"/>
      <c r="I2641" s="2602" t="str">
        <f>IFERROR(IF([1]A_InstallationData!$I$385 = "", "", [1]A_InstallationData!$I$385),"")</f>
        <v/>
      </c>
      <c r="J2641" s="2620"/>
      <c r="K2641" s="2602" t="str">
        <f>IFERROR(IF([1]A_InstallationData!$K$385 = "", "", [1]A_InstallationData!$K$385),"")</f>
        <v/>
      </c>
      <c r="L2641" s="2620"/>
      <c r="M2641" s="2621" t="str">
        <f>IFERROR(IF([1]A_InstallationData!$M$385 = "", "", [1]A_InstallationData!$M$385),"")</f>
        <v/>
      </c>
      <c r="N2641" s="2622"/>
    </row>
    <row r="2642" spans="3:14">
      <c r="D2642" s="484"/>
      <c r="E2642" s="874">
        <v>4</v>
      </c>
      <c r="F2642" s="2602" t="str">
        <f>IFERROR(IF([1]A_InstallationData!$F$386 = "", "", [1]A_InstallationData!$F$386),"")</f>
        <v/>
      </c>
      <c r="G2642" s="2603"/>
      <c r="H2642" s="2620"/>
      <c r="I2642" s="2602" t="str">
        <f>IFERROR(IF([1]A_InstallationData!$I$386 = "", "", [1]A_InstallationData!$I$386),"")</f>
        <v/>
      </c>
      <c r="J2642" s="2620"/>
      <c r="K2642" s="2602" t="str">
        <f>IFERROR(IF([1]A_InstallationData!$K$386 = "", "", [1]A_InstallationData!$K$386),"")</f>
        <v/>
      </c>
      <c r="L2642" s="2620"/>
      <c r="M2642" s="2621" t="str">
        <f>IFERROR(IF([1]A_InstallationData!$M$386 = "", "", [1]A_InstallationData!$M$386),"")</f>
        <v/>
      </c>
      <c r="N2642" s="2622"/>
    </row>
    <row r="2643" spans="3:14">
      <c r="D2643" s="484"/>
      <c r="E2643" s="874">
        <v>5</v>
      </c>
      <c r="F2643" s="2602" t="str">
        <f>IFERROR(IF([1]A_InstallationData!$F$387 = "", "", [1]A_InstallationData!$F$387),"")</f>
        <v/>
      </c>
      <c r="G2643" s="2603"/>
      <c r="H2643" s="2620"/>
      <c r="I2643" s="2602" t="str">
        <f>IFERROR(IF([1]A_InstallationData!$I$387 = "", "", [1]A_InstallationData!$I$387),"")</f>
        <v/>
      </c>
      <c r="J2643" s="2620"/>
      <c r="K2643" s="2602" t="str">
        <f>IFERROR(IF([1]A_InstallationData!$K$387 = "", "", [1]A_InstallationData!$K$387),"")</f>
        <v/>
      </c>
      <c r="L2643" s="2620"/>
      <c r="M2643" s="2621" t="str">
        <f>IFERROR(IF([1]A_InstallationData!$M$387 = "", "", [1]A_InstallationData!$M$387),"")</f>
        <v/>
      </c>
      <c r="N2643" s="2622"/>
    </row>
    <row r="2644" spans="3:14">
      <c r="D2644" s="484"/>
      <c r="E2644" s="874">
        <v>6</v>
      </c>
      <c r="F2644" s="2602" t="str">
        <f>IFERROR(IF([1]A_InstallationData!$F$388 = "", "", [1]A_InstallationData!$F$388),"")</f>
        <v/>
      </c>
      <c r="G2644" s="2603"/>
      <c r="H2644" s="2620"/>
      <c r="I2644" s="2602" t="str">
        <f>IFERROR(IF([1]A_InstallationData!$I$388 = "", "", [1]A_InstallationData!$I$388),"")</f>
        <v/>
      </c>
      <c r="J2644" s="2620"/>
      <c r="K2644" s="2602" t="str">
        <f>IFERROR(IF([1]A_InstallationData!$K$388 = "", "", [1]A_InstallationData!$K$388),"")</f>
        <v/>
      </c>
      <c r="L2644" s="2620"/>
      <c r="M2644" s="2621" t="str">
        <f>IFERROR(IF([1]A_InstallationData!$M$388 = "", "", [1]A_InstallationData!$M$388),"")</f>
        <v/>
      </c>
      <c r="N2644" s="2622"/>
    </row>
    <row r="2645" spans="3:14">
      <c r="D2645" s="484"/>
      <c r="E2645" s="874">
        <v>7</v>
      </c>
      <c r="F2645" s="2602" t="str">
        <f>IFERROR(IF([1]A_InstallationData!$F$389 = "", "", [1]A_InstallationData!$F$389),"")</f>
        <v/>
      </c>
      <c r="G2645" s="2603"/>
      <c r="H2645" s="2620"/>
      <c r="I2645" s="2602" t="str">
        <f>IFERROR(IF([1]A_InstallationData!$I$389 = "", "", [1]A_InstallationData!$I$389),"")</f>
        <v/>
      </c>
      <c r="J2645" s="2620"/>
      <c r="K2645" s="2602" t="str">
        <f>IFERROR(IF([1]A_InstallationData!$K$389 = "", "", [1]A_InstallationData!$K$389),"")</f>
        <v/>
      </c>
      <c r="L2645" s="2620"/>
      <c r="M2645" s="2621" t="str">
        <f>IFERROR(IF([1]A_InstallationData!$M$389 = "", "", [1]A_InstallationData!$M$389),"")</f>
        <v/>
      </c>
      <c r="N2645" s="2622"/>
    </row>
    <row r="2646" spans="3:14">
      <c r="D2646" s="484"/>
      <c r="E2646" s="874">
        <v>8</v>
      </c>
      <c r="F2646" s="2602" t="str">
        <f>IFERROR(IF([1]A_InstallationData!$F$390 = "", "", [1]A_InstallationData!$F$390),"")</f>
        <v/>
      </c>
      <c r="G2646" s="2603"/>
      <c r="H2646" s="2620"/>
      <c r="I2646" s="2602" t="str">
        <f>IFERROR(IF([1]A_InstallationData!$I$390 = "", "", [1]A_InstallationData!$I$390),"")</f>
        <v/>
      </c>
      <c r="J2646" s="2620"/>
      <c r="K2646" s="2602" t="str">
        <f>IFERROR(IF([1]A_InstallationData!$K$390 = "", "", [1]A_InstallationData!$K$390),"")</f>
        <v/>
      </c>
      <c r="L2646" s="2620"/>
      <c r="M2646" s="2621" t="str">
        <f>IFERROR(IF([1]A_InstallationData!$M$390 = "", "", [1]A_InstallationData!$M$390),"")</f>
        <v/>
      </c>
      <c r="N2646" s="2622"/>
    </row>
    <row r="2647" spans="3:14">
      <c r="D2647" s="484"/>
      <c r="E2647" s="874">
        <v>9</v>
      </c>
      <c r="F2647" s="2602" t="str">
        <f>IFERROR(IF([1]A_InstallationData!$F$391 = "", "", [1]A_InstallationData!$F$391),"")</f>
        <v/>
      </c>
      <c r="G2647" s="2603"/>
      <c r="H2647" s="2620"/>
      <c r="I2647" s="2602" t="str">
        <f>IFERROR(IF([1]A_InstallationData!$I$391 = "", "", [1]A_InstallationData!$I$391),"")</f>
        <v/>
      </c>
      <c r="J2647" s="2620"/>
      <c r="K2647" s="2602" t="str">
        <f>IFERROR(IF([1]A_InstallationData!$K$391 = "", "", [1]A_InstallationData!$K$391),"")</f>
        <v/>
      </c>
      <c r="L2647" s="2620"/>
      <c r="M2647" s="2621" t="str">
        <f>IFERROR(IF([1]A_InstallationData!$M$391 = "", "", [1]A_InstallationData!$M$391),"")</f>
        <v/>
      </c>
      <c r="N2647" s="2622"/>
    </row>
    <row r="2648" spans="3:14">
      <c r="D2648" s="484"/>
      <c r="E2648" s="875">
        <v>10</v>
      </c>
      <c r="F2648" s="2612" t="str">
        <f>IFERROR(IF([1]A_InstallationData!$F$392 = "", "", [1]A_InstallationData!$F$392),"")</f>
        <v/>
      </c>
      <c r="G2648" s="2613"/>
      <c r="H2648" s="2627"/>
      <c r="I2648" s="2612" t="str">
        <f>IFERROR(IF([1]A_InstallationData!$I$392 = "", "", [1]A_InstallationData!$I$392),"")</f>
        <v/>
      </c>
      <c r="J2648" s="2627"/>
      <c r="K2648" s="2612" t="str">
        <f>IFERROR(IF([1]A_InstallationData!$K$392 = "", "", [1]A_InstallationData!$K$392),"")</f>
        <v/>
      </c>
      <c r="L2648" s="2627"/>
      <c r="M2648" s="2628" t="str">
        <f>IFERROR(IF([1]A_InstallationData!$M$392 = "", "", [1]A_InstallationData!$M$392),"")</f>
        <v/>
      </c>
      <c r="N2648" s="2629"/>
    </row>
    <row r="2649" spans="3:14">
      <c r="D2649" s="484"/>
      <c r="E2649" s="876"/>
      <c r="F2649" s="876"/>
      <c r="G2649" s="876"/>
      <c r="H2649" s="876"/>
      <c r="I2649" s="876"/>
      <c r="J2649" s="876"/>
      <c r="K2649" s="876"/>
      <c r="L2649" s="876"/>
      <c r="M2649" s="876"/>
      <c r="N2649" s="876"/>
    </row>
    <row r="2650" spans="3:14">
      <c r="D2650" s="482" t="s">
        <v>876</v>
      </c>
      <c r="E2650" s="2373" t="s">
        <v>1070</v>
      </c>
      <c r="F2650" s="2373"/>
      <c r="G2650" s="2373"/>
      <c r="H2650" s="2373"/>
      <c r="I2650" s="2373"/>
      <c r="J2650" s="2373"/>
      <c r="K2650" s="2373"/>
      <c r="L2650" s="2373"/>
      <c r="M2650" s="2373"/>
      <c r="N2650" s="2373"/>
    </row>
    <row r="2651" spans="3:14">
      <c r="D2651" s="485"/>
      <c r="E2651" s="877" t="s">
        <v>522</v>
      </c>
      <c r="F2651" s="2614" t="s">
        <v>1462</v>
      </c>
      <c r="G2651" s="2616"/>
      <c r="H2651" s="2614" t="s">
        <v>1069</v>
      </c>
      <c r="I2651" s="2616"/>
      <c r="J2651" s="2623" t="s">
        <v>529</v>
      </c>
      <c r="K2651" s="2624"/>
      <c r="L2651" s="2625"/>
      <c r="M2651" s="2614" t="s">
        <v>528</v>
      </c>
      <c r="N2651" s="2615"/>
    </row>
    <row r="2652" spans="3:14">
      <c r="D2652" s="485"/>
      <c r="E2652" s="878">
        <v>1</v>
      </c>
      <c r="F2652" s="2618" t="str">
        <f>IFERROR(IF([1]A_InstallationData!$F395 = "", "", [1]A_InstallationData!$F395),"")</f>
        <v/>
      </c>
      <c r="G2652" s="2626"/>
      <c r="H2652" s="2618" t="str">
        <f>IFERROR(IF([1]A_InstallationData!H395 = "", "", [1]A_InstallationData!H395),"")</f>
        <v/>
      </c>
      <c r="I2652" s="2626"/>
      <c r="J2652" s="2598" t="str">
        <f>IFERROR(IF([1]A_InstallationData!J395 = "", "", [1]A_InstallationData!J395),"")</f>
        <v/>
      </c>
      <c r="K2652" s="2599"/>
      <c r="L2652" s="2617"/>
      <c r="M2652" s="2598" t="str">
        <f>IFERROR(IF([1]A_InstallationData!M395 = "", "", [1]A_InstallationData!M395),"")</f>
        <v/>
      </c>
      <c r="N2652" s="2599"/>
    </row>
    <row r="2653" spans="3:14">
      <c r="D2653" s="485"/>
      <c r="E2653" s="874">
        <v>2</v>
      </c>
      <c r="F2653" s="2621" t="str">
        <f>IFERROR(IF([1]A_InstallationData!$F396 = "", "", [1]A_InstallationData!$F396),"")</f>
        <v/>
      </c>
      <c r="G2653" s="2643"/>
      <c r="H2653" s="2602" t="str">
        <f>IFERROR(IF([1]A_InstallationData!H396 = "", "", [1]A_InstallationData!H396),"")</f>
        <v/>
      </c>
      <c r="I2653" s="2620"/>
      <c r="J2653" s="2602" t="str">
        <f>IFERROR(IF([1]A_InstallationData!J396 = "", "", [1]A_InstallationData!J396),"")</f>
        <v/>
      </c>
      <c r="K2653" s="2603"/>
      <c r="L2653" s="2620"/>
      <c r="M2653" s="2602" t="str">
        <f>IFERROR(IF([1]A_InstallationData!M396 = "", "", [1]A_InstallationData!M396),"")</f>
        <v/>
      </c>
      <c r="N2653" s="2603"/>
    </row>
    <row r="2654" spans="3:14">
      <c r="D2654" s="485"/>
      <c r="E2654" s="874">
        <v>3</v>
      </c>
      <c r="F2654" s="2621" t="str">
        <f>IFERROR(IF([1]A_InstallationData!$F397 = "", "", [1]A_InstallationData!$F397),"")</f>
        <v/>
      </c>
      <c r="G2654" s="2643"/>
      <c r="H2654" s="2602" t="str">
        <f>IFERROR(IF([1]A_InstallationData!H397 = "", "", [1]A_InstallationData!H397),"")</f>
        <v/>
      </c>
      <c r="I2654" s="2620"/>
      <c r="J2654" s="2602" t="str">
        <f>IFERROR(IF([1]A_InstallationData!J397 = "", "", [1]A_InstallationData!J397),"")</f>
        <v/>
      </c>
      <c r="K2654" s="2603"/>
      <c r="L2654" s="2620"/>
      <c r="M2654" s="2602" t="str">
        <f>IFERROR(IF([1]A_InstallationData!M397 = "", "", [1]A_InstallationData!M397),"")</f>
        <v/>
      </c>
      <c r="N2654" s="2603"/>
    </row>
    <row r="2655" spans="3:14">
      <c r="D2655" s="485"/>
      <c r="E2655" s="874">
        <v>4</v>
      </c>
      <c r="F2655" s="2621" t="str">
        <f>IFERROR(IF([1]A_InstallationData!$F398 = "", "", [1]A_InstallationData!$F398),"")</f>
        <v/>
      </c>
      <c r="G2655" s="2643"/>
      <c r="H2655" s="2602" t="str">
        <f>IFERROR(IF([1]A_InstallationData!H398 = "", "", [1]A_InstallationData!H398),"")</f>
        <v/>
      </c>
      <c r="I2655" s="2620"/>
      <c r="J2655" s="2602" t="str">
        <f>IFERROR(IF([1]A_InstallationData!J398 = "", "", [1]A_InstallationData!J398),"")</f>
        <v/>
      </c>
      <c r="K2655" s="2603"/>
      <c r="L2655" s="2620"/>
      <c r="M2655" s="2602" t="str">
        <f>IFERROR(IF([1]A_InstallationData!M398 = "", "", [1]A_InstallationData!M398),"")</f>
        <v/>
      </c>
      <c r="N2655" s="2603"/>
    </row>
    <row r="2656" spans="3:14">
      <c r="C2656" s="485"/>
      <c r="D2656" s="485"/>
      <c r="E2656" s="874">
        <v>5</v>
      </c>
      <c r="F2656" s="2621" t="str">
        <f>IFERROR(IF([1]A_InstallationData!$F399 = "", "", [1]A_InstallationData!$F399),"")</f>
        <v/>
      </c>
      <c r="G2656" s="2643"/>
      <c r="H2656" s="2602" t="str">
        <f>IFERROR(IF([1]A_InstallationData!H399 = "", "", [1]A_InstallationData!H399),"")</f>
        <v/>
      </c>
      <c r="I2656" s="2620"/>
      <c r="J2656" s="2602" t="str">
        <f>IFERROR(IF([1]A_InstallationData!J399 = "", "", [1]A_InstallationData!J399),"")</f>
        <v/>
      </c>
      <c r="K2656" s="2603"/>
      <c r="L2656" s="2620"/>
      <c r="M2656" s="2602" t="str">
        <f>IFERROR(IF([1]A_InstallationData!M399 = "", "", [1]A_InstallationData!M399),"")</f>
        <v/>
      </c>
      <c r="N2656" s="2603"/>
    </row>
    <row r="2657" spans="3:14">
      <c r="C2657" s="485"/>
      <c r="D2657" s="485"/>
      <c r="E2657" s="874">
        <v>6</v>
      </c>
      <c r="F2657" s="2621" t="str">
        <f>IFERROR(IF([1]A_InstallationData!$F400 = "", "", [1]A_InstallationData!$F400),"")</f>
        <v/>
      </c>
      <c r="G2657" s="2643"/>
      <c r="H2657" s="2602" t="str">
        <f>IFERROR(IF([1]A_InstallationData!H400 = "", "", [1]A_InstallationData!H400),"")</f>
        <v/>
      </c>
      <c r="I2657" s="2620"/>
      <c r="J2657" s="2602" t="str">
        <f>IFERROR(IF([1]A_InstallationData!J400 = "", "", [1]A_InstallationData!J400),"")</f>
        <v/>
      </c>
      <c r="K2657" s="2603"/>
      <c r="L2657" s="2620"/>
      <c r="M2657" s="2602" t="str">
        <f>IFERROR(IF([1]A_InstallationData!M400 = "", "", [1]A_InstallationData!M400),"")</f>
        <v/>
      </c>
      <c r="N2657" s="2603"/>
    </row>
    <row r="2658" spans="3:14">
      <c r="C2658" s="485"/>
      <c r="D2658" s="485"/>
      <c r="E2658" s="874">
        <v>7</v>
      </c>
      <c r="F2658" s="2621" t="str">
        <f>IFERROR(IF([1]A_InstallationData!$F401 = "", "", [1]A_InstallationData!$F401),"")</f>
        <v/>
      </c>
      <c r="G2658" s="2643"/>
      <c r="H2658" s="2602" t="str">
        <f>IFERROR(IF([1]A_InstallationData!H401 = "", "", [1]A_InstallationData!H401),"")</f>
        <v/>
      </c>
      <c r="I2658" s="2620"/>
      <c r="J2658" s="2602" t="str">
        <f>IFERROR(IF([1]A_InstallationData!J401 = "", "", [1]A_InstallationData!J401),"")</f>
        <v/>
      </c>
      <c r="K2658" s="2603"/>
      <c r="L2658" s="2620"/>
      <c r="M2658" s="2602" t="str">
        <f>IFERROR(IF([1]A_InstallationData!M401 = "", "", [1]A_InstallationData!M401),"")</f>
        <v/>
      </c>
      <c r="N2658" s="2603"/>
    </row>
    <row r="2659" spans="3:14">
      <c r="C2659" s="485"/>
      <c r="D2659" s="485"/>
      <c r="E2659" s="874">
        <v>8</v>
      </c>
      <c r="F2659" s="2621" t="str">
        <f>IFERROR(IF([1]A_InstallationData!$F402 = "", "", [1]A_InstallationData!$F402),"")</f>
        <v/>
      </c>
      <c r="G2659" s="2643"/>
      <c r="H2659" s="2602" t="str">
        <f>IFERROR(IF([1]A_InstallationData!H402 = "", "", [1]A_InstallationData!H402),"")</f>
        <v/>
      </c>
      <c r="I2659" s="2620"/>
      <c r="J2659" s="2602" t="str">
        <f>IFERROR(IF([1]A_InstallationData!J402 = "", "", [1]A_InstallationData!J402),"")</f>
        <v/>
      </c>
      <c r="K2659" s="2603"/>
      <c r="L2659" s="2620"/>
      <c r="M2659" s="2602" t="str">
        <f>IFERROR(IF([1]A_InstallationData!M402 = "", "", [1]A_InstallationData!M402),"")</f>
        <v/>
      </c>
      <c r="N2659" s="2603"/>
    </row>
    <row r="2660" spans="3:14">
      <c r="C2660" s="485"/>
      <c r="D2660" s="485"/>
      <c r="E2660" s="874">
        <v>9</v>
      </c>
      <c r="F2660" s="2621" t="str">
        <f>IFERROR(IF([1]A_InstallationData!$F403 = "", "", [1]A_InstallationData!$F403),"")</f>
        <v/>
      </c>
      <c r="G2660" s="2643"/>
      <c r="H2660" s="2602" t="str">
        <f>IFERROR(IF([1]A_InstallationData!H403 = "", "", [1]A_InstallationData!H403),"")</f>
        <v/>
      </c>
      <c r="I2660" s="2620"/>
      <c r="J2660" s="2602" t="str">
        <f>IFERROR(IF([1]A_InstallationData!J403 = "", "", [1]A_InstallationData!J403),"")</f>
        <v/>
      </c>
      <c r="K2660" s="2603"/>
      <c r="L2660" s="2620"/>
      <c r="M2660" s="2602" t="str">
        <f>IFERROR(IF([1]A_InstallationData!M403 = "", "", [1]A_InstallationData!M403),"")</f>
        <v/>
      </c>
      <c r="N2660" s="2603"/>
    </row>
    <row r="2661" spans="3:14">
      <c r="C2661" s="485"/>
      <c r="D2661" s="485"/>
      <c r="E2661" s="875">
        <v>10</v>
      </c>
      <c r="F2661" s="2628" t="str">
        <f>IFERROR(IF([1]A_InstallationData!$F404 = "", "", [1]A_InstallationData!$F404),"")</f>
        <v/>
      </c>
      <c r="G2661" s="2644"/>
      <c r="H2661" s="2612" t="str">
        <f>IFERROR(IF([1]A_InstallationData!H404 = "", "", [1]A_InstallationData!H404),"")</f>
        <v/>
      </c>
      <c r="I2661" s="2627"/>
      <c r="J2661" s="2612" t="str">
        <f>IFERROR(IF([1]A_InstallationData!J404 = "", "", [1]A_InstallationData!J404),"")</f>
        <v/>
      </c>
      <c r="K2661" s="2613"/>
      <c r="L2661" s="2627"/>
      <c r="M2661" s="2612" t="str">
        <f>IFERROR(IF([1]A_InstallationData!M404 = "", "", [1]A_InstallationData!M404),"")</f>
        <v/>
      </c>
      <c r="N2661" s="2613"/>
    </row>
    <row r="2662" spans="3:14" ht="13.5" thickBot="1"/>
    <row r="2663" spans="3:14" ht="13.5" thickTop="1">
      <c r="C2663" s="861"/>
      <c r="D2663" s="861"/>
      <c r="E2663" s="861"/>
      <c r="F2663" s="861"/>
      <c r="G2663" s="861"/>
      <c r="H2663" s="861"/>
      <c r="I2663" s="861"/>
      <c r="J2663" s="861"/>
      <c r="K2663" s="861"/>
      <c r="L2663" s="861"/>
      <c r="M2663" s="861"/>
      <c r="N2663" s="861"/>
    </row>
    <row r="2664" spans="3:14" ht="17.45" customHeight="1">
      <c r="C2664" s="2424" t="s">
        <v>2042</v>
      </c>
      <c r="D2664" s="2424"/>
      <c r="E2664" s="2424"/>
      <c r="F2664" s="2424"/>
      <c r="G2664" s="2424"/>
      <c r="H2664" s="2424"/>
      <c r="I2664" s="2424"/>
      <c r="J2664" s="2424"/>
      <c r="K2664" s="2424"/>
      <c r="L2664" s="2424"/>
      <c r="M2664" s="2424"/>
      <c r="N2664" s="2424"/>
    </row>
    <row r="2665" spans="3:14"/>
    <row r="2666" spans="3:14" ht="15.75">
      <c r="C2666" s="507" t="s">
        <v>931</v>
      </c>
      <c r="D2666" s="2408" t="s">
        <v>1767</v>
      </c>
      <c r="E2666" s="2408"/>
      <c r="F2666" s="2408"/>
      <c r="G2666" s="2408"/>
      <c r="H2666" s="2408"/>
      <c r="I2666" s="2408"/>
      <c r="J2666" s="2408"/>
      <c r="K2666" s="2408"/>
      <c r="L2666" s="2408"/>
      <c r="M2666" s="2408"/>
      <c r="N2666" s="2408"/>
    </row>
    <row r="2667" spans="3:14">
      <c r="C2667" s="467"/>
      <c r="D2667" s="467"/>
      <c r="E2667" s="467"/>
      <c r="F2667" s="467"/>
      <c r="G2667" s="467"/>
      <c r="H2667" s="467"/>
      <c r="I2667" s="467"/>
      <c r="J2667" s="467"/>
      <c r="K2667" s="467"/>
      <c r="L2667" s="467"/>
      <c r="M2667" s="481"/>
      <c r="N2667" s="481"/>
    </row>
    <row r="2668" spans="3:14">
      <c r="D2668" s="2630" t="s">
        <v>522</v>
      </c>
      <c r="E2668" s="2632" t="s">
        <v>825</v>
      </c>
      <c r="F2668" s="2633"/>
      <c r="G2668" s="2633"/>
      <c r="H2668" s="2630"/>
      <c r="I2668" s="879" t="s">
        <v>1646</v>
      </c>
      <c r="J2668" s="880" t="s">
        <v>303</v>
      </c>
      <c r="K2668" s="880" t="s">
        <v>1761</v>
      </c>
      <c r="L2668" s="880" t="s">
        <v>1389</v>
      </c>
      <c r="M2668" s="880" t="s">
        <v>1840</v>
      </c>
      <c r="N2668" s="881" t="s">
        <v>1391</v>
      </c>
    </row>
    <row r="2669" spans="3:14">
      <c r="D2669" s="2631"/>
      <c r="E2669" s="2634"/>
      <c r="F2669" s="2635"/>
      <c r="G2669" s="2635"/>
      <c r="H2669" s="2636"/>
      <c r="I2669" s="882"/>
      <c r="J2669" s="883" t="s">
        <v>2090</v>
      </c>
      <c r="K2669" s="883" t="s">
        <v>2090</v>
      </c>
      <c r="L2669" s="883" t="s">
        <v>1021</v>
      </c>
      <c r="M2669" s="883" t="s">
        <v>2090</v>
      </c>
      <c r="N2669" s="883" t="s">
        <v>1021</v>
      </c>
    </row>
    <row r="2670" spans="3:14">
      <c r="D2670" s="884">
        <v>1</v>
      </c>
      <c r="E2670" s="2637" t="str">
        <f>IFERROR(IF('[1]B+C_SubInstallations'!E131 = "", "", '[1]B+C_SubInstallations'!E131),"")</f>
        <v/>
      </c>
      <c r="F2670" s="2638"/>
      <c r="G2670" s="2638"/>
      <c r="H2670" s="2639"/>
      <c r="I2670" s="437" t="str">
        <f>IFERROR(IF('[1]B+C_SubInstallations'!I131 = "", "", '[1]B+C_SubInstallations'!I131),"")</f>
        <v/>
      </c>
      <c r="J2670" s="438" t="str">
        <f>IFERROR(IF('[1]B+C_SubInstallations'!J131 = "", "", '[1]B+C_SubInstallations'!J131),"")</f>
        <v/>
      </c>
      <c r="K2670" s="438" t="str">
        <f>IFERROR(IF('[1]B+C_SubInstallations'!K131 = "", "", '[1]B+C_SubInstallations'!K131),"")</f>
        <v/>
      </c>
      <c r="L2670" s="439" t="str">
        <f>IFERROR(IF('[1]B+C_SubInstallations'!L131 = "", "", '[1]B+C_SubInstallations'!L131),"")</f>
        <v/>
      </c>
      <c r="M2670" s="438" t="str">
        <f>IFERROR(IF('[1]B+C_SubInstallations'!M131 = "", "", '[1]B+C_SubInstallations'!M131),"")</f>
        <v/>
      </c>
      <c r="N2670" s="439" t="str">
        <f>IFERROR(IF('[1]B+C_SubInstallations'!N131 = "", "", '[1]B+C_SubInstallations'!N131),"")</f>
        <v/>
      </c>
    </row>
    <row r="2671" spans="3:14">
      <c r="D2671" s="887">
        <v>2</v>
      </c>
      <c r="E2671" s="2640" t="str">
        <f>IFERROR(IF('[1]B+C_SubInstallations'!E132 = "", "", '[1]B+C_SubInstallations'!E132),"")</f>
        <v/>
      </c>
      <c r="F2671" s="2641"/>
      <c r="G2671" s="2641"/>
      <c r="H2671" s="2642"/>
      <c r="I2671" s="440" t="str">
        <f>IFERROR(IF('[1]B+C_SubInstallations'!I132 = "", "", '[1]B+C_SubInstallations'!I132),"")</f>
        <v/>
      </c>
      <c r="J2671" s="438" t="str">
        <f>IFERROR(IF('[1]B+C_SubInstallations'!J132 = "", "", '[1]B+C_SubInstallations'!J132),"")</f>
        <v/>
      </c>
      <c r="K2671" s="438" t="str">
        <f>IFERROR(IF('[1]B+C_SubInstallations'!K132 = "", "", '[1]B+C_SubInstallations'!K132),"")</f>
        <v/>
      </c>
      <c r="L2671" s="439" t="str">
        <f>IFERROR(IF('[1]B+C_SubInstallations'!L132 = "", "", '[1]B+C_SubInstallations'!L132),"")</f>
        <v/>
      </c>
      <c r="M2671" s="438" t="str">
        <f>IFERROR(IF('[1]B+C_SubInstallations'!M132 = "", "", '[1]B+C_SubInstallations'!M132),"")</f>
        <v/>
      </c>
      <c r="N2671" s="439" t="str">
        <f>IFERROR(IF('[1]B+C_SubInstallations'!N132 = "", "", '[1]B+C_SubInstallations'!N132),"")</f>
        <v/>
      </c>
    </row>
    <row r="2672" spans="3:14">
      <c r="D2672" s="887">
        <v>3</v>
      </c>
      <c r="E2672" s="2640" t="str">
        <f>IFERROR(IF('[1]B+C_SubInstallations'!E133 = "", "", '[1]B+C_SubInstallations'!E133),"")</f>
        <v/>
      </c>
      <c r="F2672" s="2641"/>
      <c r="G2672" s="2641"/>
      <c r="H2672" s="2642"/>
      <c r="I2672" s="440" t="str">
        <f>IFERROR(IF('[1]B+C_SubInstallations'!I133 = "", "", '[1]B+C_SubInstallations'!I133),"")</f>
        <v/>
      </c>
      <c r="J2672" s="438" t="str">
        <f>IFERROR(IF('[1]B+C_SubInstallations'!J133 = "", "", '[1]B+C_SubInstallations'!J133),"")</f>
        <v/>
      </c>
      <c r="K2672" s="438" t="str">
        <f>IFERROR(IF('[1]B+C_SubInstallations'!K133 = "", "", '[1]B+C_SubInstallations'!K133),"")</f>
        <v/>
      </c>
      <c r="L2672" s="439" t="str">
        <f>IFERROR(IF('[1]B+C_SubInstallations'!L133 = "", "", '[1]B+C_SubInstallations'!L133),"")</f>
        <v/>
      </c>
      <c r="M2672" s="438" t="str">
        <f>IFERROR(IF('[1]B+C_SubInstallations'!M133 = "", "", '[1]B+C_SubInstallations'!M133),"")</f>
        <v/>
      </c>
      <c r="N2672" s="439" t="str">
        <f>IFERROR(IF('[1]B+C_SubInstallations'!N133 = "", "", '[1]B+C_SubInstallations'!N133),"")</f>
        <v/>
      </c>
    </row>
    <row r="2673" spans="3:14">
      <c r="D2673" s="887">
        <v>4</v>
      </c>
      <c r="E2673" s="2640" t="str">
        <f>IFERROR(IF('[1]B+C_SubInstallations'!E134 = "", "", '[1]B+C_SubInstallations'!E134),"")</f>
        <v/>
      </c>
      <c r="F2673" s="2641"/>
      <c r="G2673" s="2641"/>
      <c r="H2673" s="2642"/>
      <c r="I2673" s="440" t="str">
        <f>IFERROR(IF('[1]B+C_SubInstallations'!I134 = "", "", '[1]B+C_SubInstallations'!I134),"")</f>
        <v/>
      </c>
      <c r="J2673" s="438" t="str">
        <f>IFERROR(IF('[1]B+C_SubInstallations'!J134 = "", "", '[1]B+C_SubInstallations'!J134),"")</f>
        <v/>
      </c>
      <c r="K2673" s="438" t="str">
        <f>IFERROR(IF('[1]B+C_SubInstallations'!K134 = "", "", '[1]B+C_SubInstallations'!K134),"")</f>
        <v/>
      </c>
      <c r="L2673" s="439" t="str">
        <f>IFERROR(IF('[1]B+C_SubInstallations'!L134 = "", "", '[1]B+C_SubInstallations'!L134),"")</f>
        <v/>
      </c>
      <c r="M2673" s="438" t="str">
        <f>IFERROR(IF('[1]B+C_SubInstallations'!M134 = "", "", '[1]B+C_SubInstallations'!M134),"")</f>
        <v/>
      </c>
      <c r="N2673" s="439" t="str">
        <f>IFERROR(IF('[1]B+C_SubInstallations'!N134 = "", "", '[1]B+C_SubInstallations'!N134),"")</f>
        <v/>
      </c>
    </row>
    <row r="2674" spans="3:14">
      <c r="D2674" s="887">
        <v>5</v>
      </c>
      <c r="E2674" s="2640" t="str">
        <f>IFERROR(IF('[1]B+C_SubInstallations'!E135 = "", "", '[1]B+C_SubInstallations'!E135),"")</f>
        <v/>
      </c>
      <c r="F2674" s="2641"/>
      <c r="G2674" s="2641"/>
      <c r="H2674" s="2642"/>
      <c r="I2674" s="440" t="str">
        <f>IFERROR(IF('[1]B+C_SubInstallations'!I135 = "", "", '[1]B+C_SubInstallations'!I135),"")</f>
        <v/>
      </c>
      <c r="J2674" s="438" t="str">
        <f>IFERROR(IF('[1]B+C_SubInstallations'!J135 = "", "", '[1]B+C_SubInstallations'!J135),"")</f>
        <v/>
      </c>
      <c r="K2674" s="438" t="str">
        <f>IFERROR(IF('[1]B+C_SubInstallations'!K135 = "", "", '[1]B+C_SubInstallations'!K135),"")</f>
        <v/>
      </c>
      <c r="L2674" s="439" t="str">
        <f>IFERROR(IF('[1]B+C_SubInstallations'!L135 = "", "", '[1]B+C_SubInstallations'!L135),"")</f>
        <v/>
      </c>
      <c r="M2674" s="438" t="str">
        <f>IFERROR(IF('[1]B+C_SubInstallations'!M135 = "", "", '[1]B+C_SubInstallations'!M135),"")</f>
        <v/>
      </c>
      <c r="N2674" s="439" t="str">
        <f>IFERROR(IF('[1]B+C_SubInstallations'!N135 = "", "", '[1]B+C_SubInstallations'!N135),"")</f>
        <v/>
      </c>
    </row>
    <row r="2675" spans="3:14">
      <c r="D2675" s="887">
        <v>6</v>
      </c>
      <c r="E2675" s="2640" t="str">
        <f>IFERROR(IF('[1]B+C_SubInstallations'!E136 = "", "", '[1]B+C_SubInstallations'!E136),"")</f>
        <v/>
      </c>
      <c r="F2675" s="2641"/>
      <c r="G2675" s="2641"/>
      <c r="H2675" s="2642"/>
      <c r="I2675" s="440" t="str">
        <f>IFERROR(IF('[1]B+C_SubInstallations'!I136 = "", "", '[1]B+C_SubInstallations'!I136),"")</f>
        <v/>
      </c>
      <c r="J2675" s="438" t="str">
        <f>IFERROR(IF('[1]B+C_SubInstallations'!J136 = "", "", '[1]B+C_SubInstallations'!J136),"")</f>
        <v/>
      </c>
      <c r="K2675" s="438" t="str">
        <f>IFERROR(IF('[1]B+C_SubInstallations'!K136 = "", "", '[1]B+C_SubInstallations'!K136),"")</f>
        <v/>
      </c>
      <c r="L2675" s="439" t="str">
        <f>IFERROR(IF('[1]B+C_SubInstallations'!L136 = "", "", '[1]B+C_SubInstallations'!L136),"")</f>
        <v/>
      </c>
      <c r="M2675" s="438" t="str">
        <f>IFERROR(IF('[1]B+C_SubInstallations'!M136 = "", "", '[1]B+C_SubInstallations'!M136),"")</f>
        <v/>
      </c>
      <c r="N2675" s="439" t="str">
        <f>IFERROR(IF('[1]B+C_SubInstallations'!N136 = "", "", '[1]B+C_SubInstallations'!N136),"")</f>
        <v/>
      </c>
    </row>
    <row r="2676" spans="3:14">
      <c r="D2676" s="887">
        <v>7</v>
      </c>
      <c r="E2676" s="2640" t="str">
        <f>IFERROR(IF('[1]B+C_SubInstallations'!E137 = "", "", '[1]B+C_SubInstallations'!E137),"")</f>
        <v/>
      </c>
      <c r="F2676" s="2641"/>
      <c r="G2676" s="2641"/>
      <c r="H2676" s="2642"/>
      <c r="I2676" s="440" t="str">
        <f>IFERROR(IF('[1]B+C_SubInstallations'!I137 = "", "", '[1]B+C_SubInstallations'!I137),"")</f>
        <v/>
      </c>
      <c r="J2676" s="438" t="str">
        <f>IFERROR(IF('[1]B+C_SubInstallations'!J137 = "", "", '[1]B+C_SubInstallations'!J137),"")</f>
        <v/>
      </c>
      <c r="K2676" s="438" t="str">
        <f>IFERROR(IF('[1]B+C_SubInstallations'!K137 = "", "", '[1]B+C_SubInstallations'!K137),"")</f>
        <v/>
      </c>
      <c r="L2676" s="439" t="str">
        <f>IFERROR(IF('[1]B+C_SubInstallations'!L137 = "", "", '[1]B+C_SubInstallations'!L137),"")</f>
        <v/>
      </c>
      <c r="M2676" s="438" t="str">
        <f>IFERROR(IF('[1]B+C_SubInstallations'!M137 = "", "", '[1]B+C_SubInstallations'!M137),"")</f>
        <v/>
      </c>
      <c r="N2676" s="439" t="str">
        <f>IFERROR(IF('[1]B+C_SubInstallations'!N137 = "", "", '[1]B+C_SubInstallations'!N137),"")</f>
        <v/>
      </c>
    </row>
    <row r="2677" spans="3:14">
      <c r="D2677" s="887">
        <v>8</v>
      </c>
      <c r="E2677" s="2640" t="str">
        <f>IFERROR(IF('[1]B+C_SubInstallations'!E138 = "", "", '[1]B+C_SubInstallations'!E138),"")</f>
        <v/>
      </c>
      <c r="F2677" s="2641"/>
      <c r="G2677" s="2641"/>
      <c r="H2677" s="2642"/>
      <c r="I2677" s="440" t="str">
        <f>IFERROR(IF('[1]B+C_SubInstallations'!I138 = "", "", '[1]B+C_SubInstallations'!I138),"")</f>
        <v/>
      </c>
      <c r="J2677" s="438" t="str">
        <f>IFERROR(IF('[1]B+C_SubInstallations'!J138 = "", "", '[1]B+C_SubInstallations'!J138),"")</f>
        <v/>
      </c>
      <c r="K2677" s="438" t="str">
        <f>IFERROR(IF('[1]B+C_SubInstallations'!K138 = "", "", '[1]B+C_SubInstallations'!K138),"")</f>
        <v/>
      </c>
      <c r="L2677" s="439" t="str">
        <f>IFERROR(IF('[1]B+C_SubInstallations'!L138 = "", "", '[1]B+C_SubInstallations'!L138),"")</f>
        <v/>
      </c>
      <c r="M2677" s="438" t="str">
        <f>IFERROR(IF('[1]B+C_SubInstallations'!M138 = "", "", '[1]B+C_SubInstallations'!M138),"")</f>
        <v/>
      </c>
      <c r="N2677" s="439" t="str">
        <f>IFERROR(IF('[1]B+C_SubInstallations'!N138 = "", "", '[1]B+C_SubInstallations'!N138),"")</f>
        <v/>
      </c>
    </row>
    <row r="2678" spans="3:14">
      <c r="D2678" s="887">
        <v>9</v>
      </c>
      <c r="E2678" s="2640" t="str">
        <f>IFERROR(IF('[1]B+C_SubInstallations'!E139 = "", "", '[1]B+C_SubInstallations'!E139),"")</f>
        <v/>
      </c>
      <c r="F2678" s="2641"/>
      <c r="G2678" s="2641"/>
      <c r="H2678" s="2642"/>
      <c r="I2678" s="440" t="str">
        <f>IFERROR(IF('[1]B+C_SubInstallations'!I139 = "", "", '[1]B+C_SubInstallations'!I139),"")</f>
        <v/>
      </c>
      <c r="J2678" s="438" t="str">
        <f>IFERROR(IF('[1]B+C_SubInstallations'!J139 = "", "", '[1]B+C_SubInstallations'!J139),"")</f>
        <v/>
      </c>
      <c r="K2678" s="438" t="str">
        <f>IFERROR(IF('[1]B+C_SubInstallations'!K139 = "", "", '[1]B+C_SubInstallations'!K139),"")</f>
        <v/>
      </c>
      <c r="L2678" s="439" t="str">
        <f>IFERROR(IF('[1]B+C_SubInstallations'!L139 = "", "", '[1]B+C_SubInstallations'!L139),"")</f>
        <v/>
      </c>
      <c r="M2678" s="438" t="str">
        <f>IFERROR(IF('[1]B+C_SubInstallations'!M139 = "", "", '[1]B+C_SubInstallations'!M139),"")</f>
        <v/>
      </c>
      <c r="N2678" s="439" t="str">
        <f>IFERROR(IF('[1]B+C_SubInstallations'!N139 = "", "", '[1]B+C_SubInstallations'!N139),"")</f>
        <v/>
      </c>
    </row>
    <row r="2679" spans="3:14">
      <c r="D2679" s="889">
        <v>10</v>
      </c>
      <c r="E2679" s="2657" t="str">
        <f>IFERROR(IF('[1]B+C_SubInstallations'!E140 = "", "", '[1]B+C_SubInstallations'!E140),"")</f>
        <v/>
      </c>
      <c r="F2679" s="2658"/>
      <c r="G2679" s="2658"/>
      <c r="H2679" s="2659"/>
      <c r="I2679" s="441" t="str">
        <f>IFERROR(IF('[1]B+C_SubInstallations'!I140 = "", "", '[1]B+C_SubInstallations'!I140),"")</f>
        <v/>
      </c>
      <c r="J2679" s="442" t="str">
        <f>IFERROR(IF('[1]B+C_SubInstallations'!J140 = "", "", '[1]B+C_SubInstallations'!J140),"")</f>
        <v/>
      </c>
      <c r="K2679" s="442" t="str">
        <f>IFERROR(IF('[1]B+C_SubInstallations'!K140 = "", "", '[1]B+C_SubInstallations'!K140),"")</f>
        <v/>
      </c>
      <c r="L2679" s="443" t="str">
        <f>IFERROR(IF('[1]B+C_SubInstallations'!L140 = "", "", '[1]B+C_SubInstallations'!L140),"")</f>
        <v/>
      </c>
      <c r="M2679" s="442" t="str">
        <f>IFERROR(IF('[1]B+C_SubInstallations'!M140 = "", "", '[1]B+C_SubInstallations'!M140),"")</f>
        <v/>
      </c>
      <c r="N2679" s="443" t="str">
        <f>IFERROR(IF('[1]B+C_SubInstallations'!N140 = "", "", '[1]B+C_SubInstallations'!N140),"")</f>
        <v/>
      </c>
    </row>
    <row r="2680" spans="3:14">
      <c r="D2680" s="884">
        <v>11</v>
      </c>
      <c r="E2680" s="2660" t="s">
        <v>275</v>
      </c>
      <c r="F2680" s="2661"/>
      <c r="G2680" s="2661"/>
      <c r="H2680" s="2662"/>
      <c r="I2680" s="437" t="str">
        <f>IFERROR(IF('[1]B+C_SubInstallations'!I141 = "", "", '[1]B+C_SubInstallations'!I141),"")</f>
        <v/>
      </c>
    </row>
    <row r="2681" spans="3:14">
      <c r="D2681" s="887">
        <v>12</v>
      </c>
      <c r="E2681" s="2663" t="s">
        <v>276</v>
      </c>
      <c r="F2681" s="2664"/>
      <c r="G2681" s="2664"/>
      <c r="H2681" s="2665"/>
      <c r="I2681" s="440" t="str">
        <f>IFERROR(IF('[1]B+C_SubInstallations'!I142 = "", "", '[1]B+C_SubInstallations'!I142),"")</f>
        <v/>
      </c>
    </row>
    <row r="2682" spans="3:14">
      <c r="D2682" s="887">
        <v>13</v>
      </c>
      <c r="E2682" s="2663" t="s">
        <v>1209</v>
      </c>
      <c r="F2682" s="2664"/>
      <c r="G2682" s="2664"/>
      <c r="H2682" s="2665"/>
      <c r="I2682" s="440" t="str">
        <f>IFERROR(IF('[1]B+C_SubInstallations'!I143 = "", "", '[1]B+C_SubInstallations'!I143),"")</f>
        <v/>
      </c>
    </row>
    <row r="2683" spans="3:14">
      <c r="D2683" s="887">
        <v>14</v>
      </c>
      <c r="E2683" s="2663" t="s">
        <v>277</v>
      </c>
      <c r="F2683" s="2664"/>
      <c r="G2683" s="2664"/>
      <c r="H2683" s="2665"/>
      <c r="I2683" s="440" t="str">
        <f>IFERROR(IF('[1]B+C_SubInstallations'!I144 = "", "", '[1]B+C_SubInstallations'!I144),"")</f>
        <v/>
      </c>
    </row>
    <row r="2684" spans="3:14">
      <c r="D2684" s="887">
        <v>15</v>
      </c>
      <c r="E2684" s="2663" t="s">
        <v>278</v>
      </c>
      <c r="F2684" s="2664"/>
      <c r="G2684" s="2664"/>
      <c r="H2684" s="2665"/>
      <c r="I2684" s="440" t="str">
        <f>IFERROR(IF('[1]B+C_SubInstallations'!I145 = "", "", '[1]B+C_SubInstallations'!I145),"")</f>
        <v/>
      </c>
    </row>
    <row r="2685" spans="3:14">
      <c r="D2685" s="887">
        <v>16</v>
      </c>
      <c r="E2685" s="2663" t="s">
        <v>279</v>
      </c>
      <c r="F2685" s="2664"/>
      <c r="G2685" s="2664"/>
      <c r="H2685" s="2665"/>
      <c r="I2685" s="440" t="str">
        <f>IFERROR(IF('[1]B+C_SubInstallations'!I146 = "", "", '[1]B+C_SubInstallations'!I146),"")</f>
        <v/>
      </c>
    </row>
    <row r="2686" spans="3:14">
      <c r="D2686" s="889">
        <v>17</v>
      </c>
      <c r="E2686" s="2666" t="s">
        <v>280</v>
      </c>
      <c r="F2686" s="2667"/>
      <c r="G2686" s="2667"/>
      <c r="H2686" s="2668"/>
      <c r="I2686" s="441" t="str">
        <f>IFERROR(IF('[1]B+C_SubInstallations'!I147 = "", "", '[1]B+C_SubInstallations'!I147),"")</f>
        <v/>
      </c>
    </row>
    <row r="2687" spans="3:14" ht="13.5" thickBot="1"/>
    <row r="2688" spans="3:14" ht="13.5" thickTop="1">
      <c r="C2688" s="861"/>
      <c r="D2688" s="861"/>
      <c r="E2688" s="861"/>
      <c r="F2688" s="861"/>
      <c r="G2688" s="861"/>
      <c r="H2688" s="861"/>
      <c r="I2688" s="861"/>
      <c r="J2688" s="861"/>
      <c r="K2688" s="861"/>
      <c r="L2688" s="861"/>
      <c r="M2688" s="861"/>
      <c r="N2688" s="861"/>
    </row>
    <row r="2689" spans="3:14" ht="18">
      <c r="C2689" s="2656" t="s">
        <v>2286</v>
      </c>
      <c r="D2689" s="2656"/>
      <c r="E2689" s="2656"/>
      <c r="F2689" s="2656"/>
      <c r="G2689" s="2656"/>
      <c r="H2689" s="2656"/>
      <c r="I2689" s="2656"/>
      <c r="J2689" s="2656"/>
      <c r="K2689" s="2656"/>
      <c r="L2689" s="2656"/>
      <c r="M2689" s="2656"/>
      <c r="N2689" s="2656"/>
    </row>
    <row r="2690" spans="3:14"/>
    <row r="2691" spans="3:14" ht="15.75">
      <c r="C2691" s="507" t="s">
        <v>1018</v>
      </c>
      <c r="D2691" s="2408" t="s">
        <v>40</v>
      </c>
      <c r="E2691" s="2408"/>
      <c r="F2691" s="2408"/>
      <c r="G2691" s="2408"/>
      <c r="H2691" s="2408"/>
      <c r="I2691" s="2408"/>
      <c r="J2691" s="2408"/>
      <c r="K2691" s="2408"/>
      <c r="L2691" s="2408"/>
      <c r="M2691" s="2408"/>
      <c r="N2691" s="2408"/>
    </row>
    <row r="2692" spans="3:14"/>
    <row r="2693" spans="3:14">
      <c r="C2693" s="467"/>
      <c r="D2693" s="482" t="s">
        <v>876</v>
      </c>
      <c r="E2693" s="2373" t="s">
        <v>46</v>
      </c>
      <c r="F2693" s="2373"/>
      <c r="G2693" s="2373"/>
      <c r="H2693" s="2604"/>
      <c r="I2693" s="2811" t="str">
        <f>IFERROR(IF([1]E_EnergyFlows!$I$18 = "", "", [1]E_EnergyFlows!$I$18),"")</f>
        <v/>
      </c>
      <c r="J2693" s="2812"/>
    </row>
    <row r="2694" spans="3:14">
      <c r="C2694" s="467"/>
      <c r="D2694" s="482"/>
      <c r="E2694" s="497"/>
      <c r="F2694" s="497"/>
      <c r="G2694" s="497"/>
      <c r="H2694" s="497"/>
      <c r="I2694" s="497"/>
      <c r="J2694" s="497"/>
    </row>
    <row r="2695" spans="3:14" ht="12.75" customHeight="1">
      <c r="C2695" s="467"/>
      <c r="D2695" s="482" t="s">
        <v>48</v>
      </c>
      <c r="E2695" s="2508" t="s">
        <v>1212</v>
      </c>
      <c r="F2695" s="2508"/>
      <c r="G2695" s="2508"/>
      <c r="H2695" s="2508"/>
      <c r="I2695" s="2508"/>
      <c r="J2695" s="2508"/>
      <c r="K2695" s="2508"/>
      <c r="L2695" s="2508"/>
      <c r="M2695" s="2508"/>
      <c r="N2695" s="2508"/>
    </row>
    <row r="2696" spans="3:14">
      <c r="C2696" s="467"/>
      <c r="D2696" s="485"/>
      <c r="E2696" s="2791" t="s">
        <v>50</v>
      </c>
      <c r="F2696" s="2791"/>
      <c r="G2696" s="482" t="s">
        <v>884</v>
      </c>
      <c r="H2696" s="578">
        <v>2019</v>
      </c>
      <c r="I2696" s="578">
        <v>2020</v>
      </c>
      <c r="J2696" s="578">
        <v>2021</v>
      </c>
      <c r="K2696" s="578">
        <v>2022</v>
      </c>
      <c r="L2696" s="578">
        <v>2023</v>
      </c>
      <c r="M2696" s="578">
        <v>2024</v>
      </c>
      <c r="N2696" s="578">
        <v>2025</v>
      </c>
    </row>
    <row r="2697" spans="3:14">
      <c r="C2697" s="467"/>
      <c r="D2697" s="561" t="s">
        <v>6</v>
      </c>
      <c r="E2697" s="2792" t="s">
        <v>1349</v>
      </c>
      <c r="F2697" s="2793"/>
      <c r="G2697" s="146" t="str">
        <f>IFERROR(IF([1]E_EnergyFlows!G35 = "", "", [1]E_EnergyFlows!G35),"")</f>
        <v>% or TJ / year</v>
      </c>
      <c r="H2697" s="447" t="str">
        <f>IFERROR(IF([1]E_EnergyFlows!H35 = "", "", [1]E_EnergyFlows!H35),"")</f>
        <v/>
      </c>
      <c r="I2697" s="447" t="str">
        <f>IFERROR(IF([1]E_EnergyFlows!I35 = "", "", [1]E_EnergyFlows!I35),"")</f>
        <v/>
      </c>
      <c r="J2697" s="447" t="str">
        <f>IFERROR(IF([1]E_EnergyFlows!J35 = "", "", [1]E_EnergyFlows!J35),"")</f>
        <v/>
      </c>
      <c r="K2697" s="447" t="str">
        <f>IFERROR(IF([1]E_EnergyFlows!K35 = "", "", [1]E_EnergyFlows!K35),"")</f>
        <v/>
      </c>
      <c r="L2697" s="447" t="str">
        <f>IFERROR(IF([1]E_EnergyFlows!L35 = "", "", [1]E_EnergyFlows!L35),"")</f>
        <v/>
      </c>
      <c r="M2697" s="447" t="str">
        <f>IFERROR(IF([1]E_EnergyFlows!M35 = "", "", [1]E_EnergyFlows!M35),"")</f>
        <v/>
      </c>
      <c r="N2697" s="447" t="str">
        <f>IFERROR(IF([1]E_EnergyFlows!N35 = "", "", [1]E_EnergyFlows!N35),"")</f>
        <v/>
      </c>
    </row>
    <row r="2698" spans="3:14" ht="13.5" thickBot="1">
      <c r="C2698" s="467"/>
      <c r="D2698" s="561" t="s">
        <v>7</v>
      </c>
      <c r="E2698" s="2794" t="s">
        <v>11</v>
      </c>
      <c r="F2698" s="2795"/>
      <c r="G2698" s="146" t="str">
        <f>IFERROR(IF([1]E_EnergyFlows!G36 = "", "", [1]E_EnergyFlows!G36),"")</f>
        <v>% or TJ / year</v>
      </c>
      <c r="H2698" s="448" t="str">
        <f>IFERROR(IF([1]E_EnergyFlows!H36 = "", "", [1]E_EnergyFlows!H36),"")</f>
        <v/>
      </c>
      <c r="I2698" s="448" t="str">
        <f>IFERROR(IF([1]E_EnergyFlows!I36 = "", "", [1]E_EnergyFlows!I36),"")</f>
        <v/>
      </c>
      <c r="J2698" s="448" t="str">
        <f>IFERROR(IF([1]E_EnergyFlows!J36 = "", "", [1]E_EnergyFlows!J36),"")</f>
        <v/>
      </c>
      <c r="K2698" s="448" t="str">
        <f>IFERROR(IF([1]E_EnergyFlows!K36 = "", "", [1]E_EnergyFlows!K36),"")</f>
        <v/>
      </c>
      <c r="L2698" s="448" t="str">
        <f>IFERROR(IF([1]E_EnergyFlows!L36 = "", "", [1]E_EnergyFlows!L36),"")</f>
        <v/>
      </c>
      <c r="M2698" s="448" t="str">
        <f>IFERROR(IF([1]E_EnergyFlows!M36 = "", "", [1]E_EnergyFlows!M36),"")</f>
        <v/>
      </c>
      <c r="N2698" s="448" t="str">
        <f>IFERROR(IF([1]E_EnergyFlows!N36 = "", "", [1]E_EnergyFlows!N36),"")</f>
        <v/>
      </c>
    </row>
    <row r="2699" spans="3:14">
      <c r="C2699" s="467"/>
      <c r="D2699" s="561" t="s">
        <v>8</v>
      </c>
      <c r="E2699" s="2796" t="s">
        <v>277</v>
      </c>
      <c r="F2699" s="2797"/>
      <c r="G2699" s="444" t="str">
        <f>IFERROR(IF([1]E_EnergyFlows!G37 = "", "", [1]E_EnergyFlows!G37),"")</f>
        <v>% or TJ / year</v>
      </c>
      <c r="H2699" s="449" t="str">
        <f>IFERROR(IF([1]E_EnergyFlows!H37 = "", "", [1]E_EnergyFlows!H37),"")</f>
        <v/>
      </c>
      <c r="I2699" s="449" t="str">
        <f>IFERROR(IF([1]E_EnergyFlows!I37 = "", "", [1]E_EnergyFlows!I37),"")</f>
        <v/>
      </c>
      <c r="J2699" s="449" t="str">
        <f>IFERROR(IF([1]E_EnergyFlows!J37 = "", "", [1]E_EnergyFlows!J37),"")</f>
        <v/>
      </c>
      <c r="K2699" s="449" t="str">
        <f>IFERROR(IF([1]E_EnergyFlows!K37 = "", "", [1]E_EnergyFlows!K37),"")</f>
        <v/>
      </c>
      <c r="L2699" s="449" t="str">
        <f>IFERROR(IF([1]E_EnergyFlows!L37 = "", "", [1]E_EnergyFlows!L37),"")</f>
        <v/>
      </c>
      <c r="M2699" s="449" t="str">
        <f>IFERROR(IF([1]E_EnergyFlows!M37 = "", "", [1]E_EnergyFlows!M37),"")</f>
        <v/>
      </c>
      <c r="N2699" s="449" t="str">
        <f>IFERROR(IF([1]E_EnergyFlows!N37 = "", "", [1]E_EnergyFlows!N37),"")</f>
        <v/>
      </c>
    </row>
    <row r="2700" spans="3:14" ht="13.5" thickBot="1">
      <c r="C2700" s="467"/>
      <c r="D2700" s="561" t="s">
        <v>18</v>
      </c>
      <c r="E2700" s="2798" t="s">
        <v>278</v>
      </c>
      <c r="F2700" s="2799"/>
      <c r="G2700" s="445" t="str">
        <f>IFERROR(IF([1]E_EnergyFlows!G38 = "", "", [1]E_EnergyFlows!G38),"")</f>
        <v>% or TJ / year</v>
      </c>
      <c r="H2700" s="450" t="str">
        <f>IFERROR(IF([1]E_EnergyFlows!H38 = "", "", [1]E_EnergyFlows!H38),"")</f>
        <v/>
      </c>
      <c r="I2700" s="450" t="str">
        <f>IFERROR(IF([1]E_EnergyFlows!I38 = "", "", [1]E_EnergyFlows!I38),"")</f>
        <v/>
      </c>
      <c r="J2700" s="450" t="str">
        <f>IFERROR(IF([1]E_EnergyFlows!J38 = "", "", [1]E_EnergyFlows!J38),"")</f>
        <v/>
      </c>
      <c r="K2700" s="450" t="str">
        <f>IFERROR(IF([1]E_EnergyFlows!K38 = "", "", [1]E_EnergyFlows!K38),"")</f>
        <v/>
      </c>
      <c r="L2700" s="450" t="str">
        <f>IFERROR(IF([1]E_EnergyFlows!L38 = "", "", [1]E_EnergyFlows!L38),"")</f>
        <v/>
      </c>
      <c r="M2700" s="450" t="str">
        <f>IFERROR(IF([1]E_EnergyFlows!M38 = "", "", [1]E_EnergyFlows!M38),"")</f>
        <v/>
      </c>
      <c r="N2700" s="450" t="str">
        <f>IFERROR(IF([1]E_EnergyFlows!N38 = "", "", [1]E_EnergyFlows!N38),"")</f>
        <v/>
      </c>
    </row>
    <row r="2701" spans="3:14">
      <c r="C2701" s="467"/>
      <c r="D2701" s="561" t="s">
        <v>787</v>
      </c>
      <c r="E2701" s="2800" t="s">
        <v>1532</v>
      </c>
      <c r="F2701" s="2801"/>
      <c r="G2701" s="446" t="str">
        <f>IFERROR(IF([1]E_EnergyFlows!G39 = "", "", [1]E_EnergyFlows!G39),"")</f>
        <v>% or TJ / year</v>
      </c>
      <c r="H2701" s="451" t="str">
        <f>IFERROR(IF([1]E_EnergyFlows!H39 = "", "", [1]E_EnergyFlows!H39),"")</f>
        <v/>
      </c>
      <c r="I2701" s="451" t="str">
        <f>IFERROR(IF([1]E_EnergyFlows!I39 = "", "", [1]E_EnergyFlows!I39),"")</f>
        <v/>
      </c>
      <c r="J2701" s="451" t="str">
        <f>IFERROR(IF([1]E_EnergyFlows!J39 = "", "", [1]E_EnergyFlows!J39),"")</f>
        <v/>
      </c>
      <c r="K2701" s="451" t="str">
        <f>IFERROR(IF([1]E_EnergyFlows!K39 = "", "", [1]E_EnergyFlows!K39),"")</f>
        <v/>
      </c>
      <c r="L2701" s="451" t="str">
        <f>IFERROR(IF([1]E_EnergyFlows!L39 = "", "", [1]E_EnergyFlows!L39),"")</f>
        <v/>
      </c>
      <c r="M2701" s="451" t="str">
        <f>IFERROR(IF([1]E_EnergyFlows!M39 = "", "", [1]E_EnergyFlows!M39),"")</f>
        <v/>
      </c>
      <c r="N2701" s="451" t="str">
        <f>IFERROR(IF([1]E_EnergyFlows!N39 = "", "", [1]E_EnergyFlows!N39),"")</f>
        <v/>
      </c>
    </row>
    <row r="2702" spans="3:14"/>
    <row r="2703" spans="3:14" ht="15.75">
      <c r="C2703" s="507" t="s">
        <v>875</v>
      </c>
      <c r="D2703" s="2813" t="s">
        <v>49</v>
      </c>
      <c r="E2703" s="2813"/>
      <c r="F2703" s="2813"/>
      <c r="G2703" s="2813"/>
      <c r="H2703" s="2813"/>
      <c r="I2703" s="2813"/>
      <c r="J2703" s="2813"/>
      <c r="K2703" s="2813"/>
      <c r="L2703" s="2813"/>
      <c r="M2703" s="2813"/>
      <c r="N2703" s="2813"/>
    </row>
    <row r="2704" spans="3:14"/>
    <row r="2705" spans="3:14">
      <c r="D2705" s="482" t="s">
        <v>834</v>
      </c>
      <c r="E2705" s="2576" t="s">
        <v>483</v>
      </c>
      <c r="F2705" s="2576"/>
      <c r="G2705" s="2576"/>
      <c r="H2705" s="2814"/>
      <c r="I2705" s="2811" t="str">
        <f>IFERROR(IF([1]E_EnergyFlows!$I$230 = "", "", [1]E_EnergyFlows!$I$230),"")</f>
        <v/>
      </c>
      <c r="J2705" s="2812"/>
    </row>
    <row r="2706" spans="3:14"/>
    <row r="2707" spans="3:14" ht="12.75" customHeight="1">
      <c r="D2707" s="482" t="s">
        <v>1188</v>
      </c>
      <c r="E2707" s="2802" t="s">
        <v>484</v>
      </c>
      <c r="F2707" s="2802"/>
      <c r="G2707" s="2802"/>
      <c r="H2707" s="2802"/>
      <c r="I2707" s="2802"/>
      <c r="J2707" s="2802"/>
      <c r="K2707" s="2802"/>
      <c r="L2707" s="2802"/>
      <c r="M2707" s="2802"/>
      <c r="N2707" s="2802"/>
    </row>
    <row r="2708" spans="3:14"/>
    <row r="2709" spans="3:14" ht="13.5" thickBot="1">
      <c r="D2709" s="485"/>
      <c r="E2709" s="2803" t="s">
        <v>49</v>
      </c>
      <c r="F2709" s="2804"/>
      <c r="G2709" s="663" t="s">
        <v>884</v>
      </c>
      <c r="H2709" s="578">
        <v>2019</v>
      </c>
      <c r="I2709" s="578">
        <v>2020</v>
      </c>
      <c r="J2709" s="578">
        <v>2021</v>
      </c>
      <c r="K2709" s="578">
        <v>2022</v>
      </c>
      <c r="L2709" s="578">
        <v>2023</v>
      </c>
      <c r="M2709" s="578">
        <v>2024</v>
      </c>
      <c r="N2709" s="578">
        <v>2025</v>
      </c>
    </row>
    <row r="2710" spans="3:14">
      <c r="D2710" s="561" t="s">
        <v>6</v>
      </c>
      <c r="E2710" s="2805" t="s">
        <v>275</v>
      </c>
      <c r="F2710" s="2806"/>
      <c r="G2710" s="456" t="str">
        <f>IFERROR(IF([1]E_EnergyFlows!G240 = "", "", [1]E_EnergyFlows!G240),"")</f>
        <v>% or TJ / year</v>
      </c>
      <c r="H2710" s="452" t="str">
        <f>IFERROR(IF([1]E_EnergyFlows!H240 = "", "", [1]E_EnergyFlows!H240),"")</f>
        <v/>
      </c>
      <c r="I2710" s="452" t="str">
        <f>IFERROR(IF([1]E_EnergyFlows!I240 = "", "", [1]E_EnergyFlows!I240),"")</f>
        <v/>
      </c>
      <c r="J2710" s="452" t="str">
        <f>IFERROR(IF([1]E_EnergyFlows!J240 = "", "", [1]E_EnergyFlows!J240),"")</f>
        <v/>
      </c>
      <c r="K2710" s="452" t="str">
        <f>IFERROR(IF([1]E_EnergyFlows!K240 = "", "", [1]E_EnergyFlows!K240),"")</f>
        <v/>
      </c>
      <c r="L2710" s="452" t="str">
        <f>IFERROR(IF([1]E_EnergyFlows!L240 = "", "", [1]E_EnergyFlows!L240),"")</f>
        <v/>
      </c>
      <c r="M2710" s="452" t="str">
        <f>IFERROR(IF([1]E_EnergyFlows!M240 = "", "", [1]E_EnergyFlows!M240),"")</f>
        <v/>
      </c>
      <c r="N2710" s="453" t="str">
        <f>IFERROR(IF([1]E_EnergyFlows!N240 = "", "", [1]E_EnergyFlows!N240),"")</f>
        <v/>
      </c>
    </row>
    <row r="2711" spans="3:14">
      <c r="D2711" s="561" t="s">
        <v>7</v>
      </c>
      <c r="E2711" s="2807" t="s">
        <v>276</v>
      </c>
      <c r="F2711" s="2808"/>
      <c r="G2711" s="72" t="str">
        <f>IFERROR(IF([1]E_EnergyFlows!G241 = "", "", [1]E_EnergyFlows!G241),"")</f>
        <v>% or TJ / year</v>
      </c>
      <c r="H2711" s="101" t="str">
        <f>IFERROR(IF([1]E_EnergyFlows!H241 = "", "", [1]E_EnergyFlows!H241),"")</f>
        <v/>
      </c>
      <c r="I2711" s="101" t="str">
        <f>IFERROR(IF([1]E_EnergyFlows!I241 = "", "", [1]E_EnergyFlows!I241),"")</f>
        <v/>
      </c>
      <c r="J2711" s="101" t="str">
        <f>IFERROR(IF([1]E_EnergyFlows!J241 = "", "", [1]E_EnergyFlows!J241),"")</f>
        <v/>
      </c>
      <c r="K2711" s="101" t="str">
        <f>IFERROR(IF([1]E_EnergyFlows!K241 = "", "", [1]E_EnergyFlows!K241),"")</f>
        <v/>
      </c>
      <c r="L2711" s="101" t="str">
        <f>IFERROR(IF([1]E_EnergyFlows!L241 = "", "", [1]E_EnergyFlows!L241),"")</f>
        <v/>
      </c>
      <c r="M2711" s="101" t="str">
        <f>IFERROR(IF([1]E_EnergyFlows!M241 = "", "", [1]E_EnergyFlows!M241),"")</f>
        <v/>
      </c>
      <c r="N2711" s="363" t="str">
        <f>IFERROR(IF([1]E_EnergyFlows!N241 = "", "", [1]E_EnergyFlows!N241),"")</f>
        <v/>
      </c>
    </row>
    <row r="2712" spans="3:14" ht="13.5" thickBot="1">
      <c r="D2712" s="561" t="s">
        <v>8</v>
      </c>
      <c r="E2712" s="2809" t="s">
        <v>1209</v>
      </c>
      <c r="F2712" s="2810"/>
      <c r="G2712" s="457" t="str">
        <f>IFERROR(IF([1]E_EnergyFlows!G242 = "", "", [1]E_EnergyFlows!G242),"")</f>
        <v>% or TJ / year</v>
      </c>
      <c r="H2712" s="454" t="str">
        <f>IFERROR(IF([1]E_EnergyFlows!H242 = "", "", [1]E_EnergyFlows!H242),"")</f>
        <v/>
      </c>
      <c r="I2712" s="454" t="str">
        <f>IFERROR(IF([1]E_EnergyFlows!I242 = "", "", [1]E_EnergyFlows!I242),"")</f>
        <v/>
      </c>
      <c r="J2712" s="454" t="str">
        <f>IFERROR(IF([1]E_EnergyFlows!J242 = "", "", [1]E_EnergyFlows!J242),"")</f>
        <v/>
      </c>
      <c r="K2712" s="454" t="str">
        <f>IFERROR(IF([1]E_EnergyFlows!K242 = "", "", [1]E_EnergyFlows!K242),"")</f>
        <v/>
      </c>
      <c r="L2712" s="454" t="str">
        <f>IFERROR(IF([1]E_EnergyFlows!L242 = "", "", [1]E_EnergyFlows!L242),"")</f>
        <v/>
      </c>
      <c r="M2712" s="454" t="str">
        <f>IFERROR(IF([1]E_EnergyFlows!M242 = "", "", [1]E_EnergyFlows!M242),"")</f>
        <v/>
      </c>
      <c r="N2712" s="455" t="str">
        <f>IFERROR(IF([1]E_EnergyFlows!N242 = "", "", [1]E_EnergyFlows!N242),"")</f>
        <v/>
      </c>
    </row>
    <row r="2713" spans="3:14" ht="13.5" thickBot="1"/>
    <row r="2714" spans="3:14" ht="13.5" thickTop="1">
      <c r="C2714" s="861"/>
      <c r="D2714" s="861"/>
      <c r="E2714" s="861"/>
      <c r="F2714" s="861"/>
      <c r="G2714" s="861"/>
      <c r="H2714" s="861"/>
      <c r="I2714" s="861"/>
      <c r="J2714" s="861"/>
      <c r="K2714" s="861"/>
      <c r="L2714" s="861"/>
      <c r="M2714" s="861"/>
      <c r="N2714" s="861"/>
    </row>
    <row r="2715" spans="3:14" ht="18">
      <c r="C2715" s="2656" t="s">
        <v>2167</v>
      </c>
      <c r="D2715" s="2656"/>
      <c r="E2715" s="2656"/>
      <c r="F2715" s="2656"/>
      <c r="G2715" s="2656"/>
      <c r="H2715" s="2656"/>
      <c r="I2715" s="2656"/>
      <c r="J2715" s="2656"/>
      <c r="K2715" s="2656"/>
      <c r="L2715" s="2656"/>
      <c r="M2715" s="2656"/>
      <c r="N2715" s="2656"/>
    </row>
    <row r="2716" spans="3:14"/>
    <row r="2717" spans="3:14" ht="15.75">
      <c r="C2717" s="896" t="s">
        <v>1018</v>
      </c>
      <c r="D2717" s="2408" t="s">
        <v>996</v>
      </c>
      <c r="E2717" s="2408"/>
      <c r="F2717" s="2408"/>
      <c r="G2717" s="2408"/>
      <c r="H2717" s="2408"/>
      <c r="I2717" s="2408"/>
      <c r="J2717" s="2408"/>
      <c r="K2717" s="2408"/>
      <c r="L2717" s="2408"/>
      <c r="M2717" s="2408"/>
      <c r="N2717" s="2408"/>
    </row>
    <row r="2718" spans="3:14">
      <c r="C2718" s="479"/>
      <c r="D2718" s="479"/>
      <c r="E2718" s="479"/>
      <c r="F2718" s="479"/>
      <c r="G2718" s="479"/>
      <c r="H2718" s="479"/>
      <c r="I2718" s="479"/>
      <c r="J2718" s="479"/>
      <c r="K2718" s="479"/>
      <c r="L2718" s="479"/>
      <c r="M2718" s="485"/>
      <c r="N2718" s="485"/>
    </row>
    <row r="2719" spans="3:14" ht="15">
      <c r="C2719" s="897">
        <v>1</v>
      </c>
      <c r="D2719" s="2482" t="s">
        <v>2070</v>
      </c>
      <c r="E2719" s="2400"/>
      <c r="F2719" s="2400"/>
      <c r="G2719" s="2400"/>
      <c r="H2719" s="2585"/>
      <c r="I2719" s="2709" t="str">
        <f>IFERROR(IF([1]F_ProductBM!I13 = "", "", [1]F_ProductBM!I13 ),"")</f>
        <v/>
      </c>
      <c r="J2719" s="2534"/>
      <c r="K2719" s="2534"/>
      <c r="L2719" s="2534"/>
      <c r="M2719" s="2534"/>
      <c r="N2719" s="2535"/>
    </row>
    <row r="2720" spans="3:14">
      <c r="C2720" s="479"/>
      <c r="D2720" s="485"/>
      <c r="E2720" s="2465" t="s">
        <v>216</v>
      </c>
      <c r="F2720" s="2400"/>
      <c r="G2720" s="2400"/>
      <c r="H2720" s="2400"/>
      <c r="I2720" s="2400"/>
      <c r="J2720" s="2400"/>
      <c r="K2720" s="2400"/>
      <c r="L2720" s="2400"/>
      <c r="M2720" s="2400"/>
      <c r="N2720" s="2400"/>
    </row>
    <row r="2721" spans="3:14">
      <c r="C2721" s="479"/>
      <c r="D2721" s="479"/>
      <c r="E2721" s="479"/>
      <c r="F2721" s="479"/>
      <c r="G2721" s="479"/>
      <c r="H2721" s="479"/>
      <c r="I2721" s="479"/>
      <c r="J2721" s="479"/>
      <c r="K2721" s="479"/>
      <c r="L2721" s="479"/>
      <c r="M2721" s="485"/>
      <c r="N2721" s="485"/>
    </row>
    <row r="2722" spans="3:14">
      <c r="C2722" s="479"/>
      <c r="D2722" s="482" t="s">
        <v>400</v>
      </c>
      <c r="E2722" s="2373" t="s">
        <v>1930</v>
      </c>
      <c r="F2722" s="2400"/>
      <c r="G2722" s="2400"/>
      <c r="H2722" s="2400"/>
      <c r="I2722" s="2400"/>
      <c r="J2722" s="2400"/>
      <c r="K2722" s="2400"/>
      <c r="L2722" s="2400"/>
      <c r="M2722" s="2400"/>
      <c r="N2722" s="2400"/>
    </row>
    <row r="2723" spans="3:14">
      <c r="C2723" s="479"/>
      <c r="D2723" s="485"/>
      <c r="E2723" s="2465" t="s">
        <v>801</v>
      </c>
      <c r="F2723" s="2400"/>
      <c r="G2723" s="2400"/>
      <c r="H2723" s="2400"/>
      <c r="I2723" s="2400"/>
      <c r="J2723" s="2400"/>
      <c r="K2723" s="2400"/>
      <c r="L2723" s="2400"/>
      <c r="M2723" s="2400"/>
      <c r="N2723" s="2400"/>
    </row>
    <row r="2724" spans="3:14">
      <c r="C2724" s="479"/>
      <c r="D2724" s="485"/>
      <c r="E2724" s="2465" t="s">
        <v>1199</v>
      </c>
      <c r="F2724" s="2400"/>
      <c r="G2724" s="2400"/>
      <c r="H2724" s="2400"/>
      <c r="I2724" s="2400"/>
      <c r="J2724" s="2400"/>
      <c r="K2724" s="2400"/>
      <c r="L2724" s="2400"/>
      <c r="M2724" s="2400"/>
      <c r="N2724" s="2400"/>
    </row>
    <row r="2725" spans="3:14">
      <c r="C2725" s="479"/>
      <c r="D2725" s="485"/>
      <c r="E2725" s="2465" t="s">
        <v>125</v>
      </c>
      <c r="F2725" s="2400"/>
      <c r="G2725" s="2400"/>
      <c r="H2725" s="2400"/>
      <c r="I2725" s="2400"/>
      <c r="J2725" s="2400"/>
      <c r="K2725" s="2400"/>
      <c r="L2725" s="2400"/>
      <c r="M2725" s="2400"/>
      <c r="N2725" s="2400"/>
    </row>
    <row r="2726" spans="3:14">
      <c r="C2726" s="485"/>
      <c r="D2726" s="482"/>
      <c r="E2726" s="2509" t="s">
        <v>1447</v>
      </c>
      <c r="F2726" s="2509"/>
      <c r="G2726" s="663" t="s">
        <v>884</v>
      </c>
      <c r="H2726" s="578">
        <v>2019</v>
      </c>
      <c r="I2726" s="697">
        <v>2020</v>
      </c>
      <c r="J2726" s="696">
        <v>2021</v>
      </c>
      <c r="K2726" s="578">
        <v>2022</v>
      </c>
      <c r="L2726" s="578">
        <v>2023</v>
      </c>
      <c r="M2726" s="578">
        <v>2024</v>
      </c>
      <c r="N2726" s="671">
        <v>2025</v>
      </c>
    </row>
    <row r="2727" spans="3:14">
      <c r="C2727" s="485"/>
      <c r="D2727" s="561" t="s">
        <v>6</v>
      </c>
      <c r="E2727" s="2710" t="str">
        <f>IFERROR(IF([1]F_ProductBM!E21 = "", "", [1]F_ProductBM!E21 ),"")</f>
        <v/>
      </c>
      <c r="F2727" s="2696"/>
      <c r="G2727" s="74" t="str">
        <f>IFERROR(IF([1]F_ProductBM!G21 = "", "", [1]F_ProductBM!G21 ),"")</f>
        <v>tonnes</v>
      </c>
      <c r="H2727" s="277" t="str">
        <f>IFERROR(IF([1]F_ProductBM!H21 = "", "", [1]F_ProductBM!H21 ),"")</f>
        <v/>
      </c>
      <c r="I2727" s="275" t="str">
        <f>IFERROR(IF([1]F_ProductBM!I21 = "", "", [1]F_ProductBM!I21 ),"")</f>
        <v/>
      </c>
      <c r="J2727" s="276" t="str">
        <f>IFERROR(IF([1]F_ProductBM!J21 = "", "", [1]F_ProductBM!J21 ),"")</f>
        <v/>
      </c>
      <c r="K2727" s="277" t="str">
        <f>IFERROR(IF([1]F_ProductBM!K21 = "", "", [1]F_ProductBM!K21 ),"")</f>
        <v/>
      </c>
      <c r="L2727" s="277" t="str">
        <f>IFERROR(IF([1]F_ProductBM!L21 = "", "", [1]F_ProductBM!L21 ),"")</f>
        <v/>
      </c>
      <c r="M2727" s="277" t="str">
        <f>IFERROR(IF([1]F_ProductBM!M21 = "", "", [1]F_ProductBM!M21 ),"")</f>
        <v/>
      </c>
      <c r="N2727" s="277" t="str">
        <f>IFERROR(IF([1]F_ProductBM!N21 = "", "", [1]F_ProductBM!N21 ),"")</f>
        <v/>
      </c>
    </row>
    <row r="2728" spans="3:14">
      <c r="C2728" s="485"/>
      <c r="D2728" s="561" t="s">
        <v>7</v>
      </c>
      <c r="E2728" s="2710" t="str">
        <f>IFERROR(IF([1]F_ProductBM!E22 = "", "", [1]F_ProductBM!E22 ),"")</f>
        <v>From sheet "H_SpecialBM":</v>
      </c>
      <c r="F2728" s="2696"/>
      <c r="G2728" s="74" t="str">
        <f>IFERROR(IF([1]F_ProductBM!G22 = "", "", [1]F_ProductBM!G22 ),"")</f>
        <v>tonnes</v>
      </c>
      <c r="H2728" s="278" t="str">
        <f>IFERROR(IF([1]F_ProductBM!H22 = "", "", [1]F_ProductBM!H22 ),"")</f>
        <v/>
      </c>
      <c r="I2728" s="279" t="str">
        <f>IFERROR(IF([1]F_ProductBM!I22 = "", "", [1]F_ProductBM!I22 ),"")</f>
        <v/>
      </c>
      <c r="J2728" s="280" t="str">
        <f>IFERROR(IF([1]F_ProductBM!J22 = "", "", [1]F_ProductBM!J22 ),"")</f>
        <v/>
      </c>
      <c r="K2728" s="278" t="str">
        <f>IFERROR(IF([1]F_ProductBM!K22 = "", "", [1]F_ProductBM!K22 ),"")</f>
        <v/>
      </c>
      <c r="L2728" s="278" t="str">
        <f>IFERROR(IF([1]F_ProductBM!L22 = "", "", [1]F_ProductBM!L22 ),"")</f>
        <v/>
      </c>
      <c r="M2728" s="278" t="str">
        <f>IFERROR(IF([1]F_ProductBM!M22 = "", "", [1]F_ProductBM!M22 ),"")</f>
        <v/>
      </c>
      <c r="N2728" s="277" t="str">
        <f>IFERROR(IF([1]F_ProductBM!N22 = "", "", [1]F_ProductBM!N22 ),"")</f>
        <v/>
      </c>
    </row>
    <row r="2729" spans="3:14">
      <c r="C2729" s="485"/>
      <c r="D2729" s="561" t="s">
        <v>8</v>
      </c>
      <c r="E2729" s="2710" t="str">
        <f>IFERROR(IF([1]F_ProductBM!E23 = "", "", [1]F_ProductBM!E23 ),"")</f>
        <v>Values used for calculation:</v>
      </c>
      <c r="F2729" s="2696"/>
      <c r="G2729" s="74" t="str">
        <f>IFERROR(IF([1]F_ProductBM!G23 = "", "", [1]F_ProductBM!G23 ),"")</f>
        <v>tonnes</v>
      </c>
      <c r="H2729" s="278" t="str">
        <f>IFERROR(IF([1]F_ProductBM!H23 = "", "", [1]F_ProductBM!H23 ),"")</f>
        <v/>
      </c>
      <c r="I2729" s="279" t="str">
        <f>IFERROR(IF([1]F_ProductBM!I23 = "", "", [1]F_ProductBM!I23 ),"")</f>
        <v/>
      </c>
      <c r="J2729" s="280" t="str">
        <f>IFERROR(IF([1]F_ProductBM!J23 = "", "", [1]F_ProductBM!J23 ),"")</f>
        <v/>
      </c>
      <c r="K2729" s="278" t="str">
        <f>IFERROR(IF([1]F_ProductBM!K23 = "", "", [1]F_ProductBM!K23 ),"")</f>
        <v/>
      </c>
      <c r="L2729" s="278" t="str">
        <f>IFERROR(IF([1]F_ProductBM!L23 = "", "", [1]F_ProductBM!L23 ),"")</f>
        <v/>
      </c>
      <c r="M2729" s="278" t="str">
        <f>IFERROR(IF([1]F_ProductBM!M23 = "", "", [1]F_ProductBM!M23 ),"")</f>
        <v/>
      </c>
      <c r="N2729" s="277" t="str">
        <f>IFERROR(IF([1]F_ProductBM!N23 = "", "", [1]F_ProductBM!N23 ),"")</f>
        <v/>
      </c>
    </row>
    <row r="2730" spans="3:14">
      <c r="C2730" s="479"/>
      <c r="D2730" s="479"/>
      <c r="E2730" s="479"/>
      <c r="F2730" s="479"/>
      <c r="G2730" s="479"/>
      <c r="H2730" s="479"/>
      <c r="I2730" s="479"/>
      <c r="J2730" s="479"/>
      <c r="K2730" s="479"/>
      <c r="L2730" s="479"/>
      <c r="M2730" s="485"/>
      <c r="N2730" s="485"/>
    </row>
    <row r="2731" spans="3:14">
      <c r="C2731" s="479"/>
      <c r="D2731" s="561" t="s">
        <v>18</v>
      </c>
      <c r="E2731" s="2373" t="s">
        <v>922</v>
      </c>
      <c r="F2731" s="2373"/>
      <c r="G2731" s="2604"/>
      <c r="H2731" s="2652" t="s">
        <v>1857</v>
      </c>
      <c r="I2731" s="2689"/>
      <c r="J2731" s="2689"/>
      <c r="K2731" s="2689"/>
      <c r="L2731" s="2689"/>
      <c r="M2731" s="2689"/>
      <c r="N2731" s="2690"/>
    </row>
    <row r="2732" spans="3:14">
      <c r="C2732" s="479"/>
      <c r="D2732" s="485"/>
      <c r="E2732" s="2465" t="s">
        <v>923</v>
      </c>
      <c r="F2732" s="2400"/>
      <c r="G2732" s="2400"/>
      <c r="H2732" s="2400"/>
      <c r="I2732" s="2400"/>
      <c r="J2732" s="2400"/>
      <c r="K2732" s="2400"/>
      <c r="L2732" s="2400"/>
      <c r="M2732" s="2400"/>
      <c r="N2732" s="2400"/>
    </row>
    <row r="2733" spans="3:14">
      <c r="C2733" s="479"/>
      <c r="D2733" s="485"/>
      <c r="E2733" s="485"/>
      <c r="F2733" s="485"/>
      <c r="G2733" s="485"/>
      <c r="H2733" s="485"/>
      <c r="I2733" s="485"/>
      <c r="J2733" s="485"/>
      <c r="K2733" s="485"/>
      <c r="L2733" s="485"/>
      <c r="M2733" s="485"/>
      <c r="N2733" s="485"/>
    </row>
    <row r="2734" spans="3:14">
      <c r="C2734" s="479"/>
      <c r="D2734" s="482" t="s">
        <v>876</v>
      </c>
      <c r="E2734" s="2373" t="s">
        <v>1709</v>
      </c>
      <c r="F2734" s="2400"/>
      <c r="G2734" s="2400"/>
      <c r="H2734" s="2400"/>
      <c r="I2734" s="2400"/>
      <c r="J2734" s="2400"/>
      <c r="K2734" s="2400"/>
      <c r="L2734" s="2400"/>
      <c r="M2734" s="2400"/>
      <c r="N2734" s="2400"/>
    </row>
    <row r="2735" spans="3:14">
      <c r="C2735" s="479"/>
      <c r="D2735" s="485"/>
      <c r="E2735" s="2465" t="s">
        <v>1958</v>
      </c>
      <c r="F2735" s="2400"/>
      <c r="G2735" s="2400"/>
      <c r="H2735" s="2400"/>
      <c r="I2735" s="2400"/>
      <c r="J2735" s="2400"/>
      <c r="K2735" s="2400"/>
      <c r="L2735" s="2400"/>
      <c r="M2735" s="2400"/>
      <c r="N2735" s="2400"/>
    </row>
    <row r="2736" spans="3:14" ht="11.45" customHeight="1">
      <c r="C2736" s="479"/>
      <c r="D2736" s="485"/>
      <c r="E2736" s="2465" t="s">
        <v>2701</v>
      </c>
      <c r="F2736" s="2400"/>
      <c r="G2736" s="2400"/>
      <c r="H2736" s="2400"/>
      <c r="I2736" s="2400"/>
      <c r="J2736" s="2400"/>
      <c r="K2736" s="2400"/>
      <c r="L2736" s="2400"/>
      <c r="M2736" s="2400"/>
      <c r="N2736" s="2400"/>
    </row>
    <row r="2737" spans="3:14">
      <c r="C2737" s="479"/>
      <c r="D2737" s="485"/>
      <c r="E2737" s="901" t="s">
        <v>1021</v>
      </c>
      <c r="F2737" s="2651" t="s">
        <v>2702</v>
      </c>
      <c r="G2737" s="2584"/>
      <c r="H2737" s="2584"/>
      <c r="I2737" s="2584"/>
      <c r="J2737" s="2584"/>
      <c r="K2737" s="2584"/>
      <c r="L2737" s="2584"/>
      <c r="M2737" s="2584"/>
      <c r="N2737" s="2584"/>
    </row>
    <row r="2738" spans="3:14" ht="13.5" thickBot="1">
      <c r="C2738" s="479"/>
      <c r="D2738" s="485"/>
      <c r="E2738" s="901" t="s">
        <v>1021</v>
      </c>
      <c r="F2738" s="2651" t="s">
        <v>1985</v>
      </c>
      <c r="G2738" s="2584"/>
      <c r="H2738" s="2584"/>
      <c r="I2738" s="2584"/>
      <c r="J2738" s="2584"/>
      <c r="K2738" s="2584"/>
      <c r="L2738" s="2584"/>
      <c r="M2738" s="2584"/>
      <c r="N2738" s="2584"/>
    </row>
    <row r="2739" spans="3:14">
      <c r="C2739" s="479"/>
      <c r="D2739" s="902"/>
      <c r="E2739" s="903"/>
      <c r="F2739" s="904"/>
      <c r="G2739" s="905"/>
      <c r="H2739" s="905"/>
      <c r="I2739" s="905"/>
      <c r="J2739" s="905"/>
      <c r="K2739" s="905"/>
      <c r="L2739" s="905"/>
      <c r="M2739" s="905"/>
      <c r="N2739" s="906"/>
    </row>
    <row r="2740" spans="3:14">
      <c r="C2740" s="479"/>
      <c r="D2740" s="907"/>
      <c r="E2740" s="908" t="s">
        <v>1690</v>
      </c>
      <c r="F2740" s="909"/>
      <c r="G2740" s="909"/>
      <c r="H2740" s="910" t="s">
        <v>884</v>
      </c>
      <c r="I2740" s="911" t="s">
        <v>1646</v>
      </c>
      <c r="J2740" s="912">
        <v>2021</v>
      </c>
      <c r="K2740" s="913">
        <v>2022</v>
      </c>
      <c r="L2740" s="913">
        <v>2023</v>
      </c>
      <c r="M2740" s="913">
        <v>2024</v>
      </c>
      <c r="N2740" s="914">
        <v>2025</v>
      </c>
    </row>
    <row r="2741" spans="3:14">
      <c r="C2741" s="479"/>
      <c r="D2741" s="915" t="s">
        <v>6</v>
      </c>
      <c r="E2741" s="916" t="s">
        <v>1976</v>
      </c>
      <c r="F2741" s="916"/>
      <c r="G2741" s="916"/>
      <c r="H2741" s="63" t="str">
        <f>IFERROR(IF([1]F_ProductBM!H35 = "", "", [1]F_ProductBM!H35 ),"")</f>
        <v>tonnes</v>
      </c>
      <c r="I2741" s="281" t="str">
        <f>IFERROR(IF([1]F_ProductBM!I35 = "", "", [1]F_ProductBM!I35 ),"")</f>
        <v/>
      </c>
      <c r="J2741" s="282" t="str">
        <f>IFERROR(IF([1]F_ProductBM!J35 = "", "", [1]F_ProductBM!J35 ),"")</f>
        <v/>
      </c>
      <c r="K2741" s="283" t="str">
        <f>IFERROR(IF([1]F_ProductBM!K35 = "", "", [1]F_ProductBM!K35 ),"")</f>
        <v/>
      </c>
      <c r="L2741" s="283" t="str">
        <f>IFERROR(IF([1]F_ProductBM!L35 = "", "", [1]F_ProductBM!L35 ),"")</f>
        <v/>
      </c>
      <c r="M2741" s="283" t="str">
        <f>IFERROR(IF([1]F_ProductBM!M35 = "", "", [1]F_ProductBM!M35 ),"")</f>
        <v/>
      </c>
      <c r="N2741" s="284" t="str">
        <f>IFERROR(IF([1]F_ProductBM!N35 = "", "", [1]F_ProductBM!N35 ),"")</f>
        <v/>
      </c>
    </row>
    <row r="2742" spans="3:14">
      <c r="C2742" s="479"/>
      <c r="D2742" s="918"/>
      <c r="E2742" s="919" t="s">
        <v>1648</v>
      </c>
      <c r="F2742" s="919"/>
      <c r="G2742" s="919"/>
      <c r="H2742" s="920"/>
      <c r="I2742" s="919"/>
      <c r="J2742" s="285" t="str">
        <f>IFERROR(IF([1]F_ProductBM!J36 = "", "", [1]F_ProductBM!J36 ),"")</f>
        <v/>
      </c>
      <c r="K2742" s="286" t="str">
        <f>IFERROR(IF([1]F_ProductBM!K36 = "", "", [1]F_ProductBM!K36 ),"")</f>
        <v/>
      </c>
      <c r="L2742" s="286" t="str">
        <f>IFERROR(IF([1]F_ProductBM!L36 = "", "", [1]F_ProductBM!L36 ),"")</f>
        <v/>
      </c>
      <c r="M2742" s="286" t="str">
        <f>IFERROR(IF([1]F_ProductBM!M36 = "", "", [1]F_ProductBM!M36 ),"")</f>
        <v/>
      </c>
      <c r="N2742" s="287" t="str">
        <f>IFERROR(IF([1]F_ProductBM!N36 = "", "", [1]F_ProductBM!N36 ),"")</f>
        <v/>
      </c>
    </row>
    <row r="2743" spans="3:14">
      <c r="C2743" s="479"/>
      <c r="D2743" s="915" t="s">
        <v>7</v>
      </c>
      <c r="E2743" s="916" t="s">
        <v>1654</v>
      </c>
      <c r="F2743" s="916"/>
      <c r="G2743" s="916"/>
      <c r="H2743" s="921"/>
      <c r="I2743" s="916"/>
      <c r="J2743" s="288" t="str">
        <f>IFERROR(IF([1]F_ProductBM!J37 = "", "", [1]F_ProductBM!J37 ),"")</f>
        <v/>
      </c>
      <c r="K2743" s="289" t="str">
        <f>IFERROR(IF([1]F_ProductBM!K37 = "", "", [1]F_ProductBM!K37 ),"")</f>
        <v/>
      </c>
      <c r="L2743" s="289" t="str">
        <f>IFERROR(IF([1]F_ProductBM!L37 = "", "", [1]F_ProductBM!L37 ),"")</f>
        <v/>
      </c>
      <c r="M2743" s="289" t="str">
        <f>IFERROR(IF([1]F_ProductBM!M37 = "", "", [1]F_ProductBM!M37 ),"")</f>
        <v/>
      </c>
      <c r="N2743" s="290" t="str">
        <f>IFERROR(IF([1]F_ProductBM!N37 = "", "", [1]F_ProductBM!N37 ),"")</f>
        <v/>
      </c>
    </row>
    <row r="2744" spans="3:14">
      <c r="C2744" s="479"/>
      <c r="D2744" s="918"/>
      <c r="E2744" s="916" t="s">
        <v>1689</v>
      </c>
      <c r="F2744" s="916"/>
      <c r="G2744" s="916"/>
      <c r="H2744" s="63" t="str">
        <f>IFERROR(IF([1]F_ProductBM!H38 = "", "", [1]F_ProductBM!H38 ),"")</f>
        <v>tonnes</v>
      </c>
      <c r="I2744" s="281" t="str">
        <f>IFERROR(IF([1]F_ProductBM!I38 = "", "", [1]F_ProductBM!I38 ),"")</f>
        <v/>
      </c>
      <c r="J2744" s="282" t="str">
        <f>IFERROR(IF([1]F_ProductBM!J38 = "", "", [1]F_ProductBM!J38 ),"")</f>
        <v/>
      </c>
      <c r="K2744" s="283" t="str">
        <f>IFERROR(IF([1]F_ProductBM!K38 = "", "", [1]F_ProductBM!K38 ),"")</f>
        <v/>
      </c>
      <c r="L2744" s="283" t="str">
        <f>IFERROR(IF([1]F_ProductBM!L38 = "", "", [1]F_ProductBM!L38 ),"")</f>
        <v/>
      </c>
      <c r="M2744" s="283" t="str">
        <f>IFERROR(IF([1]F_ProductBM!M38 = "", "", [1]F_ProductBM!M38 ),"")</f>
        <v/>
      </c>
      <c r="N2744" s="284" t="str">
        <f>IFERROR(IF([1]F_ProductBM!N38 = "", "", [1]F_ProductBM!N38 ),"")</f>
        <v/>
      </c>
    </row>
    <row r="2745" spans="3:14">
      <c r="C2745" s="479"/>
      <c r="D2745" s="918"/>
      <c r="E2745" s="909"/>
      <c r="F2745" s="909"/>
      <c r="G2745" s="909"/>
      <c r="H2745" s="909"/>
      <c r="I2745" s="909"/>
      <c r="J2745" s="909"/>
      <c r="K2745" s="909"/>
      <c r="L2745" s="909"/>
      <c r="M2745" s="909"/>
      <c r="N2745" s="922"/>
    </row>
    <row r="2746" spans="3:14">
      <c r="C2746" s="479"/>
      <c r="D2746" s="918"/>
      <c r="E2746" s="923" t="s">
        <v>1653</v>
      </c>
      <c r="F2746" s="923"/>
      <c r="G2746" s="923"/>
      <c r="H2746" s="923"/>
      <c r="I2746" s="923"/>
      <c r="J2746" s="912">
        <v>2021</v>
      </c>
      <c r="K2746" s="913">
        <v>2022</v>
      </c>
      <c r="L2746" s="913">
        <v>2023</v>
      </c>
      <c r="M2746" s="913">
        <v>2024</v>
      </c>
      <c r="N2746" s="914">
        <v>2025</v>
      </c>
    </row>
    <row r="2747" spans="3:14">
      <c r="C2747" s="479"/>
      <c r="D2747" s="915" t="s">
        <v>8</v>
      </c>
      <c r="E2747" s="916" t="s">
        <v>2108</v>
      </c>
      <c r="F2747" s="916"/>
      <c r="G2747" s="916"/>
      <c r="H2747" s="916"/>
      <c r="I2747" s="916"/>
      <c r="J2747" s="69" t="str">
        <f>IFERROR(IF([1]F_ProductBM!J41 = "", "", [1]F_ProductBM!J41 ),"")</f>
        <v/>
      </c>
      <c r="K2747" s="62" t="str">
        <f>IFERROR(IF([1]F_ProductBM!K41 = "", "", [1]F_ProductBM!K41 ),"")</f>
        <v/>
      </c>
      <c r="L2747" s="62" t="str">
        <f>IFERROR(IF([1]F_ProductBM!L41 = "", "", [1]F_ProductBM!L41 ),"")</f>
        <v/>
      </c>
      <c r="M2747" s="62" t="str">
        <f>IFERROR(IF([1]F_ProductBM!M41 = "", "", [1]F_ProductBM!M41 ),"")</f>
        <v/>
      </c>
      <c r="N2747" s="70" t="str">
        <f>IFERROR(IF([1]F_ProductBM!N41 = "", "", [1]F_ProductBM!N41 ),"")</f>
        <v/>
      </c>
    </row>
    <row r="2748" spans="3:14" ht="13.5" thickBot="1">
      <c r="C2748" s="479"/>
      <c r="D2748" s="918"/>
      <c r="E2748" s="909"/>
      <c r="F2748" s="909"/>
      <c r="G2748" s="909"/>
      <c r="H2748" s="909"/>
      <c r="I2748" s="909"/>
      <c r="J2748" s="909"/>
      <c r="K2748" s="909"/>
      <c r="L2748" s="909"/>
      <c r="M2748" s="909"/>
      <c r="N2748" s="922"/>
    </row>
    <row r="2749" spans="3:14" ht="13.5" thickBot="1">
      <c r="C2749" s="479"/>
      <c r="D2749" s="915" t="s">
        <v>18</v>
      </c>
      <c r="E2749" s="916" t="s">
        <v>1657</v>
      </c>
      <c r="F2749" s="916"/>
      <c r="G2749" s="916"/>
      <c r="H2749" s="921"/>
      <c r="I2749" s="916"/>
      <c r="J2749" s="291" t="str">
        <f>IFERROR(IF([1]F_ProductBM!J43 = "", "", [1]F_ProductBM!J43 ),"")</f>
        <v/>
      </c>
      <c r="K2749" s="292" t="str">
        <f>IFERROR(IF([1]F_ProductBM!K43 = "", "", [1]F_ProductBM!K43 ),"")</f>
        <v/>
      </c>
      <c r="L2749" s="292" t="str">
        <f>IFERROR(IF([1]F_ProductBM!L43 = "", "", [1]F_ProductBM!L43 ),"")</f>
        <v/>
      </c>
      <c r="M2749" s="292" t="str">
        <f>IFERROR(IF([1]F_ProductBM!M43 = "", "", [1]F_ProductBM!M43 ),"")</f>
        <v/>
      </c>
      <c r="N2749" s="293" t="str">
        <f>IFERROR(IF([1]F_ProductBM!N43 = "", "", [1]F_ProductBM!N43 ),"")</f>
        <v/>
      </c>
    </row>
    <row r="2750" spans="3:14" ht="13.5" thickBot="1">
      <c r="C2750" s="479"/>
      <c r="D2750" s="915" t="s">
        <v>787</v>
      </c>
      <c r="E2750" s="916" t="s">
        <v>1659</v>
      </c>
      <c r="F2750" s="916"/>
      <c r="G2750" s="916"/>
      <c r="H2750" s="63" t="str">
        <f>IFERROR(IF([1]F_ProductBM!H44 = "", "", [1]F_ProductBM!H44 ),"")</f>
        <v>tonnes</v>
      </c>
      <c r="I2750" s="281" t="str">
        <f>IFERROR(IF([1]F_ProductBM!I44 = "", "", [1]F_ProductBM!I44 ),"")</f>
        <v/>
      </c>
      <c r="J2750" s="294" t="str">
        <f>IFERROR(IF([1]F_ProductBM!J44 = "", "", [1]F_ProductBM!J44 ),"")</f>
        <v/>
      </c>
      <c r="K2750" s="295" t="str">
        <f>IFERROR(IF([1]F_ProductBM!K44 = "", "", [1]F_ProductBM!K44 ),"")</f>
        <v/>
      </c>
      <c r="L2750" s="295" t="str">
        <f>IFERROR(IF([1]F_ProductBM!L44 = "", "", [1]F_ProductBM!L44 ),"")</f>
        <v/>
      </c>
      <c r="M2750" s="295" t="str">
        <f>IFERROR(IF([1]F_ProductBM!M44 = "", "", [1]F_ProductBM!M44 ),"")</f>
        <v/>
      </c>
      <c r="N2750" s="296" t="str">
        <f>IFERROR(IF([1]F_ProductBM!N44 = "", "", [1]F_ProductBM!N44 ),"")</f>
        <v/>
      </c>
    </row>
    <row r="2751" spans="3:14" ht="13.5" thickBot="1">
      <c r="C2751" s="479"/>
      <c r="D2751" s="924"/>
      <c r="E2751" s="925"/>
      <c r="F2751" s="925"/>
      <c r="G2751" s="925"/>
      <c r="H2751" s="925"/>
      <c r="I2751" s="925"/>
      <c r="J2751" s="925"/>
      <c r="K2751" s="925"/>
      <c r="L2751" s="925"/>
      <c r="M2751" s="925"/>
      <c r="N2751" s="926"/>
    </row>
    <row r="2752" spans="3:14">
      <c r="C2752" s="479"/>
      <c r="D2752" s="485"/>
      <c r="E2752" s="485"/>
      <c r="F2752" s="485"/>
      <c r="G2752" s="485"/>
      <c r="H2752" s="485"/>
      <c r="I2752" s="485"/>
      <c r="J2752" s="485"/>
      <c r="K2752" s="485"/>
      <c r="L2752" s="485"/>
      <c r="M2752" s="485"/>
      <c r="N2752" s="485"/>
    </row>
    <row r="2753" spans="3:14">
      <c r="C2753" s="479"/>
      <c r="D2753" s="2482" t="s">
        <v>1229</v>
      </c>
      <c r="E2753" s="2400"/>
      <c r="F2753" s="2400"/>
      <c r="G2753" s="2400"/>
      <c r="H2753" s="2400"/>
      <c r="I2753" s="2400"/>
      <c r="J2753" s="2400"/>
      <c r="K2753" s="2400"/>
      <c r="L2753" s="2400"/>
      <c r="M2753" s="2400"/>
      <c r="N2753" s="2400"/>
    </row>
    <row r="2754" spans="3:14">
      <c r="C2754" s="479"/>
      <c r="D2754" s="479"/>
      <c r="E2754" s="479"/>
      <c r="F2754" s="479"/>
      <c r="G2754" s="479"/>
      <c r="H2754" s="479"/>
      <c r="I2754" s="479"/>
      <c r="J2754" s="479"/>
      <c r="K2754" s="479"/>
      <c r="L2754" s="479"/>
      <c r="M2754" s="479"/>
      <c r="N2754" s="479"/>
    </row>
    <row r="2755" spans="3:14">
      <c r="C2755" s="485"/>
      <c r="D2755" s="482" t="s">
        <v>48</v>
      </c>
      <c r="E2755" s="2373" t="s">
        <v>800</v>
      </c>
      <c r="F2755" s="2400"/>
      <c r="G2755" s="2400"/>
      <c r="H2755" s="2400"/>
      <c r="I2755" s="2585"/>
      <c r="J2755" s="2652" t="s">
        <v>1857</v>
      </c>
      <c r="K2755" s="2653"/>
      <c r="L2755" s="2653"/>
      <c r="M2755" s="2653"/>
      <c r="N2755" s="2654"/>
    </row>
    <row r="2756" spans="3:14">
      <c r="C2756" s="479"/>
      <c r="D2756" s="485"/>
      <c r="E2756" s="2465" t="s">
        <v>1241</v>
      </c>
      <c r="F2756" s="2400"/>
      <c r="G2756" s="2400"/>
      <c r="H2756" s="2400"/>
      <c r="I2756" s="2400"/>
      <c r="J2756" s="2400"/>
      <c r="K2756" s="2400"/>
      <c r="L2756" s="2400"/>
      <c r="M2756" s="2400"/>
      <c r="N2756" s="2400"/>
    </row>
    <row r="2757" spans="3:14">
      <c r="C2757" s="479"/>
      <c r="D2757" s="485"/>
      <c r="E2757" s="2465" t="s">
        <v>1526</v>
      </c>
      <c r="F2757" s="2400"/>
      <c r="G2757" s="2400"/>
      <c r="H2757" s="2400"/>
      <c r="I2757" s="2400"/>
      <c r="J2757" s="2400"/>
      <c r="K2757" s="2400"/>
      <c r="L2757" s="2400"/>
      <c r="M2757" s="2400"/>
      <c r="N2757" s="2400"/>
    </row>
    <row r="2758" spans="3:14">
      <c r="C2758" s="479"/>
      <c r="D2758" s="485"/>
      <c r="E2758" s="2465" t="s">
        <v>1635</v>
      </c>
      <c r="F2758" s="2400"/>
      <c r="G2758" s="2400"/>
      <c r="H2758" s="2400"/>
      <c r="I2758" s="2400"/>
      <c r="J2758" s="2400"/>
      <c r="K2758" s="2400"/>
      <c r="L2758" s="2400"/>
      <c r="M2758" s="2400"/>
      <c r="N2758" s="2400"/>
    </row>
    <row r="2759" spans="3:14">
      <c r="C2759" s="485"/>
      <c r="D2759" s="482"/>
      <c r="E2759" s="927" t="s">
        <v>62</v>
      </c>
      <c r="F2759" s="518"/>
      <c r="G2759" s="663" t="s">
        <v>884</v>
      </c>
      <c r="H2759" s="578">
        <v>2019</v>
      </c>
      <c r="I2759" s="697">
        <v>2020</v>
      </c>
      <c r="J2759" s="696">
        <v>2021</v>
      </c>
      <c r="K2759" s="928">
        <v>2022</v>
      </c>
      <c r="L2759" s="578">
        <v>2023</v>
      </c>
      <c r="M2759" s="578">
        <v>2024</v>
      </c>
      <c r="N2759" s="578">
        <v>2025</v>
      </c>
    </row>
    <row r="2760" spans="3:14">
      <c r="C2760" s="485"/>
      <c r="D2760" s="561" t="s">
        <v>6</v>
      </c>
      <c r="E2760" s="863" t="s">
        <v>63</v>
      </c>
      <c r="F2760" s="863"/>
      <c r="G2760" s="579" t="s">
        <v>2015</v>
      </c>
      <c r="H2760" s="297" t="str">
        <f>IFERROR(IF([1]F_ProductBM!H54 = "", "", [1]F_ProductBM!H54 ),"")</f>
        <v/>
      </c>
      <c r="I2760" s="298" t="str">
        <f>IFERROR(IF([1]F_ProductBM!I54 = "", "", [1]F_ProductBM!I54 ),"")</f>
        <v/>
      </c>
      <c r="J2760" s="299" t="str">
        <f>IFERROR(IF([1]F_ProductBM!J54 = "", "", [1]F_ProductBM!J54 ),"")</f>
        <v/>
      </c>
      <c r="K2760" s="300" t="str">
        <f>IFERROR(IF([1]F_ProductBM!K54 = "", "", [1]F_ProductBM!K54 ),"")</f>
        <v/>
      </c>
      <c r="L2760" s="300" t="str">
        <f>IFERROR(IF([1]F_ProductBM!L54 = "", "", [1]F_ProductBM!L54 ),"")</f>
        <v/>
      </c>
      <c r="M2760" s="297" t="str">
        <f>IFERROR(IF([1]F_ProductBM!M54 = "", "", [1]F_ProductBM!M54 ),"")</f>
        <v/>
      </c>
      <c r="N2760" s="297" t="str">
        <f>IFERROR(IF([1]F_ProductBM!N54 = "", "", [1]F_ProductBM!N54 ),"")</f>
        <v/>
      </c>
    </row>
    <row r="2761" spans="3:14">
      <c r="C2761" s="485"/>
      <c r="D2761" s="561" t="s">
        <v>7</v>
      </c>
      <c r="E2761" s="865" t="s">
        <v>257</v>
      </c>
      <c r="F2761" s="865"/>
      <c r="G2761" s="582" t="s">
        <v>2017</v>
      </c>
      <c r="H2761" s="134" t="str">
        <f>IFERROR(IF([1]F_ProductBM!H55 = "", "", [1]F_ProductBM!H55 ),"")</f>
        <v/>
      </c>
      <c r="I2761" s="301" t="str">
        <f>IFERROR(IF([1]F_ProductBM!I55 = "", "", [1]F_ProductBM!I55 ),"")</f>
        <v/>
      </c>
      <c r="J2761" s="302" t="str">
        <f>IFERROR(IF([1]F_ProductBM!J55 = "", "", [1]F_ProductBM!J55 ),"")</f>
        <v/>
      </c>
      <c r="K2761" s="303" t="str">
        <f>IFERROR(IF([1]F_ProductBM!K55 = "", "", [1]F_ProductBM!K55 ),"")</f>
        <v/>
      </c>
      <c r="L2761" s="134" t="str">
        <f>IFERROR(IF([1]F_ProductBM!L55 = "", "", [1]F_ProductBM!L55 ),"")</f>
        <v/>
      </c>
      <c r="M2761" s="134" t="str">
        <f>IFERROR(IF([1]F_ProductBM!M55 = "", "", [1]F_ProductBM!M55 ),"")</f>
        <v/>
      </c>
      <c r="N2761" s="134" t="str">
        <f>IFERROR(IF([1]F_ProductBM!N55 = "", "", [1]F_ProductBM!N55 ),"")</f>
        <v/>
      </c>
    </row>
    <row r="2762" spans="3:14">
      <c r="C2762" s="485"/>
      <c r="D2762" s="561" t="s">
        <v>8</v>
      </c>
      <c r="E2762" s="932" t="s">
        <v>914</v>
      </c>
      <c r="F2762" s="932"/>
      <c r="G2762" s="933" t="s">
        <v>2021</v>
      </c>
      <c r="H2762" s="109" t="str">
        <f>IFERROR(IF([1]F_ProductBM!H56 = "", "", [1]F_ProductBM!H56 ),"")</f>
        <v/>
      </c>
      <c r="I2762" s="304" t="str">
        <f>IFERROR(IF([1]F_ProductBM!I56 = "", "", [1]F_ProductBM!I56 ),"")</f>
        <v/>
      </c>
      <c r="J2762" s="305" t="str">
        <f>IFERROR(IF([1]F_ProductBM!J56 = "", "", [1]F_ProductBM!J56 ),"")</f>
        <v/>
      </c>
      <c r="K2762" s="306" t="str">
        <f>IFERROR(IF([1]F_ProductBM!K56 = "", "", [1]F_ProductBM!K56 ),"")</f>
        <v/>
      </c>
      <c r="L2762" s="109" t="str">
        <f>IFERROR(IF([1]F_ProductBM!L56 = "", "", [1]F_ProductBM!L56 ),"")</f>
        <v/>
      </c>
      <c r="M2762" s="109" t="str">
        <f>IFERROR(IF([1]F_ProductBM!M56 = "", "", [1]F_ProductBM!M56 ),"")</f>
        <v/>
      </c>
      <c r="N2762" s="109" t="str">
        <f>IFERROR(IF([1]F_ProductBM!N56 = "", "", [1]F_ProductBM!N56 ),"")</f>
        <v/>
      </c>
    </row>
    <row r="2763" spans="3:14">
      <c r="C2763" s="485"/>
      <c r="D2763" s="561" t="s">
        <v>18</v>
      </c>
      <c r="E2763" s="863" t="s">
        <v>915</v>
      </c>
      <c r="F2763" s="863"/>
      <c r="G2763" s="579" t="s">
        <v>2015</v>
      </c>
      <c r="H2763" s="297" t="str">
        <f>IFERROR(IF([1]F_ProductBM!H57 = "", "", [1]F_ProductBM!H57 ),"")</f>
        <v/>
      </c>
      <c r="I2763" s="298" t="str">
        <f>IFERROR(IF([1]F_ProductBM!I57 = "", "", [1]F_ProductBM!I57 ),"")</f>
        <v/>
      </c>
      <c r="J2763" s="299" t="str">
        <f>IFERROR(IF([1]F_ProductBM!J57 = "", "", [1]F_ProductBM!J57 ),"")</f>
        <v/>
      </c>
      <c r="K2763" s="300" t="str">
        <f>IFERROR(IF([1]F_ProductBM!K57 = "", "", [1]F_ProductBM!K57 ),"")</f>
        <v/>
      </c>
      <c r="L2763" s="300" t="str">
        <f>IFERROR(IF([1]F_ProductBM!L57 = "", "", [1]F_ProductBM!L57 ),"")</f>
        <v/>
      </c>
      <c r="M2763" s="297" t="str">
        <f>IFERROR(IF([1]F_ProductBM!M57 = "", "", [1]F_ProductBM!M57 ),"")</f>
        <v/>
      </c>
      <c r="N2763" s="297" t="str">
        <f>IFERROR(IF([1]F_ProductBM!N57 = "", "", [1]F_ProductBM!N57 ),"")</f>
        <v/>
      </c>
    </row>
    <row r="2764" spans="3:14">
      <c r="C2764" s="485"/>
      <c r="D2764" s="561" t="s">
        <v>787</v>
      </c>
      <c r="E2764" s="867" t="s">
        <v>916</v>
      </c>
      <c r="F2764" s="867"/>
      <c r="G2764" s="584" t="s">
        <v>2015</v>
      </c>
      <c r="H2764" s="307" t="str">
        <f>IFERROR(IF([1]F_ProductBM!H58 = "", "", [1]F_ProductBM!H58 ),"")</f>
        <v/>
      </c>
      <c r="I2764" s="308" t="str">
        <f>IFERROR(IF([1]F_ProductBM!I58 = "", "", [1]F_ProductBM!I58 ),"")</f>
        <v/>
      </c>
      <c r="J2764" s="309" t="str">
        <f>IFERROR(IF([1]F_ProductBM!J58 = "", "", [1]F_ProductBM!J58 ),"")</f>
        <v/>
      </c>
      <c r="K2764" s="310" t="str">
        <f>IFERROR(IF([1]F_ProductBM!K58 = "", "", [1]F_ProductBM!K58 ),"")</f>
        <v/>
      </c>
      <c r="L2764" s="310" t="str">
        <f>IFERROR(IF([1]F_ProductBM!L58 = "", "", [1]F_ProductBM!L58 ),"")</f>
        <v/>
      </c>
      <c r="M2764" s="307" t="str">
        <f>IFERROR(IF([1]F_ProductBM!M58 = "", "", [1]F_ProductBM!M58 ),"")</f>
        <v/>
      </c>
      <c r="N2764" s="307" t="str">
        <f>IFERROR(IF([1]F_ProductBM!N58 = "", "", [1]F_ProductBM!N58 ),"")</f>
        <v/>
      </c>
    </row>
    <row r="2765" spans="3:14">
      <c r="C2765" s="479"/>
      <c r="D2765" s="479"/>
      <c r="E2765" s="479"/>
      <c r="F2765" s="479"/>
      <c r="G2765" s="479"/>
      <c r="H2765" s="479"/>
      <c r="I2765" s="479"/>
      <c r="J2765" s="937"/>
      <c r="K2765" s="479"/>
      <c r="L2765" s="479"/>
      <c r="M2765" s="485"/>
      <c r="N2765" s="485"/>
    </row>
    <row r="2766" spans="3:14">
      <c r="C2766" s="479"/>
      <c r="D2766" s="561" t="s">
        <v>788</v>
      </c>
      <c r="E2766" s="698" t="s">
        <v>1389</v>
      </c>
      <c r="F2766" s="938"/>
      <c r="G2766" s="939" t="s">
        <v>1021</v>
      </c>
      <c r="H2766" s="311" t="str">
        <f>IFERROR(IF([1]F_ProductBM!H60 = "", "", [1]F_ProductBM!H60 ),"")</f>
        <v/>
      </c>
      <c r="I2766" s="312" t="str">
        <f>IFERROR(IF([1]F_ProductBM!I60 = "", "", [1]F_ProductBM!I60 ),"")</f>
        <v/>
      </c>
      <c r="J2766" s="313" t="str">
        <f>IFERROR(IF([1]F_ProductBM!J60 = "", "", [1]F_ProductBM!J60 ),"")</f>
        <v/>
      </c>
      <c r="K2766" s="314" t="str">
        <f>IFERROR(IF([1]F_ProductBM!K60 = "", "", [1]F_ProductBM!K60 ),"")</f>
        <v/>
      </c>
      <c r="L2766" s="311" t="str">
        <f>IFERROR(IF([1]F_ProductBM!L60 = "", "", [1]F_ProductBM!L60 ),"")</f>
        <v/>
      </c>
      <c r="M2766" s="311" t="str">
        <f>IFERROR(IF([1]F_ProductBM!M60 = "", "", [1]F_ProductBM!M60 ),"")</f>
        <v/>
      </c>
      <c r="N2766" s="311" t="str">
        <f>IFERROR(IF([1]F_ProductBM!N60 = "", "", [1]F_ProductBM!N60 ),"")</f>
        <v/>
      </c>
    </row>
    <row r="2767" spans="3:14">
      <c r="C2767" s="479"/>
      <c r="D2767" s="479"/>
      <c r="E2767" s="479"/>
      <c r="F2767" s="479"/>
      <c r="G2767" s="479"/>
      <c r="H2767" s="479"/>
      <c r="I2767" s="479"/>
      <c r="J2767" s="479"/>
      <c r="K2767" s="479"/>
      <c r="L2767" s="479"/>
      <c r="M2767" s="485"/>
      <c r="N2767" s="485"/>
    </row>
    <row r="2768" spans="3:14" ht="21" customHeight="1" thickBot="1">
      <c r="C2768" s="479"/>
      <c r="D2768" s="485"/>
      <c r="E2768" s="2465" t="s">
        <v>2703</v>
      </c>
      <c r="F2768" s="2400"/>
      <c r="G2768" s="2400"/>
      <c r="H2768" s="2400"/>
      <c r="I2768" s="2400"/>
      <c r="J2768" s="2400"/>
      <c r="K2768" s="2400"/>
      <c r="L2768" s="2400"/>
      <c r="M2768" s="2400"/>
      <c r="N2768" s="2400"/>
    </row>
    <row r="2769" spans="3:14">
      <c r="C2769" s="479"/>
      <c r="D2769" s="902"/>
      <c r="E2769" s="942"/>
      <c r="F2769" s="942"/>
      <c r="G2769" s="942"/>
      <c r="H2769" s="942"/>
      <c r="I2769" s="942"/>
      <c r="J2769" s="942"/>
      <c r="K2769" s="942"/>
      <c r="L2769" s="942"/>
      <c r="M2769" s="942"/>
      <c r="N2769" s="943"/>
    </row>
    <row r="2770" spans="3:14">
      <c r="C2770" s="479"/>
      <c r="D2770" s="907" t="s">
        <v>1915</v>
      </c>
      <c r="E2770" s="908" t="s">
        <v>1775</v>
      </c>
      <c r="F2770" s="909"/>
      <c r="G2770" s="909"/>
      <c r="H2770" s="910" t="s">
        <v>884</v>
      </c>
      <c r="I2770" s="911" t="s">
        <v>2220</v>
      </c>
      <c r="J2770" s="912">
        <v>2021</v>
      </c>
      <c r="K2770" s="913">
        <v>2022</v>
      </c>
      <c r="L2770" s="913">
        <v>2023</v>
      </c>
      <c r="M2770" s="913">
        <v>2024</v>
      </c>
      <c r="N2770" s="914">
        <v>2025</v>
      </c>
    </row>
    <row r="2771" spans="3:14">
      <c r="C2771" s="479"/>
      <c r="D2771" s="915" t="s">
        <v>6</v>
      </c>
      <c r="E2771" s="916" t="s">
        <v>1691</v>
      </c>
      <c r="F2771" s="916"/>
      <c r="G2771" s="916"/>
      <c r="H2771" s="944" t="s">
        <v>1021</v>
      </c>
      <c r="I2771" s="315" t="str">
        <f>IFERROR(IF([1]F_ProductBM!I65 = "", "", [1]F_ProductBM!I65 ),"")</f>
        <v/>
      </c>
      <c r="J2771" s="316" t="str">
        <f>IFERROR(IF([1]F_ProductBM!J65 = "", "", [1]F_ProductBM!J65 ),"")</f>
        <v/>
      </c>
      <c r="K2771" s="317" t="str">
        <f>IFERROR(IF([1]F_ProductBM!K65 = "", "", [1]F_ProductBM!K65 ),"")</f>
        <v/>
      </c>
      <c r="L2771" s="317" t="str">
        <f>IFERROR(IF([1]F_ProductBM!L65 = "", "", [1]F_ProductBM!L65 ),"")</f>
        <v/>
      </c>
      <c r="M2771" s="317" t="str">
        <f>IFERROR(IF([1]F_ProductBM!M65 = "", "", [1]F_ProductBM!M65 ),"")</f>
        <v/>
      </c>
      <c r="N2771" s="318" t="str">
        <f>IFERROR(IF([1]F_ProductBM!N65 = "", "", [1]F_ProductBM!N65 ),"")</f>
        <v/>
      </c>
    </row>
    <row r="2772" spans="3:14">
      <c r="C2772" s="479"/>
      <c r="D2772" s="915"/>
      <c r="E2772" s="916" t="s">
        <v>1776</v>
      </c>
      <c r="F2772" s="916"/>
      <c r="G2772" s="916"/>
      <c r="H2772" s="921"/>
      <c r="I2772" s="916"/>
      <c r="J2772" s="319" t="str">
        <f>IFERROR(IF([1]F_ProductBM!J66 = "", "", [1]F_ProductBM!J66 ),"")</f>
        <v/>
      </c>
      <c r="K2772" s="320" t="str">
        <f>IFERROR(IF([1]F_ProductBM!K66 = "", "", [1]F_ProductBM!K66 ),"")</f>
        <v/>
      </c>
      <c r="L2772" s="320" t="str">
        <f>IFERROR(IF([1]F_ProductBM!L66 = "", "", [1]F_ProductBM!L66 ),"")</f>
        <v/>
      </c>
      <c r="M2772" s="320" t="str">
        <f>IFERROR(IF([1]F_ProductBM!M66 = "", "", [1]F_ProductBM!M66 ),"")</f>
        <v/>
      </c>
      <c r="N2772" s="321" t="str">
        <f>IFERROR(IF([1]F_ProductBM!N66 = "", "", [1]F_ProductBM!N66 ),"")</f>
        <v/>
      </c>
    </row>
    <row r="2773" spans="3:14">
      <c r="C2773" s="479"/>
      <c r="D2773" s="915" t="s">
        <v>7</v>
      </c>
      <c r="E2773" s="916" t="s">
        <v>1654</v>
      </c>
      <c r="F2773" s="916"/>
      <c r="G2773" s="916"/>
      <c r="H2773" s="921"/>
      <c r="I2773" s="916"/>
      <c r="J2773" s="288" t="str">
        <f>IFERROR(IF([1]F_ProductBM!J67 = "", "", [1]F_ProductBM!J67 ),"")</f>
        <v/>
      </c>
      <c r="K2773" s="289" t="str">
        <f>IFERROR(IF([1]F_ProductBM!K67 = "", "", [1]F_ProductBM!K67 ),"")</f>
        <v/>
      </c>
      <c r="L2773" s="289" t="str">
        <f>IFERROR(IF([1]F_ProductBM!L67 = "", "", [1]F_ProductBM!L67 ),"")</f>
        <v/>
      </c>
      <c r="M2773" s="289" t="str">
        <f>IFERROR(IF([1]F_ProductBM!M67 = "", "", [1]F_ProductBM!M67 ),"")</f>
        <v/>
      </c>
      <c r="N2773" s="290" t="str">
        <f>IFERROR(IF([1]F_ProductBM!N67 = "", "", [1]F_ProductBM!N67 ),"")</f>
        <v/>
      </c>
    </row>
    <row r="2774" spans="3:14">
      <c r="C2774" s="479"/>
      <c r="D2774" s="915"/>
      <c r="E2774" s="916" t="s">
        <v>1689</v>
      </c>
      <c r="F2774" s="916"/>
      <c r="G2774" s="916"/>
      <c r="H2774" s="944" t="s">
        <v>1021</v>
      </c>
      <c r="I2774" s="315" t="str">
        <f>IFERROR(IF([1]F_ProductBM!I68 = "", "", [1]F_ProductBM!I68 ),"")</f>
        <v/>
      </c>
      <c r="J2774" s="322" t="str">
        <f>IFERROR(IF([1]F_ProductBM!J68 = "", "", [1]F_ProductBM!J68 ),"")</f>
        <v/>
      </c>
      <c r="K2774" s="323" t="str">
        <f>IFERROR(IF([1]F_ProductBM!K68 = "", "", [1]F_ProductBM!K68 ),"")</f>
        <v/>
      </c>
      <c r="L2774" s="323" t="str">
        <f>IFERROR(IF([1]F_ProductBM!L68 = "", "", [1]F_ProductBM!L68 ),"")</f>
        <v/>
      </c>
      <c r="M2774" s="323" t="str">
        <f>IFERROR(IF([1]F_ProductBM!M68 = "", "", [1]F_ProductBM!M68 ),"")</f>
        <v/>
      </c>
      <c r="N2774" s="324" t="str">
        <f>IFERROR(IF([1]F_ProductBM!N68 = "", "", [1]F_ProductBM!N68 ),"")</f>
        <v/>
      </c>
    </row>
    <row r="2775" spans="3:14">
      <c r="C2775" s="479"/>
      <c r="D2775" s="915"/>
      <c r="E2775" s="909"/>
      <c r="F2775" s="909"/>
      <c r="G2775" s="909"/>
      <c r="H2775" s="909"/>
      <c r="I2775" s="909"/>
      <c r="J2775" s="909"/>
      <c r="K2775" s="909"/>
      <c r="L2775" s="909"/>
      <c r="M2775" s="909"/>
      <c r="N2775" s="922"/>
    </row>
    <row r="2776" spans="3:14">
      <c r="C2776" s="479"/>
      <c r="D2776" s="915"/>
      <c r="E2776" s="923" t="s">
        <v>1653</v>
      </c>
      <c r="F2776" s="923"/>
      <c r="G2776" s="923"/>
      <c r="H2776" s="923"/>
      <c r="I2776" s="923"/>
      <c r="J2776" s="912">
        <v>2021</v>
      </c>
      <c r="K2776" s="913">
        <v>2022</v>
      </c>
      <c r="L2776" s="913">
        <v>2023</v>
      </c>
      <c r="M2776" s="913">
        <v>2024</v>
      </c>
      <c r="N2776" s="914">
        <v>2025</v>
      </c>
    </row>
    <row r="2777" spans="3:14">
      <c r="C2777" s="479"/>
      <c r="D2777" s="915" t="s">
        <v>8</v>
      </c>
      <c r="E2777" s="916" t="s">
        <v>2108</v>
      </c>
      <c r="F2777" s="916"/>
      <c r="G2777" s="916"/>
      <c r="H2777" s="916"/>
      <c r="I2777" s="916"/>
      <c r="J2777" s="69" t="str">
        <f>IFERROR(IF([1]F_ProductBM!J71 = "", "", [1]F_ProductBM!J71 ),"")</f>
        <v/>
      </c>
      <c r="K2777" s="62" t="str">
        <f>IFERROR(IF([1]F_ProductBM!K71 = "", "", [1]F_ProductBM!K71 ),"")</f>
        <v/>
      </c>
      <c r="L2777" s="62" t="str">
        <f>IFERROR(IF([1]F_ProductBM!L71 = "", "", [1]F_ProductBM!L71 ),"")</f>
        <v/>
      </c>
      <c r="M2777" s="62" t="str">
        <f>IFERROR(IF([1]F_ProductBM!M71 = "", "", [1]F_ProductBM!M71 ),"")</f>
        <v/>
      </c>
      <c r="N2777" s="70" t="str">
        <f>IFERROR(IF([1]F_ProductBM!N71 = "", "", [1]F_ProductBM!N71 ),"")</f>
        <v/>
      </c>
    </row>
    <row r="2778" spans="3:14" ht="13.5" thickBot="1">
      <c r="C2778" s="479"/>
      <c r="D2778" s="915"/>
      <c r="E2778" s="909"/>
      <c r="F2778" s="909"/>
      <c r="G2778" s="909"/>
      <c r="H2778" s="909"/>
      <c r="I2778" s="909"/>
      <c r="J2778" s="909"/>
      <c r="K2778" s="909"/>
      <c r="L2778" s="909"/>
      <c r="M2778" s="909"/>
      <c r="N2778" s="922"/>
    </row>
    <row r="2779" spans="3:14" ht="13.5" thickBot="1">
      <c r="C2779" s="479"/>
      <c r="D2779" s="915" t="s">
        <v>18</v>
      </c>
      <c r="E2779" s="916" t="s">
        <v>1657</v>
      </c>
      <c r="F2779" s="916"/>
      <c r="G2779" s="916"/>
      <c r="H2779" s="921"/>
      <c r="I2779" s="916"/>
      <c r="J2779" s="291" t="str">
        <f>IFERROR(IF([1]F_ProductBM!J73 = "", "", [1]F_ProductBM!J73 ),"")</f>
        <v/>
      </c>
      <c r="K2779" s="292" t="str">
        <f>IFERROR(IF([1]F_ProductBM!K73 = "", "", [1]F_ProductBM!K73 ),"")</f>
        <v/>
      </c>
      <c r="L2779" s="292" t="str">
        <f>IFERROR(IF([1]F_ProductBM!L73 = "", "", [1]F_ProductBM!L73 ),"")</f>
        <v/>
      </c>
      <c r="M2779" s="292" t="str">
        <f>IFERROR(IF([1]F_ProductBM!M73 = "", "", [1]F_ProductBM!M73 ),"")</f>
        <v/>
      </c>
      <c r="N2779" s="293" t="str">
        <f>IFERROR(IF([1]F_ProductBM!N73 = "", "", [1]F_ProductBM!N73 ),"")</f>
        <v/>
      </c>
    </row>
    <row r="2780" spans="3:14" ht="13.5" thickBot="1">
      <c r="C2780" s="479"/>
      <c r="D2780" s="915" t="s">
        <v>787</v>
      </c>
      <c r="E2780" s="916" t="s">
        <v>1659</v>
      </c>
      <c r="F2780" s="916"/>
      <c r="G2780" s="916"/>
      <c r="H2780" s="944" t="s">
        <v>1021</v>
      </c>
      <c r="I2780" s="315" t="str">
        <f>IFERROR(IF([1]F_ProductBM!I74 = "", "", [1]F_ProductBM!I74 ),"")</f>
        <v/>
      </c>
      <c r="J2780" s="325" t="str">
        <f>IFERROR(IF([1]F_ProductBM!J74 = "", "", [1]F_ProductBM!J74 ),"")</f>
        <v/>
      </c>
      <c r="K2780" s="326" t="str">
        <f>IFERROR(IF([1]F_ProductBM!K74 = "", "", [1]F_ProductBM!K74 ),"")</f>
        <v/>
      </c>
      <c r="L2780" s="326" t="str">
        <f>IFERROR(IF([1]F_ProductBM!L74 = "", "", [1]F_ProductBM!L74 ),"")</f>
        <v/>
      </c>
      <c r="M2780" s="326" t="str">
        <f>IFERROR(IF([1]F_ProductBM!M74 = "", "", [1]F_ProductBM!M74 ),"")</f>
        <v/>
      </c>
      <c r="N2780" s="327" t="str">
        <f>IFERROR(IF([1]F_ProductBM!N74 = "", "", [1]F_ProductBM!N74 ),"")</f>
        <v/>
      </c>
    </row>
    <row r="2781" spans="3:14" ht="13.5" thickBot="1">
      <c r="C2781" s="479"/>
      <c r="D2781" s="946"/>
      <c r="E2781" s="947"/>
      <c r="F2781" s="947"/>
      <c r="G2781" s="947"/>
      <c r="H2781" s="947"/>
      <c r="I2781" s="947"/>
      <c r="J2781" s="947"/>
      <c r="K2781" s="947"/>
      <c r="L2781" s="947"/>
      <c r="M2781" s="925"/>
      <c r="N2781" s="926"/>
    </row>
    <row r="2782" spans="3:14">
      <c r="C2782" s="479"/>
      <c r="D2782" s="479"/>
      <c r="E2782" s="479"/>
      <c r="F2782" s="479"/>
      <c r="G2782" s="479"/>
      <c r="H2782" s="479"/>
      <c r="I2782" s="479"/>
      <c r="J2782" s="479"/>
      <c r="K2782" s="479"/>
      <c r="L2782" s="479"/>
      <c r="M2782" s="485"/>
      <c r="N2782" s="485"/>
    </row>
    <row r="2783" spans="3:14">
      <c r="C2783" s="479"/>
      <c r="D2783" s="482" t="s">
        <v>881</v>
      </c>
      <c r="E2783" s="2373" t="s">
        <v>941</v>
      </c>
      <c r="F2783" s="2373"/>
      <c r="G2783" s="2373"/>
      <c r="H2783" s="2373"/>
      <c r="I2783" s="2604"/>
      <c r="J2783" s="2652" t="s">
        <v>1857</v>
      </c>
      <c r="K2783" s="2653"/>
      <c r="L2783" s="2653"/>
      <c r="M2783" s="2653"/>
      <c r="N2783" s="2654"/>
    </row>
    <row r="2784" spans="3:14">
      <c r="C2784" s="479"/>
      <c r="D2784" s="485"/>
      <c r="E2784" s="2465" t="s">
        <v>1368</v>
      </c>
      <c r="F2784" s="2400"/>
      <c r="G2784" s="2400"/>
      <c r="H2784" s="2400"/>
      <c r="I2784" s="2400"/>
      <c r="J2784" s="2400"/>
      <c r="K2784" s="2400"/>
      <c r="L2784" s="2400"/>
      <c r="M2784" s="2400"/>
      <c r="N2784" s="2400"/>
    </row>
    <row r="2785" spans="3:14">
      <c r="C2785" s="479"/>
      <c r="D2785" s="485"/>
      <c r="E2785" s="2465" t="s">
        <v>1474</v>
      </c>
      <c r="F2785" s="2400"/>
      <c r="G2785" s="2400"/>
      <c r="H2785" s="2400"/>
      <c r="I2785" s="2400"/>
      <c r="J2785" s="2400"/>
      <c r="K2785" s="2400"/>
      <c r="L2785" s="2400"/>
      <c r="M2785" s="2400"/>
      <c r="N2785" s="2400"/>
    </row>
    <row r="2786" spans="3:14">
      <c r="C2786" s="479"/>
      <c r="D2786" s="485"/>
      <c r="E2786" s="2465" t="s">
        <v>1300</v>
      </c>
      <c r="F2786" s="2400"/>
      <c r="G2786" s="2400"/>
      <c r="H2786" s="2400"/>
      <c r="I2786" s="2400"/>
      <c r="J2786" s="2400"/>
      <c r="K2786" s="2400"/>
      <c r="L2786" s="2400"/>
      <c r="M2786" s="2400"/>
      <c r="N2786" s="2400"/>
    </row>
    <row r="2787" spans="3:14">
      <c r="C2787" s="479"/>
      <c r="D2787" s="485"/>
      <c r="E2787" s="2465" t="s">
        <v>1608</v>
      </c>
      <c r="F2787" s="2400"/>
      <c r="G2787" s="2400"/>
      <c r="H2787" s="2400"/>
      <c r="I2787" s="2400"/>
      <c r="J2787" s="2400"/>
      <c r="K2787" s="2400"/>
      <c r="L2787" s="2400"/>
      <c r="M2787" s="2400"/>
      <c r="N2787" s="2400"/>
    </row>
    <row r="2788" spans="3:14">
      <c r="C2788" s="485"/>
      <c r="D2788" s="482"/>
      <c r="E2788" s="927" t="s">
        <v>62</v>
      </c>
      <c r="F2788" s="518"/>
      <c r="G2788" s="663" t="s">
        <v>884</v>
      </c>
      <c r="H2788" s="578">
        <v>2019</v>
      </c>
      <c r="I2788" s="697">
        <v>2020</v>
      </c>
      <c r="J2788" s="696">
        <v>2021</v>
      </c>
      <c r="K2788" s="578">
        <v>2022</v>
      </c>
      <c r="L2788" s="578">
        <v>2023</v>
      </c>
      <c r="M2788" s="578">
        <v>2024</v>
      </c>
      <c r="N2788" s="578">
        <v>2025</v>
      </c>
    </row>
    <row r="2789" spans="3:14" ht="25.5">
      <c r="C2789" s="485"/>
      <c r="D2789" s="561" t="s">
        <v>6</v>
      </c>
      <c r="E2789" s="948" t="s">
        <v>650</v>
      </c>
      <c r="F2789" s="948"/>
      <c r="G2789" s="730" t="s">
        <v>2017</v>
      </c>
      <c r="H2789" s="93" t="str">
        <f>IFERROR(IF([1]F_ProductBM!H83 = "", "", [1]F_ProductBM!H83 ),"")</f>
        <v/>
      </c>
      <c r="I2789" s="116" t="str">
        <f>IFERROR(IF([1]F_ProductBM!I83 = "", "", [1]F_ProductBM!I83 ),"")</f>
        <v/>
      </c>
      <c r="J2789" s="117" t="str">
        <f>IFERROR(IF([1]F_ProductBM!J83 = "", "", [1]F_ProductBM!J83 ),"")</f>
        <v/>
      </c>
      <c r="K2789" s="93" t="str">
        <f>IFERROR(IF([1]F_ProductBM!K83 = "", "", [1]F_ProductBM!K83 ),"")</f>
        <v/>
      </c>
      <c r="L2789" s="93" t="str">
        <f>IFERROR(IF([1]F_ProductBM!L83 = "", "", [1]F_ProductBM!L83 ),"")</f>
        <v/>
      </c>
      <c r="M2789" s="93" t="str">
        <f>IFERROR(IF([1]F_ProductBM!M83 = "", "", [1]F_ProductBM!M83 ),"")</f>
        <v/>
      </c>
      <c r="N2789" s="93" t="str">
        <f>IFERROR(IF([1]F_ProductBM!N83 = "", "", [1]F_ProductBM!N83 ),"")</f>
        <v/>
      </c>
    </row>
    <row r="2790" spans="3:14" ht="25.5">
      <c r="C2790" s="485"/>
      <c r="D2790" s="561" t="s">
        <v>7</v>
      </c>
      <c r="E2790" s="863" t="s">
        <v>107</v>
      </c>
      <c r="F2790" s="863"/>
      <c r="G2790" s="950" t="s">
        <v>1022</v>
      </c>
      <c r="H2790" s="328" t="str">
        <f>IFERROR(IF([1]F_ProductBM!H84 = "", "", [1]F_ProductBM!H84 ),"")</f>
        <v/>
      </c>
      <c r="I2790" s="329" t="str">
        <f>IFERROR(IF([1]F_ProductBM!I84 = "", "", [1]F_ProductBM!I84 ),"")</f>
        <v/>
      </c>
      <c r="J2790" s="330" t="str">
        <f>IFERROR(IF([1]F_ProductBM!J84 = "", "", [1]F_ProductBM!J84 ),"")</f>
        <v/>
      </c>
      <c r="K2790" s="328" t="str">
        <f>IFERROR(IF([1]F_ProductBM!K84 = "", "", [1]F_ProductBM!K84 ),"")</f>
        <v/>
      </c>
      <c r="L2790" s="328" t="str">
        <f>IFERROR(IF([1]F_ProductBM!L84 = "", "", [1]F_ProductBM!L84 ),"")</f>
        <v/>
      </c>
      <c r="M2790" s="328" t="str">
        <f>IFERROR(IF([1]F_ProductBM!M84 = "", "", [1]F_ProductBM!M84 ),"")</f>
        <v/>
      </c>
      <c r="N2790" s="328" t="str">
        <f>IFERROR(IF([1]F_ProductBM!N84 = "", "", [1]F_ProductBM!N84 ),"")</f>
        <v/>
      </c>
    </row>
    <row r="2791" spans="3:14" ht="25.5">
      <c r="C2791" s="485"/>
      <c r="D2791" s="561" t="s">
        <v>8</v>
      </c>
      <c r="E2791" s="571" t="s">
        <v>1548</v>
      </c>
      <c r="F2791" s="571"/>
      <c r="G2791" s="951" t="s">
        <v>1022</v>
      </c>
      <c r="H2791" s="331" t="str">
        <f>IFERROR(IF([1]F_ProductBM!H85 = "", "", [1]F_ProductBM!H85 ),"")</f>
        <v/>
      </c>
      <c r="I2791" s="332" t="str">
        <f>IFERROR(IF([1]F_ProductBM!I85 = "", "", [1]F_ProductBM!I85 ),"")</f>
        <v/>
      </c>
      <c r="J2791" s="333" t="str">
        <f>IFERROR(IF([1]F_ProductBM!J85 = "", "", [1]F_ProductBM!J85 ),"")</f>
        <v/>
      </c>
      <c r="K2791" s="331" t="str">
        <f>IFERROR(IF([1]F_ProductBM!K85 = "", "", [1]F_ProductBM!K85 ),"")</f>
        <v/>
      </c>
      <c r="L2791" s="331" t="str">
        <f>IFERROR(IF([1]F_ProductBM!L85 = "", "", [1]F_ProductBM!L85 ),"")</f>
        <v/>
      </c>
      <c r="M2791" s="331" t="str">
        <f>IFERROR(IF([1]F_ProductBM!M85 = "", "", [1]F_ProductBM!M85 ),"")</f>
        <v/>
      </c>
      <c r="N2791" s="331" t="str">
        <f>IFERROR(IF([1]F_ProductBM!N85 = "", "", [1]F_ProductBM!N85 ),"")</f>
        <v/>
      </c>
    </row>
    <row r="2792" spans="3:14">
      <c r="C2792" s="485"/>
      <c r="D2792" s="485"/>
      <c r="E2792" s="485"/>
      <c r="F2792" s="485"/>
      <c r="G2792" s="485"/>
      <c r="H2792" s="485"/>
      <c r="I2792" s="952"/>
      <c r="J2792" s="485"/>
      <c r="K2792" s="485"/>
      <c r="L2792" s="485"/>
      <c r="M2792" s="485"/>
      <c r="N2792" s="485"/>
    </row>
    <row r="2793" spans="3:14" ht="24" customHeight="1" thickBot="1">
      <c r="C2793" s="479"/>
      <c r="D2793" s="485"/>
      <c r="E2793" s="2465" t="s">
        <v>2703</v>
      </c>
      <c r="F2793" s="2400"/>
      <c r="G2793" s="2400"/>
      <c r="H2793" s="2400"/>
      <c r="I2793" s="2400"/>
      <c r="J2793" s="2400"/>
      <c r="K2793" s="2400"/>
      <c r="L2793" s="2400"/>
      <c r="M2793" s="2400"/>
      <c r="N2793" s="2400"/>
    </row>
    <row r="2794" spans="3:14">
      <c r="C2794" s="479"/>
      <c r="D2794" s="902"/>
      <c r="E2794" s="904"/>
      <c r="F2794" s="953"/>
      <c r="G2794" s="953"/>
      <c r="H2794" s="953"/>
      <c r="I2794" s="953"/>
      <c r="J2794" s="953"/>
      <c r="K2794" s="953"/>
      <c r="L2794" s="953"/>
      <c r="M2794" s="953"/>
      <c r="N2794" s="954"/>
    </row>
    <row r="2795" spans="3:14">
      <c r="C2795" s="479"/>
      <c r="D2795" s="907" t="s">
        <v>1916</v>
      </c>
      <c r="E2795" s="908" t="s">
        <v>1774</v>
      </c>
      <c r="F2795" s="909"/>
      <c r="G2795" s="909"/>
      <c r="H2795" s="910" t="s">
        <v>884</v>
      </c>
      <c r="I2795" s="911" t="s">
        <v>2220</v>
      </c>
      <c r="J2795" s="912">
        <v>2021</v>
      </c>
      <c r="K2795" s="913">
        <v>2022</v>
      </c>
      <c r="L2795" s="913">
        <v>2023</v>
      </c>
      <c r="M2795" s="913">
        <v>2024</v>
      </c>
      <c r="N2795" s="914">
        <v>2025</v>
      </c>
    </row>
    <row r="2796" spans="3:14">
      <c r="C2796" s="479"/>
      <c r="D2796" s="915" t="s">
        <v>6</v>
      </c>
      <c r="E2796" s="916" t="s">
        <v>1691</v>
      </c>
      <c r="F2796" s="916"/>
      <c r="G2796" s="916"/>
      <c r="H2796" s="944" t="s">
        <v>471</v>
      </c>
      <c r="I2796" s="281" t="str">
        <f>IFERROR(IF([1]F_ProductBM!I90 = "", "", [1]F_ProductBM!I90 ),"")</f>
        <v/>
      </c>
      <c r="J2796" s="334" t="str">
        <f>IFERROR(IF([1]F_ProductBM!J90 = "", "", [1]F_ProductBM!J90 ),"")</f>
        <v/>
      </c>
      <c r="K2796" s="335" t="str">
        <f>IFERROR(IF([1]F_ProductBM!K90 = "", "", [1]F_ProductBM!K90 ),"")</f>
        <v/>
      </c>
      <c r="L2796" s="335" t="str">
        <f>IFERROR(IF([1]F_ProductBM!L90 = "", "", [1]F_ProductBM!L90 ),"")</f>
        <v/>
      </c>
      <c r="M2796" s="335" t="str">
        <f>IFERROR(IF([1]F_ProductBM!M90 = "", "", [1]F_ProductBM!M90 ),"")</f>
        <v/>
      </c>
      <c r="N2796" s="336" t="str">
        <f>IFERROR(IF([1]F_ProductBM!N90 = "", "", [1]F_ProductBM!N90 ),"")</f>
        <v/>
      </c>
    </row>
    <row r="2797" spans="3:14">
      <c r="C2797" s="479"/>
      <c r="D2797" s="915"/>
      <c r="E2797" s="916" t="s">
        <v>1776</v>
      </c>
      <c r="F2797" s="916"/>
      <c r="G2797" s="916"/>
      <c r="H2797" s="921"/>
      <c r="I2797" s="916"/>
      <c r="J2797" s="319" t="str">
        <f>IFERROR(IF([1]F_ProductBM!J91 = "", "", [1]F_ProductBM!J91 ),"")</f>
        <v/>
      </c>
      <c r="K2797" s="320" t="str">
        <f>IFERROR(IF([1]F_ProductBM!K91 = "", "", [1]F_ProductBM!K91 ),"")</f>
        <v/>
      </c>
      <c r="L2797" s="320" t="str">
        <f>IFERROR(IF([1]F_ProductBM!L91 = "", "", [1]F_ProductBM!L91 ),"")</f>
        <v/>
      </c>
      <c r="M2797" s="320" t="str">
        <f>IFERROR(IF([1]F_ProductBM!M91 = "", "", [1]F_ProductBM!M91 ),"")</f>
        <v/>
      </c>
      <c r="N2797" s="321" t="str">
        <f>IFERROR(IF([1]F_ProductBM!N91 = "", "", [1]F_ProductBM!N91 ),"")</f>
        <v/>
      </c>
    </row>
    <row r="2798" spans="3:14">
      <c r="C2798" s="479"/>
      <c r="D2798" s="915" t="s">
        <v>7</v>
      </c>
      <c r="E2798" s="916" t="s">
        <v>1654</v>
      </c>
      <c r="F2798" s="916"/>
      <c r="G2798" s="916"/>
      <c r="H2798" s="921"/>
      <c r="I2798" s="916"/>
      <c r="J2798" s="288" t="str">
        <f>IFERROR(IF([1]F_ProductBM!J92 = "", "", [1]F_ProductBM!J92 ),"")</f>
        <v/>
      </c>
      <c r="K2798" s="289" t="str">
        <f>IFERROR(IF([1]F_ProductBM!K92 = "", "", [1]F_ProductBM!K92 ),"")</f>
        <v/>
      </c>
      <c r="L2798" s="289" t="str">
        <f>IFERROR(IF([1]F_ProductBM!L92 = "", "", [1]F_ProductBM!L92 ),"")</f>
        <v/>
      </c>
      <c r="M2798" s="289" t="str">
        <f>IFERROR(IF([1]F_ProductBM!M92 = "", "", [1]F_ProductBM!M92 ),"")</f>
        <v/>
      </c>
      <c r="N2798" s="290" t="str">
        <f>IFERROR(IF([1]F_ProductBM!N92 = "", "", [1]F_ProductBM!N92 ),"")</f>
        <v/>
      </c>
    </row>
    <row r="2799" spans="3:14">
      <c r="C2799" s="479"/>
      <c r="D2799" s="915"/>
      <c r="E2799" s="916" t="s">
        <v>1689</v>
      </c>
      <c r="F2799" s="916"/>
      <c r="G2799" s="916"/>
      <c r="H2799" s="944" t="s">
        <v>471</v>
      </c>
      <c r="I2799" s="281" t="str">
        <f>IFERROR(IF([1]F_ProductBM!I93 = "", "", [1]F_ProductBM!I93 ),"")</f>
        <v/>
      </c>
      <c r="J2799" s="282" t="str">
        <f>IFERROR(IF([1]F_ProductBM!J93 = "", "", [1]F_ProductBM!J93 ),"")</f>
        <v/>
      </c>
      <c r="K2799" s="283" t="str">
        <f>IFERROR(IF([1]F_ProductBM!K93 = "", "", [1]F_ProductBM!K93 ),"")</f>
        <v/>
      </c>
      <c r="L2799" s="283" t="str">
        <f>IFERROR(IF([1]F_ProductBM!L93 = "", "", [1]F_ProductBM!L93 ),"")</f>
        <v/>
      </c>
      <c r="M2799" s="283" t="str">
        <f>IFERROR(IF([1]F_ProductBM!M93 = "", "", [1]F_ProductBM!M93 ),"")</f>
        <v/>
      </c>
      <c r="N2799" s="284" t="str">
        <f>IFERROR(IF([1]F_ProductBM!N93 = "", "", [1]F_ProductBM!N93 ),"")</f>
        <v/>
      </c>
    </row>
    <row r="2800" spans="3:14">
      <c r="C2800" s="479"/>
      <c r="D2800" s="915"/>
      <c r="E2800" s="909"/>
      <c r="F2800" s="909"/>
      <c r="G2800" s="909"/>
      <c r="H2800" s="909"/>
      <c r="I2800" s="909"/>
      <c r="J2800" s="909"/>
      <c r="K2800" s="909"/>
      <c r="L2800" s="909"/>
      <c r="M2800" s="909"/>
      <c r="N2800" s="922"/>
    </row>
    <row r="2801" spans="3:14">
      <c r="C2801" s="479"/>
      <c r="D2801" s="915"/>
      <c r="E2801" s="923" t="s">
        <v>1653</v>
      </c>
      <c r="F2801" s="923"/>
      <c r="G2801" s="923"/>
      <c r="H2801" s="923"/>
      <c r="I2801" s="923"/>
      <c r="J2801" s="912">
        <v>2021</v>
      </c>
      <c r="K2801" s="913">
        <v>2022</v>
      </c>
      <c r="L2801" s="913">
        <v>2023</v>
      </c>
      <c r="M2801" s="913">
        <v>2024</v>
      </c>
      <c r="N2801" s="914">
        <v>2025</v>
      </c>
    </row>
    <row r="2802" spans="3:14">
      <c r="C2802" s="479"/>
      <c r="D2802" s="915" t="s">
        <v>8</v>
      </c>
      <c r="E2802" s="916" t="s">
        <v>2108</v>
      </c>
      <c r="F2802" s="916"/>
      <c r="G2802" s="916"/>
      <c r="H2802" s="916"/>
      <c r="I2802" s="916"/>
      <c r="J2802" s="69" t="str">
        <f>IFERROR(IF([1]F_ProductBM!J96 = "", "", [1]F_ProductBM!J96 ),"")</f>
        <v/>
      </c>
      <c r="K2802" s="62" t="str">
        <f>IFERROR(IF([1]F_ProductBM!K96 = "", "", [1]F_ProductBM!K96 ),"")</f>
        <v/>
      </c>
      <c r="L2802" s="62" t="str">
        <f>IFERROR(IF([1]F_ProductBM!L96 = "", "", [1]F_ProductBM!L96 ),"")</f>
        <v/>
      </c>
      <c r="M2802" s="62" t="str">
        <f>IFERROR(IF([1]F_ProductBM!M96 = "", "", [1]F_ProductBM!M96 ),"")</f>
        <v/>
      </c>
      <c r="N2802" s="70" t="str">
        <f>IFERROR(IF([1]F_ProductBM!N96 = "", "", [1]F_ProductBM!N96 ),"")</f>
        <v/>
      </c>
    </row>
    <row r="2803" spans="3:14" ht="13.5" thickBot="1">
      <c r="C2803" s="479"/>
      <c r="D2803" s="915"/>
      <c r="E2803" s="909"/>
      <c r="F2803" s="909"/>
      <c r="G2803" s="909"/>
      <c r="H2803" s="909"/>
      <c r="I2803" s="909"/>
      <c r="J2803" s="909"/>
      <c r="K2803" s="909"/>
      <c r="L2803" s="909"/>
      <c r="M2803" s="909"/>
      <c r="N2803" s="922"/>
    </row>
    <row r="2804" spans="3:14" ht="13.5" thickBot="1">
      <c r="C2804" s="479"/>
      <c r="D2804" s="915" t="s">
        <v>18</v>
      </c>
      <c r="E2804" s="916" t="s">
        <v>1657</v>
      </c>
      <c r="F2804" s="916"/>
      <c r="G2804" s="916"/>
      <c r="H2804" s="921"/>
      <c r="I2804" s="916"/>
      <c r="J2804" s="291" t="str">
        <f>IFERROR(IF([1]F_ProductBM!J98 = "", "", [1]F_ProductBM!J98 ),"")</f>
        <v/>
      </c>
      <c r="K2804" s="292" t="str">
        <f>IFERROR(IF([1]F_ProductBM!K98 = "", "", [1]F_ProductBM!K98 ),"")</f>
        <v/>
      </c>
      <c r="L2804" s="292" t="str">
        <f>IFERROR(IF([1]F_ProductBM!L98 = "", "", [1]F_ProductBM!L98 ),"")</f>
        <v/>
      </c>
      <c r="M2804" s="292" t="str">
        <f>IFERROR(IF([1]F_ProductBM!M98 = "", "", [1]F_ProductBM!M98 ),"")</f>
        <v/>
      </c>
      <c r="N2804" s="293" t="str">
        <f>IFERROR(IF([1]F_ProductBM!N98 = "", "", [1]F_ProductBM!N98 ),"")</f>
        <v/>
      </c>
    </row>
    <row r="2805" spans="3:14" ht="13.5" thickBot="1">
      <c r="C2805" s="479"/>
      <c r="D2805" s="915" t="s">
        <v>787</v>
      </c>
      <c r="E2805" s="916" t="s">
        <v>1659</v>
      </c>
      <c r="F2805" s="916"/>
      <c r="G2805" s="916"/>
      <c r="H2805" s="944" t="s">
        <v>471</v>
      </c>
      <c r="I2805" s="281" t="str">
        <f>IFERROR(IF([1]F_ProductBM!I99 = "", "", [1]F_ProductBM!I99 ),"")</f>
        <v/>
      </c>
      <c r="J2805" s="294" t="str">
        <f>IFERROR(IF([1]F_ProductBM!J99 = "", "", [1]F_ProductBM!J99 ),"")</f>
        <v/>
      </c>
      <c r="K2805" s="295" t="str">
        <f>IFERROR(IF([1]F_ProductBM!K99 = "", "", [1]F_ProductBM!K99 ),"")</f>
        <v/>
      </c>
      <c r="L2805" s="295" t="str">
        <f>IFERROR(IF([1]F_ProductBM!L99 = "", "", [1]F_ProductBM!L99 ),"")</f>
        <v/>
      </c>
      <c r="M2805" s="295" t="str">
        <f>IFERROR(IF([1]F_ProductBM!M99 = "", "", [1]F_ProductBM!M99 ),"")</f>
        <v/>
      </c>
      <c r="N2805" s="296" t="str">
        <f>IFERROR(IF([1]F_ProductBM!N99 = "", "", [1]F_ProductBM!N99 ),"")</f>
        <v/>
      </c>
    </row>
    <row r="2806" spans="3:14" ht="13.5" thickBot="1">
      <c r="C2806" s="485"/>
      <c r="D2806" s="924"/>
      <c r="E2806" s="925"/>
      <c r="F2806" s="925"/>
      <c r="G2806" s="925"/>
      <c r="H2806" s="925"/>
      <c r="I2806" s="955"/>
      <c r="J2806" s="925"/>
      <c r="K2806" s="925"/>
      <c r="L2806" s="925"/>
      <c r="M2806" s="925"/>
      <c r="N2806" s="926"/>
    </row>
    <row r="2807" spans="3:14">
      <c r="C2807" s="485"/>
      <c r="D2807" s="485"/>
      <c r="E2807" s="485"/>
      <c r="F2807" s="485"/>
      <c r="G2807" s="485"/>
      <c r="H2807" s="485"/>
      <c r="I2807" s="952"/>
      <c r="J2807" s="485"/>
      <c r="K2807" s="485"/>
      <c r="L2807" s="485"/>
      <c r="M2807" s="485"/>
      <c r="N2807" s="485"/>
    </row>
    <row r="2808" spans="3:14" ht="15">
      <c r="C2808" s="856"/>
      <c r="D2808" s="2482" t="s">
        <v>103</v>
      </c>
      <c r="E2808" s="2400"/>
      <c r="F2808" s="2400"/>
      <c r="G2808" s="2400"/>
      <c r="H2808" s="2400"/>
      <c r="I2808" s="2400"/>
      <c r="J2808" s="2400"/>
      <c r="K2808" s="2400"/>
      <c r="L2808" s="2400"/>
      <c r="M2808" s="2400"/>
      <c r="N2808" s="2400"/>
    </row>
    <row r="2809" spans="3:14">
      <c r="C2809" s="479"/>
      <c r="D2809" s="479"/>
      <c r="E2809" s="479"/>
      <c r="F2809" s="479"/>
      <c r="G2809" s="479"/>
      <c r="H2809" s="479"/>
      <c r="I2809" s="479"/>
      <c r="J2809" s="479"/>
      <c r="K2809" s="479"/>
      <c r="L2809" s="479"/>
      <c r="M2809" s="479"/>
      <c r="N2809" s="479"/>
    </row>
    <row r="2810" spans="3:14">
      <c r="C2810" s="482"/>
      <c r="D2810" s="482" t="s">
        <v>57</v>
      </c>
      <c r="E2810" s="2373" t="s">
        <v>108</v>
      </c>
      <c r="F2810" s="2400"/>
      <c r="G2810" s="2400"/>
      <c r="H2810" s="2400"/>
      <c r="I2810" s="2400"/>
      <c r="J2810" s="2400"/>
      <c r="K2810" s="2400"/>
      <c r="L2810" s="2400"/>
      <c r="M2810" s="2400"/>
      <c r="N2810" s="2400"/>
    </row>
    <row r="2811" spans="3:14">
      <c r="C2811" s="485"/>
      <c r="D2811" s="485"/>
      <c r="E2811" s="2465" t="s">
        <v>1935</v>
      </c>
      <c r="F2811" s="2400"/>
      <c r="G2811" s="2400"/>
      <c r="H2811" s="2400"/>
      <c r="I2811" s="2400"/>
      <c r="J2811" s="2400"/>
      <c r="K2811" s="2400"/>
      <c r="L2811" s="2400"/>
      <c r="M2811" s="2400"/>
      <c r="N2811" s="2400"/>
    </row>
    <row r="2812" spans="3:14">
      <c r="C2812" s="485"/>
      <c r="D2812" s="485"/>
      <c r="E2812" s="2465" t="s">
        <v>1636</v>
      </c>
      <c r="F2812" s="2400"/>
      <c r="G2812" s="2400"/>
      <c r="H2812" s="2400"/>
      <c r="I2812" s="2400"/>
      <c r="J2812" s="2400"/>
      <c r="K2812" s="2400"/>
      <c r="L2812" s="2400"/>
      <c r="M2812" s="2400"/>
      <c r="N2812" s="2400"/>
    </row>
    <row r="2813" spans="3:14">
      <c r="C2813" s="485"/>
      <c r="D2813" s="485"/>
      <c r="E2813" s="2465" t="s">
        <v>2119</v>
      </c>
      <c r="F2813" s="2400"/>
      <c r="G2813" s="2400"/>
      <c r="H2813" s="2400"/>
      <c r="I2813" s="2400"/>
      <c r="J2813" s="2400"/>
      <c r="K2813" s="2400"/>
      <c r="L2813" s="2400"/>
      <c r="M2813" s="2400"/>
      <c r="N2813" s="2400"/>
    </row>
    <row r="2814" spans="3:14">
      <c r="C2814" s="485"/>
      <c r="D2814" s="485"/>
      <c r="E2814" s="2677" t="s">
        <v>2120</v>
      </c>
      <c r="F2814" s="2364"/>
      <c r="G2814" s="2364"/>
      <c r="H2814" s="2364"/>
      <c r="I2814" s="2364"/>
      <c r="J2814" s="2364"/>
      <c r="K2814" s="2364"/>
      <c r="L2814" s="2364"/>
      <c r="M2814" s="2364"/>
      <c r="N2814" s="2364"/>
    </row>
    <row r="2815" spans="3:14">
      <c r="C2815" s="479"/>
      <c r="D2815" s="479"/>
      <c r="E2815" s="479"/>
      <c r="F2815" s="479"/>
      <c r="G2815" s="479"/>
      <c r="H2815" s="479"/>
      <c r="I2815" s="479"/>
      <c r="J2815" s="479"/>
      <c r="K2815" s="479"/>
      <c r="L2815" s="479"/>
      <c r="M2815" s="479"/>
      <c r="N2815" s="479"/>
    </row>
    <row r="2816" spans="3:14">
      <c r="C2816" s="482"/>
      <c r="D2816" s="482" t="s">
        <v>58</v>
      </c>
      <c r="E2816" s="2373" t="s">
        <v>1013</v>
      </c>
      <c r="F2816" s="2400"/>
      <c r="G2816" s="2400"/>
      <c r="H2816" s="2400"/>
      <c r="I2816" s="2400"/>
      <c r="J2816" s="2400"/>
      <c r="K2816" s="2400"/>
      <c r="L2816" s="2400"/>
      <c r="M2816" s="2400"/>
      <c r="N2816" s="2400"/>
    </row>
    <row r="2817" spans="3:14">
      <c r="C2817" s="479"/>
      <c r="D2817" s="485"/>
      <c r="E2817" s="617"/>
      <c r="F2817" s="617"/>
      <c r="G2817" s="617"/>
      <c r="H2817" s="617"/>
      <c r="I2817" s="617"/>
      <c r="J2817" s="468"/>
      <c r="K2817" s="468"/>
      <c r="L2817" s="468"/>
      <c r="M2817" s="485"/>
      <c r="N2817" s="485"/>
    </row>
    <row r="2818" spans="3:14" ht="51">
      <c r="C2818" s="485"/>
      <c r="D2818" s="956"/>
      <c r="E2818" s="957" t="s">
        <v>2112</v>
      </c>
      <c r="F2818" s="958" t="s">
        <v>949</v>
      </c>
      <c r="G2818" s="959" t="s">
        <v>884</v>
      </c>
      <c r="H2818" s="578">
        <v>2019</v>
      </c>
      <c r="I2818" s="697">
        <v>2020</v>
      </c>
      <c r="J2818" s="696">
        <v>2021</v>
      </c>
      <c r="K2818" s="578">
        <v>2022</v>
      </c>
      <c r="L2818" s="578">
        <v>2023</v>
      </c>
      <c r="M2818" s="578">
        <v>2024</v>
      </c>
      <c r="N2818" s="578">
        <v>2025</v>
      </c>
    </row>
    <row r="2819" spans="3:14">
      <c r="C2819" s="485"/>
      <c r="D2819" s="579">
        <v>1</v>
      </c>
      <c r="E2819" s="375" t="str">
        <f>IFERROR(IF([1]F_ProductBM!E113 = "", "", [1]F_ProductBM!E113 ),"")</f>
        <v/>
      </c>
      <c r="F2819" s="337" t="str">
        <f>IFERROR(IF([1]F_ProductBM!F113 = "", "", [1]F_ProductBM!F113 ),"")</f>
        <v/>
      </c>
      <c r="G2819" s="71" t="str">
        <f>IFERROR(IF([1]F_ProductBM!G113 = "", "", [1]F_ProductBM!G113 ),"")</f>
        <v/>
      </c>
      <c r="H2819" s="94" t="str">
        <f>IFERROR(IF([1]F_ProductBM!H113 = "", "", [1]F_ProductBM!H113 ),"")</f>
        <v/>
      </c>
      <c r="I2819" s="110" t="str">
        <f>IFERROR(IF([1]F_ProductBM!I113 = "", "", [1]F_ProductBM!I113 ),"")</f>
        <v/>
      </c>
      <c r="J2819" s="111" t="str">
        <f>IFERROR(IF([1]F_ProductBM!J113 = "", "", [1]F_ProductBM!J113 ),"")</f>
        <v/>
      </c>
      <c r="K2819" s="94" t="str">
        <f>IFERROR(IF([1]F_ProductBM!K113 = "", "", [1]F_ProductBM!K113 ),"")</f>
        <v/>
      </c>
      <c r="L2819" s="94" t="str">
        <f>IFERROR(IF([1]F_ProductBM!L113 = "", "", [1]F_ProductBM!L113 ),"")</f>
        <v/>
      </c>
      <c r="M2819" s="94" t="str">
        <f>IFERROR(IF([1]F_ProductBM!M113 = "", "", [1]F_ProductBM!M113 ),"")</f>
        <v/>
      </c>
      <c r="N2819" s="94" t="str">
        <f>IFERROR(IF([1]F_ProductBM!N113 = "", "", [1]F_ProductBM!N113 ),"")</f>
        <v/>
      </c>
    </row>
    <row r="2820" spans="3:14">
      <c r="C2820" s="485"/>
      <c r="D2820" s="582">
        <v>2</v>
      </c>
      <c r="E2820" s="376" t="str">
        <f>IFERROR(IF([1]F_ProductBM!E114 = "", "", [1]F_ProductBM!E114 ),"")</f>
        <v/>
      </c>
      <c r="F2820" s="338" t="str">
        <f>IFERROR(IF([1]F_ProductBM!F114 = "", "", [1]F_ProductBM!F114 ),"")</f>
        <v/>
      </c>
      <c r="G2820" s="72" t="str">
        <f>IFERROR(IF([1]F_ProductBM!G114 = "", "", [1]F_ProductBM!G114 ),"")</f>
        <v/>
      </c>
      <c r="H2820" s="101" t="str">
        <f>IFERROR(IF([1]F_ProductBM!H114 = "", "", [1]F_ProductBM!H114 ),"")</f>
        <v/>
      </c>
      <c r="I2820" s="361" t="str">
        <f>IFERROR(IF([1]F_ProductBM!I114 = "", "", [1]F_ProductBM!I114 ),"")</f>
        <v/>
      </c>
      <c r="J2820" s="362" t="str">
        <f>IFERROR(IF([1]F_ProductBM!J114 = "", "", [1]F_ProductBM!J114 ),"")</f>
        <v/>
      </c>
      <c r="K2820" s="101" t="str">
        <f>IFERROR(IF([1]F_ProductBM!K114 = "", "", [1]F_ProductBM!K114 ),"")</f>
        <v/>
      </c>
      <c r="L2820" s="101" t="str">
        <f>IFERROR(IF([1]F_ProductBM!L114 = "", "", [1]F_ProductBM!L114 ),"")</f>
        <v/>
      </c>
      <c r="M2820" s="101" t="str">
        <f>IFERROR(IF([1]F_ProductBM!M114 = "", "", [1]F_ProductBM!M114 ),"")</f>
        <v/>
      </c>
      <c r="N2820" s="101" t="str">
        <f>IFERROR(IF([1]F_ProductBM!N114 = "", "", [1]F_ProductBM!N114 ),"")</f>
        <v/>
      </c>
    </row>
    <row r="2821" spans="3:14">
      <c r="C2821" s="485"/>
      <c r="D2821" s="582">
        <v>3</v>
      </c>
      <c r="E2821" s="376" t="str">
        <f>IFERROR(IF([1]F_ProductBM!E115 = "", "", [1]F_ProductBM!E115 ),"")</f>
        <v/>
      </c>
      <c r="F2821" s="338" t="str">
        <f>IFERROR(IF([1]F_ProductBM!F115 = "", "", [1]F_ProductBM!F115 ),"")</f>
        <v/>
      </c>
      <c r="G2821" s="72" t="str">
        <f>IFERROR(IF([1]F_ProductBM!G115 = "", "", [1]F_ProductBM!G115 ),"")</f>
        <v/>
      </c>
      <c r="H2821" s="101" t="str">
        <f>IFERROR(IF([1]F_ProductBM!H115 = "", "", [1]F_ProductBM!H115 ),"")</f>
        <v/>
      </c>
      <c r="I2821" s="361" t="str">
        <f>IFERROR(IF([1]F_ProductBM!I115 = "", "", [1]F_ProductBM!I115 ),"")</f>
        <v/>
      </c>
      <c r="J2821" s="362" t="str">
        <f>IFERROR(IF([1]F_ProductBM!J115 = "", "", [1]F_ProductBM!J115 ),"")</f>
        <v/>
      </c>
      <c r="K2821" s="101" t="str">
        <f>IFERROR(IF([1]F_ProductBM!K115 = "", "", [1]F_ProductBM!K115 ),"")</f>
        <v/>
      </c>
      <c r="L2821" s="101" t="str">
        <f>IFERROR(IF([1]F_ProductBM!L115 = "", "", [1]F_ProductBM!L115 ),"")</f>
        <v/>
      </c>
      <c r="M2821" s="101" t="str">
        <f>IFERROR(IF([1]F_ProductBM!M115 = "", "", [1]F_ProductBM!M115 ),"")</f>
        <v/>
      </c>
      <c r="N2821" s="101" t="str">
        <f>IFERROR(IF([1]F_ProductBM!N115 = "", "", [1]F_ProductBM!N115 ),"")</f>
        <v/>
      </c>
    </row>
    <row r="2822" spans="3:14">
      <c r="C2822" s="485"/>
      <c r="D2822" s="582">
        <v>4</v>
      </c>
      <c r="E2822" s="376" t="str">
        <f>IFERROR(IF([1]F_ProductBM!E116 = "", "", [1]F_ProductBM!E116 ),"")</f>
        <v/>
      </c>
      <c r="F2822" s="338" t="str">
        <f>IFERROR(IF([1]F_ProductBM!F116 = "", "", [1]F_ProductBM!F116 ),"")</f>
        <v/>
      </c>
      <c r="G2822" s="72" t="str">
        <f>IFERROR(IF([1]F_ProductBM!G116 = "", "", [1]F_ProductBM!G116 ),"")</f>
        <v/>
      </c>
      <c r="H2822" s="101" t="str">
        <f>IFERROR(IF([1]F_ProductBM!H116 = "", "", [1]F_ProductBM!H116 ),"")</f>
        <v/>
      </c>
      <c r="I2822" s="361" t="str">
        <f>IFERROR(IF([1]F_ProductBM!I116 = "", "", [1]F_ProductBM!I116 ),"")</f>
        <v/>
      </c>
      <c r="J2822" s="362" t="str">
        <f>IFERROR(IF([1]F_ProductBM!J116 = "", "", [1]F_ProductBM!J116 ),"")</f>
        <v/>
      </c>
      <c r="K2822" s="101" t="str">
        <f>IFERROR(IF([1]F_ProductBM!K116 = "", "", [1]F_ProductBM!K116 ),"")</f>
        <v/>
      </c>
      <c r="L2822" s="101" t="str">
        <f>IFERROR(IF([1]F_ProductBM!L116 = "", "", [1]F_ProductBM!L116 ),"")</f>
        <v/>
      </c>
      <c r="M2822" s="101" t="str">
        <f>IFERROR(IF([1]F_ProductBM!M116 = "", "", [1]F_ProductBM!M116 ),"")</f>
        <v/>
      </c>
      <c r="N2822" s="101" t="str">
        <f>IFERROR(IF([1]F_ProductBM!N116 = "", "", [1]F_ProductBM!N116 ),"")</f>
        <v/>
      </c>
    </row>
    <row r="2823" spans="3:14">
      <c r="C2823" s="485"/>
      <c r="D2823" s="582">
        <v>5</v>
      </c>
      <c r="E2823" s="376" t="str">
        <f>IFERROR(IF([1]F_ProductBM!E117 = "", "", [1]F_ProductBM!E117 ),"")</f>
        <v/>
      </c>
      <c r="F2823" s="338" t="str">
        <f>IFERROR(IF([1]F_ProductBM!F117 = "", "", [1]F_ProductBM!F117 ),"")</f>
        <v/>
      </c>
      <c r="G2823" s="72" t="str">
        <f>IFERROR(IF([1]F_ProductBM!G117 = "", "", [1]F_ProductBM!G117 ),"")</f>
        <v/>
      </c>
      <c r="H2823" s="101" t="str">
        <f>IFERROR(IF([1]F_ProductBM!H117 = "", "", [1]F_ProductBM!H117 ),"")</f>
        <v/>
      </c>
      <c r="I2823" s="361" t="str">
        <f>IFERROR(IF([1]F_ProductBM!I117 = "", "", [1]F_ProductBM!I117 ),"")</f>
        <v/>
      </c>
      <c r="J2823" s="362" t="str">
        <f>IFERROR(IF([1]F_ProductBM!J117 = "", "", [1]F_ProductBM!J117 ),"")</f>
        <v/>
      </c>
      <c r="K2823" s="101" t="str">
        <f>IFERROR(IF([1]F_ProductBM!K117 = "", "", [1]F_ProductBM!K117 ),"")</f>
        <v/>
      </c>
      <c r="L2823" s="101" t="str">
        <f>IFERROR(IF([1]F_ProductBM!L117 = "", "", [1]F_ProductBM!L117 ),"")</f>
        <v/>
      </c>
      <c r="M2823" s="101" t="str">
        <f>IFERROR(IF([1]F_ProductBM!M117 = "", "", [1]F_ProductBM!M117 ),"")</f>
        <v/>
      </c>
      <c r="N2823" s="101" t="str">
        <f>IFERROR(IF([1]F_ProductBM!N117 = "", "", [1]F_ProductBM!N117 ),"")</f>
        <v/>
      </c>
    </row>
    <row r="2824" spans="3:14">
      <c r="C2824" s="485"/>
      <c r="D2824" s="582">
        <v>6</v>
      </c>
      <c r="E2824" s="376" t="str">
        <f>IFERROR(IF([1]F_ProductBM!E118 = "", "", [1]F_ProductBM!E118 ),"")</f>
        <v/>
      </c>
      <c r="F2824" s="338" t="str">
        <f>IFERROR(IF([1]F_ProductBM!F118 = "", "", [1]F_ProductBM!F118 ),"")</f>
        <v/>
      </c>
      <c r="G2824" s="72" t="str">
        <f>IFERROR(IF([1]F_ProductBM!G118 = "", "", [1]F_ProductBM!G118 ),"")</f>
        <v/>
      </c>
      <c r="H2824" s="101" t="str">
        <f>IFERROR(IF([1]F_ProductBM!H118 = "", "", [1]F_ProductBM!H118 ),"")</f>
        <v/>
      </c>
      <c r="I2824" s="361" t="str">
        <f>IFERROR(IF([1]F_ProductBM!I118 = "", "", [1]F_ProductBM!I118 ),"")</f>
        <v/>
      </c>
      <c r="J2824" s="362" t="str">
        <f>IFERROR(IF([1]F_ProductBM!J118 = "", "", [1]F_ProductBM!J118 ),"")</f>
        <v/>
      </c>
      <c r="K2824" s="101" t="str">
        <f>IFERROR(IF([1]F_ProductBM!K118 = "", "", [1]F_ProductBM!K118 ),"")</f>
        <v/>
      </c>
      <c r="L2824" s="101" t="str">
        <f>IFERROR(IF([1]F_ProductBM!L118 = "", "", [1]F_ProductBM!L118 ),"")</f>
        <v/>
      </c>
      <c r="M2824" s="101" t="str">
        <f>IFERROR(IF([1]F_ProductBM!M118 = "", "", [1]F_ProductBM!M118 ),"")</f>
        <v/>
      </c>
      <c r="N2824" s="101" t="str">
        <f>IFERROR(IF([1]F_ProductBM!N118 = "", "", [1]F_ProductBM!N118 ),"")</f>
        <v/>
      </c>
    </row>
    <row r="2825" spans="3:14">
      <c r="C2825" s="485"/>
      <c r="D2825" s="582">
        <v>7</v>
      </c>
      <c r="E2825" s="376" t="str">
        <f>IFERROR(IF([1]F_ProductBM!E119 = "", "", [1]F_ProductBM!E119 ),"")</f>
        <v/>
      </c>
      <c r="F2825" s="338" t="str">
        <f>IFERROR(IF([1]F_ProductBM!F119 = "", "", [1]F_ProductBM!F119 ),"")</f>
        <v/>
      </c>
      <c r="G2825" s="72" t="str">
        <f>IFERROR(IF([1]F_ProductBM!G119 = "", "", [1]F_ProductBM!G119 ),"")</f>
        <v/>
      </c>
      <c r="H2825" s="101" t="str">
        <f>IFERROR(IF([1]F_ProductBM!H119 = "", "", [1]F_ProductBM!H119 ),"")</f>
        <v/>
      </c>
      <c r="I2825" s="361" t="str">
        <f>IFERROR(IF([1]F_ProductBM!I119 = "", "", [1]F_ProductBM!I119 ),"")</f>
        <v/>
      </c>
      <c r="J2825" s="362" t="str">
        <f>IFERROR(IF([1]F_ProductBM!J119 = "", "", [1]F_ProductBM!J119 ),"")</f>
        <v/>
      </c>
      <c r="K2825" s="101" t="str">
        <f>IFERROR(IF([1]F_ProductBM!K119 = "", "", [1]F_ProductBM!K119 ),"")</f>
        <v/>
      </c>
      <c r="L2825" s="101" t="str">
        <f>IFERROR(IF([1]F_ProductBM!L119 = "", "", [1]F_ProductBM!L119 ),"")</f>
        <v/>
      </c>
      <c r="M2825" s="101" t="str">
        <f>IFERROR(IF([1]F_ProductBM!M119 = "", "", [1]F_ProductBM!M119 ),"")</f>
        <v/>
      </c>
      <c r="N2825" s="101" t="str">
        <f>IFERROR(IF([1]F_ProductBM!N119 = "", "", [1]F_ProductBM!N119 ),"")</f>
        <v/>
      </c>
    </row>
    <row r="2826" spans="3:14">
      <c r="C2826" s="485"/>
      <c r="D2826" s="582">
        <v>8</v>
      </c>
      <c r="E2826" s="376" t="str">
        <f>IFERROR(IF([1]F_ProductBM!E120 = "", "", [1]F_ProductBM!E120 ),"")</f>
        <v/>
      </c>
      <c r="F2826" s="338" t="str">
        <f>IFERROR(IF([1]F_ProductBM!F120 = "", "", [1]F_ProductBM!F120 ),"")</f>
        <v/>
      </c>
      <c r="G2826" s="72" t="str">
        <f>IFERROR(IF([1]F_ProductBM!G120 = "", "", [1]F_ProductBM!G120 ),"")</f>
        <v/>
      </c>
      <c r="H2826" s="101" t="str">
        <f>IFERROR(IF([1]F_ProductBM!H120 = "", "", [1]F_ProductBM!H120 ),"")</f>
        <v/>
      </c>
      <c r="I2826" s="361" t="str">
        <f>IFERROR(IF([1]F_ProductBM!I120 = "", "", [1]F_ProductBM!I120 ),"")</f>
        <v/>
      </c>
      <c r="J2826" s="362" t="str">
        <f>IFERROR(IF([1]F_ProductBM!J120 = "", "", [1]F_ProductBM!J120 ),"")</f>
        <v/>
      </c>
      <c r="K2826" s="101" t="str">
        <f>IFERROR(IF([1]F_ProductBM!K120 = "", "", [1]F_ProductBM!K120 ),"")</f>
        <v/>
      </c>
      <c r="L2826" s="101" t="str">
        <f>IFERROR(IF([1]F_ProductBM!L120 = "", "", [1]F_ProductBM!L120 ),"")</f>
        <v/>
      </c>
      <c r="M2826" s="101" t="str">
        <f>IFERROR(IF([1]F_ProductBM!M120 = "", "", [1]F_ProductBM!M120 ),"")</f>
        <v/>
      </c>
      <c r="N2826" s="101" t="str">
        <f>IFERROR(IF([1]F_ProductBM!N120 = "", "", [1]F_ProductBM!N120 ),"")</f>
        <v/>
      </c>
    </row>
    <row r="2827" spans="3:14">
      <c r="C2827" s="485"/>
      <c r="D2827" s="582">
        <v>9</v>
      </c>
      <c r="E2827" s="376" t="str">
        <f>IFERROR(IF([1]F_ProductBM!E121 = "", "", [1]F_ProductBM!E121 ),"")</f>
        <v/>
      </c>
      <c r="F2827" s="338" t="str">
        <f>IFERROR(IF([1]F_ProductBM!F121 = "", "", [1]F_ProductBM!F121 ),"")</f>
        <v/>
      </c>
      <c r="G2827" s="72" t="str">
        <f>IFERROR(IF([1]F_ProductBM!G121 = "", "", [1]F_ProductBM!G121 ),"")</f>
        <v/>
      </c>
      <c r="H2827" s="101" t="str">
        <f>IFERROR(IF([1]F_ProductBM!H121 = "", "", [1]F_ProductBM!H121 ),"")</f>
        <v/>
      </c>
      <c r="I2827" s="361" t="str">
        <f>IFERROR(IF([1]F_ProductBM!I121 = "", "", [1]F_ProductBM!I121 ),"")</f>
        <v/>
      </c>
      <c r="J2827" s="362" t="str">
        <f>IFERROR(IF([1]F_ProductBM!J121 = "", "", [1]F_ProductBM!J121 ),"")</f>
        <v/>
      </c>
      <c r="K2827" s="101" t="str">
        <f>IFERROR(IF([1]F_ProductBM!K121 = "", "", [1]F_ProductBM!K121 ),"")</f>
        <v/>
      </c>
      <c r="L2827" s="101" t="str">
        <f>IFERROR(IF([1]F_ProductBM!L121 = "", "", [1]F_ProductBM!L121 ),"")</f>
        <v/>
      </c>
      <c r="M2827" s="101" t="str">
        <f>IFERROR(IF([1]F_ProductBM!M121 = "", "", [1]F_ProductBM!M121 ),"")</f>
        <v/>
      </c>
      <c r="N2827" s="101" t="str">
        <f>IFERROR(IF([1]F_ProductBM!N121 = "", "", [1]F_ProductBM!N121 ),"")</f>
        <v/>
      </c>
    </row>
    <row r="2828" spans="3:14">
      <c r="C2828" s="485"/>
      <c r="D2828" s="584">
        <v>10</v>
      </c>
      <c r="E2828" s="377" t="str">
        <f>IFERROR(IF([1]F_ProductBM!E122 = "", "", [1]F_ProductBM!E122 ),"")</f>
        <v/>
      </c>
      <c r="F2828" s="339" t="str">
        <f>IFERROR(IF([1]F_ProductBM!F122 = "", "", [1]F_ProductBM!F122 ),"")</f>
        <v/>
      </c>
      <c r="G2828" s="73" t="str">
        <f>IFERROR(IF([1]F_ProductBM!G122 = "", "", [1]F_ProductBM!G122 ),"")</f>
        <v/>
      </c>
      <c r="H2828" s="95" t="str">
        <f>IFERROR(IF([1]F_ProductBM!H122 = "", "", [1]F_ProductBM!H122 ),"")</f>
        <v/>
      </c>
      <c r="I2828" s="113" t="str">
        <f>IFERROR(IF([1]F_ProductBM!I122 = "", "", [1]F_ProductBM!I122 ),"")</f>
        <v/>
      </c>
      <c r="J2828" s="114" t="str">
        <f>IFERROR(IF([1]F_ProductBM!J122 = "", "", [1]F_ProductBM!J122 ),"")</f>
        <v/>
      </c>
      <c r="K2828" s="95" t="str">
        <f>IFERROR(IF([1]F_ProductBM!K122 = "", "", [1]F_ProductBM!K122 ),"")</f>
        <v/>
      </c>
      <c r="L2828" s="95" t="str">
        <f>IFERROR(IF([1]F_ProductBM!L122 = "", "", [1]F_ProductBM!L122 ),"")</f>
        <v/>
      </c>
      <c r="M2828" s="95" t="str">
        <f>IFERROR(IF([1]F_ProductBM!M122 = "", "", [1]F_ProductBM!M122 ),"")</f>
        <v/>
      </c>
      <c r="N2828" s="95" t="str">
        <f>IFERROR(IF([1]F_ProductBM!N122 = "", "", [1]F_ProductBM!N122 ),"")</f>
        <v/>
      </c>
    </row>
    <row r="2829" spans="3:14">
      <c r="C2829" s="485"/>
      <c r="D2829" s="971"/>
      <c r="E2829" s="972" t="s">
        <v>921</v>
      </c>
      <c r="F2829" s="948"/>
      <c r="G2829" s="73" t="str">
        <f>IFERROR(IF([1]F_ProductBM!G123 = "", "", [1]F_ProductBM!G123 ),"")</f>
        <v/>
      </c>
      <c r="H2829" s="86" t="str">
        <f>IFERROR(IF([1]F_ProductBM!H123 = "", "", [1]F_ProductBM!H123 ),"")</f>
        <v/>
      </c>
      <c r="I2829" s="340" t="str">
        <f>IFERROR(IF([1]F_ProductBM!I123 = "", "", [1]F_ProductBM!I123 ),"")</f>
        <v/>
      </c>
      <c r="J2829" s="341" t="str">
        <f>IFERROR(IF([1]F_ProductBM!J123 = "", "", [1]F_ProductBM!J123 ),"")</f>
        <v/>
      </c>
      <c r="K2829" s="86" t="str">
        <f>IFERROR(IF([1]F_ProductBM!K123 = "", "", [1]F_ProductBM!K123 ),"")</f>
        <v/>
      </c>
      <c r="L2829" s="86" t="str">
        <f>IFERROR(IF([1]F_ProductBM!L123 = "", "", [1]F_ProductBM!L123 ),"")</f>
        <v/>
      </c>
      <c r="M2829" s="86" t="str">
        <f>IFERROR(IF([1]F_ProductBM!M123 = "", "", [1]F_ProductBM!M123 ),"")</f>
        <v/>
      </c>
      <c r="N2829" s="86" t="str">
        <f>IFERROR(IF([1]F_ProductBM!N123 = "", "", [1]F_ProductBM!N123 ),"")</f>
        <v/>
      </c>
    </row>
    <row r="2830" spans="3:14" ht="13.5" thickBot="1">
      <c r="C2830" s="479"/>
      <c r="D2830" s="479"/>
      <c r="E2830" s="479"/>
      <c r="F2830" s="479"/>
      <c r="G2830" s="479"/>
      <c r="H2830" s="479"/>
      <c r="I2830" s="479"/>
      <c r="J2830" s="479"/>
      <c r="K2830" s="479"/>
      <c r="L2830" s="479"/>
      <c r="M2830" s="485"/>
      <c r="N2830" s="485"/>
    </row>
    <row r="2831" spans="3:14">
      <c r="C2831" s="975"/>
      <c r="D2831" s="976"/>
      <c r="E2831" s="976"/>
      <c r="F2831" s="976"/>
      <c r="G2831" s="976"/>
      <c r="H2831" s="976"/>
      <c r="I2831" s="976"/>
      <c r="J2831" s="976"/>
      <c r="K2831" s="976"/>
      <c r="L2831" s="976"/>
      <c r="M2831" s="774"/>
      <c r="N2831" s="775"/>
    </row>
    <row r="2832" spans="3:14">
      <c r="C2832" s="977"/>
      <c r="D2832" s="2678" t="s">
        <v>2330</v>
      </c>
      <c r="E2832" s="2672"/>
      <c r="F2832" s="2672"/>
      <c r="G2832" s="2672"/>
      <c r="H2832" s="2672"/>
      <c r="I2832" s="2672"/>
      <c r="J2832" s="2672"/>
      <c r="K2832" s="2672"/>
      <c r="L2832" s="2672"/>
      <c r="M2832" s="2672"/>
      <c r="N2832" s="2673"/>
    </row>
    <row r="2833" spans="3:14">
      <c r="C2833" s="980"/>
      <c r="D2833" s="813"/>
      <c r="E2833" s="813"/>
      <c r="F2833" s="813"/>
      <c r="G2833" s="813"/>
      <c r="H2833" s="813"/>
      <c r="I2833" s="813"/>
      <c r="J2833" s="813"/>
      <c r="K2833" s="813"/>
      <c r="L2833" s="813"/>
      <c r="M2833" s="813"/>
      <c r="N2833" s="814"/>
    </row>
    <row r="2834" spans="3:14">
      <c r="C2834" s="980"/>
      <c r="D2834" s="2679" t="s">
        <v>2704</v>
      </c>
      <c r="E2834" s="2646"/>
      <c r="F2834" s="2646"/>
      <c r="G2834" s="2646"/>
      <c r="H2834" s="2680"/>
      <c r="I2834" s="2489" t="str">
        <f>IFERROR(IF([1]F_ProductBM!I128 = "", "", [1]F_ProductBM!I128 ),"")</f>
        <v/>
      </c>
      <c r="J2834" s="2534"/>
      <c r="K2834" s="2534"/>
      <c r="L2834" s="2534"/>
      <c r="M2834" s="2534"/>
      <c r="N2834" s="2681"/>
    </row>
    <row r="2835" spans="3:14">
      <c r="C2835" s="980"/>
      <c r="D2835" s="813"/>
      <c r="E2835" s="813"/>
      <c r="F2835" s="813"/>
      <c r="G2835" s="813"/>
      <c r="H2835" s="813"/>
      <c r="I2835" s="813"/>
      <c r="J2835" s="813"/>
      <c r="K2835" s="813"/>
      <c r="L2835" s="813"/>
      <c r="M2835" s="813"/>
      <c r="N2835" s="814"/>
    </row>
    <row r="2836" spans="3:14">
      <c r="C2836" s="977"/>
      <c r="D2836" s="981"/>
      <c r="E2836" s="2691" t="s">
        <v>2154</v>
      </c>
      <c r="F2836" s="2691"/>
      <c r="G2836" s="2691"/>
      <c r="H2836" s="2691"/>
      <c r="I2836" s="2691"/>
      <c r="J2836" s="2691"/>
      <c r="K2836" s="2691"/>
      <c r="L2836" s="2691"/>
      <c r="M2836" s="2691"/>
      <c r="N2836" s="2692"/>
    </row>
    <row r="2837" spans="3:14">
      <c r="C2837" s="977"/>
      <c r="D2837" s="981"/>
      <c r="E2837" s="2691" t="s">
        <v>2176</v>
      </c>
      <c r="F2837" s="2691"/>
      <c r="G2837" s="2691"/>
      <c r="H2837" s="2691"/>
      <c r="I2837" s="2691"/>
      <c r="J2837" s="2691"/>
      <c r="K2837" s="2691"/>
      <c r="L2837" s="2691"/>
      <c r="M2837" s="2691"/>
      <c r="N2837" s="2650"/>
    </row>
    <row r="2838" spans="3:14">
      <c r="C2838" s="977"/>
      <c r="D2838" s="981"/>
      <c r="E2838" s="2691" t="s">
        <v>1549</v>
      </c>
      <c r="F2838" s="2391"/>
      <c r="G2838" s="2391"/>
      <c r="H2838" s="2391"/>
      <c r="I2838" s="2391"/>
      <c r="J2838" s="2391"/>
      <c r="K2838" s="2391"/>
      <c r="L2838" s="2391"/>
      <c r="M2838" s="2391"/>
      <c r="N2838" s="2650"/>
    </row>
    <row r="2839" spans="3:14">
      <c r="C2839" s="977"/>
      <c r="D2839" s="981"/>
      <c r="E2839" s="2693" t="s">
        <v>1643</v>
      </c>
      <c r="F2839" s="2693"/>
      <c r="G2839" s="2693"/>
      <c r="H2839" s="2693"/>
      <c r="I2839" s="2693"/>
      <c r="J2839" s="2693"/>
      <c r="K2839" s="2693"/>
      <c r="L2839" s="2693"/>
      <c r="M2839" s="2693"/>
      <c r="N2839" s="2694"/>
    </row>
    <row r="2840" spans="3:14">
      <c r="C2840" s="980"/>
      <c r="D2840" s="813"/>
      <c r="E2840" s="813"/>
      <c r="F2840" s="813"/>
      <c r="G2840" s="813"/>
      <c r="H2840" s="813"/>
      <c r="I2840" s="813"/>
      <c r="J2840" s="813"/>
      <c r="K2840" s="813"/>
      <c r="L2840" s="813"/>
      <c r="M2840" s="813"/>
      <c r="N2840" s="814"/>
    </row>
    <row r="2841" spans="3:14">
      <c r="C2841" s="977"/>
      <c r="D2841" s="981"/>
      <c r="E2841" s="2695" t="s">
        <v>1475</v>
      </c>
      <c r="F2841" s="2695"/>
      <c r="G2841" s="2695"/>
      <c r="H2841" s="2695"/>
      <c r="I2841" s="2695"/>
      <c r="J2841" s="2695"/>
      <c r="K2841" s="2695"/>
      <c r="L2841" s="2695"/>
      <c r="M2841" s="2695"/>
      <c r="N2841" s="2694"/>
    </row>
    <row r="2842" spans="3:14">
      <c r="C2842" s="980"/>
      <c r="D2842" s="813"/>
      <c r="E2842" s="813"/>
      <c r="F2842" s="813"/>
      <c r="G2842" s="813"/>
      <c r="H2842" s="813"/>
      <c r="I2842" s="813"/>
      <c r="J2842" s="813"/>
      <c r="K2842" s="813"/>
      <c r="L2842" s="813"/>
      <c r="M2842" s="813"/>
      <c r="N2842" s="814"/>
    </row>
    <row r="2843" spans="3:14">
      <c r="C2843" s="977"/>
      <c r="D2843" s="982" t="s">
        <v>266</v>
      </c>
      <c r="E2843" s="2671" t="s">
        <v>1617</v>
      </c>
      <c r="F2843" s="2672"/>
      <c r="G2843" s="2672"/>
      <c r="H2843" s="2672"/>
      <c r="I2843" s="2672"/>
      <c r="J2843" s="2672"/>
      <c r="K2843" s="2672"/>
      <c r="L2843" s="2672"/>
      <c r="M2843" s="2672"/>
      <c r="N2843" s="2673"/>
    </row>
    <row r="2844" spans="3:14">
      <c r="C2844" s="977"/>
      <c r="D2844" s="777"/>
      <c r="E2844" s="2711" t="s">
        <v>2295</v>
      </c>
      <c r="F2844" s="2671"/>
      <c r="G2844" s="2671"/>
      <c r="H2844" s="2671"/>
      <c r="I2844" s="2671"/>
      <c r="J2844" s="2671"/>
      <c r="K2844" s="2671"/>
      <c r="L2844" s="2671"/>
      <c r="M2844" s="2671"/>
      <c r="N2844" s="2712"/>
    </row>
    <row r="2845" spans="3:14">
      <c r="C2845" s="977"/>
      <c r="D2845" s="981"/>
      <c r="E2845" s="2674" t="s">
        <v>1618</v>
      </c>
      <c r="F2845" s="2674"/>
      <c r="G2845" s="2674"/>
      <c r="H2845" s="2674"/>
      <c r="I2845" s="2674"/>
      <c r="J2845" s="2674"/>
      <c r="K2845" s="2674"/>
      <c r="L2845" s="2674"/>
      <c r="M2845" s="2674"/>
      <c r="N2845" s="2675"/>
    </row>
    <row r="2846" spans="3:14">
      <c r="C2846" s="977"/>
      <c r="D2846" s="981"/>
      <c r="E2846" s="985" t="s">
        <v>1021</v>
      </c>
      <c r="F2846" s="2645" t="s">
        <v>1616</v>
      </c>
      <c r="G2846" s="2646"/>
      <c r="H2846" s="2646"/>
      <c r="I2846" s="2646"/>
      <c r="J2846" s="2646"/>
      <c r="K2846" s="2646"/>
      <c r="L2846" s="2646"/>
      <c r="M2846" s="2646"/>
      <c r="N2846" s="2647"/>
    </row>
    <row r="2847" spans="3:14">
      <c r="C2847" s="977"/>
      <c r="D2847" s="981"/>
      <c r="E2847" s="985"/>
      <c r="F2847" s="2669" t="s">
        <v>1615</v>
      </c>
      <c r="G2847" s="2391"/>
      <c r="H2847" s="2391"/>
      <c r="I2847" s="2391"/>
      <c r="J2847" s="2391"/>
      <c r="K2847" s="2391"/>
      <c r="L2847" s="2391"/>
      <c r="M2847" s="2391"/>
      <c r="N2847" s="2650"/>
    </row>
    <row r="2848" spans="3:14">
      <c r="C2848" s="977"/>
      <c r="D2848" s="981"/>
      <c r="E2848" s="985" t="s">
        <v>1021</v>
      </c>
      <c r="F2848" s="2645" t="s">
        <v>1278</v>
      </c>
      <c r="G2848" s="2646"/>
      <c r="H2848" s="2646"/>
      <c r="I2848" s="2646"/>
      <c r="J2848" s="2646"/>
      <c r="K2848" s="2646"/>
      <c r="L2848" s="2646"/>
      <c r="M2848" s="2646"/>
      <c r="N2848" s="2647"/>
    </row>
    <row r="2849" spans="3:14">
      <c r="C2849" s="977"/>
      <c r="D2849" s="981"/>
      <c r="E2849" s="985"/>
      <c r="F2849" s="2645" t="s">
        <v>1620</v>
      </c>
      <c r="G2849" s="2646"/>
      <c r="H2849" s="2646"/>
      <c r="I2849" s="2646"/>
      <c r="J2849" s="2646"/>
      <c r="K2849" s="2646"/>
      <c r="L2849" s="2646"/>
      <c r="M2849" s="2646"/>
      <c r="N2849" s="2647"/>
    </row>
    <row r="2850" spans="3:14">
      <c r="C2850" s="977"/>
      <c r="D2850" s="981"/>
      <c r="E2850" s="985"/>
      <c r="F2850" s="2645" t="s">
        <v>1619</v>
      </c>
      <c r="G2850" s="2646"/>
      <c r="H2850" s="2646"/>
      <c r="I2850" s="2646"/>
      <c r="J2850" s="2646"/>
      <c r="K2850" s="2646"/>
      <c r="L2850" s="2646"/>
      <c r="M2850" s="2646"/>
      <c r="N2850" s="2647"/>
    </row>
    <row r="2851" spans="3:14">
      <c r="C2851" s="977"/>
      <c r="D2851" s="981"/>
      <c r="E2851" s="985" t="s">
        <v>1021</v>
      </c>
      <c r="F2851" s="2645" t="s">
        <v>1542</v>
      </c>
      <c r="G2851" s="2646"/>
      <c r="H2851" s="2646"/>
      <c r="I2851" s="2646"/>
      <c r="J2851" s="2646"/>
      <c r="K2851" s="2646"/>
      <c r="L2851" s="2646"/>
      <c r="M2851" s="2646"/>
      <c r="N2851" s="2647"/>
    </row>
    <row r="2852" spans="3:14">
      <c r="C2852" s="977"/>
      <c r="D2852" s="981"/>
      <c r="E2852" s="985" t="s">
        <v>1021</v>
      </c>
      <c r="F2852" s="2645" t="s">
        <v>1458</v>
      </c>
      <c r="G2852" s="2646"/>
      <c r="H2852" s="2646"/>
      <c r="I2852" s="2646"/>
      <c r="J2852" s="2646"/>
      <c r="K2852" s="2646"/>
      <c r="L2852" s="2646"/>
      <c r="M2852" s="2646"/>
      <c r="N2852" s="2647"/>
    </row>
    <row r="2853" spans="3:14">
      <c r="C2853" s="977"/>
      <c r="D2853" s="982"/>
      <c r="E2853" s="2648" t="s">
        <v>1612</v>
      </c>
      <c r="F2853" s="2648"/>
      <c r="G2853" s="987" t="s">
        <v>884</v>
      </c>
      <c r="H2853" s="782">
        <v>2019</v>
      </c>
      <c r="I2853" s="988">
        <v>2020</v>
      </c>
      <c r="J2853" s="781">
        <v>2021</v>
      </c>
      <c r="K2853" s="782">
        <v>2022</v>
      </c>
      <c r="L2853" s="782">
        <v>2023</v>
      </c>
      <c r="M2853" s="782">
        <v>2024</v>
      </c>
      <c r="N2853" s="783">
        <v>2025</v>
      </c>
    </row>
    <row r="2854" spans="3:14">
      <c r="C2854" s="977"/>
      <c r="D2854" s="981"/>
      <c r="E2854" s="2487" t="str">
        <f>IFERROR(IF([1]F_ProductBM!E148 = "", "", [1]F_ProductBM!E148 ),"")</f>
        <v/>
      </c>
      <c r="F2854" s="2488"/>
      <c r="G2854" s="815" t="s">
        <v>2016</v>
      </c>
      <c r="H2854" s="93" t="str">
        <f>IFERROR(IF([1]F_ProductBM!H148 = "", "", [1]F_ProductBM!H148 ),"")</f>
        <v/>
      </c>
      <c r="I2854" s="116" t="str">
        <f>IFERROR(IF([1]F_ProductBM!I148 = "", "", [1]F_ProductBM!I148 ),"")</f>
        <v/>
      </c>
      <c r="J2854" s="117" t="str">
        <f>IFERROR(IF([1]F_ProductBM!J148 = "", "", [1]F_ProductBM!J148 ),"")</f>
        <v/>
      </c>
      <c r="K2854" s="93" t="str">
        <f>IFERROR(IF([1]F_ProductBM!K148 = "", "", [1]F_ProductBM!K148 ),"")</f>
        <v/>
      </c>
      <c r="L2854" s="93" t="str">
        <f>IFERROR(IF([1]F_ProductBM!L148 = "", "", [1]F_ProductBM!L148 ),"")</f>
        <v/>
      </c>
      <c r="M2854" s="93" t="str">
        <f>IFERROR(IF([1]F_ProductBM!M148 = "", "", [1]F_ProductBM!M148 ),"")</f>
        <v/>
      </c>
      <c r="N2854" s="118" t="str">
        <f>IFERROR(IF([1]F_ProductBM!N148 = "", "", [1]F_ProductBM!N148 ),"")</f>
        <v/>
      </c>
    </row>
    <row r="2855" spans="3:14">
      <c r="C2855" s="977"/>
      <c r="D2855" s="981"/>
      <c r="E2855" s="981"/>
      <c r="F2855" s="981"/>
      <c r="G2855" s="981"/>
      <c r="H2855" s="981"/>
      <c r="I2855" s="981"/>
      <c r="J2855" s="981"/>
      <c r="K2855" s="981"/>
      <c r="L2855" s="981"/>
      <c r="M2855" s="813"/>
      <c r="N2855" s="814"/>
    </row>
    <row r="2856" spans="3:14">
      <c r="C2856" s="977"/>
      <c r="D2856" s="982" t="s">
        <v>269</v>
      </c>
      <c r="E2856" s="2649" t="s">
        <v>1189</v>
      </c>
      <c r="F2856" s="2391"/>
      <c r="G2856" s="2391"/>
      <c r="H2856" s="2391"/>
      <c r="I2856" s="2391"/>
      <c r="J2856" s="2391"/>
      <c r="K2856" s="2391"/>
      <c r="L2856" s="2391"/>
      <c r="M2856" s="2391"/>
      <c r="N2856" s="2650"/>
    </row>
    <row r="2857" spans="3:14">
      <c r="C2857" s="977"/>
      <c r="D2857" s="981"/>
      <c r="E2857" s="2674" t="s">
        <v>1605</v>
      </c>
      <c r="F2857" s="2674"/>
      <c r="G2857" s="2674"/>
      <c r="H2857" s="2674"/>
      <c r="I2857" s="2674"/>
      <c r="J2857" s="2674"/>
      <c r="K2857" s="2674"/>
      <c r="L2857" s="2674"/>
      <c r="M2857" s="2674"/>
      <c r="N2857" s="2675"/>
    </row>
    <row r="2858" spans="3:14">
      <c r="C2858" s="977"/>
      <c r="D2858" s="981"/>
      <c r="E2858" s="2674" t="s">
        <v>1357</v>
      </c>
      <c r="F2858" s="2674"/>
      <c r="G2858" s="2674"/>
      <c r="H2858" s="2674"/>
      <c r="I2858" s="2674"/>
      <c r="J2858" s="2674"/>
      <c r="K2858" s="2674"/>
      <c r="L2858" s="2674"/>
      <c r="M2858" s="2674"/>
      <c r="N2858" s="2675"/>
    </row>
    <row r="2859" spans="3:14">
      <c r="C2859" s="977"/>
      <c r="D2859" s="981"/>
      <c r="E2859" s="2674" t="s">
        <v>1594</v>
      </c>
      <c r="F2859" s="2674"/>
      <c r="G2859" s="2674"/>
      <c r="H2859" s="2674"/>
      <c r="I2859" s="2674"/>
      <c r="J2859" s="2674"/>
      <c r="K2859" s="2674"/>
      <c r="L2859" s="2674"/>
      <c r="M2859" s="2674"/>
      <c r="N2859" s="2675"/>
    </row>
    <row r="2860" spans="3:14">
      <c r="C2860" s="977"/>
      <c r="D2860" s="981"/>
      <c r="E2860" s="2676" t="s">
        <v>1557</v>
      </c>
      <c r="F2860" s="2391"/>
      <c r="G2860" s="2391"/>
      <c r="H2860" s="2391"/>
      <c r="I2860" s="2391"/>
      <c r="J2860" s="2391"/>
      <c r="K2860" s="2391"/>
      <c r="L2860" s="2391"/>
      <c r="M2860" s="2391"/>
      <c r="N2860" s="2650"/>
    </row>
    <row r="2861" spans="3:14">
      <c r="C2861" s="977"/>
      <c r="D2861" s="982"/>
      <c r="E2861" s="989"/>
      <c r="F2861" s="990"/>
      <c r="G2861" s="987" t="s">
        <v>884</v>
      </c>
      <c r="H2861" s="782">
        <v>2019</v>
      </c>
      <c r="I2861" s="988">
        <v>2020</v>
      </c>
      <c r="J2861" s="781">
        <v>2021</v>
      </c>
      <c r="K2861" s="782">
        <v>2022</v>
      </c>
      <c r="L2861" s="782">
        <v>2023</v>
      </c>
      <c r="M2861" s="782">
        <v>2024</v>
      </c>
      <c r="N2861" s="783">
        <v>2025</v>
      </c>
    </row>
    <row r="2862" spans="3:14">
      <c r="C2862" s="977"/>
      <c r="D2862" s="777" t="s">
        <v>6</v>
      </c>
      <c r="E2862" s="2475" t="s">
        <v>1344</v>
      </c>
      <c r="F2862" s="2410"/>
      <c r="G2862" s="815" t="s">
        <v>2017</v>
      </c>
      <c r="H2862" s="93" t="str">
        <f>IFERROR(IF([1]F_ProductBM!H156 = "", "", [1]F_ProductBM!H156 ),"")</f>
        <v/>
      </c>
      <c r="I2862" s="116" t="str">
        <f>IFERROR(IF([1]F_ProductBM!I156 = "", "", [1]F_ProductBM!I156 ),"")</f>
        <v/>
      </c>
      <c r="J2862" s="117" t="str">
        <f>IFERROR(IF([1]F_ProductBM!J156 = "", "", [1]F_ProductBM!J156 ),"")</f>
        <v/>
      </c>
      <c r="K2862" s="93" t="str">
        <f>IFERROR(IF([1]F_ProductBM!K156 = "", "", [1]F_ProductBM!K156 ),"")</f>
        <v/>
      </c>
      <c r="L2862" s="93" t="str">
        <f>IFERROR(IF([1]F_ProductBM!L156 = "", "", [1]F_ProductBM!L156 ),"")</f>
        <v/>
      </c>
      <c r="M2862" s="93" t="str">
        <f>IFERROR(IF([1]F_ProductBM!M156 = "", "", [1]F_ProductBM!M156 ),"")</f>
        <v/>
      </c>
      <c r="N2862" s="118" t="str">
        <f>IFERROR(IF([1]F_ProductBM!N156 = "", "", [1]F_ProductBM!N156 ),"")</f>
        <v/>
      </c>
    </row>
    <row r="2863" spans="3:14">
      <c r="C2863" s="977"/>
      <c r="D2863" s="777" t="s">
        <v>7</v>
      </c>
      <c r="E2863" s="2475" t="s">
        <v>1182</v>
      </c>
      <c r="F2863" s="2410"/>
      <c r="G2863" s="991" t="s">
        <v>2018</v>
      </c>
      <c r="H2863" s="109" t="str">
        <f>IFERROR(IF([1]F_ProductBM!H157 = "", "", [1]F_ProductBM!H157 ),"")</f>
        <v/>
      </c>
      <c r="I2863" s="304" t="str">
        <f>IFERROR(IF([1]F_ProductBM!I157 = "", "", [1]F_ProductBM!I157 ),"")</f>
        <v/>
      </c>
      <c r="J2863" s="305" t="str">
        <f>IFERROR(IF([1]F_ProductBM!J157 = "", "", [1]F_ProductBM!J157 ),"")</f>
        <v/>
      </c>
      <c r="K2863" s="109" t="str">
        <f>IFERROR(IF([1]F_ProductBM!K157 = "", "", [1]F_ProductBM!K157 ),"")</f>
        <v/>
      </c>
      <c r="L2863" s="109" t="str">
        <f>IFERROR(IF([1]F_ProductBM!L157 = "", "", [1]F_ProductBM!L157 ),"")</f>
        <v/>
      </c>
      <c r="M2863" s="109" t="str">
        <f>IFERROR(IF([1]F_ProductBM!M157 = "", "", [1]F_ProductBM!M157 ),"")</f>
        <v/>
      </c>
      <c r="N2863" s="357" t="str">
        <f>IFERROR(IF([1]F_ProductBM!N157 = "", "", [1]F_ProductBM!N157 ),"")</f>
        <v/>
      </c>
    </row>
    <row r="2864" spans="3:14">
      <c r="C2864" s="977"/>
      <c r="D2864" s="981"/>
      <c r="E2864" s="981"/>
      <c r="F2864" s="981"/>
      <c r="G2864" s="981"/>
      <c r="H2864" s="981"/>
      <c r="I2864" s="981"/>
      <c r="J2864" s="981"/>
      <c r="K2864" s="981"/>
      <c r="L2864" s="981"/>
      <c r="M2864" s="813"/>
      <c r="N2864" s="814"/>
    </row>
    <row r="2865" spans="3:14">
      <c r="C2865" s="977"/>
      <c r="D2865" s="982" t="s">
        <v>271</v>
      </c>
      <c r="E2865" s="2649" t="s">
        <v>1416</v>
      </c>
      <c r="F2865" s="2391"/>
      <c r="G2865" s="2391"/>
      <c r="H2865" s="2391"/>
      <c r="I2865" s="2391"/>
      <c r="J2865" s="2391"/>
      <c r="K2865" s="2391"/>
      <c r="L2865" s="2391"/>
      <c r="M2865" s="2391"/>
      <c r="N2865" s="2650"/>
    </row>
    <row r="2866" spans="3:14">
      <c r="C2866" s="977"/>
      <c r="D2866" s="777"/>
      <c r="E2866" s="2676" t="s">
        <v>2295</v>
      </c>
      <c r="F2866" s="2391"/>
      <c r="G2866" s="2391"/>
      <c r="H2866" s="2391"/>
      <c r="I2866" s="2391"/>
      <c r="J2866" s="2391"/>
      <c r="K2866" s="2391"/>
      <c r="L2866" s="2391"/>
      <c r="M2866" s="2391"/>
      <c r="N2866" s="2650"/>
    </row>
    <row r="2867" spans="3:14">
      <c r="C2867" s="977"/>
      <c r="D2867" s="981"/>
      <c r="E2867" s="2676" t="s">
        <v>1551</v>
      </c>
      <c r="F2867" s="2391"/>
      <c r="G2867" s="2391"/>
      <c r="H2867" s="2391"/>
      <c r="I2867" s="2391"/>
      <c r="J2867" s="2391"/>
      <c r="K2867" s="2391"/>
      <c r="L2867" s="2391"/>
      <c r="M2867" s="2391"/>
      <c r="N2867" s="2650"/>
    </row>
    <row r="2868" spans="3:14">
      <c r="C2868" s="977"/>
      <c r="D2868" s="981"/>
      <c r="E2868" s="2669" t="s">
        <v>1552</v>
      </c>
      <c r="F2868" s="2391"/>
      <c r="G2868" s="2391"/>
      <c r="H2868" s="2391"/>
      <c r="I2868" s="2391"/>
      <c r="J2868" s="2391"/>
      <c r="K2868" s="2391"/>
      <c r="L2868" s="2391"/>
      <c r="M2868" s="2391"/>
      <c r="N2868" s="2650"/>
    </row>
    <row r="2869" spans="3:14">
      <c r="C2869" s="977"/>
      <c r="D2869" s="981"/>
      <c r="E2869" s="2669" t="s">
        <v>1553</v>
      </c>
      <c r="F2869" s="2391"/>
      <c r="G2869" s="2391"/>
      <c r="H2869" s="2391"/>
      <c r="I2869" s="2391"/>
      <c r="J2869" s="2391"/>
      <c r="K2869" s="2391"/>
      <c r="L2869" s="2391"/>
      <c r="M2869" s="2391"/>
      <c r="N2869" s="2650"/>
    </row>
    <row r="2870" spans="3:14">
      <c r="C2870" s="977"/>
      <c r="D2870" s="981"/>
      <c r="E2870" s="2669" t="s">
        <v>1567</v>
      </c>
      <c r="F2870" s="2391"/>
      <c r="G2870" s="2391"/>
      <c r="H2870" s="2391"/>
      <c r="I2870" s="2391"/>
      <c r="J2870" s="2391"/>
      <c r="K2870" s="2391"/>
      <c r="L2870" s="2391"/>
      <c r="M2870" s="2391"/>
      <c r="N2870" s="2650"/>
    </row>
    <row r="2871" spans="3:14">
      <c r="C2871" s="977"/>
      <c r="D2871" s="981"/>
      <c r="E2871" s="2669" t="s">
        <v>1565</v>
      </c>
      <c r="F2871" s="2391"/>
      <c r="G2871" s="2391"/>
      <c r="H2871" s="2391"/>
      <c r="I2871" s="2391"/>
      <c r="J2871" s="2391"/>
      <c r="K2871" s="2391"/>
      <c r="L2871" s="2391"/>
      <c r="M2871" s="2391"/>
      <c r="N2871" s="2650"/>
    </row>
    <row r="2872" spans="3:14">
      <c r="C2872" s="977"/>
      <c r="D2872" s="777" t="s">
        <v>6</v>
      </c>
      <c r="E2872" s="2682" t="s">
        <v>1456</v>
      </c>
      <c r="F2872" s="2391"/>
      <c r="G2872" s="2391"/>
      <c r="H2872" s="2391"/>
      <c r="I2872" s="2391"/>
      <c r="J2872" s="2391"/>
      <c r="K2872" s="2512"/>
      <c r="L2872" s="120" t="str">
        <f>IFERROR(IF([1]F_ProductBM!L166 = "", "", [1]F_ProductBM!L166 ),"")</f>
        <v/>
      </c>
      <c r="M2872" s="978"/>
      <c r="N2872" s="979"/>
    </row>
    <row r="2873" spans="3:14">
      <c r="C2873" s="977"/>
      <c r="D2873" s="981"/>
      <c r="E2873" s="2669" t="s">
        <v>1216</v>
      </c>
      <c r="F2873" s="2391"/>
      <c r="G2873" s="2391"/>
      <c r="H2873" s="2391"/>
      <c r="I2873" s="2391"/>
      <c r="J2873" s="2391"/>
      <c r="K2873" s="2391"/>
      <c r="L2873" s="2391"/>
      <c r="M2873" s="2391"/>
      <c r="N2873" s="2650"/>
    </row>
    <row r="2874" spans="3:14">
      <c r="C2874" s="977"/>
      <c r="D2874" s="777" t="s">
        <v>7</v>
      </c>
      <c r="E2874" s="2649" t="s">
        <v>1214</v>
      </c>
      <c r="F2874" s="2391"/>
      <c r="G2874" s="2391"/>
      <c r="H2874" s="2512"/>
      <c r="I2874" s="2683" t="str">
        <f>IFERROR(IF([1]F_ProductBM!I168 = "", "", [1]F_ProductBM!I168 ),"")</f>
        <v/>
      </c>
      <c r="J2874" s="2487"/>
      <c r="K2874" s="2487"/>
      <c r="L2874" s="2487"/>
      <c r="M2874" s="2684"/>
      <c r="N2874" s="992"/>
    </row>
    <row r="2875" spans="3:14">
      <c r="C2875" s="977"/>
      <c r="D2875" s="981"/>
      <c r="E2875" s="986"/>
      <c r="F2875" s="978"/>
      <c r="G2875" s="978"/>
      <c r="H2875" s="978"/>
      <c r="I2875" s="978"/>
      <c r="J2875" s="978"/>
      <c r="K2875" s="978"/>
      <c r="L2875" s="978"/>
      <c r="M2875" s="978"/>
      <c r="N2875" s="979"/>
    </row>
    <row r="2876" spans="3:14">
      <c r="C2876" s="977"/>
      <c r="D2876" s="981"/>
      <c r="E2876" s="2648" t="s">
        <v>1154</v>
      </c>
      <c r="F2876" s="2493"/>
      <c r="G2876" s="987" t="s">
        <v>884</v>
      </c>
      <c r="H2876" s="782">
        <v>2019</v>
      </c>
      <c r="I2876" s="988">
        <v>2020</v>
      </c>
      <c r="J2876" s="781">
        <v>2021</v>
      </c>
      <c r="K2876" s="782">
        <v>2022</v>
      </c>
      <c r="L2876" s="782">
        <v>2023</v>
      </c>
      <c r="M2876" s="782">
        <v>2024</v>
      </c>
      <c r="N2876" s="783">
        <v>2025</v>
      </c>
    </row>
    <row r="2877" spans="3:14">
      <c r="C2877" s="977"/>
      <c r="D2877" s="777" t="s">
        <v>8</v>
      </c>
      <c r="E2877" s="2471" t="s">
        <v>1153</v>
      </c>
      <c r="F2877" s="2472"/>
      <c r="G2877" s="811" t="s">
        <v>2152</v>
      </c>
      <c r="H2877" s="94" t="str">
        <f>IFERROR(IF([1]F_ProductBM!H171 = "", "", [1]F_ProductBM!H171 ),"")</f>
        <v/>
      </c>
      <c r="I2877" s="110" t="str">
        <f>IFERROR(IF([1]F_ProductBM!I171 = "", "", [1]F_ProductBM!I171 ),"")</f>
        <v/>
      </c>
      <c r="J2877" s="111" t="str">
        <f>IFERROR(IF([1]F_ProductBM!J171 = "", "", [1]F_ProductBM!J171 ),"")</f>
        <v/>
      </c>
      <c r="K2877" s="94" t="str">
        <f>IFERROR(IF([1]F_ProductBM!K171 = "", "", [1]F_ProductBM!K171 ),"")</f>
        <v/>
      </c>
      <c r="L2877" s="94" t="str">
        <f>IFERROR(IF([1]F_ProductBM!L171 = "", "", [1]F_ProductBM!L171 ),"")</f>
        <v/>
      </c>
      <c r="M2877" s="94" t="str">
        <f>IFERROR(IF([1]F_ProductBM!M171 = "", "", [1]F_ProductBM!M171 ),"")</f>
        <v/>
      </c>
      <c r="N2877" s="112" t="str">
        <f>IFERROR(IF([1]F_ProductBM!N171 = "", "", [1]F_ProductBM!N171 ),"")</f>
        <v/>
      </c>
    </row>
    <row r="2878" spans="3:14">
      <c r="C2878" s="977"/>
      <c r="D2878" s="777" t="s">
        <v>18</v>
      </c>
      <c r="E2878" s="2685" t="s">
        <v>946</v>
      </c>
      <c r="F2878" s="2608"/>
      <c r="G2878" s="993" t="s">
        <v>2019</v>
      </c>
      <c r="H2878" s="101" t="str">
        <f>IFERROR(IF([1]F_ProductBM!H172 = "", "", [1]F_ProductBM!H172 ),"")</f>
        <v/>
      </c>
      <c r="I2878" s="361" t="str">
        <f>IFERROR(IF([1]F_ProductBM!I172 = "", "", [1]F_ProductBM!I172 ),"")</f>
        <v/>
      </c>
      <c r="J2878" s="362" t="str">
        <f>IFERROR(IF([1]F_ProductBM!J172 = "", "", [1]F_ProductBM!J172 ),"")</f>
        <v/>
      </c>
      <c r="K2878" s="101" t="str">
        <f>IFERROR(IF([1]F_ProductBM!K172 = "", "", [1]F_ProductBM!K172 ),"")</f>
        <v/>
      </c>
      <c r="L2878" s="101" t="str">
        <f>IFERROR(IF([1]F_ProductBM!L172 = "", "", [1]F_ProductBM!L172 ),"")</f>
        <v/>
      </c>
      <c r="M2878" s="101" t="str">
        <f>IFERROR(IF([1]F_ProductBM!M172 = "", "", [1]F_ProductBM!M172 ),"")</f>
        <v/>
      </c>
      <c r="N2878" s="363" t="str">
        <f>IFERROR(IF([1]F_ProductBM!N172 = "", "", [1]F_ProductBM!N172 ),"")</f>
        <v/>
      </c>
    </row>
    <row r="2879" spans="3:14">
      <c r="C2879" s="977"/>
      <c r="D2879" s="777" t="s">
        <v>787</v>
      </c>
      <c r="E2879" s="2685" t="s">
        <v>945</v>
      </c>
      <c r="F2879" s="2608"/>
      <c r="G2879" s="994" t="s">
        <v>878</v>
      </c>
      <c r="H2879" s="101" t="str">
        <f>IFERROR(IF([1]F_ProductBM!H173 = "", "", [1]F_ProductBM!H173 ),"")</f>
        <v/>
      </c>
      <c r="I2879" s="361" t="str">
        <f>IFERROR(IF([1]F_ProductBM!I173 = "", "", [1]F_ProductBM!I173 ),"")</f>
        <v/>
      </c>
      <c r="J2879" s="362" t="str">
        <f>IFERROR(IF([1]F_ProductBM!J173 = "", "", [1]F_ProductBM!J173 ),"")</f>
        <v/>
      </c>
      <c r="K2879" s="101" t="str">
        <f>IFERROR(IF([1]F_ProductBM!K173 = "", "", [1]F_ProductBM!K173 ),"")</f>
        <v/>
      </c>
      <c r="L2879" s="101" t="str">
        <f>IFERROR(IF([1]F_ProductBM!L173 = "", "", [1]F_ProductBM!L173 ),"")</f>
        <v/>
      </c>
      <c r="M2879" s="101" t="str">
        <f>IFERROR(IF([1]F_ProductBM!M173 = "", "", [1]F_ProductBM!M173 ),"")</f>
        <v/>
      </c>
      <c r="N2879" s="363" t="str">
        <f>IFERROR(IF([1]F_ProductBM!N173 = "", "", [1]F_ProductBM!N173 ),"")</f>
        <v/>
      </c>
    </row>
    <row r="2880" spans="3:14">
      <c r="C2880" s="977"/>
      <c r="D2880" s="777" t="s">
        <v>788</v>
      </c>
      <c r="E2880" s="2473" t="s">
        <v>880</v>
      </c>
      <c r="F2880" s="2474"/>
      <c r="G2880" s="812" t="s">
        <v>878</v>
      </c>
      <c r="H2880" s="95" t="str">
        <f>IFERROR(IF([1]F_ProductBM!H174 = "", "", [1]F_ProductBM!H174 ),"")</f>
        <v/>
      </c>
      <c r="I2880" s="113" t="str">
        <f>IFERROR(IF([1]F_ProductBM!I174 = "", "", [1]F_ProductBM!I174 ),"")</f>
        <v/>
      </c>
      <c r="J2880" s="114" t="str">
        <f>IFERROR(IF([1]F_ProductBM!J174 = "", "", [1]F_ProductBM!J174 ),"")</f>
        <v/>
      </c>
      <c r="K2880" s="95" t="str">
        <f>IFERROR(IF([1]F_ProductBM!K174 = "", "", [1]F_ProductBM!K174 ),"")</f>
        <v/>
      </c>
      <c r="L2880" s="95" t="str">
        <f>IFERROR(IF([1]F_ProductBM!L174 = "", "", [1]F_ProductBM!L174 ),"")</f>
        <v/>
      </c>
      <c r="M2880" s="95" t="str">
        <f>IFERROR(IF([1]F_ProductBM!M174 = "", "", [1]F_ProductBM!M174 ),"")</f>
        <v/>
      </c>
      <c r="N2880" s="115" t="str">
        <f>IFERROR(IF([1]F_ProductBM!N174 = "", "", [1]F_ProductBM!N174 ),"")</f>
        <v/>
      </c>
    </row>
    <row r="2881" spans="3:14">
      <c r="C2881" s="977"/>
      <c r="D2881" s="777" t="s">
        <v>789</v>
      </c>
      <c r="E2881" s="2471" t="s">
        <v>882</v>
      </c>
      <c r="F2881" s="2472"/>
      <c r="G2881" s="995" t="s">
        <v>2015</v>
      </c>
      <c r="H2881" s="378" t="str">
        <f>IFERROR(IF([1]F_ProductBM!H175 = "", "", [1]F_ProductBM!H175 ),"")</f>
        <v/>
      </c>
      <c r="I2881" s="379" t="str">
        <f>IFERROR(IF([1]F_ProductBM!I175 = "", "", [1]F_ProductBM!I175 ),"")</f>
        <v/>
      </c>
      <c r="J2881" s="380" t="str">
        <f>IFERROR(IF([1]F_ProductBM!J175 = "", "", [1]F_ProductBM!J175 ),"")</f>
        <v/>
      </c>
      <c r="K2881" s="378" t="str">
        <f>IFERROR(IF([1]F_ProductBM!K175 = "", "", [1]F_ProductBM!K175 ),"")</f>
        <v/>
      </c>
      <c r="L2881" s="378" t="str">
        <f>IFERROR(IF([1]F_ProductBM!L175 = "", "", [1]F_ProductBM!L175 ),"")</f>
        <v/>
      </c>
      <c r="M2881" s="378" t="str">
        <f>IFERROR(IF([1]F_ProductBM!M175 = "", "", [1]F_ProductBM!M175 ),"")</f>
        <v/>
      </c>
      <c r="N2881" s="381" t="str">
        <f>IFERROR(IF([1]F_ProductBM!N175 = "", "", [1]F_ProductBM!N175 ),"")</f>
        <v/>
      </c>
    </row>
    <row r="2882" spans="3:14">
      <c r="C2882" s="977"/>
      <c r="D2882" s="777" t="s">
        <v>790</v>
      </c>
      <c r="E2882" s="2670" t="s">
        <v>879</v>
      </c>
      <c r="F2882" s="2608"/>
      <c r="G2882" s="998" t="s">
        <v>2015</v>
      </c>
      <c r="H2882" s="382" t="str">
        <f>IFERROR(IF([1]F_ProductBM!H176 = "", "", [1]F_ProductBM!H176 ),"")</f>
        <v/>
      </c>
      <c r="I2882" s="383" t="str">
        <f>IFERROR(IF([1]F_ProductBM!I176 = "", "", [1]F_ProductBM!I176 ),"")</f>
        <v/>
      </c>
      <c r="J2882" s="384" t="str">
        <f>IFERROR(IF([1]F_ProductBM!J176 = "", "", [1]F_ProductBM!J176 ),"")</f>
        <v/>
      </c>
      <c r="K2882" s="382" t="str">
        <f>IFERROR(IF([1]F_ProductBM!K176 = "", "", [1]F_ProductBM!K176 ),"")</f>
        <v/>
      </c>
      <c r="L2882" s="382" t="str">
        <f>IFERROR(IF([1]F_ProductBM!L176 = "", "", [1]F_ProductBM!L176 ),"")</f>
        <v/>
      </c>
      <c r="M2882" s="382" t="str">
        <f>IFERROR(IF([1]F_ProductBM!M176 = "", "", [1]F_ProductBM!M176 ),"")</f>
        <v/>
      </c>
      <c r="N2882" s="385" t="str">
        <f>IFERROR(IF([1]F_ProductBM!N176 = "", "", [1]F_ProductBM!N176 ),"")</f>
        <v/>
      </c>
    </row>
    <row r="2883" spans="3:14">
      <c r="C2883" s="977"/>
      <c r="D2883" s="777" t="s">
        <v>791</v>
      </c>
      <c r="E2883" s="2473" t="s">
        <v>41</v>
      </c>
      <c r="F2883" s="2474"/>
      <c r="G2883" s="1001" t="s">
        <v>2017</v>
      </c>
      <c r="H2883" s="86" t="str">
        <f>IFERROR(IF([1]F_ProductBM!H177 = "", "", [1]F_ProductBM!H177 ),"")</f>
        <v/>
      </c>
      <c r="I2883" s="340" t="str">
        <f>IFERROR(IF([1]F_ProductBM!I177 = "", "", [1]F_ProductBM!I177 ),"")</f>
        <v/>
      </c>
      <c r="J2883" s="341" t="str">
        <f>IFERROR(IF([1]F_ProductBM!J177 = "", "", [1]F_ProductBM!J177 ),"")</f>
        <v/>
      </c>
      <c r="K2883" s="86" t="str">
        <f>IFERROR(IF([1]F_ProductBM!K177 = "", "", [1]F_ProductBM!K177 ),"")</f>
        <v/>
      </c>
      <c r="L2883" s="86" t="str">
        <f>IFERROR(IF([1]F_ProductBM!L177 = "", "", [1]F_ProductBM!L177 ),"")</f>
        <v/>
      </c>
      <c r="M2883" s="86" t="str">
        <f>IFERROR(IF([1]F_ProductBM!M177 = "", "", [1]F_ProductBM!M177 ),"")</f>
        <v/>
      </c>
      <c r="N2883" s="342" t="str">
        <f>IFERROR(IF([1]F_ProductBM!N177 = "", "", [1]F_ProductBM!N177 ),"")</f>
        <v/>
      </c>
    </row>
    <row r="2884" spans="3:14">
      <c r="C2884" s="977"/>
      <c r="D2884" s="777" t="s">
        <v>64</v>
      </c>
      <c r="E2884" s="2687" t="s">
        <v>393</v>
      </c>
      <c r="F2884" s="2688"/>
      <c r="G2884" s="1002"/>
      <c r="H2884" s="343" t="str">
        <f>IFERROR(IF([1]F_ProductBM!H178 = "", "", [1]F_ProductBM!H178 ),"")</f>
        <v/>
      </c>
      <c r="I2884" s="344" t="str">
        <f>IFERROR(IF([1]F_ProductBM!I178 = "", "", [1]F_ProductBM!I178 ),"")</f>
        <v/>
      </c>
      <c r="J2884" s="345" t="str">
        <f>IFERROR(IF([1]F_ProductBM!J178 = "", "", [1]F_ProductBM!J178 ),"")</f>
        <v/>
      </c>
      <c r="K2884" s="343" t="str">
        <f>IFERROR(IF([1]F_ProductBM!K178 = "", "", [1]F_ProductBM!K178 ),"")</f>
        <v/>
      </c>
      <c r="L2884" s="343" t="str">
        <f>IFERROR(IF([1]F_ProductBM!L178 = "", "", [1]F_ProductBM!L178 ),"")</f>
        <v/>
      </c>
      <c r="M2884" s="343" t="str">
        <f>IFERROR(IF([1]F_ProductBM!M178 = "", "", [1]F_ProductBM!M178 ),"")</f>
        <v/>
      </c>
      <c r="N2884" s="346" t="str">
        <f>IFERROR(IF([1]F_ProductBM!N178 = "", "", [1]F_ProductBM!N178 ),"")</f>
        <v/>
      </c>
    </row>
    <row r="2885" spans="3:14">
      <c r="C2885" s="977"/>
      <c r="D2885" s="777"/>
      <c r="E2885" s="981"/>
      <c r="F2885" s="981"/>
      <c r="G2885" s="981"/>
      <c r="H2885" s="981"/>
      <c r="I2885" s="981"/>
      <c r="J2885" s="981"/>
      <c r="K2885" s="981"/>
      <c r="L2885" s="981"/>
      <c r="M2885" s="813"/>
      <c r="N2885" s="814"/>
    </row>
    <row r="2886" spans="3:14">
      <c r="C2886" s="977"/>
      <c r="D2886" s="777" t="s">
        <v>65</v>
      </c>
      <c r="E2886" s="2649" t="s">
        <v>1215</v>
      </c>
      <c r="F2886" s="2391"/>
      <c r="G2886" s="2391"/>
      <c r="H2886" s="2512"/>
      <c r="I2886" s="2683" t="str">
        <f>IFERROR(IF([1]F_ProductBM!I180 = "", "", [1]F_ProductBM!I180 ),"")</f>
        <v/>
      </c>
      <c r="J2886" s="2488"/>
      <c r="K2886" s="2488"/>
      <c r="L2886" s="2488"/>
      <c r="M2886" s="2686"/>
      <c r="N2886" s="979"/>
    </row>
    <row r="2887" spans="3:14">
      <c r="C2887" s="977"/>
      <c r="D2887" s="981"/>
      <c r="E2887" s="986"/>
      <c r="F2887" s="978"/>
      <c r="G2887" s="981"/>
      <c r="H2887" s="981"/>
      <c r="I2887" s="978"/>
      <c r="J2887" s="978"/>
      <c r="K2887" s="978"/>
      <c r="L2887" s="978"/>
      <c r="M2887" s="978"/>
      <c r="N2887" s="979"/>
    </row>
    <row r="2888" spans="3:14">
      <c r="C2888" s="977"/>
      <c r="D2888" s="777"/>
      <c r="E2888" s="2648" t="s">
        <v>1155</v>
      </c>
      <c r="F2888" s="2493"/>
      <c r="G2888" s="987" t="s">
        <v>884</v>
      </c>
      <c r="H2888" s="782">
        <v>2019</v>
      </c>
      <c r="I2888" s="988">
        <v>2020</v>
      </c>
      <c r="J2888" s="781">
        <v>2021</v>
      </c>
      <c r="K2888" s="782">
        <v>2022</v>
      </c>
      <c r="L2888" s="782">
        <v>2023</v>
      </c>
      <c r="M2888" s="782">
        <v>2024</v>
      </c>
      <c r="N2888" s="783">
        <v>2025</v>
      </c>
    </row>
    <row r="2889" spans="3:14">
      <c r="C2889" s="977"/>
      <c r="D2889" s="777" t="s">
        <v>66</v>
      </c>
      <c r="E2889" s="2471" t="s">
        <v>1153</v>
      </c>
      <c r="F2889" s="2472"/>
      <c r="G2889" s="811" t="s">
        <v>2152</v>
      </c>
      <c r="H2889" s="94" t="str">
        <f>IFERROR(IF([1]F_ProductBM!H183 = "", "", [1]F_ProductBM!H183 ),"")</f>
        <v/>
      </c>
      <c r="I2889" s="110" t="str">
        <f>IFERROR(IF([1]F_ProductBM!I183 = "", "", [1]F_ProductBM!I183 ),"")</f>
        <v/>
      </c>
      <c r="J2889" s="111" t="str">
        <f>IFERROR(IF([1]F_ProductBM!J183 = "", "", [1]F_ProductBM!J183 ),"")</f>
        <v/>
      </c>
      <c r="K2889" s="94" t="str">
        <f>IFERROR(IF([1]F_ProductBM!K183 = "", "", [1]F_ProductBM!K183 ),"")</f>
        <v/>
      </c>
      <c r="L2889" s="94" t="str">
        <f>IFERROR(IF([1]F_ProductBM!L183 = "", "", [1]F_ProductBM!L183 ),"")</f>
        <v/>
      </c>
      <c r="M2889" s="94" t="str">
        <f>IFERROR(IF([1]F_ProductBM!M183 = "", "", [1]F_ProductBM!M183 ),"")</f>
        <v/>
      </c>
      <c r="N2889" s="112" t="str">
        <f>IFERROR(IF([1]F_ProductBM!N183 = "", "", [1]F_ProductBM!N183 ),"")</f>
        <v/>
      </c>
    </row>
    <row r="2890" spans="3:14">
      <c r="C2890" s="977"/>
      <c r="D2890" s="777" t="s">
        <v>1105</v>
      </c>
      <c r="E2890" s="2685" t="s">
        <v>946</v>
      </c>
      <c r="F2890" s="2608"/>
      <c r="G2890" s="993" t="s">
        <v>2019</v>
      </c>
      <c r="H2890" s="101" t="str">
        <f>IFERROR(IF([1]F_ProductBM!H184 = "", "", [1]F_ProductBM!H184 ),"")</f>
        <v/>
      </c>
      <c r="I2890" s="361" t="str">
        <f>IFERROR(IF([1]F_ProductBM!I184 = "", "", [1]F_ProductBM!I184 ),"")</f>
        <v/>
      </c>
      <c r="J2890" s="362" t="str">
        <f>IFERROR(IF([1]F_ProductBM!J184 = "", "", [1]F_ProductBM!J184 ),"")</f>
        <v/>
      </c>
      <c r="K2890" s="101" t="str">
        <f>IFERROR(IF([1]F_ProductBM!K184 = "", "", [1]F_ProductBM!K184 ),"")</f>
        <v/>
      </c>
      <c r="L2890" s="101" t="str">
        <f>IFERROR(IF([1]F_ProductBM!L184 = "", "", [1]F_ProductBM!L184 ),"")</f>
        <v/>
      </c>
      <c r="M2890" s="101" t="str">
        <f>IFERROR(IF([1]F_ProductBM!M184 = "", "", [1]F_ProductBM!M184 ),"")</f>
        <v/>
      </c>
      <c r="N2890" s="363" t="str">
        <f>IFERROR(IF([1]F_ProductBM!N184 = "", "", [1]F_ProductBM!N184 ),"")</f>
        <v/>
      </c>
    </row>
    <row r="2891" spans="3:14">
      <c r="C2891" s="977"/>
      <c r="D2891" s="777" t="s">
        <v>1106</v>
      </c>
      <c r="E2891" s="2685" t="s">
        <v>945</v>
      </c>
      <c r="F2891" s="2608"/>
      <c r="G2891" s="994" t="s">
        <v>878</v>
      </c>
      <c r="H2891" s="101" t="str">
        <f>IFERROR(IF([1]F_ProductBM!H185 = "", "", [1]F_ProductBM!H185 ),"")</f>
        <v/>
      </c>
      <c r="I2891" s="361" t="str">
        <f>IFERROR(IF([1]F_ProductBM!I185 = "", "", [1]F_ProductBM!I185 ),"")</f>
        <v/>
      </c>
      <c r="J2891" s="362" t="str">
        <f>IFERROR(IF([1]F_ProductBM!J185 = "", "", [1]F_ProductBM!J185 ),"")</f>
        <v/>
      </c>
      <c r="K2891" s="101" t="str">
        <f>IFERROR(IF([1]F_ProductBM!K185 = "", "", [1]F_ProductBM!K185 ),"")</f>
        <v/>
      </c>
      <c r="L2891" s="101" t="str">
        <f>IFERROR(IF([1]F_ProductBM!L185 = "", "", [1]F_ProductBM!L185 ),"")</f>
        <v/>
      </c>
      <c r="M2891" s="101" t="str">
        <f>IFERROR(IF([1]F_ProductBM!M185 = "", "", [1]F_ProductBM!M185 ),"")</f>
        <v/>
      </c>
      <c r="N2891" s="363" t="str">
        <f>IFERROR(IF([1]F_ProductBM!N185 = "", "", [1]F_ProductBM!N185 ),"")</f>
        <v/>
      </c>
    </row>
    <row r="2892" spans="3:14">
      <c r="C2892" s="977"/>
      <c r="D2892" s="777" t="s">
        <v>1107</v>
      </c>
      <c r="E2892" s="2473" t="s">
        <v>880</v>
      </c>
      <c r="F2892" s="2474"/>
      <c r="G2892" s="812" t="s">
        <v>878</v>
      </c>
      <c r="H2892" s="95" t="str">
        <f>IFERROR(IF([1]F_ProductBM!H186 = "", "", [1]F_ProductBM!H186 ),"")</f>
        <v/>
      </c>
      <c r="I2892" s="113" t="str">
        <f>IFERROR(IF([1]F_ProductBM!I186 = "", "", [1]F_ProductBM!I186 ),"")</f>
        <v/>
      </c>
      <c r="J2892" s="114" t="str">
        <f>IFERROR(IF([1]F_ProductBM!J186 = "", "", [1]F_ProductBM!J186 ),"")</f>
        <v/>
      </c>
      <c r="K2892" s="95" t="str">
        <f>IFERROR(IF([1]F_ProductBM!K186 = "", "", [1]F_ProductBM!K186 ),"")</f>
        <v/>
      </c>
      <c r="L2892" s="95" t="str">
        <f>IFERROR(IF([1]F_ProductBM!L186 = "", "", [1]F_ProductBM!L186 ),"")</f>
        <v/>
      </c>
      <c r="M2892" s="95" t="str">
        <f>IFERROR(IF([1]F_ProductBM!M186 = "", "", [1]F_ProductBM!M186 ),"")</f>
        <v/>
      </c>
      <c r="N2892" s="115" t="str">
        <f>IFERROR(IF([1]F_ProductBM!N186 = "", "", [1]F_ProductBM!N186 ),"")</f>
        <v/>
      </c>
    </row>
    <row r="2893" spans="3:14">
      <c r="C2893" s="977"/>
      <c r="D2893" s="777" t="s">
        <v>1108</v>
      </c>
      <c r="E2893" s="2471" t="s">
        <v>882</v>
      </c>
      <c r="F2893" s="2472"/>
      <c r="G2893" s="995" t="s">
        <v>2015</v>
      </c>
      <c r="H2893" s="378" t="str">
        <f>IFERROR(IF([1]F_ProductBM!H187 = "", "", [1]F_ProductBM!H187 ),"")</f>
        <v/>
      </c>
      <c r="I2893" s="379" t="str">
        <f>IFERROR(IF([1]F_ProductBM!I187 = "", "", [1]F_ProductBM!I187 ),"")</f>
        <v/>
      </c>
      <c r="J2893" s="380" t="str">
        <f>IFERROR(IF([1]F_ProductBM!J187 = "", "", [1]F_ProductBM!J187 ),"")</f>
        <v/>
      </c>
      <c r="K2893" s="378" t="str">
        <f>IFERROR(IF([1]F_ProductBM!K187 = "", "", [1]F_ProductBM!K187 ),"")</f>
        <v/>
      </c>
      <c r="L2893" s="378" t="str">
        <f>IFERROR(IF([1]F_ProductBM!L187 = "", "", [1]F_ProductBM!L187 ),"")</f>
        <v/>
      </c>
      <c r="M2893" s="378" t="str">
        <f>IFERROR(IF([1]F_ProductBM!M187 = "", "", [1]F_ProductBM!M187 ),"")</f>
        <v/>
      </c>
      <c r="N2893" s="381" t="str">
        <f>IFERROR(IF([1]F_ProductBM!N187 = "", "", [1]F_ProductBM!N187 ),"")</f>
        <v/>
      </c>
    </row>
    <row r="2894" spans="3:14">
      <c r="C2894" s="977"/>
      <c r="D2894" s="777" t="s">
        <v>1109</v>
      </c>
      <c r="E2894" s="2670" t="s">
        <v>879</v>
      </c>
      <c r="F2894" s="2608"/>
      <c r="G2894" s="998" t="s">
        <v>2015</v>
      </c>
      <c r="H2894" s="382" t="str">
        <f>IFERROR(IF([1]F_ProductBM!H188 = "", "", [1]F_ProductBM!H188 ),"")</f>
        <v/>
      </c>
      <c r="I2894" s="383" t="str">
        <f>IFERROR(IF([1]F_ProductBM!I188 = "", "", [1]F_ProductBM!I188 ),"")</f>
        <v/>
      </c>
      <c r="J2894" s="384" t="str">
        <f>IFERROR(IF([1]F_ProductBM!J188 = "", "", [1]F_ProductBM!J188 ),"")</f>
        <v/>
      </c>
      <c r="K2894" s="382" t="str">
        <f>IFERROR(IF([1]F_ProductBM!K188 = "", "", [1]F_ProductBM!K188 ),"")</f>
        <v/>
      </c>
      <c r="L2894" s="382" t="str">
        <f>IFERROR(IF([1]F_ProductBM!L188 = "", "", [1]F_ProductBM!L188 ),"")</f>
        <v/>
      </c>
      <c r="M2894" s="382" t="str">
        <f>IFERROR(IF([1]F_ProductBM!M188 = "", "", [1]F_ProductBM!M188 ),"")</f>
        <v/>
      </c>
      <c r="N2894" s="385" t="str">
        <f>IFERROR(IF([1]F_ProductBM!N188 = "", "", [1]F_ProductBM!N188 ),"")</f>
        <v/>
      </c>
    </row>
    <row r="2895" spans="3:14">
      <c r="C2895" s="977"/>
      <c r="D2895" s="777" t="s">
        <v>1110</v>
      </c>
      <c r="E2895" s="2473" t="s">
        <v>41</v>
      </c>
      <c r="F2895" s="2474"/>
      <c r="G2895" s="1001" t="s">
        <v>2017</v>
      </c>
      <c r="H2895" s="86" t="str">
        <f>IFERROR(IF([1]F_ProductBM!H189 = "", "", [1]F_ProductBM!H189 ),"")</f>
        <v/>
      </c>
      <c r="I2895" s="340" t="str">
        <f>IFERROR(IF([1]F_ProductBM!I189 = "", "", [1]F_ProductBM!I189 ),"")</f>
        <v/>
      </c>
      <c r="J2895" s="341" t="str">
        <f>IFERROR(IF([1]F_ProductBM!J189 = "", "", [1]F_ProductBM!J189 ),"")</f>
        <v/>
      </c>
      <c r="K2895" s="86" t="str">
        <f>IFERROR(IF([1]F_ProductBM!K189 = "", "", [1]F_ProductBM!K189 ),"")</f>
        <v/>
      </c>
      <c r="L2895" s="86" t="str">
        <f>IFERROR(IF([1]F_ProductBM!L189 = "", "", [1]F_ProductBM!L189 ),"")</f>
        <v/>
      </c>
      <c r="M2895" s="86" t="str">
        <f>IFERROR(IF([1]F_ProductBM!M189 = "", "", [1]F_ProductBM!M189 ),"")</f>
        <v/>
      </c>
      <c r="N2895" s="342" t="str">
        <f>IFERROR(IF([1]F_ProductBM!N189 = "", "", [1]F_ProductBM!N189 ),"")</f>
        <v/>
      </c>
    </row>
    <row r="2896" spans="3:14">
      <c r="C2896" s="977"/>
      <c r="D2896" s="777" t="s">
        <v>1106</v>
      </c>
      <c r="E2896" s="2687" t="s">
        <v>393</v>
      </c>
      <c r="F2896" s="2688"/>
      <c r="G2896" s="1002"/>
      <c r="H2896" s="343" t="str">
        <f>IFERROR(IF([1]F_ProductBM!H190 = "", "", [1]F_ProductBM!H190 ),"")</f>
        <v/>
      </c>
      <c r="I2896" s="344" t="str">
        <f>IFERROR(IF([1]F_ProductBM!I190 = "", "", [1]F_ProductBM!I190 ),"")</f>
        <v/>
      </c>
      <c r="J2896" s="345" t="str">
        <f>IFERROR(IF([1]F_ProductBM!J190 = "", "", [1]F_ProductBM!J190 ),"")</f>
        <v/>
      </c>
      <c r="K2896" s="343" t="str">
        <f>IFERROR(IF([1]F_ProductBM!K190 = "", "", [1]F_ProductBM!K190 ),"")</f>
        <v/>
      </c>
      <c r="L2896" s="343" t="str">
        <f>IFERROR(IF([1]F_ProductBM!L190 = "", "", [1]F_ProductBM!L190 ),"")</f>
        <v/>
      </c>
      <c r="M2896" s="343" t="str">
        <f>IFERROR(IF([1]F_ProductBM!M190 = "", "", [1]F_ProductBM!M190 ),"")</f>
        <v/>
      </c>
      <c r="N2896" s="346" t="str">
        <f>IFERROR(IF([1]F_ProductBM!N190 = "", "", [1]F_ProductBM!N190 ),"")</f>
        <v/>
      </c>
    </row>
    <row r="2897" spans="3:14">
      <c r="C2897" s="977"/>
      <c r="D2897" s="981"/>
      <c r="E2897" s="981"/>
      <c r="F2897" s="981"/>
      <c r="G2897" s="981"/>
      <c r="H2897" s="981"/>
      <c r="I2897" s="981"/>
      <c r="J2897" s="981"/>
      <c r="K2897" s="981"/>
      <c r="L2897" s="981"/>
      <c r="M2897" s="813"/>
      <c r="N2897" s="814"/>
    </row>
    <row r="2898" spans="3:14">
      <c r="C2898" s="977"/>
      <c r="D2898" s="982" t="s">
        <v>478</v>
      </c>
      <c r="E2898" s="2649" t="s">
        <v>1457</v>
      </c>
      <c r="F2898" s="2391"/>
      <c r="G2898" s="2391"/>
      <c r="H2898" s="2391"/>
      <c r="I2898" s="2391"/>
      <c r="J2898" s="2391"/>
      <c r="K2898" s="2391"/>
      <c r="L2898" s="2391"/>
      <c r="M2898" s="2391"/>
      <c r="N2898" s="2650"/>
    </row>
    <row r="2899" spans="3:14">
      <c r="C2899" s="977"/>
      <c r="D2899" s="777"/>
      <c r="E2899" s="2676" t="s">
        <v>2295</v>
      </c>
      <c r="F2899" s="2391"/>
      <c r="G2899" s="2391"/>
      <c r="H2899" s="2391"/>
      <c r="I2899" s="2391"/>
      <c r="J2899" s="2391"/>
      <c r="K2899" s="2391"/>
      <c r="L2899" s="2391"/>
      <c r="M2899" s="2391"/>
      <c r="N2899" s="2650"/>
    </row>
    <row r="2900" spans="3:14" ht="26.45" customHeight="1">
      <c r="C2900" s="977"/>
      <c r="D2900" s="981"/>
      <c r="E2900" s="2669" t="s">
        <v>2296</v>
      </c>
      <c r="F2900" s="2391"/>
      <c r="G2900" s="2391"/>
      <c r="H2900" s="2391"/>
      <c r="I2900" s="2391"/>
      <c r="J2900" s="2391"/>
      <c r="K2900" s="2391"/>
      <c r="L2900" s="2391"/>
      <c r="M2900" s="2391"/>
      <c r="N2900" s="2650"/>
    </row>
    <row r="2901" spans="3:14">
      <c r="C2901" s="977"/>
      <c r="D2901" s="981"/>
      <c r="E2901" s="2669" t="s">
        <v>1365</v>
      </c>
      <c r="F2901" s="2391"/>
      <c r="G2901" s="2391"/>
      <c r="H2901" s="2391"/>
      <c r="I2901" s="2391"/>
      <c r="J2901" s="2391"/>
      <c r="K2901" s="2391"/>
      <c r="L2901" s="2391"/>
      <c r="M2901" s="2391"/>
      <c r="N2901" s="2650"/>
    </row>
    <row r="2902" spans="3:14">
      <c r="C2902" s="977"/>
      <c r="D2902" s="982"/>
      <c r="E2902" s="989"/>
      <c r="F2902" s="990"/>
      <c r="G2902" s="987" t="s">
        <v>884</v>
      </c>
      <c r="H2902" s="782">
        <v>2019</v>
      </c>
      <c r="I2902" s="988">
        <v>2020</v>
      </c>
      <c r="J2902" s="781">
        <v>2021</v>
      </c>
      <c r="K2902" s="782">
        <v>2022</v>
      </c>
      <c r="L2902" s="782">
        <v>2023</v>
      </c>
      <c r="M2902" s="782">
        <v>2024</v>
      </c>
      <c r="N2902" s="783">
        <v>2025</v>
      </c>
    </row>
    <row r="2903" spans="3:14">
      <c r="C2903" s="977"/>
      <c r="D2903" s="777"/>
      <c r="E2903" s="2475" t="s">
        <v>1156</v>
      </c>
      <c r="F2903" s="2410"/>
      <c r="G2903" s="815" t="s">
        <v>2016</v>
      </c>
      <c r="H2903" s="93" t="str">
        <f>IFERROR(IF([1]F_ProductBM!H197 = "", "", [1]F_ProductBM!H197 ),"")</f>
        <v/>
      </c>
      <c r="I2903" s="116" t="str">
        <f>IFERROR(IF([1]F_ProductBM!I197 = "", "", [1]F_ProductBM!I197 ),"")</f>
        <v/>
      </c>
      <c r="J2903" s="117" t="str">
        <f>IFERROR(IF([1]F_ProductBM!J197 = "", "", [1]F_ProductBM!J197 ),"")</f>
        <v/>
      </c>
      <c r="K2903" s="93" t="str">
        <f>IFERROR(IF([1]F_ProductBM!K197 = "", "", [1]F_ProductBM!K197 ),"")</f>
        <v/>
      </c>
      <c r="L2903" s="93" t="str">
        <f>IFERROR(IF([1]F_ProductBM!L197 = "", "", [1]F_ProductBM!L197 ),"")</f>
        <v/>
      </c>
      <c r="M2903" s="93" t="str">
        <f>IFERROR(IF([1]F_ProductBM!M197 = "", "", [1]F_ProductBM!M197 ),"")</f>
        <v/>
      </c>
      <c r="N2903" s="118" t="str">
        <f>IFERROR(IF([1]F_ProductBM!N197 = "", "", [1]F_ProductBM!N197 ),"")</f>
        <v/>
      </c>
    </row>
    <row r="2904" spans="3:14">
      <c r="C2904" s="977"/>
      <c r="D2904" s="981"/>
      <c r="E2904" s="981"/>
      <c r="F2904" s="981"/>
      <c r="G2904" s="981"/>
      <c r="H2904" s="981"/>
      <c r="I2904" s="981"/>
      <c r="J2904" s="981"/>
      <c r="K2904" s="981"/>
      <c r="L2904" s="981"/>
      <c r="M2904" s="813"/>
      <c r="N2904" s="814"/>
    </row>
    <row r="2905" spans="3:14">
      <c r="C2905" s="977"/>
      <c r="D2905" s="982" t="s">
        <v>479</v>
      </c>
      <c r="E2905" s="2649" t="s">
        <v>1118</v>
      </c>
      <c r="F2905" s="2391"/>
      <c r="G2905" s="2391"/>
      <c r="H2905" s="2391"/>
      <c r="I2905" s="2391"/>
      <c r="J2905" s="2391"/>
      <c r="K2905" s="2391"/>
      <c r="L2905" s="2391"/>
      <c r="M2905" s="2391"/>
      <c r="N2905" s="2650"/>
    </row>
    <row r="2906" spans="3:14">
      <c r="C2906" s="977"/>
      <c r="D2906" s="777"/>
      <c r="E2906" s="2676" t="s">
        <v>2297</v>
      </c>
      <c r="F2906" s="2391"/>
      <c r="G2906" s="2391"/>
      <c r="H2906" s="2391"/>
      <c r="I2906" s="2391"/>
      <c r="J2906" s="2391"/>
      <c r="K2906" s="2391"/>
      <c r="L2906" s="2391"/>
      <c r="M2906" s="2391"/>
      <c r="N2906" s="2650"/>
    </row>
    <row r="2907" spans="3:14">
      <c r="C2907" s="977"/>
      <c r="D2907" s="981"/>
      <c r="E2907" s="2669" t="s">
        <v>1613</v>
      </c>
      <c r="F2907" s="2391"/>
      <c r="G2907" s="2391"/>
      <c r="H2907" s="2391"/>
      <c r="I2907" s="2391"/>
      <c r="J2907" s="2391"/>
      <c r="K2907" s="2391"/>
      <c r="L2907" s="2391"/>
      <c r="M2907" s="2391"/>
      <c r="N2907" s="2650"/>
    </row>
    <row r="2908" spans="3:14">
      <c r="C2908" s="977"/>
      <c r="D2908" s="981"/>
      <c r="E2908" s="2669" t="s">
        <v>1614</v>
      </c>
      <c r="F2908" s="2391"/>
      <c r="G2908" s="2391"/>
      <c r="H2908" s="2391"/>
      <c r="I2908" s="2391"/>
      <c r="J2908" s="2391"/>
      <c r="K2908" s="2391"/>
      <c r="L2908" s="2391"/>
      <c r="M2908" s="2391"/>
      <c r="N2908" s="2650"/>
    </row>
    <row r="2909" spans="3:14">
      <c r="C2909" s="977"/>
      <c r="D2909" s="981"/>
      <c r="E2909" s="2669" t="s">
        <v>1593</v>
      </c>
      <c r="F2909" s="2391"/>
      <c r="G2909" s="2391"/>
      <c r="H2909" s="2391"/>
      <c r="I2909" s="2391"/>
      <c r="J2909" s="2391"/>
      <c r="K2909" s="2391"/>
      <c r="L2909" s="2391"/>
      <c r="M2909" s="2391"/>
      <c r="N2909" s="2650"/>
    </row>
    <row r="2910" spans="3:14">
      <c r="C2910" s="977"/>
      <c r="D2910" s="981"/>
      <c r="E2910" s="2697" t="s">
        <v>1555</v>
      </c>
      <c r="F2910" s="2698"/>
      <c r="G2910" s="2698"/>
      <c r="H2910" s="2698"/>
      <c r="I2910" s="2698"/>
      <c r="J2910" s="2698"/>
      <c r="K2910" s="2698"/>
      <c r="L2910" s="2698"/>
      <c r="M2910" s="2698"/>
      <c r="N2910" s="2694"/>
    </row>
    <row r="2911" spans="3:14">
      <c r="C2911" s="977"/>
      <c r="D2911" s="981"/>
      <c r="E2911" s="2648" t="s">
        <v>1151</v>
      </c>
      <c r="F2911" s="2493"/>
      <c r="G2911" s="987" t="s">
        <v>884</v>
      </c>
      <c r="H2911" s="782">
        <v>2019</v>
      </c>
      <c r="I2911" s="988">
        <v>2020</v>
      </c>
      <c r="J2911" s="781">
        <v>2021</v>
      </c>
      <c r="K2911" s="782">
        <v>2022</v>
      </c>
      <c r="L2911" s="782">
        <v>2023</v>
      </c>
      <c r="M2911" s="782">
        <v>2024</v>
      </c>
      <c r="N2911" s="783">
        <v>2025</v>
      </c>
    </row>
    <row r="2912" spans="3:14">
      <c r="C2912" s="977"/>
      <c r="D2912" s="777" t="s">
        <v>6</v>
      </c>
      <c r="E2912" s="2475" t="s">
        <v>1087</v>
      </c>
      <c r="F2912" s="2410"/>
      <c r="G2912" s="815" t="s">
        <v>2017</v>
      </c>
      <c r="H2912" s="93" t="str">
        <f>IFERROR(IF([1]F_ProductBM!H206 = "", "", [1]F_ProductBM!H206 ),"")</f>
        <v/>
      </c>
      <c r="I2912" s="116" t="str">
        <f>IFERROR(IF([1]F_ProductBM!I206 = "", "", [1]F_ProductBM!I206 ),"")</f>
        <v/>
      </c>
      <c r="J2912" s="117" t="str">
        <f>IFERROR(IF([1]F_ProductBM!J206 = "", "", [1]F_ProductBM!J206 ),"")</f>
        <v/>
      </c>
      <c r="K2912" s="93" t="str">
        <f>IFERROR(IF([1]F_ProductBM!K206 = "", "", [1]F_ProductBM!K206 ),"")</f>
        <v/>
      </c>
      <c r="L2912" s="93" t="str">
        <f>IFERROR(IF([1]F_ProductBM!L206 = "", "", [1]F_ProductBM!L206 ),"")</f>
        <v/>
      </c>
      <c r="M2912" s="93" t="str">
        <f>IFERROR(IF([1]F_ProductBM!M206 = "", "", [1]F_ProductBM!M206 ),"")</f>
        <v/>
      </c>
      <c r="N2912" s="118" t="str">
        <f>IFERROR(IF([1]F_ProductBM!N206 = "", "", [1]F_ProductBM!N206 ),"")</f>
        <v/>
      </c>
    </row>
    <row r="2913" spans="3:14">
      <c r="C2913" s="977"/>
      <c r="D2913" s="777" t="s">
        <v>7</v>
      </c>
      <c r="E2913" s="2475" t="s">
        <v>1103</v>
      </c>
      <c r="F2913" s="2410"/>
      <c r="G2913" s="815" t="s">
        <v>2018</v>
      </c>
      <c r="H2913" s="93" t="str">
        <f>IFERROR(IF([1]F_ProductBM!H207 = "", "", [1]F_ProductBM!H207 ),"")</f>
        <v/>
      </c>
      <c r="I2913" s="116" t="str">
        <f>IFERROR(IF([1]F_ProductBM!I207 = "", "", [1]F_ProductBM!I207 ),"")</f>
        <v/>
      </c>
      <c r="J2913" s="117" t="str">
        <f>IFERROR(IF([1]F_ProductBM!J207 = "", "", [1]F_ProductBM!J207 ),"")</f>
        <v/>
      </c>
      <c r="K2913" s="93" t="str">
        <f>IFERROR(IF([1]F_ProductBM!K207 = "", "", [1]F_ProductBM!K207 ),"")</f>
        <v/>
      </c>
      <c r="L2913" s="93" t="str">
        <f>IFERROR(IF([1]F_ProductBM!L207 = "", "", [1]F_ProductBM!L207 ),"")</f>
        <v/>
      </c>
      <c r="M2913" s="93" t="str">
        <f>IFERROR(IF([1]F_ProductBM!M207 = "", "", [1]F_ProductBM!M207 ),"")</f>
        <v/>
      </c>
      <c r="N2913" s="118" t="str">
        <f>IFERROR(IF([1]F_ProductBM!N207 = "", "", [1]F_ProductBM!N207 ),"")</f>
        <v/>
      </c>
    </row>
    <row r="2914" spans="3:14">
      <c r="C2914" s="977"/>
      <c r="D2914" s="981"/>
      <c r="E2914" s="981"/>
      <c r="F2914" s="981"/>
      <c r="G2914" s="981"/>
      <c r="H2914" s="981"/>
      <c r="I2914" s="981"/>
      <c r="J2914" s="981"/>
      <c r="K2914" s="981"/>
      <c r="L2914" s="981"/>
      <c r="M2914" s="981"/>
      <c r="N2914" s="814"/>
    </row>
    <row r="2915" spans="3:14">
      <c r="C2915" s="977"/>
      <c r="D2915" s="981"/>
      <c r="E2915" s="2648" t="s">
        <v>1406</v>
      </c>
      <c r="F2915" s="2493"/>
      <c r="G2915" s="987" t="s">
        <v>884</v>
      </c>
      <c r="H2915" s="782">
        <v>2019</v>
      </c>
      <c r="I2915" s="988">
        <v>2020</v>
      </c>
      <c r="J2915" s="781">
        <v>2021</v>
      </c>
      <c r="K2915" s="782">
        <v>2022</v>
      </c>
      <c r="L2915" s="782">
        <v>2023</v>
      </c>
      <c r="M2915" s="782">
        <v>2024</v>
      </c>
      <c r="N2915" s="783">
        <v>2025</v>
      </c>
    </row>
    <row r="2916" spans="3:14">
      <c r="C2916" s="977"/>
      <c r="D2916" s="777" t="s">
        <v>8</v>
      </c>
      <c r="E2916" s="2475" t="s">
        <v>1556</v>
      </c>
      <c r="F2916" s="2410"/>
      <c r="G2916" s="815" t="s">
        <v>2017</v>
      </c>
      <c r="H2916" s="351" t="str">
        <f>IFERROR(IF([1]F_ProductBM!H210 = "", "", [1]F_ProductBM!H210 ),"")</f>
        <v/>
      </c>
      <c r="I2916" s="352" t="str">
        <f>IFERROR(IF([1]F_ProductBM!I210 = "", "", [1]F_ProductBM!I210 ),"")</f>
        <v/>
      </c>
      <c r="J2916" s="353" t="str">
        <f>IFERROR(IF([1]F_ProductBM!J210 = "", "", [1]F_ProductBM!J210 ),"")</f>
        <v/>
      </c>
      <c r="K2916" s="351" t="str">
        <f>IFERROR(IF([1]F_ProductBM!K210 = "", "", [1]F_ProductBM!K210 ),"")</f>
        <v/>
      </c>
      <c r="L2916" s="351" t="str">
        <f>IFERROR(IF([1]F_ProductBM!L210 = "", "", [1]F_ProductBM!L210 ),"")</f>
        <v/>
      </c>
      <c r="M2916" s="351" t="str">
        <f>IFERROR(IF([1]F_ProductBM!M210 = "", "", [1]F_ProductBM!M210 ),"")</f>
        <v/>
      </c>
      <c r="N2916" s="354" t="str">
        <f>IFERROR(IF([1]F_ProductBM!N210 = "", "", [1]F_ProductBM!N210 ),"")</f>
        <v/>
      </c>
    </row>
    <row r="2917" spans="3:14">
      <c r="C2917" s="977"/>
      <c r="D2917" s="777" t="s">
        <v>18</v>
      </c>
      <c r="E2917" s="2475" t="s">
        <v>1149</v>
      </c>
      <c r="F2917" s="2410"/>
      <c r="G2917" s="815" t="s">
        <v>2017</v>
      </c>
      <c r="H2917" s="93" t="str">
        <f>IFERROR(IF([1]F_ProductBM!H211 = "", "", [1]F_ProductBM!H211 ),"")</f>
        <v/>
      </c>
      <c r="I2917" s="116" t="str">
        <f>IFERROR(IF([1]F_ProductBM!I211 = "", "", [1]F_ProductBM!I211 ),"")</f>
        <v/>
      </c>
      <c r="J2917" s="117" t="str">
        <f>IFERROR(IF([1]F_ProductBM!J211 = "", "", [1]F_ProductBM!J211 ),"")</f>
        <v/>
      </c>
      <c r="K2917" s="93" t="str">
        <f>IFERROR(IF([1]F_ProductBM!K211 = "", "", [1]F_ProductBM!K211 ),"")</f>
        <v/>
      </c>
      <c r="L2917" s="93" t="str">
        <f>IFERROR(IF([1]F_ProductBM!L211 = "", "", [1]F_ProductBM!L211 ),"")</f>
        <v/>
      </c>
      <c r="M2917" s="93" t="str">
        <f>IFERROR(IF([1]F_ProductBM!M211 = "", "", [1]F_ProductBM!M211 ),"")</f>
        <v/>
      </c>
      <c r="N2917" s="118" t="str">
        <f>IFERROR(IF([1]F_ProductBM!N211 = "", "", [1]F_ProductBM!N211 ),"")</f>
        <v/>
      </c>
    </row>
    <row r="2918" spans="3:14">
      <c r="C2918" s="977"/>
      <c r="D2918" s="981"/>
      <c r="E2918" s="981"/>
      <c r="F2918" s="981"/>
      <c r="G2918" s="981"/>
      <c r="H2918" s="981"/>
      <c r="I2918" s="981"/>
      <c r="J2918" s="981"/>
      <c r="K2918" s="981"/>
      <c r="L2918" s="981"/>
      <c r="M2918" s="981"/>
      <c r="N2918" s="814"/>
    </row>
    <row r="2919" spans="3:14">
      <c r="C2919" s="977"/>
      <c r="D2919" s="981"/>
      <c r="E2919" s="2648" t="s">
        <v>1152</v>
      </c>
      <c r="F2919" s="2493"/>
      <c r="G2919" s="987" t="s">
        <v>884</v>
      </c>
      <c r="H2919" s="782">
        <v>2019</v>
      </c>
      <c r="I2919" s="988">
        <v>2020</v>
      </c>
      <c r="J2919" s="781">
        <v>2021</v>
      </c>
      <c r="K2919" s="782">
        <v>2022</v>
      </c>
      <c r="L2919" s="782">
        <v>2023</v>
      </c>
      <c r="M2919" s="782">
        <v>2024</v>
      </c>
      <c r="N2919" s="783">
        <v>2025</v>
      </c>
    </row>
    <row r="2920" spans="3:14">
      <c r="C2920" s="977"/>
      <c r="D2920" s="777" t="s">
        <v>787</v>
      </c>
      <c r="E2920" s="2475" t="s">
        <v>1079</v>
      </c>
      <c r="F2920" s="2410"/>
      <c r="G2920" s="815" t="s">
        <v>2017</v>
      </c>
      <c r="H2920" s="93" t="str">
        <f>IFERROR(IF([1]F_ProductBM!H214 = "", "", [1]F_ProductBM!H214 ),"")</f>
        <v/>
      </c>
      <c r="I2920" s="116" t="str">
        <f>IFERROR(IF([1]F_ProductBM!I214 = "", "", [1]F_ProductBM!I214 ),"")</f>
        <v/>
      </c>
      <c r="J2920" s="117" t="str">
        <f>IFERROR(IF([1]F_ProductBM!J214 = "", "", [1]F_ProductBM!J214 ),"")</f>
        <v/>
      </c>
      <c r="K2920" s="93" t="str">
        <f>IFERROR(IF([1]F_ProductBM!K214 = "", "", [1]F_ProductBM!K214 ),"")</f>
        <v/>
      </c>
      <c r="L2920" s="93" t="str">
        <f>IFERROR(IF([1]F_ProductBM!L214 = "", "", [1]F_ProductBM!L214 ),"")</f>
        <v/>
      </c>
      <c r="M2920" s="93" t="str">
        <f>IFERROR(IF([1]F_ProductBM!M214 = "", "", [1]F_ProductBM!M214 ),"")</f>
        <v/>
      </c>
      <c r="N2920" s="118" t="str">
        <f>IFERROR(IF([1]F_ProductBM!N214 = "", "", [1]F_ProductBM!N214 ),"")</f>
        <v/>
      </c>
    </row>
    <row r="2921" spans="3:14">
      <c r="C2921" s="977"/>
      <c r="D2921" s="777" t="s">
        <v>788</v>
      </c>
      <c r="E2921" s="2475" t="s">
        <v>1104</v>
      </c>
      <c r="F2921" s="2410"/>
      <c r="G2921" s="815" t="s">
        <v>2018</v>
      </c>
      <c r="H2921" s="93" t="str">
        <f>IFERROR(IF([1]F_ProductBM!H215 = "", "", [1]F_ProductBM!H215 ),"")</f>
        <v/>
      </c>
      <c r="I2921" s="116" t="str">
        <f>IFERROR(IF([1]F_ProductBM!I215 = "", "", [1]F_ProductBM!I215 ),"")</f>
        <v/>
      </c>
      <c r="J2921" s="117" t="str">
        <f>IFERROR(IF([1]F_ProductBM!J215 = "", "", [1]F_ProductBM!J215 ),"")</f>
        <v/>
      </c>
      <c r="K2921" s="93" t="str">
        <f>IFERROR(IF([1]F_ProductBM!K215 = "", "", [1]F_ProductBM!K215 ),"")</f>
        <v/>
      </c>
      <c r="L2921" s="93" t="str">
        <f>IFERROR(IF([1]F_ProductBM!L215 = "", "", [1]F_ProductBM!L215 ),"")</f>
        <v/>
      </c>
      <c r="M2921" s="93" t="str">
        <f>IFERROR(IF([1]F_ProductBM!M215 = "", "", [1]F_ProductBM!M215 ),"")</f>
        <v/>
      </c>
      <c r="N2921" s="118" t="str">
        <f>IFERROR(IF([1]F_ProductBM!N215 = "", "", [1]F_ProductBM!N215 ),"")</f>
        <v/>
      </c>
    </row>
    <row r="2922" spans="3:14">
      <c r="C2922" s="977"/>
      <c r="D2922" s="981"/>
      <c r="E2922" s="981"/>
      <c r="F2922" s="981"/>
      <c r="G2922" s="981"/>
      <c r="H2922" s="981"/>
      <c r="I2922" s="981"/>
      <c r="J2922" s="981"/>
      <c r="K2922" s="981"/>
      <c r="L2922" s="981"/>
      <c r="M2922" s="813"/>
      <c r="N2922" s="814"/>
    </row>
    <row r="2923" spans="3:14">
      <c r="C2923" s="977"/>
      <c r="D2923" s="982" t="s">
        <v>481</v>
      </c>
      <c r="E2923" s="2649" t="s">
        <v>1312</v>
      </c>
      <c r="F2923" s="2391"/>
      <c r="G2923" s="2391"/>
      <c r="H2923" s="2391"/>
      <c r="I2923" s="2391"/>
      <c r="J2923" s="2391"/>
      <c r="K2923" s="2391"/>
      <c r="L2923" s="2391"/>
      <c r="M2923" s="2391"/>
      <c r="N2923" s="2650"/>
    </row>
    <row r="2924" spans="3:14">
      <c r="C2924" s="977"/>
      <c r="D2924" s="981"/>
      <c r="E2924" s="986"/>
      <c r="F2924" s="986"/>
      <c r="G2924" s="986"/>
      <c r="H2924" s="986"/>
      <c r="I2924" s="986"/>
      <c r="J2924" s="986"/>
      <c r="K2924" s="986"/>
      <c r="L2924" s="986"/>
      <c r="M2924" s="986"/>
      <c r="N2924" s="1007"/>
    </row>
    <row r="2925" spans="3:14">
      <c r="C2925" s="977"/>
      <c r="D2925" s="777" t="s">
        <v>6</v>
      </c>
      <c r="E2925" s="2649" t="s">
        <v>1313</v>
      </c>
      <c r="F2925" s="2391"/>
      <c r="G2925" s="2391"/>
      <c r="H2925" s="2391"/>
      <c r="I2925" s="2391"/>
      <c r="J2925" s="2391"/>
      <c r="K2925" s="2512"/>
      <c r="L2925" s="120" t="str">
        <f>IFERROR(IF([1]F_ProductBM!L219 = "", "", [1]F_ProductBM!L219 ),"")</f>
        <v/>
      </c>
      <c r="M2925" s="978"/>
      <c r="N2925" s="979"/>
    </row>
    <row r="2926" spans="3:14">
      <c r="C2926" s="977"/>
      <c r="D2926" s="981"/>
      <c r="E2926" s="2669" t="s">
        <v>1314</v>
      </c>
      <c r="F2926" s="2391"/>
      <c r="G2926" s="2391"/>
      <c r="H2926" s="2391"/>
      <c r="I2926" s="2391"/>
      <c r="J2926" s="2391"/>
      <c r="K2926" s="2391"/>
      <c r="L2926" s="2391"/>
      <c r="M2926" s="2391"/>
      <c r="N2926" s="2650"/>
    </row>
    <row r="2927" spans="3:14">
      <c r="C2927" s="977"/>
      <c r="D2927" s="777" t="s">
        <v>7</v>
      </c>
      <c r="E2927" s="2649" t="s">
        <v>1219</v>
      </c>
      <c r="F2927" s="2391"/>
      <c r="G2927" s="2391"/>
      <c r="H2927" s="2512"/>
      <c r="I2927" s="2683" t="str">
        <f>IFERROR(IF([1]F_ProductBM!I221 = "", "", [1]F_ProductBM!I221 ),"")</f>
        <v/>
      </c>
      <c r="J2927" s="2488"/>
      <c r="K2927" s="2488"/>
      <c r="L2927" s="2488"/>
      <c r="M2927" s="2686"/>
      <c r="N2927" s="979"/>
    </row>
    <row r="2928" spans="3:14">
      <c r="C2928" s="977"/>
      <c r="D2928" s="981"/>
      <c r="E2928" s="2669" t="s">
        <v>1316</v>
      </c>
      <c r="F2928" s="2391"/>
      <c r="G2928" s="2391"/>
      <c r="H2928" s="2391"/>
      <c r="I2928" s="2391"/>
      <c r="J2928" s="2391"/>
      <c r="K2928" s="2391"/>
      <c r="L2928" s="2391"/>
      <c r="M2928" s="2391"/>
      <c r="N2928" s="2650"/>
    </row>
    <row r="2929" spans="3:14">
      <c r="C2929" s="977"/>
      <c r="D2929" s="981"/>
      <c r="E2929" s="2676" t="s">
        <v>1557</v>
      </c>
      <c r="F2929" s="2391"/>
      <c r="G2929" s="2391"/>
      <c r="H2929" s="2391"/>
      <c r="I2929" s="2391"/>
      <c r="J2929" s="2391"/>
      <c r="K2929" s="2391"/>
      <c r="L2929" s="2391"/>
      <c r="M2929" s="2391"/>
      <c r="N2929" s="2650"/>
    </row>
    <row r="2930" spans="3:14">
      <c r="C2930" s="977"/>
      <c r="D2930" s="981"/>
      <c r="E2930" s="989"/>
      <c r="F2930" s="990"/>
      <c r="G2930" s="987" t="s">
        <v>884</v>
      </c>
      <c r="H2930" s="782">
        <v>2019</v>
      </c>
      <c r="I2930" s="988">
        <v>2020</v>
      </c>
      <c r="J2930" s="781">
        <v>2021</v>
      </c>
      <c r="K2930" s="782">
        <v>2022</v>
      </c>
      <c r="L2930" s="782">
        <v>2023</v>
      </c>
      <c r="M2930" s="782">
        <v>2024</v>
      </c>
      <c r="N2930" s="783">
        <v>2025</v>
      </c>
    </row>
    <row r="2931" spans="3:14">
      <c r="C2931" s="977"/>
      <c r="D2931" s="777" t="s">
        <v>8</v>
      </c>
      <c r="E2931" s="2471" t="s">
        <v>1305</v>
      </c>
      <c r="F2931" s="2472"/>
      <c r="G2931" s="67" t="str">
        <f>IFERROR(IF([1]F_ProductBM!G225 = "", "", [1]F_ProductBM!G225 ),"")</f>
        <v/>
      </c>
      <c r="H2931" s="94" t="str">
        <f>IFERROR(IF([1]F_ProductBM!H225 = "", "", [1]F_ProductBM!H225 ),"")</f>
        <v/>
      </c>
      <c r="I2931" s="110" t="str">
        <f>IFERROR(IF([1]F_ProductBM!I225 = "", "", [1]F_ProductBM!I225 ),"")</f>
        <v/>
      </c>
      <c r="J2931" s="111" t="str">
        <f>IFERROR(IF([1]F_ProductBM!J225 = "", "", [1]F_ProductBM!J225 ),"")</f>
        <v/>
      </c>
      <c r="K2931" s="94" t="str">
        <f>IFERROR(IF([1]F_ProductBM!K225 = "", "", [1]F_ProductBM!K225 ),"")</f>
        <v/>
      </c>
      <c r="L2931" s="94" t="str">
        <f>IFERROR(IF([1]F_ProductBM!L225 = "", "", [1]F_ProductBM!L225 ),"")</f>
        <v/>
      </c>
      <c r="M2931" s="94" t="str">
        <f>IFERROR(IF([1]F_ProductBM!M225 = "", "", [1]F_ProductBM!M225 ),"")</f>
        <v/>
      </c>
      <c r="N2931" s="112" t="str">
        <f>IFERROR(IF([1]F_ProductBM!N225 = "", "", [1]F_ProductBM!N225 ),"")</f>
        <v/>
      </c>
    </row>
    <row r="2932" spans="3:14">
      <c r="C2932" s="977"/>
      <c r="D2932" s="777" t="s">
        <v>18</v>
      </c>
      <c r="E2932" s="2473" t="s">
        <v>661</v>
      </c>
      <c r="F2932" s="2474"/>
      <c r="G2932" s="350" t="str">
        <f>IFERROR(IF([1]F_ProductBM!G226 = "", "", [1]F_ProductBM!G226 ),"")</f>
        <v>GJ / Unit</v>
      </c>
      <c r="H2932" s="95" t="str">
        <f>IFERROR(IF([1]F_ProductBM!H226 = "", "", [1]F_ProductBM!H226 ),"")</f>
        <v/>
      </c>
      <c r="I2932" s="113" t="str">
        <f>IFERROR(IF([1]F_ProductBM!I226 = "", "", [1]F_ProductBM!I226 ),"")</f>
        <v/>
      </c>
      <c r="J2932" s="114" t="str">
        <f>IFERROR(IF([1]F_ProductBM!J226 = "", "", [1]F_ProductBM!J226 ),"")</f>
        <v/>
      </c>
      <c r="K2932" s="95" t="str">
        <f>IFERROR(IF([1]F_ProductBM!K226 = "", "", [1]F_ProductBM!K226 ),"")</f>
        <v/>
      </c>
      <c r="L2932" s="95" t="str">
        <f>IFERROR(IF([1]F_ProductBM!L226 = "", "", [1]F_ProductBM!L226 ),"")</f>
        <v/>
      </c>
      <c r="M2932" s="95" t="str">
        <f>IFERROR(IF([1]F_ProductBM!M226 = "", "", [1]F_ProductBM!M226 ),"")</f>
        <v/>
      </c>
      <c r="N2932" s="115" t="str">
        <f>IFERROR(IF([1]F_ProductBM!N226 = "", "", [1]F_ProductBM!N226 ),"")</f>
        <v/>
      </c>
    </row>
    <row r="2933" spans="3:14">
      <c r="C2933" s="977"/>
      <c r="D2933" s="777" t="s">
        <v>787</v>
      </c>
      <c r="E2933" s="2475" t="s">
        <v>1141</v>
      </c>
      <c r="F2933" s="2410"/>
      <c r="G2933" s="815" t="s">
        <v>2017</v>
      </c>
      <c r="H2933" s="351" t="str">
        <f>IFERROR(IF([1]F_ProductBM!H227 = "", "", [1]F_ProductBM!H227 ),"")</f>
        <v/>
      </c>
      <c r="I2933" s="352" t="str">
        <f>IFERROR(IF([1]F_ProductBM!I227 = "", "", [1]F_ProductBM!I227 ),"")</f>
        <v/>
      </c>
      <c r="J2933" s="353" t="str">
        <f>IFERROR(IF([1]F_ProductBM!J227 = "", "", [1]F_ProductBM!J227 ),"")</f>
        <v/>
      </c>
      <c r="K2933" s="351" t="str">
        <f>IFERROR(IF([1]F_ProductBM!K227 = "", "", [1]F_ProductBM!K227 ),"")</f>
        <v/>
      </c>
      <c r="L2933" s="351" t="str">
        <f>IFERROR(IF([1]F_ProductBM!L227 = "", "", [1]F_ProductBM!L227 ),"")</f>
        <v/>
      </c>
      <c r="M2933" s="351" t="str">
        <f>IFERROR(IF([1]F_ProductBM!M227 = "", "", [1]F_ProductBM!M227 ),"")</f>
        <v/>
      </c>
      <c r="N2933" s="354" t="str">
        <f>IFERROR(IF([1]F_ProductBM!N227 = "", "", [1]F_ProductBM!N227 ),"")</f>
        <v/>
      </c>
    </row>
    <row r="2934" spans="3:14">
      <c r="C2934" s="977"/>
      <c r="D2934" s="777" t="s">
        <v>788</v>
      </c>
      <c r="E2934" s="2475" t="s">
        <v>1258</v>
      </c>
      <c r="F2934" s="2410"/>
      <c r="G2934" s="815" t="s">
        <v>2018</v>
      </c>
      <c r="H2934" s="93" t="str">
        <f>IFERROR(IF([1]F_ProductBM!H228 = "", "", [1]F_ProductBM!H228 ),"")</f>
        <v/>
      </c>
      <c r="I2934" s="116" t="str">
        <f>IFERROR(IF([1]F_ProductBM!I228 = "", "", [1]F_ProductBM!I228 ),"")</f>
        <v/>
      </c>
      <c r="J2934" s="117" t="str">
        <f>IFERROR(IF([1]F_ProductBM!J228 = "", "", [1]F_ProductBM!J228 ),"")</f>
        <v/>
      </c>
      <c r="K2934" s="93" t="str">
        <f>IFERROR(IF([1]F_ProductBM!K228 = "", "", [1]F_ProductBM!K228 ),"")</f>
        <v/>
      </c>
      <c r="L2934" s="93" t="str">
        <f>IFERROR(IF([1]F_ProductBM!L228 = "", "", [1]F_ProductBM!L228 ),"")</f>
        <v/>
      </c>
      <c r="M2934" s="93" t="str">
        <f>IFERROR(IF([1]F_ProductBM!M228 = "", "", [1]F_ProductBM!M228 ),"")</f>
        <v/>
      </c>
      <c r="N2934" s="118" t="str">
        <f>IFERROR(IF([1]F_ProductBM!N228 = "", "", [1]F_ProductBM!N228 ),"")</f>
        <v/>
      </c>
    </row>
    <row r="2935" spans="3:14">
      <c r="C2935" s="977"/>
      <c r="D2935" s="981"/>
      <c r="E2935" s="981"/>
      <c r="F2935" s="981"/>
      <c r="G2935" s="981"/>
      <c r="H2935" s="983"/>
      <c r="I2935" s="981"/>
      <c r="J2935" s="981"/>
      <c r="K2935" s="981"/>
      <c r="L2935" s="981"/>
      <c r="M2935" s="813"/>
      <c r="N2935" s="814"/>
    </row>
    <row r="2936" spans="3:14">
      <c r="C2936" s="977"/>
      <c r="D2936" s="777" t="s">
        <v>789</v>
      </c>
      <c r="E2936" s="2649" t="s">
        <v>1301</v>
      </c>
      <c r="F2936" s="2391"/>
      <c r="G2936" s="2391"/>
      <c r="H2936" s="2512"/>
      <c r="I2936" s="2683" t="str">
        <f>IFERROR(IF([1]F_ProductBM!I230 = "", "", [1]F_ProductBM!I230 ),"")</f>
        <v/>
      </c>
      <c r="J2936" s="2488"/>
      <c r="K2936" s="2488"/>
      <c r="L2936" s="2488"/>
      <c r="M2936" s="2686"/>
      <c r="N2936" s="979"/>
    </row>
    <row r="2937" spans="3:14">
      <c r="C2937" s="977"/>
      <c r="D2937" s="777"/>
      <c r="E2937" s="2669" t="s">
        <v>1606</v>
      </c>
      <c r="F2937" s="2391"/>
      <c r="G2937" s="2391"/>
      <c r="H2937" s="2391"/>
      <c r="I2937" s="2391"/>
      <c r="J2937" s="2391"/>
      <c r="K2937" s="2391"/>
      <c r="L2937" s="2391"/>
      <c r="M2937" s="2391"/>
      <c r="N2937" s="2650"/>
    </row>
    <row r="2938" spans="3:14">
      <c r="C2938" s="977"/>
      <c r="D2938" s="981"/>
      <c r="E2938" s="2676" t="s">
        <v>1557</v>
      </c>
      <c r="F2938" s="2391"/>
      <c r="G2938" s="2391"/>
      <c r="H2938" s="2391"/>
      <c r="I2938" s="2391"/>
      <c r="J2938" s="2391"/>
      <c r="K2938" s="2391"/>
      <c r="L2938" s="2391"/>
      <c r="M2938" s="2391"/>
      <c r="N2938" s="2650"/>
    </row>
    <row r="2939" spans="3:14">
      <c r="C2939" s="977"/>
      <c r="D2939" s="981"/>
      <c r="E2939" s="989"/>
      <c r="F2939" s="990"/>
      <c r="G2939" s="987" t="s">
        <v>884</v>
      </c>
      <c r="H2939" s="782">
        <v>2019</v>
      </c>
      <c r="I2939" s="988">
        <v>2020</v>
      </c>
      <c r="J2939" s="781">
        <v>2021</v>
      </c>
      <c r="K2939" s="782">
        <v>2022</v>
      </c>
      <c r="L2939" s="782">
        <v>2023</v>
      </c>
      <c r="M2939" s="782">
        <v>2024</v>
      </c>
      <c r="N2939" s="783">
        <v>2025</v>
      </c>
    </row>
    <row r="2940" spans="3:14">
      <c r="C2940" s="977"/>
      <c r="D2940" s="777" t="s">
        <v>790</v>
      </c>
      <c r="E2940" s="2471" t="s">
        <v>1306</v>
      </c>
      <c r="F2940" s="2472"/>
      <c r="G2940" s="67" t="str">
        <f>IFERROR(IF([1]F_ProductBM!G234 = "", "", [1]F_ProductBM!G234 ),"")</f>
        <v/>
      </c>
      <c r="H2940" s="94" t="str">
        <f>IFERROR(IF([1]F_ProductBM!H234 = "", "", [1]F_ProductBM!H234 ),"")</f>
        <v/>
      </c>
      <c r="I2940" s="110" t="str">
        <f>IFERROR(IF([1]F_ProductBM!I234 = "", "", [1]F_ProductBM!I234 ),"")</f>
        <v/>
      </c>
      <c r="J2940" s="111" t="str">
        <f>IFERROR(IF([1]F_ProductBM!J234 = "", "", [1]F_ProductBM!J234 ),"")</f>
        <v/>
      </c>
      <c r="K2940" s="94" t="str">
        <f>IFERROR(IF([1]F_ProductBM!K234 = "", "", [1]F_ProductBM!K234 ),"")</f>
        <v/>
      </c>
      <c r="L2940" s="94" t="str">
        <f>IFERROR(IF([1]F_ProductBM!L234 = "", "", [1]F_ProductBM!L234 ),"")</f>
        <v/>
      </c>
      <c r="M2940" s="94" t="str">
        <f>IFERROR(IF([1]F_ProductBM!M234 = "", "", [1]F_ProductBM!M234 ),"")</f>
        <v/>
      </c>
      <c r="N2940" s="112" t="str">
        <f>IFERROR(IF([1]F_ProductBM!N234 = "", "", [1]F_ProductBM!N234 ),"")</f>
        <v/>
      </c>
    </row>
    <row r="2941" spans="3:14">
      <c r="C2941" s="977"/>
      <c r="D2941" s="777" t="s">
        <v>791</v>
      </c>
      <c r="E2941" s="2473" t="s">
        <v>661</v>
      </c>
      <c r="F2941" s="2474"/>
      <c r="G2941" s="350" t="str">
        <f>IFERROR(IF([1]F_ProductBM!G235 = "", "", [1]F_ProductBM!G235 ),"")</f>
        <v>GJ / Unit</v>
      </c>
      <c r="H2941" s="95" t="str">
        <f>IFERROR(IF([1]F_ProductBM!H235 = "", "", [1]F_ProductBM!H235 ),"")</f>
        <v/>
      </c>
      <c r="I2941" s="113" t="str">
        <f>IFERROR(IF([1]F_ProductBM!I235 = "", "", [1]F_ProductBM!I235 ),"")</f>
        <v/>
      </c>
      <c r="J2941" s="114" t="str">
        <f>IFERROR(IF([1]F_ProductBM!J235 = "", "", [1]F_ProductBM!J235 ),"")</f>
        <v/>
      </c>
      <c r="K2941" s="95" t="str">
        <f>IFERROR(IF([1]F_ProductBM!K235 = "", "", [1]F_ProductBM!K235 ),"")</f>
        <v/>
      </c>
      <c r="L2941" s="95" t="str">
        <f>IFERROR(IF([1]F_ProductBM!L235 = "", "", [1]F_ProductBM!L235 ),"")</f>
        <v/>
      </c>
      <c r="M2941" s="95" t="str">
        <f>IFERROR(IF([1]F_ProductBM!M235 = "", "", [1]F_ProductBM!M235 ),"")</f>
        <v/>
      </c>
      <c r="N2941" s="115" t="str">
        <f>IFERROR(IF([1]F_ProductBM!N235 = "", "", [1]F_ProductBM!N235 ),"")</f>
        <v/>
      </c>
    </row>
    <row r="2942" spans="3:14">
      <c r="C2942" s="977"/>
      <c r="D2942" s="777" t="s">
        <v>64</v>
      </c>
      <c r="E2942" s="2475" t="s">
        <v>1309</v>
      </c>
      <c r="F2942" s="2410"/>
      <c r="G2942" s="815" t="s">
        <v>2017</v>
      </c>
      <c r="H2942" s="351" t="str">
        <f>IFERROR(IF([1]F_ProductBM!H236 = "", "", [1]F_ProductBM!H236 ),"")</f>
        <v/>
      </c>
      <c r="I2942" s="352" t="str">
        <f>IFERROR(IF([1]F_ProductBM!I236 = "", "", [1]F_ProductBM!I236 ),"")</f>
        <v/>
      </c>
      <c r="J2942" s="353" t="str">
        <f>IFERROR(IF([1]F_ProductBM!J236 = "", "", [1]F_ProductBM!J236 ),"")</f>
        <v/>
      </c>
      <c r="K2942" s="351" t="str">
        <f>IFERROR(IF([1]F_ProductBM!K236 = "", "", [1]F_ProductBM!K236 ),"")</f>
        <v/>
      </c>
      <c r="L2942" s="351" t="str">
        <f>IFERROR(IF([1]F_ProductBM!L236 = "", "", [1]F_ProductBM!L236 ),"")</f>
        <v/>
      </c>
      <c r="M2942" s="351" t="str">
        <f>IFERROR(IF([1]F_ProductBM!M236 = "", "", [1]F_ProductBM!M236 ),"")</f>
        <v/>
      </c>
      <c r="N2942" s="354" t="str">
        <f>IFERROR(IF([1]F_ProductBM!N236 = "", "", [1]F_ProductBM!N236 ),"")</f>
        <v/>
      </c>
    </row>
    <row r="2943" spans="3:14">
      <c r="C2943" s="977"/>
      <c r="D2943" s="777" t="s">
        <v>65</v>
      </c>
      <c r="E2943" s="2475" t="s">
        <v>1307</v>
      </c>
      <c r="F2943" s="2410"/>
      <c r="G2943" s="815" t="s">
        <v>2018</v>
      </c>
      <c r="H2943" s="93" t="str">
        <f>IFERROR(IF([1]F_ProductBM!H237 = "", "", [1]F_ProductBM!H237 ),"")</f>
        <v/>
      </c>
      <c r="I2943" s="116" t="str">
        <f>IFERROR(IF([1]F_ProductBM!I237 = "", "", [1]F_ProductBM!I237 ),"")</f>
        <v/>
      </c>
      <c r="J2943" s="117" t="str">
        <f>IFERROR(IF([1]F_ProductBM!J237 = "", "", [1]F_ProductBM!J237 ),"")</f>
        <v/>
      </c>
      <c r="K2943" s="93" t="str">
        <f>IFERROR(IF([1]F_ProductBM!K237 = "", "", [1]F_ProductBM!K237 ),"")</f>
        <v/>
      </c>
      <c r="L2943" s="93" t="str">
        <f>IFERROR(IF([1]F_ProductBM!L237 = "", "", [1]F_ProductBM!L237 ),"")</f>
        <v/>
      </c>
      <c r="M2943" s="93" t="str">
        <f>IFERROR(IF([1]F_ProductBM!M237 = "", "", [1]F_ProductBM!M237 ),"")</f>
        <v/>
      </c>
      <c r="N2943" s="118" t="str">
        <f>IFERROR(IF([1]F_ProductBM!N237 = "", "", [1]F_ProductBM!N237 ),"")</f>
        <v/>
      </c>
    </row>
    <row r="2944" spans="3:14">
      <c r="C2944" s="977"/>
      <c r="D2944" s="981"/>
      <c r="E2944" s="981"/>
      <c r="F2944" s="981"/>
      <c r="G2944" s="981"/>
      <c r="H2944" s="983"/>
      <c r="I2944" s="981"/>
      <c r="J2944" s="981"/>
      <c r="K2944" s="981"/>
      <c r="L2944" s="981"/>
      <c r="M2944" s="813"/>
      <c r="N2944" s="814"/>
    </row>
    <row r="2945" spans="3:14">
      <c r="C2945" s="977"/>
      <c r="D2945" s="777" t="s">
        <v>66</v>
      </c>
      <c r="E2945" s="2649" t="s">
        <v>1287</v>
      </c>
      <c r="F2945" s="2391"/>
      <c r="G2945" s="2391"/>
      <c r="H2945" s="2512"/>
      <c r="I2945" s="2683" t="str">
        <f>IFERROR(IF([1]F_ProductBM!I239 = "", "", [1]F_ProductBM!I239 ),"")</f>
        <v/>
      </c>
      <c r="J2945" s="2488"/>
      <c r="K2945" s="2488"/>
      <c r="L2945" s="2488"/>
      <c r="M2945" s="2686"/>
      <c r="N2945" s="979"/>
    </row>
    <row r="2946" spans="3:14">
      <c r="C2946" s="977"/>
      <c r="D2946" s="777"/>
      <c r="E2946" s="2669" t="s">
        <v>1476</v>
      </c>
      <c r="F2946" s="2391"/>
      <c r="G2946" s="2391"/>
      <c r="H2946" s="2391"/>
      <c r="I2946" s="2391"/>
      <c r="J2946" s="2391"/>
      <c r="K2946" s="2391"/>
      <c r="L2946" s="2391"/>
      <c r="M2946" s="2391"/>
      <c r="N2946" s="2650"/>
    </row>
    <row r="2947" spans="3:14">
      <c r="C2947" s="977"/>
      <c r="D2947" s="981"/>
      <c r="E2947" s="2669" t="s">
        <v>1558</v>
      </c>
      <c r="F2947" s="2391"/>
      <c r="G2947" s="2391"/>
      <c r="H2947" s="2391"/>
      <c r="I2947" s="2391"/>
      <c r="J2947" s="2391"/>
      <c r="K2947" s="2391"/>
      <c r="L2947" s="2391"/>
      <c r="M2947" s="2391"/>
      <c r="N2947" s="2650"/>
    </row>
    <row r="2948" spans="3:14">
      <c r="C2948" s="977"/>
      <c r="D2948" s="981"/>
      <c r="E2948" s="2676" t="s">
        <v>1559</v>
      </c>
      <c r="F2948" s="2391"/>
      <c r="G2948" s="2391"/>
      <c r="H2948" s="2391"/>
      <c r="I2948" s="2391"/>
      <c r="J2948" s="2391"/>
      <c r="K2948" s="2391"/>
      <c r="L2948" s="2391"/>
      <c r="M2948" s="2391"/>
      <c r="N2948" s="2650"/>
    </row>
    <row r="2949" spans="3:14">
      <c r="C2949" s="977"/>
      <c r="D2949" s="981"/>
      <c r="E2949" s="989"/>
      <c r="F2949" s="990"/>
      <c r="G2949" s="987" t="s">
        <v>884</v>
      </c>
      <c r="H2949" s="782">
        <v>2019</v>
      </c>
      <c r="I2949" s="988">
        <v>2020</v>
      </c>
      <c r="J2949" s="781">
        <v>2021</v>
      </c>
      <c r="K2949" s="782">
        <v>2022</v>
      </c>
      <c r="L2949" s="782">
        <v>2023</v>
      </c>
      <c r="M2949" s="782">
        <v>2024</v>
      </c>
      <c r="N2949" s="783">
        <v>2025</v>
      </c>
    </row>
    <row r="2950" spans="3:14">
      <c r="C2950" s="977"/>
      <c r="D2950" s="777" t="s">
        <v>1105</v>
      </c>
      <c r="E2950" s="2471" t="s">
        <v>1302</v>
      </c>
      <c r="F2950" s="2472"/>
      <c r="G2950" s="67" t="str">
        <f>IFERROR(IF([1]F_ProductBM!G244 = "", "", [1]F_ProductBM!G244 ),"")</f>
        <v/>
      </c>
      <c r="H2950" s="94" t="str">
        <f>IFERROR(IF([1]F_ProductBM!H244 = "", "", [1]F_ProductBM!H244 ),"")</f>
        <v/>
      </c>
      <c r="I2950" s="110" t="str">
        <f>IFERROR(IF([1]F_ProductBM!I244 = "", "", [1]F_ProductBM!I244 ),"")</f>
        <v/>
      </c>
      <c r="J2950" s="111" t="str">
        <f>IFERROR(IF([1]F_ProductBM!J244 = "", "", [1]F_ProductBM!J244 ),"")</f>
        <v/>
      </c>
      <c r="K2950" s="94" t="str">
        <f>IFERROR(IF([1]F_ProductBM!K244 = "", "", [1]F_ProductBM!K244 ),"")</f>
        <v/>
      </c>
      <c r="L2950" s="94" t="str">
        <f>IFERROR(IF([1]F_ProductBM!L244 = "", "", [1]F_ProductBM!L244 ),"")</f>
        <v/>
      </c>
      <c r="M2950" s="94" t="str">
        <f>IFERROR(IF([1]F_ProductBM!M244 = "", "", [1]F_ProductBM!M244 ),"")</f>
        <v/>
      </c>
      <c r="N2950" s="112" t="str">
        <f>IFERROR(IF([1]F_ProductBM!N244 = "", "", [1]F_ProductBM!N244 ),"")</f>
        <v/>
      </c>
    </row>
    <row r="2951" spans="3:14">
      <c r="C2951" s="977"/>
      <c r="D2951" s="777" t="s">
        <v>1106</v>
      </c>
      <c r="E2951" s="2473" t="s">
        <v>661</v>
      </c>
      <c r="F2951" s="2474"/>
      <c r="G2951" s="350" t="str">
        <f>IFERROR(IF([1]F_ProductBM!G245 = "", "", [1]F_ProductBM!G245 ),"")</f>
        <v>GJ / Unit</v>
      </c>
      <c r="H2951" s="95" t="str">
        <f>IFERROR(IF([1]F_ProductBM!H245 = "", "", [1]F_ProductBM!H245 ),"")</f>
        <v/>
      </c>
      <c r="I2951" s="113" t="str">
        <f>IFERROR(IF([1]F_ProductBM!I245 = "", "", [1]F_ProductBM!I245 ),"")</f>
        <v/>
      </c>
      <c r="J2951" s="114" t="str">
        <f>IFERROR(IF([1]F_ProductBM!J245 = "", "", [1]F_ProductBM!J245 ),"")</f>
        <v/>
      </c>
      <c r="K2951" s="95" t="str">
        <f>IFERROR(IF([1]F_ProductBM!K245 = "", "", [1]F_ProductBM!K245 ),"")</f>
        <v/>
      </c>
      <c r="L2951" s="95" t="str">
        <f>IFERROR(IF([1]F_ProductBM!L245 = "", "", [1]F_ProductBM!L245 ),"")</f>
        <v/>
      </c>
      <c r="M2951" s="95" t="str">
        <f>IFERROR(IF([1]F_ProductBM!M245 = "", "", [1]F_ProductBM!M245 ),"")</f>
        <v/>
      </c>
      <c r="N2951" s="115" t="str">
        <f>IFERROR(IF([1]F_ProductBM!N245 = "", "", [1]F_ProductBM!N245 ),"")</f>
        <v/>
      </c>
    </row>
    <row r="2952" spans="3:14">
      <c r="C2952" s="977"/>
      <c r="D2952" s="777" t="s">
        <v>1107</v>
      </c>
      <c r="E2952" s="2475" t="s">
        <v>1288</v>
      </c>
      <c r="F2952" s="2410"/>
      <c r="G2952" s="815" t="s">
        <v>2017</v>
      </c>
      <c r="H2952" s="351" t="str">
        <f>IFERROR(IF([1]F_ProductBM!H246 = "", "", [1]F_ProductBM!H246 ),"")</f>
        <v/>
      </c>
      <c r="I2952" s="352" t="str">
        <f>IFERROR(IF([1]F_ProductBM!I246 = "", "", [1]F_ProductBM!I246 ),"")</f>
        <v/>
      </c>
      <c r="J2952" s="353" t="str">
        <f>IFERROR(IF([1]F_ProductBM!J246 = "", "", [1]F_ProductBM!J246 ),"")</f>
        <v/>
      </c>
      <c r="K2952" s="351" t="str">
        <f>IFERROR(IF([1]F_ProductBM!K246 = "", "", [1]F_ProductBM!K246 ),"")</f>
        <v/>
      </c>
      <c r="L2952" s="351" t="str">
        <f>IFERROR(IF([1]F_ProductBM!L246 = "", "", [1]F_ProductBM!L246 ),"")</f>
        <v/>
      </c>
      <c r="M2952" s="351" t="str">
        <f>IFERROR(IF([1]F_ProductBM!M246 = "", "", [1]F_ProductBM!M246 ),"")</f>
        <v/>
      </c>
      <c r="N2952" s="354" t="str">
        <f>IFERROR(IF([1]F_ProductBM!N246 = "", "", [1]F_ProductBM!N246 ),"")</f>
        <v/>
      </c>
    </row>
    <row r="2953" spans="3:14">
      <c r="C2953" s="977"/>
      <c r="D2953" s="777" t="s">
        <v>1108</v>
      </c>
      <c r="E2953" s="2475" t="s">
        <v>1308</v>
      </c>
      <c r="F2953" s="2410"/>
      <c r="G2953" s="815" t="s">
        <v>2018</v>
      </c>
      <c r="H2953" s="93" t="str">
        <f>IFERROR(IF([1]F_ProductBM!H247 = "", "", [1]F_ProductBM!H247 ),"")</f>
        <v/>
      </c>
      <c r="I2953" s="116" t="str">
        <f>IFERROR(IF([1]F_ProductBM!I247 = "", "", [1]F_ProductBM!I247 ),"")</f>
        <v/>
      </c>
      <c r="J2953" s="117" t="str">
        <f>IFERROR(IF([1]F_ProductBM!J247 = "", "", [1]F_ProductBM!J247 ),"")</f>
        <v/>
      </c>
      <c r="K2953" s="93" t="str">
        <f>IFERROR(IF([1]F_ProductBM!K247 = "", "", [1]F_ProductBM!K247 ),"")</f>
        <v/>
      </c>
      <c r="L2953" s="93" t="str">
        <f>IFERROR(IF([1]F_ProductBM!L247 = "", "", [1]F_ProductBM!L247 ),"")</f>
        <v/>
      </c>
      <c r="M2953" s="93" t="str">
        <f>IFERROR(IF([1]F_ProductBM!M247 = "", "", [1]F_ProductBM!M247 ),"")</f>
        <v/>
      </c>
      <c r="N2953" s="118" t="str">
        <f>IFERROR(IF([1]F_ProductBM!N247 = "", "", [1]F_ProductBM!N247 ),"")</f>
        <v/>
      </c>
    </row>
    <row r="2954" spans="3:14">
      <c r="C2954" s="977"/>
      <c r="D2954" s="981"/>
      <c r="E2954" s="981"/>
      <c r="F2954" s="981"/>
      <c r="G2954" s="981"/>
      <c r="H2954" s="983"/>
      <c r="I2954" s="981"/>
      <c r="J2954" s="981"/>
      <c r="K2954" s="981"/>
      <c r="L2954" s="981"/>
      <c r="M2954" s="813"/>
      <c r="N2954" s="814"/>
    </row>
    <row r="2955" spans="3:14">
      <c r="C2955" s="977"/>
      <c r="D2955" s="981"/>
      <c r="E2955" s="2475" t="s">
        <v>1844</v>
      </c>
      <c r="F2955" s="2475"/>
      <c r="G2955" s="1009" t="s">
        <v>471</v>
      </c>
      <c r="H2955" s="62" t="str">
        <f>IFERROR(IF([1]F_ProductBM!H249 = "", "", [1]F_ProductBM!H249 ),"")</f>
        <v/>
      </c>
      <c r="I2955" s="65" t="str">
        <f>IFERROR(IF([1]F_ProductBM!I249 = "", "", [1]F_ProductBM!I249 ),"")</f>
        <v/>
      </c>
      <c r="J2955" s="69" t="str">
        <f>IFERROR(IF([1]F_ProductBM!J249 = "", "", [1]F_ProductBM!J249 ),"")</f>
        <v/>
      </c>
      <c r="K2955" s="62" t="str">
        <f>IFERROR(IF([1]F_ProductBM!K249 = "", "", [1]F_ProductBM!K249 ),"")</f>
        <v/>
      </c>
      <c r="L2955" s="62" t="str">
        <f>IFERROR(IF([1]F_ProductBM!L249 = "", "", [1]F_ProductBM!L249 ),"")</f>
        <v/>
      </c>
      <c r="M2955" s="62" t="str">
        <f>IFERROR(IF([1]F_ProductBM!M249 = "", "", [1]F_ProductBM!M249 ),"")</f>
        <v/>
      </c>
      <c r="N2955" s="62" t="str">
        <f>IFERROR(IF([1]F_ProductBM!N249 = "", "", [1]F_ProductBM!N249 ),"")</f>
        <v/>
      </c>
    </row>
    <row r="2956" spans="3:14" ht="13.5" thickBot="1">
      <c r="C2956" s="977"/>
      <c r="D2956" s="981"/>
      <c r="E2956" s="981"/>
      <c r="F2956" s="981"/>
      <c r="G2956" s="981"/>
      <c r="H2956" s="983"/>
      <c r="I2956" s="981"/>
      <c r="J2956" s="981"/>
      <c r="K2956" s="981"/>
      <c r="L2956" s="981"/>
      <c r="M2956" s="813"/>
      <c r="N2956" s="814"/>
    </row>
    <row r="2957" spans="3:14">
      <c r="C2957" s="977"/>
      <c r="D2957" s="1010"/>
      <c r="E2957" s="1011"/>
      <c r="F2957" s="1011"/>
      <c r="G2957" s="1011"/>
      <c r="H2957" s="1012"/>
      <c r="I2957" s="1011"/>
      <c r="J2957" s="1011"/>
      <c r="K2957" s="1011"/>
      <c r="L2957" s="1011"/>
      <c r="M2957" s="942"/>
      <c r="N2957" s="943"/>
    </row>
    <row r="2958" spans="3:14">
      <c r="C2958" s="977"/>
      <c r="D2958" s="907" t="s">
        <v>1917</v>
      </c>
      <c r="E2958" s="2713" t="s">
        <v>1773</v>
      </c>
      <c r="F2958" s="2493"/>
      <c r="G2958" s="2493"/>
      <c r="H2958" s="910" t="s">
        <v>884</v>
      </c>
      <c r="I2958" s="911" t="s">
        <v>2213</v>
      </c>
      <c r="J2958" s="912">
        <v>2021</v>
      </c>
      <c r="K2958" s="913">
        <v>2022</v>
      </c>
      <c r="L2958" s="913">
        <v>2023</v>
      </c>
      <c r="M2958" s="913">
        <v>2024</v>
      </c>
      <c r="N2958" s="914">
        <v>2025</v>
      </c>
    </row>
    <row r="2959" spans="3:14">
      <c r="C2959" s="977"/>
      <c r="D2959" s="915" t="s">
        <v>6</v>
      </c>
      <c r="E2959" s="2714" t="s">
        <v>1691</v>
      </c>
      <c r="F2959" s="2410"/>
      <c r="G2959" s="2410"/>
      <c r="H2959" s="944" t="s">
        <v>471</v>
      </c>
      <c r="I2959" s="281" t="str">
        <f>IFERROR(IF([1]F_ProductBM!I253 = "", "", [1]F_ProductBM!I253 ),"")</f>
        <v/>
      </c>
      <c r="J2959" s="334" t="str">
        <f>IFERROR(IF([1]F_ProductBM!J253 = "", "", [1]F_ProductBM!J253 ),"")</f>
        <v/>
      </c>
      <c r="K2959" s="335" t="str">
        <f>IFERROR(IF([1]F_ProductBM!K253 = "", "", [1]F_ProductBM!K253 ),"")</f>
        <v/>
      </c>
      <c r="L2959" s="335" t="str">
        <f>IFERROR(IF([1]F_ProductBM!L253 = "", "", [1]F_ProductBM!L253 ),"")</f>
        <v/>
      </c>
      <c r="M2959" s="335" t="str">
        <f>IFERROR(IF([1]F_ProductBM!M253 = "", "", [1]F_ProductBM!M253 ),"")</f>
        <v/>
      </c>
      <c r="N2959" s="336" t="str">
        <f>IFERROR(IF([1]F_ProductBM!N253 = "", "", [1]F_ProductBM!N253 ),"")</f>
        <v/>
      </c>
    </row>
    <row r="2960" spans="3:14">
      <c r="C2960" s="977"/>
      <c r="D2960" s="915"/>
      <c r="E2960" s="2714" t="s">
        <v>1776</v>
      </c>
      <c r="F2960" s="2410"/>
      <c r="G2960" s="2410"/>
      <c r="H2960" s="921"/>
      <c r="I2960" s="916"/>
      <c r="J2960" s="319" t="str">
        <f>IFERROR(IF([1]F_ProductBM!J254 = "", "", [1]F_ProductBM!J254 ),"")</f>
        <v/>
      </c>
      <c r="K2960" s="320" t="str">
        <f>IFERROR(IF([1]F_ProductBM!K254 = "", "", [1]F_ProductBM!K254 ),"")</f>
        <v/>
      </c>
      <c r="L2960" s="320" t="str">
        <f>IFERROR(IF([1]F_ProductBM!L254 = "", "", [1]F_ProductBM!L254 ),"")</f>
        <v/>
      </c>
      <c r="M2960" s="320" t="str">
        <f>IFERROR(IF([1]F_ProductBM!M254 = "", "", [1]F_ProductBM!M254 ),"")</f>
        <v/>
      </c>
      <c r="N2960" s="321" t="str">
        <f>IFERROR(IF([1]F_ProductBM!N254 = "", "", [1]F_ProductBM!N254 ),"")</f>
        <v/>
      </c>
    </row>
    <row r="2961" spans="3:14">
      <c r="C2961" s="977"/>
      <c r="D2961" s="915" t="s">
        <v>7</v>
      </c>
      <c r="E2961" s="2714" t="s">
        <v>1654</v>
      </c>
      <c r="F2961" s="2410"/>
      <c r="G2961" s="2410"/>
      <c r="H2961" s="921"/>
      <c r="I2961" s="916"/>
      <c r="J2961" s="288" t="str">
        <f>IFERROR(IF([1]F_ProductBM!J255 = "", "", [1]F_ProductBM!J255 ),"")</f>
        <v/>
      </c>
      <c r="K2961" s="289" t="str">
        <f>IFERROR(IF([1]F_ProductBM!K255 = "", "", [1]F_ProductBM!K255 ),"")</f>
        <v/>
      </c>
      <c r="L2961" s="289" t="str">
        <f>IFERROR(IF([1]F_ProductBM!L255 = "", "", [1]F_ProductBM!L255 ),"")</f>
        <v/>
      </c>
      <c r="M2961" s="289" t="str">
        <f>IFERROR(IF([1]F_ProductBM!M255 = "", "", [1]F_ProductBM!M255 ),"")</f>
        <v/>
      </c>
      <c r="N2961" s="290" t="str">
        <f>IFERROR(IF([1]F_ProductBM!N255 = "", "", [1]F_ProductBM!N255 ),"")</f>
        <v/>
      </c>
    </row>
    <row r="2962" spans="3:14">
      <c r="C2962" s="977"/>
      <c r="D2962" s="915"/>
      <c r="E2962" s="2714" t="s">
        <v>1689</v>
      </c>
      <c r="F2962" s="2410"/>
      <c r="G2962" s="2410"/>
      <c r="H2962" s="944" t="s">
        <v>471</v>
      </c>
      <c r="I2962" s="281" t="str">
        <f>IFERROR(IF([1]F_ProductBM!I256 = "", "", [1]F_ProductBM!I256 ),"")</f>
        <v/>
      </c>
      <c r="J2962" s="282" t="str">
        <f>IFERROR(IF([1]F_ProductBM!J256 = "", "", [1]F_ProductBM!J256 ),"")</f>
        <v/>
      </c>
      <c r="K2962" s="283" t="str">
        <f>IFERROR(IF([1]F_ProductBM!K256 = "", "", [1]F_ProductBM!K256 ),"")</f>
        <v/>
      </c>
      <c r="L2962" s="283" t="str">
        <f>IFERROR(IF([1]F_ProductBM!L256 = "", "", [1]F_ProductBM!L256 ),"")</f>
        <v/>
      </c>
      <c r="M2962" s="283" t="str">
        <f>IFERROR(IF([1]F_ProductBM!M256 = "", "", [1]F_ProductBM!M256 ),"")</f>
        <v/>
      </c>
      <c r="N2962" s="284" t="str">
        <f>IFERROR(IF([1]F_ProductBM!N256 = "", "", [1]F_ProductBM!N256 ),"")</f>
        <v/>
      </c>
    </row>
    <row r="2963" spans="3:14">
      <c r="C2963" s="977"/>
      <c r="D2963" s="915"/>
      <c r="E2963" s="909"/>
      <c r="F2963" s="909"/>
      <c r="G2963" s="909"/>
      <c r="H2963" s="909"/>
      <c r="I2963" s="909"/>
      <c r="J2963" s="909"/>
      <c r="K2963" s="909"/>
      <c r="L2963" s="909"/>
      <c r="M2963" s="909"/>
      <c r="N2963" s="922"/>
    </row>
    <row r="2964" spans="3:14">
      <c r="C2964" s="977"/>
      <c r="D2964" s="915"/>
      <c r="E2964" s="2713" t="s">
        <v>1653</v>
      </c>
      <c r="F2964" s="2493"/>
      <c r="G2964" s="2493"/>
      <c r="H2964" s="2493"/>
      <c r="I2964" s="2708"/>
      <c r="J2964" s="912">
        <v>2021</v>
      </c>
      <c r="K2964" s="913">
        <v>2022</v>
      </c>
      <c r="L2964" s="913">
        <v>2023</v>
      </c>
      <c r="M2964" s="913">
        <v>2024</v>
      </c>
      <c r="N2964" s="914">
        <v>2025</v>
      </c>
    </row>
    <row r="2965" spans="3:14">
      <c r="C2965" s="977"/>
      <c r="D2965" s="915" t="s">
        <v>8</v>
      </c>
      <c r="E2965" s="2714" t="s">
        <v>2108</v>
      </c>
      <c r="F2965" s="2410"/>
      <c r="G2965" s="2410"/>
      <c r="H2965" s="2410"/>
      <c r="I2965" s="2715"/>
      <c r="J2965" s="69" t="str">
        <f>IFERROR(IF([1]F_ProductBM!J259 = "", "", [1]F_ProductBM!J259 ),"")</f>
        <v/>
      </c>
      <c r="K2965" s="62" t="str">
        <f>IFERROR(IF([1]F_ProductBM!K259 = "", "", [1]F_ProductBM!K259 ),"")</f>
        <v/>
      </c>
      <c r="L2965" s="62" t="str">
        <f>IFERROR(IF([1]F_ProductBM!L259 = "", "", [1]F_ProductBM!L259 ),"")</f>
        <v/>
      </c>
      <c r="M2965" s="62" t="str">
        <f>IFERROR(IF([1]F_ProductBM!M259 = "", "", [1]F_ProductBM!M259 ),"")</f>
        <v/>
      </c>
      <c r="N2965" s="70" t="str">
        <f>IFERROR(IF([1]F_ProductBM!N259 = "", "", [1]F_ProductBM!N259 ),"")</f>
        <v/>
      </c>
    </row>
    <row r="2966" spans="3:14" ht="13.5" thickBot="1">
      <c r="C2966" s="977"/>
      <c r="D2966" s="915"/>
      <c r="E2966" s="909"/>
      <c r="F2966" s="909"/>
      <c r="G2966" s="909"/>
      <c r="H2966" s="909"/>
      <c r="I2966" s="909"/>
      <c r="J2966" s="909"/>
      <c r="K2966" s="909"/>
      <c r="L2966" s="909"/>
      <c r="M2966" s="909"/>
      <c r="N2966" s="922"/>
    </row>
    <row r="2967" spans="3:14" ht="13.5" thickBot="1">
      <c r="C2967" s="977"/>
      <c r="D2967" s="915" t="s">
        <v>18</v>
      </c>
      <c r="E2967" s="2714" t="s">
        <v>1657</v>
      </c>
      <c r="F2967" s="2410"/>
      <c r="G2967" s="2410"/>
      <c r="H2967" s="2410"/>
      <c r="I2967" s="2715"/>
      <c r="J2967" s="291" t="str">
        <f>IFERROR(IF([1]F_ProductBM!J261 = "", "", [1]F_ProductBM!J261 ),"")</f>
        <v/>
      </c>
      <c r="K2967" s="292" t="str">
        <f>IFERROR(IF([1]F_ProductBM!K261 = "", "", [1]F_ProductBM!K261 ),"")</f>
        <v/>
      </c>
      <c r="L2967" s="292" t="str">
        <f>IFERROR(IF([1]F_ProductBM!L261 = "", "", [1]F_ProductBM!L261 ),"")</f>
        <v/>
      </c>
      <c r="M2967" s="292" t="str">
        <f>IFERROR(IF([1]F_ProductBM!M261 = "", "", [1]F_ProductBM!M261 ),"")</f>
        <v/>
      </c>
      <c r="N2967" s="293" t="str">
        <f>IFERROR(IF([1]F_ProductBM!N261 = "", "", [1]F_ProductBM!N261 ),"")</f>
        <v/>
      </c>
    </row>
    <row r="2968" spans="3:14" ht="13.5" thickBot="1">
      <c r="C2968" s="977"/>
      <c r="D2968" s="915" t="s">
        <v>787</v>
      </c>
      <c r="E2968" s="2714" t="s">
        <v>1659</v>
      </c>
      <c r="F2968" s="2410"/>
      <c r="G2968" s="2410"/>
      <c r="H2968" s="944" t="s">
        <v>471</v>
      </c>
      <c r="I2968" s="281" t="str">
        <f>IFERROR(IF([1]F_ProductBM!I262 = "", "", [1]F_ProductBM!I262 ),"")</f>
        <v/>
      </c>
      <c r="J2968" s="294" t="str">
        <f>IFERROR(IF([1]F_ProductBM!J262 = "", "", [1]F_ProductBM!J262 ),"")</f>
        <v/>
      </c>
      <c r="K2968" s="295" t="str">
        <f>IFERROR(IF([1]F_ProductBM!K262 = "", "", [1]F_ProductBM!K262 ),"")</f>
        <v/>
      </c>
      <c r="L2968" s="295" t="str">
        <f>IFERROR(IF([1]F_ProductBM!L262 = "", "", [1]F_ProductBM!L262 ),"")</f>
        <v/>
      </c>
      <c r="M2968" s="295" t="str">
        <f>IFERROR(IF([1]F_ProductBM!M262 = "", "", [1]F_ProductBM!M262 ),"")</f>
        <v/>
      </c>
      <c r="N2968" s="296" t="str">
        <f>IFERROR(IF([1]F_ProductBM!N262 = "", "", [1]F_ProductBM!N262 ),"")</f>
        <v/>
      </c>
    </row>
    <row r="2969" spans="3:14" ht="13.5" thickBot="1">
      <c r="C2969" s="977"/>
      <c r="D2969" s="946"/>
      <c r="E2969" s="947"/>
      <c r="F2969" s="947"/>
      <c r="G2969" s="947"/>
      <c r="H2969" s="1014"/>
      <c r="I2969" s="947"/>
      <c r="J2969" s="947"/>
      <c r="K2969" s="947"/>
      <c r="L2969" s="947"/>
      <c r="M2969" s="925"/>
      <c r="N2969" s="926"/>
    </row>
    <row r="2970" spans="3:14">
      <c r="C2970" s="977"/>
      <c r="D2970" s="981"/>
      <c r="E2970" s="981"/>
      <c r="F2970" s="981"/>
      <c r="G2970" s="981"/>
      <c r="H2970" s="983"/>
      <c r="I2970" s="981"/>
      <c r="J2970" s="981"/>
      <c r="K2970" s="981"/>
      <c r="L2970" s="981"/>
      <c r="M2970" s="813"/>
      <c r="N2970" s="814"/>
    </row>
    <row r="2971" spans="3:14">
      <c r="C2971" s="977"/>
      <c r="D2971" s="777" t="s">
        <v>1109</v>
      </c>
      <c r="E2971" s="2649" t="s">
        <v>1218</v>
      </c>
      <c r="F2971" s="2391"/>
      <c r="G2971" s="2391"/>
      <c r="H2971" s="2512"/>
      <c r="I2971" s="2683" t="str">
        <f>IFERROR(IF([1]F_ProductBM!I265 = "", "", [1]F_ProductBM!I265 ),"")</f>
        <v/>
      </c>
      <c r="J2971" s="2488"/>
      <c r="K2971" s="2488"/>
      <c r="L2971" s="2488"/>
      <c r="M2971" s="2686"/>
      <c r="N2971" s="814"/>
    </row>
    <row r="2972" spans="3:14">
      <c r="C2972" s="977"/>
      <c r="D2972" s="777"/>
      <c r="E2972" s="2676" t="s">
        <v>2298</v>
      </c>
      <c r="F2972" s="2391"/>
      <c r="G2972" s="2391"/>
      <c r="H2972" s="2391"/>
      <c r="I2972" s="2391"/>
      <c r="J2972" s="2391"/>
      <c r="K2972" s="2391"/>
      <c r="L2972" s="2391"/>
      <c r="M2972" s="2391"/>
      <c r="N2972" s="2650"/>
    </row>
    <row r="2973" spans="3:14">
      <c r="C2973" s="977"/>
      <c r="D2973" s="777"/>
      <c r="E2973" s="2669" t="s">
        <v>1560</v>
      </c>
      <c r="F2973" s="2391"/>
      <c r="G2973" s="2391"/>
      <c r="H2973" s="2391"/>
      <c r="I2973" s="2391"/>
      <c r="J2973" s="2391"/>
      <c r="K2973" s="2391"/>
      <c r="L2973" s="2391"/>
      <c r="M2973" s="2391"/>
      <c r="N2973" s="2650"/>
    </row>
    <row r="2974" spans="3:14">
      <c r="C2974" s="977"/>
      <c r="D2974" s="981"/>
      <c r="E2974" s="989"/>
      <c r="F2974" s="990"/>
      <c r="G2974" s="987" t="s">
        <v>884</v>
      </c>
      <c r="H2974" s="782">
        <v>2019</v>
      </c>
      <c r="I2974" s="988">
        <v>2020</v>
      </c>
      <c r="J2974" s="781">
        <v>2021</v>
      </c>
      <c r="K2974" s="782">
        <v>2022</v>
      </c>
      <c r="L2974" s="782">
        <v>2023</v>
      </c>
      <c r="M2974" s="782">
        <v>2024</v>
      </c>
      <c r="N2974" s="783">
        <v>2025</v>
      </c>
    </row>
    <row r="2975" spans="3:14">
      <c r="C2975" s="977"/>
      <c r="D2975" s="777" t="s">
        <v>1110</v>
      </c>
      <c r="E2975" s="2471" t="s">
        <v>1303</v>
      </c>
      <c r="F2975" s="2472"/>
      <c r="G2975" s="67" t="str">
        <f>IFERROR(IF([1]F_ProductBM!G269 = "", "", [1]F_ProductBM!G269 ),"")</f>
        <v/>
      </c>
      <c r="H2975" s="94" t="str">
        <f>IFERROR(IF([1]F_ProductBM!H269 = "", "", [1]F_ProductBM!H269 ),"")</f>
        <v/>
      </c>
      <c r="I2975" s="110" t="str">
        <f>IFERROR(IF([1]F_ProductBM!I269 = "", "", [1]F_ProductBM!I269 ),"")</f>
        <v/>
      </c>
      <c r="J2975" s="111" t="str">
        <f>IFERROR(IF([1]F_ProductBM!J269 = "", "", [1]F_ProductBM!J269 ),"")</f>
        <v/>
      </c>
      <c r="K2975" s="94" t="str">
        <f>IFERROR(IF([1]F_ProductBM!K269 = "", "", [1]F_ProductBM!K269 ),"")</f>
        <v/>
      </c>
      <c r="L2975" s="94" t="str">
        <f>IFERROR(IF([1]F_ProductBM!L269 = "", "", [1]F_ProductBM!L269 ),"")</f>
        <v/>
      </c>
      <c r="M2975" s="94" t="str">
        <f>IFERROR(IF([1]F_ProductBM!M269 = "", "", [1]F_ProductBM!M269 ),"")</f>
        <v/>
      </c>
      <c r="N2975" s="112" t="str">
        <f>IFERROR(IF([1]F_ProductBM!N269 = "", "", [1]F_ProductBM!N269 ),"")</f>
        <v/>
      </c>
    </row>
    <row r="2976" spans="3:14">
      <c r="C2976" s="977"/>
      <c r="D2976" s="777" t="s">
        <v>1111</v>
      </c>
      <c r="E2976" s="2473" t="s">
        <v>661</v>
      </c>
      <c r="F2976" s="2474"/>
      <c r="G2976" s="350" t="str">
        <f>IFERROR(IF([1]F_ProductBM!G270 = "", "", [1]F_ProductBM!G270 ),"")</f>
        <v>GJ / Unit</v>
      </c>
      <c r="H2976" s="95" t="str">
        <f>IFERROR(IF([1]F_ProductBM!H270 = "", "", [1]F_ProductBM!H270 ),"")</f>
        <v/>
      </c>
      <c r="I2976" s="113" t="str">
        <f>IFERROR(IF([1]F_ProductBM!I270 = "", "", [1]F_ProductBM!I270 ),"")</f>
        <v/>
      </c>
      <c r="J2976" s="114" t="str">
        <f>IFERROR(IF([1]F_ProductBM!J270 = "", "", [1]F_ProductBM!J270 ),"")</f>
        <v/>
      </c>
      <c r="K2976" s="95" t="str">
        <f>IFERROR(IF([1]F_ProductBM!K270 = "", "", [1]F_ProductBM!K270 ),"")</f>
        <v/>
      </c>
      <c r="L2976" s="95" t="str">
        <f>IFERROR(IF([1]F_ProductBM!L270 = "", "", [1]F_ProductBM!L270 ),"")</f>
        <v/>
      </c>
      <c r="M2976" s="95" t="str">
        <f>IFERROR(IF([1]F_ProductBM!M270 = "", "", [1]F_ProductBM!M270 ),"")</f>
        <v/>
      </c>
      <c r="N2976" s="115" t="str">
        <f>IFERROR(IF([1]F_ProductBM!N270 = "", "", [1]F_ProductBM!N270 ),"")</f>
        <v/>
      </c>
    </row>
    <row r="2977" spans="3:14">
      <c r="C2977" s="977"/>
      <c r="D2977" s="777" t="s">
        <v>1112</v>
      </c>
      <c r="E2977" s="2475" t="s">
        <v>1102</v>
      </c>
      <c r="F2977" s="2410"/>
      <c r="G2977" s="815" t="s">
        <v>2017</v>
      </c>
      <c r="H2977" s="93" t="str">
        <f>IFERROR(IF([1]F_ProductBM!H271 = "", "", [1]F_ProductBM!H271 ),"")</f>
        <v/>
      </c>
      <c r="I2977" s="116" t="str">
        <f>IFERROR(IF([1]F_ProductBM!I271 = "", "", [1]F_ProductBM!I271 ),"")</f>
        <v/>
      </c>
      <c r="J2977" s="117" t="str">
        <f>IFERROR(IF([1]F_ProductBM!J271 = "", "", [1]F_ProductBM!J271 ),"")</f>
        <v/>
      </c>
      <c r="K2977" s="93" t="str">
        <f>IFERROR(IF([1]F_ProductBM!K271 = "", "", [1]F_ProductBM!K271 ),"")</f>
        <v/>
      </c>
      <c r="L2977" s="93" t="str">
        <f>IFERROR(IF([1]F_ProductBM!L271 = "", "", [1]F_ProductBM!L271 ),"")</f>
        <v/>
      </c>
      <c r="M2977" s="93" t="str">
        <f>IFERROR(IF([1]F_ProductBM!M271 = "", "", [1]F_ProductBM!M271 ),"")</f>
        <v/>
      </c>
      <c r="N2977" s="118" t="str">
        <f>IFERROR(IF([1]F_ProductBM!N271 = "", "", [1]F_ProductBM!N271 ),"")</f>
        <v/>
      </c>
    </row>
    <row r="2978" spans="3:14">
      <c r="C2978" s="977"/>
      <c r="D2978" s="777" t="s">
        <v>1113</v>
      </c>
      <c r="E2978" s="2475" t="s">
        <v>1275</v>
      </c>
      <c r="F2978" s="2410"/>
      <c r="G2978" s="815" t="s">
        <v>2018</v>
      </c>
      <c r="H2978" s="93" t="str">
        <f>IFERROR(IF([1]F_ProductBM!H272 = "", "", [1]F_ProductBM!H272 ),"")</f>
        <v/>
      </c>
      <c r="I2978" s="116" t="str">
        <f>IFERROR(IF([1]F_ProductBM!I272 = "", "", [1]F_ProductBM!I272 ),"")</f>
        <v/>
      </c>
      <c r="J2978" s="117" t="str">
        <f>IFERROR(IF([1]F_ProductBM!J272 = "", "", [1]F_ProductBM!J272 ),"")</f>
        <v/>
      </c>
      <c r="K2978" s="93" t="str">
        <f>IFERROR(IF([1]F_ProductBM!K272 = "", "", [1]F_ProductBM!K272 ),"")</f>
        <v/>
      </c>
      <c r="L2978" s="93" t="str">
        <f>IFERROR(IF([1]F_ProductBM!L272 = "", "", [1]F_ProductBM!L272 ),"")</f>
        <v/>
      </c>
      <c r="M2978" s="93" t="str">
        <f>IFERROR(IF([1]F_ProductBM!M272 = "", "", [1]F_ProductBM!M272 ),"")</f>
        <v/>
      </c>
      <c r="N2978" s="118" t="str">
        <f>IFERROR(IF([1]F_ProductBM!N272 = "", "", [1]F_ProductBM!N272 ),"")</f>
        <v/>
      </c>
    </row>
    <row r="2979" spans="3:14">
      <c r="C2979" s="977"/>
      <c r="D2979" s="981"/>
      <c r="E2979" s="981"/>
      <c r="F2979" s="981"/>
      <c r="G2979" s="981"/>
      <c r="H2979" s="983"/>
      <c r="I2979" s="981"/>
      <c r="J2979" s="981"/>
      <c r="K2979" s="981"/>
      <c r="L2979" s="981"/>
      <c r="M2979" s="813"/>
      <c r="N2979" s="814"/>
    </row>
    <row r="2980" spans="3:14">
      <c r="C2980" s="977"/>
      <c r="D2980" s="777" t="s">
        <v>1114</v>
      </c>
      <c r="E2980" s="2649" t="s">
        <v>1217</v>
      </c>
      <c r="F2980" s="2391"/>
      <c r="G2980" s="2391"/>
      <c r="H2980" s="2512"/>
      <c r="I2980" s="2683" t="str">
        <f>IFERROR(IF([1]F_ProductBM!I274 = "", "", [1]F_ProductBM!I274 ),"")</f>
        <v/>
      </c>
      <c r="J2980" s="2488"/>
      <c r="K2980" s="2488"/>
      <c r="L2980" s="2488"/>
      <c r="M2980" s="2686"/>
      <c r="N2980" s="979"/>
    </row>
    <row r="2981" spans="3:14">
      <c r="C2981" s="977"/>
      <c r="D2981" s="777"/>
      <c r="E2981" s="2676" t="s">
        <v>2298</v>
      </c>
      <c r="F2981" s="2391"/>
      <c r="G2981" s="2391"/>
      <c r="H2981" s="2391"/>
      <c r="I2981" s="2391"/>
      <c r="J2981" s="2391"/>
      <c r="K2981" s="2391"/>
      <c r="L2981" s="2391"/>
      <c r="M2981" s="2391"/>
      <c r="N2981" s="2650"/>
    </row>
    <row r="2982" spans="3:14">
      <c r="C2982" s="977"/>
      <c r="D2982" s="777"/>
      <c r="E2982" s="2669" t="s">
        <v>1317</v>
      </c>
      <c r="F2982" s="2391"/>
      <c r="G2982" s="2391"/>
      <c r="H2982" s="2391"/>
      <c r="I2982" s="2391"/>
      <c r="J2982" s="2391"/>
      <c r="K2982" s="2391"/>
      <c r="L2982" s="2391"/>
      <c r="M2982" s="2391"/>
      <c r="N2982" s="2650"/>
    </row>
    <row r="2983" spans="3:14">
      <c r="C2983" s="977"/>
      <c r="D2983" s="981"/>
      <c r="E2983" s="989"/>
      <c r="F2983" s="990"/>
      <c r="G2983" s="987" t="s">
        <v>884</v>
      </c>
      <c r="H2983" s="782">
        <v>2019</v>
      </c>
      <c r="I2983" s="988">
        <v>2020</v>
      </c>
      <c r="J2983" s="781">
        <v>2021</v>
      </c>
      <c r="K2983" s="782">
        <v>2022</v>
      </c>
      <c r="L2983" s="782">
        <v>2023</v>
      </c>
      <c r="M2983" s="782">
        <v>2024</v>
      </c>
      <c r="N2983" s="783">
        <v>2025</v>
      </c>
    </row>
    <row r="2984" spans="3:14">
      <c r="C2984" s="977"/>
      <c r="D2984" s="777" t="s">
        <v>1115</v>
      </c>
      <c r="E2984" s="2471" t="s">
        <v>1304</v>
      </c>
      <c r="F2984" s="2472"/>
      <c r="G2984" s="67" t="str">
        <f>IFERROR(IF([1]F_ProductBM!G278 = "", "", [1]F_ProductBM!G278 ),"")</f>
        <v/>
      </c>
      <c r="H2984" s="94" t="str">
        <f>IFERROR(IF([1]F_ProductBM!H278 = "", "", [1]F_ProductBM!H278 ),"")</f>
        <v/>
      </c>
      <c r="I2984" s="110" t="str">
        <f>IFERROR(IF([1]F_ProductBM!I278 = "", "", [1]F_ProductBM!I278 ),"")</f>
        <v/>
      </c>
      <c r="J2984" s="111" t="str">
        <f>IFERROR(IF([1]F_ProductBM!J278 = "", "", [1]F_ProductBM!J278 ),"")</f>
        <v/>
      </c>
      <c r="K2984" s="94" t="str">
        <f>IFERROR(IF([1]F_ProductBM!K278 = "", "", [1]F_ProductBM!K278 ),"")</f>
        <v/>
      </c>
      <c r="L2984" s="94" t="str">
        <f>IFERROR(IF([1]F_ProductBM!L278 = "", "", [1]F_ProductBM!L278 ),"")</f>
        <v/>
      </c>
      <c r="M2984" s="94" t="str">
        <f>IFERROR(IF([1]F_ProductBM!M278 = "", "", [1]F_ProductBM!M278 ),"")</f>
        <v/>
      </c>
      <c r="N2984" s="112" t="str">
        <f>IFERROR(IF([1]F_ProductBM!N278 = "", "", [1]F_ProductBM!N278 ),"")</f>
        <v/>
      </c>
    </row>
    <row r="2985" spans="3:14">
      <c r="C2985" s="977"/>
      <c r="D2985" s="777" t="s">
        <v>1561</v>
      </c>
      <c r="E2985" s="2473" t="s">
        <v>661</v>
      </c>
      <c r="F2985" s="2474"/>
      <c r="G2985" s="350" t="str">
        <f>IFERROR(IF([1]F_ProductBM!G279 = "", "", [1]F_ProductBM!G279 ),"")</f>
        <v>GJ / Unit</v>
      </c>
      <c r="H2985" s="95" t="str">
        <f>IFERROR(IF([1]F_ProductBM!H279 = "", "", [1]F_ProductBM!H279 ),"")</f>
        <v/>
      </c>
      <c r="I2985" s="113" t="str">
        <f>IFERROR(IF([1]F_ProductBM!I279 = "", "", [1]F_ProductBM!I279 ),"")</f>
        <v/>
      </c>
      <c r="J2985" s="114" t="str">
        <f>IFERROR(IF([1]F_ProductBM!J279 = "", "", [1]F_ProductBM!J279 ),"")</f>
        <v/>
      </c>
      <c r="K2985" s="95" t="str">
        <f>IFERROR(IF([1]F_ProductBM!K279 = "", "", [1]F_ProductBM!K279 ),"")</f>
        <v/>
      </c>
      <c r="L2985" s="95" t="str">
        <f>IFERROR(IF([1]F_ProductBM!L279 = "", "", [1]F_ProductBM!L279 ),"")</f>
        <v/>
      </c>
      <c r="M2985" s="95" t="str">
        <f>IFERROR(IF([1]F_ProductBM!M279 = "", "", [1]F_ProductBM!M279 ),"")</f>
        <v/>
      </c>
      <c r="N2985" s="115" t="str">
        <f>IFERROR(IF([1]F_ProductBM!N279 = "", "", [1]F_ProductBM!N279 ),"")</f>
        <v/>
      </c>
    </row>
    <row r="2986" spans="3:14">
      <c r="C2986" s="977"/>
      <c r="D2986" s="777" t="s">
        <v>1599</v>
      </c>
      <c r="E2986" s="2475" t="s">
        <v>1080</v>
      </c>
      <c r="F2986" s="2410"/>
      <c r="G2986" s="815" t="s">
        <v>2017</v>
      </c>
      <c r="H2986" s="93" t="str">
        <f>IFERROR(IF([1]F_ProductBM!H280 = "", "", [1]F_ProductBM!H280 ),"")</f>
        <v/>
      </c>
      <c r="I2986" s="116" t="str">
        <f>IFERROR(IF([1]F_ProductBM!I280 = "", "", [1]F_ProductBM!I280 ),"")</f>
        <v/>
      </c>
      <c r="J2986" s="117" t="str">
        <f>IFERROR(IF([1]F_ProductBM!J280 = "", "", [1]F_ProductBM!J280 ),"")</f>
        <v/>
      </c>
      <c r="K2986" s="93" t="str">
        <f>IFERROR(IF([1]F_ProductBM!K280 = "", "", [1]F_ProductBM!K280 ),"")</f>
        <v/>
      </c>
      <c r="L2986" s="93" t="str">
        <f>IFERROR(IF([1]F_ProductBM!L280 = "", "", [1]F_ProductBM!L280 ),"")</f>
        <v/>
      </c>
      <c r="M2986" s="93" t="str">
        <f>IFERROR(IF([1]F_ProductBM!M280 = "", "", [1]F_ProductBM!M280 ),"")</f>
        <v/>
      </c>
      <c r="N2986" s="118" t="str">
        <f>IFERROR(IF([1]F_ProductBM!N280 = "", "", [1]F_ProductBM!N280 ),"")</f>
        <v/>
      </c>
    </row>
    <row r="2987" spans="3:14">
      <c r="C2987" s="977"/>
      <c r="D2987" s="777" t="s">
        <v>1600</v>
      </c>
      <c r="E2987" s="2475" t="s">
        <v>1276</v>
      </c>
      <c r="F2987" s="2410"/>
      <c r="G2987" s="815" t="s">
        <v>2018</v>
      </c>
      <c r="H2987" s="93" t="str">
        <f>IFERROR(IF([1]F_ProductBM!H281 = "", "", [1]F_ProductBM!H281 ),"")</f>
        <v/>
      </c>
      <c r="I2987" s="116" t="str">
        <f>IFERROR(IF([1]F_ProductBM!I281 = "", "", [1]F_ProductBM!I281 ),"")</f>
        <v/>
      </c>
      <c r="J2987" s="117" t="str">
        <f>IFERROR(IF([1]F_ProductBM!J281 = "", "", [1]F_ProductBM!J281 ),"")</f>
        <v/>
      </c>
      <c r="K2987" s="93" t="str">
        <f>IFERROR(IF([1]F_ProductBM!K281 = "", "", [1]F_ProductBM!K281 ),"")</f>
        <v/>
      </c>
      <c r="L2987" s="93" t="str">
        <f>IFERROR(IF([1]F_ProductBM!L281 = "", "", [1]F_ProductBM!L281 ),"")</f>
        <v/>
      </c>
      <c r="M2987" s="93" t="str">
        <f>IFERROR(IF([1]F_ProductBM!M281 = "", "", [1]F_ProductBM!M281 ),"")</f>
        <v/>
      </c>
      <c r="N2987" s="118" t="str">
        <f>IFERROR(IF([1]F_ProductBM!N281 = "", "", [1]F_ProductBM!N281 ),"")</f>
        <v/>
      </c>
    </row>
    <row r="2988" spans="3:14">
      <c r="C2988" s="977"/>
      <c r="D2988" s="981"/>
      <c r="E2988" s="981"/>
      <c r="F2988" s="981"/>
      <c r="G2988" s="981"/>
      <c r="H2988" s="981"/>
      <c r="I2988" s="983"/>
      <c r="J2988" s="981"/>
      <c r="K2988" s="981"/>
      <c r="L2988" s="981"/>
      <c r="M2988" s="981"/>
      <c r="N2988" s="814"/>
    </row>
    <row r="2989" spans="3:14">
      <c r="C2989" s="977"/>
      <c r="D2989" s="982" t="s">
        <v>482</v>
      </c>
      <c r="E2989" s="2649" t="s">
        <v>1127</v>
      </c>
      <c r="F2989" s="2391"/>
      <c r="G2989" s="2391"/>
      <c r="H2989" s="2391"/>
      <c r="I2989" s="2391"/>
      <c r="J2989" s="2391"/>
      <c r="K2989" s="2391"/>
      <c r="L2989" s="2391"/>
      <c r="M2989" s="2391"/>
      <c r="N2989" s="2650"/>
    </row>
    <row r="2990" spans="3:14">
      <c r="C2990" s="977"/>
      <c r="D2990" s="777"/>
      <c r="E2990" s="2676" t="s">
        <v>2299</v>
      </c>
      <c r="F2990" s="2391"/>
      <c r="G2990" s="2391"/>
      <c r="H2990" s="2391"/>
      <c r="I2990" s="2391"/>
      <c r="J2990" s="2391"/>
      <c r="K2990" s="2391"/>
      <c r="L2990" s="2391"/>
      <c r="M2990" s="2391"/>
      <c r="N2990" s="2650"/>
    </row>
    <row r="2991" spans="3:14" ht="21.95" customHeight="1">
      <c r="C2991" s="977"/>
      <c r="D2991" s="981"/>
      <c r="E2991" s="2669" t="s">
        <v>2705</v>
      </c>
      <c r="F2991" s="2391"/>
      <c r="G2991" s="2391"/>
      <c r="H2991" s="2391"/>
      <c r="I2991" s="2391"/>
      <c r="J2991" s="2391"/>
      <c r="K2991" s="2391"/>
      <c r="L2991" s="2391"/>
      <c r="M2991" s="2391"/>
      <c r="N2991" s="2650"/>
    </row>
    <row r="2992" spans="3:14">
      <c r="C2992" s="977"/>
      <c r="D2992" s="982"/>
      <c r="E2992" s="989"/>
      <c r="F2992" s="990"/>
      <c r="G2992" s="987" t="s">
        <v>884</v>
      </c>
      <c r="H2992" s="782">
        <v>2019</v>
      </c>
      <c r="I2992" s="988">
        <v>2020</v>
      </c>
      <c r="J2992" s="781">
        <v>2021</v>
      </c>
      <c r="K2992" s="782">
        <v>2022</v>
      </c>
      <c r="L2992" s="782">
        <v>2023</v>
      </c>
      <c r="M2992" s="782">
        <v>2024</v>
      </c>
      <c r="N2992" s="783">
        <v>2025</v>
      </c>
    </row>
    <row r="2993" spans="3:14">
      <c r="C2993" s="977"/>
      <c r="D2993" s="777"/>
      <c r="E2993" s="2475" t="s">
        <v>1354</v>
      </c>
      <c r="F2993" s="2410"/>
      <c r="G2993" s="815" t="s">
        <v>2021</v>
      </c>
      <c r="H2993" s="93" t="str">
        <f>IFERROR(IF([1]F_ProductBM!H287 = "", "", [1]F_ProductBM!H287 ),"")</f>
        <v/>
      </c>
      <c r="I2993" s="116" t="str">
        <f>IFERROR(IF([1]F_ProductBM!I287 = "", "", [1]F_ProductBM!I287 ),"")</f>
        <v/>
      </c>
      <c r="J2993" s="117" t="str">
        <f>IFERROR(IF([1]F_ProductBM!J287 = "", "", [1]F_ProductBM!J287 ),"")</f>
        <v/>
      </c>
      <c r="K2993" s="93" t="str">
        <f>IFERROR(IF([1]F_ProductBM!K287 = "", "", [1]F_ProductBM!K287 ),"")</f>
        <v/>
      </c>
      <c r="L2993" s="93" t="str">
        <f>IFERROR(IF([1]F_ProductBM!L287 = "", "", [1]F_ProductBM!L287 ),"")</f>
        <v/>
      </c>
      <c r="M2993" s="93" t="str">
        <f>IFERROR(IF([1]F_ProductBM!M287 = "", "", [1]F_ProductBM!M287 ),"")</f>
        <v/>
      </c>
      <c r="N2993" s="118" t="str">
        <f>IFERROR(IF([1]F_ProductBM!N287 = "", "", [1]F_ProductBM!N287 ),"")</f>
        <v/>
      </c>
    </row>
    <row r="2994" spans="3:14">
      <c r="C2994" s="977"/>
      <c r="D2994" s="981"/>
      <c r="E2994" s="981"/>
      <c r="F2994" s="981"/>
      <c r="G2994" s="981"/>
      <c r="H2994" s="981"/>
      <c r="I2994" s="983"/>
      <c r="J2994" s="981"/>
      <c r="K2994" s="981"/>
      <c r="L2994" s="981"/>
      <c r="M2994" s="981"/>
      <c r="N2994" s="814"/>
    </row>
    <row r="2995" spans="3:14">
      <c r="C2995" s="977"/>
      <c r="D2995" s="982" t="s">
        <v>245</v>
      </c>
      <c r="E2995" s="2649" t="s">
        <v>1157</v>
      </c>
      <c r="F2995" s="2391"/>
      <c r="G2995" s="2391"/>
      <c r="H2995" s="2391"/>
      <c r="I2995" s="2391"/>
      <c r="J2995" s="2391"/>
      <c r="K2995" s="2391"/>
      <c r="L2995" s="2391"/>
      <c r="M2995" s="2391"/>
      <c r="N2995" s="2650"/>
    </row>
    <row r="2996" spans="3:14">
      <c r="C2996" s="977"/>
      <c r="D2996" s="981"/>
      <c r="E2996" s="2669" t="s">
        <v>1264</v>
      </c>
      <c r="F2996" s="2391"/>
      <c r="G2996" s="2391"/>
      <c r="H2996" s="2391"/>
      <c r="I2996" s="2391"/>
      <c r="J2996" s="2391"/>
      <c r="K2996" s="2391"/>
      <c r="L2996" s="2391"/>
      <c r="M2996" s="2391"/>
      <c r="N2996" s="2650"/>
    </row>
    <row r="2997" spans="3:14">
      <c r="C2997" s="977"/>
      <c r="D2997" s="981"/>
      <c r="E2997" s="2669" t="s">
        <v>1563</v>
      </c>
      <c r="F2997" s="2391"/>
      <c r="G2997" s="2391"/>
      <c r="H2997" s="2391"/>
      <c r="I2997" s="2391"/>
      <c r="J2997" s="2391"/>
      <c r="K2997" s="2391"/>
      <c r="L2997" s="2391"/>
      <c r="M2997" s="2391"/>
      <c r="N2997" s="2650"/>
    </row>
    <row r="2998" spans="3:14">
      <c r="C2998" s="977"/>
      <c r="D2998" s="777"/>
      <c r="E2998" s="2707" t="s">
        <v>1598</v>
      </c>
      <c r="F2998" s="2493"/>
      <c r="G2998" s="2493"/>
      <c r="H2998" s="2493"/>
      <c r="I2998" s="2493"/>
      <c r="J2998" s="2493"/>
      <c r="K2998" s="2493"/>
      <c r="L2998" s="2493"/>
      <c r="M2998" s="2493"/>
      <c r="N2998" s="2708"/>
    </row>
    <row r="2999" spans="3:14">
      <c r="C2999" s="977"/>
      <c r="D2999" s="777"/>
      <c r="E2999" s="2487" t="str">
        <f>IFERROR(IF([1]F_ProductBM!E293 = "", "", [1]F_ProductBM!E293 ),"")</f>
        <v/>
      </c>
      <c r="F2999" s="2488"/>
      <c r="G2999" s="815" t="s">
        <v>1020</v>
      </c>
      <c r="H2999" s="93" t="str">
        <f>IFERROR(IF([1]F_ProductBM!H293 = "", "", [1]F_ProductBM!H293 ),"")</f>
        <v/>
      </c>
      <c r="I2999" s="116" t="str">
        <f>IFERROR(IF([1]F_ProductBM!I293 = "", "", [1]F_ProductBM!I293 ),"")</f>
        <v/>
      </c>
      <c r="J2999" s="117" t="str">
        <f>IFERROR(IF([1]F_ProductBM!J293 = "", "", [1]F_ProductBM!J293 ),"")</f>
        <v/>
      </c>
      <c r="K2999" s="93" t="str">
        <f>IFERROR(IF([1]F_ProductBM!K293 = "", "", [1]F_ProductBM!K293 ),"")</f>
        <v/>
      </c>
      <c r="L2999" s="93" t="str">
        <f>IFERROR(IF([1]F_ProductBM!L293 = "", "", [1]F_ProductBM!L293 ),"")</f>
        <v/>
      </c>
      <c r="M2999" s="93" t="str">
        <f>IFERROR(IF([1]F_ProductBM!M293 = "", "", [1]F_ProductBM!M293 ),"")</f>
        <v/>
      </c>
      <c r="N2999" s="118" t="str">
        <f>IFERROR(IF([1]F_ProductBM!N293 = "", "", [1]F_ProductBM!N293 ),"")</f>
        <v/>
      </c>
    </row>
    <row r="3000" spans="3:14">
      <c r="C3000" s="977"/>
      <c r="D3000" s="777"/>
      <c r="E3000" s="777"/>
      <c r="F3000" s="777"/>
      <c r="G3000" s="777"/>
      <c r="H3000" s="983"/>
      <c r="I3000" s="777"/>
      <c r="J3000" s="777"/>
      <c r="K3000" s="777"/>
      <c r="L3000" s="777"/>
      <c r="M3000" s="777"/>
      <c r="N3000" s="1007"/>
    </row>
    <row r="3001" spans="3:14">
      <c r="C3001" s="977"/>
      <c r="D3001" s="982" t="s">
        <v>832</v>
      </c>
      <c r="E3001" s="2649" t="s">
        <v>1142</v>
      </c>
      <c r="F3001" s="2391"/>
      <c r="G3001" s="2391"/>
      <c r="H3001" s="2391"/>
      <c r="I3001" s="2391"/>
      <c r="J3001" s="2391"/>
      <c r="K3001" s="2391"/>
      <c r="L3001" s="2391"/>
      <c r="M3001" s="2391"/>
      <c r="N3001" s="2650"/>
    </row>
    <row r="3002" spans="3:14">
      <c r="C3002" s="977"/>
      <c r="D3002" s="981"/>
      <c r="E3002" s="2669" t="s">
        <v>1366</v>
      </c>
      <c r="F3002" s="2391"/>
      <c r="G3002" s="2391"/>
      <c r="H3002" s="2391"/>
      <c r="I3002" s="2391"/>
      <c r="J3002" s="2391"/>
      <c r="K3002" s="2391"/>
      <c r="L3002" s="2391"/>
      <c r="M3002" s="2391"/>
      <c r="N3002" s="2650"/>
    </row>
    <row r="3003" spans="3:14">
      <c r="C3003" s="977"/>
      <c r="D3003" s="981"/>
      <c r="E3003" s="2676" t="s">
        <v>1610</v>
      </c>
      <c r="F3003" s="2391"/>
      <c r="G3003" s="2391"/>
      <c r="H3003" s="2391"/>
      <c r="I3003" s="2391"/>
      <c r="J3003" s="2391"/>
      <c r="K3003" s="2391"/>
      <c r="L3003" s="2391"/>
      <c r="M3003" s="2391"/>
      <c r="N3003" s="2650"/>
    </row>
    <row r="3004" spans="3:14">
      <c r="C3004" s="977"/>
      <c r="D3004" s="777" t="s">
        <v>6</v>
      </c>
      <c r="E3004" s="2682" t="s">
        <v>1145</v>
      </c>
      <c r="F3004" s="2391"/>
      <c r="G3004" s="2391"/>
      <c r="H3004" s="2391"/>
      <c r="I3004" s="2391"/>
      <c r="J3004" s="2391"/>
      <c r="K3004" s="2512"/>
      <c r="L3004" s="120" t="str">
        <f>IFERROR(IF([1]F_ProductBM!L298 = "", "", [1]F_ProductBM!L298 ),"")</f>
        <v/>
      </c>
      <c r="M3004" s="813"/>
      <c r="N3004" s="1015"/>
    </row>
    <row r="3005" spans="3:14">
      <c r="C3005" s="977"/>
      <c r="D3005" s="777"/>
      <c r="E3005" s="777"/>
      <c r="F3005" s="777"/>
      <c r="G3005" s="777"/>
      <c r="H3005" s="983"/>
      <c r="I3005" s="777"/>
      <c r="J3005" s="777"/>
      <c r="K3005" s="777"/>
      <c r="L3005" s="777"/>
      <c r="M3005" s="777"/>
      <c r="N3005" s="1007"/>
    </row>
    <row r="3006" spans="3:14">
      <c r="C3006" s="977"/>
      <c r="D3006" s="982"/>
      <c r="E3006" s="2648" t="s">
        <v>1144</v>
      </c>
      <c r="F3006" s="2493"/>
      <c r="G3006" s="778" t="s">
        <v>884</v>
      </c>
      <c r="H3006" s="782">
        <v>2019</v>
      </c>
      <c r="I3006" s="988">
        <v>2020</v>
      </c>
      <c r="J3006" s="781">
        <v>2021</v>
      </c>
      <c r="K3006" s="782">
        <v>2022</v>
      </c>
      <c r="L3006" s="782">
        <v>2023</v>
      </c>
      <c r="M3006" s="782">
        <v>2024</v>
      </c>
      <c r="N3006" s="783">
        <v>2025</v>
      </c>
    </row>
    <row r="3007" spans="3:14">
      <c r="C3007" s="977"/>
      <c r="D3007" s="777" t="s">
        <v>7</v>
      </c>
      <c r="E3007" s="2513" t="str">
        <f>IFERROR(IF([1]F_ProductBM!E301 = "", "", [1]F_ProductBM!E301 ),"")</f>
        <v/>
      </c>
      <c r="F3007" s="2705"/>
      <c r="G3007" s="355" t="str">
        <f>IFERROR(IF([1]F_ProductBM!G301 = "", "", [1]F_ProductBM!G301 ),"")</f>
        <v>tonnes</v>
      </c>
      <c r="H3007" s="371" t="str">
        <f>IFERROR(IF([1]F_ProductBM!H301 = "", "", [1]F_ProductBM!H301 ),"")</f>
        <v/>
      </c>
      <c r="I3007" s="372" t="str">
        <f>IFERROR(IF([1]F_ProductBM!I301 = "", "", [1]F_ProductBM!I301 ),"")</f>
        <v/>
      </c>
      <c r="J3007" s="373" t="str">
        <f>IFERROR(IF([1]F_ProductBM!J301 = "", "", [1]F_ProductBM!J301 ),"")</f>
        <v/>
      </c>
      <c r="K3007" s="371" t="str">
        <f>IFERROR(IF([1]F_ProductBM!K301 = "", "", [1]F_ProductBM!K301 ),"")</f>
        <v/>
      </c>
      <c r="L3007" s="371" t="str">
        <f>IFERROR(IF([1]F_ProductBM!L301 = "", "", [1]F_ProductBM!L301 ),"")</f>
        <v/>
      </c>
      <c r="M3007" s="371" t="str">
        <f>IFERROR(IF([1]F_ProductBM!M301 = "", "", [1]F_ProductBM!M301 ),"")</f>
        <v/>
      </c>
      <c r="N3007" s="374" t="str">
        <f>IFERROR(IF([1]F_ProductBM!N301 = "", "", [1]F_ProductBM!N301 ),"")</f>
        <v/>
      </c>
    </row>
    <row r="3008" spans="3:14">
      <c r="C3008" s="977"/>
      <c r="D3008" s="777" t="s">
        <v>8</v>
      </c>
      <c r="E3008" s="2520" t="str">
        <f>IFERROR(IF([1]F_ProductBM!E302 = "", "", [1]F_ProductBM!E302 ),"")</f>
        <v/>
      </c>
      <c r="F3008" s="2706"/>
      <c r="G3008" s="350" t="str">
        <f>IFERROR(IF([1]F_ProductBM!G302 = "", "", [1]F_ProductBM!G302 ),"")</f>
        <v>tonnes</v>
      </c>
      <c r="H3008" s="364" t="str">
        <f>IFERROR(IF([1]F_ProductBM!H302 = "", "", [1]F_ProductBM!H302 ),"")</f>
        <v/>
      </c>
      <c r="I3008" s="365" t="str">
        <f>IFERROR(IF([1]F_ProductBM!I302 = "", "", [1]F_ProductBM!I302 ),"")</f>
        <v/>
      </c>
      <c r="J3008" s="366" t="str">
        <f>IFERROR(IF([1]F_ProductBM!J302 = "", "", [1]F_ProductBM!J302 ),"")</f>
        <v/>
      </c>
      <c r="K3008" s="364" t="str">
        <f>IFERROR(IF([1]F_ProductBM!K302 = "", "", [1]F_ProductBM!K302 ),"")</f>
        <v/>
      </c>
      <c r="L3008" s="364" t="str">
        <f>IFERROR(IF([1]F_ProductBM!L302 = "", "", [1]F_ProductBM!L302 ),"")</f>
        <v/>
      </c>
      <c r="M3008" s="364" t="str">
        <f>IFERROR(IF([1]F_ProductBM!M302 = "", "", [1]F_ProductBM!M302 ),"")</f>
        <v/>
      </c>
      <c r="N3008" s="367" t="str">
        <f>IFERROR(IF([1]F_ProductBM!N302 = "", "", [1]F_ProductBM!N302 ),"")</f>
        <v/>
      </c>
    </row>
    <row r="3009" spans="3:14">
      <c r="C3009" s="977"/>
      <c r="D3009" s="777"/>
      <c r="E3009" s="777"/>
      <c r="F3009" s="777"/>
      <c r="G3009" s="777"/>
      <c r="H3009" s="777"/>
      <c r="I3009" s="777"/>
      <c r="J3009" s="777"/>
      <c r="K3009" s="777"/>
      <c r="L3009" s="777"/>
      <c r="M3009" s="777"/>
      <c r="N3009" s="810"/>
    </row>
    <row r="3010" spans="3:14">
      <c r="C3010" s="977"/>
      <c r="D3010" s="982"/>
      <c r="E3010" s="2648" t="s">
        <v>1143</v>
      </c>
      <c r="F3010" s="2493"/>
      <c r="G3010" s="778" t="s">
        <v>884</v>
      </c>
      <c r="H3010" s="782">
        <v>2019</v>
      </c>
      <c r="I3010" s="988">
        <v>2020</v>
      </c>
      <c r="J3010" s="781">
        <v>2021</v>
      </c>
      <c r="K3010" s="782">
        <v>2022</v>
      </c>
      <c r="L3010" s="782">
        <v>2023</v>
      </c>
      <c r="M3010" s="782">
        <v>2024</v>
      </c>
      <c r="N3010" s="783">
        <v>2025</v>
      </c>
    </row>
    <row r="3011" spans="3:14">
      <c r="C3011" s="977"/>
      <c r="D3011" s="777" t="s">
        <v>18</v>
      </c>
      <c r="E3011" s="2513" t="str">
        <f>IFERROR(IF([1]F_ProductBM!E305 = "", "", [1]F_ProductBM!E305 ),"")</f>
        <v/>
      </c>
      <c r="F3011" s="2705"/>
      <c r="G3011" s="355" t="str">
        <f>IFERROR(IF([1]F_ProductBM!G305 = "", "", [1]F_ProductBM!G305 ),"")</f>
        <v>tonnes</v>
      </c>
      <c r="H3011" s="371" t="str">
        <f>IFERROR(IF([1]F_ProductBM!H305 = "", "", [1]F_ProductBM!H305 ),"")</f>
        <v/>
      </c>
      <c r="I3011" s="372" t="str">
        <f>IFERROR(IF([1]F_ProductBM!I305 = "", "", [1]F_ProductBM!I305 ),"")</f>
        <v/>
      </c>
      <c r="J3011" s="373" t="str">
        <f>IFERROR(IF([1]F_ProductBM!J305 = "", "", [1]F_ProductBM!J305 ),"")</f>
        <v/>
      </c>
      <c r="K3011" s="371" t="str">
        <f>IFERROR(IF([1]F_ProductBM!K305 = "", "", [1]F_ProductBM!K305 ),"")</f>
        <v/>
      </c>
      <c r="L3011" s="371" t="str">
        <f>IFERROR(IF([1]F_ProductBM!L305 = "", "", [1]F_ProductBM!L305 ),"")</f>
        <v/>
      </c>
      <c r="M3011" s="371" t="str">
        <f>IFERROR(IF([1]F_ProductBM!M305 = "", "", [1]F_ProductBM!M305 ),"")</f>
        <v/>
      </c>
      <c r="N3011" s="374" t="str">
        <f>IFERROR(IF([1]F_ProductBM!N305 = "", "", [1]F_ProductBM!N305 ),"")</f>
        <v/>
      </c>
    </row>
    <row r="3012" spans="3:14">
      <c r="C3012" s="977"/>
      <c r="D3012" s="777" t="s">
        <v>787</v>
      </c>
      <c r="E3012" s="2520" t="str">
        <f>IFERROR(IF([1]F_ProductBM!E306 = "", "", [1]F_ProductBM!E306 ),"")</f>
        <v/>
      </c>
      <c r="F3012" s="2706"/>
      <c r="G3012" s="350" t="str">
        <f>IFERROR(IF([1]F_ProductBM!G306 = "", "", [1]F_ProductBM!G306 ),"")</f>
        <v>tonnes</v>
      </c>
      <c r="H3012" s="364" t="str">
        <f>IFERROR(IF([1]F_ProductBM!H306 = "", "", [1]F_ProductBM!H306 ),"")</f>
        <v/>
      </c>
      <c r="I3012" s="365" t="str">
        <f>IFERROR(IF([1]F_ProductBM!I306 = "", "", [1]F_ProductBM!I306 ),"")</f>
        <v/>
      </c>
      <c r="J3012" s="366" t="str">
        <f>IFERROR(IF([1]F_ProductBM!J306 = "", "", [1]F_ProductBM!J306 ),"")</f>
        <v/>
      </c>
      <c r="K3012" s="364" t="str">
        <f>IFERROR(IF([1]F_ProductBM!K306 = "", "", [1]F_ProductBM!K306 ),"")</f>
        <v/>
      </c>
      <c r="L3012" s="364" t="str">
        <f>IFERROR(IF([1]F_ProductBM!L306 = "", "", [1]F_ProductBM!L306 ),"")</f>
        <v/>
      </c>
      <c r="M3012" s="364" t="str">
        <f>IFERROR(IF([1]F_ProductBM!M306 = "", "", [1]F_ProductBM!M306 ),"")</f>
        <v/>
      </c>
      <c r="N3012" s="367" t="str">
        <f>IFERROR(IF([1]F_ProductBM!N306 = "", "", [1]F_ProductBM!N306 ),"")</f>
        <v/>
      </c>
    </row>
    <row r="3013" spans="3:14">
      <c r="C3013" s="977"/>
      <c r="D3013" s="777"/>
      <c r="E3013" s="777"/>
      <c r="F3013" s="777"/>
      <c r="G3013" s="777"/>
      <c r="H3013" s="777"/>
      <c r="I3013" s="777"/>
      <c r="J3013" s="777"/>
      <c r="K3013" s="777"/>
      <c r="L3013" s="777"/>
      <c r="M3013" s="777"/>
      <c r="N3013" s="1007"/>
    </row>
    <row r="3014" spans="3:14">
      <c r="C3014" s="977"/>
      <c r="D3014" s="777" t="s">
        <v>788</v>
      </c>
      <c r="E3014" s="813" t="s">
        <v>1146</v>
      </c>
      <c r="F3014" s="813"/>
      <c r="G3014" s="813"/>
      <c r="H3014" s="813"/>
      <c r="I3014" s="813"/>
      <c r="J3014" s="813"/>
      <c r="K3014" s="813"/>
      <c r="L3014" s="813"/>
      <c r="M3014" s="813"/>
      <c r="N3014" s="1007"/>
    </row>
    <row r="3015" spans="3:14">
      <c r="C3015" s="977"/>
      <c r="D3015" s="777"/>
      <c r="E3015" s="1017" t="s">
        <v>1459</v>
      </c>
      <c r="F3015" s="978"/>
      <c r="G3015" s="978"/>
      <c r="H3015" s="978"/>
      <c r="I3015" s="978"/>
      <c r="J3015" s="978"/>
      <c r="K3015" s="978"/>
      <c r="L3015" s="978"/>
      <c r="M3015" s="978"/>
      <c r="N3015" s="979"/>
    </row>
    <row r="3016" spans="3:14">
      <c r="C3016" s="977"/>
      <c r="D3016" s="777"/>
      <c r="E3016" s="2699" t="str">
        <f>IFERROR(IF([1]F_ProductBM!E310 = "", "", [1]F_ProductBM!E310 ),"")</f>
        <v/>
      </c>
      <c r="F3016" s="2700"/>
      <c r="G3016" s="2700"/>
      <c r="H3016" s="2700"/>
      <c r="I3016" s="2700"/>
      <c r="J3016" s="2700"/>
      <c r="K3016" s="2700"/>
      <c r="L3016" s="2700"/>
      <c r="M3016" s="2701"/>
      <c r="N3016" s="1007"/>
    </row>
    <row r="3017" spans="3:14">
      <c r="C3017" s="977"/>
      <c r="D3017" s="777"/>
      <c r="E3017" s="2702"/>
      <c r="F3017" s="2703"/>
      <c r="G3017" s="2703"/>
      <c r="H3017" s="2703"/>
      <c r="I3017" s="2703"/>
      <c r="J3017" s="2703"/>
      <c r="K3017" s="2703"/>
      <c r="L3017" s="2703"/>
      <c r="M3017" s="2704"/>
      <c r="N3017" s="1007"/>
    </row>
    <row r="3018" spans="3:14" ht="13.5" thickBot="1">
      <c r="C3018" s="1018"/>
      <c r="D3018" s="1019"/>
      <c r="E3018" s="1019"/>
      <c r="F3018" s="1019"/>
      <c r="G3018" s="1019"/>
      <c r="H3018" s="1019"/>
      <c r="I3018" s="1019"/>
      <c r="J3018" s="1019"/>
      <c r="K3018" s="1019"/>
      <c r="L3018" s="1019"/>
      <c r="M3018" s="805"/>
      <c r="N3018" s="806"/>
    </row>
    <row r="3019" spans="3:14" ht="13.5" thickBot="1">
      <c r="C3019" s="467"/>
      <c r="D3019" s="467"/>
      <c r="E3019" s="467"/>
      <c r="F3019" s="467"/>
      <c r="G3019" s="467"/>
      <c r="H3019" s="467"/>
      <c r="I3019" s="467"/>
      <c r="J3019" s="467"/>
      <c r="K3019" s="467"/>
      <c r="L3019" s="467"/>
      <c r="M3019" s="481"/>
      <c r="N3019" s="481"/>
    </row>
    <row r="3020" spans="3:14">
      <c r="C3020" s="1020"/>
      <c r="D3020" s="1020"/>
      <c r="E3020" s="1020"/>
      <c r="F3020" s="1020"/>
      <c r="G3020" s="1020"/>
      <c r="H3020" s="1020"/>
      <c r="I3020" s="1020"/>
      <c r="J3020" s="1020"/>
      <c r="K3020" s="1020"/>
      <c r="L3020" s="1020"/>
      <c r="M3020" s="1020"/>
      <c r="N3020" s="1020"/>
    </row>
    <row r="3021" spans="3:14" ht="15">
      <c r="C3021" s="897">
        <v>2</v>
      </c>
      <c r="D3021" s="2482" t="s">
        <v>2704</v>
      </c>
      <c r="E3021" s="2400"/>
      <c r="F3021" s="2400"/>
      <c r="G3021" s="2400"/>
      <c r="H3021" s="2585"/>
      <c r="I3021" s="2489" t="str">
        <f>IFERROR(IF([1]F_ProductBM!I315 = "", "", [1]F_ProductBM!I315 ),"")</f>
        <v/>
      </c>
      <c r="J3021" s="2534"/>
      <c r="K3021" s="2534"/>
      <c r="L3021" s="2534"/>
      <c r="M3021" s="2534"/>
      <c r="N3021" s="2535"/>
    </row>
    <row r="3022" spans="3:14">
      <c r="C3022" s="479"/>
      <c r="D3022" s="485"/>
      <c r="E3022" s="2465" t="s">
        <v>2706</v>
      </c>
      <c r="F3022" s="2400"/>
      <c r="G3022" s="2400"/>
      <c r="H3022" s="2400"/>
      <c r="I3022" s="2400"/>
      <c r="J3022" s="2400"/>
      <c r="K3022" s="2400"/>
      <c r="L3022" s="2400"/>
      <c r="M3022" s="2400"/>
      <c r="N3022" s="2400"/>
    </row>
    <row r="3023" spans="3:14">
      <c r="C3023" s="479"/>
      <c r="D3023" s="479"/>
      <c r="E3023" s="479"/>
      <c r="F3023" s="479"/>
      <c r="G3023" s="479"/>
      <c r="H3023" s="479"/>
      <c r="I3023" s="479"/>
      <c r="J3023" s="479"/>
      <c r="K3023" s="479"/>
      <c r="L3023" s="479"/>
      <c r="M3023" s="485"/>
      <c r="N3023" s="485"/>
    </row>
    <row r="3024" spans="3:14">
      <c r="C3024" s="479"/>
      <c r="D3024" s="482" t="s">
        <v>400</v>
      </c>
      <c r="E3024" s="2373" t="s">
        <v>1930</v>
      </c>
      <c r="F3024" s="2400"/>
      <c r="G3024" s="2400"/>
      <c r="H3024" s="2400"/>
      <c r="I3024" s="2400"/>
      <c r="J3024" s="2400"/>
      <c r="K3024" s="2400"/>
      <c r="L3024" s="2400"/>
      <c r="M3024" s="2400"/>
      <c r="N3024" s="2400"/>
    </row>
    <row r="3025" spans="3:14">
      <c r="C3025" s="479"/>
      <c r="D3025" s="485"/>
      <c r="E3025" s="2465" t="s">
        <v>801</v>
      </c>
      <c r="F3025" s="2400"/>
      <c r="G3025" s="2400"/>
      <c r="H3025" s="2400"/>
      <c r="I3025" s="2400"/>
      <c r="J3025" s="2400"/>
      <c r="K3025" s="2400"/>
      <c r="L3025" s="2400"/>
      <c r="M3025" s="2400"/>
      <c r="N3025" s="2400"/>
    </row>
    <row r="3026" spans="3:14">
      <c r="C3026" s="479"/>
      <c r="D3026" s="485"/>
      <c r="E3026" s="2465" t="s">
        <v>1199</v>
      </c>
      <c r="F3026" s="2400"/>
      <c r="G3026" s="2400"/>
      <c r="H3026" s="2400"/>
      <c r="I3026" s="2400"/>
      <c r="J3026" s="2400"/>
      <c r="K3026" s="2400"/>
      <c r="L3026" s="2400"/>
      <c r="M3026" s="2400"/>
      <c r="N3026" s="2400"/>
    </row>
    <row r="3027" spans="3:14">
      <c r="C3027" s="479"/>
      <c r="D3027" s="485"/>
      <c r="E3027" s="2465" t="s">
        <v>125</v>
      </c>
      <c r="F3027" s="2400"/>
      <c r="G3027" s="2400"/>
      <c r="H3027" s="2400"/>
      <c r="I3027" s="2400"/>
      <c r="J3027" s="2400"/>
      <c r="K3027" s="2400"/>
      <c r="L3027" s="2400"/>
      <c r="M3027" s="2400"/>
      <c r="N3027" s="2400"/>
    </row>
    <row r="3028" spans="3:14">
      <c r="C3028" s="485"/>
      <c r="D3028" s="482"/>
      <c r="E3028" s="2509" t="s">
        <v>1447</v>
      </c>
      <c r="F3028" s="2509"/>
      <c r="G3028" s="663" t="s">
        <v>884</v>
      </c>
      <c r="H3028" s="578">
        <v>2019</v>
      </c>
      <c r="I3028" s="697">
        <v>2020</v>
      </c>
      <c r="J3028" s="696">
        <v>2021</v>
      </c>
      <c r="K3028" s="578">
        <v>2022</v>
      </c>
      <c r="L3028" s="578">
        <v>2023</v>
      </c>
      <c r="M3028" s="578">
        <v>2024</v>
      </c>
      <c r="N3028" s="671">
        <v>2025</v>
      </c>
    </row>
    <row r="3029" spans="3:14">
      <c r="C3029" s="485"/>
      <c r="D3029" s="561" t="s">
        <v>6</v>
      </c>
      <c r="E3029" s="2696" t="str">
        <f>IFERROR(IF([1]F_ProductBM!E323 = "", "", [1]F_ProductBM!E323 ),"")</f>
        <v/>
      </c>
      <c r="F3029" s="2696"/>
      <c r="G3029" s="74" t="str">
        <f>IFERROR(IF([1]F_ProductBM!G323 = "", "", [1]F_ProductBM!G323 ),"")</f>
        <v>tonnes</v>
      </c>
      <c r="H3029" s="277" t="str">
        <f>IFERROR(IF([1]F_ProductBM!H323 = "", "", [1]F_ProductBM!H323 ),"")</f>
        <v/>
      </c>
      <c r="I3029" s="275" t="str">
        <f>IFERROR(IF([1]F_ProductBM!I323 = "", "", [1]F_ProductBM!I323 ),"")</f>
        <v/>
      </c>
      <c r="J3029" s="276" t="str">
        <f>IFERROR(IF([1]F_ProductBM!J323 = "", "", [1]F_ProductBM!J323 ),"")</f>
        <v/>
      </c>
      <c r="K3029" s="277" t="str">
        <f>IFERROR(IF([1]F_ProductBM!K323 = "", "", [1]F_ProductBM!K323 ),"")</f>
        <v/>
      </c>
      <c r="L3029" s="277" t="str">
        <f>IFERROR(IF([1]F_ProductBM!L323 = "", "", [1]F_ProductBM!L323 ),"")</f>
        <v/>
      </c>
      <c r="M3029" s="277" t="str">
        <f>IFERROR(IF([1]F_ProductBM!M323 = "", "", [1]F_ProductBM!M323 ),"")</f>
        <v/>
      </c>
      <c r="N3029" s="277" t="str">
        <f>IFERROR(IF([1]F_ProductBM!N323 = "", "", [1]F_ProductBM!N323 ),"")</f>
        <v/>
      </c>
    </row>
    <row r="3030" spans="3:14">
      <c r="C3030" s="485"/>
      <c r="D3030" s="561" t="s">
        <v>7</v>
      </c>
      <c r="E3030" s="2696" t="str">
        <f>IFERROR(IF([1]F_ProductBM!E324 = "", "", [1]F_ProductBM!E324 ),"")</f>
        <v>From sheet "H_SpecialBM":</v>
      </c>
      <c r="F3030" s="2696"/>
      <c r="G3030" s="74" t="str">
        <f>IFERROR(IF([1]F_ProductBM!G324 = "", "", [1]F_ProductBM!G324 ),"")</f>
        <v>tonnes</v>
      </c>
      <c r="H3030" s="278" t="str">
        <f>IFERROR(IF([1]F_ProductBM!H324 = "", "", [1]F_ProductBM!H324 ),"")</f>
        <v/>
      </c>
      <c r="I3030" s="279" t="str">
        <f>IFERROR(IF([1]F_ProductBM!I324 = "", "", [1]F_ProductBM!I324 ),"")</f>
        <v/>
      </c>
      <c r="J3030" s="280" t="str">
        <f>IFERROR(IF([1]F_ProductBM!J324 = "", "", [1]F_ProductBM!J324 ),"")</f>
        <v/>
      </c>
      <c r="K3030" s="278" t="str">
        <f>IFERROR(IF([1]F_ProductBM!K324 = "", "", [1]F_ProductBM!K324 ),"")</f>
        <v/>
      </c>
      <c r="L3030" s="278" t="str">
        <f>IFERROR(IF([1]F_ProductBM!L324 = "", "", [1]F_ProductBM!L324 ),"")</f>
        <v/>
      </c>
      <c r="M3030" s="278" t="str">
        <f>IFERROR(IF([1]F_ProductBM!M324 = "", "", [1]F_ProductBM!M324 ),"")</f>
        <v/>
      </c>
      <c r="N3030" s="277" t="str">
        <f>IFERROR(IF([1]F_ProductBM!N324 = "", "", [1]F_ProductBM!N324 ),"")</f>
        <v/>
      </c>
    </row>
    <row r="3031" spans="3:14">
      <c r="C3031" s="485"/>
      <c r="D3031" s="561" t="s">
        <v>8</v>
      </c>
      <c r="E3031" s="2696" t="str">
        <f>IFERROR(IF([1]F_ProductBM!E325 = "", "", [1]F_ProductBM!E325 ),"")</f>
        <v>Values used for calculation:</v>
      </c>
      <c r="F3031" s="2696"/>
      <c r="G3031" s="74" t="str">
        <f>IFERROR(IF([1]F_ProductBM!G325 = "", "", [1]F_ProductBM!G325 ),"")</f>
        <v>tonnes</v>
      </c>
      <c r="H3031" s="278" t="str">
        <f>IFERROR(IF([1]F_ProductBM!H325 = "", "", [1]F_ProductBM!H325 ),"")</f>
        <v/>
      </c>
      <c r="I3031" s="279" t="str">
        <f>IFERROR(IF([1]F_ProductBM!I325 = "", "", [1]F_ProductBM!I325 ),"")</f>
        <v/>
      </c>
      <c r="J3031" s="280" t="str">
        <f>IFERROR(IF([1]F_ProductBM!J325 = "", "", [1]F_ProductBM!J325 ),"")</f>
        <v/>
      </c>
      <c r="K3031" s="278" t="str">
        <f>IFERROR(IF([1]F_ProductBM!K325 = "", "", [1]F_ProductBM!K325 ),"")</f>
        <v/>
      </c>
      <c r="L3031" s="278" t="str">
        <f>IFERROR(IF([1]F_ProductBM!L325 = "", "", [1]F_ProductBM!L325 ),"")</f>
        <v/>
      </c>
      <c r="M3031" s="278" t="str">
        <f>IFERROR(IF([1]F_ProductBM!M325 = "", "", [1]F_ProductBM!M325 ),"")</f>
        <v/>
      </c>
      <c r="N3031" s="277" t="str">
        <f>IFERROR(IF([1]F_ProductBM!N325 = "", "", [1]F_ProductBM!N325 ),"")</f>
        <v/>
      </c>
    </row>
    <row r="3032" spans="3:14">
      <c r="C3032" s="479"/>
      <c r="D3032" s="479"/>
      <c r="E3032" s="479"/>
      <c r="F3032" s="479"/>
      <c r="G3032" s="479"/>
      <c r="H3032" s="479"/>
      <c r="I3032" s="479"/>
      <c r="J3032" s="479"/>
      <c r="K3032" s="479"/>
      <c r="L3032" s="479"/>
      <c r="M3032" s="485"/>
      <c r="N3032" s="485"/>
    </row>
    <row r="3033" spans="3:14">
      <c r="C3033" s="479"/>
      <c r="D3033" s="561" t="s">
        <v>18</v>
      </c>
      <c r="E3033" s="2373" t="s">
        <v>922</v>
      </c>
      <c r="F3033" s="2373"/>
      <c r="G3033" s="2604"/>
      <c r="H3033" s="2652" t="s">
        <v>1857</v>
      </c>
      <c r="I3033" s="2689"/>
      <c r="J3033" s="2689"/>
      <c r="K3033" s="2689"/>
      <c r="L3033" s="2689"/>
      <c r="M3033" s="2689"/>
      <c r="N3033" s="2690"/>
    </row>
    <row r="3034" spans="3:14">
      <c r="C3034" s="479"/>
      <c r="D3034" s="485"/>
      <c r="E3034" s="2465" t="s">
        <v>923</v>
      </c>
      <c r="F3034" s="2400"/>
      <c r="G3034" s="2400"/>
      <c r="H3034" s="2400"/>
      <c r="I3034" s="2400"/>
      <c r="J3034" s="2400"/>
      <c r="K3034" s="2400"/>
      <c r="L3034" s="2400"/>
      <c r="M3034" s="2400"/>
      <c r="N3034" s="2400"/>
    </row>
    <row r="3035" spans="3:14">
      <c r="C3035" s="479"/>
      <c r="D3035" s="485"/>
      <c r="E3035" s="485"/>
      <c r="F3035" s="485"/>
      <c r="G3035" s="485"/>
      <c r="H3035" s="485"/>
      <c r="I3035" s="485"/>
      <c r="J3035" s="485"/>
      <c r="K3035" s="485"/>
      <c r="L3035" s="485"/>
      <c r="M3035" s="485"/>
      <c r="N3035" s="485"/>
    </row>
    <row r="3036" spans="3:14">
      <c r="C3036" s="479"/>
      <c r="D3036" s="482" t="s">
        <v>876</v>
      </c>
      <c r="E3036" s="2373" t="s">
        <v>1709</v>
      </c>
      <c r="F3036" s="2400"/>
      <c r="G3036" s="2400"/>
      <c r="H3036" s="2400"/>
      <c r="I3036" s="2400"/>
      <c r="J3036" s="2400"/>
      <c r="K3036" s="2400"/>
      <c r="L3036" s="2400"/>
      <c r="M3036" s="2400"/>
      <c r="N3036" s="2400"/>
    </row>
    <row r="3037" spans="3:14">
      <c r="C3037" s="479"/>
      <c r="D3037" s="485"/>
      <c r="E3037" s="2465" t="s">
        <v>1958</v>
      </c>
      <c r="F3037" s="2400"/>
      <c r="G3037" s="2400"/>
      <c r="H3037" s="2400"/>
      <c r="I3037" s="2400"/>
      <c r="J3037" s="2400"/>
      <c r="K3037" s="2400"/>
      <c r="L3037" s="2400"/>
      <c r="M3037" s="2400"/>
      <c r="N3037" s="2400"/>
    </row>
    <row r="3038" spans="3:14">
      <c r="C3038" s="479"/>
      <c r="D3038" s="485"/>
      <c r="E3038" s="2465" t="s">
        <v>1696</v>
      </c>
      <c r="F3038" s="2400"/>
      <c r="G3038" s="2400"/>
      <c r="H3038" s="2400"/>
      <c r="I3038" s="2400"/>
      <c r="J3038" s="2400"/>
      <c r="K3038" s="2400"/>
      <c r="L3038" s="2400"/>
      <c r="M3038" s="2400"/>
      <c r="N3038" s="2400"/>
    </row>
    <row r="3039" spans="3:14">
      <c r="C3039" s="479"/>
      <c r="D3039" s="485"/>
      <c r="E3039" s="901" t="s">
        <v>1021</v>
      </c>
      <c r="F3039" s="2651" t="s">
        <v>2707</v>
      </c>
      <c r="G3039" s="2584"/>
      <c r="H3039" s="2584"/>
      <c r="I3039" s="2584"/>
      <c r="J3039" s="2584"/>
      <c r="K3039" s="2584"/>
      <c r="L3039" s="2584"/>
      <c r="M3039" s="2584"/>
      <c r="N3039" s="2584"/>
    </row>
    <row r="3040" spans="3:14" ht="13.5" thickBot="1">
      <c r="C3040" s="479"/>
      <c r="D3040" s="485"/>
      <c r="E3040" s="901" t="s">
        <v>1021</v>
      </c>
      <c r="F3040" s="2651" t="s">
        <v>1985</v>
      </c>
      <c r="G3040" s="2584"/>
      <c r="H3040" s="2584"/>
      <c r="I3040" s="2584"/>
      <c r="J3040" s="2584"/>
      <c r="K3040" s="2584"/>
      <c r="L3040" s="2584"/>
      <c r="M3040" s="2584"/>
      <c r="N3040" s="2584"/>
    </row>
    <row r="3041" spans="3:14">
      <c r="C3041" s="479"/>
      <c r="D3041" s="902"/>
      <c r="E3041" s="903"/>
      <c r="F3041" s="904"/>
      <c r="G3041" s="905"/>
      <c r="H3041" s="905"/>
      <c r="I3041" s="905"/>
      <c r="J3041" s="905"/>
      <c r="K3041" s="905"/>
      <c r="L3041" s="905"/>
      <c r="M3041" s="905"/>
      <c r="N3041" s="906"/>
    </row>
    <row r="3042" spans="3:14">
      <c r="C3042" s="479"/>
      <c r="D3042" s="907"/>
      <c r="E3042" s="908" t="s">
        <v>1690</v>
      </c>
      <c r="F3042" s="909"/>
      <c r="G3042" s="909"/>
      <c r="H3042" s="910" t="s">
        <v>884</v>
      </c>
      <c r="I3042" s="911" t="s">
        <v>1646</v>
      </c>
      <c r="J3042" s="912">
        <v>2021</v>
      </c>
      <c r="K3042" s="913">
        <v>2022</v>
      </c>
      <c r="L3042" s="913">
        <v>2023</v>
      </c>
      <c r="M3042" s="913">
        <v>2024</v>
      </c>
      <c r="N3042" s="914">
        <v>2025</v>
      </c>
    </row>
    <row r="3043" spans="3:14">
      <c r="C3043" s="479"/>
      <c r="D3043" s="915" t="s">
        <v>6</v>
      </c>
      <c r="E3043" s="916" t="s">
        <v>1976</v>
      </c>
      <c r="F3043" s="916"/>
      <c r="G3043" s="916"/>
      <c r="H3043" s="63" t="str">
        <f>IFERROR(IF([1]F_ProductBM!H337 = "", "", [1]F_ProductBM!H337 ),"")</f>
        <v>tonnes</v>
      </c>
      <c r="I3043" s="281" t="str">
        <f>IFERROR(IF([1]F_ProductBM!I337 = "", "", [1]F_ProductBM!I337 ),"")</f>
        <v/>
      </c>
      <c r="J3043" s="282" t="str">
        <f>IFERROR(IF([1]F_ProductBM!J337 = "", "", [1]F_ProductBM!J337 ),"")</f>
        <v/>
      </c>
      <c r="K3043" s="283" t="str">
        <f>IFERROR(IF([1]F_ProductBM!K337 = "", "", [1]F_ProductBM!K337 ),"")</f>
        <v/>
      </c>
      <c r="L3043" s="283" t="str">
        <f>IFERROR(IF([1]F_ProductBM!L337 = "", "", [1]F_ProductBM!L337 ),"")</f>
        <v/>
      </c>
      <c r="M3043" s="283" t="str">
        <f>IFERROR(IF([1]F_ProductBM!M337 = "", "", [1]F_ProductBM!M337 ),"")</f>
        <v/>
      </c>
      <c r="N3043" s="284" t="str">
        <f>IFERROR(IF([1]F_ProductBM!N337 = "", "", [1]F_ProductBM!N337 ),"")</f>
        <v/>
      </c>
    </row>
    <row r="3044" spans="3:14">
      <c r="C3044" s="479"/>
      <c r="D3044" s="918"/>
      <c r="E3044" s="919" t="s">
        <v>1648</v>
      </c>
      <c r="F3044" s="919"/>
      <c r="G3044" s="919"/>
      <c r="H3044" s="920"/>
      <c r="I3044" s="919"/>
      <c r="J3044" s="285" t="str">
        <f>IFERROR(IF([1]F_ProductBM!J338 = "", "", [1]F_ProductBM!J338 ),"")</f>
        <v/>
      </c>
      <c r="K3044" s="286" t="str">
        <f>IFERROR(IF([1]F_ProductBM!K338 = "", "", [1]F_ProductBM!K338 ),"")</f>
        <v/>
      </c>
      <c r="L3044" s="286" t="str">
        <f>IFERROR(IF([1]F_ProductBM!L338 = "", "", [1]F_ProductBM!L338 ),"")</f>
        <v/>
      </c>
      <c r="M3044" s="286" t="str">
        <f>IFERROR(IF([1]F_ProductBM!M338 = "", "", [1]F_ProductBM!M338 ),"")</f>
        <v/>
      </c>
      <c r="N3044" s="287" t="str">
        <f>IFERROR(IF([1]F_ProductBM!N338 = "", "", [1]F_ProductBM!N338 ),"")</f>
        <v/>
      </c>
    </row>
    <row r="3045" spans="3:14">
      <c r="C3045" s="479"/>
      <c r="D3045" s="915" t="s">
        <v>7</v>
      </c>
      <c r="E3045" s="916" t="s">
        <v>1654</v>
      </c>
      <c r="F3045" s="916"/>
      <c r="G3045" s="916"/>
      <c r="H3045" s="921"/>
      <c r="I3045" s="916"/>
      <c r="J3045" s="288" t="str">
        <f>IFERROR(IF([1]F_ProductBM!J339 = "", "", [1]F_ProductBM!J339 ),"")</f>
        <v/>
      </c>
      <c r="K3045" s="289" t="str">
        <f>IFERROR(IF([1]F_ProductBM!K339 = "", "", [1]F_ProductBM!K339 ),"")</f>
        <v/>
      </c>
      <c r="L3045" s="289" t="str">
        <f>IFERROR(IF([1]F_ProductBM!L339 = "", "", [1]F_ProductBM!L339 ),"")</f>
        <v/>
      </c>
      <c r="M3045" s="289" t="str">
        <f>IFERROR(IF([1]F_ProductBM!M339 = "", "", [1]F_ProductBM!M339 ),"")</f>
        <v/>
      </c>
      <c r="N3045" s="290" t="str">
        <f>IFERROR(IF([1]F_ProductBM!N339 = "", "", [1]F_ProductBM!N339 ),"")</f>
        <v/>
      </c>
    </row>
    <row r="3046" spans="3:14">
      <c r="C3046" s="479"/>
      <c r="D3046" s="918"/>
      <c r="E3046" s="916" t="s">
        <v>1689</v>
      </c>
      <c r="F3046" s="916"/>
      <c r="G3046" s="916"/>
      <c r="H3046" s="63" t="str">
        <f>IFERROR(IF([1]F_ProductBM!H340 = "", "", [1]F_ProductBM!H340 ),"")</f>
        <v>tonnes</v>
      </c>
      <c r="I3046" s="281" t="str">
        <f>IFERROR(IF([1]F_ProductBM!I340 = "", "", [1]F_ProductBM!I340 ),"")</f>
        <v/>
      </c>
      <c r="J3046" s="282" t="str">
        <f>IFERROR(IF([1]F_ProductBM!J340 = "", "", [1]F_ProductBM!J340 ),"")</f>
        <v/>
      </c>
      <c r="K3046" s="283" t="str">
        <f>IFERROR(IF([1]F_ProductBM!K340 = "", "", [1]F_ProductBM!K340 ),"")</f>
        <v/>
      </c>
      <c r="L3046" s="283" t="str">
        <f>IFERROR(IF([1]F_ProductBM!L340 = "", "", [1]F_ProductBM!L340 ),"")</f>
        <v/>
      </c>
      <c r="M3046" s="283" t="str">
        <f>IFERROR(IF([1]F_ProductBM!M340 = "", "", [1]F_ProductBM!M340 ),"")</f>
        <v/>
      </c>
      <c r="N3046" s="284" t="str">
        <f>IFERROR(IF([1]F_ProductBM!N340 = "", "", [1]F_ProductBM!N340 ),"")</f>
        <v/>
      </c>
    </row>
    <row r="3047" spans="3:14">
      <c r="C3047" s="479"/>
      <c r="D3047" s="918"/>
      <c r="E3047" s="909"/>
      <c r="F3047" s="909"/>
      <c r="G3047" s="909"/>
      <c r="H3047" s="909"/>
      <c r="I3047" s="909"/>
      <c r="J3047" s="909"/>
      <c r="K3047" s="909"/>
      <c r="L3047" s="909"/>
      <c r="M3047" s="909"/>
      <c r="N3047" s="922"/>
    </row>
    <row r="3048" spans="3:14">
      <c r="C3048" s="479"/>
      <c r="D3048" s="918"/>
      <c r="E3048" s="923" t="s">
        <v>1653</v>
      </c>
      <c r="F3048" s="923"/>
      <c r="G3048" s="923"/>
      <c r="H3048" s="923"/>
      <c r="I3048" s="923"/>
      <c r="J3048" s="912">
        <v>2021</v>
      </c>
      <c r="K3048" s="913">
        <v>2022</v>
      </c>
      <c r="L3048" s="913">
        <v>2023</v>
      </c>
      <c r="M3048" s="913">
        <v>2024</v>
      </c>
      <c r="N3048" s="914">
        <v>2025</v>
      </c>
    </row>
    <row r="3049" spans="3:14">
      <c r="C3049" s="479"/>
      <c r="D3049" s="915" t="s">
        <v>8</v>
      </c>
      <c r="E3049" s="916" t="s">
        <v>2108</v>
      </c>
      <c r="F3049" s="916"/>
      <c r="G3049" s="916"/>
      <c r="H3049" s="916"/>
      <c r="I3049" s="916"/>
      <c r="J3049" s="69" t="str">
        <f>IFERROR(IF([1]F_ProductBM!J343 = "", "", [1]F_ProductBM!J343 ),"")</f>
        <v/>
      </c>
      <c r="K3049" s="62" t="str">
        <f>IFERROR(IF([1]F_ProductBM!K343 = "", "", [1]F_ProductBM!K343 ),"")</f>
        <v/>
      </c>
      <c r="L3049" s="62" t="str">
        <f>IFERROR(IF([1]F_ProductBM!L343 = "", "", [1]F_ProductBM!L343 ),"")</f>
        <v/>
      </c>
      <c r="M3049" s="62" t="str">
        <f>IFERROR(IF([1]F_ProductBM!M343 = "", "", [1]F_ProductBM!M343 ),"")</f>
        <v/>
      </c>
      <c r="N3049" s="70" t="str">
        <f>IFERROR(IF([1]F_ProductBM!N343 = "", "", [1]F_ProductBM!N343 ),"")</f>
        <v/>
      </c>
    </row>
    <row r="3050" spans="3:14" ht="13.5" thickBot="1">
      <c r="C3050" s="479"/>
      <c r="D3050" s="918"/>
      <c r="E3050" s="909"/>
      <c r="F3050" s="909"/>
      <c r="G3050" s="909"/>
      <c r="H3050" s="909"/>
      <c r="I3050" s="909"/>
      <c r="J3050" s="909"/>
      <c r="K3050" s="909"/>
      <c r="L3050" s="909"/>
      <c r="M3050" s="909"/>
      <c r="N3050" s="922"/>
    </row>
    <row r="3051" spans="3:14" ht="13.5" thickBot="1">
      <c r="C3051" s="479"/>
      <c r="D3051" s="915" t="s">
        <v>18</v>
      </c>
      <c r="E3051" s="916" t="s">
        <v>1657</v>
      </c>
      <c r="F3051" s="916"/>
      <c r="G3051" s="916"/>
      <c r="H3051" s="921"/>
      <c r="I3051" s="916"/>
      <c r="J3051" s="291" t="str">
        <f>IFERROR(IF([1]F_ProductBM!J345 = "", "", [1]F_ProductBM!J345 ),"")</f>
        <v/>
      </c>
      <c r="K3051" s="292" t="str">
        <f>IFERROR(IF([1]F_ProductBM!K345 = "", "", [1]F_ProductBM!K345 ),"")</f>
        <v/>
      </c>
      <c r="L3051" s="292" t="str">
        <f>IFERROR(IF([1]F_ProductBM!L345 = "", "", [1]F_ProductBM!L345 ),"")</f>
        <v/>
      </c>
      <c r="M3051" s="292" t="str">
        <f>IFERROR(IF([1]F_ProductBM!M345 = "", "", [1]F_ProductBM!M345 ),"")</f>
        <v/>
      </c>
      <c r="N3051" s="293" t="str">
        <f>IFERROR(IF([1]F_ProductBM!N345 = "", "", [1]F_ProductBM!N345 ),"")</f>
        <v/>
      </c>
    </row>
    <row r="3052" spans="3:14" ht="13.5" thickBot="1">
      <c r="C3052" s="479"/>
      <c r="D3052" s="915" t="s">
        <v>787</v>
      </c>
      <c r="E3052" s="916" t="s">
        <v>1659</v>
      </c>
      <c r="F3052" s="916"/>
      <c r="G3052" s="916"/>
      <c r="H3052" s="63" t="str">
        <f>IFERROR(IF([1]F_ProductBM!H346 = "", "", [1]F_ProductBM!H346 ),"")</f>
        <v>tonnes</v>
      </c>
      <c r="I3052" s="281" t="str">
        <f>IFERROR(IF([1]F_ProductBM!I346 = "", "", [1]F_ProductBM!I346 ),"")</f>
        <v/>
      </c>
      <c r="J3052" s="294" t="str">
        <f>IFERROR(IF([1]F_ProductBM!J346 = "", "", [1]F_ProductBM!J346 ),"")</f>
        <v/>
      </c>
      <c r="K3052" s="295" t="str">
        <f>IFERROR(IF([1]F_ProductBM!K346 = "", "", [1]F_ProductBM!K346 ),"")</f>
        <v/>
      </c>
      <c r="L3052" s="295" t="str">
        <f>IFERROR(IF([1]F_ProductBM!L346 = "", "", [1]F_ProductBM!L346 ),"")</f>
        <v/>
      </c>
      <c r="M3052" s="295" t="str">
        <f>IFERROR(IF([1]F_ProductBM!M346 = "", "", [1]F_ProductBM!M346 ),"")</f>
        <v/>
      </c>
      <c r="N3052" s="296" t="str">
        <f>IFERROR(IF([1]F_ProductBM!N346 = "", "", [1]F_ProductBM!N346 ),"")</f>
        <v/>
      </c>
    </row>
    <row r="3053" spans="3:14" ht="13.5" thickBot="1">
      <c r="C3053" s="479"/>
      <c r="D3053" s="924"/>
      <c r="E3053" s="925"/>
      <c r="F3053" s="925"/>
      <c r="G3053" s="925"/>
      <c r="H3053" s="925"/>
      <c r="I3053" s="925"/>
      <c r="J3053" s="925"/>
      <c r="K3053" s="925"/>
      <c r="L3053" s="925"/>
      <c r="M3053" s="925"/>
      <c r="N3053" s="926"/>
    </row>
    <row r="3054" spans="3:14">
      <c r="C3054" s="479"/>
      <c r="D3054" s="485"/>
      <c r="E3054" s="485"/>
      <c r="F3054" s="485"/>
      <c r="G3054" s="485"/>
      <c r="H3054" s="485"/>
      <c r="I3054" s="485"/>
      <c r="J3054" s="485"/>
      <c r="K3054" s="485"/>
      <c r="L3054" s="485"/>
      <c r="M3054" s="485"/>
      <c r="N3054" s="485"/>
    </row>
    <row r="3055" spans="3:14">
      <c r="C3055" s="479"/>
      <c r="D3055" s="2482" t="s">
        <v>1229</v>
      </c>
      <c r="E3055" s="2400"/>
      <c r="F3055" s="2400"/>
      <c r="G3055" s="2400"/>
      <c r="H3055" s="2400"/>
      <c r="I3055" s="2400"/>
      <c r="J3055" s="2400"/>
      <c r="K3055" s="2400"/>
      <c r="L3055" s="2400"/>
      <c r="M3055" s="2400"/>
      <c r="N3055" s="2400"/>
    </row>
    <row r="3056" spans="3:14">
      <c r="C3056" s="479"/>
      <c r="D3056" s="479"/>
      <c r="E3056" s="479"/>
      <c r="F3056" s="479"/>
      <c r="G3056" s="479"/>
      <c r="H3056" s="479"/>
      <c r="I3056" s="479"/>
      <c r="J3056" s="479"/>
      <c r="K3056" s="479"/>
      <c r="L3056" s="479"/>
      <c r="M3056" s="479"/>
      <c r="N3056" s="479"/>
    </row>
    <row r="3057" spans="3:14">
      <c r="C3057" s="485"/>
      <c r="D3057" s="482" t="s">
        <v>48</v>
      </c>
      <c r="E3057" s="2373" t="s">
        <v>800</v>
      </c>
      <c r="F3057" s="2400"/>
      <c r="G3057" s="2400"/>
      <c r="H3057" s="2400"/>
      <c r="I3057" s="2585"/>
      <c r="J3057" s="2652" t="s">
        <v>1857</v>
      </c>
      <c r="K3057" s="2653"/>
      <c r="L3057" s="2653"/>
      <c r="M3057" s="2653"/>
      <c r="N3057" s="2654"/>
    </row>
    <row r="3058" spans="3:14">
      <c r="C3058" s="479"/>
      <c r="D3058" s="485"/>
      <c r="E3058" s="2465" t="s">
        <v>1241</v>
      </c>
      <c r="F3058" s="2400"/>
      <c r="G3058" s="2400"/>
      <c r="H3058" s="2400"/>
      <c r="I3058" s="2400"/>
      <c r="J3058" s="2400"/>
      <c r="K3058" s="2400"/>
      <c r="L3058" s="2400"/>
      <c r="M3058" s="2400"/>
      <c r="N3058" s="2400"/>
    </row>
    <row r="3059" spans="3:14">
      <c r="C3059" s="479"/>
      <c r="D3059" s="485"/>
      <c r="E3059" s="2465" t="s">
        <v>1526</v>
      </c>
      <c r="F3059" s="2400"/>
      <c r="G3059" s="2400"/>
      <c r="H3059" s="2400"/>
      <c r="I3059" s="2400"/>
      <c r="J3059" s="2400"/>
      <c r="K3059" s="2400"/>
      <c r="L3059" s="2400"/>
      <c r="M3059" s="2400"/>
      <c r="N3059" s="2400"/>
    </row>
    <row r="3060" spans="3:14">
      <c r="C3060" s="479"/>
      <c r="D3060" s="485"/>
      <c r="E3060" s="2465" t="s">
        <v>1635</v>
      </c>
      <c r="F3060" s="2400"/>
      <c r="G3060" s="2400"/>
      <c r="H3060" s="2400"/>
      <c r="I3060" s="2400"/>
      <c r="J3060" s="2400"/>
      <c r="K3060" s="2400"/>
      <c r="L3060" s="2400"/>
      <c r="M3060" s="2400"/>
      <c r="N3060" s="2400"/>
    </row>
    <row r="3061" spans="3:14">
      <c r="C3061" s="485"/>
      <c r="D3061" s="482"/>
      <c r="E3061" s="927" t="s">
        <v>62</v>
      </c>
      <c r="F3061" s="518"/>
      <c r="G3061" s="663" t="s">
        <v>884</v>
      </c>
      <c r="H3061" s="578">
        <v>2019</v>
      </c>
      <c r="I3061" s="697">
        <v>2020</v>
      </c>
      <c r="J3061" s="696">
        <v>2021</v>
      </c>
      <c r="K3061" s="928">
        <v>2022</v>
      </c>
      <c r="L3061" s="578">
        <v>2023</v>
      </c>
      <c r="M3061" s="578">
        <v>2024</v>
      </c>
      <c r="N3061" s="578">
        <v>2025</v>
      </c>
    </row>
    <row r="3062" spans="3:14">
      <c r="C3062" s="485"/>
      <c r="D3062" s="561" t="s">
        <v>6</v>
      </c>
      <c r="E3062" s="863" t="s">
        <v>63</v>
      </c>
      <c r="F3062" s="863"/>
      <c r="G3062" s="579" t="s">
        <v>2015</v>
      </c>
      <c r="H3062" s="297" t="str">
        <f>IFERROR(IF([1]F_ProductBM!H356 = "", "", [1]F_ProductBM!H356 ),"")</f>
        <v/>
      </c>
      <c r="I3062" s="298" t="str">
        <f>IFERROR(IF([1]F_ProductBM!I356 = "", "", [1]F_ProductBM!I356 ),"")</f>
        <v/>
      </c>
      <c r="J3062" s="299" t="str">
        <f>IFERROR(IF([1]F_ProductBM!J356 = "", "", [1]F_ProductBM!J356 ),"")</f>
        <v/>
      </c>
      <c r="K3062" s="300" t="str">
        <f>IFERROR(IF([1]F_ProductBM!K356 = "", "", [1]F_ProductBM!K356 ),"")</f>
        <v/>
      </c>
      <c r="L3062" s="300" t="str">
        <f>IFERROR(IF([1]F_ProductBM!L356 = "", "", [1]F_ProductBM!L356 ),"")</f>
        <v/>
      </c>
      <c r="M3062" s="297" t="str">
        <f>IFERROR(IF([1]F_ProductBM!M356 = "", "", [1]F_ProductBM!M356 ),"")</f>
        <v/>
      </c>
      <c r="N3062" s="297" t="str">
        <f>IFERROR(IF([1]F_ProductBM!N356 = "", "", [1]F_ProductBM!N356 ),"")</f>
        <v/>
      </c>
    </row>
    <row r="3063" spans="3:14">
      <c r="C3063" s="485"/>
      <c r="D3063" s="561" t="s">
        <v>7</v>
      </c>
      <c r="E3063" s="865" t="s">
        <v>257</v>
      </c>
      <c r="F3063" s="865"/>
      <c r="G3063" s="582" t="s">
        <v>2017</v>
      </c>
      <c r="H3063" s="134" t="str">
        <f>IFERROR(IF([1]F_ProductBM!H357 = "", "", [1]F_ProductBM!H357 ),"")</f>
        <v/>
      </c>
      <c r="I3063" s="301" t="str">
        <f>IFERROR(IF([1]F_ProductBM!I357 = "", "", [1]F_ProductBM!I357 ),"")</f>
        <v/>
      </c>
      <c r="J3063" s="302" t="str">
        <f>IFERROR(IF([1]F_ProductBM!J357 = "", "", [1]F_ProductBM!J357 ),"")</f>
        <v/>
      </c>
      <c r="K3063" s="303" t="str">
        <f>IFERROR(IF([1]F_ProductBM!K357 = "", "", [1]F_ProductBM!K357 ),"")</f>
        <v/>
      </c>
      <c r="L3063" s="134" t="str">
        <f>IFERROR(IF([1]F_ProductBM!L357 = "", "", [1]F_ProductBM!L357 ),"")</f>
        <v/>
      </c>
      <c r="M3063" s="134" t="str">
        <f>IFERROR(IF([1]F_ProductBM!M357 = "", "", [1]F_ProductBM!M357 ),"")</f>
        <v/>
      </c>
      <c r="N3063" s="134" t="str">
        <f>IFERROR(IF([1]F_ProductBM!N357 = "", "", [1]F_ProductBM!N357 ),"")</f>
        <v/>
      </c>
    </row>
    <row r="3064" spans="3:14">
      <c r="C3064" s="485"/>
      <c r="D3064" s="561" t="s">
        <v>8</v>
      </c>
      <c r="E3064" s="932" t="s">
        <v>914</v>
      </c>
      <c r="F3064" s="932"/>
      <c r="G3064" s="933" t="s">
        <v>2021</v>
      </c>
      <c r="H3064" s="109" t="str">
        <f>IFERROR(IF([1]F_ProductBM!H358 = "", "", [1]F_ProductBM!H358 ),"")</f>
        <v/>
      </c>
      <c r="I3064" s="304" t="str">
        <f>IFERROR(IF([1]F_ProductBM!I358 = "", "", [1]F_ProductBM!I358 ),"")</f>
        <v/>
      </c>
      <c r="J3064" s="305" t="str">
        <f>IFERROR(IF([1]F_ProductBM!J358 = "", "", [1]F_ProductBM!J358 ),"")</f>
        <v/>
      </c>
      <c r="K3064" s="306" t="str">
        <f>IFERROR(IF([1]F_ProductBM!K358 = "", "", [1]F_ProductBM!K358 ),"")</f>
        <v/>
      </c>
      <c r="L3064" s="109" t="str">
        <f>IFERROR(IF([1]F_ProductBM!L358 = "", "", [1]F_ProductBM!L358 ),"")</f>
        <v/>
      </c>
      <c r="M3064" s="109" t="str">
        <f>IFERROR(IF([1]F_ProductBM!M358 = "", "", [1]F_ProductBM!M358 ),"")</f>
        <v/>
      </c>
      <c r="N3064" s="109" t="str">
        <f>IFERROR(IF([1]F_ProductBM!N358 = "", "", [1]F_ProductBM!N358 ),"")</f>
        <v/>
      </c>
    </row>
    <row r="3065" spans="3:14">
      <c r="C3065" s="485"/>
      <c r="D3065" s="561" t="s">
        <v>18</v>
      </c>
      <c r="E3065" s="863" t="s">
        <v>915</v>
      </c>
      <c r="F3065" s="863"/>
      <c r="G3065" s="579" t="s">
        <v>2015</v>
      </c>
      <c r="H3065" s="297" t="str">
        <f>IFERROR(IF([1]F_ProductBM!H359 = "", "", [1]F_ProductBM!H359 ),"")</f>
        <v/>
      </c>
      <c r="I3065" s="298" t="str">
        <f>IFERROR(IF([1]F_ProductBM!I359 = "", "", [1]F_ProductBM!I359 ),"")</f>
        <v/>
      </c>
      <c r="J3065" s="299" t="str">
        <f>IFERROR(IF([1]F_ProductBM!J359 = "", "", [1]F_ProductBM!J359 ),"")</f>
        <v/>
      </c>
      <c r="K3065" s="300" t="str">
        <f>IFERROR(IF([1]F_ProductBM!K359 = "", "", [1]F_ProductBM!K359 ),"")</f>
        <v/>
      </c>
      <c r="L3065" s="300" t="str">
        <f>IFERROR(IF([1]F_ProductBM!L359 = "", "", [1]F_ProductBM!L359 ),"")</f>
        <v/>
      </c>
      <c r="M3065" s="297" t="str">
        <f>IFERROR(IF([1]F_ProductBM!M359 = "", "", [1]F_ProductBM!M359 ),"")</f>
        <v/>
      </c>
      <c r="N3065" s="297" t="str">
        <f>IFERROR(IF([1]F_ProductBM!N359 = "", "", [1]F_ProductBM!N359 ),"")</f>
        <v/>
      </c>
    </row>
    <row r="3066" spans="3:14">
      <c r="C3066" s="485"/>
      <c r="D3066" s="561" t="s">
        <v>787</v>
      </c>
      <c r="E3066" s="867" t="s">
        <v>916</v>
      </c>
      <c r="F3066" s="867"/>
      <c r="G3066" s="584" t="s">
        <v>2015</v>
      </c>
      <c r="H3066" s="307" t="str">
        <f>IFERROR(IF([1]F_ProductBM!H360 = "", "", [1]F_ProductBM!H360 ),"")</f>
        <v/>
      </c>
      <c r="I3066" s="308" t="str">
        <f>IFERROR(IF([1]F_ProductBM!I360 = "", "", [1]F_ProductBM!I360 ),"")</f>
        <v/>
      </c>
      <c r="J3066" s="309" t="str">
        <f>IFERROR(IF([1]F_ProductBM!J360 = "", "", [1]F_ProductBM!J360 ),"")</f>
        <v/>
      </c>
      <c r="K3066" s="310" t="str">
        <f>IFERROR(IF([1]F_ProductBM!K360 = "", "", [1]F_ProductBM!K360 ),"")</f>
        <v/>
      </c>
      <c r="L3066" s="310" t="str">
        <f>IFERROR(IF([1]F_ProductBM!L360 = "", "", [1]F_ProductBM!L360 ),"")</f>
        <v/>
      </c>
      <c r="M3066" s="307" t="str">
        <f>IFERROR(IF([1]F_ProductBM!M360 = "", "", [1]F_ProductBM!M360 ),"")</f>
        <v/>
      </c>
      <c r="N3066" s="307" t="str">
        <f>IFERROR(IF([1]F_ProductBM!N360 = "", "", [1]F_ProductBM!N360 ),"")</f>
        <v/>
      </c>
    </row>
    <row r="3067" spans="3:14">
      <c r="C3067" s="479"/>
      <c r="D3067" s="479"/>
      <c r="E3067" s="479"/>
      <c r="F3067" s="479"/>
      <c r="G3067" s="479"/>
      <c r="H3067" s="479"/>
      <c r="I3067" s="479"/>
      <c r="J3067" s="937"/>
      <c r="K3067" s="479"/>
      <c r="L3067" s="479"/>
      <c r="M3067" s="485"/>
      <c r="N3067" s="485"/>
    </row>
    <row r="3068" spans="3:14">
      <c r="C3068" s="479"/>
      <c r="D3068" s="561" t="s">
        <v>788</v>
      </c>
      <c r="E3068" s="698" t="s">
        <v>1389</v>
      </c>
      <c r="F3068" s="938"/>
      <c r="G3068" s="939" t="s">
        <v>1021</v>
      </c>
      <c r="H3068" s="311" t="str">
        <f>IFERROR(IF([1]F_ProductBM!H362 = "", "", [1]F_ProductBM!H362 ),"")</f>
        <v/>
      </c>
      <c r="I3068" s="312" t="str">
        <f>IFERROR(IF([1]F_ProductBM!I362 = "", "", [1]F_ProductBM!I362 ),"")</f>
        <v/>
      </c>
      <c r="J3068" s="313" t="str">
        <f>IFERROR(IF([1]F_ProductBM!J362 = "", "", [1]F_ProductBM!J362 ),"")</f>
        <v/>
      </c>
      <c r="K3068" s="314" t="str">
        <f>IFERROR(IF([1]F_ProductBM!K362 = "", "", [1]F_ProductBM!K362 ),"")</f>
        <v/>
      </c>
      <c r="L3068" s="311" t="str">
        <f>IFERROR(IF([1]F_ProductBM!L362 = "", "", [1]F_ProductBM!L362 ),"")</f>
        <v/>
      </c>
      <c r="M3068" s="311" t="str">
        <f>IFERROR(IF([1]F_ProductBM!M362 = "", "", [1]F_ProductBM!M362 ),"")</f>
        <v/>
      </c>
      <c r="N3068" s="311" t="str">
        <f>IFERROR(IF([1]F_ProductBM!N362 = "", "", [1]F_ProductBM!N362 ),"")</f>
        <v/>
      </c>
    </row>
    <row r="3069" spans="3:14">
      <c r="C3069" s="479"/>
      <c r="D3069" s="479"/>
      <c r="E3069" s="479"/>
      <c r="F3069" s="479"/>
      <c r="G3069" s="479"/>
      <c r="H3069" s="479"/>
      <c r="I3069" s="479"/>
      <c r="J3069" s="479"/>
      <c r="K3069" s="479"/>
      <c r="L3069" s="479"/>
      <c r="M3069" s="485"/>
      <c r="N3069" s="485"/>
    </row>
    <row r="3070" spans="3:14" ht="20.100000000000001" customHeight="1" thickBot="1">
      <c r="C3070" s="479"/>
      <c r="D3070" s="485"/>
      <c r="E3070" s="2465" t="s">
        <v>2703</v>
      </c>
      <c r="F3070" s="2400"/>
      <c r="G3070" s="2400"/>
      <c r="H3070" s="2400"/>
      <c r="I3070" s="2400"/>
      <c r="J3070" s="2400"/>
      <c r="K3070" s="2400"/>
      <c r="L3070" s="2400"/>
      <c r="M3070" s="2400"/>
      <c r="N3070" s="2400"/>
    </row>
    <row r="3071" spans="3:14">
      <c r="C3071" s="479"/>
      <c r="D3071" s="902"/>
      <c r="E3071" s="942"/>
      <c r="F3071" s="942"/>
      <c r="G3071" s="942"/>
      <c r="H3071" s="942"/>
      <c r="I3071" s="942"/>
      <c r="J3071" s="942"/>
      <c r="K3071" s="942"/>
      <c r="L3071" s="942"/>
      <c r="M3071" s="942"/>
      <c r="N3071" s="943"/>
    </row>
    <row r="3072" spans="3:14">
      <c r="C3072" s="479"/>
      <c r="D3072" s="907" t="s">
        <v>1915</v>
      </c>
      <c r="E3072" s="908" t="s">
        <v>1775</v>
      </c>
      <c r="F3072" s="909"/>
      <c r="G3072" s="909"/>
      <c r="H3072" s="910" t="s">
        <v>884</v>
      </c>
      <c r="I3072" s="911" t="s">
        <v>2213</v>
      </c>
      <c r="J3072" s="912">
        <v>2021</v>
      </c>
      <c r="K3072" s="913">
        <v>2022</v>
      </c>
      <c r="L3072" s="913">
        <v>2023</v>
      </c>
      <c r="M3072" s="913">
        <v>2024</v>
      </c>
      <c r="N3072" s="914">
        <v>2025</v>
      </c>
    </row>
    <row r="3073" spans="3:14">
      <c r="C3073" s="479"/>
      <c r="D3073" s="915" t="s">
        <v>6</v>
      </c>
      <c r="E3073" s="916" t="s">
        <v>1691</v>
      </c>
      <c r="F3073" s="916"/>
      <c r="G3073" s="916"/>
      <c r="H3073" s="944" t="s">
        <v>1021</v>
      </c>
      <c r="I3073" s="315" t="str">
        <f>IFERROR(IF([1]F_ProductBM!I367 = "", "", [1]F_ProductBM!I367 ),"")</f>
        <v/>
      </c>
      <c r="J3073" s="316" t="str">
        <f>IFERROR(IF([1]F_ProductBM!J367 = "", "", [1]F_ProductBM!J367 ),"")</f>
        <v/>
      </c>
      <c r="K3073" s="317" t="str">
        <f>IFERROR(IF([1]F_ProductBM!K367 = "", "", [1]F_ProductBM!K367 ),"")</f>
        <v/>
      </c>
      <c r="L3073" s="317" t="str">
        <f>IFERROR(IF([1]F_ProductBM!L367 = "", "", [1]F_ProductBM!L367 ),"")</f>
        <v/>
      </c>
      <c r="M3073" s="317" t="str">
        <f>IFERROR(IF([1]F_ProductBM!M367 = "", "", [1]F_ProductBM!M367 ),"")</f>
        <v/>
      </c>
      <c r="N3073" s="318" t="str">
        <f>IFERROR(IF([1]F_ProductBM!N367 = "", "", [1]F_ProductBM!N367 ),"")</f>
        <v/>
      </c>
    </row>
    <row r="3074" spans="3:14">
      <c r="C3074" s="479"/>
      <c r="D3074" s="915"/>
      <c r="E3074" s="916" t="s">
        <v>1776</v>
      </c>
      <c r="F3074" s="916"/>
      <c r="G3074" s="916"/>
      <c r="H3074" s="921"/>
      <c r="I3074" s="916"/>
      <c r="J3074" s="319" t="str">
        <f>IFERROR(IF([1]F_ProductBM!J368 = "", "", [1]F_ProductBM!J368 ),"")</f>
        <v/>
      </c>
      <c r="K3074" s="320" t="str">
        <f>IFERROR(IF([1]F_ProductBM!K368 = "", "", [1]F_ProductBM!K368 ),"")</f>
        <v/>
      </c>
      <c r="L3074" s="320" t="str">
        <f>IFERROR(IF([1]F_ProductBM!L368 = "", "", [1]F_ProductBM!L368 ),"")</f>
        <v/>
      </c>
      <c r="M3074" s="320" t="str">
        <f>IFERROR(IF([1]F_ProductBM!M368 = "", "", [1]F_ProductBM!M368 ),"")</f>
        <v/>
      </c>
      <c r="N3074" s="321" t="str">
        <f>IFERROR(IF([1]F_ProductBM!N368 = "", "", [1]F_ProductBM!N368 ),"")</f>
        <v/>
      </c>
    </row>
    <row r="3075" spans="3:14">
      <c r="C3075" s="479"/>
      <c r="D3075" s="915" t="s">
        <v>7</v>
      </c>
      <c r="E3075" s="916" t="s">
        <v>1654</v>
      </c>
      <c r="F3075" s="916"/>
      <c r="G3075" s="916"/>
      <c r="H3075" s="921"/>
      <c r="I3075" s="916"/>
      <c r="J3075" s="288" t="str">
        <f>IFERROR(IF([1]F_ProductBM!J369 = "", "", [1]F_ProductBM!J369 ),"")</f>
        <v/>
      </c>
      <c r="K3075" s="289" t="str">
        <f>IFERROR(IF([1]F_ProductBM!K369 = "", "", [1]F_ProductBM!K369 ),"")</f>
        <v/>
      </c>
      <c r="L3075" s="289" t="str">
        <f>IFERROR(IF([1]F_ProductBM!L369 = "", "", [1]F_ProductBM!L369 ),"")</f>
        <v/>
      </c>
      <c r="M3075" s="289" t="str">
        <f>IFERROR(IF([1]F_ProductBM!M369 = "", "", [1]F_ProductBM!M369 ),"")</f>
        <v/>
      </c>
      <c r="N3075" s="290" t="str">
        <f>IFERROR(IF([1]F_ProductBM!N369 = "", "", [1]F_ProductBM!N369 ),"")</f>
        <v/>
      </c>
    </row>
    <row r="3076" spans="3:14">
      <c r="C3076" s="479"/>
      <c r="D3076" s="915"/>
      <c r="E3076" s="916" t="s">
        <v>1689</v>
      </c>
      <c r="F3076" s="916"/>
      <c r="G3076" s="916"/>
      <c r="H3076" s="944" t="s">
        <v>1021</v>
      </c>
      <c r="I3076" s="315" t="str">
        <f>IFERROR(IF([1]F_ProductBM!I370 = "", "", [1]F_ProductBM!I370 ),"")</f>
        <v/>
      </c>
      <c r="J3076" s="322" t="str">
        <f>IFERROR(IF([1]F_ProductBM!J370 = "", "", [1]F_ProductBM!J370 ),"")</f>
        <v/>
      </c>
      <c r="K3076" s="323" t="str">
        <f>IFERROR(IF([1]F_ProductBM!K370 = "", "", [1]F_ProductBM!K370 ),"")</f>
        <v/>
      </c>
      <c r="L3076" s="323" t="str">
        <f>IFERROR(IF([1]F_ProductBM!L370 = "", "", [1]F_ProductBM!L370 ),"")</f>
        <v/>
      </c>
      <c r="M3076" s="323" t="str">
        <f>IFERROR(IF([1]F_ProductBM!M370 = "", "", [1]F_ProductBM!M370 ),"")</f>
        <v/>
      </c>
      <c r="N3076" s="324" t="str">
        <f>IFERROR(IF([1]F_ProductBM!N370 = "", "", [1]F_ProductBM!N370 ),"")</f>
        <v/>
      </c>
    </row>
    <row r="3077" spans="3:14">
      <c r="C3077" s="479"/>
      <c r="D3077" s="915"/>
      <c r="E3077" s="909"/>
      <c r="F3077" s="909"/>
      <c r="G3077" s="909"/>
      <c r="H3077" s="909"/>
      <c r="I3077" s="909"/>
      <c r="J3077" s="909"/>
      <c r="K3077" s="909"/>
      <c r="L3077" s="909"/>
      <c r="M3077" s="909"/>
      <c r="N3077" s="922"/>
    </row>
    <row r="3078" spans="3:14">
      <c r="C3078" s="479"/>
      <c r="D3078" s="915"/>
      <c r="E3078" s="923" t="s">
        <v>1653</v>
      </c>
      <c r="F3078" s="923"/>
      <c r="G3078" s="923"/>
      <c r="H3078" s="923"/>
      <c r="I3078" s="923"/>
      <c r="J3078" s="912">
        <v>2021</v>
      </c>
      <c r="K3078" s="913">
        <v>2022</v>
      </c>
      <c r="L3078" s="913">
        <v>2023</v>
      </c>
      <c r="M3078" s="913">
        <v>2024</v>
      </c>
      <c r="N3078" s="914">
        <v>2025</v>
      </c>
    </row>
    <row r="3079" spans="3:14">
      <c r="C3079" s="479"/>
      <c r="D3079" s="915" t="s">
        <v>8</v>
      </c>
      <c r="E3079" s="916" t="s">
        <v>2108</v>
      </c>
      <c r="F3079" s="916"/>
      <c r="G3079" s="916"/>
      <c r="H3079" s="916"/>
      <c r="I3079" s="916"/>
      <c r="J3079" s="69" t="str">
        <f>IFERROR(IF([1]F_ProductBM!J373 = "", "", [1]F_ProductBM!J373 ),"")</f>
        <v/>
      </c>
      <c r="K3079" s="62" t="str">
        <f>IFERROR(IF([1]F_ProductBM!K373 = "", "", [1]F_ProductBM!K373 ),"")</f>
        <v/>
      </c>
      <c r="L3079" s="62" t="str">
        <f>IFERROR(IF([1]F_ProductBM!L373 = "", "", [1]F_ProductBM!L373 ),"")</f>
        <v/>
      </c>
      <c r="M3079" s="62" t="str">
        <f>IFERROR(IF([1]F_ProductBM!M373 = "", "", [1]F_ProductBM!M373 ),"")</f>
        <v/>
      </c>
      <c r="N3079" s="70" t="str">
        <f>IFERROR(IF([1]F_ProductBM!N373 = "", "", [1]F_ProductBM!N373 ),"")</f>
        <v/>
      </c>
    </row>
    <row r="3080" spans="3:14" ht="13.5" thickBot="1">
      <c r="C3080" s="479"/>
      <c r="D3080" s="915"/>
      <c r="E3080" s="909"/>
      <c r="F3080" s="909"/>
      <c r="G3080" s="909"/>
      <c r="H3080" s="909"/>
      <c r="I3080" s="909"/>
      <c r="J3080" s="909"/>
      <c r="K3080" s="909"/>
      <c r="L3080" s="909"/>
      <c r="M3080" s="909"/>
      <c r="N3080" s="922"/>
    </row>
    <row r="3081" spans="3:14" ht="13.5" thickBot="1">
      <c r="C3081" s="479"/>
      <c r="D3081" s="915" t="s">
        <v>18</v>
      </c>
      <c r="E3081" s="916" t="s">
        <v>1657</v>
      </c>
      <c r="F3081" s="916"/>
      <c r="G3081" s="916"/>
      <c r="H3081" s="921"/>
      <c r="I3081" s="916"/>
      <c r="J3081" s="291" t="str">
        <f>IFERROR(IF([1]F_ProductBM!J375 = "", "", [1]F_ProductBM!J375 ),"")</f>
        <v/>
      </c>
      <c r="K3081" s="292" t="str">
        <f>IFERROR(IF([1]F_ProductBM!K375 = "", "", [1]F_ProductBM!K375 ),"")</f>
        <v/>
      </c>
      <c r="L3081" s="292" t="str">
        <f>IFERROR(IF([1]F_ProductBM!L375 = "", "", [1]F_ProductBM!L375 ),"")</f>
        <v/>
      </c>
      <c r="M3081" s="292" t="str">
        <f>IFERROR(IF([1]F_ProductBM!M375 = "", "", [1]F_ProductBM!M375 ),"")</f>
        <v/>
      </c>
      <c r="N3081" s="293" t="str">
        <f>IFERROR(IF([1]F_ProductBM!N375 = "", "", [1]F_ProductBM!N375 ),"")</f>
        <v/>
      </c>
    </row>
    <row r="3082" spans="3:14" ht="13.5" thickBot="1">
      <c r="C3082" s="479"/>
      <c r="D3082" s="915" t="s">
        <v>787</v>
      </c>
      <c r="E3082" s="916" t="s">
        <v>1659</v>
      </c>
      <c r="F3082" s="916"/>
      <c r="G3082" s="916"/>
      <c r="H3082" s="944" t="s">
        <v>1021</v>
      </c>
      <c r="I3082" s="315" t="str">
        <f>IFERROR(IF([1]F_ProductBM!I376 = "", "", [1]F_ProductBM!I376 ),"")</f>
        <v/>
      </c>
      <c r="J3082" s="325" t="str">
        <f>IFERROR(IF([1]F_ProductBM!J376 = "", "", [1]F_ProductBM!J376 ),"")</f>
        <v/>
      </c>
      <c r="K3082" s="326" t="str">
        <f>IFERROR(IF([1]F_ProductBM!K376 = "", "", [1]F_ProductBM!K376 ),"")</f>
        <v/>
      </c>
      <c r="L3082" s="326" t="str">
        <f>IFERROR(IF([1]F_ProductBM!L376 = "", "", [1]F_ProductBM!L376 ),"")</f>
        <v/>
      </c>
      <c r="M3082" s="326" t="str">
        <f>IFERROR(IF([1]F_ProductBM!M376 = "", "", [1]F_ProductBM!M376 ),"")</f>
        <v/>
      </c>
      <c r="N3082" s="327" t="str">
        <f>IFERROR(IF([1]F_ProductBM!N376 = "", "", [1]F_ProductBM!N376 ),"")</f>
        <v/>
      </c>
    </row>
    <row r="3083" spans="3:14" ht="13.5" thickBot="1">
      <c r="C3083" s="479"/>
      <c r="D3083" s="946"/>
      <c r="E3083" s="947"/>
      <c r="F3083" s="947"/>
      <c r="G3083" s="947"/>
      <c r="H3083" s="947"/>
      <c r="I3083" s="947"/>
      <c r="J3083" s="947"/>
      <c r="K3083" s="947"/>
      <c r="L3083" s="947"/>
      <c r="M3083" s="925"/>
      <c r="N3083" s="926"/>
    </row>
    <row r="3084" spans="3:14">
      <c r="C3084" s="479"/>
      <c r="D3084" s="479"/>
      <c r="E3084" s="479"/>
      <c r="F3084" s="479"/>
      <c r="G3084" s="479"/>
      <c r="H3084" s="479"/>
      <c r="I3084" s="479"/>
      <c r="J3084" s="479"/>
      <c r="K3084" s="479"/>
      <c r="L3084" s="479"/>
      <c r="M3084" s="485"/>
      <c r="N3084" s="485"/>
    </row>
    <row r="3085" spans="3:14">
      <c r="C3085" s="479"/>
      <c r="D3085" s="482" t="s">
        <v>881</v>
      </c>
      <c r="E3085" s="2373" t="s">
        <v>941</v>
      </c>
      <c r="F3085" s="2373"/>
      <c r="G3085" s="2373"/>
      <c r="H3085" s="2373"/>
      <c r="I3085" s="2604"/>
      <c r="J3085" s="2652" t="s">
        <v>1857</v>
      </c>
      <c r="K3085" s="2653"/>
      <c r="L3085" s="2653"/>
      <c r="M3085" s="2653"/>
      <c r="N3085" s="2654"/>
    </row>
    <row r="3086" spans="3:14">
      <c r="C3086" s="479"/>
      <c r="D3086" s="485"/>
      <c r="E3086" s="2465" t="s">
        <v>1368</v>
      </c>
      <c r="F3086" s="2400"/>
      <c r="G3086" s="2400"/>
      <c r="H3086" s="2400"/>
      <c r="I3086" s="2400"/>
      <c r="J3086" s="2400"/>
      <c r="K3086" s="2400"/>
      <c r="L3086" s="2400"/>
      <c r="M3086" s="2400"/>
      <c r="N3086" s="2400"/>
    </row>
    <row r="3087" spans="3:14">
      <c r="C3087" s="479"/>
      <c r="D3087" s="485"/>
      <c r="E3087" s="2465" t="s">
        <v>1474</v>
      </c>
      <c r="F3087" s="2400"/>
      <c r="G3087" s="2400"/>
      <c r="H3087" s="2400"/>
      <c r="I3087" s="2400"/>
      <c r="J3087" s="2400"/>
      <c r="K3087" s="2400"/>
      <c r="L3087" s="2400"/>
      <c r="M3087" s="2400"/>
      <c r="N3087" s="2400"/>
    </row>
    <row r="3088" spans="3:14">
      <c r="C3088" s="479"/>
      <c r="D3088" s="485"/>
      <c r="E3088" s="2465" t="s">
        <v>1300</v>
      </c>
      <c r="F3088" s="2400"/>
      <c r="G3088" s="2400"/>
      <c r="H3088" s="2400"/>
      <c r="I3088" s="2400"/>
      <c r="J3088" s="2400"/>
      <c r="K3088" s="2400"/>
      <c r="L3088" s="2400"/>
      <c r="M3088" s="2400"/>
      <c r="N3088" s="2400"/>
    </row>
    <row r="3089" spans="3:14">
      <c r="C3089" s="479"/>
      <c r="D3089" s="485"/>
      <c r="E3089" s="2465" t="s">
        <v>1608</v>
      </c>
      <c r="F3089" s="2400"/>
      <c r="G3089" s="2400"/>
      <c r="H3089" s="2400"/>
      <c r="I3089" s="2400"/>
      <c r="J3089" s="2400"/>
      <c r="K3089" s="2400"/>
      <c r="L3089" s="2400"/>
      <c r="M3089" s="2400"/>
      <c r="N3089" s="2400"/>
    </row>
    <row r="3090" spans="3:14">
      <c r="C3090" s="485"/>
      <c r="D3090" s="482"/>
      <c r="E3090" s="927" t="s">
        <v>62</v>
      </c>
      <c r="F3090" s="518"/>
      <c r="G3090" s="663" t="s">
        <v>884</v>
      </c>
      <c r="H3090" s="578">
        <v>2019</v>
      </c>
      <c r="I3090" s="697">
        <v>2020</v>
      </c>
      <c r="J3090" s="696">
        <v>2021</v>
      </c>
      <c r="K3090" s="578">
        <v>2022</v>
      </c>
      <c r="L3090" s="578">
        <v>2023</v>
      </c>
      <c r="M3090" s="578">
        <v>2024</v>
      </c>
      <c r="N3090" s="578">
        <v>2025</v>
      </c>
    </row>
    <row r="3091" spans="3:14" ht="25.5">
      <c r="C3091" s="485"/>
      <c r="D3091" s="561" t="s">
        <v>6</v>
      </c>
      <c r="E3091" s="948" t="s">
        <v>650</v>
      </c>
      <c r="F3091" s="948"/>
      <c r="G3091" s="730" t="s">
        <v>2017</v>
      </c>
      <c r="H3091" s="93" t="str">
        <f>IFERROR(IF([1]F_ProductBM!H385 = "", "", [1]F_ProductBM!H385 ),"")</f>
        <v/>
      </c>
      <c r="I3091" s="116" t="str">
        <f>IFERROR(IF([1]F_ProductBM!I385 = "", "", [1]F_ProductBM!I385 ),"")</f>
        <v/>
      </c>
      <c r="J3091" s="117" t="str">
        <f>IFERROR(IF([1]F_ProductBM!J385 = "", "", [1]F_ProductBM!J385 ),"")</f>
        <v/>
      </c>
      <c r="K3091" s="93" t="str">
        <f>IFERROR(IF([1]F_ProductBM!K385 = "", "", [1]F_ProductBM!K385 ),"")</f>
        <v/>
      </c>
      <c r="L3091" s="93" t="str">
        <f>IFERROR(IF([1]F_ProductBM!L385 = "", "", [1]F_ProductBM!L385 ),"")</f>
        <v/>
      </c>
      <c r="M3091" s="93" t="str">
        <f>IFERROR(IF([1]F_ProductBM!M385 = "", "", [1]F_ProductBM!M385 ),"")</f>
        <v/>
      </c>
      <c r="N3091" s="93" t="str">
        <f>IFERROR(IF([1]F_ProductBM!N385 = "", "", [1]F_ProductBM!N385 ),"")</f>
        <v/>
      </c>
    </row>
    <row r="3092" spans="3:14" ht="25.5">
      <c r="C3092" s="485"/>
      <c r="D3092" s="561" t="s">
        <v>7</v>
      </c>
      <c r="E3092" s="863" t="s">
        <v>107</v>
      </c>
      <c r="F3092" s="863"/>
      <c r="G3092" s="950" t="s">
        <v>1022</v>
      </c>
      <c r="H3092" s="328" t="str">
        <f>IFERROR(IF([1]F_ProductBM!H386 = "", "", [1]F_ProductBM!H386 ),"")</f>
        <v/>
      </c>
      <c r="I3092" s="329" t="str">
        <f>IFERROR(IF([1]F_ProductBM!I386 = "", "", [1]F_ProductBM!I386 ),"")</f>
        <v/>
      </c>
      <c r="J3092" s="330" t="str">
        <f>IFERROR(IF([1]F_ProductBM!J386 = "", "", [1]F_ProductBM!J386 ),"")</f>
        <v/>
      </c>
      <c r="K3092" s="328" t="str">
        <f>IFERROR(IF([1]F_ProductBM!K386 = "", "", [1]F_ProductBM!K386 ),"")</f>
        <v/>
      </c>
      <c r="L3092" s="328" t="str">
        <f>IFERROR(IF([1]F_ProductBM!L386 = "", "", [1]F_ProductBM!L386 ),"")</f>
        <v/>
      </c>
      <c r="M3092" s="328" t="str">
        <f>IFERROR(IF([1]F_ProductBM!M386 = "", "", [1]F_ProductBM!M386 ),"")</f>
        <v/>
      </c>
      <c r="N3092" s="328" t="str">
        <f>IFERROR(IF([1]F_ProductBM!N386 = "", "", [1]F_ProductBM!N386 ),"")</f>
        <v/>
      </c>
    </row>
    <row r="3093" spans="3:14" ht="25.5">
      <c r="C3093" s="485"/>
      <c r="D3093" s="561" t="s">
        <v>8</v>
      </c>
      <c r="E3093" s="571" t="s">
        <v>1548</v>
      </c>
      <c r="F3093" s="571"/>
      <c r="G3093" s="951" t="s">
        <v>1022</v>
      </c>
      <c r="H3093" s="331" t="str">
        <f>IFERROR(IF([1]F_ProductBM!H387 = "", "", [1]F_ProductBM!H387 ),"")</f>
        <v/>
      </c>
      <c r="I3093" s="332" t="str">
        <f>IFERROR(IF([1]F_ProductBM!I387 = "", "", [1]F_ProductBM!I387 ),"")</f>
        <v/>
      </c>
      <c r="J3093" s="333" t="str">
        <f>IFERROR(IF([1]F_ProductBM!J387 = "", "", [1]F_ProductBM!J387 ),"")</f>
        <v/>
      </c>
      <c r="K3093" s="331" t="str">
        <f>IFERROR(IF([1]F_ProductBM!K387 = "", "", [1]F_ProductBM!K387 ),"")</f>
        <v/>
      </c>
      <c r="L3093" s="331" t="str">
        <f>IFERROR(IF([1]F_ProductBM!L387 = "", "", [1]F_ProductBM!L387 ),"")</f>
        <v/>
      </c>
      <c r="M3093" s="331" t="str">
        <f>IFERROR(IF([1]F_ProductBM!M387 = "", "", [1]F_ProductBM!M387 ),"")</f>
        <v/>
      </c>
      <c r="N3093" s="331" t="str">
        <f>IFERROR(IF([1]F_ProductBM!N387 = "", "", [1]F_ProductBM!N387 ),"")</f>
        <v/>
      </c>
    </row>
    <row r="3094" spans="3:14">
      <c r="C3094" s="485"/>
      <c r="D3094" s="485"/>
      <c r="E3094" s="485"/>
      <c r="F3094" s="485"/>
      <c r="G3094" s="485"/>
      <c r="H3094" s="485"/>
      <c r="I3094" s="952"/>
      <c r="J3094" s="485"/>
      <c r="K3094" s="485"/>
      <c r="L3094" s="485"/>
      <c r="M3094" s="485"/>
      <c r="N3094" s="485"/>
    </row>
    <row r="3095" spans="3:14" ht="21.6" customHeight="1" thickBot="1">
      <c r="C3095" s="479"/>
      <c r="D3095" s="485"/>
      <c r="E3095" s="2465" t="s">
        <v>2703</v>
      </c>
      <c r="F3095" s="2400"/>
      <c r="G3095" s="2400"/>
      <c r="H3095" s="2400"/>
      <c r="I3095" s="2400"/>
      <c r="J3095" s="2400"/>
      <c r="K3095" s="2400"/>
      <c r="L3095" s="2400"/>
      <c r="M3095" s="2400"/>
      <c r="N3095" s="2400"/>
    </row>
    <row r="3096" spans="3:14">
      <c r="C3096" s="479"/>
      <c r="D3096" s="902"/>
      <c r="E3096" s="904"/>
      <c r="F3096" s="953"/>
      <c r="G3096" s="953"/>
      <c r="H3096" s="953"/>
      <c r="I3096" s="953"/>
      <c r="J3096" s="953"/>
      <c r="K3096" s="953"/>
      <c r="L3096" s="953"/>
      <c r="M3096" s="953"/>
      <c r="N3096" s="954"/>
    </row>
    <row r="3097" spans="3:14">
      <c r="C3097" s="479"/>
      <c r="D3097" s="907" t="s">
        <v>1916</v>
      </c>
      <c r="E3097" s="908" t="s">
        <v>1774</v>
      </c>
      <c r="F3097" s="909"/>
      <c r="G3097" s="909"/>
      <c r="H3097" s="910" t="s">
        <v>884</v>
      </c>
      <c r="I3097" s="911" t="s">
        <v>2213</v>
      </c>
      <c r="J3097" s="912">
        <v>2021</v>
      </c>
      <c r="K3097" s="913">
        <v>2022</v>
      </c>
      <c r="L3097" s="913">
        <v>2023</v>
      </c>
      <c r="M3097" s="913">
        <v>2024</v>
      </c>
      <c r="N3097" s="914">
        <v>2025</v>
      </c>
    </row>
    <row r="3098" spans="3:14">
      <c r="C3098" s="479"/>
      <c r="D3098" s="915" t="s">
        <v>6</v>
      </c>
      <c r="E3098" s="916" t="s">
        <v>1691</v>
      </c>
      <c r="F3098" s="916"/>
      <c r="G3098" s="916"/>
      <c r="H3098" s="944" t="s">
        <v>471</v>
      </c>
      <c r="I3098" s="281" t="str">
        <f>IFERROR(IF([1]F_ProductBM!I392 = "", "", [1]F_ProductBM!I392 ),"")</f>
        <v/>
      </c>
      <c r="J3098" s="334" t="str">
        <f>IFERROR(IF([1]F_ProductBM!J392 = "", "", [1]F_ProductBM!J392 ),"")</f>
        <v/>
      </c>
      <c r="K3098" s="335" t="str">
        <f>IFERROR(IF([1]F_ProductBM!K392 = "", "", [1]F_ProductBM!K392 ),"")</f>
        <v/>
      </c>
      <c r="L3098" s="335" t="str">
        <f>IFERROR(IF([1]F_ProductBM!L392 = "", "", [1]F_ProductBM!L392 ),"")</f>
        <v/>
      </c>
      <c r="M3098" s="335" t="str">
        <f>IFERROR(IF([1]F_ProductBM!M392 = "", "", [1]F_ProductBM!M392 ),"")</f>
        <v/>
      </c>
      <c r="N3098" s="336" t="str">
        <f>IFERROR(IF([1]F_ProductBM!N392 = "", "", [1]F_ProductBM!N392 ),"")</f>
        <v/>
      </c>
    </row>
    <row r="3099" spans="3:14">
      <c r="C3099" s="479"/>
      <c r="D3099" s="915"/>
      <c r="E3099" s="916" t="s">
        <v>1776</v>
      </c>
      <c r="F3099" s="916"/>
      <c r="G3099" s="916"/>
      <c r="H3099" s="921"/>
      <c r="I3099" s="916"/>
      <c r="J3099" s="319" t="str">
        <f>IFERROR(IF([1]F_ProductBM!J393 = "", "", [1]F_ProductBM!J393 ),"")</f>
        <v/>
      </c>
      <c r="K3099" s="320" t="str">
        <f>IFERROR(IF([1]F_ProductBM!K393 = "", "", [1]F_ProductBM!K393 ),"")</f>
        <v/>
      </c>
      <c r="L3099" s="320" t="str">
        <f>IFERROR(IF([1]F_ProductBM!L393 = "", "", [1]F_ProductBM!L393 ),"")</f>
        <v/>
      </c>
      <c r="M3099" s="320" t="str">
        <f>IFERROR(IF([1]F_ProductBM!M393 = "", "", [1]F_ProductBM!M393 ),"")</f>
        <v/>
      </c>
      <c r="N3099" s="321" t="str">
        <f>IFERROR(IF([1]F_ProductBM!N393 = "", "", [1]F_ProductBM!N393 ),"")</f>
        <v/>
      </c>
    </row>
    <row r="3100" spans="3:14">
      <c r="C3100" s="479"/>
      <c r="D3100" s="915" t="s">
        <v>7</v>
      </c>
      <c r="E3100" s="916" t="s">
        <v>1654</v>
      </c>
      <c r="F3100" s="916"/>
      <c r="G3100" s="916"/>
      <c r="H3100" s="921"/>
      <c r="I3100" s="916"/>
      <c r="J3100" s="288" t="str">
        <f>IFERROR(IF([1]F_ProductBM!J394 = "", "", [1]F_ProductBM!J394 ),"")</f>
        <v/>
      </c>
      <c r="K3100" s="289" t="str">
        <f>IFERROR(IF([1]F_ProductBM!K394 = "", "", [1]F_ProductBM!K394 ),"")</f>
        <v/>
      </c>
      <c r="L3100" s="289" t="str">
        <f>IFERROR(IF([1]F_ProductBM!L394 = "", "", [1]F_ProductBM!L394 ),"")</f>
        <v/>
      </c>
      <c r="M3100" s="289" t="str">
        <f>IFERROR(IF([1]F_ProductBM!M394 = "", "", [1]F_ProductBM!M394 ),"")</f>
        <v/>
      </c>
      <c r="N3100" s="290" t="str">
        <f>IFERROR(IF([1]F_ProductBM!N394 = "", "", [1]F_ProductBM!N394 ),"")</f>
        <v/>
      </c>
    </row>
    <row r="3101" spans="3:14">
      <c r="C3101" s="479"/>
      <c r="D3101" s="915"/>
      <c r="E3101" s="916" t="s">
        <v>1689</v>
      </c>
      <c r="F3101" s="916"/>
      <c r="G3101" s="916"/>
      <c r="H3101" s="944" t="s">
        <v>471</v>
      </c>
      <c r="I3101" s="281" t="str">
        <f>IFERROR(IF([1]F_ProductBM!I395 = "", "", [1]F_ProductBM!I395 ),"")</f>
        <v/>
      </c>
      <c r="J3101" s="282" t="str">
        <f>IFERROR(IF([1]F_ProductBM!J395 = "", "", [1]F_ProductBM!J395 ),"")</f>
        <v/>
      </c>
      <c r="K3101" s="283" t="str">
        <f>IFERROR(IF([1]F_ProductBM!K395 = "", "", [1]F_ProductBM!K395 ),"")</f>
        <v/>
      </c>
      <c r="L3101" s="283" t="str">
        <f>IFERROR(IF([1]F_ProductBM!L395 = "", "", [1]F_ProductBM!L395 ),"")</f>
        <v/>
      </c>
      <c r="M3101" s="283" t="str">
        <f>IFERROR(IF([1]F_ProductBM!M395 = "", "", [1]F_ProductBM!M395 ),"")</f>
        <v/>
      </c>
      <c r="N3101" s="284" t="str">
        <f>IFERROR(IF([1]F_ProductBM!N395 = "", "", [1]F_ProductBM!N395 ),"")</f>
        <v/>
      </c>
    </row>
    <row r="3102" spans="3:14">
      <c r="C3102" s="479"/>
      <c r="D3102" s="915"/>
      <c r="E3102" s="909"/>
      <c r="F3102" s="909"/>
      <c r="G3102" s="909"/>
      <c r="H3102" s="909"/>
      <c r="I3102" s="909"/>
      <c r="J3102" s="909"/>
      <c r="K3102" s="909"/>
      <c r="L3102" s="909"/>
      <c r="M3102" s="909"/>
      <c r="N3102" s="922"/>
    </row>
    <row r="3103" spans="3:14">
      <c r="C3103" s="479"/>
      <c r="D3103" s="915"/>
      <c r="E3103" s="923" t="s">
        <v>1653</v>
      </c>
      <c r="F3103" s="923"/>
      <c r="G3103" s="923"/>
      <c r="H3103" s="923"/>
      <c r="I3103" s="923"/>
      <c r="J3103" s="912">
        <v>2021</v>
      </c>
      <c r="K3103" s="913">
        <v>2022</v>
      </c>
      <c r="L3103" s="913">
        <v>2023</v>
      </c>
      <c r="M3103" s="913">
        <v>2024</v>
      </c>
      <c r="N3103" s="914">
        <v>2025</v>
      </c>
    </row>
    <row r="3104" spans="3:14">
      <c r="C3104" s="479"/>
      <c r="D3104" s="915" t="s">
        <v>8</v>
      </c>
      <c r="E3104" s="916" t="s">
        <v>2108</v>
      </c>
      <c r="F3104" s="916"/>
      <c r="G3104" s="916"/>
      <c r="H3104" s="916"/>
      <c r="I3104" s="916"/>
      <c r="J3104" s="69" t="str">
        <f>IFERROR(IF([1]F_ProductBM!J398 = "", "", [1]F_ProductBM!J398 ),"")</f>
        <v/>
      </c>
      <c r="K3104" s="62" t="str">
        <f>IFERROR(IF([1]F_ProductBM!K398 = "", "", [1]F_ProductBM!K398 ),"")</f>
        <v/>
      </c>
      <c r="L3104" s="62" t="str">
        <f>IFERROR(IF([1]F_ProductBM!L398 = "", "", [1]F_ProductBM!L398 ),"")</f>
        <v/>
      </c>
      <c r="M3104" s="62" t="str">
        <f>IFERROR(IF([1]F_ProductBM!M398 = "", "", [1]F_ProductBM!M398 ),"")</f>
        <v/>
      </c>
      <c r="N3104" s="70" t="str">
        <f>IFERROR(IF([1]F_ProductBM!N398 = "", "", [1]F_ProductBM!N398 ),"")</f>
        <v/>
      </c>
    </row>
    <row r="3105" spans="3:14" ht="13.5" thickBot="1">
      <c r="C3105" s="479"/>
      <c r="D3105" s="915"/>
      <c r="E3105" s="909"/>
      <c r="F3105" s="909"/>
      <c r="G3105" s="909"/>
      <c r="H3105" s="909"/>
      <c r="I3105" s="909"/>
      <c r="J3105" s="909"/>
      <c r="K3105" s="909"/>
      <c r="L3105" s="909"/>
      <c r="M3105" s="909"/>
      <c r="N3105" s="922"/>
    </row>
    <row r="3106" spans="3:14" ht="13.5" thickBot="1">
      <c r="C3106" s="479"/>
      <c r="D3106" s="915" t="s">
        <v>18</v>
      </c>
      <c r="E3106" s="916" t="s">
        <v>1657</v>
      </c>
      <c r="F3106" s="916"/>
      <c r="G3106" s="916"/>
      <c r="H3106" s="921"/>
      <c r="I3106" s="916"/>
      <c r="J3106" s="291" t="str">
        <f>IFERROR(IF([1]F_ProductBM!J400 = "", "", [1]F_ProductBM!J400 ),"")</f>
        <v/>
      </c>
      <c r="K3106" s="292" t="str">
        <f>IFERROR(IF([1]F_ProductBM!K400 = "", "", [1]F_ProductBM!K400 ),"")</f>
        <v/>
      </c>
      <c r="L3106" s="292" t="str">
        <f>IFERROR(IF([1]F_ProductBM!L400 = "", "", [1]F_ProductBM!L400 ),"")</f>
        <v/>
      </c>
      <c r="M3106" s="292" t="str">
        <f>IFERROR(IF([1]F_ProductBM!M400 = "", "", [1]F_ProductBM!M400 ),"")</f>
        <v/>
      </c>
      <c r="N3106" s="293" t="str">
        <f>IFERROR(IF([1]F_ProductBM!N400 = "", "", [1]F_ProductBM!N400 ),"")</f>
        <v/>
      </c>
    </row>
    <row r="3107" spans="3:14" ht="13.5" thickBot="1">
      <c r="C3107" s="479"/>
      <c r="D3107" s="915" t="s">
        <v>787</v>
      </c>
      <c r="E3107" s="916" t="s">
        <v>1659</v>
      </c>
      <c r="F3107" s="916"/>
      <c r="G3107" s="916"/>
      <c r="H3107" s="944" t="s">
        <v>471</v>
      </c>
      <c r="I3107" s="281" t="str">
        <f>IFERROR(IF([1]F_ProductBM!I401 = "", "", [1]F_ProductBM!I401 ),"")</f>
        <v/>
      </c>
      <c r="J3107" s="294" t="str">
        <f>IFERROR(IF([1]F_ProductBM!J401 = "", "", [1]F_ProductBM!J401 ),"")</f>
        <v/>
      </c>
      <c r="K3107" s="295" t="str">
        <f>IFERROR(IF([1]F_ProductBM!K401 = "", "", [1]F_ProductBM!K401 ),"")</f>
        <v/>
      </c>
      <c r="L3107" s="295" t="str">
        <f>IFERROR(IF([1]F_ProductBM!L401 = "", "", [1]F_ProductBM!L401 ),"")</f>
        <v/>
      </c>
      <c r="M3107" s="295" t="str">
        <f>IFERROR(IF([1]F_ProductBM!M401 = "", "", [1]F_ProductBM!M401 ),"")</f>
        <v/>
      </c>
      <c r="N3107" s="296" t="str">
        <f>IFERROR(IF([1]F_ProductBM!N401 = "", "", [1]F_ProductBM!N401 ),"")</f>
        <v/>
      </c>
    </row>
    <row r="3108" spans="3:14" ht="13.5" thickBot="1">
      <c r="C3108" s="485"/>
      <c r="D3108" s="924"/>
      <c r="E3108" s="925"/>
      <c r="F3108" s="925"/>
      <c r="G3108" s="925"/>
      <c r="H3108" s="925"/>
      <c r="I3108" s="955"/>
      <c r="J3108" s="925"/>
      <c r="K3108" s="925"/>
      <c r="L3108" s="925"/>
      <c r="M3108" s="925"/>
      <c r="N3108" s="926"/>
    </row>
    <row r="3109" spans="3:14">
      <c r="C3109" s="485"/>
      <c r="D3109" s="485"/>
      <c r="E3109" s="485"/>
      <c r="F3109" s="485"/>
      <c r="G3109" s="485"/>
      <c r="H3109" s="485"/>
      <c r="I3109" s="952"/>
      <c r="J3109" s="485"/>
      <c r="K3109" s="485"/>
      <c r="L3109" s="485"/>
      <c r="M3109" s="485"/>
      <c r="N3109" s="485"/>
    </row>
    <row r="3110" spans="3:14" ht="15">
      <c r="C3110" s="856"/>
      <c r="D3110" s="2482" t="s">
        <v>103</v>
      </c>
      <c r="E3110" s="2400"/>
      <c r="F3110" s="2400"/>
      <c r="G3110" s="2400"/>
      <c r="H3110" s="2400"/>
      <c r="I3110" s="2400"/>
      <c r="J3110" s="2400"/>
      <c r="K3110" s="2400"/>
      <c r="L3110" s="2400"/>
      <c r="M3110" s="2400"/>
      <c r="N3110" s="2400"/>
    </row>
    <row r="3111" spans="3:14">
      <c r="C3111" s="479"/>
      <c r="D3111" s="479"/>
      <c r="E3111" s="479"/>
      <c r="F3111" s="479"/>
      <c r="G3111" s="479"/>
      <c r="H3111" s="479"/>
      <c r="I3111" s="479"/>
      <c r="J3111" s="479"/>
      <c r="K3111" s="479"/>
      <c r="L3111" s="479"/>
      <c r="M3111" s="479"/>
      <c r="N3111" s="479"/>
    </row>
    <row r="3112" spans="3:14">
      <c r="C3112" s="482"/>
      <c r="D3112" s="482" t="s">
        <v>57</v>
      </c>
      <c r="E3112" s="2373" t="s">
        <v>108</v>
      </c>
      <c r="F3112" s="2400"/>
      <c r="G3112" s="2400"/>
      <c r="H3112" s="2400"/>
      <c r="I3112" s="2400"/>
      <c r="J3112" s="2400"/>
      <c r="K3112" s="2400"/>
      <c r="L3112" s="2400"/>
      <c r="M3112" s="2400"/>
      <c r="N3112" s="2400"/>
    </row>
    <row r="3113" spans="3:14">
      <c r="C3113" s="485"/>
      <c r="D3113" s="485"/>
      <c r="E3113" s="2465" t="s">
        <v>1935</v>
      </c>
      <c r="F3113" s="2400"/>
      <c r="G3113" s="2400"/>
      <c r="H3113" s="2400"/>
      <c r="I3113" s="2400"/>
      <c r="J3113" s="2400"/>
      <c r="K3113" s="2400"/>
      <c r="L3113" s="2400"/>
      <c r="M3113" s="2400"/>
      <c r="N3113" s="2400"/>
    </row>
    <row r="3114" spans="3:14">
      <c r="C3114" s="485"/>
      <c r="D3114" s="485"/>
      <c r="E3114" s="2465" t="s">
        <v>1636</v>
      </c>
      <c r="F3114" s="2400"/>
      <c r="G3114" s="2400"/>
      <c r="H3114" s="2400"/>
      <c r="I3114" s="2400"/>
      <c r="J3114" s="2400"/>
      <c r="K3114" s="2400"/>
      <c r="L3114" s="2400"/>
      <c r="M3114" s="2400"/>
      <c r="N3114" s="2400"/>
    </row>
    <row r="3115" spans="3:14">
      <c r="C3115" s="485"/>
      <c r="D3115" s="485"/>
      <c r="E3115" s="2465" t="s">
        <v>2119</v>
      </c>
      <c r="F3115" s="2400"/>
      <c r="G3115" s="2400"/>
      <c r="H3115" s="2400"/>
      <c r="I3115" s="2400"/>
      <c r="J3115" s="2400"/>
      <c r="K3115" s="2400"/>
      <c r="L3115" s="2400"/>
      <c r="M3115" s="2400"/>
      <c r="N3115" s="2400"/>
    </row>
    <row r="3116" spans="3:14">
      <c r="C3116" s="485"/>
      <c r="D3116" s="485"/>
      <c r="E3116" s="2677" t="s">
        <v>2120</v>
      </c>
      <c r="F3116" s="2364"/>
      <c r="G3116" s="2364"/>
      <c r="H3116" s="2364"/>
      <c r="I3116" s="2364"/>
      <c r="J3116" s="2364"/>
      <c r="K3116" s="2364"/>
      <c r="L3116" s="2364"/>
      <c r="M3116" s="2364"/>
      <c r="N3116" s="2364"/>
    </row>
    <row r="3117" spans="3:14">
      <c r="C3117" s="479"/>
      <c r="D3117" s="479"/>
      <c r="E3117" s="479"/>
      <c r="F3117" s="479"/>
      <c r="G3117" s="479"/>
      <c r="H3117" s="479"/>
      <c r="I3117" s="479"/>
      <c r="J3117" s="479"/>
      <c r="K3117" s="479"/>
      <c r="L3117" s="479"/>
      <c r="M3117" s="479"/>
      <c r="N3117" s="479"/>
    </row>
    <row r="3118" spans="3:14">
      <c r="C3118" s="482"/>
      <c r="D3118" s="482" t="s">
        <v>58</v>
      </c>
      <c r="E3118" s="2373" t="s">
        <v>1013</v>
      </c>
      <c r="F3118" s="2400"/>
      <c r="G3118" s="2400"/>
      <c r="H3118" s="2400"/>
      <c r="I3118" s="2400"/>
      <c r="J3118" s="2400"/>
      <c r="K3118" s="2400"/>
      <c r="L3118" s="2400"/>
      <c r="M3118" s="2400"/>
      <c r="N3118" s="2400"/>
    </row>
    <row r="3119" spans="3:14">
      <c r="C3119" s="479"/>
      <c r="D3119" s="485"/>
      <c r="E3119" s="617"/>
      <c r="F3119" s="617"/>
      <c r="G3119" s="617"/>
      <c r="H3119" s="617"/>
      <c r="I3119" s="617"/>
      <c r="J3119" s="468"/>
      <c r="K3119" s="468"/>
      <c r="L3119" s="468"/>
      <c r="M3119" s="485"/>
      <c r="N3119" s="485"/>
    </row>
    <row r="3120" spans="3:14" ht="51">
      <c r="C3120" s="485"/>
      <c r="D3120" s="956"/>
      <c r="E3120" s="957" t="s">
        <v>2112</v>
      </c>
      <c r="F3120" s="958" t="s">
        <v>949</v>
      </c>
      <c r="G3120" s="959" t="s">
        <v>884</v>
      </c>
      <c r="H3120" s="578">
        <v>2019</v>
      </c>
      <c r="I3120" s="697">
        <v>2020</v>
      </c>
      <c r="J3120" s="696">
        <v>2021</v>
      </c>
      <c r="K3120" s="578">
        <v>2022</v>
      </c>
      <c r="L3120" s="578">
        <v>2023</v>
      </c>
      <c r="M3120" s="578">
        <v>2024</v>
      </c>
      <c r="N3120" s="578">
        <v>2025</v>
      </c>
    </row>
    <row r="3121" spans="3:14">
      <c r="C3121" s="485"/>
      <c r="D3121" s="579">
        <v>1</v>
      </c>
      <c r="E3121" s="375" t="str">
        <f>IFERROR(IF([1]F_ProductBM!E415 = "", "", [1]F_ProductBM!E415 ),"")</f>
        <v/>
      </c>
      <c r="F3121" s="337" t="str">
        <f>IFERROR(IF([1]F_ProductBM!F415 = "", "", [1]F_ProductBM!F415 ),"")</f>
        <v/>
      </c>
      <c r="G3121" s="71" t="str">
        <f>IFERROR(IF([1]F_ProductBM!G415 = "", "", [1]F_ProductBM!G415 ),"")</f>
        <v/>
      </c>
      <c r="H3121" s="94" t="str">
        <f>IFERROR(IF([1]F_ProductBM!H415 = "", "", [1]F_ProductBM!H415 ),"")</f>
        <v/>
      </c>
      <c r="I3121" s="110" t="str">
        <f>IFERROR(IF([1]F_ProductBM!I415 = "", "", [1]F_ProductBM!I415 ),"")</f>
        <v/>
      </c>
      <c r="J3121" s="111" t="str">
        <f>IFERROR(IF([1]F_ProductBM!J415 = "", "", [1]F_ProductBM!J415 ),"")</f>
        <v/>
      </c>
      <c r="K3121" s="94" t="str">
        <f>IFERROR(IF([1]F_ProductBM!K415 = "", "", [1]F_ProductBM!K415 ),"")</f>
        <v/>
      </c>
      <c r="L3121" s="94" t="str">
        <f>IFERROR(IF([1]F_ProductBM!L415 = "", "", [1]F_ProductBM!L415 ),"")</f>
        <v/>
      </c>
      <c r="M3121" s="94" t="str">
        <f>IFERROR(IF([1]F_ProductBM!M415 = "", "", [1]F_ProductBM!M415 ),"")</f>
        <v/>
      </c>
      <c r="N3121" s="94" t="str">
        <f>IFERROR(IF([1]F_ProductBM!N415 = "", "", [1]F_ProductBM!N415 ),"")</f>
        <v/>
      </c>
    </row>
    <row r="3122" spans="3:14">
      <c r="C3122" s="485"/>
      <c r="D3122" s="582">
        <v>2</v>
      </c>
      <c r="E3122" s="376" t="str">
        <f>IFERROR(IF([1]F_ProductBM!E416 = "", "", [1]F_ProductBM!E416 ),"")</f>
        <v/>
      </c>
      <c r="F3122" s="338" t="str">
        <f>IFERROR(IF([1]F_ProductBM!F416 = "", "", [1]F_ProductBM!F416 ),"")</f>
        <v/>
      </c>
      <c r="G3122" s="72" t="str">
        <f>IFERROR(IF([1]F_ProductBM!G416 = "", "", [1]F_ProductBM!G416 ),"")</f>
        <v/>
      </c>
      <c r="H3122" s="101" t="str">
        <f>IFERROR(IF([1]F_ProductBM!H416 = "", "", [1]F_ProductBM!H416 ),"")</f>
        <v/>
      </c>
      <c r="I3122" s="361" t="str">
        <f>IFERROR(IF([1]F_ProductBM!I416 = "", "", [1]F_ProductBM!I416 ),"")</f>
        <v/>
      </c>
      <c r="J3122" s="362" t="str">
        <f>IFERROR(IF([1]F_ProductBM!J416 = "", "", [1]F_ProductBM!J416 ),"")</f>
        <v/>
      </c>
      <c r="K3122" s="101" t="str">
        <f>IFERROR(IF([1]F_ProductBM!K416 = "", "", [1]F_ProductBM!K416 ),"")</f>
        <v/>
      </c>
      <c r="L3122" s="101" t="str">
        <f>IFERROR(IF([1]F_ProductBM!L416 = "", "", [1]F_ProductBM!L416 ),"")</f>
        <v/>
      </c>
      <c r="M3122" s="101" t="str">
        <f>IFERROR(IF([1]F_ProductBM!M416 = "", "", [1]F_ProductBM!M416 ),"")</f>
        <v/>
      </c>
      <c r="N3122" s="101" t="str">
        <f>IFERROR(IF([1]F_ProductBM!N416 = "", "", [1]F_ProductBM!N416 ),"")</f>
        <v/>
      </c>
    </row>
    <row r="3123" spans="3:14">
      <c r="C3123" s="485"/>
      <c r="D3123" s="582">
        <v>3</v>
      </c>
      <c r="E3123" s="376" t="str">
        <f>IFERROR(IF([1]F_ProductBM!E417 = "", "", [1]F_ProductBM!E417 ),"")</f>
        <v/>
      </c>
      <c r="F3123" s="338" t="str">
        <f>IFERROR(IF([1]F_ProductBM!F417 = "", "", [1]F_ProductBM!F417 ),"")</f>
        <v/>
      </c>
      <c r="G3123" s="72" t="str">
        <f>IFERROR(IF([1]F_ProductBM!G417 = "", "", [1]F_ProductBM!G417 ),"")</f>
        <v/>
      </c>
      <c r="H3123" s="101" t="str">
        <f>IFERROR(IF([1]F_ProductBM!H417 = "", "", [1]F_ProductBM!H417 ),"")</f>
        <v/>
      </c>
      <c r="I3123" s="361" t="str">
        <f>IFERROR(IF([1]F_ProductBM!I417 = "", "", [1]F_ProductBM!I417 ),"")</f>
        <v/>
      </c>
      <c r="J3123" s="362" t="str">
        <f>IFERROR(IF([1]F_ProductBM!J417 = "", "", [1]F_ProductBM!J417 ),"")</f>
        <v/>
      </c>
      <c r="K3123" s="101" t="str">
        <f>IFERROR(IF([1]F_ProductBM!K417 = "", "", [1]F_ProductBM!K417 ),"")</f>
        <v/>
      </c>
      <c r="L3123" s="101" t="str">
        <f>IFERROR(IF([1]F_ProductBM!L417 = "", "", [1]F_ProductBM!L417 ),"")</f>
        <v/>
      </c>
      <c r="M3123" s="101" t="str">
        <f>IFERROR(IF([1]F_ProductBM!M417 = "", "", [1]F_ProductBM!M417 ),"")</f>
        <v/>
      </c>
      <c r="N3123" s="101" t="str">
        <f>IFERROR(IF([1]F_ProductBM!N417 = "", "", [1]F_ProductBM!N417 ),"")</f>
        <v/>
      </c>
    </row>
    <row r="3124" spans="3:14">
      <c r="C3124" s="485"/>
      <c r="D3124" s="582">
        <v>4</v>
      </c>
      <c r="E3124" s="376" t="str">
        <f>IFERROR(IF([1]F_ProductBM!E418 = "", "", [1]F_ProductBM!E418 ),"")</f>
        <v/>
      </c>
      <c r="F3124" s="338" t="str">
        <f>IFERROR(IF([1]F_ProductBM!F418 = "", "", [1]F_ProductBM!F418 ),"")</f>
        <v/>
      </c>
      <c r="G3124" s="72" t="str">
        <f>IFERROR(IF([1]F_ProductBM!G418 = "", "", [1]F_ProductBM!G418 ),"")</f>
        <v/>
      </c>
      <c r="H3124" s="101" t="str">
        <f>IFERROR(IF([1]F_ProductBM!H418 = "", "", [1]F_ProductBM!H418 ),"")</f>
        <v/>
      </c>
      <c r="I3124" s="361" t="str">
        <f>IFERROR(IF([1]F_ProductBM!I418 = "", "", [1]F_ProductBM!I418 ),"")</f>
        <v/>
      </c>
      <c r="J3124" s="362" t="str">
        <f>IFERROR(IF([1]F_ProductBM!J418 = "", "", [1]F_ProductBM!J418 ),"")</f>
        <v/>
      </c>
      <c r="K3124" s="101" t="str">
        <f>IFERROR(IF([1]F_ProductBM!K418 = "", "", [1]F_ProductBM!K418 ),"")</f>
        <v/>
      </c>
      <c r="L3124" s="101" t="str">
        <f>IFERROR(IF([1]F_ProductBM!L418 = "", "", [1]F_ProductBM!L418 ),"")</f>
        <v/>
      </c>
      <c r="M3124" s="101" t="str">
        <f>IFERROR(IF([1]F_ProductBM!M418 = "", "", [1]F_ProductBM!M418 ),"")</f>
        <v/>
      </c>
      <c r="N3124" s="101" t="str">
        <f>IFERROR(IF([1]F_ProductBM!N418 = "", "", [1]F_ProductBM!N418 ),"")</f>
        <v/>
      </c>
    </row>
    <row r="3125" spans="3:14">
      <c r="C3125" s="485"/>
      <c r="D3125" s="582">
        <v>5</v>
      </c>
      <c r="E3125" s="376" t="str">
        <f>IFERROR(IF([1]F_ProductBM!E419 = "", "", [1]F_ProductBM!E419 ),"")</f>
        <v/>
      </c>
      <c r="F3125" s="338" t="str">
        <f>IFERROR(IF([1]F_ProductBM!F419 = "", "", [1]F_ProductBM!F419 ),"")</f>
        <v/>
      </c>
      <c r="G3125" s="72" t="str">
        <f>IFERROR(IF([1]F_ProductBM!G419 = "", "", [1]F_ProductBM!G419 ),"")</f>
        <v/>
      </c>
      <c r="H3125" s="101" t="str">
        <f>IFERROR(IF([1]F_ProductBM!H419 = "", "", [1]F_ProductBM!H419 ),"")</f>
        <v/>
      </c>
      <c r="I3125" s="361" t="str">
        <f>IFERROR(IF([1]F_ProductBM!I419 = "", "", [1]F_ProductBM!I419 ),"")</f>
        <v/>
      </c>
      <c r="J3125" s="362" t="str">
        <f>IFERROR(IF([1]F_ProductBM!J419 = "", "", [1]F_ProductBM!J419 ),"")</f>
        <v/>
      </c>
      <c r="K3125" s="101" t="str">
        <f>IFERROR(IF([1]F_ProductBM!K419 = "", "", [1]F_ProductBM!K419 ),"")</f>
        <v/>
      </c>
      <c r="L3125" s="101" t="str">
        <f>IFERROR(IF([1]F_ProductBM!L419 = "", "", [1]F_ProductBM!L419 ),"")</f>
        <v/>
      </c>
      <c r="M3125" s="101" t="str">
        <f>IFERROR(IF([1]F_ProductBM!M419 = "", "", [1]F_ProductBM!M419 ),"")</f>
        <v/>
      </c>
      <c r="N3125" s="101" t="str">
        <f>IFERROR(IF([1]F_ProductBM!N419 = "", "", [1]F_ProductBM!N419 ),"")</f>
        <v/>
      </c>
    </row>
    <row r="3126" spans="3:14">
      <c r="C3126" s="485"/>
      <c r="D3126" s="582">
        <v>6</v>
      </c>
      <c r="E3126" s="376" t="str">
        <f>IFERROR(IF([1]F_ProductBM!E420 = "", "", [1]F_ProductBM!E420 ),"")</f>
        <v/>
      </c>
      <c r="F3126" s="338" t="str">
        <f>IFERROR(IF([1]F_ProductBM!F420 = "", "", [1]F_ProductBM!F420 ),"")</f>
        <v/>
      </c>
      <c r="G3126" s="72" t="str">
        <f>IFERROR(IF([1]F_ProductBM!G420 = "", "", [1]F_ProductBM!G420 ),"")</f>
        <v/>
      </c>
      <c r="H3126" s="101" t="str">
        <f>IFERROR(IF([1]F_ProductBM!H420 = "", "", [1]F_ProductBM!H420 ),"")</f>
        <v/>
      </c>
      <c r="I3126" s="361" t="str">
        <f>IFERROR(IF([1]F_ProductBM!I420 = "", "", [1]F_ProductBM!I420 ),"")</f>
        <v/>
      </c>
      <c r="J3126" s="362" t="str">
        <f>IFERROR(IF([1]F_ProductBM!J420 = "", "", [1]F_ProductBM!J420 ),"")</f>
        <v/>
      </c>
      <c r="K3126" s="101" t="str">
        <f>IFERROR(IF([1]F_ProductBM!K420 = "", "", [1]F_ProductBM!K420 ),"")</f>
        <v/>
      </c>
      <c r="L3126" s="101" t="str">
        <f>IFERROR(IF([1]F_ProductBM!L420 = "", "", [1]F_ProductBM!L420 ),"")</f>
        <v/>
      </c>
      <c r="M3126" s="101" t="str">
        <f>IFERROR(IF([1]F_ProductBM!M420 = "", "", [1]F_ProductBM!M420 ),"")</f>
        <v/>
      </c>
      <c r="N3126" s="101" t="str">
        <f>IFERROR(IF([1]F_ProductBM!N420 = "", "", [1]F_ProductBM!N420 ),"")</f>
        <v/>
      </c>
    </row>
    <row r="3127" spans="3:14">
      <c r="C3127" s="485"/>
      <c r="D3127" s="582">
        <v>7</v>
      </c>
      <c r="E3127" s="376" t="str">
        <f>IFERROR(IF([1]F_ProductBM!E421 = "", "", [1]F_ProductBM!E421 ),"")</f>
        <v/>
      </c>
      <c r="F3127" s="338" t="str">
        <f>IFERROR(IF([1]F_ProductBM!F421 = "", "", [1]F_ProductBM!F421 ),"")</f>
        <v/>
      </c>
      <c r="G3127" s="72" t="str">
        <f>IFERROR(IF([1]F_ProductBM!G421 = "", "", [1]F_ProductBM!G421 ),"")</f>
        <v/>
      </c>
      <c r="H3127" s="101" t="str">
        <f>IFERROR(IF([1]F_ProductBM!H421 = "", "", [1]F_ProductBM!H421 ),"")</f>
        <v/>
      </c>
      <c r="I3127" s="361" t="str">
        <f>IFERROR(IF([1]F_ProductBM!I421 = "", "", [1]F_ProductBM!I421 ),"")</f>
        <v/>
      </c>
      <c r="J3127" s="362" t="str">
        <f>IFERROR(IF([1]F_ProductBM!J421 = "", "", [1]F_ProductBM!J421 ),"")</f>
        <v/>
      </c>
      <c r="K3127" s="101" t="str">
        <f>IFERROR(IF([1]F_ProductBM!K421 = "", "", [1]F_ProductBM!K421 ),"")</f>
        <v/>
      </c>
      <c r="L3127" s="101" t="str">
        <f>IFERROR(IF([1]F_ProductBM!L421 = "", "", [1]F_ProductBM!L421 ),"")</f>
        <v/>
      </c>
      <c r="M3127" s="101" t="str">
        <f>IFERROR(IF([1]F_ProductBM!M421 = "", "", [1]F_ProductBM!M421 ),"")</f>
        <v/>
      </c>
      <c r="N3127" s="101" t="str">
        <f>IFERROR(IF([1]F_ProductBM!N421 = "", "", [1]F_ProductBM!N421 ),"")</f>
        <v/>
      </c>
    </row>
    <row r="3128" spans="3:14">
      <c r="C3128" s="485"/>
      <c r="D3128" s="582">
        <v>8</v>
      </c>
      <c r="E3128" s="376" t="str">
        <f>IFERROR(IF([1]F_ProductBM!E422 = "", "", [1]F_ProductBM!E422 ),"")</f>
        <v/>
      </c>
      <c r="F3128" s="338" t="str">
        <f>IFERROR(IF([1]F_ProductBM!F422 = "", "", [1]F_ProductBM!F422 ),"")</f>
        <v/>
      </c>
      <c r="G3128" s="72" t="str">
        <f>IFERROR(IF([1]F_ProductBM!G422 = "", "", [1]F_ProductBM!G422 ),"")</f>
        <v/>
      </c>
      <c r="H3128" s="101" t="str">
        <f>IFERROR(IF([1]F_ProductBM!H422 = "", "", [1]F_ProductBM!H422 ),"")</f>
        <v/>
      </c>
      <c r="I3128" s="361" t="str">
        <f>IFERROR(IF([1]F_ProductBM!I422 = "", "", [1]F_ProductBM!I422 ),"")</f>
        <v/>
      </c>
      <c r="J3128" s="362" t="str">
        <f>IFERROR(IF([1]F_ProductBM!J422 = "", "", [1]F_ProductBM!J422 ),"")</f>
        <v/>
      </c>
      <c r="K3128" s="101" t="str">
        <f>IFERROR(IF([1]F_ProductBM!K422 = "", "", [1]F_ProductBM!K422 ),"")</f>
        <v/>
      </c>
      <c r="L3128" s="101" t="str">
        <f>IFERROR(IF([1]F_ProductBM!L422 = "", "", [1]F_ProductBM!L422 ),"")</f>
        <v/>
      </c>
      <c r="M3128" s="101" t="str">
        <f>IFERROR(IF([1]F_ProductBM!M422 = "", "", [1]F_ProductBM!M422 ),"")</f>
        <v/>
      </c>
      <c r="N3128" s="101" t="str">
        <f>IFERROR(IF([1]F_ProductBM!N422 = "", "", [1]F_ProductBM!N422 ),"")</f>
        <v/>
      </c>
    </row>
    <row r="3129" spans="3:14">
      <c r="C3129" s="485"/>
      <c r="D3129" s="582">
        <v>9</v>
      </c>
      <c r="E3129" s="376" t="str">
        <f>IFERROR(IF([1]F_ProductBM!E423 = "", "", [1]F_ProductBM!E423 ),"")</f>
        <v/>
      </c>
      <c r="F3129" s="338" t="str">
        <f>IFERROR(IF([1]F_ProductBM!F423 = "", "", [1]F_ProductBM!F423 ),"")</f>
        <v/>
      </c>
      <c r="G3129" s="72" t="str">
        <f>IFERROR(IF([1]F_ProductBM!G423 = "", "", [1]F_ProductBM!G423 ),"")</f>
        <v/>
      </c>
      <c r="H3129" s="101" t="str">
        <f>IFERROR(IF([1]F_ProductBM!H423 = "", "", [1]F_ProductBM!H423 ),"")</f>
        <v/>
      </c>
      <c r="I3129" s="361" t="str">
        <f>IFERROR(IF([1]F_ProductBM!I423 = "", "", [1]F_ProductBM!I423 ),"")</f>
        <v/>
      </c>
      <c r="J3129" s="362" t="str">
        <f>IFERROR(IF([1]F_ProductBM!J423 = "", "", [1]F_ProductBM!J423 ),"")</f>
        <v/>
      </c>
      <c r="K3129" s="101" t="str">
        <f>IFERROR(IF([1]F_ProductBM!K423 = "", "", [1]F_ProductBM!K423 ),"")</f>
        <v/>
      </c>
      <c r="L3129" s="101" t="str">
        <f>IFERROR(IF([1]F_ProductBM!L423 = "", "", [1]F_ProductBM!L423 ),"")</f>
        <v/>
      </c>
      <c r="M3129" s="101" t="str">
        <f>IFERROR(IF([1]F_ProductBM!M423 = "", "", [1]F_ProductBM!M423 ),"")</f>
        <v/>
      </c>
      <c r="N3129" s="101" t="str">
        <f>IFERROR(IF([1]F_ProductBM!N423 = "", "", [1]F_ProductBM!N423 ),"")</f>
        <v/>
      </c>
    </row>
    <row r="3130" spans="3:14">
      <c r="C3130" s="485"/>
      <c r="D3130" s="584">
        <v>10</v>
      </c>
      <c r="E3130" s="377" t="str">
        <f>IFERROR(IF([1]F_ProductBM!E424 = "", "", [1]F_ProductBM!E424 ),"")</f>
        <v/>
      </c>
      <c r="F3130" s="339" t="str">
        <f>IFERROR(IF([1]F_ProductBM!F424 = "", "", [1]F_ProductBM!F424 ),"")</f>
        <v/>
      </c>
      <c r="G3130" s="73" t="str">
        <f>IFERROR(IF([1]F_ProductBM!G424 = "", "", [1]F_ProductBM!G424 ),"")</f>
        <v/>
      </c>
      <c r="H3130" s="95" t="str">
        <f>IFERROR(IF([1]F_ProductBM!H424 = "", "", [1]F_ProductBM!H424 ),"")</f>
        <v/>
      </c>
      <c r="I3130" s="113" t="str">
        <f>IFERROR(IF([1]F_ProductBM!I424 = "", "", [1]F_ProductBM!I424 ),"")</f>
        <v/>
      </c>
      <c r="J3130" s="114" t="str">
        <f>IFERROR(IF([1]F_ProductBM!J424 = "", "", [1]F_ProductBM!J424 ),"")</f>
        <v/>
      </c>
      <c r="K3130" s="95" t="str">
        <f>IFERROR(IF([1]F_ProductBM!K424 = "", "", [1]F_ProductBM!K424 ),"")</f>
        <v/>
      </c>
      <c r="L3130" s="95" t="str">
        <f>IFERROR(IF([1]F_ProductBM!L424 = "", "", [1]F_ProductBM!L424 ),"")</f>
        <v/>
      </c>
      <c r="M3130" s="95" t="str">
        <f>IFERROR(IF([1]F_ProductBM!M424 = "", "", [1]F_ProductBM!M424 ),"")</f>
        <v/>
      </c>
      <c r="N3130" s="95" t="str">
        <f>IFERROR(IF([1]F_ProductBM!N424 = "", "", [1]F_ProductBM!N424 ),"")</f>
        <v/>
      </c>
    </row>
    <row r="3131" spans="3:14">
      <c r="C3131" s="485"/>
      <c r="D3131" s="971"/>
      <c r="E3131" s="972" t="s">
        <v>921</v>
      </c>
      <c r="F3131" s="948"/>
      <c r="G3131" s="73" t="str">
        <f>IFERROR(IF([1]F_ProductBM!G425 = "", "", [1]F_ProductBM!G425 ),"")</f>
        <v/>
      </c>
      <c r="H3131" s="86" t="str">
        <f>IFERROR(IF([1]F_ProductBM!H425 = "", "", [1]F_ProductBM!H425 ),"")</f>
        <v/>
      </c>
      <c r="I3131" s="340" t="str">
        <f>IFERROR(IF([1]F_ProductBM!I425 = "", "", [1]F_ProductBM!I425 ),"")</f>
        <v/>
      </c>
      <c r="J3131" s="341" t="str">
        <f>IFERROR(IF([1]F_ProductBM!J425 = "", "", [1]F_ProductBM!J425 ),"")</f>
        <v/>
      </c>
      <c r="K3131" s="86" t="str">
        <f>IFERROR(IF([1]F_ProductBM!K425 = "", "", [1]F_ProductBM!K425 ),"")</f>
        <v/>
      </c>
      <c r="L3131" s="86" t="str">
        <f>IFERROR(IF([1]F_ProductBM!L425 = "", "", [1]F_ProductBM!L425 ),"")</f>
        <v/>
      </c>
      <c r="M3131" s="86" t="str">
        <f>IFERROR(IF([1]F_ProductBM!M425 = "", "", [1]F_ProductBM!M425 ),"")</f>
        <v/>
      </c>
      <c r="N3131" s="86" t="str">
        <f>IFERROR(IF([1]F_ProductBM!N425 = "", "", [1]F_ProductBM!N425 ),"")</f>
        <v/>
      </c>
    </row>
    <row r="3132" spans="3:14" ht="13.5" thickBot="1">
      <c r="C3132" s="479"/>
      <c r="D3132" s="479"/>
      <c r="E3132" s="479"/>
      <c r="F3132" s="479"/>
      <c r="G3132" s="479"/>
      <c r="H3132" s="479"/>
      <c r="I3132" s="479"/>
      <c r="J3132" s="479"/>
      <c r="K3132" s="479"/>
      <c r="L3132" s="479"/>
      <c r="M3132" s="485"/>
      <c r="N3132" s="485"/>
    </row>
    <row r="3133" spans="3:14">
      <c r="C3133" s="975"/>
      <c r="D3133" s="976"/>
      <c r="E3133" s="976"/>
      <c r="F3133" s="976"/>
      <c r="G3133" s="976"/>
      <c r="H3133" s="976"/>
      <c r="I3133" s="976"/>
      <c r="J3133" s="976"/>
      <c r="K3133" s="976"/>
      <c r="L3133" s="976"/>
      <c r="M3133" s="774"/>
      <c r="N3133" s="775"/>
    </row>
    <row r="3134" spans="3:14">
      <c r="C3134" s="977"/>
      <c r="D3134" s="2678" t="s">
        <v>2330</v>
      </c>
      <c r="E3134" s="2672"/>
      <c r="F3134" s="2672"/>
      <c r="G3134" s="2672"/>
      <c r="H3134" s="2672"/>
      <c r="I3134" s="2672"/>
      <c r="J3134" s="2672"/>
      <c r="K3134" s="2672"/>
      <c r="L3134" s="2672"/>
      <c r="M3134" s="2672"/>
      <c r="N3134" s="2673"/>
    </row>
    <row r="3135" spans="3:14">
      <c r="C3135" s="980"/>
      <c r="D3135" s="813"/>
      <c r="E3135" s="813"/>
      <c r="F3135" s="813"/>
      <c r="G3135" s="813"/>
      <c r="H3135" s="813"/>
      <c r="I3135" s="813"/>
      <c r="J3135" s="813"/>
      <c r="K3135" s="813"/>
      <c r="L3135" s="813"/>
      <c r="M3135" s="813"/>
      <c r="N3135" s="814"/>
    </row>
    <row r="3136" spans="3:14">
      <c r="C3136" s="980"/>
      <c r="D3136" s="2679" t="s">
        <v>2704</v>
      </c>
      <c r="E3136" s="2646"/>
      <c r="F3136" s="2646"/>
      <c r="G3136" s="2646"/>
      <c r="H3136" s="2680"/>
      <c r="I3136" s="2489" t="str">
        <f>IFERROR(IF([1]F_ProductBM!I430 = "", "", [1]F_ProductBM!I430 ),"")</f>
        <v/>
      </c>
      <c r="J3136" s="2534"/>
      <c r="K3136" s="2534"/>
      <c r="L3136" s="2534"/>
      <c r="M3136" s="2534"/>
      <c r="N3136" s="2681"/>
    </row>
    <row r="3137" spans="3:14">
      <c r="C3137" s="980"/>
      <c r="D3137" s="813"/>
      <c r="E3137" s="813"/>
      <c r="F3137" s="813"/>
      <c r="G3137" s="813"/>
      <c r="H3137" s="813"/>
      <c r="I3137" s="813"/>
      <c r="J3137" s="813"/>
      <c r="K3137" s="813"/>
      <c r="L3137" s="813"/>
      <c r="M3137" s="813"/>
      <c r="N3137" s="814"/>
    </row>
    <row r="3138" spans="3:14">
      <c r="C3138" s="977"/>
      <c r="D3138" s="981"/>
      <c r="E3138" s="2691" t="s">
        <v>2154</v>
      </c>
      <c r="F3138" s="2691"/>
      <c r="G3138" s="2691"/>
      <c r="H3138" s="2691"/>
      <c r="I3138" s="2691"/>
      <c r="J3138" s="2691"/>
      <c r="K3138" s="2691"/>
      <c r="L3138" s="2691"/>
      <c r="M3138" s="2691"/>
      <c r="N3138" s="2692"/>
    </row>
    <row r="3139" spans="3:14">
      <c r="C3139" s="977"/>
      <c r="D3139" s="981"/>
      <c r="E3139" s="2691" t="s">
        <v>2176</v>
      </c>
      <c r="F3139" s="2691"/>
      <c r="G3139" s="2691"/>
      <c r="H3139" s="2691"/>
      <c r="I3139" s="2691"/>
      <c r="J3139" s="2691"/>
      <c r="K3139" s="2691"/>
      <c r="L3139" s="2691"/>
      <c r="M3139" s="2691"/>
      <c r="N3139" s="2650"/>
    </row>
    <row r="3140" spans="3:14">
      <c r="C3140" s="977"/>
      <c r="D3140" s="981"/>
      <c r="E3140" s="2691" t="s">
        <v>1549</v>
      </c>
      <c r="F3140" s="2391"/>
      <c r="G3140" s="2391"/>
      <c r="H3140" s="2391"/>
      <c r="I3140" s="2391"/>
      <c r="J3140" s="2391"/>
      <c r="K3140" s="2391"/>
      <c r="L3140" s="2391"/>
      <c r="M3140" s="2391"/>
      <c r="N3140" s="2650"/>
    </row>
    <row r="3141" spans="3:14">
      <c r="C3141" s="977"/>
      <c r="D3141" s="981"/>
      <c r="E3141" s="2693" t="s">
        <v>1643</v>
      </c>
      <c r="F3141" s="2693"/>
      <c r="G3141" s="2693"/>
      <c r="H3141" s="2693"/>
      <c r="I3141" s="2693"/>
      <c r="J3141" s="2693"/>
      <c r="K3141" s="2693"/>
      <c r="L3141" s="2693"/>
      <c r="M3141" s="2693"/>
      <c r="N3141" s="2694"/>
    </row>
    <row r="3142" spans="3:14">
      <c r="C3142" s="980"/>
      <c r="D3142" s="813"/>
      <c r="E3142" s="813"/>
      <c r="F3142" s="813"/>
      <c r="G3142" s="813"/>
      <c r="H3142" s="813"/>
      <c r="I3142" s="813"/>
      <c r="J3142" s="813"/>
      <c r="K3142" s="813"/>
      <c r="L3142" s="813"/>
      <c r="M3142" s="813"/>
      <c r="N3142" s="814"/>
    </row>
    <row r="3143" spans="3:14">
      <c r="C3143" s="977"/>
      <c r="D3143" s="981"/>
      <c r="E3143" s="2695" t="s">
        <v>1475</v>
      </c>
      <c r="F3143" s="2695"/>
      <c r="G3143" s="2695"/>
      <c r="H3143" s="2695"/>
      <c r="I3143" s="2695"/>
      <c r="J3143" s="2695"/>
      <c r="K3143" s="2695"/>
      <c r="L3143" s="2695"/>
      <c r="M3143" s="2695"/>
      <c r="N3143" s="2694"/>
    </row>
    <row r="3144" spans="3:14">
      <c r="C3144" s="980"/>
      <c r="D3144" s="813"/>
      <c r="E3144" s="813"/>
      <c r="F3144" s="813"/>
      <c r="G3144" s="813"/>
      <c r="H3144" s="813"/>
      <c r="I3144" s="813"/>
      <c r="J3144" s="813"/>
      <c r="K3144" s="813"/>
      <c r="L3144" s="813"/>
      <c r="M3144" s="813"/>
      <c r="N3144" s="814"/>
    </row>
    <row r="3145" spans="3:14">
      <c r="C3145" s="977"/>
      <c r="D3145" s="982" t="s">
        <v>266</v>
      </c>
      <c r="E3145" s="2671" t="s">
        <v>1617</v>
      </c>
      <c r="F3145" s="2672"/>
      <c r="G3145" s="2672"/>
      <c r="H3145" s="2672"/>
      <c r="I3145" s="2672"/>
      <c r="J3145" s="2672"/>
      <c r="K3145" s="2672"/>
      <c r="L3145" s="2672"/>
      <c r="M3145" s="2672"/>
      <c r="N3145" s="2673"/>
    </row>
    <row r="3146" spans="3:14">
      <c r="C3146" s="977"/>
      <c r="D3146" s="777"/>
      <c r="E3146" s="2711" t="s">
        <v>2295</v>
      </c>
      <c r="F3146" s="2671"/>
      <c r="G3146" s="2671"/>
      <c r="H3146" s="2671"/>
      <c r="I3146" s="2671"/>
      <c r="J3146" s="2671"/>
      <c r="K3146" s="2671"/>
      <c r="L3146" s="2671"/>
      <c r="M3146" s="2671"/>
      <c r="N3146" s="2712"/>
    </row>
    <row r="3147" spans="3:14">
      <c r="C3147" s="977"/>
      <c r="D3147" s="981"/>
      <c r="E3147" s="2674" t="s">
        <v>1618</v>
      </c>
      <c r="F3147" s="2674"/>
      <c r="G3147" s="2674"/>
      <c r="H3147" s="2674"/>
      <c r="I3147" s="2674"/>
      <c r="J3147" s="2674"/>
      <c r="K3147" s="2674"/>
      <c r="L3147" s="2674"/>
      <c r="M3147" s="2674"/>
      <c r="N3147" s="2675"/>
    </row>
    <row r="3148" spans="3:14">
      <c r="C3148" s="977"/>
      <c r="D3148" s="981"/>
      <c r="E3148" s="985" t="s">
        <v>1021</v>
      </c>
      <c r="F3148" s="2645" t="s">
        <v>1616</v>
      </c>
      <c r="G3148" s="2646"/>
      <c r="H3148" s="2646"/>
      <c r="I3148" s="2646"/>
      <c r="J3148" s="2646"/>
      <c r="K3148" s="2646"/>
      <c r="L3148" s="2646"/>
      <c r="M3148" s="2646"/>
      <c r="N3148" s="2647"/>
    </row>
    <row r="3149" spans="3:14">
      <c r="C3149" s="977"/>
      <c r="D3149" s="981"/>
      <c r="E3149" s="985"/>
      <c r="F3149" s="2669" t="s">
        <v>1615</v>
      </c>
      <c r="G3149" s="2391"/>
      <c r="H3149" s="2391"/>
      <c r="I3149" s="2391"/>
      <c r="J3149" s="2391"/>
      <c r="K3149" s="2391"/>
      <c r="L3149" s="2391"/>
      <c r="M3149" s="2391"/>
      <c r="N3149" s="2650"/>
    </row>
    <row r="3150" spans="3:14">
      <c r="C3150" s="977"/>
      <c r="D3150" s="981"/>
      <c r="E3150" s="985" t="s">
        <v>1021</v>
      </c>
      <c r="F3150" s="2645" t="s">
        <v>1278</v>
      </c>
      <c r="G3150" s="2646"/>
      <c r="H3150" s="2646"/>
      <c r="I3150" s="2646"/>
      <c r="J3150" s="2646"/>
      <c r="K3150" s="2646"/>
      <c r="L3150" s="2646"/>
      <c r="M3150" s="2646"/>
      <c r="N3150" s="2647"/>
    </row>
    <row r="3151" spans="3:14">
      <c r="C3151" s="977"/>
      <c r="D3151" s="981"/>
      <c r="E3151" s="985"/>
      <c r="F3151" s="2645" t="s">
        <v>1620</v>
      </c>
      <c r="G3151" s="2646"/>
      <c r="H3151" s="2646"/>
      <c r="I3151" s="2646"/>
      <c r="J3151" s="2646"/>
      <c r="K3151" s="2646"/>
      <c r="L3151" s="2646"/>
      <c r="M3151" s="2646"/>
      <c r="N3151" s="2647"/>
    </row>
    <row r="3152" spans="3:14">
      <c r="C3152" s="977"/>
      <c r="D3152" s="981"/>
      <c r="E3152" s="985"/>
      <c r="F3152" s="2645" t="s">
        <v>1619</v>
      </c>
      <c r="G3152" s="2646"/>
      <c r="H3152" s="2646"/>
      <c r="I3152" s="2646"/>
      <c r="J3152" s="2646"/>
      <c r="K3152" s="2646"/>
      <c r="L3152" s="2646"/>
      <c r="M3152" s="2646"/>
      <c r="N3152" s="2647"/>
    </row>
    <row r="3153" spans="3:14">
      <c r="C3153" s="977"/>
      <c r="D3153" s="981"/>
      <c r="E3153" s="985" t="s">
        <v>1021</v>
      </c>
      <c r="F3153" s="2645" t="s">
        <v>1542</v>
      </c>
      <c r="G3153" s="2646"/>
      <c r="H3153" s="2646"/>
      <c r="I3153" s="2646"/>
      <c r="J3153" s="2646"/>
      <c r="K3153" s="2646"/>
      <c r="L3153" s="2646"/>
      <c r="M3153" s="2646"/>
      <c r="N3153" s="2647"/>
    </row>
    <row r="3154" spans="3:14">
      <c r="C3154" s="977"/>
      <c r="D3154" s="981"/>
      <c r="E3154" s="985" t="s">
        <v>1021</v>
      </c>
      <c r="F3154" s="2645" t="s">
        <v>1458</v>
      </c>
      <c r="G3154" s="2646"/>
      <c r="H3154" s="2646"/>
      <c r="I3154" s="2646"/>
      <c r="J3154" s="2646"/>
      <c r="K3154" s="2646"/>
      <c r="L3154" s="2646"/>
      <c r="M3154" s="2646"/>
      <c r="N3154" s="2647"/>
    </row>
    <row r="3155" spans="3:14">
      <c r="C3155" s="977"/>
      <c r="D3155" s="982"/>
      <c r="E3155" s="2648" t="s">
        <v>1612</v>
      </c>
      <c r="F3155" s="2648"/>
      <c r="G3155" s="987" t="s">
        <v>884</v>
      </c>
      <c r="H3155" s="782">
        <v>2019</v>
      </c>
      <c r="I3155" s="988">
        <v>2020</v>
      </c>
      <c r="J3155" s="781">
        <v>2021</v>
      </c>
      <c r="K3155" s="782">
        <v>2022</v>
      </c>
      <c r="L3155" s="782">
        <v>2023</v>
      </c>
      <c r="M3155" s="782">
        <v>2024</v>
      </c>
      <c r="N3155" s="783">
        <v>2025</v>
      </c>
    </row>
    <row r="3156" spans="3:14">
      <c r="C3156" s="977"/>
      <c r="D3156" s="981"/>
      <c r="E3156" s="2487" t="str">
        <f>IFERROR(IF([1]F_ProductBM!E450 = "", "", [1]F_ProductBM!E450 ),"")</f>
        <v/>
      </c>
      <c r="F3156" s="2488"/>
      <c r="G3156" s="815" t="s">
        <v>2016</v>
      </c>
      <c r="H3156" s="93" t="str">
        <f>IFERROR(IF([1]F_ProductBM!H450 = "", "", [1]F_ProductBM!H450 ),"")</f>
        <v/>
      </c>
      <c r="I3156" s="116" t="str">
        <f>IFERROR(IF([1]F_ProductBM!I450 = "", "", [1]F_ProductBM!I450 ),"")</f>
        <v/>
      </c>
      <c r="J3156" s="117" t="str">
        <f>IFERROR(IF([1]F_ProductBM!J450 = "", "", [1]F_ProductBM!J450 ),"")</f>
        <v/>
      </c>
      <c r="K3156" s="93" t="str">
        <f>IFERROR(IF([1]F_ProductBM!K450 = "", "", [1]F_ProductBM!K450 ),"")</f>
        <v/>
      </c>
      <c r="L3156" s="93" t="str">
        <f>IFERROR(IF([1]F_ProductBM!L450 = "", "", [1]F_ProductBM!L450 ),"")</f>
        <v/>
      </c>
      <c r="M3156" s="93" t="str">
        <f>IFERROR(IF([1]F_ProductBM!M450 = "", "", [1]F_ProductBM!M450 ),"")</f>
        <v/>
      </c>
      <c r="N3156" s="118" t="str">
        <f>IFERROR(IF([1]F_ProductBM!N450 = "", "", [1]F_ProductBM!N450 ),"")</f>
        <v/>
      </c>
    </row>
    <row r="3157" spans="3:14">
      <c r="C3157" s="977"/>
      <c r="D3157" s="981"/>
      <c r="E3157" s="981"/>
      <c r="F3157" s="981"/>
      <c r="G3157" s="981"/>
      <c r="H3157" s="981"/>
      <c r="I3157" s="981"/>
      <c r="J3157" s="981"/>
      <c r="K3157" s="981"/>
      <c r="L3157" s="981"/>
      <c r="M3157" s="813"/>
      <c r="N3157" s="814"/>
    </row>
    <row r="3158" spans="3:14">
      <c r="C3158" s="977"/>
      <c r="D3158" s="982" t="s">
        <v>269</v>
      </c>
      <c r="E3158" s="2649" t="s">
        <v>1189</v>
      </c>
      <c r="F3158" s="2391"/>
      <c r="G3158" s="2391"/>
      <c r="H3158" s="2391"/>
      <c r="I3158" s="2391"/>
      <c r="J3158" s="2391"/>
      <c r="K3158" s="2391"/>
      <c r="L3158" s="2391"/>
      <c r="M3158" s="2391"/>
      <c r="N3158" s="2650"/>
    </row>
    <row r="3159" spans="3:14">
      <c r="C3159" s="977"/>
      <c r="D3159" s="981"/>
      <c r="E3159" s="2674" t="s">
        <v>1605</v>
      </c>
      <c r="F3159" s="2674"/>
      <c r="G3159" s="2674"/>
      <c r="H3159" s="2674"/>
      <c r="I3159" s="2674"/>
      <c r="J3159" s="2674"/>
      <c r="K3159" s="2674"/>
      <c r="L3159" s="2674"/>
      <c r="M3159" s="2674"/>
      <c r="N3159" s="2675"/>
    </row>
    <row r="3160" spans="3:14">
      <c r="C3160" s="977"/>
      <c r="D3160" s="981"/>
      <c r="E3160" s="2674" t="s">
        <v>1357</v>
      </c>
      <c r="F3160" s="2674"/>
      <c r="G3160" s="2674"/>
      <c r="H3160" s="2674"/>
      <c r="I3160" s="2674"/>
      <c r="J3160" s="2674"/>
      <c r="K3160" s="2674"/>
      <c r="L3160" s="2674"/>
      <c r="M3160" s="2674"/>
      <c r="N3160" s="2675"/>
    </row>
    <row r="3161" spans="3:14">
      <c r="C3161" s="977"/>
      <c r="D3161" s="981"/>
      <c r="E3161" s="2674" t="s">
        <v>1594</v>
      </c>
      <c r="F3161" s="2674"/>
      <c r="G3161" s="2674"/>
      <c r="H3161" s="2674"/>
      <c r="I3161" s="2674"/>
      <c r="J3161" s="2674"/>
      <c r="K3161" s="2674"/>
      <c r="L3161" s="2674"/>
      <c r="M3161" s="2674"/>
      <c r="N3161" s="2675"/>
    </row>
    <row r="3162" spans="3:14">
      <c r="C3162" s="977"/>
      <c r="D3162" s="981"/>
      <c r="E3162" s="2676" t="s">
        <v>1557</v>
      </c>
      <c r="F3162" s="2391"/>
      <c r="G3162" s="2391"/>
      <c r="H3162" s="2391"/>
      <c r="I3162" s="2391"/>
      <c r="J3162" s="2391"/>
      <c r="K3162" s="2391"/>
      <c r="L3162" s="2391"/>
      <c r="M3162" s="2391"/>
      <c r="N3162" s="2650"/>
    </row>
    <row r="3163" spans="3:14">
      <c r="C3163" s="977"/>
      <c r="D3163" s="982"/>
      <c r="E3163" s="989"/>
      <c r="F3163" s="990"/>
      <c r="G3163" s="987" t="s">
        <v>884</v>
      </c>
      <c r="H3163" s="782">
        <v>2019</v>
      </c>
      <c r="I3163" s="988">
        <v>2020</v>
      </c>
      <c r="J3163" s="781">
        <v>2021</v>
      </c>
      <c r="K3163" s="782">
        <v>2022</v>
      </c>
      <c r="L3163" s="782">
        <v>2023</v>
      </c>
      <c r="M3163" s="782">
        <v>2024</v>
      </c>
      <c r="N3163" s="783">
        <v>2025</v>
      </c>
    </row>
    <row r="3164" spans="3:14">
      <c r="C3164" s="977"/>
      <c r="D3164" s="777" t="s">
        <v>6</v>
      </c>
      <c r="E3164" s="2475" t="s">
        <v>1344</v>
      </c>
      <c r="F3164" s="2410"/>
      <c r="G3164" s="815" t="s">
        <v>2017</v>
      </c>
      <c r="H3164" s="93" t="str">
        <f>IFERROR(IF([1]F_ProductBM!H458 = "", "", [1]F_ProductBM!H458 ),"")</f>
        <v/>
      </c>
      <c r="I3164" s="116" t="str">
        <f>IFERROR(IF([1]F_ProductBM!I458 = "", "", [1]F_ProductBM!I458 ),"")</f>
        <v/>
      </c>
      <c r="J3164" s="117" t="str">
        <f>IFERROR(IF([1]F_ProductBM!J458 = "", "", [1]F_ProductBM!J458 ),"")</f>
        <v/>
      </c>
      <c r="K3164" s="93" t="str">
        <f>IFERROR(IF([1]F_ProductBM!K458 = "", "", [1]F_ProductBM!K458 ),"")</f>
        <v/>
      </c>
      <c r="L3164" s="93" t="str">
        <f>IFERROR(IF([1]F_ProductBM!L458 = "", "", [1]F_ProductBM!L458 ),"")</f>
        <v/>
      </c>
      <c r="M3164" s="93" t="str">
        <f>IFERROR(IF([1]F_ProductBM!M458 = "", "", [1]F_ProductBM!M458 ),"")</f>
        <v/>
      </c>
      <c r="N3164" s="118" t="str">
        <f>IFERROR(IF([1]F_ProductBM!N458 = "", "", [1]F_ProductBM!N458 ),"")</f>
        <v/>
      </c>
    </row>
    <row r="3165" spans="3:14">
      <c r="C3165" s="977"/>
      <c r="D3165" s="777" t="s">
        <v>7</v>
      </c>
      <c r="E3165" s="2475" t="s">
        <v>1182</v>
      </c>
      <c r="F3165" s="2410"/>
      <c r="G3165" s="991" t="s">
        <v>2018</v>
      </c>
      <c r="H3165" s="109" t="str">
        <f>IFERROR(IF([1]F_ProductBM!H459 = "", "", [1]F_ProductBM!H459 ),"")</f>
        <v/>
      </c>
      <c r="I3165" s="304" t="str">
        <f>IFERROR(IF([1]F_ProductBM!I459 = "", "", [1]F_ProductBM!I459 ),"")</f>
        <v/>
      </c>
      <c r="J3165" s="305" t="str">
        <f>IFERROR(IF([1]F_ProductBM!J459 = "", "", [1]F_ProductBM!J459 ),"")</f>
        <v/>
      </c>
      <c r="K3165" s="109" t="str">
        <f>IFERROR(IF([1]F_ProductBM!K459 = "", "", [1]F_ProductBM!K459 ),"")</f>
        <v/>
      </c>
      <c r="L3165" s="109" t="str">
        <f>IFERROR(IF([1]F_ProductBM!L459 = "", "", [1]F_ProductBM!L459 ),"")</f>
        <v/>
      </c>
      <c r="M3165" s="109" t="str">
        <f>IFERROR(IF([1]F_ProductBM!M459 = "", "", [1]F_ProductBM!M459 ),"")</f>
        <v/>
      </c>
      <c r="N3165" s="357" t="str">
        <f>IFERROR(IF([1]F_ProductBM!N459 = "", "", [1]F_ProductBM!N459 ),"")</f>
        <v/>
      </c>
    </row>
    <row r="3166" spans="3:14">
      <c r="C3166" s="977"/>
      <c r="D3166" s="981"/>
      <c r="E3166" s="981"/>
      <c r="F3166" s="981"/>
      <c r="G3166" s="981"/>
      <c r="H3166" s="981"/>
      <c r="I3166" s="981"/>
      <c r="J3166" s="981"/>
      <c r="K3166" s="981"/>
      <c r="L3166" s="981"/>
      <c r="M3166" s="813"/>
      <c r="N3166" s="814"/>
    </row>
    <row r="3167" spans="3:14">
      <c r="C3167" s="977"/>
      <c r="D3167" s="982" t="s">
        <v>271</v>
      </c>
      <c r="E3167" s="2649" t="s">
        <v>1416</v>
      </c>
      <c r="F3167" s="2391"/>
      <c r="G3167" s="2391"/>
      <c r="H3167" s="2391"/>
      <c r="I3167" s="2391"/>
      <c r="J3167" s="2391"/>
      <c r="K3167" s="2391"/>
      <c r="L3167" s="2391"/>
      <c r="M3167" s="2391"/>
      <c r="N3167" s="2650"/>
    </row>
    <row r="3168" spans="3:14">
      <c r="C3168" s="977"/>
      <c r="D3168" s="777"/>
      <c r="E3168" s="2676" t="s">
        <v>2295</v>
      </c>
      <c r="F3168" s="2391"/>
      <c r="G3168" s="2391"/>
      <c r="H3168" s="2391"/>
      <c r="I3168" s="2391"/>
      <c r="J3168" s="2391"/>
      <c r="K3168" s="2391"/>
      <c r="L3168" s="2391"/>
      <c r="M3168" s="2391"/>
      <c r="N3168" s="2650"/>
    </row>
    <row r="3169" spans="3:14">
      <c r="C3169" s="977"/>
      <c r="D3169" s="981"/>
      <c r="E3169" s="2676" t="s">
        <v>1551</v>
      </c>
      <c r="F3169" s="2391"/>
      <c r="G3169" s="2391"/>
      <c r="H3169" s="2391"/>
      <c r="I3169" s="2391"/>
      <c r="J3169" s="2391"/>
      <c r="K3169" s="2391"/>
      <c r="L3169" s="2391"/>
      <c r="M3169" s="2391"/>
      <c r="N3169" s="2650"/>
    </row>
    <row r="3170" spans="3:14">
      <c r="C3170" s="977"/>
      <c r="D3170" s="981"/>
      <c r="E3170" s="2669" t="s">
        <v>1552</v>
      </c>
      <c r="F3170" s="2391"/>
      <c r="G3170" s="2391"/>
      <c r="H3170" s="2391"/>
      <c r="I3170" s="2391"/>
      <c r="J3170" s="2391"/>
      <c r="K3170" s="2391"/>
      <c r="L3170" s="2391"/>
      <c r="M3170" s="2391"/>
      <c r="N3170" s="2650"/>
    </row>
    <row r="3171" spans="3:14">
      <c r="C3171" s="977"/>
      <c r="D3171" s="981"/>
      <c r="E3171" s="2669" t="s">
        <v>1553</v>
      </c>
      <c r="F3171" s="2391"/>
      <c r="G3171" s="2391"/>
      <c r="H3171" s="2391"/>
      <c r="I3171" s="2391"/>
      <c r="J3171" s="2391"/>
      <c r="K3171" s="2391"/>
      <c r="L3171" s="2391"/>
      <c r="M3171" s="2391"/>
      <c r="N3171" s="2650"/>
    </row>
    <row r="3172" spans="3:14">
      <c r="C3172" s="977"/>
      <c r="D3172" s="981"/>
      <c r="E3172" s="2669" t="s">
        <v>1567</v>
      </c>
      <c r="F3172" s="2391"/>
      <c r="G3172" s="2391"/>
      <c r="H3172" s="2391"/>
      <c r="I3172" s="2391"/>
      <c r="J3172" s="2391"/>
      <c r="K3172" s="2391"/>
      <c r="L3172" s="2391"/>
      <c r="M3172" s="2391"/>
      <c r="N3172" s="2650"/>
    </row>
    <row r="3173" spans="3:14">
      <c r="C3173" s="977"/>
      <c r="D3173" s="981"/>
      <c r="E3173" s="2669" t="s">
        <v>1565</v>
      </c>
      <c r="F3173" s="2391"/>
      <c r="G3173" s="2391"/>
      <c r="H3173" s="2391"/>
      <c r="I3173" s="2391"/>
      <c r="J3173" s="2391"/>
      <c r="K3173" s="2391"/>
      <c r="L3173" s="2391"/>
      <c r="M3173" s="2391"/>
      <c r="N3173" s="2650"/>
    </row>
    <row r="3174" spans="3:14">
      <c r="C3174" s="977"/>
      <c r="D3174" s="777" t="s">
        <v>6</v>
      </c>
      <c r="E3174" s="2682" t="s">
        <v>1456</v>
      </c>
      <c r="F3174" s="2391"/>
      <c r="G3174" s="2391"/>
      <c r="H3174" s="2391"/>
      <c r="I3174" s="2391"/>
      <c r="J3174" s="2391"/>
      <c r="K3174" s="2512"/>
      <c r="L3174" s="120" t="str">
        <f>IFERROR(IF([1]F_ProductBM!L468 = "", "", [1]F_ProductBM!L468 ),"")</f>
        <v/>
      </c>
      <c r="M3174" s="978"/>
      <c r="N3174" s="979"/>
    </row>
    <row r="3175" spans="3:14">
      <c r="C3175" s="977"/>
      <c r="D3175" s="981"/>
      <c r="E3175" s="2669" t="s">
        <v>1216</v>
      </c>
      <c r="F3175" s="2391"/>
      <c r="G3175" s="2391"/>
      <c r="H3175" s="2391"/>
      <c r="I3175" s="2391"/>
      <c r="J3175" s="2391"/>
      <c r="K3175" s="2391"/>
      <c r="L3175" s="2391"/>
      <c r="M3175" s="2391"/>
      <c r="N3175" s="2650"/>
    </row>
    <row r="3176" spans="3:14">
      <c r="C3176" s="977"/>
      <c r="D3176" s="777" t="s">
        <v>7</v>
      </c>
      <c r="E3176" s="2649" t="s">
        <v>1214</v>
      </c>
      <c r="F3176" s="2391"/>
      <c r="G3176" s="2391"/>
      <c r="H3176" s="2512"/>
      <c r="I3176" s="2683" t="str">
        <f>IFERROR(IF([1]F_ProductBM!I470 = "", "", [1]F_ProductBM!I470 ),"")</f>
        <v/>
      </c>
      <c r="J3176" s="2487"/>
      <c r="K3176" s="2487"/>
      <c r="L3176" s="2487"/>
      <c r="M3176" s="2684"/>
      <c r="N3176" s="992"/>
    </row>
    <row r="3177" spans="3:14">
      <c r="C3177" s="977"/>
      <c r="D3177" s="981"/>
      <c r="E3177" s="986"/>
      <c r="F3177" s="978"/>
      <c r="G3177" s="978"/>
      <c r="H3177" s="978"/>
      <c r="I3177" s="978"/>
      <c r="J3177" s="978"/>
      <c r="K3177" s="978"/>
      <c r="L3177" s="978"/>
      <c r="M3177" s="978"/>
      <c r="N3177" s="979"/>
    </row>
    <row r="3178" spans="3:14">
      <c r="C3178" s="977"/>
      <c r="D3178" s="981"/>
      <c r="E3178" s="2648" t="s">
        <v>1154</v>
      </c>
      <c r="F3178" s="2493"/>
      <c r="G3178" s="987" t="s">
        <v>884</v>
      </c>
      <c r="H3178" s="782">
        <v>2019</v>
      </c>
      <c r="I3178" s="988">
        <v>2020</v>
      </c>
      <c r="J3178" s="781">
        <v>2021</v>
      </c>
      <c r="K3178" s="782">
        <v>2022</v>
      </c>
      <c r="L3178" s="782">
        <v>2023</v>
      </c>
      <c r="M3178" s="782">
        <v>2024</v>
      </c>
      <c r="N3178" s="783">
        <v>2025</v>
      </c>
    </row>
    <row r="3179" spans="3:14">
      <c r="C3179" s="977"/>
      <c r="D3179" s="777" t="s">
        <v>8</v>
      </c>
      <c r="E3179" s="2471" t="s">
        <v>1153</v>
      </c>
      <c r="F3179" s="2472"/>
      <c r="G3179" s="811" t="s">
        <v>2152</v>
      </c>
      <c r="H3179" s="94" t="str">
        <f>IFERROR(IF([1]F_ProductBM!H473 = "", "", [1]F_ProductBM!H473 ),"")</f>
        <v/>
      </c>
      <c r="I3179" s="110" t="str">
        <f>IFERROR(IF([1]F_ProductBM!I473 = "", "", [1]F_ProductBM!I473 ),"")</f>
        <v/>
      </c>
      <c r="J3179" s="111" t="str">
        <f>IFERROR(IF([1]F_ProductBM!J473 = "", "", [1]F_ProductBM!J473 ),"")</f>
        <v/>
      </c>
      <c r="K3179" s="94" t="str">
        <f>IFERROR(IF([1]F_ProductBM!K473 = "", "", [1]F_ProductBM!K473 ),"")</f>
        <v/>
      </c>
      <c r="L3179" s="94" t="str">
        <f>IFERROR(IF([1]F_ProductBM!L473 = "", "", [1]F_ProductBM!L473 ),"")</f>
        <v/>
      </c>
      <c r="M3179" s="94" t="str">
        <f>IFERROR(IF([1]F_ProductBM!M473 = "", "", [1]F_ProductBM!M473 ),"")</f>
        <v/>
      </c>
      <c r="N3179" s="112" t="str">
        <f>IFERROR(IF([1]F_ProductBM!N473 = "", "", [1]F_ProductBM!N473 ),"")</f>
        <v/>
      </c>
    </row>
    <row r="3180" spans="3:14">
      <c r="C3180" s="977"/>
      <c r="D3180" s="777" t="s">
        <v>18</v>
      </c>
      <c r="E3180" s="2685" t="s">
        <v>946</v>
      </c>
      <c r="F3180" s="2608"/>
      <c r="G3180" s="993" t="s">
        <v>2019</v>
      </c>
      <c r="H3180" s="101" t="str">
        <f>IFERROR(IF([1]F_ProductBM!H474 = "", "", [1]F_ProductBM!H474 ),"")</f>
        <v/>
      </c>
      <c r="I3180" s="361" t="str">
        <f>IFERROR(IF([1]F_ProductBM!I474 = "", "", [1]F_ProductBM!I474 ),"")</f>
        <v/>
      </c>
      <c r="J3180" s="362" t="str">
        <f>IFERROR(IF([1]F_ProductBM!J474 = "", "", [1]F_ProductBM!J474 ),"")</f>
        <v/>
      </c>
      <c r="K3180" s="101" t="str">
        <f>IFERROR(IF([1]F_ProductBM!K474 = "", "", [1]F_ProductBM!K474 ),"")</f>
        <v/>
      </c>
      <c r="L3180" s="101" t="str">
        <f>IFERROR(IF([1]F_ProductBM!L474 = "", "", [1]F_ProductBM!L474 ),"")</f>
        <v/>
      </c>
      <c r="M3180" s="101" t="str">
        <f>IFERROR(IF([1]F_ProductBM!M474 = "", "", [1]F_ProductBM!M474 ),"")</f>
        <v/>
      </c>
      <c r="N3180" s="363" t="str">
        <f>IFERROR(IF([1]F_ProductBM!N474 = "", "", [1]F_ProductBM!N474 ),"")</f>
        <v/>
      </c>
    </row>
    <row r="3181" spans="3:14">
      <c r="C3181" s="977"/>
      <c r="D3181" s="777" t="s">
        <v>787</v>
      </c>
      <c r="E3181" s="2685" t="s">
        <v>945</v>
      </c>
      <c r="F3181" s="2608"/>
      <c r="G3181" s="994" t="s">
        <v>878</v>
      </c>
      <c r="H3181" s="101" t="str">
        <f>IFERROR(IF([1]F_ProductBM!H475 = "", "", [1]F_ProductBM!H475 ),"")</f>
        <v/>
      </c>
      <c r="I3181" s="361" t="str">
        <f>IFERROR(IF([1]F_ProductBM!I475 = "", "", [1]F_ProductBM!I475 ),"")</f>
        <v/>
      </c>
      <c r="J3181" s="362" t="str">
        <f>IFERROR(IF([1]F_ProductBM!J475 = "", "", [1]F_ProductBM!J475 ),"")</f>
        <v/>
      </c>
      <c r="K3181" s="101" t="str">
        <f>IFERROR(IF([1]F_ProductBM!K475 = "", "", [1]F_ProductBM!K475 ),"")</f>
        <v/>
      </c>
      <c r="L3181" s="101" t="str">
        <f>IFERROR(IF([1]F_ProductBM!L475 = "", "", [1]F_ProductBM!L475 ),"")</f>
        <v/>
      </c>
      <c r="M3181" s="101" t="str">
        <f>IFERROR(IF([1]F_ProductBM!M475 = "", "", [1]F_ProductBM!M475 ),"")</f>
        <v/>
      </c>
      <c r="N3181" s="363" t="str">
        <f>IFERROR(IF([1]F_ProductBM!N475 = "", "", [1]F_ProductBM!N475 ),"")</f>
        <v/>
      </c>
    </row>
    <row r="3182" spans="3:14">
      <c r="C3182" s="977"/>
      <c r="D3182" s="777" t="s">
        <v>788</v>
      </c>
      <c r="E3182" s="2473" t="s">
        <v>880</v>
      </c>
      <c r="F3182" s="2474"/>
      <c r="G3182" s="812" t="s">
        <v>878</v>
      </c>
      <c r="H3182" s="95" t="str">
        <f>IFERROR(IF([1]F_ProductBM!H476 = "", "", [1]F_ProductBM!H476 ),"")</f>
        <v/>
      </c>
      <c r="I3182" s="113" t="str">
        <f>IFERROR(IF([1]F_ProductBM!I476 = "", "", [1]F_ProductBM!I476 ),"")</f>
        <v/>
      </c>
      <c r="J3182" s="114" t="str">
        <f>IFERROR(IF([1]F_ProductBM!J476 = "", "", [1]F_ProductBM!J476 ),"")</f>
        <v/>
      </c>
      <c r="K3182" s="95" t="str">
        <f>IFERROR(IF([1]F_ProductBM!K476 = "", "", [1]F_ProductBM!K476 ),"")</f>
        <v/>
      </c>
      <c r="L3182" s="95" t="str">
        <f>IFERROR(IF([1]F_ProductBM!L476 = "", "", [1]F_ProductBM!L476 ),"")</f>
        <v/>
      </c>
      <c r="M3182" s="95" t="str">
        <f>IFERROR(IF([1]F_ProductBM!M476 = "", "", [1]F_ProductBM!M476 ),"")</f>
        <v/>
      </c>
      <c r="N3182" s="115" t="str">
        <f>IFERROR(IF([1]F_ProductBM!N476 = "", "", [1]F_ProductBM!N476 ),"")</f>
        <v/>
      </c>
    </row>
    <row r="3183" spans="3:14">
      <c r="C3183" s="977"/>
      <c r="D3183" s="777" t="s">
        <v>789</v>
      </c>
      <c r="E3183" s="2471" t="s">
        <v>882</v>
      </c>
      <c r="F3183" s="2472"/>
      <c r="G3183" s="995" t="s">
        <v>2015</v>
      </c>
      <c r="H3183" s="378" t="str">
        <f>IFERROR(IF([1]F_ProductBM!H477 = "", "", [1]F_ProductBM!H477 ),"")</f>
        <v/>
      </c>
      <c r="I3183" s="379" t="str">
        <f>IFERROR(IF([1]F_ProductBM!I477 = "", "", [1]F_ProductBM!I477 ),"")</f>
        <v/>
      </c>
      <c r="J3183" s="380" t="str">
        <f>IFERROR(IF([1]F_ProductBM!J477 = "", "", [1]F_ProductBM!J477 ),"")</f>
        <v/>
      </c>
      <c r="K3183" s="378" t="str">
        <f>IFERROR(IF([1]F_ProductBM!K477 = "", "", [1]F_ProductBM!K477 ),"")</f>
        <v/>
      </c>
      <c r="L3183" s="378" t="str">
        <f>IFERROR(IF([1]F_ProductBM!L477 = "", "", [1]F_ProductBM!L477 ),"")</f>
        <v/>
      </c>
      <c r="M3183" s="378" t="str">
        <f>IFERROR(IF([1]F_ProductBM!M477 = "", "", [1]F_ProductBM!M477 ),"")</f>
        <v/>
      </c>
      <c r="N3183" s="381" t="str">
        <f>IFERROR(IF([1]F_ProductBM!N477 = "", "", [1]F_ProductBM!N477 ),"")</f>
        <v/>
      </c>
    </row>
    <row r="3184" spans="3:14">
      <c r="C3184" s="977"/>
      <c r="D3184" s="777" t="s">
        <v>790</v>
      </c>
      <c r="E3184" s="2670" t="s">
        <v>879</v>
      </c>
      <c r="F3184" s="2608"/>
      <c r="G3184" s="998" t="s">
        <v>2015</v>
      </c>
      <c r="H3184" s="382" t="str">
        <f>IFERROR(IF([1]F_ProductBM!H478 = "", "", [1]F_ProductBM!H478 ),"")</f>
        <v/>
      </c>
      <c r="I3184" s="383" t="str">
        <f>IFERROR(IF([1]F_ProductBM!I478 = "", "", [1]F_ProductBM!I478 ),"")</f>
        <v/>
      </c>
      <c r="J3184" s="384" t="str">
        <f>IFERROR(IF([1]F_ProductBM!J478 = "", "", [1]F_ProductBM!J478 ),"")</f>
        <v/>
      </c>
      <c r="K3184" s="382" t="str">
        <f>IFERROR(IF([1]F_ProductBM!K478 = "", "", [1]F_ProductBM!K478 ),"")</f>
        <v/>
      </c>
      <c r="L3184" s="382" t="str">
        <f>IFERROR(IF([1]F_ProductBM!L478 = "", "", [1]F_ProductBM!L478 ),"")</f>
        <v/>
      </c>
      <c r="M3184" s="382" t="str">
        <f>IFERROR(IF([1]F_ProductBM!M478 = "", "", [1]F_ProductBM!M478 ),"")</f>
        <v/>
      </c>
      <c r="N3184" s="385" t="str">
        <f>IFERROR(IF([1]F_ProductBM!N478 = "", "", [1]F_ProductBM!N478 ),"")</f>
        <v/>
      </c>
    </row>
    <row r="3185" spans="3:14">
      <c r="C3185" s="977"/>
      <c r="D3185" s="777" t="s">
        <v>791</v>
      </c>
      <c r="E3185" s="2473" t="s">
        <v>41</v>
      </c>
      <c r="F3185" s="2474"/>
      <c r="G3185" s="1001" t="s">
        <v>2017</v>
      </c>
      <c r="H3185" s="86" t="str">
        <f>IFERROR(IF([1]F_ProductBM!H479 = "", "", [1]F_ProductBM!H479 ),"")</f>
        <v/>
      </c>
      <c r="I3185" s="340" t="str">
        <f>IFERROR(IF([1]F_ProductBM!I479 = "", "", [1]F_ProductBM!I479 ),"")</f>
        <v/>
      </c>
      <c r="J3185" s="341" t="str">
        <f>IFERROR(IF([1]F_ProductBM!J479 = "", "", [1]F_ProductBM!J479 ),"")</f>
        <v/>
      </c>
      <c r="K3185" s="86" t="str">
        <f>IFERROR(IF([1]F_ProductBM!K479 = "", "", [1]F_ProductBM!K479 ),"")</f>
        <v/>
      </c>
      <c r="L3185" s="86" t="str">
        <f>IFERROR(IF([1]F_ProductBM!L479 = "", "", [1]F_ProductBM!L479 ),"")</f>
        <v/>
      </c>
      <c r="M3185" s="86" t="str">
        <f>IFERROR(IF([1]F_ProductBM!M479 = "", "", [1]F_ProductBM!M479 ),"")</f>
        <v/>
      </c>
      <c r="N3185" s="342" t="str">
        <f>IFERROR(IF([1]F_ProductBM!N479 = "", "", [1]F_ProductBM!N479 ),"")</f>
        <v/>
      </c>
    </row>
    <row r="3186" spans="3:14">
      <c r="C3186" s="977"/>
      <c r="D3186" s="777" t="s">
        <v>64</v>
      </c>
      <c r="E3186" s="2687" t="s">
        <v>393</v>
      </c>
      <c r="F3186" s="2688"/>
      <c r="G3186" s="1002"/>
      <c r="H3186" s="343" t="str">
        <f>IFERROR(IF([1]F_ProductBM!H480 = "", "", [1]F_ProductBM!H480 ),"")</f>
        <v/>
      </c>
      <c r="I3186" s="344" t="str">
        <f>IFERROR(IF([1]F_ProductBM!I480 = "", "", [1]F_ProductBM!I480 ),"")</f>
        <v/>
      </c>
      <c r="J3186" s="345" t="str">
        <f>IFERROR(IF([1]F_ProductBM!J480 = "", "", [1]F_ProductBM!J480 ),"")</f>
        <v/>
      </c>
      <c r="K3186" s="343" t="str">
        <f>IFERROR(IF([1]F_ProductBM!K480 = "", "", [1]F_ProductBM!K480 ),"")</f>
        <v/>
      </c>
      <c r="L3186" s="343" t="str">
        <f>IFERROR(IF([1]F_ProductBM!L480 = "", "", [1]F_ProductBM!L480 ),"")</f>
        <v/>
      </c>
      <c r="M3186" s="343" t="str">
        <f>IFERROR(IF([1]F_ProductBM!M480 = "", "", [1]F_ProductBM!M480 ),"")</f>
        <v/>
      </c>
      <c r="N3186" s="346" t="str">
        <f>IFERROR(IF([1]F_ProductBM!N480 = "", "", [1]F_ProductBM!N480 ),"")</f>
        <v/>
      </c>
    </row>
    <row r="3187" spans="3:14">
      <c r="C3187" s="977"/>
      <c r="D3187" s="777"/>
      <c r="E3187" s="981"/>
      <c r="F3187" s="981"/>
      <c r="G3187" s="981"/>
      <c r="H3187" s="981"/>
      <c r="I3187" s="981"/>
      <c r="J3187" s="981"/>
      <c r="K3187" s="981"/>
      <c r="L3187" s="981"/>
      <c r="M3187" s="813"/>
      <c r="N3187" s="814"/>
    </row>
    <row r="3188" spans="3:14">
      <c r="C3188" s="977"/>
      <c r="D3188" s="777" t="s">
        <v>65</v>
      </c>
      <c r="E3188" s="2649" t="s">
        <v>1215</v>
      </c>
      <c r="F3188" s="2391"/>
      <c r="G3188" s="2391"/>
      <c r="H3188" s="2512"/>
      <c r="I3188" s="2683" t="str">
        <f>IFERROR(IF([1]F_ProductBM!I482 = "", "", [1]F_ProductBM!I482 ),"")</f>
        <v/>
      </c>
      <c r="J3188" s="2488"/>
      <c r="K3188" s="2488"/>
      <c r="L3188" s="2488"/>
      <c r="M3188" s="2686"/>
      <c r="N3188" s="979"/>
    </row>
    <row r="3189" spans="3:14">
      <c r="C3189" s="977"/>
      <c r="D3189" s="981"/>
      <c r="E3189" s="986"/>
      <c r="F3189" s="978"/>
      <c r="G3189" s="981"/>
      <c r="H3189" s="981"/>
      <c r="I3189" s="978"/>
      <c r="J3189" s="978"/>
      <c r="K3189" s="978"/>
      <c r="L3189" s="978"/>
      <c r="M3189" s="978"/>
      <c r="N3189" s="979"/>
    </row>
    <row r="3190" spans="3:14">
      <c r="C3190" s="977"/>
      <c r="D3190" s="777"/>
      <c r="E3190" s="2648" t="s">
        <v>1155</v>
      </c>
      <c r="F3190" s="2493"/>
      <c r="G3190" s="987" t="s">
        <v>884</v>
      </c>
      <c r="H3190" s="782">
        <v>2019</v>
      </c>
      <c r="I3190" s="988">
        <v>2020</v>
      </c>
      <c r="J3190" s="781">
        <v>2021</v>
      </c>
      <c r="K3190" s="782">
        <v>2022</v>
      </c>
      <c r="L3190" s="782">
        <v>2023</v>
      </c>
      <c r="M3190" s="782">
        <v>2024</v>
      </c>
      <c r="N3190" s="783">
        <v>2025</v>
      </c>
    </row>
    <row r="3191" spans="3:14">
      <c r="C3191" s="977"/>
      <c r="D3191" s="777" t="s">
        <v>66</v>
      </c>
      <c r="E3191" s="2471" t="s">
        <v>1153</v>
      </c>
      <c r="F3191" s="2472"/>
      <c r="G3191" s="811" t="s">
        <v>2152</v>
      </c>
      <c r="H3191" s="94" t="str">
        <f>IFERROR(IF([1]F_ProductBM!H485 = "", "", [1]F_ProductBM!H485 ),"")</f>
        <v/>
      </c>
      <c r="I3191" s="110" t="str">
        <f>IFERROR(IF([1]F_ProductBM!I485 = "", "", [1]F_ProductBM!I485 ),"")</f>
        <v/>
      </c>
      <c r="J3191" s="111" t="str">
        <f>IFERROR(IF([1]F_ProductBM!J485 = "", "", [1]F_ProductBM!J485 ),"")</f>
        <v/>
      </c>
      <c r="K3191" s="94" t="str">
        <f>IFERROR(IF([1]F_ProductBM!K485 = "", "", [1]F_ProductBM!K485 ),"")</f>
        <v/>
      </c>
      <c r="L3191" s="94" t="str">
        <f>IFERROR(IF([1]F_ProductBM!L485 = "", "", [1]F_ProductBM!L485 ),"")</f>
        <v/>
      </c>
      <c r="M3191" s="94" t="str">
        <f>IFERROR(IF([1]F_ProductBM!M485 = "", "", [1]F_ProductBM!M485 ),"")</f>
        <v/>
      </c>
      <c r="N3191" s="112" t="str">
        <f>IFERROR(IF([1]F_ProductBM!N485 = "", "", [1]F_ProductBM!N485 ),"")</f>
        <v/>
      </c>
    </row>
    <row r="3192" spans="3:14">
      <c r="C3192" s="977"/>
      <c r="D3192" s="777" t="s">
        <v>1105</v>
      </c>
      <c r="E3192" s="2685" t="s">
        <v>946</v>
      </c>
      <c r="F3192" s="2608"/>
      <c r="G3192" s="993" t="s">
        <v>2019</v>
      </c>
      <c r="H3192" s="101" t="str">
        <f>IFERROR(IF([1]F_ProductBM!H486 = "", "", [1]F_ProductBM!H486 ),"")</f>
        <v/>
      </c>
      <c r="I3192" s="361" t="str">
        <f>IFERROR(IF([1]F_ProductBM!I486 = "", "", [1]F_ProductBM!I486 ),"")</f>
        <v/>
      </c>
      <c r="J3192" s="362" t="str">
        <f>IFERROR(IF([1]F_ProductBM!J486 = "", "", [1]F_ProductBM!J486 ),"")</f>
        <v/>
      </c>
      <c r="K3192" s="101" t="str">
        <f>IFERROR(IF([1]F_ProductBM!K486 = "", "", [1]F_ProductBM!K486 ),"")</f>
        <v/>
      </c>
      <c r="L3192" s="101" t="str">
        <f>IFERROR(IF([1]F_ProductBM!L486 = "", "", [1]F_ProductBM!L486 ),"")</f>
        <v/>
      </c>
      <c r="M3192" s="101" t="str">
        <f>IFERROR(IF([1]F_ProductBM!M486 = "", "", [1]F_ProductBM!M486 ),"")</f>
        <v/>
      </c>
      <c r="N3192" s="363" t="str">
        <f>IFERROR(IF([1]F_ProductBM!N486 = "", "", [1]F_ProductBM!N486 ),"")</f>
        <v/>
      </c>
    </row>
    <row r="3193" spans="3:14">
      <c r="C3193" s="977"/>
      <c r="D3193" s="777" t="s">
        <v>1106</v>
      </c>
      <c r="E3193" s="2685" t="s">
        <v>945</v>
      </c>
      <c r="F3193" s="2608"/>
      <c r="G3193" s="994" t="s">
        <v>878</v>
      </c>
      <c r="H3193" s="101" t="str">
        <f>IFERROR(IF([1]F_ProductBM!H487 = "", "", [1]F_ProductBM!H487 ),"")</f>
        <v/>
      </c>
      <c r="I3193" s="361" t="str">
        <f>IFERROR(IF([1]F_ProductBM!I487 = "", "", [1]F_ProductBM!I487 ),"")</f>
        <v/>
      </c>
      <c r="J3193" s="362" t="str">
        <f>IFERROR(IF([1]F_ProductBM!J487 = "", "", [1]F_ProductBM!J487 ),"")</f>
        <v/>
      </c>
      <c r="K3193" s="101" t="str">
        <f>IFERROR(IF([1]F_ProductBM!K487 = "", "", [1]F_ProductBM!K487 ),"")</f>
        <v/>
      </c>
      <c r="L3193" s="101" t="str">
        <f>IFERROR(IF([1]F_ProductBM!L487 = "", "", [1]F_ProductBM!L487 ),"")</f>
        <v/>
      </c>
      <c r="M3193" s="101" t="str">
        <f>IFERROR(IF([1]F_ProductBM!M487 = "", "", [1]F_ProductBM!M487 ),"")</f>
        <v/>
      </c>
      <c r="N3193" s="363" t="str">
        <f>IFERROR(IF([1]F_ProductBM!N487 = "", "", [1]F_ProductBM!N487 ),"")</f>
        <v/>
      </c>
    </row>
    <row r="3194" spans="3:14">
      <c r="C3194" s="977"/>
      <c r="D3194" s="777" t="s">
        <v>1107</v>
      </c>
      <c r="E3194" s="2473" t="s">
        <v>880</v>
      </c>
      <c r="F3194" s="2474"/>
      <c r="G3194" s="812" t="s">
        <v>878</v>
      </c>
      <c r="H3194" s="95" t="str">
        <f>IFERROR(IF([1]F_ProductBM!H488 = "", "", [1]F_ProductBM!H488 ),"")</f>
        <v/>
      </c>
      <c r="I3194" s="113" t="str">
        <f>IFERROR(IF([1]F_ProductBM!I488 = "", "", [1]F_ProductBM!I488 ),"")</f>
        <v/>
      </c>
      <c r="J3194" s="114" t="str">
        <f>IFERROR(IF([1]F_ProductBM!J488 = "", "", [1]F_ProductBM!J488 ),"")</f>
        <v/>
      </c>
      <c r="K3194" s="95" t="str">
        <f>IFERROR(IF([1]F_ProductBM!K488 = "", "", [1]F_ProductBM!K488 ),"")</f>
        <v/>
      </c>
      <c r="L3194" s="95" t="str">
        <f>IFERROR(IF([1]F_ProductBM!L488 = "", "", [1]F_ProductBM!L488 ),"")</f>
        <v/>
      </c>
      <c r="M3194" s="95" t="str">
        <f>IFERROR(IF([1]F_ProductBM!M488 = "", "", [1]F_ProductBM!M488 ),"")</f>
        <v/>
      </c>
      <c r="N3194" s="115" t="str">
        <f>IFERROR(IF([1]F_ProductBM!N488 = "", "", [1]F_ProductBM!N488 ),"")</f>
        <v/>
      </c>
    </row>
    <row r="3195" spans="3:14">
      <c r="C3195" s="977"/>
      <c r="D3195" s="777" t="s">
        <v>1108</v>
      </c>
      <c r="E3195" s="2471" t="s">
        <v>882</v>
      </c>
      <c r="F3195" s="2472"/>
      <c r="G3195" s="995" t="s">
        <v>2015</v>
      </c>
      <c r="H3195" s="378" t="str">
        <f>IFERROR(IF([1]F_ProductBM!H489 = "", "", [1]F_ProductBM!H489 ),"")</f>
        <v/>
      </c>
      <c r="I3195" s="379" t="str">
        <f>IFERROR(IF([1]F_ProductBM!I489 = "", "", [1]F_ProductBM!I489 ),"")</f>
        <v/>
      </c>
      <c r="J3195" s="380" t="str">
        <f>IFERROR(IF([1]F_ProductBM!J489 = "", "", [1]F_ProductBM!J489 ),"")</f>
        <v/>
      </c>
      <c r="K3195" s="378" t="str">
        <f>IFERROR(IF([1]F_ProductBM!K489 = "", "", [1]F_ProductBM!K489 ),"")</f>
        <v/>
      </c>
      <c r="L3195" s="378" t="str">
        <f>IFERROR(IF([1]F_ProductBM!L489 = "", "", [1]F_ProductBM!L489 ),"")</f>
        <v/>
      </c>
      <c r="M3195" s="378" t="str">
        <f>IFERROR(IF([1]F_ProductBM!M489 = "", "", [1]F_ProductBM!M489 ),"")</f>
        <v/>
      </c>
      <c r="N3195" s="381" t="str">
        <f>IFERROR(IF([1]F_ProductBM!N489 = "", "", [1]F_ProductBM!N489 ),"")</f>
        <v/>
      </c>
    </row>
    <row r="3196" spans="3:14">
      <c r="C3196" s="977"/>
      <c r="D3196" s="777" t="s">
        <v>1109</v>
      </c>
      <c r="E3196" s="2670" t="s">
        <v>879</v>
      </c>
      <c r="F3196" s="2608"/>
      <c r="G3196" s="998" t="s">
        <v>2015</v>
      </c>
      <c r="H3196" s="382" t="str">
        <f>IFERROR(IF([1]F_ProductBM!H490 = "", "", [1]F_ProductBM!H490 ),"")</f>
        <v/>
      </c>
      <c r="I3196" s="383" t="str">
        <f>IFERROR(IF([1]F_ProductBM!I490 = "", "", [1]F_ProductBM!I490 ),"")</f>
        <v/>
      </c>
      <c r="J3196" s="384" t="str">
        <f>IFERROR(IF([1]F_ProductBM!J490 = "", "", [1]F_ProductBM!J490 ),"")</f>
        <v/>
      </c>
      <c r="K3196" s="382" t="str">
        <f>IFERROR(IF([1]F_ProductBM!K490 = "", "", [1]F_ProductBM!K490 ),"")</f>
        <v/>
      </c>
      <c r="L3196" s="382" t="str">
        <f>IFERROR(IF([1]F_ProductBM!L490 = "", "", [1]F_ProductBM!L490 ),"")</f>
        <v/>
      </c>
      <c r="M3196" s="382" t="str">
        <f>IFERROR(IF([1]F_ProductBM!M490 = "", "", [1]F_ProductBM!M490 ),"")</f>
        <v/>
      </c>
      <c r="N3196" s="385" t="str">
        <f>IFERROR(IF([1]F_ProductBM!N490 = "", "", [1]F_ProductBM!N490 ),"")</f>
        <v/>
      </c>
    </row>
    <row r="3197" spans="3:14">
      <c r="C3197" s="977"/>
      <c r="D3197" s="777" t="s">
        <v>1110</v>
      </c>
      <c r="E3197" s="2473" t="s">
        <v>41</v>
      </c>
      <c r="F3197" s="2474"/>
      <c r="G3197" s="1001" t="s">
        <v>2017</v>
      </c>
      <c r="H3197" s="86" t="str">
        <f>IFERROR(IF([1]F_ProductBM!H491 = "", "", [1]F_ProductBM!H491 ),"")</f>
        <v/>
      </c>
      <c r="I3197" s="340" t="str">
        <f>IFERROR(IF([1]F_ProductBM!I491 = "", "", [1]F_ProductBM!I491 ),"")</f>
        <v/>
      </c>
      <c r="J3197" s="341" t="str">
        <f>IFERROR(IF([1]F_ProductBM!J491 = "", "", [1]F_ProductBM!J491 ),"")</f>
        <v/>
      </c>
      <c r="K3197" s="86" t="str">
        <f>IFERROR(IF([1]F_ProductBM!K491 = "", "", [1]F_ProductBM!K491 ),"")</f>
        <v/>
      </c>
      <c r="L3197" s="86" t="str">
        <f>IFERROR(IF([1]F_ProductBM!L491 = "", "", [1]F_ProductBM!L491 ),"")</f>
        <v/>
      </c>
      <c r="M3197" s="86" t="str">
        <f>IFERROR(IF([1]F_ProductBM!M491 = "", "", [1]F_ProductBM!M491 ),"")</f>
        <v/>
      </c>
      <c r="N3197" s="342" t="str">
        <f>IFERROR(IF([1]F_ProductBM!N491 = "", "", [1]F_ProductBM!N491 ),"")</f>
        <v/>
      </c>
    </row>
    <row r="3198" spans="3:14">
      <c r="C3198" s="977"/>
      <c r="D3198" s="777" t="s">
        <v>1106</v>
      </c>
      <c r="E3198" s="2687" t="s">
        <v>393</v>
      </c>
      <c r="F3198" s="2688"/>
      <c r="G3198" s="1002"/>
      <c r="H3198" s="343" t="str">
        <f>IFERROR(IF([1]F_ProductBM!H492 = "", "", [1]F_ProductBM!H492 ),"")</f>
        <v/>
      </c>
      <c r="I3198" s="344" t="str">
        <f>IFERROR(IF([1]F_ProductBM!I492 = "", "", [1]F_ProductBM!I492 ),"")</f>
        <v/>
      </c>
      <c r="J3198" s="345" t="str">
        <f>IFERROR(IF([1]F_ProductBM!J492 = "", "", [1]F_ProductBM!J492 ),"")</f>
        <v/>
      </c>
      <c r="K3198" s="343" t="str">
        <f>IFERROR(IF([1]F_ProductBM!K492 = "", "", [1]F_ProductBM!K492 ),"")</f>
        <v/>
      </c>
      <c r="L3198" s="343" t="str">
        <f>IFERROR(IF([1]F_ProductBM!L492 = "", "", [1]F_ProductBM!L492 ),"")</f>
        <v/>
      </c>
      <c r="M3198" s="343" t="str">
        <f>IFERROR(IF([1]F_ProductBM!M492 = "", "", [1]F_ProductBM!M492 ),"")</f>
        <v/>
      </c>
      <c r="N3198" s="346" t="str">
        <f>IFERROR(IF([1]F_ProductBM!N492 = "", "", [1]F_ProductBM!N492 ),"")</f>
        <v/>
      </c>
    </row>
    <row r="3199" spans="3:14">
      <c r="C3199" s="977"/>
      <c r="D3199" s="981"/>
      <c r="E3199" s="981"/>
      <c r="F3199" s="981"/>
      <c r="G3199" s="981"/>
      <c r="H3199" s="981"/>
      <c r="I3199" s="981"/>
      <c r="J3199" s="981"/>
      <c r="K3199" s="981"/>
      <c r="L3199" s="981"/>
      <c r="M3199" s="813"/>
      <c r="N3199" s="814"/>
    </row>
    <row r="3200" spans="3:14">
      <c r="C3200" s="977"/>
      <c r="D3200" s="982" t="s">
        <v>478</v>
      </c>
      <c r="E3200" s="2649" t="s">
        <v>1457</v>
      </c>
      <c r="F3200" s="2391"/>
      <c r="G3200" s="2391"/>
      <c r="H3200" s="2391"/>
      <c r="I3200" s="2391"/>
      <c r="J3200" s="2391"/>
      <c r="K3200" s="2391"/>
      <c r="L3200" s="2391"/>
      <c r="M3200" s="2391"/>
      <c r="N3200" s="2650"/>
    </row>
    <row r="3201" spans="3:14">
      <c r="C3201" s="977"/>
      <c r="D3201" s="777"/>
      <c r="E3201" s="2676" t="s">
        <v>2295</v>
      </c>
      <c r="F3201" s="2391"/>
      <c r="G3201" s="2391"/>
      <c r="H3201" s="2391"/>
      <c r="I3201" s="2391"/>
      <c r="J3201" s="2391"/>
      <c r="K3201" s="2391"/>
      <c r="L3201" s="2391"/>
      <c r="M3201" s="2391"/>
      <c r="N3201" s="2650"/>
    </row>
    <row r="3202" spans="3:14" ht="34.5" customHeight="1">
      <c r="C3202" s="977"/>
      <c r="D3202" s="981"/>
      <c r="E3202" s="2669" t="s">
        <v>2300</v>
      </c>
      <c r="F3202" s="2391"/>
      <c r="G3202" s="2391"/>
      <c r="H3202" s="2391"/>
      <c r="I3202" s="2391"/>
      <c r="J3202" s="2391"/>
      <c r="K3202" s="2391"/>
      <c r="L3202" s="2391"/>
      <c r="M3202" s="2391"/>
      <c r="N3202" s="2650"/>
    </row>
    <row r="3203" spans="3:14">
      <c r="C3203" s="977"/>
      <c r="D3203" s="981"/>
      <c r="E3203" s="2669" t="s">
        <v>1365</v>
      </c>
      <c r="F3203" s="2391"/>
      <c r="G3203" s="2391"/>
      <c r="H3203" s="2391"/>
      <c r="I3203" s="2391"/>
      <c r="J3203" s="2391"/>
      <c r="K3203" s="2391"/>
      <c r="L3203" s="2391"/>
      <c r="M3203" s="2391"/>
      <c r="N3203" s="2650"/>
    </row>
    <row r="3204" spans="3:14">
      <c r="C3204" s="977"/>
      <c r="D3204" s="982"/>
      <c r="E3204" s="989"/>
      <c r="F3204" s="990"/>
      <c r="G3204" s="987" t="s">
        <v>884</v>
      </c>
      <c r="H3204" s="782">
        <v>2019</v>
      </c>
      <c r="I3204" s="988">
        <v>2020</v>
      </c>
      <c r="J3204" s="781">
        <v>2021</v>
      </c>
      <c r="K3204" s="782">
        <v>2022</v>
      </c>
      <c r="L3204" s="782">
        <v>2023</v>
      </c>
      <c r="M3204" s="782">
        <v>2024</v>
      </c>
      <c r="N3204" s="783">
        <v>2025</v>
      </c>
    </row>
    <row r="3205" spans="3:14">
      <c r="C3205" s="977"/>
      <c r="D3205" s="777"/>
      <c r="E3205" s="2475" t="s">
        <v>1156</v>
      </c>
      <c r="F3205" s="2410"/>
      <c r="G3205" s="815" t="s">
        <v>2016</v>
      </c>
      <c r="H3205" s="93" t="str">
        <f>IFERROR(IF([1]F_ProductBM!H499 = "", "", [1]F_ProductBM!H499 ),"")</f>
        <v/>
      </c>
      <c r="I3205" s="116" t="str">
        <f>IFERROR(IF([1]F_ProductBM!I499 = "", "", [1]F_ProductBM!I499 ),"")</f>
        <v/>
      </c>
      <c r="J3205" s="117" t="str">
        <f>IFERROR(IF([1]F_ProductBM!J499 = "", "", [1]F_ProductBM!J499 ),"")</f>
        <v/>
      </c>
      <c r="K3205" s="93" t="str">
        <f>IFERROR(IF([1]F_ProductBM!K499 = "", "", [1]F_ProductBM!K499 ),"")</f>
        <v/>
      </c>
      <c r="L3205" s="93" t="str">
        <f>IFERROR(IF([1]F_ProductBM!L499 = "", "", [1]F_ProductBM!L499 ),"")</f>
        <v/>
      </c>
      <c r="M3205" s="93" t="str">
        <f>IFERROR(IF([1]F_ProductBM!M499 = "", "", [1]F_ProductBM!M499 ),"")</f>
        <v/>
      </c>
      <c r="N3205" s="118" t="str">
        <f>IFERROR(IF([1]F_ProductBM!N499 = "", "", [1]F_ProductBM!N499 ),"")</f>
        <v/>
      </c>
    </row>
    <row r="3206" spans="3:14">
      <c r="C3206" s="977"/>
      <c r="D3206" s="981"/>
      <c r="E3206" s="981"/>
      <c r="F3206" s="981"/>
      <c r="G3206" s="981"/>
      <c r="H3206" s="981"/>
      <c r="I3206" s="981"/>
      <c r="J3206" s="981"/>
      <c r="K3206" s="981"/>
      <c r="L3206" s="981"/>
      <c r="M3206" s="813"/>
      <c r="N3206" s="814"/>
    </row>
    <row r="3207" spans="3:14">
      <c r="C3207" s="977"/>
      <c r="D3207" s="982" t="s">
        <v>479</v>
      </c>
      <c r="E3207" s="2649" t="s">
        <v>1118</v>
      </c>
      <c r="F3207" s="2391"/>
      <c r="G3207" s="2391"/>
      <c r="H3207" s="2391"/>
      <c r="I3207" s="2391"/>
      <c r="J3207" s="2391"/>
      <c r="K3207" s="2391"/>
      <c r="L3207" s="2391"/>
      <c r="M3207" s="2391"/>
      <c r="N3207" s="2650"/>
    </row>
    <row r="3208" spans="3:14">
      <c r="C3208" s="977"/>
      <c r="D3208" s="777"/>
      <c r="E3208" s="2676" t="s">
        <v>2297</v>
      </c>
      <c r="F3208" s="2391"/>
      <c r="G3208" s="2391"/>
      <c r="H3208" s="2391"/>
      <c r="I3208" s="2391"/>
      <c r="J3208" s="2391"/>
      <c r="K3208" s="2391"/>
      <c r="L3208" s="2391"/>
      <c r="M3208" s="2391"/>
      <c r="N3208" s="2650"/>
    </row>
    <row r="3209" spans="3:14">
      <c r="C3209" s="977"/>
      <c r="D3209" s="981"/>
      <c r="E3209" s="2669" t="s">
        <v>2118</v>
      </c>
      <c r="F3209" s="2391"/>
      <c r="G3209" s="2391"/>
      <c r="H3209" s="2391"/>
      <c r="I3209" s="2391"/>
      <c r="J3209" s="2391"/>
      <c r="K3209" s="2391"/>
      <c r="L3209" s="2391"/>
      <c r="M3209" s="2391"/>
      <c r="N3209" s="2650"/>
    </row>
    <row r="3210" spans="3:14">
      <c r="C3210" s="977"/>
      <c r="D3210" s="981"/>
      <c r="E3210" s="2669" t="s">
        <v>1614</v>
      </c>
      <c r="F3210" s="2391"/>
      <c r="G3210" s="2391"/>
      <c r="H3210" s="2391"/>
      <c r="I3210" s="2391"/>
      <c r="J3210" s="2391"/>
      <c r="K3210" s="2391"/>
      <c r="L3210" s="2391"/>
      <c r="M3210" s="2391"/>
      <c r="N3210" s="2650"/>
    </row>
    <row r="3211" spans="3:14">
      <c r="C3211" s="977"/>
      <c r="D3211" s="981"/>
      <c r="E3211" s="2669" t="s">
        <v>1593</v>
      </c>
      <c r="F3211" s="2391"/>
      <c r="G3211" s="2391"/>
      <c r="H3211" s="2391"/>
      <c r="I3211" s="2391"/>
      <c r="J3211" s="2391"/>
      <c r="K3211" s="2391"/>
      <c r="L3211" s="2391"/>
      <c r="M3211" s="2391"/>
      <c r="N3211" s="2650"/>
    </row>
    <row r="3212" spans="3:14">
      <c r="C3212" s="977"/>
      <c r="D3212" s="981"/>
      <c r="E3212" s="2697" t="s">
        <v>1555</v>
      </c>
      <c r="F3212" s="2698"/>
      <c r="G3212" s="2698"/>
      <c r="H3212" s="2698"/>
      <c r="I3212" s="2698"/>
      <c r="J3212" s="2698"/>
      <c r="K3212" s="2698"/>
      <c r="L3212" s="2698"/>
      <c r="M3212" s="2698"/>
      <c r="N3212" s="2694"/>
    </row>
    <row r="3213" spans="3:14">
      <c r="C3213" s="977"/>
      <c r="D3213" s="981"/>
      <c r="E3213" s="2648" t="s">
        <v>1151</v>
      </c>
      <c r="F3213" s="2493"/>
      <c r="G3213" s="987" t="s">
        <v>884</v>
      </c>
      <c r="H3213" s="782">
        <v>2019</v>
      </c>
      <c r="I3213" s="988">
        <v>2020</v>
      </c>
      <c r="J3213" s="781">
        <v>2021</v>
      </c>
      <c r="K3213" s="782">
        <v>2022</v>
      </c>
      <c r="L3213" s="782">
        <v>2023</v>
      </c>
      <c r="M3213" s="782">
        <v>2024</v>
      </c>
      <c r="N3213" s="783">
        <v>2025</v>
      </c>
    </row>
    <row r="3214" spans="3:14">
      <c r="C3214" s="977"/>
      <c r="D3214" s="777" t="s">
        <v>6</v>
      </c>
      <c r="E3214" s="2475" t="s">
        <v>1087</v>
      </c>
      <c r="F3214" s="2410"/>
      <c r="G3214" s="815" t="s">
        <v>2017</v>
      </c>
      <c r="H3214" s="93" t="str">
        <f>IFERROR(IF([1]F_ProductBM!H508 = "", "", [1]F_ProductBM!H508 ),"")</f>
        <v/>
      </c>
      <c r="I3214" s="116" t="str">
        <f>IFERROR(IF([1]F_ProductBM!I508 = "", "", [1]F_ProductBM!I508 ),"")</f>
        <v/>
      </c>
      <c r="J3214" s="117" t="str">
        <f>IFERROR(IF([1]F_ProductBM!J508 = "", "", [1]F_ProductBM!J508 ),"")</f>
        <v/>
      </c>
      <c r="K3214" s="93" t="str">
        <f>IFERROR(IF([1]F_ProductBM!K508 = "", "", [1]F_ProductBM!K508 ),"")</f>
        <v/>
      </c>
      <c r="L3214" s="93" t="str">
        <f>IFERROR(IF([1]F_ProductBM!L508 = "", "", [1]F_ProductBM!L508 ),"")</f>
        <v/>
      </c>
      <c r="M3214" s="93" t="str">
        <f>IFERROR(IF([1]F_ProductBM!M508 = "", "", [1]F_ProductBM!M508 ),"")</f>
        <v/>
      </c>
      <c r="N3214" s="118" t="str">
        <f>IFERROR(IF([1]F_ProductBM!N508 = "", "", [1]F_ProductBM!N508 ),"")</f>
        <v/>
      </c>
    </row>
    <row r="3215" spans="3:14">
      <c r="C3215" s="977"/>
      <c r="D3215" s="777" t="s">
        <v>7</v>
      </c>
      <c r="E3215" s="2475" t="s">
        <v>1103</v>
      </c>
      <c r="F3215" s="2410"/>
      <c r="G3215" s="815" t="s">
        <v>2018</v>
      </c>
      <c r="H3215" s="93" t="str">
        <f>IFERROR(IF([1]F_ProductBM!H509 = "", "", [1]F_ProductBM!H509 ),"")</f>
        <v/>
      </c>
      <c r="I3215" s="116" t="str">
        <f>IFERROR(IF([1]F_ProductBM!I509 = "", "", [1]F_ProductBM!I509 ),"")</f>
        <v/>
      </c>
      <c r="J3215" s="117" t="str">
        <f>IFERROR(IF([1]F_ProductBM!J509 = "", "", [1]F_ProductBM!J509 ),"")</f>
        <v/>
      </c>
      <c r="K3215" s="93" t="str">
        <f>IFERROR(IF([1]F_ProductBM!K509 = "", "", [1]F_ProductBM!K509 ),"")</f>
        <v/>
      </c>
      <c r="L3215" s="93" t="str">
        <f>IFERROR(IF([1]F_ProductBM!L509 = "", "", [1]F_ProductBM!L509 ),"")</f>
        <v/>
      </c>
      <c r="M3215" s="93" t="str">
        <f>IFERROR(IF([1]F_ProductBM!M509 = "", "", [1]F_ProductBM!M509 ),"")</f>
        <v/>
      </c>
      <c r="N3215" s="118" t="str">
        <f>IFERROR(IF([1]F_ProductBM!N509 = "", "", [1]F_ProductBM!N509 ),"")</f>
        <v/>
      </c>
    </row>
    <row r="3216" spans="3:14">
      <c r="C3216" s="977"/>
      <c r="D3216" s="981"/>
      <c r="E3216" s="981"/>
      <c r="F3216" s="981"/>
      <c r="G3216" s="981"/>
      <c r="H3216" s="981"/>
      <c r="I3216" s="981"/>
      <c r="J3216" s="981"/>
      <c r="K3216" s="981"/>
      <c r="L3216" s="981"/>
      <c r="M3216" s="981"/>
      <c r="N3216" s="814"/>
    </row>
    <row r="3217" spans="3:14">
      <c r="C3217" s="977"/>
      <c r="D3217" s="981"/>
      <c r="E3217" s="2648" t="s">
        <v>1406</v>
      </c>
      <c r="F3217" s="2493"/>
      <c r="G3217" s="987" t="s">
        <v>884</v>
      </c>
      <c r="H3217" s="782">
        <v>2019</v>
      </c>
      <c r="I3217" s="988">
        <v>2020</v>
      </c>
      <c r="J3217" s="781">
        <v>2021</v>
      </c>
      <c r="K3217" s="782">
        <v>2022</v>
      </c>
      <c r="L3217" s="782">
        <v>2023</v>
      </c>
      <c r="M3217" s="782">
        <v>2024</v>
      </c>
      <c r="N3217" s="783">
        <v>2025</v>
      </c>
    </row>
    <row r="3218" spans="3:14">
      <c r="C3218" s="977"/>
      <c r="D3218" s="777" t="s">
        <v>8</v>
      </c>
      <c r="E3218" s="2475" t="s">
        <v>1556</v>
      </c>
      <c r="F3218" s="2410"/>
      <c r="G3218" s="815" t="s">
        <v>2017</v>
      </c>
      <c r="H3218" s="351" t="str">
        <f>IFERROR(IF([1]F_ProductBM!H512 = "", "", [1]F_ProductBM!H512 ),"")</f>
        <v/>
      </c>
      <c r="I3218" s="352" t="str">
        <f>IFERROR(IF([1]F_ProductBM!I512 = "", "", [1]F_ProductBM!I512 ),"")</f>
        <v/>
      </c>
      <c r="J3218" s="353" t="str">
        <f>IFERROR(IF([1]F_ProductBM!J512 = "", "", [1]F_ProductBM!J512 ),"")</f>
        <v/>
      </c>
      <c r="K3218" s="351" t="str">
        <f>IFERROR(IF([1]F_ProductBM!K512 = "", "", [1]F_ProductBM!K512 ),"")</f>
        <v/>
      </c>
      <c r="L3218" s="351" t="str">
        <f>IFERROR(IF([1]F_ProductBM!L512 = "", "", [1]F_ProductBM!L512 ),"")</f>
        <v/>
      </c>
      <c r="M3218" s="351" t="str">
        <f>IFERROR(IF([1]F_ProductBM!M512 = "", "", [1]F_ProductBM!M512 ),"")</f>
        <v/>
      </c>
      <c r="N3218" s="354" t="str">
        <f>IFERROR(IF([1]F_ProductBM!N512 = "", "", [1]F_ProductBM!N512 ),"")</f>
        <v/>
      </c>
    </row>
    <row r="3219" spans="3:14">
      <c r="C3219" s="977"/>
      <c r="D3219" s="777" t="s">
        <v>18</v>
      </c>
      <c r="E3219" s="2475" t="s">
        <v>1149</v>
      </c>
      <c r="F3219" s="2410"/>
      <c r="G3219" s="815" t="s">
        <v>2017</v>
      </c>
      <c r="H3219" s="93" t="str">
        <f>IFERROR(IF([1]F_ProductBM!H513 = "", "", [1]F_ProductBM!H513 ),"")</f>
        <v/>
      </c>
      <c r="I3219" s="116" t="str">
        <f>IFERROR(IF([1]F_ProductBM!I513 = "", "", [1]F_ProductBM!I513 ),"")</f>
        <v/>
      </c>
      <c r="J3219" s="117" t="str">
        <f>IFERROR(IF([1]F_ProductBM!J513 = "", "", [1]F_ProductBM!J513 ),"")</f>
        <v/>
      </c>
      <c r="K3219" s="93" t="str">
        <f>IFERROR(IF([1]F_ProductBM!K513 = "", "", [1]F_ProductBM!K513 ),"")</f>
        <v/>
      </c>
      <c r="L3219" s="93" t="str">
        <f>IFERROR(IF([1]F_ProductBM!L513 = "", "", [1]F_ProductBM!L513 ),"")</f>
        <v/>
      </c>
      <c r="M3219" s="93" t="str">
        <f>IFERROR(IF([1]F_ProductBM!M513 = "", "", [1]F_ProductBM!M513 ),"")</f>
        <v/>
      </c>
      <c r="N3219" s="118" t="str">
        <f>IFERROR(IF([1]F_ProductBM!N513 = "", "", [1]F_ProductBM!N513 ),"")</f>
        <v/>
      </c>
    </row>
    <row r="3220" spans="3:14">
      <c r="C3220" s="977"/>
      <c r="D3220" s="981"/>
      <c r="E3220" s="981"/>
      <c r="F3220" s="981"/>
      <c r="G3220" s="981"/>
      <c r="H3220" s="981"/>
      <c r="I3220" s="981"/>
      <c r="J3220" s="981"/>
      <c r="K3220" s="981"/>
      <c r="L3220" s="981"/>
      <c r="M3220" s="981"/>
      <c r="N3220" s="814"/>
    </row>
    <row r="3221" spans="3:14">
      <c r="C3221" s="977"/>
      <c r="D3221" s="981"/>
      <c r="E3221" s="2648" t="s">
        <v>1152</v>
      </c>
      <c r="F3221" s="2493"/>
      <c r="G3221" s="987" t="s">
        <v>884</v>
      </c>
      <c r="H3221" s="782">
        <v>2019</v>
      </c>
      <c r="I3221" s="988">
        <v>2020</v>
      </c>
      <c r="J3221" s="781">
        <v>2021</v>
      </c>
      <c r="K3221" s="782">
        <v>2022</v>
      </c>
      <c r="L3221" s="782">
        <v>2023</v>
      </c>
      <c r="M3221" s="782">
        <v>2024</v>
      </c>
      <c r="N3221" s="783">
        <v>2025</v>
      </c>
    </row>
    <row r="3222" spans="3:14">
      <c r="C3222" s="977"/>
      <c r="D3222" s="777" t="s">
        <v>787</v>
      </c>
      <c r="E3222" s="2475" t="s">
        <v>1079</v>
      </c>
      <c r="F3222" s="2410"/>
      <c r="G3222" s="815" t="s">
        <v>2017</v>
      </c>
      <c r="H3222" s="93" t="str">
        <f>IFERROR(IF([1]F_ProductBM!H516 = "", "", [1]F_ProductBM!H516 ),"")</f>
        <v/>
      </c>
      <c r="I3222" s="116" t="str">
        <f>IFERROR(IF([1]F_ProductBM!I516 = "", "", [1]F_ProductBM!I516 ),"")</f>
        <v/>
      </c>
      <c r="J3222" s="117" t="str">
        <f>IFERROR(IF([1]F_ProductBM!J516 = "", "", [1]F_ProductBM!J516 ),"")</f>
        <v/>
      </c>
      <c r="K3222" s="93" t="str">
        <f>IFERROR(IF([1]F_ProductBM!K516 = "", "", [1]F_ProductBM!K516 ),"")</f>
        <v/>
      </c>
      <c r="L3222" s="93" t="str">
        <f>IFERROR(IF([1]F_ProductBM!L516 = "", "", [1]F_ProductBM!L516 ),"")</f>
        <v/>
      </c>
      <c r="M3222" s="93" t="str">
        <f>IFERROR(IF([1]F_ProductBM!M516 = "", "", [1]F_ProductBM!M516 ),"")</f>
        <v/>
      </c>
      <c r="N3222" s="118" t="str">
        <f>IFERROR(IF([1]F_ProductBM!N516 = "", "", [1]F_ProductBM!N516 ),"")</f>
        <v/>
      </c>
    </row>
    <row r="3223" spans="3:14">
      <c r="C3223" s="977"/>
      <c r="D3223" s="777" t="s">
        <v>788</v>
      </c>
      <c r="E3223" s="2475" t="s">
        <v>1104</v>
      </c>
      <c r="F3223" s="2410"/>
      <c r="G3223" s="815" t="s">
        <v>2018</v>
      </c>
      <c r="H3223" s="93" t="str">
        <f>IFERROR(IF([1]F_ProductBM!H517 = "", "", [1]F_ProductBM!H517 ),"")</f>
        <v/>
      </c>
      <c r="I3223" s="116" t="str">
        <f>IFERROR(IF([1]F_ProductBM!I517 = "", "", [1]F_ProductBM!I517 ),"")</f>
        <v/>
      </c>
      <c r="J3223" s="117" t="str">
        <f>IFERROR(IF([1]F_ProductBM!J517 = "", "", [1]F_ProductBM!J517 ),"")</f>
        <v/>
      </c>
      <c r="K3223" s="93" t="str">
        <f>IFERROR(IF([1]F_ProductBM!K517 = "", "", [1]F_ProductBM!K517 ),"")</f>
        <v/>
      </c>
      <c r="L3223" s="93" t="str">
        <f>IFERROR(IF([1]F_ProductBM!L517 = "", "", [1]F_ProductBM!L517 ),"")</f>
        <v/>
      </c>
      <c r="M3223" s="93" t="str">
        <f>IFERROR(IF([1]F_ProductBM!M517 = "", "", [1]F_ProductBM!M517 ),"")</f>
        <v/>
      </c>
      <c r="N3223" s="118" t="str">
        <f>IFERROR(IF([1]F_ProductBM!N517 = "", "", [1]F_ProductBM!N517 ),"")</f>
        <v/>
      </c>
    </row>
    <row r="3224" spans="3:14">
      <c r="C3224" s="977"/>
      <c r="D3224" s="981"/>
      <c r="E3224" s="981"/>
      <c r="F3224" s="981"/>
      <c r="G3224" s="981"/>
      <c r="H3224" s="981"/>
      <c r="I3224" s="981"/>
      <c r="J3224" s="981"/>
      <c r="K3224" s="981"/>
      <c r="L3224" s="981"/>
      <c r="M3224" s="813"/>
      <c r="N3224" s="814"/>
    </row>
    <row r="3225" spans="3:14">
      <c r="C3225" s="977"/>
      <c r="D3225" s="982" t="s">
        <v>481</v>
      </c>
      <c r="E3225" s="2649" t="s">
        <v>1312</v>
      </c>
      <c r="F3225" s="2391"/>
      <c r="G3225" s="2391"/>
      <c r="H3225" s="2391"/>
      <c r="I3225" s="2391"/>
      <c r="J3225" s="2391"/>
      <c r="K3225" s="2391"/>
      <c r="L3225" s="2391"/>
      <c r="M3225" s="2391"/>
      <c r="N3225" s="2650"/>
    </row>
    <row r="3226" spans="3:14">
      <c r="C3226" s="977"/>
      <c r="D3226" s="981"/>
      <c r="E3226" s="986"/>
      <c r="F3226" s="986"/>
      <c r="G3226" s="986"/>
      <c r="H3226" s="986"/>
      <c r="I3226" s="986"/>
      <c r="J3226" s="986"/>
      <c r="K3226" s="986"/>
      <c r="L3226" s="986"/>
      <c r="M3226" s="986"/>
      <c r="N3226" s="1007"/>
    </row>
    <row r="3227" spans="3:14">
      <c r="C3227" s="977"/>
      <c r="D3227" s="777" t="s">
        <v>6</v>
      </c>
      <c r="E3227" s="2649" t="s">
        <v>1313</v>
      </c>
      <c r="F3227" s="2391"/>
      <c r="G3227" s="2391"/>
      <c r="H3227" s="2391"/>
      <c r="I3227" s="2391"/>
      <c r="J3227" s="2391"/>
      <c r="K3227" s="2512"/>
      <c r="L3227" s="120" t="str">
        <f>IFERROR(IF([1]F_ProductBM!L521 = "", "", [1]F_ProductBM!L521 ),"")</f>
        <v/>
      </c>
      <c r="M3227" s="978"/>
      <c r="N3227" s="979"/>
    </row>
    <row r="3228" spans="3:14">
      <c r="C3228" s="977"/>
      <c r="D3228" s="981"/>
      <c r="E3228" s="2669" t="s">
        <v>1314</v>
      </c>
      <c r="F3228" s="2391"/>
      <c r="G3228" s="2391"/>
      <c r="H3228" s="2391"/>
      <c r="I3228" s="2391"/>
      <c r="J3228" s="2391"/>
      <c r="K3228" s="2391"/>
      <c r="L3228" s="2391"/>
      <c r="M3228" s="2391"/>
      <c r="N3228" s="2650"/>
    </row>
    <row r="3229" spans="3:14">
      <c r="C3229" s="977"/>
      <c r="D3229" s="777" t="s">
        <v>7</v>
      </c>
      <c r="E3229" s="2649" t="s">
        <v>1219</v>
      </c>
      <c r="F3229" s="2391"/>
      <c r="G3229" s="2391"/>
      <c r="H3229" s="2512"/>
      <c r="I3229" s="2683" t="str">
        <f>IFERROR(IF([1]F_ProductBM!I523 = "", "", [1]F_ProductBM!I523 ),"")</f>
        <v/>
      </c>
      <c r="J3229" s="2488"/>
      <c r="K3229" s="2488"/>
      <c r="L3229" s="2488"/>
      <c r="M3229" s="2686"/>
      <c r="N3229" s="979"/>
    </row>
    <row r="3230" spans="3:14">
      <c r="C3230" s="977"/>
      <c r="D3230" s="981"/>
      <c r="E3230" s="2669" t="s">
        <v>1316</v>
      </c>
      <c r="F3230" s="2391"/>
      <c r="G3230" s="2391"/>
      <c r="H3230" s="2391"/>
      <c r="I3230" s="2391"/>
      <c r="J3230" s="2391"/>
      <c r="K3230" s="2391"/>
      <c r="L3230" s="2391"/>
      <c r="M3230" s="2391"/>
      <c r="N3230" s="2650"/>
    </row>
    <row r="3231" spans="3:14">
      <c r="C3231" s="977"/>
      <c r="D3231" s="981"/>
      <c r="E3231" s="2676" t="s">
        <v>1557</v>
      </c>
      <c r="F3231" s="2391"/>
      <c r="G3231" s="2391"/>
      <c r="H3231" s="2391"/>
      <c r="I3231" s="2391"/>
      <c r="J3231" s="2391"/>
      <c r="K3231" s="2391"/>
      <c r="L3231" s="2391"/>
      <c r="M3231" s="2391"/>
      <c r="N3231" s="2650"/>
    </row>
    <row r="3232" spans="3:14">
      <c r="C3232" s="977"/>
      <c r="D3232" s="981"/>
      <c r="E3232" s="989"/>
      <c r="F3232" s="990"/>
      <c r="G3232" s="987" t="s">
        <v>884</v>
      </c>
      <c r="H3232" s="782">
        <v>2019</v>
      </c>
      <c r="I3232" s="988">
        <v>2020</v>
      </c>
      <c r="J3232" s="781">
        <v>2021</v>
      </c>
      <c r="K3232" s="782">
        <v>2022</v>
      </c>
      <c r="L3232" s="782">
        <v>2023</v>
      </c>
      <c r="M3232" s="782">
        <v>2024</v>
      </c>
      <c r="N3232" s="783">
        <v>2025</v>
      </c>
    </row>
    <row r="3233" spans="3:14">
      <c r="C3233" s="977"/>
      <c r="D3233" s="777" t="s">
        <v>8</v>
      </c>
      <c r="E3233" s="2471" t="s">
        <v>1305</v>
      </c>
      <c r="F3233" s="2472"/>
      <c r="G3233" s="67" t="str">
        <f>IFERROR(IF([1]F_ProductBM!G527 = "", "", [1]F_ProductBM!G527 ),"")</f>
        <v/>
      </c>
      <c r="H3233" s="94" t="str">
        <f>IFERROR(IF([1]F_ProductBM!H527 = "", "", [1]F_ProductBM!H527 ),"")</f>
        <v/>
      </c>
      <c r="I3233" s="110" t="str">
        <f>IFERROR(IF([1]F_ProductBM!I527 = "", "", [1]F_ProductBM!I527 ),"")</f>
        <v/>
      </c>
      <c r="J3233" s="111" t="str">
        <f>IFERROR(IF([1]F_ProductBM!J527 = "", "", [1]F_ProductBM!J527 ),"")</f>
        <v/>
      </c>
      <c r="K3233" s="94" t="str">
        <f>IFERROR(IF([1]F_ProductBM!K527 = "", "", [1]F_ProductBM!K527 ),"")</f>
        <v/>
      </c>
      <c r="L3233" s="94" t="str">
        <f>IFERROR(IF([1]F_ProductBM!L527 = "", "", [1]F_ProductBM!L527 ),"")</f>
        <v/>
      </c>
      <c r="M3233" s="94" t="str">
        <f>IFERROR(IF([1]F_ProductBM!M527 = "", "", [1]F_ProductBM!M527 ),"")</f>
        <v/>
      </c>
      <c r="N3233" s="112" t="str">
        <f>IFERROR(IF([1]F_ProductBM!N527 = "", "", [1]F_ProductBM!N527 ),"")</f>
        <v/>
      </c>
    </row>
    <row r="3234" spans="3:14">
      <c r="C3234" s="977"/>
      <c r="D3234" s="777" t="s">
        <v>18</v>
      </c>
      <c r="E3234" s="2473" t="s">
        <v>661</v>
      </c>
      <c r="F3234" s="2474"/>
      <c r="G3234" s="350" t="str">
        <f>IFERROR(IF([1]F_ProductBM!G528 = "", "", [1]F_ProductBM!G528 ),"")</f>
        <v>GJ / Unit</v>
      </c>
      <c r="H3234" s="95" t="str">
        <f>IFERROR(IF([1]F_ProductBM!H528 = "", "", [1]F_ProductBM!H528 ),"")</f>
        <v/>
      </c>
      <c r="I3234" s="113" t="str">
        <f>IFERROR(IF([1]F_ProductBM!I528 = "", "", [1]F_ProductBM!I528 ),"")</f>
        <v/>
      </c>
      <c r="J3234" s="114" t="str">
        <f>IFERROR(IF([1]F_ProductBM!J528 = "", "", [1]F_ProductBM!J528 ),"")</f>
        <v/>
      </c>
      <c r="K3234" s="95" t="str">
        <f>IFERROR(IF([1]F_ProductBM!K528 = "", "", [1]F_ProductBM!K528 ),"")</f>
        <v/>
      </c>
      <c r="L3234" s="95" t="str">
        <f>IFERROR(IF([1]F_ProductBM!L528 = "", "", [1]F_ProductBM!L528 ),"")</f>
        <v/>
      </c>
      <c r="M3234" s="95" t="str">
        <f>IFERROR(IF([1]F_ProductBM!M528 = "", "", [1]F_ProductBM!M528 ),"")</f>
        <v/>
      </c>
      <c r="N3234" s="115" t="str">
        <f>IFERROR(IF([1]F_ProductBM!N528 = "", "", [1]F_ProductBM!N528 ),"")</f>
        <v/>
      </c>
    </row>
    <row r="3235" spans="3:14">
      <c r="C3235" s="977"/>
      <c r="D3235" s="777" t="s">
        <v>787</v>
      </c>
      <c r="E3235" s="2475" t="s">
        <v>1141</v>
      </c>
      <c r="F3235" s="2410"/>
      <c r="G3235" s="815" t="s">
        <v>2017</v>
      </c>
      <c r="H3235" s="351" t="str">
        <f>IFERROR(IF([1]F_ProductBM!H529 = "", "", [1]F_ProductBM!H529 ),"")</f>
        <v/>
      </c>
      <c r="I3235" s="352" t="str">
        <f>IFERROR(IF([1]F_ProductBM!I529 = "", "", [1]F_ProductBM!I529 ),"")</f>
        <v/>
      </c>
      <c r="J3235" s="353" t="str">
        <f>IFERROR(IF([1]F_ProductBM!J529 = "", "", [1]F_ProductBM!J529 ),"")</f>
        <v/>
      </c>
      <c r="K3235" s="351" t="str">
        <f>IFERROR(IF([1]F_ProductBM!K529 = "", "", [1]F_ProductBM!K529 ),"")</f>
        <v/>
      </c>
      <c r="L3235" s="351" t="str">
        <f>IFERROR(IF([1]F_ProductBM!L529 = "", "", [1]F_ProductBM!L529 ),"")</f>
        <v/>
      </c>
      <c r="M3235" s="351" t="str">
        <f>IFERROR(IF([1]F_ProductBM!M529 = "", "", [1]F_ProductBM!M529 ),"")</f>
        <v/>
      </c>
      <c r="N3235" s="354" t="str">
        <f>IFERROR(IF([1]F_ProductBM!N529 = "", "", [1]F_ProductBM!N529 ),"")</f>
        <v/>
      </c>
    </row>
    <row r="3236" spans="3:14">
      <c r="C3236" s="977"/>
      <c r="D3236" s="777" t="s">
        <v>788</v>
      </c>
      <c r="E3236" s="2475" t="s">
        <v>1258</v>
      </c>
      <c r="F3236" s="2410"/>
      <c r="G3236" s="815" t="s">
        <v>2018</v>
      </c>
      <c r="H3236" s="93" t="str">
        <f>IFERROR(IF([1]F_ProductBM!H530 = "", "", [1]F_ProductBM!H530 ),"")</f>
        <v/>
      </c>
      <c r="I3236" s="116" t="str">
        <f>IFERROR(IF([1]F_ProductBM!I530 = "", "", [1]F_ProductBM!I530 ),"")</f>
        <v/>
      </c>
      <c r="J3236" s="117" t="str">
        <f>IFERROR(IF([1]F_ProductBM!J530 = "", "", [1]F_ProductBM!J530 ),"")</f>
        <v/>
      </c>
      <c r="K3236" s="93" t="str">
        <f>IFERROR(IF([1]F_ProductBM!K530 = "", "", [1]F_ProductBM!K530 ),"")</f>
        <v/>
      </c>
      <c r="L3236" s="93" t="str">
        <f>IFERROR(IF([1]F_ProductBM!L530 = "", "", [1]F_ProductBM!L530 ),"")</f>
        <v/>
      </c>
      <c r="M3236" s="93" t="str">
        <f>IFERROR(IF([1]F_ProductBM!M530 = "", "", [1]F_ProductBM!M530 ),"")</f>
        <v/>
      </c>
      <c r="N3236" s="118" t="str">
        <f>IFERROR(IF([1]F_ProductBM!N530 = "", "", [1]F_ProductBM!N530 ),"")</f>
        <v/>
      </c>
    </row>
    <row r="3237" spans="3:14">
      <c r="C3237" s="977"/>
      <c r="D3237" s="981"/>
      <c r="E3237" s="981"/>
      <c r="F3237" s="981"/>
      <c r="G3237" s="981"/>
      <c r="H3237" s="983"/>
      <c r="I3237" s="981"/>
      <c r="J3237" s="981"/>
      <c r="K3237" s="981"/>
      <c r="L3237" s="981"/>
      <c r="M3237" s="813"/>
      <c r="N3237" s="814"/>
    </row>
    <row r="3238" spans="3:14">
      <c r="C3238" s="977"/>
      <c r="D3238" s="777" t="s">
        <v>789</v>
      </c>
      <c r="E3238" s="2649" t="s">
        <v>1301</v>
      </c>
      <c r="F3238" s="2391"/>
      <c r="G3238" s="2391"/>
      <c r="H3238" s="2512"/>
      <c r="I3238" s="2683" t="str">
        <f>IFERROR(IF([1]F_ProductBM!I532 = "", "", [1]F_ProductBM!I532 ),"")</f>
        <v/>
      </c>
      <c r="J3238" s="2488"/>
      <c r="K3238" s="2488"/>
      <c r="L3238" s="2488"/>
      <c r="M3238" s="2686"/>
      <c r="N3238" s="979"/>
    </row>
    <row r="3239" spans="3:14">
      <c r="C3239" s="977"/>
      <c r="D3239" s="777"/>
      <c r="E3239" s="2669" t="s">
        <v>1606</v>
      </c>
      <c r="F3239" s="2391"/>
      <c r="G3239" s="2391"/>
      <c r="H3239" s="2391"/>
      <c r="I3239" s="2391"/>
      <c r="J3239" s="2391"/>
      <c r="K3239" s="2391"/>
      <c r="L3239" s="2391"/>
      <c r="M3239" s="2391"/>
      <c r="N3239" s="2650"/>
    </row>
    <row r="3240" spans="3:14">
      <c r="C3240" s="977"/>
      <c r="D3240" s="981"/>
      <c r="E3240" s="2676" t="s">
        <v>1557</v>
      </c>
      <c r="F3240" s="2391"/>
      <c r="G3240" s="2391"/>
      <c r="H3240" s="2391"/>
      <c r="I3240" s="2391"/>
      <c r="J3240" s="2391"/>
      <c r="K3240" s="2391"/>
      <c r="L3240" s="2391"/>
      <c r="M3240" s="2391"/>
      <c r="N3240" s="2650"/>
    </row>
    <row r="3241" spans="3:14">
      <c r="C3241" s="977"/>
      <c r="D3241" s="981"/>
      <c r="E3241" s="989"/>
      <c r="F3241" s="990"/>
      <c r="G3241" s="987" t="s">
        <v>884</v>
      </c>
      <c r="H3241" s="782">
        <v>2019</v>
      </c>
      <c r="I3241" s="988">
        <v>2020</v>
      </c>
      <c r="J3241" s="781">
        <v>2021</v>
      </c>
      <c r="K3241" s="782">
        <v>2022</v>
      </c>
      <c r="L3241" s="782">
        <v>2023</v>
      </c>
      <c r="M3241" s="782">
        <v>2024</v>
      </c>
      <c r="N3241" s="783">
        <v>2025</v>
      </c>
    </row>
    <row r="3242" spans="3:14">
      <c r="C3242" s="977"/>
      <c r="D3242" s="777" t="s">
        <v>790</v>
      </c>
      <c r="E3242" s="2471" t="s">
        <v>1306</v>
      </c>
      <c r="F3242" s="2472"/>
      <c r="G3242" s="67" t="str">
        <f>IFERROR(IF([1]F_ProductBM!G536 = "", "", [1]F_ProductBM!G536 ),"")</f>
        <v/>
      </c>
      <c r="H3242" s="94" t="str">
        <f>IFERROR(IF([1]F_ProductBM!H536 = "", "", [1]F_ProductBM!H536 ),"")</f>
        <v/>
      </c>
      <c r="I3242" s="110" t="str">
        <f>IFERROR(IF([1]F_ProductBM!I536 = "", "", [1]F_ProductBM!I536 ),"")</f>
        <v/>
      </c>
      <c r="J3242" s="111" t="str">
        <f>IFERROR(IF([1]F_ProductBM!J536 = "", "", [1]F_ProductBM!J536 ),"")</f>
        <v/>
      </c>
      <c r="K3242" s="94" t="str">
        <f>IFERROR(IF([1]F_ProductBM!K536 = "", "", [1]F_ProductBM!K536 ),"")</f>
        <v/>
      </c>
      <c r="L3242" s="94" t="str">
        <f>IFERROR(IF([1]F_ProductBM!L536 = "", "", [1]F_ProductBM!L536 ),"")</f>
        <v/>
      </c>
      <c r="M3242" s="94" t="str">
        <f>IFERROR(IF([1]F_ProductBM!M536 = "", "", [1]F_ProductBM!M536 ),"")</f>
        <v/>
      </c>
      <c r="N3242" s="112" t="str">
        <f>IFERROR(IF([1]F_ProductBM!N536 = "", "", [1]F_ProductBM!N536 ),"")</f>
        <v/>
      </c>
    </row>
    <row r="3243" spans="3:14">
      <c r="C3243" s="977"/>
      <c r="D3243" s="777" t="s">
        <v>791</v>
      </c>
      <c r="E3243" s="2473" t="s">
        <v>661</v>
      </c>
      <c r="F3243" s="2474"/>
      <c r="G3243" s="350" t="str">
        <f>IFERROR(IF([1]F_ProductBM!G537 = "", "", [1]F_ProductBM!G537 ),"")</f>
        <v>GJ / Unit</v>
      </c>
      <c r="H3243" s="95" t="str">
        <f>IFERROR(IF([1]F_ProductBM!H537 = "", "", [1]F_ProductBM!H537 ),"")</f>
        <v/>
      </c>
      <c r="I3243" s="113" t="str">
        <f>IFERROR(IF([1]F_ProductBM!I537 = "", "", [1]F_ProductBM!I537 ),"")</f>
        <v/>
      </c>
      <c r="J3243" s="114" t="str">
        <f>IFERROR(IF([1]F_ProductBM!J537 = "", "", [1]F_ProductBM!J537 ),"")</f>
        <v/>
      </c>
      <c r="K3243" s="95" t="str">
        <f>IFERROR(IF([1]F_ProductBM!K537 = "", "", [1]F_ProductBM!K537 ),"")</f>
        <v/>
      </c>
      <c r="L3243" s="95" t="str">
        <f>IFERROR(IF([1]F_ProductBM!L537 = "", "", [1]F_ProductBM!L537 ),"")</f>
        <v/>
      </c>
      <c r="M3243" s="95" t="str">
        <f>IFERROR(IF([1]F_ProductBM!M537 = "", "", [1]F_ProductBM!M537 ),"")</f>
        <v/>
      </c>
      <c r="N3243" s="115" t="str">
        <f>IFERROR(IF([1]F_ProductBM!N537 = "", "", [1]F_ProductBM!N537 ),"")</f>
        <v/>
      </c>
    </row>
    <row r="3244" spans="3:14">
      <c r="C3244" s="977"/>
      <c r="D3244" s="777" t="s">
        <v>64</v>
      </c>
      <c r="E3244" s="2475" t="s">
        <v>1309</v>
      </c>
      <c r="F3244" s="2410"/>
      <c r="G3244" s="815" t="s">
        <v>2017</v>
      </c>
      <c r="H3244" s="351" t="str">
        <f>IFERROR(IF([1]F_ProductBM!H538 = "", "", [1]F_ProductBM!H538 ),"")</f>
        <v/>
      </c>
      <c r="I3244" s="352" t="str">
        <f>IFERROR(IF([1]F_ProductBM!I538 = "", "", [1]F_ProductBM!I538 ),"")</f>
        <v/>
      </c>
      <c r="J3244" s="353" t="str">
        <f>IFERROR(IF([1]F_ProductBM!J538 = "", "", [1]F_ProductBM!J538 ),"")</f>
        <v/>
      </c>
      <c r="K3244" s="351" t="str">
        <f>IFERROR(IF([1]F_ProductBM!K538 = "", "", [1]F_ProductBM!K538 ),"")</f>
        <v/>
      </c>
      <c r="L3244" s="351" t="str">
        <f>IFERROR(IF([1]F_ProductBM!L538 = "", "", [1]F_ProductBM!L538 ),"")</f>
        <v/>
      </c>
      <c r="M3244" s="351" t="str">
        <f>IFERROR(IF([1]F_ProductBM!M538 = "", "", [1]F_ProductBM!M538 ),"")</f>
        <v/>
      </c>
      <c r="N3244" s="354" t="str">
        <f>IFERROR(IF([1]F_ProductBM!N538 = "", "", [1]F_ProductBM!N538 ),"")</f>
        <v/>
      </c>
    </row>
    <row r="3245" spans="3:14">
      <c r="C3245" s="977"/>
      <c r="D3245" s="777" t="s">
        <v>65</v>
      </c>
      <c r="E3245" s="2475" t="s">
        <v>1307</v>
      </c>
      <c r="F3245" s="2410"/>
      <c r="G3245" s="815" t="s">
        <v>2018</v>
      </c>
      <c r="H3245" s="93" t="str">
        <f>IFERROR(IF([1]F_ProductBM!H539 = "", "", [1]F_ProductBM!H539 ),"")</f>
        <v/>
      </c>
      <c r="I3245" s="116" t="str">
        <f>IFERROR(IF([1]F_ProductBM!I539 = "", "", [1]F_ProductBM!I539 ),"")</f>
        <v/>
      </c>
      <c r="J3245" s="117" t="str">
        <f>IFERROR(IF([1]F_ProductBM!J539 = "", "", [1]F_ProductBM!J539 ),"")</f>
        <v/>
      </c>
      <c r="K3245" s="93" t="str">
        <f>IFERROR(IF([1]F_ProductBM!K539 = "", "", [1]F_ProductBM!K539 ),"")</f>
        <v/>
      </c>
      <c r="L3245" s="93" t="str">
        <f>IFERROR(IF([1]F_ProductBM!L539 = "", "", [1]F_ProductBM!L539 ),"")</f>
        <v/>
      </c>
      <c r="M3245" s="93" t="str">
        <f>IFERROR(IF([1]F_ProductBM!M539 = "", "", [1]F_ProductBM!M539 ),"")</f>
        <v/>
      </c>
      <c r="N3245" s="118" t="str">
        <f>IFERROR(IF([1]F_ProductBM!N539 = "", "", [1]F_ProductBM!N539 ),"")</f>
        <v/>
      </c>
    </row>
    <row r="3246" spans="3:14">
      <c r="C3246" s="977"/>
      <c r="D3246" s="981"/>
      <c r="E3246" s="981"/>
      <c r="F3246" s="981"/>
      <c r="G3246" s="981"/>
      <c r="H3246" s="983"/>
      <c r="I3246" s="981"/>
      <c r="J3246" s="981"/>
      <c r="K3246" s="981"/>
      <c r="L3246" s="981"/>
      <c r="M3246" s="813"/>
      <c r="N3246" s="814"/>
    </row>
    <row r="3247" spans="3:14">
      <c r="C3247" s="977"/>
      <c r="D3247" s="777" t="s">
        <v>66</v>
      </c>
      <c r="E3247" s="2649" t="s">
        <v>1287</v>
      </c>
      <c r="F3247" s="2391"/>
      <c r="G3247" s="2391"/>
      <c r="H3247" s="2512"/>
      <c r="I3247" s="2683" t="str">
        <f>IFERROR(IF([1]F_ProductBM!I541 = "", "", [1]F_ProductBM!I541 ),"")</f>
        <v/>
      </c>
      <c r="J3247" s="2488"/>
      <c r="K3247" s="2488"/>
      <c r="L3247" s="2488"/>
      <c r="M3247" s="2686"/>
      <c r="N3247" s="979"/>
    </row>
    <row r="3248" spans="3:14">
      <c r="C3248" s="977"/>
      <c r="D3248" s="777"/>
      <c r="E3248" s="2669" t="s">
        <v>1476</v>
      </c>
      <c r="F3248" s="2391"/>
      <c r="G3248" s="2391"/>
      <c r="H3248" s="2391"/>
      <c r="I3248" s="2391"/>
      <c r="J3248" s="2391"/>
      <c r="K3248" s="2391"/>
      <c r="L3248" s="2391"/>
      <c r="M3248" s="2391"/>
      <c r="N3248" s="2650"/>
    </row>
    <row r="3249" spans="3:14">
      <c r="C3249" s="977"/>
      <c r="D3249" s="981"/>
      <c r="E3249" s="2669" t="s">
        <v>1558</v>
      </c>
      <c r="F3249" s="2391"/>
      <c r="G3249" s="2391"/>
      <c r="H3249" s="2391"/>
      <c r="I3249" s="2391"/>
      <c r="J3249" s="2391"/>
      <c r="K3249" s="2391"/>
      <c r="L3249" s="2391"/>
      <c r="M3249" s="2391"/>
      <c r="N3249" s="2650"/>
    </row>
    <row r="3250" spans="3:14">
      <c r="C3250" s="977"/>
      <c r="D3250" s="981"/>
      <c r="E3250" s="2676" t="s">
        <v>1559</v>
      </c>
      <c r="F3250" s="2391"/>
      <c r="G3250" s="2391"/>
      <c r="H3250" s="2391"/>
      <c r="I3250" s="2391"/>
      <c r="J3250" s="2391"/>
      <c r="K3250" s="2391"/>
      <c r="L3250" s="2391"/>
      <c r="M3250" s="2391"/>
      <c r="N3250" s="2650"/>
    </row>
    <row r="3251" spans="3:14">
      <c r="C3251" s="977"/>
      <c r="D3251" s="981"/>
      <c r="E3251" s="989"/>
      <c r="F3251" s="990"/>
      <c r="G3251" s="987" t="s">
        <v>884</v>
      </c>
      <c r="H3251" s="782">
        <v>2019</v>
      </c>
      <c r="I3251" s="988">
        <v>2020</v>
      </c>
      <c r="J3251" s="781">
        <v>2021</v>
      </c>
      <c r="K3251" s="782">
        <v>2022</v>
      </c>
      <c r="L3251" s="782">
        <v>2023</v>
      </c>
      <c r="M3251" s="782">
        <v>2024</v>
      </c>
      <c r="N3251" s="783">
        <v>2025</v>
      </c>
    </row>
    <row r="3252" spans="3:14">
      <c r="C3252" s="977"/>
      <c r="D3252" s="777" t="s">
        <v>1105</v>
      </c>
      <c r="E3252" s="2471" t="s">
        <v>1302</v>
      </c>
      <c r="F3252" s="2472"/>
      <c r="G3252" s="67" t="str">
        <f>IFERROR(IF([1]F_ProductBM!G546 = "", "", [1]F_ProductBM!G546 ),"")</f>
        <v/>
      </c>
      <c r="H3252" s="94" t="str">
        <f>IFERROR(IF([1]F_ProductBM!H546 = "", "", [1]F_ProductBM!H546 ),"")</f>
        <v/>
      </c>
      <c r="I3252" s="110" t="str">
        <f>IFERROR(IF([1]F_ProductBM!I546 = "", "", [1]F_ProductBM!I546 ),"")</f>
        <v/>
      </c>
      <c r="J3252" s="111" t="str">
        <f>IFERROR(IF([1]F_ProductBM!J546 = "", "", [1]F_ProductBM!J546 ),"")</f>
        <v/>
      </c>
      <c r="K3252" s="94" t="str">
        <f>IFERROR(IF([1]F_ProductBM!K546 = "", "", [1]F_ProductBM!K546 ),"")</f>
        <v/>
      </c>
      <c r="L3252" s="94" t="str">
        <f>IFERROR(IF([1]F_ProductBM!L546 = "", "", [1]F_ProductBM!L546 ),"")</f>
        <v/>
      </c>
      <c r="M3252" s="94" t="str">
        <f>IFERROR(IF([1]F_ProductBM!M546 = "", "", [1]F_ProductBM!M546 ),"")</f>
        <v/>
      </c>
      <c r="N3252" s="112" t="str">
        <f>IFERROR(IF([1]F_ProductBM!N546 = "", "", [1]F_ProductBM!N546 ),"")</f>
        <v/>
      </c>
    </row>
    <row r="3253" spans="3:14">
      <c r="C3253" s="977"/>
      <c r="D3253" s="777" t="s">
        <v>1106</v>
      </c>
      <c r="E3253" s="2473" t="s">
        <v>661</v>
      </c>
      <c r="F3253" s="2474"/>
      <c r="G3253" s="350" t="str">
        <f>IFERROR(IF([1]F_ProductBM!G547 = "", "", [1]F_ProductBM!G547 ),"")</f>
        <v>GJ / Unit</v>
      </c>
      <c r="H3253" s="95" t="str">
        <f>IFERROR(IF([1]F_ProductBM!H547 = "", "", [1]F_ProductBM!H547 ),"")</f>
        <v/>
      </c>
      <c r="I3253" s="113" t="str">
        <f>IFERROR(IF([1]F_ProductBM!I547 = "", "", [1]F_ProductBM!I547 ),"")</f>
        <v/>
      </c>
      <c r="J3253" s="114" t="str">
        <f>IFERROR(IF([1]F_ProductBM!J547 = "", "", [1]F_ProductBM!J547 ),"")</f>
        <v/>
      </c>
      <c r="K3253" s="95" t="str">
        <f>IFERROR(IF([1]F_ProductBM!K547 = "", "", [1]F_ProductBM!K547 ),"")</f>
        <v/>
      </c>
      <c r="L3253" s="95" t="str">
        <f>IFERROR(IF([1]F_ProductBM!L547 = "", "", [1]F_ProductBM!L547 ),"")</f>
        <v/>
      </c>
      <c r="M3253" s="95" t="str">
        <f>IFERROR(IF([1]F_ProductBM!M547 = "", "", [1]F_ProductBM!M547 ),"")</f>
        <v/>
      </c>
      <c r="N3253" s="115" t="str">
        <f>IFERROR(IF([1]F_ProductBM!N547 = "", "", [1]F_ProductBM!N547 ),"")</f>
        <v/>
      </c>
    </row>
    <row r="3254" spans="3:14">
      <c r="C3254" s="977"/>
      <c r="D3254" s="777" t="s">
        <v>1107</v>
      </c>
      <c r="E3254" s="2475" t="s">
        <v>1288</v>
      </c>
      <c r="F3254" s="2410"/>
      <c r="G3254" s="815" t="s">
        <v>2017</v>
      </c>
      <c r="H3254" s="351" t="str">
        <f>IFERROR(IF([1]F_ProductBM!H548 = "", "", [1]F_ProductBM!H548 ),"")</f>
        <v/>
      </c>
      <c r="I3254" s="352" t="str">
        <f>IFERROR(IF([1]F_ProductBM!I548 = "", "", [1]F_ProductBM!I548 ),"")</f>
        <v/>
      </c>
      <c r="J3254" s="353" t="str">
        <f>IFERROR(IF([1]F_ProductBM!J548 = "", "", [1]F_ProductBM!J548 ),"")</f>
        <v/>
      </c>
      <c r="K3254" s="351" t="str">
        <f>IFERROR(IF([1]F_ProductBM!K548 = "", "", [1]F_ProductBM!K548 ),"")</f>
        <v/>
      </c>
      <c r="L3254" s="351" t="str">
        <f>IFERROR(IF([1]F_ProductBM!L548 = "", "", [1]F_ProductBM!L548 ),"")</f>
        <v/>
      </c>
      <c r="M3254" s="351" t="str">
        <f>IFERROR(IF([1]F_ProductBM!M548 = "", "", [1]F_ProductBM!M548 ),"")</f>
        <v/>
      </c>
      <c r="N3254" s="354" t="str">
        <f>IFERROR(IF([1]F_ProductBM!N548 = "", "", [1]F_ProductBM!N548 ),"")</f>
        <v/>
      </c>
    </row>
    <row r="3255" spans="3:14">
      <c r="C3255" s="977"/>
      <c r="D3255" s="777" t="s">
        <v>1108</v>
      </c>
      <c r="E3255" s="2475" t="s">
        <v>1308</v>
      </c>
      <c r="F3255" s="2410"/>
      <c r="G3255" s="815" t="s">
        <v>2018</v>
      </c>
      <c r="H3255" s="93" t="str">
        <f>IFERROR(IF([1]F_ProductBM!H549 = "", "", [1]F_ProductBM!H549 ),"")</f>
        <v/>
      </c>
      <c r="I3255" s="116" t="str">
        <f>IFERROR(IF([1]F_ProductBM!I549 = "", "", [1]F_ProductBM!I549 ),"")</f>
        <v/>
      </c>
      <c r="J3255" s="117" t="str">
        <f>IFERROR(IF([1]F_ProductBM!J549 = "", "", [1]F_ProductBM!J549 ),"")</f>
        <v/>
      </c>
      <c r="K3255" s="93" t="str">
        <f>IFERROR(IF([1]F_ProductBM!K549 = "", "", [1]F_ProductBM!K549 ),"")</f>
        <v/>
      </c>
      <c r="L3255" s="93" t="str">
        <f>IFERROR(IF([1]F_ProductBM!L549 = "", "", [1]F_ProductBM!L549 ),"")</f>
        <v/>
      </c>
      <c r="M3255" s="93" t="str">
        <f>IFERROR(IF([1]F_ProductBM!M549 = "", "", [1]F_ProductBM!M549 ),"")</f>
        <v/>
      </c>
      <c r="N3255" s="118" t="str">
        <f>IFERROR(IF([1]F_ProductBM!N549 = "", "", [1]F_ProductBM!N549 ),"")</f>
        <v/>
      </c>
    </row>
    <row r="3256" spans="3:14">
      <c r="C3256" s="977"/>
      <c r="D3256" s="981"/>
      <c r="E3256" s="981"/>
      <c r="F3256" s="981"/>
      <c r="G3256" s="981"/>
      <c r="H3256" s="983"/>
      <c r="I3256" s="981"/>
      <c r="J3256" s="981"/>
      <c r="K3256" s="981"/>
      <c r="L3256" s="981"/>
      <c r="M3256" s="813"/>
      <c r="N3256" s="814"/>
    </row>
    <row r="3257" spans="3:14">
      <c r="C3257" s="977"/>
      <c r="D3257" s="981"/>
      <c r="E3257" s="2475" t="s">
        <v>1844</v>
      </c>
      <c r="F3257" s="2475"/>
      <c r="G3257" s="1009" t="s">
        <v>471</v>
      </c>
      <c r="H3257" s="62" t="str">
        <f>IFERROR(IF([1]F_ProductBM!H551 = "", "", [1]F_ProductBM!H551 ),"")</f>
        <v/>
      </c>
      <c r="I3257" s="65" t="str">
        <f>IFERROR(IF([1]F_ProductBM!I551 = "", "", [1]F_ProductBM!I551 ),"")</f>
        <v/>
      </c>
      <c r="J3257" s="69" t="str">
        <f>IFERROR(IF([1]F_ProductBM!J551 = "", "", [1]F_ProductBM!J551 ),"")</f>
        <v/>
      </c>
      <c r="K3257" s="62" t="str">
        <f>IFERROR(IF([1]F_ProductBM!K551 = "", "", [1]F_ProductBM!K551 ),"")</f>
        <v/>
      </c>
      <c r="L3257" s="62" t="str">
        <f>IFERROR(IF([1]F_ProductBM!L551 = "", "", [1]F_ProductBM!L551 ),"")</f>
        <v/>
      </c>
      <c r="M3257" s="62" t="str">
        <f>IFERROR(IF([1]F_ProductBM!M551 = "", "", [1]F_ProductBM!M551 ),"")</f>
        <v/>
      </c>
      <c r="N3257" s="62" t="str">
        <f>IFERROR(IF([1]F_ProductBM!N551 = "", "", [1]F_ProductBM!N551 ),"")</f>
        <v/>
      </c>
    </row>
    <row r="3258" spans="3:14" ht="13.5" thickBot="1">
      <c r="C3258" s="977"/>
      <c r="D3258" s="981"/>
      <c r="E3258" s="981"/>
      <c r="F3258" s="981"/>
      <c r="G3258" s="981"/>
      <c r="H3258" s="983"/>
      <c r="I3258" s="981"/>
      <c r="J3258" s="981"/>
      <c r="K3258" s="981"/>
      <c r="L3258" s="981"/>
      <c r="M3258" s="813"/>
      <c r="N3258" s="814"/>
    </row>
    <row r="3259" spans="3:14">
      <c r="C3259" s="977"/>
      <c r="D3259" s="1010"/>
      <c r="E3259" s="1011"/>
      <c r="F3259" s="1011"/>
      <c r="G3259" s="1011"/>
      <c r="H3259" s="1012"/>
      <c r="I3259" s="1011"/>
      <c r="J3259" s="1011"/>
      <c r="K3259" s="1011"/>
      <c r="L3259" s="1011"/>
      <c r="M3259" s="942"/>
      <c r="N3259" s="943"/>
    </row>
    <row r="3260" spans="3:14">
      <c r="C3260" s="977"/>
      <c r="D3260" s="907" t="s">
        <v>1917</v>
      </c>
      <c r="E3260" s="2713" t="s">
        <v>1773</v>
      </c>
      <c r="F3260" s="2493"/>
      <c r="G3260" s="2493"/>
      <c r="H3260" s="910" t="s">
        <v>884</v>
      </c>
      <c r="I3260" s="911" t="s">
        <v>2213</v>
      </c>
      <c r="J3260" s="912">
        <v>2021</v>
      </c>
      <c r="K3260" s="913">
        <v>2022</v>
      </c>
      <c r="L3260" s="913">
        <v>2023</v>
      </c>
      <c r="M3260" s="913">
        <v>2024</v>
      </c>
      <c r="N3260" s="914">
        <v>2025</v>
      </c>
    </row>
    <row r="3261" spans="3:14">
      <c r="C3261" s="977"/>
      <c r="D3261" s="915" t="s">
        <v>6</v>
      </c>
      <c r="E3261" s="2714" t="s">
        <v>1691</v>
      </c>
      <c r="F3261" s="2410"/>
      <c r="G3261" s="2410"/>
      <c r="H3261" s="944" t="s">
        <v>471</v>
      </c>
      <c r="I3261" s="281" t="str">
        <f>IFERROR(IF([1]F_ProductBM!I555 = "", "", [1]F_ProductBM!I555 ),"")</f>
        <v/>
      </c>
      <c r="J3261" s="334" t="str">
        <f>IFERROR(IF([1]F_ProductBM!J555 = "", "", [1]F_ProductBM!J555 ),"")</f>
        <v/>
      </c>
      <c r="K3261" s="335" t="str">
        <f>IFERROR(IF([1]F_ProductBM!K555 = "", "", [1]F_ProductBM!K555 ),"")</f>
        <v/>
      </c>
      <c r="L3261" s="335" t="str">
        <f>IFERROR(IF([1]F_ProductBM!L555 = "", "", [1]F_ProductBM!L555 ),"")</f>
        <v/>
      </c>
      <c r="M3261" s="335" t="str">
        <f>IFERROR(IF([1]F_ProductBM!M555 = "", "", [1]F_ProductBM!M555 ),"")</f>
        <v/>
      </c>
      <c r="N3261" s="336" t="str">
        <f>IFERROR(IF([1]F_ProductBM!N555 = "", "", [1]F_ProductBM!N555 ),"")</f>
        <v/>
      </c>
    </row>
    <row r="3262" spans="3:14">
      <c r="C3262" s="977"/>
      <c r="D3262" s="915"/>
      <c r="E3262" s="2714" t="s">
        <v>1776</v>
      </c>
      <c r="F3262" s="2410"/>
      <c r="G3262" s="2410"/>
      <c r="H3262" s="921"/>
      <c r="I3262" s="916"/>
      <c r="J3262" s="319" t="str">
        <f>IFERROR(IF([1]F_ProductBM!J556 = "", "", [1]F_ProductBM!J556 ),"")</f>
        <v/>
      </c>
      <c r="K3262" s="320" t="str">
        <f>IFERROR(IF([1]F_ProductBM!K556 = "", "", [1]F_ProductBM!K556 ),"")</f>
        <v/>
      </c>
      <c r="L3262" s="320" t="str">
        <f>IFERROR(IF([1]F_ProductBM!L556 = "", "", [1]F_ProductBM!L556 ),"")</f>
        <v/>
      </c>
      <c r="M3262" s="320" t="str">
        <f>IFERROR(IF([1]F_ProductBM!M556 = "", "", [1]F_ProductBM!M556 ),"")</f>
        <v/>
      </c>
      <c r="N3262" s="321" t="str">
        <f>IFERROR(IF([1]F_ProductBM!N556 = "", "", [1]F_ProductBM!N556 ),"")</f>
        <v/>
      </c>
    </row>
    <row r="3263" spans="3:14">
      <c r="C3263" s="977"/>
      <c r="D3263" s="915" t="s">
        <v>7</v>
      </c>
      <c r="E3263" s="2714" t="s">
        <v>1654</v>
      </c>
      <c r="F3263" s="2410"/>
      <c r="G3263" s="2410"/>
      <c r="H3263" s="921"/>
      <c r="I3263" s="916"/>
      <c r="J3263" s="288" t="str">
        <f>IFERROR(IF([1]F_ProductBM!J557 = "", "", [1]F_ProductBM!J557 ),"")</f>
        <v/>
      </c>
      <c r="K3263" s="289" t="str">
        <f>IFERROR(IF([1]F_ProductBM!K557 = "", "", [1]F_ProductBM!K557 ),"")</f>
        <v/>
      </c>
      <c r="L3263" s="289" t="str">
        <f>IFERROR(IF([1]F_ProductBM!L557 = "", "", [1]F_ProductBM!L557 ),"")</f>
        <v/>
      </c>
      <c r="M3263" s="289" t="str">
        <f>IFERROR(IF([1]F_ProductBM!M557 = "", "", [1]F_ProductBM!M557 ),"")</f>
        <v/>
      </c>
      <c r="N3263" s="290" t="str">
        <f>IFERROR(IF([1]F_ProductBM!N557 = "", "", [1]F_ProductBM!N557 ),"")</f>
        <v/>
      </c>
    </row>
    <row r="3264" spans="3:14">
      <c r="C3264" s="977"/>
      <c r="D3264" s="915"/>
      <c r="E3264" s="2714" t="s">
        <v>1689</v>
      </c>
      <c r="F3264" s="2410"/>
      <c r="G3264" s="2410"/>
      <c r="H3264" s="944" t="s">
        <v>471</v>
      </c>
      <c r="I3264" s="281" t="str">
        <f>IFERROR(IF([1]F_ProductBM!I558 = "", "", [1]F_ProductBM!I558 ),"")</f>
        <v/>
      </c>
      <c r="J3264" s="282" t="str">
        <f>IFERROR(IF([1]F_ProductBM!J558 = "", "", [1]F_ProductBM!J558 ),"")</f>
        <v/>
      </c>
      <c r="K3264" s="283" t="str">
        <f>IFERROR(IF([1]F_ProductBM!K558 = "", "", [1]F_ProductBM!K558 ),"")</f>
        <v/>
      </c>
      <c r="L3264" s="283" t="str">
        <f>IFERROR(IF([1]F_ProductBM!L558 = "", "", [1]F_ProductBM!L558 ),"")</f>
        <v/>
      </c>
      <c r="M3264" s="283" t="str">
        <f>IFERROR(IF([1]F_ProductBM!M558 = "", "", [1]F_ProductBM!M558 ),"")</f>
        <v/>
      </c>
      <c r="N3264" s="284" t="str">
        <f>IFERROR(IF([1]F_ProductBM!N558 = "", "", [1]F_ProductBM!N558 ),"")</f>
        <v/>
      </c>
    </row>
    <row r="3265" spans="3:14">
      <c r="C3265" s="977"/>
      <c r="D3265" s="915"/>
      <c r="E3265" s="909"/>
      <c r="F3265" s="909"/>
      <c r="G3265" s="909"/>
      <c r="H3265" s="909"/>
      <c r="I3265" s="909"/>
      <c r="J3265" s="909"/>
      <c r="K3265" s="909"/>
      <c r="L3265" s="909"/>
      <c r="M3265" s="909"/>
      <c r="N3265" s="922"/>
    </row>
    <row r="3266" spans="3:14">
      <c r="C3266" s="977"/>
      <c r="D3266" s="915"/>
      <c r="E3266" s="2713" t="s">
        <v>1653</v>
      </c>
      <c r="F3266" s="2493"/>
      <c r="G3266" s="2493"/>
      <c r="H3266" s="2493"/>
      <c r="I3266" s="2708"/>
      <c r="J3266" s="912">
        <v>2021</v>
      </c>
      <c r="K3266" s="913">
        <v>2022</v>
      </c>
      <c r="L3266" s="913">
        <v>2023</v>
      </c>
      <c r="M3266" s="913">
        <v>2024</v>
      </c>
      <c r="N3266" s="914">
        <v>2025</v>
      </c>
    </row>
    <row r="3267" spans="3:14">
      <c r="C3267" s="977"/>
      <c r="D3267" s="915" t="s">
        <v>8</v>
      </c>
      <c r="E3267" s="2714" t="s">
        <v>2108</v>
      </c>
      <c r="F3267" s="2410"/>
      <c r="G3267" s="2410"/>
      <c r="H3267" s="2410"/>
      <c r="I3267" s="2715"/>
      <c r="J3267" s="69" t="str">
        <f>IFERROR(IF([1]F_ProductBM!J561 = "", "", [1]F_ProductBM!J561 ),"")</f>
        <v/>
      </c>
      <c r="K3267" s="62" t="str">
        <f>IFERROR(IF([1]F_ProductBM!K561 = "", "", [1]F_ProductBM!K561 ),"")</f>
        <v/>
      </c>
      <c r="L3267" s="62" t="str">
        <f>IFERROR(IF([1]F_ProductBM!L561 = "", "", [1]F_ProductBM!L561 ),"")</f>
        <v/>
      </c>
      <c r="M3267" s="62" t="str">
        <f>IFERROR(IF([1]F_ProductBM!M561 = "", "", [1]F_ProductBM!M561 ),"")</f>
        <v/>
      </c>
      <c r="N3267" s="70" t="str">
        <f>IFERROR(IF([1]F_ProductBM!N561 = "", "", [1]F_ProductBM!N561 ),"")</f>
        <v/>
      </c>
    </row>
    <row r="3268" spans="3:14" ht="13.5" thickBot="1">
      <c r="C3268" s="977"/>
      <c r="D3268" s="915"/>
      <c r="E3268" s="909"/>
      <c r="F3268" s="909"/>
      <c r="G3268" s="909"/>
      <c r="H3268" s="909"/>
      <c r="I3268" s="909"/>
      <c r="J3268" s="909"/>
      <c r="K3268" s="909"/>
      <c r="L3268" s="909"/>
      <c r="M3268" s="909"/>
      <c r="N3268" s="922"/>
    </row>
    <row r="3269" spans="3:14" ht="13.5" thickBot="1">
      <c r="C3269" s="977"/>
      <c r="D3269" s="915" t="s">
        <v>18</v>
      </c>
      <c r="E3269" s="2714" t="s">
        <v>1657</v>
      </c>
      <c r="F3269" s="2410"/>
      <c r="G3269" s="2410"/>
      <c r="H3269" s="2410"/>
      <c r="I3269" s="2715"/>
      <c r="J3269" s="291" t="str">
        <f>IFERROR(IF([1]F_ProductBM!J563 = "", "", [1]F_ProductBM!J563 ),"")</f>
        <v/>
      </c>
      <c r="K3269" s="292" t="str">
        <f>IFERROR(IF([1]F_ProductBM!K563 = "", "", [1]F_ProductBM!K563 ),"")</f>
        <v/>
      </c>
      <c r="L3269" s="292" t="str">
        <f>IFERROR(IF([1]F_ProductBM!L563 = "", "", [1]F_ProductBM!L563 ),"")</f>
        <v/>
      </c>
      <c r="M3269" s="292" t="str">
        <f>IFERROR(IF([1]F_ProductBM!M563 = "", "", [1]F_ProductBM!M563 ),"")</f>
        <v/>
      </c>
      <c r="N3269" s="293" t="str">
        <f>IFERROR(IF([1]F_ProductBM!N563 = "", "", [1]F_ProductBM!N563 ),"")</f>
        <v/>
      </c>
    </row>
    <row r="3270" spans="3:14" ht="13.5" thickBot="1">
      <c r="C3270" s="977"/>
      <c r="D3270" s="915" t="s">
        <v>787</v>
      </c>
      <c r="E3270" s="2714" t="s">
        <v>1659</v>
      </c>
      <c r="F3270" s="2410"/>
      <c r="G3270" s="2410"/>
      <c r="H3270" s="944" t="s">
        <v>471</v>
      </c>
      <c r="I3270" s="281" t="str">
        <f>IFERROR(IF([1]F_ProductBM!I564 = "", "", [1]F_ProductBM!I564 ),"")</f>
        <v/>
      </c>
      <c r="J3270" s="294" t="str">
        <f>IFERROR(IF([1]F_ProductBM!J564 = "", "", [1]F_ProductBM!J564 ),"")</f>
        <v/>
      </c>
      <c r="K3270" s="295" t="str">
        <f>IFERROR(IF([1]F_ProductBM!K564 = "", "", [1]F_ProductBM!K564 ),"")</f>
        <v/>
      </c>
      <c r="L3270" s="295" t="str">
        <f>IFERROR(IF([1]F_ProductBM!L564 = "", "", [1]F_ProductBM!L564 ),"")</f>
        <v/>
      </c>
      <c r="M3270" s="295" t="str">
        <f>IFERROR(IF([1]F_ProductBM!M564 = "", "", [1]F_ProductBM!M564 ),"")</f>
        <v/>
      </c>
      <c r="N3270" s="296" t="str">
        <f>IFERROR(IF([1]F_ProductBM!N564 = "", "", [1]F_ProductBM!N564 ),"")</f>
        <v/>
      </c>
    </row>
    <row r="3271" spans="3:14" ht="13.5" thickBot="1">
      <c r="C3271" s="977"/>
      <c r="D3271" s="946"/>
      <c r="E3271" s="947"/>
      <c r="F3271" s="947"/>
      <c r="G3271" s="947"/>
      <c r="H3271" s="1014"/>
      <c r="I3271" s="947"/>
      <c r="J3271" s="947"/>
      <c r="K3271" s="947"/>
      <c r="L3271" s="947"/>
      <c r="M3271" s="925"/>
      <c r="N3271" s="926"/>
    </row>
    <row r="3272" spans="3:14">
      <c r="C3272" s="977"/>
      <c r="D3272" s="981"/>
      <c r="E3272" s="981"/>
      <c r="F3272" s="981"/>
      <c r="G3272" s="981"/>
      <c r="H3272" s="983"/>
      <c r="I3272" s="981"/>
      <c r="J3272" s="981"/>
      <c r="K3272" s="981"/>
      <c r="L3272" s="981"/>
      <c r="M3272" s="813"/>
      <c r="N3272" s="814"/>
    </row>
    <row r="3273" spans="3:14">
      <c r="C3273" s="977"/>
      <c r="D3273" s="777" t="s">
        <v>1109</v>
      </c>
      <c r="E3273" s="2649" t="s">
        <v>1218</v>
      </c>
      <c r="F3273" s="2391"/>
      <c r="G3273" s="2391"/>
      <c r="H3273" s="2512"/>
      <c r="I3273" s="2683" t="str">
        <f>IFERROR(IF([1]F_ProductBM!I567 = "", "", [1]F_ProductBM!I567 ),"")</f>
        <v/>
      </c>
      <c r="J3273" s="2488"/>
      <c r="K3273" s="2488"/>
      <c r="L3273" s="2488"/>
      <c r="M3273" s="2686"/>
      <c r="N3273" s="814"/>
    </row>
    <row r="3274" spans="3:14">
      <c r="C3274" s="977"/>
      <c r="D3274" s="777"/>
      <c r="E3274" s="2676" t="s">
        <v>2298</v>
      </c>
      <c r="F3274" s="2391"/>
      <c r="G3274" s="2391"/>
      <c r="H3274" s="2391"/>
      <c r="I3274" s="2391"/>
      <c r="J3274" s="2391"/>
      <c r="K3274" s="2391"/>
      <c r="L3274" s="2391"/>
      <c r="M3274" s="2391"/>
      <c r="N3274" s="2650"/>
    </row>
    <row r="3275" spans="3:14">
      <c r="C3275" s="977"/>
      <c r="D3275" s="777"/>
      <c r="E3275" s="2669" t="s">
        <v>1560</v>
      </c>
      <c r="F3275" s="2391"/>
      <c r="G3275" s="2391"/>
      <c r="H3275" s="2391"/>
      <c r="I3275" s="2391"/>
      <c r="J3275" s="2391"/>
      <c r="K3275" s="2391"/>
      <c r="L3275" s="2391"/>
      <c r="M3275" s="2391"/>
      <c r="N3275" s="2650"/>
    </row>
    <row r="3276" spans="3:14">
      <c r="C3276" s="977"/>
      <c r="D3276" s="981"/>
      <c r="E3276" s="989"/>
      <c r="F3276" s="990"/>
      <c r="G3276" s="987" t="s">
        <v>884</v>
      </c>
      <c r="H3276" s="782">
        <v>2019</v>
      </c>
      <c r="I3276" s="988">
        <v>2020</v>
      </c>
      <c r="J3276" s="781">
        <v>2021</v>
      </c>
      <c r="K3276" s="782">
        <v>2022</v>
      </c>
      <c r="L3276" s="782">
        <v>2023</v>
      </c>
      <c r="M3276" s="782">
        <v>2024</v>
      </c>
      <c r="N3276" s="783">
        <v>2025</v>
      </c>
    </row>
    <row r="3277" spans="3:14">
      <c r="C3277" s="977"/>
      <c r="D3277" s="777" t="s">
        <v>1110</v>
      </c>
      <c r="E3277" s="2471" t="s">
        <v>1303</v>
      </c>
      <c r="F3277" s="2472"/>
      <c r="G3277" s="67" t="str">
        <f>IFERROR(IF([1]F_ProductBM!G571 = "", "", [1]F_ProductBM!G571 ),"")</f>
        <v/>
      </c>
      <c r="H3277" s="94" t="str">
        <f>IFERROR(IF([1]F_ProductBM!H571 = "", "", [1]F_ProductBM!H571 ),"")</f>
        <v/>
      </c>
      <c r="I3277" s="110" t="str">
        <f>IFERROR(IF([1]F_ProductBM!I571 = "", "", [1]F_ProductBM!I571 ),"")</f>
        <v/>
      </c>
      <c r="J3277" s="111" t="str">
        <f>IFERROR(IF([1]F_ProductBM!J571 = "", "", [1]F_ProductBM!J571 ),"")</f>
        <v/>
      </c>
      <c r="K3277" s="94" t="str">
        <f>IFERROR(IF([1]F_ProductBM!K571 = "", "", [1]F_ProductBM!K571 ),"")</f>
        <v/>
      </c>
      <c r="L3277" s="94" t="str">
        <f>IFERROR(IF([1]F_ProductBM!L571 = "", "", [1]F_ProductBM!L571 ),"")</f>
        <v/>
      </c>
      <c r="M3277" s="94" t="str">
        <f>IFERROR(IF([1]F_ProductBM!M571 = "", "", [1]F_ProductBM!M571 ),"")</f>
        <v/>
      </c>
      <c r="N3277" s="112" t="str">
        <f>IFERROR(IF([1]F_ProductBM!N571 = "", "", [1]F_ProductBM!N571 ),"")</f>
        <v/>
      </c>
    </row>
    <row r="3278" spans="3:14">
      <c r="C3278" s="977"/>
      <c r="D3278" s="777" t="s">
        <v>1111</v>
      </c>
      <c r="E3278" s="2473" t="s">
        <v>661</v>
      </c>
      <c r="F3278" s="2474"/>
      <c r="G3278" s="350" t="str">
        <f>IFERROR(IF([1]F_ProductBM!G572 = "", "", [1]F_ProductBM!G572 ),"")</f>
        <v>GJ / Unit</v>
      </c>
      <c r="H3278" s="95" t="str">
        <f>IFERROR(IF([1]F_ProductBM!H572 = "", "", [1]F_ProductBM!H572 ),"")</f>
        <v/>
      </c>
      <c r="I3278" s="113" t="str">
        <f>IFERROR(IF([1]F_ProductBM!I572 = "", "", [1]F_ProductBM!I572 ),"")</f>
        <v/>
      </c>
      <c r="J3278" s="114" t="str">
        <f>IFERROR(IF([1]F_ProductBM!J572 = "", "", [1]F_ProductBM!J572 ),"")</f>
        <v/>
      </c>
      <c r="K3278" s="95" t="str">
        <f>IFERROR(IF([1]F_ProductBM!K572 = "", "", [1]F_ProductBM!K572 ),"")</f>
        <v/>
      </c>
      <c r="L3278" s="95" t="str">
        <f>IFERROR(IF([1]F_ProductBM!L572 = "", "", [1]F_ProductBM!L572 ),"")</f>
        <v/>
      </c>
      <c r="M3278" s="95" t="str">
        <f>IFERROR(IF([1]F_ProductBM!M572 = "", "", [1]F_ProductBM!M572 ),"")</f>
        <v/>
      </c>
      <c r="N3278" s="115" t="str">
        <f>IFERROR(IF([1]F_ProductBM!N572 = "", "", [1]F_ProductBM!N572 ),"")</f>
        <v/>
      </c>
    </row>
    <row r="3279" spans="3:14">
      <c r="C3279" s="977"/>
      <c r="D3279" s="777" t="s">
        <v>1112</v>
      </c>
      <c r="E3279" s="2475" t="s">
        <v>1102</v>
      </c>
      <c r="F3279" s="2410"/>
      <c r="G3279" s="815" t="s">
        <v>2017</v>
      </c>
      <c r="H3279" s="93" t="str">
        <f>IFERROR(IF([1]F_ProductBM!H573 = "", "", [1]F_ProductBM!H573 ),"")</f>
        <v/>
      </c>
      <c r="I3279" s="116" t="str">
        <f>IFERROR(IF([1]F_ProductBM!I573 = "", "", [1]F_ProductBM!I573 ),"")</f>
        <v/>
      </c>
      <c r="J3279" s="117" t="str">
        <f>IFERROR(IF([1]F_ProductBM!J573 = "", "", [1]F_ProductBM!J573 ),"")</f>
        <v/>
      </c>
      <c r="K3279" s="93" t="str">
        <f>IFERROR(IF([1]F_ProductBM!K573 = "", "", [1]F_ProductBM!K573 ),"")</f>
        <v/>
      </c>
      <c r="L3279" s="93" t="str">
        <f>IFERROR(IF([1]F_ProductBM!L573 = "", "", [1]F_ProductBM!L573 ),"")</f>
        <v/>
      </c>
      <c r="M3279" s="93" t="str">
        <f>IFERROR(IF([1]F_ProductBM!M573 = "", "", [1]F_ProductBM!M573 ),"")</f>
        <v/>
      </c>
      <c r="N3279" s="118" t="str">
        <f>IFERROR(IF([1]F_ProductBM!N573 = "", "", [1]F_ProductBM!N573 ),"")</f>
        <v/>
      </c>
    </row>
    <row r="3280" spans="3:14">
      <c r="C3280" s="977"/>
      <c r="D3280" s="777" t="s">
        <v>1113</v>
      </c>
      <c r="E3280" s="2475" t="s">
        <v>1275</v>
      </c>
      <c r="F3280" s="2410"/>
      <c r="G3280" s="815" t="s">
        <v>2018</v>
      </c>
      <c r="H3280" s="93" t="str">
        <f>IFERROR(IF([1]F_ProductBM!H574 = "", "", [1]F_ProductBM!H574 ),"")</f>
        <v/>
      </c>
      <c r="I3280" s="116" t="str">
        <f>IFERROR(IF([1]F_ProductBM!I574 = "", "", [1]F_ProductBM!I574 ),"")</f>
        <v/>
      </c>
      <c r="J3280" s="117" t="str">
        <f>IFERROR(IF([1]F_ProductBM!J574 = "", "", [1]F_ProductBM!J574 ),"")</f>
        <v/>
      </c>
      <c r="K3280" s="93" t="str">
        <f>IFERROR(IF([1]F_ProductBM!K574 = "", "", [1]F_ProductBM!K574 ),"")</f>
        <v/>
      </c>
      <c r="L3280" s="93" t="str">
        <f>IFERROR(IF([1]F_ProductBM!L574 = "", "", [1]F_ProductBM!L574 ),"")</f>
        <v/>
      </c>
      <c r="M3280" s="93" t="str">
        <f>IFERROR(IF([1]F_ProductBM!M574 = "", "", [1]F_ProductBM!M574 ),"")</f>
        <v/>
      </c>
      <c r="N3280" s="118" t="str">
        <f>IFERROR(IF([1]F_ProductBM!N574 = "", "", [1]F_ProductBM!N574 ),"")</f>
        <v/>
      </c>
    </row>
    <row r="3281" spans="3:14">
      <c r="C3281" s="977"/>
      <c r="D3281" s="981"/>
      <c r="E3281" s="981"/>
      <c r="F3281" s="981"/>
      <c r="G3281" s="981"/>
      <c r="H3281" s="983"/>
      <c r="I3281" s="981"/>
      <c r="J3281" s="981"/>
      <c r="K3281" s="981"/>
      <c r="L3281" s="981"/>
      <c r="M3281" s="813"/>
      <c r="N3281" s="814"/>
    </row>
    <row r="3282" spans="3:14">
      <c r="C3282" s="977"/>
      <c r="D3282" s="777" t="s">
        <v>1114</v>
      </c>
      <c r="E3282" s="2649" t="s">
        <v>1217</v>
      </c>
      <c r="F3282" s="2391"/>
      <c r="G3282" s="2391"/>
      <c r="H3282" s="2512"/>
      <c r="I3282" s="2683" t="str">
        <f>IFERROR(IF([1]F_ProductBM!I576 = "", "", [1]F_ProductBM!I576 ),"")</f>
        <v/>
      </c>
      <c r="J3282" s="2488"/>
      <c r="K3282" s="2488"/>
      <c r="L3282" s="2488"/>
      <c r="M3282" s="2686"/>
      <c r="N3282" s="979"/>
    </row>
    <row r="3283" spans="3:14">
      <c r="C3283" s="977"/>
      <c r="D3283" s="777"/>
      <c r="E3283" s="2676" t="s">
        <v>2298</v>
      </c>
      <c r="F3283" s="2391"/>
      <c r="G3283" s="2391"/>
      <c r="H3283" s="2391"/>
      <c r="I3283" s="2391"/>
      <c r="J3283" s="2391"/>
      <c r="K3283" s="2391"/>
      <c r="L3283" s="2391"/>
      <c r="M3283" s="2391"/>
      <c r="N3283" s="2650"/>
    </row>
    <row r="3284" spans="3:14">
      <c r="C3284" s="977"/>
      <c r="D3284" s="777"/>
      <c r="E3284" s="2669" t="s">
        <v>1317</v>
      </c>
      <c r="F3284" s="2391"/>
      <c r="G3284" s="2391"/>
      <c r="H3284" s="2391"/>
      <c r="I3284" s="2391"/>
      <c r="J3284" s="2391"/>
      <c r="K3284" s="2391"/>
      <c r="L3284" s="2391"/>
      <c r="M3284" s="2391"/>
      <c r="N3284" s="2650"/>
    </row>
    <row r="3285" spans="3:14">
      <c r="C3285" s="977"/>
      <c r="D3285" s="981"/>
      <c r="E3285" s="989"/>
      <c r="F3285" s="990"/>
      <c r="G3285" s="987" t="s">
        <v>884</v>
      </c>
      <c r="H3285" s="782">
        <v>2019</v>
      </c>
      <c r="I3285" s="988">
        <v>2020</v>
      </c>
      <c r="J3285" s="781">
        <v>2021</v>
      </c>
      <c r="K3285" s="782">
        <v>2022</v>
      </c>
      <c r="L3285" s="782">
        <v>2023</v>
      </c>
      <c r="M3285" s="782">
        <v>2024</v>
      </c>
      <c r="N3285" s="783">
        <v>2025</v>
      </c>
    </row>
    <row r="3286" spans="3:14">
      <c r="C3286" s="977"/>
      <c r="D3286" s="777" t="s">
        <v>1115</v>
      </c>
      <c r="E3286" s="2471" t="s">
        <v>1304</v>
      </c>
      <c r="F3286" s="2472"/>
      <c r="G3286" s="67" t="str">
        <f>IFERROR(IF([1]F_ProductBM!G580 = "", "", [1]F_ProductBM!G580 ),"")</f>
        <v/>
      </c>
      <c r="H3286" s="94" t="str">
        <f>IFERROR(IF([1]F_ProductBM!H580 = "", "", [1]F_ProductBM!H580 ),"")</f>
        <v/>
      </c>
      <c r="I3286" s="110" t="str">
        <f>IFERROR(IF([1]F_ProductBM!I580 = "", "", [1]F_ProductBM!I580 ),"")</f>
        <v/>
      </c>
      <c r="J3286" s="111" t="str">
        <f>IFERROR(IF([1]F_ProductBM!J580 = "", "", [1]F_ProductBM!J580 ),"")</f>
        <v/>
      </c>
      <c r="K3286" s="94" t="str">
        <f>IFERROR(IF([1]F_ProductBM!K580 = "", "", [1]F_ProductBM!K580 ),"")</f>
        <v/>
      </c>
      <c r="L3286" s="94" t="str">
        <f>IFERROR(IF([1]F_ProductBM!L580 = "", "", [1]F_ProductBM!L580 ),"")</f>
        <v/>
      </c>
      <c r="M3286" s="94" t="str">
        <f>IFERROR(IF([1]F_ProductBM!M580 = "", "", [1]F_ProductBM!M580 ),"")</f>
        <v/>
      </c>
      <c r="N3286" s="112" t="str">
        <f>IFERROR(IF([1]F_ProductBM!N580 = "", "", [1]F_ProductBM!N580 ),"")</f>
        <v/>
      </c>
    </row>
    <row r="3287" spans="3:14">
      <c r="C3287" s="977"/>
      <c r="D3287" s="777" t="s">
        <v>1561</v>
      </c>
      <c r="E3287" s="2473" t="s">
        <v>661</v>
      </c>
      <c r="F3287" s="2474"/>
      <c r="G3287" s="350" t="str">
        <f>IFERROR(IF([1]F_ProductBM!G581 = "", "", [1]F_ProductBM!G581 ),"")</f>
        <v>GJ / Unit</v>
      </c>
      <c r="H3287" s="95" t="str">
        <f>IFERROR(IF([1]F_ProductBM!H581 = "", "", [1]F_ProductBM!H581 ),"")</f>
        <v/>
      </c>
      <c r="I3287" s="113" t="str">
        <f>IFERROR(IF([1]F_ProductBM!I581 = "", "", [1]F_ProductBM!I581 ),"")</f>
        <v/>
      </c>
      <c r="J3287" s="114" t="str">
        <f>IFERROR(IF([1]F_ProductBM!J581 = "", "", [1]F_ProductBM!J581 ),"")</f>
        <v/>
      </c>
      <c r="K3287" s="95" t="str">
        <f>IFERROR(IF([1]F_ProductBM!K581 = "", "", [1]F_ProductBM!K581 ),"")</f>
        <v/>
      </c>
      <c r="L3287" s="95" t="str">
        <f>IFERROR(IF([1]F_ProductBM!L581 = "", "", [1]F_ProductBM!L581 ),"")</f>
        <v/>
      </c>
      <c r="M3287" s="95" t="str">
        <f>IFERROR(IF([1]F_ProductBM!M581 = "", "", [1]F_ProductBM!M581 ),"")</f>
        <v/>
      </c>
      <c r="N3287" s="115" t="str">
        <f>IFERROR(IF([1]F_ProductBM!N581 = "", "", [1]F_ProductBM!N581 ),"")</f>
        <v/>
      </c>
    </row>
    <row r="3288" spans="3:14">
      <c r="C3288" s="977"/>
      <c r="D3288" s="777" t="s">
        <v>1599</v>
      </c>
      <c r="E3288" s="2475" t="s">
        <v>1080</v>
      </c>
      <c r="F3288" s="2410"/>
      <c r="G3288" s="815" t="s">
        <v>2017</v>
      </c>
      <c r="H3288" s="93" t="str">
        <f>IFERROR(IF([1]F_ProductBM!H582 = "", "", [1]F_ProductBM!H582 ),"")</f>
        <v/>
      </c>
      <c r="I3288" s="116" t="str">
        <f>IFERROR(IF([1]F_ProductBM!I582 = "", "", [1]F_ProductBM!I582 ),"")</f>
        <v/>
      </c>
      <c r="J3288" s="117" t="str">
        <f>IFERROR(IF([1]F_ProductBM!J582 = "", "", [1]F_ProductBM!J582 ),"")</f>
        <v/>
      </c>
      <c r="K3288" s="93" t="str">
        <f>IFERROR(IF([1]F_ProductBM!K582 = "", "", [1]F_ProductBM!K582 ),"")</f>
        <v/>
      </c>
      <c r="L3288" s="93" t="str">
        <f>IFERROR(IF([1]F_ProductBM!L582 = "", "", [1]F_ProductBM!L582 ),"")</f>
        <v/>
      </c>
      <c r="M3288" s="93" t="str">
        <f>IFERROR(IF([1]F_ProductBM!M582 = "", "", [1]F_ProductBM!M582 ),"")</f>
        <v/>
      </c>
      <c r="N3288" s="118" t="str">
        <f>IFERROR(IF([1]F_ProductBM!N582 = "", "", [1]F_ProductBM!N582 ),"")</f>
        <v/>
      </c>
    </row>
    <row r="3289" spans="3:14">
      <c r="C3289" s="977"/>
      <c r="D3289" s="777" t="s">
        <v>1600</v>
      </c>
      <c r="E3289" s="2475" t="s">
        <v>1276</v>
      </c>
      <c r="F3289" s="2410"/>
      <c r="G3289" s="815" t="s">
        <v>2018</v>
      </c>
      <c r="H3289" s="93" t="str">
        <f>IFERROR(IF([1]F_ProductBM!H583 = "", "", [1]F_ProductBM!H583 ),"")</f>
        <v/>
      </c>
      <c r="I3289" s="116" t="str">
        <f>IFERROR(IF([1]F_ProductBM!I583 = "", "", [1]F_ProductBM!I583 ),"")</f>
        <v/>
      </c>
      <c r="J3289" s="117" t="str">
        <f>IFERROR(IF([1]F_ProductBM!J583 = "", "", [1]F_ProductBM!J583 ),"")</f>
        <v/>
      </c>
      <c r="K3289" s="93" t="str">
        <f>IFERROR(IF([1]F_ProductBM!K583 = "", "", [1]F_ProductBM!K583 ),"")</f>
        <v/>
      </c>
      <c r="L3289" s="93" t="str">
        <f>IFERROR(IF([1]F_ProductBM!L583 = "", "", [1]F_ProductBM!L583 ),"")</f>
        <v/>
      </c>
      <c r="M3289" s="93" t="str">
        <f>IFERROR(IF([1]F_ProductBM!M583 = "", "", [1]F_ProductBM!M583 ),"")</f>
        <v/>
      </c>
      <c r="N3289" s="118" t="str">
        <f>IFERROR(IF([1]F_ProductBM!N583 = "", "", [1]F_ProductBM!N583 ),"")</f>
        <v/>
      </c>
    </row>
    <row r="3290" spans="3:14">
      <c r="C3290" s="977"/>
      <c r="D3290" s="981"/>
      <c r="E3290" s="981"/>
      <c r="F3290" s="981"/>
      <c r="G3290" s="981"/>
      <c r="H3290" s="981"/>
      <c r="I3290" s="983"/>
      <c r="J3290" s="981"/>
      <c r="K3290" s="981"/>
      <c r="L3290" s="981"/>
      <c r="M3290" s="981"/>
      <c r="N3290" s="814"/>
    </row>
    <row r="3291" spans="3:14">
      <c r="C3291" s="977"/>
      <c r="D3291" s="982" t="s">
        <v>482</v>
      </c>
      <c r="E3291" s="2649" t="s">
        <v>1127</v>
      </c>
      <c r="F3291" s="2391"/>
      <c r="G3291" s="2391"/>
      <c r="H3291" s="2391"/>
      <c r="I3291" s="2391"/>
      <c r="J3291" s="2391"/>
      <c r="K3291" s="2391"/>
      <c r="L3291" s="2391"/>
      <c r="M3291" s="2391"/>
      <c r="N3291" s="2650"/>
    </row>
    <row r="3292" spans="3:14">
      <c r="C3292" s="977"/>
      <c r="D3292" s="777"/>
      <c r="E3292" s="2676" t="s">
        <v>2299</v>
      </c>
      <c r="F3292" s="2391"/>
      <c r="G3292" s="2391"/>
      <c r="H3292" s="2391"/>
      <c r="I3292" s="2391"/>
      <c r="J3292" s="2391"/>
      <c r="K3292" s="2391"/>
      <c r="L3292" s="2391"/>
      <c r="M3292" s="2391"/>
      <c r="N3292" s="2650"/>
    </row>
    <row r="3293" spans="3:14">
      <c r="C3293" s="977"/>
      <c r="D3293" s="981"/>
      <c r="E3293" s="2669" t="s">
        <v>2301</v>
      </c>
      <c r="F3293" s="2391"/>
      <c r="G3293" s="2391"/>
      <c r="H3293" s="2391"/>
      <c r="I3293" s="2391"/>
      <c r="J3293" s="2391"/>
      <c r="K3293" s="2391"/>
      <c r="L3293" s="2391"/>
      <c r="M3293" s="2391"/>
      <c r="N3293" s="2650"/>
    </row>
    <row r="3294" spans="3:14">
      <c r="C3294" s="977"/>
      <c r="D3294" s="982"/>
      <c r="E3294" s="989"/>
      <c r="F3294" s="990"/>
      <c r="G3294" s="987" t="s">
        <v>884</v>
      </c>
      <c r="H3294" s="782">
        <v>2019</v>
      </c>
      <c r="I3294" s="988">
        <v>2020</v>
      </c>
      <c r="J3294" s="781">
        <v>2021</v>
      </c>
      <c r="K3294" s="782">
        <v>2022</v>
      </c>
      <c r="L3294" s="782">
        <v>2023</v>
      </c>
      <c r="M3294" s="782">
        <v>2024</v>
      </c>
      <c r="N3294" s="783">
        <v>2025</v>
      </c>
    </row>
    <row r="3295" spans="3:14">
      <c r="C3295" s="977"/>
      <c r="D3295" s="777"/>
      <c r="E3295" s="2475" t="s">
        <v>1354</v>
      </c>
      <c r="F3295" s="2410"/>
      <c r="G3295" s="815" t="s">
        <v>2021</v>
      </c>
      <c r="H3295" s="93" t="str">
        <f>IFERROR(IF([1]F_ProductBM!H589 = "", "", [1]F_ProductBM!H589 ),"")</f>
        <v/>
      </c>
      <c r="I3295" s="116" t="str">
        <f>IFERROR(IF([1]F_ProductBM!I589 = "", "", [1]F_ProductBM!I589 ),"")</f>
        <v/>
      </c>
      <c r="J3295" s="117" t="str">
        <f>IFERROR(IF([1]F_ProductBM!J589 = "", "", [1]F_ProductBM!J589 ),"")</f>
        <v/>
      </c>
      <c r="K3295" s="93" t="str">
        <f>IFERROR(IF([1]F_ProductBM!K589 = "", "", [1]F_ProductBM!K589 ),"")</f>
        <v/>
      </c>
      <c r="L3295" s="93" t="str">
        <f>IFERROR(IF([1]F_ProductBM!L589 = "", "", [1]F_ProductBM!L589 ),"")</f>
        <v/>
      </c>
      <c r="M3295" s="93" t="str">
        <f>IFERROR(IF([1]F_ProductBM!M589 = "", "", [1]F_ProductBM!M589 ),"")</f>
        <v/>
      </c>
      <c r="N3295" s="118" t="str">
        <f>IFERROR(IF([1]F_ProductBM!N589 = "", "", [1]F_ProductBM!N589 ),"")</f>
        <v/>
      </c>
    </row>
    <row r="3296" spans="3:14">
      <c r="C3296" s="977"/>
      <c r="D3296" s="981"/>
      <c r="E3296" s="981"/>
      <c r="F3296" s="981"/>
      <c r="G3296" s="981"/>
      <c r="H3296" s="981"/>
      <c r="I3296" s="983"/>
      <c r="J3296" s="981"/>
      <c r="K3296" s="981"/>
      <c r="L3296" s="981"/>
      <c r="M3296" s="981"/>
      <c r="N3296" s="814"/>
    </row>
    <row r="3297" spans="3:14">
      <c r="C3297" s="977"/>
      <c r="D3297" s="982" t="s">
        <v>245</v>
      </c>
      <c r="E3297" s="2649" t="s">
        <v>1157</v>
      </c>
      <c r="F3297" s="2391"/>
      <c r="G3297" s="2391"/>
      <c r="H3297" s="2391"/>
      <c r="I3297" s="2391"/>
      <c r="J3297" s="2391"/>
      <c r="K3297" s="2391"/>
      <c r="L3297" s="2391"/>
      <c r="M3297" s="2391"/>
      <c r="N3297" s="2650"/>
    </row>
    <row r="3298" spans="3:14">
      <c r="C3298" s="977"/>
      <c r="D3298" s="981"/>
      <c r="E3298" s="2669" t="s">
        <v>1264</v>
      </c>
      <c r="F3298" s="2391"/>
      <c r="G3298" s="2391"/>
      <c r="H3298" s="2391"/>
      <c r="I3298" s="2391"/>
      <c r="J3298" s="2391"/>
      <c r="K3298" s="2391"/>
      <c r="L3298" s="2391"/>
      <c r="M3298" s="2391"/>
      <c r="N3298" s="2650"/>
    </row>
    <row r="3299" spans="3:14">
      <c r="C3299" s="977"/>
      <c r="D3299" s="981"/>
      <c r="E3299" s="2669" t="s">
        <v>1563</v>
      </c>
      <c r="F3299" s="2391"/>
      <c r="G3299" s="2391"/>
      <c r="H3299" s="2391"/>
      <c r="I3299" s="2391"/>
      <c r="J3299" s="2391"/>
      <c r="K3299" s="2391"/>
      <c r="L3299" s="2391"/>
      <c r="M3299" s="2391"/>
      <c r="N3299" s="2650"/>
    </row>
    <row r="3300" spans="3:14">
      <c r="C3300" s="977"/>
      <c r="D3300" s="777"/>
      <c r="E3300" s="2707" t="s">
        <v>1598</v>
      </c>
      <c r="F3300" s="2493"/>
      <c r="G3300" s="2493"/>
      <c r="H3300" s="2493"/>
      <c r="I3300" s="2493"/>
      <c r="J3300" s="2493"/>
      <c r="K3300" s="2493"/>
      <c r="L3300" s="2493"/>
      <c r="M3300" s="2493"/>
      <c r="N3300" s="2708"/>
    </row>
    <row r="3301" spans="3:14">
      <c r="C3301" s="977"/>
      <c r="D3301" s="777"/>
      <c r="E3301" s="2487" t="str">
        <f>IFERROR(IF([1]F_ProductBM!E595 = "", "", [1]F_ProductBM!E595 ),"")</f>
        <v/>
      </c>
      <c r="F3301" s="2488"/>
      <c r="G3301" s="815" t="s">
        <v>1020</v>
      </c>
      <c r="H3301" s="93" t="str">
        <f>IFERROR(IF([1]F_ProductBM!H595 = "", "", [1]F_ProductBM!H595 ),"")</f>
        <v/>
      </c>
      <c r="I3301" s="116" t="str">
        <f>IFERROR(IF([1]F_ProductBM!I595 = "", "", [1]F_ProductBM!I595 ),"")</f>
        <v/>
      </c>
      <c r="J3301" s="117" t="str">
        <f>IFERROR(IF([1]F_ProductBM!J595 = "", "", [1]F_ProductBM!J595 ),"")</f>
        <v/>
      </c>
      <c r="K3301" s="93" t="str">
        <f>IFERROR(IF([1]F_ProductBM!K595 = "", "", [1]F_ProductBM!K595 ),"")</f>
        <v/>
      </c>
      <c r="L3301" s="93" t="str">
        <f>IFERROR(IF([1]F_ProductBM!L595 = "", "", [1]F_ProductBM!L595 ),"")</f>
        <v/>
      </c>
      <c r="M3301" s="93" t="str">
        <f>IFERROR(IF([1]F_ProductBM!M595 = "", "", [1]F_ProductBM!M595 ),"")</f>
        <v/>
      </c>
      <c r="N3301" s="118" t="str">
        <f>IFERROR(IF([1]F_ProductBM!N595 = "", "", [1]F_ProductBM!N595 ),"")</f>
        <v/>
      </c>
    </row>
    <row r="3302" spans="3:14">
      <c r="C3302" s="977"/>
      <c r="D3302" s="777"/>
      <c r="E3302" s="777"/>
      <c r="F3302" s="777"/>
      <c r="G3302" s="777"/>
      <c r="H3302" s="983"/>
      <c r="I3302" s="777"/>
      <c r="J3302" s="777"/>
      <c r="K3302" s="777"/>
      <c r="L3302" s="777"/>
      <c r="M3302" s="777"/>
      <c r="N3302" s="1007"/>
    </row>
    <row r="3303" spans="3:14">
      <c r="C3303" s="977"/>
      <c r="D3303" s="982" t="s">
        <v>832</v>
      </c>
      <c r="E3303" s="2649" t="s">
        <v>1142</v>
      </c>
      <c r="F3303" s="2391"/>
      <c r="G3303" s="2391"/>
      <c r="H3303" s="2391"/>
      <c r="I3303" s="2391"/>
      <c r="J3303" s="2391"/>
      <c r="K3303" s="2391"/>
      <c r="L3303" s="2391"/>
      <c r="M3303" s="2391"/>
      <c r="N3303" s="2650"/>
    </row>
    <row r="3304" spans="3:14">
      <c r="C3304" s="977"/>
      <c r="D3304" s="981"/>
      <c r="E3304" s="2669" t="s">
        <v>1366</v>
      </c>
      <c r="F3304" s="2391"/>
      <c r="G3304" s="2391"/>
      <c r="H3304" s="2391"/>
      <c r="I3304" s="2391"/>
      <c r="J3304" s="2391"/>
      <c r="K3304" s="2391"/>
      <c r="L3304" s="2391"/>
      <c r="M3304" s="2391"/>
      <c r="N3304" s="2650"/>
    </row>
    <row r="3305" spans="3:14">
      <c r="C3305" s="977"/>
      <c r="D3305" s="981"/>
      <c r="E3305" s="2676" t="s">
        <v>1610</v>
      </c>
      <c r="F3305" s="2391"/>
      <c r="G3305" s="2391"/>
      <c r="H3305" s="2391"/>
      <c r="I3305" s="2391"/>
      <c r="J3305" s="2391"/>
      <c r="K3305" s="2391"/>
      <c r="L3305" s="2391"/>
      <c r="M3305" s="2391"/>
      <c r="N3305" s="2650"/>
    </row>
    <row r="3306" spans="3:14">
      <c r="C3306" s="977"/>
      <c r="D3306" s="777" t="s">
        <v>6</v>
      </c>
      <c r="E3306" s="2682" t="s">
        <v>1145</v>
      </c>
      <c r="F3306" s="2391"/>
      <c r="G3306" s="2391"/>
      <c r="H3306" s="2391"/>
      <c r="I3306" s="2391"/>
      <c r="J3306" s="2391"/>
      <c r="K3306" s="2512"/>
      <c r="L3306" s="120" t="str">
        <f>IFERROR(IF([1]F_ProductBM!L600 = "", "", [1]F_ProductBM!L600 ),"")</f>
        <v/>
      </c>
      <c r="M3306" s="813"/>
      <c r="N3306" s="1015"/>
    </row>
    <row r="3307" spans="3:14">
      <c r="C3307" s="977"/>
      <c r="D3307" s="777"/>
      <c r="E3307" s="777"/>
      <c r="F3307" s="777"/>
      <c r="G3307" s="777"/>
      <c r="H3307" s="983"/>
      <c r="I3307" s="777"/>
      <c r="J3307" s="777"/>
      <c r="K3307" s="777"/>
      <c r="L3307" s="777"/>
      <c r="M3307" s="777"/>
      <c r="N3307" s="1007"/>
    </row>
    <row r="3308" spans="3:14">
      <c r="C3308" s="977"/>
      <c r="D3308" s="982"/>
      <c r="E3308" s="2648" t="s">
        <v>1144</v>
      </c>
      <c r="F3308" s="2493"/>
      <c r="G3308" s="778" t="s">
        <v>884</v>
      </c>
      <c r="H3308" s="782">
        <v>2019</v>
      </c>
      <c r="I3308" s="988">
        <v>2020</v>
      </c>
      <c r="J3308" s="781">
        <v>2021</v>
      </c>
      <c r="K3308" s="782">
        <v>2022</v>
      </c>
      <c r="L3308" s="782">
        <v>2023</v>
      </c>
      <c r="M3308" s="782">
        <v>2024</v>
      </c>
      <c r="N3308" s="783">
        <v>2025</v>
      </c>
    </row>
    <row r="3309" spans="3:14">
      <c r="C3309" s="977"/>
      <c r="D3309" s="777" t="s">
        <v>7</v>
      </c>
      <c r="E3309" s="2513" t="str">
        <f>IFERROR(IF([1]F_ProductBM!E603 = "", "", [1]F_ProductBM!E603 ),"")</f>
        <v/>
      </c>
      <c r="F3309" s="2705"/>
      <c r="G3309" s="355" t="str">
        <f>IFERROR(IF([1]F_ProductBM!G603 = "", "", [1]F_ProductBM!G603 ),"")</f>
        <v>tonnes</v>
      </c>
      <c r="H3309" s="371" t="str">
        <f>IFERROR(IF([1]F_ProductBM!H603 = "", "", [1]F_ProductBM!H603 ),"")</f>
        <v/>
      </c>
      <c r="I3309" s="372" t="str">
        <f>IFERROR(IF([1]F_ProductBM!I603 = "", "", [1]F_ProductBM!I603 ),"")</f>
        <v/>
      </c>
      <c r="J3309" s="373" t="str">
        <f>IFERROR(IF([1]F_ProductBM!J603 = "", "", [1]F_ProductBM!J603 ),"")</f>
        <v/>
      </c>
      <c r="K3309" s="371" t="str">
        <f>IFERROR(IF([1]F_ProductBM!K603 = "", "", [1]F_ProductBM!K603 ),"")</f>
        <v/>
      </c>
      <c r="L3309" s="371" t="str">
        <f>IFERROR(IF([1]F_ProductBM!L603 = "", "", [1]F_ProductBM!L603 ),"")</f>
        <v/>
      </c>
      <c r="M3309" s="371" t="str">
        <f>IFERROR(IF([1]F_ProductBM!M603 = "", "", [1]F_ProductBM!M603 ),"")</f>
        <v/>
      </c>
      <c r="N3309" s="374" t="str">
        <f>IFERROR(IF([1]F_ProductBM!N603 = "", "", [1]F_ProductBM!N603 ),"")</f>
        <v/>
      </c>
    </row>
    <row r="3310" spans="3:14">
      <c r="C3310" s="977"/>
      <c r="D3310" s="777" t="s">
        <v>8</v>
      </c>
      <c r="E3310" s="2520" t="str">
        <f>IFERROR(IF([1]F_ProductBM!E604 = "", "", [1]F_ProductBM!E604 ),"")</f>
        <v/>
      </c>
      <c r="F3310" s="2706"/>
      <c r="G3310" s="350" t="str">
        <f>IFERROR(IF([1]F_ProductBM!G604 = "", "", [1]F_ProductBM!G604 ),"")</f>
        <v>tonnes</v>
      </c>
      <c r="H3310" s="364" t="str">
        <f>IFERROR(IF([1]F_ProductBM!H604 = "", "", [1]F_ProductBM!H604 ),"")</f>
        <v/>
      </c>
      <c r="I3310" s="365" t="str">
        <f>IFERROR(IF([1]F_ProductBM!I604 = "", "", [1]F_ProductBM!I604 ),"")</f>
        <v/>
      </c>
      <c r="J3310" s="366" t="str">
        <f>IFERROR(IF([1]F_ProductBM!J604 = "", "", [1]F_ProductBM!J604 ),"")</f>
        <v/>
      </c>
      <c r="K3310" s="364" t="str">
        <f>IFERROR(IF([1]F_ProductBM!K604 = "", "", [1]F_ProductBM!K604 ),"")</f>
        <v/>
      </c>
      <c r="L3310" s="364" t="str">
        <f>IFERROR(IF([1]F_ProductBM!L604 = "", "", [1]F_ProductBM!L604 ),"")</f>
        <v/>
      </c>
      <c r="M3310" s="364" t="str">
        <f>IFERROR(IF([1]F_ProductBM!M604 = "", "", [1]F_ProductBM!M604 ),"")</f>
        <v/>
      </c>
      <c r="N3310" s="367" t="str">
        <f>IFERROR(IF([1]F_ProductBM!N604 = "", "", [1]F_ProductBM!N604 ),"")</f>
        <v/>
      </c>
    </row>
    <row r="3311" spans="3:14">
      <c r="C3311" s="977"/>
      <c r="D3311" s="777"/>
      <c r="E3311" s="777"/>
      <c r="F3311" s="777"/>
      <c r="G3311" s="777"/>
      <c r="H3311" s="777"/>
      <c r="I3311" s="777"/>
      <c r="J3311" s="777"/>
      <c r="K3311" s="777"/>
      <c r="L3311" s="777"/>
      <c r="M3311" s="777"/>
      <c r="N3311" s="810"/>
    </row>
    <row r="3312" spans="3:14">
      <c r="C3312" s="977"/>
      <c r="D3312" s="982"/>
      <c r="E3312" s="2648" t="s">
        <v>1143</v>
      </c>
      <c r="F3312" s="2493"/>
      <c r="G3312" s="778" t="s">
        <v>884</v>
      </c>
      <c r="H3312" s="782">
        <v>2019</v>
      </c>
      <c r="I3312" s="988">
        <v>2020</v>
      </c>
      <c r="J3312" s="781">
        <v>2021</v>
      </c>
      <c r="K3312" s="782">
        <v>2022</v>
      </c>
      <c r="L3312" s="782">
        <v>2023</v>
      </c>
      <c r="M3312" s="782">
        <v>2024</v>
      </c>
      <c r="N3312" s="783">
        <v>2025</v>
      </c>
    </row>
    <row r="3313" spans="3:14">
      <c r="C3313" s="977"/>
      <c r="D3313" s="777" t="s">
        <v>18</v>
      </c>
      <c r="E3313" s="2513" t="str">
        <f>IFERROR(IF([1]F_ProductBM!E607 = "", "", [1]F_ProductBM!E607 ),"")</f>
        <v/>
      </c>
      <c r="F3313" s="2705"/>
      <c r="G3313" s="355" t="str">
        <f>IFERROR(IF([1]F_ProductBM!G607 = "", "", [1]F_ProductBM!G607 ),"")</f>
        <v>tonnes</v>
      </c>
      <c r="H3313" s="371" t="str">
        <f>IFERROR(IF([1]F_ProductBM!H607 = "", "", [1]F_ProductBM!H607 ),"")</f>
        <v/>
      </c>
      <c r="I3313" s="372" t="str">
        <f>IFERROR(IF([1]F_ProductBM!I607 = "", "", [1]F_ProductBM!I607 ),"")</f>
        <v/>
      </c>
      <c r="J3313" s="373" t="str">
        <f>IFERROR(IF([1]F_ProductBM!J607 = "", "", [1]F_ProductBM!J607 ),"")</f>
        <v/>
      </c>
      <c r="K3313" s="371" t="str">
        <f>IFERROR(IF([1]F_ProductBM!K607 = "", "", [1]F_ProductBM!K607 ),"")</f>
        <v/>
      </c>
      <c r="L3313" s="371" t="str">
        <f>IFERROR(IF([1]F_ProductBM!L607 = "", "", [1]F_ProductBM!L607 ),"")</f>
        <v/>
      </c>
      <c r="M3313" s="371" t="str">
        <f>IFERROR(IF([1]F_ProductBM!M607 = "", "", [1]F_ProductBM!M607 ),"")</f>
        <v/>
      </c>
      <c r="N3313" s="374" t="str">
        <f>IFERROR(IF([1]F_ProductBM!N607 = "", "", [1]F_ProductBM!N607 ),"")</f>
        <v/>
      </c>
    </row>
    <row r="3314" spans="3:14">
      <c r="C3314" s="977"/>
      <c r="D3314" s="777" t="s">
        <v>787</v>
      </c>
      <c r="E3314" s="2520" t="str">
        <f>IFERROR(IF([1]F_ProductBM!E608 = "", "", [1]F_ProductBM!E608 ),"")</f>
        <v/>
      </c>
      <c r="F3314" s="2706"/>
      <c r="G3314" s="350" t="str">
        <f>IFERROR(IF([1]F_ProductBM!G608 = "", "", [1]F_ProductBM!G608 ),"")</f>
        <v>tonnes</v>
      </c>
      <c r="H3314" s="364" t="str">
        <f>IFERROR(IF([1]F_ProductBM!H608 = "", "", [1]F_ProductBM!H608 ),"")</f>
        <v/>
      </c>
      <c r="I3314" s="365" t="str">
        <f>IFERROR(IF([1]F_ProductBM!I608 = "", "", [1]F_ProductBM!I608 ),"")</f>
        <v/>
      </c>
      <c r="J3314" s="366" t="str">
        <f>IFERROR(IF([1]F_ProductBM!J608 = "", "", [1]F_ProductBM!J608 ),"")</f>
        <v/>
      </c>
      <c r="K3314" s="364" t="str">
        <f>IFERROR(IF([1]F_ProductBM!K608 = "", "", [1]F_ProductBM!K608 ),"")</f>
        <v/>
      </c>
      <c r="L3314" s="364" t="str">
        <f>IFERROR(IF([1]F_ProductBM!L608 = "", "", [1]F_ProductBM!L608 ),"")</f>
        <v/>
      </c>
      <c r="M3314" s="364" t="str">
        <f>IFERROR(IF([1]F_ProductBM!M608 = "", "", [1]F_ProductBM!M608 ),"")</f>
        <v/>
      </c>
      <c r="N3314" s="367" t="str">
        <f>IFERROR(IF([1]F_ProductBM!N608 = "", "", [1]F_ProductBM!N608 ),"")</f>
        <v/>
      </c>
    </row>
    <row r="3315" spans="3:14">
      <c r="C3315" s="977"/>
      <c r="D3315" s="777"/>
      <c r="E3315" s="777"/>
      <c r="F3315" s="777"/>
      <c r="G3315" s="777"/>
      <c r="H3315" s="777"/>
      <c r="I3315" s="777"/>
      <c r="J3315" s="777"/>
      <c r="K3315" s="777"/>
      <c r="L3315" s="777"/>
      <c r="M3315" s="777"/>
      <c r="N3315" s="1007"/>
    </row>
    <row r="3316" spans="3:14">
      <c r="C3316" s="977"/>
      <c r="D3316" s="777" t="s">
        <v>788</v>
      </c>
      <c r="E3316" s="813" t="s">
        <v>1146</v>
      </c>
      <c r="F3316" s="813"/>
      <c r="G3316" s="813"/>
      <c r="H3316" s="813"/>
      <c r="I3316" s="813"/>
      <c r="J3316" s="813"/>
      <c r="K3316" s="813"/>
      <c r="L3316" s="813"/>
      <c r="M3316" s="813"/>
      <c r="N3316" s="1007"/>
    </row>
    <row r="3317" spans="3:14">
      <c r="C3317" s="977"/>
      <c r="D3317" s="777"/>
      <c r="E3317" s="1017" t="s">
        <v>1459</v>
      </c>
      <c r="F3317" s="978"/>
      <c r="G3317" s="978"/>
      <c r="H3317" s="978"/>
      <c r="I3317" s="978"/>
      <c r="J3317" s="978"/>
      <c r="K3317" s="978"/>
      <c r="L3317" s="978"/>
      <c r="M3317" s="978"/>
      <c r="N3317" s="979"/>
    </row>
    <row r="3318" spans="3:14">
      <c r="C3318" s="977"/>
      <c r="D3318" s="777"/>
      <c r="E3318" s="2699" t="str">
        <f>IFERROR(IF([1]F_ProductBM!E612 = "", "", [1]F_ProductBM!E612 ),"")</f>
        <v/>
      </c>
      <c r="F3318" s="2700"/>
      <c r="G3318" s="2700"/>
      <c r="H3318" s="2700"/>
      <c r="I3318" s="2700"/>
      <c r="J3318" s="2700"/>
      <c r="K3318" s="2700"/>
      <c r="L3318" s="2700"/>
      <c r="M3318" s="2701"/>
      <c r="N3318" s="1007"/>
    </row>
    <row r="3319" spans="3:14">
      <c r="C3319" s="977"/>
      <c r="D3319" s="777"/>
      <c r="E3319" s="2702"/>
      <c r="F3319" s="2703"/>
      <c r="G3319" s="2703"/>
      <c r="H3319" s="2703"/>
      <c r="I3319" s="2703"/>
      <c r="J3319" s="2703"/>
      <c r="K3319" s="2703"/>
      <c r="L3319" s="2703"/>
      <c r="M3319" s="2704"/>
      <c r="N3319" s="1007"/>
    </row>
    <row r="3320" spans="3:14" ht="13.5" thickBot="1">
      <c r="C3320" s="1018"/>
      <c r="D3320" s="1019"/>
      <c r="E3320" s="1019"/>
      <c r="F3320" s="1019"/>
      <c r="G3320" s="1019"/>
      <c r="H3320" s="1019"/>
      <c r="I3320" s="1019"/>
      <c r="J3320" s="1019"/>
      <c r="K3320" s="1019"/>
      <c r="L3320" s="1019"/>
      <c r="M3320" s="805"/>
      <c r="N3320" s="806"/>
    </row>
    <row r="3321" spans="3:14" ht="13.5" thickBot="1">
      <c r="C3321" s="467"/>
      <c r="D3321" s="467"/>
      <c r="E3321" s="467"/>
      <c r="F3321" s="467"/>
      <c r="G3321" s="467"/>
      <c r="H3321" s="467"/>
      <c r="I3321" s="467"/>
      <c r="J3321" s="467"/>
      <c r="K3321" s="467"/>
      <c r="L3321" s="467"/>
      <c r="M3321" s="481"/>
      <c r="N3321" s="481"/>
    </row>
    <row r="3322" spans="3:14">
      <c r="C3322" s="1020"/>
      <c r="D3322" s="1020"/>
      <c r="E3322" s="1020"/>
      <c r="F3322" s="1020"/>
      <c r="G3322" s="1020"/>
      <c r="H3322" s="1020"/>
      <c r="I3322" s="1020"/>
      <c r="J3322" s="1020"/>
      <c r="K3322" s="1020"/>
      <c r="L3322" s="1020"/>
      <c r="M3322" s="1020"/>
      <c r="N3322" s="1020"/>
    </row>
    <row r="3323" spans="3:14" ht="15">
      <c r="C3323" s="897">
        <v>3</v>
      </c>
      <c r="D3323" s="2482" t="s">
        <v>2704</v>
      </c>
      <c r="E3323" s="2400"/>
      <c r="F3323" s="2400"/>
      <c r="G3323" s="2400"/>
      <c r="H3323" s="2585"/>
      <c r="I3323" s="2489" t="str">
        <f>IFERROR(IF([1]F_ProductBM!I617 = "", "", [1]F_ProductBM!I617 ),"")</f>
        <v/>
      </c>
      <c r="J3323" s="2534"/>
      <c r="K3323" s="2534"/>
      <c r="L3323" s="2534"/>
      <c r="M3323" s="2534"/>
      <c r="N3323" s="2535"/>
    </row>
    <row r="3324" spans="3:14">
      <c r="C3324" s="479"/>
      <c r="D3324" s="485"/>
      <c r="E3324" s="2465" t="s">
        <v>2706</v>
      </c>
      <c r="F3324" s="2400"/>
      <c r="G3324" s="2400"/>
      <c r="H3324" s="2400"/>
      <c r="I3324" s="2400"/>
      <c r="J3324" s="2400"/>
      <c r="K3324" s="2400"/>
      <c r="L3324" s="2400"/>
      <c r="M3324" s="2400"/>
      <c r="N3324" s="2400"/>
    </row>
    <row r="3325" spans="3:14">
      <c r="C3325" s="479"/>
      <c r="D3325" s="479"/>
      <c r="E3325" s="479"/>
      <c r="F3325" s="479"/>
      <c r="G3325" s="479"/>
      <c r="H3325" s="479"/>
      <c r="I3325" s="479"/>
      <c r="J3325" s="479"/>
      <c r="K3325" s="479"/>
      <c r="L3325" s="479"/>
      <c r="M3325" s="485"/>
      <c r="N3325" s="485"/>
    </row>
    <row r="3326" spans="3:14">
      <c r="C3326" s="479"/>
      <c r="D3326" s="482" t="s">
        <v>400</v>
      </c>
      <c r="E3326" s="2373" t="s">
        <v>1930</v>
      </c>
      <c r="F3326" s="2400"/>
      <c r="G3326" s="2400"/>
      <c r="H3326" s="2400"/>
      <c r="I3326" s="2400"/>
      <c r="J3326" s="2400"/>
      <c r="K3326" s="2400"/>
      <c r="L3326" s="2400"/>
      <c r="M3326" s="2400"/>
      <c r="N3326" s="2400"/>
    </row>
    <row r="3327" spans="3:14">
      <c r="C3327" s="479"/>
      <c r="D3327" s="485"/>
      <c r="E3327" s="2465" t="s">
        <v>801</v>
      </c>
      <c r="F3327" s="2400"/>
      <c r="G3327" s="2400"/>
      <c r="H3327" s="2400"/>
      <c r="I3327" s="2400"/>
      <c r="J3327" s="2400"/>
      <c r="K3327" s="2400"/>
      <c r="L3327" s="2400"/>
      <c r="M3327" s="2400"/>
      <c r="N3327" s="2400"/>
    </row>
    <row r="3328" spans="3:14">
      <c r="C3328" s="479"/>
      <c r="D3328" s="485"/>
      <c r="E3328" s="2465" t="s">
        <v>1199</v>
      </c>
      <c r="F3328" s="2400"/>
      <c r="G3328" s="2400"/>
      <c r="H3328" s="2400"/>
      <c r="I3328" s="2400"/>
      <c r="J3328" s="2400"/>
      <c r="K3328" s="2400"/>
      <c r="L3328" s="2400"/>
      <c r="M3328" s="2400"/>
      <c r="N3328" s="2400"/>
    </row>
    <row r="3329" spans="3:14">
      <c r="C3329" s="479"/>
      <c r="D3329" s="485"/>
      <c r="E3329" s="2465" t="s">
        <v>125</v>
      </c>
      <c r="F3329" s="2400"/>
      <c r="G3329" s="2400"/>
      <c r="H3329" s="2400"/>
      <c r="I3329" s="2400"/>
      <c r="J3329" s="2400"/>
      <c r="K3329" s="2400"/>
      <c r="L3329" s="2400"/>
      <c r="M3329" s="2400"/>
      <c r="N3329" s="2400"/>
    </row>
    <row r="3330" spans="3:14">
      <c r="C3330" s="485"/>
      <c r="D3330" s="482"/>
      <c r="E3330" s="2509" t="s">
        <v>1447</v>
      </c>
      <c r="F3330" s="2509"/>
      <c r="G3330" s="663" t="s">
        <v>884</v>
      </c>
      <c r="H3330" s="578">
        <v>2019</v>
      </c>
      <c r="I3330" s="697">
        <v>2020</v>
      </c>
      <c r="J3330" s="696">
        <v>2021</v>
      </c>
      <c r="K3330" s="578">
        <v>2022</v>
      </c>
      <c r="L3330" s="578">
        <v>2023</v>
      </c>
      <c r="M3330" s="578">
        <v>2024</v>
      </c>
      <c r="N3330" s="671">
        <v>2025</v>
      </c>
    </row>
    <row r="3331" spans="3:14">
      <c r="C3331" s="485"/>
      <c r="D3331" s="561" t="s">
        <v>6</v>
      </c>
      <c r="E3331" s="2696" t="str">
        <f>IFERROR(IF([1]F_ProductBM!E625 = "", "", [1]F_ProductBM!E625 ),"")</f>
        <v/>
      </c>
      <c r="F3331" s="2696"/>
      <c r="G3331" s="74" t="str">
        <f>IFERROR(IF([1]F_ProductBM!G625 = "", "", [1]F_ProductBM!G625 ),"")</f>
        <v>tonnes</v>
      </c>
      <c r="H3331" s="277" t="str">
        <f>IFERROR(IF([1]F_ProductBM!H625 = "", "", [1]F_ProductBM!H625 ),"")</f>
        <v/>
      </c>
      <c r="I3331" s="275" t="str">
        <f>IFERROR(IF([1]F_ProductBM!I625 = "", "", [1]F_ProductBM!I625 ),"")</f>
        <v/>
      </c>
      <c r="J3331" s="276" t="str">
        <f>IFERROR(IF([1]F_ProductBM!J625 = "", "", [1]F_ProductBM!J625 ),"")</f>
        <v/>
      </c>
      <c r="K3331" s="277" t="str">
        <f>IFERROR(IF([1]F_ProductBM!K625 = "", "", [1]F_ProductBM!K625 ),"")</f>
        <v/>
      </c>
      <c r="L3331" s="277" t="str">
        <f>IFERROR(IF([1]F_ProductBM!L625 = "", "", [1]F_ProductBM!L625 ),"")</f>
        <v/>
      </c>
      <c r="M3331" s="277" t="str">
        <f>IFERROR(IF([1]F_ProductBM!M625 = "", "", [1]F_ProductBM!M625 ),"")</f>
        <v/>
      </c>
      <c r="N3331" s="277" t="str">
        <f>IFERROR(IF([1]F_ProductBM!N625 = "", "", [1]F_ProductBM!N625 ),"")</f>
        <v/>
      </c>
    </row>
    <row r="3332" spans="3:14">
      <c r="C3332" s="485"/>
      <c r="D3332" s="561" t="s">
        <v>7</v>
      </c>
      <c r="E3332" s="2696" t="str">
        <f>IFERROR(IF([1]F_ProductBM!E626 = "", "", [1]F_ProductBM!E626 ),"")</f>
        <v>From sheet "H_SpecialBM":</v>
      </c>
      <c r="F3332" s="2696"/>
      <c r="G3332" s="74" t="str">
        <f>IFERROR(IF([1]F_ProductBM!G626 = "", "", [1]F_ProductBM!G626 ),"")</f>
        <v>tonnes</v>
      </c>
      <c r="H3332" s="278" t="str">
        <f>IFERROR(IF([1]F_ProductBM!H626 = "", "", [1]F_ProductBM!H626 ),"")</f>
        <v/>
      </c>
      <c r="I3332" s="279" t="str">
        <f>IFERROR(IF([1]F_ProductBM!I626 = "", "", [1]F_ProductBM!I626 ),"")</f>
        <v/>
      </c>
      <c r="J3332" s="280" t="str">
        <f>IFERROR(IF([1]F_ProductBM!J626 = "", "", [1]F_ProductBM!J626 ),"")</f>
        <v/>
      </c>
      <c r="K3332" s="278" t="str">
        <f>IFERROR(IF([1]F_ProductBM!K626 = "", "", [1]F_ProductBM!K626 ),"")</f>
        <v/>
      </c>
      <c r="L3332" s="278" t="str">
        <f>IFERROR(IF([1]F_ProductBM!L626 = "", "", [1]F_ProductBM!L626 ),"")</f>
        <v/>
      </c>
      <c r="M3332" s="278" t="str">
        <f>IFERROR(IF([1]F_ProductBM!M626 = "", "", [1]F_ProductBM!M626 ),"")</f>
        <v/>
      </c>
      <c r="N3332" s="277" t="str">
        <f>IFERROR(IF([1]F_ProductBM!N626 = "", "", [1]F_ProductBM!N626 ),"")</f>
        <v/>
      </c>
    </row>
    <row r="3333" spans="3:14">
      <c r="C3333" s="485"/>
      <c r="D3333" s="561" t="s">
        <v>8</v>
      </c>
      <c r="E3333" s="2696" t="str">
        <f>IFERROR(IF([1]F_ProductBM!E627 = "", "", [1]F_ProductBM!E627 ),"")</f>
        <v>Values used for calculation:</v>
      </c>
      <c r="F3333" s="2696"/>
      <c r="G3333" s="74" t="str">
        <f>IFERROR(IF([1]F_ProductBM!G627 = "", "", [1]F_ProductBM!G627 ),"")</f>
        <v>tonnes</v>
      </c>
      <c r="H3333" s="278" t="str">
        <f>IFERROR(IF([1]F_ProductBM!H627 = "", "", [1]F_ProductBM!H627 ),"")</f>
        <v/>
      </c>
      <c r="I3333" s="279" t="str">
        <f>IFERROR(IF([1]F_ProductBM!I627 = "", "", [1]F_ProductBM!I627 ),"")</f>
        <v/>
      </c>
      <c r="J3333" s="280" t="str">
        <f>IFERROR(IF([1]F_ProductBM!J627 = "", "", [1]F_ProductBM!J627 ),"")</f>
        <v/>
      </c>
      <c r="K3333" s="278" t="str">
        <f>IFERROR(IF([1]F_ProductBM!K627 = "", "", [1]F_ProductBM!K627 ),"")</f>
        <v/>
      </c>
      <c r="L3333" s="278" t="str">
        <f>IFERROR(IF([1]F_ProductBM!L627 = "", "", [1]F_ProductBM!L627 ),"")</f>
        <v/>
      </c>
      <c r="M3333" s="278" t="str">
        <f>IFERROR(IF([1]F_ProductBM!M627 = "", "", [1]F_ProductBM!M627 ),"")</f>
        <v/>
      </c>
      <c r="N3333" s="277" t="str">
        <f>IFERROR(IF([1]F_ProductBM!N627 = "", "", [1]F_ProductBM!N627 ),"")</f>
        <v/>
      </c>
    </row>
    <row r="3334" spans="3:14">
      <c r="C3334" s="479"/>
      <c r="D3334" s="479"/>
      <c r="E3334" s="479"/>
      <c r="F3334" s="479"/>
      <c r="G3334" s="479"/>
      <c r="H3334" s="479"/>
      <c r="I3334" s="479"/>
      <c r="J3334" s="479"/>
      <c r="K3334" s="479"/>
      <c r="L3334" s="479"/>
      <c r="M3334" s="485"/>
      <c r="N3334" s="485"/>
    </row>
    <row r="3335" spans="3:14">
      <c r="C3335" s="479"/>
      <c r="D3335" s="561" t="s">
        <v>18</v>
      </c>
      <c r="E3335" s="2373" t="s">
        <v>922</v>
      </c>
      <c r="F3335" s="2373"/>
      <c r="G3335" s="2604"/>
      <c r="H3335" s="2652" t="s">
        <v>1857</v>
      </c>
      <c r="I3335" s="2689"/>
      <c r="J3335" s="2689"/>
      <c r="K3335" s="2689"/>
      <c r="L3335" s="2689"/>
      <c r="M3335" s="2689"/>
      <c r="N3335" s="2690"/>
    </row>
    <row r="3336" spans="3:14">
      <c r="C3336" s="479"/>
      <c r="D3336" s="485"/>
      <c r="E3336" s="2465" t="s">
        <v>923</v>
      </c>
      <c r="F3336" s="2400"/>
      <c r="G3336" s="2400"/>
      <c r="H3336" s="2400"/>
      <c r="I3336" s="2400"/>
      <c r="J3336" s="2400"/>
      <c r="K3336" s="2400"/>
      <c r="L3336" s="2400"/>
      <c r="M3336" s="2400"/>
      <c r="N3336" s="2400"/>
    </row>
    <row r="3337" spans="3:14">
      <c r="C3337" s="479"/>
      <c r="D3337" s="485"/>
      <c r="E3337" s="485"/>
      <c r="F3337" s="485"/>
      <c r="G3337" s="485"/>
      <c r="H3337" s="485"/>
      <c r="I3337" s="485"/>
      <c r="J3337" s="485"/>
      <c r="K3337" s="485"/>
      <c r="L3337" s="485"/>
      <c r="M3337" s="485"/>
      <c r="N3337" s="485"/>
    </row>
    <row r="3338" spans="3:14">
      <c r="C3338" s="479"/>
      <c r="D3338" s="482" t="s">
        <v>876</v>
      </c>
      <c r="E3338" s="2373" t="s">
        <v>1709</v>
      </c>
      <c r="F3338" s="2400"/>
      <c r="G3338" s="2400"/>
      <c r="H3338" s="2400"/>
      <c r="I3338" s="2400"/>
      <c r="J3338" s="2400"/>
      <c r="K3338" s="2400"/>
      <c r="L3338" s="2400"/>
      <c r="M3338" s="2400"/>
      <c r="N3338" s="2400"/>
    </row>
    <row r="3339" spans="3:14">
      <c r="C3339" s="479"/>
      <c r="D3339" s="485"/>
      <c r="E3339" s="2465" t="s">
        <v>1958</v>
      </c>
      <c r="F3339" s="2400"/>
      <c r="G3339" s="2400"/>
      <c r="H3339" s="2400"/>
      <c r="I3339" s="2400"/>
      <c r="J3339" s="2400"/>
      <c r="K3339" s="2400"/>
      <c r="L3339" s="2400"/>
      <c r="M3339" s="2400"/>
      <c r="N3339" s="2400"/>
    </row>
    <row r="3340" spans="3:14">
      <c r="C3340" s="479"/>
      <c r="D3340" s="485"/>
      <c r="E3340" s="2465" t="s">
        <v>1696</v>
      </c>
      <c r="F3340" s="2400"/>
      <c r="G3340" s="2400"/>
      <c r="H3340" s="2400"/>
      <c r="I3340" s="2400"/>
      <c r="J3340" s="2400"/>
      <c r="K3340" s="2400"/>
      <c r="L3340" s="2400"/>
      <c r="M3340" s="2400"/>
      <c r="N3340" s="2400"/>
    </row>
    <row r="3341" spans="3:14">
      <c r="C3341" s="479"/>
      <c r="D3341" s="485"/>
      <c r="E3341" s="901" t="s">
        <v>1021</v>
      </c>
      <c r="F3341" s="2651" t="s">
        <v>2708</v>
      </c>
      <c r="G3341" s="2584"/>
      <c r="H3341" s="2584"/>
      <c r="I3341" s="2584"/>
      <c r="J3341" s="2584"/>
      <c r="K3341" s="2584"/>
      <c r="L3341" s="2584"/>
      <c r="M3341" s="2584"/>
      <c r="N3341" s="2584"/>
    </row>
    <row r="3342" spans="3:14" ht="13.5" thickBot="1">
      <c r="C3342" s="479"/>
      <c r="D3342" s="485"/>
      <c r="E3342" s="901" t="s">
        <v>1021</v>
      </c>
      <c r="F3342" s="2651" t="s">
        <v>1985</v>
      </c>
      <c r="G3342" s="2584"/>
      <c r="H3342" s="2584"/>
      <c r="I3342" s="2584"/>
      <c r="J3342" s="2584"/>
      <c r="K3342" s="2584"/>
      <c r="L3342" s="2584"/>
      <c r="M3342" s="2584"/>
      <c r="N3342" s="2584"/>
    </row>
    <row r="3343" spans="3:14">
      <c r="C3343" s="479"/>
      <c r="D3343" s="902"/>
      <c r="E3343" s="903"/>
      <c r="F3343" s="904"/>
      <c r="G3343" s="905"/>
      <c r="H3343" s="905"/>
      <c r="I3343" s="905"/>
      <c r="J3343" s="905"/>
      <c r="K3343" s="905"/>
      <c r="L3343" s="905"/>
      <c r="M3343" s="905"/>
      <c r="N3343" s="906"/>
    </row>
    <row r="3344" spans="3:14">
      <c r="C3344" s="479"/>
      <c r="D3344" s="907"/>
      <c r="E3344" s="908" t="s">
        <v>1690</v>
      </c>
      <c r="F3344" s="909"/>
      <c r="G3344" s="909"/>
      <c r="H3344" s="910" t="s">
        <v>884</v>
      </c>
      <c r="I3344" s="911" t="s">
        <v>1646</v>
      </c>
      <c r="J3344" s="912">
        <v>2021</v>
      </c>
      <c r="K3344" s="913">
        <v>2022</v>
      </c>
      <c r="L3344" s="913">
        <v>2023</v>
      </c>
      <c r="M3344" s="913">
        <v>2024</v>
      </c>
      <c r="N3344" s="914">
        <v>2025</v>
      </c>
    </row>
    <row r="3345" spans="3:14">
      <c r="C3345" s="479"/>
      <c r="D3345" s="915" t="s">
        <v>6</v>
      </c>
      <c r="E3345" s="916" t="s">
        <v>1976</v>
      </c>
      <c r="F3345" s="916"/>
      <c r="G3345" s="916"/>
      <c r="H3345" s="63" t="str">
        <f>IFERROR(IF([1]F_ProductBM!H639 = "", "", [1]F_ProductBM!H639 ),"")</f>
        <v>tonnes</v>
      </c>
      <c r="I3345" s="281" t="str">
        <f>IFERROR(IF([1]F_ProductBM!I639 = "", "", [1]F_ProductBM!I639 ),"")</f>
        <v/>
      </c>
      <c r="J3345" s="282" t="str">
        <f>IFERROR(IF([1]F_ProductBM!J639 = "", "", [1]F_ProductBM!J639 ),"")</f>
        <v/>
      </c>
      <c r="K3345" s="283" t="str">
        <f>IFERROR(IF([1]F_ProductBM!K639 = "", "", [1]F_ProductBM!K639 ),"")</f>
        <v/>
      </c>
      <c r="L3345" s="283" t="str">
        <f>IFERROR(IF([1]F_ProductBM!L639 = "", "", [1]F_ProductBM!L639 ),"")</f>
        <v/>
      </c>
      <c r="M3345" s="283" t="str">
        <f>IFERROR(IF([1]F_ProductBM!M639 = "", "", [1]F_ProductBM!M639 ),"")</f>
        <v/>
      </c>
      <c r="N3345" s="284" t="str">
        <f>IFERROR(IF([1]F_ProductBM!N639 = "", "", [1]F_ProductBM!N639 ),"")</f>
        <v/>
      </c>
    </row>
    <row r="3346" spans="3:14">
      <c r="C3346" s="479"/>
      <c r="D3346" s="918"/>
      <c r="E3346" s="919" t="s">
        <v>1648</v>
      </c>
      <c r="F3346" s="919"/>
      <c r="G3346" s="919"/>
      <c r="H3346" s="920"/>
      <c r="I3346" s="919"/>
      <c r="J3346" s="285" t="str">
        <f>IFERROR(IF([1]F_ProductBM!J640 = "", "", [1]F_ProductBM!J640 ),"")</f>
        <v/>
      </c>
      <c r="K3346" s="286" t="str">
        <f>IFERROR(IF([1]F_ProductBM!K640 = "", "", [1]F_ProductBM!K640 ),"")</f>
        <v/>
      </c>
      <c r="L3346" s="286" t="str">
        <f>IFERROR(IF([1]F_ProductBM!L640 = "", "", [1]F_ProductBM!L640 ),"")</f>
        <v/>
      </c>
      <c r="M3346" s="286" t="str">
        <f>IFERROR(IF([1]F_ProductBM!M640 = "", "", [1]F_ProductBM!M640 ),"")</f>
        <v/>
      </c>
      <c r="N3346" s="287" t="str">
        <f>IFERROR(IF([1]F_ProductBM!N640 = "", "", [1]F_ProductBM!N640 ),"")</f>
        <v/>
      </c>
    </row>
    <row r="3347" spans="3:14">
      <c r="C3347" s="479"/>
      <c r="D3347" s="915" t="s">
        <v>7</v>
      </c>
      <c r="E3347" s="916" t="s">
        <v>1654</v>
      </c>
      <c r="F3347" s="916"/>
      <c r="G3347" s="916"/>
      <c r="H3347" s="921"/>
      <c r="I3347" s="916"/>
      <c r="J3347" s="288" t="str">
        <f>IFERROR(IF([1]F_ProductBM!J641 = "", "", [1]F_ProductBM!J641 ),"")</f>
        <v/>
      </c>
      <c r="K3347" s="289" t="str">
        <f>IFERROR(IF([1]F_ProductBM!K641 = "", "", [1]F_ProductBM!K641 ),"")</f>
        <v/>
      </c>
      <c r="L3347" s="289" t="str">
        <f>IFERROR(IF([1]F_ProductBM!L641 = "", "", [1]F_ProductBM!L641 ),"")</f>
        <v/>
      </c>
      <c r="M3347" s="289" t="str">
        <f>IFERROR(IF([1]F_ProductBM!M641 = "", "", [1]F_ProductBM!M641 ),"")</f>
        <v/>
      </c>
      <c r="N3347" s="290" t="str">
        <f>IFERROR(IF([1]F_ProductBM!N641 = "", "", [1]F_ProductBM!N641 ),"")</f>
        <v/>
      </c>
    </row>
    <row r="3348" spans="3:14">
      <c r="C3348" s="479"/>
      <c r="D3348" s="918"/>
      <c r="E3348" s="916" t="s">
        <v>1689</v>
      </c>
      <c r="F3348" s="916"/>
      <c r="G3348" s="916"/>
      <c r="H3348" s="63" t="str">
        <f>IFERROR(IF([1]F_ProductBM!H642 = "", "", [1]F_ProductBM!H642 ),"")</f>
        <v>tonnes</v>
      </c>
      <c r="I3348" s="281" t="str">
        <f>IFERROR(IF([1]F_ProductBM!I642 = "", "", [1]F_ProductBM!I642 ),"")</f>
        <v/>
      </c>
      <c r="J3348" s="282" t="str">
        <f>IFERROR(IF([1]F_ProductBM!J642 = "", "", [1]F_ProductBM!J642 ),"")</f>
        <v/>
      </c>
      <c r="K3348" s="283" t="str">
        <f>IFERROR(IF([1]F_ProductBM!K642 = "", "", [1]F_ProductBM!K642 ),"")</f>
        <v/>
      </c>
      <c r="L3348" s="283" t="str">
        <f>IFERROR(IF([1]F_ProductBM!L642 = "", "", [1]F_ProductBM!L642 ),"")</f>
        <v/>
      </c>
      <c r="M3348" s="283" t="str">
        <f>IFERROR(IF([1]F_ProductBM!M642 = "", "", [1]F_ProductBM!M642 ),"")</f>
        <v/>
      </c>
      <c r="N3348" s="284" t="str">
        <f>IFERROR(IF([1]F_ProductBM!N642 = "", "", [1]F_ProductBM!N642 ),"")</f>
        <v/>
      </c>
    </row>
    <row r="3349" spans="3:14">
      <c r="C3349" s="479"/>
      <c r="D3349" s="918"/>
      <c r="E3349" s="909"/>
      <c r="F3349" s="909"/>
      <c r="G3349" s="909"/>
      <c r="H3349" s="909"/>
      <c r="I3349" s="909"/>
      <c r="J3349" s="909"/>
      <c r="K3349" s="909"/>
      <c r="L3349" s="909"/>
      <c r="M3349" s="909"/>
      <c r="N3349" s="922"/>
    </row>
    <row r="3350" spans="3:14">
      <c r="C3350" s="479"/>
      <c r="D3350" s="918"/>
      <c r="E3350" s="923" t="s">
        <v>1653</v>
      </c>
      <c r="F3350" s="923"/>
      <c r="G3350" s="923"/>
      <c r="H3350" s="923"/>
      <c r="I3350" s="923"/>
      <c r="J3350" s="912">
        <v>2021</v>
      </c>
      <c r="K3350" s="913">
        <v>2022</v>
      </c>
      <c r="L3350" s="913">
        <v>2023</v>
      </c>
      <c r="M3350" s="913">
        <v>2024</v>
      </c>
      <c r="N3350" s="914">
        <v>2025</v>
      </c>
    </row>
    <row r="3351" spans="3:14">
      <c r="C3351" s="479"/>
      <c r="D3351" s="915" t="s">
        <v>8</v>
      </c>
      <c r="E3351" s="916" t="s">
        <v>2108</v>
      </c>
      <c r="F3351" s="916"/>
      <c r="G3351" s="916"/>
      <c r="H3351" s="916"/>
      <c r="I3351" s="916"/>
      <c r="J3351" s="69" t="str">
        <f>IFERROR(IF([1]F_ProductBM!J645 = "", "", [1]F_ProductBM!J645 ),"")</f>
        <v/>
      </c>
      <c r="K3351" s="62" t="str">
        <f>IFERROR(IF([1]F_ProductBM!K645 = "", "", [1]F_ProductBM!K645 ),"")</f>
        <v/>
      </c>
      <c r="L3351" s="62" t="str">
        <f>IFERROR(IF([1]F_ProductBM!L645 = "", "", [1]F_ProductBM!L645 ),"")</f>
        <v/>
      </c>
      <c r="M3351" s="62" t="str">
        <f>IFERROR(IF([1]F_ProductBM!M645 = "", "", [1]F_ProductBM!M645 ),"")</f>
        <v/>
      </c>
      <c r="N3351" s="70" t="str">
        <f>IFERROR(IF([1]F_ProductBM!N645 = "", "", [1]F_ProductBM!N645 ),"")</f>
        <v/>
      </c>
    </row>
    <row r="3352" spans="3:14" ht="13.5" thickBot="1">
      <c r="C3352" s="479"/>
      <c r="D3352" s="918"/>
      <c r="E3352" s="909"/>
      <c r="F3352" s="909"/>
      <c r="G3352" s="909"/>
      <c r="H3352" s="909"/>
      <c r="I3352" s="909"/>
      <c r="J3352" s="909"/>
      <c r="K3352" s="909"/>
      <c r="L3352" s="909"/>
      <c r="M3352" s="909"/>
      <c r="N3352" s="922"/>
    </row>
    <row r="3353" spans="3:14" ht="13.5" thickBot="1">
      <c r="C3353" s="479"/>
      <c r="D3353" s="915" t="s">
        <v>18</v>
      </c>
      <c r="E3353" s="916" t="s">
        <v>1657</v>
      </c>
      <c r="F3353" s="916"/>
      <c r="G3353" s="916"/>
      <c r="H3353" s="921"/>
      <c r="I3353" s="916"/>
      <c r="J3353" s="291" t="str">
        <f>IFERROR(IF([1]F_ProductBM!J647 = "", "", [1]F_ProductBM!J647 ),"")</f>
        <v/>
      </c>
      <c r="K3353" s="292" t="str">
        <f>IFERROR(IF([1]F_ProductBM!K647 = "", "", [1]F_ProductBM!K647 ),"")</f>
        <v/>
      </c>
      <c r="L3353" s="292" t="str">
        <f>IFERROR(IF([1]F_ProductBM!L647 = "", "", [1]F_ProductBM!L647 ),"")</f>
        <v/>
      </c>
      <c r="M3353" s="292" t="str">
        <f>IFERROR(IF([1]F_ProductBM!M647 = "", "", [1]F_ProductBM!M647 ),"")</f>
        <v/>
      </c>
      <c r="N3353" s="293" t="str">
        <f>IFERROR(IF([1]F_ProductBM!N647 = "", "", [1]F_ProductBM!N647 ),"")</f>
        <v/>
      </c>
    </row>
    <row r="3354" spans="3:14" ht="13.5" thickBot="1">
      <c r="C3354" s="479"/>
      <c r="D3354" s="915" t="s">
        <v>787</v>
      </c>
      <c r="E3354" s="916" t="s">
        <v>1659</v>
      </c>
      <c r="F3354" s="916"/>
      <c r="G3354" s="916"/>
      <c r="H3354" s="63" t="str">
        <f>IFERROR(IF([1]F_ProductBM!H648 = "", "", [1]F_ProductBM!H648 ),"")</f>
        <v>tonnes</v>
      </c>
      <c r="I3354" s="281" t="str">
        <f>IFERROR(IF([1]F_ProductBM!I648 = "", "", [1]F_ProductBM!I648 ),"")</f>
        <v/>
      </c>
      <c r="J3354" s="294" t="str">
        <f>IFERROR(IF([1]F_ProductBM!J648 = "", "", [1]F_ProductBM!J648 ),"")</f>
        <v/>
      </c>
      <c r="K3354" s="295" t="str">
        <f>IFERROR(IF([1]F_ProductBM!K648 = "", "", [1]F_ProductBM!K648 ),"")</f>
        <v/>
      </c>
      <c r="L3354" s="295" t="str">
        <f>IFERROR(IF([1]F_ProductBM!L648 = "", "", [1]F_ProductBM!L648 ),"")</f>
        <v/>
      </c>
      <c r="M3354" s="295" t="str">
        <f>IFERROR(IF([1]F_ProductBM!M648 = "", "", [1]F_ProductBM!M648 ),"")</f>
        <v/>
      </c>
      <c r="N3354" s="296" t="str">
        <f>IFERROR(IF([1]F_ProductBM!N648 = "", "", [1]F_ProductBM!N648 ),"")</f>
        <v/>
      </c>
    </row>
    <row r="3355" spans="3:14" ht="13.5" thickBot="1">
      <c r="C3355" s="479"/>
      <c r="D3355" s="924"/>
      <c r="E3355" s="925"/>
      <c r="F3355" s="925"/>
      <c r="G3355" s="925"/>
      <c r="H3355" s="925"/>
      <c r="I3355" s="925"/>
      <c r="J3355" s="925"/>
      <c r="K3355" s="925"/>
      <c r="L3355" s="925"/>
      <c r="M3355" s="925"/>
      <c r="N3355" s="926"/>
    </row>
    <row r="3356" spans="3:14">
      <c r="C3356" s="479"/>
      <c r="D3356" s="485"/>
      <c r="E3356" s="485"/>
      <c r="F3356" s="485"/>
      <c r="G3356" s="485"/>
      <c r="H3356" s="485"/>
      <c r="I3356" s="485"/>
      <c r="J3356" s="485"/>
      <c r="K3356" s="485"/>
      <c r="L3356" s="485"/>
      <c r="M3356" s="485"/>
      <c r="N3356" s="485"/>
    </row>
    <row r="3357" spans="3:14">
      <c r="C3357" s="479"/>
      <c r="D3357" s="2482" t="s">
        <v>1229</v>
      </c>
      <c r="E3357" s="2400"/>
      <c r="F3357" s="2400"/>
      <c r="G3357" s="2400"/>
      <c r="H3357" s="2400"/>
      <c r="I3357" s="2400"/>
      <c r="J3357" s="2400"/>
      <c r="K3357" s="2400"/>
      <c r="L3357" s="2400"/>
      <c r="M3357" s="2400"/>
      <c r="N3357" s="2400"/>
    </row>
    <row r="3358" spans="3:14">
      <c r="C3358" s="479"/>
      <c r="D3358" s="479"/>
      <c r="E3358" s="479"/>
      <c r="F3358" s="479"/>
      <c r="G3358" s="479"/>
      <c r="H3358" s="479"/>
      <c r="I3358" s="479"/>
      <c r="J3358" s="479"/>
      <c r="K3358" s="479"/>
      <c r="L3358" s="479"/>
      <c r="M3358" s="479"/>
      <c r="N3358" s="479"/>
    </row>
    <row r="3359" spans="3:14">
      <c r="C3359" s="485"/>
      <c r="D3359" s="482" t="s">
        <v>48</v>
      </c>
      <c r="E3359" s="2373" t="s">
        <v>800</v>
      </c>
      <c r="F3359" s="2400"/>
      <c r="G3359" s="2400"/>
      <c r="H3359" s="2400"/>
      <c r="I3359" s="2585"/>
      <c r="J3359" s="2652" t="s">
        <v>1857</v>
      </c>
      <c r="K3359" s="2653"/>
      <c r="L3359" s="2653"/>
      <c r="M3359" s="2653"/>
      <c r="N3359" s="2654"/>
    </row>
    <row r="3360" spans="3:14">
      <c r="C3360" s="479"/>
      <c r="D3360" s="485"/>
      <c r="E3360" s="2465" t="s">
        <v>1241</v>
      </c>
      <c r="F3360" s="2400"/>
      <c r="G3360" s="2400"/>
      <c r="H3360" s="2400"/>
      <c r="I3360" s="2400"/>
      <c r="J3360" s="2400"/>
      <c r="K3360" s="2400"/>
      <c r="L3360" s="2400"/>
      <c r="M3360" s="2400"/>
      <c r="N3360" s="2400"/>
    </row>
    <row r="3361" spans="3:14">
      <c r="C3361" s="479"/>
      <c r="D3361" s="485"/>
      <c r="E3361" s="2465" t="s">
        <v>1526</v>
      </c>
      <c r="F3361" s="2400"/>
      <c r="G3361" s="2400"/>
      <c r="H3361" s="2400"/>
      <c r="I3361" s="2400"/>
      <c r="J3361" s="2400"/>
      <c r="K3361" s="2400"/>
      <c r="L3361" s="2400"/>
      <c r="M3361" s="2400"/>
      <c r="N3361" s="2400"/>
    </row>
    <row r="3362" spans="3:14">
      <c r="C3362" s="479"/>
      <c r="D3362" s="485"/>
      <c r="E3362" s="2465" t="s">
        <v>1635</v>
      </c>
      <c r="F3362" s="2400"/>
      <c r="G3362" s="2400"/>
      <c r="H3362" s="2400"/>
      <c r="I3362" s="2400"/>
      <c r="J3362" s="2400"/>
      <c r="K3362" s="2400"/>
      <c r="L3362" s="2400"/>
      <c r="M3362" s="2400"/>
      <c r="N3362" s="2400"/>
    </row>
    <row r="3363" spans="3:14">
      <c r="C3363" s="485"/>
      <c r="D3363" s="482"/>
      <c r="E3363" s="927" t="s">
        <v>62</v>
      </c>
      <c r="F3363" s="518"/>
      <c r="G3363" s="663" t="s">
        <v>884</v>
      </c>
      <c r="H3363" s="578">
        <v>2019</v>
      </c>
      <c r="I3363" s="697">
        <v>2020</v>
      </c>
      <c r="J3363" s="696">
        <v>2021</v>
      </c>
      <c r="K3363" s="928">
        <v>2022</v>
      </c>
      <c r="L3363" s="578">
        <v>2023</v>
      </c>
      <c r="M3363" s="578">
        <v>2024</v>
      </c>
      <c r="N3363" s="578">
        <v>2025</v>
      </c>
    </row>
    <row r="3364" spans="3:14">
      <c r="C3364" s="485"/>
      <c r="D3364" s="561" t="s">
        <v>6</v>
      </c>
      <c r="E3364" s="863" t="s">
        <v>63</v>
      </c>
      <c r="F3364" s="863"/>
      <c r="G3364" s="579" t="s">
        <v>2015</v>
      </c>
      <c r="H3364" s="297" t="str">
        <f>IFERROR(IF([1]F_ProductBM!H658 = "", "", [1]F_ProductBM!H658 ),"")</f>
        <v/>
      </c>
      <c r="I3364" s="298" t="str">
        <f>IFERROR(IF([1]F_ProductBM!I658 = "", "", [1]F_ProductBM!I658 ),"")</f>
        <v/>
      </c>
      <c r="J3364" s="299" t="str">
        <f>IFERROR(IF([1]F_ProductBM!J658 = "", "", [1]F_ProductBM!J658 ),"")</f>
        <v/>
      </c>
      <c r="K3364" s="300" t="str">
        <f>IFERROR(IF([1]F_ProductBM!K658 = "", "", [1]F_ProductBM!K658 ),"")</f>
        <v/>
      </c>
      <c r="L3364" s="300" t="str">
        <f>IFERROR(IF([1]F_ProductBM!L658 = "", "", [1]F_ProductBM!L658 ),"")</f>
        <v/>
      </c>
      <c r="M3364" s="297" t="str">
        <f>IFERROR(IF([1]F_ProductBM!M658 = "", "", [1]F_ProductBM!M658 ),"")</f>
        <v/>
      </c>
      <c r="N3364" s="297" t="str">
        <f>IFERROR(IF([1]F_ProductBM!N658 = "", "", [1]F_ProductBM!N658 ),"")</f>
        <v/>
      </c>
    </row>
    <row r="3365" spans="3:14">
      <c r="C3365" s="485"/>
      <c r="D3365" s="561" t="s">
        <v>7</v>
      </c>
      <c r="E3365" s="865" t="s">
        <v>257</v>
      </c>
      <c r="F3365" s="865"/>
      <c r="G3365" s="582" t="s">
        <v>2017</v>
      </c>
      <c r="H3365" s="134" t="str">
        <f>IFERROR(IF([1]F_ProductBM!H659 = "", "", [1]F_ProductBM!H659 ),"")</f>
        <v/>
      </c>
      <c r="I3365" s="301" t="str">
        <f>IFERROR(IF([1]F_ProductBM!I659 = "", "", [1]F_ProductBM!I659 ),"")</f>
        <v/>
      </c>
      <c r="J3365" s="302" t="str">
        <f>IFERROR(IF([1]F_ProductBM!J659 = "", "", [1]F_ProductBM!J659 ),"")</f>
        <v/>
      </c>
      <c r="K3365" s="303" t="str">
        <f>IFERROR(IF([1]F_ProductBM!K659 = "", "", [1]F_ProductBM!K659 ),"")</f>
        <v/>
      </c>
      <c r="L3365" s="134" t="str">
        <f>IFERROR(IF([1]F_ProductBM!L659 = "", "", [1]F_ProductBM!L659 ),"")</f>
        <v/>
      </c>
      <c r="M3365" s="134" t="str">
        <f>IFERROR(IF([1]F_ProductBM!M659 = "", "", [1]F_ProductBM!M659 ),"")</f>
        <v/>
      </c>
      <c r="N3365" s="134" t="str">
        <f>IFERROR(IF([1]F_ProductBM!N659 = "", "", [1]F_ProductBM!N659 ),"")</f>
        <v/>
      </c>
    </row>
    <row r="3366" spans="3:14">
      <c r="C3366" s="485"/>
      <c r="D3366" s="561" t="s">
        <v>8</v>
      </c>
      <c r="E3366" s="932" t="s">
        <v>914</v>
      </c>
      <c r="F3366" s="932"/>
      <c r="G3366" s="933" t="s">
        <v>2021</v>
      </c>
      <c r="H3366" s="109" t="str">
        <f>IFERROR(IF([1]F_ProductBM!H660 = "", "", [1]F_ProductBM!H660 ),"")</f>
        <v/>
      </c>
      <c r="I3366" s="304" t="str">
        <f>IFERROR(IF([1]F_ProductBM!I660 = "", "", [1]F_ProductBM!I660 ),"")</f>
        <v/>
      </c>
      <c r="J3366" s="305" t="str">
        <f>IFERROR(IF([1]F_ProductBM!J660 = "", "", [1]F_ProductBM!J660 ),"")</f>
        <v/>
      </c>
      <c r="K3366" s="306" t="str">
        <f>IFERROR(IF([1]F_ProductBM!K660 = "", "", [1]F_ProductBM!K660 ),"")</f>
        <v/>
      </c>
      <c r="L3366" s="109" t="str">
        <f>IFERROR(IF([1]F_ProductBM!L660 = "", "", [1]F_ProductBM!L660 ),"")</f>
        <v/>
      </c>
      <c r="M3366" s="109" t="str">
        <f>IFERROR(IF([1]F_ProductBM!M660 = "", "", [1]F_ProductBM!M660 ),"")</f>
        <v/>
      </c>
      <c r="N3366" s="109" t="str">
        <f>IFERROR(IF([1]F_ProductBM!N660 = "", "", [1]F_ProductBM!N660 ),"")</f>
        <v/>
      </c>
    </row>
    <row r="3367" spans="3:14">
      <c r="C3367" s="485"/>
      <c r="D3367" s="561" t="s">
        <v>18</v>
      </c>
      <c r="E3367" s="863" t="s">
        <v>915</v>
      </c>
      <c r="F3367" s="863"/>
      <c r="G3367" s="579" t="s">
        <v>2015</v>
      </c>
      <c r="H3367" s="297" t="str">
        <f>IFERROR(IF([1]F_ProductBM!H661 = "", "", [1]F_ProductBM!H661 ),"")</f>
        <v/>
      </c>
      <c r="I3367" s="298" t="str">
        <f>IFERROR(IF([1]F_ProductBM!I661 = "", "", [1]F_ProductBM!I661 ),"")</f>
        <v/>
      </c>
      <c r="J3367" s="299" t="str">
        <f>IFERROR(IF([1]F_ProductBM!J661 = "", "", [1]F_ProductBM!J661 ),"")</f>
        <v/>
      </c>
      <c r="K3367" s="300" t="str">
        <f>IFERROR(IF([1]F_ProductBM!K661 = "", "", [1]F_ProductBM!K661 ),"")</f>
        <v/>
      </c>
      <c r="L3367" s="300" t="str">
        <f>IFERROR(IF([1]F_ProductBM!L661 = "", "", [1]F_ProductBM!L661 ),"")</f>
        <v/>
      </c>
      <c r="M3367" s="297" t="str">
        <f>IFERROR(IF([1]F_ProductBM!M661 = "", "", [1]F_ProductBM!M661 ),"")</f>
        <v/>
      </c>
      <c r="N3367" s="297" t="str">
        <f>IFERROR(IF([1]F_ProductBM!N661 = "", "", [1]F_ProductBM!N661 ),"")</f>
        <v/>
      </c>
    </row>
    <row r="3368" spans="3:14">
      <c r="C3368" s="485"/>
      <c r="D3368" s="561" t="s">
        <v>787</v>
      </c>
      <c r="E3368" s="867" t="s">
        <v>916</v>
      </c>
      <c r="F3368" s="867"/>
      <c r="G3368" s="584" t="s">
        <v>2015</v>
      </c>
      <c r="H3368" s="307" t="str">
        <f>IFERROR(IF([1]F_ProductBM!H662 = "", "", [1]F_ProductBM!H662 ),"")</f>
        <v/>
      </c>
      <c r="I3368" s="308" t="str">
        <f>IFERROR(IF([1]F_ProductBM!I662 = "", "", [1]F_ProductBM!I662 ),"")</f>
        <v/>
      </c>
      <c r="J3368" s="309" t="str">
        <f>IFERROR(IF([1]F_ProductBM!J662 = "", "", [1]F_ProductBM!J662 ),"")</f>
        <v/>
      </c>
      <c r="K3368" s="310" t="str">
        <f>IFERROR(IF([1]F_ProductBM!K662 = "", "", [1]F_ProductBM!K662 ),"")</f>
        <v/>
      </c>
      <c r="L3368" s="310" t="str">
        <f>IFERROR(IF([1]F_ProductBM!L662 = "", "", [1]F_ProductBM!L662 ),"")</f>
        <v/>
      </c>
      <c r="M3368" s="307" t="str">
        <f>IFERROR(IF([1]F_ProductBM!M662 = "", "", [1]F_ProductBM!M662 ),"")</f>
        <v/>
      </c>
      <c r="N3368" s="307" t="str">
        <f>IFERROR(IF([1]F_ProductBM!N662 = "", "", [1]F_ProductBM!N662 ),"")</f>
        <v/>
      </c>
    </row>
    <row r="3369" spans="3:14">
      <c r="C3369" s="479"/>
      <c r="D3369" s="479"/>
      <c r="E3369" s="479"/>
      <c r="F3369" s="479"/>
      <c r="G3369" s="479"/>
      <c r="H3369" s="479"/>
      <c r="I3369" s="479"/>
      <c r="J3369" s="937"/>
      <c r="K3369" s="479"/>
      <c r="L3369" s="479"/>
      <c r="M3369" s="485"/>
      <c r="N3369" s="485"/>
    </row>
    <row r="3370" spans="3:14">
      <c r="C3370" s="479"/>
      <c r="D3370" s="561" t="s">
        <v>788</v>
      </c>
      <c r="E3370" s="698" t="s">
        <v>1389</v>
      </c>
      <c r="F3370" s="938"/>
      <c r="G3370" s="939" t="s">
        <v>1021</v>
      </c>
      <c r="H3370" s="311" t="str">
        <f>IFERROR(IF([1]F_ProductBM!H664 = "", "", [1]F_ProductBM!H664 ),"")</f>
        <v/>
      </c>
      <c r="I3370" s="312" t="str">
        <f>IFERROR(IF([1]F_ProductBM!I664 = "", "", [1]F_ProductBM!I664 ),"")</f>
        <v/>
      </c>
      <c r="J3370" s="313" t="str">
        <f>IFERROR(IF([1]F_ProductBM!J664 = "", "", [1]F_ProductBM!J664 ),"")</f>
        <v/>
      </c>
      <c r="K3370" s="314" t="str">
        <f>IFERROR(IF([1]F_ProductBM!K664 = "", "", [1]F_ProductBM!K664 ),"")</f>
        <v/>
      </c>
      <c r="L3370" s="311" t="str">
        <f>IFERROR(IF([1]F_ProductBM!L664 = "", "", [1]F_ProductBM!L664 ),"")</f>
        <v/>
      </c>
      <c r="M3370" s="311" t="str">
        <f>IFERROR(IF([1]F_ProductBM!M664 = "", "", [1]F_ProductBM!M664 ),"")</f>
        <v/>
      </c>
      <c r="N3370" s="311" t="str">
        <f>IFERROR(IF([1]F_ProductBM!N664 = "", "", [1]F_ProductBM!N664 ),"")</f>
        <v/>
      </c>
    </row>
    <row r="3371" spans="3:14">
      <c r="C3371" s="479"/>
      <c r="D3371" s="479"/>
      <c r="E3371" s="479"/>
      <c r="F3371" s="479"/>
      <c r="G3371" s="479"/>
      <c r="H3371" s="479"/>
      <c r="I3371" s="479"/>
      <c r="J3371" s="479"/>
      <c r="K3371" s="479"/>
      <c r="L3371" s="479"/>
      <c r="M3371" s="485"/>
      <c r="N3371" s="485"/>
    </row>
    <row r="3372" spans="3:14" ht="23.1" customHeight="1" thickBot="1">
      <c r="C3372" s="479"/>
      <c r="D3372" s="485"/>
      <c r="E3372" s="2465" t="s">
        <v>2703</v>
      </c>
      <c r="F3372" s="2400"/>
      <c r="G3372" s="2400"/>
      <c r="H3372" s="2400"/>
      <c r="I3372" s="2400"/>
      <c r="J3372" s="2400"/>
      <c r="K3372" s="2400"/>
      <c r="L3372" s="2400"/>
      <c r="M3372" s="2400"/>
      <c r="N3372" s="2400"/>
    </row>
    <row r="3373" spans="3:14">
      <c r="C3373" s="479"/>
      <c r="D3373" s="902"/>
      <c r="E3373" s="942"/>
      <c r="F3373" s="942"/>
      <c r="G3373" s="942"/>
      <c r="H3373" s="942"/>
      <c r="I3373" s="942"/>
      <c r="J3373" s="942"/>
      <c r="K3373" s="942"/>
      <c r="L3373" s="942"/>
      <c r="M3373" s="942"/>
      <c r="N3373" s="943"/>
    </row>
    <row r="3374" spans="3:14">
      <c r="C3374" s="479"/>
      <c r="D3374" s="907" t="s">
        <v>1915</v>
      </c>
      <c r="E3374" s="908" t="s">
        <v>1775</v>
      </c>
      <c r="F3374" s="909"/>
      <c r="G3374" s="909"/>
      <c r="H3374" s="910" t="s">
        <v>884</v>
      </c>
      <c r="I3374" s="911" t="s">
        <v>2220</v>
      </c>
      <c r="J3374" s="912">
        <v>2021</v>
      </c>
      <c r="K3374" s="913">
        <v>2022</v>
      </c>
      <c r="L3374" s="913">
        <v>2023</v>
      </c>
      <c r="M3374" s="913">
        <v>2024</v>
      </c>
      <c r="N3374" s="914">
        <v>2025</v>
      </c>
    </row>
    <row r="3375" spans="3:14">
      <c r="C3375" s="479"/>
      <c r="D3375" s="915" t="s">
        <v>6</v>
      </c>
      <c r="E3375" s="916" t="s">
        <v>1691</v>
      </c>
      <c r="F3375" s="916"/>
      <c r="G3375" s="916"/>
      <c r="H3375" s="944" t="s">
        <v>1021</v>
      </c>
      <c r="I3375" s="315" t="str">
        <f>IFERROR(IF([1]F_ProductBM!I669 = "", "", [1]F_ProductBM!I669 ),"")</f>
        <v/>
      </c>
      <c r="J3375" s="316" t="str">
        <f>IFERROR(IF([1]F_ProductBM!J669 = "", "", [1]F_ProductBM!J669 ),"")</f>
        <v/>
      </c>
      <c r="K3375" s="317" t="str">
        <f>IFERROR(IF([1]F_ProductBM!K669 = "", "", [1]F_ProductBM!K669 ),"")</f>
        <v/>
      </c>
      <c r="L3375" s="317" t="str">
        <f>IFERROR(IF([1]F_ProductBM!L669 = "", "", [1]F_ProductBM!L669 ),"")</f>
        <v/>
      </c>
      <c r="M3375" s="317" t="str">
        <f>IFERROR(IF([1]F_ProductBM!M669 = "", "", [1]F_ProductBM!M669 ),"")</f>
        <v/>
      </c>
      <c r="N3375" s="318" t="str">
        <f>IFERROR(IF([1]F_ProductBM!N669 = "", "", [1]F_ProductBM!N669 ),"")</f>
        <v/>
      </c>
    </row>
    <row r="3376" spans="3:14">
      <c r="C3376" s="479"/>
      <c r="D3376" s="915"/>
      <c r="E3376" s="916" t="s">
        <v>1776</v>
      </c>
      <c r="F3376" s="916"/>
      <c r="G3376" s="916"/>
      <c r="H3376" s="921"/>
      <c r="I3376" s="916"/>
      <c r="J3376" s="319" t="str">
        <f>IFERROR(IF([1]F_ProductBM!J670 = "", "", [1]F_ProductBM!J670 ),"")</f>
        <v/>
      </c>
      <c r="K3376" s="320" t="str">
        <f>IFERROR(IF([1]F_ProductBM!K670 = "", "", [1]F_ProductBM!K670 ),"")</f>
        <v/>
      </c>
      <c r="L3376" s="320" t="str">
        <f>IFERROR(IF([1]F_ProductBM!L670 = "", "", [1]F_ProductBM!L670 ),"")</f>
        <v/>
      </c>
      <c r="M3376" s="320" t="str">
        <f>IFERROR(IF([1]F_ProductBM!M670 = "", "", [1]F_ProductBM!M670 ),"")</f>
        <v/>
      </c>
      <c r="N3376" s="321" t="str">
        <f>IFERROR(IF([1]F_ProductBM!N670 = "", "", [1]F_ProductBM!N670 ),"")</f>
        <v/>
      </c>
    </row>
    <row r="3377" spans="3:14">
      <c r="C3377" s="479"/>
      <c r="D3377" s="915" t="s">
        <v>7</v>
      </c>
      <c r="E3377" s="916" t="s">
        <v>1654</v>
      </c>
      <c r="F3377" s="916"/>
      <c r="G3377" s="916"/>
      <c r="H3377" s="921"/>
      <c r="I3377" s="916"/>
      <c r="J3377" s="288" t="str">
        <f>IFERROR(IF([1]F_ProductBM!J671 = "", "", [1]F_ProductBM!J671 ),"")</f>
        <v/>
      </c>
      <c r="K3377" s="289" t="str">
        <f>IFERROR(IF([1]F_ProductBM!K671 = "", "", [1]F_ProductBM!K671 ),"")</f>
        <v/>
      </c>
      <c r="L3377" s="289" t="str">
        <f>IFERROR(IF([1]F_ProductBM!L671 = "", "", [1]F_ProductBM!L671 ),"")</f>
        <v/>
      </c>
      <c r="M3377" s="289" t="str">
        <f>IFERROR(IF([1]F_ProductBM!M671 = "", "", [1]F_ProductBM!M671 ),"")</f>
        <v/>
      </c>
      <c r="N3377" s="290" t="str">
        <f>IFERROR(IF([1]F_ProductBM!N671 = "", "", [1]F_ProductBM!N671 ),"")</f>
        <v/>
      </c>
    </row>
    <row r="3378" spans="3:14">
      <c r="C3378" s="479"/>
      <c r="D3378" s="915"/>
      <c r="E3378" s="916" t="s">
        <v>1689</v>
      </c>
      <c r="F3378" s="916"/>
      <c r="G3378" s="916"/>
      <c r="H3378" s="944" t="s">
        <v>1021</v>
      </c>
      <c r="I3378" s="315" t="str">
        <f>IFERROR(IF([1]F_ProductBM!I672 = "", "", [1]F_ProductBM!I672 ),"")</f>
        <v/>
      </c>
      <c r="J3378" s="322" t="str">
        <f>IFERROR(IF([1]F_ProductBM!J672 = "", "", [1]F_ProductBM!J672 ),"")</f>
        <v/>
      </c>
      <c r="K3378" s="323" t="str">
        <f>IFERROR(IF([1]F_ProductBM!K672 = "", "", [1]F_ProductBM!K672 ),"")</f>
        <v/>
      </c>
      <c r="L3378" s="323" t="str">
        <f>IFERROR(IF([1]F_ProductBM!L672 = "", "", [1]F_ProductBM!L672 ),"")</f>
        <v/>
      </c>
      <c r="M3378" s="323" t="str">
        <f>IFERROR(IF([1]F_ProductBM!M672 = "", "", [1]F_ProductBM!M672 ),"")</f>
        <v/>
      </c>
      <c r="N3378" s="324" t="str">
        <f>IFERROR(IF([1]F_ProductBM!N672 = "", "", [1]F_ProductBM!N672 ),"")</f>
        <v/>
      </c>
    </row>
    <row r="3379" spans="3:14">
      <c r="C3379" s="479"/>
      <c r="D3379" s="915"/>
      <c r="E3379" s="909"/>
      <c r="F3379" s="909"/>
      <c r="G3379" s="909"/>
      <c r="H3379" s="909"/>
      <c r="I3379" s="909"/>
      <c r="J3379" s="909"/>
      <c r="K3379" s="909"/>
      <c r="L3379" s="909"/>
      <c r="M3379" s="909"/>
      <c r="N3379" s="922"/>
    </row>
    <row r="3380" spans="3:14">
      <c r="C3380" s="479"/>
      <c r="D3380" s="915"/>
      <c r="E3380" s="923" t="s">
        <v>1653</v>
      </c>
      <c r="F3380" s="923"/>
      <c r="G3380" s="923"/>
      <c r="H3380" s="923"/>
      <c r="I3380" s="923"/>
      <c r="J3380" s="912">
        <v>2021</v>
      </c>
      <c r="K3380" s="913">
        <v>2022</v>
      </c>
      <c r="L3380" s="913">
        <v>2023</v>
      </c>
      <c r="M3380" s="913">
        <v>2024</v>
      </c>
      <c r="N3380" s="914">
        <v>2025</v>
      </c>
    </row>
    <row r="3381" spans="3:14">
      <c r="C3381" s="479"/>
      <c r="D3381" s="915" t="s">
        <v>8</v>
      </c>
      <c r="E3381" s="916" t="s">
        <v>2108</v>
      </c>
      <c r="F3381" s="916"/>
      <c r="G3381" s="916"/>
      <c r="H3381" s="916"/>
      <c r="I3381" s="916"/>
      <c r="J3381" s="69" t="str">
        <f>IFERROR(IF([1]F_ProductBM!J675 = "", "", [1]F_ProductBM!J675 ),"")</f>
        <v/>
      </c>
      <c r="K3381" s="62" t="str">
        <f>IFERROR(IF([1]F_ProductBM!K675 = "", "", [1]F_ProductBM!K675 ),"")</f>
        <v/>
      </c>
      <c r="L3381" s="62" t="str">
        <f>IFERROR(IF([1]F_ProductBM!L675 = "", "", [1]F_ProductBM!L675 ),"")</f>
        <v/>
      </c>
      <c r="M3381" s="62" t="str">
        <f>IFERROR(IF([1]F_ProductBM!M675 = "", "", [1]F_ProductBM!M675 ),"")</f>
        <v/>
      </c>
      <c r="N3381" s="70" t="str">
        <f>IFERROR(IF([1]F_ProductBM!N675 = "", "", [1]F_ProductBM!N675 ),"")</f>
        <v/>
      </c>
    </row>
    <row r="3382" spans="3:14" ht="13.5" thickBot="1">
      <c r="C3382" s="479"/>
      <c r="D3382" s="915"/>
      <c r="E3382" s="909"/>
      <c r="F3382" s="909"/>
      <c r="G3382" s="909"/>
      <c r="H3382" s="909"/>
      <c r="I3382" s="909"/>
      <c r="J3382" s="909"/>
      <c r="K3382" s="909"/>
      <c r="L3382" s="909"/>
      <c r="M3382" s="909"/>
      <c r="N3382" s="922"/>
    </row>
    <row r="3383" spans="3:14" ht="13.5" thickBot="1">
      <c r="C3383" s="479"/>
      <c r="D3383" s="915" t="s">
        <v>18</v>
      </c>
      <c r="E3383" s="916" t="s">
        <v>1657</v>
      </c>
      <c r="F3383" s="916"/>
      <c r="G3383" s="916"/>
      <c r="H3383" s="921"/>
      <c r="I3383" s="916"/>
      <c r="J3383" s="291" t="str">
        <f>IFERROR(IF([1]F_ProductBM!J677 = "", "", [1]F_ProductBM!J677 ),"")</f>
        <v/>
      </c>
      <c r="K3383" s="292" t="str">
        <f>IFERROR(IF([1]F_ProductBM!K677 = "", "", [1]F_ProductBM!K677 ),"")</f>
        <v/>
      </c>
      <c r="L3383" s="292" t="str">
        <f>IFERROR(IF([1]F_ProductBM!L677 = "", "", [1]F_ProductBM!L677 ),"")</f>
        <v/>
      </c>
      <c r="M3383" s="292" t="str">
        <f>IFERROR(IF([1]F_ProductBM!M677 = "", "", [1]F_ProductBM!M677 ),"")</f>
        <v/>
      </c>
      <c r="N3383" s="293" t="str">
        <f>IFERROR(IF([1]F_ProductBM!N677 = "", "", [1]F_ProductBM!N677 ),"")</f>
        <v/>
      </c>
    </row>
    <row r="3384" spans="3:14" ht="13.5" thickBot="1">
      <c r="C3384" s="479"/>
      <c r="D3384" s="915" t="s">
        <v>787</v>
      </c>
      <c r="E3384" s="916" t="s">
        <v>1659</v>
      </c>
      <c r="F3384" s="916"/>
      <c r="G3384" s="916"/>
      <c r="H3384" s="944" t="s">
        <v>1021</v>
      </c>
      <c r="I3384" s="315" t="str">
        <f>IFERROR(IF([1]F_ProductBM!I678 = "", "", [1]F_ProductBM!I678 ),"")</f>
        <v/>
      </c>
      <c r="J3384" s="325" t="str">
        <f>IFERROR(IF([1]F_ProductBM!J678 = "", "", [1]F_ProductBM!J678 ),"")</f>
        <v/>
      </c>
      <c r="K3384" s="326" t="str">
        <f>IFERROR(IF([1]F_ProductBM!K678 = "", "", [1]F_ProductBM!K678 ),"")</f>
        <v/>
      </c>
      <c r="L3384" s="326" t="str">
        <f>IFERROR(IF([1]F_ProductBM!L678 = "", "", [1]F_ProductBM!L678 ),"")</f>
        <v/>
      </c>
      <c r="M3384" s="326" t="str">
        <f>IFERROR(IF([1]F_ProductBM!M678 = "", "", [1]F_ProductBM!M678 ),"")</f>
        <v/>
      </c>
      <c r="N3384" s="327" t="str">
        <f>IFERROR(IF([1]F_ProductBM!N678 = "", "", [1]F_ProductBM!N678 ),"")</f>
        <v/>
      </c>
    </row>
    <row r="3385" spans="3:14" ht="13.5" thickBot="1">
      <c r="C3385" s="479"/>
      <c r="D3385" s="946"/>
      <c r="E3385" s="947"/>
      <c r="F3385" s="947"/>
      <c r="G3385" s="947"/>
      <c r="H3385" s="947"/>
      <c r="I3385" s="947"/>
      <c r="J3385" s="947"/>
      <c r="K3385" s="947"/>
      <c r="L3385" s="947"/>
      <c r="M3385" s="925"/>
      <c r="N3385" s="926"/>
    </row>
    <row r="3386" spans="3:14">
      <c r="C3386" s="479"/>
      <c r="D3386" s="479"/>
      <c r="E3386" s="479"/>
      <c r="F3386" s="479"/>
      <c r="G3386" s="479"/>
      <c r="H3386" s="479"/>
      <c r="I3386" s="479"/>
      <c r="J3386" s="479"/>
      <c r="K3386" s="479"/>
      <c r="L3386" s="479"/>
      <c r="M3386" s="485"/>
      <c r="N3386" s="485"/>
    </row>
    <row r="3387" spans="3:14">
      <c r="C3387" s="479"/>
      <c r="D3387" s="482" t="s">
        <v>881</v>
      </c>
      <c r="E3387" s="2373" t="s">
        <v>941</v>
      </c>
      <c r="F3387" s="2373"/>
      <c r="G3387" s="2373"/>
      <c r="H3387" s="2373"/>
      <c r="I3387" s="2604"/>
      <c r="J3387" s="2652" t="s">
        <v>1857</v>
      </c>
      <c r="K3387" s="2653"/>
      <c r="L3387" s="2653"/>
      <c r="M3387" s="2653"/>
      <c r="N3387" s="2654"/>
    </row>
    <row r="3388" spans="3:14">
      <c r="C3388" s="479"/>
      <c r="D3388" s="485"/>
      <c r="E3388" s="2465" t="s">
        <v>1368</v>
      </c>
      <c r="F3388" s="2400"/>
      <c r="G3388" s="2400"/>
      <c r="H3388" s="2400"/>
      <c r="I3388" s="2400"/>
      <c r="J3388" s="2400"/>
      <c r="K3388" s="2400"/>
      <c r="L3388" s="2400"/>
      <c r="M3388" s="2400"/>
      <c r="N3388" s="2400"/>
    </row>
    <row r="3389" spans="3:14">
      <c r="C3389" s="479"/>
      <c r="D3389" s="485"/>
      <c r="E3389" s="2465" t="s">
        <v>1474</v>
      </c>
      <c r="F3389" s="2400"/>
      <c r="G3389" s="2400"/>
      <c r="H3389" s="2400"/>
      <c r="I3389" s="2400"/>
      <c r="J3389" s="2400"/>
      <c r="K3389" s="2400"/>
      <c r="L3389" s="2400"/>
      <c r="M3389" s="2400"/>
      <c r="N3389" s="2400"/>
    </row>
    <row r="3390" spans="3:14">
      <c r="C3390" s="479"/>
      <c r="D3390" s="485"/>
      <c r="E3390" s="2465" t="s">
        <v>1300</v>
      </c>
      <c r="F3390" s="2400"/>
      <c r="G3390" s="2400"/>
      <c r="H3390" s="2400"/>
      <c r="I3390" s="2400"/>
      <c r="J3390" s="2400"/>
      <c r="K3390" s="2400"/>
      <c r="L3390" s="2400"/>
      <c r="M3390" s="2400"/>
      <c r="N3390" s="2400"/>
    </row>
    <row r="3391" spans="3:14">
      <c r="C3391" s="479"/>
      <c r="D3391" s="485"/>
      <c r="E3391" s="2465" t="s">
        <v>1608</v>
      </c>
      <c r="F3391" s="2400"/>
      <c r="G3391" s="2400"/>
      <c r="H3391" s="2400"/>
      <c r="I3391" s="2400"/>
      <c r="J3391" s="2400"/>
      <c r="K3391" s="2400"/>
      <c r="L3391" s="2400"/>
      <c r="M3391" s="2400"/>
      <c r="N3391" s="2400"/>
    </row>
    <row r="3392" spans="3:14">
      <c r="C3392" s="485"/>
      <c r="D3392" s="482"/>
      <c r="E3392" s="927" t="s">
        <v>62</v>
      </c>
      <c r="F3392" s="518"/>
      <c r="G3392" s="663" t="s">
        <v>884</v>
      </c>
      <c r="H3392" s="578">
        <v>2019</v>
      </c>
      <c r="I3392" s="697">
        <v>2020</v>
      </c>
      <c r="J3392" s="696">
        <v>2021</v>
      </c>
      <c r="K3392" s="578">
        <v>2022</v>
      </c>
      <c r="L3392" s="578">
        <v>2023</v>
      </c>
      <c r="M3392" s="578">
        <v>2024</v>
      </c>
      <c r="N3392" s="578">
        <v>2025</v>
      </c>
    </row>
    <row r="3393" spans="3:14" ht="25.5">
      <c r="C3393" s="485"/>
      <c r="D3393" s="561" t="s">
        <v>6</v>
      </c>
      <c r="E3393" s="948" t="s">
        <v>650</v>
      </c>
      <c r="F3393" s="948"/>
      <c r="G3393" s="730" t="s">
        <v>2017</v>
      </c>
      <c r="H3393" s="93" t="str">
        <f>IFERROR(IF([1]F_ProductBM!H687 = "", "", [1]F_ProductBM!H687 ),"")</f>
        <v/>
      </c>
      <c r="I3393" s="116" t="str">
        <f>IFERROR(IF([1]F_ProductBM!I687 = "", "", [1]F_ProductBM!I687 ),"")</f>
        <v/>
      </c>
      <c r="J3393" s="117" t="str">
        <f>IFERROR(IF([1]F_ProductBM!J687 = "", "", [1]F_ProductBM!J687 ),"")</f>
        <v/>
      </c>
      <c r="K3393" s="93" t="str">
        <f>IFERROR(IF([1]F_ProductBM!K687 = "", "", [1]F_ProductBM!K687 ),"")</f>
        <v/>
      </c>
      <c r="L3393" s="93" t="str">
        <f>IFERROR(IF([1]F_ProductBM!L687 = "", "", [1]F_ProductBM!L687 ),"")</f>
        <v/>
      </c>
      <c r="M3393" s="93" t="str">
        <f>IFERROR(IF([1]F_ProductBM!M687 = "", "", [1]F_ProductBM!M687 ),"")</f>
        <v/>
      </c>
      <c r="N3393" s="93" t="str">
        <f>IFERROR(IF([1]F_ProductBM!N687 = "", "", [1]F_ProductBM!N687 ),"")</f>
        <v/>
      </c>
    </row>
    <row r="3394" spans="3:14" ht="25.5">
      <c r="C3394" s="485"/>
      <c r="D3394" s="561" t="s">
        <v>7</v>
      </c>
      <c r="E3394" s="863" t="s">
        <v>107</v>
      </c>
      <c r="F3394" s="863"/>
      <c r="G3394" s="950" t="s">
        <v>1022</v>
      </c>
      <c r="H3394" s="328" t="str">
        <f>IFERROR(IF([1]F_ProductBM!H688 = "", "", [1]F_ProductBM!H688 ),"")</f>
        <v/>
      </c>
      <c r="I3394" s="329" t="str">
        <f>IFERROR(IF([1]F_ProductBM!I688 = "", "", [1]F_ProductBM!I688 ),"")</f>
        <v/>
      </c>
      <c r="J3394" s="330" t="str">
        <f>IFERROR(IF([1]F_ProductBM!J688 = "", "", [1]F_ProductBM!J688 ),"")</f>
        <v/>
      </c>
      <c r="K3394" s="328" t="str">
        <f>IFERROR(IF([1]F_ProductBM!K688 = "", "", [1]F_ProductBM!K688 ),"")</f>
        <v/>
      </c>
      <c r="L3394" s="328" t="str">
        <f>IFERROR(IF([1]F_ProductBM!L688 = "", "", [1]F_ProductBM!L688 ),"")</f>
        <v/>
      </c>
      <c r="M3394" s="328" t="str">
        <f>IFERROR(IF([1]F_ProductBM!M688 = "", "", [1]F_ProductBM!M688 ),"")</f>
        <v/>
      </c>
      <c r="N3394" s="328" t="str">
        <f>IFERROR(IF([1]F_ProductBM!N688 = "", "", [1]F_ProductBM!N688 ),"")</f>
        <v/>
      </c>
    </row>
    <row r="3395" spans="3:14" ht="25.5">
      <c r="C3395" s="485"/>
      <c r="D3395" s="561" t="s">
        <v>8</v>
      </c>
      <c r="E3395" s="571" t="s">
        <v>1548</v>
      </c>
      <c r="F3395" s="571"/>
      <c r="G3395" s="951" t="s">
        <v>1022</v>
      </c>
      <c r="H3395" s="331" t="str">
        <f>IFERROR(IF([1]F_ProductBM!H689 = "", "", [1]F_ProductBM!H689 ),"")</f>
        <v/>
      </c>
      <c r="I3395" s="332" t="str">
        <f>IFERROR(IF([1]F_ProductBM!I689 = "", "", [1]F_ProductBM!I689 ),"")</f>
        <v/>
      </c>
      <c r="J3395" s="333" t="str">
        <f>IFERROR(IF([1]F_ProductBM!J689 = "", "", [1]F_ProductBM!J689 ),"")</f>
        <v/>
      </c>
      <c r="K3395" s="331" t="str">
        <f>IFERROR(IF([1]F_ProductBM!K689 = "", "", [1]F_ProductBM!K689 ),"")</f>
        <v/>
      </c>
      <c r="L3395" s="331" t="str">
        <f>IFERROR(IF([1]F_ProductBM!L689 = "", "", [1]F_ProductBM!L689 ),"")</f>
        <v/>
      </c>
      <c r="M3395" s="331" t="str">
        <f>IFERROR(IF([1]F_ProductBM!M689 = "", "", [1]F_ProductBM!M689 ),"")</f>
        <v/>
      </c>
      <c r="N3395" s="331" t="str">
        <f>IFERROR(IF([1]F_ProductBM!N689 = "", "", [1]F_ProductBM!N689 ),"")</f>
        <v/>
      </c>
    </row>
    <row r="3396" spans="3:14">
      <c r="C3396" s="485"/>
      <c r="D3396" s="485"/>
      <c r="E3396" s="485"/>
      <c r="F3396" s="485"/>
      <c r="G3396" s="485"/>
      <c r="H3396" s="485"/>
      <c r="I3396" s="952"/>
      <c r="J3396" s="485"/>
      <c r="K3396" s="485"/>
      <c r="L3396" s="485"/>
      <c r="M3396" s="485"/>
      <c r="N3396" s="485"/>
    </row>
    <row r="3397" spans="3:14" ht="25.5" customHeight="1" thickBot="1">
      <c r="C3397" s="479"/>
      <c r="D3397" s="485"/>
      <c r="E3397" s="2465" t="s">
        <v>2709</v>
      </c>
      <c r="F3397" s="2400"/>
      <c r="G3397" s="2400"/>
      <c r="H3397" s="2400"/>
      <c r="I3397" s="2400"/>
      <c r="J3397" s="2400"/>
      <c r="K3397" s="2400"/>
      <c r="L3397" s="2400"/>
      <c r="M3397" s="2400"/>
      <c r="N3397" s="2400"/>
    </row>
    <row r="3398" spans="3:14">
      <c r="C3398" s="479"/>
      <c r="D3398" s="902"/>
      <c r="E3398" s="904"/>
      <c r="F3398" s="953"/>
      <c r="G3398" s="953"/>
      <c r="H3398" s="953"/>
      <c r="I3398" s="953"/>
      <c r="J3398" s="953"/>
      <c r="K3398" s="953"/>
      <c r="L3398" s="953"/>
      <c r="M3398" s="953"/>
      <c r="N3398" s="954"/>
    </row>
    <row r="3399" spans="3:14">
      <c r="C3399" s="479"/>
      <c r="D3399" s="907" t="s">
        <v>1916</v>
      </c>
      <c r="E3399" s="908" t="s">
        <v>1774</v>
      </c>
      <c r="F3399" s="909"/>
      <c r="G3399" s="909"/>
      <c r="H3399" s="910" t="s">
        <v>884</v>
      </c>
      <c r="I3399" s="911" t="s">
        <v>2213</v>
      </c>
      <c r="J3399" s="912">
        <v>2021</v>
      </c>
      <c r="K3399" s="913">
        <v>2022</v>
      </c>
      <c r="L3399" s="913">
        <v>2023</v>
      </c>
      <c r="M3399" s="913">
        <v>2024</v>
      </c>
      <c r="N3399" s="914">
        <v>2025</v>
      </c>
    </row>
    <row r="3400" spans="3:14">
      <c r="C3400" s="479"/>
      <c r="D3400" s="915" t="s">
        <v>6</v>
      </c>
      <c r="E3400" s="916" t="s">
        <v>1691</v>
      </c>
      <c r="F3400" s="916"/>
      <c r="G3400" s="916"/>
      <c r="H3400" s="944" t="s">
        <v>471</v>
      </c>
      <c r="I3400" s="281" t="str">
        <f>IFERROR(IF([1]F_ProductBM!I694 = "", "", [1]F_ProductBM!I694 ),"")</f>
        <v/>
      </c>
      <c r="J3400" s="334" t="str">
        <f>IFERROR(IF([1]F_ProductBM!J694 = "", "", [1]F_ProductBM!J694 ),"")</f>
        <v/>
      </c>
      <c r="K3400" s="335" t="str">
        <f>IFERROR(IF([1]F_ProductBM!K694 = "", "", [1]F_ProductBM!K694 ),"")</f>
        <v/>
      </c>
      <c r="L3400" s="335" t="str">
        <f>IFERROR(IF([1]F_ProductBM!L694 = "", "", [1]F_ProductBM!L694 ),"")</f>
        <v/>
      </c>
      <c r="M3400" s="335" t="str">
        <f>IFERROR(IF([1]F_ProductBM!M694 = "", "", [1]F_ProductBM!M694 ),"")</f>
        <v/>
      </c>
      <c r="N3400" s="336" t="str">
        <f>IFERROR(IF([1]F_ProductBM!N694 = "", "", [1]F_ProductBM!N694 ),"")</f>
        <v/>
      </c>
    </row>
    <row r="3401" spans="3:14">
      <c r="C3401" s="479"/>
      <c r="D3401" s="915"/>
      <c r="E3401" s="916" t="s">
        <v>1776</v>
      </c>
      <c r="F3401" s="916"/>
      <c r="G3401" s="916"/>
      <c r="H3401" s="921"/>
      <c r="I3401" s="916"/>
      <c r="J3401" s="319" t="str">
        <f>IFERROR(IF([1]F_ProductBM!J695 = "", "", [1]F_ProductBM!J695 ),"")</f>
        <v/>
      </c>
      <c r="K3401" s="320" t="str">
        <f>IFERROR(IF([1]F_ProductBM!K695 = "", "", [1]F_ProductBM!K695 ),"")</f>
        <v/>
      </c>
      <c r="L3401" s="320" t="str">
        <f>IFERROR(IF([1]F_ProductBM!L695 = "", "", [1]F_ProductBM!L695 ),"")</f>
        <v/>
      </c>
      <c r="M3401" s="320" t="str">
        <f>IFERROR(IF([1]F_ProductBM!M695 = "", "", [1]F_ProductBM!M695 ),"")</f>
        <v/>
      </c>
      <c r="N3401" s="321" t="str">
        <f>IFERROR(IF([1]F_ProductBM!N695 = "", "", [1]F_ProductBM!N695 ),"")</f>
        <v/>
      </c>
    </row>
    <row r="3402" spans="3:14">
      <c r="C3402" s="479"/>
      <c r="D3402" s="915" t="s">
        <v>7</v>
      </c>
      <c r="E3402" s="916" t="s">
        <v>1654</v>
      </c>
      <c r="F3402" s="916"/>
      <c r="G3402" s="916"/>
      <c r="H3402" s="921"/>
      <c r="I3402" s="916"/>
      <c r="J3402" s="288" t="str">
        <f>IFERROR(IF([1]F_ProductBM!J696 = "", "", [1]F_ProductBM!J696 ),"")</f>
        <v/>
      </c>
      <c r="K3402" s="289" t="str">
        <f>IFERROR(IF([1]F_ProductBM!K696 = "", "", [1]F_ProductBM!K696 ),"")</f>
        <v/>
      </c>
      <c r="L3402" s="289" t="str">
        <f>IFERROR(IF([1]F_ProductBM!L696 = "", "", [1]F_ProductBM!L696 ),"")</f>
        <v/>
      </c>
      <c r="M3402" s="289" t="str">
        <f>IFERROR(IF([1]F_ProductBM!M696 = "", "", [1]F_ProductBM!M696 ),"")</f>
        <v/>
      </c>
      <c r="N3402" s="290" t="str">
        <f>IFERROR(IF([1]F_ProductBM!N696 = "", "", [1]F_ProductBM!N696 ),"")</f>
        <v/>
      </c>
    </row>
    <row r="3403" spans="3:14">
      <c r="C3403" s="479"/>
      <c r="D3403" s="915"/>
      <c r="E3403" s="916" t="s">
        <v>1689</v>
      </c>
      <c r="F3403" s="916"/>
      <c r="G3403" s="916"/>
      <c r="H3403" s="944" t="s">
        <v>471</v>
      </c>
      <c r="I3403" s="281" t="str">
        <f>IFERROR(IF([1]F_ProductBM!I697 = "", "", [1]F_ProductBM!I697 ),"")</f>
        <v/>
      </c>
      <c r="J3403" s="282" t="str">
        <f>IFERROR(IF([1]F_ProductBM!J697 = "", "", [1]F_ProductBM!J697 ),"")</f>
        <v/>
      </c>
      <c r="K3403" s="283" t="str">
        <f>IFERROR(IF([1]F_ProductBM!K697 = "", "", [1]F_ProductBM!K697 ),"")</f>
        <v/>
      </c>
      <c r="L3403" s="283" t="str">
        <f>IFERROR(IF([1]F_ProductBM!L697 = "", "", [1]F_ProductBM!L697 ),"")</f>
        <v/>
      </c>
      <c r="M3403" s="283" t="str">
        <f>IFERROR(IF([1]F_ProductBM!M697 = "", "", [1]F_ProductBM!M697 ),"")</f>
        <v/>
      </c>
      <c r="N3403" s="284" t="str">
        <f>IFERROR(IF([1]F_ProductBM!N697 = "", "", [1]F_ProductBM!N697 ),"")</f>
        <v/>
      </c>
    </row>
    <row r="3404" spans="3:14">
      <c r="C3404" s="479"/>
      <c r="D3404" s="915"/>
      <c r="E3404" s="909"/>
      <c r="F3404" s="909"/>
      <c r="G3404" s="909"/>
      <c r="H3404" s="909"/>
      <c r="I3404" s="909"/>
      <c r="J3404" s="909"/>
      <c r="K3404" s="909"/>
      <c r="L3404" s="909"/>
      <c r="M3404" s="909"/>
      <c r="N3404" s="922"/>
    </row>
    <row r="3405" spans="3:14">
      <c r="C3405" s="479"/>
      <c r="D3405" s="915"/>
      <c r="E3405" s="923" t="s">
        <v>1653</v>
      </c>
      <c r="F3405" s="923"/>
      <c r="G3405" s="923"/>
      <c r="H3405" s="923"/>
      <c r="I3405" s="923"/>
      <c r="J3405" s="912">
        <v>2021</v>
      </c>
      <c r="K3405" s="913">
        <v>2022</v>
      </c>
      <c r="L3405" s="913">
        <v>2023</v>
      </c>
      <c r="M3405" s="913">
        <v>2024</v>
      </c>
      <c r="N3405" s="914">
        <v>2025</v>
      </c>
    </row>
    <row r="3406" spans="3:14">
      <c r="C3406" s="479"/>
      <c r="D3406" s="915" t="s">
        <v>8</v>
      </c>
      <c r="E3406" s="916" t="s">
        <v>2108</v>
      </c>
      <c r="F3406" s="916"/>
      <c r="G3406" s="916"/>
      <c r="H3406" s="916"/>
      <c r="I3406" s="916"/>
      <c r="J3406" s="69" t="str">
        <f>IFERROR(IF([1]F_ProductBM!J700 = "", "", [1]F_ProductBM!J700 ),"")</f>
        <v/>
      </c>
      <c r="K3406" s="62" t="str">
        <f>IFERROR(IF([1]F_ProductBM!K700 = "", "", [1]F_ProductBM!K700 ),"")</f>
        <v/>
      </c>
      <c r="L3406" s="62" t="str">
        <f>IFERROR(IF([1]F_ProductBM!L700 = "", "", [1]F_ProductBM!L700 ),"")</f>
        <v/>
      </c>
      <c r="M3406" s="62" t="str">
        <f>IFERROR(IF([1]F_ProductBM!M700 = "", "", [1]F_ProductBM!M700 ),"")</f>
        <v/>
      </c>
      <c r="N3406" s="70" t="str">
        <f>IFERROR(IF([1]F_ProductBM!N700 = "", "", [1]F_ProductBM!N700 ),"")</f>
        <v/>
      </c>
    </row>
    <row r="3407" spans="3:14" ht="13.5" thickBot="1">
      <c r="C3407" s="479"/>
      <c r="D3407" s="915"/>
      <c r="E3407" s="909"/>
      <c r="F3407" s="909"/>
      <c r="G3407" s="909"/>
      <c r="H3407" s="909"/>
      <c r="I3407" s="909"/>
      <c r="J3407" s="909"/>
      <c r="K3407" s="909"/>
      <c r="L3407" s="909"/>
      <c r="M3407" s="909"/>
      <c r="N3407" s="922"/>
    </row>
    <row r="3408" spans="3:14" ht="13.5" thickBot="1">
      <c r="C3408" s="479"/>
      <c r="D3408" s="915" t="s">
        <v>18</v>
      </c>
      <c r="E3408" s="916" t="s">
        <v>1657</v>
      </c>
      <c r="F3408" s="916"/>
      <c r="G3408" s="916"/>
      <c r="H3408" s="921"/>
      <c r="I3408" s="916"/>
      <c r="J3408" s="291" t="str">
        <f>IFERROR(IF([1]F_ProductBM!J702 = "", "", [1]F_ProductBM!J702 ),"")</f>
        <v/>
      </c>
      <c r="K3408" s="292" t="str">
        <f>IFERROR(IF([1]F_ProductBM!K702 = "", "", [1]F_ProductBM!K702 ),"")</f>
        <v/>
      </c>
      <c r="L3408" s="292" t="str">
        <f>IFERROR(IF([1]F_ProductBM!L702 = "", "", [1]F_ProductBM!L702 ),"")</f>
        <v/>
      </c>
      <c r="M3408" s="292" t="str">
        <f>IFERROR(IF([1]F_ProductBM!M702 = "", "", [1]F_ProductBM!M702 ),"")</f>
        <v/>
      </c>
      <c r="N3408" s="293" t="str">
        <f>IFERROR(IF([1]F_ProductBM!N702 = "", "", [1]F_ProductBM!N702 ),"")</f>
        <v/>
      </c>
    </row>
    <row r="3409" spans="3:14" ht="13.5" thickBot="1">
      <c r="C3409" s="479"/>
      <c r="D3409" s="915" t="s">
        <v>787</v>
      </c>
      <c r="E3409" s="916" t="s">
        <v>1659</v>
      </c>
      <c r="F3409" s="916"/>
      <c r="G3409" s="916"/>
      <c r="H3409" s="944" t="s">
        <v>471</v>
      </c>
      <c r="I3409" s="281" t="str">
        <f>IFERROR(IF([1]F_ProductBM!I703 = "", "", [1]F_ProductBM!I703 ),"")</f>
        <v/>
      </c>
      <c r="J3409" s="294" t="str">
        <f>IFERROR(IF([1]F_ProductBM!J703 = "", "", [1]F_ProductBM!J703 ),"")</f>
        <v/>
      </c>
      <c r="K3409" s="295" t="str">
        <f>IFERROR(IF([1]F_ProductBM!K703 = "", "", [1]F_ProductBM!K703 ),"")</f>
        <v/>
      </c>
      <c r="L3409" s="295" t="str">
        <f>IFERROR(IF([1]F_ProductBM!L703 = "", "", [1]F_ProductBM!L703 ),"")</f>
        <v/>
      </c>
      <c r="M3409" s="295" t="str">
        <f>IFERROR(IF([1]F_ProductBM!M703 = "", "", [1]F_ProductBM!M703 ),"")</f>
        <v/>
      </c>
      <c r="N3409" s="296" t="str">
        <f>IFERROR(IF([1]F_ProductBM!N703 = "", "", [1]F_ProductBM!N703 ),"")</f>
        <v/>
      </c>
    </row>
    <row r="3410" spans="3:14" ht="13.5" thickBot="1">
      <c r="C3410" s="485"/>
      <c r="D3410" s="924"/>
      <c r="E3410" s="925"/>
      <c r="F3410" s="925"/>
      <c r="G3410" s="925"/>
      <c r="H3410" s="925"/>
      <c r="I3410" s="955"/>
      <c r="J3410" s="925"/>
      <c r="K3410" s="925"/>
      <c r="L3410" s="925"/>
      <c r="M3410" s="925"/>
      <c r="N3410" s="926"/>
    </row>
    <row r="3411" spans="3:14">
      <c r="C3411" s="485"/>
      <c r="D3411" s="485"/>
      <c r="E3411" s="485"/>
      <c r="F3411" s="485"/>
      <c r="G3411" s="485"/>
      <c r="H3411" s="485"/>
      <c r="I3411" s="952"/>
      <c r="J3411" s="485"/>
      <c r="K3411" s="485"/>
      <c r="L3411" s="485"/>
      <c r="M3411" s="485"/>
      <c r="N3411" s="485"/>
    </row>
    <row r="3412" spans="3:14" ht="15">
      <c r="C3412" s="856"/>
      <c r="D3412" s="2482" t="s">
        <v>103</v>
      </c>
      <c r="E3412" s="2400"/>
      <c r="F3412" s="2400"/>
      <c r="G3412" s="2400"/>
      <c r="H3412" s="2400"/>
      <c r="I3412" s="2400"/>
      <c r="J3412" s="2400"/>
      <c r="K3412" s="2400"/>
      <c r="L3412" s="2400"/>
      <c r="M3412" s="2400"/>
      <c r="N3412" s="2400"/>
    </row>
    <row r="3413" spans="3:14">
      <c r="C3413" s="479"/>
      <c r="D3413" s="479"/>
      <c r="E3413" s="479"/>
      <c r="F3413" s="479"/>
      <c r="G3413" s="479"/>
      <c r="H3413" s="479"/>
      <c r="I3413" s="479"/>
      <c r="J3413" s="479"/>
      <c r="K3413" s="479"/>
      <c r="L3413" s="479"/>
      <c r="M3413" s="479"/>
      <c r="N3413" s="479"/>
    </row>
    <row r="3414" spans="3:14">
      <c r="C3414" s="482"/>
      <c r="D3414" s="482" t="s">
        <v>57</v>
      </c>
      <c r="E3414" s="2373" t="s">
        <v>108</v>
      </c>
      <c r="F3414" s="2400"/>
      <c r="G3414" s="2400"/>
      <c r="H3414" s="2400"/>
      <c r="I3414" s="2400"/>
      <c r="J3414" s="2400"/>
      <c r="K3414" s="2400"/>
      <c r="L3414" s="2400"/>
      <c r="M3414" s="2400"/>
      <c r="N3414" s="2400"/>
    </row>
    <row r="3415" spans="3:14">
      <c r="C3415" s="485"/>
      <c r="D3415" s="485"/>
      <c r="E3415" s="2465" t="s">
        <v>1935</v>
      </c>
      <c r="F3415" s="2400"/>
      <c r="G3415" s="2400"/>
      <c r="H3415" s="2400"/>
      <c r="I3415" s="2400"/>
      <c r="J3415" s="2400"/>
      <c r="K3415" s="2400"/>
      <c r="L3415" s="2400"/>
      <c r="M3415" s="2400"/>
      <c r="N3415" s="2400"/>
    </row>
    <row r="3416" spans="3:14">
      <c r="C3416" s="485"/>
      <c r="D3416" s="485"/>
      <c r="E3416" s="2465" t="s">
        <v>1636</v>
      </c>
      <c r="F3416" s="2400"/>
      <c r="G3416" s="2400"/>
      <c r="H3416" s="2400"/>
      <c r="I3416" s="2400"/>
      <c r="J3416" s="2400"/>
      <c r="K3416" s="2400"/>
      <c r="L3416" s="2400"/>
      <c r="M3416" s="2400"/>
      <c r="N3416" s="2400"/>
    </row>
    <row r="3417" spans="3:14">
      <c r="C3417" s="485"/>
      <c r="D3417" s="485"/>
      <c r="E3417" s="2465" t="s">
        <v>2119</v>
      </c>
      <c r="F3417" s="2400"/>
      <c r="G3417" s="2400"/>
      <c r="H3417" s="2400"/>
      <c r="I3417" s="2400"/>
      <c r="J3417" s="2400"/>
      <c r="K3417" s="2400"/>
      <c r="L3417" s="2400"/>
      <c r="M3417" s="2400"/>
      <c r="N3417" s="2400"/>
    </row>
    <row r="3418" spans="3:14">
      <c r="C3418" s="485"/>
      <c r="D3418" s="485"/>
      <c r="E3418" s="2677" t="s">
        <v>2120</v>
      </c>
      <c r="F3418" s="2364"/>
      <c r="G3418" s="2364"/>
      <c r="H3418" s="2364"/>
      <c r="I3418" s="2364"/>
      <c r="J3418" s="2364"/>
      <c r="K3418" s="2364"/>
      <c r="L3418" s="2364"/>
      <c r="M3418" s="2364"/>
      <c r="N3418" s="2364"/>
    </row>
    <row r="3419" spans="3:14">
      <c r="C3419" s="479"/>
      <c r="D3419" s="479"/>
      <c r="E3419" s="479"/>
      <c r="F3419" s="479"/>
      <c r="G3419" s="479"/>
      <c r="H3419" s="479"/>
      <c r="I3419" s="479"/>
      <c r="J3419" s="479"/>
      <c r="K3419" s="479"/>
      <c r="L3419" s="479"/>
      <c r="M3419" s="479"/>
      <c r="N3419" s="479"/>
    </row>
    <row r="3420" spans="3:14">
      <c r="C3420" s="482"/>
      <c r="D3420" s="482" t="s">
        <v>58</v>
      </c>
      <c r="E3420" s="2373" t="s">
        <v>1013</v>
      </c>
      <c r="F3420" s="2400"/>
      <c r="G3420" s="2400"/>
      <c r="H3420" s="2400"/>
      <c r="I3420" s="2400"/>
      <c r="J3420" s="2400"/>
      <c r="K3420" s="2400"/>
      <c r="L3420" s="2400"/>
      <c r="M3420" s="2400"/>
      <c r="N3420" s="2400"/>
    </row>
    <row r="3421" spans="3:14">
      <c r="C3421" s="479"/>
      <c r="D3421" s="485"/>
      <c r="E3421" s="617"/>
      <c r="F3421" s="617"/>
      <c r="G3421" s="617"/>
      <c r="H3421" s="617"/>
      <c r="I3421" s="617"/>
      <c r="J3421" s="468"/>
      <c r="K3421" s="468"/>
      <c r="L3421" s="468"/>
      <c r="M3421" s="485"/>
      <c r="N3421" s="485"/>
    </row>
    <row r="3422" spans="3:14" ht="51">
      <c r="C3422" s="485"/>
      <c r="D3422" s="956"/>
      <c r="E3422" s="957" t="s">
        <v>2112</v>
      </c>
      <c r="F3422" s="958" t="s">
        <v>949</v>
      </c>
      <c r="G3422" s="959" t="s">
        <v>884</v>
      </c>
      <c r="H3422" s="578">
        <v>2019</v>
      </c>
      <c r="I3422" s="697">
        <v>2020</v>
      </c>
      <c r="J3422" s="696">
        <v>2021</v>
      </c>
      <c r="K3422" s="578">
        <v>2022</v>
      </c>
      <c r="L3422" s="578">
        <v>2023</v>
      </c>
      <c r="M3422" s="578">
        <v>2024</v>
      </c>
      <c r="N3422" s="578">
        <v>2025</v>
      </c>
    </row>
    <row r="3423" spans="3:14">
      <c r="C3423" s="485"/>
      <c r="D3423" s="579">
        <v>1</v>
      </c>
      <c r="E3423" s="375" t="str">
        <f>IFERROR(IF([1]F_ProductBM!E717 = "", "", [1]F_ProductBM!E717 ),"")</f>
        <v/>
      </c>
      <c r="F3423" s="337" t="str">
        <f>IFERROR(IF([1]F_ProductBM!F717 = "", "", [1]F_ProductBM!F717 ),"")</f>
        <v/>
      </c>
      <c r="G3423" s="71" t="str">
        <f>IFERROR(IF([1]F_ProductBM!G717 = "", "", [1]F_ProductBM!G717 ),"")</f>
        <v/>
      </c>
      <c r="H3423" s="94" t="str">
        <f>IFERROR(IF([1]F_ProductBM!H717 = "", "", [1]F_ProductBM!H717 ),"")</f>
        <v/>
      </c>
      <c r="I3423" s="110" t="str">
        <f>IFERROR(IF([1]F_ProductBM!I717 = "", "", [1]F_ProductBM!I717 ),"")</f>
        <v/>
      </c>
      <c r="J3423" s="111" t="str">
        <f>IFERROR(IF([1]F_ProductBM!J717 = "", "", [1]F_ProductBM!J717 ),"")</f>
        <v/>
      </c>
      <c r="K3423" s="94" t="str">
        <f>IFERROR(IF([1]F_ProductBM!K717 = "", "", [1]F_ProductBM!K717 ),"")</f>
        <v/>
      </c>
      <c r="L3423" s="94" t="str">
        <f>IFERROR(IF([1]F_ProductBM!L717 = "", "", [1]F_ProductBM!L717 ),"")</f>
        <v/>
      </c>
      <c r="M3423" s="94" t="str">
        <f>IFERROR(IF([1]F_ProductBM!M717 = "", "", [1]F_ProductBM!M717 ),"")</f>
        <v/>
      </c>
      <c r="N3423" s="94" t="str">
        <f>IFERROR(IF([1]F_ProductBM!N717 = "", "", [1]F_ProductBM!N717 ),"")</f>
        <v/>
      </c>
    </row>
    <row r="3424" spans="3:14">
      <c r="C3424" s="485"/>
      <c r="D3424" s="582">
        <v>2</v>
      </c>
      <c r="E3424" s="376" t="str">
        <f>IFERROR(IF([1]F_ProductBM!E718 = "", "", [1]F_ProductBM!E718 ),"")</f>
        <v/>
      </c>
      <c r="F3424" s="338" t="str">
        <f>IFERROR(IF([1]F_ProductBM!F718 = "", "", [1]F_ProductBM!F718 ),"")</f>
        <v/>
      </c>
      <c r="G3424" s="72" t="str">
        <f>IFERROR(IF([1]F_ProductBM!G718 = "", "", [1]F_ProductBM!G718 ),"")</f>
        <v/>
      </c>
      <c r="H3424" s="101" t="str">
        <f>IFERROR(IF([1]F_ProductBM!H718 = "", "", [1]F_ProductBM!H718 ),"")</f>
        <v/>
      </c>
      <c r="I3424" s="361" t="str">
        <f>IFERROR(IF([1]F_ProductBM!I718 = "", "", [1]F_ProductBM!I718 ),"")</f>
        <v/>
      </c>
      <c r="J3424" s="362" t="str">
        <f>IFERROR(IF([1]F_ProductBM!J718 = "", "", [1]F_ProductBM!J718 ),"")</f>
        <v/>
      </c>
      <c r="K3424" s="101" t="str">
        <f>IFERROR(IF([1]F_ProductBM!K718 = "", "", [1]F_ProductBM!K718 ),"")</f>
        <v/>
      </c>
      <c r="L3424" s="101" t="str">
        <f>IFERROR(IF([1]F_ProductBM!L718 = "", "", [1]F_ProductBM!L718 ),"")</f>
        <v/>
      </c>
      <c r="M3424" s="101" t="str">
        <f>IFERROR(IF([1]F_ProductBM!M718 = "", "", [1]F_ProductBM!M718 ),"")</f>
        <v/>
      </c>
      <c r="N3424" s="101" t="str">
        <f>IFERROR(IF([1]F_ProductBM!N718 = "", "", [1]F_ProductBM!N718 ),"")</f>
        <v/>
      </c>
    </row>
    <row r="3425" spans="3:14">
      <c r="C3425" s="485"/>
      <c r="D3425" s="582">
        <v>3</v>
      </c>
      <c r="E3425" s="376" t="str">
        <f>IFERROR(IF([1]F_ProductBM!E719 = "", "", [1]F_ProductBM!E719 ),"")</f>
        <v/>
      </c>
      <c r="F3425" s="338" t="str">
        <f>IFERROR(IF([1]F_ProductBM!F719 = "", "", [1]F_ProductBM!F719 ),"")</f>
        <v/>
      </c>
      <c r="G3425" s="72" t="str">
        <f>IFERROR(IF([1]F_ProductBM!G719 = "", "", [1]F_ProductBM!G719 ),"")</f>
        <v/>
      </c>
      <c r="H3425" s="101" t="str">
        <f>IFERROR(IF([1]F_ProductBM!H719 = "", "", [1]F_ProductBM!H719 ),"")</f>
        <v/>
      </c>
      <c r="I3425" s="361" t="str">
        <f>IFERROR(IF([1]F_ProductBM!I719 = "", "", [1]F_ProductBM!I719 ),"")</f>
        <v/>
      </c>
      <c r="J3425" s="362" t="str">
        <f>IFERROR(IF([1]F_ProductBM!J719 = "", "", [1]F_ProductBM!J719 ),"")</f>
        <v/>
      </c>
      <c r="K3425" s="101" t="str">
        <f>IFERROR(IF([1]F_ProductBM!K719 = "", "", [1]F_ProductBM!K719 ),"")</f>
        <v/>
      </c>
      <c r="L3425" s="101" t="str">
        <f>IFERROR(IF([1]F_ProductBM!L719 = "", "", [1]F_ProductBM!L719 ),"")</f>
        <v/>
      </c>
      <c r="M3425" s="101" t="str">
        <f>IFERROR(IF([1]F_ProductBM!M719 = "", "", [1]F_ProductBM!M719 ),"")</f>
        <v/>
      </c>
      <c r="N3425" s="101" t="str">
        <f>IFERROR(IF([1]F_ProductBM!N719 = "", "", [1]F_ProductBM!N719 ),"")</f>
        <v/>
      </c>
    </row>
    <row r="3426" spans="3:14">
      <c r="C3426" s="485"/>
      <c r="D3426" s="582">
        <v>4</v>
      </c>
      <c r="E3426" s="376" t="str">
        <f>IFERROR(IF([1]F_ProductBM!E720 = "", "", [1]F_ProductBM!E720 ),"")</f>
        <v/>
      </c>
      <c r="F3426" s="338" t="str">
        <f>IFERROR(IF([1]F_ProductBM!F720 = "", "", [1]F_ProductBM!F720 ),"")</f>
        <v/>
      </c>
      <c r="G3426" s="72" t="str">
        <f>IFERROR(IF([1]F_ProductBM!G720 = "", "", [1]F_ProductBM!G720 ),"")</f>
        <v/>
      </c>
      <c r="H3426" s="101" t="str">
        <f>IFERROR(IF([1]F_ProductBM!H720 = "", "", [1]F_ProductBM!H720 ),"")</f>
        <v/>
      </c>
      <c r="I3426" s="361" t="str">
        <f>IFERROR(IF([1]F_ProductBM!I720 = "", "", [1]F_ProductBM!I720 ),"")</f>
        <v/>
      </c>
      <c r="J3426" s="362" t="str">
        <f>IFERROR(IF([1]F_ProductBM!J720 = "", "", [1]F_ProductBM!J720 ),"")</f>
        <v/>
      </c>
      <c r="K3426" s="101" t="str">
        <f>IFERROR(IF([1]F_ProductBM!K720 = "", "", [1]F_ProductBM!K720 ),"")</f>
        <v/>
      </c>
      <c r="L3426" s="101" t="str">
        <f>IFERROR(IF([1]F_ProductBM!L720 = "", "", [1]F_ProductBM!L720 ),"")</f>
        <v/>
      </c>
      <c r="M3426" s="101" t="str">
        <f>IFERROR(IF([1]F_ProductBM!M720 = "", "", [1]F_ProductBM!M720 ),"")</f>
        <v/>
      </c>
      <c r="N3426" s="101" t="str">
        <f>IFERROR(IF([1]F_ProductBM!N720 = "", "", [1]F_ProductBM!N720 ),"")</f>
        <v/>
      </c>
    </row>
    <row r="3427" spans="3:14">
      <c r="C3427" s="485"/>
      <c r="D3427" s="582">
        <v>5</v>
      </c>
      <c r="E3427" s="376" t="str">
        <f>IFERROR(IF([1]F_ProductBM!E721 = "", "", [1]F_ProductBM!E721 ),"")</f>
        <v/>
      </c>
      <c r="F3427" s="338" t="str">
        <f>IFERROR(IF([1]F_ProductBM!F721 = "", "", [1]F_ProductBM!F721 ),"")</f>
        <v/>
      </c>
      <c r="G3427" s="72" t="str">
        <f>IFERROR(IF([1]F_ProductBM!G721 = "", "", [1]F_ProductBM!G721 ),"")</f>
        <v/>
      </c>
      <c r="H3427" s="101" t="str">
        <f>IFERROR(IF([1]F_ProductBM!H721 = "", "", [1]F_ProductBM!H721 ),"")</f>
        <v/>
      </c>
      <c r="I3427" s="361" t="str">
        <f>IFERROR(IF([1]F_ProductBM!I721 = "", "", [1]F_ProductBM!I721 ),"")</f>
        <v/>
      </c>
      <c r="J3427" s="362" t="str">
        <f>IFERROR(IF([1]F_ProductBM!J721 = "", "", [1]F_ProductBM!J721 ),"")</f>
        <v/>
      </c>
      <c r="K3427" s="101" t="str">
        <f>IFERROR(IF([1]F_ProductBM!K721 = "", "", [1]F_ProductBM!K721 ),"")</f>
        <v/>
      </c>
      <c r="L3427" s="101" t="str">
        <f>IFERROR(IF([1]F_ProductBM!L721 = "", "", [1]F_ProductBM!L721 ),"")</f>
        <v/>
      </c>
      <c r="M3427" s="101" t="str">
        <f>IFERROR(IF([1]F_ProductBM!M721 = "", "", [1]F_ProductBM!M721 ),"")</f>
        <v/>
      </c>
      <c r="N3427" s="101" t="str">
        <f>IFERROR(IF([1]F_ProductBM!N721 = "", "", [1]F_ProductBM!N721 ),"")</f>
        <v/>
      </c>
    </row>
    <row r="3428" spans="3:14">
      <c r="C3428" s="485"/>
      <c r="D3428" s="582">
        <v>6</v>
      </c>
      <c r="E3428" s="376" t="str">
        <f>IFERROR(IF([1]F_ProductBM!E722 = "", "", [1]F_ProductBM!E722 ),"")</f>
        <v/>
      </c>
      <c r="F3428" s="338" t="str">
        <f>IFERROR(IF([1]F_ProductBM!F722 = "", "", [1]F_ProductBM!F722 ),"")</f>
        <v/>
      </c>
      <c r="G3428" s="72" t="str">
        <f>IFERROR(IF([1]F_ProductBM!G722 = "", "", [1]F_ProductBM!G722 ),"")</f>
        <v/>
      </c>
      <c r="H3428" s="101" t="str">
        <f>IFERROR(IF([1]F_ProductBM!H722 = "", "", [1]F_ProductBM!H722 ),"")</f>
        <v/>
      </c>
      <c r="I3428" s="361" t="str">
        <f>IFERROR(IF([1]F_ProductBM!I722 = "", "", [1]F_ProductBM!I722 ),"")</f>
        <v/>
      </c>
      <c r="J3428" s="362" t="str">
        <f>IFERROR(IF([1]F_ProductBM!J722 = "", "", [1]F_ProductBM!J722 ),"")</f>
        <v/>
      </c>
      <c r="K3428" s="101" t="str">
        <f>IFERROR(IF([1]F_ProductBM!K722 = "", "", [1]F_ProductBM!K722 ),"")</f>
        <v/>
      </c>
      <c r="L3428" s="101" t="str">
        <f>IFERROR(IF([1]F_ProductBM!L722 = "", "", [1]F_ProductBM!L722 ),"")</f>
        <v/>
      </c>
      <c r="M3428" s="101" t="str">
        <f>IFERROR(IF([1]F_ProductBM!M722 = "", "", [1]F_ProductBM!M722 ),"")</f>
        <v/>
      </c>
      <c r="N3428" s="101" t="str">
        <f>IFERROR(IF([1]F_ProductBM!N722 = "", "", [1]F_ProductBM!N722 ),"")</f>
        <v/>
      </c>
    </row>
    <row r="3429" spans="3:14">
      <c r="C3429" s="485"/>
      <c r="D3429" s="582">
        <v>7</v>
      </c>
      <c r="E3429" s="376" t="str">
        <f>IFERROR(IF([1]F_ProductBM!E723 = "", "", [1]F_ProductBM!E723 ),"")</f>
        <v/>
      </c>
      <c r="F3429" s="338" t="str">
        <f>IFERROR(IF([1]F_ProductBM!F723 = "", "", [1]F_ProductBM!F723 ),"")</f>
        <v/>
      </c>
      <c r="G3429" s="72" t="str">
        <f>IFERROR(IF([1]F_ProductBM!G723 = "", "", [1]F_ProductBM!G723 ),"")</f>
        <v/>
      </c>
      <c r="H3429" s="101" t="str">
        <f>IFERROR(IF([1]F_ProductBM!H723 = "", "", [1]F_ProductBM!H723 ),"")</f>
        <v/>
      </c>
      <c r="I3429" s="361" t="str">
        <f>IFERROR(IF([1]F_ProductBM!I723 = "", "", [1]F_ProductBM!I723 ),"")</f>
        <v/>
      </c>
      <c r="J3429" s="362" t="str">
        <f>IFERROR(IF([1]F_ProductBM!J723 = "", "", [1]F_ProductBM!J723 ),"")</f>
        <v/>
      </c>
      <c r="K3429" s="101" t="str">
        <f>IFERROR(IF([1]F_ProductBM!K723 = "", "", [1]F_ProductBM!K723 ),"")</f>
        <v/>
      </c>
      <c r="L3429" s="101" t="str">
        <f>IFERROR(IF([1]F_ProductBM!L723 = "", "", [1]F_ProductBM!L723 ),"")</f>
        <v/>
      </c>
      <c r="M3429" s="101" t="str">
        <f>IFERROR(IF([1]F_ProductBM!M723 = "", "", [1]F_ProductBM!M723 ),"")</f>
        <v/>
      </c>
      <c r="N3429" s="101" t="str">
        <f>IFERROR(IF([1]F_ProductBM!N723 = "", "", [1]F_ProductBM!N723 ),"")</f>
        <v/>
      </c>
    </row>
    <row r="3430" spans="3:14">
      <c r="C3430" s="485"/>
      <c r="D3430" s="582">
        <v>8</v>
      </c>
      <c r="E3430" s="376" t="str">
        <f>IFERROR(IF([1]F_ProductBM!E724 = "", "", [1]F_ProductBM!E724 ),"")</f>
        <v/>
      </c>
      <c r="F3430" s="338" t="str">
        <f>IFERROR(IF([1]F_ProductBM!F724 = "", "", [1]F_ProductBM!F724 ),"")</f>
        <v/>
      </c>
      <c r="G3430" s="72" t="str">
        <f>IFERROR(IF([1]F_ProductBM!G724 = "", "", [1]F_ProductBM!G724 ),"")</f>
        <v/>
      </c>
      <c r="H3430" s="101" t="str">
        <f>IFERROR(IF([1]F_ProductBM!H724 = "", "", [1]F_ProductBM!H724 ),"")</f>
        <v/>
      </c>
      <c r="I3430" s="361" t="str">
        <f>IFERROR(IF([1]F_ProductBM!I724 = "", "", [1]F_ProductBM!I724 ),"")</f>
        <v/>
      </c>
      <c r="J3430" s="362" t="str">
        <f>IFERROR(IF([1]F_ProductBM!J724 = "", "", [1]F_ProductBM!J724 ),"")</f>
        <v/>
      </c>
      <c r="K3430" s="101" t="str">
        <f>IFERROR(IF([1]F_ProductBM!K724 = "", "", [1]F_ProductBM!K724 ),"")</f>
        <v/>
      </c>
      <c r="L3430" s="101" t="str">
        <f>IFERROR(IF([1]F_ProductBM!L724 = "", "", [1]F_ProductBM!L724 ),"")</f>
        <v/>
      </c>
      <c r="M3430" s="101" t="str">
        <f>IFERROR(IF([1]F_ProductBM!M724 = "", "", [1]F_ProductBM!M724 ),"")</f>
        <v/>
      </c>
      <c r="N3430" s="101" t="str">
        <f>IFERROR(IF([1]F_ProductBM!N724 = "", "", [1]F_ProductBM!N724 ),"")</f>
        <v/>
      </c>
    </row>
    <row r="3431" spans="3:14">
      <c r="C3431" s="485"/>
      <c r="D3431" s="582">
        <v>9</v>
      </c>
      <c r="E3431" s="376" t="str">
        <f>IFERROR(IF([1]F_ProductBM!E725 = "", "", [1]F_ProductBM!E725 ),"")</f>
        <v/>
      </c>
      <c r="F3431" s="338" t="str">
        <f>IFERROR(IF([1]F_ProductBM!F725 = "", "", [1]F_ProductBM!F725 ),"")</f>
        <v/>
      </c>
      <c r="G3431" s="72" t="str">
        <f>IFERROR(IF([1]F_ProductBM!G725 = "", "", [1]F_ProductBM!G725 ),"")</f>
        <v/>
      </c>
      <c r="H3431" s="101" t="str">
        <f>IFERROR(IF([1]F_ProductBM!H725 = "", "", [1]F_ProductBM!H725 ),"")</f>
        <v/>
      </c>
      <c r="I3431" s="361" t="str">
        <f>IFERROR(IF([1]F_ProductBM!I725 = "", "", [1]F_ProductBM!I725 ),"")</f>
        <v/>
      </c>
      <c r="J3431" s="362" t="str">
        <f>IFERROR(IF([1]F_ProductBM!J725 = "", "", [1]F_ProductBM!J725 ),"")</f>
        <v/>
      </c>
      <c r="K3431" s="101" t="str">
        <f>IFERROR(IF([1]F_ProductBM!K725 = "", "", [1]F_ProductBM!K725 ),"")</f>
        <v/>
      </c>
      <c r="L3431" s="101" t="str">
        <f>IFERROR(IF([1]F_ProductBM!L725 = "", "", [1]F_ProductBM!L725 ),"")</f>
        <v/>
      </c>
      <c r="M3431" s="101" t="str">
        <f>IFERROR(IF([1]F_ProductBM!M725 = "", "", [1]F_ProductBM!M725 ),"")</f>
        <v/>
      </c>
      <c r="N3431" s="101" t="str">
        <f>IFERROR(IF([1]F_ProductBM!N725 = "", "", [1]F_ProductBM!N725 ),"")</f>
        <v/>
      </c>
    </row>
    <row r="3432" spans="3:14">
      <c r="C3432" s="485"/>
      <c r="D3432" s="584">
        <v>10</v>
      </c>
      <c r="E3432" s="377" t="str">
        <f>IFERROR(IF([1]F_ProductBM!E726 = "", "", [1]F_ProductBM!E726 ),"")</f>
        <v/>
      </c>
      <c r="F3432" s="339" t="str">
        <f>IFERROR(IF([1]F_ProductBM!F726 = "", "", [1]F_ProductBM!F726 ),"")</f>
        <v/>
      </c>
      <c r="G3432" s="73" t="str">
        <f>IFERROR(IF([1]F_ProductBM!G726 = "", "", [1]F_ProductBM!G726 ),"")</f>
        <v/>
      </c>
      <c r="H3432" s="95" t="str">
        <f>IFERROR(IF([1]F_ProductBM!H726 = "", "", [1]F_ProductBM!H726 ),"")</f>
        <v/>
      </c>
      <c r="I3432" s="113" t="str">
        <f>IFERROR(IF([1]F_ProductBM!I726 = "", "", [1]F_ProductBM!I726 ),"")</f>
        <v/>
      </c>
      <c r="J3432" s="114" t="str">
        <f>IFERROR(IF([1]F_ProductBM!J726 = "", "", [1]F_ProductBM!J726 ),"")</f>
        <v/>
      </c>
      <c r="K3432" s="95" t="str">
        <f>IFERROR(IF([1]F_ProductBM!K726 = "", "", [1]F_ProductBM!K726 ),"")</f>
        <v/>
      </c>
      <c r="L3432" s="95" t="str">
        <f>IFERROR(IF([1]F_ProductBM!L726 = "", "", [1]F_ProductBM!L726 ),"")</f>
        <v/>
      </c>
      <c r="M3432" s="95" t="str">
        <f>IFERROR(IF([1]F_ProductBM!M726 = "", "", [1]F_ProductBM!M726 ),"")</f>
        <v/>
      </c>
      <c r="N3432" s="95" t="str">
        <f>IFERROR(IF([1]F_ProductBM!N726 = "", "", [1]F_ProductBM!N726 ),"")</f>
        <v/>
      </c>
    </row>
    <row r="3433" spans="3:14">
      <c r="C3433" s="485"/>
      <c r="D3433" s="971"/>
      <c r="E3433" s="972" t="s">
        <v>921</v>
      </c>
      <c r="F3433" s="948"/>
      <c r="G3433" s="73" t="str">
        <f>IFERROR(IF([1]F_ProductBM!G727 = "", "", [1]F_ProductBM!G727 ),"")</f>
        <v/>
      </c>
      <c r="H3433" s="86" t="str">
        <f>IFERROR(IF([1]F_ProductBM!H727 = "", "", [1]F_ProductBM!H727 ),"")</f>
        <v/>
      </c>
      <c r="I3433" s="340" t="str">
        <f>IFERROR(IF([1]F_ProductBM!I727 = "", "", [1]F_ProductBM!I727 ),"")</f>
        <v/>
      </c>
      <c r="J3433" s="341" t="str">
        <f>IFERROR(IF([1]F_ProductBM!J727 = "", "", [1]F_ProductBM!J727 ),"")</f>
        <v/>
      </c>
      <c r="K3433" s="86" t="str">
        <f>IFERROR(IF([1]F_ProductBM!K727 = "", "", [1]F_ProductBM!K727 ),"")</f>
        <v/>
      </c>
      <c r="L3433" s="86" t="str">
        <f>IFERROR(IF([1]F_ProductBM!L727 = "", "", [1]F_ProductBM!L727 ),"")</f>
        <v/>
      </c>
      <c r="M3433" s="86" t="str">
        <f>IFERROR(IF([1]F_ProductBM!M727 = "", "", [1]F_ProductBM!M727 ),"")</f>
        <v/>
      </c>
      <c r="N3433" s="86" t="str">
        <f>IFERROR(IF([1]F_ProductBM!N727 = "", "", [1]F_ProductBM!N727 ),"")</f>
        <v/>
      </c>
    </row>
    <row r="3434" spans="3:14" ht="13.5" thickBot="1">
      <c r="C3434" s="479"/>
      <c r="D3434" s="479"/>
      <c r="E3434" s="479"/>
      <c r="F3434" s="479"/>
      <c r="G3434" s="479"/>
      <c r="H3434" s="479"/>
      <c r="I3434" s="479"/>
      <c r="J3434" s="479"/>
      <c r="K3434" s="479"/>
      <c r="L3434" s="479"/>
      <c r="M3434" s="485"/>
      <c r="N3434" s="485"/>
    </row>
    <row r="3435" spans="3:14">
      <c r="C3435" s="975"/>
      <c r="D3435" s="976"/>
      <c r="E3435" s="976"/>
      <c r="F3435" s="976"/>
      <c r="G3435" s="976"/>
      <c r="H3435" s="976"/>
      <c r="I3435" s="976"/>
      <c r="J3435" s="976"/>
      <c r="K3435" s="976"/>
      <c r="L3435" s="976"/>
      <c r="M3435" s="774"/>
      <c r="N3435" s="775"/>
    </row>
    <row r="3436" spans="3:14">
      <c r="C3436" s="977"/>
      <c r="D3436" s="2678" t="s">
        <v>2330</v>
      </c>
      <c r="E3436" s="2672"/>
      <c r="F3436" s="2672"/>
      <c r="G3436" s="2672"/>
      <c r="H3436" s="2672"/>
      <c r="I3436" s="2672"/>
      <c r="J3436" s="2672"/>
      <c r="K3436" s="2672"/>
      <c r="L3436" s="2672"/>
      <c r="M3436" s="2672"/>
      <c r="N3436" s="2673"/>
    </row>
    <row r="3437" spans="3:14">
      <c r="C3437" s="980"/>
      <c r="D3437" s="813"/>
      <c r="E3437" s="813"/>
      <c r="F3437" s="813"/>
      <c r="G3437" s="813"/>
      <c r="H3437" s="813"/>
      <c r="I3437" s="813"/>
      <c r="J3437" s="813"/>
      <c r="K3437" s="813"/>
      <c r="L3437" s="813"/>
      <c r="M3437" s="813"/>
      <c r="N3437" s="814"/>
    </row>
    <row r="3438" spans="3:14">
      <c r="C3438" s="980"/>
      <c r="D3438" s="2679" t="s">
        <v>2704</v>
      </c>
      <c r="E3438" s="2646"/>
      <c r="F3438" s="2646"/>
      <c r="G3438" s="2646"/>
      <c r="H3438" s="2680"/>
      <c r="I3438" s="2489" t="str">
        <f>IFERROR(IF([1]F_ProductBM!I732 = "", "", [1]F_ProductBM!I732 ),"")</f>
        <v/>
      </c>
      <c r="J3438" s="2534"/>
      <c r="K3438" s="2534"/>
      <c r="L3438" s="2534"/>
      <c r="M3438" s="2534"/>
      <c r="N3438" s="2681"/>
    </row>
    <row r="3439" spans="3:14">
      <c r="C3439" s="980"/>
      <c r="D3439" s="813"/>
      <c r="E3439" s="813"/>
      <c r="F3439" s="813"/>
      <c r="G3439" s="813"/>
      <c r="H3439" s="813"/>
      <c r="I3439" s="813"/>
      <c r="J3439" s="813"/>
      <c r="K3439" s="813"/>
      <c r="L3439" s="813"/>
      <c r="M3439" s="813"/>
      <c r="N3439" s="814"/>
    </row>
    <row r="3440" spans="3:14">
      <c r="C3440" s="977"/>
      <c r="D3440" s="981"/>
      <c r="E3440" s="2691" t="s">
        <v>2154</v>
      </c>
      <c r="F3440" s="2691"/>
      <c r="G3440" s="2691"/>
      <c r="H3440" s="2691"/>
      <c r="I3440" s="2691"/>
      <c r="J3440" s="2691"/>
      <c r="K3440" s="2691"/>
      <c r="L3440" s="2691"/>
      <c r="M3440" s="2691"/>
      <c r="N3440" s="2692"/>
    </row>
    <row r="3441" spans="3:14">
      <c r="C3441" s="977"/>
      <c r="D3441" s="981"/>
      <c r="E3441" s="2691" t="s">
        <v>2176</v>
      </c>
      <c r="F3441" s="2691"/>
      <c r="G3441" s="2691"/>
      <c r="H3441" s="2691"/>
      <c r="I3441" s="2691"/>
      <c r="J3441" s="2691"/>
      <c r="K3441" s="2691"/>
      <c r="L3441" s="2691"/>
      <c r="M3441" s="2691"/>
      <c r="N3441" s="2650"/>
    </row>
    <row r="3442" spans="3:14">
      <c r="C3442" s="977"/>
      <c r="D3442" s="981"/>
      <c r="E3442" s="2691" t="s">
        <v>1549</v>
      </c>
      <c r="F3442" s="2391"/>
      <c r="G3442" s="2391"/>
      <c r="H3442" s="2391"/>
      <c r="I3442" s="2391"/>
      <c r="J3442" s="2391"/>
      <c r="K3442" s="2391"/>
      <c r="L3442" s="2391"/>
      <c r="M3442" s="2391"/>
      <c r="N3442" s="2650"/>
    </row>
    <row r="3443" spans="3:14">
      <c r="C3443" s="977"/>
      <c r="D3443" s="981"/>
      <c r="E3443" s="2693" t="s">
        <v>1643</v>
      </c>
      <c r="F3443" s="2693"/>
      <c r="G3443" s="2693"/>
      <c r="H3443" s="2693"/>
      <c r="I3443" s="2693"/>
      <c r="J3443" s="2693"/>
      <c r="K3443" s="2693"/>
      <c r="L3443" s="2693"/>
      <c r="M3443" s="2693"/>
      <c r="N3443" s="2694"/>
    </row>
    <row r="3444" spans="3:14">
      <c r="C3444" s="980"/>
      <c r="D3444" s="813"/>
      <c r="E3444" s="813"/>
      <c r="F3444" s="813"/>
      <c r="G3444" s="813"/>
      <c r="H3444" s="813"/>
      <c r="I3444" s="813"/>
      <c r="J3444" s="813"/>
      <c r="K3444" s="813"/>
      <c r="L3444" s="813"/>
      <c r="M3444" s="813"/>
      <c r="N3444" s="814"/>
    </row>
    <row r="3445" spans="3:14">
      <c r="C3445" s="977"/>
      <c r="D3445" s="981"/>
      <c r="E3445" s="2695" t="s">
        <v>1475</v>
      </c>
      <c r="F3445" s="2695"/>
      <c r="G3445" s="2695"/>
      <c r="H3445" s="2695"/>
      <c r="I3445" s="2695"/>
      <c r="J3445" s="2695"/>
      <c r="K3445" s="2695"/>
      <c r="L3445" s="2695"/>
      <c r="M3445" s="2695"/>
      <c r="N3445" s="2694"/>
    </row>
    <row r="3446" spans="3:14">
      <c r="C3446" s="980"/>
      <c r="D3446" s="813"/>
      <c r="E3446" s="813"/>
      <c r="F3446" s="813"/>
      <c r="G3446" s="813"/>
      <c r="H3446" s="813"/>
      <c r="I3446" s="813"/>
      <c r="J3446" s="813"/>
      <c r="K3446" s="813"/>
      <c r="L3446" s="813"/>
      <c r="M3446" s="813"/>
      <c r="N3446" s="814"/>
    </row>
    <row r="3447" spans="3:14">
      <c r="C3447" s="977"/>
      <c r="D3447" s="982" t="s">
        <v>266</v>
      </c>
      <c r="E3447" s="2671" t="s">
        <v>1617</v>
      </c>
      <c r="F3447" s="2672"/>
      <c r="G3447" s="2672"/>
      <c r="H3447" s="2672"/>
      <c r="I3447" s="2672"/>
      <c r="J3447" s="2672"/>
      <c r="K3447" s="2672"/>
      <c r="L3447" s="2672"/>
      <c r="M3447" s="2672"/>
      <c r="N3447" s="2673"/>
    </row>
    <row r="3448" spans="3:14">
      <c r="C3448" s="977"/>
      <c r="D3448" s="777"/>
      <c r="E3448" s="2711" t="s">
        <v>2295</v>
      </c>
      <c r="F3448" s="2671"/>
      <c r="G3448" s="2671"/>
      <c r="H3448" s="2671"/>
      <c r="I3448" s="2671"/>
      <c r="J3448" s="2671"/>
      <c r="K3448" s="2671"/>
      <c r="L3448" s="2671"/>
      <c r="M3448" s="2671"/>
      <c r="N3448" s="2712"/>
    </row>
    <row r="3449" spans="3:14">
      <c r="C3449" s="977"/>
      <c r="D3449" s="981"/>
      <c r="E3449" s="2674" t="s">
        <v>1618</v>
      </c>
      <c r="F3449" s="2674"/>
      <c r="G3449" s="2674"/>
      <c r="H3449" s="2674"/>
      <c r="I3449" s="2674"/>
      <c r="J3449" s="2674"/>
      <c r="K3449" s="2674"/>
      <c r="L3449" s="2674"/>
      <c r="M3449" s="2674"/>
      <c r="N3449" s="2675"/>
    </row>
    <row r="3450" spans="3:14">
      <c r="C3450" s="977"/>
      <c r="D3450" s="981"/>
      <c r="E3450" s="985" t="s">
        <v>1021</v>
      </c>
      <c r="F3450" s="2645" t="s">
        <v>1616</v>
      </c>
      <c r="G3450" s="2646"/>
      <c r="H3450" s="2646"/>
      <c r="I3450" s="2646"/>
      <c r="J3450" s="2646"/>
      <c r="K3450" s="2646"/>
      <c r="L3450" s="2646"/>
      <c r="M3450" s="2646"/>
      <c r="N3450" s="2647"/>
    </row>
    <row r="3451" spans="3:14">
      <c r="C3451" s="977"/>
      <c r="D3451" s="981"/>
      <c r="E3451" s="985"/>
      <c r="F3451" s="2669" t="s">
        <v>1615</v>
      </c>
      <c r="G3451" s="2391"/>
      <c r="H3451" s="2391"/>
      <c r="I3451" s="2391"/>
      <c r="J3451" s="2391"/>
      <c r="K3451" s="2391"/>
      <c r="L3451" s="2391"/>
      <c r="M3451" s="2391"/>
      <c r="N3451" s="2650"/>
    </row>
    <row r="3452" spans="3:14">
      <c r="C3452" s="977"/>
      <c r="D3452" s="981"/>
      <c r="E3452" s="985" t="s">
        <v>1021</v>
      </c>
      <c r="F3452" s="2645" t="s">
        <v>1278</v>
      </c>
      <c r="G3452" s="2646"/>
      <c r="H3452" s="2646"/>
      <c r="I3452" s="2646"/>
      <c r="J3452" s="2646"/>
      <c r="K3452" s="2646"/>
      <c r="L3452" s="2646"/>
      <c r="M3452" s="2646"/>
      <c r="N3452" s="2647"/>
    </row>
    <row r="3453" spans="3:14">
      <c r="C3453" s="977"/>
      <c r="D3453" s="981"/>
      <c r="E3453" s="985"/>
      <c r="F3453" s="2645" t="s">
        <v>1620</v>
      </c>
      <c r="G3453" s="2646"/>
      <c r="H3453" s="2646"/>
      <c r="I3453" s="2646"/>
      <c r="J3453" s="2646"/>
      <c r="K3453" s="2646"/>
      <c r="L3453" s="2646"/>
      <c r="M3453" s="2646"/>
      <c r="N3453" s="2647"/>
    </row>
    <row r="3454" spans="3:14">
      <c r="C3454" s="977"/>
      <c r="D3454" s="981"/>
      <c r="E3454" s="985"/>
      <c r="F3454" s="2645" t="s">
        <v>1619</v>
      </c>
      <c r="G3454" s="2646"/>
      <c r="H3454" s="2646"/>
      <c r="I3454" s="2646"/>
      <c r="J3454" s="2646"/>
      <c r="K3454" s="2646"/>
      <c r="L3454" s="2646"/>
      <c r="M3454" s="2646"/>
      <c r="N3454" s="2647"/>
    </row>
    <row r="3455" spans="3:14">
      <c r="C3455" s="977"/>
      <c r="D3455" s="981"/>
      <c r="E3455" s="985" t="s">
        <v>1021</v>
      </c>
      <c r="F3455" s="2645" t="s">
        <v>1542</v>
      </c>
      <c r="G3455" s="2646"/>
      <c r="H3455" s="2646"/>
      <c r="I3455" s="2646"/>
      <c r="J3455" s="2646"/>
      <c r="K3455" s="2646"/>
      <c r="L3455" s="2646"/>
      <c r="M3455" s="2646"/>
      <c r="N3455" s="2647"/>
    </row>
    <row r="3456" spans="3:14">
      <c r="C3456" s="977"/>
      <c r="D3456" s="981"/>
      <c r="E3456" s="985" t="s">
        <v>1021</v>
      </c>
      <c r="F3456" s="2645" t="s">
        <v>1458</v>
      </c>
      <c r="G3456" s="2646"/>
      <c r="H3456" s="2646"/>
      <c r="I3456" s="2646"/>
      <c r="J3456" s="2646"/>
      <c r="K3456" s="2646"/>
      <c r="L3456" s="2646"/>
      <c r="M3456" s="2646"/>
      <c r="N3456" s="2647"/>
    </row>
    <row r="3457" spans="3:14">
      <c r="C3457" s="977"/>
      <c r="D3457" s="982"/>
      <c r="E3457" s="2648" t="s">
        <v>1612</v>
      </c>
      <c r="F3457" s="2648"/>
      <c r="G3457" s="987" t="s">
        <v>884</v>
      </c>
      <c r="H3457" s="782">
        <v>2019</v>
      </c>
      <c r="I3457" s="988">
        <v>2020</v>
      </c>
      <c r="J3457" s="781">
        <v>2021</v>
      </c>
      <c r="K3457" s="782">
        <v>2022</v>
      </c>
      <c r="L3457" s="782">
        <v>2023</v>
      </c>
      <c r="M3457" s="782">
        <v>2024</v>
      </c>
      <c r="N3457" s="783">
        <v>2025</v>
      </c>
    </row>
    <row r="3458" spans="3:14">
      <c r="C3458" s="977"/>
      <c r="D3458" s="981"/>
      <c r="E3458" s="2487" t="str">
        <f>IFERROR(IF([1]F_ProductBM!E752 = "", "", [1]F_ProductBM!E752 ),"")</f>
        <v/>
      </c>
      <c r="F3458" s="2488"/>
      <c r="G3458" s="815" t="s">
        <v>2016</v>
      </c>
      <c r="H3458" s="93" t="str">
        <f>IFERROR(IF([1]F_ProductBM!H752 = "", "", [1]F_ProductBM!H752 ),"")</f>
        <v/>
      </c>
      <c r="I3458" s="116" t="str">
        <f>IFERROR(IF([1]F_ProductBM!I752 = "", "", [1]F_ProductBM!I752 ),"")</f>
        <v/>
      </c>
      <c r="J3458" s="117" t="str">
        <f>IFERROR(IF([1]F_ProductBM!J752 = "", "", [1]F_ProductBM!J752 ),"")</f>
        <v/>
      </c>
      <c r="K3458" s="93" t="str">
        <f>IFERROR(IF([1]F_ProductBM!K752 = "", "", [1]F_ProductBM!K752 ),"")</f>
        <v/>
      </c>
      <c r="L3458" s="93" t="str">
        <f>IFERROR(IF([1]F_ProductBM!L752 = "", "", [1]F_ProductBM!L752 ),"")</f>
        <v/>
      </c>
      <c r="M3458" s="93" t="str">
        <f>IFERROR(IF([1]F_ProductBM!M752 = "", "", [1]F_ProductBM!M752 ),"")</f>
        <v/>
      </c>
      <c r="N3458" s="118" t="str">
        <f>IFERROR(IF([1]F_ProductBM!N752 = "", "", [1]F_ProductBM!N752 ),"")</f>
        <v/>
      </c>
    </row>
    <row r="3459" spans="3:14">
      <c r="C3459" s="977"/>
      <c r="D3459" s="981"/>
      <c r="E3459" s="981"/>
      <c r="F3459" s="981"/>
      <c r="G3459" s="981"/>
      <c r="H3459" s="981"/>
      <c r="I3459" s="981"/>
      <c r="J3459" s="981"/>
      <c r="K3459" s="981"/>
      <c r="L3459" s="981"/>
      <c r="M3459" s="813"/>
      <c r="N3459" s="814"/>
    </row>
    <row r="3460" spans="3:14">
      <c r="C3460" s="977"/>
      <c r="D3460" s="982" t="s">
        <v>269</v>
      </c>
      <c r="E3460" s="2649" t="s">
        <v>1189</v>
      </c>
      <c r="F3460" s="2391"/>
      <c r="G3460" s="2391"/>
      <c r="H3460" s="2391"/>
      <c r="I3460" s="2391"/>
      <c r="J3460" s="2391"/>
      <c r="K3460" s="2391"/>
      <c r="L3460" s="2391"/>
      <c r="M3460" s="2391"/>
      <c r="N3460" s="2650"/>
    </row>
    <row r="3461" spans="3:14">
      <c r="C3461" s="977"/>
      <c r="D3461" s="981"/>
      <c r="E3461" s="2674" t="s">
        <v>1605</v>
      </c>
      <c r="F3461" s="2674"/>
      <c r="G3461" s="2674"/>
      <c r="H3461" s="2674"/>
      <c r="I3461" s="2674"/>
      <c r="J3461" s="2674"/>
      <c r="K3461" s="2674"/>
      <c r="L3461" s="2674"/>
      <c r="M3461" s="2674"/>
      <c r="N3461" s="2675"/>
    </row>
    <row r="3462" spans="3:14">
      <c r="C3462" s="977"/>
      <c r="D3462" s="981"/>
      <c r="E3462" s="2674" t="s">
        <v>1357</v>
      </c>
      <c r="F3462" s="2674"/>
      <c r="G3462" s="2674"/>
      <c r="H3462" s="2674"/>
      <c r="I3462" s="2674"/>
      <c r="J3462" s="2674"/>
      <c r="K3462" s="2674"/>
      <c r="L3462" s="2674"/>
      <c r="M3462" s="2674"/>
      <c r="N3462" s="2675"/>
    </row>
    <row r="3463" spans="3:14">
      <c r="C3463" s="977"/>
      <c r="D3463" s="981"/>
      <c r="E3463" s="2674" t="s">
        <v>1594</v>
      </c>
      <c r="F3463" s="2674"/>
      <c r="G3463" s="2674"/>
      <c r="H3463" s="2674"/>
      <c r="I3463" s="2674"/>
      <c r="J3463" s="2674"/>
      <c r="K3463" s="2674"/>
      <c r="L3463" s="2674"/>
      <c r="M3463" s="2674"/>
      <c r="N3463" s="2675"/>
    </row>
    <row r="3464" spans="3:14">
      <c r="C3464" s="977"/>
      <c r="D3464" s="981"/>
      <c r="E3464" s="2676" t="s">
        <v>1557</v>
      </c>
      <c r="F3464" s="2391"/>
      <c r="G3464" s="2391"/>
      <c r="H3464" s="2391"/>
      <c r="I3464" s="2391"/>
      <c r="J3464" s="2391"/>
      <c r="K3464" s="2391"/>
      <c r="L3464" s="2391"/>
      <c r="M3464" s="2391"/>
      <c r="N3464" s="2650"/>
    </row>
    <row r="3465" spans="3:14">
      <c r="C3465" s="977"/>
      <c r="D3465" s="982"/>
      <c r="E3465" s="989"/>
      <c r="F3465" s="990"/>
      <c r="G3465" s="987" t="s">
        <v>884</v>
      </c>
      <c r="H3465" s="782">
        <v>2019</v>
      </c>
      <c r="I3465" s="988">
        <v>2020</v>
      </c>
      <c r="J3465" s="781">
        <v>2021</v>
      </c>
      <c r="K3465" s="782">
        <v>2022</v>
      </c>
      <c r="L3465" s="782">
        <v>2023</v>
      </c>
      <c r="M3465" s="782">
        <v>2024</v>
      </c>
      <c r="N3465" s="783">
        <v>2025</v>
      </c>
    </row>
    <row r="3466" spans="3:14">
      <c r="C3466" s="977"/>
      <c r="D3466" s="777" t="s">
        <v>6</v>
      </c>
      <c r="E3466" s="2475" t="s">
        <v>1344</v>
      </c>
      <c r="F3466" s="2410"/>
      <c r="G3466" s="815" t="s">
        <v>2017</v>
      </c>
      <c r="H3466" s="93" t="str">
        <f>IFERROR(IF([1]F_ProductBM!H760 = "", "", [1]F_ProductBM!H760 ),"")</f>
        <v/>
      </c>
      <c r="I3466" s="116" t="str">
        <f>IFERROR(IF([1]F_ProductBM!I760 = "", "", [1]F_ProductBM!I760 ),"")</f>
        <v/>
      </c>
      <c r="J3466" s="117" t="str">
        <f>IFERROR(IF([1]F_ProductBM!J760 = "", "", [1]F_ProductBM!J760 ),"")</f>
        <v/>
      </c>
      <c r="K3466" s="93" t="str">
        <f>IFERROR(IF([1]F_ProductBM!K760 = "", "", [1]F_ProductBM!K760 ),"")</f>
        <v/>
      </c>
      <c r="L3466" s="93" t="str">
        <f>IFERROR(IF([1]F_ProductBM!L760 = "", "", [1]F_ProductBM!L760 ),"")</f>
        <v/>
      </c>
      <c r="M3466" s="93" t="str">
        <f>IFERROR(IF([1]F_ProductBM!M760 = "", "", [1]F_ProductBM!M760 ),"")</f>
        <v/>
      </c>
      <c r="N3466" s="118" t="str">
        <f>IFERROR(IF([1]F_ProductBM!N760 = "", "", [1]F_ProductBM!N760 ),"")</f>
        <v/>
      </c>
    </row>
    <row r="3467" spans="3:14">
      <c r="C3467" s="977"/>
      <c r="D3467" s="777" t="s">
        <v>7</v>
      </c>
      <c r="E3467" s="2475" t="s">
        <v>1182</v>
      </c>
      <c r="F3467" s="2410"/>
      <c r="G3467" s="991" t="s">
        <v>2018</v>
      </c>
      <c r="H3467" s="109" t="str">
        <f>IFERROR(IF([1]F_ProductBM!H761 = "", "", [1]F_ProductBM!H761 ),"")</f>
        <v/>
      </c>
      <c r="I3467" s="304" t="str">
        <f>IFERROR(IF([1]F_ProductBM!I761 = "", "", [1]F_ProductBM!I761 ),"")</f>
        <v/>
      </c>
      <c r="J3467" s="305" t="str">
        <f>IFERROR(IF([1]F_ProductBM!J761 = "", "", [1]F_ProductBM!J761 ),"")</f>
        <v/>
      </c>
      <c r="K3467" s="109" t="str">
        <f>IFERROR(IF([1]F_ProductBM!K761 = "", "", [1]F_ProductBM!K761 ),"")</f>
        <v/>
      </c>
      <c r="L3467" s="109" t="str">
        <f>IFERROR(IF([1]F_ProductBM!L761 = "", "", [1]F_ProductBM!L761 ),"")</f>
        <v/>
      </c>
      <c r="M3467" s="109" t="str">
        <f>IFERROR(IF([1]F_ProductBM!M761 = "", "", [1]F_ProductBM!M761 ),"")</f>
        <v/>
      </c>
      <c r="N3467" s="357" t="str">
        <f>IFERROR(IF([1]F_ProductBM!N761 = "", "", [1]F_ProductBM!N761 ),"")</f>
        <v/>
      </c>
    </row>
    <row r="3468" spans="3:14">
      <c r="C3468" s="977"/>
      <c r="D3468" s="981"/>
      <c r="E3468" s="981"/>
      <c r="F3468" s="981"/>
      <c r="G3468" s="981"/>
      <c r="H3468" s="981"/>
      <c r="I3468" s="981"/>
      <c r="J3468" s="981"/>
      <c r="K3468" s="981"/>
      <c r="L3468" s="981"/>
      <c r="M3468" s="813"/>
      <c r="N3468" s="814"/>
    </row>
    <row r="3469" spans="3:14">
      <c r="C3469" s="977"/>
      <c r="D3469" s="982" t="s">
        <v>271</v>
      </c>
      <c r="E3469" s="2649" t="s">
        <v>1416</v>
      </c>
      <c r="F3469" s="2391"/>
      <c r="G3469" s="2391"/>
      <c r="H3469" s="2391"/>
      <c r="I3469" s="2391"/>
      <c r="J3469" s="2391"/>
      <c r="K3469" s="2391"/>
      <c r="L3469" s="2391"/>
      <c r="M3469" s="2391"/>
      <c r="N3469" s="2650"/>
    </row>
    <row r="3470" spans="3:14">
      <c r="C3470" s="977"/>
      <c r="D3470" s="777"/>
      <c r="E3470" s="2676" t="s">
        <v>2295</v>
      </c>
      <c r="F3470" s="2391"/>
      <c r="G3470" s="2391"/>
      <c r="H3470" s="2391"/>
      <c r="I3470" s="2391"/>
      <c r="J3470" s="2391"/>
      <c r="K3470" s="2391"/>
      <c r="L3470" s="2391"/>
      <c r="M3470" s="2391"/>
      <c r="N3470" s="2650"/>
    </row>
    <row r="3471" spans="3:14">
      <c r="C3471" s="977"/>
      <c r="D3471" s="981"/>
      <c r="E3471" s="2676" t="s">
        <v>1551</v>
      </c>
      <c r="F3471" s="2391"/>
      <c r="G3471" s="2391"/>
      <c r="H3471" s="2391"/>
      <c r="I3471" s="2391"/>
      <c r="J3471" s="2391"/>
      <c r="K3471" s="2391"/>
      <c r="L3471" s="2391"/>
      <c r="M3471" s="2391"/>
      <c r="N3471" s="2650"/>
    </row>
    <row r="3472" spans="3:14">
      <c r="C3472" s="977"/>
      <c r="D3472" s="981"/>
      <c r="E3472" s="2669" t="s">
        <v>1552</v>
      </c>
      <c r="F3472" s="2391"/>
      <c r="G3472" s="2391"/>
      <c r="H3472" s="2391"/>
      <c r="I3472" s="2391"/>
      <c r="J3472" s="2391"/>
      <c r="K3472" s="2391"/>
      <c r="L3472" s="2391"/>
      <c r="M3472" s="2391"/>
      <c r="N3472" s="2650"/>
    </row>
    <row r="3473" spans="3:14">
      <c r="C3473" s="977"/>
      <c r="D3473" s="981"/>
      <c r="E3473" s="2669" t="s">
        <v>1553</v>
      </c>
      <c r="F3473" s="2391"/>
      <c r="G3473" s="2391"/>
      <c r="H3473" s="2391"/>
      <c r="I3473" s="2391"/>
      <c r="J3473" s="2391"/>
      <c r="K3473" s="2391"/>
      <c r="L3473" s="2391"/>
      <c r="M3473" s="2391"/>
      <c r="N3473" s="2650"/>
    </row>
    <row r="3474" spans="3:14">
      <c r="C3474" s="977"/>
      <c r="D3474" s="981"/>
      <c r="E3474" s="2669" t="s">
        <v>1567</v>
      </c>
      <c r="F3474" s="2391"/>
      <c r="G3474" s="2391"/>
      <c r="H3474" s="2391"/>
      <c r="I3474" s="2391"/>
      <c r="J3474" s="2391"/>
      <c r="K3474" s="2391"/>
      <c r="L3474" s="2391"/>
      <c r="M3474" s="2391"/>
      <c r="N3474" s="2650"/>
    </row>
    <row r="3475" spans="3:14">
      <c r="C3475" s="977"/>
      <c r="D3475" s="981"/>
      <c r="E3475" s="2669" t="s">
        <v>1565</v>
      </c>
      <c r="F3475" s="2391"/>
      <c r="G3475" s="2391"/>
      <c r="H3475" s="2391"/>
      <c r="I3475" s="2391"/>
      <c r="J3475" s="2391"/>
      <c r="K3475" s="2391"/>
      <c r="L3475" s="2391"/>
      <c r="M3475" s="2391"/>
      <c r="N3475" s="2650"/>
    </row>
    <row r="3476" spans="3:14">
      <c r="C3476" s="977"/>
      <c r="D3476" s="777" t="s">
        <v>6</v>
      </c>
      <c r="E3476" s="2682" t="s">
        <v>1456</v>
      </c>
      <c r="F3476" s="2391"/>
      <c r="G3476" s="2391"/>
      <c r="H3476" s="2391"/>
      <c r="I3476" s="2391"/>
      <c r="J3476" s="2391"/>
      <c r="K3476" s="2512"/>
      <c r="L3476" s="120" t="str">
        <f>IFERROR(IF([1]F_ProductBM!L770 = "", "", [1]F_ProductBM!L770 ),"")</f>
        <v/>
      </c>
      <c r="M3476" s="978"/>
      <c r="N3476" s="979"/>
    </row>
    <row r="3477" spans="3:14">
      <c r="C3477" s="977"/>
      <c r="D3477" s="981"/>
      <c r="E3477" s="2669" t="s">
        <v>1216</v>
      </c>
      <c r="F3477" s="2391"/>
      <c r="G3477" s="2391"/>
      <c r="H3477" s="2391"/>
      <c r="I3477" s="2391"/>
      <c r="J3477" s="2391"/>
      <c r="K3477" s="2391"/>
      <c r="L3477" s="2391"/>
      <c r="M3477" s="2391"/>
      <c r="N3477" s="2650"/>
    </row>
    <row r="3478" spans="3:14">
      <c r="C3478" s="977"/>
      <c r="D3478" s="777" t="s">
        <v>7</v>
      </c>
      <c r="E3478" s="2649" t="s">
        <v>1214</v>
      </c>
      <c r="F3478" s="2391"/>
      <c r="G3478" s="2391"/>
      <c r="H3478" s="2512"/>
      <c r="I3478" s="2683" t="str">
        <f>IFERROR(IF([1]F_ProductBM!I772 = "", "", [1]F_ProductBM!I772 ),"")</f>
        <v/>
      </c>
      <c r="J3478" s="2487"/>
      <c r="K3478" s="2487"/>
      <c r="L3478" s="2487"/>
      <c r="M3478" s="2684"/>
      <c r="N3478" s="992"/>
    </row>
    <row r="3479" spans="3:14">
      <c r="C3479" s="977"/>
      <c r="D3479" s="981"/>
      <c r="E3479" s="986"/>
      <c r="F3479" s="978"/>
      <c r="G3479" s="978"/>
      <c r="H3479" s="978"/>
      <c r="I3479" s="978"/>
      <c r="J3479" s="978"/>
      <c r="K3479" s="978"/>
      <c r="L3479" s="978"/>
      <c r="M3479" s="978"/>
      <c r="N3479" s="979"/>
    </row>
    <row r="3480" spans="3:14">
      <c r="C3480" s="977"/>
      <c r="D3480" s="981"/>
      <c r="E3480" s="2648" t="s">
        <v>1154</v>
      </c>
      <c r="F3480" s="2493"/>
      <c r="G3480" s="987" t="s">
        <v>884</v>
      </c>
      <c r="H3480" s="782">
        <v>2019</v>
      </c>
      <c r="I3480" s="988">
        <v>2020</v>
      </c>
      <c r="J3480" s="781">
        <v>2021</v>
      </c>
      <c r="K3480" s="782">
        <v>2022</v>
      </c>
      <c r="L3480" s="782">
        <v>2023</v>
      </c>
      <c r="M3480" s="782">
        <v>2024</v>
      </c>
      <c r="N3480" s="783">
        <v>2025</v>
      </c>
    </row>
    <row r="3481" spans="3:14">
      <c r="C3481" s="977"/>
      <c r="D3481" s="777" t="s">
        <v>8</v>
      </c>
      <c r="E3481" s="2471" t="s">
        <v>1153</v>
      </c>
      <c r="F3481" s="2472"/>
      <c r="G3481" s="811" t="s">
        <v>2152</v>
      </c>
      <c r="H3481" s="94" t="str">
        <f>IFERROR(IF([1]F_ProductBM!H775 = "", "", [1]F_ProductBM!H775 ),"")</f>
        <v/>
      </c>
      <c r="I3481" s="110" t="str">
        <f>IFERROR(IF([1]F_ProductBM!I775 = "", "", [1]F_ProductBM!I775 ),"")</f>
        <v/>
      </c>
      <c r="J3481" s="111" t="str">
        <f>IFERROR(IF([1]F_ProductBM!J775 = "", "", [1]F_ProductBM!J775 ),"")</f>
        <v/>
      </c>
      <c r="K3481" s="94" t="str">
        <f>IFERROR(IF([1]F_ProductBM!K775 = "", "", [1]F_ProductBM!K775 ),"")</f>
        <v/>
      </c>
      <c r="L3481" s="94" t="str">
        <f>IFERROR(IF([1]F_ProductBM!L775 = "", "", [1]F_ProductBM!L775 ),"")</f>
        <v/>
      </c>
      <c r="M3481" s="94" t="str">
        <f>IFERROR(IF([1]F_ProductBM!M775 = "", "", [1]F_ProductBM!M775 ),"")</f>
        <v/>
      </c>
      <c r="N3481" s="112" t="str">
        <f>IFERROR(IF([1]F_ProductBM!N775 = "", "", [1]F_ProductBM!N775 ),"")</f>
        <v/>
      </c>
    </row>
    <row r="3482" spans="3:14">
      <c r="C3482" s="977"/>
      <c r="D3482" s="777" t="s">
        <v>18</v>
      </c>
      <c r="E3482" s="2685" t="s">
        <v>946</v>
      </c>
      <c r="F3482" s="2608"/>
      <c r="G3482" s="993" t="s">
        <v>2019</v>
      </c>
      <c r="H3482" s="101" t="str">
        <f>IFERROR(IF([1]F_ProductBM!H776 = "", "", [1]F_ProductBM!H776 ),"")</f>
        <v/>
      </c>
      <c r="I3482" s="361" t="str">
        <f>IFERROR(IF([1]F_ProductBM!I776 = "", "", [1]F_ProductBM!I776 ),"")</f>
        <v/>
      </c>
      <c r="J3482" s="362" t="str">
        <f>IFERROR(IF([1]F_ProductBM!J776 = "", "", [1]F_ProductBM!J776 ),"")</f>
        <v/>
      </c>
      <c r="K3482" s="101" t="str">
        <f>IFERROR(IF([1]F_ProductBM!K776 = "", "", [1]F_ProductBM!K776 ),"")</f>
        <v/>
      </c>
      <c r="L3482" s="101" t="str">
        <f>IFERROR(IF([1]F_ProductBM!L776 = "", "", [1]F_ProductBM!L776 ),"")</f>
        <v/>
      </c>
      <c r="M3482" s="101" t="str">
        <f>IFERROR(IF([1]F_ProductBM!M776 = "", "", [1]F_ProductBM!M776 ),"")</f>
        <v/>
      </c>
      <c r="N3482" s="363" t="str">
        <f>IFERROR(IF([1]F_ProductBM!N776 = "", "", [1]F_ProductBM!N776 ),"")</f>
        <v/>
      </c>
    </row>
    <row r="3483" spans="3:14">
      <c r="C3483" s="977"/>
      <c r="D3483" s="777" t="s">
        <v>787</v>
      </c>
      <c r="E3483" s="2685" t="s">
        <v>945</v>
      </c>
      <c r="F3483" s="2608"/>
      <c r="G3483" s="994" t="s">
        <v>878</v>
      </c>
      <c r="H3483" s="101" t="str">
        <f>IFERROR(IF([1]F_ProductBM!H777 = "", "", [1]F_ProductBM!H777 ),"")</f>
        <v/>
      </c>
      <c r="I3483" s="361" t="str">
        <f>IFERROR(IF([1]F_ProductBM!I777 = "", "", [1]F_ProductBM!I777 ),"")</f>
        <v/>
      </c>
      <c r="J3483" s="362" t="str">
        <f>IFERROR(IF([1]F_ProductBM!J777 = "", "", [1]F_ProductBM!J777 ),"")</f>
        <v/>
      </c>
      <c r="K3483" s="101" t="str">
        <f>IFERROR(IF([1]F_ProductBM!K777 = "", "", [1]F_ProductBM!K777 ),"")</f>
        <v/>
      </c>
      <c r="L3483" s="101" t="str">
        <f>IFERROR(IF([1]F_ProductBM!L777 = "", "", [1]F_ProductBM!L777 ),"")</f>
        <v/>
      </c>
      <c r="M3483" s="101" t="str">
        <f>IFERROR(IF([1]F_ProductBM!M777 = "", "", [1]F_ProductBM!M777 ),"")</f>
        <v/>
      </c>
      <c r="N3483" s="363" t="str">
        <f>IFERROR(IF([1]F_ProductBM!N777 = "", "", [1]F_ProductBM!N777 ),"")</f>
        <v/>
      </c>
    </row>
    <row r="3484" spans="3:14">
      <c r="C3484" s="977"/>
      <c r="D3484" s="777" t="s">
        <v>788</v>
      </c>
      <c r="E3484" s="2473" t="s">
        <v>880</v>
      </c>
      <c r="F3484" s="2474"/>
      <c r="G3484" s="812" t="s">
        <v>878</v>
      </c>
      <c r="H3484" s="95" t="str">
        <f>IFERROR(IF([1]F_ProductBM!H778 = "", "", [1]F_ProductBM!H778 ),"")</f>
        <v/>
      </c>
      <c r="I3484" s="113" t="str">
        <f>IFERROR(IF([1]F_ProductBM!I778 = "", "", [1]F_ProductBM!I778 ),"")</f>
        <v/>
      </c>
      <c r="J3484" s="114" t="str">
        <f>IFERROR(IF([1]F_ProductBM!J778 = "", "", [1]F_ProductBM!J778 ),"")</f>
        <v/>
      </c>
      <c r="K3484" s="95" t="str">
        <f>IFERROR(IF([1]F_ProductBM!K778 = "", "", [1]F_ProductBM!K778 ),"")</f>
        <v/>
      </c>
      <c r="L3484" s="95" t="str">
        <f>IFERROR(IF([1]F_ProductBM!L778 = "", "", [1]F_ProductBM!L778 ),"")</f>
        <v/>
      </c>
      <c r="M3484" s="95" t="str">
        <f>IFERROR(IF([1]F_ProductBM!M778 = "", "", [1]F_ProductBM!M778 ),"")</f>
        <v/>
      </c>
      <c r="N3484" s="115" t="str">
        <f>IFERROR(IF([1]F_ProductBM!N778 = "", "", [1]F_ProductBM!N778 ),"")</f>
        <v/>
      </c>
    </row>
    <row r="3485" spans="3:14">
      <c r="C3485" s="977"/>
      <c r="D3485" s="777" t="s">
        <v>789</v>
      </c>
      <c r="E3485" s="2471" t="s">
        <v>882</v>
      </c>
      <c r="F3485" s="2472"/>
      <c r="G3485" s="995" t="s">
        <v>2015</v>
      </c>
      <c r="H3485" s="378" t="str">
        <f>IFERROR(IF([1]F_ProductBM!H779 = "", "", [1]F_ProductBM!H779 ),"")</f>
        <v/>
      </c>
      <c r="I3485" s="379" t="str">
        <f>IFERROR(IF([1]F_ProductBM!I779 = "", "", [1]F_ProductBM!I779 ),"")</f>
        <v/>
      </c>
      <c r="J3485" s="380" t="str">
        <f>IFERROR(IF([1]F_ProductBM!J779 = "", "", [1]F_ProductBM!J779 ),"")</f>
        <v/>
      </c>
      <c r="K3485" s="378" t="str">
        <f>IFERROR(IF([1]F_ProductBM!K779 = "", "", [1]F_ProductBM!K779 ),"")</f>
        <v/>
      </c>
      <c r="L3485" s="378" t="str">
        <f>IFERROR(IF([1]F_ProductBM!L779 = "", "", [1]F_ProductBM!L779 ),"")</f>
        <v/>
      </c>
      <c r="M3485" s="378" t="str">
        <f>IFERROR(IF([1]F_ProductBM!M779 = "", "", [1]F_ProductBM!M779 ),"")</f>
        <v/>
      </c>
      <c r="N3485" s="381" t="str">
        <f>IFERROR(IF([1]F_ProductBM!N779 = "", "", [1]F_ProductBM!N779 ),"")</f>
        <v/>
      </c>
    </row>
    <row r="3486" spans="3:14">
      <c r="C3486" s="977"/>
      <c r="D3486" s="777" t="s">
        <v>790</v>
      </c>
      <c r="E3486" s="2670" t="s">
        <v>879</v>
      </c>
      <c r="F3486" s="2608"/>
      <c r="G3486" s="998" t="s">
        <v>2015</v>
      </c>
      <c r="H3486" s="382" t="str">
        <f>IFERROR(IF([1]F_ProductBM!H780 = "", "", [1]F_ProductBM!H780 ),"")</f>
        <v/>
      </c>
      <c r="I3486" s="383" t="str">
        <f>IFERROR(IF([1]F_ProductBM!I780 = "", "", [1]F_ProductBM!I780 ),"")</f>
        <v/>
      </c>
      <c r="J3486" s="384" t="str">
        <f>IFERROR(IF([1]F_ProductBM!J780 = "", "", [1]F_ProductBM!J780 ),"")</f>
        <v/>
      </c>
      <c r="K3486" s="382" t="str">
        <f>IFERROR(IF([1]F_ProductBM!K780 = "", "", [1]F_ProductBM!K780 ),"")</f>
        <v/>
      </c>
      <c r="L3486" s="382" t="str">
        <f>IFERROR(IF([1]F_ProductBM!L780 = "", "", [1]F_ProductBM!L780 ),"")</f>
        <v/>
      </c>
      <c r="M3486" s="382" t="str">
        <f>IFERROR(IF([1]F_ProductBM!M780 = "", "", [1]F_ProductBM!M780 ),"")</f>
        <v/>
      </c>
      <c r="N3486" s="385" t="str">
        <f>IFERROR(IF([1]F_ProductBM!N780 = "", "", [1]F_ProductBM!N780 ),"")</f>
        <v/>
      </c>
    </row>
    <row r="3487" spans="3:14">
      <c r="C3487" s="977"/>
      <c r="D3487" s="777" t="s">
        <v>791</v>
      </c>
      <c r="E3487" s="2473" t="s">
        <v>41</v>
      </c>
      <c r="F3487" s="2474"/>
      <c r="G3487" s="1001" t="s">
        <v>2017</v>
      </c>
      <c r="H3487" s="86" t="str">
        <f>IFERROR(IF([1]F_ProductBM!H781 = "", "", [1]F_ProductBM!H781 ),"")</f>
        <v/>
      </c>
      <c r="I3487" s="340" t="str">
        <f>IFERROR(IF([1]F_ProductBM!I781 = "", "", [1]F_ProductBM!I781 ),"")</f>
        <v/>
      </c>
      <c r="J3487" s="341" t="str">
        <f>IFERROR(IF([1]F_ProductBM!J781 = "", "", [1]F_ProductBM!J781 ),"")</f>
        <v/>
      </c>
      <c r="K3487" s="86" t="str">
        <f>IFERROR(IF([1]F_ProductBM!K781 = "", "", [1]F_ProductBM!K781 ),"")</f>
        <v/>
      </c>
      <c r="L3487" s="86" t="str">
        <f>IFERROR(IF([1]F_ProductBM!L781 = "", "", [1]F_ProductBM!L781 ),"")</f>
        <v/>
      </c>
      <c r="M3487" s="86" t="str">
        <f>IFERROR(IF([1]F_ProductBM!M781 = "", "", [1]F_ProductBM!M781 ),"")</f>
        <v/>
      </c>
      <c r="N3487" s="342" t="str">
        <f>IFERROR(IF([1]F_ProductBM!N781 = "", "", [1]F_ProductBM!N781 ),"")</f>
        <v/>
      </c>
    </row>
    <row r="3488" spans="3:14">
      <c r="C3488" s="977"/>
      <c r="D3488" s="777" t="s">
        <v>64</v>
      </c>
      <c r="E3488" s="2687" t="s">
        <v>393</v>
      </c>
      <c r="F3488" s="2688"/>
      <c r="G3488" s="1002"/>
      <c r="H3488" s="343" t="str">
        <f>IFERROR(IF([1]F_ProductBM!H782 = "", "", [1]F_ProductBM!H782 ),"")</f>
        <v/>
      </c>
      <c r="I3488" s="344" t="str">
        <f>IFERROR(IF([1]F_ProductBM!I782 = "", "", [1]F_ProductBM!I782 ),"")</f>
        <v/>
      </c>
      <c r="J3488" s="345" t="str">
        <f>IFERROR(IF([1]F_ProductBM!J782 = "", "", [1]F_ProductBM!J782 ),"")</f>
        <v/>
      </c>
      <c r="K3488" s="343" t="str">
        <f>IFERROR(IF([1]F_ProductBM!K782 = "", "", [1]F_ProductBM!K782 ),"")</f>
        <v/>
      </c>
      <c r="L3488" s="343" t="str">
        <f>IFERROR(IF([1]F_ProductBM!L782 = "", "", [1]F_ProductBM!L782 ),"")</f>
        <v/>
      </c>
      <c r="M3488" s="343" t="str">
        <f>IFERROR(IF([1]F_ProductBM!M782 = "", "", [1]F_ProductBM!M782 ),"")</f>
        <v/>
      </c>
      <c r="N3488" s="346" t="str">
        <f>IFERROR(IF([1]F_ProductBM!N782 = "", "", [1]F_ProductBM!N782 ),"")</f>
        <v/>
      </c>
    </row>
    <row r="3489" spans="3:14">
      <c r="C3489" s="977"/>
      <c r="D3489" s="777"/>
      <c r="E3489" s="981"/>
      <c r="F3489" s="981"/>
      <c r="G3489" s="981"/>
      <c r="H3489" s="981"/>
      <c r="I3489" s="981"/>
      <c r="J3489" s="981"/>
      <c r="K3489" s="981"/>
      <c r="L3489" s="981"/>
      <c r="M3489" s="813"/>
      <c r="N3489" s="814"/>
    </row>
    <row r="3490" spans="3:14">
      <c r="C3490" s="977"/>
      <c r="D3490" s="777" t="s">
        <v>65</v>
      </c>
      <c r="E3490" s="2649" t="s">
        <v>1215</v>
      </c>
      <c r="F3490" s="2391"/>
      <c r="G3490" s="2391"/>
      <c r="H3490" s="2512"/>
      <c r="I3490" s="2683" t="str">
        <f>IFERROR(IF([1]F_ProductBM!I784 = "", "", [1]F_ProductBM!I784 ),"")</f>
        <v/>
      </c>
      <c r="J3490" s="2488"/>
      <c r="K3490" s="2488"/>
      <c r="L3490" s="2488"/>
      <c r="M3490" s="2686"/>
      <c r="N3490" s="979"/>
    </row>
    <row r="3491" spans="3:14">
      <c r="C3491" s="977"/>
      <c r="D3491" s="981"/>
      <c r="E3491" s="986"/>
      <c r="F3491" s="978"/>
      <c r="G3491" s="981"/>
      <c r="H3491" s="981"/>
      <c r="I3491" s="978"/>
      <c r="J3491" s="978"/>
      <c r="K3491" s="978"/>
      <c r="L3491" s="978"/>
      <c r="M3491" s="978"/>
      <c r="N3491" s="979"/>
    </row>
    <row r="3492" spans="3:14">
      <c r="C3492" s="977"/>
      <c r="D3492" s="777"/>
      <c r="E3492" s="2648" t="s">
        <v>1155</v>
      </c>
      <c r="F3492" s="2493"/>
      <c r="G3492" s="987" t="s">
        <v>884</v>
      </c>
      <c r="H3492" s="782">
        <v>2019</v>
      </c>
      <c r="I3492" s="988">
        <v>2020</v>
      </c>
      <c r="J3492" s="781">
        <v>2021</v>
      </c>
      <c r="K3492" s="782">
        <v>2022</v>
      </c>
      <c r="L3492" s="782">
        <v>2023</v>
      </c>
      <c r="M3492" s="782">
        <v>2024</v>
      </c>
      <c r="N3492" s="783">
        <v>2025</v>
      </c>
    </row>
    <row r="3493" spans="3:14">
      <c r="C3493" s="977"/>
      <c r="D3493" s="777" t="s">
        <v>66</v>
      </c>
      <c r="E3493" s="2471" t="s">
        <v>1153</v>
      </c>
      <c r="F3493" s="2472"/>
      <c r="G3493" s="811" t="s">
        <v>2152</v>
      </c>
      <c r="H3493" s="94" t="str">
        <f>IFERROR(IF([1]F_ProductBM!H787 = "", "", [1]F_ProductBM!H787 ),"")</f>
        <v/>
      </c>
      <c r="I3493" s="110" t="str">
        <f>IFERROR(IF([1]F_ProductBM!I787 = "", "", [1]F_ProductBM!I787 ),"")</f>
        <v/>
      </c>
      <c r="J3493" s="111" t="str">
        <f>IFERROR(IF([1]F_ProductBM!J787 = "", "", [1]F_ProductBM!J787 ),"")</f>
        <v/>
      </c>
      <c r="K3493" s="94" t="str">
        <f>IFERROR(IF([1]F_ProductBM!K787 = "", "", [1]F_ProductBM!K787 ),"")</f>
        <v/>
      </c>
      <c r="L3493" s="94" t="str">
        <f>IFERROR(IF([1]F_ProductBM!L787 = "", "", [1]F_ProductBM!L787 ),"")</f>
        <v/>
      </c>
      <c r="M3493" s="94" t="str">
        <f>IFERROR(IF([1]F_ProductBM!M787 = "", "", [1]F_ProductBM!M787 ),"")</f>
        <v/>
      </c>
      <c r="N3493" s="112" t="str">
        <f>IFERROR(IF([1]F_ProductBM!N787 = "", "", [1]F_ProductBM!N787 ),"")</f>
        <v/>
      </c>
    </row>
    <row r="3494" spans="3:14">
      <c r="C3494" s="977"/>
      <c r="D3494" s="777" t="s">
        <v>1105</v>
      </c>
      <c r="E3494" s="2685" t="s">
        <v>946</v>
      </c>
      <c r="F3494" s="2608"/>
      <c r="G3494" s="993" t="s">
        <v>2019</v>
      </c>
      <c r="H3494" s="101" t="str">
        <f>IFERROR(IF([1]F_ProductBM!H788 = "", "", [1]F_ProductBM!H788 ),"")</f>
        <v/>
      </c>
      <c r="I3494" s="361" t="str">
        <f>IFERROR(IF([1]F_ProductBM!I788 = "", "", [1]F_ProductBM!I788 ),"")</f>
        <v/>
      </c>
      <c r="J3494" s="362" t="str">
        <f>IFERROR(IF([1]F_ProductBM!J788 = "", "", [1]F_ProductBM!J788 ),"")</f>
        <v/>
      </c>
      <c r="K3494" s="101" t="str">
        <f>IFERROR(IF([1]F_ProductBM!K788 = "", "", [1]F_ProductBM!K788 ),"")</f>
        <v/>
      </c>
      <c r="L3494" s="101" t="str">
        <f>IFERROR(IF([1]F_ProductBM!L788 = "", "", [1]F_ProductBM!L788 ),"")</f>
        <v/>
      </c>
      <c r="M3494" s="101" t="str">
        <f>IFERROR(IF([1]F_ProductBM!M788 = "", "", [1]F_ProductBM!M788 ),"")</f>
        <v/>
      </c>
      <c r="N3494" s="363" t="str">
        <f>IFERROR(IF([1]F_ProductBM!N788 = "", "", [1]F_ProductBM!N788 ),"")</f>
        <v/>
      </c>
    </row>
    <row r="3495" spans="3:14">
      <c r="C3495" s="977"/>
      <c r="D3495" s="777" t="s">
        <v>1106</v>
      </c>
      <c r="E3495" s="2685" t="s">
        <v>945</v>
      </c>
      <c r="F3495" s="2608"/>
      <c r="G3495" s="994" t="s">
        <v>878</v>
      </c>
      <c r="H3495" s="101" t="str">
        <f>IFERROR(IF([1]F_ProductBM!H789 = "", "", [1]F_ProductBM!H789 ),"")</f>
        <v/>
      </c>
      <c r="I3495" s="361" t="str">
        <f>IFERROR(IF([1]F_ProductBM!I789 = "", "", [1]F_ProductBM!I789 ),"")</f>
        <v/>
      </c>
      <c r="J3495" s="362" t="str">
        <f>IFERROR(IF([1]F_ProductBM!J789 = "", "", [1]F_ProductBM!J789 ),"")</f>
        <v/>
      </c>
      <c r="K3495" s="101" t="str">
        <f>IFERROR(IF([1]F_ProductBM!K789 = "", "", [1]F_ProductBM!K789 ),"")</f>
        <v/>
      </c>
      <c r="L3495" s="101" t="str">
        <f>IFERROR(IF([1]F_ProductBM!L789 = "", "", [1]F_ProductBM!L789 ),"")</f>
        <v/>
      </c>
      <c r="M3495" s="101" t="str">
        <f>IFERROR(IF([1]F_ProductBM!M789 = "", "", [1]F_ProductBM!M789 ),"")</f>
        <v/>
      </c>
      <c r="N3495" s="363" t="str">
        <f>IFERROR(IF([1]F_ProductBM!N789 = "", "", [1]F_ProductBM!N789 ),"")</f>
        <v/>
      </c>
    </row>
    <row r="3496" spans="3:14">
      <c r="C3496" s="977"/>
      <c r="D3496" s="777" t="s">
        <v>1107</v>
      </c>
      <c r="E3496" s="2473" t="s">
        <v>880</v>
      </c>
      <c r="F3496" s="2474"/>
      <c r="G3496" s="812" t="s">
        <v>878</v>
      </c>
      <c r="H3496" s="95" t="str">
        <f>IFERROR(IF([1]F_ProductBM!H790 = "", "", [1]F_ProductBM!H790 ),"")</f>
        <v/>
      </c>
      <c r="I3496" s="113" t="str">
        <f>IFERROR(IF([1]F_ProductBM!I790 = "", "", [1]F_ProductBM!I790 ),"")</f>
        <v/>
      </c>
      <c r="J3496" s="114" t="str">
        <f>IFERROR(IF([1]F_ProductBM!J790 = "", "", [1]F_ProductBM!J790 ),"")</f>
        <v/>
      </c>
      <c r="K3496" s="95" t="str">
        <f>IFERROR(IF([1]F_ProductBM!K790 = "", "", [1]F_ProductBM!K790 ),"")</f>
        <v/>
      </c>
      <c r="L3496" s="95" t="str">
        <f>IFERROR(IF([1]F_ProductBM!L790 = "", "", [1]F_ProductBM!L790 ),"")</f>
        <v/>
      </c>
      <c r="M3496" s="95" t="str">
        <f>IFERROR(IF([1]F_ProductBM!M790 = "", "", [1]F_ProductBM!M790 ),"")</f>
        <v/>
      </c>
      <c r="N3496" s="115" t="str">
        <f>IFERROR(IF([1]F_ProductBM!N790 = "", "", [1]F_ProductBM!N790 ),"")</f>
        <v/>
      </c>
    </row>
    <row r="3497" spans="3:14">
      <c r="C3497" s="977"/>
      <c r="D3497" s="777" t="s">
        <v>1108</v>
      </c>
      <c r="E3497" s="2471" t="s">
        <v>882</v>
      </c>
      <c r="F3497" s="2472"/>
      <c r="G3497" s="995" t="s">
        <v>2015</v>
      </c>
      <c r="H3497" s="378" t="str">
        <f>IFERROR(IF([1]F_ProductBM!H791 = "", "", [1]F_ProductBM!H791 ),"")</f>
        <v/>
      </c>
      <c r="I3497" s="379" t="str">
        <f>IFERROR(IF([1]F_ProductBM!I791 = "", "", [1]F_ProductBM!I791 ),"")</f>
        <v/>
      </c>
      <c r="J3497" s="380" t="str">
        <f>IFERROR(IF([1]F_ProductBM!J791 = "", "", [1]F_ProductBM!J791 ),"")</f>
        <v/>
      </c>
      <c r="K3497" s="378" t="str">
        <f>IFERROR(IF([1]F_ProductBM!K791 = "", "", [1]F_ProductBM!K791 ),"")</f>
        <v/>
      </c>
      <c r="L3497" s="378" t="str">
        <f>IFERROR(IF([1]F_ProductBM!L791 = "", "", [1]F_ProductBM!L791 ),"")</f>
        <v/>
      </c>
      <c r="M3497" s="378" t="str">
        <f>IFERROR(IF([1]F_ProductBM!M791 = "", "", [1]F_ProductBM!M791 ),"")</f>
        <v/>
      </c>
      <c r="N3497" s="381" t="str">
        <f>IFERROR(IF([1]F_ProductBM!N791 = "", "", [1]F_ProductBM!N791 ),"")</f>
        <v/>
      </c>
    </row>
    <row r="3498" spans="3:14">
      <c r="C3498" s="977"/>
      <c r="D3498" s="777" t="s">
        <v>1109</v>
      </c>
      <c r="E3498" s="2670" t="s">
        <v>879</v>
      </c>
      <c r="F3498" s="2608"/>
      <c r="G3498" s="998" t="s">
        <v>2015</v>
      </c>
      <c r="H3498" s="382" t="str">
        <f>IFERROR(IF([1]F_ProductBM!H792 = "", "", [1]F_ProductBM!H792 ),"")</f>
        <v/>
      </c>
      <c r="I3498" s="383" t="str">
        <f>IFERROR(IF([1]F_ProductBM!I792 = "", "", [1]F_ProductBM!I792 ),"")</f>
        <v/>
      </c>
      <c r="J3498" s="384" t="str">
        <f>IFERROR(IF([1]F_ProductBM!J792 = "", "", [1]F_ProductBM!J792 ),"")</f>
        <v/>
      </c>
      <c r="K3498" s="382" t="str">
        <f>IFERROR(IF([1]F_ProductBM!K792 = "", "", [1]F_ProductBM!K792 ),"")</f>
        <v/>
      </c>
      <c r="L3498" s="382" t="str">
        <f>IFERROR(IF([1]F_ProductBM!L792 = "", "", [1]F_ProductBM!L792 ),"")</f>
        <v/>
      </c>
      <c r="M3498" s="382" t="str">
        <f>IFERROR(IF([1]F_ProductBM!M792 = "", "", [1]F_ProductBM!M792 ),"")</f>
        <v/>
      </c>
      <c r="N3498" s="385" t="str">
        <f>IFERROR(IF([1]F_ProductBM!N792 = "", "", [1]F_ProductBM!N792 ),"")</f>
        <v/>
      </c>
    </row>
    <row r="3499" spans="3:14">
      <c r="C3499" s="977"/>
      <c r="D3499" s="777" t="s">
        <v>1110</v>
      </c>
      <c r="E3499" s="2473" t="s">
        <v>41</v>
      </c>
      <c r="F3499" s="2474"/>
      <c r="G3499" s="1001" t="s">
        <v>2017</v>
      </c>
      <c r="H3499" s="86" t="str">
        <f>IFERROR(IF([1]F_ProductBM!H793 = "", "", [1]F_ProductBM!H793 ),"")</f>
        <v/>
      </c>
      <c r="I3499" s="340" t="str">
        <f>IFERROR(IF([1]F_ProductBM!I793 = "", "", [1]F_ProductBM!I793 ),"")</f>
        <v/>
      </c>
      <c r="J3499" s="341" t="str">
        <f>IFERROR(IF([1]F_ProductBM!J793 = "", "", [1]F_ProductBM!J793 ),"")</f>
        <v/>
      </c>
      <c r="K3499" s="86" t="str">
        <f>IFERROR(IF([1]F_ProductBM!K793 = "", "", [1]F_ProductBM!K793 ),"")</f>
        <v/>
      </c>
      <c r="L3499" s="86" t="str">
        <f>IFERROR(IF([1]F_ProductBM!L793 = "", "", [1]F_ProductBM!L793 ),"")</f>
        <v/>
      </c>
      <c r="M3499" s="86" t="str">
        <f>IFERROR(IF([1]F_ProductBM!M793 = "", "", [1]F_ProductBM!M793 ),"")</f>
        <v/>
      </c>
      <c r="N3499" s="342" t="str">
        <f>IFERROR(IF([1]F_ProductBM!N793 = "", "", [1]F_ProductBM!N793 ),"")</f>
        <v/>
      </c>
    </row>
    <row r="3500" spans="3:14">
      <c r="C3500" s="977"/>
      <c r="D3500" s="777" t="s">
        <v>1106</v>
      </c>
      <c r="E3500" s="2687" t="s">
        <v>393</v>
      </c>
      <c r="F3500" s="2688"/>
      <c r="G3500" s="1002"/>
      <c r="H3500" s="343" t="str">
        <f>IFERROR(IF([1]F_ProductBM!H794 = "", "", [1]F_ProductBM!H794 ),"")</f>
        <v/>
      </c>
      <c r="I3500" s="344" t="str">
        <f>IFERROR(IF([1]F_ProductBM!I794 = "", "", [1]F_ProductBM!I794 ),"")</f>
        <v/>
      </c>
      <c r="J3500" s="345" t="str">
        <f>IFERROR(IF([1]F_ProductBM!J794 = "", "", [1]F_ProductBM!J794 ),"")</f>
        <v/>
      </c>
      <c r="K3500" s="343" t="str">
        <f>IFERROR(IF([1]F_ProductBM!K794 = "", "", [1]F_ProductBM!K794 ),"")</f>
        <v/>
      </c>
      <c r="L3500" s="343" t="str">
        <f>IFERROR(IF([1]F_ProductBM!L794 = "", "", [1]F_ProductBM!L794 ),"")</f>
        <v/>
      </c>
      <c r="M3500" s="343" t="str">
        <f>IFERROR(IF([1]F_ProductBM!M794 = "", "", [1]F_ProductBM!M794 ),"")</f>
        <v/>
      </c>
      <c r="N3500" s="346" t="str">
        <f>IFERROR(IF([1]F_ProductBM!N794 = "", "", [1]F_ProductBM!N794 ),"")</f>
        <v/>
      </c>
    </row>
    <row r="3501" spans="3:14">
      <c r="C3501" s="977"/>
      <c r="D3501" s="981"/>
      <c r="E3501" s="981"/>
      <c r="F3501" s="981"/>
      <c r="G3501" s="981"/>
      <c r="H3501" s="981"/>
      <c r="I3501" s="981"/>
      <c r="J3501" s="981"/>
      <c r="K3501" s="981"/>
      <c r="L3501" s="981"/>
      <c r="M3501" s="813"/>
      <c r="N3501" s="814"/>
    </row>
    <row r="3502" spans="3:14">
      <c r="C3502" s="977"/>
      <c r="D3502" s="982" t="s">
        <v>478</v>
      </c>
      <c r="E3502" s="2649" t="s">
        <v>1457</v>
      </c>
      <c r="F3502" s="2391"/>
      <c r="G3502" s="2391"/>
      <c r="H3502" s="2391"/>
      <c r="I3502" s="2391"/>
      <c r="J3502" s="2391"/>
      <c r="K3502" s="2391"/>
      <c r="L3502" s="2391"/>
      <c r="M3502" s="2391"/>
      <c r="N3502" s="2650"/>
    </row>
    <row r="3503" spans="3:14">
      <c r="C3503" s="977"/>
      <c r="D3503" s="777"/>
      <c r="E3503" s="2676" t="s">
        <v>2295</v>
      </c>
      <c r="F3503" s="2391"/>
      <c r="G3503" s="2391"/>
      <c r="H3503" s="2391"/>
      <c r="I3503" s="2391"/>
      <c r="J3503" s="2391"/>
      <c r="K3503" s="2391"/>
      <c r="L3503" s="2391"/>
      <c r="M3503" s="2391"/>
      <c r="N3503" s="2650"/>
    </row>
    <row r="3504" spans="3:14" ht="22.5" customHeight="1">
      <c r="C3504" s="977"/>
      <c r="D3504" s="981"/>
      <c r="E3504" s="2669" t="s">
        <v>2300</v>
      </c>
      <c r="F3504" s="2391"/>
      <c r="G3504" s="2391"/>
      <c r="H3504" s="2391"/>
      <c r="I3504" s="2391"/>
      <c r="J3504" s="2391"/>
      <c r="K3504" s="2391"/>
      <c r="L3504" s="2391"/>
      <c r="M3504" s="2391"/>
      <c r="N3504" s="2650"/>
    </row>
    <row r="3505" spans="3:14">
      <c r="C3505" s="977"/>
      <c r="D3505" s="981"/>
      <c r="E3505" s="2669" t="s">
        <v>1365</v>
      </c>
      <c r="F3505" s="2391"/>
      <c r="G3505" s="2391"/>
      <c r="H3505" s="2391"/>
      <c r="I3505" s="2391"/>
      <c r="J3505" s="2391"/>
      <c r="K3505" s="2391"/>
      <c r="L3505" s="2391"/>
      <c r="M3505" s="2391"/>
      <c r="N3505" s="2650"/>
    </row>
    <row r="3506" spans="3:14">
      <c r="C3506" s="977"/>
      <c r="D3506" s="982"/>
      <c r="E3506" s="989"/>
      <c r="F3506" s="990"/>
      <c r="G3506" s="987" t="s">
        <v>884</v>
      </c>
      <c r="H3506" s="782">
        <v>2019</v>
      </c>
      <c r="I3506" s="988">
        <v>2020</v>
      </c>
      <c r="J3506" s="781">
        <v>2021</v>
      </c>
      <c r="K3506" s="782">
        <v>2022</v>
      </c>
      <c r="L3506" s="782">
        <v>2023</v>
      </c>
      <c r="M3506" s="782">
        <v>2024</v>
      </c>
      <c r="N3506" s="783">
        <v>2025</v>
      </c>
    </row>
    <row r="3507" spans="3:14">
      <c r="C3507" s="977"/>
      <c r="D3507" s="777"/>
      <c r="E3507" s="2475" t="s">
        <v>1156</v>
      </c>
      <c r="F3507" s="2410"/>
      <c r="G3507" s="815" t="s">
        <v>2016</v>
      </c>
      <c r="H3507" s="93" t="str">
        <f>IFERROR(IF([1]F_ProductBM!H801 = "", "", [1]F_ProductBM!H801 ),"")</f>
        <v/>
      </c>
      <c r="I3507" s="116" t="str">
        <f>IFERROR(IF([1]F_ProductBM!I801 = "", "", [1]F_ProductBM!I801 ),"")</f>
        <v/>
      </c>
      <c r="J3507" s="117" t="str">
        <f>IFERROR(IF([1]F_ProductBM!J801 = "", "", [1]F_ProductBM!J801 ),"")</f>
        <v/>
      </c>
      <c r="K3507" s="93" t="str">
        <f>IFERROR(IF([1]F_ProductBM!K801 = "", "", [1]F_ProductBM!K801 ),"")</f>
        <v/>
      </c>
      <c r="L3507" s="93" t="str">
        <f>IFERROR(IF([1]F_ProductBM!L801 = "", "", [1]F_ProductBM!L801 ),"")</f>
        <v/>
      </c>
      <c r="M3507" s="93" t="str">
        <f>IFERROR(IF([1]F_ProductBM!M801 = "", "", [1]F_ProductBM!M801 ),"")</f>
        <v/>
      </c>
      <c r="N3507" s="118" t="str">
        <f>IFERROR(IF([1]F_ProductBM!N801 = "", "", [1]F_ProductBM!N801 ),"")</f>
        <v/>
      </c>
    </row>
    <row r="3508" spans="3:14">
      <c r="C3508" s="977"/>
      <c r="D3508" s="981"/>
      <c r="E3508" s="981"/>
      <c r="F3508" s="981"/>
      <c r="G3508" s="981"/>
      <c r="H3508" s="981"/>
      <c r="I3508" s="981"/>
      <c r="J3508" s="981"/>
      <c r="K3508" s="981"/>
      <c r="L3508" s="981"/>
      <c r="M3508" s="813"/>
      <c r="N3508" s="814"/>
    </row>
    <row r="3509" spans="3:14">
      <c r="C3509" s="977"/>
      <c r="D3509" s="982" t="s">
        <v>479</v>
      </c>
      <c r="E3509" s="2649" t="s">
        <v>1118</v>
      </c>
      <c r="F3509" s="2391"/>
      <c r="G3509" s="2391"/>
      <c r="H3509" s="2391"/>
      <c r="I3509" s="2391"/>
      <c r="J3509" s="2391"/>
      <c r="K3509" s="2391"/>
      <c r="L3509" s="2391"/>
      <c r="M3509" s="2391"/>
      <c r="N3509" s="2650"/>
    </row>
    <row r="3510" spans="3:14">
      <c r="C3510" s="977"/>
      <c r="D3510" s="777"/>
      <c r="E3510" s="2676" t="s">
        <v>2297</v>
      </c>
      <c r="F3510" s="2391"/>
      <c r="G3510" s="2391"/>
      <c r="H3510" s="2391"/>
      <c r="I3510" s="2391"/>
      <c r="J3510" s="2391"/>
      <c r="K3510" s="2391"/>
      <c r="L3510" s="2391"/>
      <c r="M3510" s="2391"/>
      <c r="N3510" s="2650"/>
    </row>
    <row r="3511" spans="3:14">
      <c r="C3511" s="977"/>
      <c r="D3511" s="981"/>
      <c r="E3511" s="2669" t="s">
        <v>2118</v>
      </c>
      <c r="F3511" s="2391"/>
      <c r="G3511" s="2391"/>
      <c r="H3511" s="2391"/>
      <c r="I3511" s="2391"/>
      <c r="J3511" s="2391"/>
      <c r="K3511" s="2391"/>
      <c r="L3511" s="2391"/>
      <c r="M3511" s="2391"/>
      <c r="N3511" s="2650"/>
    </row>
    <row r="3512" spans="3:14">
      <c r="C3512" s="977"/>
      <c r="D3512" s="981"/>
      <c r="E3512" s="2669" t="s">
        <v>1614</v>
      </c>
      <c r="F3512" s="2391"/>
      <c r="G3512" s="2391"/>
      <c r="H3512" s="2391"/>
      <c r="I3512" s="2391"/>
      <c r="J3512" s="2391"/>
      <c r="K3512" s="2391"/>
      <c r="L3512" s="2391"/>
      <c r="M3512" s="2391"/>
      <c r="N3512" s="2650"/>
    </row>
    <row r="3513" spans="3:14">
      <c r="C3513" s="977"/>
      <c r="D3513" s="981"/>
      <c r="E3513" s="2669" t="s">
        <v>1593</v>
      </c>
      <c r="F3513" s="2391"/>
      <c r="G3513" s="2391"/>
      <c r="H3513" s="2391"/>
      <c r="I3513" s="2391"/>
      <c r="J3513" s="2391"/>
      <c r="K3513" s="2391"/>
      <c r="L3513" s="2391"/>
      <c r="M3513" s="2391"/>
      <c r="N3513" s="2650"/>
    </row>
    <row r="3514" spans="3:14">
      <c r="C3514" s="977"/>
      <c r="D3514" s="981"/>
      <c r="E3514" s="2697" t="s">
        <v>1555</v>
      </c>
      <c r="F3514" s="2698"/>
      <c r="G3514" s="2698"/>
      <c r="H3514" s="2698"/>
      <c r="I3514" s="2698"/>
      <c r="J3514" s="2698"/>
      <c r="K3514" s="2698"/>
      <c r="L3514" s="2698"/>
      <c r="M3514" s="2698"/>
      <c r="N3514" s="2694"/>
    </row>
    <row r="3515" spans="3:14">
      <c r="C3515" s="977"/>
      <c r="D3515" s="981"/>
      <c r="E3515" s="2648" t="s">
        <v>1151</v>
      </c>
      <c r="F3515" s="2493"/>
      <c r="G3515" s="987" t="s">
        <v>884</v>
      </c>
      <c r="H3515" s="782">
        <v>2019</v>
      </c>
      <c r="I3515" s="988">
        <v>2020</v>
      </c>
      <c r="J3515" s="781">
        <v>2021</v>
      </c>
      <c r="K3515" s="782">
        <v>2022</v>
      </c>
      <c r="L3515" s="782">
        <v>2023</v>
      </c>
      <c r="M3515" s="782">
        <v>2024</v>
      </c>
      <c r="N3515" s="783">
        <v>2025</v>
      </c>
    </row>
    <row r="3516" spans="3:14">
      <c r="C3516" s="977"/>
      <c r="D3516" s="777" t="s">
        <v>6</v>
      </c>
      <c r="E3516" s="2475" t="s">
        <v>1087</v>
      </c>
      <c r="F3516" s="2410"/>
      <c r="G3516" s="815" t="s">
        <v>2017</v>
      </c>
      <c r="H3516" s="93" t="str">
        <f>IFERROR(IF([1]F_ProductBM!H810 = "", "", [1]F_ProductBM!H810 ),"")</f>
        <v/>
      </c>
      <c r="I3516" s="116" t="str">
        <f>IFERROR(IF([1]F_ProductBM!I810 = "", "", [1]F_ProductBM!I810 ),"")</f>
        <v/>
      </c>
      <c r="J3516" s="117" t="str">
        <f>IFERROR(IF([1]F_ProductBM!J810 = "", "", [1]F_ProductBM!J810 ),"")</f>
        <v/>
      </c>
      <c r="K3516" s="93" t="str">
        <f>IFERROR(IF([1]F_ProductBM!K810 = "", "", [1]F_ProductBM!K810 ),"")</f>
        <v/>
      </c>
      <c r="L3516" s="93" t="str">
        <f>IFERROR(IF([1]F_ProductBM!L810 = "", "", [1]F_ProductBM!L810 ),"")</f>
        <v/>
      </c>
      <c r="M3516" s="93" t="str">
        <f>IFERROR(IF([1]F_ProductBM!M810 = "", "", [1]F_ProductBM!M810 ),"")</f>
        <v/>
      </c>
      <c r="N3516" s="118" t="str">
        <f>IFERROR(IF([1]F_ProductBM!N810 = "", "", [1]F_ProductBM!N810 ),"")</f>
        <v/>
      </c>
    </row>
    <row r="3517" spans="3:14">
      <c r="C3517" s="977"/>
      <c r="D3517" s="777" t="s">
        <v>7</v>
      </c>
      <c r="E3517" s="2475" t="s">
        <v>1103</v>
      </c>
      <c r="F3517" s="2410"/>
      <c r="G3517" s="815" t="s">
        <v>2018</v>
      </c>
      <c r="H3517" s="93" t="str">
        <f>IFERROR(IF([1]F_ProductBM!H811 = "", "", [1]F_ProductBM!H811 ),"")</f>
        <v/>
      </c>
      <c r="I3517" s="116" t="str">
        <f>IFERROR(IF([1]F_ProductBM!I811 = "", "", [1]F_ProductBM!I811 ),"")</f>
        <v/>
      </c>
      <c r="J3517" s="117" t="str">
        <f>IFERROR(IF([1]F_ProductBM!J811 = "", "", [1]F_ProductBM!J811 ),"")</f>
        <v/>
      </c>
      <c r="K3517" s="93" t="str">
        <f>IFERROR(IF([1]F_ProductBM!K811 = "", "", [1]F_ProductBM!K811 ),"")</f>
        <v/>
      </c>
      <c r="L3517" s="93" t="str">
        <f>IFERROR(IF([1]F_ProductBM!L811 = "", "", [1]F_ProductBM!L811 ),"")</f>
        <v/>
      </c>
      <c r="M3517" s="93" t="str">
        <f>IFERROR(IF([1]F_ProductBM!M811 = "", "", [1]F_ProductBM!M811 ),"")</f>
        <v/>
      </c>
      <c r="N3517" s="118" t="str">
        <f>IFERROR(IF([1]F_ProductBM!N811 = "", "", [1]F_ProductBM!N811 ),"")</f>
        <v/>
      </c>
    </row>
    <row r="3518" spans="3:14">
      <c r="C3518" s="977"/>
      <c r="D3518" s="981"/>
      <c r="E3518" s="981"/>
      <c r="F3518" s="981"/>
      <c r="G3518" s="981"/>
      <c r="H3518" s="981"/>
      <c r="I3518" s="981"/>
      <c r="J3518" s="981"/>
      <c r="K3518" s="981"/>
      <c r="L3518" s="981"/>
      <c r="M3518" s="981"/>
      <c r="N3518" s="814"/>
    </row>
    <row r="3519" spans="3:14">
      <c r="C3519" s="977"/>
      <c r="D3519" s="981"/>
      <c r="E3519" s="2648" t="s">
        <v>1406</v>
      </c>
      <c r="F3519" s="2493"/>
      <c r="G3519" s="987" t="s">
        <v>884</v>
      </c>
      <c r="H3519" s="782">
        <v>2019</v>
      </c>
      <c r="I3519" s="988">
        <v>2020</v>
      </c>
      <c r="J3519" s="781">
        <v>2021</v>
      </c>
      <c r="K3519" s="782">
        <v>2022</v>
      </c>
      <c r="L3519" s="782">
        <v>2023</v>
      </c>
      <c r="M3519" s="782">
        <v>2024</v>
      </c>
      <c r="N3519" s="783">
        <v>2025</v>
      </c>
    </row>
    <row r="3520" spans="3:14">
      <c r="C3520" s="977"/>
      <c r="D3520" s="777" t="s">
        <v>8</v>
      </c>
      <c r="E3520" s="2475" t="s">
        <v>1556</v>
      </c>
      <c r="F3520" s="2410"/>
      <c r="G3520" s="815" t="s">
        <v>2017</v>
      </c>
      <c r="H3520" s="351" t="str">
        <f>IFERROR(IF([1]F_ProductBM!H814 = "", "", [1]F_ProductBM!H814 ),"")</f>
        <v/>
      </c>
      <c r="I3520" s="352" t="str">
        <f>IFERROR(IF([1]F_ProductBM!I814 = "", "", [1]F_ProductBM!I814 ),"")</f>
        <v/>
      </c>
      <c r="J3520" s="353" t="str">
        <f>IFERROR(IF([1]F_ProductBM!J814 = "", "", [1]F_ProductBM!J814 ),"")</f>
        <v/>
      </c>
      <c r="K3520" s="351" t="str">
        <f>IFERROR(IF([1]F_ProductBM!K814 = "", "", [1]F_ProductBM!K814 ),"")</f>
        <v/>
      </c>
      <c r="L3520" s="351" t="str">
        <f>IFERROR(IF([1]F_ProductBM!L814 = "", "", [1]F_ProductBM!L814 ),"")</f>
        <v/>
      </c>
      <c r="M3520" s="351" t="str">
        <f>IFERROR(IF([1]F_ProductBM!M814 = "", "", [1]F_ProductBM!M814 ),"")</f>
        <v/>
      </c>
      <c r="N3520" s="354" t="str">
        <f>IFERROR(IF([1]F_ProductBM!N814 = "", "", [1]F_ProductBM!N814 ),"")</f>
        <v/>
      </c>
    </row>
    <row r="3521" spans="3:14">
      <c r="C3521" s="977"/>
      <c r="D3521" s="777" t="s">
        <v>18</v>
      </c>
      <c r="E3521" s="2475" t="s">
        <v>1149</v>
      </c>
      <c r="F3521" s="2410"/>
      <c r="G3521" s="815" t="s">
        <v>2017</v>
      </c>
      <c r="H3521" s="93" t="str">
        <f>IFERROR(IF([1]F_ProductBM!H815 = "", "", [1]F_ProductBM!H815 ),"")</f>
        <v/>
      </c>
      <c r="I3521" s="116" t="str">
        <f>IFERROR(IF([1]F_ProductBM!I815 = "", "", [1]F_ProductBM!I815 ),"")</f>
        <v/>
      </c>
      <c r="J3521" s="117" t="str">
        <f>IFERROR(IF([1]F_ProductBM!J815 = "", "", [1]F_ProductBM!J815 ),"")</f>
        <v/>
      </c>
      <c r="K3521" s="93" t="str">
        <f>IFERROR(IF([1]F_ProductBM!K815 = "", "", [1]F_ProductBM!K815 ),"")</f>
        <v/>
      </c>
      <c r="L3521" s="93" t="str">
        <f>IFERROR(IF([1]F_ProductBM!L815 = "", "", [1]F_ProductBM!L815 ),"")</f>
        <v/>
      </c>
      <c r="M3521" s="93" t="str">
        <f>IFERROR(IF([1]F_ProductBM!M815 = "", "", [1]F_ProductBM!M815 ),"")</f>
        <v/>
      </c>
      <c r="N3521" s="118" t="str">
        <f>IFERROR(IF([1]F_ProductBM!N815 = "", "", [1]F_ProductBM!N815 ),"")</f>
        <v/>
      </c>
    </row>
    <row r="3522" spans="3:14">
      <c r="C3522" s="977"/>
      <c r="D3522" s="981"/>
      <c r="E3522" s="981"/>
      <c r="F3522" s="981"/>
      <c r="G3522" s="981"/>
      <c r="H3522" s="981"/>
      <c r="I3522" s="981"/>
      <c r="J3522" s="981"/>
      <c r="K3522" s="981"/>
      <c r="L3522" s="981"/>
      <c r="M3522" s="981"/>
      <c r="N3522" s="814"/>
    </row>
    <row r="3523" spans="3:14">
      <c r="C3523" s="977"/>
      <c r="D3523" s="981"/>
      <c r="E3523" s="2648" t="s">
        <v>1152</v>
      </c>
      <c r="F3523" s="2493"/>
      <c r="G3523" s="987" t="s">
        <v>884</v>
      </c>
      <c r="H3523" s="782">
        <v>2019</v>
      </c>
      <c r="I3523" s="988">
        <v>2020</v>
      </c>
      <c r="J3523" s="781">
        <v>2021</v>
      </c>
      <c r="K3523" s="782">
        <v>2022</v>
      </c>
      <c r="L3523" s="782">
        <v>2023</v>
      </c>
      <c r="M3523" s="782">
        <v>2024</v>
      </c>
      <c r="N3523" s="783">
        <v>2025</v>
      </c>
    </row>
    <row r="3524" spans="3:14">
      <c r="C3524" s="977"/>
      <c r="D3524" s="777" t="s">
        <v>787</v>
      </c>
      <c r="E3524" s="2475" t="s">
        <v>1079</v>
      </c>
      <c r="F3524" s="2410"/>
      <c r="G3524" s="815" t="s">
        <v>2017</v>
      </c>
      <c r="H3524" s="93" t="str">
        <f>IFERROR(IF([1]F_ProductBM!H818 = "", "", [1]F_ProductBM!H818 ),"")</f>
        <v/>
      </c>
      <c r="I3524" s="116" t="str">
        <f>IFERROR(IF([1]F_ProductBM!I818 = "", "", [1]F_ProductBM!I818 ),"")</f>
        <v/>
      </c>
      <c r="J3524" s="117" t="str">
        <f>IFERROR(IF([1]F_ProductBM!J818 = "", "", [1]F_ProductBM!J818 ),"")</f>
        <v/>
      </c>
      <c r="K3524" s="93" t="str">
        <f>IFERROR(IF([1]F_ProductBM!K818 = "", "", [1]F_ProductBM!K818 ),"")</f>
        <v/>
      </c>
      <c r="L3524" s="93" t="str">
        <f>IFERROR(IF([1]F_ProductBM!L818 = "", "", [1]F_ProductBM!L818 ),"")</f>
        <v/>
      </c>
      <c r="M3524" s="93" t="str">
        <f>IFERROR(IF([1]F_ProductBM!M818 = "", "", [1]F_ProductBM!M818 ),"")</f>
        <v/>
      </c>
      <c r="N3524" s="118" t="str">
        <f>IFERROR(IF([1]F_ProductBM!N818 = "", "", [1]F_ProductBM!N818 ),"")</f>
        <v/>
      </c>
    </row>
    <row r="3525" spans="3:14">
      <c r="C3525" s="977"/>
      <c r="D3525" s="777" t="s">
        <v>788</v>
      </c>
      <c r="E3525" s="2475" t="s">
        <v>1104</v>
      </c>
      <c r="F3525" s="2410"/>
      <c r="G3525" s="815" t="s">
        <v>2018</v>
      </c>
      <c r="H3525" s="93" t="str">
        <f>IFERROR(IF([1]F_ProductBM!H819 = "", "", [1]F_ProductBM!H819 ),"")</f>
        <v/>
      </c>
      <c r="I3525" s="116" t="str">
        <f>IFERROR(IF([1]F_ProductBM!I819 = "", "", [1]F_ProductBM!I819 ),"")</f>
        <v/>
      </c>
      <c r="J3525" s="117" t="str">
        <f>IFERROR(IF([1]F_ProductBM!J819 = "", "", [1]F_ProductBM!J819 ),"")</f>
        <v/>
      </c>
      <c r="K3525" s="93" t="str">
        <f>IFERROR(IF([1]F_ProductBM!K819 = "", "", [1]F_ProductBM!K819 ),"")</f>
        <v/>
      </c>
      <c r="L3525" s="93" t="str">
        <f>IFERROR(IF([1]F_ProductBM!L819 = "", "", [1]F_ProductBM!L819 ),"")</f>
        <v/>
      </c>
      <c r="M3525" s="93" t="str">
        <f>IFERROR(IF([1]F_ProductBM!M819 = "", "", [1]F_ProductBM!M819 ),"")</f>
        <v/>
      </c>
      <c r="N3525" s="118" t="str">
        <f>IFERROR(IF([1]F_ProductBM!N819 = "", "", [1]F_ProductBM!N819 ),"")</f>
        <v/>
      </c>
    </row>
    <row r="3526" spans="3:14">
      <c r="C3526" s="977"/>
      <c r="D3526" s="981"/>
      <c r="E3526" s="981"/>
      <c r="F3526" s="981"/>
      <c r="G3526" s="981"/>
      <c r="H3526" s="981"/>
      <c r="I3526" s="981"/>
      <c r="J3526" s="981"/>
      <c r="K3526" s="981"/>
      <c r="L3526" s="981"/>
      <c r="M3526" s="813"/>
      <c r="N3526" s="814"/>
    </row>
    <row r="3527" spans="3:14">
      <c r="C3527" s="977"/>
      <c r="D3527" s="982" t="s">
        <v>481</v>
      </c>
      <c r="E3527" s="2649" t="s">
        <v>1312</v>
      </c>
      <c r="F3527" s="2391"/>
      <c r="G3527" s="2391"/>
      <c r="H3527" s="2391"/>
      <c r="I3527" s="2391"/>
      <c r="J3527" s="2391"/>
      <c r="K3527" s="2391"/>
      <c r="L3527" s="2391"/>
      <c r="M3527" s="2391"/>
      <c r="N3527" s="2650"/>
    </row>
    <row r="3528" spans="3:14">
      <c r="C3528" s="977"/>
      <c r="D3528" s="981"/>
      <c r="E3528" s="986"/>
      <c r="F3528" s="986"/>
      <c r="G3528" s="986"/>
      <c r="H3528" s="986"/>
      <c r="I3528" s="986"/>
      <c r="J3528" s="986"/>
      <c r="K3528" s="986"/>
      <c r="L3528" s="986"/>
      <c r="M3528" s="986"/>
      <c r="N3528" s="1007"/>
    </row>
    <row r="3529" spans="3:14">
      <c r="C3529" s="977"/>
      <c r="D3529" s="777" t="s">
        <v>6</v>
      </c>
      <c r="E3529" s="2649" t="s">
        <v>1313</v>
      </c>
      <c r="F3529" s="2391"/>
      <c r="G3529" s="2391"/>
      <c r="H3529" s="2391"/>
      <c r="I3529" s="2391"/>
      <c r="J3529" s="2391"/>
      <c r="K3529" s="2512"/>
      <c r="L3529" s="120" t="str">
        <f>IFERROR(IF([1]F_ProductBM!L823 = "", "", [1]F_ProductBM!L823 ),"")</f>
        <v/>
      </c>
      <c r="M3529" s="978"/>
      <c r="N3529" s="979"/>
    </row>
    <row r="3530" spans="3:14">
      <c r="C3530" s="977"/>
      <c r="D3530" s="981"/>
      <c r="E3530" s="2669" t="s">
        <v>1314</v>
      </c>
      <c r="F3530" s="2391"/>
      <c r="G3530" s="2391"/>
      <c r="H3530" s="2391"/>
      <c r="I3530" s="2391"/>
      <c r="J3530" s="2391"/>
      <c r="K3530" s="2391"/>
      <c r="L3530" s="2391"/>
      <c r="M3530" s="2391"/>
      <c r="N3530" s="2650"/>
    </row>
    <row r="3531" spans="3:14">
      <c r="C3531" s="977"/>
      <c r="D3531" s="777" t="s">
        <v>7</v>
      </c>
      <c r="E3531" s="2649" t="s">
        <v>1219</v>
      </c>
      <c r="F3531" s="2391"/>
      <c r="G3531" s="2391"/>
      <c r="H3531" s="2512"/>
      <c r="I3531" s="2683" t="str">
        <f>IFERROR(IF([1]F_ProductBM!I825 = "", "", [1]F_ProductBM!I825 ),"")</f>
        <v/>
      </c>
      <c r="J3531" s="2488"/>
      <c r="K3531" s="2488"/>
      <c r="L3531" s="2488"/>
      <c r="M3531" s="2686"/>
      <c r="N3531" s="979"/>
    </row>
    <row r="3532" spans="3:14">
      <c r="C3532" s="977"/>
      <c r="D3532" s="981"/>
      <c r="E3532" s="2669" t="s">
        <v>1316</v>
      </c>
      <c r="F3532" s="2391"/>
      <c r="G3532" s="2391"/>
      <c r="H3532" s="2391"/>
      <c r="I3532" s="2391"/>
      <c r="J3532" s="2391"/>
      <c r="K3532" s="2391"/>
      <c r="L3532" s="2391"/>
      <c r="M3532" s="2391"/>
      <c r="N3532" s="2650"/>
    </row>
    <row r="3533" spans="3:14">
      <c r="C3533" s="977"/>
      <c r="D3533" s="981"/>
      <c r="E3533" s="2676" t="s">
        <v>1557</v>
      </c>
      <c r="F3533" s="2391"/>
      <c r="G3533" s="2391"/>
      <c r="H3533" s="2391"/>
      <c r="I3533" s="2391"/>
      <c r="J3533" s="2391"/>
      <c r="K3533" s="2391"/>
      <c r="L3533" s="2391"/>
      <c r="M3533" s="2391"/>
      <c r="N3533" s="2650"/>
    </row>
    <row r="3534" spans="3:14">
      <c r="C3534" s="977"/>
      <c r="D3534" s="981"/>
      <c r="E3534" s="989"/>
      <c r="F3534" s="990"/>
      <c r="G3534" s="987" t="s">
        <v>884</v>
      </c>
      <c r="H3534" s="782">
        <v>2019</v>
      </c>
      <c r="I3534" s="988">
        <v>2020</v>
      </c>
      <c r="J3534" s="781">
        <v>2021</v>
      </c>
      <c r="K3534" s="782">
        <v>2022</v>
      </c>
      <c r="L3534" s="782">
        <v>2023</v>
      </c>
      <c r="M3534" s="782">
        <v>2024</v>
      </c>
      <c r="N3534" s="783">
        <v>2025</v>
      </c>
    </row>
    <row r="3535" spans="3:14">
      <c r="C3535" s="977"/>
      <c r="D3535" s="777" t="s">
        <v>8</v>
      </c>
      <c r="E3535" s="2471" t="s">
        <v>1305</v>
      </c>
      <c r="F3535" s="2472"/>
      <c r="G3535" s="67" t="str">
        <f>IFERROR(IF([1]F_ProductBM!G829 = "", "", [1]F_ProductBM!G829 ),"")</f>
        <v/>
      </c>
      <c r="H3535" s="94" t="str">
        <f>IFERROR(IF([1]F_ProductBM!H829 = "", "", [1]F_ProductBM!H829 ),"")</f>
        <v/>
      </c>
      <c r="I3535" s="110" t="str">
        <f>IFERROR(IF([1]F_ProductBM!I829 = "", "", [1]F_ProductBM!I829 ),"")</f>
        <v/>
      </c>
      <c r="J3535" s="111" t="str">
        <f>IFERROR(IF([1]F_ProductBM!J829 = "", "", [1]F_ProductBM!J829 ),"")</f>
        <v/>
      </c>
      <c r="K3535" s="94" t="str">
        <f>IFERROR(IF([1]F_ProductBM!K829 = "", "", [1]F_ProductBM!K829 ),"")</f>
        <v/>
      </c>
      <c r="L3535" s="94" t="str">
        <f>IFERROR(IF([1]F_ProductBM!L829 = "", "", [1]F_ProductBM!L829 ),"")</f>
        <v/>
      </c>
      <c r="M3535" s="94" t="str">
        <f>IFERROR(IF([1]F_ProductBM!M829 = "", "", [1]F_ProductBM!M829 ),"")</f>
        <v/>
      </c>
      <c r="N3535" s="112" t="str">
        <f>IFERROR(IF([1]F_ProductBM!N829 = "", "", [1]F_ProductBM!N829 ),"")</f>
        <v/>
      </c>
    </row>
    <row r="3536" spans="3:14">
      <c r="C3536" s="977"/>
      <c r="D3536" s="777" t="s">
        <v>18</v>
      </c>
      <c r="E3536" s="2473" t="s">
        <v>661</v>
      </c>
      <c r="F3536" s="2474"/>
      <c r="G3536" s="350" t="str">
        <f>IFERROR(IF([1]F_ProductBM!G830 = "", "", [1]F_ProductBM!G830 ),"")</f>
        <v>GJ / Unit</v>
      </c>
      <c r="H3536" s="95" t="str">
        <f>IFERROR(IF([1]F_ProductBM!H830 = "", "", [1]F_ProductBM!H830 ),"")</f>
        <v/>
      </c>
      <c r="I3536" s="113" t="str">
        <f>IFERROR(IF([1]F_ProductBM!I830 = "", "", [1]F_ProductBM!I830 ),"")</f>
        <v/>
      </c>
      <c r="J3536" s="114" t="str">
        <f>IFERROR(IF([1]F_ProductBM!J830 = "", "", [1]F_ProductBM!J830 ),"")</f>
        <v/>
      </c>
      <c r="K3536" s="95" t="str">
        <f>IFERROR(IF([1]F_ProductBM!K830 = "", "", [1]F_ProductBM!K830 ),"")</f>
        <v/>
      </c>
      <c r="L3536" s="95" t="str">
        <f>IFERROR(IF([1]F_ProductBM!L830 = "", "", [1]F_ProductBM!L830 ),"")</f>
        <v/>
      </c>
      <c r="M3536" s="95" t="str">
        <f>IFERROR(IF([1]F_ProductBM!M830 = "", "", [1]F_ProductBM!M830 ),"")</f>
        <v/>
      </c>
      <c r="N3536" s="115" t="str">
        <f>IFERROR(IF([1]F_ProductBM!N830 = "", "", [1]F_ProductBM!N830 ),"")</f>
        <v/>
      </c>
    </row>
    <row r="3537" spans="3:14">
      <c r="C3537" s="977"/>
      <c r="D3537" s="777" t="s">
        <v>787</v>
      </c>
      <c r="E3537" s="2475" t="s">
        <v>1141</v>
      </c>
      <c r="F3537" s="2410"/>
      <c r="G3537" s="815" t="s">
        <v>2017</v>
      </c>
      <c r="H3537" s="351" t="str">
        <f>IFERROR(IF([1]F_ProductBM!H831 = "", "", [1]F_ProductBM!H831 ),"")</f>
        <v/>
      </c>
      <c r="I3537" s="352" t="str">
        <f>IFERROR(IF([1]F_ProductBM!I831 = "", "", [1]F_ProductBM!I831 ),"")</f>
        <v/>
      </c>
      <c r="J3537" s="353" t="str">
        <f>IFERROR(IF([1]F_ProductBM!J831 = "", "", [1]F_ProductBM!J831 ),"")</f>
        <v/>
      </c>
      <c r="K3537" s="351" t="str">
        <f>IFERROR(IF([1]F_ProductBM!K831 = "", "", [1]F_ProductBM!K831 ),"")</f>
        <v/>
      </c>
      <c r="L3537" s="351" t="str">
        <f>IFERROR(IF([1]F_ProductBM!L831 = "", "", [1]F_ProductBM!L831 ),"")</f>
        <v/>
      </c>
      <c r="M3537" s="351" t="str">
        <f>IFERROR(IF([1]F_ProductBM!M831 = "", "", [1]F_ProductBM!M831 ),"")</f>
        <v/>
      </c>
      <c r="N3537" s="354" t="str">
        <f>IFERROR(IF([1]F_ProductBM!N831 = "", "", [1]F_ProductBM!N831 ),"")</f>
        <v/>
      </c>
    </row>
    <row r="3538" spans="3:14">
      <c r="C3538" s="977"/>
      <c r="D3538" s="777" t="s">
        <v>788</v>
      </c>
      <c r="E3538" s="2475" t="s">
        <v>1258</v>
      </c>
      <c r="F3538" s="2410"/>
      <c r="G3538" s="815" t="s">
        <v>2018</v>
      </c>
      <c r="H3538" s="93" t="str">
        <f>IFERROR(IF([1]F_ProductBM!H832 = "", "", [1]F_ProductBM!H832 ),"")</f>
        <v/>
      </c>
      <c r="I3538" s="116" t="str">
        <f>IFERROR(IF([1]F_ProductBM!I832 = "", "", [1]F_ProductBM!I832 ),"")</f>
        <v/>
      </c>
      <c r="J3538" s="117" t="str">
        <f>IFERROR(IF([1]F_ProductBM!J832 = "", "", [1]F_ProductBM!J832 ),"")</f>
        <v/>
      </c>
      <c r="K3538" s="93" t="str">
        <f>IFERROR(IF([1]F_ProductBM!K832 = "", "", [1]F_ProductBM!K832 ),"")</f>
        <v/>
      </c>
      <c r="L3538" s="93" t="str">
        <f>IFERROR(IF([1]F_ProductBM!L832 = "", "", [1]F_ProductBM!L832 ),"")</f>
        <v/>
      </c>
      <c r="M3538" s="93" t="str">
        <f>IFERROR(IF([1]F_ProductBM!M832 = "", "", [1]F_ProductBM!M832 ),"")</f>
        <v/>
      </c>
      <c r="N3538" s="118" t="str">
        <f>IFERROR(IF([1]F_ProductBM!N832 = "", "", [1]F_ProductBM!N832 ),"")</f>
        <v/>
      </c>
    </row>
    <row r="3539" spans="3:14">
      <c r="C3539" s="977"/>
      <c r="D3539" s="981"/>
      <c r="E3539" s="981"/>
      <c r="F3539" s="981"/>
      <c r="G3539" s="981"/>
      <c r="H3539" s="983"/>
      <c r="I3539" s="981"/>
      <c r="J3539" s="981"/>
      <c r="K3539" s="981"/>
      <c r="L3539" s="981"/>
      <c r="M3539" s="813"/>
      <c r="N3539" s="814"/>
    </row>
    <row r="3540" spans="3:14">
      <c r="C3540" s="977"/>
      <c r="D3540" s="777" t="s">
        <v>789</v>
      </c>
      <c r="E3540" s="2649" t="s">
        <v>1301</v>
      </c>
      <c r="F3540" s="2391"/>
      <c r="G3540" s="2391"/>
      <c r="H3540" s="2512"/>
      <c r="I3540" s="2683" t="str">
        <f>IFERROR(IF([1]F_ProductBM!I834 = "", "", [1]F_ProductBM!I834 ),"")</f>
        <v/>
      </c>
      <c r="J3540" s="2488"/>
      <c r="K3540" s="2488"/>
      <c r="L3540" s="2488"/>
      <c r="M3540" s="2686"/>
      <c r="N3540" s="979"/>
    </row>
    <row r="3541" spans="3:14">
      <c r="C3541" s="977"/>
      <c r="D3541" s="777"/>
      <c r="E3541" s="2669" t="s">
        <v>1606</v>
      </c>
      <c r="F3541" s="2391"/>
      <c r="G3541" s="2391"/>
      <c r="H3541" s="2391"/>
      <c r="I3541" s="2391"/>
      <c r="J3541" s="2391"/>
      <c r="K3541" s="2391"/>
      <c r="L3541" s="2391"/>
      <c r="M3541" s="2391"/>
      <c r="N3541" s="2650"/>
    </row>
    <row r="3542" spans="3:14">
      <c r="C3542" s="977"/>
      <c r="D3542" s="981"/>
      <c r="E3542" s="2676" t="s">
        <v>1557</v>
      </c>
      <c r="F3542" s="2391"/>
      <c r="G3542" s="2391"/>
      <c r="H3542" s="2391"/>
      <c r="I3542" s="2391"/>
      <c r="J3542" s="2391"/>
      <c r="K3542" s="2391"/>
      <c r="L3542" s="2391"/>
      <c r="M3542" s="2391"/>
      <c r="N3542" s="2650"/>
    </row>
    <row r="3543" spans="3:14">
      <c r="C3543" s="977"/>
      <c r="D3543" s="981"/>
      <c r="E3543" s="989"/>
      <c r="F3543" s="990"/>
      <c r="G3543" s="987" t="s">
        <v>884</v>
      </c>
      <c r="H3543" s="782">
        <v>2019</v>
      </c>
      <c r="I3543" s="988">
        <v>2020</v>
      </c>
      <c r="J3543" s="781">
        <v>2021</v>
      </c>
      <c r="K3543" s="782">
        <v>2022</v>
      </c>
      <c r="L3543" s="782">
        <v>2023</v>
      </c>
      <c r="M3543" s="782">
        <v>2024</v>
      </c>
      <c r="N3543" s="783">
        <v>2025</v>
      </c>
    </row>
    <row r="3544" spans="3:14">
      <c r="C3544" s="977"/>
      <c r="D3544" s="777" t="s">
        <v>790</v>
      </c>
      <c r="E3544" s="2471" t="s">
        <v>1306</v>
      </c>
      <c r="F3544" s="2472"/>
      <c r="G3544" s="67" t="str">
        <f>IFERROR(IF([1]F_ProductBM!G838 = "", "", [1]F_ProductBM!G838 ),"")</f>
        <v/>
      </c>
      <c r="H3544" s="94" t="str">
        <f>IFERROR(IF([1]F_ProductBM!H838 = "", "", [1]F_ProductBM!H838 ),"")</f>
        <v/>
      </c>
      <c r="I3544" s="110" t="str">
        <f>IFERROR(IF([1]F_ProductBM!I838 = "", "", [1]F_ProductBM!I838 ),"")</f>
        <v/>
      </c>
      <c r="J3544" s="111" t="str">
        <f>IFERROR(IF([1]F_ProductBM!J838 = "", "", [1]F_ProductBM!J838 ),"")</f>
        <v/>
      </c>
      <c r="K3544" s="94" t="str">
        <f>IFERROR(IF([1]F_ProductBM!K838 = "", "", [1]F_ProductBM!K838 ),"")</f>
        <v/>
      </c>
      <c r="L3544" s="94" t="str">
        <f>IFERROR(IF([1]F_ProductBM!L838 = "", "", [1]F_ProductBM!L838 ),"")</f>
        <v/>
      </c>
      <c r="M3544" s="94" t="str">
        <f>IFERROR(IF([1]F_ProductBM!M838 = "", "", [1]F_ProductBM!M838 ),"")</f>
        <v/>
      </c>
      <c r="N3544" s="112" t="str">
        <f>IFERROR(IF([1]F_ProductBM!N838 = "", "", [1]F_ProductBM!N838 ),"")</f>
        <v/>
      </c>
    </row>
    <row r="3545" spans="3:14">
      <c r="C3545" s="977"/>
      <c r="D3545" s="777" t="s">
        <v>791</v>
      </c>
      <c r="E3545" s="2473" t="s">
        <v>661</v>
      </c>
      <c r="F3545" s="2474"/>
      <c r="G3545" s="350" t="str">
        <f>IFERROR(IF([1]F_ProductBM!G839 = "", "", [1]F_ProductBM!G839 ),"")</f>
        <v>GJ / Unit</v>
      </c>
      <c r="H3545" s="95" t="str">
        <f>IFERROR(IF([1]F_ProductBM!H839 = "", "", [1]F_ProductBM!H839 ),"")</f>
        <v/>
      </c>
      <c r="I3545" s="113" t="str">
        <f>IFERROR(IF([1]F_ProductBM!I839 = "", "", [1]F_ProductBM!I839 ),"")</f>
        <v/>
      </c>
      <c r="J3545" s="114" t="str">
        <f>IFERROR(IF([1]F_ProductBM!J839 = "", "", [1]F_ProductBM!J839 ),"")</f>
        <v/>
      </c>
      <c r="K3545" s="95" t="str">
        <f>IFERROR(IF([1]F_ProductBM!K839 = "", "", [1]F_ProductBM!K839 ),"")</f>
        <v/>
      </c>
      <c r="L3545" s="95" t="str">
        <f>IFERROR(IF([1]F_ProductBM!L839 = "", "", [1]F_ProductBM!L839 ),"")</f>
        <v/>
      </c>
      <c r="M3545" s="95" t="str">
        <f>IFERROR(IF([1]F_ProductBM!M839 = "", "", [1]F_ProductBM!M839 ),"")</f>
        <v/>
      </c>
      <c r="N3545" s="115" t="str">
        <f>IFERROR(IF([1]F_ProductBM!N839 = "", "", [1]F_ProductBM!N839 ),"")</f>
        <v/>
      </c>
    </row>
    <row r="3546" spans="3:14">
      <c r="C3546" s="977"/>
      <c r="D3546" s="777" t="s">
        <v>64</v>
      </c>
      <c r="E3546" s="2475" t="s">
        <v>1309</v>
      </c>
      <c r="F3546" s="2410"/>
      <c r="G3546" s="815" t="s">
        <v>2017</v>
      </c>
      <c r="H3546" s="351" t="str">
        <f>IFERROR(IF([1]F_ProductBM!H840 = "", "", [1]F_ProductBM!H840 ),"")</f>
        <v/>
      </c>
      <c r="I3546" s="352" t="str">
        <f>IFERROR(IF([1]F_ProductBM!I840 = "", "", [1]F_ProductBM!I840 ),"")</f>
        <v/>
      </c>
      <c r="J3546" s="353" t="str">
        <f>IFERROR(IF([1]F_ProductBM!J840 = "", "", [1]F_ProductBM!J840 ),"")</f>
        <v/>
      </c>
      <c r="K3546" s="351" t="str">
        <f>IFERROR(IF([1]F_ProductBM!K840 = "", "", [1]F_ProductBM!K840 ),"")</f>
        <v/>
      </c>
      <c r="L3546" s="351" t="str">
        <f>IFERROR(IF([1]F_ProductBM!L840 = "", "", [1]F_ProductBM!L840 ),"")</f>
        <v/>
      </c>
      <c r="M3546" s="351" t="str">
        <f>IFERROR(IF([1]F_ProductBM!M840 = "", "", [1]F_ProductBM!M840 ),"")</f>
        <v/>
      </c>
      <c r="N3546" s="354" t="str">
        <f>IFERROR(IF([1]F_ProductBM!N840 = "", "", [1]F_ProductBM!N840 ),"")</f>
        <v/>
      </c>
    </row>
    <row r="3547" spans="3:14">
      <c r="C3547" s="977"/>
      <c r="D3547" s="777" t="s">
        <v>65</v>
      </c>
      <c r="E3547" s="2475" t="s">
        <v>1307</v>
      </c>
      <c r="F3547" s="2410"/>
      <c r="G3547" s="815" t="s">
        <v>2018</v>
      </c>
      <c r="H3547" s="93" t="str">
        <f>IFERROR(IF([1]F_ProductBM!H841 = "", "", [1]F_ProductBM!H841 ),"")</f>
        <v/>
      </c>
      <c r="I3547" s="116" t="str">
        <f>IFERROR(IF([1]F_ProductBM!I841 = "", "", [1]F_ProductBM!I841 ),"")</f>
        <v/>
      </c>
      <c r="J3547" s="117" t="str">
        <f>IFERROR(IF([1]F_ProductBM!J841 = "", "", [1]F_ProductBM!J841 ),"")</f>
        <v/>
      </c>
      <c r="K3547" s="93" t="str">
        <f>IFERROR(IF([1]F_ProductBM!K841 = "", "", [1]F_ProductBM!K841 ),"")</f>
        <v/>
      </c>
      <c r="L3547" s="93" t="str">
        <f>IFERROR(IF([1]F_ProductBM!L841 = "", "", [1]F_ProductBM!L841 ),"")</f>
        <v/>
      </c>
      <c r="M3547" s="93" t="str">
        <f>IFERROR(IF([1]F_ProductBM!M841 = "", "", [1]F_ProductBM!M841 ),"")</f>
        <v/>
      </c>
      <c r="N3547" s="118" t="str">
        <f>IFERROR(IF([1]F_ProductBM!N841 = "", "", [1]F_ProductBM!N841 ),"")</f>
        <v/>
      </c>
    </row>
    <row r="3548" spans="3:14">
      <c r="C3548" s="977"/>
      <c r="D3548" s="981"/>
      <c r="E3548" s="981"/>
      <c r="F3548" s="981"/>
      <c r="G3548" s="981"/>
      <c r="H3548" s="983"/>
      <c r="I3548" s="981"/>
      <c r="J3548" s="981"/>
      <c r="K3548" s="981"/>
      <c r="L3548" s="981"/>
      <c r="M3548" s="813"/>
      <c r="N3548" s="814"/>
    </row>
    <row r="3549" spans="3:14">
      <c r="C3549" s="977"/>
      <c r="D3549" s="777" t="s">
        <v>66</v>
      </c>
      <c r="E3549" s="2649" t="s">
        <v>1287</v>
      </c>
      <c r="F3549" s="2391"/>
      <c r="G3549" s="2391"/>
      <c r="H3549" s="2512"/>
      <c r="I3549" s="2683" t="str">
        <f>IFERROR(IF([1]F_ProductBM!I843 = "", "", [1]F_ProductBM!I843 ),"")</f>
        <v/>
      </c>
      <c r="J3549" s="2488"/>
      <c r="K3549" s="2488"/>
      <c r="L3549" s="2488"/>
      <c r="M3549" s="2686"/>
      <c r="N3549" s="979"/>
    </row>
    <row r="3550" spans="3:14">
      <c r="C3550" s="977"/>
      <c r="D3550" s="777"/>
      <c r="E3550" s="2669" t="s">
        <v>1476</v>
      </c>
      <c r="F3550" s="2391"/>
      <c r="G3550" s="2391"/>
      <c r="H3550" s="2391"/>
      <c r="I3550" s="2391"/>
      <c r="J3550" s="2391"/>
      <c r="K3550" s="2391"/>
      <c r="L3550" s="2391"/>
      <c r="M3550" s="2391"/>
      <c r="N3550" s="2650"/>
    </row>
    <row r="3551" spans="3:14">
      <c r="C3551" s="977"/>
      <c r="D3551" s="981"/>
      <c r="E3551" s="2669" t="s">
        <v>1558</v>
      </c>
      <c r="F3551" s="2391"/>
      <c r="G3551" s="2391"/>
      <c r="H3551" s="2391"/>
      <c r="I3551" s="2391"/>
      <c r="J3551" s="2391"/>
      <c r="K3551" s="2391"/>
      <c r="L3551" s="2391"/>
      <c r="M3551" s="2391"/>
      <c r="N3551" s="2650"/>
    </row>
    <row r="3552" spans="3:14">
      <c r="C3552" s="977"/>
      <c r="D3552" s="981"/>
      <c r="E3552" s="2676" t="s">
        <v>1559</v>
      </c>
      <c r="F3552" s="2391"/>
      <c r="G3552" s="2391"/>
      <c r="H3552" s="2391"/>
      <c r="I3552" s="2391"/>
      <c r="J3552" s="2391"/>
      <c r="K3552" s="2391"/>
      <c r="L3552" s="2391"/>
      <c r="M3552" s="2391"/>
      <c r="N3552" s="2650"/>
    </row>
    <row r="3553" spans="3:14">
      <c r="C3553" s="977"/>
      <c r="D3553" s="981"/>
      <c r="E3553" s="989"/>
      <c r="F3553" s="990"/>
      <c r="G3553" s="987" t="s">
        <v>884</v>
      </c>
      <c r="H3553" s="782">
        <v>2019</v>
      </c>
      <c r="I3553" s="988">
        <v>2020</v>
      </c>
      <c r="J3553" s="781">
        <v>2021</v>
      </c>
      <c r="K3553" s="782">
        <v>2022</v>
      </c>
      <c r="L3553" s="782">
        <v>2023</v>
      </c>
      <c r="M3553" s="782">
        <v>2024</v>
      </c>
      <c r="N3553" s="783">
        <v>2025</v>
      </c>
    </row>
    <row r="3554" spans="3:14">
      <c r="C3554" s="977"/>
      <c r="D3554" s="777" t="s">
        <v>1105</v>
      </c>
      <c r="E3554" s="2471" t="s">
        <v>1302</v>
      </c>
      <c r="F3554" s="2472"/>
      <c r="G3554" s="67" t="str">
        <f>IFERROR(IF([1]F_ProductBM!G848 = "", "", [1]F_ProductBM!G848 ),"")</f>
        <v/>
      </c>
      <c r="H3554" s="94" t="str">
        <f>IFERROR(IF([1]F_ProductBM!H848 = "", "", [1]F_ProductBM!H848 ),"")</f>
        <v/>
      </c>
      <c r="I3554" s="110" t="str">
        <f>IFERROR(IF([1]F_ProductBM!I848 = "", "", [1]F_ProductBM!I848 ),"")</f>
        <v/>
      </c>
      <c r="J3554" s="111" t="str">
        <f>IFERROR(IF([1]F_ProductBM!J848 = "", "", [1]F_ProductBM!J848 ),"")</f>
        <v/>
      </c>
      <c r="K3554" s="94" t="str">
        <f>IFERROR(IF([1]F_ProductBM!K848 = "", "", [1]F_ProductBM!K848 ),"")</f>
        <v/>
      </c>
      <c r="L3554" s="94" t="str">
        <f>IFERROR(IF([1]F_ProductBM!L848 = "", "", [1]F_ProductBM!L848 ),"")</f>
        <v/>
      </c>
      <c r="M3554" s="94" t="str">
        <f>IFERROR(IF([1]F_ProductBM!M848 = "", "", [1]F_ProductBM!M848 ),"")</f>
        <v/>
      </c>
      <c r="N3554" s="112" t="str">
        <f>IFERROR(IF([1]F_ProductBM!N848 = "", "", [1]F_ProductBM!N848 ),"")</f>
        <v/>
      </c>
    </row>
    <row r="3555" spans="3:14">
      <c r="C3555" s="977"/>
      <c r="D3555" s="777" t="s">
        <v>1106</v>
      </c>
      <c r="E3555" s="2473" t="s">
        <v>661</v>
      </c>
      <c r="F3555" s="2474"/>
      <c r="G3555" s="350" t="str">
        <f>IFERROR(IF([1]F_ProductBM!G849 = "", "", [1]F_ProductBM!G849 ),"")</f>
        <v>GJ / Unit</v>
      </c>
      <c r="H3555" s="95" t="str">
        <f>IFERROR(IF([1]F_ProductBM!H849 = "", "", [1]F_ProductBM!H849 ),"")</f>
        <v/>
      </c>
      <c r="I3555" s="113" t="str">
        <f>IFERROR(IF([1]F_ProductBM!I849 = "", "", [1]F_ProductBM!I849 ),"")</f>
        <v/>
      </c>
      <c r="J3555" s="114" t="str">
        <f>IFERROR(IF([1]F_ProductBM!J849 = "", "", [1]F_ProductBM!J849 ),"")</f>
        <v/>
      </c>
      <c r="K3555" s="95" t="str">
        <f>IFERROR(IF([1]F_ProductBM!K849 = "", "", [1]F_ProductBM!K849 ),"")</f>
        <v/>
      </c>
      <c r="L3555" s="95" t="str">
        <f>IFERROR(IF([1]F_ProductBM!L849 = "", "", [1]F_ProductBM!L849 ),"")</f>
        <v/>
      </c>
      <c r="M3555" s="95" t="str">
        <f>IFERROR(IF([1]F_ProductBM!M849 = "", "", [1]F_ProductBM!M849 ),"")</f>
        <v/>
      </c>
      <c r="N3555" s="115" t="str">
        <f>IFERROR(IF([1]F_ProductBM!N849 = "", "", [1]F_ProductBM!N849 ),"")</f>
        <v/>
      </c>
    </row>
    <row r="3556" spans="3:14">
      <c r="C3556" s="977"/>
      <c r="D3556" s="777" t="s">
        <v>1107</v>
      </c>
      <c r="E3556" s="2475" t="s">
        <v>1288</v>
      </c>
      <c r="F3556" s="2410"/>
      <c r="G3556" s="815" t="s">
        <v>2017</v>
      </c>
      <c r="H3556" s="351" t="str">
        <f>IFERROR(IF([1]F_ProductBM!H850 = "", "", [1]F_ProductBM!H850 ),"")</f>
        <v/>
      </c>
      <c r="I3556" s="352" t="str">
        <f>IFERROR(IF([1]F_ProductBM!I850 = "", "", [1]F_ProductBM!I850 ),"")</f>
        <v/>
      </c>
      <c r="J3556" s="353" t="str">
        <f>IFERROR(IF([1]F_ProductBM!J850 = "", "", [1]F_ProductBM!J850 ),"")</f>
        <v/>
      </c>
      <c r="K3556" s="351" t="str">
        <f>IFERROR(IF([1]F_ProductBM!K850 = "", "", [1]F_ProductBM!K850 ),"")</f>
        <v/>
      </c>
      <c r="L3556" s="351" t="str">
        <f>IFERROR(IF([1]F_ProductBM!L850 = "", "", [1]F_ProductBM!L850 ),"")</f>
        <v/>
      </c>
      <c r="M3556" s="351" t="str">
        <f>IFERROR(IF([1]F_ProductBM!M850 = "", "", [1]F_ProductBM!M850 ),"")</f>
        <v/>
      </c>
      <c r="N3556" s="354" t="str">
        <f>IFERROR(IF([1]F_ProductBM!N850 = "", "", [1]F_ProductBM!N850 ),"")</f>
        <v/>
      </c>
    </row>
    <row r="3557" spans="3:14">
      <c r="C3557" s="977"/>
      <c r="D3557" s="777" t="s">
        <v>1108</v>
      </c>
      <c r="E3557" s="2475" t="s">
        <v>1308</v>
      </c>
      <c r="F3557" s="2410"/>
      <c r="G3557" s="815" t="s">
        <v>2018</v>
      </c>
      <c r="H3557" s="93" t="str">
        <f>IFERROR(IF([1]F_ProductBM!H851 = "", "", [1]F_ProductBM!H851 ),"")</f>
        <v/>
      </c>
      <c r="I3557" s="116" t="str">
        <f>IFERROR(IF([1]F_ProductBM!I851 = "", "", [1]F_ProductBM!I851 ),"")</f>
        <v/>
      </c>
      <c r="J3557" s="117" t="str">
        <f>IFERROR(IF([1]F_ProductBM!J851 = "", "", [1]F_ProductBM!J851 ),"")</f>
        <v/>
      </c>
      <c r="K3557" s="93" t="str">
        <f>IFERROR(IF([1]F_ProductBM!K851 = "", "", [1]F_ProductBM!K851 ),"")</f>
        <v/>
      </c>
      <c r="L3557" s="93" t="str">
        <f>IFERROR(IF([1]F_ProductBM!L851 = "", "", [1]F_ProductBM!L851 ),"")</f>
        <v/>
      </c>
      <c r="M3557" s="93" t="str">
        <f>IFERROR(IF([1]F_ProductBM!M851 = "", "", [1]F_ProductBM!M851 ),"")</f>
        <v/>
      </c>
      <c r="N3557" s="118" t="str">
        <f>IFERROR(IF([1]F_ProductBM!N851 = "", "", [1]F_ProductBM!N851 ),"")</f>
        <v/>
      </c>
    </row>
    <row r="3558" spans="3:14">
      <c r="C3558" s="977"/>
      <c r="D3558" s="981"/>
      <c r="E3558" s="981"/>
      <c r="F3558" s="981"/>
      <c r="G3558" s="981"/>
      <c r="H3558" s="983"/>
      <c r="I3558" s="981"/>
      <c r="J3558" s="981"/>
      <c r="K3558" s="981"/>
      <c r="L3558" s="981"/>
      <c r="M3558" s="813"/>
      <c r="N3558" s="814"/>
    </row>
    <row r="3559" spans="3:14">
      <c r="C3559" s="977"/>
      <c r="D3559" s="981"/>
      <c r="E3559" s="2475" t="s">
        <v>1844</v>
      </c>
      <c r="F3559" s="2475"/>
      <c r="G3559" s="1009" t="s">
        <v>471</v>
      </c>
      <c r="H3559" s="62" t="str">
        <f>IFERROR(IF([1]F_ProductBM!H853 = "", "", [1]F_ProductBM!H853 ),"")</f>
        <v/>
      </c>
      <c r="I3559" s="65" t="str">
        <f>IFERROR(IF([1]F_ProductBM!I853 = "", "", [1]F_ProductBM!I853 ),"")</f>
        <v/>
      </c>
      <c r="J3559" s="69" t="str">
        <f>IFERROR(IF([1]F_ProductBM!J853 = "", "", [1]F_ProductBM!J853 ),"")</f>
        <v/>
      </c>
      <c r="K3559" s="62" t="str">
        <f>IFERROR(IF([1]F_ProductBM!K853 = "", "", [1]F_ProductBM!K853 ),"")</f>
        <v/>
      </c>
      <c r="L3559" s="62" t="str">
        <f>IFERROR(IF([1]F_ProductBM!L853 = "", "", [1]F_ProductBM!L853 ),"")</f>
        <v/>
      </c>
      <c r="M3559" s="62" t="str">
        <f>IFERROR(IF([1]F_ProductBM!M853 = "", "", [1]F_ProductBM!M853 ),"")</f>
        <v/>
      </c>
      <c r="N3559" s="62" t="str">
        <f>IFERROR(IF([1]F_ProductBM!N853 = "", "", [1]F_ProductBM!N853 ),"")</f>
        <v/>
      </c>
    </row>
    <row r="3560" spans="3:14" ht="13.5" thickBot="1">
      <c r="C3560" s="977"/>
      <c r="D3560" s="981"/>
      <c r="E3560" s="981"/>
      <c r="F3560" s="981"/>
      <c r="G3560" s="981"/>
      <c r="H3560" s="983"/>
      <c r="I3560" s="981"/>
      <c r="J3560" s="981"/>
      <c r="K3560" s="981"/>
      <c r="L3560" s="981"/>
      <c r="M3560" s="813"/>
      <c r="N3560" s="814"/>
    </row>
    <row r="3561" spans="3:14">
      <c r="C3561" s="977"/>
      <c r="D3561" s="1010"/>
      <c r="E3561" s="1011"/>
      <c r="F3561" s="1011"/>
      <c r="G3561" s="1011"/>
      <c r="H3561" s="1012"/>
      <c r="I3561" s="1011"/>
      <c r="J3561" s="1011"/>
      <c r="K3561" s="1011"/>
      <c r="L3561" s="1011"/>
      <c r="M3561" s="942"/>
      <c r="N3561" s="943"/>
    </row>
    <row r="3562" spans="3:14">
      <c r="C3562" s="977"/>
      <c r="D3562" s="907" t="s">
        <v>1917</v>
      </c>
      <c r="E3562" s="2713" t="s">
        <v>1773</v>
      </c>
      <c r="F3562" s="2493"/>
      <c r="G3562" s="2493"/>
      <c r="H3562" s="910" t="s">
        <v>884</v>
      </c>
      <c r="I3562" s="911" t="s">
        <v>2220</v>
      </c>
      <c r="J3562" s="912">
        <v>2021</v>
      </c>
      <c r="K3562" s="913">
        <v>2022</v>
      </c>
      <c r="L3562" s="913">
        <v>2023</v>
      </c>
      <c r="M3562" s="913">
        <v>2024</v>
      </c>
      <c r="N3562" s="914">
        <v>2025</v>
      </c>
    </row>
    <row r="3563" spans="3:14">
      <c r="C3563" s="977"/>
      <c r="D3563" s="915" t="s">
        <v>6</v>
      </c>
      <c r="E3563" s="2714" t="s">
        <v>1691</v>
      </c>
      <c r="F3563" s="2410"/>
      <c r="G3563" s="2410"/>
      <c r="H3563" s="944" t="s">
        <v>471</v>
      </c>
      <c r="I3563" s="281" t="str">
        <f>IFERROR(IF([1]F_ProductBM!I857 = "", "", [1]F_ProductBM!I857 ),"")</f>
        <v/>
      </c>
      <c r="J3563" s="334" t="str">
        <f>IFERROR(IF([1]F_ProductBM!J857 = "", "", [1]F_ProductBM!J857 ),"")</f>
        <v/>
      </c>
      <c r="K3563" s="335" t="str">
        <f>IFERROR(IF([1]F_ProductBM!K857 = "", "", [1]F_ProductBM!K857 ),"")</f>
        <v/>
      </c>
      <c r="L3563" s="335" t="str">
        <f>IFERROR(IF([1]F_ProductBM!L857 = "", "", [1]F_ProductBM!L857 ),"")</f>
        <v/>
      </c>
      <c r="M3563" s="335" t="str">
        <f>IFERROR(IF([1]F_ProductBM!M857 = "", "", [1]F_ProductBM!M857 ),"")</f>
        <v/>
      </c>
      <c r="N3563" s="336" t="str">
        <f>IFERROR(IF([1]F_ProductBM!N857 = "", "", [1]F_ProductBM!N857 ),"")</f>
        <v/>
      </c>
    </row>
    <row r="3564" spans="3:14">
      <c r="C3564" s="977"/>
      <c r="D3564" s="915"/>
      <c r="E3564" s="2714" t="s">
        <v>1776</v>
      </c>
      <c r="F3564" s="2410"/>
      <c r="G3564" s="2410"/>
      <c r="H3564" s="921"/>
      <c r="I3564" s="916"/>
      <c r="J3564" s="319" t="str">
        <f>IFERROR(IF([1]F_ProductBM!J858 = "", "", [1]F_ProductBM!J858 ),"")</f>
        <v/>
      </c>
      <c r="K3564" s="320" t="str">
        <f>IFERROR(IF([1]F_ProductBM!K858 = "", "", [1]F_ProductBM!K858 ),"")</f>
        <v/>
      </c>
      <c r="L3564" s="320" t="str">
        <f>IFERROR(IF([1]F_ProductBM!L858 = "", "", [1]F_ProductBM!L858 ),"")</f>
        <v/>
      </c>
      <c r="M3564" s="320" t="str">
        <f>IFERROR(IF([1]F_ProductBM!M858 = "", "", [1]F_ProductBM!M858 ),"")</f>
        <v/>
      </c>
      <c r="N3564" s="321" t="str">
        <f>IFERROR(IF([1]F_ProductBM!N858 = "", "", [1]F_ProductBM!N858 ),"")</f>
        <v/>
      </c>
    </row>
    <row r="3565" spans="3:14">
      <c r="C3565" s="977"/>
      <c r="D3565" s="915" t="s">
        <v>7</v>
      </c>
      <c r="E3565" s="2714" t="s">
        <v>1654</v>
      </c>
      <c r="F3565" s="2410"/>
      <c r="G3565" s="2410"/>
      <c r="H3565" s="921"/>
      <c r="I3565" s="916"/>
      <c r="J3565" s="288" t="str">
        <f>IFERROR(IF([1]F_ProductBM!J859 = "", "", [1]F_ProductBM!J859 ),"")</f>
        <v/>
      </c>
      <c r="K3565" s="289" t="str">
        <f>IFERROR(IF([1]F_ProductBM!K859 = "", "", [1]F_ProductBM!K859 ),"")</f>
        <v/>
      </c>
      <c r="L3565" s="289" t="str">
        <f>IFERROR(IF([1]F_ProductBM!L859 = "", "", [1]F_ProductBM!L859 ),"")</f>
        <v/>
      </c>
      <c r="M3565" s="289" t="str">
        <f>IFERROR(IF([1]F_ProductBM!M859 = "", "", [1]F_ProductBM!M859 ),"")</f>
        <v/>
      </c>
      <c r="N3565" s="290" t="str">
        <f>IFERROR(IF([1]F_ProductBM!N859 = "", "", [1]F_ProductBM!N859 ),"")</f>
        <v/>
      </c>
    </row>
    <row r="3566" spans="3:14">
      <c r="C3566" s="977"/>
      <c r="D3566" s="915"/>
      <c r="E3566" s="2714" t="s">
        <v>1689</v>
      </c>
      <c r="F3566" s="2410"/>
      <c r="G3566" s="2410"/>
      <c r="H3566" s="944" t="s">
        <v>471</v>
      </c>
      <c r="I3566" s="281" t="str">
        <f>IFERROR(IF([1]F_ProductBM!I860 = "", "", [1]F_ProductBM!I860 ),"")</f>
        <v/>
      </c>
      <c r="J3566" s="282" t="str">
        <f>IFERROR(IF([1]F_ProductBM!J860 = "", "", [1]F_ProductBM!J860 ),"")</f>
        <v/>
      </c>
      <c r="K3566" s="283" t="str">
        <f>IFERROR(IF([1]F_ProductBM!K860 = "", "", [1]F_ProductBM!K860 ),"")</f>
        <v/>
      </c>
      <c r="L3566" s="283" t="str">
        <f>IFERROR(IF([1]F_ProductBM!L860 = "", "", [1]F_ProductBM!L860 ),"")</f>
        <v/>
      </c>
      <c r="M3566" s="283" t="str">
        <f>IFERROR(IF([1]F_ProductBM!M860 = "", "", [1]F_ProductBM!M860 ),"")</f>
        <v/>
      </c>
      <c r="N3566" s="284" t="str">
        <f>IFERROR(IF([1]F_ProductBM!N860 = "", "", [1]F_ProductBM!N860 ),"")</f>
        <v/>
      </c>
    </row>
    <row r="3567" spans="3:14">
      <c r="C3567" s="977"/>
      <c r="D3567" s="915"/>
      <c r="E3567" s="909"/>
      <c r="F3567" s="909"/>
      <c r="G3567" s="909"/>
      <c r="H3567" s="909"/>
      <c r="I3567" s="909"/>
      <c r="J3567" s="909"/>
      <c r="K3567" s="909"/>
      <c r="L3567" s="909"/>
      <c r="M3567" s="909"/>
      <c r="N3567" s="922"/>
    </row>
    <row r="3568" spans="3:14">
      <c r="C3568" s="977"/>
      <c r="D3568" s="915"/>
      <c r="E3568" s="2713" t="s">
        <v>1653</v>
      </c>
      <c r="F3568" s="2493"/>
      <c r="G3568" s="2493"/>
      <c r="H3568" s="2493"/>
      <c r="I3568" s="2708"/>
      <c r="J3568" s="912">
        <v>2021</v>
      </c>
      <c r="K3568" s="913">
        <v>2022</v>
      </c>
      <c r="L3568" s="913">
        <v>2023</v>
      </c>
      <c r="M3568" s="913">
        <v>2024</v>
      </c>
      <c r="N3568" s="914">
        <v>2025</v>
      </c>
    </row>
    <row r="3569" spans="3:14">
      <c r="C3569" s="977"/>
      <c r="D3569" s="915" t="s">
        <v>8</v>
      </c>
      <c r="E3569" s="2714" t="s">
        <v>2108</v>
      </c>
      <c r="F3569" s="2410"/>
      <c r="G3569" s="2410"/>
      <c r="H3569" s="2410"/>
      <c r="I3569" s="2715"/>
      <c r="J3569" s="69" t="str">
        <f>IFERROR(IF([1]F_ProductBM!J863 = "", "", [1]F_ProductBM!J863 ),"")</f>
        <v/>
      </c>
      <c r="K3569" s="62" t="str">
        <f>IFERROR(IF([1]F_ProductBM!K863 = "", "", [1]F_ProductBM!K863 ),"")</f>
        <v/>
      </c>
      <c r="L3569" s="62" t="str">
        <f>IFERROR(IF([1]F_ProductBM!L863 = "", "", [1]F_ProductBM!L863 ),"")</f>
        <v/>
      </c>
      <c r="M3569" s="62" t="str">
        <f>IFERROR(IF([1]F_ProductBM!M863 = "", "", [1]F_ProductBM!M863 ),"")</f>
        <v/>
      </c>
      <c r="N3569" s="70" t="str">
        <f>IFERROR(IF([1]F_ProductBM!N863 = "", "", [1]F_ProductBM!N863 ),"")</f>
        <v/>
      </c>
    </row>
    <row r="3570" spans="3:14" ht="13.5" thickBot="1">
      <c r="C3570" s="977"/>
      <c r="D3570" s="915"/>
      <c r="E3570" s="909"/>
      <c r="F3570" s="909"/>
      <c r="G3570" s="909"/>
      <c r="H3570" s="909"/>
      <c r="I3570" s="909"/>
      <c r="J3570" s="909"/>
      <c r="K3570" s="909"/>
      <c r="L3570" s="909"/>
      <c r="M3570" s="909"/>
      <c r="N3570" s="922"/>
    </row>
    <row r="3571" spans="3:14" ht="13.5" thickBot="1">
      <c r="C3571" s="977"/>
      <c r="D3571" s="915" t="s">
        <v>18</v>
      </c>
      <c r="E3571" s="2714" t="s">
        <v>1657</v>
      </c>
      <c r="F3571" s="2410"/>
      <c r="G3571" s="2410"/>
      <c r="H3571" s="2410"/>
      <c r="I3571" s="2715"/>
      <c r="J3571" s="291" t="str">
        <f>IFERROR(IF([1]F_ProductBM!J865 = "", "", [1]F_ProductBM!J865 ),"")</f>
        <v/>
      </c>
      <c r="K3571" s="292" t="str">
        <f>IFERROR(IF([1]F_ProductBM!K865 = "", "", [1]F_ProductBM!K865 ),"")</f>
        <v/>
      </c>
      <c r="L3571" s="292" t="str">
        <f>IFERROR(IF([1]F_ProductBM!L865 = "", "", [1]F_ProductBM!L865 ),"")</f>
        <v/>
      </c>
      <c r="M3571" s="292" t="str">
        <f>IFERROR(IF([1]F_ProductBM!M865 = "", "", [1]F_ProductBM!M865 ),"")</f>
        <v/>
      </c>
      <c r="N3571" s="293" t="str">
        <f>IFERROR(IF([1]F_ProductBM!N865 = "", "", [1]F_ProductBM!N865 ),"")</f>
        <v/>
      </c>
    </row>
    <row r="3572" spans="3:14" ht="13.5" thickBot="1">
      <c r="C3572" s="977"/>
      <c r="D3572" s="915" t="s">
        <v>787</v>
      </c>
      <c r="E3572" s="2714" t="s">
        <v>1659</v>
      </c>
      <c r="F3572" s="2410"/>
      <c r="G3572" s="2410"/>
      <c r="H3572" s="944" t="s">
        <v>471</v>
      </c>
      <c r="I3572" s="281" t="str">
        <f>IFERROR(IF([1]F_ProductBM!I866 = "", "", [1]F_ProductBM!I866 ),"")</f>
        <v/>
      </c>
      <c r="J3572" s="294" t="str">
        <f>IFERROR(IF([1]F_ProductBM!J866 = "", "", [1]F_ProductBM!J866 ),"")</f>
        <v/>
      </c>
      <c r="K3572" s="295" t="str">
        <f>IFERROR(IF([1]F_ProductBM!K866 = "", "", [1]F_ProductBM!K866 ),"")</f>
        <v/>
      </c>
      <c r="L3572" s="295" t="str">
        <f>IFERROR(IF([1]F_ProductBM!L866 = "", "", [1]F_ProductBM!L866 ),"")</f>
        <v/>
      </c>
      <c r="M3572" s="295" t="str">
        <f>IFERROR(IF([1]F_ProductBM!M866 = "", "", [1]F_ProductBM!M866 ),"")</f>
        <v/>
      </c>
      <c r="N3572" s="296" t="str">
        <f>IFERROR(IF([1]F_ProductBM!N866 = "", "", [1]F_ProductBM!N866 ),"")</f>
        <v/>
      </c>
    </row>
    <row r="3573" spans="3:14" ht="13.5" thickBot="1">
      <c r="C3573" s="977"/>
      <c r="D3573" s="946"/>
      <c r="E3573" s="947"/>
      <c r="F3573" s="947"/>
      <c r="G3573" s="947"/>
      <c r="H3573" s="1014"/>
      <c r="I3573" s="947"/>
      <c r="J3573" s="947"/>
      <c r="K3573" s="947"/>
      <c r="L3573" s="947"/>
      <c r="M3573" s="925"/>
      <c r="N3573" s="926"/>
    </row>
    <row r="3574" spans="3:14">
      <c r="C3574" s="977"/>
      <c r="D3574" s="981"/>
      <c r="E3574" s="981"/>
      <c r="F3574" s="981"/>
      <c r="G3574" s="981"/>
      <c r="H3574" s="983"/>
      <c r="I3574" s="981"/>
      <c r="J3574" s="981"/>
      <c r="K3574" s="981"/>
      <c r="L3574" s="981"/>
      <c r="M3574" s="813"/>
      <c r="N3574" s="814"/>
    </row>
    <row r="3575" spans="3:14">
      <c r="C3575" s="977"/>
      <c r="D3575" s="777" t="s">
        <v>1109</v>
      </c>
      <c r="E3575" s="2649" t="s">
        <v>1218</v>
      </c>
      <c r="F3575" s="2391"/>
      <c r="G3575" s="2391"/>
      <c r="H3575" s="2512"/>
      <c r="I3575" s="2683" t="str">
        <f>IFERROR(IF([1]F_ProductBM!I869 = "", "", [1]F_ProductBM!I869 ),"")</f>
        <v/>
      </c>
      <c r="J3575" s="2488"/>
      <c r="K3575" s="2488"/>
      <c r="L3575" s="2488"/>
      <c r="M3575" s="2686"/>
      <c r="N3575" s="814"/>
    </row>
    <row r="3576" spans="3:14">
      <c r="C3576" s="977"/>
      <c r="D3576" s="777"/>
      <c r="E3576" s="2676" t="s">
        <v>2298</v>
      </c>
      <c r="F3576" s="2391"/>
      <c r="G3576" s="2391"/>
      <c r="H3576" s="2391"/>
      <c r="I3576" s="2391"/>
      <c r="J3576" s="2391"/>
      <c r="K3576" s="2391"/>
      <c r="L3576" s="2391"/>
      <c r="M3576" s="2391"/>
      <c r="N3576" s="2650"/>
    </row>
    <row r="3577" spans="3:14">
      <c r="C3577" s="977"/>
      <c r="D3577" s="777"/>
      <c r="E3577" s="2669" t="s">
        <v>1560</v>
      </c>
      <c r="F3577" s="2391"/>
      <c r="G3577" s="2391"/>
      <c r="H3577" s="2391"/>
      <c r="I3577" s="2391"/>
      <c r="J3577" s="2391"/>
      <c r="K3577" s="2391"/>
      <c r="L3577" s="2391"/>
      <c r="M3577" s="2391"/>
      <c r="N3577" s="2650"/>
    </row>
    <row r="3578" spans="3:14">
      <c r="C3578" s="977"/>
      <c r="D3578" s="981"/>
      <c r="E3578" s="989"/>
      <c r="F3578" s="990"/>
      <c r="G3578" s="987" t="s">
        <v>884</v>
      </c>
      <c r="H3578" s="782">
        <v>2019</v>
      </c>
      <c r="I3578" s="988">
        <v>2020</v>
      </c>
      <c r="J3578" s="781">
        <v>2021</v>
      </c>
      <c r="K3578" s="782">
        <v>2022</v>
      </c>
      <c r="L3578" s="782">
        <v>2023</v>
      </c>
      <c r="M3578" s="782">
        <v>2024</v>
      </c>
      <c r="N3578" s="783">
        <v>2025</v>
      </c>
    </row>
    <row r="3579" spans="3:14">
      <c r="C3579" s="977"/>
      <c r="D3579" s="777" t="s">
        <v>1110</v>
      </c>
      <c r="E3579" s="2471" t="s">
        <v>1303</v>
      </c>
      <c r="F3579" s="2472"/>
      <c r="G3579" s="67" t="str">
        <f>IFERROR(IF([1]F_ProductBM!G873 = "", "", [1]F_ProductBM!G873 ),"")</f>
        <v/>
      </c>
      <c r="H3579" s="94" t="str">
        <f>IFERROR(IF([1]F_ProductBM!H873 = "", "", [1]F_ProductBM!H873 ),"")</f>
        <v/>
      </c>
      <c r="I3579" s="110" t="str">
        <f>IFERROR(IF([1]F_ProductBM!I873 = "", "", [1]F_ProductBM!I873 ),"")</f>
        <v/>
      </c>
      <c r="J3579" s="111" t="str">
        <f>IFERROR(IF([1]F_ProductBM!J873 = "", "", [1]F_ProductBM!J873 ),"")</f>
        <v/>
      </c>
      <c r="K3579" s="94" t="str">
        <f>IFERROR(IF([1]F_ProductBM!K873 = "", "", [1]F_ProductBM!K873 ),"")</f>
        <v/>
      </c>
      <c r="L3579" s="94" t="str">
        <f>IFERROR(IF([1]F_ProductBM!L873 = "", "", [1]F_ProductBM!L873 ),"")</f>
        <v/>
      </c>
      <c r="M3579" s="94" t="str">
        <f>IFERROR(IF([1]F_ProductBM!M873 = "", "", [1]F_ProductBM!M873 ),"")</f>
        <v/>
      </c>
      <c r="N3579" s="112" t="str">
        <f>IFERROR(IF([1]F_ProductBM!N873 = "", "", [1]F_ProductBM!N873 ),"")</f>
        <v/>
      </c>
    </row>
    <row r="3580" spans="3:14">
      <c r="C3580" s="977"/>
      <c r="D3580" s="777" t="s">
        <v>1111</v>
      </c>
      <c r="E3580" s="2473" t="s">
        <v>661</v>
      </c>
      <c r="F3580" s="2474"/>
      <c r="G3580" s="350" t="str">
        <f>IFERROR(IF([1]F_ProductBM!G874 = "", "", [1]F_ProductBM!G874 ),"")</f>
        <v>GJ / Unit</v>
      </c>
      <c r="H3580" s="95" t="str">
        <f>IFERROR(IF([1]F_ProductBM!H874 = "", "", [1]F_ProductBM!H874 ),"")</f>
        <v/>
      </c>
      <c r="I3580" s="113" t="str">
        <f>IFERROR(IF([1]F_ProductBM!I874 = "", "", [1]F_ProductBM!I874 ),"")</f>
        <v/>
      </c>
      <c r="J3580" s="114" t="str">
        <f>IFERROR(IF([1]F_ProductBM!J874 = "", "", [1]F_ProductBM!J874 ),"")</f>
        <v/>
      </c>
      <c r="K3580" s="95" t="str">
        <f>IFERROR(IF([1]F_ProductBM!K874 = "", "", [1]F_ProductBM!K874 ),"")</f>
        <v/>
      </c>
      <c r="L3580" s="95" t="str">
        <f>IFERROR(IF([1]F_ProductBM!L874 = "", "", [1]F_ProductBM!L874 ),"")</f>
        <v/>
      </c>
      <c r="M3580" s="95" t="str">
        <f>IFERROR(IF([1]F_ProductBM!M874 = "", "", [1]F_ProductBM!M874 ),"")</f>
        <v/>
      </c>
      <c r="N3580" s="115" t="str">
        <f>IFERROR(IF([1]F_ProductBM!N874 = "", "", [1]F_ProductBM!N874 ),"")</f>
        <v/>
      </c>
    </row>
    <row r="3581" spans="3:14">
      <c r="C3581" s="977"/>
      <c r="D3581" s="777" t="s">
        <v>1112</v>
      </c>
      <c r="E3581" s="2475" t="s">
        <v>1102</v>
      </c>
      <c r="F3581" s="2410"/>
      <c r="G3581" s="815" t="s">
        <v>2017</v>
      </c>
      <c r="H3581" s="93" t="str">
        <f>IFERROR(IF([1]F_ProductBM!H875 = "", "", [1]F_ProductBM!H875 ),"")</f>
        <v/>
      </c>
      <c r="I3581" s="116" t="str">
        <f>IFERROR(IF([1]F_ProductBM!I875 = "", "", [1]F_ProductBM!I875 ),"")</f>
        <v/>
      </c>
      <c r="J3581" s="117" t="str">
        <f>IFERROR(IF([1]F_ProductBM!J875 = "", "", [1]F_ProductBM!J875 ),"")</f>
        <v/>
      </c>
      <c r="K3581" s="93" t="str">
        <f>IFERROR(IF([1]F_ProductBM!K875 = "", "", [1]F_ProductBM!K875 ),"")</f>
        <v/>
      </c>
      <c r="L3581" s="93" t="str">
        <f>IFERROR(IF([1]F_ProductBM!L875 = "", "", [1]F_ProductBM!L875 ),"")</f>
        <v/>
      </c>
      <c r="M3581" s="93" t="str">
        <f>IFERROR(IF([1]F_ProductBM!M875 = "", "", [1]F_ProductBM!M875 ),"")</f>
        <v/>
      </c>
      <c r="N3581" s="118" t="str">
        <f>IFERROR(IF([1]F_ProductBM!N875 = "", "", [1]F_ProductBM!N875 ),"")</f>
        <v/>
      </c>
    </row>
    <row r="3582" spans="3:14">
      <c r="C3582" s="977"/>
      <c r="D3582" s="777" t="s">
        <v>1113</v>
      </c>
      <c r="E3582" s="2475" t="s">
        <v>1275</v>
      </c>
      <c r="F3582" s="2410"/>
      <c r="G3582" s="815" t="s">
        <v>2018</v>
      </c>
      <c r="H3582" s="93" t="str">
        <f>IFERROR(IF([1]F_ProductBM!H876 = "", "", [1]F_ProductBM!H876 ),"")</f>
        <v/>
      </c>
      <c r="I3582" s="116" t="str">
        <f>IFERROR(IF([1]F_ProductBM!I876 = "", "", [1]F_ProductBM!I876 ),"")</f>
        <v/>
      </c>
      <c r="J3582" s="117" t="str">
        <f>IFERROR(IF([1]F_ProductBM!J876 = "", "", [1]F_ProductBM!J876 ),"")</f>
        <v/>
      </c>
      <c r="K3582" s="93" t="str">
        <f>IFERROR(IF([1]F_ProductBM!K876 = "", "", [1]F_ProductBM!K876 ),"")</f>
        <v/>
      </c>
      <c r="L3582" s="93" t="str">
        <f>IFERROR(IF([1]F_ProductBM!L876 = "", "", [1]F_ProductBM!L876 ),"")</f>
        <v/>
      </c>
      <c r="M3582" s="93" t="str">
        <f>IFERROR(IF([1]F_ProductBM!M876 = "", "", [1]F_ProductBM!M876 ),"")</f>
        <v/>
      </c>
      <c r="N3582" s="118" t="str">
        <f>IFERROR(IF([1]F_ProductBM!N876 = "", "", [1]F_ProductBM!N876 ),"")</f>
        <v/>
      </c>
    </row>
    <row r="3583" spans="3:14">
      <c r="C3583" s="977"/>
      <c r="D3583" s="981"/>
      <c r="E3583" s="981"/>
      <c r="F3583" s="981"/>
      <c r="G3583" s="981"/>
      <c r="H3583" s="983"/>
      <c r="I3583" s="981"/>
      <c r="J3583" s="981"/>
      <c r="K3583" s="981"/>
      <c r="L3583" s="981"/>
      <c r="M3583" s="813"/>
      <c r="N3583" s="814"/>
    </row>
    <row r="3584" spans="3:14">
      <c r="C3584" s="977"/>
      <c r="D3584" s="777" t="s">
        <v>1114</v>
      </c>
      <c r="E3584" s="2649" t="s">
        <v>1217</v>
      </c>
      <c r="F3584" s="2391"/>
      <c r="G3584" s="2391"/>
      <c r="H3584" s="2512"/>
      <c r="I3584" s="2683" t="str">
        <f>IFERROR(IF([1]F_ProductBM!I878 = "", "", [1]F_ProductBM!I878 ),"")</f>
        <v/>
      </c>
      <c r="J3584" s="2488"/>
      <c r="K3584" s="2488"/>
      <c r="L3584" s="2488"/>
      <c r="M3584" s="2686"/>
      <c r="N3584" s="979"/>
    </row>
    <row r="3585" spans="3:14">
      <c r="C3585" s="977"/>
      <c r="D3585" s="777"/>
      <c r="E3585" s="2676" t="s">
        <v>2298</v>
      </c>
      <c r="F3585" s="2391"/>
      <c r="G3585" s="2391"/>
      <c r="H3585" s="2391"/>
      <c r="I3585" s="2391"/>
      <c r="J3585" s="2391"/>
      <c r="K3585" s="2391"/>
      <c r="L3585" s="2391"/>
      <c r="M3585" s="2391"/>
      <c r="N3585" s="2650"/>
    </row>
    <row r="3586" spans="3:14">
      <c r="C3586" s="977"/>
      <c r="D3586" s="777"/>
      <c r="E3586" s="2669" t="s">
        <v>1317</v>
      </c>
      <c r="F3586" s="2391"/>
      <c r="G3586" s="2391"/>
      <c r="H3586" s="2391"/>
      <c r="I3586" s="2391"/>
      <c r="J3586" s="2391"/>
      <c r="K3586" s="2391"/>
      <c r="L3586" s="2391"/>
      <c r="M3586" s="2391"/>
      <c r="N3586" s="2650"/>
    </row>
    <row r="3587" spans="3:14">
      <c r="C3587" s="977"/>
      <c r="D3587" s="981"/>
      <c r="E3587" s="989"/>
      <c r="F3587" s="990"/>
      <c r="G3587" s="987" t="s">
        <v>884</v>
      </c>
      <c r="H3587" s="782">
        <v>2019</v>
      </c>
      <c r="I3587" s="988">
        <v>2020</v>
      </c>
      <c r="J3587" s="781">
        <v>2021</v>
      </c>
      <c r="K3587" s="782">
        <v>2022</v>
      </c>
      <c r="L3587" s="782">
        <v>2023</v>
      </c>
      <c r="M3587" s="782">
        <v>2024</v>
      </c>
      <c r="N3587" s="783">
        <v>2025</v>
      </c>
    </row>
    <row r="3588" spans="3:14">
      <c r="C3588" s="977"/>
      <c r="D3588" s="777" t="s">
        <v>1115</v>
      </c>
      <c r="E3588" s="2471" t="s">
        <v>1304</v>
      </c>
      <c r="F3588" s="2472"/>
      <c r="G3588" s="67" t="str">
        <f>IFERROR(IF([1]F_ProductBM!G882 = "", "", [1]F_ProductBM!G882 ),"")</f>
        <v/>
      </c>
      <c r="H3588" s="94" t="str">
        <f>IFERROR(IF([1]F_ProductBM!H882 = "", "", [1]F_ProductBM!H882 ),"")</f>
        <v/>
      </c>
      <c r="I3588" s="110" t="str">
        <f>IFERROR(IF([1]F_ProductBM!I882 = "", "", [1]F_ProductBM!I882 ),"")</f>
        <v/>
      </c>
      <c r="J3588" s="111" t="str">
        <f>IFERROR(IF([1]F_ProductBM!J882 = "", "", [1]F_ProductBM!J882 ),"")</f>
        <v/>
      </c>
      <c r="K3588" s="94" t="str">
        <f>IFERROR(IF([1]F_ProductBM!K882 = "", "", [1]F_ProductBM!K882 ),"")</f>
        <v/>
      </c>
      <c r="L3588" s="94" t="str">
        <f>IFERROR(IF([1]F_ProductBM!L882 = "", "", [1]F_ProductBM!L882 ),"")</f>
        <v/>
      </c>
      <c r="M3588" s="94" t="str">
        <f>IFERROR(IF([1]F_ProductBM!M882 = "", "", [1]F_ProductBM!M882 ),"")</f>
        <v/>
      </c>
      <c r="N3588" s="112" t="str">
        <f>IFERROR(IF([1]F_ProductBM!N882 = "", "", [1]F_ProductBM!N882 ),"")</f>
        <v/>
      </c>
    </row>
    <row r="3589" spans="3:14">
      <c r="C3589" s="977"/>
      <c r="D3589" s="777" t="s">
        <v>1561</v>
      </c>
      <c r="E3589" s="2473" t="s">
        <v>661</v>
      </c>
      <c r="F3589" s="2474"/>
      <c r="G3589" s="350" t="str">
        <f>IFERROR(IF([1]F_ProductBM!G883 = "", "", [1]F_ProductBM!G883 ),"")</f>
        <v>GJ / Unit</v>
      </c>
      <c r="H3589" s="95" t="str">
        <f>IFERROR(IF([1]F_ProductBM!H883 = "", "", [1]F_ProductBM!H883 ),"")</f>
        <v/>
      </c>
      <c r="I3589" s="113" t="str">
        <f>IFERROR(IF([1]F_ProductBM!I883 = "", "", [1]F_ProductBM!I883 ),"")</f>
        <v/>
      </c>
      <c r="J3589" s="114" t="str">
        <f>IFERROR(IF([1]F_ProductBM!J883 = "", "", [1]F_ProductBM!J883 ),"")</f>
        <v/>
      </c>
      <c r="K3589" s="95" t="str">
        <f>IFERROR(IF([1]F_ProductBM!K883 = "", "", [1]F_ProductBM!K883 ),"")</f>
        <v/>
      </c>
      <c r="L3589" s="95" t="str">
        <f>IFERROR(IF([1]F_ProductBM!L883 = "", "", [1]F_ProductBM!L883 ),"")</f>
        <v/>
      </c>
      <c r="M3589" s="95" t="str">
        <f>IFERROR(IF([1]F_ProductBM!M883 = "", "", [1]F_ProductBM!M883 ),"")</f>
        <v/>
      </c>
      <c r="N3589" s="115" t="str">
        <f>IFERROR(IF([1]F_ProductBM!N883 = "", "", [1]F_ProductBM!N883 ),"")</f>
        <v/>
      </c>
    </row>
    <row r="3590" spans="3:14">
      <c r="C3590" s="977"/>
      <c r="D3590" s="777" t="s">
        <v>1599</v>
      </c>
      <c r="E3590" s="2475" t="s">
        <v>1080</v>
      </c>
      <c r="F3590" s="2410"/>
      <c r="G3590" s="815" t="s">
        <v>2017</v>
      </c>
      <c r="H3590" s="93" t="str">
        <f>IFERROR(IF([1]F_ProductBM!H884 = "", "", [1]F_ProductBM!H884 ),"")</f>
        <v/>
      </c>
      <c r="I3590" s="116" t="str">
        <f>IFERROR(IF([1]F_ProductBM!I884 = "", "", [1]F_ProductBM!I884 ),"")</f>
        <v/>
      </c>
      <c r="J3590" s="117" t="str">
        <f>IFERROR(IF([1]F_ProductBM!J884 = "", "", [1]F_ProductBM!J884 ),"")</f>
        <v/>
      </c>
      <c r="K3590" s="93" t="str">
        <f>IFERROR(IF([1]F_ProductBM!K884 = "", "", [1]F_ProductBM!K884 ),"")</f>
        <v/>
      </c>
      <c r="L3590" s="93" t="str">
        <f>IFERROR(IF([1]F_ProductBM!L884 = "", "", [1]F_ProductBM!L884 ),"")</f>
        <v/>
      </c>
      <c r="M3590" s="93" t="str">
        <f>IFERROR(IF([1]F_ProductBM!M884 = "", "", [1]F_ProductBM!M884 ),"")</f>
        <v/>
      </c>
      <c r="N3590" s="118" t="str">
        <f>IFERROR(IF([1]F_ProductBM!N884 = "", "", [1]F_ProductBM!N884 ),"")</f>
        <v/>
      </c>
    </row>
    <row r="3591" spans="3:14">
      <c r="C3591" s="977"/>
      <c r="D3591" s="777" t="s">
        <v>1600</v>
      </c>
      <c r="E3591" s="2475" t="s">
        <v>1276</v>
      </c>
      <c r="F3591" s="2410"/>
      <c r="G3591" s="815" t="s">
        <v>2018</v>
      </c>
      <c r="H3591" s="93" t="str">
        <f>IFERROR(IF([1]F_ProductBM!H885 = "", "", [1]F_ProductBM!H885 ),"")</f>
        <v/>
      </c>
      <c r="I3591" s="116" t="str">
        <f>IFERROR(IF([1]F_ProductBM!I885 = "", "", [1]F_ProductBM!I885 ),"")</f>
        <v/>
      </c>
      <c r="J3591" s="117" t="str">
        <f>IFERROR(IF([1]F_ProductBM!J885 = "", "", [1]F_ProductBM!J885 ),"")</f>
        <v/>
      </c>
      <c r="K3591" s="93" t="str">
        <f>IFERROR(IF([1]F_ProductBM!K885 = "", "", [1]F_ProductBM!K885 ),"")</f>
        <v/>
      </c>
      <c r="L3591" s="93" t="str">
        <f>IFERROR(IF([1]F_ProductBM!L885 = "", "", [1]F_ProductBM!L885 ),"")</f>
        <v/>
      </c>
      <c r="M3591" s="93" t="str">
        <f>IFERROR(IF([1]F_ProductBM!M885 = "", "", [1]F_ProductBM!M885 ),"")</f>
        <v/>
      </c>
      <c r="N3591" s="118" t="str">
        <f>IFERROR(IF([1]F_ProductBM!N885 = "", "", [1]F_ProductBM!N885 ),"")</f>
        <v/>
      </c>
    </row>
    <row r="3592" spans="3:14">
      <c r="C3592" s="977"/>
      <c r="D3592" s="981"/>
      <c r="E3592" s="981"/>
      <c r="F3592" s="981"/>
      <c r="G3592" s="981"/>
      <c r="H3592" s="981"/>
      <c r="I3592" s="983"/>
      <c r="J3592" s="981"/>
      <c r="K3592" s="981"/>
      <c r="L3592" s="981"/>
      <c r="M3592" s="981"/>
      <c r="N3592" s="814"/>
    </row>
    <row r="3593" spans="3:14">
      <c r="C3593" s="977"/>
      <c r="D3593" s="982" t="s">
        <v>482</v>
      </c>
      <c r="E3593" s="2649" t="s">
        <v>1127</v>
      </c>
      <c r="F3593" s="2391"/>
      <c r="G3593" s="2391"/>
      <c r="H3593" s="2391"/>
      <c r="I3593" s="2391"/>
      <c r="J3593" s="2391"/>
      <c r="K3593" s="2391"/>
      <c r="L3593" s="2391"/>
      <c r="M3593" s="2391"/>
      <c r="N3593" s="2650"/>
    </row>
    <row r="3594" spans="3:14">
      <c r="C3594" s="977"/>
      <c r="D3594" s="777"/>
      <c r="E3594" s="2676" t="s">
        <v>2299</v>
      </c>
      <c r="F3594" s="2391"/>
      <c r="G3594" s="2391"/>
      <c r="H3594" s="2391"/>
      <c r="I3594" s="2391"/>
      <c r="J3594" s="2391"/>
      <c r="K3594" s="2391"/>
      <c r="L3594" s="2391"/>
      <c r="M3594" s="2391"/>
      <c r="N3594" s="2650"/>
    </row>
    <row r="3595" spans="3:14" ht="22.5" customHeight="1">
      <c r="C3595" s="977"/>
      <c r="D3595" s="981"/>
      <c r="E3595" s="2669" t="s">
        <v>2710</v>
      </c>
      <c r="F3595" s="2391"/>
      <c r="G3595" s="2391"/>
      <c r="H3595" s="2391"/>
      <c r="I3595" s="2391"/>
      <c r="J3595" s="2391"/>
      <c r="K3595" s="2391"/>
      <c r="L3595" s="2391"/>
      <c r="M3595" s="2391"/>
      <c r="N3595" s="2650"/>
    </row>
    <row r="3596" spans="3:14">
      <c r="C3596" s="977"/>
      <c r="D3596" s="982"/>
      <c r="E3596" s="989"/>
      <c r="F3596" s="990"/>
      <c r="G3596" s="987" t="s">
        <v>884</v>
      </c>
      <c r="H3596" s="782">
        <v>2019</v>
      </c>
      <c r="I3596" s="988">
        <v>2020</v>
      </c>
      <c r="J3596" s="781">
        <v>2021</v>
      </c>
      <c r="K3596" s="782">
        <v>2022</v>
      </c>
      <c r="L3596" s="782">
        <v>2023</v>
      </c>
      <c r="M3596" s="782">
        <v>2024</v>
      </c>
      <c r="N3596" s="783">
        <v>2025</v>
      </c>
    </row>
    <row r="3597" spans="3:14">
      <c r="C3597" s="977"/>
      <c r="D3597" s="777"/>
      <c r="E3597" s="2475" t="s">
        <v>1354</v>
      </c>
      <c r="F3597" s="2410"/>
      <c r="G3597" s="815" t="s">
        <v>2021</v>
      </c>
      <c r="H3597" s="93" t="str">
        <f>IFERROR(IF([1]F_ProductBM!H891 = "", "", [1]F_ProductBM!H891 ),"")</f>
        <v/>
      </c>
      <c r="I3597" s="116" t="str">
        <f>IFERROR(IF([1]F_ProductBM!I891 = "", "", [1]F_ProductBM!I891 ),"")</f>
        <v/>
      </c>
      <c r="J3597" s="117" t="str">
        <f>IFERROR(IF([1]F_ProductBM!J891 = "", "", [1]F_ProductBM!J891 ),"")</f>
        <v/>
      </c>
      <c r="K3597" s="93" t="str">
        <f>IFERROR(IF([1]F_ProductBM!K891 = "", "", [1]F_ProductBM!K891 ),"")</f>
        <v/>
      </c>
      <c r="L3597" s="93" t="str">
        <f>IFERROR(IF([1]F_ProductBM!L891 = "", "", [1]F_ProductBM!L891 ),"")</f>
        <v/>
      </c>
      <c r="M3597" s="93" t="str">
        <f>IFERROR(IF([1]F_ProductBM!M891 = "", "", [1]F_ProductBM!M891 ),"")</f>
        <v/>
      </c>
      <c r="N3597" s="118" t="str">
        <f>IFERROR(IF([1]F_ProductBM!N891 = "", "", [1]F_ProductBM!N891 ),"")</f>
        <v/>
      </c>
    </row>
    <row r="3598" spans="3:14">
      <c r="C3598" s="977"/>
      <c r="D3598" s="981"/>
      <c r="E3598" s="981"/>
      <c r="F3598" s="981"/>
      <c r="G3598" s="981"/>
      <c r="H3598" s="981"/>
      <c r="I3598" s="983"/>
      <c r="J3598" s="981"/>
      <c r="K3598" s="981"/>
      <c r="L3598" s="981"/>
      <c r="M3598" s="981"/>
      <c r="N3598" s="814"/>
    </row>
    <row r="3599" spans="3:14">
      <c r="C3599" s="977"/>
      <c r="D3599" s="982" t="s">
        <v>245</v>
      </c>
      <c r="E3599" s="2649" t="s">
        <v>1157</v>
      </c>
      <c r="F3599" s="2391"/>
      <c r="G3599" s="2391"/>
      <c r="H3599" s="2391"/>
      <c r="I3599" s="2391"/>
      <c r="J3599" s="2391"/>
      <c r="K3599" s="2391"/>
      <c r="L3599" s="2391"/>
      <c r="M3599" s="2391"/>
      <c r="N3599" s="2650"/>
    </row>
    <row r="3600" spans="3:14">
      <c r="C3600" s="977"/>
      <c r="D3600" s="981"/>
      <c r="E3600" s="2669" t="s">
        <v>1264</v>
      </c>
      <c r="F3600" s="2391"/>
      <c r="G3600" s="2391"/>
      <c r="H3600" s="2391"/>
      <c r="I3600" s="2391"/>
      <c r="J3600" s="2391"/>
      <c r="K3600" s="2391"/>
      <c r="L3600" s="2391"/>
      <c r="M3600" s="2391"/>
      <c r="N3600" s="2650"/>
    </row>
    <row r="3601" spans="3:14">
      <c r="C3601" s="977"/>
      <c r="D3601" s="981"/>
      <c r="E3601" s="2669" t="s">
        <v>1563</v>
      </c>
      <c r="F3601" s="2391"/>
      <c r="G3601" s="2391"/>
      <c r="H3601" s="2391"/>
      <c r="I3601" s="2391"/>
      <c r="J3601" s="2391"/>
      <c r="K3601" s="2391"/>
      <c r="L3601" s="2391"/>
      <c r="M3601" s="2391"/>
      <c r="N3601" s="2650"/>
    </row>
    <row r="3602" spans="3:14">
      <c r="C3602" s="977"/>
      <c r="D3602" s="777"/>
      <c r="E3602" s="2707" t="s">
        <v>1598</v>
      </c>
      <c r="F3602" s="2493"/>
      <c r="G3602" s="2493"/>
      <c r="H3602" s="2493"/>
      <c r="I3602" s="2493"/>
      <c r="J3602" s="2493"/>
      <c r="K3602" s="2493"/>
      <c r="L3602" s="2493"/>
      <c r="M3602" s="2493"/>
      <c r="N3602" s="2708"/>
    </row>
    <row r="3603" spans="3:14">
      <c r="C3603" s="977"/>
      <c r="D3603" s="777"/>
      <c r="E3603" s="2487" t="str">
        <f>IFERROR(IF([1]F_ProductBM!E897 = "", "", [1]F_ProductBM!E897 ),"")</f>
        <v/>
      </c>
      <c r="F3603" s="2488"/>
      <c r="G3603" s="815" t="s">
        <v>1020</v>
      </c>
      <c r="H3603" s="93" t="str">
        <f>IFERROR(IF([1]F_ProductBM!H897 = "", "", [1]F_ProductBM!H897 ),"")</f>
        <v/>
      </c>
      <c r="I3603" s="116" t="str">
        <f>IFERROR(IF([1]F_ProductBM!I897 = "", "", [1]F_ProductBM!I897 ),"")</f>
        <v/>
      </c>
      <c r="J3603" s="117" t="str">
        <f>IFERROR(IF([1]F_ProductBM!J897 = "", "", [1]F_ProductBM!J897 ),"")</f>
        <v/>
      </c>
      <c r="K3603" s="93" t="str">
        <f>IFERROR(IF([1]F_ProductBM!K897 = "", "", [1]F_ProductBM!K897 ),"")</f>
        <v/>
      </c>
      <c r="L3603" s="93" t="str">
        <f>IFERROR(IF([1]F_ProductBM!L897 = "", "", [1]F_ProductBM!L897 ),"")</f>
        <v/>
      </c>
      <c r="M3603" s="93" t="str">
        <f>IFERROR(IF([1]F_ProductBM!M897 = "", "", [1]F_ProductBM!M897 ),"")</f>
        <v/>
      </c>
      <c r="N3603" s="118" t="str">
        <f>IFERROR(IF([1]F_ProductBM!N897 = "", "", [1]F_ProductBM!N897 ),"")</f>
        <v/>
      </c>
    </row>
    <row r="3604" spans="3:14">
      <c r="C3604" s="977"/>
      <c r="D3604" s="777"/>
      <c r="E3604" s="777"/>
      <c r="F3604" s="777"/>
      <c r="G3604" s="777"/>
      <c r="H3604" s="983"/>
      <c r="I3604" s="777"/>
      <c r="J3604" s="777"/>
      <c r="K3604" s="777"/>
      <c r="L3604" s="777"/>
      <c r="M3604" s="777"/>
      <c r="N3604" s="1007"/>
    </row>
    <row r="3605" spans="3:14">
      <c r="C3605" s="977"/>
      <c r="D3605" s="982" t="s">
        <v>832</v>
      </c>
      <c r="E3605" s="2649" t="s">
        <v>1142</v>
      </c>
      <c r="F3605" s="2391"/>
      <c r="G3605" s="2391"/>
      <c r="H3605" s="2391"/>
      <c r="I3605" s="2391"/>
      <c r="J3605" s="2391"/>
      <c r="K3605" s="2391"/>
      <c r="L3605" s="2391"/>
      <c r="M3605" s="2391"/>
      <c r="N3605" s="2650"/>
    </row>
    <row r="3606" spans="3:14">
      <c r="C3606" s="977"/>
      <c r="D3606" s="981"/>
      <c r="E3606" s="2669" t="s">
        <v>1366</v>
      </c>
      <c r="F3606" s="2391"/>
      <c r="G3606" s="2391"/>
      <c r="H3606" s="2391"/>
      <c r="I3606" s="2391"/>
      <c r="J3606" s="2391"/>
      <c r="K3606" s="2391"/>
      <c r="L3606" s="2391"/>
      <c r="M3606" s="2391"/>
      <c r="N3606" s="2650"/>
    </row>
    <row r="3607" spans="3:14">
      <c r="C3607" s="977"/>
      <c r="D3607" s="981"/>
      <c r="E3607" s="2676" t="s">
        <v>1610</v>
      </c>
      <c r="F3607" s="2391"/>
      <c r="G3607" s="2391"/>
      <c r="H3607" s="2391"/>
      <c r="I3607" s="2391"/>
      <c r="J3607" s="2391"/>
      <c r="K3607" s="2391"/>
      <c r="L3607" s="2391"/>
      <c r="M3607" s="2391"/>
      <c r="N3607" s="2650"/>
    </row>
    <row r="3608" spans="3:14">
      <c r="C3608" s="977"/>
      <c r="D3608" s="777" t="s">
        <v>6</v>
      </c>
      <c r="E3608" s="2682" t="s">
        <v>1145</v>
      </c>
      <c r="F3608" s="2391"/>
      <c r="G3608" s="2391"/>
      <c r="H3608" s="2391"/>
      <c r="I3608" s="2391"/>
      <c r="J3608" s="2391"/>
      <c r="K3608" s="2512"/>
      <c r="L3608" s="120" t="str">
        <f>IFERROR(IF([1]F_ProductBM!L902 = "", "", [1]F_ProductBM!L902 ),"")</f>
        <v/>
      </c>
      <c r="M3608" s="813"/>
      <c r="N3608" s="1015"/>
    </row>
    <row r="3609" spans="3:14">
      <c r="C3609" s="977"/>
      <c r="D3609" s="777"/>
      <c r="E3609" s="777"/>
      <c r="F3609" s="777"/>
      <c r="G3609" s="777"/>
      <c r="H3609" s="983"/>
      <c r="I3609" s="777"/>
      <c r="J3609" s="777"/>
      <c r="K3609" s="777"/>
      <c r="L3609" s="777"/>
      <c r="M3609" s="777"/>
      <c r="N3609" s="1007"/>
    </row>
    <row r="3610" spans="3:14">
      <c r="C3610" s="977"/>
      <c r="D3610" s="982"/>
      <c r="E3610" s="2648" t="s">
        <v>1144</v>
      </c>
      <c r="F3610" s="2493"/>
      <c r="G3610" s="778" t="s">
        <v>884</v>
      </c>
      <c r="H3610" s="782">
        <v>2019</v>
      </c>
      <c r="I3610" s="988">
        <v>2020</v>
      </c>
      <c r="J3610" s="781">
        <v>2021</v>
      </c>
      <c r="K3610" s="782">
        <v>2022</v>
      </c>
      <c r="L3610" s="782">
        <v>2023</v>
      </c>
      <c r="M3610" s="782">
        <v>2024</v>
      </c>
      <c r="N3610" s="783">
        <v>2025</v>
      </c>
    </row>
    <row r="3611" spans="3:14">
      <c r="C3611" s="977"/>
      <c r="D3611" s="777" t="s">
        <v>7</v>
      </c>
      <c r="E3611" s="2513" t="str">
        <f>IFERROR(IF([1]F_ProductBM!E905 = "", "", [1]F_ProductBM!E905 ),"")</f>
        <v/>
      </c>
      <c r="F3611" s="2705"/>
      <c r="G3611" s="355" t="str">
        <f>IFERROR(IF([1]F_ProductBM!G905 = "", "", [1]F_ProductBM!G905 ),"")</f>
        <v>tonnes</v>
      </c>
      <c r="H3611" s="371" t="str">
        <f>IFERROR(IF([1]F_ProductBM!H905 = "", "", [1]F_ProductBM!H905 ),"")</f>
        <v/>
      </c>
      <c r="I3611" s="372" t="str">
        <f>IFERROR(IF([1]F_ProductBM!I905 = "", "", [1]F_ProductBM!I905 ),"")</f>
        <v/>
      </c>
      <c r="J3611" s="373" t="str">
        <f>IFERROR(IF([1]F_ProductBM!J905 = "", "", [1]F_ProductBM!J905 ),"")</f>
        <v/>
      </c>
      <c r="K3611" s="371" t="str">
        <f>IFERROR(IF([1]F_ProductBM!K905 = "", "", [1]F_ProductBM!K905 ),"")</f>
        <v/>
      </c>
      <c r="L3611" s="371" t="str">
        <f>IFERROR(IF([1]F_ProductBM!L905 = "", "", [1]F_ProductBM!L905 ),"")</f>
        <v/>
      </c>
      <c r="M3611" s="371" t="str">
        <f>IFERROR(IF([1]F_ProductBM!M905 = "", "", [1]F_ProductBM!M905 ),"")</f>
        <v/>
      </c>
      <c r="N3611" s="374" t="str">
        <f>IFERROR(IF([1]F_ProductBM!N905 = "", "", [1]F_ProductBM!N905 ),"")</f>
        <v/>
      </c>
    </row>
    <row r="3612" spans="3:14">
      <c r="C3612" s="977"/>
      <c r="D3612" s="777" t="s">
        <v>8</v>
      </c>
      <c r="E3612" s="2520" t="str">
        <f>IFERROR(IF([1]F_ProductBM!E906 = "", "", [1]F_ProductBM!E906 ),"")</f>
        <v/>
      </c>
      <c r="F3612" s="2706"/>
      <c r="G3612" s="350" t="str">
        <f>IFERROR(IF([1]F_ProductBM!G906 = "", "", [1]F_ProductBM!G906 ),"")</f>
        <v>tonnes</v>
      </c>
      <c r="H3612" s="364" t="str">
        <f>IFERROR(IF([1]F_ProductBM!H906 = "", "", [1]F_ProductBM!H906 ),"")</f>
        <v/>
      </c>
      <c r="I3612" s="365" t="str">
        <f>IFERROR(IF([1]F_ProductBM!I906 = "", "", [1]F_ProductBM!I906 ),"")</f>
        <v/>
      </c>
      <c r="J3612" s="366" t="str">
        <f>IFERROR(IF([1]F_ProductBM!J906 = "", "", [1]F_ProductBM!J906 ),"")</f>
        <v/>
      </c>
      <c r="K3612" s="364" t="str">
        <f>IFERROR(IF([1]F_ProductBM!K906 = "", "", [1]F_ProductBM!K906 ),"")</f>
        <v/>
      </c>
      <c r="L3612" s="364" t="str">
        <f>IFERROR(IF([1]F_ProductBM!L906 = "", "", [1]F_ProductBM!L906 ),"")</f>
        <v/>
      </c>
      <c r="M3612" s="364" t="str">
        <f>IFERROR(IF([1]F_ProductBM!M906 = "", "", [1]F_ProductBM!M906 ),"")</f>
        <v/>
      </c>
      <c r="N3612" s="367" t="str">
        <f>IFERROR(IF([1]F_ProductBM!N906 = "", "", [1]F_ProductBM!N906 ),"")</f>
        <v/>
      </c>
    </row>
    <row r="3613" spans="3:14">
      <c r="C3613" s="977"/>
      <c r="D3613" s="777"/>
      <c r="E3613" s="777"/>
      <c r="F3613" s="777"/>
      <c r="G3613" s="777"/>
      <c r="H3613" s="777"/>
      <c r="I3613" s="777"/>
      <c r="J3613" s="777"/>
      <c r="K3613" s="777"/>
      <c r="L3613" s="777"/>
      <c r="M3613" s="777"/>
      <c r="N3613" s="810"/>
    </row>
    <row r="3614" spans="3:14">
      <c r="C3614" s="977"/>
      <c r="D3614" s="982"/>
      <c r="E3614" s="2648" t="s">
        <v>1143</v>
      </c>
      <c r="F3614" s="2493"/>
      <c r="G3614" s="778" t="s">
        <v>884</v>
      </c>
      <c r="H3614" s="782">
        <v>2019</v>
      </c>
      <c r="I3614" s="988">
        <v>2020</v>
      </c>
      <c r="J3614" s="781">
        <v>2021</v>
      </c>
      <c r="K3614" s="782">
        <v>2022</v>
      </c>
      <c r="L3614" s="782">
        <v>2023</v>
      </c>
      <c r="M3614" s="782">
        <v>2024</v>
      </c>
      <c r="N3614" s="783">
        <v>2025</v>
      </c>
    </row>
    <row r="3615" spans="3:14">
      <c r="C3615" s="977"/>
      <c r="D3615" s="777" t="s">
        <v>18</v>
      </c>
      <c r="E3615" s="2513" t="str">
        <f>IFERROR(IF([1]F_ProductBM!E909 = "", "", [1]F_ProductBM!E909 ),"")</f>
        <v/>
      </c>
      <c r="F3615" s="2705"/>
      <c r="G3615" s="355" t="str">
        <f>IFERROR(IF([1]F_ProductBM!G909 = "", "", [1]F_ProductBM!G909 ),"")</f>
        <v>tonnes</v>
      </c>
      <c r="H3615" s="371" t="str">
        <f>IFERROR(IF([1]F_ProductBM!H909 = "", "", [1]F_ProductBM!H909 ),"")</f>
        <v/>
      </c>
      <c r="I3615" s="372" t="str">
        <f>IFERROR(IF([1]F_ProductBM!I909 = "", "", [1]F_ProductBM!I909 ),"")</f>
        <v/>
      </c>
      <c r="J3615" s="373" t="str">
        <f>IFERROR(IF([1]F_ProductBM!J909 = "", "", [1]F_ProductBM!J909 ),"")</f>
        <v/>
      </c>
      <c r="K3615" s="371" t="str">
        <f>IFERROR(IF([1]F_ProductBM!K909 = "", "", [1]F_ProductBM!K909 ),"")</f>
        <v/>
      </c>
      <c r="L3615" s="371" t="str">
        <f>IFERROR(IF([1]F_ProductBM!L909 = "", "", [1]F_ProductBM!L909 ),"")</f>
        <v/>
      </c>
      <c r="M3615" s="371" t="str">
        <f>IFERROR(IF([1]F_ProductBM!M909 = "", "", [1]F_ProductBM!M909 ),"")</f>
        <v/>
      </c>
      <c r="N3615" s="374" t="str">
        <f>IFERROR(IF([1]F_ProductBM!N909 = "", "", [1]F_ProductBM!N909 ),"")</f>
        <v/>
      </c>
    </row>
    <row r="3616" spans="3:14">
      <c r="C3616" s="977"/>
      <c r="D3616" s="777" t="s">
        <v>787</v>
      </c>
      <c r="E3616" s="2520" t="str">
        <f>IFERROR(IF([1]F_ProductBM!E910 = "", "", [1]F_ProductBM!E910 ),"")</f>
        <v/>
      </c>
      <c r="F3616" s="2706"/>
      <c r="G3616" s="350" t="str">
        <f>IFERROR(IF([1]F_ProductBM!G910 = "", "", [1]F_ProductBM!G910 ),"")</f>
        <v>tonnes</v>
      </c>
      <c r="H3616" s="364" t="str">
        <f>IFERROR(IF([1]F_ProductBM!H910 = "", "", [1]F_ProductBM!H910 ),"")</f>
        <v/>
      </c>
      <c r="I3616" s="365" t="str">
        <f>IFERROR(IF([1]F_ProductBM!I910 = "", "", [1]F_ProductBM!I910 ),"")</f>
        <v/>
      </c>
      <c r="J3616" s="366" t="str">
        <f>IFERROR(IF([1]F_ProductBM!J910 = "", "", [1]F_ProductBM!J910 ),"")</f>
        <v/>
      </c>
      <c r="K3616" s="364" t="str">
        <f>IFERROR(IF([1]F_ProductBM!K910 = "", "", [1]F_ProductBM!K910 ),"")</f>
        <v/>
      </c>
      <c r="L3616" s="364" t="str">
        <f>IFERROR(IF([1]F_ProductBM!L910 = "", "", [1]F_ProductBM!L910 ),"")</f>
        <v/>
      </c>
      <c r="M3616" s="364" t="str">
        <f>IFERROR(IF([1]F_ProductBM!M910 = "", "", [1]F_ProductBM!M910 ),"")</f>
        <v/>
      </c>
      <c r="N3616" s="367" t="str">
        <f>IFERROR(IF([1]F_ProductBM!N910 = "", "", [1]F_ProductBM!N910 ),"")</f>
        <v/>
      </c>
    </row>
    <row r="3617" spans="3:14">
      <c r="C3617" s="977"/>
      <c r="D3617" s="777"/>
      <c r="E3617" s="777"/>
      <c r="F3617" s="777"/>
      <c r="G3617" s="777"/>
      <c r="H3617" s="777"/>
      <c r="I3617" s="777"/>
      <c r="J3617" s="777"/>
      <c r="K3617" s="777"/>
      <c r="L3617" s="777"/>
      <c r="M3617" s="777"/>
      <c r="N3617" s="1007"/>
    </row>
    <row r="3618" spans="3:14">
      <c r="C3618" s="977"/>
      <c r="D3618" s="777" t="s">
        <v>788</v>
      </c>
      <c r="E3618" s="813" t="s">
        <v>1146</v>
      </c>
      <c r="F3618" s="813"/>
      <c r="G3618" s="813"/>
      <c r="H3618" s="813"/>
      <c r="I3618" s="813"/>
      <c r="J3618" s="813"/>
      <c r="K3618" s="813"/>
      <c r="L3618" s="813"/>
      <c r="M3618" s="813"/>
      <c r="N3618" s="1007"/>
    </row>
    <row r="3619" spans="3:14">
      <c r="C3619" s="977"/>
      <c r="D3619" s="777"/>
      <c r="E3619" s="1017" t="s">
        <v>1459</v>
      </c>
      <c r="F3619" s="978"/>
      <c r="G3619" s="978"/>
      <c r="H3619" s="978"/>
      <c r="I3619" s="978"/>
      <c r="J3619" s="978"/>
      <c r="K3619" s="978"/>
      <c r="L3619" s="978"/>
      <c r="M3619" s="978"/>
      <c r="N3619" s="979"/>
    </row>
    <row r="3620" spans="3:14">
      <c r="C3620" s="977"/>
      <c r="D3620" s="777"/>
      <c r="E3620" s="2699" t="str">
        <f>IFERROR(IF([1]F_ProductBM!E914 = "", "", [1]F_ProductBM!E914 ),"")</f>
        <v/>
      </c>
      <c r="F3620" s="2700"/>
      <c r="G3620" s="2700"/>
      <c r="H3620" s="2700"/>
      <c r="I3620" s="2700"/>
      <c r="J3620" s="2700"/>
      <c r="K3620" s="2700"/>
      <c r="L3620" s="2700"/>
      <c r="M3620" s="2701"/>
      <c r="N3620" s="1007"/>
    </row>
    <row r="3621" spans="3:14">
      <c r="C3621" s="977"/>
      <c r="D3621" s="777"/>
      <c r="E3621" s="2702"/>
      <c r="F3621" s="2703"/>
      <c r="G3621" s="2703"/>
      <c r="H3621" s="2703"/>
      <c r="I3621" s="2703"/>
      <c r="J3621" s="2703"/>
      <c r="K3621" s="2703"/>
      <c r="L3621" s="2703"/>
      <c r="M3621" s="2704"/>
      <c r="N3621" s="1007"/>
    </row>
    <row r="3622" spans="3:14" ht="13.5" thickBot="1">
      <c r="C3622" s="1018"/>
      <c r="D3622" s="1019"/>
      <c r="E3622" s="1019"/>
      <c r="F3622" s="1019"/>
      <c r="G3622" s="1019"/>
      <c r="H3622" s="1019"/>
      <c r="I3622" s="1019"/>
      <c r="J3622" s="1019"/>
      <c r="K3622" s="1019"/>
      <c r="L3622" s="1019"/>
      <c r="M3622" s="805"/>
      <c r="N3622" s="806"/>
    </row>
    <row r="3623" spans="3:14" ht="13.5" thickBot="1">
      <c r="C3623" s="467"/>
      <c r="D3623" s="467"/>
      <c r="E3623" s="467"/>
      <c r="F3623" s="467"/>
      <c r="G3623" s="467"/>
      <c r="H3623" s="467"/>
      <c r="I3623" s="467"/>
      <c r="J3623" s="467"/>
      <c r="K3623" s="467"/>
      <c r="L3623" s="467"/>
      <c r="M3623" s="481"/>
      <c r="N3623" s="481"/>
    </row>
    <row r="3624" spans="3:14">
      <c r="C3624" s="1020"/>
      <c r="D3624" s="1020"/>
      <c r="E3624" s="1020"/>
      <c r="F3624" s="1020"/>
      <c r="G3624" s="1020"/>
      <c r="H3624" s="1020"/>
      <c r="I3624" s="1020"/>
      <c r="J3624" s="1020"/>
      <c r="K3624" s="1020"/>
      <c r="L3624" s="1020"/>
      <c r="M3624" s="1020"/>
      <c r="N3624" s="1020"/>
    </row>
    <row r="3625" spans="3:14" ht="15">
      <c r="C3625" s="897">
        <v>4</v>
      </c>
      <c r="D3625" s="2482" t="s">
        <v>2704</v>
      </c>
      <c r="E3625" s="2400"/>
      <c r="F3625" s="2400"/>
      <c r="G3625" s="2400"/>
      <c r="H3625" s="2585"/>
      <c r="I3625" s="2489" t="str">
        <f>IFERROR(IF([1]F_ProductBM!I919 = "", "", [1]F_ProductBM!I919 ),"")</f>
        <v/>
      </c>
      <c r="J3625" s="2534"/>
      <c r="K3625" s="2534"/>
      <c r="L3625" s="2534"/>
      <c r="M3625" s="2534"/>
      <c r="N3625" s="2535"/>
    </row>
    <row r="3626" spans="3:14">
      <c r="C3626" s="479"/>
      <c r="D3626" s="485"/>
      <c r="E3626" s="2465" t="s">
        <v>2706</v>
      </c>
      <c r="F3626" s="2400"/>
      <c r="G3626" s="2400"/>
      <c r="H3626" s="2400"/>
      <c r="I3626" s="2400"/>
      <c r="J3626" s="2400"/>
      <c r="K3626" s="2400"/>
      <c r="L3626" s="2400"/>
      <c r="M3626" s="2400"/>
      <c r="N3626" s="2400"/>
    </row>
    <row r="3627" spans="3:14">
      <c r="C3627" s="479"/>
      <c r="D3627" s="479"/>
      <c r="E3627" s="479"/>
      <c r="F3627" s="479"/>
      <c r="G3627" s="479"/>
      <c r="H3627" s="479"/>
      <c r="I3627" s="479"/>
      <c r="J3627" s="479"/>
      <c r="K3627" s="479"/>
      <c r="L3627" s="479"/>
      <c r="M3627" s="485"/>
      <c r="N3627" s="485"/>
    </row>
    <row r="3628" spans="3:14">
      <c r="C3628" s="479"/>
      <c r="D3628" s="482" t="s">
        <v>400</v>
      </c>
      <c r="E3628" s="2373" t="s">
        <v>1930</v>
      </c>
      <c r="F3628" s="2400"/>
      <c r="G3628" s="2400"/>
      <c r="H3628" s="2400"/>
      <c r="I3628" s="2400"/>
      <c r="J3628" s="2400"/>
      <c r="K3628" s="2400"/>
      <c r="L3628" s="2400"/>
      <c r="M3628" s="2400"/>
      <c r="N3628" s="2400"/>
    </row>
    <row r="3629" spans="3:14">
      <c r="C3629" s="479"/>
      <c r="D3629" s="485"/>
      <c r="E3629" s="2465" t="s">
        <v>801</v>
      </c>
      <c r="F3629" s="2400"/>
      <c r="G3629" s="2400"/>
      <c r="H3629" s="2400"/>
      <c r="I3629" s="2400"/>
      <c r="J3629" s="2400"/>
      <c r="K3629" s="2400"/>
      <c r="L3629" s="2400"/>
      <c r="M3629" s="2400"/>
      <c r="N3629" s="2400"/>
    </row>
    <row r="3630" spans="3:14">
      <c r="C3630" s="479"/>
      <c r="D3630" s="485"/>
      <c r="E3630" s="2465" t="s">
        <v>1199</v>
      </c>
      <c r="F3630" s="2400"/>
      <c r="G3630" s="2400"/>
      <c r="H3630" s="2400"/>
      <c r="I3630" s="2400"/>
      <c r="J3630" s="2400"/>
      <c r="K3630" s="2400"/>
      <c r="L3630" s="2400"/>
      <c r="M3630" s="2400"/>
      <c r="N3630" s="2400"/>
    </row>
    <row r="3631" spans="3:14">
      <c r="C3631" s="479"/>
      <c r="D3631" s="485"/>
      <c r="E3631" s="2465" t="s">
        <v>125</v>
      </c>
      <c r="F3631" s="2400"/>
      <c r="G3631" s="2400"/>
      <c r="H3631" s="2400"/>
      <c r="I3631" s="2400"/>
      <c r="J3631" s="2400"/>
      <c r="K3631" s="2400"/>
      <c r="L3631" s="2400"/>
      <c r="M3631" s="2400"/>
      <c r="N3631" s="2400"/>
    </row>
    <row r="3632" spans="3:14">
      <c r="C3632" s="485"/>
      <c r="D3632" s="482"/>
      <c r="E3632" s="2509" t="s">
        <v>1447</v>
      </c>
      <c r="F3632" s="2509"/>
      <c r="G3632" s="663" t="s">
        <v>884</v>
      </c>
      <c r="H3632" s="578">
        <v>2019</v>
      </c>
      <c r="I3632" s="697">
        <v>2020</v>
      </c>
      <c r="J3632" s="696">
        <v>2021</v>
      </c>
      <c r="K3632" s="578">
        <v>2022</v>
      </c>
      <c r="L3632" s="578">
        <v>2023</v>
      </c>
      <c r="M3632" s="578">
        <v>2024</v>
      </c>
      <c r="N3632" s="671">
        <v>2025</v>
      </c>
    </row>
    <row r="3633" spans="3:14">
      <c r="C3633" s="485"/>
      <c r="D3633" s="561" t="s">
        <v>6</v>
      </c>
      <c r="E3633" s="2696" t="str">
        <f>IFERROR(IF([1]F_ProductBM!E927 = "", "", [1]F_ProductBM!E927 ),"")</f>
        <v/>
      </c>
      <c r="F3633" s="2696"/>
      <c r="G3633" s="74" t="str">
        <f>IFERROR(IF([1]F_ProductBM!G927 = "", "", [1]F_ProductBM!G927 ),"")</f>
        <v>tonnes</v>
      </c>
      <c r="H3633" s="277" t="str">
        <f>IFERROR(IF([1]F_ProductBM!H927 = "", "", [1]F_ProductBM!H927 ),"")</f>
        <v/>
      </c>
      <c r="I3633" s="275" t="str">
        <f>IFERROR(IF([1]F_ProductBM!I927 = "", "", [1]F_ProductBM!I927 ),"")</f>
        <v/>
      </c>
      <c r="J3633" s="276" t="str">
        <f>IFERROR(IF([1]F_ProductBM!J927 = "", "", [1]F_ProductBM!J927 ),"")</f>
        <v/>
      </c>
      <c r="K3633" s="277" t="str">
        <f>IFERROR(IF([1]F_ProductBM!K927 = "", "", [1]F_ProductBM!K927 ),"")</f>
        <v/>
      </c>
      <c r="L3633" s="277" t="str">
        <f>IFERROR(IF([1]F_ProductBM!L927 = "", "", [1]F_ProductBM!L927 ),"")</f>
        <v/>
      </c>
      <c r="M3633" s="277" t="str">
        <f>IFERROR(IF([1]F_ProductBM!M927 = "", "", [1]F_ProductBM!M927 ),"")</f>
        <v/>
      </c>
      <c r="N3633" s="277" t="str">
        <f>IFERROR(IF([1]F_ProductBM!N927 = "", "", [1]F_ProductBM!N927 ),"")</f>
        <v/>
      </c>
    </row>
    <row r="3634" spans="3:14">
      <c r="C3634" s="485"/>
      <c r="D3634" s="561" t="s">
        <v>7</v>
      </c>
      <c r="E3634" s="2696" t="str">
        <f>IFERROR(IF([1]F_ProductBM!E928 = "", "", [1]F_ProductBM!E928 ),"")</f>
        <v>From sheet "H_SpecialBM":</v>
      </c>
      <c r="F3634" s="2696"/>
      <c r="G3634" s="74" t="str">
        <f>IFERROR(IF([1]F_ProductBM!G928 = "", "", [1]F_ProductBM!G928 ),"")</f>
        <v>tonnes</v>
      </c>
      <c r="H3634" s="278" t="str">
        <f>IFERROR(IF([1]F_ProductBM!H928 = "", "", [1]F_ProductBM!H928 ),"")</f>
        <v/>
      </c>
      <c r="I3634" s="279" t="str">
        <f>IFERROR(IF([1]F_ProductBM!I928 = "", "", [1]F_ProductBM!I928 ),"")</f>
        <v/>
      </c>
      <c r="J3634" s="280" t="str">
        <f>IFERROR(IF([1]F_ProductBM!J928 = "", "", [1]F_ProductBM!J928 ),"")</f>
        <v/>
      </c>
      <c r="K3634" s="278" t="str">
        <f>IFERROR(IF([1]F_ProductBM!K928 = "", "", [1]F_ProductBM!K928 ),"")</f>
        <v/>
      </c>
      <c r="L3634" s="278" t="str">
        <f>IFERROR(IF([1]F_ProductBM!L928 = "", "", [1]F_ProductBM!L928 ),"")</f>
        <v/>
      </c>
      <c r="M3634" s="278" t="str">
        <f>IFERROR(IF([1]F_ProductBM!M928 = "", "", [1]F_ProductBM!M928 ),"")</f>
        <v/>
      </c>
      <c r="N3634" s="277" t="str">
        <f>IFERROR(IF([1]F_ProductBM!N928 = "", "", [1]F_ProductBM!N928 ),"")</f>
        <v/>
      </c>
    </row>
    <row r="3635" spans="3:14">
      <c r="C3635" s="485"/>
      <c r="D3635" s="561" t="s">
        <v>8</v>
      </c>
      <c r="E3635" s="2696" t="str">
        <f>IFERROR(IF([1]F_ProductBM!E929 = "", "", [1]F_ProductBM!E929 ),"")</f>
        <v>Values used for calculation:</v>
      </c>
      <c r="F3635" s="2696"/>
      <c r="G3635" s="74" t="str">
        <f>IFERROR(IF([1]F_ProductBM!G929 = "", "", [1]F_ProductBM!G929 ),"")</f>
        <v>tonnes</v>
      </c>
      <c r="H3635" s="278" t="str">
        <f>IFERROR(IF([1]F_ProductBM!H929 = "", "", [1]F_ProductBM!H929 ),"")</f>
        <v/>
      </c>
      <c r="I3635" s="279" t="str">
        <f>IFERROR(IF([1]F_ProductBM!I929 = "", "", [1]F_ProductBM!I929 ),"")</f>
        <v/>
      </c>
      <c r="J3635" s="280" t="str">
        <f>IFERROR(IF([1]F_ProductBM!J929 = "", "", [1]F_ProductBM!J929 ),"")</f>
        <v/>
      </c>
      <c r="K3635" s="278" t="str">
        <f>IFERROR(IF([1]F_ProductBM!K929 = "", "", [1]F_ProductBM!K929 ),"")</f>
        <v/>
      </c>
      <c r="L3635" s="278" t="str">
        <f>IFERROR(IF([1]F_ProductBM!L929 = "", "", [1]F_ProductBM!L929 ),"")</f>
        <v/>
      </c>
      <c r="M3635" s="278" t="str">
        <f>IFERROR(IF([1]F_ProductBM!M929 = "", "", [1]F_ProductBM!M929 ),"")</f>
        <v/>
      </c>
      <c r="N3635" s="277" t="str">
        <f>IFERROR(IF([1]F_ProductBM!N929 = "", "", [1]F_ProductBM!N929 ),"")</f>
        <v/>
      </c>
    </row>
    <row r="3636" spans="3:14">
      <c r="C3636" s="479"/>
      <c r="D3636" s="479"/>
      <c r="E3636" s="479"/>
      <c r="F3636" s="479"/>
      <c r="G3636" s="479"/>
      <c r="H3636" s="479"/>
      <c r="I3636" s="479"/>
      <c r="J3636" s="479"/>
      <c r="K3636" s="479"/>
      <c r="L3636" s="479"/>
      <c r="M3636" s="485"/>
      <c r="N3636" s="485"/>
    </row>
    <row r="3637" spans="3:14">
      <c r="C3637" s="479"/>
      <c r="D3637" s="561" t="s">
        <v>18</v>
      </c>
      <c r="E3637" s="2373" t="s">
        <v>922</v>
      </c>
      <c r="F3637" s="2373"/>
      <c r="G3637" s="2604"/>
      <c r="H3637" s="2652" t="s">
        <v>1857</v>
      </c>
      <c r="I3637" s="2689"/>
      <c r="J3637" s="2689"/>
      <c r="K3637" s="2689"/>
      <c r="L3637" s="2689"/>
      <c r="M3637" s="2689"/>
      <c r="N3637" s="2690"/>
    </row>
    <row r="3638" spans="3:14">
      <c r="C3638" s="479"/>
      <c r="D3638" s="485"/>
      <c r="E3638" s="2465" t="s">
        <v>923</v>
      </c>
      <c r="F3638" s="2400"/>
      <c r="G3638" s="2400"/>
      <c r="H3638" s="2400"/>
      <c r="I3638" s="2400"/>
      <c r="J3638" s="2400"/>
      <c r="K3638" s="2400"/>
      <c r="L3638" s="2400"/>
      <c r="M3638" s="2400"/>
      <c r="N3638" s="2400"/>
    </row>
    <row r="3639" spans="3:14">
      <c r="C3639" s="479"/>
      <c r="D3639" s="485"/>
      <c r="E3639" s="485"/>
      <c r="F3639" s="485"/>
      <c r="G3639" s="485"/>
      <c r="H3639" s="485"/>
      <c r="I3639" s="485"/>
      <c r="J3639" s="485"/>
      <c r="K3639" s="485"/>
      <c r="L3639" s="485"/>
      <c r="M3639" s="485"/>
      <c r="N3639" s="485"/>
    </row>
    <row r="3640" spans="3:14">
      <c r="C3640" s="479"/>
      <c r="D3640" s="482" t="s">
        <v>876</v>
      </c>
      <c r="E3640" s="2373" t="s">
        <v>1709</v>
      </c>
      <c r="F3640" s="2400"/>
      <c r="G3640" s="2400"/>
      <c r="H3640" s="2400"/>
      <c r="I3640" s="2400"/>
      <c r="J3640" s="2400"/>
      <c r="K3640" s="2400"/>
      <c r="L3640" s="2400"/>
      <c r="M3640" s="2400"/>
      <c r="N3640" s="2400"/>
    </row>
    <row r="3641" spans="3:14">
      <c r="C3641" s="479"/>
      <c r="D3641" s="485"/>
      <c r="E3641" s="2465" t="s">
        <v>1958</v>
      </c>
      <c r="F3641" s="2400"/>
      <c r="G3641" s="2400"/>
      <c r="H3641" s="2400"/>
      <c r="I3641" s="2400"/>
      <c r="J3641" s="2400"/>
      <c r="K3641" s="2400"/>
      <c r="L3641" s="2400"/>
      <c r="M3641" s="2400"/>
      <c r="N3641" s="2400"/>
    </row>
    <row r="3642" spans="3:14" ht="15.6" customHeight="1">
      <c r="C3642" s="479"/>
      <c r="D3642" s="485"/>
      <c r="E3642" s="2465" t="s">
        <v>2701</v>
      </c>
      <c r="F3642" s="2400"/>
      <c r="G3642" s="2400"/>
      <c r="H3642" s="2400"/>
      <c r="I3642" s="2400"/>
      <c r="J3642" s="2400"/>
      <c r="K3642" s="2400"/>
      <c r="L3642" s="2400"/>
      <c r="M3642" s="2400"/>
      <c r="N3642" s="2400"/>
    </row>
    <row r="3643" spans="3:14">
      <c r="C3643" s="479"/>
      <c r="D3643" s="485"/>
      <c r="E3643" s="901" t="s">
        <v>1021</v>
      </c>
      <c r="F3643" s="2651" t="s">
        <v>2711</v>
      </c>
      <c r="G3643" s="2584"/>
      <c r="H3643" s="2584"/>
      <c r="I3643" s="2584"/>
      <c r="J3643" s="2584"/>
      <c r="K3643" s="2584"/>
      <c r="L3643" s="2584"/>
      <c r="M3643" s="2584"/>
      <c r="N3643" s="2584"/>
    </row>
    <row r="3644" spans="3:14" ht="13.5" thickBot="1">
      <c r="C3644" s="479"/>
      <c r="D3644" s="485"/>
      <c r="E3644" s="901" t="s">
        <v>1021</v>
      </c>
      <c r="F3644" s="2651" t="s">
        <v>1985</v>
      </c>
      <c r="G3644" s="2584"/>
      <c r="H3644" s="2584"/>
      <c r="I3644" s="2584"/>
      <c r="J3644" s="2584"/>
      <c r="K3644" s="2584"/>
      <c r="L3644" s="2584"/>
      <c r="M3644" s="2584"/>
      <c r="N3644" s="2584"/>
    </row>
    <row r="3645" spans="3:14">
      <c r="C3645" s="479"/>
      <c r="D3645" s="902"/>
      <c r="E3645" s="903"/>
      <c r="F3645" s="904"/>
      <c r="G3645" s="905"/>
      <c r="H3645" s="905"/>
      <c r="I3645" s="905"/>
      <c r="J3645" s="905"/>
      <c r="K3645" s="905"/>
      <c r="L3645" s="905"/>
      <c r="M3645" s="905"/>
      <c r="N3645" s="906"/>
    </row>
    <row r="3646" spans="3:14">
      <c r="C3646" s="479"/>
      <c r="D3646" s="907"/>
      <c r="E3646" s="908" t="s">
        <v>1690</v>
      </c>
      <c r="F3646" s="909"/>
      <c r="G3646" s="909"/>
      <c r="H3646" s="910" t="s">
        <v>884</v>
      </c>
      <c r="I3646" s="911" t="s">
        <v>1923</v>
      </c>
      <c r="J3646" s="912">
        <v>2021</v>
      </c>
      <c r="K3646" s="913">
        <v>2022</v>
      </c>
      <c r="L3646" s="913">
        <v>2023</v>
      </c>
      <c r="M3646" s="913">
        <v>2024</v>
      </c>
      <c r="N3646" s="914">
        <v>2025</v>
      </c>
    </row>
    <row r="3647" spans="3:14">
      <c r="C3647" s="479"/>
      <c r="D3647" s="915" t="s">
        <v>6</v>
      </c>
      <c r="E3647" s="916" t="s">
        <v>1976</v>
      </c>
      <c r="F3647" s="916"/>
      <c r="G3647" s="916"/>
      <c r="H3647" s="63" t="str">
        <f>IFERROR(IF([1]F_ProductBM!H941 = "", "", [1]F_ProductBM!H941 ),"")</f>
        <v>tonnes</v>
      </c>
      <c r="I3647" s="281" t="str">
        <f>IFERROR(IF([1]F_ProductBM!I941 = "", "", [1]F_ProductBM!I941 ),"")</f>
        <v/>
      </c>
      <c r="J3647" s="282" t="str">
        <f>IFERROR(IF([1]F_ProductBM!J941 = "", "", [1]F_ProductBM!J941 ),"")</f>
        <v/>
      </c>
      <c r="K3647" s="283" t="str">
        <f>IFERROR(IF([1]F_ProductBM!K941 = "", "", [1]F_ProductBM!K941 ),"")</f>
        <v/>
      </c>
      <c r="L3647" s="283" t="str">
        <f>IFERROR(IF([1]F_ProductBM!L941 = "", "", [1]F_ProductBM!L941 ),"")</f>
        <v/>
      </c>
      <c r="M3647" s="283" t="str">
        <f>IFERROR(IF([1]F_ProductBM!M941 = "", "", [1]F_ProductBM!M941 ),"")</f>
        <v/>
      </c>
      <c r="N3647" s="284" t="str">
        <f>IFERROR(IF([1]F_ProductBM!N941 = "", "", [1]F_ProductBM!N941 ),"")</f>
        <v/>
      </c>
    </row>
    <row r="3648" spans="3:14">
      <c r="C3648" s="479"/>
      <c r="D3648" s="918"/>
      <c r="E3648" s="919" t="s">
        <v>1648</v>
      </c>
      <c r="F3648" s="919"/>
      <c r="G3648" s="919"/>
      <c r="H3648" s="920"/>
      <c r="I3648" s="919"/>
      <c r="J3648" s="285" t="str">
        <f>IFERROR(IF([1]F_ProductBM!J942 = "", "", [1]F_ProductBM!J942 ),"")</f>
        <v/>
      </c>
      <c r="K3648" s="286" t="str">
        <f>IFERROR(IF([1]F_ProductBM!K942 = "", "", [1]F_ProductBM!K942 ),"")</f>
        <v/>
      </c>
      <c r="L3648" s="286" t="str">
        <f>IFERROR(IF([1]F_ProductBM!L942 = "", "", [1]F_ProductBM!L942 ),"")</f>
        <v/>
      </c>
      <c r="M3648" s="286" t="str">
        <f>IFERROR(IF([1]F_ProductBM!M942 = "", "", [1]F_ProductBM!M942 ),"")</f>
        <v/>
      </c>
      <c r="N3648" s="287" t="str">
        <f>IFERROR(IF([1]F_ProductBM!N942 = "", "", [1]F_ProductBM!N942 ),"")</f>
        <v/>
      </c>
    </row>
    <row r="3649" spans="3:14">
      <c r="C3649" s="479"/>
      <c r="D3649" s="915" t="s">
        <v>7</v>
      </c>
      <c r="E3649" s="916" t="s">
        <v>1654</v>
      </c>
      <c r="F3649" s="916"/>
      <c r="G3649" s="916"/>
      <c r="H3649" s="921"/>
      <c r="I3649" s="916"/>
      <c r="J3649" s="288" t="str">
        <f>IFERROR(IF([1]F_ProductBM!J943 = "", "", [1]F_ProductBM!J943 ),"")</f>
        <v/>
      </c>
      <c r="K3649" s="289" t="str">
        <f>IFERROR(IF([1]F_ProductBM!K943 = "", "", [1]F_ProductBM!K943 ),"")</f>
        <v/>
      </c>
      <c r="L3649" s="289" t="str">
        <f>IFERROR(IF([1]F_ProductBM!L943 = "", "", [1]F_ProductBM!L943 ),"")</f>
        <v/>
      </c>
      <c r="M3649" s="289" t="str">
        <f>IFERROR(IF([1]F_ProductBM!M943 = "", "", [1]F_ProductBM!M943 ),"")</f>
        <v/>
      </c>
      <c r="N3649" s="290" t="str">
        <f>IFERROR(IF([1]F_ProductBM!N943 = "", "", [1]F_ProductBM!N943 ),"")</f>
        <v/>
      </c>
    </row>
    <row r="3650" spans="3:14">
      <c r="C3650" s="479"/>
      <c r="D3650" s="918"/>
      <c r="E3650" s="916" t="s">
        <v>1689</v>
      </c>
      <c r="F3650" s="916"/>
      <c r="G3650" s="916"/>
      <c r="H3650" s="63" t="str">
        <f>IFERROR(IF([1]F_ProductBM!H944 = "", "", [1]F_ProductBM!H944 ),"")</f>
        <v>tonnes</v>
      </c>
      <c r="I3650" s="281" t="str">
        <f>IFERROR(IF([1]F_ProductBM!I944 = "", "", [1]F_ProductBM!I944 ),"")</f>
        <v/>
      </c>
      <c r="J3650" s="282" t="str">
        <f>IFERROR(IF([1]F_ProductBM!J944 = "", "", [1]F_ProductBM!J944 ),"")</f>
        <v/>
      </c>
      <c r="K3650" s="283" t="str">
        <f>IFERROR(IF([1]F_ProductBM!K944 = "", "", [1]F_ProductBM!K944 ),"")</f>
        <v/>
      </c>
      <c r="L3650" s="283" t="str">
        <f>IFERROR(IF([1]F_ProductBM!L944 = "", "", [1]F_ProductBM!L944 ),"")</f>
        <v/>
      </c>
      <c r="M3650" s="283" t="str">
        <f>IFERROR(IF([1]F_ProductBM!M944 = "", "", [1]F_ProductBM!M944 ),"")</f>
        <v/>
      </c>
      <c r="N3650" s="284" t="str">
        <f>IFERROR(IF([1]F_ProductBM!N944 = "", "", [1]F_ProductBM!N944 ),"")</f>
        <v/>
      </c>
    </row>
    <row r="3651" spans="3:14">
      <c r="C3651" s="479"/>
      <c r="D3651" s="918"/>
      <c r="E3651" s="909"/>
      <c r="F3651" s="909"/>
      <c r="G3651" s="909"/>
      <c r="H3651" s="909"/>
      <c r="I3651" s="909"/>
      <c r="J3651" s="909"/>
      <c r="K3651" s="909"/>
      <c r="L3651" s="909"/>
      <c r="M3651" s="909"/>
      <c r="N3651" s="922"/>
    </row>
    <row r="3652" spans="3:14">
      <c r="C3652" s="479"/>
      <c r="D3652" s="918"/>
      <c r="E3652" s="923" t="s">
        <v>1653</v>
      </c>
      <c r="F3652" s="923"/>
      <c r="G3652" s="923"/>
      <c r="H3652" s="923"/>
      <c r="I3652" s="923"/>
      <c r="J3652" s="912">
        <v>2021</v>
      </c>
      <c r="K3652" s="913">
        <v>2022</v>
      </c>
      <c r="L3652" s="913">
        <v>2023</v>
      </c>
      <c r="M3652" s="913">
        <v>2024</v>
      </c>
      <c r="N3652" s="914">
        <v>2025</v>
      </c>
    </row>
    <row r="3653" spans="3:14">
      <c r="C3653" s="479"/>
      <c r="D3653" s="915" t="s">
        <v>8</v>
      </c>
      <c r="E3653" s="916" t="s">
        <v>2108</v>
      </c>
      <c r="F3653" s="916"/>
      <c r="G3653" s="916"/>
      <c r="H3653" s="916"/>
      <c r="I3653" s="916"/>
      <c r="J3653" s="69" t="str">
        <f>IFERROR(IF([1]F_ProductBM!J947 = "", "", [1]F_ProductBM!J947 ),"")</f>
        <v/>
      </c>
      <c r="K3653" s="62" t="str">
        <f>IFERROR(IF([1]F_ProductBM!K947 = "", "", [1]F_ProductBM!K947 ),"")</f>
        <v/>
      </c>
      <c r="L3653" s="62" t="str">
        <f>IFERROR(IF([1]F_ProductBM!L947 = "", "", [1]F_ProductBM!L947 ),"")</f>
        <v/>
      </c>
      <c r="M3653" s="62" t="str">
        <f>IFERROR(IF([1]F_ProductBM!M947 = "", "", [1]F_ProductBM!M947 ),"")</f>
        <v/>
      </c>
      <c r="N3653" s="70" t="str">
        <f>IFERROR(IF([1]F_ProductBM!N947 = "", "", [1]F_ProductBM!N947 ),"")</f>
        <v/>
      </c>
    </row>
    <row r="3654" spans="3:14" ht="13.5" thickBot="1">
      <c r="C3654" s="479"/>
      <c r="D3654" s="918"/>
      <c r="E3654" s="909"/>
      <c r="F3654" s="909"/>
      <c r="G3654" s="909"/>
      <c r="H3654" s="909"/>
      <c r="I3654" s="909"/>
      <c r="J3654" s="909"/>
      <c r="K3654" s="909"/>
      <c r="L3654" s="909"/>
      <c r="M3654" s="909"/>
      <c r="N3654" s="922"/>
    </row>
    <row r="3655" spans="3:14" ht="13.5" thickBot="1">
      <c r="C3655" s="479"/>
      <c r="D3655" s="915" t="s">
        <v>18</v>
      </c>
      <c r="E3655" s="916" t="s">
        <v>1657</v>
      </c>
      <c r="F3655" s="916"/>
      <c r="G3655" s="916"/>
      <c r="H3655" s="921"/>
      <c r="I3655" s="916"/>
      <c r="J3655" s="291" t="str">
        <f>IFERROR(IF([1]F_ProductBM!J949 = "", "", [1]F_ProductBM!J949 ),"")</f>
        <v/>
      </c>
      <c r="K3655" s="292" t="str">
        <f>IFERROR(IF([1]F_ProductBM!K949 = "", "", [1]F_ProductBM!K949 ),"")</f>
        <v/>
      </c>
      <c r="L3655" s="292" t="str">
        <f>IFERROR(IF([1]F_ProductBM!L949 = "", "", [1]F_ProductBM!L949 ),"")</f>
        <v/>
      </c>
      <c r="M3655" s="292" t="str">
        <f>IFERROR(IF([1]F_ProductBM!M949 = "", "", [1]F_ProductBM!M949 ),"")</f>
        <v/>
      </c>
      <c r="N3655" s="293" t="str">
        <f>IFERROR(IF([1]F_ProductBM!N949 = "", "", [1]F_ProductBM!N949 ),"")</f>
        <v/>
      </c>
    </row>
    <row r="3656" spans="3:14" ht="13.5" thickBot="1">
      <c r="C3656" s="479"/>
      <c r="D3656" s="915" t="s">
        <v>787</v>
      </c>
      <c r="E3656" s="916" t="s">
        <v>1659</v>
      </c>
      <c r="F3656" s="916"/>
      <c r="G3656" s="916"/>
      <c r="H3656" s="63" t="str">
        <f>IFERROR(IF([1]F_ProductBM!H950 = "", "", [1]F_ProductBM!H950 ),"")</f>
        <v>tonnes</v>
      </c>
      <c r="I3656" s="281" t="str">
        <f>IFERROR(IF([1]F_ProductBM!I950 = "", "", [1]F_ProductBM!I950 ),"")</f>
        <v/>
      </c>
      <c r="J3656" s="294" t="str">
        <f>IFERROR(IF([1]F_ProductBM!J950 = "", "", [1]F_ProductBM!J950 ),"")</f>
        <v/>
      </c>
      <c r="K3656" s="295" t="str">
        <f>IFERROR(IF([1]F_ProductBM!K950 = "", "", [1]F_ProductBM!K950 ),"")</f>
        <v/>
      </c>
      <c r="L3656" s="295" t="str">
        <f>IFERROR(IF([1]F_ProductBM!L950 = "", "", [1]F_ProductBM!L950 ),"")</f>
        <v/>
      </c>
      <c r="M3656" s="295" t="str">
        <f>IFERROR(IF([1]F_ProductBM!M950 = "", "", [1]F_ProductBM!M950 ),"")</f>
        <v/>
      </c>
      <c r="N3656" s="296" t="str">
        <f>IFERROR(IF([1]F_ProductBM!N950 = "", "", [1]F_ProductBM!N950 ),"")</f>
        <v/>
      </c>
    </row>
    <row r="3657" spans="3:14" ht="13.5" thickBot="1">
      <c r="C3657" s="479"/>
      <c r="D3657" s="924"/>
      <c r="E3657" s="925"/>
      <c r="F3657" s="925"/>
      <c r="G3657" s="925"/>
      <c r="H3657" s="925"/>
      <c r="I3657" s="925"/>
      <c r="J3657" s="925"/>
      <c r="K3657" s="925"/>
      <c r="L3657" s="925"/>
      <c r="M3657" s="925"/>
      <c r="N3657" s="926"/>
    </row>
    <row r="3658" spans="3:14">
      <c r="C3658" s="479"/>
      <c r="D3658" s="485"/>
      <c r="E3658" s="485"/>
      <c r="F3658" s="485"/>
      <c r="G3658" s="485"/>
      <c r="H3658" s="485"/>
      <c r="I3658" s="485"/>
      <c r="J3658" s="485"/>
      <c r="K3658" s="485"/>
      <c r="L3658" s="485"/>
      <c r="M3658" s="485"/>
      <c r="N3658" s="485"/>
    </row>
    <row r="3659" spans="3:14">
      <c r="C3659" s="479"/>
      <c r="D3659" s="2482" t="s">
        <v>1229</v>
      </c>
      <c r="E3659" s="2400"/>
      <c r="F3659" s="2400"/>
      <c r="G3659" s="2400"/>
      <c r="H3659" s="2400"/>
      <c r="I3659" s="2400"/>
      <c r="J3659" s="2400"/>
      <c r="K3659" s="2400"/>
      <c r="L3659" s="2400"/>
      <c r="M3659" s="2400"/>
      <c r="N3659" s="2400"/>
    </row>
    <row r="3660" spans="3:14">
      <c r="C3660" s="479"/>
      <c r="D3660" s="479"/>
      <c r="E3660" s="479"/>
      <c r="F3660" s="479"/>
      <c r="G3660" s="479"/>
      <c r="H3660" s="479"/>
      <c r="I3660" s="479"/>
      <c r="J3660" s="479"/>
      <c r="K3660" s="479"/>
      <c r="L3660" s="479"/>
      <c r="M3660" s="479"/>
      <c r="N3660" s="479"/>
    </row>
    <row r="3661" spans="3:14">
      <c r="C3661" s="485"/>
      <c r="D3661" s="482" t="s">
        <v>48</v>
      </c>
      <c r="E3661" s="2373" t="s">
        <v>800</v>
      </c>
      <c r="F3661" s="2400"/>
      <c r="G3661" s="2400"/>
      <c r="H3661" s="2400"/>
      <c r="I3661" s="2585"/>
      <c r="J3661" s="2652" t="s">
        <v>1857</v>
      </c>
      <c r="K3661" s="2653"/>
      <c r="L3661" s="2653"/>
      <c r="M3661" s="2653"/>
      <c r="N3661" s="2654"/>
    </row>
    <row r="3662" spans="3:14">
      <c r="C3662" s="479"/>
      <c r="D3662" s="485"/>
      <c r="E3662" s="2465" t="s">
        <v>1241</v>
      </c>
      <c r="F3662" s="2400"/>
      <c r="G3662" s="2400"/>
      <c r="H3662" s="2400"/>
      <c r="I3662" s="2400"/>
      <c r="J3662" s="2400"/>
      <c r="K3662" s="2400"/>
      <c r="L3662" s="2400"/>
      <c r="M3662" s="2400"/>
      <c r="N3662" s="2400"/>
    </row>
    <row r="3663" spans="3:14">
      <c r="C3663" s="479"/>
      <c r="D3663" s="485"/>
      <c r="E3663" s="2465" t="s">
        <v>1526</v>
      </c>
      <c r="F3663" s="2400"/>
      <c r="G3663" s="2400"/>
      <c r="H3663" s="2400"/>
      <c r="I3663" s="2400"/>
      <c r="J3663" s="2400"/>
      <c r="K3663" s="2400"/>
      <c r="L3663" s="2400"/>
      <c r="M3663" s="2400"/>
      <c r="N3663" s="2400"/>
    </row>
    <row r="3664" spans="3:14">
      <c r="C3664" s="479"/>
      <c r="D3664" s="485"/>
      <c r="E3664" s="2465" t="s">
        <v>1635</v>
      </c>
      <c r="F3664" s="2400"/>
      <c r="G3664" s="2400"/>
      <c r="H3664" s="2400"/>
      <c r="I3664" s="2400"/>
      <c r="J3664" s="2400"/>
      <c r="K3664" s="2400"/>
      <c r="L3664" s="2400"/>
      <c r="M3664" s="2400"/>
      <c r="N3664" s="2400"/>
    </row>
    <row r="3665" spans="3:14">
      <c r="C3665" s="485"/>
      <c r="D3665" s="482"/>
      <c r="E3665" s="927" t="s">
        <v>62</v>
      </c>
      <c r="F3665" s="518"/>
      <c r="G3665" s="663" t="s">
        <v>884</v>
      </c>
      <c r="H3665" s="578">
        <v>2019</v>
      </c>
      <c r="I3665" s="697">
        <v>2020</v>
      </c>
      <c r="J3665" s="696">
        <v>2021</v>
      </c>
      <c r="K3665" s="928">
        <v>2022</v>
      </c>
      <c r="L3665" s="578">
        <v>2023</v>
      </c>
      <c r="M3665" s="578">
        <v>2024</v>
      </c>
      <c r="N3665" s="578">
        <v>2025</v>
      </c>
    </row>
    <row r="3666" spans="3:14">
      <c r="C3666" s="485"/>
      <c r="D3666" s="561" t="s">
        <v>6</v>
      </c>
      <c r="E3666" s="863" t="s">
        <v>63</v>
      </c>
      <c r="F3666" s="863"/>
      <c r="G3666" s="579" t="s">
        <v>2015</v>
      </c>
      <c r="H3666" s="297" t="str">
        <f>IFERROR(IF([1]F_ProductBM!H960 = "", "", [1]F_ProductBM!H960 ),"")</f>
        <v/>
      </c>
      <c r="I3666" s="298" t="str">
        <f>IFERROR(IF([1]F_ProductBM!I960 = "", "", [1]F_ProductBM!I960 ),"")</f>
        <v/>
      </c>
      <c r="J3666" s="299" t="str">
        <f>IFERROR(IF([1]F_ProductBM!J960 = "", "", [1]F_ProductBM!J960 ),"")</f>
        <v/>
      </c>
      <c r="K3666" s="300" t="str">
        <f>IFERROR(IF([1]F_ProductBM!K960 = "", "", [1]F_ProductBM!K960 ),"")</f>
        <v/>
      </c>
      <c r="L3666" s="300" t="str">
        <f>IFERROR(IF([1]F_ProductBM!L960 = "", "", [1]F_ProductBM!L960 ),"")</f>
        <v/>
      </c>
      <c r="M3666" s="297" t="str">
        <f>IFERROR(IF([1]F_ProductBM!M960 = "", "", [1]F_ProductBM!M960 ),"")</f>
        <v/>
      </c>
      <c r="N3666" s="297" t="str">
        <f>IFERROR(IF([1]F_ProductBM!N960 = "", "", [1]F_ProductBM!N960 ),"")</f>
        <v/>
      </c>
    </row>
    <row r="3667" spans="3:14">
      <c r="C3667" s="485"/>
      <c r="D3667" s="561" t="s">
        <v>7</v>
      </c>
      <c r="E3667" s="865" t="s">
        <v>257</v>
      </c>
      <c r="F3667" s="865"/>
      <c r="G3667" s="582" t="s">
        <v>2017</v>
      </c>
      <c r="H3667" s="134" t="str">
        <f>IFERROR(IF([1]F_ProductBM!H961 = "", "", [1]F_ProductBM!H961 ),"")</f>
        <v/>
      </c>
      <c r="I3667" s="301" t="str">
        <f>IFERROR(IF([1]F_ProductBM!I961 = "", "", [1]F_ProductBM!I961 ),"")</f>
        <v/>
      </c>
      <c r="J3667" s="302" t="str">
        <f>IFERROR(IF([1]F_ProductBM!J961 = "", "", [1]F_ProductBM!J961 ),"")</f>
        <v/>
      </c>
      <c r="K3667" s="303" t="str">
        <f>IFERROR(IF([1]F_ProductBM!K961 = "", "", [1]F_ProductBM!K961 ),"")</f>
        <v/>
      </c>
      <c r="L3667" s="134" t="str">
        <f>IFERROR(IF([1]F_ProductBM!L961 = "", "", [1]F_ProductBM!L961 ),"")</f>
        <v/>
      </c>
      <c r="M3667" s="134" t="str">
        <f>IFERROR(IF([1]F_ProductBM!M961 = "", "", [1]F_ProductBM!M961 ),"")</f>
        <v/>
      </c>
      <c r="N3667" s="134" t="str">
        <f>IFERROR(IF([1]F_ProductBM!N961 = "", "", [1]F_ProductBM!N961 ),"")</f>
        <v/>
      </c>
    </row>
    <row r="3668" spans="3:14">
      <c r="C3668" s="485"/>
      <c r="D3668" s="561" t="s">
        <v>8</v>
      </c>
      <c r="E3668" s="932" t="s">
        <v>914</v>
      </c>
      <c r="F3668" s="932"/>
      <c r="G3668" s="933" t="s">
        <v>2021</v>
      </c>
      <c r="H3668" s="109" t="str">
        <f>IFERROR(IF([1]F_ProductBM!H962 = "", "", [1]F_ProductBM!H962 ),"")</f>
        <v/>
      </c>
      <c r="I3668" s="304" t="str">
        <f>IFERROR(IF([1]F_ProductBM!I962 = "", "", [1]F_ProductBM!I962 ),"")</f>
        <v/>
      </c>
      <c r="J3668" s="305" t="str">
        <f>IFERROR(IF([1]F_ProductBM!J962 = "", "", [1]F_ProductBM!J962 ),"")</f>
        <v/>
      </c>
      <c r="K3668" s="306" t="str">
        <f>IFERROR(IF([1]F_ProductBM!K962 = "", "", [1]F_ProductBM!K962 ),"")</f>
        <v/>
      </c>
      <c r="L3668" s="109" t="str">
        <f>IFERROR(IF([1]F_ProductBM!L962 = "", "", [1]F_ProductBM!L962 ),"")</f>
        <v/>
      </c>
      <c r="M3668" s="109" t="str">
        <f>IFERROR(IF([1]F_ProductBM!M962 = "", "", [1]F_ProductBM!M962 ),"")</f>
        <v/>
      </c>
      <c r="N3668" s="109" t="str">
        <f>IFERROR(IF([1]F_ProductBM!N962 = "", "", [1]F_ProductBM!N962 ),"")</f>
        <v/>
      </c>
    </row>
    <row r="3669" spans="3:14">
      <c r="C3669" s="485"/>
      <c r="D3669" s="561" t="s">
        <v>18</v>
      </c>
      <c r="E3669" s="863" t="s">
        <v>915</v>
      </c>
      <c r="F3669" s="863"/>
      <c r="G3669" s="579" t="s">
        <v>2015</v>
      </c>
      <c r="H3669" s="297" t="str">
        <f>IFERROR(IF([1]F_ProductBM!H963 = "", "", [1]F_ProductBM!H963 ),"")</f>
        <v/>
      </c>
      <c r="I3669" s="298" t="str">
        <f>IFERROR(IF([1]F_ProductBM!I963 = "", "", [1]F_ProductBM!I963 ),"")</f>
        <v/>
      </c>
      <c r="J3669" s="299" t="str">
        <f>IFERROR(IF([1]F_ProductBM!J963 = "", "", [1]F_ProductBM!J963 ),"")</f>
        <v/>
      </c>
      <c r="K3669" s="300" t="str">
        <f>IFERROR(IF([1]F_ProductBM!K963 = "", "", [1]F_ProductBM!K963 ),"")</f>
        <v/>
      </c>
      <c r="L3669" s="300" t="str">
        <f>IFERROR(IF([1]F_ProductBM!L963 = "", "", [1]F_ProductBM!L963 ),"")</f>
        <v/>
      </c>
      <c r="M3669" s="297" t="str">
        <f>IFERROR(IF([1]F_ProductBM!M963 = "", "", [1]F_ProductBM!M963 ),"")</f>
        <v/>
      </c>
      <c r="N3669" s="297" t="str">
        <f>IFERROR(IF([1]F_ProductBM!N963 = "", "", [1]F_ProductBM!N963 ),"")</f>
        <v/>
      </c>
    </row>
    <row r="3670" spans="3:14">
      <c r="C3670" s="485"/>
      <c r="D3670" s="561" t="s">
        <v>787</v>
      </c>
      <c r="E3670" s="867" t="s">
        <v>916</v>
      </c>
      <c r="F3670" s="867"/>
      <c r="G3670" s="584" t="s">
        <v>2015</v>
      </c>
      <c r="H3670" s="307" t="str">
        <f>IFERROR(IF([1]F_ProductBM!H964 = "", "", [1]F_ProductBM!H964 ),"")</f>
        <v/>
      </c>
      <c r="I3670" s="308" t="str">
        <f>IFERROR(IF([1]F_ProductBM!I964 = "", "", [1]F_ProductBM!I964 ),"")</f>
        <v/>
      </c>
      <c r="J3670" s="309" t="str">
        <f>IFERROR(IF([1]F_ProductBM!J964 = "", "", [1]F_ProductBM!J964 ),"")</f>
        <v/>
      </c>
      <c r="K3670" s="310" t="str">
        <f>IFERROR(IF([1]F_ProductBM!K964 = "", "", [1]F_ProductBM!K964 ),"")</f>
        <v/>
      </c>
      <c r="L3670" s="310" t="str">
        <f>IFERROR(IF([1]F_ProductBM!L964 = "", "", [1]F_ProductBM!L964 ),"")</f>
        <v/>
      </c>
      <c r="M3670" s="307" t="str">
        <f>IFERROR(IF([1]F_ProductBM!M964 = "", "", [1]F_ProductBM!M964 ),"")</f>
        <v/>
      </c>
      <c r="N3670" s="307" t="str">
        <f>IFERROR(IF([1]F_ProductBM!N964 = "", "", [1]F_ProductBM!N964 ),"")</f>
        <v/>
      </c>
    </row>
    <row r="3671" spans="3:14">
      <c r="C3671" s="479"/>
      <c r="D3671" s="479"/>
      <c r="E3671" s="479"/>
      <c r="F3671" s="479"/>
      <c r="G3671" s="479"/>
      <c r="H3671" s="479"/>
      <c r="I3671" s="479"/>
      <c r="J3671" s="937"/>
      <c r="K3671" s="479"/>
      <c r="L3671" s="479"/>
      <c r="M3671" s="485"/>
      <c r="N3671" s="485"/>
    </row>
    <row r="3672" spans="3:14">
      <c r="C3672" s="479"/>
      <c r="D3672" s="561" t="s">
        <v>788</v>
      </c>
      <c r="E3672" s="698" t="s">
        <v>1389</v>
      </c>
      <c r="F3672" s="938"/>
      <c r="G3672" s="939" t="s">
        <v>1021</v>
      </c>
      <c r="H3672" s="311" t="str">
        <f>IFERROR(IF([1]F_ProductBM!H966 = "", "", [1]F_ProductBM!H966 ),"")</f>
        <v/>
      </c>
      <c r="I3672" s="312" t="str">
        <f>IFERROR(IF([1]F_ProductBM!I966 = "", "", [1]F_ProductBM!I966 ),"")</f>
        <v/>
      </c>
      <c r="J3672" s="313" t="str">
        <f>IFERROR(IF([1]F_ProductBM!J966 = "", "", [1]F_ProductBM!J966 ),"")</f>
        <v/>
      </c>
      <c r="K3672" s="314" t="str">
        <f>IFERROR(IF([1]F_ProductBM!K966 = "", "", [1]F_ProductBM!K966 ),"")</f>
        <v/>
      </c>
      <c r="L3672" s="311" t="str">
        <f>IFERROR(IF([1]F_ProductBM!L966 = "", "", [1]F_ProductBM!L966 ),"")</f>
        <v/>
      </c>
      <c r="M3672" s="311" t="str">
        <f>IFERROR(IF([1]F_ProductBM!M966 = "", "", [1]F_ProductBM!M966 ),"")</f>
        <v/>
      </c>
      <c r="N3672" s="311" t="str">
        <f>IFERROR(IF([1]F_ProductBM!N966 = "", "", [1]F_ProductBM!N966 ),"")</f>
        <v/>
      </c>
    </row>
    <row r="3673" spans="3:14">
      <c r="C3673" s="479"/>
      <c r="D3673" s="479"/>
      <c r="E3673" s="479"/>
      <c r="F3673" s="479"/>
      <c r="G3673" s="479"/>
      <c r="H3673" s="479"/>
      <c r="I3673" s="479"/>
      <c r="J3673" s="479"/>
      <c r="K3673" s="479"/>
      <c r="L3673" s="479"/>
      <c r="M3673" s="485"/>
      <c r="N3673" s="485"/>
    </row>
    <row r="3674" spans="3:14" ht="21" customHeight="1" thickBot="1">
      <c r="C3674" s="479"/>
      <c r="D3674" s="485"/>
      <c r="E3674" s="2465" t="s">
        <v>2703</v>
      </c>
      <c r="F3674" s="2400"/>
      <c r="G3674" s="2400"/>
      <c r="H3674" s="2400"/>
      <c r="I3674" s="2400"/>
      <c r="J3674" s="2400"/>
      <c r="K3674" s="2400"/>
      <c r="L3674" s="2400"/>
      <c r="M3674" s="2400"/>
      <c r="N3674" s="2400"/>
    </row>
    <row r="3675" spans="3:14">
      <c r="C3675" s="479"/>
      <c r="D3675" s="902"/>
      <c r="E3675" s="942"/>
      <c r="F3675" s="942"/>
      <c r="G3675" s="942"/>
      <c r="H3675" s="942"/>
      <c r="I3675" s="942"/>
      <c r="J3675" s="942"/>
      <c r="K3675" s="942"/>
      <c r="L3675" s="942"/>
      <c r="M3675" s="942"/>
      <c r="N3675" s="943"/>
    </row>
    <row r="3676" spans="3:14">
      <c r="C3676" s="479"/>
      <c r="D3676" s="907" t="s">
        <v>1915</v>
      </c>
      <c r="E3676" s="908" t="s">
        <v>1775</v>
      </c>
      <c r="F3676" s="909"/>
      <c r="G3676" s="909"/>
      <c r="H3676" s="910" t="s">
        <v>884</v>
      </c>
      <c r="I3676" s="911" t="s">
        <v>1924</v>
      </c>
      <c r="J3676" s="912">
        <v>2021</v>
      </c>
      <c r="K3676" s="913">
        <v>2022</v>
      </c>
      <c r="L3676" s="913">
        <v>2023</v>
      </c>
      <c r="M3676" s="913">
        <v>2024</v>
      </c>
      <c r="N3676" s="914">
        <v>2025</v>
      </c>
    </row>
    <row r="3677" spans="3:14">
      <c r="C3677" s="479"/>
      <c r="D3677" s="915" t="s">
        <v>6</v>
      </c>
      <c r="E3677" s="916" t="s">
        <v>1691</v>
      </c>
      <c r="F3677" s="916"/>
      <c r="G3677" s="916"/>
      <c r="H3677" s="944" t="s">
        <v>1021</v>
      </c>
      <c r="I3677" s="315" t="str">
        <f>IFERROR(IF([1]F_ProductBM!I971 = "", "", [1]F_ProductBM!I971 ),"")</f>
        <v/>
      </c>
      <c r="J3677" s="316" t="str">
        <f>IFERROR(IF([1]F_ProductBM!J971 = "", "", [1]F_ProductBM!J971 ),"")</f>
        <v/>
      </c>
      <c r="K3677" s="317" t="str">
        <f>IFERROR(IF([1]F_ProductBM!K971 = "", "", [1]F_ProductBM!K971 ),"")</f>
        <v/>
      </c>
      <c r="L3677" s="317" t="str">
        <f>IFERROR(IF([1]F_ProductBM!L971 = "", "", [1]F_ProductBM!L971 ),"")</f>
        <v/>
      </c>
      <c r="M3677" s="317" t="str">
        <f>IFERROR(IF([1]F_ProductBM!M971 = "", "", [1]F_ProductBM!M971 ),"")</f>
        <v/>
      </c>
      <c r="N3677" s="318" t="str">
        <f>IFERROR(IF([1]F_ProductBM!N971 = "", "", [1]F_ProductBM!N971 ),"")</f>
        <v/>
      </c>
    </row>
    <row r="3678" spans="3:14">
      <c r="C3678" s="479"/>
      <c r="D3678" s="915"/>
      <c r="E3678" s="916" t="s">
        <v>1776</v>
      </c>
      <c r="F3678" s="916"/>
      <c r="G3678" s="916"/>
      <c r="H3678" s="921"/>
      <c r="I3678" s="916"/>
      <c r="J3678" s="319" t="str">
        <f>IFERROR(IF([1]F_ProductBM!J972 = "", "", [1]F_ProductBM!J972 ),"")</f>
        <v/>
      </c>
      <c r="K3678" s="320" t="str">
        <f>IFERROR(IF([1]F_ProductBM!K972 = "", "", [1]F_ProductBM!K972 ),"")</f>
        <v/>
      </c>
      <c r="L3678" s="320" t="str">
        <f>IFERROR(IF([1]F_ProductBM!L972 = "", "", [1]F_ProductBM!L972 ),"")</f>
        <v/>
      </c>
      <c r="M3678" s="320" t="str">
        <f>IFERROR(IF([1]F_ProductBM!M972 = "", "", [1]F_ProductBM!M972 ),"")</f>
        <v/>
      </c>
      <c r="N3678" s="321" t="str">
        <f>IFERROR(IF([1]F_ProductBM!N972 = "", "", [1]F_ProductBM!N972 ),"")</f>
        <v/>
      </c>
    </row>
    <row r="3679" spans="3:14">
      <c r="C3679" s="479"/>
      <c r="D3679" s="915" t="s">
        <v>7</v>
      </c>
      <c r="E3679" s="916" t="s">
        <v>1654</v>
      </c>
      <c r="F3679" s="916"/>
      <c r="G3679" s="916"/>
      <c r="H3679" s="921"/>
      <c r="I3679" s="916"/>
      <c r="J3679" s="288" t="str">
        <f>IFERROR(IF([1]F_ProductBM!J973 = "", "", [1]F_ProductBM!J973 ),"")</f>
        <v/>
      </c>
      <c r="K3679" s="289" t="str">
        <f>IFERROR(IF([1]F_ProductBM!K973 = "", "", [1]F_ProductBM!K973 ),"")</f>
        <v/>
      </c>
      <c r="L3679" s="289" t="str">
        <f>IFERROR(IF([1]F_ProductBM!L973 = "", "", [1]F_ProductBM!L973 ),"")</f>
        <v/>
      </c>
      <c r="M3679" s="289" t="str">
        <f>IFERROR(IF([1]F_ProductBM!M973 = "", "", [1]F_ProductBM!M973 ),"")</f>
        <v/>
      </c>
      <c r="N3679" s="290" t="str">
        <f>IFERROR(IF([1]F_ProductBM!N973 = "", "", [1]F_ProductBM!N973 ),"")</f>
        <v/>
      </c>
    </row>
    <row r="3680" spans="3:14">
      <c r="C3680" s="479"/>
      <c r="D3680" s="915"/>
      <c r="E3680" s="916" t="s">
        <v>1689</v>
      </c>
      <c r="F3680" s="916"/>
      <c r="G3680" s="916"/>
      <c r="H3680" s="944" t="s">
        <v>1021</v>
      </c>
      <c r="I3680" s="315" t="str">
        <f>IFERROR(IF([1]F_ProductBM!I974 = "", "", [1]F_ProductBM!I974 ),"")</f>
        <v/>
      </c>
      <c r="J3680" s="322" t="str">
        <f>IFERROR(IF([1]F_ProductBM!J974 = "", "", [1]F_ProductBM!J974 ),"")</f>
        <v/>
      </c>
      <c r="K3680" s="323" t="str">
        <f>IFERROR(IF([1]F_ProductBM!K974 = "", "", [1]F_ProductBM!K974 ),"")</f>
        <v/>
      </c>
      <c r="L3680" s="323" t="str">
        <f>IFERROR(IF([1]F_ProductBM!L974 = "", "", [1]F_ProductBM!L974 ),"")</f>
        <v/>
      </c>
      <c r="M3680" s="323" t="str">
        <f>IFERROR(IF([1]F_ProductBM!M974 = "", "", [1]F_ProductBM!M974 ),"")</f>
        <v/>
      </c>
      <c r="N3680" s="324" t="str">
        <f>IFERROR(IF([1]F_ProductBM!N974 = "", "", [1]F_ProductBM!N974 ),"")</f>
        <v/>
      </c>
    </row>
    <row r="3681" spans="3:14">
      <c r="C3681" s="479"/>
      <c r="D3681" s="915"/>
      <c r="E3681" s="909"/>
      <c r="F3681" s="909"/>
      <c r="G3681" s="909"/>
      <c r="H3681" s="909"/>
      <c r="I3681" s="909"/>
      <c r="J3681" s="909"/>
      <c r="K3681" s="909"/>
      <c r="L3681" s="909"/>
      <c r="M3681" s="909"/>
      <c r="N3681" s="922"/>
    </row>
    <row r="3682" spans="3:14">
      <c r="C3682" s="479"/>
      <c r="D3682" s="915"/>
      <c r="E3682" s="923" t="s">
        <v>1653</v>
      </c>
      <c r="F3682" s="923"/>
      <c r="G3682" s="923"/>
      <c r="H3682" s="923"/>
      <c r="I3682" s="923"/>
      <c r="J3682" s="912">
        <v>2021</v>
      </c>
      <c r="K3682" s="913">
        <v>2022</v>
      </c>
      <c r="L3682" s="913">
        <v>2023</v>
      </c>
      <c r="M3682" s="913">
        <v>2024</v>
      </c>
      <c r="N3682" s="914">
        <v>2025</v>
      </c>
    </row>
    <row r="3683" spans="3:14">
      <c r="C3683" s="479"/>
      <c r="D3683" s="915" t="s">
        <v>8</v>
      </c>
      <c r="E3683" s="916" t="s">
        <v>2108</v>
      </c>
      <c r="F3683" s="916"/>
      <c r="G3683" s="916"/>
      <c r="H3683" s="916"/>
      <c r="I3683" s="916"/>
      <c r="J3683" s="69" t="str">
        <f>IFERROR(IF([1]F_ProductBM!J977 = "", "", [1]F_ProductBM!J977 ),"")</f>
        <v/>
      </c>
      <c r="K3683" s="62" t="str">
        <f>IFERROR(IF([1]F_ProductBM!K977 = "", "", [1]F_ProductBM!K977 ),"")</f>
        <v/>
      </c>
      <c r="L3683" s="62" t="str">
        <f>IFERROR(IF([1]F_ProductBM!L977 = "", "", [1]F_ProductBM!L977 ),"")</f>
        <v/>
      </c>
      <c r="M3683" s="62" t="str">
        <f>IFERROR(IF([1]F_ProductBM!M977 = "", "", [1]F_ProductBM!M977 ),"")</f>
        <v/>
      </c>
      <c r="N3683" s="70" t="str">
        <f>IFERROR(IF([1]F_ProductBM!N977 = "", "", [1]F_ProductBM!N977 ),"")</f>
        <v/>
      </c>
    </row>
    <row r="3684" spans="3:14" ht="13.5" thickBot="1">
      <c r="C3684" s="479"/>
      <c r="D3684" s="915"/>
      <c r="E3684" s="909"/>
      <c r="F3684" s="909"/>
      <c r="G3684" s="909"/>
      <c r="H3684" s="909"/>
      <c r="I3684" s="909"/>
      <c r="J3684" s="909"/>
      <c r="K3684" s="909"/>
      <c r="L3684" s="909"/>
      <c r="M3684" s="909"/>
      <c r="N3684" s="922"/>
    </row>
    <row r="3685" spans="3:14" ht="13.5" thickBot="1">
      <c r="C3685" s="479"/>
      <c r="D3685" s="915" t="s">
        <v>18</v>
      </c>
      <c r="E3685" s="916" t="s">
        <v>1657</v>
      </c>
      <c r="F3685" s="916"/>
      <c r="G3685" s="916"/>
      <c r="H3685" s="921"/>
      <c r="I3685" s="916"/>
      <c r="J3685" s="291" t="str">
        <f>IFERROR(IF([1]F_ProductBM!J979 = "", "", [1]F_ProductBM!J979 ),"")</f>
        <v/>
      </c>
      <c r="K3685" s="292" t="str">
        <f>IFERROR(IF([1]F_ProductBM!K979 = "", "", [1]F_ProductBM!K979 ),"")</f>
        <v/>
      </c>
      <c r="L3685" s="292" t="str">
        <f>IFERROR(IF([1]F_ProductBM!L979 = "", "", [1]F_ProductBM!L979 ),"")</f>
        <v/>
      </c>
      <c r="M3685" s="292" t="str">
        <f>IFERROR(IF([1]F_ProductBM!M979 = "", "", [1]F_ProductBM!M979 ),"")</f>
        <v/>
      </c>
      <c r="N3685" s="293" t="str">
        <f>IFERROR(IF([1]F_ProductBM!N979 = "", "", [1]F_ProductBM!N979 ),"")</f>
        <v/>
      </c>
    </row>
    <row r="3686" spans="3:14" ht="13.5" thickBot="1">
      <c r="C3686" s="479"/>
      <c r="D3686" s="915" t="s">
        <v>787</v>
      </c>
      <c r="E3686" s="916" t="s">
        <v>1659</v>
      </c>
      <c r="F3686" s="916"/>
      <c r="G3686" s="916"/>
      <c r="H3686" s="944" t="s">
        <v>1021</v>
      </c>
      <c r="I3686" s="315" t="str">
        <f>IFERROR(IF([1]F_ProductBM!I980 = "", "", [1]F_ProductBM!I980 ),"")</f>
        <v/>
      </c>
      <c r="J3686" s="325" t="str">
        <f>IFERROR(IF([1]F_ProductBM!J980 = "", "", [1]F_ProductBM!J980 ),"")</f>
        <v/>
      </c>
      <c r="K3686" s="326" t="str">
        <f>IFERROR(IF([1]F_ProductBM!K980 = "", "", [1]F_ProductBM!K980 ),"")</f>
        <v/>
      </c>
      <c r="L3686" s="326" t="str">
        <f>IFERROR(IF([1]F_ProductBM!L980 = "", "", [1]F_ProductBM!L980 ),"")</f>
        <v/>
      </c>
      <c r="M3686" s="326" t="str">
        <f>IFERROR(IF([1]F_ProductBM!M980 = "", "", [1]F_ProductBM!M980 ),"")</f>
        <v/>
      </c>
      <c r="N3686" s="327" t="str">
        <f>IFERROR(IF([1]F_ProductBM!N980 = "", "", [1]F_ProductBM!N980 ),"")</f>
        <v/>
      </c>
    </row>
    <row r="3687" spans="3:14" ht="13.5" thickBot="1">
      <c r="C3687" s="479"/>
      <c r="D3687" s="946"/>
      <c r="E3687" s="947"/>
      <c r="F3687" s="947"/>
      <c r="G3687" s="947"/>
      <c r="H3687" s="947"/>
      <c r="I3687" s="947"/>
      <c r="J3687" s="947"/>
      <c r="K3687" s="947"/>
      <c r="L3687" s="947"/>
      <c r="M3687" s="925"/>
      <c r="N3687" s="926"/>
    </row>
    <row r="3688" spans="3:14">
      <c r="C3688" s="479"/>
      <c r="D3688" s="479"/>
      <c r="E3688" s="479"/>
      <c r="F3688" s="479"/>
      <c r="G3688" s="479"/>
      <c r="H3688" s="479"/>
      <c r="I3688" s="479"/>
      <c r="J3688" s="479"/>
      <c r="K3688" s="479"/>
      <c r="L3688" s="479"/>
      <c r="M3688" s="485"/>
      <c r="N3688" s="485"/>
    </row>
    <row r="3689" spans="3:14">
      <c r="C3689" s="479"/>
      <c r="D3689" s="482" t="s">
        <v>881</v>
      </c>
      <c r="E3689" s="2373" t="s">
        <v>941</v>
      </c>
      <c r="F3689" s="2373"/>
      <c r="G3689" s="2373"/>
      <c r="H3689" s="2373"/>
      <c r="I3689" s="2604"/>
      <c r="J3689" s="2652" t="s">
        <v>1857</v>
      </c>
      <c r="K3689" s="2653"/>
      <c r="L3689" s="2653"/>
      <c r="M3689" s="2653"/>
      <c r="N3689" s="2654"/>
    </row>
    <row r="3690" spans="3:14">
      <c r="C3690" s="479"/>
      <c r="D3690" s="485"/>
      <c r="E3690" s="2465" t="s">
        <v>1368</v>
      </c>
      <c r="F3690" s="2400"/>
      <c r="G3690" s="2400"/>
      <c r="H3690" s="2400"/>
      <c r="I3690" s="2400"/>
      <c r="J3690" s="2400"/>
      <c r="K3690" s="2400"/>
      <c r="L3690" s="2400"/>
      <c r="M3690" s="2400"/>
      <c r="N3690" s="2400"/>
    </row>
    <row r="3691" spans="3:14">
      <c r="C3691" s="479"/>
      <c r="D3691" s="485"/>
      <c r="E3691" s="2465" t="s">
        <v>1474</v>
      </c>
      <c r="F3691" s="2400"/>
      <c r="G3691" s="2400"/>
      <c r="H3691" s="2400"/>
      <c r="I3691" s="2400"/>
      <c r="J3691" s="2400"/>
      <c r="K3691" s="2400"/>
      <c r="L3691" s="2400"/>
      <c r="M3691" s="2400"/>
      <c r="N3691" s="2400"/>
    </row>
    <row r="3692" spans="3:14">
      <c r="C3692" s="479"/>
      <c r="D3692" s="485"/>
      <c r="E3692" s="2465" t="s">
        <v>1300</v>
      </c>
      <c r="F3692" s="2400"/>
      <c r="G3692" s="2400"/>
      <c r="H3692" s="2400"/>
      <c r="I3692" s="2400"/>
      <c r="J3692" s="2400"/>
      <c r="K3692" s="2400"/>
      <c r="L3692" s="2400"/>
      <c r="M3692" s="2400"/>
      <c r="N3692" s="2400"/>
    </row>
    <row r="3693" spans="3:14">
      <c r="C3693" s="479"/>
      <c r="D3693" s="485"/>
      <c r="E3693" s="2465" t="s">
        <v>1608</v>
      </c>
      <c r="F3693" s="2400"/>
      <c r="G3693" s="2400"/>
      <c r="H3693" s="2400"/>
      <c r="I3693" s="2400"/>
      <c r="J3693" s="2400"/>
      <c r="K3693" s="2400"/>
      <c r="L3693" s="2400"/>
      <c r="M3693" s="2400"/>
      <c r="N3693" s="2400"/>
    </row>
    <row r="3694" spans="3:14">
      <c r="C3694" s="485"/>
      <c r="D3694" s="482"/>
      <c r="E3694" s="927" t="s">
        <v>62</v>
      </c>
      <c r="F3694" s="518"/>
      <c r="G3694" s="663" t="s">
        <v>884</v>
      </c>
      <c r="H3694" s="578">
        <v>2019</v>
      </c>
      <c r="I3694" s="697">
        <v>2020</v>
      </c>
      <c r="J3694" s="696">
        <v>2021</v>
      </c>
      <c r="K3694" s="578">
        <v>2022</v>
      </c>
      <c r="L3694" s="578">
        <v>2023</v>
      </c>
      <c r="M3694" s="578">
        <v>2024</v>
      </c>
      <c r="N3694" s="578">
        <v>2025</v>
      </c>
    </row>
    <row r="3695" spans="3:14" ht="25.5">
      <c r="C3695" s="485"/>
      <c r="D3695" s="561" t="s">
        <v>6</v>
      </c>
      <c r="E3695" s="948" t="s">
        <v>650</v>
      </c>
      <c r="F3695" s="948"/>
      <c r="G3695" s="730" t="s">
        <v>2017</v>
      </c>
      <c r="H3695" s="93" t="str">
        <f>IFERROR(IF([1]F_ProductBM!H989 = "", "", [1]F_ProductBM!H989 ),"")</f>
        <v/>
      </c>
      <c r="I3695" s="116" t="str">
        <f>IFERROR(IF([1]F_ProductBM!I989 = "", "", [1]F_ProductBM!I989 ),"")</f>
        <v/>
      </c>
      <c r="J3695" s="117" t="str">
        <f>IFERROR(IF([1]F_ProductBM!J989 = "", "", [1]F_ProductBM!J989 ),"")</f>
        <v/>
      </c>
      <c r="K3695" s="93" t="str">
        <f>IFERROR(IF([1]F_ProductBM!K989 = "", "", [1]F_ProductBM!K989 ),"")</f>
        <v/>
      </c>
      <c r="L3695" s="93" t="str">
        <f>IFERROR(IF([1]F_ProductBM!L989 = "", "", [1]F_ProductBM!L989 ),"")</f>
        <v/>
      </c>
      <c r="M3695" s="93" t="str">
        <f>IFERROR(IF([1]F_ProductBM!M989 = "", "", [1]F_ProductBM!M989 ),"")</f>
        <v/>
      </c>
      <c r="N3695" s="93" t="str">
        <f>IFERROR(IF([1]F_ProductBM!N989 = "", "", [1]F_ProductBM!N989 ),"")</f>
        <v/>
      </c>
    </row>
    <row r="3696" spans="3:14" ht="25.5">
      <c r="C3696" s="485"/>
      <c r="D3696" s="561" t="s">
        <v>7</v>
      </c>
      <c r="E3696" s="863" t="s">
        <v>107</v>
      </c>
      <c r="F3696" s="863"/>
      <c r="G3696" s="950" t="s">
        <v>1022</v>
      </c>
      <c r="H3696" s="328" t="str">
        <f>IFERROR(IF([1]F_ProductBM!H990 = "", "", [1]F_ProductBM!H990 ),"")</f>
        <v/>
      </c>
      <c r="I3696" s="329" t="str">
        <f>IFERROR(IF([1]F_ProductBM!I990 = "", "", [1]F_ProductBM!I990 ),"")</f>
        <v/>
      </c>
      <c r="J3696" s="330" t="str">
        <f>IFERROR(IF([1]F_ProductBM!J990 = "", "", [1]F_ProductBM!J990 ),"")</f>
        <v/>
      </c>
      <c r="K3696" s="328" t="str">
        <f>IFERROR(IF([1]F_ProductBM!K990 = "", "", [1]F_ProductBM!K990 ),"")</f>
        <v/>
      </c>
      <c r="L3696" s="328" t="str">
        <f>IFERROR(IF([1]F_ProductBM!L990 = "", "", [1]F_ProductBM!L990 ),"")</f>
        <v/>
      </c>
      <c r="M3696" s="328" t="str">
        <f>IFERROR(IF([1]F_ProductBM!M990 = "", "", [1]F_ProductBM!M990 ),"")</f>
        <v/>
      </c>
      <c r="N3696" s="328" t="str">
        <f>IFERROR(IF([1]F_ProductBM!N990 = "", "", [1]F_ProductBM!N990 ),"")</f>
        <v/>
      </c>
    </row>
    <row r="3697" spans="3:14" ht="25.5">
      <c r="C3697" s="485"/>
      <c r="D3697" s="561" t="s">
        <v>8</v>
      </c>
      <c r="E3697" s="571" t="s">
        <v>1548</v>
      </c>
      <c r="F3697" s="571"/>
      <c r="G3697" s="951" t="s">
        <v>1022</v>
      </c>
      <c r="H3697" s="331" t="str">
        <f>IFERROR(IF([1]F_ProductBM!H991 = "", "", [1]F_ProductBM!H991 ),"")</f>
        <v/>
      </c>
      <c r="I3697" s="332" t="str">
        <f>IFERROR(IF([1]F_ProductBM!I991 = "", "", [1]F_ProductBM!I991 ),"")</f>
        <v/>
      </c>
      <c r="J3697" s="333" t="str">
        <f>IFERROR(IF([1]F_ProductBM!J991 = "", "", [1]F_ProductBM!J991 ),"")</f>
        <v/>
      </c>
      <c r="K3697" s="331" t="str">
        <f>IFERROR(IF([1]F_ProductBM!K991 = "", "", [1]F_ProductBM!K991 ),"")</f>
        <v/>
      </c>
      <c r="L3697" s="331" t="str">
        <f>IFERROR(IF([1]F_ProductBM!L991 = "", "", [1]F_ProductBM!L991 ),"")</f>
        <v/>
      </c>
      <c r="M3697" s="331" t="str">
        <f>IFERROR(IF([1]F_ProductBM!M991 = "", "", [1]F_ProductBM!M991 ),"")</f>
        <v/>
      </c>
      <c r="N3697" s="331" t="str">
        <f>IFERROR(IF([1]F_ProductBM!N991 = "", "", [1]F_ProductBM!N991 ),"")</f>
        <v/>
      </c>
    </row>
    <row r="3698" spans="3:14">
      <c r="C3698" s="485"/>
      <c r="D3698" s="485"/>
      <c r="E3698" s="485"/>
      <c r="F3698" s="485"/>
      <c r="G3698" s="485"/>
      <c r="H3698" s="485"/>
      <c r="I3698" s="952"/>
      <c r="J3698" s="485"/>
      <c r="K3698" s="485"/>
      <c r="L3698" s="485"/>
      <c r="M3698" s="485"/>
      <c r="N3698" s="485"/>
    </row>
    <row r="3699" spans="3:14" ht="21" customHeight="1" thickBot="1">
      <c r="C3699" s="479"/>
      <c r="D3699" s="485"/>
      <c r="E3699" s="2465" t="s">
        <v>2703</v>
      </c>
      <c r="F3699" s="2400"/>
      <c r="G3699" s="2400"/>
      <c r="H3699" s="2400"/>
      <c r="I3699" s="2400"/>
      <c r="J3699" s="2400"/>
      <c r="K3699" s="2400"/>
      <c r="L3699" s="2400"/>
      <c r="M3699" s="2400"/>
      <c r="N3699" s="2400"/>
    </row>
    <row r="3700" spans="3:14">
      <c r="C3700" s="479"/>
      <c r="D3700" s="902"/>
      <c r="E3700" s="904"/>
      <c r="F3700" s="953"/>
      <c r="G3700" s="953"/>
      <c r="H3700" s="953"/>
      <c r="I3700" s="953"/>
      <c r="J3700" s="953"/>
      <c r="K3700" s="953"/>
      <c r="L3700" s="953"/>
      <c r="M3700" s="953"/>
      <c r="N3700" s="954"/>
    </row>
    <row r="3701" spans="3:14">
      <c r="C3701" s="479"/>
      <c r="D3701" s="907" t="s">
        <v>1916</v>
      </c>
      <c r="E3701" s="908" t="s">
        <v>1774</v>
      </c>
      <c r="F3701" s="909"/>
      <c r="G3701" s="909"/>
      <c r="H3701" s="910" t="s">
        <v>884</v>
      </c>
      <c r="I3701" s="911" t="s">
        <v>2220</v>
      </c>
      <c r="J3701" s="912">
        <v>2021</v>
      </c>
      <c r="K3701" s="913">
        <v>2022</v>
      </c>
      <c r="L3701" s="913">
        <v>2023</v>
      </c>
      <c r="M3701" s="913">
        <v>2024</v>
      </c>
      <c r="N3701" s="914">
        <v>2025</v>
      </c>
    </row>
    <row r="3702" spans="3:14">
      <c r="C3702" s="479"/>
      <c r="D3702" s="915" t="s">
        <v>6</v>
      </c>
      <c r="E3702" s="916" t="s">
        <v>1691</v>
      </c>
      <c r="F3702" s="916"/>
      <c r="G3702" s="916"/>
      <c r="H3702" s="944" t="s">
        <v>471</v>
      </c>
      <c r="I3702" s="281" t="str">
        <f>IFERROR(IF([1]F_ProductBM!I996 = "", "", [1]F_ProductBM!I996 ),"")</f>
        <v/>
      </c>
      <c r="J3702" s="334" t="str">
        <f>IFERROR(IF([1]F_ProductBM!J996 = "", "", [1]F_ProductBM!J996 ),"")</f>
        <v/>
      </c>
      <c r="K3702" s="335" t="str">
        <f>IFERROR(IF([1]F_ProductBM!K996 = "", "", [1]F_ProductBM!K996 ),"")</f>
        <v/>
      </c>
      <c r="L3702" s="335" t="str">
        <f>IFERROR(IF([1]F_ProductBM!L996 = "", "", [1]F_ProductBM!L996 ),"")</f>
        <v/>
      </c>
      <c r="M3702" s="335" t="str">
        <f>IFERROR(IF([1]F_ProductBM!M996 = "", "", [1]F_ProductBM!M996 ),"")</f>
        <v/>
      </c>
      <c r="N3702" s="336" t="str">
        <f>IFERROR(IF([1]F_ProductBM!N996 = "", "", [1]F_ProductBM!N996 ),"")</f>
        <v/>
      </c>
    </row>
    <row r="3703" spans="3:14">
      <c r="C3703" s="479"/>
      <c r="D3703" s="915"/>
      <c r="E3703" s="916" t="s">
        <v>1776</v>
      </c>
      <c r="F3703" s="916"/>
      <c r="G3703" s="916"/>
      <c r="H3703" s="921"/>
      <c r="I3703" s="916"/>
      <c r="J3703" s="319" t="str">
        <f>IFERROR(IF([1]F_ProductBM!J997 = "", "", [1]F_ProductBM!J997 ),"")</f>
        <v/>
      </c>
      <c r="K3703" s="320" t="str">
        <f>IFERROR(IF([1]F_ProductBM!K997 = "", "", [1]F_ProductBM!K997 ),"")</f>
        <v/>
      </c>
      <c r="L3703" s="320" t="str">
        <f>IFERROR(IF([1]F_ProductBM!L997 = "", "", [1]F_ProductBM!L997 ),"")</f>
        <v/>
      </c>
      <c r="M3703" s="320" t="str">
        <f>IFERROR(IF([1]F_ProductBM!M997 = "", "", [1]F_ProductBM!M997 ),"")</f>
        <v/>
      </c>
      <c r="N3703" s="321" t="str">
        <f>IFERROR(IF([1]F_ProductBM!N997 = "", "", [1]F_ProductBM!N997 ),"")</f>
        <v/>
      </c>
    </row>
    <row r="3704" spans="3:14">
      <c r="C3704" s="479"/>
      <c r="D3704" s="915" t="s">
        <v>7</v>
      </c>
      <c r="E3704" s="916" t="s">
        <v>1654</v>
      </c>
      <c r="F3704" s="916"/>
      <c r="G3704" s="916"/>
      <c r="H3704" s="921"/>
      <c r="I3704" s="916"/>
      <c r="J3704" s="288" t="str">
        <f>IFERROR(IF([1]F_ProductBM!J998 = "", "", [1]F_ProductBM!J998 ),"")</f>
        <v/>
      </c>
      <c r="K3704" s="289" t="str">
        <f>IFERROR(IF([1]F_ProductBM!K998 = "", "", [1]F_ProductBM!K998 ),"")</f>
        <v/>
      </c>
      <c r="L3704" s="289" t="str">
        <f>IFERROR(IF([1]F_ProductBM!L998 = "", "", [1]F_ProductBM!L998 ),"")</f>
        <v/>
      </c>
      <c r="M3704" s="289" t="str">
        <f>IFERROR(IF([1]F_ProductBM!M998 = "", "", [1]F_ProductBM!M998 ),"")</f>
        <v/>
      </c>
      <c r="N3704" s="290" t="str">
        <f>IFERROR(IF([1]F_ProductBM!N998 = "", "", [1]F_ProductBM!N998 ),"")</f>
        <v/>
      </c>
    </row>
    <row r="3705" spans="3:14">
      <c r="C3705" s="479"/>
      <c r="D3705" s="915"/>
      <c r="E3705" s="916" t="s">
        <v>1689</v>
      </c>
      <c r="F3705" s="916"/>
      <c r="G3705" s="916"/>
      <c r="H3705" s="944" t="s">
        <v>471</v>
      </c>
      <c r="I3705" s="281" t="str">
        <f>IFERROR(IF([1]F_ProductBM!I999 = "", "", [1]F_ProductBM!I999 ),"")</f>
        <v/>
      </c>
      <c r="J3705" s="282" t="str">
        <f>IFERROR(IF([1]F_ProductBM!J999 = "", "", [1]F_ProductBM!J999 ),"")</f>
        <v/>
      </c>
      <c r="K3705" s="283" t="str">
        <f>IFERROR(IF([1]F_ProductBM!K999 = "", "", [1]F_ProductBM!K999 ),"")</f>
        <v/>
      </c>
      <c r="L3705" s="283" t="str">
        <f>IFERROR(IF([1]F_ProductBM!L999 = "", "", [1]F_ProductBM!L999 ),"")</f>
        <v/>
      </c>
      <c r="M3705" s="283" t="str">
        <f>IFERROR(IF([1]F_ProductBM!M999 = "", "", [1]F_ProductBM!M999 ),"")</f>
        <v/>
      </c>
      <c r="N3705" s="284" t="str">
        <f>IFERROR(IF([1]F_ProductBM!N999 = "", "", [1]F_ProductBM!N999 ),"")</f>
        <v/>
      </c>
    </row>
    <row r="3706" spans="3:14">
      <c r="C3706" s="479"/>
      <c r="D3706" s="915"/>
      <c r="E3706" s="909"/>
      <c r="F3706" s="909"/>
      <c r="G3706" s="909"/>
      <c r="H3706" s="909"/>
      <c r="I3706" s="909"/>
      <c r="J3706" s="909"/>
      <c r="K3706" s="909"/>
      <c r="L3706" s="909"/>
      <c r="M3706" s="909"/>
      <c r="N3706" s="922"/>
    </row>
    <row r="3707" spans="3:14">
      <c r="C3707" s="479"/>
      <c r="D3707" s="915"/>
      <c r="E3707" s="923" t="s">
        <v>1653</v>
      </c>
      <c r="F3707" s="923"/>
      <c r="G3707" s="923"/>
      <c r="H3707" s="923"/>
      <c r="I3707" s="923"/>
      <c r="J3707" s="912">
        <v>2021</v>
      </c>
      <c r="K3707" s="913">
        <v>2022</v>
      </c>
      <c r="L3707" s="913">
        <v>2023</v>
      </c>
      <c r="M3707" s="913">
        <v>2024</v>
      </c>
      <c r="N3707" s="914">
        <v>2025</v>
      </c>
    </row>
    <row r="3708" spans="3:14">
      <c r="C3708" s="479"/>
      <c r="D3708" s="915" t="s">
        <v>8</v>
      </c>
      <c r="E3708" s="916" t="s">
        <v>2108</v>
      </c>
      <c r="F3708" s="916"/>
      <c r="G3708" s="916"/>
      <c r="H3708" s="916"/>
      <c r="I3708" s="916"/>
      <c r="J3708" s="69" t="str">
        <f>IFERROR(IF([1]F_ProductBM!J1002 = "", "", [1]F_ProductBM!J1002 ),"")</f>
        <v/>
      </c>
      <c r="K3708" s="62" t="str">
        <f>IFERROR(IF([1]F_ProductBM!K1002 = "", "", [1]F_ProductBM!K1002 ),"")</f>
        <v/>
      </c>
      <c r="L3708" s="62" t="str">
        <f>IFERROR(IF([1]F_ProductBM!L1002 = "", "", [1]F_ProductBM!L1002 ),"")</f>
        <v/>
      </c>
      <c r="M3708" s="62" t="str">
        <f>IFERROR(IF([1]F_ProductBM!M1002 = "", "", [1]F_ProductBM!M1002 ),"")</f>
        <v/>
      </c>
      <c r="N3708" s="70" t="str">
        <f>IFERROR(IF([1]F_ProductBM!N1002 = "", "", [1]F_ProductBM!N1002 ),"")</f>
        <v/>
      </c>
    </row>
    <row r="3709" spans="3:14" ht="13.5" thickBot="1">
      <c r="C3709" s="479"/>
      <c r="D3709" s="915"/>
      <c r="E3709" s="909"/>
      <c r="F3709" s="909"/>
      <c r="G3709" s="909"/>
      <c r="H3709" s="909"/>
      <c r="I3709" s="909"/>
      <c r="J3709" s="909"/>
      <c r="K3709" s="909"/>
      <c r="L3709" s="909"/>
      <c r="M3709" s="909"/>
      <c r="N3709" s="922"/>
    </row>
    <row r="3710" spans="3:14" ht="13.5" thickBot="1">
      <c r="C3710" s="479"/>
      <c r="D3710" s="915" t="s">
        <v>18</v>
      </c>
      <c r="E3710" s="916" t="s">
        <v>1657</v>
      </c>
      <c r="F3710" s="916"/>
      <c r="G3710" s="916"/>
      <c r="H3710" s="921"/>
      <c r="I3710" s="916"/>
      <c r="J3710" s="291" t="str">
        <f>IFERROR(IF([1]F_ProductBM!J1004 = "", "", [1]F_ProductBM!J1004 ),"")</f>
        <v/>
      </c>
      <c r="K3710" s="292" t="str">
        <f>IFERROR(IF([1]F_ProductBM!K1004 = "", "", [1]F_ProductBM!K1004 ),"")</f>
        <v/>
      </c>
      <c r="L3710" s="292" t="str">
        <f>IFERROR(IF([1]F_ProductBM!L1004 = "", "", [1]F_ProductBM!L1004 ),"")</f>
        <v/>
      </c>
      <c r="M3710" s="292" t="str">
        <f>IFERROR(IF([1]F_ProductBM!M1004 = "", "", [1]F_ProductBM!M1004 ),"")</f>
        <v/>
      </c>
      <c r="N3710" s="293" t="str">
        <f>IFERROR(IF([1]F_ProductBM!N1004 = "", "", [1]F_ProductBM!N1004 ),"")</f>
        <v/>
      </c>
    </row>
    <row r="3711" spans="3:14" ht="13.5" thickBot="1">
      <c r="C3711" s="479"/>
      <c r="D3711" s="915" t="s">
        <v>787</v>
      </c>
      <c r="E3711" s="916" t="s">
        <v>1659</v>
      </c>
      <c r="F3711" s="916"/>
      <c r="G3711" s="916"/>
      <c r="H3711" s="944" t="s">
        <v>471</v>
      </c>
      <c r="I3711" s="281" t="str">
        <f>IFERROR(IF([1]F_ProductBM!I1005 = "", "", [1]F_ProductBM!I1005 ),"")</f>
        <v/>
      </c>
      <c r="J3711" s="294" t="str">
        <f>IFERROR(IF([1]F_ProductBM!J1005 = "", "", [1]F_ProductBM!J1005 ),"")</f>
        <v/>
      </c>
      <c r="K3711" s="295" t="str">
        <f>IFERROR(IF([1]F_ProductBM!K1005 = "", "", [1]F_ProductBM!K1005 ),"")</f>
        <v/>
      </c>
      <c r="L3711" s="295" t="str">
        <f>IFERROR(IF([1]F_ProductBM!L1005 = "", "", [1]F_ProductBM!L1005 ),"")</f>
        <v/>
      </c>
      <c r="M3711" s="295" t="str">
        <f>IFERROR(IF([1]F_ProductBM!M1005 = "", "", [1]F_ProductBM!M1005 ),"")</f>
        <v/>
      </c>
      <c r="N3711" s="296" t="str">
        <f>IFERROR(IF([1]F_ProductBM!N1005 = "", "", [1]F_ProductBM!N1005 ),"")</f>
        <v/>
      </c>
    </row>
    <row r="3712" spans="3:14" ht="13.5" thickBot="1">
      <c r="C3712" s="485"/>
      <c r="D3712" s="924"/>
      <c r="E3712" s="925"/>
      <c r="F3712" s="925"/>
      <c r="G3712" s="925"/>
      <c r="H3712" s="925"/>
      <c r="I3712" s="955"/>
      <c r="J3712" s="925"/>
      <c r="K3712" s="925"/>
      <c r="L3712" s="925"/>
      <c r="M3712" s="925"/>
      <c r="N3712" s="926"/>
    </row>
    <row r="3713" spans="3:14">
      <c r="C3713" s="485"/>
      <c r="D3713" s="485"/>
      <c r="E3713" s="485"/>
      <c r="F3713" s="485"/>
      <c r="G3713" s="485"/>
      <c r="H3713" s="485"/>
      <c r="I3713" s="952"/>
      <c r="J3713" s="485"/>
      <c r="K3713" s="485"/>
      <c r="L3713" s="485"/>
      <c r="M3713" s="485"/>
      <c r="N3713" s="485"/>
    </row>
    <row r="3714" spans="3:14" ht="15">
      <c r="C3714" s="856"/>
      <c r="D3714" s="2482" t="s">
        <v>103</v>
      </c>
      <c r="E3714" s="2400"/>
      <c r="F3714" s="2400"/>
      <c r="G3714" s="2400"/>
      <c r="H3714" s="2400"/>
      <c r="I3714" s="2400"/>
      <c r="J3714" s="2400"/>
      <c r="K3714" s="2400"/>
      <c r="L3714" s="2400"/>
      <c r="M3714" s="2400"/>
      <c r="N3714" s="2400"/>
    </row>
    <row r="3715" spans="3:14">
      <c r="C3715" s="479"/>
      <c r="D3715" s="479"/>
      <c r="E3715" s="479"/>
      <c r="F3715" s="479"/>
      <c r="G3715" s="479"/>
      <c r="H3715" s="479"/>
      <c r="I3715" s="479"/>
      <c r="J3715" s="479"/>
      <c r="K3715" s="479"/>
      <c r="L3715" s="479"/>
      <c r="M3715" s="479"/>
      <c r="N3715" s="479"/>
    </row>
    <row r="3716" spans="3:14">
      <c r="C3716" s="482"/>
      <c r="D3716" s="482" t="s">
        <v>57</v>
      </c>
      <c r="E3716" s="2373" t="s">
        <v>108</v>
      </c>
      <c r="F3716" s="2400"/>
      <c r="G3716" s="2400"/>
      <c r="H3716" s="2400"/>
      <c r="I3716" s="2400"/>
      <c r="J3716" s="2400"/>
      <c r="K3716" s="2400"/>
      <c r="L3716" s="2400"/>
      <c r="M3716" s="2400"/>
      <c r="N3716" s="2400"/>
    </row>
    <row r="3717" spans="3:14">
      <c r="C3717" s="485"/>
      <c r="D3717" s="485"/>
      <c r="E3717" s="2465" t="s">
        <v>1935</v>
      </c>
      <c r="F3717" s="2400"/>
      <c r="G3717" s="2400"/>
      <c r="H3717" s="2400"/>
      <c r="I3717" s="2400"/>
      <c r="J3717" s="2400"/>
      <c r="K3717" s="2400"/>
      <c r="L3717" s="2400"/>
      <c r="M3717" s="2400"/>
      <c r="N3717" s="2400"/>
    </row>
    <row r="3718" spans="3:14">
      <c r="C3718" s="485"/>
      <c r="D3718" s="485"/>
      <c r="E3718" s="2465" t="s">
        <v>1636</v>
      </c>
      <c r="F3718" s="2400"/>
      <c r="G3718" s="2400"/>
      <c r="H3718" s="2400"/>
      <c r="I3718" s="2400"/>
      <c r="J3718" s="2400"/>
      <c r="K3718" s="2400"/>
      <c r="L3718" s="2400"/>
      <c r="M3718" s="2400"/>
      <c r="N3718" s="2400"/>
    </row>
    <row r="3719" spans="3:14">
      <c r="C3719" s="485"/>
      <c r="D3719" s="485"/>
      <c r="E3719" s="2465" t="s">
        <v>2119</v>
      </c>
      <c r="F3719" s="2400"/>
      <c r="G3719" s="2400"/>
      <c r="H3719" s="2400"/>
      <c r="I3719" s="2400"/>
      <c r="J3719" s="2400"/>
      <c r="K3719" s="2400"/>
      <c r="L3719" s="2400"/>
      <c r="M3719" s="2400"/>
      <c r="N3719" s="2400"/>
    </row>
    <row r="3720" spans="3:14">
      <c r="C3720" s="485"/>
      <c r="D3720" s="485"/>
      <c r="E3720" s="2677" t="s">
        <v>2120</v>
      </c>
      <c r="F3720" s="2364"/>
      <c r="G3720" s="2364"/>
      <c r="H3720" s="2364"/>
      <c r="I3720" s="2364"/>
      <c r="J3720" s="2364"/>
      <c r="K3720" s="2364"/>
      <c r="L3720" s="2364"/>
      <c r="M3720" s="2364"/>
      <c r="N3720" s="2364"/>
    </row>
    <row r="3721" spans="3:14">
      <c r="C3721" s="479"/>
      <c r="D3721" s="479"/>
      <c r="E3721" s="479"/>
      <c r="F3721" s="479"/>
      <c r="G3721" s="479"/>
      <c r="H3721" s="479"/>
      <c r="I3721" s="479"/>
      <c r="J3721" s="479"/>
      <c r="K3721" s="479"/>
      <c r="L3721" s="479"/>
      <c r="M3721" s="479"/>
      <c r="N3721" s="479"/>
    </row>
    <row r="3722" spans="3:14">
      <c r="C3722" s="482"/>
      <c r="D3722" s="482" t="s">
        <v>58</v>
      </c>
      <c r="E3722" s="2373" t="s">
        <v>1013</v>
      </c>
      <c r="F3722" s="2400"/>
      <c r="G3722" s="2400"/>
      <c r="H3722" s="2400"/>
      <c r="I3722" s="2400"/>
      <c r="J3722" s="2400"/>
      <c r="K3722" s="2400"/>
      <c r="L3722" s="2400"/>
      <c r="M3722" s="2400"/>
      <c r="N3722" s="2400"/>
    </row>
    <row r="3723" spans="3:14">
      <c r="C3723" s="479"/>
      <c r="D3723" s="485"/>
      <c r="E3723" s="617"/>
      <c r="F3723" s="617"/>
      <c r="G3723" s="617"/>
      <c r="H3723" s="617"/>
      <c r="I3723" s="617"/>
      <c r="J3723" s="468"/>
      <c r="K3723" s="468"/>
      <c r="L3723" s="468"/>
      <c r="M3723" s="485"/>
      <c r="N3723" s="485"/>
    </row>
    <row r="3724" spans="3:14" ht="51">
      <c r="C3724" s="485"/>
      <c r="D3724" s="956"/>
      <c r="E3724" s="957" t="s">
        <v>2112</v>
      </c>
      <c r="F3724" s="958" t="s">
        <v>949</v>
      </c>
      <c r="G3724" s="959" t="s">
        <v>884</v>
      </c>
      <c r="H3724" s="578">
        <v>2019</v>
      </c>
      <c r="I3724" s="697">
        <v>2020</v>
      </c>
      <c r="J3724" s="696">
        <v>2021</v>
      </c>
      <c r="K3724" s="578">
        <v>2022</v>
      </c>
      <c r="L3724" s="578">
        <v>2023</v>
      </c>
      <c r="M3724" s="578">
        <v>2024</v>
      </c>
      <c r="N3724" s="578">
        <v>2025</v>
      </c>
    </row>
    <row r="3725" spans="3:14">
      <c r="C3725" s="485"/>
      <c r="D3725" s="579">
        <v>1</v>
      </c>
      <c r="E3725" s="375" t="str">
        <f>IFERROR(IF([1]F_ProductBM!E1019 = "", "", [1]F_ProductBM!E1019 ),"")</f>
        <v/>
      </c>
      <c r="F3725" s="337" t="str">
        <f>IFERROR(IF([1]F_ProductBM!F1019 = "", "", [1]F_ProductBM!F1019 ),"")</f>
        <v/>
      </c>
      <c r="G3725" s="71" t="str">
        <f>IFERROR(IF([1]F_ProductBM!G1019 = "", "", [1]F_ProductBM!G1019 ),"")</f>
        <v/>
      </c>
      <c r="H3725" s="94" t="str">
        <f>IFERROR(IF([1]F_ProductBM!H1019 = "", "", [1]F_ProductBM!H1019 ),"")</f>
        <v/>
      </c>
      <c r="I3725" s="110" t="str">
        <f>IFERROR(IF([1]F_ProductBM!I1019 = "", "", [1]F_ProductBM!I1019 ),"")</f>
        <v/>
      </c>
      <c r="J3725" s="111" t="str">
        <f>IFERROR(IF([1]F_ProductBM!J1019 = "", "", [1]F_ProductBM!J1019 ),"")</f>
        <v/>
      </c>
      <c r="K3725" s="94" t="str">
        <f>IFERROR(IF([1]F_ProductBM!K1019 = "", "", [1]F_ProductBM!K1019 ),"")</f>
        <v/>
      </c>
      <c r="L3725" s="94" t="str">
        <f>IFERROR(IF([1]F_ProductBM!L1019 = "", "", [1]F_ProductBM!L1019 ),"")</f>
        <v/>
      </c>
      <c r="M3725" s="94" t="str">
        <f>IFERROR(IF([1]F_ProductBM!M1019 = "", "", [1]F_ProductBM!M1019 ),"")</f>
        <v/>
      </c>
      <c r="N3725" s="94" t="str">
        <f>IFERROR(IF([1]F_ProductBM!N1019 = "", "", [1]F_ProductBM!N1019 ),"")</f>
        <v/>
      </c>
    </row>
    <row r="3726" spans="3:14">
      <c r="C3726" s="485"/>
      <c r="D3726" s="582">
        <v>2</v>
      </c>
      <c r="E3726" s="376" t="str">
        <f>IFERROR(IF([1]F_ProductBM!E1020 = "", "", [1]F_ProductBM!E1020 ),"")</f>
        <v/>
      </c>
      <c r="F3726" s="338" t="str">
        <f>IFERROR(IF([1]F_ProductBM!F1020 = "", "", [1]F_ProductBM!F1020 ),"")</f>
        <v/>
      </c>
      <c r="G3726" s="72" t="str">
        <f>IFERROR(IF([1]F_ProductBM!G1020 = "", "", [1]F_ProductBM!G1020 ),"")</f>
        <v/>
      </c>
      <c r="H3726" s="101" t="str">
        <f>IFERROR(IF([1]F_ProductBM!H1020 = "", "", [1]F_ProductBM!H1020 ),"")</f>
        <v/>
      </c>
      <c r="I3726" s="361" t="str">
        <f>IFERROR(IF([1]F_ProductBM!I1020 = "", "", [1]F_ProductBM!I1020 ),"")</f>
        <v/>
      </c>
      <c r="J3726" s="362" t="str">
        <f>IFERROR(IF([1]F_ProductBM!J1020 = "", "", [1]F_ProductBM!J1020 ),"")</f>
        <v/>
      </c>
      <c r="K3726" s="101" t="str">
        <f>IFERROR(IF([1]F_ProductBM!K1020 = "", "", [1]F_ProductBM!K1020 ),"")</f>
        <v/>
      </c>
      <c r="L3726" s="101" t="str">
        <f>IFERROR(IF([1]F_ProductBM!L1020 = "", "", [1]F_ProductBM!L1020 ),"")</f>
        <v/>
      </c>
      <c r="M3726" s="101" t="str">
        <f>IFERROR(IF([1]F_ProductBM!M1020 = "", "", [1]F_ProductBM!M1020 ),"")</f>
        <v/>
      </c>
      <c r="N3726" s="101" t="str">
        <f>IFERROR(IF([1]F_ProductBM!N1020 = "", "", [1]F_ProductBM!N1020 ),"")</f>
        <v/>
      </c>
    </row>
    <row r="3727" spans="3:14">
      <c r="C3727" s="485"/>
      <c r="D3727" s="582">
        <v>3</v>
      </c>
      <c r="E3727" s="376" t="str">
        <f>IFERROR(IF([1]F_ProductBM!E1021 = "", "", [1]F_ProductBM!E1021 ),"")</f>
        <v/>
      </c>
      <c r="F3727" s="338" t="str">
        <f>IFERROR(IF([1]F_ProductBM!F1021 = "", "", [1]F_ProductBM!F1021 ),"")</f>
        <v/>
      </c>
      <c r="G3727" s="72" t="str">
        <f>IFERROR(IF([1]F_ProductBM!G1021 = "", "", [1]F_ProductBM!G1021 ),"")</f>
        <v/>
      </c>
      <c r="H3727" s="101" t="str">
        <f>IFERROR(IF([1]F_ProductBM!H1021 = "", "", [1]F_ProductBM!H1021 ),"")</f>
        <v/>
      </c>
      <c r="I3727" s="361" t="str">
        <f>IFERROR(IF([1]F_ProductBM!I1021 = "", "", [1]F_ProductBM!I1021 ),"")</f>
        <v/>
      </c>
      <c r="J3727" s="362" t="str">
        <f>IFERROR(IF([1]F_ProductBM!J1021 = "", "", [1]F_ProductBM!J1021 ),"")</f>
        <v/>
      </c>
      <c r="K3727" s="101" t="str">
        <f>IFERROR(IF([1]F_ProductBM!K1021 = "", "", [1]F_ProductBM!K1021 ),"")</f>
        <v/>
      </c>
      <c r="L3727" s="101" t="str">
        <f>IFERROR(IF([1]F_ProductBM!L1021 = "", "", [1]F_ProductBM!L1021 ),"")</f>
        <v/>
      </c>
      <c r="M3727" s="101" t="str">
        <f>IFERROR(IF([1]F_ProductBM!M1021 = "", "", [1]F_ProductBM!M1021 ),"")</f>
        <v/>
      </c>
      <c r="N3727" s="101" t="str">
        <f>IFERROR(IF([1]F_ProductBM!N1021 = "", "", [1]F_ProductBM!N1021 ),"")</f>
        <v/>
      </c>
    </row>
    <row r="3728" spans="3:14">
      <c r="C3728" s="485"/>
      <c r="D3728" s="582">
        <v>4</v>
      </c>
      <c r="E3728" s="376" t="str">
        <f>IFERROR(IF([1]F_ProductBM!E1022 = "", "", [1]F_ProductBM!E1022 ),"")</f>
        <v/>
      </c>
      <c r="F3728" s="338" t="str">
        <f>IFERROR(IF([1]F_ProductBM!F1022 = "", "", [1]F_ProductBM!F1022 ),"")</f>
        <v/>
      </c>
      <c r="G3728" s="72" t="str">
        <f>IFERROR(IF([1]F_ProductBM!G1022 = "", "", [1]F_ProductBM!G1022 ),"")</f>
        <v/>
      </c>
      <c r="H3728" s="101" t="str">
        <f>IFERROR(IF([1]F_ProductBM!H1022 = "", "", [1]F_ProductBM!H1022 ),"")</f>
        <v/>
      </c>
      <c r="I3728" s="361" t="str">
        <f>IFERROR(IF([1]F_ProductBM!I1022 = "", "", [1]F_ProductBM!I1022 ),"")</f>
        <v/>
      </c>
      <c r="J3728" s="362" t="str">
        <f>IFERROR(IF([1]F_ProductBM!J1022 = "", "", [1]F_ProductBM!J1022 ),"")</f>
        <v/>
      </c>
      <c r="K3728" s="101" t="str">
        <f>IFERROR(IF([1]F_ProductBM!K1022 = "", "", [1]F_ProductBM!K1022 ),"")</f>
        <v/>
      </c>
      <c r="L3728" s="101" t="str">
        <f>IFERROR(IF([1]F_ProductBM!L1022 = "", "", [1]F_ProductBM!L1022 ),"")</f>
        <v/>
      </c>
      <c r="M3728" s="101" t="str">
        <f>IFERROR(IF([1]F_ProductBM!M1022 = "", "", [1]F_ProductBM!M1022 ),"")</f>
        <v/>
      </c>
      <c r="N3728" s="101" t="str">
        <f>IFERROR(IF([1]F_ProductBM!N1022 = "", "", [1]F_ProductBM!N1022 ),"")</f>
        <v/>
      </c>
    </row>
    <row r="3729" spans="3:14">
      <c r="C3729" s="485"/>
      <c r="D3729" s="582">
        <v>5</v>
      </c>
      <c r="E3729" s="376" t="str">
        <f>IFERROR(IF([1]F_ProductBM!E1023 = "", "", [1]F_ProductBM!E1023 ),"")</f>
        <v/>
      </c>
      <c r="F3729" s="338" t="str">
        <f>IFERROR(IF([1]F_ProductBM!F1023 = "", "", [1]F_ProductBM!F1023 ),"")</f>
        <v/>
      </c>
      <c r="G3729" s="72" t="str">
        <f>IFERROR(IF([1]F_ProductBM!G1023 = "", "", [1]F_ProductBM!G1023 ),"")</f>
        <v/>
      </c>
      <c r="H3729" s="101" t="str">
        <f>IFERROR(IF([1]F_ProductBM!H1023 = "", "", [1]F_ProductBM!H1023 ),"")</f>
        <v/>
      </c>
      <c r="I3729" s="361" t="str">
        <f>IFERROR(IF([1]F_ProductBM!I1023 = "", "", [1]F_ProductBM!I1023 ),"")</f>
        <v/>
      </c>
      <c r="J3729" s="362" t="str">
        <f>IFERROR(IF([1]F_ProductBM!J1023 = "", "", [1]F_ProductBM!J1023 ),"")</f>
        <v/>
      </c>
      <c r="K3729" s="101" t="str">
        <f>IFERROR(IF([1]F_ProductBM!K1023 = "", "", [1]F_ProductBM!K1023 ),"")</f>
        <v/>
      </c>
      <c r="L3729" s="101" t="str">
        <f>IFERROR(IF([1]F_ProductBM!L1023 = "", "", [1]F_ProductBM!L1023 ),"")</f>
        <v/>
      </c>
      <c r="M3729" s="101" t="str">
        <f>IFERROR(IF([1]F_ProductBM!M1023 = "", "", [1]F_ProductBM!M1023 ),"")</f>
        <v/>
      </c>
      <c r="N3729" s="101" t="str">
        <f>IFERROR(IF([1]F_ProductBM!N1023 = "", "", [1]F_ProductBM!N1023 ),"")</f>
        <v/>
      </c>
    </row>
    <row r="3730" spans="3:14">
      <c r="C3730" s="485"/>
      <c r="D3730" s="582">
        <v>6</v>
      </c>
      <c r="E3730" s="376" t="str">
        <f>IFERROR(IF([1]F_ProductBM!E1024 = "", "", [1]F_ProductBM!E1024 ),"")</f>
        <v/>
      </c>
      <c r="F3730" s="338" t="str">
        <f>IFERROR(IF([1]F_ProductBM!F1024 = "", "", [1]F_ProductBM!F1024 ),"")</f>
        <v/>
      </c>
      <c r="G3730" s="72" t="str">
        <f>IFERROR(IF([1]F_ProductBM!G1024 = "", "", [1]F_ProductBM!G1024 ),"")</f>
        <v/>
      </c>
      <c r="H3730" s="101" t="str">
        <f>IFERROR(IF([1]F_ProductBM!H1024 = "", "", [1]F_ProductBM!H1024 ),"")</f>
        <v/>
      </c>
      <c r="I3730" s="361" t="str">
        <f>IFERROR(IF([1]F_ProductBM!I1024 = "", "", [1]F_ProductBM!I1024 ),"")</f>
        <v/>
      </c>
      <c r="J3730" s="362" t="str">
        <f>IFERROR(IF([1]F_ProductBM!J1024 = "", "", [1]F_ProductBM!J1024 ),"")</f>
        <v/>
      </c>
      <c r="K3730" s="101" t="str">
        <f>IFERROR(IF([1]F_ProductBM!K1024 = "", "", [1]F_ProductBM!K1024 ),"")</f>
        <v/>
      </c>
      <c r="L3730" s="101" t="str">
        <f>IFERROR(IF([1]F_ProductBM!L1024 = "", "", [1]F_ProductBM!L1024 ),"")</f>
        <v/>
      </c>
      <c r="M3730" s="101" t="str">
        <f>IFERROR(IF([1]F_ProductBM!M1024 = "", "", [1]F_ProductBM!M1024 ),"")</f>
        <v/>
      </c>
      <c r="N3730" s="101" t="str">
        <f>IFERROR(IF([1]F_ProductBM!N1024 = "", "", [1]F_ProductBM!N1024 ),"")</f>
        <v/>
      </c>
    </row>
    <row r="3731" spans="3:14">
      <c r="C3731" s="485"/>
      <c r="D3731" s="582">
        <v>7</v>
      </c>
      <c r="E3731" s="376" t="str">
        <f>IFERROR(IF([1]F_ProductBM!E1025 = "", "", [1]F_ProductBM!E1025 ),"")</f>
        <v/>
      </c>
      <c r="F3731" s="338" t="str">
        <f>IFERROR(IF([1]F_ProductBM!F1025 = "", "", [1]F_ProductBM!F1025 ),"")</f>
        <v/>
      </c>
      <c r="G3731" s="72" t="str">
        <f>IFERROR(IF([1]F_ProductBM!G1025 = "", "", [1]F_ProductBM!G1025 ),"")</f>
        <v/>
      </c>
      <c r="H3731" s="101" t="str">
        <f>IFERROR(IF([1]F_ProductBM!H1025 = "", "", [1]F_ProductBM!H1025 ),"")</f>
        <v/>
      </c>
      <c r="I3731" s="361" t="str">
        <f>IFERROR(IF([1]F_ProductBM!I1025 = "", "", [1]F_ProductBM!I1025 ),"")</f>
        <v/>
      </c>
      <c r="J3731" s="362" t="str">
        <f>IFERROR(IF([1]F_ProductBM!J1025 = "", "", [1]F_ProductBM!J1025 ),"")</f>
        <v/>
      </c>
      <c r="K3731" s="101" t="str">
        <f>IFERROR(IF([1]F_ProductBM!K1025 = "", "", [1]F_ProductBM!K1025 ),"")</f>
        <v/>
      </c>
      <c r="L3731" s="101" t="str">
        <f>IFERROR(IF([1]F_ProductBM!L1025 = "", "", [1]F_ProductBM!L1025 ),"")</f>
        <v/>
      </c>
      <c r="M3731" s="101" t="str">
        <f>IFERROR(IF([1]F_ProductBM!M1025 = "", "", [1]F_ProductBM!M1025 ),"")</f>
        <v/>
      </c>
      <c r="N3731" s="101" t="str">
        <f>IFERROR(IF([1]F_ProductBM!N1025 = "", "", [1]F_ProductBM!N1025 ),"")</f>
        <v/>
      </c>
    </row>
    <row r="3732" spans="3:14">
      <c r="C3732" s="485"/>
      <c r="D3732" s="582">
        <v>8</v>
      </c>
      <c r="E3732" s="376" t="str">
        <f>IFERROR(IF([1]F_ProductBM!E1026 = "", "", [1]F_ProductBM!E1026 ),"")</f>
        <v/>
      </c>
      <c r="F3732" s="338" t="str">
        <f>IFERROR(IF([1]F_ProductBM!F1026 = "", "", [1]F_ProductBM!F1026 ),"")</f>
        <v/>
      </c>
      <c r="G3732" s="72" t="str">
        <f>IFERROR(IF([1]F_ProductBM!G1026 = "", "", [1]F_ProductBM!G1026 ),"")</f>
        <v/>
      </c>
      <c r="H3732" s="101" t="str">
        <f>IFERROR(IF([1]F_ProductBM!H1026 = "", "", [1]F_ProductBM!H1026 ),"")</f>
        <v/>
      </c>
      <c r="I3732" s="361" t="str">
        <f>IFERROR(IF([1]F_ProductBM!I1026 = "", "", [1]F_ProductBM!I1026 ),"")</f>
        <v/>
      </c>
      <c r="J3732" s="362" t="str">
        <f>IFERROR(IF([1]F_ProductBM!J1026 = "", "", [1]F_ProductBM!J1026 ),"")</f>
        <v/>
      </c>
      <c r="K3732" s="101" t="str">
        <f>IFERROR(IF([1]F_ProductBM!K1026 = "", "", [1]F_ProductBM!K1026 ),"")</f>
        <v/>
      </c>
      <c r="L3732" s="101" t="str">
        <f>IFERROR(IF([1]F_ProductBM!L1026 = "", "", [1]F_ProductBM!L1026 ),"")</f>
        <v/>
      </c>
      <c r="M3732" s="101" t="str">
        <f>IFERROR(IF([1]F_ProductBM!M1026 = "", "", [1]F_ProductBM!M1026 ),"")</f>
        <v/>
      </c>
      <c r="N3732" s="101" t="str">
        <f>IFERROR(IF([1]F_ProductBM!N1026 = "", "", [1]F_ProductBM!N1026 ),"")</f>
        <v/>
      </c>
    </row>
    <row r="3733" spans="3:14">
      <c r="C3733" s="485"/>
      <c r="D3733" s="582">
        <v>9</v>
      </c>
      <c r="E3733" s="376" t="str">
        <f>IFERROR(IF([1]F_ProductBM!E1027 = "", "", [1]F_ProductBM!E1027 ),"")</f>
        <v/>
      </c>
      <c r="F3733" s="338" t="str">
        <f>IFERROR(IF([1]F_ProductBM!F1027 = "", "", [1]F_ProductBM!F1027 ),"")</f>
        <v/>
      </c>
      <c r="G3733" s="72" t="str">
        <f>IFERROR(IF([1]F_ProductBM!G1027 = "", "", [1]F_ProductBM!G1027 ),"")</f>
        <v/>
      </c>
      <c r="H3733" s="101" t="str">
        <f>IFERROR(IF([1]F_ProductBM!H1027 = "", "", [1]F_ProductBM!H1027 ),"")</f>
        <v/>
      </c>
      <c r="I3733" s="361" t="str">
        <f>IFERROR(IF([1]F_ProductBM!I1027 = "", "", [1]F_ProductBM!I1027 ),"")</f>
        <v/>
      </c>
      <c r="J3733" s="362" t="str">
        <f>IFERROR(IF([1]F_ProductBM!J1027 = "", "", [1]F_ProductBM!J1027 ),"")</f>
        <v/>
      </c>
      <c r="K3733" s="101" t="str">
        <f>IFERROR(IF([1]F_ProductBM!K1027 = "", "", [1]F_ProductBM!K1027 ),"")</f>
        <v/>
      </c>
      <c r="L3733" s="101" t="str">
        <f>IFERROR(IF([1]F_ProductBM!L1027 = "", "", [1]F_ProductBM!L1027 ),"")</f>
        <v/>
      </c>
      <c r="M3733" s="101" t="str">
        <f>IFERROR(IF([1]F_ProductBM!M1027 = "", "", [1]F_ProductBM!M1027 ),"")</f>
        <v/>
      </c>
      <c r="N3733" s="101" t="str">
        <f>IFERROR(IF([1]F_ProductBM!N1027 = "", "", [1]F_ProductBM!N1027 ),"")</f>
        <v/>
      </c>
    </row>
    <row r="3734" spans="3:14">
      <c r="C3734" s="485"/>
      <c r="D3734" s="584">
        <v>10</v>
      </c>
      <c r="E3734" s="377" t="str">
        <f>IFERROR(IF([1]F_ProductBM!E1028 = "", "", [1]F_ProductBM!E1028 ),"")</f>
        <v/>
      </c>
      <c r="F3734" s="339" t="str">
        <f>IFERROR(IF([1]F_ProductBM!F1028 = "", "", [1]F_ProductBM!F1028 ),"")</f>
        <v/>
      </c>
      <c r="G3734" s="73" t="str">
        <f>IFERROR(IF([1]F_ProductBM!G1028 = "", "", [1]F_ProductBM!G1028 ),"")</f>
        <v/>
      </c>
      <c r="H3734" s="95" t="str">
        <f>IFERROR(IF([1]F_ProductBM!H1028 = "", "", [1]F_ProductBM!H1028 ),"")</f>
        <v/>
      </c>
      <c r="I3734" s="113" t="str">
        <f>IFERROR(IF([1]F_ProductBM!I1028 = "", "", [1]F_ProductBM!I1028 ),"")</f>
        <v/>
      </c>
      <c r="J3734" s="114" t="str">
        <f>IFERROR(IF([1]F_ProductBM!J1028 = "", "", [1]F_ProductBM!J1028 ),"")</f>
        <v/>
      </c>
      <c r="K3734" s="95" t="str">
        <f>IFERROR(IF([1]F_ProductBM!K1028 = "", "", [1]F_ProductBM!K1028 ),"")</f>
        <v/>
      </c>
      <c r="L3734" s="95" t="str">
        <f>IFERROR(IF([1]F_ProductBM!L1028 = "", "", [1]F_ProductBM!L1028 ),"")</f>
        <v/>
      </c>
      <c r="M3734" s="95" t="str">
        <f>IFERROR(IF([1]F_ProductBM!M1028 = "", "", [1]F_ProductBM!M1028 ),"")</f>
        <v/>
      </c>
      <c r="N3734" s="95" t="str">
        <f>IFERROR(IF([1]F_ProductBM!N1028 = "", "", [1]F_ProductBM!N1028 ),"")</f>
        <v/>
      </c>
    </row>
    <row r="3735" spans="3:14">
      <c r="C3735" s="485"/>
      <c r="D3735" s="971"/>
      <c r="E3735" s="972" t="s">
        <v>921</v>
      </c>
      <c r="F3735" s="948"/>
      <c r="G3735" s="73" t="str">
        <f>IFERROR(IF([1]F_ProductBM!G1029 = "", "", [1]F_ProductBM!G1029 ),"")</f>
        <v/>
      </c>
      <c r="H3735" s="86" t="str">
        <f>IFERROR(IF([1]F_ProductBM!H1029 = "", "", [1]F_ProductBM!H1029 ),"")</f>
        <v/>
      </c>
      <c r="I3735" s="340" t="str">
        <f>IFERROR(IF([1]F_ProductBM!I1029 = "", "", [1]F_ProductBM!I1029 ),"")</f>
        <v/>
      </c>
      <c r="J3735" s="341" t="str">
        <f>IFERROR(IF([1]F_ProductBM!J1029 = "", "", [1]F_ProductBM!J1029 ),"")</f>
        <v/>
      </c>
      <c r="K3735" s="86" t="str">
        <f>IFERROR(IF([1]F_ProductBM!K1029 = "", "", [1]F_ProductBM!K1029 ),"")</f>
        <v/>
      </c>
      <c r="L3735" s="86" t="str">
        <f>IFERROR(IF([1]F_ProductBM!L1029 = "", "", [1]F_ProductBM!L1029 ),"")</f>
        <v/>
      </c>
      <c r="M3735" s="86" t="str">
        <f>IFERROR(IF([1]F_ProductBM!M1029 = "", "", [1]F_ProductBM!M1029 ),"")</f>
        <v/>
      </c>
      <c r="N3735" s="86" t="str">
        <f>IFERROR(IF([1]F_ProductBM!N1029 = "", "", [1]F_ProductBM!N1029 ),"")</f>
        <v/>
      </c>
    </row>
    <row r="3736" spans="3:14" ht="13.5" thickBot="1">
      <c r="C3736" s="479"/>
      <c r="D3736" s="479"/>
      <c r="E3736" s="479"/>
      <c r="F3736" s="479"/>
      <c r="G3736" s="479"/>
      <c r="H3736" s="479"/>
      <c r="I3736" s="479"/>
      <c r="J3736" s="479"/>
      <c r="K3736" s="479"/>
      <c r="L3736" s="479"/>
      <c r="M3736" s="485"/>
      <c r="N3736" s="485"/>
    </row>
    <row r="3737" spans="3:14">
      <c r="C3737" s="975"/>
      <c r="D3737" s="976"/>
      <c r="E3737" s="976"/>
      <c r="F3737" s="976"/>
      <c r="G3737" s="976"/>
      <c r="H3737" s="976"/>
      <c r="I3737" s="976"/>
      <c r="J3737" s="976"/>
      <c r="K3737" s="976"/>
      <c r="L3737" s="976"/>
      <c r="M3737" s="774"/>
      <c r="N3737" s="775"/>
    </row>
    <row r="3738" spans="3:14">
      <c r="C3738" s="977"/>
      <c r="D3738" s="2678" t="s">
        <v>2330</v>
      </c>
      <c r="E3738" s="2672"/>
      <c r="F3738" s="2672"/>
      <c r="G3738" s="2672"/>
      <c r="H3738" s="2672"/>
      <c r="I3738" s="2672"/>
      <c r="J3738" s="2672"/>
      <c r="K3738" s="2672"/>
      <c r="L3738" s="2672"/>
      <c r="M3738" s="2672"/>
      <c r="N3738" s="2673"/>
    </row>
    <row r="3739" spans="3:14">
      <c r="C3739" s="980"/>
      <c r="D3739" s="813"/>
      <c r="E3739" s="813"/>
      <c r="F3739" s="813"/>
      <c r="G3739" s="813"/>
      <c r="H3739" s="813"/>
      <c r="I3739" s="813"/>
      <c r="J3739" s="813"/>
      <c r="K3739" s="813"/>
      <c r="L3739" s="813"/>
      <c r="M3739" s="813"/>
      <c r="N3739" s="814"/>
    </row>
    <row r="3740" spans="3:14">
      <c r="C3740" s="980"/>
      <c r="D3740" s="2679" t="s">
        <v>2704</v>
      </c>
      <c r="E3740" s="2646"/>
      <c r="F3740" s="2646"/>
      <c r="G3740" s="2646"/>
      <c r="H3740" s="2680"/>
      <c r="I3740" s="2489" t="str">
        <f>IFERROR(IF([1]F_ProductBM!I1034 = "", "", [1]F_ProductBM!I1034 ),"")</f>
        <v/>
      </c>
      <c r="J3740" s="2534"/>
      <c r="K3740" s="2534"/>
      <c r="L3740" s="2534"/>
      <c r="M3740" s="2534"/>
      <c r="N3740" s="2681"/>
    </row>
    <row r="3741" spans="3:14">
      <c r="C3741" s="980"/>
      <c r="D3741" s="813"/>
      <c r="E3741" s="813"/>
      <c r="F3741" s="813"/>
      <c r="G3741" s="813"/>
      <c r="H3741" s="813"/>
      <c r="I3741" s="813"/>
      <c r="J3741" s="813"/>
      <c r="K3741" s="813"/>
      <c r="L3741" s="813"/>
      <c r="M3741" s="813"/>
      <c r="N3741" s="814"/>
    </row>
    <row r="3742" spans="3:14">
      <c r="C3742" s="977"/>
      <c r="D3742" s="981"/>
      <c r="E3742" s="2691" t="s">
        <v>2154</v>
      </c>
      <c r="F3742" s="2691"/>
      <c r="G3742" s="2691"/>
      <c r="H3742" s="2691"/>
      <c r="I3742" s="2691"/>
      <c r="J3742" s="2691"/>
      <c r="K3742" s="2691"/>
      <c r="L3742" s="2691"/>
      <c r="M3742" s="2691"/>
      <c r="N3742" s="2692"/>
    </row>
    <row r="3743" spans="3:14">
      <c r="C3743" s="977"/>
      <c r="D3743" s="981"/>
      <c r="E3743" s="2691" t="s">
        <v>2176</v>
      </c>
      <c r="F3743" s="2691"/>
      <c r="G3743" s="2691"/>
      <c r="H3743" s="2691"/>
      <c r="I3743" s="2691"/>
      <c r="J3743" s="2691"/>
      <c r="K3743" s="2691"/>
      <c r="L3743" s="2691"/>
      <c r="M3743" s="2691"/>
      <c r="N3743" s="2650"/>
    </row>
    <row r="3744" spans="3:14">
      <c r="C3744" s="977"/>
      <c r="D3744" s="981"/>
      <c r="E3744" s="2691" t="s">
        <v>1549</v>
      </c>
      <c r="F3744" s="2391"/>
      <c r="G3744" s="2391"/>
      <c r="H3744" s="2391"/>
      <c r="I3744" s="2391"/>
      <c r="J3744" s="2391"/>
      <c r="K3744" s="2391"/>
      <c r="L3744" s="2391"/>
      <c r="M3744" s="2391"/>
      <c r="N3744" s="2650"/>
    </row>
    <row r="3745" spans="3:14">
      <c r="C3745" s="977"/>
      <c r="D3745" s="981"/>
      <c r="E3745" s="2693" t="s">
        <v>1643</v>
      </c>
      <c r="F3745" s="2693"/>
      <c r="G3745" s="2693"/>
      <c r="H3745" s="2693"/>
      <c r="I3745" s="2693"/>
      <c r="J3745" s="2693"/>
      <c r="K3745" s="2693"/>
      <c r="L3745" s="2693"/>
      <c r="M3745" s="2693"/>
      <c r="N3745" s="2694"/>
    </row>
    <row r="3746" spans="3:14">
      <c r="C3746" s="980"/>
      <c r="D3746" s="813"/>
      <c r="E3746" s="813"/>
      <c r="F3746" s="813"/>
      <c r="G3746" s="813"/>
      <c r="H3746" s="813"/>
      <c r="I3746" s="813"/>
      <c r="J3746" s="813"/>
      <c r="K3746" s="813"/>
      <c r="L3746" s="813"/>
      <c r="M3746" s="813"/>
      <c r="N3746" s="814"/>
    </row>
    <row r="3747" spans="3:14">
      <c r="C3747" s="977"/>
      <c r="D3747" s="981"/>
      <c r="E3747" s="2695" t="s">
        <v>1475</v>
      </c>
      <c r="F3747" s="2695"/>
      <c r="G3747" s="2695"/>
      <c r="H3747" s="2695"/>
      <c r="I3747" s="2695"/>
      <c r="J3747" s="2695"/>
      <c r="K3747" s="2695"/>
      <c r="L3747" s="2695"/>
      <c r="M3747" s="2695"/>
      <c r="N3747" s="2694"/>
    </row>
    <row r="3748" spans="3:14">
      <c r="C3748" s="980"/>
      <c r="D3748" s="813"/>
      <c r="E3748" s="813"/>
      <c r="F3748" s="813"/>
      <c r="G3748" s="813"/>
      <c r="H3748" s="813"/>
      <c r="I3748" s="813"/>
      <c r="J3748" s="813"/>
      <c r="K3748" s="813"/>
      <c r="L3748" s="813"/>
      <c r="M3748" s="813"/>
      <c r="N3748" s="814"/>
    </row>
    <row r="3749" spans="3:14">
      <c r="C3749" s="977"/>
      <c r="D3749" s="982" t="s">
        <v>266</v>
      </c>
      <c r="E3749" s="2671" t="s">
        <v>1617</v>
      </c>
      <c r="F3749" s="2672"/>
      <c r="G3749" s="2672"/>
      <c r="H3749" s="2672"/>
      <c r="I3749" s="2672"/>
      <c r="J3749" s="2672"/>
      <c r="K3749" s="2672"/>
      <c r="L3749" s="2672"/>
      <c r="M3749" s="2672"/>
      <c r="N3749" s="2673"/>
    </row>
    <row r="3750" spans="3:14">
      <c r="C3750" s="977"/>
      <c r="D3750" s="777"/>
      <c r="E3750" s="2711" t="s">
        <v>2295</v>
      </c>
      <c r="F3750" s="2671"/>
      <c r="G3750" s="2671"/>
      <c r="H3750" s="2671"/>
      <c r="I3750" s="2671"/>
      <c r="J3750" s="2671"/>
      <c r="K3750" s="2671"/>
      <c r="L3750" s="2671"/>
      <c r="M3750" s="2671"/>
      <c r="N3750" s="2712"/>
    </row>
    <row r="3751" spans="3:14">
      <c r="C3751" s="977"/>
      <c r="D3751" s="981"/>
      <c r="E3751" s="2674" t="s">
        <v>1618</v>
      </c>
      <c r="F3751" s="2674"/>
      <c r="G3751" s="2674"/>
      <c r="H3751" s="2674"/>
      <c r="I3751" s="2674"/>
      <c r="J3751" s="2674"/>
      <c r="K3751" s="2674"/>
      <c r="L3751" s="2674"/>
      <c r="M3751" s="2674"/>
      <c r="N3751" s="2675"/>
    </row>
    <row r="3752" spans="3:14">
      <c r="C3752" s="977"/>
      <c r="D3752" s="981"/>
      <c r="E3752" s="985" t="s">
        <v>1021</v>
      </c>
      <c r="F3752" s="2645" t="s">
        <v>1616</v>
      </c>
      <c r="G3752" s="2646"/>
      <c r="H3752" s="2646"/>
      <c r="I3752" s="2646"/>
      <c r="J3752" s="2646"/>
      <c r="K3752" s="2646"/>
      <c r="L3752" s="2646"/>
      <c r="M3752" s="2646"/>
      <c r="N3752" s="2647"/>
    </row>
    <row r="3753" spans="3:14">
      <c r="C3753" s="977"/>
      <c r="D3753" s="981"/>
      <c r="E3753" s="985"/>
      <c r="F3753" s="2669" t="s">
        <v>1615</v>
      </c>
      <c r="G3753" s="2391"/>
      <c r="H3753" s="2391"/>
      <c r="I3753" s="2391"/>
      <c r="J3753" s="2391"/>
      <c r="K3753" s="2391"/>
      <c r="L3753" s="2391"/>
      <c r="M3753" s="2391"/>
      <c r="N3753" s="2650"/>
    </row>
    <row r="3754" spans="3:14">
      <c r="C3754" s="977"/>
      <c r="D3754" s="981"/>
      <c r="E3754" s="985" t="s">
        <v>1021</v>
      </c>
      <c r="F3754" s="2645" t="s">
        <v>1278</v>
      </c>
      <c r="G3754" s="2646"/>
      <c r="H3754" s="2646"/>
      <c r="I3754" s="2646"/>
      <c r="J3754" s="2646"/>
      <c r="K3754" s="2646"/>
      <c r="L3754" s="2646"/>
      <c r="M3754" s="2646"/>
      <c r="N3754" s="2647"/>
    </row>
    <row r="3755" spans="3:14">
      <c r="C3755" s="977"/>
      <c r="D3755" s="981"/>
      <c r="E3755" s="985"/>
      <c r="F3755" s="2645" t="s">
        <v>1620</v>
      </c>
      <c r="G3755" s="2646"/>
      <c r="H3755" s="2646"/>
      <c r="I3755" s="2646"/>
      <c r="J3755" s="2646"/>
      <c r="K3755" s="2646"/>
      <c r="L3755" s="2646"/>
      <c r="M3755" s="2646"/>
      <c r="N3755" s="2647"/>
    </row>
    <row r="3756" spans="3:14">
      <c r="C3756" s="977"/>
      <c r="D3756" s="981"/>
      <c r="E3756" s="985"/>
      <c r="F3756" s="2645" t="s">
        <v>1619</v>
      </c>
      <c r="G3756" s="2646"/>
      <c r="H3756" s="2646"/>
      <c r="I3756" s="2646"/>
      <c r="J3756" s="2646"/>
      <c r="K3756" s="2646"/>
      <c r="L3756" s="2646"/>
      <c r="M3756" s="2646"/>
      <c r="N3756" s="2647"/>
    </row>
    <row r="3757" spans="3:14">
      <c r="C3757" s="977"/>
      <c r="D3757" s="981"/>
      <c r="E3757" s="985" t="s">
        <v>1021</v>
      </c>
      <c r="F3757" s="2645" t="s">
        <v>1542</v>
      </c>
      <c r="G3757" s="2646"/>
      <c r="H3757" s="2646"/>
      <c r="I3757" s="2646"/>
      <c r="J3757" s="2646"/>
      <c r="K3757" s="2646"/>
      <c r="L3757" s="2646"/>
      <c r="M3757" s="2646"/>
      <c r="N3757" s="2647"/>
    </row>
    <row r="3758" spans="3:14">
      <c r="C3758" s="977"/>
      <c r="D3758" s="981"/>
      <c r="E3758" s="985" t="s">
        <v>1021</v>
      </c>
      <c r="F3758" s="2645" t="s">
        <v>1458</v>
      </c>
      <c r="G3758" s="2646"/>
      <c r="H3758" s="2646"/>
      <c r="I3758" s="2646"/>
      <c r="J3758" s="2646"/>
      <c r="K3758" s="2646"/>
      <c r="L3758" s="2646"/>
      <c r="M3758" s="2646"/>
      <c r="N3758" s="2647"/>
    </row>
    <row r="3759" spans="3:14">
      <c r="C3759" s="977"/>
      <c r="D3759" s="982"/>
      <c r="E3759" s="2648" t="s">
        <v>1612</v>
      </c>
      <c r="F3759" s="2648"/>
      <c r="G3759" s="987" t="s">
        <v>884</v>
      </c>
      <c r="H3759" s="782">
        <v>2019</v>
      </c>
      <c r="I3759" s="988">
        <v>2020</v>
      </c>
      <c r="J3759" s="781">
        <v>2021</v>
      </c>
      <c r="K3759" s="782">
        <v>2022</v>
      </c>
      <c r="L3759" s="782">
        <v>2023</v>
      </c>
      <c r="M3759" s="782">
        <v>2024</v>
      </c>
      <c r="N3759" s="783">
        <v>2025</v>
      </c>
    </row>
    <row r="3760" spans="3:14">
      <c r="C3760" s="977"/>
      <c r="D3760" s="981"/>
      <c r="E3760" s="2487" t="str">
        <f>IFERROR(IF([1]F_ProductBM!E1054 = "", "", [1]F_ProductBM!E1054 ),"")</f>
        <v/>
      </c>
      <c r="F3760" s="2488"/>
      <c r="G3760" s="815" t="s">
        <v>2016</v>
      </c>
      <c r="H3760" s="93" t="str">
        <f>IFERROR(IF([1]F_ProductBM!H1054 = "", "", [1]F_ProductBM!H1054 ),"")</f>
        <v/>
      </c>
      <c r="I3760" s="116" t="str">
        <f>IFERROR(IF([1]F_ProductBM!I1054 = "", "", [1]F_ProductBM!I1054 ),"")</f>
        <v/>
      </c>
      <c r="J3760" s="117" t="str">
        <f>IFERROR(IF([1]F_ProductBM!J1054 = "", "", [1]F_ProductBM!J1054 ),"")</f>
        <v/>
      </c>
      <c r="K3760" s="93" t="str">
        <f>IFERROR(IF([1]F_ProductBM!K1054 = "", "", [1]F_ProductBM!K1054 ),"")</f>
        <v/>
      </c>
      <c r="L3760" s="93" t="str">
        <f>IFERROR(IF([1]F_ProductBM!L1054 = "", "", [1]F_ProductBM!L1054 ),"")</f>
        <v/>
      </c>
      <c r="M3760" s="93" t="str">
        <f>IFERROR(IF([1]F_ProductBM!M1054 = "", "", [1]F_ProductBM!M1054 ),"")</f>
        <v/>
      </c>
      <c r="N3760" s="118" t="str">
        <f>IFERROR(IF([1]F_ProductBM!N1054 = "", "", [1]F_ProductBM!N1054 ),"")</f>
        <v/>
      </c>
    </row>
    <row r="3761" spans="3:14">
      <c r="C3761" s="977"/>
      <c r="D3761" s="981"/>
      <c r="E3761" s="981"/>
      <c r="F3761" s="981"/>
      <c r="G3761" s="981"/>
      <c r="H3761" s="981"/>
      <c r="I3761" s="981"/>
      <c r="J3761" s="981"/>
      <c r="K3761" s="981"/>
      <c r="L3761" s="981"/>
      <c r="M3761" s="813"/>
      <c r="N3761" s="814"/>
    </row>
    <row r="3762" spans="3:14">
      <c r="C3762" s="977"/>
      <c r="D3762" s="982" t="s">
        <v>269</v>
      </c>
      <c r="E3762" s="2649" t="s">
        <v>1189</v>
      </c>
      <c r="F3762" s="2391"/>
      <c r="G3762" s="2391"/>
      <c r="H3762" s="2391"/>
      <c r="I3762" s="2391"/>
      <c r="J3762" s="2391"/>
      <c r="K3762" s="2391"/>
      <c r="L3762" s="2391"/>
      <c r="M3762" s="2391"/>
      <c r="N3762" s="2650"/>
    </row>
    <row r="3763" spans="3:14">
      <c r="C3763" s="977"/>
      <c r="D3763" s="981"/>
      <c r="E3763" s="2674" t="s">
        <v>1605</v>
      </c>
      <c r="F3763" s="2674"/>
      <c r="G3763" s="2674"/>
      <c r="H3763" s="2674"/>
      <c r="I3763" s="2674"/>
      <c r="J3763" s="2674"/>
      <c r="K3763" s="2674"/>
      <c r="L3763" s="2674"/>
      <c r="M3763" s="2674"/>
      <c r="N3763" s="2675"/>
    </row>
    <row r="3764" spans="3:14">
      <c r="C3764" s="977"/>
      <c r="D3764" s="981"/>
      <c r="E3764" s="2674" t="s">
        <v>1357</v>
      </c>
      <c r="F3764" s="2674"/>
      <c r="G3764" s="2674"/>
      <c r="H3764" s="2674"/>
      <c r="I3764" s="2674"/>
      <c r="J3764" s="2674"/>
      <c r="K3764" s="2674"/>
      <c r="L3764" s="2674"/>
      <c r="M3764" s="2674"/>
      <c r="N3764" s="2675"/>
    </row>
    <row r="3765" spans="3:14">
      <c r="C3765" s="977"/>
      <c r="D3765" s="981"/>
      <c r="E3765" s="2674" t="s">
        <v>1594</v>
      </c>
      <c r="F3765" s="2674"/>
      <c r="G3765" s="2674"/>
      <c r="H3765" s="2674"/>
      <c r="I3765" s="2674"/>
      <c r="J3765" s="2674"/>
      <c r="K3765" s="2674"/>
      <c r="L3765" s="2674"/>
      <c r="M3765" s="2674"/>
      <c r="N3765" s="2675"/>
    </row>
    <row r="3766" spans="3:14">
      <c r="C3766" s="977"/>
      <c r="D3766" s="981"/>
      <c r="E3766" s="2676" t="s">
        <v>1557</v>
      </c>
      <c r="F3766" s="2391"/>
      <c r="G3766" s="2391"/>
      <c r="H3766" s="2391"/>
      <c r="I3766" s="2391"/>
      <c r="J3766" s="2391"/>
      <c r="K3766" s="2391"/>
      <c r="L3766" s="2391"/>
      <c r="M3766" s="2391"/>
      <c r="N3766" s="2650"/>
    </row>
    <row r="3767" spans="3:14">
      <c r="C3767" s="977"/>
      <c r="D3767" s="982"/>
      <c r="E3767" s="989"/>
      <c r="F3767" s="990"/>
      <c r="G3767" s="987" t="s">
        <v>884</v>
      </c>
      <c r="H3767" s="782">
        <v>2019</v>
      </c>
      <c r="I3767" s="988">
        <v>2020</v>
      </c>
      <c r="J3767" s="781">
        <v>2021</v>
      </c>
      <c r="K3767" s="782">
        <v>2022</v>
      </c>
      <c r="L3767" s="782">
        <v>2023</v>
      </c>
      <c r="M3767" s="782">
        <v>2024</v>
      </c>
      <c r="N3767" s="783">
        <v>2025</v>
      </c>
    </row>
    <row r="3768" spans="3:14">
      <c r="C3768" s="977"/>
      <c r="D3768" s="777" t="s">
        <v>6</v>
      </c>
      <c r="E3768" s="2475" t="s">
        <v>1344</v>
      </c>
      <c r="F3768" s="2410"/>
      <c r="G3768" s="815" t="s">
        <v>2017</v>
      </c>
      <c r="H3768" s="93" t="str">
        <f>IFERROR(IF([1]F_ProductBM!H1062 = "", "", [1]F_ProductBM!H1062 ),"")</f>
        <v/>
      </c>
      <c r="I3768" s="116" t="str">
        <f>IFERROR(IF([1]F_ProductBM!I1062 = "", "", [1]F_ProductBM!I1062 ),"")</f>
        <v/>
      </c>
      <c r="J3768" s="117" t="str">
        <f>IFERROR(IF([1]F_ProductBM!J1062 = "", "", [1]F_ProductBM!J1062 ),"")</f>
        <v/>
      </c>
      <c r="K3768" s="93" t="str">
        <f>IFERROR(IF([1]F_ProductBM!K1062 = "", "", [1]F_ProductBM!K1062 ),"")</f>
        <v/>
      </c>
      <c r="L3768" s="93" t="str">
        <f>IFERROR(IF([1]F_ProductBM!L1062 = "", "", [1]F_ProductBM!L1062 ),"")</f>
        <v/>
      </c>
      <c r="M3768" s="93" t="str">
        <f>IFERROR(IF([1]F_ProductBM!M1062 = "", "", [1]F_ProductBM!M1062 ),"")</f>
        <v/>
      </c>
      <c r="N3768" s="118" t="str">
        <f>IFERROR(IF([1]F_ProductBM!N1062 = "", "", [1]F_ProductBM!N1062 ),"")</f>
        <v/>
      </c>
    </row>
    <row r="3769" spans="3:14">
      <c r="C3769" s="977"/>
      <c r="D3769" s="777" t="s">
        <v>7</v>
      </c>
      <c r="E3769" s="2475" t="s">
        <v>1182</v>
      </c>
      <c r="F3769" s="2410"/>
      <c r="G3769" s="991" t="s">
        <v>2018</v>
      </c>
      <c r="H3769" s="109" t="str">
        <f>IFERROR(IF([1]F_ProductBM!H1063 = "", "", [1]F_ProductBM!H1063 ),"")</f>
        <v/>
      </c>
      <c r="I3769" s="304" t="str">
        <f>IFERROR(IF([1]F_ProductBM!I1063 = "", "", [1]F_ProductBM!I1063 ),"")</f>
        <v/>
      </c>
      <c r="J3769" s="305" t="str">
        <f>IFERROR(IF([1]F_ProductBM!J1063 = "", "", [1]F_ProductBM!J1063 ),"")</f>
        <v/>
      </c>
      <c r="K3769" s="109" t="str">
        <f>IFERROR(IF([1]F_ProductBM!K1063 = "", "", [1]F_ProductBM!K1063 ),"")</f>
        <v/>
      </c>
      <c r="L3769" s="109" t="str">
        <f>IFERROR(IF([1]F_ProductBM!L1063 = "", "", [1]F_ProductBM!L1063 ),"")</f>
        <v/>
      </c>
      <c r="M3769" s="109" t="str">
        <f>IFERROR(IF([1]F_ProductBM!M1063 = "", "", [1]F_ProductBM!M1063 ),"")</f>
        <v/>
      </c>
      <c r="N3769" s="357" t="str">
        <f>IFERROR(IF([1]F_ProductBM!N1063 = "", "", [1]F_ProductBM!N1063 ),"")</f>
        <v/>
      </c>
    </row>
    <row r="3770" spans="3:14">
      <c r="C3770" s="977"/>
      <c r="D3770" s="981"/>
      <c r="E3770" s="981"/>
      <c r="F3770" s="981"/>
      <c r="G3770" s="981"/>
      <c r="H3770" s="981"/>
      <c r="I3770" s="981"/>
      <c r="J3770" s="981"/>
      <c r="K3770" s="981"/>
      <c r="L3770" s="981"/>
      <c r="M3770" s="813"/>
      <c r="N3770" s="814"/>
    </row>
    <row r="3771" spans="3:14">
      <c r="C3771" s="977"/>
      <c r="D3771" s="982" t="s">
        <v>271</v>
      </c>
      <c r="E3771" s="2649" t="s">
        <v>1416</v>
      </c>
      <c r="F3771" s="2391"/>
      <c r="G3771" s="2391"/>
      <c r="H3771" s="2391"/>
      <c r="I3771" s="2391"/>
      <c r="J3771" s="2391"/>
      <c r="K3771" s="2391"/>
      <c r="L3771" s="2391"/>
      <c r="M3771" s="2391"/>
      <c r="N3771" s="2650"/>
    </row>
    <row r="3772" spans="3:14">
      <c r="C3772" s="977"/>
      <c r="D3772" s="777"/>
      <c r="E3772" s="2676" t="s">
        <v>2295</v>
      </c>
      <c r="F3772" s="2391"/>
      <c r="G3772" s="2391"/>
      <c r="H3772" s="2391"/>
      <c r="I3772" s="2391"/>
      <c r="J3772" s="2391"/>
      <c r="K3772" s="2391"/>
      <c r="L3772" s="2391"/>
      <c r="M3772" s="2391"/>
      <c r="N3772" s="2650"/>
    </row>
    <row r="3773" spans="3:14">
      <c r="C3773" s="977"/>
      <c r="D3773" s="981"/>
      <c r="E3773" s="2676" t="s">
        <v>1551</v>
      </c>
      <c r="F3773" s="2391"/>
      <c r="G3773" s="2391"/>
      <c r="H3773" s="2391"/>
      <c r="I3773" s="2391"/>
      <c r="J3773" s="2391"/>
      <c r="K3773" s="2391"/>
      <c r="L3773" s="2391"/>
      <c r="M3773" s="2391"/>
      <c r="N3773" s="2650"/>
    </row>
    <row r="3774" spans="3:14">
      <c r="C3774" s="977"/>
      <c r="D3774" s="981"/>
      <c r="E3774" s="2669" t="s">
        <v>1552</v>
      </c>
      <c r="F3774" s="2391"/>
      <c r="G3774" s="2391"/>
      <c r="H3774" s="2391"/>
      <c r="I3774" s="2391"/>
      <c r="J3774" s="2391"/>
      <c r="K3774" s="2391"/>
      <c r="L3774" s="2391"/>
      <c r="M3774" s="2391"/>
      <c r="N3774" s="2650"/>
    </row>
    <row r="3775" spans="3:14">
      <c r="C3775" s="977"/>
      <c r="D3775" s="981"/>
      <c r="E3775" s="2669" t="s">
        <v>1553</v>
      </c>
      <c r="F3775" s="2391"/>
      <c r="G3775" s="2391"/>
      <c r="H3775" s="2391"/>
      <c r="I3775" s="2391"/>
      <c r="J3775" s="2391"/>
      <c r="K3775" s="2391"/>
      <c r="L3775" s="2391"/>
      <c r="M3775" s="2391"/>
      <c r="N3775" s="2650"/>
    </row>
    <row r="3776" spans="3:14">
      <c r="C3776" s="977"/>
      <c r="D3776" s="981"/>
      <c r="E3776" s="2669" t="s">
        <v>1567</v>
      </c>
      <c r="F3776" s="2391"/>
      <c r="G3776" s="2391"/>
      <c r="H3776" s="2391"/>
      <c r="I3776" s="2391"/>
      <c r="J3776" s="2391"/>
      <c r="K3776" s="2391"/>
      <c r="L3776" s="2391"/>
      <c r="M3776" s="2391"/>
      <c r="N3776" s="2650"/>
    </row>
    <row r="3777" spans="3:14">
      <c r="C3777" s="977"/>
      <c r="D3777" s="981"/>
      <c r="E3777" s="2669" t="s">
        <v>1565</v>
      </c>
      <c r="F3777" s="2391"/>
      <c r="G3777" s="2391"/>
      <c r="H3777" s="2391"/>
      <c r="I3777" s="2391"/>
      <c r="J3777" s="2391"/>
      <c r="K3777" s="2391"/>
      <c r="L3777" s="2391"/>
      <c r="M3777" s="2391"/>
      <c r="N3777" s="2650"/>
    </row>
    <row r="3778" spans="3:14">
      <c r="C3778" s="977"/>
      <c r="D3778" s="777" t="s">
        <v>6</v>
      </c>
      <c r="E3778" s="2682" t="s">
        <v>1456</v>
      </c>
      <c r="F3778" s="2391"/>
      <c r="G3778" s="2391"/>
      <c r="H3778" s="2391"/>
      <c r="I3778" s="2391"/>
      <c r="J3778" s="2391"/>
      <c r="K3778" s="2512"/>
      <c r="L3778" s="120" t="str">
        <f>IFERROR(IF([1]F_ProductBM!L1072 = "", "", [1]F_ProductBM!L1072 ),"")</f>
        <v/>
      </c>
      <c r="M3778" s="978"/>
      <c r="N3778" s="979"/>
    </row>
    <row r="3779" spans="3:14">
      <c r="C3779" s="977"/>
      <c r="D3779" s="981"/>
      <c r="E3779" s="2669" t="s">
        <v>1216</v>
      </c>
      <c r="F3779" s="2391"/>
      <c r="G3779" s="2391"/>
      <c r="H3779" s="2391"/>
      <c r="I3779" s="2391"/>
      <c r="J3779" s="2391"/>
      <c r="K3779" s="2391"/>
      <c r="L3779" s="2391"/>
      <c r="M3779" s="2391"/>
      <c r="N3779" s="2650"/>
    </row>
    <row r="3780" spans="3:14">
      <c r="C3780" s="977"/>
      <c r="D3780" s="777" t="s">
        <v>7</v>
      </c>
      <c r="E3780" s="2649" t="s">
        <v>1214</v>
      </c>
      <c r="F3780" s="2391"/>
      <c r="G3780" s="2391"/>
      <c r="H3780" s="2512"/>
      <c r="I3780" s="2683" t="str">
        <f>IFERROR(IF([1]F_ProductBM!I1074 = "", "", [1]F_ProductBM!I1074 ),"")</f>
        <v/>
      </c>
      <c r="J3780" s="2487"/>
      <c r="K3780" s="2487"/>
      <c r="L3780" s="2487"/>
      <c r="M3780" s="2684"/>
      <c r="N3780" s="992"/>
    </row>
    <row r="3781" spans="3:14">
      <c r="C3781" s="977"/>
      <c r="D3781" s="981"/>
      <c r="E3781" s="986"/>
      <c r="F3781" s="978"/>
      <c r="G3781" s="978"/>
      <c r="H3781" s="978"/>
      <c r="I3781" s="978"/>
      <c r="J3781" s="978"/>
      <c r="K3781" s="978"/>
      <c r="L3781" s="978"/>
      <c r="M3781" s="978"/>
      <c r="N3781" s="979"/>
    </row>
    <row r="3782" spans="3:14">
      <c r="C3782" s="977"/>
      <c r="D3782" s="981"/>
      <c r="E3782" s="2648" t="s">
        <v>1154</v>
      </c>
      <c r="F3782" s="2493"/>
      <c r="G3782" s="987" t="s">
        <v>884</v>
      </c>
      <c r="H3782" s="782">
        <v>2019</v>
      </c>
      <c r="I3782" s="988">
        <v>2020</v>
      </c>
      <c r="J3782" s="781">
        <v>2021</v>
      </c>
      <c r="K3782" s="782">
        <v>2022</v>
      </c>
      <c r="L3782" s="782">
        <v>2023</v>
      </c>
      <c r="M3782" s="782">
        <v>2024</v>
      </c>
      <c r="N3782" s="783">
        <v>2025</v>
      </c>
    </row>
    <row r="3783" spans="3:14">
      <c r="C3783" s="977"/>
      <c r="D3783" s="777" t="s">
        <v>8</v>
      </c>
      <c r="E3783" s="2471" t="s">
        <v>1153</v>
      </c>
      <c r="F3783" s="2472"/>
      <c r="G3783" s="811" t="s">
        <v>2152</v>
      </c>
      <c r="H3783" s="94" t="str">
        <f>IFERROR(IF([1]F_ProductBM!H1077 = "", "", [1]F_ProductBM!H1077 ),"")</f>
        <v/>
      </c>
      <c r="I3783" s="110" t="str">
        <f>IFERROR(IF([1]F_ProductBM!I1077 = "", "", [1]F_ProductBM!I1077 ),"")</f>
        <v/>
      </c>
      <c r="J3783" s="111" t="str">
        <f>IFERROR(IF([1]F_ProductBM!J1077 = "", "", [1]F_ProductBM!J1077 ),"")</f>
        <v/>
      </c>
      <c r="K3783" s="94" t="str">
        <f>IFERROR(IF([1]F_ProductBM!K1077 = "", "", [1]F_ProductBM!K1077 ),"")</f>
        <v/>
      </c>
      <c r="L3783" s="94" t="str">
        <f>IFERROR(IF([1]F_ProductBM!L1077 = "", "", [1]F_ProductBM!L1077 ),"")</f>
        <v/>
      </c>
      <c r="M3783" s="94" t="str">
        <f>IFERROR(IF([1]F_ProductBM!M1077 = "", "", [1]F_ProductBM!M1077 ),"")</f>
        <v/>
      </c>
      <c r="N3783" s="112" t="str">
        <f>IFERROR(IF([1]F_ProductBM!N1077 = "", "", [1]F_ProductBM!N1077 ),"")</f>
        <v/>
      </c>
    </row>
    <row r="3784" spans="3:14">
      <c r="C3784" s="977"/>
      <c r="D3784" s="777" t="s">
        <v>18</v>
      </c>
      <c r="E3784" s="2685" t="s">
        <v>946</v>
      </c>
      <c r="F3784" s="2608"/>
      <c r="G3784" s="993" t="s">
        <v>2019</v>
      </c>
      <c r="H3784" s="101" t="str">
        <f>IFERROR(IF([1]F_ProductBM!H1078 = "", "", [1]F_ProductBM!H1078 ),"")</f>
        <v/>
      </c>
      <c r="I3784" s="361" t="str">
        <f>IFERROR(IF([1]F_ProductBM!I1078 = "", "", [1]F_ProductBM!I1078 ),"")</f>
        <v/>
      </c>
      <c r="J3784" s="362" t="str">
        <f>IFERROR(IF([1]F_ProductBM!J1078 = "", "", [1]F_ProductBM!J1078 ),"")</f>
        <v/>
      </c>
      <c r="K3784" s="101" t="str">
        <f>IFERROR(IF([1]F_ProductBM!K1078 = "", "", [1]F_ProductBM!K1078 ),"")</f>
        <v/>
      </c>
      <c r="L3784" s="101" t="str">
        <f>IFERROR(IF([1]F_ProductBM!L1078 = "", "", [1]F_ProductBM!L1078 ),"")</f>
        <v/>
      </c>
      <c r="M3784" s="101" t="str">
        <f>IFERROR(IF([1]F_ProductBM!M1078 = "", "", [1]F_ProductBM!M1078 ),"")</f>
        <v/>
      </c>
      <c r="N3784" s="363" t="str">
        <f>IFERROR(IF([1]F_ProductBM!N1078 = "", "", [1]F_ProductBM!N1078 ),"")</f>
        <v/>
      </c>
    </row>
    <row r="3785" spans="3:14">
      <c r="C3785" s="977"/>
      <c r="D3785" s="777" t="s">
        <v>787</v>
      </c>
      <c r="E3785" s="2685" t="s">
        <v>945</v>
      </c>
      <c r="F3785" s="2608"/>
      <c r="G3785" s="994" t="s">
        <v>878</v>
      </c>
      <c r="H3785" s="101" t="str">
        <f>IFERROR(IF([1]F_ProductBM!H1079 = "", "", [1]F_ProductBM!H1079 ),"")</f>
        <v/>
      </c>
      <c r="I3785" s="361" t="str">
        <f>IFERROR(IF([1]F_ProductBM!I1079 = "", "", [1]F_ProductBM!I1079 ),"")</f>
        <v/>
      </c>
      <c r="J3785" s="362" t="str">
        <f>IFERROR(IF([1]F_ProductBM!J1079 = "", "", [1]F_ProductBM!J1079 ),"")</f>
        <v/>
      </c>
      <c r="K3785" s="101" t="str">
        <f>IFERROR(IF([1]F_ProductBM!K1079 = "", "", [1]F_ProductBM!K1079 ),"")</f>
        <v/>
      </c>
      <c r="L3785" s="101" t="str">
        <f>IFERROR(IF([1]F_ProductBM!L1079 = "", "", [1]F_ProductBM!L1079 ),"")</f>
        <v/>
      </c>
      <c r="M3785" s="101" t="str">
        <f>IFERROR(IF([1]F_ProductBM!M1079 = "", "", [1]F_ProductBM!M1079 ),"")</f>
        <v/>
      </c>
      <c r="N3785" s="363" t="str">
        <f>IFERROR(IF([1]F_ProductBM!N1079 = "", "", [1]F_ProductBM!N1079 ),"")</f>
        <v/>
      </c>
    </row>
    <row r="3786" spans="3:14">
      <c r="C3786" s="977"/>
      <c r="D3786" s="777" t="s">
        <v>788</v>
      </c>
      <c r="E3786" s="2473" t="s">
        <v>880</v>
      </c>
      <c r="F3786" s="2474"/>
      <c r="G3786" s="812" t="s">
        <v>878</v>
      </c>
      <c r="H3786" s="95" t="str">
        <f>IFERROR(IF([1]F_ProductBM!H1080 = "", "", [1]F_ProductBM!H1080 ),"")</f>
        <v/>
      </c>
      <c r="I3786" s="113" t="str">
        <f>IFERROR(IF([1]F_ProductBM!I1080 = "", "", [1]F_ProductBM!I1080 ),"")</f>
        <v/>
      </c>
      <c r="J3786" s="114" t="str">
        <f>IFERROR(IF([1]F_ProductBM!J1080 = "", "", [1]F_ProductBM!J1080 ),"")</f>
        <v/>
      </c>
      <c r="K3786" s="95" t="str">
        <f>IFERROR(IF([1]F_ProductBM!K1080 = "", "", [1]F_ProductBM!K1080 ),"")</f>
        <v/>
      </c>
      <c r="L3786" s="95" t="str">
        <f>IFERROR(IF([1]F_ProductBM!L1080 = "", "", [1]F_ProductBM!L1080 ),"")</f>
        <v/>
      </c>
      <c r="M3786" s="95" t="str">
        <f>IFERROR(IF([1]F_ProductBM!M1080 = "", "", [1]F_ProductBM!M1080 ),"")</f>
        <v/>
      </c>
      <c r="N3786" s="115" t="str">
        <f>IFERROR(IF([1]F_ProductBM!N1080 = "", "", [1]F_ProductBM!N1080 ),"")</f>
        <v/>
      </c>
    </row>
    <row r="3787" spans="3:14">
      <c r="C3787" s="977"/>
      <c r="D3787" s="777" t="s">
        <v>789</v>
      </c>
      <c r="E3787" s="2471" t="s">
        <v>882</v>
      </c>
      <c r="F3787" s="2472"/>
      <c r="G3787" s="995" t="s">
        <v>2015</v>
      </c>
      <c r="H3787" s="378" t="str">
        <f>IFERROR(IF([1]F_ProductBM!H1081 = "", "", [1]F_ProductBM!H1081 ),"")</f>
        <v/>
      </c>
      <c r="I3787" s="379" t="str">
        <f>IFERROR(IF([1]F_ProductBM!I1081 = "", "", [1]F_ProductBM!I1081 ),"")</f>
        <v/>
      </c>
      <c r="J3787" s="380" t="str">
        <f>IFERROR(IF([1]F_ProductBM!J1081 = "", "", [1]F_ProductBM!J1081 ),"")</f>
        <v/>
      </c>
      <c r="K3787" s="378" t="str">
        <f>IFERROR(IF([1]F_ProductBM!K1081 = "", "", [1]F_ProductBM!K1081 ),"")</f>
        <v/>
      </c>
      <c r="L3787" s="378" t="str">
        <f>IFERROR(IF([1]F_ProductBM!L1081 = "", "", [1]F_ProductBM!L1081 ),"")</f>
        <v/>
      </c>
      <c r="M3787" s="378" t="str">
        <f>IFERROR(IF([1]F_ProductBM!M1081 = "", "", [1]F_ProductBM!M1081 ),"")</f>
        <v/>
      </c>
      <c r="N3787" s="381" t="str">
        <f>IFERROR(IF([1]F_ProductBM!N1081 = "", "", [1]F_ProductBM!N1081 ),"")</f>
        <v/>
      </c>
    </row>
    <row r="3788" spans="3:14">
      <c r="C3788" s="977"/>
      <c r="D3788" s="777" t="s">
        <v>790</v>
      </c>
      <c r="E3788" s="2670" t="s">
        <v>879</v>
      </c>
      <c r="F3788" s="2608"/>
      <c r="G3788" s="998" t="s">
        <v>2015</v>
      </c>
      <c r="H3788" s="382" t="str">
        <f>IFERROR(IF([1]F_ProductBM!H1082 = "", "", [1]F_ProductBM!H1082 ),"")</f>
        <v/>
      </c>
      <c r="I3788" s="383" t="str">
        <f>IFERROR(IF([1]F_ProductBM!I1082 = "", "", [1]F_ProductBM!I1082 ),"")</f>
        <v/>
      </c>
      <c r="J3788" s="384" t="str">
        <f>IFERROR(IF([1]F_ProductBM!J1082 = "", "", [1]F_ProductBM!J1082 ),"")</f>
        <v/>
      </c>
      <c r="K3788" s="382" t="str">
        <f>IFERROR(IF([1]F_ProductBM!K1082 = "", "", [1]F_ProductBM!K1082 ),"")</f>
        <v/>
      </c>
      <c r="L3788" s="382" t="str">
        <f>IFERROR(IF([1]F_ProductBM!L1082 = "", "", [1]F_ProductBM!L1082 ),"")</f>
        <v/>
      </c>
      <c r="M3788" s="382" t="str">
        <f>IFERROR(IF([1]F_ProductBM!M1082 = "", "", [1]F_ProductBM!M1082 ),"")</f>
        <v/>
      </c>
      <c r="N3788" s="385" t="str">
        <f>IFERROR(IF([1]F_ProductBM!N1082 = "", "", [1]F_ProductBM!N1082 ),"")</f>
        <v/>
      </c>
    </row>
    <row r="3789" spans="3:14">
      <c r="C3789" s="977"/>
      <c r="D3789" s="777" t="s">
        <v>791</v>
      </c>
      <c r="E3789" s="2473" t="s">
        <v>41</v>
      </c>
      <c r="F3789" s="2474"/>
      <c r="G3789" s="1001" t="s">
        <v>2017</v>
      </c>
      <c r="H3789" s="86" t="str">
        <f>IFERROR(IF([1]F_ProductBM!H1083 = "", "", [1]F_ProductBM!H1083 ),"")</f>
        <v/>
      </c>
      <c r="I3789" s="340" t="str">
        <f>IFERROR(IF([1]F_ProductBM!I1083 = "", "", [1]F_ProductBM!I1083 ),"")</f>
        <v/>
      </c>
      <c r="J3789" s="341" t="str">
        <f>IFERROR(IF([1]F_ProductBM!J1083 = "", "", [1]F_ProductBM!J1083 ),"")</f>
        <v/>
      </c>
      <c r="K3789" s="86" t="str">
        <f>IFERROR(IF([1]F_ProductBM!K1083 = "", "", [1]F_ProductBM!K1083 ),"")</f>
        <v/>
      </c>
      <c r="L3789" s="86" t="str">
        <f>IFERROR(IF([1]F_ProductBM!L1083 = "", "", [1]F_ProductBM!L1083 ),"")</f>
        <v/>
      </c>
      <c r="M3789" s="86" t="str">
        <f>IFERROR(IF([1]F_ProductBM!M1083 = "", "", [1]F_ProductBM!M1083 ),"")</f>
        <v/>
      </c>
      <c r="N3789" s="342" t="str">
        <f>IFERROR(IF([1]F_ProductBM!N1083 = "", "", [1]F_ProductBM!N1083 ),"")</f>
        <v/>
      </c>
    </row>
    <row r="3790" spans="3:14">
      <c r="C3790" s="977"/>
      <c r="D3790" s="777" t="s">
        <v>64</v>
      </c>
      <c r="E3790" s="2687" t="s">
        <v>393</v>
      </c>
      <c r="F3790" s="2688"/>
      <c r="G3790" s="1002"/>
      <c r="H3790" s="343" t="str">
        <f>IFERROR(IF([1]F_ProductBM!H1084 = "", "", [1]F_ProductBM!H1084 ),"")</f>
        <v/>
      </c>
      <c r="I3790" s="344" t="str">
        <f>IFERROR(IF([1]F_ProductBM!I1084 = "", "", [1]F_ProductBM!I1084 ),"")</f>
        <v/>
      </c>
      <c r="J3790" s="345" t="str">
        <f>IFERROR(IF([1]F_ProductBM!J1084 = "", "", [1]F_ProductBM!J1084 ),"")</f>
        <v/>
      </c>
      <c r="K3790" s="343" t="str">
        <f>IFERROR(IF([1]F_ProductBM!K1084 = "", "", [1]F_ProductBM!K1084 ),"")</f>
        <v/>
      </c>
      <c r="L3790" s="343" t="str">
        <f>IFERROR(IF([1]F_ProductBM!L1084 = "", "", [1]F_ProductBM!L1084 ),"")</f>
        <v/>
      </c>
      <c r="M3790" s="343" t="str">
        <f>IFERROR(IF([1]F_ProductBM!M1084 = "", "", [1]F_ProductBM!M1084 ),"")</f>
        <v/>
      </c>
      <c r="N3790" s="346" t="str">
        <f>IFERROR(IF([1]F_ProductBM!N1084 = "", "", [1]F_ProductBM!N1084 ),"")</f>
        <v/>
      </c>
    </row>
    <row r="3791" spans="3:14">
      <c r="C3791" s="977"/>
      <c r="D3791" s="777"/>
      <c r="E3791" s="981"/>
      <c r="F3791" s="981"/>
      <c r="G3791" s="981"/>
      <c r="H3791" s="981"/>
      <c r="I3791" s="981"/>
      <c r="J3791" s="981"/>
      <c r="K3791" s="981"/>
      <c r="L3791" s="981"/>
      <c r="M3791" s="813"/>
      <c r="N3791" s="814"/>
    </row>
    <row r="3792" spans="3:14">
      <c r="C3792" s="977"/>
      <c r="D3792" s="777" t="s">
        <v>65</v>
      </c>
      <c r="E3792" s="2649" t="s">
        <v>1215</v>
      </c>
      <c r="F3792" s="2391"/>
      <c r="G3792" s="2391"/>
      <c r="H3792" s="2512"/>
      <c r="I3792" s="2683" t="str">
        <f>IFERROR(IF([1]F_ProductBM!I1086 = "", "", [1]F_ProductBM!I1086 ),"")</f>
        <v/>
      </c>
      <c r="J3792" s="2488"/>
      <c r="K3792" s="2488"/>
      <c r="L3792" s="2488"/>
      <c r="M3792" s="2686"/>
      <c r="N3792" s="979"/>
    </row>
    <row r="3793" spans="3:14">
      <c r="C3793" s="977"/>
      <c r="D3793" s="981"/>
      <c r="E3793" s="986"/>
      <c r="F3793" s="978"/>
      <c r="G3793" s="981"/>
      <c r="H3793" s="981"/>
      <c r="I3793" s="978"/>
      <c r="J3793" s="978"/>
      <c r="K3793" s="978"/>
      <c r="L3793" s="978"/>
      <c r="M3793" s="978"/>
      <c r="N3793" s="979"/>
    </row>
    <row r="3794" spans="3:14">
      <c r="C3794" s="977"/>
      <c r="D3794" s="777"/>
      <c r="E3794" s="2648" t="s">
        <v>1155</v>
      </c>
      <c r="F3794" s="2493"/>
      <c r="G3794" s="987" t="s">
        <v>884</v>
      </c>
      <c r="H3794" s="782">
        <v>2019</v>
      </c>
      <c r="I3794" s="988">
        <v>2020</v>
      </c>
      <c r="J3794" s="781">
        <v>2021</v>
      </c>
      <c r="K3794" s="782">
        <v>2022</v>
      </c>
      <c r="L3794" s="782">
        <v>2023</v>
      </c>
      <c r="M3794" s="782">
        <v>2024</v>
      </c>
      <c r="N3794" s="783">
        <v>2025</v>
      </c>
    </row>
    <row r="3795" spans="3:14">
      <c r="C3795" s="977"/>
      <c r="D3795" s="777" t="s">
        <v>66</v>
      </c>
      <c r="E3795" s="2471" t="s">
        <v>1153</v>
      </c>
      <c r="F3795" s="2472"/>
      <c r="G3795" s="811" t="s">
        <v>2152</v>
      </c>
      <c r="H3795" s="94" t="str">
        <f>IFERROR(IF([1]F_ProductBM!H1089 = "", "", [1]F_ProductBM!H1089 ),"")</f>
        <v/>
      </c>
      <c r="I3795" s="110" t="str">
        <f>IFERROR(IF([1]F_ProductBM!I1089 = "", "", [1]F_ProductBM!I1089 ),"")</f>
        <v/>
      </c>
      <c r="J3795" s="111" t="str">
        <f>IFERROR(IF([1]F_ProductBM!J1089 = "", "", [1]F_ProductBM!J1089 ),"")</f>
        <v/>
      </c>
      <c r="K3795" s="94" t="str">
        <f>IFERROR(IF([1]F_ProductBM!K1089 = "", "", [1]F_ProductBM!K1089 ),"")</f>
        <v/>
      </c>
      <c r="L3795" s="94" t="str">
        <f>IFERROR(IF([1]F_ProductBM!L1089 = "", "", [1]F_ProductBM!L1089 ),"")</f>
        <v/>
      </c>
      <c r="M3795" s="94" t="str">
        <f>IFERROR(IF([1]F_ProductBM!M1089 = "", "", [1]F_ProductBM!M1089 ),"")</f>
        <v/>
      </c>
      <c r="N3795" s="112" t="str">
        <f>IFERROR(IF([1]F_ProductBM!N1089 = "", "", [1]F_ProductBM!N1089 ),"")</f>
        <v/>
      </c>
    </row>
    <row r="3796" spans="3:14">
      <c r="C3796" s="977"/>
      <c r="D3796" s="777" t="s">
        <v>1105</v>
      </c>
      <c r="E3796" s="2685" t="s">
        <v>946</v>
      </c>
      <c r="F3796" s="2608"/>
      <c r="G3796" s="993" t="s">
        <v>2019</v>
      </c>
      <c r="H3796" s="101" t="str">
        <f>IFERROR(IF([1]F_ProductBM!H1090 = "", "", [1]F_ProductBM!H1090 ),"")</f>
        <v/>
      </c>
      <c r="I3796" s="361" t="str">
        <f>IFERROR(IF([1]F_ProductBM!I1090 = "", "", [1]F_ProductBM!I1090 ),"")</f>
        <v/>
      </c>
      <c r="J3796" s="362" t="str">
        <f>IFERROR(IF([1]F_ProductBM!J1090 = "", "", [1]F_ProductBM!J1090 ),"")</f>
        <v/>
      </c>
      <c r="K3796" s="101" t="str">
        <f>IFERROR(IF([1]F_ProductBM!K1090 = "", "", [1]F_ProductBM!K1090 ),"")</f>
        <v/>
      </c>
      <c r="L3796" s="101" t="str">
        <f>IFERROR(IF([1]F_ProductBM!L1090 = "", "", [1]F_ProductBM!L1090 ),"")</f>
        <v/>
      </c>
      <c r="M3796" s="101" t="str">
        <f>IFERROR(IF([1]F_ProductBM!M1090 = "", "", [1]F_ProductBM!M1090 ),"")</f>
        <v/>
      </c>
      <c r="N3796" s="363" t="str">
        <f>IFERROR(IF([1]F_ProductBM!N1090 = "", "", [1]F_ProductBM!N1090 ),"")</f>
        <v/>
      </c>
    </row>
    <row r="3797" spans="3:14">
      <c r="C3797" s="977"/>
      <c r="D3797" s="777" t="s">
        <v>1106</v>
      </c>
      <c r="E3797" s="2685" t="s">
        <v>945</v>
      </c>
      <c r="F3797" s="2608"/>
      <c r="G3797" s="994" t="s">
        <v>878</v>
      </c>
      <c r="H3797" s="101" t="str">
        <f>IFERROR(IF([1]F_ProductBM!H1091 = "", "", [1]F_ProductBM!H1091 ),"")</f>
        <v/>
      </c>
      <c r="I3797" s="361" t="str">
        <f>IFERROR(IF([1]F_ProductBM!I1091 = "", "", [1]F_ProductBM!I1091 ),"")</f>
        <v/>
      </c>
      <c r="J3797" s="362" t="str">
        <f>IFERROR(IF([1]F_ProductBM!J1091 = "", "", [1]F_ProductBM!J1091 ),"")</f>
        <v/>
      </c>
      <c r="K3797" s="101" t="str">
        <f>IFERROR(IF([1]F_ProductBM!K1091 = "", "", [1]F_ProductBM!K1091 ),"")</f>
        <v/>
      </c>
      <c r="L3797" s="101" t="str">
        <f>IFERROR(IF([1]F_ProductBM!L1091 = "", "", [1]F_ProductBM!L1091 ),"")</f>
        <v/>
      </c>
      <c r="M3797" s="101" t="str">
        <f>IFERROR(IF([1]F_ProductBM!M1091 = "", "", [1]F_ProductBM!M1091 ),"")</f>
        <v/>
      </c>
      <c r="N3797" s="363" t="str">
        <f>IFERROR(IF([1]F_ProductBM!N1091 = "", "", [1]F_ProductBM!N1091 ),"")</f>
        <v/>
      </c>
    </row>
    <row r="3798" spans="3:14">
      <c r="C3798" s="977"/>
      <c r="D3798" s="777" t="s">
        <v>1107</v>
      </c>
      <c r="E3798" s="2473" t="s">
        <v>880</v>
      </c>
      <c r="F3798" s="2474"/>
      <c r="G3798" s="812" t="s">
        <v>878</v>
      </c>
      <c r="H3798" s="95" t="str">
        <f>IFERROR(IF([1]F_ProductBM!H1092 = "", "", [1]F_ProductBM!H1092 ),"")</f>
        <v/>
      </c>
      <c r="I3798" s="113" t="str">
        <f>IFERROR(IF([1]F_ProductBM!I1092 = "", "", [1]F_ProductBM!I1092 ),"")</f>
        <v/>
      </c>
      <c r="J3798" s="114" t="str">
        <f>IFERROR(IF([1]F_ProductBM!J1092 = "", "", [1]F_ProductBM!J1092 ),"")</f>
        <v/>
      </c>
      <c r="K3798" s="95" t="str">
        <f>IFERROR(IF([1]F_ProductBM!K1092 = "", "", [1]F_ProductBM!K1092 ),"")</f>
        <v/>
      </c>
      <c r="L3798" s="95" t="str">
        <f>IFERROR(IF([1]F_ProductBM!L1092 = "", "", [1]F_ProductBM!L1092 ),"")</f>
        <v/>
      </c>
      <c r="M3798" s="95" t="str">
        <f>IFERROR(IF([1]F_ProductBM!M1092 = "", "", [1]F_ProductBM!M1092 ),"")</f>
        <v/>
      </c>
      <c r="N3798" s="115" t="str">
        <f>IFERROR(IF([1]F_ProductBM!N1092 = "", "", [1]F_ProductBM!N1092 ),"")</f>
        <v/>
      </c>
    </row>
    <row r="3799" spans="3:14">
      <c r="C3799" s="977"/>
      <c r="D3799" s="777" t="s">
        <v>1108</v>
      </c>
      <c r="E3799" s="2471" t="s">
        <v>882</v>
      </c>
      <c r="F3799" s="2472"/>
      <c r="G3799" s="995" t="s">
        <v>2015</v>
      </c>
      <c r="H3799" s="378" t="str">
        <f>IFERROR(IF([1]F_ProductBM!H1093 = "", "", [1]F_ProductBM!H1093 ),"")</f>
        <v/>
      </c>
      <c r="I3799" s="379" t="str">
        <f>IFERROR(IF([1]F_ProductBM!I1093 = "", "", [1]F_ProductBM!I1093 ),"")</f>
        <v/>
      </c>
      <c r="J3799" s="380" t="str">
        <f>IFERROR(IF([1]F_ProductBM!J1093 = "", "", [1]F_ProductBM!J1093 ),"")</f>
        <v/>
      </c>
      <c r="K3799" s="378" t="str">
        <f>IFERROR(IF([1]F_ProductBM!K1093 = "", "", [1]F_ProductBM!K1093 ),"")</f>
        <v/>
      </c>
      <c r="L3799" s="378" t="str">
        <f>IFERROR(IF([1]F_ProductBM!L1093 = "", "", [1]F_ProductBM!L1093 ),"")</f>
        <v/>
      </c>
      <c r="M3799" s="378" t="str">
        <f>IFERROR(IF([1]F_ProductBM!M1093 = "", "", [1]F_ProductBM!M1093 ),"")</f>
        <v/>
      </c>
      <c r="N3799" s="381" t="str">
        <f>IFERROR(IF([1]F_ProductBM!N1093 = "", "", [1]F_ProductBM!N1093 ),"")</f>
        <v/>
      </c>
    </row>
    <row r="3800" spans="3:14">
      <c r="C3800" s="977"/>
      <c r="D3800" s="777" t="s">
        <v>1109</v>
      </c>
      <c r="E3800" s="2670" t="s">
        <v>879</v>
      </c>
      <c r="F3800" s="2608"/>
      <c r="G3800" s="998" t="s">
        <v>2015</v>
      </c>
      <c r="H3800" s="382" t="str">
        <f>IFERROR(IF([1]F_ProductBM!H1094 = "", "", [1]F_ProductBM!H1094 ),"")</f>
        <v/>
      </c>
      <c r="I3800" s="383" t="str">
        <f>IFERROR(IF([1]F_ProductBM!I1094 = "", "", [1]F_ProductBM!I1094 ),"")</f>
        <v/>
      </c>
      <c r="J3800" s="384" t="str">
        <f>IFERROR(IF([1]F_ProductBM!J1094 = "", "", [1]F_ProductBM!J1094 ),"")</f>
        <v/>
      </c>
      <c r="K3800" s="382" t="str">
        <f>IFERROR(IF([1]F_ProductBM!K1094 = "", "", [1]F_ProductBM!K1094 ),"")</f>
        <v/>
      </c>
      <c r="L3800" s="382" t="str">
        <f>IFERROR(IF([1]F_ProductBM!L1094 = "", "", [1]F_ProductBM!L1094 ),"")</f>
        <v/>
      </c>
      <c r="M3800" s="382" t="str">
        <f>IFERROR(IF([1]F_ProductBM!M1094 = "", "", [1]F_ProductBM!M1094 ),"")</f>
        <v/>
      </c>
      <c r="N3800" s="385" t="str">
        <f>IFERROR(IF([1]F_ProductBM!N1094 = "", "", [1]F_ProductBM!N1094 ),"")</f>
        <v/>
      </c>
    </row>
    <row r="3801" spans="3:14">
      <c r="C3801" s="977"/>
      <c r="D3801" s="777" t="s">
        <v>1110</v>
      </c>
      <c r="E3801" s="2473" t="s">
        <v>41</v>
      </c>
      <c r="F3801" s="2474"/>
      <c r="G3801" s="1001" t="s">
        <v>2017</v>
      </c>
      <c r="H3801" s="86" t="str">
        <f>IFERROR(IF([1]F_ProductBM!H1095 = "", "", [1]F_ProductBM!H1095 ),"")</f>
        <v/>
      </c>
      <c r="I3801" s="340" t="str">
        <f>IFERROR(IF([1]F_ProductBM!I1095 = "", "", [1]F_ProductBM!I1095 ),"")</f>
        <v/>
      </c>
      <c r="J3801" s="341" t="str">
        <f>IFERROR(IF([1]F_ProductBM!J1095 = "", "", [1]F_ProductBM!J1095 ),"")</f>
        <v/>
      </c>
      <c r="K3801" s="86" t="str">
        <f>IFERROR(IF([1]F_ProductBM!K1095 = "", "", [1]F_ProductBM!K1095 ),"")</f>
        <v/>
      </c>
      <c r="L3801" s="86" t="str">
        <f>IFERROR(IF([1]F_ProductBM!L1095 = "", "", [1]F_ProductBM!L1095 ),"")</f>
        <v/>
      </c>
      <c r="M3801" s="86" t="str">
        <f>IFERROR(IF([1]F_ProductBM!M1095 = "", "", [1]F_ProductBM!M1095 ),"")</f>
        <v/>
      </c>
      <c r="N3801" s="342" t="str">
        <f>IFERROR(IF([1]F_ProductBM!N1095 = "", "", [1]F_ProductBM!N1095 ),"")</f>
        <v/>
      </c>
    </row>
    <row r="3802" spans="3:14">
      <c r="C3802" s="977"/>
      <c r="D3802" s="777" t="s">
        <v>1106</v>
      </c>
      <c r="E3802" s="2687" t="s">
        <v>393</v>
      </c>
      <c r="F3802" s="2688"/>
      <c r="G3802" s="1002"/>
      <c r="H3802" s="343" t="str">
        <f>IFERROR(IF([1]F_ProductBM!H1096 = "", "", [1]F_ProductBM!H1096 ),"")</f>
        <v/>
      </c>
      <c r="I3802" s="344" t="str">
        <f>IFERROR(IF([1]F_ProductBM!I1096 = "", "", [1]F_ProductBM!I1096 ),"")</f>
        <v/>
      </c>
      <c r="J3802" s="345" t="str">
        <f>IFERROR(IF([1]F_ProductBM!J1096 = "", "", [1]F_ProductBM!J1096 ),"")</f>
        <v/>
      </c>
      <c r="K3802" s="343" t="str">
        <f>IFERROR(IF([1]F_ProductBM!K1096 = "", "", [1]F_ProductBM!K1096 ),"")</f>
        <v/>
      </c>
      <c r="L3802" s="343" t="str">
        <f>IFERROR(IF([1]F_ProductBM!L1096 = "", "", [1]F_ProductBM!L1096 ),"")</f>
        <v/>
      </c>
      <c r="M3802" s="343" t="str">
        <f>IFERROR(IF([1]F_ProductBM!M1096 = "", "", [1]F_ProductBM!M1096 ),"")</f>
        <v/>
      </c>
      <c r="N3802" s="346" t="str">
        <f>IFERROR(IF([1]F_ProductBM!N1096 = "", "", [1]F_ProductBM!N1096 ),"")</f>
        <v/>
      </c>
    </row>
    <row r="3803" spans="3:14">
      <c r="C3803" s="977"/>
      <c r="D3803" s="981"/>
      <c r="E3803" s="981"/>
      <c r="F3803" s="981"/>
      <c r="G3803" s="981"/>
      <c r="H3803" s="981"/>
      <c r="I3803" s="981"/>
      <c r="J3803" s="981"/>
      <c r="K3803" s="981"/>
      <c r="L3803" s="981"/>
      <c r="M3803" s="813"/>
      <c r="N3803" s="814"/>
    </row>
    <row r="3804" spans="3:14">
      <c r="C3804" s="977"/>
      <c r="D3804" s="982" t="s">
        <v>478</v>
      </c>
      <c r="E3804" s="2649" t="s">
        <v>1457</v>
      </c>
      <c r="F3804" s="2391"/>
      <c r="G3804" s="2391"/>
      <c r="H3804" s="2391"/>
      <c r="I3804" s="2391"/>
      <c r="J3804" s="2391"/>
      <c r="K3804" s="2391"/>
      <c r="L3804" s="2391"/>
      <c r="M3804" s="2391"/>
      <c r="N3804" s="2650"/>
    </row>
    <row r="3805" spans="3:14">
      <c r="C3805" s="977"/>
      <c r="D3805" s="777"/>
      <c r="E3805" s="2676" t="s">
        <v>2295</v>
      </c>
      <c r="F3805" s="2391"/>
      <c r="G3805" s="2391"/>
      <c r="H3805" s="2391"/>
      <c r="I3805" s="2391"/>
      <c r="J3805" s="2391"/>
      <c r="K3805" s="2391"/>
      <c r="L3805" s="2391"/>
      <c r="M3805" s="2391"/>
      <c r="N3805" s="2650"/>
    </row>
    <row r="3806" spans="3:14">
      <c r="C3806" s="977"/>
      <c r="D3806" s="981"/>
      <c r="E3806" s="2669" t="s">
        <v>2300</v>
      </c>
      <c r="F3806" s="2391"/>
      <c r="G3806" s="2391"/>
      <c r="H3806" s="2391"/>
      <c r="I3806" s="2391"/>
      <c r="J3806" s="2391"/>
      <c r="K3806" s="2391"/>
      <c r="L3806" s="2391"/>
      <c r="M3806" s="2391"/>
      <c r="N3806" s="2650"/>
    </row>
    <row r="3807" spans="3:14">
      <c r="C3807" s="977"/>
      <c r="D3807" s="981"/>
      <c r="E3807" s="2669" t="s">
        <v>1365</v>
      </c>
      <c r="F3807" s="2391"/>
      <c r="G3807" s="2391"/>
      <c r="H3807" s="2391"/>
      <c r="I3807" s="2391"/>
      <c r="J3807" s="2391"/>
      <c r="K3807" s="2391"/>
      <c r="L3807" s="2391"/>
      <c r="M3807" s="2391"/>
      <c r="N3807" s="2650"/>
    </row>
    <row r="3808" spans="3:14">
      <c r="C3808" s="977"/>
      <c r="D3808" s="982"/>
      <c r="E3808" s="989"/>
      <c r="F3808" s="990"/>
      <c r="G3808" s="987" t="s">
        <v>884</v>
      </c>
      <c r="H3808" s="782">
        <v>2019</v>
      </c>
      <c r="I3808" s="988">
        <v>2020</v>
      </c>
      <c r="J3808" s="781">
        <v>2021</v>
      </c>
      <c r="K3808" s="782">
        <v>2022</v>
      </c>
      <c r="L3808" s="782">
        <v>2023</v>
      </c>
      <c r="M3808" s="782">
        <v>2024</v>
      </c>
      <c r="N3808" s="783">
        <v>2025</v>
      </c>
    </row>
    <row r="3809" spans="3:14">
      <c r="C3809" s="977"/>
      <c r="D3809" s="777"/>
      <c r="E3809" s="2475" t="s">
        <v>1156</v>
      </c>
      <c r="F3809" s="2410"/>
      <c r="G3809" s="815" t="s">
        <v>2016</v>
      </c>
      <c r="H3809" s="93" t="str">
        <f>IFERROR(IF([1]F_ProductBM!H1103 = "", "", [1]F_ProductBM!H1103 ),"")</f>
        <v/>
      </c>
      <c r="I3809" s="116" t="str">
        <f>IFERROR(IF([1]F_ProductBM!I1103 = "", "", [1]F_ProductBM!I1103 ),"")</f>
        <v/>
      </c>
      <c r="J3809" s="117" t="str">
        <f>IFERROR(IF([1]F_ProductBM!J1103 = "", "", [1]F_ProductBM!J1103 ),"")</f>
        <v/>
      </c>
      <c r="K3809" s="93" t="str">
        <f>IFERROR(IF([1]F_ProductBM!K1103 = "", "", [1]F_ProductBM!K1103 ),"")</f>
        <v/>
      </c>
      <c r="L3809" s="93" t="str">
        <f>IFERROR(IF([1]F_ProductBM!L1103 = "", "", [1]F_ProductBM!L1103 ),"")</f>
        <v/>
      </c>
      <c r="M3809" s="93" t="str">
        <f>IFERROR(IF([1]F_ProductBM!M1103 = "", "", [1]F_ProductBM!M1103 ),"")</f>
        <v/>
      </c>
      <c r="N3809" s="118" t="str">
        <f>IFERROR(IF([1]F_ProductBM!N1103 = "", "", [1]F_ProductBM!N1103 ),"")</f>
        <v/>
      </c>
    </row>
    <row r="3810" spans="3:14">
      <c r="C3810" s="977"/>
      <c r="D3810" s="981"/>
      <c r="E3810" s="981"/>
      <c r="F3810" s="981"/>
      <c r="G3810" s="981"/>
      <c r="H3810" s="981"/>
      <c r="I3810" s="981"/>
      <c r="J3810" s="981"/>
      <c r="K3810" s="981"/>
      <c r="L3810" s="981"/>
      <c r="M3810" s="813"/>
      <c r="N3810" s="814"/>
    </row>
    <row r="3811" spans="3:14">
      <c r="C3811" s="977"/>
      <c r="D3811" s="982" t="s">
        <v>479</v>
      </c>
      <c r="E3811" s="2649" t="s">
        <v>1118</v>
      </c>
      <c r="F3811" s="2391"/>
      <c r="G3811" s="2391"/>
      <c r="H3811" s="2391"/>
      <c r="I3811" s="2391"/>
      <c r="J3811" s="2391"/>
      <c r="K3811" s="2391"/>
      <c r="L3811" s="2391"/>
      <c r="M3811" s="2391"/>
      <c r="N3811" s="2650"/>
    </row>
    <row r="3812" spans="3:14">
      <c r="C3812" s="977"/>
      <c r="D3812" s="777"/>
      <c r="E3812" s="2676" t="s">
        <v>2297</v>
      </c>
      <c r="F3812" s="2391"/>
      <c r="G3812" s="2391"/>
      <c r="H3812" s="2391"/>
      <c r="I3812" s="2391"/>
      <c r="J3812" s="2391"/>
      <c r="K3812" s="2391"/>
      <c r="L3812" s="2391"/>
      <c r="M3812" s="2391"/>
      <c r="N3812" s="2650"/>
    </row>
    <row r="3813" spans="3:14">
      <c r="C3813" s="977"/>
      <c r="D3813" s="981"/>
      <c r="E3813" s="2669" t="s">
        <v>2118</v>
      </c>
      <c r="F3813" s="2391"/>
      <c r="G3813" s="2391"/>
      <c r="H3813" s="2391"/>
      <c r="I3813" s="2391"/>
      <c r="J3813" s="2391"/>
      <c r="K3813" s="2391"/>
      <c r="L3813" s="2391"/>
      <c r="M3813" s="2391"/>
      <c r="N3813" s="2650"/>
    </row>
    <row r="3814" spans="3:14">
      <c r="C3814" s="977"/>
      <c r="D3814" s="981"/>
      <c r="E3814" s="2669" t="s">
        <v>1614</v>
      </c>
      <c r="F3814" s="2391"/>
      <c r="G3814" s="2391"/>
      <c r="H3814" s="2391"/>
      <c r="I3814" s="2391"/>
      <c r="J3814" s="2391"/>
      <c r="K3814" s="2391"/>
      <c r="L3814" s="2391"/>
      <c r="M3814" s="2391"/>
      <c r="N3814" s="2650"/>
    </row>
    <row r="3815" spans="3:14">
      <c r="C3815" s="977"/>
      <c r="D3815" s="981"/>
      <c r="E3815" s="2669" t="s">
        <v>1593</v>
      </c>
      <c r="F3815" s="2391"/>
      <c r="G3815" s="2391"/>
      <c r="H3815" s="2391"/>
      <c r="I3815" s="2391"/>
      <c r="J3815" s="2391"/>
      <c r="K3815" s="2391"/>
      <c r="L3815" s="2391"/>
      <c r="M3815" s="2391"/>
      <c r="N3815" s="2650"/>
    </row>
    <row r="3816" spans="3:14">
      <c r="C3816" s="977"/>
      <c r="D3816" s="981"/>
      <c r="E3816" s="2697" t="s">
        <v>1555</v>
      </c>
      <c r="F3816" s="2698"/>
      <c r="G3816" s="2698"/>
      <c r="H3816" s="2698"/>
      <c r="I3816" s="2698"/>
      <c r="J3816" s="2698"/>
      <c r="K3816" s="2698"/>
      <c r="L3816" s="2698"/>
      <c r="M3816" s="2698"/>
      <c r="N3816" s="2694"/>
    </row>
    <row r="3817" spans="3:14">
      <c r="C3817" s="977"/>
      <c r="D3817" s="981"/>
      <c r="E3817" s="2648" t="s">
        <v>1151</v>
      </c>
      <c r="F3817" s="2493"/>
      <c r="G3817" s="987" t="s">
        <v>884</v>
      </c>
      <c r="H3817" s="782">
        <v>2019</v>
      </c>
      <c r="I3817" s="988">
        <v>2020</v>
      </c>
      <c r="J3817" s="781">
        <v>2021</v>
      </c>
      <c r="K3817" s="782">
        <v>2022</v>
      </c>
      <c r="L3817" s="782">
        <v>2023</v>
      </c>
      <c r="M3817" s="782">
        <v>2024</v>
      </c>
      <c r="N3817" s="783">
        <v>2025</v>
      </c>
    </row>
    <row r="3818" spans="3:14">
      <c r="C3818" s="977"/>
      <c r="D3818" s="777" t="s">
        <v>6</v>
      </c>
      <c r="E3818" s="2475" t="s">
        <v>1087</v>
      </c>
      <c r="F3818" s="2410"/>
      <c r="G3818" s="815" t="s">
        <v>2017</v>
      </c>
      <c r="H3818" s="93" t="str">
        <f>IFERROR(IF([1]F_ProductBM!H1112 = "", "", [1]F_ProductBM!H1112 ),"")</f>
        <v/>
      </c>
      <c r="I3818" s="116" t="str">
        <f>IFERROR(IF([1]F_ProductBM!I1112 = "", "", [1]F_ProductBM!I1112 ),"")</f>
        <v/>
      </c>
      <c r="J3818" s="117" t="str">
        <f>IFERROR(IF([1]F_ProductBM!J1112 = "", "", [1]F_ProductBM!J1112 ),"")</f>
        <v/>
      </c>
      <c r="K3818" s="93" t="str">
        <f>IFERROR(IF([1]F_ProductBM!K1112 = "", "", [1]F_ProductBM!K1112 ),"")</f>
        <v/>
      </c>
      <c r="L3818" s="93" t="str">
        <f>IFERROR(IF([1]F_ProductBM!L1112 = "", "", [1]F_ProductBM!L1112 ),"")</f>
        <v/>
      </c>
      <c r="M3818" s="93" t="str">
        <f>IFERROR(IF([1]F_ProductBM!M1112 = "", "", [1]F_ProductBM!M1112 ),"")</f>
        <v/>
      </c>
      <c r="N3818" s="118" t="str">
        <f>IFERROR(IF([1]F_ProductBM!N1112 = "", "", [1]F_ProductBM!N1112 ),"")</f>
        <v/>
      </c>
    </row>
    <row r="3819" spans="3:14">
      <c r="C3819" s="977"/>
      <c r="D3819" s="777" t="s">
        <v>7</v>
      </c>
      <c r="E3819" s="2475" t="s">
        <v>1103</v>
      </c>
      <c r="F3819" s="2410"/>
      <c r="G3819" s="815" t="s">
        <v>2018</v>
      </c>
      <c r="H3819" s="93" t="str">
        <f>IFERROR(IF([1]F_ProductBM!H1113 = "", "", [1]F_ProductBM!H1113 ),"")</f>
        <v/>
      </c>
      <c r="I3819" s="116" t="str">
        <f>IFERROR(IF([1]F_ProductBM!I1113 = "", "", [1]F_ProductBM!I1113 ),"")</f>
        <v/>
      </c>
      <c r="J3819" s="117" t="str">
        <f>IFERROR(IF([1]F_ProductBM!J1113 = "", "", [1]F_ProductBM!J1113 ),"")</f>
        <v/>
      </c>
      <c r="K3819" s="93" t="str">
        <f>IFERROR(IF([1]F_ProductBM!K1113 = "", "", [1]F_ProductBM!K1113 ),"")</f>
        <v/>
      </c>
      <c r="L3819" s="93" t="str">
        <f>IFERROR(IF([1]F_ProductBM!L1113 = "", "", [1]F_ProductBM!L1113 ),"")</f>
        <v/>
      </c>
      <c r="M3819" s="93" t="str">
        <f>IFERROR(IF([1]F_ProductBM!M1113 = "", "", [1]F_ProductBM!M1113 ),"")</f>
        <v/>
      </c>
      <c r="N3819" s="118" t="str">
        <f>IFERROR(IF([1]F_ProductBM!N1113 = "", "", [1]F_ProductBM!N1113 ),"")</f>
        <v/>
      </c>
    </row>
    <row r="3820" spans="3:14">
      <c r="C3820" s="977"/>
      <c r="D3820" s="981"/>
      <c r="E3820" s="981"/>
      <c r="F3820" s="981"/>
      <c r="G3820" s="981"/>
      <c r="H3820" s="981"/>
      <c r="I3820" s="981"/>
      <c r="J3820" s="981"/>
      <c r="K3820" s="981"/>
      <c r="L3820" s="981"/>
      <c r="M3820" s="981"/>
      <c r="N3820" s="814"/>
    </row>
    <row r="3821" spans="3:14">
      <c r="C3821" s="977"/>
      <c r="D3821" s="981"/>
      <c r="E3821" s="2648" t="s">
        <v>1406</v>
      </c>
      <c r="F3821" s="2493"/>
      <c r="G3821" s="987" t="s">
        <v>884</v>
      </c>
      <c r="H3821" s="782">
        <v>2019</v>
      </c>
      <c r="I3821" s="988">
        <v>2020</v>
      </c>
      <c r="J3821" s="781">
        <v>2021</v>
      </c>
      <c r="K3821" s="782">
        <v>2022</v>
      </c>
      <c r="L3821" s="782">
        <v>2023</v>
      </c>
      <c r="M3821" s="782">
        <v>2024</v>
      </c>
      <c r="N3821" s="783">
        <v>2025</v>
      </c>
    </row>
    <row r="3822" spans="3:14">
      <c r="C3822" s="977"/>
      <c r="D3822" s="777" t="s">
        <v>8</v>
      </c>
      <c r="E3822" s="2475" t="s">
        <v>1556</v>
      </c>
      <c r="F3822" s="2410"/>
      <c r="G3822" s="815" t="s">
        <v>2017</v>
      </c>
      <c r="H3822" s="351" t="str">
        <f>IFERROR(IF([1]F_ProductBM!H1116 = "", "", [1]F_ProductBM!H1116 ),"")</f>
        <v/>
      </c>
      <c r="I3822" s="352" t="str">
        <f>IFERROR(IF([1]F_ProductBM!I1116 = "", "", [1]F_ProductBM!I1116 ),"")</f>
        <v/>
      </c>
      <c r="J3822" s="353" t="str">
        <f>IFERROR(IF([1]F_ProductBM!J1116 = "", "", [1]F_ProductBM!J1116 ),"")</f>
        <v/>
      </c>
      <c r="K3822" s="351" t="str">
        <f>IFERROR(IF([1]F_ProductBM!K1116 = "", "", [1]F_ProductBM!K1116 ),"")</f>
        <v/>
      </c>
      <c r="L3822" s="351" t="str">
        <f>IFERROR(IF([1]F_ProductBM!L1116 = "", "", [1]F_ProductBM!L1116 ),"")</f>
        <v/>
      </c>
      <c r="M3822" s="351" t="str">
        <f>IFERROR(IF([1]F_ProductBM!M1116 = "", "", [1]F_ProductBM!M1116 ),"")</f>
        <v/>
      </c>
      <c r="N3822" s="354" t="str">
        <f>IFERROR(IF([1]F_ProductBM!N1116 = "", "", [1]F_ProductBM!N1116 ),"")</f>
        <v/>
      </c>
    </row>
    <row r="3823" spans="3:14">
      <c r="C3823" s="977"/>
      <c r="D3823" s="777" t="s">
        <v>18</v>
      </c>
      <c r="E3823" s="2475" t="s">
        <v>1149</v>
      </c>
      <c r="F3823" s="2410"/>
      <c r="G3823" s="815" t="s">
        <v>2017</v>
      </c>
      <c r="H3823" s="93" t="str">
        <f>IFERROR(IF([1]F_ProductBM!H1117 = "", "", [1]F_ProductBM!H1117 ),"")</f>
        <v/>
      </c>
      <c r="I3823" s="116" t="str">
        <f>IFERROR(IF([1]F_ProductBM!I1117 = "", "", [1]F_ProductBM!I1117 ),"")</f>
        <v/>
      </c>
      <c r="J3823" s="117" t="str">
        <f>IFERROR(IF([1]F_ProductBM!J1117 = "", "", [1]F_ProductBM!J1117 ),"")</f>
        <v/>
      </c>
      <c r="K3823" s="93" t="str">
        <f>IFERROR(IF([1]F_ProductBM!K1117 = "", "", [1]F_ProductBM!K1117 ),"")</f>
        <v/>
      </c>
      <c r="L3823" s="93" t="str">
        <f>IFERROR(IF([1]F_ProductBM!L1117 = "", "", [1]F_ProductBM!L1117 ),"")</f>
        <v/>
      </c>
      <c r="M3823" s="93" t="str">
        <f>IFERROR(IF([1]F_ProductBM!M1117 = "", "", [1]F_ProductBM!M1117 ),"")</f>
        <v/>
      </c>
      <c r="N3823" s="118" t="str">
        <f>IFERROR(IF([1]F_ProductBM!N1117 = "", "", [1]F_ProductBM!N1117 ),"")</f>
        <v/>
      </c>
    </row>
    <row r="3824" spans="3:14">
      <c r="C3824" s="977"/>
      <c r="D3824" s="981"/>
      <c r="E3824" s="981"/>
      <c r="F3824" s="981"/>
      <c r="G3824" s="981"/>
      <c r="H3824" s="981"/>
      <c r="I3824" s="981"/>
      <c r="J3824" s="981"/>
      <c r="K3824" s="981"/>
      <c r="L3824" s="981"/>
      <c r="M3824" s="981"/>
      <c r="N3824" s="814"/>
    </row>
    <row r="3825" spans="3:14">
      <c r="C3825" s="977"/>
      <c r="D3825" s="981"/>
      <c r="E3825" s="2648" t="s">
        <v>1152</v>
      </c>
      <c r="F3825" s="2493"/>
      <c r="G3825" s="987" t="s">
        <v>884</v>
      </c>
      <c r="H3825" s="782">
        <v>2019</v>
      </c>
      <c r="I3825" s="988">
        <v>2020</v>
      </c>
      <c r="J3825" s="781">
        <v>2021</v>
      </c>
      <c r="K3825" s="782">
        <v>2022</v>
      </c>
      <c r="L3825" s="782">
        <v>2023</v>
      </c>
      <c r="M3825" s="782">
        <v>2024</v>
      </c>
      <c r="N3825" s="783">
        <v>2025</v>
      </c>
    </row>
    <row r="3826" spans="3:14">
      <c r="C3826" s="977"/>
      <c r="D3826" s="777" t="s">
        <v>787</v>
      </c>
      <c r="E3826" s="2475" t="s">
        <v>1079</v>
      </c>
      <c r="F3826" s="2410"/>
      <c r="G3826" s="815" t="s">
        <v>2017</v>
      </c>
      <c r="H3826" s="93" t="str">
        <f>IFERROR(IF([1]F_ProductBM!H1120 = "", "", [1]F_ProductBM!H1120 ),"")</f>
        <v/>
      </c>
      <c r="I3826" s="116" t="str">
        <f>IFERROR(IF([1]F_ProductBM!I1120 = "", "", [1]F_ProductBM!I1120 ),"")</f>
        <v/>
      </c>
      <c r="J3826" s="117" t="str">
        <f>IFERROR(IF([1]F_ProductBM!J1120 = "", "", [1]F_ProductBM!J1120 ),"")</f>
        <v/>
      </c>
      <c r="K3826" s="93" t="str">
        <f>IFERROR(IF([1]F_ProductBM!K1120 = "", "", [1]F_ProductBM!K1120 ),"")</f>
        <v/>
      </c>
      <c r="L3826" s="93" t="str">
        <f>IFERROR(IF([1]F_ProductBM!L1120 = "", "", [1]F_ProductBM!L1120 ),"")</f>
        <v/>
      </c>
      <c r="M3826" s="93" t="str">
        <f>IFERROR(IF([1]F_ProductBM!M1120 = "", "", [1]F_ProductBM!M1120 ),"")</f>
        <v/>
      </c>
      <c r="N3826" s="118" t="str">
        <f>IFERROR(IF([1]F_ProductBM!N1120 = "", "", [1]F_ProductBM!N1120 ),"")</f>
        <v/>
      </c>
    </row>
    <row r="3827" spans="3:14">
      <c r="C3827" s="977"/>
      <c r="D3827" s="777" t="s">
        <v>788</v>
      </c>
      <c r="E3827" s="2475" t="s">
        <v>1104</v>
      </c>
      <c r="F3827" s="2410"/>
      <c r="G3827" s="815" t="s">
        <v>2018</v>
      </c>
      <c r="H3827" s="93" t="str">
        <f>IFERROR(IF([1]F_ProductBM!H1121 = "", "", [1]F_ProductBM!H1121 ),"")</f>
        <v/>
      </c>
      <c r="I3827" s="116" t="str">
        <f>IFERROR(IF([1]F_ProductBM!I1121 = "", "", [1]F_ProductBM!I1121 ),"")</f>
        <v/>
      </c>
      <c r="J3827" s="117" t="str">
        <f>IFERROR(IF([1]F_ProductBM!J1121 = "", "", [1]F_ProductBM!J1121 ),"")</f>
        <v/>
      </c>
      <c r="K3827" s="93" t="str">
        <f>IFERROR(IF([1]F_ProductBM!K1121 = "", "", [1]F_ProductBM!K1121 ),"")</f>
        <v/>
      </c>
      <c r="L3827" s="93" t="str">
        <f>IFERROR(IF([1]F_ProductBM!L1121 = "", "", [1]F_ProductBM!L1121 ),"")</f>
        <v/>
      </c>
      <c r="M3827" s="93" t="str">
        <f>IFERROR(IF([1]F_ProductBM!M1121 = "", "", [1]F_ProductBM!M1121 ),"")</f>
        <v/>
      </c>
      <c r="N3827" s="118" t="str">
        <f>IFERROR(IF([1]F_ProductBM!N1121 = "", "", [1]F_ProductBM!N1121 ),"")</f>
        <v/>
      </c>
    </row>
    <row r="3828" spans="3:14">
      <c r="C3828" s="977"/>
      <c r="D3828" s="981"/>
      <c r="E3828" s="981"/>
      <c r="F3828" s="981"/>
      <c r="G3828" s="981"/>
      <c r="H3828" s="981"/>
      <c r="I3828" s="981"/>
      <c r="J3828" s="981"/>
      <c r="K3828" s="981"/>
      <c r="L3828" s="981"/>
      <c r="M3828" s="813"/>
      <c r="N3828" s="814"/>
    </row>
    <row r="3829" spans="3:14">
      <c r="C3829" s="977"/>
      <c r="D3829" s="982" t="s">
        <v>481</v>
      </c>
      <c r="E3829" s="2649" t="s">
        <v>1312</v>
      </c>
      <c r="F3829" s="2391"/>
      <c r="G3829" s="2391"/>
      <c r="H3829" s="2391"/>
      <c r="I3829" s="2391"/>
      <c r="J3829" s="2391"/>
      <c r="K3829" s="2391"/>
      <c r="L3829" s="2391"/>
      <c r="M3829" s="2391"/>
      <c r="N3829" s="2650"/>
    </row>
    <row r="3830" spans="3:14">
      <c r="C3830" s="977"/>
      <c r="D3830" s="981"/>
      <c r="E3830" s="986"/>
      <c r="F3830" s="986"/>
      <c r="G3830" s="986"/>
      <c r="H3830" s="986"/>
      <c r="I3830" s="986"/>
      <c r="J3830" s="986"/>
      <c r="K3830" s="986"/>
      <c r="L3830" s="986"/>
      <c r="M3830" s="986"/>
      <c r="N3830" s="1007"/>
    </row>
    <row r="3831" spans="3:14">
      <c r="C3831" s="977"/>
      <c r="D3831" s="777" t="s">
        <v>6</v>
      </c>
      <c r="E3831" s="2649" t="s">
        <v>1313</v>
      </c>
      <c r="F3831" s="2391"/>
      <c r="G3831" s="2391"/>
      <c r="H3831" s="2391"/>
      <c r="I3831" s="2391"/>
      <c r="J3831" s="2391"/>
      <c r="K3831" s="2512"/>
      <c r="L3831" s="120" t="str">
        <f>IFERROR(IF([1]F_ProductBM!L1125 = "", "", [1]F_ProductBM!L1125 ),"")</f>
        <v/>
      </c>
      <c r="M3831" s="978"/>
      <c r="N3831" s="979"/>
    </row>
    <row r="3832" spans="3:14">
      <c r="C3832" s="977"/>
      <c r="D3832" s="981"/>
      <c r="E3832" s="2669" t="s">
        <v>1314</v>
      </c>
      <c r="F3832" s="2391"/>
      <c r="G3832" s="2391"/>
      <c r="H3832" s="2391"/>
      <c r="I3832" s="2391"/>
      <c r="J3832" s="2391"/>
      <c r="K3832" s="2391"/>
      <c r="L3832" s="2391"/>
      <c r="M3832" s="2391"/>
      <c r="N3832" s="2650"/>
    </row>
    <row r="3833" spans="3:14">
      <c r="C3833" s="977"/>
      <c r="D3833" s="777" t="s">
        <v>7</v>
      </c>
      <c r="E3833" s="2649" t="s">
        <v>1219</v>
      </c>
      <c r="F3833" s="2391"/>
      <c r="G3833" s="2391"/>
      <c r="H3833" s="2512"/>
      <c r="I3833" s="2683" t="str">
        <f>IFERROR(IF([1]F_ProductBM!I1127 = "", "", [1]F_ProductBM!I1127 ),"")</f>
        <v/>
      </c>
      <c r="J3833" s="2488"/>
      <c r="K3833" s="2488"/>
      <c r="L3833" s="2488"/>
      <c r="M3833" s="2686"/>
      <c r="N3833" s="979"/>
    </row>
    <row r="3834" spans="3:14">
      <c r="C3834" s="977"/>
      <c r="D3834" s="981"/>
      <c r="E3834" s="2669" t="s">
        <v>1316</v>
      </c>
      <c r="F3834" s="2391"/>
      <c r="G3834" s="2391"/>
      <c r="H3834" s="2391"/>
      <c r="I3834" s="2391"/>
      <c r="J3834" s="2391"/>
      <c r="K3834" s="2391"/>
      <c r="L3834" s="2391"/>
      <c r="M3834" s="2391"/>
      <c r="N3834" s="2650"/>
    </row>
    <row r="3835" spans="3:14">
      <c r="C3835" s="977"/>
      <c r="D3835" s="981"/>
      <c r="E3835" s="2676" t="s">
        <v>1557</v>
      </c>
      <c r="F3835" s="2391"/>
      <c r="G3835" s="2391"/>
      <c r="H3835" s="2391"/>
      <c r="I3835" s="2391"/>
      <c r="J3835" s="2391"/>
      <c r="K3835" s="2391"/>
      <c r="L3835" s="2391"/>
      <c r="M3835" s="2391"/>
      <c r="N3835" s="2650"/>
    </row>
    <row r="3836" spans="3:14">
      <c r="C3836" s="977"/>
      <c r="D3836" s="981"/>
      <c r="E3836" s="989"/>
      <c r="F3836" s="990"/>
      <c r="G3836" s="987" t="s">
        <v>884</v>
      </c>
      <c r="H3836" s="782">
        <v>2019</v>
      </c>
      <c r="I3836" s="988">
        <v>2020</v>
      </c>
      <c r="J3836" s="781">
        <v>2021</v>
      </c>
      <c r="K3836" s="782">
        <v>2022</v>
      </c>
      <c r="L3836" s="782">
        <v>2023</v>
      </c>
      <c r="M3836" s="782">
        <v>2024</v>
      </c>
      <c r="N3836" s="783">
        <v>2025</v>
      </c>
    </row>
    <row r="3837" spans="3:14">
      <c r="C3837" s="977"/>
      <c r="D3837" s="777" t="s">
        <v>8</v>
      </c>
      <c r="E3837" s="2471" t="s">
        <v>1305</v>
      </c>
      <c r="F3837" s="2472"/>
      <c r="G3837" s="67" t="str">
        <f>IFERROR(IF([1]F_ProductBM!G1131 = "", "", [1]F_ProductBM!G1131 ),"")</f>
        <v/>
      </c>
      <c r="H3837" s="94" t="str">
        <f>IFERROR(IF([1]F_ProductBM!H1131 = "", "", [1]F_ProductBM!H1131 ),"")</f>
        <v/>
      </c>
      <c r="I3837" s="110" t="str">
        <f>IFERROR(IF([1]F_ProductBM!I1131 = "", "", [1]F_ProductBM!I1131 ),"")</f>
        <v/>
      </c>
      <c r="J3837" s="111" t="str">
        <f>IFERROR(IF([1]F_ProductBM!J1131 = "", "", [1]F_ProductBM!J1131 ),"")</f>
        <v/>
      </c>
      <c r="K3837" s="94" t="str">
        <f>IFERROR(IF([1]F_ProductBM!K1131 = "", "", [1]F_ProductBM!K1131 ),"")</f>
        <v/>
      </c>
      <c r="L3837" s="94" t="str">
        <f>IFERROR(IF([1]F_ProductBM!L1131 = "", "", [1]F_ProductBM!L1131 ),"")</f>
        <v/>
      </c>
      <c r="M3837" s="94" t="str">
        <f>IFERROR(IF([1]F_ProductBM!M1131 = "", "", [1]F_ProductBM!M1131 ),"")</f>
        <v/>
      </c>
      <c r="N3837" s="112" t="str">
        <f>IFERROR(IF([1]F_ProductBM!N1131 = "", "", [1]F_ProductBM!N1131 ),"")</f>
        <v/>
      </c>
    </row>
    <row r="3838" spans="3:14">
      <c r="C3838" s="977"/>
      <c r="D3838" s="777" t="s">
        <v>18</v>
      </c>
      <c r="E3838" s="2473" t="s">
        <v>661</v>
      </c>
      <c r="F3838" s="2474"/>
      <c r="G3838" s="350" t="str">
        <f>IFERROR(IF([1]F_ProductBM!G1132 = "", "", [1]F_ProductBM!G1132 ),"")</f>
        <v>GJ / Unit</v>
      </c>
      <c r="H3838" s="95" t="str">
        <f>IFERROR(IF([1]F_ProductBM!H1132 = "", "", [1]F_ProductBM!H1132 ),"")</f>
        <v/>
      </c>
      <c r="I3838" s="113" t="str">
        <f>IFERROR(IF([1]F_ProductBM!I1132 = "", "", [1]F_ProductBM!I1132 ),"")</f>
        <v/>
      </c>
      <c r="J3838" s="114" t="str">
        <f>IFERROR(IF([1]F_ProductBM!J1132 = "", "", [1]F_ProductBM!J1132 ),"")</f>
        <v/>
      </c>
      <c r="K3838" s="95" t="str">
        <f>IFERROR(IF([1]F_ProductBM!K1132 = "", "", [1]F_ProductBM!K1132 ),"")</f>
        <v/>
      </c>
      <c r="L3838" s="95" t="str">
        <f>IFERROR(IF([1]F_ProductBM!L1132 = "", "", [1]F_ProductBM!L1132 ),"")</f>
        <v/>
      </c>
      <c r="M3838" s="95" t="str">
        <f>IFERROR(IF([1]F_ProductBM!M1132 = "", "", [1]F_ProductBM!M1132 ),"")</f>
        <v/>
      </c>
      <c r="N3838" s="115" t="str">
        <f>IFERROR(IF([1]F_ProductBM!N1132 = "", "", [1]F_ProductBM!N1132 ),"")</f>
        <v/>
      </c>
    </row>
    <row r="3839" spans="3:14">
      <c r="C3839" s="977"/>
      <c r="D3839" s="777" t="s">
        <v>787</v>
      </c>
      <c r="E3839" s="2475" t="s">
        <v>1141</v>
      </c>
      <c r="F3839" s="2410"/>
      <c r="G3839" s="815" t="s">
        <v>2017</v>
      </c>
      <c r="H3839" s="351" t="str">
        <f>IFERROR(IF([1]F_ProductBM!H1133 = "", "", [1]F_ProductBM!H1133 ),"")</f>
        <v/>
      </c>
      <c r="I3839" s="352" t="str">
        <f>IFERROR(IF([1]F_ProductBM!I1133 = "", "", [1]F_ProductBM!I1133 ),"")</f>
        <v/>
      </c>
      <c r="J3839" s="353" t="str">
        <f>IFERROR(IF([1]F_ProductBM!J1133 = "", "", [1]F_ProductBM!J1133 ),"")</f>
        <v/>
      </c>
      <c r="K3839" s="351" t="str">
        <f>IFERROR(IF([1]F_ProductBM!K1133 = "", "", [1]F_ProductBM!K1133 ),"")</f>
        <v/>
      </c>
      <c r="L3839" s="351" t="str">
        <f>IFERROR(IF([1]F_ProductBM!L1133 = "", "", [1]F_ProductBM!L1133 ),"")</f>
        <v/>
      </c>
      <c r="M3839" s="351" t="str">
        <f>IFERROR(IF([1]F_ProductBM!M1133 = "", "", [1]F_ProductBM!M1133 ),"")</f>
        <v/>
      </c>
      <c r="N3839" s="354" t="str">
        <f>IFERROR(IF([1]F_ProductBM!N1133 = "", "", [1]F_ProductBM!N1133 ),"")</f>
        <v/>
      </c>
    </row>
    <row r="3840" spans="3:14">
      <c r="C3840" s="977"/>
      <c r="D3840" s="777" t="s">
        <v>788</v>
      </c>
      <c r="E3840" s="2475" t="s">
        <v>1258</v>
      </c>
      <c r="F3840" s="2410"/>
      <c r="G3840" s="815" t="s">
        <v>2018</v>
      </c>
      <c r="H3840" s="93" t="str">
        <f>IFERROR(IF([1]F_ProductBM!H1134 = "", "", [1]F_ProductBM!H1134 ),"")</f>
        <v/>
      </c>
      <c r="I3840" s="116" t="str">
        <f>IFERROR(IF([1]F_ProductBM!I1134 = "", "", [1]F_ProductBM!I1134 ),"")</f>
        <v/>
      </c>
      <c r="J3840" s="117" t="str">
        <f>IFERROR(IF([1]F_ProductBM!J1134 = "", "", [1]F_ProductBM!J1134 ),"")</f>
        <v/>
      </c>
      <c r="K3840" s="93" t="str">
        <f>IFERROR(IF([1]F_ProductBM!K1134 = "", "", [1]F_ProductBM!K1134 ),"")</f>
        <v/>
      </c>
      <c r="L3840" s="93" t="str">
        <f>IFERROR(IF([1]F_ProductBM!L1134 = "", "", [1]F_ProductBM!L1134 ),"")</f>
        <v/>
      </c>
      <c r="M3840" s="93" t="str">
        <f>IFERROR(IF([1]F_ProductBM!M1134 = "", "", [1]F_ProductBM!M1134 ),"")</f>
        <v/>
      </c>
      <c r="N3840" s="118" t="str">
        <f>IFERROR(IF([1]F_ProductBM!N1134 = "", "", [1]F_ProductBM!N1134 ),"")</f>
        <v/>
      </c>
    </row>
    <row r="3841" spans="3:14">
      <c r="C3841" s="977"/>
      <c r="D3841" s="981"/>
      <c r="E3841" s="981"/>
      <c r="F3841" s="981"/>
      <c r="G3841" s="981"/>
      <c r="H3841" s="983"/>
      <c r="I3841" s="981"/>
      <c r="J3841" s="981"/>
      <c r="K3841" s="981"/>
      <c r="L3841" s="981"/>
      <c r="M3841" s="813"/>
      <c r="N3841" s="814"/>
    </row>
    <row r="3842" spans="3:14">
      <c r="C3842" s="977"/>
      <c r="D3842" s="777" t="s">
        <v>789</v>
      </c>
      <c r="E3842" s="2649" t="s">
        <v>1301</v>
      </c>
      <c r="F3842" s="2391"/>
      <c r="G3842" s="2391"/>
      <c r="H3842" s="2512"/>
      <c r="I3842" s="2683" t="str">
        <f>IFERROR(IF([1]F_ProductBM!I1136 = "", "", [1]F_ProductBM!I1136 ),"")</f>
        <v/>
      </c>
      <c r="J3842" s="2488"/>
      <c r="K3842" s="2488"/>
      <c r="L3842" s="2488"/>
      <c r="M3842" s="2686"/>
      <c r="N3842" s="979"/>
    </row>
    <row r="3843" spans="3:14">
      <c r="C3843" s="977"/>
      <c r="D3843" s="777"/>
      <c r="E3843" s="2669" t="s">
        <v>1606</v>
      </c>
      <c r="F3843" s="2391"/>
      <c r="G3843" s="2391"/>
      <c r="H3843" s="2391"/>
      <c r="I3843" s="2391"/>
      <c r="J3843" s="2391"/>
      <c r="K3843" s="2391"/>
      <c r="L3843" s="2391"/>
      <c r="M3843" s="2391"/>
      <c r="N3843" s="2650"/>
    </row>
    <row r="3844" spans="3:14">
      <c r="C3844" s="977"/>
      <c r="D3844" s="981"/>
      <c r="E3844" s="2676" t="s">
        <v>1557</v>
      </c>
      <c r="F3844" s="2391"/>
      <c r="G3844" s="2391"/>
      <c r="H3844" s="2391"/>
      <c r="I3844" s="2391"/>
      <c r="J3844" s="2391"/>
      <c r="K3844" s="2391"/>
      <c r="L3844" s="2391"/>
      <c r="M3844" s="2391"/>
      <c r="N3844" s="2650"/>
    </row>
    <row r="3845" spans="3:14">
      <c r="C3845" s="977"/>
      <c r="D3845" s="981"/>
      <c r="E3845" s="989"/>
      <c r="F3845" s="990"/>
      <c r="G3845" s="987" t="s">
        <v>884</v>
      </c>
      <c r="H3845" s="782">
        <v>2019</v>
      </c>
      <c r="I3845" s="988">
        <v>2020</v>
      </c>
      <c r="J3845" s="781">
        <v>2021</v>
      </c>
      <c r="K3845" s="782">
        <v>2022</v>
      </c>
      <c r="L3845" s="782">
        <v>2023</v>
      </c>
      <c r="M3845" s="782">
        <v>2024</v>
      </c>
      <c r="N3845" s="783">
        <v>2025</v>
      </c>
    </row>
    <row r="3846" spans="3:14">
      <c r="C3846" s="977"/>
      <c r="D3846" s="777" t="s">
        <v>790</v>
      </c>
      <c r="E3846" s="2471" t="s">
        <v>1306</v>
      </c>
      <c r="F3846" s="2472"/>
      <c r="G3846" s="67" t="str">
        <f>IFERROR(IF([1]F_ProductBM!G1140 = "", "", [1]F_ProductBM!G1140 ),"")</f>
        <v/>
      </c>
      <c r="H3846" s="94" t="str">
        <f>IFERROR(IF([1]F_ProductBM!H1140 = "", "", [1]F_ProductBM!H1140 ),"")</f>
        <v/>
      </c>
      <c r="I3846" s="110" t="str">
        <f>IFERROR(IF([1]F_ProductBM!I1140 = "", "", [1]F_ProductBM!I1140 ),"")</f>
        <v/>
      </c>
      <c r="J3846" s="111" t="str">
        <f>IFERROR(IF([1]F_ProductBM!J1140 = "", "", [1]F_ProductBM!J1140 ),"")</f>
        <v/>
      </c>
      <c r="K3846" s="94" t="str">
        <f>IFERROR(IF([1]F_ProductBM!K1140 = "", "", [1]F_ProductBM!K1140 ),"")</f>
        <v/>
      </c>
      <c r="L3846" s="94" t="str">
        <f>IFERROR(IF([1]F_ProductBM!L1140 = "", "", [1]F_ProductBM!L1140 ),"")</f>
        <v/>
      </c>
      <c r="M3846" s="94" t="str">
        <f>IFERROR(IF([1]F_ProductBM!M1140 = "", "", [1]F_ProductBM!M1140 ),"")</f>
        <v/>
      </c>
      <c r="N3846" s="112" t="str">
        <f>IFERROR(IF([1]F_ProductBM!N1140 = "", "", [1]F_ProductBM!N1140 ),"")</f>
        <v/>
      </c>
    </row>
    <row r="3847" spans="3:14">
      <c r="C3847" s="977"/>
      <c r="D3847" s="777" t="s">
        <v>791</v>
      </c>
      <c r="E3847" s="2473" t="s">
        <v>661</v>
      </c>
      <c r="F3847" s="2474"/>
      <c r="G3847" s="350" t="str">
        <f>IFERROR(IF([1]F_ProductBM!G1141 = "", "", [1]F_ProductBM!G1141 ),"")</f>
        <v>GJ / Unit</v>
      </c>
      <c r="H3847" s="95" t="str">
        <f>IFERROR(IF([1]F_ProductBM!H1141 = "", "", [1]F_ProductBM!H1141 ),"")</f>
        <v/>
      </c>
      <c r="I3847" s="113" t="str">
        <f>IFERROR(IF([1]F_ProductBM!I1141 = "", "", [1]F_ProductBM!I1141 ),"")</f>
        <v/>
      </c>
      <c r="J3847" s="114" t="str">
        <f>IFERROR(IF([1]F_ProductBM!J1141 = "", "", [1]F_ProductBM!J1141 ),"")</f>
        <v/>
      </c>
      <c r="K3847" s="95" t="str">
        <f>IFERROR(IF([1]F_ProductBM!K1141 = "", "", [1]F_ProductBM!K1141 ),"")</f>
        <v/>
      </c>
      <c r="L3847" s="95" t="str">
        <f>IFERROR(IF([1]F_ProductBM!L1141 = "", "", [1]F_ProductBM!L1141 ),"")</f>
        <v/>
      </c>
      <c r="M3847" s="95" t="str">
        <f>IFERROR(IF([1]F_ProductBM!M1141 = "", "", [1]F_ProductBM!M1141 ),"")</f>
        <v/>
      </c>
      <c r="N3847" s="115" t="str">
        <f>IFERROR(IF([1]F_ProductBM!N1141 = "", "", [1]F_ProductBM!N1141 ),"")</f>
        <v/>
      </c>
    </row>
    <row r="3848" spans="3:14">
      <c r="C3848" s="977"/>
      <c r="D3848" s="777" t="s">
        <v>64</v>
      </c>
      <c r="E3848" s="2475" t="s">
        <v>1309</v>
      </c>
      <c r="F3848" s="2410"/>
      <c r="G3848" s="815" t="s">
        <v>2017</v>
      </c>
      <c r="H3848" s="351" t="str">
        <f>IFERROR(IF([1]F_ProductBM!H1142 = "", "", [1]F_ProductBM!H1142 ),"")</f>
        <v/>
      </c>
      <c r="I3848" s="352" t="str">
        <f>IFERROR(IF([1]F_ProductBM!I1142 = "", "", [1]F_ProductBM!I1142 ),"")</f>
        <v/>
      </c>
      <c r="J3848" s="353" t="str">
        <f>IFERROR(IF([1]F_ProductBM!J1142 = "", "", [1]F_ProductBM!J1142 ),"")</f>
        <v/>
      </c>
      <c r="K3848" s="351" t="str">
        <f>IFERROR(IF([1]F_ProductBM!K1142 = "", "", [1]F_ProductBM!K1142 ),"")</f>
        <v/>
      </c>
      <c r="L3848" s="351" t="str">
        <f>IFERROR(IF([1]F_ProductBM!L1142 = "", "", [1]F_ProductBM!L1142 ),"")</f>
        <v/>
      </c>
      <c r="M3848" s="351" t="str">
        <f>IFERROR(IF([1]F_ProductBM!M1142 = "", "", [1]F_ProductBM!M1142 ),"")</f>
        <v/>
      </c>
      <c r="N3848" s="354" t="str">
        <f>IFERROR(IF([1]F_ProductBM!N1142 = "", "", [1]F_ProductBM!N1142 ),"")</f>
        <v/>
      </c>
    </row>
    <row r="3849" spans="3:14">
      <c r="C3849" s="977"/>
      <c r="D3849" s="777" t="s">
        <v>65</v>
      </c>
      <c r="E3849" s="2475" t="s">
        <v>1307</v>
      </c>
      <c r="F3849" s="2410"/>
      <c r="G3849" s="815" t="s">
        <v>2018</v>
      </c>
      <c r="H3849" s="93" t="str">
        <f>IFERROR(IF([1]F_ProductBM!H1143 = "", "", [1]F_ProductBM!H1143 ),"")</f>
        <v/>
      </c>
      <c r="I3849" s="116" t="str">
        <f>IFERROR(IF([1]F_ProductBM!I1143 = "", "", [1]F_ProductBM!I1143 ),"")</f>
        <v/>
      </c>
      <c r="J3849" s="117" t="str">
        <f>IFERROR(IF([1]F_ProductBM!J1143 = "", "", [1]F_ProductBM!J1143 ),"")</f>
        <v/>
      </c>
      <c r="K3849" s="93" t="str">
        <f>IFERROR(IF([1]F_ProductBM!K1143 = "", "", [1]F_ProductBM!K1143 ),"")</f>
        <v/>
      </c>
      <c r="L3849" s="93" t="str">
        <f>IFERROR(IF([1]F_ProductBM!L1143 = "", "", [1]F_ProductBM!L1143 ),"")</f>
        <v/>
      </c>
      <c r="M3849" s="93" t="str">
        <f>IFERROR(IF([1]F_ProductBM!M1143 = "", "", [1]F_ProductBM!M1143 ),"")</f>
        <v/>
      </c>
      <c r="N3849" s="118" t="str">
        <f>IFERROR(IF([1]F_ProductBM!N1143 = "", "", [1]F_ProductBM!N1143 ),"")</f>
        <v/>
      </c>
    </row>
    <row r="3850" spans="3:14">
      <c r="C3850" s="977"/>
      <c r="D3850" s="981"/>
      <c r="E3850" s="981"/>
      <c r="F3850" s="981"/>
      <c r="G3850" s="981"/>
      <c r="H3850" s="983"/>
      <c r="I3850" s="981"/>
      <c r="J3850" s="981"/>
      <c r="K3850" s="981"/>
      <c r="L3850" s="981"/>
      <c r="M3850" s="813"/>
      <c r="N3850" s="814"/>
    </row>
    <row r="3851" spans="3:14">
      <c r="C3851" s="977"/>
      <c r="D3851" s="777" t="s">
        <v>66</v>
      </c>
      <c r="E3851" s="2649" t="s">
        <v>1287</v>
      </c>
      <c r="F3851" s="2391"/>
      <c r="G3851" s="2391"/>
      <c r="H3851" s="2512"/>
      <c r="I3851" s="2683" t="str">
        <f>IFERROR(IF([1]F_ProductBM!I1145 = "", "", [1]F_ProductBM!I1145 ),"")</f>
        <v/>
      </c>
      <c r="J3851" s="2488"/>
      <c r="K3851" s="2488"/>
      <c r="L3851" s="2488"/>
      <c r="M3851" s="2686"/>
      <c r="N3851" s="979"/>
    </row>
    <row r="3852" spans="3:14">
      <c r="C3852" s="977"/>
      <c r="D3852" s="777"/>
      <c r="E3852" s="2669" t="s">
        <v>1476</v>
      </c>
      <c r="F3852" s="2391"/>
      <c r="G3852" s="2391"/>
      <c r="H3852" s="2391"/>
      <c r="I3852" s="2391"/>
      <c r="J3852" s="2391"/>
      <c r="K3852" s="2391"/>
      <c r="L3852" s="2391"/>
      <c r="M3852" s="2391"/>
      <c r="N3852" s="2650"/>
    </row>
    <row r="3853" spans="3:14">
      <c r="C3853" s="977"/>
      <c r="D3853" s="981"/>
      <c r="E3853" s="2669" t="s">
        <v>1558</v>
      </c>
      <c r="F3853" s="2391"/>
      <c r="G3853" s="2391"/>
      <c r="H3853" s="2391"/>
      <c r="I3853" s="2391"/>
      <c r="J3853" s="2391"/>
      <c r="K3853" s="2391"/>
      <c r="L3853" s="2391"/>
      <c r="M3853" s="2391"/>
      <c r="N3853" s="2650"/>
    </row>
    <row r="3854" spans="3:14">
      <c r="C3854" s="977"/>
      <c r="D3854" s="981"/>
      <c r="E3854" s="2676" t="s">
        <v>1559</v>
      </c>
      <c r="F3854" s="2391"/>
      <c r="G3854" s="2391"/>
      <c r="H3854" s="2391"/>
      <c r="I3854" s="2391"/>
      <c r="J3854" s="2391"/>
      <c r="K3854" s="2391"/>
      <c r="L3854" s="2391"/>
      <c r="M3854" s="2391"/>
      <c r="N3854" s="2650"/>
    </row>
    <row r="3855" spans="3:14">
      <c r="C3855" s="977"/>
      <c r="D3855" s="981"/>
      <c r="E3855" s="989"/>
      <c r="F3855" s="990"/>
      <c r="G3855" s="987" t="s">
        <v>884</v>
      </c>
      <c r="H3855" s="782">
        <v>2019</v>
      </c>
      <c r="I3855" s="988">
        <v>2020</v>
      </c>
      <c r="J3855" s="781">
        <v>2021</v>
      </c>
      <c r="K3855" s="782">
        <v>2022</v>
      </c>
      <c r="L3855" s="782">
        <v>2023</v>
      </c>
      <c r="M3855" s="782">
        <v>2024</v>
      </c>
      <c r="N3855" s="783">
        <v>2025</v>
      </c>
    </row>
    <row r="3856" spans="3:14">
      <c r="C3856" s="977"/>
      <c r="D3856" s="777" t="s">
        <v>1105</v>
      </c>
      <c r="E3856" s="2471" t="s">
        <v>1302</v>
      </c>
      <c r="F3856" s="2472"/>
      <c r="G3856" s="67" t="str">
        <f>IFERROR(IF([1]F_ProductBM!G1150 = "", "", [1]F_ProductBM!G1150 ),"")</f>
        <v/>
      </c>
      <c r="H3856" s="94" t="str">
        <f>IFERROR(IF([1]F_ProductBM!H1150 = "", "", [1]F_ProductBM!H1150 ),"")</f>
        <v/>
      </c>
      <c r="I3856" s="110" t="str">
        <f>IFERROR(IF([1]F_ProductBM!I1150 = "", "", [1]F_ProductBM!I1150 ),"")</f>
        <v/>
      </c>
      <c r="J3856" s="111" t="str">
        <f>IFERROR(IF([1]F_ProductBM!J1150 = "", "", [1]F_ProductBM!J1150 ),"")</f>
        <v/>
      </c>
      <c r="K3856" s="94" t="str">
        <f>IFERROR(IF([1]F_ProductBM!K1150 = "", "", [1]F_ProductBM!K1150 ),"")</f>
        <v/>
      </c>
      <c r="L3856" s="94" t="str">
        <f>IFERROR(IF([1]F_ProductBM!L1150 = "", "", [1]F_ProductBM!L1150 ),"")</f>
        <v/>
      </c>
      <c r="M3856" s="94" t="str">
        <f>IFERROR(IF([1]F_ProductBM!M1150 = "", "", [1]F_ProductBM!M1150 ),"")</f>
        <v/>
      </c>
      <c r="N3856" s="112" t="str">
        <f>IFERROR(IF([1]F_ProductBM!N1150 = "", "", [1]F_ProductBM!N1150 ),"")</f>
        <v/>
      </c>
    </row>
    <row r="3857" spans="3:14">
      <c r="C3857" s="977"/>
      <c r="D3857" s="777" t="s">
        <v>1106</v>
      </c>
      <c r="E3857" s="2473" t="s">
        <v>661</v>
      </c>
      <c r="F3857" s="2474"/>
      <c r="G3857" s="350" t="str">
        <f>IFERROR(IF([1]F_ProductBM!G1151 = "", "", [1]F_ProductBM!G1151 ),"")</f>
        <v>GJ / Unit</v>
      </c>
      <c r="H3857" s="95" t="str">
        <f>IFERROR(IF([1]F_ProductBM!H1151 = "", "", [1]F_ProductBM!H1151 ),"")</f>
        <v/>
      </c>
      <c r="I3857" s="113" t="str">
        <f>IFERROR(IF([1]F_ProductBM!I1151 = "", "", [1]F_ProductBM!I1151 ),"")</f>
        <v/>
      </c>
      <c r="J3857" s="114" t="str">
        <f>IFERROR(IF([1]F_ProductBM!J1151 = "", "", [1]F_ProductBM!J1151 ),"")</f>
        <v/>
      </c>
      <c r="K3857" s="95" t="str">
        <f>IFERROR(IF([1]F_ProductBM!K1151 = "", "", [1]F_ProductBM!K1151 ),"")</f>
        <v/>
      </c>
      <c r="L3857" s="95" t="str">
        <f>IFERROR(IF([1]F_ProductBM!L1151 = "", "", [1]F_ProductBM!L1151 ),"")</f>
        <v/>
      </c>
      <c r="M3857" s="95" t="str">
        <f>IFERROR(IF([1]F_ProductBM!M1151 = "", "", [1]F_ProductBM!M1151 ),"")</f>
        <v/>
      </c>
      <c r="N3857" s="115" t="str">
        <f>IFERROR(IF([1]F_ProductBM!N1151 = "", "", [1]F_ProductBM!N1151 ),"")</f>
        <v/>
      </c>
    </row>
    <row r="3858" spans="3:14">
      <c r="C3858" s="977"/>
      <c r="D3858" s="777" t="s">
        <v>1107</v>
      </c>
      <c r="E3858" s="2475" t="s">
        <v>1288</v>
      </c>
      <c r="F3858" s="2410"/>
      <c r="G3858" s="815" t="s">
        <v>2017</v>
      </c>
      <c r="H3858" s="351" t="str">
        <f>IFERROR(IF([1]F_ProductBM!H1152 = "", "", [1]F_ProductBM!H1152 ),"")</f>
        <v/>
      </c>
      <c r="I3858" s="352" t="str">
        <f>IFERROR(IF([1]F_ProductBM!I1152 = "", "", [1]F_ProductBM!I1152 ),"")</f>
        <v/>
      </c>
      <c r="J3858" s="353" t="str">
        <f>IFERROR(IF([1]F_ProductBM!J1152 = "", "", [1]F_ProductBM!J1152 ),"")</f>
        <v/>
      </c>
      <c r="K3858" s="351" t="str">
        <f>IFERROR(IF([1]F_ProductBM!K1152 = "", "", [1]F_ProductBM!K1152 ),"")</f>
        <v/>
      </c>
      <c r="L3858" s="351" t="str">
        <f>IFERROR(IF([1]F_ProductBM!L1152 = "", "", [1]F_ProductBM!L1152 ),"")</f>
        <v/>
      </c>
      <c r="M3858" s="351" t="str">
        <f>IFERROR(IF([1]F_ProductBM!M1152 = "", "", [1]F_ProductBM!M1152 ),"")</f>
        <v/>
      </c>
      <c r="N3858" s="354" t="str">
        <f>IFERROR(IF([1]F_ProductBM!N1152 = "", "", [1]F_ProductBM!N1152 ),"")</f>
        <v/>
      </c>
    </row>
    <row r="3859" spans="3:14">
      <c r="C3859" s="977"/>
      <c r="D3859" s="777" t="s">
        <v>1108</v>
      </c>
      <c r="E3859" s="2475" t="s">
        <v>1308</v>
      </c>
      <c r="F3859" s="2410"/>
      <c r="G3859" s="815" t="s">
        <v>2018</v>
      </c>
      <c r="H3859" s="93" t="str">
        <f>IFERROR(IF([1]F_ProductBM!H1153 = "", "", [1]F_ProductBM!H1153 ),"")</f>
        <v/>
      </c>
      <c r="I3859" s="116" t="str">
        <f>IFERROR(IF([1]F_ProductBM!I1153 = "", "", [1]F_ProductBM!I1153 ),"")</f>
        <v/>
      </c>
      <c r="J3859" s="117" t="str">
        <f>IFERROR(IF([1]F_ProductBM!J1153 = "", "", [1]F_ProductBM!J1153 ),"")</f>
        <v/>
      </c>
      <c r="K3859" s="93" t="str">
        <f>IFERROR(IF([1]F_ProductBM!K1153 = "", "", [1]F_ProductBM!K1153 ),"")</f>
        <v/>
      </c>
      <c r="L3859" s="93" t="str">
        <f>IFERROR(IF([1]F_ProductBM!L1153 = "", "", [1]F_ProductBM!L1153 ),"")</f>
        <v/>
      </c>
      <c r="M3859" s="93" t="str">
        <f>IFERROR(IF([1]F_ProductBM!M1153 = "", "", [1]F_ProductBM!M1153 ),"")</f>
        <v/>
      </c>
      <c r="N3859" s="118" t="str">
        <f>IFERROR(IF([1]F_ProductBM!N1153 = "", "", [1]F_ProductBM!N1153 ),"")</f>
        <v/>
      </c>
    </row>
    <row r="3860" spans="3:14">
      <c r="C3860" s="977"/>
      <c r="D3860" s="981"/>
      <c r="E3860" s="981"/>
      <c r="F3860" s="981"/>
      <c r="G3860" s="981"/>
      <c r="H3860" s="983"/>
      <c r="I3860" s="981"/>
      <c r="J3860" s="981"/>
      <c r="K3860" s="981"/>
      <c r="L3860" s="981"/>
      <c r="M3860" s="813"/>
      <c r="N3860" s="814"/>
    </row>
    <row r="3861" spans="3:14">
      <c r="C3861" s="977"/>
      <c r="D3861" s="981"/>
      <c r="E3861" s="2475" t="s">
        <v>1844</v>
      </c>
      <c r="F3861" s="2475"/>
      <c r="G3861" s="1009" t="s">
        <v>471</v>
      </c>
      <c r="H3861" s="62" t="str">
        <f>IFERROR(IF([1]F_ProductBM!H1155 = "", "", [1]F_ProductBM!H1155 ),"")</f>
        <v/>
      </c>
      <c r="I3861" s="65" t="str">
        <f>IFERROR(IF([1]F_ProductBM!I1155 = "", "", [1]F_ProductBM!I1155 ),"")</f>
        <v/>
      </c>
      <c r="J3861" s="69" t="str">
        <f>IFERROR(IF([1]F_ProductBM!J1155 = "", "", [1]F_ProductBM!J1155 ),"")</f>
        <v/>
      </c>
      <c r="K3861" s="62" t="str">
        <f>IFERROR(IF([1]F_ProductBM!K1155 = "", "", [1]F_ProductBM!K1155 ),"")</f>
        <v/>
      </c>
      <c r="L3861" s="62" t="str">
        <f>IFERROR(IF([1]F_ProductBM!L1155 = "", "", [1]F_ProductBM!L1155 ),"")</f>
        <v/>
      </c>
      <c r="M3861" s="62" t="str">
        <f>IFERROR(IF([1]F_ProductBM!M1155 = "", "", [1]F_ProductBM!M1155 ),"")</f>
        <v/>
      </c>
      <c r="N3861" s="62" t="str">
        <f>IFERROR(IF([1]F_ProductBM!N1155 = "", "", [1]F_ProductBM!N1155 ),"")</f>
        <v/>
      </c>
    </row>
    <row r="3862" spans="3:14" ht="13.5" thickBot="1">
      <c r="C3862" s="977"/>
      <c r="D3862" s="981"/>
      <c r="E3862" s="981"/>
      <c r="F3862" s="981"/>
      <c r="G3862" s="981"/>
      <c r="H3862" s="983"/>
      <c r="I3862" s="981"/>
      <c r="J3862" s="981"/>
      <c r="K3862" s="981"/>
      <c r="L3862" s="981"/>
      <c r="M3862" s="813"/>
      <c r="N3862" s="814"/>
    </row>
    <row r="3863" spans="3:14">
      <c r="C3863" s="977"/>
      <c r="D3863" s="1010"/>
      <c r="E3863" s="1011"/>
      <c r="F3863" s="1011"/>
      <c r="G3863" s="1011"/>
      <c r="H3863" s="1012"/>
      <c r="I3863" s="1011"/>
      <c r="J3863" s="1011"/>
      <c r="K3863" s="1011"/>
      <c r="L3863" s="1011"/>
      <c r="M3863" s="942"/>
      <c r="N3863" s="943"/>
    </row>
    <row r="3864" spans="3:14">
      <c r="C3864" s="977"/>
      <c r="D3864" s="907" t="s">
        <v>1917</v>
      </c>
      <c r="E3864" s="2713" t="s">
        <v>1773</v>
      </c>
      <c r="F3864" s="2493"/>
      <c r="G3864" s="2493"/>
      <c r="H3864" s="910" t="s">
        <v>884</v>
      </c>
      <c r="I3864" s="911" t="s">
        <v>2213</v>
      </c>
      <c r="J3864" s="912">
        <v>2021</v>
      </c>
      <c r="K3864" s="913">
        <v>2022</v>
      </c>
      <c r="L3864" s="913">
        <v>2023</v>
      </c>
      <c r="M3864" s="913">
        <v>2024</v>
      </c>
      <c r="N3864" s="914">
        <v>2025</v>
      </c>
    </row>
    <row r="3865" spans="3:14">
      <c r="C3865" s="977"/>
      <c r="D3865" s="915" t="s">
        <v>6</v>
      </c>
      <c r="E3865" s="2714" t="s">
        <v>1691</v>
      </c>
      <c r="F3865" s="2410"/>
      <c r="G3865" s="2410"/>
      <c r="H3865" s="944" t="s">
        <v>471</v>
      </c>
      <c r="I3865" s="281" t="str">
        <f>IFERROR(IF([1]F_ProductBM!I1159 = "", "", [1]F_ProductBM!I1159 ),"")</f>
        <v/>
      </c>
      <c r="J3865" s="334" t="str">
        <f>IFERROR(IF([1]F_ProductBM!J1159 = "", "", [1]F_ProductBM!J1159 ),"")</f>
        <v/>
      </c>
      <c r="K3865" s="335" t="str">
        <f>IFERROR(IF([1]F_ProductBM!K1159 = "", "", [1]F_ProductBM!K1159 ),"")</f>
        <v/>
      </c>
      <c r="L3865" s="335" t="str">
        <f>IFERROR(IF([1]F_ProductBM!L1159 = "", "", [1]F_ProductBM!L1159 ),"")</f>
        <v/>
      </c>
      <c r="M3865" s="335" t="str">
        <f>IFERROR(IF([1]F_ProductBM!M1159 = "", "", [1]F_ProductBM!M1159 ),"")</f>
        <v/>
      </c>
      <c r="N3865" s="336" t="str">
        <f>IFERROR(IF([1]F_ProductBM!N1159 = "", "", [1]F_ProductBM!N1159 ),"")</f>
        <v/>
      </c>
    </row>
    <row r="3866" spans="3:14">
      <c r="C3866" s="977"/>
      <c r="D3866" s="915"/>
      <c r="E3866" s="2714" t="s">
        <v>1776</v>
      </c>
      <c r="F3866" s="2410"/>
      <c r="G3866" s="2410"/>
      <c r="H3866" s="921"/>
      <c r="I3866" s="916"/>
      <c r="J3866" s="319" t="str">
        <f>IFERROR(IF([1]F_ProductBM!J1160 = "", "", [1]F_ProductBM!J1160 ),"")</f>
        <v/>
      </c>
      <c r="K3866" s="320" t="str">
        <f>IFERROR(IF([1]F_ProductBM!K1160 = "", "", [1]F_ProductBM!K1160 ),"")</f>
        <v/>
      </c>
      <c r="L3866" s="320" t="str">
        <f>IFERROR(IF([1]F_ProductBM!L1160 = "", "", [1]F_ProductBM!L1160 ),"")</f>
        <v/>
      </c>
      <c r="M3866" s="320" t="str">
        <f>IFERROR(IF([1]F_ProductBM!M1160 = "", "", [1]F_ProductBM!M1160 ),"")</f>
        <v/>
      </c>
      <c r="N3866" s="321" t="str">
        <f>IFERROR(IF([1]F_ProductBM!N1160 = "", "", [1]F_ProductBM!N1160 ),"")</f>
        <v/>
      </c>
    </row>
    <row r="3867" spans="3:14">
      <c r="C3867" s="977"/>
      <c r="D3867" s="915" t="s">
        <v>7</v>
      </c>
      <c r="E3867" s="2714" t="s">
        <v>1654</v>
      </c>
      <c r="F3867" s="2410"/>
      <c r="G3867" s="2410"/>
      <c r="H3867" s="921"/>
      <c r="I3867" s="916"/>
      <c r="J3867" s="288" t="str">
        <f>IFERROR(IF([1]F_ProductBM!J1161 = "", "", [1]F_ProductBM!J1161 ),"")</f>
        <v/>
      </c>
      <c r="K3867" s="289" t="str">
        <f>IFERROR(IF([1]F_ProductBM!K1161 = "", "", [1]F_ProductBM!K1161 ),"")</f>
        <v/>
      </c>
      <c r="L3867" s="289" t="str">
        <f>IFERROR(IF([1]F_ProductBM!L1161 = "", "", [1]F_ProductBM!L1161 ),"")</f>
        <v/>
      </c>
      <c r="M3867" s="289" t="str">
        <f>IFERROR(IF([1]F_ProductBM!M1161 = "", "", [1]F_ProductBM!M1161 ),"")</f>
        <v/>
      </c>
      <c r="N3867" s="290" t="str">
        <f>IFERROR(IF([1]F_ProductBM!N1161 = "", "", [1]F_ProductBM!N1161 ),"")</f>
        <v/>
      </c>
    </row>
    <row r="3868" spans="3:14">
      <c r="C3868" s="977"/>
      <c r="D3868" s="915"/>
      <c r="E3868" s="2714" t="s">
        <v>1689</v>
      </c>
      <c r="F3868" s="2410"/>
      <c r="G3868" s="2410"/>
      <c r="H3868" s="944" t="s">
        <v>471</v>
      </c>
      <c r="I3868" s="281" t="str">
        <f>IFERROR(IF([1]F_ProductBM!I1162 = "", "", [1]F_ProductBM!I1162 ),"")</f>
        <v/>
      </c>
      <c r="J3868" s="282" t="str">
        <f>IFERROR(IF([1]F_ProductBM!J1162 = "", "", [1]F_ProductBM!J1162 ),"")</f>
        <v/>
      </c>
      <c r="K3868" s="283" t="str">
        <f>IFERROR(IF([1]F_ProductBM!K1162 = "", "", [1]F_ProductBM!K1162 ),"")</f>
        <v/>
      </c>
      <c r="L3868" s="283" t="str">
        <f>IFERROR(IF([1]F_ProductBM!L1162 = "", "", [1]F_ProductBM!L1162 ),"")</f>
        <v/>
      </c>
      <c r="M3868" s="283" t="str">
        <f>IFERROR(IF([1]F_ProductBM!M1162 = "", "", [1]F_ProductBM!M1162 ),"")</f>
        <v/>
      </c>
      <c r="N3868" s="284" t="str">
        <f>IFERROR(IF([1]F_ProductBM!N1162 = "", "", [1]F_ProductBM!N1162 ),"")</f>
        <v/>
      </c>
    </row>
    <row r="3869" spans="3:14">
      <c r="C3869" s="977"/>
      <c r="D3869" s="915"/>
      <c r="E3869" s="909"/>
      <c r="F3869" s="909"/>
      <c r="G3869" s="909"/>
      <c r="H3869" s="909"/>
      <c r="I3869" s="909"/>
      <c r="J3869" s="909"/>
      <c r="K3869" s="909"/>
      <c r="L3869" s="909"/>
      <c r="M3869" s="909"/>
      <c r="N3869" s="922"/>
    </row>
    <row r="3870" spans="3:14">
      <c r="C3870" s="977"/>
      <c r="D3870" s="915"/>
      <c r="E3870" s="2713" t="s">
        <v>1653</v>
      </c>
      <c r="F3870" s="2493"/>
      <c r="G3870" s="2493"/>
      <c r="H3870" s="2493"/>
      <c r="I3870" s="2708"/>
      <c r="J3870" s="912">
        <v>2021</v>
      </c>
      <c r="K3870" s="913">
        <v>2022</v>
      </c>
      <c r="L3870" s="913">
        <v>2023</v>
      </c>
      <c r="M3870" s="913">
        <v>2024</v>
      </c>
      <c r="N3870" s="914">
        <v>2025</v>
      </c>
    </row>
    <row r="3871" spans="3:14">
      <c r="C3871" s="977"/>
      <c r="D3871" s="915" t="s">
        <v>8</v>
      </c>
      <c r="E3871" s="2714" t="s">
        <v>2108</v>
      </c>
      <c r="F3871" s="2410"/>
      <c r="G3871" s="2410"/>
      <c r="H3871" s="2410"/>
      <c r="I3871" s="2715"/>
      <c r="J3871" s="69" t="str">
        <f>IFERROR(IF([1]F_ProductBM!J1165 = "", "", [1]F_ProductBM!J1165 ),"")</f>
        <v/>
      </c>
      <c r="K3871" s="62" t="str">
        <f>IFERROR(IF([1]F_ProductBM!K1165 = "", "", [1]F_ProductBM!K1165 ),"")</f>
        <v/>
      </c>
      <c r="L3871" s="62" t="str">
        <f>IFERROR(IF([1]F_ProductBM!L1165 = "", "", [1]F_ProductBM!L1165 ),"")</f>
        <v/>
      </c>
      <c r="M3871" s="62" t="str">
        <f>IFERROR(IF([1]F_ProductBM!M1165 = "", "", [1]F_ProductBM!M1165 ),"")</f>
        <v/>
      </c>
      <c r="N3871" s="70" t="str">
        <f>IFERROR(IF([1]F_ProductBM!N1165 = "", "", [1]F_ProductBM!N1165 ),"")</f>
        <v/>
      </c>
    </row>
    <row r="3872" spans="3:14" ht="13.5" thickBot="1">
      <c r="C3872" s="977"/>
      <c r="D3872" s="915"/>
      <c r="E3872" s="909"/>
      <c r="F3872" s="909"/>
      <c r="G3872" s="909"/>
      <c r="H3872" s="909"/>
      <c r="I3872" s="909"/>
      <c r="J3872" s="909"/>
      <c r="K3872" s="909"/>
      <c r="L3872" s="909"/>
      <c r="M3872" s="909"/>
      <c r="N3872" s="922"/>
    </row>
    <row r="3873" spans="3:14" ht="13.5" thickBot="1">
      <c r="C3873" s="977"/>
      <c r="D3873" s="915" t="s">
        <v>18</v>
      </c>
      <c r="E3873" s="2714" t="s">
        <v>1657</v>
      </c>
      <c r="F3873" s="2410"/>
      <c r="G3873" s="2410"/>
      <c r="H3873" s="2410"/>
      <c r="I3873" s="2715"/>
      <c r="J3873" s="291" t="str">
        <f>IFERROR(IF([1]F_ProductBM!J1167 = "", "", [1]F_ProductBM!J1167 ),"")</f>
        <v/>
      </c>
      <c r="K3873" s="292" t="str">
        <f>IFERROR(IF([1]F_ProductBM!K1167 = "", "", [1]F_ProductBM!K1167 ),"")</f>
        <v/>
      </c>
      <c r="L3873" s="292" t="str">
        <f>IFERROR(IF([1]F_ProductBM!L1167 = "", "", [1]F_ProductBM!L1167 ),"")</f>
        <v/>
      </c>
      <c r="M3873" s="292" t="str">
        <f>IFERROR(IF([1]F_ProductBM!M1167 = "", "", [1]F_ProductBM!M1167 ),"")</f>
        <v/>
      </c>
      <c r="N3873" s="293" t="str">
        <f>IFERROR(IF([1]F_ProductBM!N1167 = "", "", [1]F_ProductBM!N1167 ),"")</f>
        <v/>
      </c>
    </row>
    <row r="3874" spans="3:14" ht="13.5" thickBot="1">
      <c r="C3874" s="977"/>
      <c r="D3874" s="915" t="s">
        <v>787</v>
      </c>
      <c r="E3874" s="2714" t="s">
        <v>1659</v>
      </c>
      <c r="F3874" s="2410"/>
      <c r="G3874" s="2410"/>
      <c r="H3874" s="944" t="s">
        <v>471</v>
      </c>
      <c r="I3874" s="281" t="str">
        <f>IFERROR(IF([1]F_ProductBM!I1168 = "", "", [1]F_ProductBM!I1168 ),"")</f>
        <v/>
      </c>
      <c r="J3874" s="294" t="str">
        <f>IFERROR(IF([1]F_ProductBM!J1168 = "", "", [1]F_ProductBM!J1168 ),"")</f>
        <v/>
      </c>
      <c r="K3874" s="295" t="str">
        <f>IFERROR(IF([1]F_ProductBM!K1168 = "", "", [1]F_ProductBM!K1168 ),"")</f>
        <v/>
      </c>
      <c r="L3874" s="295" t="str">
        <f>IFERROR(IF([1]F_ProductBM!L1168 = "", "", [1]F_ProductBM!L1168 ),"")</f>
        <v/>
      </c>
      <c r="M3874" s="295" t="str">
        <f>IFERROR(IF([1]F_ProductBM!M1168 = "", "", [1]F_ProductBM!M1168 ),"")</f>
        <v/>
      </c>
      <c r="N3874" s="296" t="str">
        <f>IFERROR(IF([1]F_ProductBM!N1168 = "", "", [1]F_ProductBM!N1168 ),"")</f>
        <v/>
      </c>
    </row>
    <row r="3875" spans="3:14" ht="13.5" thickBot="1">
      <c r="C3875" s="977"/>
      <c r="D3875" s="946"/>
      <c r="E3875" s="947"/>
      <c r="F3875" s="947"/>
      <c r="G3875" s="947"/>
      <c r="H3875" s="1014"/>
      <c r="I3875" s="947"/>
      <c r="J3875" s="947"/>
      <c r="K3875" s="947"/>
      <c r="L3875" s="947"/>
      <c r="M3875" s="925"/>
      <c r="N3875" s="926"/>
    </row>
    <row r="3876" spans="3:14">
      <c r="C3876" s="977"/>
      <c r="D3876" s="981"/>
      <c r="E3876" s="981"/>
      <c r="F3876" s="981"/>
      <c r="G3876" s="981"/>
      <c r="H3876" s="983"/>
      <c r="I3876" s="981"/>
      <c r="J3876" s="981"/>
      <c r="K3876" s="981"/>
      <c r="L3876" s="981"/>
      <c r="M3876" s="813"/>
      <c r="N3876" s="814"/>
    </row>
    <row r="3877" spans="3:14">
      <c r="C3877" s="977"/>
      <c r="D3877" s="777" t="s">
        <v>1109</v>
      </c>
      <c r="E3877" s="2649" t="s">
        <v>1218</v>
      </c>
      <c r="F3877" s="2391"/>
      <c r="G3877" s="2391"/>
      <c r="H3877" s="2512"/>
      <c r="I3877" s="2683" t="str">
        <f>IFERROR(IF([1]F_ProductBM!I1171 = "", "", [1]F_ProductBM!I1171 ),"")</f>
        <v/>
      </c>
      <c r="J3877" s="2488"/>
      <c r="K3877" s="2488"/>
      <c r="L3877" s="2488"/>
      <c r="M3877" s="2686"/>
      <c r="N3877" s="814"/>
    </row>
    <row r="3878" spans="3:14">
      <c r="C3878" s="977"/>
      <c r="D3878" s="777"/>
      <c r="E3878" s="2676" t="s">
        <v>2298</v>
      </c>
      <c r="F3878" s="2391"/>
      <c r="G3878" s="2391"/>
      <c r="H3878" s="2391"/>
      <c r="I3878" s="2391"/>
      <c r="J3878" s="2391"/>
      <c r="K3878" s="2391"/>
      <c r="L3878" s="2391"/>
      <c r="M3878" s="2391"/>
      <c r="N3878" s="2650"/>
    </row>
    <row r="3879" spans="3:14">
      <c r="C3879" s="977"/>
      <c r="D3879" s="777"/>
      <c r="E3879" s="2669" t="s">
        <v>1560</v>
      </c>
      <c r="F3879" s="2391"/>
      <c r="G3879" s="2391"/>
      <c r="H3879" s="2391"/>
      <c r="I3879" s="2391"/>
      <c r="J3879" s="2391"/>
      <c r="K3879" s="2391"/>
      <c r="L3879" s="2391"/>
      <c r="M3879" s="2391"/>
      <c r="N3879" s="2650"/>
    </row>
    <row r="3880" spans="3:14">
      <c r="C3880" s="977"/>
      <c r="D3880" s="981"/>
      <c r="E3880" s="989"/>
      <c r="F3880" s="990"/>
      <c r="G3880" s="987" t="s">
        <v>884</v>
      </c>
      <c r="H3880" s="782">
        <v>2019</v>
      </c>
      <c r="I3880" s="988">
        <v>2020</v>
      </c>
      <c r="J3880" s="781">
        <v>2021</v>
      </c>
      <c r="K3880" s="782">
        <v>2022</v>
      </c>
      <c r="L3880" s="782">
        <v>2023</v>
      </c>
      <c r="M3880" s="782">
        <v>2024</v>
      </c>
      <c r="N3880" s="783">
        <v>2025</v>
      </c>
    </row>
    <row r="3881" spans="3:14">
      <c r="C3881" s="977"/>
      <c r="D3881" s="777" t="s">
        <v>1110</v>
      </c>
      <c r="E3881" s="2471" t="s">
        <v>1303</v>
      </c>
      <c r="F3881" s="2472"/>
      <c r="G3881" s="67" t="str">
        <f>IFERROR(IF([1]F_ProductBM!G1175 = "", "", [1]F_ProductBM!G1175 ),"")</f>
        <v/>
      </c>
      <c r="H3881" s="94" t="str">
        <f>IFERROR(IF([1]F_ProductBM!H1175 = "", "", [1]F_ProductBM!H1175 ),"")</f>
        <v/>
      </c>
      <c r="I3881" s="110" t="str">
        <f>IFERROR(IF([1]F_ProductBM!I1175 = "", "", [1]F_ProductBM!I1175 ),"")</f>
        <v/>
      </c>
      <c r="J3881" s="111" t="str">
        <f>IFERROR(IF([1]F_ProductBM!J1175 = "", "", [1]F_ProductBM!J1175 ),"")</f>
        <v/>
      </c>
      <c r="K3881" s="94" t="str">
        <f>IFERROR(IF([1]F_ProductBM!K1175 = "", "", [1]F_ProductBM!K1175 ),"")</f>
        <v/>
      </c>
      <c r="L3881" s="94" t="str">
        <f>IFERROR(IF([1]F_ProductBM!L1175 = "", "", [1]F_ProductBM!L1175 ),"")</f>
        <v/>
      </c>
      <c r="M3881" s="94" t="str">
        <f>IFERROR(IF([1]F_ProductBM!M1175 = "", "", [1]F_ProductBM!M1175 ),"")</f>
        <v/>
      </c>
      <c r="N3881" s="112" t="str">
        <f>IFERROR(IF([1]F_ProductBM!N1175 = "", "", [1]F_ProductBM!N1175 ),"")</f>
        <v/>
      </c>
    </row>
    <row r="3882" spans="3:14">
      <c r="C3882" s="977"/>
      <c r="D3882" s="777" t="s">
        <v>1111</v>
      </c>
      <c r="E3882" s="2473" t="s">
        <v>661</v>
      </c>
      <c r="F3882" s="2474"/>
      <c r="G3882" s="350" t="str">
        <f>IFERROR(IF([1]F_ProductBM!G1176 = "", "", [1]F_ProductBM!G1176 ),"")</f>
        <v>GJ / Unit</v>
      </c>
      <c r="H3882" s="95" t="str">
        <f>IFERROR(IF([1]F_ProductBM!H1176 = "", "", [1]F_ProductBM!H1176 ),"")</f>
        <v/>
      </c>
      <c r="I3882" s="113" t="str">
        <f>IFERROR(IF([1]F_ProductBM!I1176 = "", "", [1]F_ProductBM!I1176 ),"")</f>
        <v/>
      </c>
      <c r="J3882" s="114" t="str">
        <f>IFERROR(IF([1]F_ProductBM!J1176 = "", "", [1]F_ProductBM!J1176 ),"")</f>
        <v/>
      </c>
      <c r="K3882" s="95" t="str">
        <f>IFERROR(IF([1]F_ProductBM!K1176 = "", "", [1]F_ProductBM!K1176 ),"")</f>
        <v/>
      </c>
      <c r="L3882" s="95" t="str">
        <f>IFERROR(IF([1]F_ProductBM!L1176 = "", "", [1]F_ProductBM!L1176 ),"")</f>
        <v/>
      </c>
      <c r="M3882" s="95" t="str">
        <f>IFERROR(IF([1]F_ProductBM!M1176 = "", "", [1]F_ProductBM!M1176 ),"")</f>
        <v/>
      </c>
      <c r="N3882" s="115" t="str">
        <f>IFERROR(IF([1]F_ProductBM!N1176 = "", "", [1]F_ProductBM!N1176 ),"")</f>
        <v/>
      </c>
    </row>
    <row r="3883" spans="3:14">
      <c r="C3883" s="977"/>
      <c r="D3883" s="777" t="s">
        <v>1112</v>
      </c>
      <c r="E3883" s="2475" t="s">
        <v>1102</v>
      </c>
      <c r="F3883" s="2410"/>
      <c r="G3883" s="815" t="s">
        <v>2017</v>
      </c>
      <c r="H3883" s="93" t="str">
        <f>IFERROR(IF([1]F_ProductBM!H1177 = "", "", [1]F_ProductBM!H1177 ),"")</f>
        <v/>
      </c>
      <c r="I3883" s="116" t="str">
        <f>IFERROR(IF([1]F_ProductBM!I1177 = "", "", [1]F_ProductBM!I1177 ),"")</f>
        <v/>
      </c>
      <c r="J3883" s="117" t="str">
        <f>IFERROR(IF([1]F_ProductBM!J1177 = "", "", [1]F_ProductBM!J1177 ),"")</f>
        <v/>
      </c>
      <c r="K3883" s="93" t="str">
        <f>IFERROR(IF([1]F_ProductBM!K1177 = "", "", [1]F_ProductBM!K1177 ),"")</f>
        <v/>
      </c>
      <c r="L3883" s="93" t="str">
        <f>IFERROR(IF([1]F_ProductBM!L1177 = "", "", [1]F_ProductBM!L1177 ),"")</f>
        <v/>
      </c>
      <c r="M3883" s="93" t="str">
        <f>IFERROR(IF([1]F_ProductBM!M1177 = "", "", [1]F_ProductBM!M1177 ),"")</f>
        <v/>
      </c>
      <c r="N3883" s="118" t="str">
        <f>IFERROR(IF([1]F_ProductBM!N1177 = "", "", [1]F_ProductBM!N1177 ),"")</f>
        <v/>
      </c>
    </row>
    <row r="3884" spans="3:14">
      <c r="C3884" s="977"/>
      <c r="D3884" s="777" t="s">
        <v>1113</v>
      </c>
      <c r="E3884" s="2475" t="s">
        <v>1275</v>
      </c>
      <c r="F3884" s="2410"/>
      <c r="G3884" s="815" t="s">
        <v>2018</v>
      </c>
      <c r="H3884" s="93" t="str">
        <f>IFERROR(IF([1]F_ProductBM!H1178 = "", "", [1]F_ProductBM!H1178 ),"")</f>
        <v/>
      </c>
      <c r="I3884" s="116" t="str">
        <f>IFERROR(IF([1]F_ProductBM!I1178 = "", "", [1]F_ProductBM!I1178 ),"")</f>
        <v/>
      </c>
      <c r="J3884" s="117" t="str">
        <f>IFERROR(IF([1]F_ProductBM!J1178 = "", "", [1]F_ProductBM!J1178 ),"")</f>
        <v/>
      </c>
      <c r="K3884" s="93" t="str">
        <f>IFERROR(IF([1]F_ProductBM!K1178 = "", "", [1]F_ProductBM!K1178 ),"")</f>
        <v/>
      </c>
      <c r="L3884" s="93" t="str">
        <f>IFERROR(IF([1]F_ProductBM!L1178 = "", "", [1]F_ProductBM!L1178 ),"")</f>
        <v/>
      </c>
      <c r="M3884" s="93" t="str">
        <f>IFERROR(IF([1]F_ProductBM!M1178 = "", "", [1]F_ProductBM!M1178 ),"")</f>
        <v/>
      </c>
      <c r="N3884" s="118" t="str">
        <f>IFERROR(IF([1]F_ProductBM!N1178 = "", "", [1]F_ProductBM!N1178 ),"")</f>
        <v/>
      </c>
    </row>
    <row r="3885" spans="3:14">
      <c r="C3885" s="977"/>
      <c r="D3885" s="981"/>
      <c r="E3885" s="981"/>
      <c r="F3885" s="981"/>
      <c r="G3885" s="981"/>
      <c r="H3885" s="983"/>
      <c r="I3885" s="981"/>
      <c r="J3885" s="981"/>
      <c r="K3885" s="981"/>
      <c r="L3885" s="981"/>
      <c r="M3885" s="813"/>
      <c r="N3885" s="814"/>
    </row>
    <row r="3886" spans="3:14">
      <c r="C3886" s="977"/>
      <c r="D3886" s="777" t="s">
        <v>1114</v>
      </c>
      <c r="E3886" s="2649" t="s">
        <v>1217</v>
      </c>
      <c r="F3886" s="2391"/>
      <c r="G3886" s="2391"/>
      <c r="H3886" s="2512"/>
      <c r="I3886" s="2683" t="str">
        <f>IFERROR(IF([1]F_ProductBM!I1180 = "", "", [1]F_ProductBM!I1180 ),"")</f>
        <v/>
      </c>
      <c r="J3886" s="2488"/>
      <c r="K3886" s="2488"/>
      <c r="L3886" s="2488"/>
      <c r="M3886" s="2686"/>
      <c r="N3886" s="979"/>
    </row>
    <row r="3887" spans="3:14">
      <c r="C3887" s="977"/>
      <c r="D3887" s="777"/>
      <c r="E3887" s="2676" t="s">
        <v>2298</v>
      </c>
      <c r="F3887" s="2391"/>
      <c r="G3887" s="2391"/>
      <c r="H3887" s="2391"/>
      <c r="I3887" s="2391"/>
      <c r="J3887" s="2391"/>
      <c r="K3887" s="2391"/>
      <c r="L3887" s="2391"/>
      <c r="M3887" s="2391"/>
      <c r="N3887" s="2650"/>
    </row>
    <row r="3888" spans="3:14">
      <c r="C3888" s="977"/>
      <c r="D3888" s="777"/>
      <c r="E3888" s="2669" t="s">
        <v>1317</v>
      </c>
      <c r="F3888" s="2391"/>
      <c r="G3888" s="2391"/>
      <c r="H3888" s="2391"/>
      <c r="I3888" s="2391"/>
      <c r="J3888" s="2391"/>
      <c r="K3888" s="2391"/>
      <c r="L3888" s="2391"/>
      <c r="M3888" s="2391"/>
      <c r="N3888" s="2650"/>
    </row>
    <row r="3889" spans="3:14">
      <c r="C3889" s="977"/>
      <c r="D3889" s="981"/>
      <c r="E3889" s="989"/>
      <c r="F3889" s="990"/>
      <c r="G3889" s="987" t="s">
        <v>884</v>
      </c>
      <c r="H3889" s="782">
        <v>2019</v>
      </c>
      <c r="I3889" s="988">
        <v>2020</v>
      </c>
      <c r="J3889" s="781">
        <v>2021</v>
      </c>
      <c r="K3889" s="782">
        <v>2022</v>
      </c>
      <c r="L3889" s="782">
        <v>2023</v>
      </c>
      <c r="M3889" s="782">
        <v>2024</v>
      </c>
      <c r="N3889" s="783">
        <v>2025</v>
      </c>
    </row>
    <row r="3890" spans="3:14">
      <c r="C3890" s="977"/>
      <c r="D3890" s="777" t="s">
        <v>1115</v>
      </c>
      <c r="E3890" s="2471" t="s">
        <v>1304</v>
      </c>
      <c r="F3890" s="2472"/>
      <c r="G3890" s="67" t="str">
        <f>IFERROR(IF([1]F_ProductBM!G1184 = "", "", [1]F_ProductBM!G1184 ),"")</f>
        <v/>
      </c>
      <c r="H3890" s="94" t="str">
        <f>IFERROR(IF([1]F_ProductBM!H1184 = "", "", [1]F_ProductBM!H1184 ),"")</f>
        <v/>
      </c>
      <c r="I3890" s="110" t="str">
        <f>IFERROR(IF([1]F_ProductBM!I1184 = "", "", [1]F_ProductBM!I1184 ),"")</f>
        <v/>
      </c>
      <c r="J3890" s="111" t="str">
        <f>IFERROR(IF([1]F_ProductBM!J1184 = "", "", [1]F_ProductBM!J1184 ),"")</f>
        <v/>
      </c>
      <c r="K3890" s="94" t="str">
        <f>IFERROR(IF([1]F_ProductBM!K1184 = "", "", [1]F_ProductBM!K1184 ),"")</f>
        <v/>
      </c>
      <c r="L3890" s="94" t="str">
        <f>IFERROR(IF([1]F_ProductBM!L1184 = "", "", [1]F_ProductBM!L1184 ),"")</f>
        <v/>
      </c>
      <c r="M3890" s="94" t="str">
        <f>IFERROR(IF([1]F_ProductBM!M1184 = "", "", [1]F_ProductBM!M1184 ),"")</f>
        <v/>
      </c>
      <c r="N3890" s="112" t="str">
        <f>IFERROR(IF([1]F_ProductBM!N1184 = "", "", [1]F_ProductBM!N1184 ),"")</f>
        <v/>
      </c>
    </row>
    <row r="3891" spans="3:14">
      <c r="C3891" s="977"/>
      <c r="D3891" s="777" t="s">
        <v>1561</v>
      </c>
      <c r="E3891" s="2473" t="s">
        <v>661</v>
      </c>
      <c r="F3891" s="2474"/>
      <c r="G3891" s="350" t="str">
        <f>IFERROR(IF([1]F_ProductBM!G1185 = "", "", [1]F_ProductBM!G1185 ),"")</f>
        <v>GJ / Unit</v>
      </c>
      <c r="H3891" s="95" t="str">
        <f>IFERROR(IF([1]F_ProductBM!H1185 = "", "", [1]F_ProductBM!H1185 ),"")</f>
        <v/>
      </c>
      <c r="I3891" s="113" t="str">
        <f>IFERROR(IF([1]F_ProductBM!I1185 = "", "", [1]F_ProductBM!I1185 ),"")</f>
        <v/>
      </c>
      <c r="J3891" s="114" t="str">
        <f>IFERROR(IF([1]F_ProductBM!J1185 = "", "", [1]F_ProductBM!J1185 ),"")</f>
        <v/>
      </c>
      <c r="K3891" s="95" t="str">
        <f>IFERROR(IF([1]F_ProductBM!K1185 = "", "", [1]F_ProductBM!K1185 ),"")</f>
        <v/>
      </c>
      <c r="L3891" s="95" t="str">
        <f>IFERROR(IF([1]F_ProductBM!L1185 = "", "", [1]F_ProductBM!L1185 ),"")</f>
        <v/>
      </c>
      <c r="M3891" s="95" t="str">
        <f>IFERROR(IF([1]F_ProductBM!M1185 = "", "", [1]F_ProductBM!M1185 ),"")</f>
        <v/>
      </c>
      <c r="N3891" s="115" t="str">
        <f>IFERROR(IF([1]F_ProductBM!N1185 = "", "", [1]F_ProductBM!N1185 ),"")</f>
        <v/>
      </c>
    </row>
    <row r="3892" spans="3:14">
      <c r="C3892" s="977"/>
      <c r="D3892" s="777" t="s">
        <v>1599</v>
      </c>
      <c r="E3892" s="2475" t="s">
        <v>1080</v>
      </c>
      <c r="F3892" s="2410"/>
      <c r="G3892" s="815" t="s">
        <v>2017</v>
      </c>
      <c r="H3892" s="93" t="str">
        <f>IFERROR(IF([1]F_ProductBM!H1186 = "", "", [1]F_ProductBM!H1186 ),"")</f>
        <v/>
      </c>
      <c r="I3892" s="116" t="str">
        <f>IFERROR(IF([1]F_ProductBM!I1186 = "", "", [1]F_ProductBM!I1186 ),"")</f>
        <v/>
      </c>
      <c r="J3892" s="117" t="str">
        <f>IFERROR(IF([1]F_ProductBM!J1186 = "", "", [1]F_ProductBM!J1186 ),"")</f>
        <v/>
      </c>
      <c r="K3892" s="93" t="str">
        <f>IFERROR(IF([1]F_ProductBM!K1186 = "", "", [1]F_ProductBM!K1186 ),"")</f>
        <v/>
      </c>
      <c r="L3892" s="93" t="str">
        <f>IFERROR(IF([1]F_ProductBM!L1186 = "", "", [1]F_ProductBM!L1186 ),"")</f>
        <v/>
      </c>
      <c r="M3892" s="93" t="str">
        <f>IFERROR(IF([1]F_ProductBM!M1186 = "", "", [1]F_ProductBM!M1186 ),"")</f>
        <v/>
      </c>
      <c r="N3892" s="118" t="str">
        <f>IFERROR(IF([1]F_ProductBM!N1186 = "", "", [1]F_ProductBM!N1186 ),"")</f>
        <v/>
      </c>
    </row>
    <row r="3893" spans="3:14">
      <c r="C3893" s="977"/>
      <c r="D3893" s="777" t="s">
        <v>1600</v>
      </c>
      <c r="E3893" s="2475" t="s">
        <v>1276</v>
      </c>
      <c r="F3893" s="2410"/>
      <c r="G3893" s="815" t="s">
        <v>2018</v>
      </c>
      <c r="H3893" s="93" t="str">
        <f>IFERROR(IF([1]F_ProductBM!H1187 = "", "", [1]F_ProductBM!H1187 ),"")</f>
        <v/>
      </c>
      <c r="I3893" s="116" t="str">
        <f>IFERROR(IF([1]F_ProductBM!I1187 = "", "", [1]F_ProductBM!I1187 ),"")</f>
        <v/>
      </c>
      <c r="J3893" s="117" t="str">
        <f>IFERROR(IF([1]F_ProductBM!J1187 = "", "", [1]F_ProductBM!J1187 ),"")</f>
        <v/>
      </c>
      <c r="K3893" s="93" t="str">
        <f>IFERROR(IF([1]F_ProductBM!K1187 = "", "", [1]F_ProductBM!K1187 ),"")</f>
        <v/>
      </c>
      <c r="L3893" s="93" t="str">
        <f>IFERROR(IF([1]F_ProductBM!L1187 = "", "", [1]F_ProductBM!L1187 ),"")</f>
        <v/>
      </c>
      <c r="M3893" s="93" t="str">
        <f>IFERROR(IF([1]F_ProductBM!M1187 = "", "", [1]F_ProductBM!M1187 ),"")</f>
        <v/>
      </c>
      <c r="N3893" s="118" t="str">
        <f>IFERROR(IF([1]F_ProductBM!N1187 = "", "", [1]F_ProductBM!N1187 ),"")</f>
        <v/>
      </c>
    </row>
    <row r="3894" spans="3:14">
      <c r="C3894" s="977"/>
      <c r="D3894" s="981"/>
      <c r="E3894" s="981"/>
      <c r="F3894" s="981"/>
      <c r="G3894" s="981"/>
      <c r="H3894" s="981"/>
      <c r="I3894" s="983"/>
      <c r="J3894" s="981"/>
      <c r="K3894" s="981"/>
      <c r="L3894" s="981"/>
      <c r="M3894" s="981"/>
      <c r="N3894" s="814"/>
    </row>
    <row r="3895" spans="3:14">
      <c r="C3895" s="977"/>
      <c r="D3895" s="982" t="s">
        <v>482</v>
      </c>
      <c r="E3895" s="2649" t="s">
        <v>1127</v>
      </c>
      <c r="F3895" s="2391"/>
      <c r="G3895" s="2391"/>
      <c r="H3895" s="2391"/>
      <c r="I3895" s="2391"/>
      <c r="J3895" s="2391"/>
      <c r="K3895" s="2391"/>
      <c r="L3895" s="2391"/>
      <c r="M3895" s="2391"/>
      <c r="N3895" s="2650"/>
    </row>
    <row r="3896" spans="3:14">
      <c r="C3896" s="977"/>
      <c r="D3896" s="777"/>
      <c r="E3896" s="2676" t="s">
        <v>2299</v>
      </c>
      <c r="F3896" s="2391"/>
      <c r="G3896" s="2391"/>
      <c r="H3896" s="2391"/>
      <c r="I3896" s="2391"/>
      <c r="J3896" s="2391"/>
      <c r="K3896" s="2391"/>
      <c r="L3896" s="2391"/>
      <c r="M3896" s="2391"/>
      <c r="N3896" s="2650"/>
    </row>
    <row r="3897" spans="3:14">
      <c r="C3897" s="977"/>
      <c r="D3897" s="981"/>
      <c r="E3897" s="2669" t="s">
        <v>1562</v>
      </c>
      <c r="F3897" s="2391"/>
      <c r="G3897" s="2391"/>
      <c r="H3897" s="2391"/>
      <c r="I3897" s="2391"/>
      <c r="J3897" s="2391"/>
      <c r="K3897" s="2391"/>
      <c r="L3897" s="2391"/>
      <c r="M3897" s="2391"/>
      <c r="N3897" s="2650"/>
    </row>
    <row r="3898" spans="3:14">
      <c r="C3898" s="977"/>
      <c r="D3898" s="982"/>
      <c r="E3898" s="989"/>
      <c r="F3898" s="990"/>
      <c r="G3898" s="987" t="s">
        <v>884</v>
      </c>
      <c r="H3898" s="782">
        <v>2019</v>
      </c>
      <c r="I3898" s="988">
        <v>2020</v>
      </c>
      <c r="J3898" s="781">
        <v>2021</v>
      </c>
      <c r="K3898" s="782">
        <v>2022</v>
      </c>
      <c r="L3898" s="782">
        <v>2023</v>
      </c>
      <c r="M3898" s="782">
        <v>2024</v>
      </c>
      <c r="N3898" s="783">
        <v>2025</v>
      </c>
    </row>
    <row r="3899" spans="3:14">
      <c r="C3899" s="977"/>
      <c r="D3899" s="777"/>
      <c r="E3899" s="2475" t="s">
        <v>1354</v>
      </c>
      <c r="F3899" s="2410"/>
      <c r="G3899" s="815" t="s">
        <v>2021</v>
      </c>
      <c r="H3899" s="93" t="str">
        <f>IFERROR(IF([1]F_ProductBM!H1193 = "", "", [1]F_ProductBM!H1193 ),"")</f>
        <v/>
      </c>
      <c r="I3899" s="116" t="str">
        <f>IFERROR(IF([1]F_ProductBM!I1193 = "", "", [1]F_ProductBM!I1193 ),"")</f>
        <v/>
      </c>
      <c r="J3899" s="117" t="str">
        <f>IFERROR(IF([1]F_ProductBM!J1193 = "", "", [1]F_ProductBM!J1193 ),"")</f>
        <v/>
      </c>
      <c r="K3899" s="93" t="str">
        <f>IFERROR(IF([1]F_ProductBM!K1193 = "", "", [1]F_ProductBM!K1193 ),"")</f>
        <v/>
      </c>
      <c r="L3899" s="93" t="str">
        <f>IFERROR(IF([1]F_ProductBM!L1193 = "", "", [1]F_ProductBM!L1193 ),"")</f>
        <v/>
      </c>
      <c r="M3899" s="93" t="str">
        <f>IFERROR(IF([1]F_ProductBM!M1193 = "", "", [1]F_ProductBM!M1193 ),"")</f>
        <v/>
      </c>
      <c r="N3899" s="118" t="str">
        <f>IFERROR(IF([1]F_ProductBM!N1193 = "", "", [1]F_ProductBM!N1193 ),"")</f>
        <v/>
      </c>
    </row>
    <row r="3900" spans="3:14">
      <c r="C3900" s="977"/>
      <c r="D3900" s="981"/>
      <c r="E3900" s="981"/>
      <c r="F3900" s="981"/>
      <c r="G3900" s="981"/>
      <c r="H3900" s="981"/>
      <c r="I3900" s="983"/>
      <c r="J3900" s="981"/>
      <c r="K3900" s="981"/>
      <c r="L3900" s="981"/>
      <c r="M3900" s="981"/>
      <c r="N3900" s="814"/>
    </row>
    <row r="3901" spans="3:14">
      <c r="C3901" s="977"/>
      <c r="D3901" s="982" t="s">
        <v>245</v>
      </c>
      <c r="E3901" s="2649" t="s">
        <v>1157</v>
      </c>
      <c r="F3901" s="2391"/>
      <c r="G3901" s="2391"/>
      <c r="H3901" s="2391"/>
      <c r="I3901" s="2391"/>
      <c r="J3901" s="2391"/>
      <c r="K3901" s="2391"/>
      <c r="L3901" s="2391"/>
      <c r="M3901" s="2391"/>
      <c r="N3901" s="2650"/>
    </row>
    <row r="3902" spans="3:14">
      <c r="C3902" s="977"/>
      <c r="D3902" s="981"/>
      <c r="E3902" s="2669" t="s">
        <v>1264</v>
      </c>
      <c r="F3902" s="2391"/>
      <c r="G3902" s="2391"/>
      <c r="H3902" s="2391"/>
      <c r="I3902" s="2391"/>
      <c r="J3902" s="2391"/>
      <c r="K3902" s="2391"/>
      <c r="L3902" s="2391"/>
      <c r="M3902" s="2391"/>
      <c r="N3902" s="2650"/>
    </row>
    <row r="3903" spans="3:14">
      <c r="C3903" s="977"/>
      <c r="D3903" s="981"/>
      <c r="E3903" s="2669" t="s">
        <v>1563</v>
      </c>
      <c r="F3903" s="2391"/>
      <c r="G3903" s="2391"/>
      <c r="H3903" s="2391"/>
      <c r="I3903" s="2391"/>
      <c r="J3903" s="2391"/>
      <c r="K3903" s="2391"/>
      <c r="L3903" s="2391"/>
      <c r="M3903" s="2391"/>
      <c r="N3903" s="2650"/>
    </row>
    <row r="3904" spans="3:14">
      <c r="C3904" s="977"/>
      <c r="D3904" s="777"/>
      <c r="E3904" s="2707" t="s">
        <v>1598</v>
      </c>
      <c r="F3904" s="2493"/>
      <c r="G3904" s="2493"/>
      <c r="H3904" s="2493"/>
      <c r="I3904" s="2493"/>
      <c r="J3904" s="2493"/>
      <c r="K3904" s="2493"/>
      <c r="L3904" s="2493"/>
      <c r="M3904" s="2493"/>
      <c r="N3904" s="2708"/>
    </row>
    <row r="3905" spans="3:14">
      <c r="C3905" s="977"/>
      <c r="D3905" s="777"/>
      <c r="E3905" s="2487" t="str">
        <f>IFERROR(IF([1]F_ProductBM!E1199 = "", "", [1]F_ProductBM!E1199 ),"")</f>
        <v/>
      </c>
      <c r="F3905" s="2488"/>
      <c r="G3905" s="815" t="s">
        <v>1020</v>
      </c>
      <c r="H3905" s="93" t="str">
        <f>IFERROR(IF([1]F_ProductBM!H1199 = "", "", [1]F_ProductBM!H1199 ),"")</f>
        <v/>
      </c>
      <c r="I3905" s="116" t="str">
        <f>IFERROR(IF([1]F_ProductBM!I1199 = "", "", [1]F_ProductBM!I1199 ),"")</f>
        <v/>
      </c>
      <c r="J3905" s="117" t="str">
        <f>IFERROR(IF([1]F_ProductBM!J1199 = "", "", [1]F_ProductBM!J1199 ),"")</f>
        <v/>
      </c>
      <c r="K3905" s="93" t="str">
        <f>IFERROR(IF([1]F_ProductBM!K1199 = "", "", [1]F_ProductBM!K1199 ),"")</f>
        <v/>
      </c>
      <c r="L3905" s="93" t="str">
        <f>IFERROR(IF([1]F_ProductBM!L1199 = "", "", [1]F_ProductBM!L1199 ),"")</f>
        <v/>
      </c>
      <c r="M3905" s="93" t="str">
        <f>IFERROR(IF([1]F_ProductBM!M1199 = "", "", [1]F_ProductBM!M1199 ),"")</f>
        <v/>
      </c>
      <c r="N3905" s="118" t="str">
        <f>IFERROR(IF([1]F_ProductBM!N1199 = "", "", [1]F_ProductBM!N1199 ),"")</f>
        <v/>
      </c>
    </row>
    <row r="3906" spans="3:14">
      <c r="C3906" s="977"/>
      <c r="D3906" s="777"/>
      <c r="E3906" s="777"/>
      <c r="F3906" s="777"/>
      <c r="G3906" s="777"/>
      <c r="H3906" s="983"/>
      <c r="I3906" s="777"/>
      <c r="J3906" s="777"/>
      <c r="K3906" s="777"/>
      <c r="L3906" s="777"/>
      <c r="M3906" s="777"/>
      <c r="N3906" s="1007"/>
    </row>
    <row r="3907" spans="3:14">
      <c r="C3907" s="977"/>
      <c r="D3907" s="982" t="s">
        <v>832</v>
      </c>
      <c r="E3907" s="2649" t="s">
        <v>1142</v>
      </c>
      <c r="F3907" s="2391"/>
      <c r="G3907" s="2391"/>
      <c r="H3907" s="2391"/>
      <c r="I3907" s="2391"/>
      <c r="J3907" s="2391"/>
      <c r="K3907" s="2391"/>
      <c r="L3907" s="2391"/>
      <c r="M3907" s="2391"/>
      <c r="N3907" s="2650"/>
    </row>
    <row r="3908" spans="3:14">
      <c r="C3908" s="977"/>
      <c r="D3908" s="981"/>
      <c r="E3908" s="2669" t="s">
        <v>1366</v>
      </c>
      <c r="F3908" s="2391"/>
      <c r="G3908" s="2391"/>
      <c r="H3908" s="2391"/>
      <c r="I3908" s="2391"/>
      <c r="J3908" s="2391"/>
      <c r="K3908" s="2391"/>
      <c r="L3908" s="2391"/>
      <c r="M3908" s="2391"/>
      <c r="N3908" s="2650"/>
    </row>
    <row r="3909" spans="3:14">
      <c r="C3909" s="977"/>
      <c r="D3909" s="981"/>
      <c r="E3909" s="2676" t="s">
        <v>1610</v>
      </c>
      <c r="F3909" s="2391"/>
      <c r="G3909" s="2391"/>
      <c r="H3909" s="2391"/>
      <c r="I3909" s="2391"/>
      <c r="J3909" s="2391"/>
      <c r="K3909" s="2391"/>
      <c r="L3909" s="2391"/>
      <c r="M3909" s="2391"/>
      <c r="N3909" s="2650"/>
    </row>
    <row r="3910" spans="3:14">
      <c r="C3910" s="977"/>
      <c r="D3910" s="777" t="s">
        <v>6</v>
      </c>
      <c r="E3910" s="2682" t="s">
        <v>1145</v>
      </c>
      <c r="F3910" s="2391"/>
      <c r="G3910" s="2391"/>
      <c r="H3910" s="2391"/>
      <c r="I3910" s="2391"/>
      <c r="J3910" s="2391"/>
      <c r="K3910" s="2512"/>
      <c r="L3910" s="120" t="str">
        <f>IFERROR(IF([1]F_ProductBM!L1204 = "", "", [1]F_ProductBM!L1204 ),"")</f>
        <v/>
      </c>
      <c r="M3910" s="813"/>
      <c r="N3910" s="1015"/>
    </row>
    <row r="3911" spans="3:14">
      <c r="C3911" s="977"/>
      <c r="D3911" s="777"/>
      <c r="E3911" s="777"/>
      <c r="F3911" s="777"/>
      <c r="G3911" s="777"/>
      <c r="H3911" s="983"/>
      <c r="I3911" s="777"/>
      <c r="J3911" s="777"/>
      <c r="K3911" s="777"/>
      <c r="L3911" s="777"/>
      <c r="M3911" s="777"/>
      <c r="N3911" s="1007"/>
    </row>
    <row r="3912" spans="3:14">
      <c r="C3912" s="977"/>
      <c r="D3912" s="982"/>
      <c r="E3912" s="2648" t="s">
        <v>1144</v>
      </c>
      <c r="F3912" s="2493"/>
      <c r="G3912" s="778" t="s">
        <v>884</v>
      </c>
      <c r="H3912" s="782">
        <v>2019</v>
      </c>
      <c r="I3912" s="988">
        <v>2020</v>
      </c>
      <c r="J3912" s="781">
        <v>2021</v>
      </c>
      <c r="K3912" s="782">
        <v>2022</v>
      </c>
      <c r="L3912" s="782">
        <v>2023</v>
      </c>
      <c r="M3912" s="782">
        <v>2024</v>
      </c>
      <c r="N3912" s="783">
        <v>2025</v>
      </c>
    </row>
    <row r="3913" spans="3:14">
      <c r="C3913" s="977"/>
      <c r="D3913" s="777" t="s">
        <v>7</v>
      </c>
      <c r="E3913" s="2513" t="str">
        <f>IFERROR(IF([1]F_ProductBM!E1207 = "", "", [1]F_ProductBM!E1207 ),"")</f>
        <v/>
      </c>
      <c r="F3913" s="2705"/>
      <c r="G3913" s="355" t="str">
        <f>IFERROR(IF([1]F_ProductBM!G1207 = "", "", [1]F_ProductBM!G1207 ),"")</f>
        <v>tonnes</v>
      </c>
      <c r="H3913" s="371" t="str">
        <f>IFERROR(IF([1]F_ProductBM!H1207 = "", "", [1]F_ProductBM!H1207 ),"")</f>
        <v/>
      </c>
      <c r="I3913" s="372" t="str">
        <f>IFERROR(IF([1]F_ProductBM!I1207 = "", "", [1]F_ProductBM!I1207 ),"")</f>
        <v/>
      </c>
      <c r="J3913" s="373" t="str">
        <f>IFERROR(IF([1]F_ProductBM!J1207 = "", "", [1]F_ProductBM!J1207 ),"")</f>
        <v/>
      </c>
      <c r="K3913" s="371" t="str">
        <f>IFERROR(IF([1]F_ProductBM!K1207 = "", "", [1]F_ProductBM!K1207 ),"")</f>
        <v/>
      </c>
      <c r="L3913" s="371" t="str">
        <f>IFERROR(IF([1]F_ProductBM!L1207 = "", "", [1]F_ProductBM!L1207 ),"")</f>
        <v/>
      </c>
      <c r="M3913" s="371" t="str">
        <f>IFERROR(IF([1]F_ProductBM!M1207 = "", "", [1]F_ProductBM!M1207 ),"")</f>
        <v/>
      </c>
      <c r="N3913" s="374" t="str">
        <f>IFERROR(IF([1]F_ProductBM!N1207 = "", "", [1]F_ProductBM!N1207 ),"")</f>
        <v/>
      </c>
    </row>
    <row r="3914" spans="3:14">
      <c r="C3914" s="977"/>
      <c r="D3914" s="777" t="s">
        <v>8</v>
      </c>
      <c r="E3914" s="2520" t="str">
        <f>IFERROR(IF([1]F_ProductBM!E1208 = "", "", [1]F_ProductBM!E1208 ),"")</f>
        <v/>
      </c>
      <c r="F3914" s="2706"/>
      <c r="G3914" s="350" t="str">
        <f>IFERROR(IF([1]F_ProductBM!G1208 = "", "", [1]F_ProductBM!G1208 ),"")</f>
        <v>tonnes</v>
      </c>
      <c r="H3914" s="364" t="str">
        <f>IFERROR(IF([1]F_ProductBM!H1208 = "", "", [1]F_ProductBM!H1208 ),"")</f>
        <v/>
      </c>
      <c r="I3914" s="365" t="str">
        <f>IFERROR(IF([1]F_ProductBM!I1208 = "", "", [1]F_ProductBM!I1208 ),"")</f>
        <v/>
      </c>
      <c r="J3914" s="366" t="str">
        <f>IFERROR(IF([1]F_ProductBM!J1208 = "", "", [1]F_ProductBM!J1208 ),"")</f>
        <v/>
      </c>
      <c r="K3914" s="364" t="str">
        <f>IFERROR(IF([1]F_ProductBM!K1208 = "", "", [1]F_ProductBM!K1208 ),"")</f>
        <v/>
      </c>
      <c r="L3914" s="364" t="str">
        <f>IFERROR(IF([1]F_ProductBM!L1208 = "", "", [1]F_ProductBM!L1208 ),"")</f>
        <v/>
      </c>
      <c r="M3914" s="364" t="str">
        <f>IFERROR(IF([1]F_ProductBM!M1208 = "", "", [1]F_ProductBM!M1208 ),"")</f>
        <v/>
      </c>
      <c r="N3914" s="367" t="str">
        <f>IFERROR(IF([1]F_ProductBM!N1208 = "", "", [1]F_ProductBM!N1208 ),"")</f>
        <v/>
      </c>
    </row>
    <row r="3915" spans="3:14">
      <c r="C3915" s="977"/>
      <c r="D3915" s="777"/>
      <c r="E3915" s="777"/>
      <c r="F3915" s="777"/>
      <c r="G3915" s="777"/>
      <c r="H3915" s="777"/>
      <c r="I3915" s="777"/>
      <c r="J3915" s="777"/>
      <c r="K3915" s="777"/>
      <c r="L3915" s="777"/>
      <c r="M3915" s="777"/>
      <c r="N3915" s="810"/>
    </row>
    <row r="3916" spans="3:14">
      <c r="C3916" s="977"/>
      <c r="D3916" s="982"/>
      <c r="E3916" s="2648" t="s">
        <v>1143</v>
      </c>
      <c r="F3916" s="2493"/>
      <c r="G3916" s="778" t="s">
        <v>884</v>
      </c>
      <c r="H3916" s="782">
        <v>2019</v>
      </c>
      <c r="I3916" s="988">
        <v>2020</v>
      </c>
      <c r="J3916" s="781">
        <v>2021</v>
      </c>
      <c r="K3916" s="782">
        <v>2022</v>
      </c>
      <c r="L3916" s="782">
        <v>2023</v>
      </c>
      <c r="M3916" s="782">
        <v>2024</v>
      </c>
      <c r="N3916" s="783">
        <v>2025</v>
      </c>
    </row>
    <row r="3917" spans="3:14">
      <c r="C3917" s="977"/>
      <c r="D3917" s="777" t="s">
        <v>18</v>
      </c>
      <c r="E3917" s="2513" t="str">
        <f>IFERROR(IF([1]F_ProductBM!E1211 = "", "", [1]F_ProductBM!E1211 ),"")</f>
        <v/>
      </c>
      <c r="F3917" s="2705"/>
      <c r="G3917" s="355" t="str">
        <f>IFERROR(IF([1]F_ProductBM!G1211 = "", "", [1]F_ProductBM!G1211 ),"")</f>
        <v>tonnes</v>
      </c>
      <c r="H3917" s="371" t="str">
        <f>IFERROR(IF([1]F_ProductBM!H1211 = "", "", [1]F_ProductBM!H1211 ),"")</f>
        <v/>
      </c>
      <c r="I3917" s="372" t="str">
        <f>IFERROR(IF([1]F_ProductBM!I1211 = "", "", [1]F_ProductBM!I1211 ),"")</f>
        <v/>
      </c>
      <c r="J3917" s="373" t="str">
        <f>IFERROR(IF([1]F_ProductBM!J1211 = "", "", [1]F_ProductBM!J1211 ),"")</f>
        <v/>
      </c>
      <c r="K3917" s="371" t="str">
        <f>IFERROR(IF([1]F_ProductBM!K1211 = "", "", [1]F_ProductBM!K1211 ),"")</f>
        <v/>
      </c>
      <c r="L3917" s="371" t="str">
        <f>IFERROR(IF([1]F_ProductBM!L1211 = "", "", [1]F_ProductBM!L1211 ),"")</f>
        <v/>
      </c>
      <c r="M3917" s="371" t="str">
        <f>IFERROR(IF([1]F_ProductBM!M1211 = "", "", [1]F_ProductBM!M1211 ),"")</f>
        <v/>
      </c>
      <c r="N3917" s="374" t="str">
        <f>IFERROR(IF([1]F_ProductBM!N1211 = "", "", [1]F_ProductBM!N1211 ),"")</f>
        <v/>
      </c>
    </row>
    <row r="3918" spans="3:14">
      <c r="C3918" s="977"/>
      <c r="D3918" s="777" t="s">
        <v>787</v>
      </c>
      <c r="E3918" s="2520" t="str">
        <f>IFERROR(IF([1]F_ProductBM!E1212 = "", "", [1]F_ProductBM!E1212 ),"")</f>
        <v/>
      </c>
      <c r="F3918" s="2706"/>
      <c r="G3918" s="350" t="str">
        <f>IFERROR(IF([1]F_ProductBM!G1212 = "", "", [1]F_ProductBM!G1212 ),"")</f>
        <v>tonnes</v>
      </c>
      <c r="H3918" s="364" t="str">
        <f>IFERROR(IF([1]F_ProductBM!H1212 = "", "", [1]F_ProductBM!H1212 ),"")</f>
        <v/>
      </c>
      <c r="I3918" s="365" t="str">
        <f>IFERROR(IF([1]F_ProductBM!I1212 = "", "", [1]F_ProductBM!I1212 ),"")</f>
        <v/>
      </c>
      <c r="J3918" s="366" t="str">
        <f>IFERROR(IF([1]F_ProductBM!J1212 = "", "", [1]F_ProductBM!J1212 ),"")</f>
        <v/>
      </c>
      <c r="K3918" s="364" t="str">
        <f>IFERROR(IF([1]F_ProductBM!K1212 = "", "", [1]F_ProductBM!K1212 ),"")</f>
        <v/>
      </c>
      <c r="L3918" s="364" t="str">
        <f>IFERROR(IF([1]F_ProductBM!L1212 = "", "", [1]F_ProductBM!L1212 ),"")</f>
        <v/>
      </c>
      <c r="M3918" s="364" t="str">
        <f>IFERROR(IF([1]F_ProductBM!M1212 = "", "", [1]F_ProductBM!M1212 ),"")</f>
        <v/>
      </c>
      <c r="N3918" s="367" t="str">
        <f>IFERROR(IF([1]F_ProductBM!N1212 = "", "", [1]F_ProductBM!N1212 ),"")</f>
        <v/>
      </c>
    </row>
    <row r="3919" spans="3:14">
      <c r="C3919" s="977"/>
      <c r="D3919" s="777"/>
      <c r="E3919" s="777"/>
      <c r="F3919" s="777"/>
      <c r="G3919" s="777"/>
      <c r="H3919" s="777"/>
      <c r="I3919" s="777"/>
      <c r="J3919" s="777"/>
      <c r="K3919" s="777"/>
      <c r="L3919" s="777"/>
      <c r="M3919" s="777"/>
      <c r="N3919" s="1007"/>
    </row>
    <row r="3920" spans="3:14">
      <c r="C3920" s="977"/>
      <c r="D3920" s="777" t="s">
        <v>788</v>
      </c>
      <c r="E3920" s="813" t="s">
        <v>1146</v>
      </c>
      <c r="F3920" s="813"/>
      <c r="G3920" s="813"/>
      <c r="H3920" s="813"/>
      <c r="I3920" s="813"/>
      <c r="J3920" s="813"/>
      <c r="K3920" s="813"/>
      <c r="L3920" s="813"/>
      <c r="M3920" s="813"/>
      <c r="N3920" s="1007"/>
    </row>
    <row r="3921" spans="3:14">
      <c r="C3921" s="977"/>
      <c r="D3921" s="777"/>
      <c r="E3921" s="1017" t="s">
        <v>1459</v>
      </c>
      <c r="F3921" s="978"/>
      <c r="G3921" s="978"/>
      <c r="H3921" s="978"/>
      <c r="I3921" s="978"/>
      <c r="J3921" s="978"/>
      <c r="K3921" s="978"/>
      <c r="L3921" s="978"/>
      <c r="M3921" s="978"/>
      <c r="N3921" s="979"/>
    </row>
    <row r="3922" spans="3:14">
      <c r="C3922" s="977"/>
      <c r="D3922" s="777"/>
      <c r="E3922" s="2699" t="str">
        <f>IFERROR(IF([1]F_ProductBM!E1216 = "", "", [1]F_ProductBM!E1216 ),"")</f>
        <v/>
      </c>
      <c r="F3922" s="2700"/>
      <c r="G3922" s="2700"/>
      <c r="H3922" s="2700"/>
      <c r="I3922" s="2700"/>
      <c r="J3922" s="2700"/>
      <c r="K3922" s="2700"/>
      <c r="L3922" s="2700"/>
      <c r="M3922" s="2701"/>
      <c r="N3922" s="1007"/>
    </row>
    <row r="3923" spans="3:14">
      <c r="C3923" s="977"/>
      <c r="D3923" s="777"/>
      <c r="E3923" s="2702"/>
      <c r="F3923" s="2703"/>
      <c r="G3923" s="2703"/>
      <c r="H3923" s="2703"/>
      <c r="I3923" s="2703"/>
      <c r="J3923" s="2703"/>
      <c r="K3923" s="2703"/>
      <c r="L3923" s="2703"/>
      <c r="M3923" s="2704"/>
      <c r="N3923" s="1007"/>
    </row>
    <row r="3924" spans="3:14" ht="13.5" thickBot="1">
      <c r="C3924" s="1018"/>
      <c r="D3924" s="1019"/>
      <c r="E3924" s="1019"/>
      <c r="F3924" s="1019"/>
      <c r="G3924" s="1019"/>
      <c r="H3924" s="1019"/>
      <c r="I3924" s="1019"/>
      <c r="J3924" s="1019"/>
      <c r="K3924" s="1019"/>
      <c r="L3924" s="1019"/>
      <c r="M3924" s="805"/>
      <c r="N3924" s="806"/>
    </row>
    <row r="3925" spans="3:14" ht="13.5" thickBot="1">
      <c r="C3925" s="467"/>
      <c r="D3925" s="467"/>
      <c r="E3925" s="467"/>
      <c r="F3925" s="467"/>
      <c r="G3925" s="467"/>
      <c r="H3925" s="467"/>
      <c r="I3925" s="467"/>
      <c r="J3925" s="467"/>
      <c r="K3925" s="467"/>
      <c r="L3925" s="467"/>
      <c r="M3925" s="481"/>
      <c r="N3925" s="481"/>
    </row>
    <row r="3926" spans="3:14">
      <c r="C3926" s="1020"/>
      <c r="D3926" s="1020"/>
      <c r="E3926" s="1020"/>
      <c r="F3926" s="1020"/>
      <c r="G3926" s="1020"/>
      <c r="H3926" s="1020"/>
      <c r="I3926" s="1020"/>
      <c r="J3926" s="1020"/>
      <c r="K3926" s="1020"/>
      <c r="L3926" s="1020"/>
      <c r="M3926" s="1020"/>
      <c r="N3926" s="1020"/>
    </row>
    <row r="3927" spans="3:14" ht="15">
      <c r="C3927" s="897">
        <v>5</v>
      </c>
      <c r="D3927" s="2482" t="s">
        <v>2704</v>
      </c>
      <c r="E3927" s="2400"/>
      <c r="F3927" s="2400"/>
      <c r="G3927" s="2400"/>
      <c r="H3927" s="2585"/>
      <c r="I3927" s="2489" t="str">
        <f>IFERROR(IF([1]F_ProductBM!I1221 = "", "", [1]F_ProductBM!I1221 ),"")</f>
        <v/>
      </c>
      <c r="J3927" s="2534"/>
      <c r="K3927" s="2534"/>
      <c r="L3927" s="2534"/>
      <c r="M3927" s="2534"/>
      <c r="N3927" s="2535"/>
    </row>
    <row r="3928" spans="3:14">
      <c r="C3928" s="479"/>
      <c r="D3928" s="485"/>
      <c r="E3928" s="2465" t="s">
        <v>2706</v>
      </c>
      <c r="F3928" s="2400"/>
      <c r="G3928" s="2400"/>
      <c r="H3928" s="2400"/>
      <c r="I3928" s="2400"/>
      <c r="J3928" s="2400"/>
      <c r="K3928" s="2400"/>
      <c r="L3928" s="2400"/>
      <c r="M3928" s="2400"/>
      <c r="N3928" s="2400"/>
    </row>
    <row r="3929" spans="3:14">
      <c r="C3929" s="479"/>
      <c r="D3929" s="479"/>
      <c r="E3929" s="479"/>
      <c r="F3929" s="479"/>
      <c r="G3929" s="479"/>
      <c r="H3929" s="479"/>
      <c r="I3929" s="479"/>
      <c r="J3929" s="479"/>
      <c r="K3929" s="479"/>
      <c r="L3929" s="479"/>
      <c r="M3929" s="485"/>
      <c r="N3929" s="485"/>
    </row>
    <row r="3930" spans="3:14">
      <c r="C3930" s="479"/>
      <c r="D3930" s="482" t="s">
        <v>400</v>
      </c>
      <c r="E3930" s="2373" t="s">
        <v>1930</v>
      </c>
      <c r="F3930" s="2400"/>
      <c r="G3930" s="2400"/>
      <c r="H3930" s="2400"/>
      <c r="I3930" s="2400"/>
      <c r="J3930" s="2400"/>
      <c r="K3930" s="2400"/>
      <c r="L3930" s="2400"/>
      <c r="M3930" s="2400"/>
      <c r="N3930" s="2400"/>
    </row>
    <row r="3931" spans="3:14">
      <c r="C3931" s="479"/>
      <c r="D3931" s="485"/>
      <c r="E3931" s="2465" t="s">
        <v>801</v>
      </c>
      <c r="F3931" s="2400"/>
      <c r="G3931" s="2400"/>
      <c r="H3931" s="2400"/>
      <c r="I3931" s="2400"/>
      <c r="J3931" s="2400"/>
      <c r="K3931" s="2400"/>
      <c r="L3931" s="2400"/>
      <c r="M3931" s="2400"/>
      <c r="N3931" s="2400"/>
    </row>
    <row r="3932" spans="3:14">
      <c r="C3932" s="479"/>
      <c r="D3932" s="485"/>
      <c r="E3932" s="2465" t="s">
        <v>1199</v>
      </c>
      <c r="F3932" s="2400"/>
      <c r="G3932" s="2400"/>
      <c r="H3932" s="2400"/>
      <c r="I3932" s="2400"/>
      <c r="J3932" s="2400"/>
      <c r="K3932" s="2400"/>
      <c r="L3932" s="2400"/>
      <c r="M3932" s="2400"/>
      <c r="N3932" s="2400"/>
    </row>
    <row r="3933" spans="3:14">
      <c r="C3933" s="479"/>
      <c r="D3933" s="485"/>
      <c r="E3933" s="2465" t="s">
        <v>125</v>
      </c>
      <c r="F3933" s="2400"/>
      <c r="G3933" s="2400"/>
      <c r="H3933" s="2400"/>
      <c r="I3933" s="2400"/>
      <c r="J3933" s="2400"/>
      <c r="K3933" s="2400"/>
      <c r="L3933" s="2400"/>
      <c r="M3933" s="2400"/>
      <c r="N3933" s="2400"/>
    </row>
    <row r="3934" spans="3:14">
      <c r="C3934" s="485"/>
      <c r="D3934" s="482"/>
      <c r="E3934" s="2509" t="s">
        <v>1447</v>
      </c>
      <c r="F3934" s="2509"/>
      <c r="G3934" s="663" t="s">
        <v>884</v>
      </c>
      <c r="H3934" s="578">
        <v>2019</v>
      </c>
      <c r="I3934" s="697">
        <v>2020</v>
      </c>
      <c r="J3934" s="696">
        <v>2021</v>
      </c>
      <c r="K3934" s="578">
        <v>2022</v>
      </c>
      <c r="L3934" s="578">
        <v>2023</v>
      </c>
      <c r="M3934" s="578">
        <v>2024</v>
      </c>
      <c r="N3934" s="671">
        <v>2025</v>
      </c>
    </row>
    <row r="3935" spans="3:14">
      <c r="C3935" s="485"/>
      <c r="D3935" s="561" t="s">
        <v>6</v>
      </c>
      <c r="E3935" s="2696" t="str">
        <f>IFERROR(IF([1]F_ProductBM!E1229 = "", "", [1]F_ProductBM!E1229 ),"")</f>
        <v/>
      </c>
      <c r="F3935" s="2696"/>
      <c r="G3935" s="74" t="str">
        <f>IFERROR(IF([1]F_ProductBM!G1229 = "", "", [1]F_ProductBM!G1229 ),"")</f>
        <v>tonnes</v>
      </c>
      <c r="H3935" s="277" t="str">
        <f>IFERROR(IF([1]F_ProductBM!H1229 = "", "", [1]F_ProductBM!H1229 ),"")</f>
        <v/>
      </c>
      <c r="I3935" s="275" t="str">
        <f>IFERROR(IF([1]F_ProductBM!I1229 = "", "", [1]F_ProductBM!I1229 ),"")</f>
        <v/>
      </c>
      <c r="J3935" s="276" t="str">
        <f>IFERROR(IF([1]F_ProductBM!J1229 = "", "", [1]F_ProductBM!J1229 ),"")</f>
        <v/>
      </c>
      <c r="K3935" s="277" t="str">
        <f>IFERROR(IF([1]F_ProductBM!K1229 = "", "", [1]F_ProductBM!K1229 ),"")</f>
        <v/>
      </c>
      <c r="L3935" s="277" t="str">
        <f>IFERROR(IF([1]F_ProductBM!L1229 = "", "", [1]F_ProductBM!L1229 ),"")</f>
        <v/>
      </c>
      <c r="M3935" s="277" t="str">
        <f>IFERROR(IF([1]F_ProductBM!M1229 = "", "", [1]F_ProductBM!M1229 ),"")</f>
        <v/>
      </c>
      <c r="N3935" s="277" t="str">
        <f>IFERROR(IF([1]F_ProductBM!N1229 = "", "", [1]F_ProductBM!N1229 ),"")</f>
        <v/>
      </c>
    </row>
    <row r="3936" spans="3:14">
      <c r="C3936" s="485"/>
      <c r="D3936" s="561" t="s">
        <v>7</v>
      </c>
      <c r="E3936" s="2696" t="str">
        <f>IFERROR(IF([1]F_ProductBM!E1230 = "", "", [1]F_ProductBM!E1230 ),"")</f>
        <v>From sheet "H_SpecialBM":</v>
      </c>
      <c r="F3936" s="2696"/>
      <c r="G3936" s="74" t="str">
        <f>IFERROR(IF([1]F_ProductBM!G1230 = "", "", [1]F_ProductBM!G1230 ),"")</f>
        <v>tonnes</v>
      </c>
      <c r="H3936" s="278" t="str">
        <f>IFERROR(IF([1]F_ProductBM!H1230 = "", "", [1]F_ProductBM!H1230 ),"")</f>
        <v/>
      </c>
      <c r="I3936" s="279" t="str">
        <f>IFERROR(IF([1]F_ProductBM!I1230 = "", "", [1]F_ProductBM!I1230 ),"")</f>
        <v/>
      </c>
      <c r="J3936" s="280" t="str">
        <f>IFERROR(IF([1]F_ProductBM!J1230 = "", "", [1]F_ProductBM!J1230 ),"")</f>
        <v/>
      </c>
      <c r="K3936" s="278" t="str">
        <f>IFERROR(IF([1]F_ProductBM!K1230 = "", "", [1]F_ProductBM!K1230 ),"")</f>
        <v/>
      </c>
      <c r="L3936" s="278" t="str">
        <f>IFERROR(IF([1]F_ProductBM!L1230 = "", "", [1]F_ProductBM!L1230 ),"")</f>
        <v/>
      </c>
      <c r="M3936" s="278" t="str">
        <f>IFERROR(IF([1]F_ProductBM!M1230 = "", "", [1]F_ProductBM!M1230 ),"")</f>
        <v/>
      </c>
      <c r="N3936" s="277" t="str">
        <f>IFERROR(IF([1]F_ProductBM!N1230 = "", "", [1]F_ProductBM!N1230 ),"")</f>
        <v/>
      </c>
    </row>
    <row r="3937" spans="3:14">
      <c r="C3937" s="485"/>
      <c r="D3937" s="561" t="s">
        <v>8</v>
      </c>
      <c r="E3937" s="2696" t="str">
        <f>IFERROR(IF([1]F_ProductBM!E1231 = "", "", [1]F_ProductBM!E1231 ),"")</f>
        <v>Values used for calculation:</v>
      </c>
      <c r="F3937" s="2696"/>
      <c r="G3937" s="74" t="str">
        <f>IFERROR(IF([1]F_ProductBM!G1231 = "", "", [1]F_ProductBM!G1231 ),"")</f>
        <v>tonnes</v>
      </c>
      <c r="H3937" s="278" t="str">
        <f>IFERROR(IF([1]F_ProductBM!H1231 = "", "", [1]F_ProductBM!H1231 ),"")</f>
        <v/>
      </c>
      <c r="I3937" s="279" t="str">
        <f>IFERROR(IF([1]F_ProductBM!I1231 = "", "", [1]F_ProductBM!I1231 ),"")</f>
        <v/>
      </c>
      <c r="J3937" s="280" t="str">
        <f>IFERROR(IF([1]F_ProductBM!J1231 = "", "", [1]F_ProductBM!J1231 ),"")</f>
        <v/>
      </c>
      <c r="K3937" s="278" t="str">
        <f>IFERROR(IF([1]F_ProductBM!K1231 = "", "", [1]F_ProductBM!K1231 ),"")</f>
        <v/>
      </c>
      <c r="L3937" s="278" t="str">
        <f>IFERROR(IF([1]F_ProductBM!L1231 = "", "", [1]F_ProductBM!L1231 ),"")</f>
        <v/>
      </c>
      <c r="M3937" s="278" t="str">
        <f>IFERROR(IF([1]F_ProductBM!M1231 = "", "", [1]F_ProductBM!M1231 ),"")</f>
        <v/>
      </c>
      <c r="N3937" s="277" t="str">
        <f>IFERROR(IF([1]F_ProductBM!N1231 = "", "", [1]F_ProductBM!N1231 ),"")</f>
        <v/>
      </c>
    </row>
    <row r="3938" spans="3:14">
      <c r="C3938" s="479"/>
      <c r="D3938" s="479"/>
      <c r="E3938" s="479"/>
      <c r="F3938" s="479"/>
      <c r="G3938" s="479"/>
      <c r="H3938" s="479"/>
      <c r="I3938" s="479"/>
      <c r="J3938" s="479"/>
      <c r="K3938" s="479"/>
      <c r="L3938" s="479"/>
      <c r="M3938" s="485"/>
      <c r="N3938" s="485"/>
    </row>
    <row r="3939" spans="3:14">
      <c r="C3939" s="479"/>
      <c r="D3939" s="561" t="s">
        <v>18</v>
      </c>
      <c r="E3939" s="2373" t="s">
        <v>922</v>
      </c>
      <c r="F3939" s="2373"/>
      <c r="G3939" s="2604"/>
      <c r="H3939" s="2652" t="s">
        <v>1857</v>
      </c>
      <c r="I3939" s="2689"/>
      <c r="J3939" s="2689"/>
      <c r="K3939" s="2689"/>
      <c r="L3939" s="2689"/>
      <c r="M3939" s="2689"/>
      <c r="N3939" s="2690"/>
    </row>
    <row r="3940" spans="3:14">
      <c r="C3940" s="479"/>
      <c r="D3940" s="485"/>
      <c r="E3940" s="2465" t="s">
        <v>923</v>
      </c>
      <c r="F3940" s="2400"/>
      <c r="G3940" s="2400"/>
      <c r="H3940" s="2400"/>
      <c r="I3940" s="2400"/>
      <c r="J3940" s="2400"/>
      <c r="K3940" s="2400"/>
      <c r="L3940" s="2400"/>
      <c r="M3940" s="2400"/>
      <c r="N3940" s="2400"/>
    </row>
    <row r="3941" spans="3:14">
      <c r="C3941" s="479"/>
      <c r="D3941" s="485"/>
      <c r="E3941" s="485"/>
      <c r="F3941" s="485"/>
      <c r="G3941" s="485"/>
      <c r="H3941" s="485"/>
      <c r="I3941" s="485"/>
      <c r="J3941" s="485"/>
      <c r="K3941" s="485"/>
      <c r="L3941" s="485"/>
      <c r="M3941" s="485"/>
      <c r="N3941" s="485"/>
    </row>
    <row r="3942" spans="3:14">
      <c r="C3942" s="479"/>
      <c r="D3942" s="482" t="s">
        <v>876</v>
      </c>
      <c r="E3942" s="2373" t="s">
        <v>1709</v>
      </c>
      <c r="F3942" s="2400"/>
      <c r="G3942" s="2400"/>
      <c r="H3942" s="2400"/>
      <c r="I3942" s="2400"/>
      <c r="J3942" s="2400"/>
      <c r="K3942" s="2400"/>
      <c r="L3942" s="2400"/>
      <c r="M3942" s="2400"/>
      <c r="N3942" s="2400"/>
    </row>
    <row r="3943" spans="3:14">
      <c r="C3943" s="479"/>
      <c r="D3943" s="485"/>
      <c r="E3943" s="2465" t="s">
        <v>1958</v>
      </c>
      <c r="F3943" s="2400"/>
      <c r="G3943" s="2400"/>
      <c r="H3943" s="2400"/>
      <c r="I3943" s="2400"/>
      <c r="J3943" s="2400"/>
      <c r="K3943" s="2400"/>
      <c r="L3943" s="2400"/>
      <c r="M3943" s="2400"/>
      <c r="N3943" s="2400"/>
    </row>
    <row r="3944" spans="3:14">
      <c r="C3944" s="479"/>
      <c r="D3944" s="485"/>
      <c r="E3944" s="2465" t="s">
        <v>1696</v>
      </c>
      <c r="F3944" s="2400"/>
      <c r="G3944" s="2400"/>
      <c r="H3944" s="2400"/>
      <c r="I3944" s="2400"/>
      <c r="J3944" s="2400"/>
      <c r="K3944" s="2400"/>
      <c r="L3944" s="2400"/>
      <c r="M3944" s="2400"/>
      <c r="N3944" s="2400"/>
    </row>
    <row r="3945" spans="3:14">
      <c r="C3945" s="479"/>
      <c r="D3945" s="485"/>
      <c r="E3945" s="901" t="s">
        <v>1021</v>
      </c>
      <c r="F3945" s="2651" t="s">
        <v>2711</v>
      </c>
      <c r="G3945" s="2584"/>
      <c r="H3945" s="2584"/>
      <c r="I3945" s="2584"/>
      <c r="J3945" s="2584"/>
      <c r="K3945" s="2584"/>
      <c r="L3945" s="2584"/>
      <c r="M3945" s="2584"/>
      <c r="N3945" s="2584"/>
    </row>
    <row r="3946" spans="3:14" ht="13.5" thickBot="1">
      <c r="C3946" s="479"/>
      <c r="D3946" s="485"/>
      <c r="E3946" s="901" t="s">
        <v>1021</v>
      </c>
      <c r="F3946" s="2651" t="s">
        <v>1985</v>
      </c>
      <c r="G3946" s="2584"/>
      <c r="H3946" s="2584"/>
      <c r="I3946" s="2584"/>
      <c r="J3946" s="2584"/>
      <c r="K3946" s="2584"/>
      <c r="L3946" s="2584"/>
      <c r="M3946" s="2584"/>
      <c r="N3946" s="2584"/>
    </row>
    <row r="3947" spans="3:14">
      <c r="C3947" s="479"/>
      <c r="D3947" s="902"/>
      <c r="E3947" s="903"/>
      <c r="F3947" s="904"/>
      <c r="G3947" s="905"/>
      <c r="H3947" s="905"/>
      <c r="I3947" s="905"/>
      <c r="J3947" s="905"/>
      <c r="K3947" s="905"/>
      <c r="L3947" s="905"/>
      <c r="M3947" s="905"/>
      <c r="N3947" s="906"/>
    </row>
    <row r="3948" spans="3:14">
      <c r="C3948" s="479"/>
      <c r="D3948" s="907"/>
      <c r="E3948" s="908" t="s">
        <v>1690</v>
      </c>
      <c r="F3948" s="909"/>
      <c r="G3948" s="909"/>
      <c r="H3948" s="910" t="s">
        <v>884</v>
      </c>
      <c r="I3948" s="911" t="s">
        <v>2212</v>
      </c>
      <c r="J3948" s="912">
        <v>2021</v>
      </c>
      <c r="K3948" s="913">
        <v>2022</v>
      </c>
      <c r="L3948" s="913">
        <v>2023</v>
      </c>
      <c r="M3948" s="913">
        <v>2024</v>
      </c>
      <c r="N3948" s="914">
        <v>2025</v>
      </c>
    </row>
    <row r="3949" spans="3:14">
      <c r="C3949" s="479"/>
      <c r="D3949" s="915" t="s">
        <v>6</v>
      </c>
      <c r="E3949" s="916" t="s">
        <v>1976</v>
      </c>
      <c r="F3949" s="916"/>
      <c r="G3949" s="916"/>
      <c r="H3949" s="63" t="str">
        <f>IFERROR(IF([1]F_ProductBM!H1243 = "", "", [1]F_ProductBM!H1243 ),"")</f>
        <v>tonnes</v>
      </c>
      <c r="I3949" s="281" t="str">
        <f>IFERROR(IF([1]F_ProductBM!I1243 = "", "", [1]F_ProductBM!I1243 ),"")</f>
        <v/>
      </c>
      <c r="J3949" s="282" t="str">
        <f>IFERROR(IF([1]F_ProductBM!J1243 = "", "", [1]F_ProductBM!J1243 ),"")</f>
        <v/>
      </c>
      <c r="K3949" s="283" t="str">
        <f>IFERROR(IF([1]F_ProductBM!K1243 = "", "", [1]F_ProductBM!K1243 ),"")</f>
        <v/>
      </c>
      <c r="L3949" s="283" t="str">
        <f>IFERROR(IF([1]F_ProductBM!L1243 = "", "", [1]F_ProductBM!L1243 ),"")</f>
        <v/>
      </c>
      <c r="M3949" s="283" t="str">
        <f>IFERROR(IF([1]F_ProductBM!M1243 = "", "", [1]F_ProductBM!M1243 ),"")</f>
        <v/>
      </c>
      <c r="N3949" s="284" t="str">
        <f>IFERROR(IF([1]F_ProductBM!N1243 = "", "", [1]F_ProductBM!N1243 ),"")</f>
        <v/>
      </c>
    </row>
    <row r="3950" spans="3:14">
      <c r="C3950" s="479"/>
      <c r="D3950" s="918"/>
      <c r="E3950" s="919" t="s">
        <v>1648</v>
      </c>
      <c r="F3950" s="919"/>
      <c r="G3950" s="919"/>
      <c r="H3950" s="920"/>
      <c r="I3950" s="919"/>
      <c r="J3950" s="285" t="str">
        <f>IFERROR(IF([1]F_ProductBM!J1244 = "", "", [1]F_ProductBM!J1244 ),"")</f>
        <v/>
      </c>
      <c r="K3950" s="286" t="str">
        <f>IFERROR(IF([1]F_ProductBM!K1244 = "", "", [1]F_ProductBM!K1244 ),"")</f>
        <v/>
      </c>
      <c r="L3950" s="286" t="str">
        <f>IFERROR(IF([1]F_ProductBM!L1244 = "", "", [1]F_ProductBM!L1244 ),"")</f>
        <v/>
      </c>
      <c r="M3950" s="286" t="str">
        <f>IFERROR(IF([1]F_ProductBM!M1244 = "", "", [1]F_ProductBM!M1244 ),"")</f>
        <v/>
      </c>
      <c r="N3950" s="287" t="str">
        <f>IFERROR(IF([1]F_ProductBM!N1244 = "", "", [1]F_ProductBM!N1244 ),"")</f>
        <v/>
      </c>
    </row>
    <row r="3951" spans="3:14">
      <c r="C3951" s="479"/>
      <c r="D3951" s="915" t="s">
        <v>7</v>
      </c>
      <c r="E3951" s="916" t="s">
        <v>1654</v>
      </c>
      <c r="F3951" s="916"/>
      <c r="G3951" s="916"/>
      <c r="H3951" s="921"/>
      <c r="I3951" s="916"/>
      <c r="J3951" s="288" t="str">
        <f>IFERROR(IF([1]F_ProductBM!J1245 = "", "", [1]F_ProductBM!J1245 ),"")</f>
        <v/>
      </c>
      <c r="K3951" s="289" t="str">
        <f>IFERROR(IF([1]F_ProductBM!K1245 = "", "", [1]F_ProductBM!K1245 ),"")</f>
        <v/>
      </c>
      <c r="L3951" s="289" t="str">
        <f>IFERROR(IF([1]F_ProductBM!L1245 = "", "", [1]F_ProductBM!L1245 ),"")</f>
        <v/>
      </c>
      <c r="M3951" s="289" t="str">
        <f>IFERROR(IF([1]F_ProductBM!M1245 = "", "", [1]F_ProductBM!M1245 ),"")</f>
        <v/>
      </c>
      <c r="N3951" s="290" t="str">
        <f>IFERROR(IF([1]F_ProductBM!N1245 = "", "", [1]F_ProductBM!N1245 ),"")</f>
        <v/>
      </c>
    </row>
    <row r="3952" spans="3:14">
      <c r="C3952" s="479"/>
      <c r="D3952" s="918"/>
      <c r="E3952" s="916" t="s">
        <v>1689</v>
      </c>
      <c r="F3952" s="916"/>
      <c r="G3952" s="916"/>
      <c r="H3952" s="63" t="str">
        <f>IFERROR(IF([1]F_ProductBM!H1246 = "", "", [1]F_ProductBM!H1246 ),"")</f>
        <v>tonnes</v>
      </c>
      <c r="I3952" s="281" t="str">
        <f>IFERROR(IF([1]F_ProductBM!I1246 = "", "", [1]F_ProductBM!I1246 ),"")</f>
        <v/>
      </c>
      <c r="J3952" s="282" t="str">
        <f>IFERROR(IF([1]F_ProductBM!J1246 = "", "", [1]F_ProductBM!J1246 ),"")</f>
        <v/>
      </c>
      <c r="K3952" s="283" t="str">
        <f>IFERROR(IF([1]F_ProductBM!K1246 = "", "", [1]F_ProductBM!K1246 ),"")</f>
        <v/>
      </c>
      <c r="L3952" s="283" t="str">
        <f>IFERROR(IF([1]F_ProductBM!L1246 = "", "", [1]F_ProductBM!L1246 ),"")</f>
        <v/>
      </c>
      <c r="M3952" s="283" t="str">
        <f>IFERROR(IF([1]F_ProductBM!M1246 = "", "", [1]F_ProductBM!M1246 ),"")</f>
        <v/>
      </c>
      <c r="N3952" s="284" t="str">
        <f>IFERROR(IF([1]F_ProductBM!N1246 = "", "", [1]F_ProductBM!N1246 ),"")</f>
        <v/>
      </c>
    </row>
    <row r="3953" spans="3:14">
      <c r="C3953" s="479"/>
      <c r="D3953" s="918"/>
      <c r="E3953" s="909"/>
      <c r="F3953" s="909"/>
      <c r="G3953" s="909"/>
      <c r="H3953" s="909"/>
      <c r="I3953" s="909"/>
      <c r="J3953" s="909"/>
      <c r="K3953" s="909"/>
      <c r="L3953" s="909"/>
      <c r="M3953" s="909"/>
      <c r="N3953" s="922"/>
    </row>
    <row r="3954" spans="3:14">
      <c r="C3954" s="479"/>
      <c r="D3954" s="918"/>
      <c r="E3954" s="923" t="s">
        <v>1653</v>
      </c>
      <c r="F3954" s="923"/>
      <c r="G3954" s="923"/>
      <c r="H3954" s="923"/>
      <c r="I3954" s="923"/>
      <c r="J3954" s="912">
        <v>2021</v>
      </c>
      <c r="K3954" s="913">
        <v>2022</v>
      </c>
      <c r="L3954" s="913">
        <v>2023</v>
      </c>
      <c r="M3954" s="913">
        <v>2024</v>
      </c>
      <c r="N3954" s="914">
        <v>2025</v>
      </c>
    </row>
    <row r="3955" spans="3:14">
      <c r="C3955" s="479"/>
      <c r="D3955" s="915" t="s">
        <v>8</v>
      </c>
      <c r="E3955" s="916" t="s">
        <v>2108</v>
      </c>
      <c r="F3955" s="916"/>
      <c r="G3955" s="916"/>
      <c r="H3955" s="916"/>
      <c r="I3955" s="916"/>
      <c r="J3955" s="69" t="str">
        <f>IFERROR(IF([1]F_ProductBM!J1249 = "", "", [1]F_ProductBM!J1249 ),"")</f>
        <v/>
      </c>
      <c r="K3955" s="62" t="str">
        <f>IFERROR(IF([1]F_ProductBM!K1249 = "", "", [1]F_ProductBM!K1249 ),"")</f>
        <v/>
      </c>
      <c r="L3955" s="62" t="str">
        <f>IFERROR(IF([1]F_ProductBM!L1249 = "", "", [1]F_ProductBM!L1249 ),"")</f>
        <v/>
      </c>
      <c r="M3955" s="62" t="str">
        <f>IFERROR(IF([1]F_ProductBM!M1249 = "", "", [1]F_ProductBM!M1249 ),"")</f>
        <v/>
      </c>
      <c r="N3955" s="70" t="str">
        <f>IFERROR(IF([1]F_ProductBM!N1249 = "", "", [1]F_ProductBM!N1249 ),"")</f>
        <v/>
      </c>
    </row>
    <row r="3956" spans="3:14" ht="13.5" thickBot="1">
      <c r="C3956" s="479"/>
      <c r="D3956" s="918"/>
      <c r="E3956" s="909"/>
      <c r="F3956" s="909"/>
      <c r="G3956" s="909"/>
      <c r="H3956" s="909"/>
      <c r="I3956" s="909"/>
      <c r="J3956" s="909"/>
      <c r="K3956" s="909"/>
      <c r="L3956" s="909"/>
      <c r="M3956" s="909"/>
      <c r="N3956" s="922"/>
    </row>
    <row r="3957" spans="3:14" ht="13.5" thickBot="1">
      <c r="C3957" s="479"/>
      <c r="D3957" s="915" t="s">
        <v>18</v>
      </c>
      <c r="E3957" s="916" t="s">
        <v>1657</v>
      </c>
      <c r="F3957" s="916"/>
      <c r="G3957" s="916"/>
      <c r="H3957" s="921"/>
      <c r="I3957" s="916"/>
      <c r="J3957" s="291" t="str">
        <f>IFERROR(IF([1]F_ProductBM!J1251 = "", "", [1]F_ProductBM!J1251 ),"")</f>
        <v/>
      </c>
      <c r="K3957" s="292" t="str">
        <f>IFERROR(IF([1]F_ProductBM!K1251 = "", "", [1]F_ProductBM!K1251 ),"")</f>
        <v/>
      </c>
      <c r="L3957" s="292" t="str">
        <f>IFERROR(IF([1]F_ProductBM!L1251 = "", "", [1]F_ProductBM!L1251 ),"")</f>
        <v/>
      </c>
      <c r="M3957" s="292" t="str">
        <f>IFERROR(IF([1]F_ProductBM!M1251 = "", "", [1]F_ProductBM!M1251 ),"")</f>
        <v/>
      </c>
      <c r="N3957" s="293" t="str">
        <f>IFERROR(IF([1]F_ProductBM!N1251 = "", "", [1]F_ProductBM!N1251 ),"")</f>
        <v/>
      </c>
    </row>
    <row r="3958" spans="3:14" ht="13.5" thickBot="1">
      <c r="C3958" s="479"/>
      <c r="D3958" s="915" t="s">
        <v>787</v>
      </c>
      <c r="E3958" s="916" t="s">
        <v>1659</v>
      </c>
      <c r="F3958" s="916"/>
      <c r="G3958" s="916"/>
      <c r="H3958" s="63" t="str">
        <f>IFERROR(IF([1]F_ProductBM!H1252 = "", "", [1]F_ProductBM!H1252 ),"")</f>
        <v>tonnes</v>
      </c>
      <c r="I3958" s="281" t="str">
        <f>IFERROR(IF([1]F_ProductBM!I1252 = "", "", [1]F_ProductBM!I1252 ),"")</f>
        <v/>
      </c>
      <c r="J3958" s="294" t="str">
        <f>IFERROR(IF([1]F_ProductBM!J1252 = "", "", [1]F_ProductBM!J1252 ),"")</f>
        <v/>
      </c>
      <c r="K3958" s="295" t="str">
        <f>IFERROR(IF([1]F_ProductBM!K1252 = "", "", [1]F_ProductBM!K1252 ),"")</f>
        <v/>
      </c>
      <c r="L3958" s="295" t="str">
        <f>IFERROR(IF([1]F_ProductBM!L1252 = "", "", [1]F_ProductBM!L1252 ),"")</f>
        <v/>
      </c>
      <c r="M3958" s="295" t="str">
        <f>IFERROR(IF([1]F_ProductBM!M1252 = "", "", [1]F_ProductBM!M1252 ),"")</f>
        <v/>
      </c>
      <c r="N3958" s="296" t="str">
        <f>IFERROR(IF([1]F_ProductBM!N1252 = "", "", [1]F_ProductBM!N1252 ),"")</f>
        <v/>
      </c>
    </row>
    <row r="3959" spans="3:14" ht="13.5" thickBot="1">
      <c r="C3959" s="479"/>
      <c r="D3959" s="924"/>
      <c r="E3959" s="925"/>
      <c r="F3959" s="925"/>
      <c r="G3959" s="925"/>
      <c r="H3959" s="925"/>
      <c r="I3959" s="925"/>
      <c r="J3959" s="925"/>
      <c r="K3959" s="925"/>
      <c r="L3959" s="925"/>
      <c r="M3959" s="925"/>
      <c r="N3959" s="926"/>
    </row>
    <row r="3960" spans="3:14">
      <c r="C3960" s="479"/>
      <c r="D3960" s="485"/>
      <c r="E3960" s="485"/>
      <c r="F3960" s="485"/>
      <c r="G3960" s="485"/>
      <c r="H3960" s="485"/>
      <c r="I3960" s="485"/>
      <c r="J3960" s="485"/>
      <c r="K3960" s="485"/>
      <c r="L3960" s="485"/>
      <c r="M3960" s="485"/>
      <c r="N3960" s="485"/>
    </row>
    <row r="3961" spans="3:14">
      <c r="C3961" s="479"/>
      <c r="D3961" s="2482" t="s">
        <v>1229</v>
      </c>
      <c r="E3961" s="2400"/>
      <c r="F3961" s="2400"/>
      <c r="G3961" s="2400"/>
      <c r="H3961" s="2400"/>
      <c r="I3961" s="2400"/>
      <c r="J3961" s="2400"/>
      <c r="K3961" s="2400"/>
      <c r="L3961" s="2400"/>
      <c r="M3961" s="2400"/>
      <c r="N3961" s="2400"/>
    </row>
    <row r="3962" spans="3:14">
      <c r="C3962" s="479"/>
      <c r="D3962" s="479"/>
      <c r="E3962" s="479"/>
      <c r="F3962" s="479"/>
      <c r="G3962" s="479"/>
      <c r="H3962" s="479"/>
      <c r="I3962" s="479"/>
      <c r="J3962" s="479"/>
      <c r="K3962" s="479"/>
      <c r="L3962" s="479"/>
      <c r="M3962" s="479"/>
      <c r="N3962" s="479"/>
    </row>
    <row r="3963" spans="3:14">
      <c r="C3963" s="485"/>
      <c r="D3963" s="482" t="s">
        <v>48</v>
      </c>
      <c r="E3963" s="2373" t="s">
        <v>800</v>
      </c>
      <c r="F3963" s="2400"/>
      <c r="G3963" s="2400"/>
      <c r="H3963" s="2400"/>
      <c r="I3963" s="2585"/>
      <c r="J3963" s="2652" t="s">
        <v>1857</v>
      </c>
      <c r="K3963" s="2653"/>
      <c r="L3963" s="2653"/>
      <c r="M3963" s="2653"/>
      <c r="N3963" s="2654"/>
    </row>
    <row r="3964" spans="3:14">
      <c r="C3964" s="479"/>
      <c r="D3964" s="485"/>
      <c r="E3964" s="2465" t="s">
        <v>1241</v>
      </c>
      <c r="F3964" s="2400"/>
      <c r="G3964" s="2400"/>
      <c r="H3964" s="2400"/>
      <c r="I3964" s="2400"/>
      <c r="J3964" s="2400"/>
      <c r="K3964" s="2400"/>
      <c r="L3964" s="2400"/>
      <c r="M3964" s="2400"/>
      <c r="N3964" s="2400"/>
    </row>
    <row r="3965" spans="3:14">
      <c r="C3965" s="479"/>
      <c r="D3965" s="485"/>
      <c r="E3965" s="2465" t="s">
        <v>1526</v>
      </c>
      <c r="F3965" s="2400"/>
      <c r="G3965" s="2400"/>
      <c r="H3965" s="2400"/>
      <c r="I3965" s="2400"/>
      <c r="J3965" s="2400"/>
      <c r="K3965" s="2400"/>
      <c r="L3965" s="2400"/>
      <c r="M3965" s="2400"/>
      <c r="N3965" s="2400"/>
    </row>
    <row r="3966" spans="3:14">
      <c r="C3966" s="479"/>
      <c r="D3966" s="485"/>
      <c r="E3966" s="2465" t="s">
        <v>1635</v>
      </c>
      <c r="F3966" s="2400"/>
      <c r="G3966" s="2400"/>
      <c r="H3966" s="2400"/>
      <c r="I3966" s="2400"/>
      <c r="J3966" s="2400"/>
      <c r="K3966" s="2400"/>
      <c r="L3966" s="2400"/>
      <c r="M3966" s="2400"/>
      <c r="N3966" s="2400"/>
    </row>
    <row r="3967" spans="3:14">
      <c r="C3967" s="485"/>
      <c r="D3967" s="482"/>
      <c r="E3967" s="927" t="s">
        <v>62</v>
      </c>
      <c r="F3967" s="518"/>
      <c r="G3967" s="663" t="s">
        <v>884</v>
      </c>
      <c r="H3967" s="578">
        <v>2019</v>
      </c>
      <c r="I3967" s="697">
        <v>2020</v>
      </c>
      <c r="J3967" s="696">
        <v>2021</v>
      </c>
      <c r="K3967" s="928">
        <v>2022</v>
      </c>
      <c r="L3967" s="578">
        <v>2023</v>
      </c>
      <c r="M3967" s="578">
        <v>2024</v>
      </c>
      <c r="N3967" s="578">
        <v>2025</v>
      </c>
    </row>
    <row r="3968" spans="3:14">
      <c r="C3968" s="485"/>
      <c r="D3968" s="561" t="s">
        <v>6</v>
      </c>
      <c r="E3968" s="863" t="s">
        <v>63</v>
      </c>
      <c r="F3968" s="863"/>
      <c r="G3968" s="579" t="s">
        <v>2015</v>
      </c>
      <c r="H3968" s="297" t="str">
        <f>IFERROR(IF([1]F_ProductBM!H1262 = "", "", [1]F_ProductBM!H1262 ),"")</f>
        <v/>
      </c>
      <c r="I3968" s="298" t="str">
        <f>IFERROR(IF([1]F_ProductBM!I1262 = "", "", [1]F_ProductBM!I1262 ),"")</f>
        <v/>
      </c>
      <c r="J3968" s="299" t="str">
        <f>IFERROR(IF([1]F_ProductBM!J1262 = "", "", [1]F_ProductBM!J1262 ),"")</f>
        <v/>
      </c>
      <c r="K3968" s="300" t="str">
        <f>IFERROR(IF([1]F_ProductBM!K1262 = "", "", [1]F_ProductBM!K1262 ),"")</f>
        <v/>
      </c>
      <c r="L3968" s="300" t="str">
        <f>IFERROR(IF([1]F_ProductBM!L1262 = "", "", [1]F_ProductBM!L1262 ),"")</f>
        <v/>
      </c>
      <c r="M3968" s="297" t="str">
        <f>IFERROR(IF([1]F_ProductBM!M1262 = "", "", [1]F_ProductBM!M1262 ),"")</f>
        <v/>
      </c>
      <c r="N3968" s="297" t="str">
        <f>IFERROR(IF([1]F_ProductBM!N1262 = "", "", [1]F_ProductBM!N1262 ),"")</f>
        <v/>
      </c>
    </row>
    <row r="3969" spans="3:14">
      <c r="C3969" s="485"/>
      <c r="D3969" s="561" t="s">
        <v>7</v>
      </c>
      <c r="E3969" s="865" t="s">
        <v>257</v>
      </c>
      <c r="F3969" s="865"/>
      <c r="G3969" s="582" t="s">
        <v>2017</v>
      </c>
      <c r="H3969" s="134" t="str">
        <f>IFERROR(IF([1]F_ProductBM!H1263 = "", "", [1]F_ProductBM!H1263 ),"")</f>
        <v/>
      </c>
      <c r="I3969" s="301" t="str">
        <f>IFERROR(IF([1]F_ProductBM!I1263 = "", "", [1]F_ProductBM!I1263 ),"")</f>
        <v/>
      </c>
      <c r="J3969" s="302" t="str">
        <f>IFERROR(IF([1]F_ProductBM!J1263 = "", "", [1]F_ProductBM!J1263 ),"")</f>
        <v/>
      </c>
      <c r="K3969" s="303" t="str">
        <f>IFERROR(IF([1]F_ProductBM!K1263 = "", "", [1]F_ProductBM!K1263 ),"")</f>
        <v/>
      </c>
      <c r="L3969" s="134" t="str">
        <f>IFERROR(IF([1]F_ProductBM!L1263 = "", "", [1]F_ProductBM!L1263 ),"")</f>
        <v/>
      </c>
      <c r="M3969" s="134" t="str">
        <f>IFERROR(IF([1]F_ProductBM!M1263 = "", "", [1]F_ProductBM!M1263 ),"")</f>
        <v/>
      </c>
      <c r="N3969" s="134" t="str">
        <f>IFERROR(IF([1]F_ProductBM!N1263 = "", "", [1]F_ProductBM!N1263 ),"")</f>
        <v/>
      </c>
    </row>
    <row r="3970" spans="3:14">
      <c r="C3970" s="485"/>
      <c r="D3970" s="561" t="s">
        <v>8</v>
      </c>
      <c r="E3970" s="932" t="s">
        <v>914</v>
      </c>
      <c r="F3970" s="932"/>
      <c r="G3970" s="933" t="s">
        <v>2021</v>
      </c>
      <c r="H3970" s="109" t="str">
        <f>IFERROR(IF([1]F_ProductBM!H1264 = "", "", [1]F_ProductBM!H1264 ),"")</f>
        <v/>
      </c>
      <c r="I3970" s="304" t="str">
        <f>IFERROR(IF([1]F_ProductBM!I1264 = "", "", [1]F_ProductBM!I1264 ),"")</f>
        <v/>
      </c>
      <c r="J3970" s="305" t="str">
        <f>IFERROR(IF([1]F_ProductBM!J1264 = "", "", [1]F_ProductBM!J1264 ),"")</f>
        <v/>
      </c>
      <c r="K3970" s="306" t="str">
        <f>IFERROR(IF([1]F_ProductBM!K1264 = "", "", [1]F_ProductBM!K1264 ),"")</f>
        <v/>
      </c>
      <c r="L3970" s="109" t="str">
        <f>IFERROR(IF([1]F_ProductBM!L1264 = "", "", [1]F_ProductBM!L1264 ),"")</f>
        <v/>
      </c>
      <c r="M3970" s="109" t="str">
        <f>IFERROR(IF([1]F_ProductBM!M1264 = "", "", [1]F_ProductBM!M1264 ),"")</f>
        <v/>
      </c>
      <c r="N3970" s="109" t="str">
        <f>IFERROR(IF([1]F_ProductBM!N1264 = "", "", [1]F_ProductBM!N1264 ),"")</f>
        <v/>
      </c>
    </row>
    <row r="3971" spans="3:14">
      <c r="C3971" s="485"/>
      <c r="D3971" s="561" t="s">
        <v>18</v>
      </c>
      <c r="E3971" s="863" t="s">
        <v>915</v>
      </c>
      <c r="F3971" s="863"/>
      <c r="G3971" s="579" t="s">
        <v>2015</v>
      </c>
      <c r="H3971" s="297" t="str">
        <f>IFERROR(IF([1]F_ProductBM!H1265 = "", "", [1]F_ProductBM!H1265 ),"")</f>
        <v/>
      </c>
      <c r="I3971" s="298" t="str">
        <f>IFERROR(IF([1]F_ProductBM!I1265 = "", "", [1]F_ProductBM!I1265 ),"")</f>
        <v/>
      </c>
      <c r="J3971" s="299" t="str">
        <f>IFERROR(IF([1]F_ProductBM!J1265 = "", "", [1]F_ProductBM!J1265 ),"")</f>
        <v/>
      </c>
      <c r="K3971" s="300" t="str">
        <f>IFERROR(IF([1]F_ProductBM!K1265 = "", "", [1]F_ProductBM!K1265 ),"")</f>
        <v/>
      </c>
      <c r="L3971" s="300" t="str">
        <f>IFERROR(IF([1]F_ProductBM!L1265 = "", "", [1]F_ProductBM!L1265 ),"")</f>
        <v/>
      </c>
      <c r="M3971" s="297" t="str">
        <f>IFERROR(IF([1]F_ProductBM!M1265 = "", "", [1]F_ProductBM!M1265 ),"")</f>
        <v/>
      </c>
      <c r="N3971" s="297" t="str">
        <f>IFERROR(IF([1]F_ProductBM!N1265 = "", "", [1]F_ProductBM!N1265 ),"")</f>
        <v/>
      </c>
    </row>
    <row r="3972" spans="3:14">
      <c r="C3972" s="485"/>
      <c r="D3972" s="561" t="s">
        <v>787</v>
      </c>
      <c r="E3972" s="867" t="s">
        <v>916</v>
      </c>
      <c r="F3972" s="867"/>
      <c r="G3972" s="584" t="s">
        <v>2015</v>
      </c>
      <c r="H3972" s="307" t="str">
        <f>IFERROR(IF([1]F_ProductBM!H1266 = "", "", [1]F_ProductBM!H1266 ),"")</f>
        <v/>
      </c>
      <c r="I3972" s="308" t="str">
        <f>IFERROR(IF([1]F_ProductBM!I1266 = "", "", [1]F_ProductBM!I1266 ),"")</f>
        <v/>
      </c>
      <c r="J3972" s="309" t="str">
        <f>IFERROR(IF([1]F_ProductBM!J1266 = "", "", [1]F_ProductBM!J1266 ),"")</f>
        <v/>
      </c>
      <c r="K3972" s="310" t="str">
        <f>IFERROR(IF([1]F_ProductBM!K1266 = "", "", [1]F_ProductBM!K1266 ),"")</f>
        <v/>
      </c>
      <c r="L3972" s="310" t="str">
        <f>IFERROR(IF([1]F_ProductBM!L1266 = "", "", [1]F_ProductBM!L1266 ),"")</f>
        <v/>
      </c>
      <c r="M3972" s="307" t="str">
        <f>IFERROR(IF([1]F_ProductBM!M1266 = "", "", [1]F_ProductBM!M1266 ),"")</f>
        <v/>
      </c>
      <c r="N3972" s="307" t="str">
        <f>IFERROR(IF([1]F_ProductBM!N1266 = "", "", [1]F_ProductBM!N1266 ),"")</f>
        <v/>
      </c>
    </row>
    <row r="3973" spans="3:14">
      <c r="C3973" s="479"/>
      <c r="D3973" s="479"/>
      <c r="E3973" s="479"/>
      <c r="F3973" s="479"/>
      <c r="G3973" s="479"/>
      <c r="H3973" s="479"/>
      <c r="I3973" s="479"/>
      <c r="J3973" s="937"/>
      <c r="K3973" s="479"/>
      <c r="L3973" s="479"/>
      <c r="M3973" s="485"/>
      <c r="N3973" s="485"/>
    </row>
    <row r="3974" spans="3:14">
      <c r="C3974" s="479"/>
      <c r="D3974" s="561" t="s">
        <v>788</v>
      </c>
      <c r="E3974" s="698" t="s">
        <v>1389</v>
      </c>
      <c r="F3974" s="938"/>
      <c r="G3974" s="939" t="s">
        <v>1021</v>
      </c>
      <c r="H3974" s="311" t="str">
        <f>IFERROR(IF([1]F_ProductBM!H1268 = "", "", [1]F_ProductBM!H1268 ),"")</f>
        <v/>
      </c>
      <c r="I3974" s="312" t="str">
        <f>IFERROR(IF([1]F_ProductBM!I1268 = "", "", [1]F_ProductBM!I1268 ),"")</f>
        <v/>
      </c>
      <c r="J3974" s="313" t="str">
        <f>IFERROR(IF([1]F_ProductBM!J1268 = "", "", [1]F_ProductBM!J1268 ),"")</f>
        <v/>
      </c>
      <c r="K3974" s="314" t="str">
        <f>IFERROR(IF([1]F_ProductBM!K1268 = "", "", [1]F_ProductBM!K1268 ),"")</f>
        <v/>
      </c>
      <c r="L3974" s="311" t="str">
        <f>IFERROR(IF([1]F_ProductBM!L1268 = "", "", [1]F_ProductBM!L1268 ),"")</f>
        <v/>
      </c>
      <c r="M3974" s="311" t="str">
        <f>IFERROR(IF([1]F_ProductBM!M1268 = "", "", [1]F_ProductBM!M1268 ),"")</f>
        <v/>
      </c>
      <c r="N3974" s="311" t="str">
        <f>IFERROR(IF([1]F_ProductBM!N1268 = "", "", [1]F_ProductBM!N1268 ),"")</f>
        <v/>
      </c>
    </row>
    <row r="3975" spans="3:14">
      <c r="C3975" s="479"/>
      <c r="D3975" s="479"/>
      <c r="E3975" s="479"/>
      <c r="F3975" s="479"/>
      <c r="G3975" s="479"/>
      <c r="H3975" s="479"/>
      <c r="I3975" s="479"/>
      <c r="J3975" s="479"/>
      <c r="K3975" s="479"/>
      <c r="L3975" s="479"/>
      <c r="M3975" s="485"/>
      <c r="N3975" s="485"/>
    </row>
    <row r="3976" spans="3:14" ht="24.6" customHeight="1" thickBot="1">
      <c r="C3976" s="479"/>
      <c r="D3976" s="485"/>
      <c r="E3976" s="2465" t="s">
        <v>2709</v>
      </c>
      <c r="F3976" s="2400"/>
      <c r="G3976" s="2400"/>
      <c r="H3976" s="2400"/>
      <c r="I3976" s="2400"/>
      <c r="J3976" s="2400"/>
      <c r="K3976" s="2400"/>
      <c r="L3976" s="2400"/>
      <c r="M3976" s="2400"/>
      <c r="N3976" s="2400"/>
    </row>
    <row r="3977" spans="3:14">
      <c r="C3977" s="479"/>
      <c r="D3977" s="902"/>
      <c r="E3977" s="942"/>
      <c r="F3977" s="942"/>
      <c r="G3977" s="942"/>
      <c r="H3977" s="942"/>
      <c r="I3977" s="942"/>
      <c r="J3977" s="942"/>
      <c r="K3977" s="942"/>
      <c r="L3977" s="942"/>
      <c r="M3977" s="942"/>
      <c r="N3977" s="943"/>
    </row>
    <row r="3978" spans="3:14">
      <c r="C3978" s="479"/>
      <c r="D3978" s="907" t="s">
        <v>1915</v>
      </c>
      <c r="E3978" s="908" t="s">
        <v>1775</v>
      </c>
      <c r="F3978" s="909"/>
      <c r="G3978" s="909"/>
      <c r="H3978" s="910" t="s">
        <v>884</v>
      </c>
      <c r="I3978" s="911" t="s">
        <v>2213</v>
      </c>
      <c r="J3978" s="912">
        <v>2021</v>
      </c>
      <c r="K3978" s="913">
        <v>2022</v>
      </c>
      <c r="L3978" s="913">
        <v>2023</v>
      </c>
      <c r="M3978" s="913">
        <v>2024</v>
      </c>
      <c r="N3978" s="914">
        <v>2025</v>
      </c>
    </row>
    <row r="3979" spans="3:14">
      <c r="C3979" s="479"/>
      <c r="D3979" s="915" t="s">
        <v>6</v>
      </c>
      <c r="E3979" s="916" t="s">
        <v>1691</v>
      </c>
      <c r="F3979" s="916"/>
      <c r="G3979" s="916"/>
      <c r="H3979" s="944" t="s">
        <v>1021</v>
      </c>
      <c r="I3979" s="315" t="str">
        <f>IFERROR(IF([1]F_ProductBM!I1273 = "", "", [1]F_ProductBM!I1273 ),"")</f>
        <v/>
      </c>
      <c r="J3979" s="316" t="str">
        <f>IFERROR(IF([1]F_ProductBM!J1273 = "", "", [1]F_ProductBM!J1273 ),"")</f>
        <v/>
      </c>
      <c r="K3979" s="317" t="str">
        <f>IFERROR(IF([1]F_ProductBM!K1273 = "", "", [1]F_ProductBM!K1273 ),"")</f>
        <v/>
      </c>
      <c r="L3979" s="317" t="str">
        <f>IFERROR(IF([1]F_ProductBM!L1273 = "", "", [1]F_ProductBM!L1273 ),"")</f>
        <v/>
      </c>
      <c r="M3979" s="317" t="str">
        <f>IFERROR(IF([1]F_ProductBM!M1273 = "", "", [1]F_ProductBM!M1273 ),"")</f>
        <v/>
      </c>
      <c r="N3979" s="318" t="str">
        <f>IFERROR(IF([1]F_ProductBM!N1273 = "", "", [1]F_ProductBM!N1273 ),"")</f>
        <v/>
      </c>
    </row>
    <row r="3980" spans="3:14">
      <c r="C3980" s="479"/>
      <c r="D3980" s="915"/>
      <c r="E3980" s="916" t="s">
        <v>1776</v>
      </c>
      <c r="F3980" s="916"/>
      <c r="G3980" s="916"/>
      <c r="H3980" s="921"/>
      <c r="I3980" s="916"/>
      <c r="J3980" s="319" t="str">
        <f>IFERROR(IF([1]F_ProductBM!J1274 = "", "", [1]F_ProductBM!J1274 ),"")</f>
        <v/>
      </c>
      <c r="K3980" s="320" t="str">
        <f>IFERROR(IF([1]F_ProductBM!K1274 = "", "", [1]F_ProductBM!K1274 ),"")</f>
        <v/>
      </c>
      <c r="L3980" s="320" t="str">
        <f>IFERROR(IF([1]F_ProductBM!L1274 = "", "", [1]F_ProductBM!L1274 ),"")</f>
        <v/>
      </c>
      <c r="M3980" s="320" t="str">
        <f>IFERROR(IF([1]F_ProductBM!M1274 = "", "", [1]F_ProductBM!M1274 ),"")</f>
        <v/>
      </c>
      <c r="N3980" s="321" t="str">
        <f>IFERROR(IF([1]F_ProductBM!N1274 = "", "", [1]F_ProductBM!N1274 ),"")</f>
        <v/>
      </c>
    </row>
    <row r="3981" spans="3:14">
      <c r="C3981" s="479"/>
      <c r="D3981" s="915" t="s">
        <v>7</v>
      </c>
      <c r="E3981" s="916" t="s">
        <v>1654</v>
      </c>
      <c r="F3981" s="916"/>
      <c r="G3981" s="916"/>
      <c r="H3981" s="921"/>
      <c r="I3981" s="916"/>
      <c r="J3981" s="288" t="str">
        <f>IFERROR(IF([1]F_ProductBM!J1275 = "", "", [1]F_ProductBM!J1275 ),"")</f>
        <v/>
      </c>
      <c r="K3981" s="289" t="str">
        <f>IFERROR(IF([1]F_ProductBM!K1275 = "", "", [1]F_ProductBM!K1275 ),"")</f>
        <v/>
      </c>
      <c r="L3981" s="289" t="str">
        <f>IFERROR(IF([1]F_ProductBM!L1275 = "", "", [1]F_ProductBM!L1275 ),"")</f>
        <v/>
      </c>
      <c r="M3981" s="289" t="str">
        <f>IFERROR(IF([1]F_ProductBM!M1275 = "", "", [1]F_ProductBM!M1275 ),"")</f>
        <v/>
      </c>
      <c r="N3981" s="290" t="str">
        <f>IFERROR(IF([1]F_ProductBM!N1275 = "", "", [1]F_ProductBM!N1275 ),"")</f>
        <v/>
      </c>
    </row>
    <row r="3982" spans="3:14">
      <c r="C3982" s="479"/>
      <c r="D3982" s="915"/>
      <c r="E3982" s="916" t="s">
        <v>1689</v>
      </c>
      <c r="F3982" s="916"/>
      <c r="G3982" s="916"/>
      <c r="H3982" s="944" t="s">
        <v>1021</v>
      </c>
      <c r="I3982" s="315" t="str">
        <f>IFERROR(IF([1]F_ProductBM!I1276 = "", "", [1]F_ProductBM!I1276 ),"")</f>
        <v/>
      </c>
      <c r="J3982" s="322" t="str">
        <f>IFERROR(IF([1]F_ProductBM!J1276 = "", "", [1]F_ProductBM!J1276 ),"")</f>
        <v/>
      </c>
      <c r="K3982" s="323" t="str">
        <f>IFERROR(IF([1]F_ProductBM!K1276 = "", "", [1]F_ProductBM!K1276 ),"")</f>
        <v/>
      </c>
      <c r="L3982" s="323" t="str">
        <f>IFERROR(IF([1]F_ProductBM!L1276 = "", "", [1]F_ProductBM!L1276 ),"")</f>
        <v/>
      </c>
      <c r="M3982" s="323" t="str">
        <f>IFERROR(IF([1]F_ProductBM!M1276 = "", "", [1]F_ProductBM!M1276 ),"")</f>
        <v/>
      </c>
      <c r="N3982" s="324" t="str">
        <f>IFERROR(IF([1]F_ProductBM!N1276 = "", "", [1]F_ProductBM!N1276 ),"")</f>
        <v/>
      </c>
    </row>
    <row r="3983" spans="3:14">
      <c r="C3983" s="479"/>
      <c r="D3983" s="915"/>
      <c r="E3983" s="909"/>
      <c r="F3983" s="909"/>
      <c r="G3983" s="909"/>
      <c r="H3983" s="909"/>
      <c r="I3983" s="909"/>
      <c r="J3983" s="909"/>
      <c r="K3983" s="909"/>
      <c r="L3983" s="909"/>
      <c r="M3983" s="909"/>
      <c r="N3983" s="922"/>
    </row>
    <row r="3984" spans="3:14">
      <c r="C3984" s="479"/>
      <c r="D3984" s="915"/>
      <c r="E3984" s="923" t="s">
        <v>1653</v>
      </c>
      <c r="F3984" s="923"/>
      <c r="G3984" s="923"/>
      <c r="H3984" s="923"/>
      <c r="I3984" s="923"/>
      <c r="J3984" s="912">
        <v>2021</v>
      </c>
      <c r="K3984" s="913">
        <v>2022</v>
      </c>
      <c r="L3984" s="913">
        <v>2023</v>
      </c>
      <c r="M3984" s="913">
        <v>2024</v>
      </c>
      <c r="N3984" s="914">
        <v>2025</v>
      </c>
    </row>
    <row r="3985" spans="3:14">
      <c r="C3985" s="479"/>
      <c r="D3985" s="915" t="s">
        <v>8</v>
      </c>
      <c r="E3985" s="916" t="s">
        <v>2108</v>
      </c>
      <c r="F3985" s="916"/>
      <c r="G3985" s="916"/>
      <c r="H3985" s="916"/>
      <c r="I3985" s="916"/>
      <c r="J3985" s="69" t="str">
        <f>IFERROR(IF([1]F_ProductBM!J1279 = "", "", [1]F_ProductBM!J1279 ),"")</f>
        <v/>
      </c>
      <c r="K3985" s="62" t="str">
        <f>IFERROR(IF([1]F_ProductBM!K1279 = "", "", [1]F_ProductBM!K1279 ),"")</f>
        <v/>
      </c>
      <c r="L3985" s="62" t="str">
        <f>IFERROR(IF([1]F_ProductBM!L1279 = "", "", [1]F_ProductBM!L1279 ),"")</f>
        <v/>
      </c>
      <c r="M3985" s="62" t="str">
        <f>IFERROR(IF([1]F_ProductBM!M1279 = "", "", [1]F_ProductBM!M1279 ),"")</f>
        <v/>
      </c>
      <c r="N3985" s="70" t="str">
        <f>IFERROR(IF([1]F_ProductBM!N1279 = "", "", [1]F_ProductBM!N1279 ),"")</f>
        <v/>
      </c>
    </row>
    <row r="3986" spans="3:14" ht="13.5" thickBot="1">
      <c r="C3986" s="479"/>
      <c r="D3986" s="915"/>
      <c r="E3986" s="909"/>
      <c r="F3986" s="909"/>
      <c r="G3986" s="909"/>
      <c r="H3986" s="909"/>
      <c r="I3986" s="909"/>
      <c r="J3986" s="909"/>
      <c r="K3986" s="909"/>
      <c r="L3986" s="909"/>
      <c r="M3986" s="909"/>
      <c r="N3986" s="922"/>
    </row>
    <row r="3987" spans="3:14" ht="13.5" thickBot="1">
      <c r="C3987" s="479"/>
      <c r="D3987" s="915" t="s">
        <v>18</v>
      </c>
      <c r="E3987" s="916" t="s">
        <v>1657</v>
      </c>
      <c r="F3987" s="916"/>
      <c r="G3987" s="916"/>
      <c r="H3987" s="921"/>
      <c r="I3987" s="916"/>
      <c r="J3987" s="291" t="str">
        <f>IFERROR(IF([1]F_ProductBM!J1281 = "", "", [1]F_ProductBM!J1281 ),"")</f>
        <v/>
      </c>
      <c r="K3987" s="292" t="str">
        <f>IFERROR(IF([1]F_ProductBM!K1281 = "", "", [1]F_ProductBM!K1281 ),"")</f>
        <v/>
      </c>
      <c r="L3987" s="292" t="str">
        <f>IFERROR(IF([1]F_ProductBM!L1281 = "", "", [1]F_ProductBM!L1281 ),"")</f>
        <v/>
      </c>
      <c r="M3987" s="292" t="str">
        <f>IFERROR(IF([1]F_ProductBM!M1281 = "", "", [1]F_ProductBM!M1281 ),"")</f>
        <v/>
      </c>
      <c r="N3987" s="293" t="str">
        <f>IFERROR(IF([1]F_ProductBM!N1281 = "", "", [1]F_ProductBM!N1281 ),"")</f>
        <v/>
      </c>
    </row>
    <row r="3988" spans="3:14" ht="13.5" thickBot="1">
      <c r="C3988" s="479"/>
      <c r="D3988" s="915" t="s">
        <v>787</v>
      </c>
      <c r="E3988" s="916" t="s">
        <v>1659</v>
      </c>
      <c r="F3988" s="916"/>
      <c r="G3988" s="916"/>
      <c r="H3988" s="944" t="s">
        <v>1021</v>
      </c>
      <c r="I3988" s="315" t="str">
        <f>IFERROR(IF([1]F_ProductBM!I1282 = "", "", [1]F_ProductBM!I1282 ),"")</f>
        <v/>
      </c>
      <c r="J3988" s="325" t="str">
        <f>IFERROR(IF([1]F_ProductBM!J1282 = "", "", [1]F_ProductBM!J1282 ),"")</f>
        <v/>
      </c>
      <c r="K3988" s="326" t="str">
        <f>IFERROR(IF([1]F_ProductBM!K1282 = "", "", [1]F_ProductBM!K1282 ),"")</f>
        <v/>
      </c>
      <c r="L3988" s="326" t="str">
        <f>IFERROR(IF([1]F_ProductBM!L1282 = "", "", [1]F_ProductBM!L1282 ),"")</f>
        <v/>
      </c>
      <c r="M3988" s="326" t="str">
        <f>IFERROR(IF([1]F_ProductBM!M1282 = "", "", [1]F_ProductBM!M1282 ),"")</f>
        <v/>
      </c>
      <c r="N3988" s="327" t="str">
        <f>IFERROR(IF([1]F_ProductBM!N1282 = "", "", [1]F_ProductBM!N1282 ),"")</f>
        <v/>
      </c>
    </row>
    <row r="3989" spans="3:14" ht="13.5" thickBot="1">
      <c r="C3989" s="479"/>
      <c r="D3989" s="946"/>
      <c r="E3989" s="947"/>
      <c r="F3989" s="947"/>
      <c r="G3989" s="947"/>
      <c r="H3989" s="947"/>
      <c r="I3989" s="947"/>
      <c r="J3989" s="947"/>
      <c r="K3989" s="947"/>
      <c r="L3989" s="947"/>
      <c r="M3989" s="925"/>
      <c r="N3989" s="926"/>
    </row>
    <row r="3990" spans="3:14">
      <c r="C3990" s="479"/>
      <c r="D3990" s="479"/>
      <c r="E3990" s="479"/>
      <c r="F3990" s="479"/>
      <c r="G3990" s="479"/>
      <c r="H3990" s="479"/>
      <c r="I3990" s="479"/>
      <c r="J3990" s="479"/>
      <c r="K3990" s="479"/>
      <c r="L3990" s="479"/>
      <c r="M3990" s="485"/>
      <c r="N3990" s="485"/>
    </row>
    <row r="3991" spans="3:14">
      <c r="C3991" s="479"/>
      <c r="D3991" s="482" t="s">
        <v>881</v>
      </c>
      <c r="E3991" s="2373" t="s">
        <v>941</v>
      </c>
      <c r="F3991" s="2373"/>
      <c r="G3991" s="2373"/>
      <c r="H3991" s="2373"/>
      <c r="I3991" s="2604"/>
      <c r="J3991" s="2652" t="s">
        <v>1857</v>
      </c>
      <c r="K3991" s="2653"/>
      <c r="L3991" s="2653"/>
      <c r="M3991" s="2653"/>
      <c r="N3991" s="2654"/>
    </row>
    <row r="3992" spans="3:14">
      <c r="C3992" s="479"/>
      <c r="D3992" s="485"/>
      <c r="E3992" s="2465" t="s">
        <v>1368</v>
      </c>
      <c r="F3992" s="2400"/>
      <c r="G3992" s="2400"/>
      <c r="H3992" s="2400"/>
      <c r="I3992" s="2400"/>
      <c r="J3992" s="2400"/>
      <c r="K3992" s="2400"/>
      <c r="L3992" s="2400"/>
      <c r="M3992" s="2400"/>
      <c r="N3992" s="2400"/>
    </row>
    <row r="3993" spans="3:14">
      <c r="C3993" s="479"/>
      <c r="D3993" s="485"/>
      <c r="E3993" s="2465" t="s">
        <v>1474</v>
      </c>
      <c r="F3993" s="2400"/>
      <c r="G3993" s="2400"/>
      <c r="H3993" s="2400"/>
      <c r="I3993" s="2400"/>
      <c r="J3993" s="2400"/>
      <c r="K3993" s="2400"/>
      <c r="L3993" s="2400"/>
      <c r="M3993" s="2400"/>
      <c r="N3993" s="2400"/>
    </row>
    <row r="3994" spans="3:14">
      <c r="C3994" s="479"/>
      <c r="D3994" s="485"/>
      <c r="E3994" s="2465" t="s">
        <v>1300</v>
      </c>
      <c r="F3994" s="2400"/>
      <c r="G3994" s="2400"/>
      <c r="H3994" s="2400"/>
      <c r="I3994" s="2400"/>
      <c r="J3994" s="2400"/>
      <c r="K3994" s="2400"/>
      <c r="L3994" s="2400"/>
      <c r="M3994" s="2400"/>
      <c r="N3994" s="2400"/>
    </row>
    <row r="3995" spans="3:14">
      <c r="C3995" s="479"/>
      <c r="D3995" s="485"/>
      <c r="E3995" s="2465" t="s">
        <v>1608</v>
      </c>
      <c r="F3995" s="2400"/>
      <c r="G3995" s="2400"/>
      <c r="H3995" s="2400"/>
      <c r="I3995" s="2400"/>
      <c r="J3995" s="2400"/>
      <c r="K3995" s="2400"/>
      <c r="L3995" s="2400"/>
      <c r="M3995" s="2400"/>
      <c r="N3995" s="2400"/>
    </row>
    <row r="3996" spans="3:14">
      <c r="C3996" s="485"/>
      <c r="D3996" s="482"/>
      <c r="E3996" s="927" t="s">
        <v>62</v>
      </c>
      <c r="F3996" s="518"/>
      <c r="G3996" s="663" t="s">
        <v>884</v>
      </c>
      <c r="H3996" s="578">
        <v>2019</v>
      </c>
      <c r="I3996" s="697">
        <v>2020</v>
      </c>
      <c r="J3996" s="696">
        <v>2021</v>
      </c>
      <c r="K3996" s="578">
        <v>2022</v>
      </c>
      <c r="L3996" s="578">
        <v>2023</v>
      </c>
      <c r="M3996" s="578">
        <v>2024</v>
      </c>
      <c r="N3996" s="578">
        <v>2025</v>
      </c>
    </row>
    <row r="3997" spans="3:14" ht="25.5">
      <c r="C3997" s="485"/>
      <c r="D3997" s="561" t="s">
        <v>6</v>
      </c>
      <c r="E3997" s="948" t="s">
        <v>650</v>
      </c>
      <c r="F3997" s="948"/>
      <c r="G3997" s="730" t="s">
        <v>2017</v>
      </c>
      <c r="H3997" s="93" t="str">
        <f>IFERROR(IF([1]F_ProductBM!H1291 = "", "", [1]F_ProductBM!H1291 ),"")</f>
        <v/>
      </c>
      <c r="I3997" s="116" t="str">
        <f>IFERROR(IF([1]F_ProductBM!I1291 = "", "", [1]F_ProductBM!I1291 ),"")</f>
        <v/>
      </c>
      <c r="J3997" s="117" t="str">
        <f>IFERROR(IF([1]F_ProductBM!J1291 = "", "", [1]F_ProductBM!J1291 ),"")</f>
        <v/>
      </c>
      <c r="K3997" s="93" t="str">
        <f>IFERROR(IF([1]F_ProductBM!K1291 = "", "", [1]F_ProductBM!K1291 ),"")</f>
        <v/>
      </c>
      <c r="L3997" s="93" t="str">
        <f>IFERROR(IF([1]F_ProductBM!L1291 = "", "", [1]F_ProductBM!L1291 ),"")</f>
        <v/>
      </c>
      <c r="M3997" s="93" t="str">
        <f>IFERROR(IF([1]F_ProductBM!M1291 = "", "", [1]F_ProductBM!M1291 ),"")</f>
        <v/>
      </c>
      <c r="N3997" s="93" t="str">
        <f>IFERROR(IF([1]F_ProductBM!N1291 = "", "", [1]F_ProductBM!N1291 ),"")</f>
        <v/>
      </c>
    </row>
    <row r="3998" spans="3:14" ht="25.5">
      <c r="C3998" s="485"/>
      <c r="D3998" s="561" t="s">
        <v>7</v>
      </c>
      <c r="E3998" s="863" t="s">
        <v>107</v>
      </c>
      <c r="F3998" s="863"/>
      <c r="G3998" s="950" t="s">
        <v>1022</v>
      </c>
      <c r="H3998" s="328" t="str">
        <f>IFERROR(IF([1]F_ProductBM!H1292 = "", "", [1]F_ProductBM!H1292 ),"")</f>
        <v/>
      </c>
      <c r="I3998" s="329" t="str">
        <f>IFERROR(IF([1]F_ProductBM!I1292 = "", "", [1]F_ProductBM!I1292 ),"")</f>
        <v/>
      </c>
      <c r="J3998" s="330" t="str">
        <f>IFERROR(IF([1]F_ProductBM!J1292 = "", "", [1]F_ProductBM!J1292 ),"")</f>
        <v/>
      </c>
      <c r="K3998" s="328" t="str">
        <f>IFERROR(IF([1]F_ProductBM!K1292 = "", "", [1]F_ProductBM!K1292 ),"")</f>
        <v/>
      </c>
      <c r="L3998" s="328" t="str">
        <f>IFERROR(IF([1]F_ProductBM!L1292 = "", "", [1]F_ProductBM!L1292 ),"")</f>
        <v/>
      </c>
      <c r="M3998" s="328" t="str">
        <f>IFERROR(IF([1]F_ProductBM!M1292 = "", "", [1]F_ProductBM!M1292 ),"")</f>
        <v/>
      </c>
      <c r="N3998" s="328" t="str">
        <f>IFERROR(IF([1]F_ProductBM!N1292 = "", "", [1]F_ProductBM!N1292 ),"")</f>
        <v/>
      </c>
    </row>
    <row r="3999" spans="3:14" ht="25.5">
      <c r="C3999" s="485"/>
      <c r="D3999" s="561" t="s">
        <v>8</v>
      </c>
      <c r="E3999" s="571" t="s">
        <v>1548</v>
      </c>
      <c r="F3999" s="571"/>
      <c r="G3999" s="951" t="s">
        <v>1022</v>
      </c>
      <c r="H3999" s="331" t="str">
        <f>IFERROR(IF([1]F_ProductBM!H1293 = "", "", [1]F_ProductBM!H1293 ),"")</f>
        <v/>
      </c>
      <c r="I3999" s="332" t="str">
        <f>IFERROR(IF([1]F_ProductBM!I1293 = "", "", [1]F_ProductBM!I1293 ),"")</f>
        <v/>
      </c>
      <c r="J3999" s="333" t="str">
        <f>IFERROR(IF([1]F_ProductBM!J1293 = "", "", [1]F_ProductBM!J1293 ),"")</f>
        <v/>
      </c>
      <c r="K3999" s="331" t="str">
        <f>IFERROR(IF([1]F_ProductBM!K1293 = "", "", [1]F_ProductBM!K1293 ),"")</f>
        <v/>
      </c>
      <c r="L3999" s="331" t="str">
        <f>IFERROR(IF([1]F_ProductBM!L1293 = "", "", [1]F_ProductBM!L1293 ),"")</f>
        <v/>
      </c>
      <c r="M3999" s="331" t="str">
        <f>IFERROR(IF([1]F_ProductBM!M1293 = "", "", [1]F_ProductBM!M1293 ),"")</f>
        <v/>
      </c>
      <c r="N3999" s="331" t="str">
        <f>IFERROR(IF([1]F_ProductBM!N1293 = "", "", [1]F_ProductBM!N1293 ),"")</f>
        <v/>
      </c>
    </row>
    <row r="4000" spans="3:14">
      <c r="C4000" s="485"/>
      <c r="D4000" s="485"/>
      <c r="E4000" s="485"/>
      <c r="F4000" s="485"/>
      <c r="G4000" s="485"/>
      <c r="H4000" s="485"/>
      <c r="I4000" s="952"/>
      <c r="J4000" s="485"/>
      <c r="K4000" s="485"/>
      <c r="L4000" s="485"/>
      <c r="M4000" s="485"/>
      <c r="N4000" s="485"/>
    </row>
    <row r="4001" spans="3:14" ht="24.95" customHeight="1" thickBot="1">
      <c r="C4001" s="479"/>
      <c r="D4001" s="485"/>
      <c r="E4001" s="2465" t="s">
        <v>2709</v>
      </c>
      <c r="F4001" s="2400"/>
      <c r="G4001" s="2400"/>
      <c r="H4001" s="2400"/>
      <c r="I4001" s="2400"/>
      <c r="J4001" s="2400"/>
      <c r="K4001" s="2400"/>
      <c r="L4001" s="2400"/>
      <c r="M4001" s="2400"/>
      <c r="N4001" s="2400"/>
    </row>
    <row r="4002" spans="3:14">
      <c r="C4002" s="479"/>
      <c r="D4002" s="902"/>
      <c r="E4002" s="904"/>
      <c r="F4002" s="953"/>
      <c r="G4002" s="953"/>
      <c r="H4002" s="953"/>
      <c r="I4002" s="953"/>
      <c r="J4002" s="953"/>
      <c r="K4002" s="953"/>
      <c r="L4002" s="953"/>
      <c r="M4002" s="953"/>
      <c r="N4002" s="954"/>
    </row>
    <row r="4003" spans="3:14">
      <c r="C4003" s="479"/>
      <c r="D4003" s="907" t="s">
        <v>1916</v>
      </c>
      <c r="E4003" s="908" t="s">
        <v>1774</v>
      </c>
      <c r="F4003" s="909"/>
      <c r="G4003" s="909"/>
      <c r="H4003" s="910" t="s">
        <v>884</v>
      </c>
      <c r="I4003" s="911" t="s">
        <v>2220</v>
      </c>
      <c r="J4003" s="912">
        <v>2021</v>
      </c>
      <c r="K4003" s="913">
        <v>2022</v>
      </c>
      <c r="L4003" s="913">
        <v>2023</v>
      </c>
      <c r="M4003" s="913">
        <v>2024</v>
      </c>
      <c r="N4003" s="914">
        <v>2025</v>
      </c>
    </row>
    <row r="4004" spans="3:14">
      <c r="C4004" s="479"/>
      <c r="D4004" s="915" t="s">
        <v>6</v>
      </c>
      <c r="E4004" s="916" t="s">
        <v>1691</v>
      </c>
      <c r="F4004" s="916"/>
      <c r="G4004" s="916"/>
      <c r="H4004" s="944" t="s">
        <v>471</v>
      </c>
      <c r="I4004" s="281" t="str">
        <f>IFERROR(IF([1]F_ProductBM!I1298 = "", "", [1]F_ProductBM!I1298 ),"")</f>
        <v/>
      </c>
      <c r="J4004" s="334" t="str">
        <f>IFERROR(IF([1]F_ProductBM!J1298 = "", "", [1]F_ProductBM!J1298 ),"")</f>
        <v/>
      </c>
      <c r="K4004" s="335" t="str">
        <f>IFERROR(IF([1]F_ProductBM!K1298 = "", "", [1]F_ProductBM!K1298 ),"")</f>
        <v/>
      </c>
      <c r="L4004" s="335" t="str">
        <f>IFERROR(IF([1]F_ProductBM!L1298 = "", "", [1]F_ProductBM!L1298 ),"")</f>
        <v/>
      </c>
      <c r="M4004" s="335" t="str">
        <f>IFERROR(IF([1]F_ProductBM!M1298 = "", "", [1]F_ProductBM!M1298 ),"")</f>
        <v/>
      </c>
      <c r="N4004" s="336" t="str">
        <f>IFERROR(IF([1]F_ProductBM!N1298 = "", "", [1]F_ProductBM!N1298 ),"")</f>
        <v/>
      </c>
    </row>
    <row r="4005" spans="3:14">
      <c r="C4005" s="479"/>
      <c r="D4005" s="915"/>
      <c r="E4005" s="916" t="s">
        <v>1776</v>
      </c>
      <c r="F4005" s="916"/>
      <c r="G4005" s="916"/>
      <c r="H4005" s="921"/>
      <c r="I4005" s="916"/>
      <c r="J4005" s="319" t="str">
        <f>IFERROR(IF([1]F_ProductBM!J1299 = "", "", [1]F_ProductBM!J1299 ),"")</f>
        <v/>
      </c>
      <c r="K4005" s="320" t="str">
        <f>IFERROR(IF([1]F_ProductBM!K1299 = "", "", [1]F_ProductBM!K1299 ),"")</f>
        <v/>
      </c>
      <c r="L4005" s="320" t="str">
        <f>IFERROR(IF([1]F_ProductBM!L1299 = "", "", [1]F_ProductBM!L1299 ),"")</f>
        <v/>
      </c>
      <c r="M4005" s="320" t="str">
        <f>IFERROR(IF([1]F_ProductBM!M1299 = "", "", [1]F_ProductBM!M1299 ),"")</f>
        <v/>
      </c>
      <c r="N4005" s="321" t="str">
        <f>IFERROR(IF([1]F_ProductBM!N1299 = "", "", [1]F_ProductBM!N1299 ),"")</f>
        <v/>
      </c>
    </row>
    <row r="4006" spans="3:14">
      <c r="C4006" s="479"/>
      <c r="D4006" s="915" t="s">
        <v>7</v>
      </c>
      <c r="E4006" s="916" t="s">
        <v>1654</v>
      </c>
      <c r="F4006" s="916"/>
      <c r="G4006" s="916"/>
      <c r="H4006" s="921"/>
      <c r="I4006" s="916"/>
      <c r="J4006" s="288" t="str">
        <f>IFERROR(IF([1]F_ProductBM!J1300 = "", "", [1]F_ProductBM!J1300 ),"")</f>
        <v/>
      </c>
      <c r="K4006" s="289" t="str">
        <f>IFERROR(IF([1]F_ProductBM!K1300 = "", "", [1]F_ProductBM!K1300 ),"")</f>
        <v/>
      </c>
      <c r="L4006" s="289" t="str">
        <f>IFERROR(IF([1]F_ProductBM!L1300 = "", "", [1]F_ProductBM!L1300 ),"")</f>
        <v/>
      </c>
      <c r="M4006" s="289" t="str">
        <f>IFERROR(IF([1]F_ProductBM!M1300 = "", "", [1]F_ProductBM!M1300 ),"")</f>
        <v/>
      </c>
      <c r="N4006" s="290" t="str">
        <f>IFERROR(IF([1]F_ProductBM!N1300 = "", "", [1]F_ProductBM!N1300 ),"")</f>
        <v/>
      </c>
    </row>
    <row r="4007" spans="3:14">
      <c r="C4007" s="479"/>
      <c r="D4007" s="915"/>
      <c r="E4007" s="916" t="s">
        <v>1689</v>
      </c>
      <c r="F4007" s="916"/>
      <c r="G4007" s="916"/>
      <c r="H4007" s="944" t="s">
        <v>471</v>
      </c>
      <c r="I4007" s="281" t="str">
        <f>IFERROR(IF([1]F_ProductBM!I1301 = "", "", [1]F_ProductBM!I1301 ),"")</f>
        <v/>
      </c>
      <c r="J4007" s="282" t="str">
        <f>IFERROR(IF([1]F_ProductBM!J1301 = "", "", [1]F_ProductBM!J1301 ),"")</f>
        <v/>
      </c>
      <c r="K4007" s="283" t="str">
        <f>IFERROR(IF([1]F_ProductBM!K1301 = "", "", [1]F_ProductBM!K1301 ),"")</f>
        <v/>
      </c>
      <c r="L4007" s="283" t="str">
        <f>IFERROR(IF([1]F_ProductBM!L1301 = "", "", [1]F_ProductBM!L1301 ),"")</f>
        <v/>
      </c>
      <c r="M4007" s="283" t="str">
        <f>IFERROR(IF([1]F_ProductBM!M1301 = "", "", [1]F_ProductBM!M1301 ),"")</f>
        <v/>
      </c>
      <c r="N4007" s="284" t="str">
        <f>IFERROR(IF([1]F_ProductBM!N1301 = "", "", [1]F_ProductBM!N1301 ),"")</f>
        <v/>
      </c>
    </row>
    <row r="4008" spans="3:14">
      <c r="C4008" s="479"/>
      <c r="D4008" s="915"/>
      <c r="E4008" s="909"/>
      <c r="F4008" s="909"/>
      <c r="G4008" s="909"/>
      <c r="H4008" s="909"/>
      <c r="I4008" s="909"/>
      <c r="J4008" s="909"/>
      <c r="K4008" s="909"/>
      <c r="L4008" s="909"/>
      <c r="M4008" s="909"/>
      <c r="N4008" s="922"/>
    </row>
    <row r="4009" spans="3:14">
      <c r="C4009" s="479"/>
      <c r="D4009" s="915"/>
      <c r="E4009" s="923" t="s">
        <v>1653</v>
      </c>
      <c r="F4009" s="923"/>
      <c r="G4009" s="923"/>
      <c r="H4009" s="923"/>
      <c r="I4009" s="923"/>
      <c r="J4009" s="912">
        <v>2021</v>
      </c>
      <c r="K4009" s="913">
        <v>2022</v>
      </c>
      <c r="L4009" s="913">
        <v>2023</v>
      </c>
      <c r="M4009" s="913">
        <v>2024</v>
      </c>
      <c r="N4009" s="914">
        <v>2025</v>
      </c>
    </row>
    <row r="4010" spans="3:14">
      <c r="C4010" s="479"/>
      <c r="D4010" s="915" t="s">
        <v>8</v>
      </c>
      <c r="E4010" s="916" t="s">
        <v>2108</v>
      </c>
      <c r="F4010" s="916"/>
      <c r="G4010" s="916"/>
      <c r="H4010" s="916"/>
      <c r="I4010" s="916"/>
      <c r="J4010" s="69" t="str">
        <f>IFERROR(IF([1]F_ProductBM!J1304 = "", "", [1]F_ProductBM!J1304 ),"")</f>
        <v/>
      </c>
      <c r="K4010" s="62" t="str">
        <f>IFERROR(IF([1]F_ProductBM!K1304 = "", "", [1]F_ProductBM!K1304 ),"")</f>
        <v/>
      </c>
      <c r="L4010" s="62" t="str">
        <f>IFERROR(IF([1]F_ProductBM!L1304 = "", "", [1]F_ProductBM!L1304 ),"")</f>
        <v/>
      </c>
      <c r="M4010" s="62" t="str">
        <f>IFERROR(IF([1]F_ProductBM!M1304 = "", "", [1]F_ProductBM!M1304 ),"")</f>
        <v/>
      </c>
      <c r="N4010" s="70" t="str">
        <f>IFERROR(IF([1]F_ProductBM!N1304 = "", "", [1]F_ProductBM!N1304 ),"")</f>
        <v/>
      </c>
    </row>
    <row r="4011" spans="3:14" ht="13.5" thickBot="1">
      <c r="C4011" s="479"/>
      <c r="D4011" s="915"/>
      <c r="E4011" s="909"/>
      <c r="F4011" s="909"/>
      <c r="G4011" s="909"/>
      <c r="H4011" s="909"/>
      <c r="I4011" s="909"/>
      <c r="J4011" s="909"/>
      <c r="K4011" s="909"/>
      <c r="L4011" s="909"/>
      <c r="M4011" s="909"/>
      <c r="N4011" s="922"/>
    </row>
    <row r="4012" spans="3:14" ht="13.5" thickBot="1">
      <c r="C4012" s="479"/>
      <c r="D4012" s="915" t="s">
        <v>18</v>
      </c>
      <c r="E4012" s="916" t="s">
        <v>1657</v>
      </c>
      <c r="F4012" s="916"/>
      <c r="G4012" s="916"/>
      <c r="H4012" s="921"/>
      <c r="I4012" s="916"/>
      <c r="J4012" s="291" t="str">
        <f>IFERROR(IF([1]F_ProductBM!J1306 = "", "", [1]F_ProductBM!J1306 ),"")</f>
        <v/>
      </c>
      <c r="K4012" s="292" t="str">
        <f>IFERROR(IF([1]F_ProductBM!K1306 = "", "", [1]F_ProductBM!K1306 ),"")</f>
        <v/>
      </c>
      <c r="L4012" s="292" t="str">
        <f>IFERROR(IF([1]F_ProductBM!L1306 = "", "", [1]F_ProductBM!L1306 ),"")</f>
        <v/>
      </c>
      <c r="M4012" s="292" t="str">
        <f>IFERROR(IF([1]F_ProductBM!M1306 = "", "", [1]F_ProductBM!M1306 ),"")</f>
        <v/>
      </c>
      <c r="N4012" s="293" t="str">
        <f>IFERROR(IF([1]F_ProductBM!N1306 = "", "", [1]F_ProductBM!N1306 ),"")</f>
        <v/>
      </c>
    </row>
    <row r="4013" spans="3:14" ht="13.5" thickBot="1">
      <c r="C4013" s="479"/>
      <c r="D4013" s="915" t="s">
        <v>787</v>
      </c>
      <c r="E4013" s="916" t="s">
        <v>1659</v>
      </c>
      <c r="F4013" s="916"/>
      <c r="G4013" s="916"/>
      <c r="H4013" s="944" t="s">
        <v>471</v>
      </c>
      <c r="I4013" s="281" t="str">
        <f>IFERROR(IF([1]F_ProductBM!I1307 = "", "", [1]F_ProductBM!I1307 ),"")</f>
        <v/>
      </c>
      <c r="J4013" s="294" t="str">
        <f>IFERROR(IF([1]F_ProductBM!J1307 = "", "", [1]F_ProductBM!J1307 ),"")</f>
        <v/>
      </c>
      <c r="K4013" s="295" t="str">
        <f>IFERROR(IF([1]F_ProductBM!K1307 = "", "", [1]F_ProductBM!K1307 ),"")</f>
        <v/>
      </c>
      <c r="L4013" s="295" t="str">
        <f>IFERROR(IF([1]F_ProductBM!L1307 = "", "", [1]F_ProductBM!L1307 ),"")</f>
        <v/>
      </c>
      <c r="M4013" s="295" t="str">
        <f>IFERROR(IF([1]F_ProductBM!M1307 = "", "", [1]F_ProductBM!M1307 ),"")</f>
        <v/>
      </c>
      <c r="N4013" s="296" t="str">
        <f>IFERROR(IF([1]F_ProductBM!N1307 = "", "", [1]F_ProductBM!N1307 ),"")</f>
        <v/>
      </c>
    </row>
    <row r="4014" spans="3:14" ht="13.5" thickBot="1">
      <c r="C4014" s="485"/>
      <c r="D4014" s="924"/>
      <c r="E4014" s="925"/>
      <c r="F4014" s="925"/>
      <c r="G4014" s="925"/>
      <c r="H4014" s="925"/>
      <c r="I4014" s="955"/>
      <c r="J4014" s="925"/>
      <c r="K4014" s="925"/>
      <c r="L4014" s="925"/>
      <c r="M4014" s="925"/>
      <c r="N4014" s="926"/>
    </row>
    <row r="4015" spans="3:14">
      <c r="C4015" s="485"/>
      <c r="D4015" s="485"/>
      <c r="E4015" s="485"/>
      <c r="F4015" s="485"/>
      <c r="G4015" s="485"/>
      <c r="H4015" s="485"/>
      <c r="I4015" s="952"/>
      <c r="J4015" s="485"/>
      <c r="K4015" s="485"/>
      <c r="L4015" s="485"/>
      <c r="M4015" s="485"/>
      <c r="N4015" s="485"/>
    </row>
    <row r="4016" spans="3:14" ht="15">
      <c r="C4016" s="856"/>
      <c r="D4016" s="2482" t="s">
        <v>103</v>
      </c>
      <c r="E4016" s="2400"/>
      <c r="F4016" s="2400"/>
      <c r="G4016" s="2400"/>
      <c r="H4016" s="2400"/>
      <c r="I4016" s="2400"/>
      <c r="J4016" s="2400"/>
      <c r="K4016" s="2400"/>
      <c r="L4016" s="2400"/>
      <c r="M4016" s="2400"/>
      <c r="N4016" s="2400"/>
    </row>
    <row r="4017" spans="3:14">
      <c r="C4017" s="479"/>
      <c r="D4017" s="479"/>
      <c r="E4017" s="479"/>
      <c r="F4017" s="479"/>
      <c r="G4017" s="479"/>
      <c r="H4017" s="479"/>
      <c r="I4017" s="479"/>
      <c r="J4017" s="479"/>
      <c r="K4017" s="479"/>
      <c r="L4017" s="479"/>
      <c r="M4017" s="479"/>
      <c r="N4017" s="479"/>
    </row>
    <row r="4018" spans="3:14">
      <c r="C4018" s="482"/>
      <c r="D4018" s="482" t="s">
        <v>57</v>
      </c>
      <c r="E4018" s="2373" t="s">
        <v>108</v>
      </c>
      <c r="F4018" s="2400"/>
      <c r="G4018" s="2400"/>
      <c r="H4018" s="2400"/>
      <c r="I4018" s="2400"/>
      <c r="J4018" s="2400"/>
      <c r="K4018" s="2400"/>
      <c r="L4018" s="2400"/>
      <c r="M4018" s="2400"/>
      <c r="N4018" s="2400"/>
    </row>
    <row r="4019" spans="3:14">
      <c r="C4019" s="485"/>
      <c r="D4019" s="485"/>
      <c r="E4019" s="2465" t="s">
        <v>1935</v>
      </c>
      <c r="F4019" s="2400"/>
      <c r="G4019" s="2400"/>
      <c r="H4019" s="2400"/>
      <c r="I4019" s="2400"/>
      <c r="J4019" s="2400"/>
      <c r="K4019" s="2400"/>
      <c r="L4019" s="2400"/>
      <c r="M4019" s="2400"/>
      <c r="N4019" s="2400"/>
    </row>
    <row r="4020" spans="3:14">
      <c r="C4020" s="485"/>
      <c r="D4020" s="485"/>
      <c r="E4020" s="2465" t="s">
        <v>1636</v>
      </c>
      <c r="F4020" s="2400"/>
      <c r="G4020" s="2400"/>
      <c r="H4020" s="2400"/>
      <c r="I4020" s="2400"/>
      <c r="J4020" s="2400"/>
      <c r="K4020" s="2400"/>
      <c r="L4020" s="2400"/>
      <c r="M4020" s="2400"/>
      <c r="N4020" s="2400"/>
    </row>
    <row r="4021" spans="3:14">
      <c r="C4021" s="485"/>
      <c r="D4021" s="485"/>
      <c r="E4021" s="2465" t="s">
        <v>2119</v>
      </c>
      <c r="F4021" s="2400"/>
      <c r="G4021" s="2400"/>
      <c r="H4021" s="2400"/>
      <c r="I4021" s="2400"/>
      <c r="J4021" s="2400"/>
      <c r="K4021" s="2400"/>
      <c r="L4021" s="2400"/>
      <c r="M4021" s="2400"/>
      <c r="N4021" s="2400"/>
    </row>
    <row r="4022" spans="3:14">
      <c r="C4022" s="485"/>
      <c r="D4022" s="485"/>
      <c r="E4022" s="2677" t="s">
        <v>2120</v>
      </c>
      <c r="F4022" s="2364"/>
      <c r="G4022" s="2364"/>
      <c r="H4022" s="2364"/>
      <c r="I4022" s="2364"/>
      <c r="J4022" s="2364"/>
      <c r="K4022" s="2364"/>
      <c r="L4022" s="2364"/>
      <c r="M4022" s="2364"/>
      <c r="N4022" s="2364"/>
    </row>
    <row r="4023" spans="3:14">
      <c r="C4023" s="479"/>
      <c r="D4023" s="479"/>
      <c r="E4023" s="479"/>
      <c r="F4023" s="479"/>
      <c r="G4023" s="479"/>
      <c r="H4023" s="479"/>
      <c r="I4023" s="479"/>
      <c r="J4023" s="479"/>
      <c r="K4023" s="479"/>
      <c r="L4023" s="479"/>
      <c r="M4023" s="479"/>
      <c r="N4023" s="479"/>
    </row>
    <row r="4024" spans="3:14">
      <c r="C4024" s="482"/>
      <c r="D4024" s="482" t="s">
        <v>58</v>
      </c>
      <c r="E4024" s="2373" t="s">
        <v>1013</v>
      </c>
      <c r="F4024" s="2400"/>
      <c r="G4024" s="2400"/>
      <c r="H4024" s="2400"/>
      <c r="I4024" s="2400"/>
      <c r="J4024" s="2400"/>
      <c r="K4024" s="2400"/>
      <c r="L4024" s="2400"/>
      <c r="M4024" s="2400"/>
      <c r="N4024" s="2400"/>
    </row>
    <row r="4025" spans="3:14">
      <c r="C4025" s="479"/>
      <c r="D4025" s="485"/>
      <c r="E4025" s="617"/>
      <c r="F4025" s="617"/>
      <c r="G4025" s="617"/>
      <c r="H4025" s="617"/>
      <c r="I4025" s="617"/>
      <c r="J4025" s="468"/>
      <c r="K4025" s="468"/>
      <c r="L4025" s="468"/>
      <c r="M4025" s="485"/>
      <c r="N4025" s="485"/>
    </row>
    <row r="4026" spans="3:14" ht="51">
      <c r="C4026" s="485"/>
      <c r="D4026" s="956"/>
      <c r="E4026" s="957" t="s">
        <v>2112</v>
      </c>
      <c r="F4026" s="958" t="s">
        <v>949</v>
      </c>
      <c r="G4026" s="959" t="s">
        <v>884</v>
      </c>
      <c r="H4026" s="578">
        <v>2019</v>
      </c>
      <c r="I4026" s="697">
        <v>2020</v>
      </c>
      <c r="J4026" s="696">
        <v>2021</v>
      </c>
      <c r="K4026" s="578">
        <v>2022</v>
      </c>
      <c r="L4026" s="578">
        <v>2023</v>
      </c>
      <c r="M4026" s="578">
        <v>2024</v>
      </c>
      <c r="N4026" s="578">
        <v>2025</v>
      </c>
    </row>
    <row r="4027" spans="3:14">
      <c r="C4027" s="485"/>
      <c r="D4027" s="579">
        <v>1</v>
      </c>
      <c r="E4027" s="375" t="str">
        <f>IFERROR(IF([1]F_ProductBM!E1321 = "", "", [1]F_ProductBM!E1321 ),"")</f>
        <v/>
      </c>
      <c r="F4027" s="337" t="str">
        <f>IFERROR(IF([1]F_ProductBM!F1321 = "", "", [1]F_ProductBM!F1321 ),"")</f>
        <v/>
      </c>
      <c r="G4027" s="71" t="str">
        <f>IFERROR(IF([1]F_ProductBM!G1321 = "", "", [1]F_ProductBM!G1321 ),"")</f>
        <v/>
      </c>
      <c r="H4027" s="94" t="str">
        <f>IFERROR(IF([1]F_ProductBM!H1321 = "", "", [1]F_ProductBM!H1321 ),"")</f>
        <v/>
      </c>
      <c r="I4027" s="110" t="str">
        <f>IFERROR(IF([1]F_ProductBM!I1321 = "", "", [1]F_ProductBM!I1321 ),"")</f>
        <v/>
      </c>
      <c r="J4027" s="111" t="str">
        <f>IFERROR(IF([1]F_ProductBM!J1321 = "", "", [1]F_ProductBM!J1321 ),"")</f>
        <v/>
      </c>
      <c r="K4027" s="94" t="str">
        <f>IFERROR(IF([1]F_ProductBM!K1321 = "", "", [1]F_ProductBM!K1321 ),"")</f>
        <v/>
      </c>
      <c r="L4027" s="94" t="str">
        <f>IFERROR(IF([1]F_ProductBM!L1321 = "", "", [1]F_ProductBM!L1321 ),"")</f>
        <v/>
      </c>
      <c r="M4027" s="94" t="str">
        <f>IFERROR(IF([1]F_ProductBM!M1321 = "", "", [1]F_ProductBM!M1321 ),"")</f>
        <v/>
      </c>
      <c r="N4027" s="94" t="str">
        <f>IFERROR(IF([1]F_ProductBM!N1321 = "", "", [1]F_ProductBM!N1321 ),"")</f>
        <v/>
      </c>
    </row>
    <row r="4028" spans="3:14">
      <c r="C4028" s="485"/>
      <c r="D4028" s="582">
        <v>2</v>
      </c>
      <c r="E4028" s="376" t="str">
        <f>IFERROR(IF([1]F_ProductBM!E1322 = "", "", [1]F_ProductBM!E1322 ),"")</f>
        <v/>
      </c>
      <c r="F4028" s="338" t="str">
        <f>IFERROR(IF([1]F_ProductBM!F1322 = "", "", [1]F_ProductBM!F1322 ),"")</f>
        <v/>
      </c>
      <c r="G4028" s="72" t="str">
        <f>IFERROR(IF([1]F_ProductBM!G1322 = "", "", [1]F_ProductBM!G1322 ),"")</f>
        <v/>
      </c>
      <c r="H4028" s="101" t="str">
        <f>IFERROR(IF([1]F_ProductBM!H1322 = "", "", [1]F_ProductBM!H1322 ),"")</f>
        <v/>
      </c>
      <c r="I4028" s="361" t="str">
        <f>IFERROR(IF([1]F_ProductBM!I1322 = "", "", [1]F_ProductBM!I1322 ),"")</f>
        <v/>
      </c>
      <c r="J4028" s="362" t="str">
        <f>IFERROR(IF([1]F_ProductBM!J1322 = "", "", [1]F_ProductBM!J1322 ),"")</f>
        <v/>
      </c>
      <c r="K4028" s="101" t="str">
        <f>IFERROR(IF([1]F_ProductBM!K1322 = "", "", [1]F_ProductBM!K1322 ),"")</f>
        <v/>
      </c>
      <c r="L4028" s="101" t="str">
        <f>IFERROR(IF([1]F_ProductBM!L1322 = "", "", [1]F_ProductBM!L1322 ),"")</f>
        <v/>
      </c>
      <c r="M4028" s="101" t="str">
        <f>IFERROR(IF([1]F_ProductBM!M1322 = "", "", [1]F_ProductBM!M1322 ),"")</f>
        <v/>
      </c>
      <c r="N4028" s="101" t="str">
        <f>IFERROR(IF([1]F_ProductBM!N1322 = "", "", [1]F_ProductBM!N1322 ),"")</f>
        <v/>
      </c>
    </row>
    <row r="4029" spans="3:14">
      <c r="C4029" s="485"/>
      <c r="D4029" s="582">
        <v>3</v>
      </c>
      <c r="E4029" s="376" t="str">
        <f>IFERROR(IF([1]F_ProductBM!E1323 = "", "", [1]F_ProductBM!E1323 ),"")</f>
        <v/>
      </c>
      <c r="F4029" s="338" t="str">
        <f>IFERROR(IF([1]F_ProductBM!F1323 = "", "", [1]F_ProductBM!F1323 ),"")</f>
        <v/>
      </c>
      <c r="G4029" s="72" t="str">
        <f>IFERROR(IF([1]F_ProductBM!G1323 = "", "", [1]F_ProductBM!G1323 ),"")</f>
        <v/>
      </c>
      <c r="H4029" s="101" t="str">
        <f>IFERROR(IF([1]F_ProductBM!H1323 = "", "", [1]F_ProductBM!H1323 ),"")</f>
        <v/>
      </c>
      <c r="I4029" s="361" t="str">
        <f>IFERROR(IF([1]F_ProductBM!I1323 = "", "", [1]F_ProductBM!I1323 ),"")</f>
        <v/>
      </c>
      <c r="J4029" s="362" t="str">
        <f>IFERROR(IF([1]F_ProductBM!J1323 = "", "", [1]F_ProductBM!J1323 ),"")</f>
        <v/>
      </c>
      <c r="K4029" s="101" t="str">
        <f>IFERROR(IF([1]F_ProductBM!K1323 = "", "", [1]F_ProductBM!K1323 ),"")</f>
        <v/>
      </c>
      <c r="L4029" s="101" t="str">
        <f>IFERROR(IF([1]F_ProductBM!L1323 = "", "", [1]F_ProductBM!L1323 ),"")</f>
        <v/>
      </c>
      <c r="M4029" s="101" t="str">
        <f>IFERROR(IF([1]F_ProductBM!M1323 = "", "", [1]F_ProductBM!M1323 ),"")</f>
        <v/>
      </c>
      <c r="N4029" s="101" t="str">
        <f>IFERROR(IF([1]F_ProductBM!N1323 = "", "", [1]F_ProductBM!N1323 ),"")</f>
        <v/>
      </c>
    </row>
    <row r="4030" spans="3:14">
      <c r="C4030" s="485"/>
      <c r="D4030" s="582">
        <v>4</v>
      </c>
      <c r="E4030" s="376" t="str">
        <f>IFERROR(IF([1]F_ProductBM!E1324 = "", "", [1]F_ProductBM!E1324 ),"")</f>
        <v/>
      </c>
      <c r="F4030" s="338" t="str">
        <f>IFERROR(IF([1]F_ProductBM!F1324 = "", "", [1]F_ProductBM!F1324 ),"")</f>
        <v/>
      </c>
      <c r="G4030" s="72" t="str">
        <f>IFERROR(IF([1]F_ProductBM!G1324 = "", "", [1]F_ProductBM!G1324 ),"")</f>
        <v/>
      </c>
      <c r="H4030" s="101" t="str">
        <f>IFERROR(IF([1]F_ProductBM!H1324 = "", "", [1]F_ProductBM!H1324 ),"")</f>
        <v/>
      </c>
      <c r="I4030" s="361" t="str">
        <f>IFERROR(IF([1]F_ProductBM!I1324 = "", "", [1]F_ProductBM!I1324 ),"")</f>
        <v/>
      </c>
      <c r="J4030" s="362" t="str">
        <f>IFERROR(IF([1]F_ProductBM!J1324 = "", "", [1]F_ProductBM!J1324 ),"")</f>
        <v/>
      </c>
      <c r="K4030" s="101" t="str">
        <f>IFERROR(IF([1]F_ProductBM!K1324 = "", "", [1]F_ProductBM!K1324 ),"")</f>
        <v/>
      </c>
      <c r="L4030" s="101" t="str">
        <f>IFERROR(IF([1]F_ProductBM!L1324 = "", "", [1]F_ProductBM!L1324 ),"")</f>
        <v/>
      </c>
      <c r="M4030" s="101" t="str">
        <f>IFERROR(IF([1]F_ProductBM!M1324 = "", "", [1]F_ProductBM!M1324 ),"")</f>
        <v/>
      </c>
      <c r="N4030" s="101" t="str">
        <f>IFERROR(IF([1]F_ProductBM!N1324 = "", "", [1]F_ProductBM!N1324 ),"")</f>
        <v/>
      </c>
    </row>
    <row r="4031" spans="3:14">
      <c r="C4031" s="485"/>
      <c r="D4031" s="582">
        <v>5</v>
      </c>
      <c r="E4031" s="376" t="str">
        <f>IFERROR(IF([1]F_ProductBM!E1325 = "", "", [1]F_ProductBM!E1325 ),"")</f>
        <v/>
      </c>
      <c r="F4031" s="338" t="str">
        <f>IFERROR(IF([1]F_ProductBM!F1325 = "", "", [1]F_ProductBM!F1325 ),"")</f>
        <v/>
      </c>
      <c r="G4031" s="72" t="str">
        <f>IFERROR(IF([1]F_ProductBM!G1325 = "", "", [1]F_ProductBM!G1325 ),"")</f>
        <v/>
      </c>
      <c r="H4031" s="101" t="str">
        <f>IFERROR(IF([1]F_ProductBM!H1325 = "", "", [1]F_ProductBM!H1325 ),"")</f>
        <v/>
      </c>
      <c r="I4031" s="361" t="str">
        <f>IFERROR(IF([1]F_ProductBM!I1325 = "", "", [1]F_ProductBM!I1325 ),"")</f>
        <v/>
      </c>
      <c r="J4031" s="362" t="str">
        <f>IFERROR(IF([1]F_ProductBM!J1325 = "", "", [1]F_ProductBM!J1325 ),"")</f>
        <v/>
      </c>
      <c r="K4031" s="101" t="str">
        <f>IFERROR(IF([1]F_ProductBM!K1325 = "", "", [1]F_ProductBM!K1325 ),"")</f>
        <v/>
      </c>
      <c r="L4031" s="101" t="str">
        <f>IFERROR(IF([1]F_ProductBM!L1325 = "", "", [1]F_ProductBM!L1325 ),"")</f>
        <v/>
      </c>
      <c r="M4031" s="101" t="str">
        <f>IFERROR(IF([1]F_ProductBM!M1325 = "", "", [1]F_ProductBM!M1325 ),"")</f>
        <v/>
      </c>
      <c r="N4031" s="101" t="str">
        <f>IFERROR(IF([1]F_ProductBM!N1325 = "", "", [1]F_ProductBM!N1325 ),"")</f>
        <v/>
      </c>
    </row>
    <row r="4032" spans="3:14">
      <c r="C4032" s="485"/>
      <c r="D4032" s="582">
        <v>6</v>
      </c>
      <c r="E4032" s="376" t="str">
        <f>IFERROR(IF([1]F_ProductBM!E1326 = "", "", [1]F_ProductBM!E1326 ),"")</f>
        <v/>
      </c>
      <c r="F4032" s="338" t="str">
        <f>IFERROR(IF([1]F_ProductBM!F1326 = "", "", [1]F_ProductBM!F1326 ),"")</f>
        <v/>
      </c>
      <c r="G4032" s="72" t="str">
        <f>IFERROR(IF([1]F_ProductBM!G1326 = "", "", [1]F_ProductBM!G1326 ),"")</f>
        <v/>
      </c>
      <c r="H4032" s="101" t="str">
        <f>IFERROR(IF([1]F_ProductBM!H1326 = "", "", [1]F_ProductBM!H1326 ),"")</f>
        <v/>
      </c>
      <c r="I4032" s="361" t="str">
        <f>IFERROR(IF([1]F_ProductBM!I1326 = "", "", [1]F_ProductBM!I1326 ),"")</f>
        <v/>
      </c>
      <c r="J4032" s="362" t="str">
        <f>IFERROR(IF([1]F_ProductBM!J1326 = "", "", [1]F_ProductBM!J1326 ),"")</f>
        <v/>
      </c>
      <c r="K4032" s="101" t="str">
        <f>IFERROR(IF([1]F_ProductBM!K1326 = "", "", [1]F_ProductBM!K1326 ),"")</f>
        <v/>
      </c>
      <c r="L4032" s="101" t="str">
        <f>IFERROR(IF([1]F_ProductBM!L1326 = "", "", [1]F_ProductBM!L1326 ),"")</f>
        <v/>
      </c>
      <c r="M4032" s="101" t="str">
        <f>IFERROR(IF([1]F_ProductBM!M1326 = "", "", [1]F_ProductBM!M1326 ),"")</f>
        <v/>
      </c>
      <c r="N4032" s="101" t="str">
        <f>IFERROR(IF([1]F_ProductBM!N1326 = "", "", [1]F_ProductBM!N1326 ),"")</f>
        <v/>
      </c>
    </row>
    <row r="4033" spans="3:14">
      <c r="C4033" s="485"/>
      <c r="D4033" s="582">
        <v>7</v>
      </c>
      <c r="E4033" s="376" t="str">
        <f>IFERROR(IF([1]F_ProductBM!E1327 = "", "", [1]F_ProductBM!E1327 ),"")</f>
        <v/>
      </c>
      <c r="F4033" s="338" t="str">
        <f>IFERROR(IF([1]F_ProductBM!F1327 = "", "", [1]F_ProductBM!F1327 ),"")</f>
        <v/>
      </c>
      <c r="G4033" s="72" t="str">
        <f>IFERROR(IF([1]F_ProductBM!G1327 = "", "", [1]F_ProductBM!G1327 ),"")</f>
        <v/>
      </c>
      <c r="H4033" s="101" t="str">
        <f>IFERROR(IF([1]F_ProductBM!H1327 = "", "", [1]F_ProductBM!H1327 ),"")</f>
        <v/>
      </c>
      <c r="I4033" s="361" t="str">
        <f>IFERROR(IF([1]F_ProductBM!I1327 = "", "", [1]F_ProductBM!I1327 ),"")</f>
        <v/>
      </c>
      <c r="J4033" s="362" t="str">
        <f>IFERROR(IF([1]F_ProductBM!J1327 = "", "", [1]F_ProductBM!J1327 ),"")</f>
        <v/>
      </c>
      <c r="K4033" s="101" t="str">
        <f>IFERROR(IF([1]F_ProductBM!K1327 = "", "", [1]F_ProductBM!K1327 ),"")</f>
        <v/>
      </c>
      <c r="L4033" s="101" t="str">
        <f>IFERROR(IF([1]F_ProductBM!L1327 = "", "", [1]F_ProductBM!L1327 ),"")</f>
        <v/>
      </c>
      <c r="M4033" s="101" t="str">
        <f>IFERROR(IF([1]F_ProductBM!M1327 = "", "", [1]F_ProductBM!M1327 ),"")</f>
        <v/>
      </c>
      <c r="N4033" s="101" t="str">
        <f>IFERROR(IF([1]F_ProductBM!N1327 = "", "", [1]F_ProductBM!N1327 ),"")</f>
        <v/>
      </c>
    </row>
    <row r="4034" spans="3:14">
      <c r="C4034" s="485"/>
      <c r="D4034" s="582">
        <v>8</v>
      </c>
      <c r="E4034" s="376" t="str">
        <f>IFERROR(IF([1]F_ProductBM!E1328 = "", "", [1]F_ProductBM!E1328 ),"")</f>
        <v/>
      </c>
      <c r="F4034" s="338" t="str">
        <f>IFERROR(IF([1]F_ProductBM!F1328 = "", "", [1]F_ProductBM!F1328 ),"")</f>
        <v/>
      </c>
      <c r="G4034" s="72" t="str">
        <f>IFERROR(IF([1]F_ProductBM!G1328 = "", "", [1]F_ProductBM!G1328 ),"")</f>
        <v/>
      </c>
      <c r="H4034" s="101" t="str">
        <f>IFERROR(IF([1]F_ProductBM!H1328 = "", "", [1]F_ProductBM!H1328 ),"")</f>
        <v/>
      </c>
      <c r="I4034" s="361" t="str">
        <f>IFERROR(IF([1]F_ProductBM!I1328 = "", "", [1]F_ProductBM!I1328 ),"")</f>
        <v/>
      </c>
      <c r="J4034" s="362" t="str">
        <f>IFERROR(IF([1]F_ProductBM!J1328 = "", "", [1]F_ProductBM!J1328 ),"")</f>
        <v/>
      </c>
      <c r="K4034" s="101" t="str">
        <f>IFERROR(IF([1]F_ProductBM!K1328 = "", "", [1]F_ProductBM!K1328 ),"")</f>
        <v/>
      </c>
      <c r="L4034" s="101" t="str">
        <f>IFERROR(IF([1]F_ProductBM!L1328 = "", "", [1]F_ProductBM!L1328 ),"")</f>
        <v/>
      </c>
      <c r="M4034" s="101" t="str">
        <f>IFERROR(IF([1]F_ProductBM!M1328 = "", "", [1]F_ProductBM!M1328 ),"")</f>
        <v/>
      </c>
      <c r="N4034" s="101" t="str">
        <f>IFERROR(IF([1]F_ProductBM!N1328 = "", "", [1]F_ProductBM!N1328 ),"")</f>
        <v/>
      </c>
    </row>
    <row r="4035" spans="3:14">
      <c r="C4035" s="485"/>
      <c r="D4035" s="582">
        <v>9</v>
      </c>
      <c r="E4035" s="376" t="str">
        <f>IFERROR(IF([1]F_ProductBM!E1329 = "", "", [1]F_ProductBM!E1329 ),"")</f>
        <v/>
      </c>
      <c r="F4035" s="338" t="str">
        <f>IFERROR(IF([1]F_ProductBM!F1329 = "", "", [1]F_ProductBM!F1329 ),"")</f>
        <v/>
      </c>
      <c r="G4035" s="72" t="str">
        <f>IFERROR(IF([1]F_ProductBM!G1329 = "", "", [1]F_ProductBM!G1329 ),"")</f>
        <v/>
      </c>
      <c r="H4035" s="101" t="str">
        <f>IFERROR(IF([1]F_ProductBM!H1329 = "", "", [1]F_ProductBM!H1329 ),"")</f>
        <v/>
      </c>
      <c r="I4035" s="361" t="str">
        <f>IFERROR(IF([1]F_ProductBM!I1329 = "", "", [1]F_ProductBM!I1329 ),"")</f>
        <v/>
      </c>
      <c r="J4035" s="362" t="str">
        <f>IFERROR(IF([1]F_ProductBM!J1329 = "", "", [1]F_ProductBM!J1329 ),"")</f>
        <v/>
      </c>
      <c r="K4035" s="101" t="str">
        <f>IFERROR(IF([1]F_ProductBM!K1329 = "", "", [1]F_ProductBM!K1329 ),"")</f>
        <v/>
      </c>
      <c r="L4035" s="101" t="str">
        <f>IFERROR(IF([1]F_ProductBM!L1329 = "", "", [1]F_ProductBM!L1329 ),"")</f>
        <v/>
      </c>
      <c r="M4035" s="101" t="str">
        <f>IFERROR(IF([1]F_ProductBM!M1329 = "", "", [1]F_ProductBM!M1329 ),"")</f>
        <v/>
      </c>
      <c r="N4035" s="101" t="str">
        <f>IFERROR(IF([1]F_ProductBM!N1329 = "", "", [1]F_ProductBM!N1329 ),"")</f>
        <v/>
      </c>
    </row>
    <row r="4036" spans="3:14">
      <c r="C4036" s="485"/>
      <c r="D4036" s="584">
        <v>10</v>
      </c>
      <c r="E4036" s="377" t="str">
        <f>IFERROR(IF([1]F_ProductBM!E1330 = "", "", [1]F_ProductBM!E1330 ),"")</f>
        <v/>
      </c>
      <c r="F4036" s="339" t="str">
        <f>IFERROR(IF([1]F_ProductBM!F1330 = "", "", [1]F_ProductBM!F1330 ),"")</f>
        <v/>
      </c>
      <c r="G4036" s="73" t="str">
        <f>IFERROR(IF([1]F_ProductBM!G1330 = "", "", [1]F_ProductBM!G1330 ),"")</f>
        <v/>
      </c>
      <c r="H4036" s="95" t="str">
        <f>IFERROR(IF([1]F_ProductBM!H1330 = "", "", [1]F_ProductBM!H1330 ),"")</f>
        <v/>
      </c>
      <c r="I4036" s="113" t="str">
        <f>IFERROR(IF([1]F_ProductBM!I1330 = "", "", [1]F_ProductBM!I1330 ),"")</f>
        <v/>
      </c>
      <c r="J4036" s="114" t="str">
        <f>IFERROR(IF([1]F_ProductBM!J1330 = "", "", [1]F_ProductBM!J1330 ),"")</f>
        <v/>
      </c>
      <c r="K4036" s="95" t="str">
        <f>IFERROR(IF([1]F_ProductBM!K1330 = "", "", [1]F_ProductBM!K1330 ),"")</f>
        <v/>
      </c>
      <c r="L4036" s="95" t="str">
        <f>IFERROR(IF([1]F_ProductBM!L1330 = "", "", [1]F_ProductBM!L1330 ),"")</f>
        <v/>
      </c>
      <c r="M4036" s="95" t="str">
        <f>IFERROR(IF([1]F_ProductBM!M1330 = "", "", [1]F_ProductBM!M1330 ),"")</f>
        <v/>
      </c>
      <c r="N4036" s="95" t="str">
        <f>IFERROR(IF([1]F_ProductBM!N1330 = "", "", [1]F_ProductBM!N1330 ),"")</f>
        <v/>
      </c>
    </row>
    <row r="4037" spans="3:14">
      <c r="C4037" s="485"/>
      <c r="D4037" s="971"/>
      <c r="E4037" s="972" t="s">
        <v>921</v>
      </c>
      <c r="F4037" s="948"/>
      <c r="G4037" s="73" t="str">
        <f>IFERROR(IF([1]F_ProductBM!G1331 = "", "", [1]F_ProductBM!G1331 ),"")</f>
        <v/>
      </c>
      <c r="H4037" s="86" t="str">
        <f>IFERROR(IF([1]F_ProductBM!H1331 = "", "", [1]F_ProductBM!H1331 ),"")</f>
        <v/>
      </c>
      <c r="I4037" s="340" t="str">
        <f>IFERROR(IF([1]F_ProductBM!I1331 = "", "", [1]F_ProductBM!I1331 ),"")</f>
        <v/>
      </c>
      <c r="J4037" s="341" t="str">
        <f>IFERROR(IF([1]F_ProductBM!J1331 = "", "", [1]F_ProductBM!J1331 ),"")</f>
        <v/>
      </c>
      <c r="K4037" s="86" t="str">
        <f>IFERROR(IF([1]F_ProductBM!K1331 = "", "", [1]F_ProductBM!K1331 ),"")</f>
        <v/>
      </c>
      <c r="L4037" s="86" t="str">
        <f>IFERROR(IF([1]F_ProductBM!L1331 = "", "", [1]F_ProductBM!L1331 ),"")</f>
        <v/>
      </c>
      <c r="M4037" s="86" t="str">
        <f>IFERROR(IF([1]F_ProductBM!M1331 = "", "", [1]F_ProductBM!M1331 ),"")</f>
        <v/>
      </c>
      <c r="N4037" s="86" t="str">
        <f>IFERROR(IF([1]F_ProductBM!N1331 = "", "", [1]F_ProductBM!N1331 ),"")</f>
        <v/>
      </c>
    </row>
    <row r="4038" spans="3:14" ht="13.5" thickBot="1">
      <c r="C4038" s="479"/>
      <c r="D4038" s="479"/>
      <c r="E4038" s="479"/>
      <c r="F4038" s="479"/>
      <c r="G4038" s="479"/>
      <c r="H4038" s="479"/>
      <c r="I4038" s="479"/>
      <c r="J4038" s="479"/>
      <c r="K4038" s="479"/>
      <c r="L4038" s="479"/>
      <c r="M4038" s="485"/>
      <c r="N4038" s="485"/>
    </row>
    <row r="4039" spans="3:14">
      <c r="C4039" s="975"/>
      <c r="D4039" s="976"/>
      <c r="E4039" s="976"/>
      <c r="F4039" s="976"/>
      <c r="G4039" s="976"/>
      <c r="H4039" s="976"/>
      <c r="I4039" s="976"/>
      <c r="J4039" s="976"/>
      <c r="K4039" s="976"/>
      <c r="L4039" s="976"/>
      <c r="M4039" s="774"/>
      <c r="N4039" s="775"/>
    </row>
    <row r="4040" spans="3:14">
      <c r="C4040" s="977"/>
      <c r="D4040" s="2678" t="s">
        <v>2330</v>
      </c>
      <c r="E4040" s="2672"/>
      <c r="F4040" s="2672"/>
      <c r="G4040" s="2672"/>
      <c r="H4040" s="2672"/>
      <c r="I4040" s="2672"/>
      <c r="J4040" s="2672"/>
      <c r="K4040" s="2672"/>
      <c r="L4040" s="2672"/>
      <c r="M4040" s="2672"/>
      <c r="N4040" s="2673"/>
    </row>
    <row r="4041" spans="3:14">
      <c r="C4041" s="980"/>
      <c r="D4041" s="813"/>
      <c r="E4041" s="813"/>
      <c r="F4041" s="813"/>
      <c r="G4041" s="813"/>
      <c r="H4041" s="813"/>
      <c r="I4041" s="813"/>
      <c r="J4041" s="813"/>
      <c r="K4041" s="813"/>
      <c r="L4041" s="813"/>
      <c r="M4041" s="813"/>
      <c r="N4041" s="814"/>
    </row>
    <row r="4042" spans="3:14">
      <c r="C4042" s="980"/>
      <c r="D4042" s="2679" t="s">
        <v>2704</v>
      </c>
      <c r="E4042" s="2646"/>
      <c r="F4042" s="2646"/>
      <c r="G4042" s="2646"/>
      <c r="H4042" s="2680"/>
      <c r="I4042" s="2489" t="str">
        <f>IFERROR(IF([1]F_ProductBM!I1336 = "", "", [1]F_ProductBM!I1336 ),"")</f>
        <v/>
      </c>
      <c r="J4042" s="2534"/>
      <c r="K4042" s="2534"/>
      <c r="L4042" s="2534"/>
      <c r="M4042" s="2534"/>
      <c r="N4042" s="2681"/>
    </row>
    <row r="4043" spans="3:14">
      <c r="C4043" s="980"/>
      <c r="D4043" s="813"/>
      <c r="E4043" s="813"/>
      <c r="F4043" s="813"/>
      <c r="G4043" s="813"/>
      <c r="H4043" s="813"/>
      <c r="I4043" s="813"/>
      <c r="J4043" s="813"/>
      <c r="K4043" s="813"/>
      <c r="L4043" s="813"/>
      <c r="M4043" s="813"/>
      <c r="N4043" s="814"/>
    </row>
    <row r="4044" spans="3:14">
      <c r="C4044" s="977"/>
      <c r="D4044" s="981"/>
      <c r="E4044" s="2691" t="s">
        <v>2154</v>
      </c>
      <c r="F4044" s="2691"/>
      <c r="G4044" s="2691"/>
      <c r="H4044" s="2691"/>
      <c r="I4044" s="2691"/>
      <c r="J4044" s="2691"/>
      <c r="K4044" s="2691"/>
      <c r="L4044" s="2691"/>
      <c r="M4044" s="2691"/>
      <c r="N4044" s="2692"/>
    </row>
    <row r="4045" spans="3:14">
      <c r="C4045" s="977"/>
      <c r="D4045" s="981"/>
      <c r="E4045" s="2691" t="s">
        <v>2176</v>
      </c>
      <c r="F4045" s="2691"/>
      <c r="G4045" s="2691"/>
      <c r="H4045" s="2691"/>
      <c r="I4045" s="2691"/>
      <c r="J4045" s="2691"/>
      <c r="K4045" s="2691"/>
      <c r="L4045" s="2691"/>
      <c r="M4045" s="2691"/>
      <c r="N4045" s="2650"/>
    </row>
    <row r="4046" spans="3:14">
      <c r="C4046" s="977"/>
      <c r="D4046" s="981"/>
      <c r="E4046" s="2691" t="s">
        <v>1549</v>
      </c>
      <c r="F4046" s="2391"/>
      <c r="G4046" s="2391"/>
      <c r="H4046" s="2391"/>
      <c r="I4046" s="2391"/>
      <c r="J4046" s="2391"/>
      <c r="K4046" s="2391"/>
      <c r="L4046" s="2391"/>
      <c r="M4046" s="2391"/>
      <c r="N4046" s="2650"/>
    </row>
    <row r="4047" spans="3:14">
      <c r="C4047" s="977"/>
      <c r="D4047" s="981"/>
      <c r="E4047" s="2693" t="s">
        <v>1643</v>
      </c>
      <c r="F4047" s="2693"/>
      <c r="G4047" s="2693"/>
      <c r="H4047" s="2693"/>
      <c r="I4047" s="2693"/>
      <c r="J4047" s="2693"/>
      <c r="K4047" s="2693"/>
      <c r="L4047" s="2693"/>
      <c r="M4047" s="2693"/>
      <c r="N4047" s="2694"/>
    </row>
    <row r="4048" spans="3:14">
      <c r="C4048" s="980"/>
      <c r="D4048" s="813"/>
      <c r="E4048" s="813"/>
      <c r="F4048" s="813"/>
      <c r="G4048" s="813"/>
      <c r="H4048" s="813"/>
      <c r="I4048" s="813"/>
      <c r="J4048" s="813"/>
      <c r="K4048" s="813"/>
      <c r="L4048" s="813"/>
      <c r="M4048" s="813"/>
      <c r="N4048" s="814"/>
    </row>
    <row r="4049" spans="3:14">
      <c r="C4049" s="977"/>
      <c r="D4049" s="981"/>
      <c r="E4049" s="2695" t="s">
        <v>1475</v>
      </c>
      <c r="F4049" s="2695"/>
      <c r="G4049" s="2695"/>
      <c r="H4049" s="2695"/>
      <c r="I4049" s="2695"/>
      <c r="J4049" s="2695"/>
      <c r="K4049" s="2695"/>
      <c r="L4049" s="2695"/>
      <c r="M4049" s="2695"/>
      <c r="N4049" s="2694"/>
    </row>
    <row r="4050" spans="3:14">
      <c r="C4050" s="980"/>
      <c r="D4050" s="813"/>
      <c r="E4050" s="813"/>
      <c r="F4050" s="813"/>
      <c r="G4050" s="813"/>
      <c r="H4050" s="813"/>
      <c r="I4050" s="813"/>
      <c r="J4050" s="813"/>
      <c r="K4050" s="813"/>
      <c r="L4050" s="813"/>
      <c r="M4050" s="813"/>
      <c r="N4050" s="814"/>
    </row>
    <row r="4051" spans="3:14">
      <c r="C4051" s="977"/>
      <c r="D4051" s="982" t="s">
        <v>266</v>
      </c>
      <c r="E4051" s="2671" t="s">
        <v>1617</v>
      </c>
      <c r="F4051" s="2672"/>
      <c r="G4051" s="2672"/>
      <c r="H4051" s="2672"/>
      <c r="I4051" s="2672"/>
      <c r="J4051" s="2672"/>
      <c r="K4051" s="2672"/>
      <c r="L4051" s="2672"/>
      <c r="M4051" s="2672"/>
      <c r="N4051" s="2673"/>
    </row>
    <row r="4052" spans="3:14">
      <c r="C4052" s="977"/>
      <c r="D4052" s="777"/>
      <c r="E4052" s="2711" t="s">
        <v>2295</v>
      </c>
      <c r="F4052" s="2671"/>
      <c r="G4052" s="2671"/>
      <c r="H4052" s="2671"/>
      <c r="I4052" s="2671"/>
      <c r="J4052" s="2671"/>
      <c r="K4052" s="2671"/>
      <c r="L4052" s="2671"/>
      <c r="M4052" s="2671"/>
      <c r="N4052" s="2712"/>
    </row>
    <row r="4053" spans="3:14">
      <c r="C4053" s="977"/>
      <c r="D4053" s="981"/>
      <c r="E4053" s="2674" t="s">
        <v>1618</v>
      </c>
      <c r="F4053" s="2674"/>
      <c r="G4053" s="2674"/>
      <c r="H4053" s="2674"/>
      <c r="I4053" s="2674"/>
      <c r="J4053" s="2674"/>
      <c r="K4053" s="2674"/>
      <c r="L4053" s="2674"/>
      <c r="M4053" s="2674"/>
      <c r="N4053" s="2675"/>
    </row>
    <row r="4054" spans="3:14">
      <c r="C4054" s="977"/>
      <c r="D4054" s="981"/>
      <c r="E4054" s="985" t="s">
        <v>1021</v>
      </c>
      <c r="F4054" s="2645" t="s">
        <v>1616</v>
      </c>
      <c r="G4054" s="2646"/>
      <c r="H4054" s="2646"/>
      <c r="I4054" s="2646"/>
      <c r="J4054" s="2646"/>
      <c r="K4054" s="2646"/>
      <c r="L4054" s="2646"/>
      <c r="M4054" s="2646"/>
      <c r="N4054" s="2647"/>
    </row>
    <row r="4055" spans="3:14">
      <c r="C4055" s="977"/>
      <c r="D4055" s="981"/>
      <c r="E4055" s="985"/>
      <c r="F4055" s="2669" t="s">
        <v>1615</v>
      </c>
      <c r="G4055" s="2391"/>
      <c r="H4055" s="2391"/>
      <c r="I4055" s="2391"/>
      <c r="J4055" s="2391"/>
      <c r="K4055" s="2391"/>
      <c r="L4055" s="2391"/>
      <c r="M4055" s="2391"/>
      <c r="N4055" s="2650"/>
    </row>
    <row r="4056" spans="3:14">
      <c r="C4056" s="977"/>
      <c r="D4056" s="981"/>
      <c r="E4056" s="985" t="s">
        <v>1021</v>
      </c>
      <c r="F4056" s="2645" t="s">
        <v>1278</v>
      </c>
      <c r="G4056" s="2646"/>
      <c r="H4056" s="2646"/>
      <c r="I4056" s="2646"/>
      <c r="J4056" s="2646"/>
      <c r="K4056" s="2646"/>
      <c r="L4056" s="2646"/>
      <c r="M4056" s="2646"/>
      <c r="N4056" s="2647"/>
    </row>
    <row r="4057" spans="3:14">
      <c r="C4057" s="977"/>
      <c r="D4057" s="981"/>
      <c r="E4057" s="985"/>
      <c r="F4057" s="2645" t="s">
        <v>1620</v>
      </c>
      <c r="G4057" s="2646"/>
      <c r="H4057" s="2646"/>
      <c r="I4057" s="2646"/>
      <c r="J4057" s="2646"/>
      <c r="K4057" s="2646"/>
      <c r="L4057" s="2646"/>
      <c r="M4057" s="2646"/>
      <c r="N4057" s="2647"/>
    </row>
    <row r="4058" spans="3:14">
      <c r="C4058" s="977"/>
      <c r="D4058" s="981"/>
      <c r="E4058" s="985"/>
      <c r="F4058" s="2645" t="s">
        <v>1619</v>
      </c>
      <c r="G4058" s="2646"/>
      <c r="H4058" s="2646"/>
      <c r="I4058" s="2646"/>
      <c r="J4058" s="2646"/>
      <c r="K4058" s="2646"/>
      <c r="L4058" s="2646"/>
      <c r="M4058" s="2646"/>
      <c r="N4058" s="2647"/>
    </row>
    <row r="4059" spans="3:14">
      <c r="C4059" s="977"/>
      <c r="D4059" s="981"/>
      <c r="E4059" s="985" t="s">
        <v>1021</v>
      </c>
      <c r="F4059" s="2645" t="s">
        <v>1542</v>
      </c>
      <c r="G4059" s="2646"/>
      <c r="H4059" s="2646"/>
      <c r="I4059" s="2646"/>
      <c r="J4059" s="2646"/>
      <c r="K4059" s="2646"/>
      <c r="L4059" s="2646"/>
      <c r="M4059" s="2646"/>
      <c r="N4059" s="2647"/>
    </row>
    <row r="4060" spans="3:14">
      <c r="C4060" s="977"/>
      <c r="D4060" s="981"/>
      <c r="E4060" s="985" t="s">
        <v>1021</v>
      </c>
      <c r="F4060" s="2645" t="s">
        <v>1458</v>
      </c>
      <c r="G4060" s="2646"/>
      <c r="H4060" s="2646"/>
      <c r="I4060" s="2646"/>
      <c r="J4060" s="2646"/>
      <c r="K4060" s="2646"/>
      <c r="L4060" s="2646"/>
      <c r="M4060" s="2646"/>
      <c r="N4060" s="2647"/>
    </row>
    <row r="4061" spans="3:14">
      <c r="C4061" s="977"/>
      <c r="D4061" s="982"/>
      <c r="E4061" s="2648" t="s">
        <v>1612</v>
      </c>
      <c r="F4061" s="2648"/>
      <c r="G4061" s="987" t="s">
        <v>884</v>
      </c>
      <c r="H4061" s="782">
        <v>2019</v>
      </c>
      <c r="I4061" s="988">
        <v>2020</v>
      </c>
      <c r="J4061" s="781">
        <v>2021</v>
      </c>
      <c r="K4061" s="782">
        <v>2022</v>
      </c>
      <c r="L4061" s="782">
        <v>2023</v>
      </c>
      <c r="M4061" s="782">
        <v>2024</v>
      </c>
      <c r="N4061" s="783">
        <v>2025</v>
      </c>
    </row>
    <row r="4062" spans="3:14">
      <c r="C4062" s="977"/>
      <c r="D4062" s="981"/>
      <c r="E4062" s="2487" t="str">
        <f>IFERROR(IF([1]F_ProductBM!E1356 = "", "", [1]F_ProductBM!E1356 ),"")</f>
        <v/>
      </c>
      <c r="F4062" s="2488"/>
      <c r="G4062" s="815" t="s">
        <v>2016</v>
      </c>
      <c r="H4062" s="93" t="str">
        <f>IFERROR(IF([1]F_ProductBM!H1356 = "", "", [1]F_ProductBM!H1356 ),"")</f>
        <v/>
      </c>
      <c r="I4062" s="116" t="str">
        <f>IFERROR(IF([1]F_ProductBM!I1356 = "", "", [1]F_ProductBM!I1356 ),"")</f>
        <v/>
      </c>
      <c r="J4062" s="117" t="str">
        <f>IFERROR(IF([1]F_ProductBM!J1356 = "", "", [1]F_ProductBM!J1356 ),"")</f>
        <v/>
      </c>
      <c r="K4062" s="93" t="str">
        <f>IFERROR(IF([1]F_ProductBM!K1356 = "", "", [1]F_ProductBM!K1356 ),"")</f>
        <v/>
      </c>
      <c r="L4062" s="93" t="str">
        <f>IFERROR(IF([1]F_ProductBM!L1356 = "", "", [1]F_ProductBM!L1356 ),"")</f>
        <v/>
      </c>
      <c r="M4062" s="93" t="str">
        <f>IFERROR(IF([1]F_ProductBM!M1356 = "", "", [1]F_ProductBM!M1356 ),"")</f>
        <v/>
      </c>
      <c r="N4062" s="118" t="str">
        <f>IFERROR(IF([1]F_ProductBM!N1356 = "", "", [1]F_ProductBM!N1356 ),"")</f>
        <v/>
      </c>
    </row>
    <row r="4063" spans="3:14">
      <c r="C4063" s="977"/>
      <c r="D4063" s="981"/>
      <c r="E4063" s="981"/>
      <c r="F4063" s="981"/>
      <c r="G4063" s="981"/>
      <c r="H4063" s="981"/>
      <c r="I4063" s="981"/>
      <c r="J4063" s="981"/>
      <c r="K4063" s="981"/>
      <c r="L4063" s="981"/>
      <c r="M4063" s="813"/>
      <c r="N4063" s="814"/>
    </row>
    <row r="4064" spans="3:14">
      <c r="C4064" s="977"/>
      <c r="D4064" s="982" t="s">
        <v>269</v>
      </c>
      <c r="E4064" s="2649" t="s">
        <v>1189</v>
      </c>
      <c r="F4064" s="2391"/>
      <c r="G4064" s="2391"/>
      <c r="H4064" s="2391"/>
      <c r="I4064" s="2391"/>
      <c r="J4064" s="2391"/>
      <c r="K4064" s="2391"/>
      <c r="L4064" s="2391"/>
      <c r="M4064" s="2391"/>
      <c r="N4064" s="2650"/>
    </row>
    <row r="4065" spans="3:14">
      <c r="C4065" s="977"/>
      <c r="D4065" s="981"/>
      <c r="E4065" s="2674" t="s">
        <v>1605</v>
      </c>
      <c r="F4065" s="2674"/>
      <c r="G4065" s="2674"/>
      <c r="H4065" s="2674"/>
      <c r="I4065" s="2674"/>
      <c r="J4065" s="2674"/>
      <c r="K4065" s="2674"/>
      <c r="L4065" s="2674"/>
      <c r="M4065" s="2674"/>
      <c r="N4065" s="2675"/>
    </row>
    <row r="4066" spans="3:14">
      <c r="C4066" s="977"/>
      <c r="D4066" s="981"/>
      <c r="E4066" s="2674" t="s">
        <v>1357</v>
      </c>
      <c r="F4066" s="2674"/>
      <c r="G4066" s="2674"/>
      <c r="H4066" s="2674"/>
      <c r="I4066" s="2674"/>
      <c r="J4066" s="2674"/>
      <c r="K4066" s="2674"/>
      <c r="L4066" s="2674"/>
      <c r="M4066" s="2674"/>
      <c r="N4066" s="2675"/>
    </row>
    <row r="4067" spans="3:14">
      <c r="C4067" s="977"/>
      <c r="D4067" s="981"/>
      <c r="E4067" s="2674" t="s">
        <v>1594</v>
      </c>
      <c r="F4067" s="2674"/>
      <c r="G4067" s="2674"/>
      <c r="H4067" s="2674"/>
      <c r="I4067" s="2674"/>
      <c r="J4067" s="2674"/>
      <c r="K4067" s="2674"/>
      <c r="L4067" s="2674"/>
      <c r="M4067" s="2674"/>
      <c r="N4067" s="2675"/>
    </row>
    <row r="4068" spans="3:14">
      <c r="C4068" s="977"/>
      <c r="D4068" s="981"/>
      <c r="E4068" s="2676" t="s">
        <v>1557</v>
      </c>
      <c r="F4068" s="2391"/>
      <c r="G4068" s="2391"/>
      <c r="H4068" s="2391"/>
      <c r="I4068" s="2391"/>
      <c r="J4068" s="2391"/>
      <c r="K4068" s="2391"/>
      <c r="L4068" s="2391"/>
      <c r="M4068" s="2391"/>
      <c r="N4068" s="2650"/>
    </row>
    <row r="4069" spans="3:14">
      <c r="C4069" s="977"/>
      <c r="D4069" s="982"/>
      <c r="E4069" s="989"/>
      <c r="F4069" s="990"/>
      <c r="G4069" s="987" t="s">
        <v>884</v>
      </c>
      <c r="H4069" s="782">
        <v>2019</v>
      </c>
      <c r="I4069" s="988">
        <v>2020</v>
      </c>
      <c r="J4069" s="781">
        <v>2021</v>
      </c>
      <c r="K4069" s="782">
        <v>2022</v>
      </c>
      <c r="L4069" s="782">
        <v>2023</v>
      </c>
      <c r="M4069" s="782">
        <v>2024</v>
      </c>
      <c r="N4069" s="783">
        <v>2025</v>
      </c>
    </row>
    <row r="4070" spans="3:14">
      <c r="C4070" s="977"/>
      <c r="D4070" s="777" t="s">
        <v>6</v>
      </c>
      <c r="E4070" s="2475" t="s">
        <v>1344</v>
      </c>
      <c r="F4070" s="2410"/>
      <c r="G4070" s="815" t="s">
        <v>2017</v>
      </c>
      <c r="H4070" s="93" t="str">
        <f>IFERROR(IF([1]F_ProductBM!H1364 = "", "", [1]F_ProductBM!H1364 ),"")</f>
        <v/>
      </c>
      <c r="I4070" s="116" t="str">
        <f>IFERROR(IF([1]F_ProductBM!I1364 = "", "", [1]F_ProductBM!I1364 ),"")</f>
        <v/>
      </c>
      <c r="J4070" s="117" t="str">
        <f>IFERROR(IF([1]F_ProductBM!J1364 = "", "", [1]F_ProductBM!J1364 ),"")</f>
        <v/>
      </c>
      <c r="K4070" s="93" t="str">
        <f>IFERROR(IF([1]F_ProductBM!K1364 = "", "", [1]F_ProductBM!K1364 ),"")</f>
        <v/>
      </c>
      <c r="L4070" s="93" t="str">
        <f>IFERROR(IF([1]F_ProductBM!L1364 = "", "", [1]F_ProductBM!L1364 ),"")</f>
        <v/>
      </c>
      <c r="M4070" s="93" t="str">
        <f>IFERROR(IF([1]F_ProductBM!M1364 = "", "", [1]F_ProductBM!M1364 ),"")</f>
        <v/>
      </c>
      <c r="N4070" s="118" t="str">
        <f>IFERROR(IF([1]F_ProductBM!N1364 = "", "", [1]F_ProductBM!N1364 ),"")</f>
        <v/>
      </c>
    </row>
    <row r="4071" spans="3:14">
      <c r="C4071" s="977"/>
      <c r="D4071" s="777" t="s">
        <v>7</v>
      </c>
      <c r="E4071" s="2475" t="s">
        <v>1182</v>
      </c>
      <c r="F4071" s="2410"/>
      <c r="G4071" s="991" t="s">
        <v>2018</v>
      </c>
      <c r="H4071" s="109" t="str">
        <f>IFERROR(IF([1]F_ProductBM!H1365 = "", "", [1]F_ProductBM!H1365 ),"")</f>
        <v/>
      </c>
      <c r="I4071" s="304" t="str">
        <f>IFERROR(IF([1]F_ProductBM!I1365 = "", "", [1]F_ProductBM!I1365 ),"")</f>
        <v/>
      </c>
      <c r="J4071" s="305" t="str">
        <f>IFERROR(IF([1]F_ProductBM!J1365 = "", "", [1]F_ProductBM!J1365 ),"")</f>
        <v/>
      </c>
      <c r="K4071" s="109" t="str">
        <f>IFERROR(IF([1]F_ProductBM!K1365 = "", "", [1]F_ProductBM!K1365 ),"")</f>
        <v/>
      </c>
      <c r="L4071" s="109" t="str">
        <f>IFERROR(IF([1]F_ProductBM!L1365 = "", "", [1]F_ProductBM!L1365 ),"")</f>
        <v/>
      </c>
      <c r="M4071" s="109" t="str">
        <f>IFERROR(IF([1]F_ProductBM!M1365 = "", "", [1]F_ProductBM!M1365 ),"")</f>
        <v/>
      </c>
      <c r="N4071" s="357" t="str">
        <f>IFERROR(IF([1]F_ProductBM!N1365 = "", "", [1]F_ProductBM!N1365 ),"")</f>
        <v/>
      </c>
    </row>
    <row r="4072" spans="3:14">
      <c r="C4072" s="977"/>
      <c r="D4072" s="981"/>
      <c r="E4072" s="981"/>
      <c r="F4072" s="981"/>
      <c r="G4072" s="981"/>
      <c r="H4072" s="981"/>
      <c r="I4072" s="981"/>
      <c r="J4072" s="981"/>
      <c r="K4072" s="981"/>
      <c r="L4072" s="981"/>
      <c r="M4072" s="813"/>
      <c r="N4072" s="814"/>
    </row>
    <row r="4073" spans="3:14">
      <c r="C4073" s="977"/>
      <c r="D4073" s="982" t="s">
        <v>271</v>
      </c>
      <c r="E4073" s="2649" t="s">
        <v>1416</v>
      </c>
      <c r="F4073" s="2391"/>
      <c r="G4073" s="2391"/>
      <c r="H4073" s="2391"/>
      <c r="I4073" s="2391"/>
      <c r="J4073" s="2391"/>
      <c r="K4073" s="2391"/>
      <c r="L4073" s="2391"/>
      <c r="M4073" s="2391"/>
      <c r="N4073" s="2650"/>
    </row>
    <row r="4074" spans="3:14">
      <c r="C4074" s="977"/>
      <c r="D4074" s="777"/>
      <c r="E4074" s="2676" t="s">
        <v>2295</v>
      </c>
      <c r="F4074" s="2391"/>
      <c r="G4074" s="2391"/>
      <c r="H4074" s="2391"/>
      <c r="I4074" s="2391"/>
      <c r="J4074" s="2391"/>
      <c r="K4074" s="2391"/>
      <c r="L4074" s="2391"/>
      <c r="M4074" s="2391"/>
      <c r="N4074" s="2650"/>
    </row>
    <row r="4075" spans="3:14">
      <c r="C4075" s="977"/>
      <c r="D4075" s="981"/>
      <c r="E4075" s="2676" t="s">
        <v>1551</v>
      </c>
      <c r="F4075" s="2391"/>
      <c r="G4075" s="2391"/>
      <c r="H4075" s="2391"/>
      <c r="I4075" s="2391"/>
      <c r="J4075" s="2391"/>
      <c r="K4075" s="2391"/>
      <c r="L4075" s="2391"/>
      <c r="M4075" s="2391"/>
      <c r="N4075" s="2650"/>
    </row>
    <row r="4076" spans="3:14">
      <c r="C4076" s="977"/>
      <c r="D4076" s="981"/>
      <c r="E4076" s="2669" t="s">
        <v>1552</v>
      </c>
      <c r="F4076" s="2391"/>
      <c r="G4076" s="2391"/>
      <c r="H4076" s="2391"/>
      <c r="I4076" s="2391"/>
      <c r="J4076" s="2391"/>
      <c r="K4076" s="2391"/>
      <c r="L4076" s="2391"/>
      <c r="M4076" s="2391"/>
      <c r="N4076" s="2650"/>
    </row>
    <row r="4077" spans="3:14">
      <c r="C4077" s="977"/>
      <c r="D4077" s="981"/>
      <c r="E4077" s="2669" t="s">
        <v>1553</v>
      </c>
      <c r="F4077" s="2391"/>
      <c r="G4077" s="2391"/>
      <c r="H4077" s="2391"/>
      <c r="I4077" s="2391"/>
      <c r="J4077" s="2391"/>
      <c r="K4077" s="2391"/>
      <c r="L4077" s="2391"/>
      <c r="M4077" s="2391"/>
      <c r="N4077" s="2650"/>
    </row>
    <row r="4078" spans="3:14">
      <c r="C4078" s="977"/>
      <c r="D4078" s="981"/>
      <c r="E4078" s="2669" t="s">
        <v>1567</v>
      </c>
      <c r="F4078" s="2391"/>
      <c r="G4078" s="2391"/>
      <c r="H4078" s="2391"/>
      <c r="I4078" s="2391"/>
      <c r="J4078" s="2391"/>
      <c r="K4078" s="2391"/>
      <c r="L4078" s="2391"/>
      <c r="M4078" s="2391"/>
      <c r="N4078" s="2650"/>
    </row>
    <row r="4079" spans="3:14">
      <c r="C4079" s="977"/>
      <c r="D4079" s="981"/>
      <c r="E4079" s="2669" t="s">
        <v>1565</v>
      </c>
      <c r="F4079" s="2391"/>
      <c r="G4079" s="2391"/>
      <c r="H4079" s="2391"/>
      <c r="I4079" s="2391"/>
      <c r="J4079" s="2391"/>
      <c r="K4079" s="2391"/>
      <c r="L4079" s="2391"/>
      <c r="M4079" s="2391"/>
      <c r="N4079" s="2650"/>
    </row>
    <row r="4080" spans="3:14">
      <c r="C4080" s="977"/>
      <c r="D4080" s="777" t="s">
        <v>6</v>
      </c>
      <c r="E4080" s="2682" t="s">
        <v>1456</v>
      </c>
      <c r="F4080" s="2391"/>
      <c r="G4080" s="2391"/>
      <c r="H4080" s="2391"/>
      <c r="I4080" s="2391"/>
      <c r="J4080" s="2391"/>
      <c r="K4080" s="2512"/>
      <c r="L4080" s="120" t="str">
        <f>IFERROR(IF([1]F_ProductBM!L1374 = "", "", [1]F_ProductBM!L1374 ),"")</f>
        <v/>
      </c>
      <c r="M4080" s="978"/>
      <c r="N4080" s="979"/>
    </row>
    <row r="4081" spans="3:14">
      <c r="C4081" s="977"/>
      <c r="D4081" s="981"/>
      <c r="E4081" s="2669" t="s">
        <v>1216</v>
      </c>
      <c r="F4081" s="2391"/>
      <c r="G4081" s="2391"/>
      <c r="H4081" s="2391"/>
      <c r="I4081" s="2391"/>
      <c r="J4081" s="2391"/>
      <c r="K4081" s="2391"/>
      <c r="L4081" s="2391"/>
      <c r="M4081" s="2391"/>
      <c r="N4081" s="2650"/>
    </row>
    <row r="4082" spans="3:14">
      <c r="C4082" s="977"/>
      <c r="D4082" s="777" t="s">
        <v>7</v>
      </c>
      <c r="E4082" s="2649" t="s">
        <v>1214</v>
      </c>
      <c r="F4082" s="2391"/>
      <c r="G4082" s="2391"/>
      <c r="H4082" s="2512"/>
      <c r="I4082" s="2683" t="str">
        <f>IFERROR(IF([1]F_ProductBM!I1376 = "", "", [1]F_ProductBM!I1376 ),"")</f>
        <v/>
      </c>
      <c r="J4082" s="2487"/>
      <c r="K4082" s="2487"/>
      <c r="L4082" s="2487"/>
      <c r="M4082" s="2684"/>
      <c r="N4082" s="992"/>
    </row>
    <row r="4083" spans="3:14">
      <c r="C4083" s="977"/>
      <c r="D4083" s="981"/>
      <c r="E4083" s="986"/>
      <c r="F4083" s="978"/>
      <c r="G4083" s="978"/>
      <c r="H4083" s="978"/>
      <c r="I4083" s="978"/>
      <c r="J4083" s="978"/>
      <c r="K4083" s="978"/>
      <c r="L4083" s="978"/>
      <c r="M4083" s="978"/>
      <c r="N4083" s="979"/>
    </row>
    <row r="4084" spans="3:14">
      <c r="C4084" s="977"/>
      <c r="D4084" s="981"/>
      <c r="E4084" s="2648" t="s">
        <v>1154</v>
      </c>
      <c r="F4084" s="2493"/>
      <c r="G4084" s="987" t="s">
        <v>884</v>
      </c>
      <c r="H4084" s="782">
        <v>2019</v>
      </c>
      <c r="I4084" s="988">
        <v>2020</v>
      </c>
      <c r="J4084" s="781">
        <v>2021</v>
      </c>
      <c r="K4084" s="782">
        <v>2022</v>
      </c>
      <c r="L4084" s="782">
        <v>2023</v>
      </c>
      <c r="M4084" s="782">
        <v>2024</v>
      </c>
      <c r="N4084" s="783">
        <v>2025</v>
      </c>
    </row>
    <row r="4085" spans="3:14">
      <c r="C4085" s="977"/>
      <c r="D4085" s="777" t="s">
        <v>8</v>
      </c>
      <c r="E4085" s="2471" t="s">
        <v>1153</v>
      </c>
      <c r="F4085" s="2472"/>
      <c r="G4085" s="811" t="s">
        <v>2152</v>
      </c>
      <c r="H4085" s="94" t="str">
        <f>IFERROR(IF([1]F_ProductBM!H1379 = "", "", [1]F_ProductBM!H1379 ),"")</f>
        <v/>
      </c>
      <c r="I4085" s="110" t="str">
        <f>IFERROR(IF([1]F_ProductBM!I1379 = "", "", [1]F_ProductBM!I1379 ),"")</f>
        <v/>
      </c>
      <c r="J4085" s="111" t="str">
        <f>IFERROR(IF([1]F_ProductBM!J1379 = "", "", [1]F_ProductBM!J1379 ),"")</f>
        <v/>
      </c>
      <c r="K4085" s="94" t="str">
        <f>IFERROR(IF([1]F_ProductBM!K1379 = "", "", [1]F_ProductBM!K1379 ),"")</f>
        <v/>
      </c>
      <c r="L4085" s="94" t="str">
        <f>IFERROR(IF([1]F_ProductBM!L1379 = "", "", [1]F_ProductBM!L1379 ),"")</f>
        <v/>
      </c>
      <c r="M4085" s="94" t="str">
        <f>IFERROR(IF([1]F_ProductBM!M1379 = "", "", [1]F_ProductBM!M1379 ),"")</f>
        <v/>
      </c>
      <c r="N4085" s="112" t="str">
        <f>IFERROR(IF([1]F_ProductBM!N1379 = "", "", [1]F_ProductBM!N1379 ),"")</f>
        <v/>
      </c>
    </row>
    <row r="4086" spans="3:14">
      <c r="C4086" s="977"/>
      <c r="D4086" s="777" t="s">
        <v>18</v>
      </c>
      <c r="E4086" s="2685" t="s">
        <v>946</v>
      </c>
      <c r="F4086" s="2608"/>
      <c r="G4086" s="993" t="s">
        <v>2019</v>
      </c>
      <c r="H4086" s="101" t="str">
        <f>IFERROR(IF([1]F_ProductBM!H1380 = "", "", [1]F_ProductBM!H1380 ),"")</f>
        <v/>
      </c>
      <c r="I4086" s="361" t="str">
        <f>IFERROR(IF([1]F_ProductBM!I1380 = "", "", [1]F_ProductBM!I1380 ),"")</f>
        <v/>
      </c>
      <c r="J4086" s="362" t="str">
        <f>IFERROR(IF([1]F_ProductBM!J1380 = "", "", [1]F_ProductBM!J1380 ),"")</f>
        <v/>
      </c>
      <c r="K4086" s="101" t="str">
        <f>IFERROR(IF([1]F_ProductBM!K1380 = "", "", [1]F_ProductBM!K1380 ),"")</f>
        <v/>
      </c>
      <c r="L4086" s="101" t="str">
        <f>IFERROR(IF([1]F_ProductBM!L1380 = "", "", [1]F_ProductBM!L1380 ),"")</f>
        <v/>
      </c>
      <c r="M4086" s="101" t="str">
        <f>IFERROR(IF([1]F_ProductBM!M1380 = "", "", [1]F_ProductBM!M1380 ),"")</f>
        <v/>
      </c>
      <c r="N4086" s="363" t="str">
        <f>IFERROR(IF([1]F_ProductBM!N1380 = "", "", [1]F_ProductBM!N1380 ),"")</f>
        <v/>
      </c>
    </row>
    <row r="4087" spans="3:14">
      <c r="C4087" s="977"/>
      <c r="D4087" s="777" t="s">
        <v>787</v>
      </c>
      <c r="E4087" s="2685" t="s">
        <v>945</v>
      </c>
      <c r="F4087" s="2608"/>
      <c r="G4087" s="994" t="s">
        <v>878</v>
      </c>
      <c r="H4087" s="101" t="str">
        <f>IFERROR(IF([1]F_ProductBM!H1381 = "", "", [1]F_ProductBM!H1381 ),"")</f>
        <v/>
      </c>
      <c r="I4087" s="361" t="str">
        <f>IFERROR(IF([1]F_ProductBM!I1381 = "", "", [1]F_ProductBM!I1381 ),"")</f>
        <v/>
      </c>
      <c r="J4087" s="362" t="str">
        <f>IFERROR(IF([1]F_ProductBM!J1381 = "", "", [1]F_ProductBM!J1381 ),"")</f>
        <v/>
      </c>
      <c r="K4087" s="101" t="str">
        <f>IFERROR(IF([1]F_ProductBM!K1381 = "", "", [1]F_ProductBM!K1381 ),"")</f>
        <v/>
      </c>
      <c r="L4087" s="101" t="str">
        <f>IFERROR(IF([1]F_ProductBM!L1381 = "", "", [1]F_ProductBM!L1381 ),"")</f>
        <v/>
      </c>
      <c r="M4087" s="101" t="str">
        <f>IFERROR(IF([1]F_ProductBM!M1381 = "", "", [1]F_ProductBM!M1381 ),"")</f>
        <v/>
      </c>
      <c r="N4087" s="363" t="str">
        <f>IFERROR(IF([1]F_ProductBM!N1381 = "", "", [1]F_ProductBM!N1381 ),"")</f>
        <v/>
      </c>
    </row>
    <row r="4088" spans="3:14">
      <c r="C4088" s="977"/>
      <c r="D4088" s="777" t="s">
        <v>788</v>
      </c>
      <c r="E4088" s="2473" t="s">
        <v>880</v>
      </c>
      <c r="F4088" s="2474"/>
      <c r="G4088" s="812" t="s">
        <v>878</v>
      </c>
      <c r="H4088" s="95" t="str">
        <f>IFERROR(IF([1]F_ProductBM!H1382 = "", "", [1]F_ProductBM!H1382 ),"")</f>
        <v/>
      </c>
      <c r="I4088" s="113" t="str">
        <f>IFERROR(IF([1]F_ProductBM!I1382 = "", "", [1]F_ProductBM!I1382 ),"")</f>
        <v/>
      </c>
      <c r="J4088" s="114" t="str">
        <f>IFERROR(IF([1]F_ProductBM!J1382 = "", "", [1]F_ProductBM!J1382 ),"")</f>
        <v/>
      </c>
      <c r="K4088" s="95" t="str">
        <f>IFERROR(IF([1]F_ProductBM!K1382 = "", "", [1]F_ProductBM!K1382 ),"")</f>
        <v/>
      </c>
      <c r="L4088" s="95" t="str">
        <f>IFERROR(IF([1]F_ProductBM!L1382 = "", "", [1]F_ProductBM!L1382 ),"")</f>
        <v/>
      </c>
      <c r="M4088" s="95" t="str">
        <f>IFERROR(IF([1]F_ProductBM!M1382 = "", "", [1]F_ProductBM!M1382 ),"")</f>
        <v/>
      </c>
      <c r="N4088" s="115" t="str">
        <f>IFERROR(IF([1]F_ProductBM!N1382 = "", "", [1]F_ProductBM!N1382 ),"")</f>
        <v/>
      </c>
    </row>
    <row r="4089" spans="3:14">
      <c r="C4089" s="977"/>
      <c r="D4089" s="777" t="s">
        <v>789</v>
      </c>
      <c r="E4089" s="2471" t="s">
        <v>882</v>
      </c>
      <c r="F4089" s="2472"/>
      <c r="G4089" s="995" t="s">
        <v>2015</v>
      </c>
      <c r="H4089" s="378" t="str">
        <f>IFERROR(IF([1]F_ProductBM!H1383 = "", "", [1]F_ProductBM!H1383 ),"")</f>
        <v/>
      </c>
      <c r="I4089" s="379" t="str">
        <f>IFERROR(IF([1]F_ProductBM!I1383 = "", "", [1]F_ProductBM!I1383 ),"")</f>
        <v/>
      </c>
      <c r="J4089" s="380" t="str">
        <f>IFERROR(IF([1]F_ProductBM!J1383 = "", "", [1]F_ProductBM!J1383 ),"")</f>
        <v/>
      </c>
      <c r="K4089" s="378" t="str">
        <f>IFERROR(IF([1]F_ProductBM!K1383 = "", "", [1]F_ProductBM!K1383 ),"")</f>
        <v/>
      </c>
      <c r="L4089" s="378" t="str">
        <f>IFERROR(IF([1]F_ProductBM!L1383 = "", "", [1]F_ProductBM!L1383 ),"")</f>
        <v/>
      </c>
      <c r="M4089" s="378" t="str">
        <f>IFERROR(IF([1]F_ProductBM!M1383 = "", "", [1]F_ProductBM!M1383 ),"")</f>
        <v/>
      </c>
      <c r="N4089" s="381" t="str">
        <f>IFERROR(IF([1]F_ProductBM!N1383 = "", "", [1]F_ProductBM!N1383 ),"")</f>
        <v/>
      </c>
    </row>
    <row r="4090" spans="3:14">
      <c r="C4090" s="977"/>
      <c r="D4090" s="777" t="s">
        <v>790</v>
      </c>
      <c r="E4090" s="2670" t="s">
        <v>879</v>
      </c>
      <c r="F4090" s="2608"/>
      <c r="G4090" s="998" t="s">
        <v>2015</v>
      </c>
      <c r="H4090" s="382" t="str">
        <f>IFERROR(IF([1]F_ProductBM!H1384 = "", "", [1]F_ProductBM!H1384 ),"")</f>
        <v/>
      </c>
      <c r="I4090" s="383" t="str">
        <f>IFERROR(IF([1]F_ProductBM!I1384 = "", "", [1]F_ProductBM!I1384 ),"")</f>
        <v/>
      </c>
      <c r="J4090" s="384" t="str">
        <f>IFERROR(IF([1]F_ProductBM!J1384 = "", "", [1]F_ProductBM!J1384 ),"")</f>
        <v/>
      </c>
      <c r="K4090" s="382" t="str">
        <f>IFERROR(IF([1]F_ProductBM!K1384 = "", "", [1]F_ProductBM!K1384 ),"")</f>
        <v/>
      </c>
      <c r="L4090" s="382" t="str">
        <f>IFERROR(IF([1]F_ProductBM!L1384 = "", "", [1]F_ProductBM!L1384 ),"")</f>
        <v/>
      </c>
      <c r="M4090" s="382" t="str">
        <f>IFERROR(IF([1]F_ProductBM!M1384 = "", "", [1]F_ProductBM!M1384 ),"")</f>
        <v/>
      </c>
      <c r="N4090" s="385" t="str">
        <f>IFERROR(IF([1]F_ProductBM!N1384 = "", "", [1]F_ProductBM!N1384 ),"")</f>
        <v/>
      </c>
    </row>
    <row r="4091" spans="3:14">
      <c r="C4091" s="977"/>
      <c r="D4091" s="777" t="s">
        <v>791</v>
      </c>
      <c r="E4091" s="2473" t="s">
        <v>41</v>
      </c>
      <c r="F4091" s="2474"/>
      <c r="G4091" s="1001" t="s">
        <v>2017</v>
      </c>
      <c r="H4091" s="86" t="str">
        <f>IFERROR(IF([1]F_ProductBM!H1385 = "", "", [1]F_ProductBM!H1385 ),"")</f>
        <v/>
      </c>
      <c r="I4091" s="340" t="str">
        <f>IFERROR(IF([1]F_ProductBM!I1385 = "", "", [1]F_ProductBM!I1385 ),"")</f>
        <v/>
      </c>
      <c r="J4091" s="341" t="str">
        <f>IFERROR(IF([1]F_ProductBM!J1385 = "", "", [1]F_ProductBM!J1385 ),"")</f>
        <v/>
      </c>
      <c r="K4091" s="86" t="str">
        <f>IFERROR(IF([1]F_ProductBM!K1385 = "", "", [1]F_ProductBM!K1385 ),"")</f>
        <v/>
      </c>
      <c r="L4091" s="86" t="str">
        <f>IFERROR(IF([1]F_ProductBM!L1385 = "", "", [1]F_ProductBM!L1385 ),"")</f>
        <v/>
      </c>
      <c r="M4091" s="86" t="str">
        <f>IFERROR(IF([1]F_ProductBM!M1385 = "", "", [1]F_ProductBM!M1385 ),"")</f>
        <v/>
      </c>
      <c r="N4091" s="342" t="str">
        <f>IFERROR(IF([1]F_ProductBM!N1385 = "", "", [1]F_ProductBM!N1385 ),"")</f>
        <v/>
      </c>
    </row>
    <row r="4092" spans="3:14">
      <c r="C4092" s="977"/>
      <c r="D4092" s="777" t="s">
        <v>64</v>
      </c>
      <c r="E4092" s="2687" t="s">
        <v>393</v>
      </c>
      <c r="F4092" s="2688"/>
      <c r="G4092" s="1002"/>
      <c r="H4092" s="343" t="str">
        <f>IFERROR(IF([1]F_ProductBM!H1386 = "", "", [1]F_ProductBM!H1386 ),"")</f>
        <v/>
      </c>
      <c r="I4092" s="344" t="str">
        <f>IFERROR(IF([1]F_ProductBM!I1386 = "", "", [1]F_ProductBM!I1386 ),"")</f>
        <v/>
      </c>
      <c r="J4092" s="345" t="str">
        <f>IFERROR(IF([1]F_ProductBM!J1386 = "", "", [1]F_ProductBM!J1386 ),"")</f>
        <v/>
      </c>
      <c r="K4092" s="343" t="str">
        <f>IFERROR(IF([1]F_ProductBM!K1386 = "", "", [1]F_ProductBM!K1386 ),"")</f>
        <v/>
      </c>
      <c r="L4092" s="343" t="str">
        <f>IFERROR(IF([1]F_ProductBM!L1386 = "", "", [1]F_ProductBM!L1386 ),"")</f>
        <v/>
      </c>
      <c r="M4092" s="343" t="str">
        <f>IFERROR(IF([1]F_ProductBM!M1386 = "", "", [1]F_ProductBM!M1386 ),"")</f>
        <v/>
      </c>
      <c r="N4092" s="346" t="str">
        <f>IFERROR(IF([1]F_ProductBM!N1386 = "", "", [1]F_ProductBM!N1386 ),"")</f>
        <v/>
      </c>
    </row>
    <row r="4093" spans="3:14">
      <c r="C4093" s="977"/>
      <c r="D4093" s="777"/>
      <c r="E4093" s="981"/>
      <c r="F4093" s="981"/>
      <c r="G4093" s="981"/>
      <c r="H4093" s="981"/>
      <c r="I4093" s="981"/>
      <c r="J4093" s="981"/>
      <c r="K4093" s="981"/>
      <c r="L4093" s="981"/>
      <c r="M4093" s="813"/>
      <c r="N4093" s="814"/>
    </row>
    <row r="4094" spans="3:14">
      <c r="C4094" s="977"/>
      <c r="D4094" s="777" t="s">
        <v>65</v>
      </c>
      <c r="E4094" s="2649" t="s">
        <v>1215</v>
      </c>
      <c r="F4094" s="2391"/>
      <c r="G4094" s="2391"/>
      <c r="H4094" s="2512"/>
      <c r="I4094" s="2683" t="str">
        <f>IFERROR(IF([1]F_ProductBM!I1388 = "", "", [1]F_ProductBM!I1388 ),"")</f>
        <v/>
      </c>
      <c r="J4094" s="2488"/>
      <c r="K4094" s="2488"/>
      <c r="L4094" s="2488"/>
      <c r="M4094" s="2686"/>
      <c r="N4094" s="979"/>
    </row>
    <row r="4095" spans="3:14">
      <c r="C4095" s="977"/>
      <c r="D4095" s="981"/>
      <c r="E4095" s="986"/>
      <c r="F4095" s="978"/>
      <c r="G4095" s="981"/>
      <c r="H4095" s="981"/>
      <c r="I4095" s="978"/>
      <c r="J4095" s="978"/>
      <c r="K4095" s="978"/>
      <c r="L4095" s="978"/>
      <c r="M4095" s="978"/>
      <c r="N4095" s="979"/>
    </row>
    <row r="4096" spans="3:14">
      <c r="C4096" s="977"/>
      <c r="D4096" s="777"/>
      <c r="E4096" s="2648" t="s">
        <v>1155</v>
      </c>
      <c r="F4096" s="2493"/>
      <c r="G4096" s="987" t="s">
        <v>884</v>
      </c>
      <c r="H4096" s="782">
        <v>2019</v>
      </c>
      <c r="I4096" s="988">
        <v>2020</v>
      </c>
      <c r="J4096" s="781">
        <v>2021</v>
      </c>
      <c r="K4096" s="782">
        <v>2022</v>
      </c>
      <c r="L4096" s="782">
        <v>2023</v>
      </c>
      <c r="M4096" s="782">
        <v>2024</v>
      </c>
      <c r="N4096" s="783">
        <v>2025</v>
      </c>
    </row>
    <row r="4097" spans="3:14">
      <c r="C4097" s="977"/>
      <c r="D4097" s="777" t="s">
        <v>66</v>
      </c>
      <c r="E4097" s="2471" t="s">
        <v>1153</v>
      </c>
      <c r="F4097" s="2472"/>
      <c r="G4097" s="811" t="s">
        <v>2152</v>
      </c>
      <c r="H4097" s="94" t="str">
        <f>IFERROR(IF([1]F_ProductBM!H1391 = "", "", [1]F_ProductBM!H1391 ),"")</f>
        <v/>
      </c>
      <c r="I4097" s="110" t="str">
        <f>IFERROR(IF([1]F_ProductBM!I1391 = "", "", [1]F_ProductBM!I1391 ),"")</f>
        <v/>
      </c>
      <c r="J4097" s="111" t="str">
        <f>IFERROR(IF([1]F_ProductBM!J1391 = "", "", [1]F_ProductBM!J1391 ),"")</f>
        <v/>
      </c>
      <c r="K4097" s="94" t="str">
        <f>IFERROR(IF([1]F_ProductBM!K1391 = "", "", [1]F_ProductBM!K1391 ),"")</f>
        <v/>
      </c>
      <c r="L4097" s="94" t="str">
        <f>IFERROR(IF([1]F_ProductBM!L1391 = "", "", [1]F_ProductBM!L1391 ),"")</f>
        <v/>
      </c>
      <c r="M4097" s="94" t="str">
        <f>IFERROR(IF([1]F_ProductBM!M1391 = "", "", [1]F_ProductBM!M1391 ),"")</f>
        <v/>
      </c>
      <c r="N4097" s="112" t="str">
        <f>IFERROR(IF([1]F_ProductBM!N1391 = "", "", [1]F_ProductBM!N1391 ),"")</f>
        <v/>
      </c>
    </row>
    <row r="4098" spans="3:14">
      <c r="C4098" s="977"/>
      <c r="D4098" s="777" t="s">
        <v>1105</v>
      </c>
      <c r="E4098" s="2685" t="s">
        <v>946</v>
      </c>
      <c r="F4098" s="2608"/>
      <c r="G4098" s="993" t="s">
        <v>2019</v>
      </c>
      <c r="H4098" s="101" t="str">
        <f>IFERROR(IF([1]F_ProductBM!H1392 = "", "", [1]F_ProductBM!H1392 ),"")</f>
        <v/>
      </c>
      <c r="I4098" s="361" t="str">
        <f>IFERROR(IF([1]F_ProductBM!I1392 = "", "", [1]F_ProductBM!I1392 ),"")</f>
        <v/>
      </c>
      <c r="J4098" s="362" t="str">
        <f>IFERROR(IF([1]F_ProductBM!J1392 = "", "", [1]F_ProductBM!J1392 ),"")</f>
        <v/>
      </c>
      <c r="K4098" s="101" t="str">
        <f>IFERROR(IF([1]F_ProductBM!K1392 = "", "", [1]F_ProductBM!K1392 ),"")</f>
        <v/>
      </c>
      <c r="L4098" s="101" t="str">
        <f>IFERROR(IF([1]F_ProductBM!L1392 = "", "", [1]F_ProductBM!L1392 ),"")</f>
        <v/>
      </c>
      <c r="M4098" s="101" t="str">
        <f>IFERROR(IF([1]F_ProductBM!M1392 = "", "", [1]F_ProductBM!M1392 ),"")</f>
        <v/>
      </c>
      <c r="N4098" s="363" t="str">
        <f>IFERROR(IF([1]F_ProductBM!N1392 = "", "", [1]F_ProductBM!N1392 ),"")</f>
        <v/>
      </c>
    </row>
    <row r="4099" spans="3:14">
      <c r="C4099" s="977"/>
      <c r="D4099" s="777" t="s">
        <v>1106</v>
      </c>
      <c r="E4099" s="2685" t="s">
        <v>945</v>
      </c>
      <c r="F4099" s="2608"/>
      <c r="G4099" s="994" t="s">
        <v>878</v>
      </c>
      <c r="H4099" s="101" t="str">
        <f>IFERROR(IF([1]F_ProductBM!H1393 = "", "", [1]F_ProductBM!H1393 ),"")</f>
        <v/>
      </c>
      <c r="I4099" s="361" t="str">
        <f>IFERROR(IF([1]F_ProductBM!I1393 = "", "", [1]F_ProductBM!I1393 ),"")</f>
        <v/>
      </c>
      <c r="J4099" s="362" t="str">
        <f>IFERROR(IF([1]F_ProductBM!J1393 = "", "", [1]F_ProductBM!J1393 ),"")</f>
        <v/>
      </c>
      <c r="K4099" s="101" t="str">
        <f>IFERROR(IF([1]F_ProductBM!K1393 = "", "", [1]F_ProductBM!K1393 ),"")</f>
        <v/>
      </c>
      <c r="L4099" s="101" t="str">
        <f>IFERROR(IF([1]F_ProductBM!L1393 = "", "", [1]F_ProductBM!L1393 ),"")</f>
        <v/>
      </c>
      <c r="M4099" s="101" t="str">
        <f>IFERROR(IF([1]F_ProductBM!M1393 = "", "", [1]F_ProductBM!M1393 ),"")</f>
        <v/>
      </c>
      <c r="N4099" s="363" t="str">
        <f>IFERROR(IF([1]F_ProductBM!N1393 = "", "", [1]F_ProductBM!N1393 ),"")</f>
        <v/>
      </c>
    </row>
    <row r="4100" spans="3:14">
      <c r="C4100" s="977"/>
      <c r="D4100" s="777" t="s">
        <v>1107</v>
      </c>
      <c r="E4100" s="2473" t="s">
        <v>880</v>
      </c>
      <c r="F4100" s="2474"/>
      <c r="G4100" s="812" t="s">
        <v>878</v>
      </c>
      <c r="H4100" s="95" t="str">
        <f>IFERROR(IF([1]F_ProductBM!H1394 = "", "", [1]F_ProductBM!H1394 ),"")</f>
        <v/>
      </c>
      <c r="I4100" s="113" t="str">
        <f>IFERROR(IF([1]F_ProductBM!I1394 = "", "", [1]F_ProductBM!I1394 ),"")</f>
        <v/>
      </c>
      <c r="J4100" s="114" t="str">
        <f>IFERROR(IF([1]F_ProductBM!J1394 = "", "", [1]F_ProductBM!J1394 ),"")</f>
        <v/>
      </c>
      <c r="K4100" s="95" t="str">
        <f>IFERROR(IF([1]F_ProductBM!K1394 = "", "", [1]F_ProductBM!K1394 ),"")</f>
        <v/>
      </c>
      <c r="L4100" s="95" t="str">
        <f>IFERROR(IF([1]F_ProductBM!L1394 = "", "", [1]F_ProductBM!L1394 ),"")</f>
        <v/>
      </c>
      <c r="M4100" s="95" t="str">
        <f>IFERROR(IF([1]F_ProductBM!M1394 = "", "", [1]F_ProductBM!M1394 ),"")</f>
        <v/>
      </c>
      <c r="N4100" s="115" t="str">
        <f>IFERROR(IF([1]F_ProductBM!N1394 = "", "", [1]F_ProductBM!N1394 ),"")</f>
        <v/>
      </c>
    </row>
    <row r="4101" spans="3:14">
      <c r="C4101" s="977"/>
      <c r="D4101" s="777" t="s">
        <v>1108</v>
      </c>
      <c r="E4101" s="2471" t="s">
        <v>882</v>
      </c>
      <c r="F4101" s="2472"/>
      <c r="G4101" s="995" t="s">
        <v>2015</v>
      </c>
      <c r="H4101" s="378" t="str">
        <f>IFERROR(IF([1]F_ProductBM!H1395 = "", "", [1]F_ProductBM!H1395 ),"")</f>
        <v/>
      </c>
      <c r="I4101" s="379" t="str">
        <f>IFERROR(IF([1]F_ProductBM!I1395 = "", "", [1]F_ProductBM!I1395 ),"")</f>
        <v/>
      </c>
      <c r="J4101" s="380" t="str">
        <f>IFERROR(IF([1]F_ProductBM!J1395 = "", "", [1]F_ProductBM!J1395 ),"")</f>
        <v/>
      </c>
      <c r="K4101" s="378" t="str">
        <f>IFERROR(IF([1]F_ProductBM!K1395 = "", "", [1]F_ProductBM!K1395 ),"")</f>
        <v/>
      </c>
      <c r="L4101" s="378" t="str">
        <f>IFERROR(IF([1]F_ProductBM!L1395 = "", "", [1]F_ProductBM!L1395 ),"")</f>
        <v/>
      </c>
      <c r="M4101" s="378" t="str">
        <f>IFERROR(IF([1]F_ProductBM!M1395 = "", "", [1]F_ProductBM!M1395 ),"")</f>
        <v/>
      </c>
      <c r="N4101" s="381" t="str">
        <f>IFERROR(IF([1]F_ProductBM!N1395 = "", "", [1]F_ProductBM!N1395 ),"")</f>
        <v/>
      </c>
    </row>
    <row r="4102" spans="3:14">
      <c r="C4102" s="977"/>
      <c r="D4102" s="777" t="s">
        <v>1109</v>
      </c>
      <c r="E4102" s="2670" t="s">
        <v>879</v>
      </c>
      <c r="F4102" s="2608"/>
      <c r="G4102" s="998" t="s">
        <v>2015</v>
      </c>
      <c r="H4102" s="382" t="str">
        <f>IFERROR(IF([1]F_ProductBM!H1396 = "", "", [1]F_ProductBM!H1396 ),"")</f>
        <v/>
      </c>
      <c r="I4102" s="383" t="str">
        <f>IFERROR(IF([1]F_ProductBM!I1396 = "", "", [1]F_ProductBM!I1396 ),"")</f>
        <v/>
      </c>
      <c r="J4102" s="384" t="str">
        <f>IFERROR(IF([1]F_ProductBM!J1396 = "", "", [1]F_ProductBM!J1396 ),"")</f>
        <v/>
      </c>
      <c r="K4102" s="382" t="str">
        <f>IFERROR(IF([1]F_ProductBM!K1396 = "", "", [1]F_ProductBM!K1396 ),"")</f>
        <v/>
      </c>
      <c r="L4102" s="382" t="str">
        <f>IFERROR(IF([1]F_ProductBM!L1396 = "", "", [1]F_ProductBM!L1396 ),"")</f>
        <v/>
      </c>
      <c r="M4102" s="382" t="str">
        <f>IFERROR(IF([1]F_ProductBM!M1396 = "", "", [1]F_ProductBM!M1396 ),"")</f>
        <v/>
      </c>
      <c r="N4102" s="385" t="str">
        <f>IFERROR(IF([1]F_ProductBM!N1396 = "", "", [1]F_ProductBM!N1396 ),"")</f>
        <v/>
      </c>
    </row>
    <row r="4103" spans="3:14">
      <c r="C4103" s="977"/>
      <c r="D4103" s="777" t="s">
        <v>1110</v>
      </c>
      <c r="E4103" s="2473" t="s">
        <v>41</v>
      </c>
      <c r="F4103" s="2474"/>
      <c r="G4103" s="1001" t="s">
        <v>2017</v>
      </c>
      <c r="H4103" s="86" t="str">
        <f>IFERROR(IF([1]F_ProductBM!H1397 = "", "", [1]F_ProductBM!H1397 ),"")</f>
        <v/>
      </c>
      <c r="I4103" s="340" t="str">
        <f>IFERROR(IF([1]F_ProductBM!I1397 = "", "", [1]F_ProductBM!I1397 ),"")</f>
        <v/>
      </c>
      <c r="J4103" s="341" t="str">
        <f>IFERROR(IF([1]F_ProductBM!J1397 = "", "", [1]F_ProductBM!J1397 ),"")</f>
        <v/>
      </c>
      <c r="K4103" s="86" t="str">
        <f>IFERROR(IF([1]F_ProductBM!K1397 = "", "", [1]F_ProductBM!K1397 ),"")</f>
        <v/>
      </c>
      <c r="L4103" s="86" t="str">
        <f>IFERROR(IF([1]F_ProductBM!L1397 = "", "", [1]F_ProductBM!L1397 ),"")</f>
        <v/>
      </c>
      <c r="M4103" s="86" t="str">
        <f>IFERROR(IF([1]F_ProductBM!M1397 = "", "", [1]F_ProductBM!M1397 ),"")</f>
        <v/>
      </c>
      <c r="N4103" s="342" t="str">
        <f>IFERROR(IF([1]F_ProductBM!N1397 = "", "", [1]F_ProductBM!N1397 ),"")</f>
        <v/>
      </c>
    </row>
    <row r="4104" spans="3:14">
      <c r="C4104" s="977"/>
      <c r="D4104" s="777" t="s">
        <v>1106</v>
      </c>
      <c r="E4104" s="2687" t="s">
        <v>393</v>
      </c>
      <c r="F4104" s="2688"/>
      <c r="G4104" s="1002"/>
      <c r="H4104" s="343" t="str">
        <f>IFERROR(IF([1]F_ProductBM!H1398 = "", "", [1]F_ProductBM!H1398 ),"")</f>
        <v/>
      </c>
      <c r="I4104" s="344" t="str">
        <f>IFERROR(IF([1]F_ProductBM!I1398 = "", "", [1]F_ProductBM!I1398 ),"")</f>
        <v/>
      </c>
      <c r="J4104" s="345" t="str">
        <f>IFERROR(IF([1]F_ProductBM!J1398 = "", "", [1]F_ProductBM!J1398 ),"")</f>
        <v/>
      </c>
      <c r="K4104" s="343" t="str">
        <f>IFERROR(IF([1]F_ProductBM!K1398 = "", "", [1]F_ProductBM!K1398 ),"")</f>
        <v/>
      </c>
      <c r="L4104" s="343" t="str">
        <f>IFERROR(IF([1]F_ProductBM!L1398 = "", "", [1]F_ProductBM!L1398 ),"")</f>
        <v/>
      </c>
      <c r="M4104" s="343" t="str">
        <f>IFERROR(IF([1]F_ProductBM!M1398 = "", "", [1]F_ProductBM!M1398 ),"")</f>
        <v/>
      </c>
      <c r="N4104" s="346" t="str">
        <f>IFERROR(IF([1]F_ProductBM!N1398 = "", "", [1]F_ProductBM!N1398 ),"")</f>
        <v/>
      </c>
    </row>
    <row r="4105" spans="3:14">
      <c r="C4105" s="977"/>
      <c r="D4105" s="981"/>
      <c r="E4105" s="981"/>
      <c r="F4105" s="981"/>
      <c r="G4105" s="981"/>
      <c r="H4105" s="981"/>
      <c r="I4105" s="981"/>
      <c r="J4105" s="981"/>
      <c r="K4105" s="981"/>
      <c r="L4105" s="981"/>
      <c r="M4105" s="813"/>
      <c r="N4105" s="814"/>
    </row>
    <row r="4106" spans="3:14">
      <c r="C4106" s="977"/>
      <c r="D4106" s="982" t="s">
        <v>478</v>
      </c>
      <c r="E4106" s="2649" t="s">
        <v>1457</v>
      </c>
      <c r="F4106" s="2391"/>
      <c r="G4106" s="2391"/>
      <c r="H4106" s="2391"/>
      <c r="I4106" s="2391"/>
      <c r="J4106" s="2391"/>
      <c r="K4106" s="2391"/>
      <c r="L4106" s="2391"/>
      <c r="M4106" s="2391"/>
      <c r="N4106" s="2650"/>
    </row>
    <row r="4107" spans="3:14">
      <c r="C4107" s="977"/>
      <c r="D4107" s="777"/>
      <c r="E4107" s="2676" t="s">
        <v>2295</v>
      </c>
      <c r="F4107" s="2391"/>
      <c r="G4107" s="2391"/>
      <c r="H4107" s="2391"/>
      <c r="I4107" s="2391"/>
      <c r="J4107" s="2391"/>
      <c r="K4107" s="2391"/>
      <c r="L4107" s="2391"/>
      <c r="M4107" s="2391"/>
      <c r="N4107" s="2650"/>
    </row>
    <row r="4108" spans="3:14">
      <c r="C4108" s="977"/>
      <c r="D4108" s="981"/>
      <c r="E4108" s="2669" t="s">
        <v>2300</v>
      </c>
      <c r="F4108" s="2391"/>
      <c r="G4108" s="2391"/>
      <c r="H4108" s="2391"/>
      <c r="I4108" s="2391"/>
      <c r="J4108" s="2391"/>
      <c r="K4108" s="2391"/>
      <c r="L4108" s="2391"/>
      <c r="M4108" s="2391"/>
      <c r="N4108" s="2650"/>
    </row>
    <row r="4109" spans="3:14">
      <c r="C4109" s="977"/>
      <c r="D4109" s="981"/>
      <c r="E4109" s="2669" t="s">
        <v>1365</v>
      </c>
      <c r="F4109" s="2391"/>
      <c r="G4109" s="2391"/>
      <c r="H4109" s="2391"/>
      <c r="I4109" s="2391"/>
      <c r="J4109" s="2391"/>
      <c r="K4109" s="2391"/>
      <c r="L4109" s="2391"/>
      <c r="M4109" s="2391"/>
      <c r="N4109" s="2650"/>
    </row>
    <row r="4110" spans="3:14">
      <c r="C4110" s="977"/>
      <c r="D4110" s="982"/>
      <c r="E4110" s="989"/>
      <c r="F4110" s="990"/>
      <c r="G4110" s="987" t="s">
        <v>884</v>
      </c>
      <c r="H4110" s="782">
        <v>2019</v>
      </c>
      <c r="I4110" s="988">
        <v>2020</v>
      </c>
      <c r="J4110" s="781">
        <v>2021</v>
      </c>
      <c r="K4110" s="782">
        <v>2022</v>
      </c>
      <c r="L4110" s="782">
        <v>2023</v>
      </c>
      <c r="M4110" s="782">
        <v>2024</v>
      </c>
      <c r="N4110" s="783">
        <v>2025</v>
      </c>
    </row>
    <row r="4111" spans="3:14">
      <c r="C4111" s="977"/>
      <c r="D4111" s="777"/>
      <c r="E4111" s="2475" t="s">
        <v>1156</v>
      </c>
      <c r="F4111" s="2410"/>
      <c r="G4111" s="815" t="s">
        <v>2016</v>
      </c>
      <c r="H4111" s="93" t="str">
        <f>IFERROR(IF([1]F_ProductBM!H1405 = "", "", [1]F_ProductBM!H1405 ),"")</f>
        <v/>
      </c>
      <c r="I4111" s="116" t="str">
        <f>IFERROR(IF([1]F_ProductBM!I1405 = "", "", [1]F_ProductBM!I1405 ),"")</f>
        <v/>
      </c>
      <c r="J4111" s="117" t="str">
        <f>IFERROR(IF([1]F_ProductBM!J1405 = "", "", [1]F_ProductBM!J1405 ),"")</f>
        <v/>
      </c>
      <c r="K4111" s="93" t="str">
        <f>IFERROR(IF([1]F_ProductBM!K1405 = "", "", [1]F_ProductBM!K1405 ),"")</f>
        <v/>
      </c>
      <c r="L4111" s="93" t="str">
        <f>IFERROR(IF([1]F_ProductBM!L1405 = "", "", [1]F_ProductBM!L1405 ),"")</f>
        <v/>
      </c>
      <c r="M4111" s="93" t="str">
        <f>IFERROR(IF([1]F_ProductBM!M1405 = "", "", [1]F_ProductBM!M1405 ),"")</f>
        <v/>
      </c>
      <c r="N4111" s="118" t="str">
        <f>IFERROR(IF([1]F_ProductBM!N1405 = "", "", [1]F_ProductBM!N1405 ),"")</f>
        <v/>
      </c>
    </row>
    <row r="4112" spans="3:14">
      <c r="C4112" s="977"/>
      <c r="D4112" s="981"/>
      <c r="E4112" s="981"/>
      <c r="F4112" s="981"/>
      <c r="G4112" s="981"/>
      <c r="H4112" s="981"/>
      <c r="I4112" s="981"/>
      <c r="J4112" s="981"/>
      <c r="K4112" s="981"/>
      <c r="L4112" s="981"/>
      <c r="M4112" s="813"/>
      <c r="N4112" s="814"/>
    </row>
    <row r="4113" spans="3:14">
      <c r="C4113" s="977"/>
      <c r="D4113" s="982" t="s">
        <v>479</v>
      </c>
      <c r="E4113" s="2649" t="s">
        <v>1118</v>
      </c>
      <c r="F4113" s="2391"/>
      <c r="G4113" s="2391"/>
      <c r="H4113" s="2391"/>
      <c r="I4113" s="2391"/>
      <c r="J4113" s="2391"/>
      <c r="K4113" s="2391"/>
      <c r="L4113" s="2391"/>
      <c r="M4113" s="2391"/>
      <c r="N4113" s="2650"/>
    </row>
    <row r="4114" spans="3:14">
      <c r="C4114" s="977"/>
      <c r="D4114" s="777"/>
      <c r="E4114" s="2676" t="s">
        <v>2297</v>
      </c>
      <c r="F4114" s="2391"/>
      <c r="G4114" s="2391"/>
      <c r="H4114" s="2391"/>
      <c r="I4114" s="2391"/>
      <c r="J4114" s="2391"/>
      <c r="K4114" s="2391"/>
      <c r="L4114" s="2391"/>
      <c r="M4114" s="2391"/>
      <c r="N4114" s="2650"/>
    </row>
    <row r="4115" spans="3:14">
      <c r="C4115" s="977"/>
      <c r="D4115" s="981"/>
      <c r="E4115" s="2669" t="s">
        <v>2118</v>
      </c>
      <c r="F4115" s="2391"/>
      <c r="G4115" s="2391"/>
      <c r="H4115" s="2391"/>
      <c r="I4115" s="2391"/>
      <c r="J4115" s="2391"/>
      <c r="K4115" s="2391"/>
      <c r="L4115" s="2391"/>
      <c r="M4115" s="2391"/>
      <c r="N4115" s="2650"/>
    </row>
    <row r="4116" spans="3:14">
      <c r="C4116" s="977"/>
      <c r="D4116" s="981"/>
      <c r="E4116" s="2669" t="s">
        <v>1614</v>
      </c>
      <c r="F4116" s="2391"/>
      <c r="G4116" s="2391"/>
      <c r="H4116" s="2391"/>
      <c r="I4116" s="2391"/>
      <c r="J4116" s="2391"/>
      <c r="K4116" s="2391"/>
      <c r="L4116" s="2391"/>
      <c r="M4116" s="2391"/>
      <c r="N4116" s="2650"/>
    </row>
    <row r="4117" spans="3:14">
      <c r="C4117" s="977"/>
      <c r="D4117" s="981"/>
      <c r="E4117" s="2669" t="s">
        <v>1593</v>
      </c>
      <c r="F4117" s="2391"/>
      <c r="G4117" s="2391"/>
      <c r="H4117" s="2391"/>
      <c r="I4117" s="2391"/>
      <c r="J4117" s="2391"/>
      <c r="K4117" s="2391"/>
      <c r="L4117" s="2391"/>
      <c r="M4117" s="2391"/>
      <c r="N4117" s="2650"/>
    </row>
    <row r="4118" spans="3:14">
      <c r="C4118" s="977"/>
      <c r="D4118" s="981"/>
      <c r="E4118" s="2697" t="s">
        <v>1555</v>
      </c>
      <c r="F4118" s="2698"/>
      <c r="G4118" s="2698"/>
      <c r="H4118" s="2698"/>
      <c r="I4118" s="2698"/>
      <c r="J4118" s="2698"/>
      <c r="K4118" s="2698"/>
      <c r="L4118" s="2698"/>
      <c r="M4118" s="2698"/>
      <c r="N4118" s="2694"/>
    </row>
    <row r="4119" spans="3:14">
      <c r="C4119" s="977"/>
      <c r="D4119" s="981"/>
      <c r="E4119" s="2648" t="s">
        <v>1151</v>
      </c>
      <c r="F4119" s="2493"/>
      <c r="G4119" s="987" t="s">
        <v>884</v>
      </c>
      <c r="H4119" s="782">
        <v>2019</v>
      </c>
      <c r="I4119" s="988">
        <v>2020</v>
      </c>
      <c r="J4119" s="781">
        <v>2021</v>
      </c>
      <c r="K4119" s="782">
        <v>2022</v>
      </c>
      <c r="L4119" s="782">
        <v>2023</v>
      </c>
      <c r="M4119" s="782">
        <v>2024</v>
      </c>
      <c r="N4119" s="783">
        <v>2025</v>
      </c>
    </row>
    <row r="4120" spans="3:14">
      <c r="C4120" s="977"/>
      <c r="D4120" s="777" t="s">
        <v>6</v>
      </c>
      <c r="E4120" s="2475" t="s">
        <v>1087</v>
      </c>
      <c r="F4120" s="2410"/>
      <c r="G4120" s="815" t="s">
        <v>2017</v>
      </c>
      <c r="H4120" s="93" t="str">
        <f>IFERROR(IF([1]F_ProductBM!H1414 = "", "", [1]F_ProductBM!H1414 ),"")</f>
        <v/>
      </c>
      <c r="I4120" s="116" t="str">
        <f>IFERROR(IF([1]F_ProductBM!I1414 = "", "", [1]F_ProductBM!I1414 ),"")</f>
        <v/>
      </c>
      <c r="J4120" s="117" t="str">
        <f>IFERROR(IF([1]F_ProductBM!J1414 = "", "", [1]F_ProductBM!J1414 ),"")</f>
        <v/>
      </c>
      <c r="K4120" s="93" t="str">
        <f>IFERROR(IF([1]F_ProductBM!K1414 = "", "", [1]F_ProductBM!K1414 ),"")</f>
        <v/>
      </c>
      <c r="L4120" s="93" t="str">
        <f>IFERROR(IF([1]F_ProductBM!L1414 = "", "", [1]F_ProductBM!L1414 ),"")</f>
        <v/>
      </c>
      <c r="M4120" s="93" t="str">
        <f>IFERROR(IF([1]F_ProductBM!M1414 = "", "", [1]F_ProductBM!M1414 ),"")</f>
        <v/>
      </c>
      <c r="N4120" s="118" t="str">
        <f>IFERROR(IF([1]F_ProductBM!N1414 = "", "", [1]F_ProductBM!N1414 ),"")</f>
        <v/>
      </c>
    </row>
    <row r="4121" spans="3:14">
      <c r="C4121" s="977"/>
      <c r="D4121" s="777" t="s">
        <v>7</v>
      </c>
      <c r="E4121" s="2475" t="s">
        <v>1103</v>
      </c>
      <c r="F4121" s="2410"/>
      <c r="G4121" s="815" t="s">
        <v>2018</v>
      </c>
      <c r="H4121" s="93" t="str">
        <f>IFERROR(IF([1]F_ProductBM!H1415 = "", "", [1]F_ProductBM!H1415 ),"")</f>
        <v/>
      </c>
      <c r="I4121" s="116" t="str">
        <f>IFERROR(IF([1]F_ProductBM!I1415 = "", "", [1]F_ProductBM!I1415 ),"")</f>
        <v/>
      </c>
      <c r="J4121" s="117" t="str">
        <f>IFERROR(IF([1]F_ProductBM!J1415 = "", "", [1]F_ProductBM!J1415 ),"")</f>
        <v/>
      </c>
      <c r="K4121" s="93" t="str">
        <f>IFERROR(IF([1]F_ProductBM!K1415 = "", "", [1]F_ProductBM!K1415 ),"")</f>
        <v/>
      </c>
      <c r="L4121" s="93" t="str">
        <f>IFERROR(IF([1]F_ProductBM!L1415 = "", "", [1]F_ProductBM!L1415 ),"")</f>
        <v/>
      </c>
      <c r="M4121" s="93" t="str">
        <f>IFERROR(IF([1]F_ProductBM!M1415 = "", "", [1]F_ProductBM!M1415 ),"")</f>
        <v/>
      </c>
      <c r="N4121" s="118" t="str">
        <f>IFERROR(IF([1]F_ProductBM!N1415 = "", "", [1]F_ProductBM!N1415 ),"")</f>
        <v/>
      </c>
    </row>
    <row r="4122" spans="3:14">
      <c r="C4122" s="977"/>
      <c r="D4122" s="981"/>
      <c r="E4122" s="981"/>
      <c r="F4122" s="981"/>
      <c r="G4122" s="981"/>
      <c r="H4122" s="981"/>
      <c r="I4122" s="981"/>
      <c r="J4122" s="981"/>
      <c r="K4122" s="981"/>
      <c r="L4122" s="981"/>
      <c r="M4122" s="981"/>
      <c r="N4122" s="814"/>
    </row>
    <row r="4123" spans="3:14">
      <c r="C4123" s="977"/>
      <c r="D4123" s="981"/>
      <c r="E4123" s="2648" t="s">
        <v>1406</v>
      </c>
      <c r="F4123" s="2493"/>
      <c r="G4123" s="987" t="s">
        <v>884</v>
      </c>
      <c r="H4123" s="782">
        <v>2019</v>
      </c>
      <c r="I4123" s="988">
        <v>2020</v>
      </c>
      <c r="J4123" s="781">
        <v>2021</v>
      </c>
      <c r="K4123" s="782">
        <v>2022</v>
      </c>
      <c r="L4123" s="782">
        <v>2023</v>
      </c>
      <c r="M4123" s="782">
        <v>2024</v>
      </c>
      <c r="N4123" s="783">
        <v>2025</v>
      </c>
    </row>
    <row r="4124" spans="3:14">
      <c r="C4124" s="977"/>
      <c r="D4124" s="777" t="s">
        <v>8</v>
      </c>
      <c r="E4124" s="2475" t="s">
        <v>1556</v>
      </c>
      <c r="F4124" s="2410"/>
      <c r="G4124" s="815" t="s">
        <v>2017</v>
      </c>
      <c r="H4124" s="351" t="str">
        <f>IFERROR(IF([1]F_ProductBM!H1418 = "", "", [1]F_ProductBM!H1418 ),"")</f>
        <v/>
      </c>
      <c r="I4124" s="352" t="str">
        <f>IFERROR(IF([1]F_ProductBM!I1418 = "", "", [1]F_ProductBM!I1418 ),"")</f>
        <v/>
      </c>
      <c r="J4124" s="353" t="str">
        <f>IFERROR(IF([1]F_ProductBM!J1418 = "", "", [1]F_ProductBM!J1418 ),"")</f>
        <v/>
      </c>
      <c r="K4124" s="351" t="str">
        <f>IFERROR(IF([1]F_ProductBM!K1418 = "", "", [1]F_ProductBM!K1418 ),"")</f>
        <v/>
      </c>
      <c r="L4124" s="351" t="str">
        <f>IFERROR(IF([1]F_ProductBM!L1418 = "", "", [1]F_ProductBM!L1418 ),"")</f>
        <v/>
      </c>
      <c r="M4124" s="351" t="str">
        <f>IFERROR(IF([1]F_ProductBM!M1418 = "", "", [1]F_ProductBM!M1418 ),"")</f>
        <v/>
      </c>
      <c r="N4124" s="354" t="str">
        <f>IFERROR(IF([1]F_ProductBM!N1418 = "", "", [1]F_ProductBM!N1418 ),"")</f>
        <v/>
      </c>
    </row>
    <row r="4125" spans="3:14">
      <c r="C4125" s="977"/>
      <c r="D4125" s="777" t="s">
        <v>18</v>
      </c>
      <c r="E4125" s="2475" t="s">
        <v>1149</v>
      </c>
      <c r="F4125" s="2410"/>
      <c r="G4125" s="815" t="s">
        <v>2017</v>
      </c>
      <c r="H4125" s="93" t="str">
        <f>IFERROR(IF([1]F_ProductBM!H1419 = "", "", [1]F_ProductBM!H1419 ),"")</f>
        <v/>
      </c>
      <c r="I4125" s="116" t="str">
        <f>IFERROR(IF([1]F_ProductBM!I1419 = "", "", [1]F_ProductBM!I1419 ),"")</f>
        <v/>
      </c>
      <c r="J4125" s="117" t="str">
        <f>IFERROR(IF([1]F_ProductBM!J1419 = "", "", [1]F_ProductBM!J1419 ),"")</f>
        <v/>
      </c>
      <c r="K4125" s="93" t="str">
        <f>IFERROR(IF([1]F_ProductBM!K1419 = "", "", [1]F_ProductBM!K1419 ),"")</f>
        <v/>
      </c>
      <c r="L4125" s="93" t="str">
        <f>IFERROR(IF([1]F_ProductBM!L1419 = "", "", [1]F_ProductBM!L1419 ),"")</f>
        <v/>
      </c>
      <c r="M4125" s="93" t="str">
        <f>IFERROR(IF([1]F_ProductBM!M1419 = "", "", [1]F_ProductBM!M1419 ),"")</f>
        <v/>
      </c>
      <c r="N4125" s="118" t="str">
        <f>IFERROR(IF([1]F_ProductBM!N1419 = "", "", [1]F_ProductBM!N1419 ),"")</f>
        <v/>
      </c>
    </row>
    <row r="4126" spans="3:14">
      <c r="C4126" s="977"/>
      <c r="D4126" s="981"/>
      <c r="E4126" s="981"/>
      <c r="F4126" s="981"/>
      <c r="G4126" s="981"/>
      <c r="H4126" s="981"/>
      <c r="I4126" s="981"/>
      <c r="J4126" s="981"/>
      <c r="K4126" s="981"/>
      <c r="L4126" s="981"/>
      <c r="M4126" s="981"/>
      <c r="N4126" s="814"/>
    </row>
    <row r="4127" spans="3:14">
      <c r="C4127" s="977"/>
      <c r="D4127" s="981"/>
      <c r="E4127" s="2648" t="s">
        <v>1152</v>
      </c>
      <c r="F4127" s="2493"/>
      <c r="G4127" s="987" t="s">
        <v>884</v>
      </c>
      <c r="H4127" s="782">
        <v>2019</v>
      </c>
      <c r="I4127" s="988">
        <v>2020</v>
      </c>
      <c r="J4127" s="781">
        <v>2021</v>
      </c>
      <c r="K4127" s="782">
        <v>2022</v>
      </c>
      <c r="L4127" s="782">
        <v>2023</v>
      </c>
      <c r="M4127" s="782">
        <v>2024</v>
      </c>
      <c r="N4127" s="783">
        <v>2025</v>
      </c>
    </row>
    <row r="4128" spans="3:14">
      <c r="C4128" s="977"/>
      <c r="D4128" s="777" t="s">
        <v>787</v>
      </c>
      <c r="E4128" s="2475" t="s">
        <v>1079</v>
      </c>
      <c r="F4128" s="2410"/>
      <c r="G4128" s="815" t="s">
        <v>2017</v>
      </c>
      <c r="H4128" s="93" t="str">
        <f>IFERROR(IF([1]F_ProductBM!H1422 = "", "", [1]F_ProductBM!H1422 ),"")</f>
        <v/>
      </c>
      <c r="I4128" s="116" t="str">
        <f>IFERROR(IF([1]F_ProductBM!I1422 = "", "", [1]F_ProductBM!I1422 ),"")</f>
        <v/>
      </c>
      <c r="J4128" s="117" t="str">
        <f>IFERROR(IF([1]F_ProductBM!J1422 = "", "", [1]F_ProductBM!J1422 ),"")</f>
        <v/>
      </c>
      <c r="K4128" s="93" t="str">
        <f>IFERROR(IF([1]F_ProductBM!K1422 = "", "", [1]F_ProductBM!K1422 ),"")</f>
        <v/>
      </c>
      <c r="L4128" s="93" t="str">
        <f>IFERROR(IF([1]F_ProductBM!L1422 = "", "", [1]F_ProductBM!L1422 ),"")</f>
        <v/>
      </c>
      <c r="M4128" s="93" t="str">
        <f>IFERROR(IF([1]F_ProductBM!M1422 = "", "", [1]F_ProductBM!M1422 ),"")</f>
        <v/>
      </c>
      <c r="N4128" s="118" t="str">
        <f>IFERROR(IF([1]F_ProductBM!N1422 = "", "", [1]F_ProductBM!N1422 ),"")</f>
        <v/>
      </c>
    </row>
    <row r="4129" spans="3:14">
      <c r="C4129" s="977"/>
      <c r="D4129" s="777" t="s">
        <v>788</v>
      </c>
      <c r="E4129" s="2475" t="s">
        <v>1104</v>
      </c>
      <c r="F4129" s="2410"/>
      <c r="G4129" s="815" t="s">
        <v>2018</v>
      </c>
      <c r="H4129" s="93" t="str">
        <f>IFERROR(IF([1]F_ProductBM!H1423 = "", "", [1]F_ProductBM!H1423 ),"")</f>
        <v/>
      </c>
      <c r="I4129" s="116" t="str">
        <f>IFERROR(IF([1]F_ProductBM!I1423 = "", "", [1]F_ProductBM!I1423 ),"")</f>
        <v/>
      </c>
      <c r="J4129" s="117" t="str">
        <f>IFERROR(IF([1]F_ProductBM!J1423 = "", "", [1]F_ProductBM!J1423 ),"")</f>
        <v/>
      </c>
      <c r="K4129" s="93" t="str">
        <f>IFERROR(IF([1]F_ProductBM!K1423 = "", "", [1]F_ProductBM!K1423 ),"")</f>
        <v/>
      </c>
      <c r="L4129" s="93" t="str">
        <f>IFERROR(IF([1]F_ProductBM!L1423 = "", "", [1]F_ProductBM!L1423 ),"")</f>
        <v/>
      </c>
      <c r="M4129" s="93" t="str">
        <f>IFERROR(IF([1]F_ProductBM!M1423 = "", "", [1]F_ProductBM!M1423 ),"")</f>
        <v/>
      </c>
      <c r="N4129" s="118" t="str">
        <f>IFERROR(IF([1]F_ProductBM!N1423 = "", "", [1]F_ProductBM!N1423 ),"")</f>
        <v/>
      </c>
    </row>
    <row r="4130" spans="3:14">
      <c r="C4130" s="977"/>
      <c r="D4130" s="981"/>
      <c r="E4130" s="981"/>
      <c r="F4130" s="981"/>
      <c r="G4130" s="981"/>
      <c r="H4130" s="981"/>
      <c r="I4130" s="981"/>
      <c r="J4130" s="981"/>
      <c r="K4130" s="981"/>
      <c r="L4130" s="981"/>
      <c r="M4130" s="813"/>
      <c r="N4130" s="814"/>
    </row>
    <row r="4131" spans="3:14">
      <c r="C4131" s="977"/>
      <c r="D4131" s="982" t="s">
        <v>481</v>
      </c>
      <c r="E4131" s="2649" t="s">
        <v>1312</v>
      </c>
      <c r="F4131" s="2391"/>
      <c r="G4131" s="2391"/>
      <c r="H4131" s="2391"/>
      <c r="I4131" s="2391"/>
      <c r="J4131" s="2391"/>
      <c r="K4131" s="2391"/>
      <c r="L4131" s="2391"/>
      <c r="M4131" s="2391"/>
      <c r="N4131" s="2650"/>
    </row>
    <row r="4132" spans="3:14">
      <c r="C4132" s="977"/>
      <c r="D4132" s="981"/>
      <c r="E4132" s="986"/>
      <c r="F4132" s="986"/>
      <c r="G4132" s="986"/>
      <c r="H4132" s="986"/>
      <c r="I4132" s="986"/>
      <c r="J4132" s="986"/>
      <c r="K4132" s="986"/>
      <c r="L4132" s="986"/>
      <c r="M4132" s="986"/>
      <c r="N4132" s="1007"/>
    </row>
    <row r="4133" spans="3:14">
      <c r="C4133" s="977"/>
      <c r="D4133" s="777" t="s">
        <v>6</v>
      </c>
      <c r="E4133" s="2649" t="s">
        <v>1313</v>
      </c>
      <c r="F4133" s="2391"/>
      <c r="G4133" s="2391"/>
      <c r="H4133" s="2391"/>
      <c r="I4133" s="2391"/>
      <c r="J4133" s="2391"/>
      <c r="K4133" s="2512"/>
      <c r="L4133" s="120" t="str">
        <f>IFERROR(IF([1]F_ProductBM!L1427 = "", "", [1]F_ProductBM!L1427 ),"")</f>
        <v/>
      </c>
      <c r="M4133" s="978"/>
      <c r="N4133" s="979"/>
    </row>
    <row r="4134" spans="3:14">
      <c r="C4134" s="977"/>
      <c r="D4134" s="981"/>
      <c r="E4134" s="2669" t="s">
        <v>1314</v>
      </c>
      <c r="F4134" s="2391"/>
      <c r="G4134" s="2391"/>
      <c r="H4134" s="2391"/>
      <c r="I4134" s="2391"/>
      <c r="J4134" s="2391"/>
      <c r="K4134" s="2391"/>
      <c r="L4134" s="2391"/>
      <c r="M4134" s="2391"/>
      <c r="N4134" s="2650"/>
    </row>
    <row r="4135" spans="3:14">
      <c r="C4135" s="977"/>
      <c r="D4135" s="777" t="s">
        <v>7</v>
      </c>
      <c r="E4135" s="2649" t="s">
        <v>1219</v>
      </c>
      <c r="F4135" s="2391"/>
      <c r="G4135" s="2391"/>
      <c r="H4135" s="2512"/>
      <c r="I4135" s="2683" t="str">
        <f>IFERROR(IF([1]F_ProductBM!I1429 = "", "", [1]F_ProductBM!I1429 ),"")</f>
        <v/>
      </c>
      <c r="J4135" s="2488"/>
      <c r="K4135" s="2488"/>
      <c r="L4135" s="2488"/>
      <c r="M4135" s="2686"/>
      <c r="N4135" s="979"/>
    </row>
    <row r="4136" spans="3:14">
      <c r="C4136" s="977"/>
      <c r="D4136" s="981"/>
      <c r="E4136" s="2669" t="s">
        <v>1316</v>
      </c>
      <c r="F4136" s="2391"/>
      <c r="G4136" s="2391"/>
      <c r="H4136" s="2391"/>
      <c r="I4136" s="2391"/>
      <c r="J4136" s="2391"/>
      <c r="K4136" s="2391"/>
      <c r="L4136" s="2391"/>
      <c r="M4136" s="2391"/>
      <c r="N4136" s="2650"/>
    </row>
    <row r="4137" spans="3:14">
      <c r="C4137" s="977"/>
      <c r="D4137" s="981"/>
      <c r="E4137" s="2676" t="s">
        <v>1557</v>
      </c>
      <c r="F4137" s="2391"/>
      <c r="G4137" s="2391"/>
      <c r="H4137" s="2391"/>
      <c r="I4137" s="2391"/>
      <c r="J4137" s="2391"/>
      <c r="K4137" s="2391"/>
      <c r="L4137" s="2391"/>
      <c r="M4137" s="2391"/>
      <c r="N4137" s="2650"/>
    </row>
    <row r="4138" spans="3:14">
      <c r="C4138" s="977"/>
      <c r="D4138" s="981"/>
      <c r="E4138" s="989"/>
      <c r="F4138" s="990"/>
      <c r="G4138" s="987" t="s">
        <v>884</v>
      </c>
      <c r="H4138" s="782">
        <v>2019</v>
      </c>
      <c r="I4138" s="988">
        <v>2020</v>
      </c>
      <c r="J4138" s="781">
        <v>2021</v>
      </c>
      <c r="K4138" s="782">
        <v>2022</v>
      </c>
      <c r="L4138" s="782">
        <v>2023</v>
      </c>
      <c r="M4138" s="782">
        <v>2024</v>
      </c>
      <c r="N4138" s="783">
        <v>2025</v>
      </c>
    </row>
    <row r="4139" spans="3:14">
      <c r="C4139" s="977"/>
      <c r="D4139" s="777" t="s">
        <v>8</v>
      </c>
      <c r="E4139" s="2471" t="s">
        <v>1305</v>
      </c>
      <c r="F4139" s="2472"/>
      <c r="G4139" s="67" t="str">
        <f>IFERROR(IF([1]F_ProductBM!G1433 = "", "", [1]F_ProductBM!G1433 ),"")</f>
        <v/>
      </c>
      <c r="H4139" s="94" t="str">
        <f>IFERROR(IF([1]F_ProductBM!H1433 = "", "", [1]F_ProductBM!H1433 ),"")</f>
        <v/>
      </c>
      <c r="I4139" s="110" t="str">
        <f>IFERROR(IF([1]F_ProductBM!I1433 = "", "", [1]F_ProductBM!I1433 ),"")</f>
        <v/>
      </c>
      <c r="J4139" s="111" t="str">
        <f>IFERROR(IF([1]F_ProductBM!J1433 = "", "", [1]F_ProductBM!J1433 ),"")</f>
        <v/>
      </c>
      <c r="K4139" s="94" t="str">
        <f>IFERROR(IF([1]F_ProductBM!K1433 = "", "", [1]F_ProductBM!K1433 ),"")</f>
        <v/>
      </c>
      <c r="L4139" s="94" t="str">
        <f>IFERROR(IF([1]F_ProductBM!L1433 = "", "", [1]F_ProductBM!L1433 ),"")</f>
        <v/>
      </c>
      <c r="M4139" s="94" t="str">
        <f>IFERROR(IF([1]F_ProductBM!M1433 = "", "", [1]F_ProductBM!M1433 ),"")</f>
        <v/>
      </c>
      <c r="N4139" s="112" t="str">
        <f>IFERROR(IF([1]F_ProductBM!N1433 = "", "", [1]F_ProductBM!N1433 ),"")</f>
        <v/>
      </c>
    </row>
    <row r="4140" spans="3:14">
      <c r="C4140" s="977"/>
      <c r="D4140" s="777" t="s">
        <v>18</v>
      </c>
      <c r="E4140" s="2473" t="s">
        <v>661</v>
      </c>
      <c r="F4140" s="2474"/>
      <c r="G4140" s="350" t="str">
        <f>IFERROR(IF([1]F_ProductBM!G1434 = "", "", [1]F_ProductBM!G1434 ),"")</f>
        <v>GJ / Unit</v>
      </c>
      <c r="H4140" s="95" t="str">
        <f>IFERROR(IF([1]F_ProductBM!H1434 = "", "", [1]F_ProductBM!H1434 ),"")</f>
        <v/>
      </c>
      <c r="I4140" s="113" t="str">
        <f>IFERROR(IF([1]F_ProductBM!I1434 = "", "", [1]F_ProductBM!I1434 ),"")</f>
        <v/>
      </c>
      <c r="J4140" s="114" t="str">
        <f>IFERROR(IF([1]F_ProductBM!J1434 = "", "", [1]F_ProductBM!J1434 ),"")</f>
        <v/>
      </c>
      <c r="K4140" s="95" t="str">
        <f>IFERROR(IF([1]F_ProductBM!K1434 = "", "", [1]F_ProductBM!K1434 ),"")</f>
        <v/>
      </c>
      <c r="L4140" s="95" t="str">
        <f>IFERROR(IF([1]F_ProductBM!L1434 = "", "", [1]F_ProductBM!L1434 ),"")</f>
        <v/>
      </c>
      <c r="M4140" s="95" t="str">
        <f>IFERROR(IF([1]F_ProductBM!M1434 = "", "", [1]F_ProductBM!M1434 ),"")</f>
        <v/>
      </c>
      <c r="N4140" s="115" t="str">
        <f>IFERROR(IF([1]F_ProductBM!N1434 = "", "", [1]F_ProductBM!N1434 ),"")</f>
        <v/>
      </c>
    </row>
    <row r="4141" spans="3:14">
      <c r="C4141" s="977"/>
      <c r="D4141" s="777" t="s">
        <v>787</v>
      </c>
      <c r="E4141" s="2475" t="s">
        <v>1141</v>
      </c>
      <c r="F4141" s="2410"/>
      <c r="G4141" s="815" t="s">
        <v>2017</v>
      </c>
      <c r="H4141" s="351" t="str">
        <f>IFERROR(IF([1]F_ProductBM!H1435 = "", "", [1]F_ProductBM!H1435 ),"")</f>
        <v/>
      </c>
      <c r="I4141" s="352" t="str">
        <f>IFERROR(IF([1]F_ProductBM!I1435 = "", "", [1]F_ProductBM!I1435 ),"")</f>
        <v/>
      </c>
      <c r="J4141" s="353" t="str">
        <f>IFERROR(IF([1]F_ProductBM!J1435 = "", "", [1]F_ProductBM!J1435 ),"")</f>
        <v/>
      </c>
      <c r="K4141" s="351" t="str">
        <f>IFERROR(IF([1]F_ProductBM!K1435 = "", "", [1]F_ProductBM!K1435 ),"")</f>
        <v/>
      </c>
      <c r="L4141" s="351" t="str">
        <f>IFERROR(IF([1]F_ProductBM!L1435 = "", "", [1]F_ProductBM!L1435 ),"")</f>
        <v/>
      </c>
      <c r="M4141" s="351" t="str">
        <f>IFERROR(IF([1]F_ProductBM!M1435 = "", "", [1]F_ProductBM!M1435 ),"")</f>
        <v/>
      </c>
      <c r="N4141" s="354" t="str">
        <f>IFERROR(IF([1]F_ProductBM!N1435 = "", "", [1]F_ProductBM!N1435 ),"")</f>
        <v/>
      </c>
    </row>
    <row r="4142" spans="3:14">
      <c r="C4142" s="977"/>
      <c r="D4142" s="777" t="s">
        <v>788</v>
      </c>
      <c r="E4142" s="2475" t="s">
        <v>1258</v>
      </c>
      <c r="F4142" s="2410"/>
      <c r="G4142" s="815" t="s">
        <v>2018</v>
      </c>
      <c r="H4142" s="93" t="str">
        <f>IFERROR(IF([1]F_ProductBM!H1436 = "", "", [1]F_ProductBM!H1436 ),"")</f>
        <v/>
      </c>
      <c r="I4142" s="116" t="str">
        <f>IFERROR(IF([1]F_ProductBM!I1436 = "", "", [1]F_ProductBM!I1436 ),"")</f>
        <v/>
      </c>
      <c r="J4142" s="117" t="str">
        <f>IFERROR(IF([1]F_ProductBM!J1436 = "", "", [1]F_ProductBM!J1436 ),"")</f>
        <v/>
      </c>
      <c r="K4142" s="93" t="str">
        <f>IFERROR(IF([1]F_ProductBM!K1436 = "", "", [1]F_ProductBM!K1436 ),"")</f>
        <v/>
      </c>
      <c r="L4142" s="93" t="str">
        <f>IFERROR(IF([1]F_ProductBM!L1436 = "", "", [1]F_ProductBM!L1436 ),"")</f>
        <v/>
      </c>
      <c r="M4142" s="93" t="str">
        <f>IFERROR(IF([1]F_ProductBM!M1436 = "", "", [1]F_ProductBM!M1436 ),"")</f>
        <v/>
      </c>
      <c r="N4142" s="118" t="str">
        <f>IFERROR(IF([1]F_ProductBM!N1436 = "", "", [1]F_ProductBM!N1436 ),"")</f>
        <v/>
      </c>
    </row>
    <row r="4143" spans="3:14">
      <c r="C4143" s="977"/>
      <c r="D4143" s="981"/>
      <c r="E4143" s="981"/>
      <c r="F4143" s="981"/>
      <c r="G4143" s="981"/>
      <c r="H4143" s="983"/>
      <c r="I4143" s="981"/>
      <c r="J4143" s="981"/>
      <c r="K4143" s="981"/>
      <c r="L4143" s="981"/>
      <c r="M4143" s="813"/>
      <c r="N4143" s="814"/>
    </row>
    <row r="4144" spans="3:14">
      <c r="C4144" s="977"/>
      <c r="D4144" s="777" t="s">
        <v>789</v>
      </c>
      <c r="E4144" s="2649" t="s">
        <v>1301</v>
      </c>
      <c r="F4144" s="2391"/>
      <c r="G4144" s="2391"/>
      <c r="H4144" s="2512"/>
      <c r="I4144" s="2683" t="str">
        <f>IFERROR(IF([1]F_ProductBM!I1438 = "", "", [1]F_ProductBM!I1438 ),"")</f>
        <v/>
      </c>
      <c r="J4144" s="2488"/>
      <c r="K4144" s="2488"/>
      <c r="L4144" s="2488"/>
      <c r="M4144" s="2686"/>
      <c r="N4144" s="979"/>
    </row>
    <row r="4145" spans="3:14">
      <c r="C4145" s="977"/>
      <c r="D4145" s="777"/>
      <c r="E4145" s="2669" t="s">
        <v>1606</v>
      </c>
      <c r="F4145" s="2391"/>
      <c r="G4145" s="2391"/>
      <c r="H4145" s="2391"/>
      <c r="I4145" s="2391"/>
      <c r="J4145" s="2391"/>
      <c r="K4145" s="2391"/>
      <c r="L4145" s="2391"/>
      <c r="M4145" s="2391"/>
      <c r="N4145" s="2650"/>
    </row>
    <row r="4146" spans="3:14">
      <c r="C4146" s="977"/>
      <c r="D4146" s="981"/>
      <c r="E4146" s="2676" t="s">
        <v>1557</v>
      </c>
      <c r="F4146" s="2391"/>
      <c r="G4146" s="2391"/>
      <c r="H4146" s="2391"/>
      <c r="I4146" s="2391"/>
      <c r="J4146" s="2391"/>
      <c r="K4146" s="2391"/>
      <c r="L4146" s="2391"/>
      <c r="M4146" s="2391"/>
      <c r="N4146" s="2650"/>
    </row>
    <row r="4147" spans="3:14">
      <c r="C4147" s="977"/>
      <c r="D4147" s="981"/>
      <c r="E4147" s="989"/>
      <c r="F4147" s="990"/>
      <c r="G4147" s="987" t="s">
        <v>884</v>
      </c>
      <c r="H4147" s="782">
        <v>2019</v>
      </c>
      <c r="I4147" s="988">
        <v>2020</v>
      </c>
      <c r="J4147" s="781">
        <v>2021</v>
      </c>
      <c r="K4147" s="782">
        <v>2022</v>
      </c>
      <c r="L4147" s="782">
        <v>2023</v>
      </c>
      <c r="M4147" s="782">
        <v>2024</v>
      </c>
      <c r="N4147" s="783">
        <v>2025</v>
      </c>
    </row>
    <row r="4148" spans="3:14">
      <c r="C4148" s="977"/>
      <c r="D4148" s="777" t="s">
        <v>790</v>
      </c>
      <c r="E4148" s="2471" t="s">
        <v>1306</v>
      </c>
      <c r="F4148" s="2472"/>
      <c r="G4148" s="67" t="str">
        <f>IFERROR(IF([1]F_ProductBM!G1442 = "", "", [1]F_ProductBM!G1442 ),"")</f>
        <v/>
      </c>
      <c r="H4148" s="94" t="str">
        <f>IFERROR(IF([1]F_ProductBM!H1442 = "", "", [1]F_ProductBM!H1442 ),"")</f>
        <v/>
      </c>
      <c r="I4148" s="110" t="str">
        <f>IFERROR(IF([1]F_ProductBM!I1442 = "", "", [1]F_ProductBM!I1442 ),"")</f>
        <v/>
      </c>
      <c r="J4148" s="111" t="str">
        <f>IFERROR(IF([1]F_ProductBM!J1442 = "", "", [1]F_ProductBM!J1442 ),"")</f>
        <v/>
      </c>
      <c r="K4148" s="94" t="str">
        <f>IFERROR(IF([1]F_ProductBM!K1442 = "", "", [1]F_ProductBM!K1442 ),"")</f>
        <v/>
      </c>
      <c r="L4148" s="94" t="str">
        <f>IFERROR(IF([1]F_ProductBM!L1442 = "", "", [1]F_ProductBM!L1442 ),"")</f>
        <v/>
      </c>
      <c r="M4148" s="94" t="str">
        <f>IFERROR(IF([1]F_ProductBM!M1442 = "", "", [1]F_ProductBM!M1442 ),"")</f>
        <v/>
      </c>
      <c r="N4148" s="112" t="str">
        <f>IFERROR(IF([1]F_ProductBM!N1442 = "", "", [1]F_ProductBM!N1442 ),"")</f>
        <v/>
      </c>
    </row>
    <row r="4149" spans="3:14">
      <c r="C4149" s="977"/>
      <c r="D4149" s="777" t="s">
        <v>791</v>
      </c>
      <c r="E4149" s="2473" t="s">
        <v>661</v>
      </c>
      <c r="F4149" s="2474"/>
      <c r="G4149" s="350" t="str">
        <f>IFERROR(IF([1]F_ProductBM!G1443 = "", "", [1]F_ProductBM!G1443 ),"")</f>
        <v>GJ / Unit</v>
      </c>
      <c r="H4149" s="95" t="str">
        <f>IFERROR(IF([1]F_ProductBM!H1443 = "", "", [1]F_ProductBM!H1443 ),"")</f>
        <v/>
      </c>
      <c r="I4149" s="113" t="str">
        <f>IFERROR(IF([1]F_ProductBM!I1443 = "", "", [1]F_ProductBM!I1443 ),"")</f>
        <v/>
      </c>
      <c r="J4149" s="114" t="str">
        <f>IFERROR(IF([1]F_ProductBM!J1443 = "", "", [1]F_ProductBM!J1443 ),"")</f>
        <v/>
      </c>
      <c r="K4149" s="95" t="str">
        <f>IFERROR(IF([1]F_ProductBM!K1443 = "", "", [1]F_ProductBM!K1443 ),"")</f>
        <v/>
      </c>
      <c r="L4149" s="95" t="str">
        <f>IFERROR(IF([1]F_ProductBM!L1443 = "", "", [1]F_ProductBM!L1443 ),"")</f>
        <v/>
      </c>
      <c r="M4149" s="95" t="str">
        <f>IFERROR(IF([1]F_ProductBM!M1443 = "", "", [1]F_ProductBM!M1443 ),"")</f>
        <v/>
      </c>
      <c r="N4149" s="115" t="str">
        <f>IFERROR(IF([1]F_ProductBM!N1443 = "", "", [1]F_ProductBM!N1443 ),"")</f>
        <v/>
      </c>
    </row>
    <row r="4150" spans="3:14">
      <c r="C4150" s="977"/>
      <c r="D4150" s="777" t="s">
        <v>64</v>
      </c>
      <c r="E4150" s="2475" t="s">
        <v>1309</v>
      </c>
      <c r="F4150" s="2410"/>
      <c r="G4150" s="815" t="s">
        <v>2017</v>
      </c>
      <c r="H4150" s="351" t="str">
        <f>IFERROR(IF([1]F_ProductBM!H1444 = "", "", [1]F_ProductBM!H1444 ),"")</f>
        <v/>
      </c>
      <c r="I4150" s="352" t="str">
        <f>IFERROR(IF([1]F_ProductBM!I1444 = "", "", [1]F_ProductBM!I1444 ),"")</f>
        <v/>
      </c>
      <c r="J4150" s="353" t="str">
        <f>IFERROR(IF([1]F_ProductBM!J1444 = "", "", [1]F_ProductBM!J1444 ),"")</f>
        <v/>
      </c>
      <c r="K4150" s="351" t="str">
        <f>IFERROR(IF([1]F_ProductBM!K1444 = "", "", [1]F_ProductBM!K1444 ),"")</f>
        <v/>
      </c>
      <c r="L4150" s="351" t="str">
        <f>IFERROR(IF([1]F_ProductBM!L1444 = "", "", [1]F_ProductBM!L1444 ),"")</f>
        <v/>
      </c>
      <c r="M4150" s="351" t="str">
        <f>IFERROR(IF([1]F_ProductBM!M1444 = "", "", [1]F_ProductBM!M1444 ),"")</f>
        <v/>
      </c>
      <c r="N4150" s="354" t="str">
        <f>IFERROR(IF([1]F_ProductBM!N1444 = "", "", [1]F_ProductBM!N1444 ),"")</f>
        <v/>
      </c>
    </row>
    <row r="4151" spans="3:14">
      <c r="C4151" s="977"/>
      <c r="D4151" s="777" t="s">
        <v>65</v>
      </c>
      <c r="E4151" s="2475" t="s">
        <v>1307</v>
      </c>
      <c r="F4151" s="2410"/>
      <c r="G4151" s="815" t="s">
        <v>2018</v>
      </c>
      <c r="H4151" s="93" t="str">
        <f>IFERROR(IF([1]F_ProductBM!H1445 = "", "", [1]F_ProductBM!H1445 ),"")</f>
        <v/>
      </c>
      <c r="I4151" s="116" t="str">
        <f>IFERROR(IF([1]F_ProductBM!I1445 = "", "", [1]F_ProductBM!I1445 ),"")</f>
        <v/>
      </c>
      <c r="J4151" s="117" t="str">
        <f>IFERROR(IF([1]F_ProductBM!J1445 = "", "", [1]F_ProductBM!J1445 ),"")</f>
        <v/>
      </c>
      <c r="K4151" s="93" t="str">
        <f>IFERROR(IF([1]F_ProductBM!K1445 = "", "", [1]F_ProductBM!K1445 ),"")</f>
        <v/>
      </c>
      <c r="L4151" s="93" t="str">
        <f>IFERROR(IF([1]F_ProductBM!L1445 = "", "", [1]F_ProductBM!L1445 ),"")</f>
        <v/>
      </c>
      <c r="M4151" s="93" t="str">
        <f>IFERROR(IF([1]F_ProductBM!M1445 = "", "", [1]F_ProductBM!M1445 ),"")</f>
        <v/>
      </c>
      <c r="N4151" s="118" t="str">
        <f>IFERROR(IF([1]F_ProductBM!N1445 = "", "", [1]F_ProductBM!N1445 ),"")</f>
        <v/>
      </c>
    </row>
    <row r="4152" spans="3:14">
      <c r="C4152" s="977"/>
      <c r="D4152" s="981"/>
      <c r="E4152" s="981"/>
      <c r="F4152" s="981"/>
      <c r="G4152" s="981"/>
      <c r="H4152" s="983"/>
      <c r="I4152" s="981"/>
      <c r="J4152" s="981"/>
      <c r="K4152" s="981"/>
      <c r="L4152" s="981"/>
      <c r="M4152" s="813"/>
      <c r="N4152" s="814"/>
    </row>
    <row r="4153" spans="3:14">
      <c r="C4153" s="977"/>
      <c r="D4153" s="777" t="s">
        <v>66</v>
      </c>
      <c r="E4153" s="2649" t="s">
        <v>1287</v>
      </c>
      <c r="F4153" s="2391"/>
      <c r="G4153" s="2391"/>
      <c r="H4153" s="2512"/>
      <c r="I4153" s="2683" t="str">
        <f>IFERROR(IF([1]F_ProductBM!I1447 = "", "", [1]F_ProductBM!I1447 ),"")</f>
        <v/>
      </c>
      <c r="J4153" s="2488"/>
      <c r="K4153" s="2488"/>
      <c r="L4153" s="2488"/>
      <c r="M4153" s="2686"/>
      <c r="N4153" s="979"/>
    </row>
    <row r="4154" spans="3:14">
      <c r="C4154" s="977"/>
      <c r="D4154" s="777"/>
      <c r="E4154" s="2669" t="s">
        <v>1476</v>
      </c>
      <c r="F4154" s="2391"/>
      <c r="G4154" s="2391"/>
      <c r="H4154" s="2391"/>
      <c r="I4154" s="2391"/>
      <c r="J4154" s="2391"/>
      <c r="K4154" s="2391"/>
      <c r="L4154" s="2391"/>
      <c r="M4154" s="2391"/>
      <c r="N4154" s="2650"/>
    </row>
    <row r="4155" spans="3:14">
      <c r="C4155" s="977"/>
      <c r="D4155" s="981"/>
      <c r="E4155" s="2669" t="s">
        <v>1558</v>
      </c>
      <c r="F4155" s="2391"/>
      <c r="G4155" s="2391"/>
      <c r="H4155" s="2391"/>
      <c r="I4155" s="2391"/>
      <c r="J4155" s="2391"/>
      <c r="K4155" s="2391"/>
      <c r="L4155" s="2391"/>
      <c r="M4155" s="2391"/>
      <c r="N4155" s="2650"/>
    </row>
    <row r="4156" spans="3:14">
      <c r="C4156" s="977"/>
      <c r="D4156" s="981"/>
      <c r="E4156" s="2676" t="s">
        <v>1559</v>
      </c>
      <c r="F4156" s="2391"/>
      <c r="G4156" s="2391"/>
      <c r="H4156" s="2391"/>
      <c r="I4156" s="2391"/>
      <c r="J4156" s="2391"/>
      <c r="K4156" s="2391"/>
      <c r="L4156" s="2391"/>
      <c r="M4156" s="2391"/>
      <c r="N4156" s="2650"/>
    </row>
    <row r="4157" spans="3:14">
      <c r="C4157" s="977"/>
      <c r="D4157" s="981"/>
      <c r="E4157" s="989"/>
      <c r="F4157" s="990"/>
      <c r="G4157" s="987" t="s">
        <v>884</v>
      </c>
      <c r="H4157" s="782">
        <v>2019</v>
      </c>
      <c r="I4157" s="988">
        <v>2020</v>
      </c>
      <c r="J4157" s="781">
        <v>2021</v>
      </c>
      <c r="K4157" s="782">
        <v>2022</v>
      </c>
      <c r="L4157" s="782">
        <v>2023</v>
      </c>
      <c r="M4157" s="782">
        <v>2024</v>
      </c>
      <c r="N4157" s="783">
        <v>2025</v>
      </c>
    </row>
    <row r="4158" spans="3:14">
      <c r="C4158" s="977"/>
      <c r="D4158" s="777" t="s">
        <v>1105</v>
      </c>
      <c r="E4158" s="2471" t="s">
        <v>1302</v>
      </c>
      <c r="F4158" s="2472"/>
      <c r="G4158" s="67" t="str">
        <f>IFERROR(IF([1]F_ProductBM!G1452 = "", "", [1]F_ProductBM!G1452 ),"")</f>
        <v/>
      </c>
      <c r="H4158" s="94" t="str">
        <f>IFERROR(IF([1]F_ProductBM!H1452 = "", "", [1]F_ProductBM!H1452 ),"")</f>
        <v/>
      </c>
      <c r="I4158" s="110" t="str">
        <f>IFERROR(IF([1]F_ProductBM!I1452 = "", "", [1]F_ProductBM!I1452 ),"")</f>
        <v/>
      </c>
      <c r="J4158" s="111" t="str">
        <f>IFERROR(IF([1]F_ProductBM!J1452 = "", "", [1]F_ProductBM!J1452 ),"")</f>
        <v/>
      </c>
      <c r="K4158" s="94" t="str">
        <f>IFERROR(IF([1]F_ProductBM!K1452 = "", "", [1]F_ProductBM!K1452 ),"")</f>
        <v/>
      </c>
      <c r="L4158" s="94" t="str">
        <f>IFERROR(IF([1]F_ProductBM!L1452 = "", "", [1]F_ProductBM!L1452 ),"")</f>
        <v/>
      </c>
      <c r="M4158" s="94" t="str">
        <f>IFERROR(IF([1]F_ProductBM!M1452 = "", "", [1]F_ProductBM!M1452 ),"")</f>
        <v/>
      </c>
      <c r="N4158" s="112" t="str">
        <f>IFERROR(IF([1]F_ProductBM!N1452 = "", "", [1]F_ProductBM!N1452 ),"")</f>
        <v/>
      </c>
    </row>
    <row r="4159" spans="3:14">
      <c r="C4159" s="977"/>
      <c r="D4159" s="777" t="s">
        <v>1106</v>
      </c>
      <c r="E4159" s="2473" t="s">
        <v>661</v>
      </c>
      <c r="F4159" s="2474"/>
      <c r="G4159" s="350" t="str">
        <f>IFERROR(IF([1]F_ProductBM!G1453 = "", "", [1]F_ProductBM!G1453 ),"")</f>
        <v>GJ / Unit</v>
      </c>
      <c r="H4159" s="95" t="str">
        <f>IFERROR(IF([1]F_ProductBM!H1453 = "", "", [1]F_ProductBM!H1453 ),"")</f>
        <v/>
      </c>
      <c r="I4159" s="113" t="str">
        <f>IFERROR(IF([1]F_ProductBM!I1453 = "", "", [1]F_ProductBM!I1453 ),"")</f>
        <v/>
      </c>
      <c r="J4159" s="114" t="str">
        <f>IFERROR(IF([1]F_ProductBM!J1453 = "", "", [1]F_ProductBM!J1453 ),"")</f>
        <v/>
      </c>
      <c r="K4159" s="95" t="str">
        <f>IFERROR(IF([1]F_ProductBM!K1453 = "", "", [1]F_ProductBM!K1453 ),"")</f>
        <v/>
      </c>
      <c r="L4159" s="95" t="str">
        <f>IFERROR(IF([1]F_ProductBM!L1453 = "", "", [1]F_ProductBM!L1453 ),"")</f>
        <v/>
      </c>
      <c r="M4159" s="95" t="str">
        <f>IFERROR(IF([1]F_ProductBM!M1453 = "", "", [1]F_ProductBM!M1453 ),"")</f>
        <v/>
      </c>
      <c r="N4159" s="115" t="str">
        <f>IFERROR(IF([1]F_ProductBM!N1453 = "", "", [1]F_ProductBM!N1453 ),"")</f>
        <v/>
      </c>
    </row>
    <row r="4160" spans="3:14">
      <c r="C4160" s="977"/>
      <c r="D4160" s="777" t="s">
        <v>1107</v>
      </c>
      <c r="E4160" s="2475" t="s">
        <v>1288</v>
      </c>
      <c r="F4160" s="2410"/>
      <c r="G4160" s="815" t="s">
        <v>2017</v>
      </c>
      <c r="H4160" s="351" t="str">
        <f>IFERROR(IF([1]F_ProductBM!H1454 = "", "", [1]F_ProductBM!H1454 ),"")</f>
        <v/>
      </c>
      <c r="I4160" s="352" t="str">
        <f>IFERROR(IF([1]F_ProductBM!I1454 = "", "", [1]F_ProductBM!I1454 ),"")</f>
        <v/>
      </c>
      <c r="J4160" s="353" t="str">
        <f>IFERROR(IF([1]F_ProductBM!J1454 = "", "", [1]F_ProductBM!J1454 ),"")</f>
        <v/>
      </c>
      <c r="K4160" s="351" t="str">
        <f>IFERROR(IF([1]F_ProductBM!K1454 = "", "", [1]F_ProductBM!K1454 ),"")</f>
        <v/>
      </c>
      <c r="L4160" s="351" t="str">
        <f>IFERROR(IF([1]F_ProductBM!L1454 = "", "", [1]F_ProductBM!L1454 ),"")</f>
        <v/>
      </c>
      <c r="M4160" s="351" t="str">
        <f>IFERROR(IF([1]F_ProductBM!M1454 = "", "", [1]F_ProductBM!M1454 ),"")</f>
        <v/>
      </c>
      <c r="N4160" s="354" t="str">
        <f>IFERROR(IF([1]F_ProductBM!N1454 = "", "", [1]F_ProductBM!N1454 ),"")</f>
        <v/>
      </c>
    </row>
    <row r="4161" spans="3:14">
      <c r="C4161" s="977"/>
      <c r="D4161" s="777" t="s">
        <v>1108</v>
      </c>
      <c r="E4161" s="2475" t="s">
        <v>1308</v>
      </c>
      <c r="F4161" s="2410"/>
      <c r="G4161" s="815" t="s">
        <v>2018</v>
      </c>
      <c r="H4161" s="93" t="str">
        <f>IFERROR(IF([1]F_ProductBM!H1455 = "", "", [1]F_ProductBM!H1455 ),"")</f>
        <v/>
      </c>
      <c r="I4161" s="116" t="str">
        <f>IFERROR(IF([1]F_ProductBM!I1455 = "", "", [1]F_ProductBM!I1455 ),"")</f>
        <v/>
      </c>
      <c r="J4161" s="117" t="str">
        <f>IFERROR(IF([1]F_ProductBM!J1455 = "", "", [1]F_ProductBM!J1455 ),"")</f>
        <v/>
      </c>
      <c r="K4161" s="93" t="str">
        <f>IFERROR(IF([1]F_ProductBM!K1455 = "", "", [1]F_ProductBM!K1455 ),"")</f>
        <v/>
      </c>
      <c r="L4161" s="93" t="str">
        <f>IFERROR(IF([1]F_ProductBM!L1455 = "", "", [1]F_ProductBM!L1455 ),"")</f>
        <v/>
      </c>
      <c r="M4161" s="93" t="str">
        <f>IFERROR(IF([1]F_ProductBM!M1455 = "", "", [1]F_ProductBM!M1455 ),"")</f>
        <v/>
      </c>
      <c r="N4161" s="118" t="str">
        <f>IFERROR(IF([1]F_ProductBM!N1455 = "", "", [1]F_ProductBM!N1455 ),"")</f>
        <v/>
      </c>
    </row>
    <row r="4162" spans="3:14">
      <c r="C4162" s="977"/>
      <c r="D4162" s="981"/>
      <c r="E4162" s="981"/>
      <c r="F4162" s="981"/>
      <c r="G4162" s="981"/>
      <c r="H4162" s="983"/>
      <c r="I4162" s="981"/>
      <c r="J4162" s="981"/>
      <c r="K4162" s="981"/>
      <c r="L4162" s="981"/>
      <c r="M4162" s="813"/>
      <c r="N4162" s="814"/>
    </row>
    <row r="4163" spans="3:14">
      <c r="C4163" s="977"/>
      <c r="D4163" s="981"/>
      <c r="E4163" s="2475" t="s">
        <v>1844</v>
      </c>
      <c r="F4163" s="2475"/>
      <c r="G4163" s="1009" t="s">
        <v>471</v>
      </c>
      <c r="H4163" s="62" t="str">
        <f>IFERROR(IF([1]F_ProductBM!H1457 = "", "", [1]F_ProductBM!H1457 ),"")</f>
        <v/>
      </c>
      <c r="I4163" s="65" t="str">
        <f>IFERROR(IF([1]F_ProductBM!I1457 = "", "", [1]F_ProductBM!I1457 ),"")</f>
        <v/>
      </c>
      <c r="J4163" s="69" t="str">
        <f>IFERROR(IF([1]F_ProductBM!J1457 = "", "", [1]F_ProductBM!J1457 ),"")</f>
        <v/>
      </c>
      <c r="K4163" s="62" t="str">
        <f>IFERROR(IF([1]F_ProductBM!K1457 = "", "", [1]F_ProductBM!K1457 ),"")</f>
        <v/>
      </c>
      <c r="L4163" s="62" t="str">
        <f>IFERROR(IF([1]F_ProductBM!L1457 = "", "", [1]F_ProductBM!L1457 ),"")</f>
        <v/>
      </c>
      <c r="M4163" s="62" t="str">
        <f>IFERROR(IF([1]F_ProductBM!M1457 = "", "", [1]F_ProductBM!M1457 ),"")</f>
        <v/>
      </c>
      <c r="N4163" s="62" t="str">
        <f>IFERROR(IF([1]F_ProductBM!N1457 = "", "", [1]F_ProductBM!N1457 ),"")</f>
        <v/>
      </c>
    </row>
    <row r="4164" spans="3:14" ht="13.5" thickBot="1">
      <c r="C4164" s="977"/>
      <c r="D4164" s="981"/>
      <c r="E4164" s="981"/>
      <c r="F4164" s="981"/>
      <c r="G4164" s="981"/>
      <c r="H4164" s="983"/>
      <c r="I4164" s="981"/>
      <c r="J4164" s="981"/>
      <c r="K4164" s="981"/>
      <c r="L4164" s="981"/>
      <c r="M4164" s="813"/>
      <c r="N4164" s="814"/>
    </row>
    <row r="4165" spans="3:14">
      <c r="C4165" s="977"/>
      <c r="D4165" s="1010"/>
      <c r="E4165" s="1011"/>
      <c r="F4165" s="1011"/>
      <c r="G4165" s="1011"/>
      <c r="H4165" s="1012"/>
      <c r="I4165" s="1011"/>
      <c r="J4165" s="1011"/>
      <c r="K4165" s="1011"/>
      <c r="L4165" s="1011"/>
      <c r="M4165" s="942"/>
      <c r="N4165" s="943"/>
    </row>
    <row r="4166" spans="3:14">
      <c r="C4166" s="977"/>
      <c r="D4166" s="907" t="s">
        <v>1917</v>
      </c>
      <c r="E4166" s="2713" t="s">
        <v>1773</v>
      </c>
      <c r="F4166" s="2493"/>
      <c r="G4166" s="2493"/>
      <c r="H4166" s="910" t="s">
        <v>884</v>
      </c>
      <c r="I4166" s="911" t="s">
        <v>2213</v>
      </c>
      <c r="J4166" s="912">
        <v>2021</v>
      </c>
      <c r="K4166" s="913">
        <v>2022</v>
      </c>
      <c r="L4166" s="913">
        <v>2023</v>
      </c>
      <c r="M4166" s="913">
        <v>2024</v>
      </c>
      <c r="N4166" s="914">
        <v>2025</v>
      </c>
    </row>
    <row r="4167" spans="3:14">
      <c r="C4167" s="977"/>
      <c r="D4167" s="915" t="s">
        <v>6</v>
      </c>
      <c r="E4167" s="2714" t="s">
        <v>1691</v>
      </c>
      <c r="F4167" s="2410"/>
      <c r="G4167" s="2410"/>
      <c r="H4167" s="944" t="s">
        <v>471</v>
      </c>
      <c r="I4167" s="281" t="str">
        <f>IFERROR(IF([1]F_ProductBM!I1461 = "", "", [1]F_ProductBM!I1461 ),"")</f>
        <v/>
      </c>
      <c r="J4167" s="334" t="str">
        <f>IFERROR(IF([1]F_ProductBM!J1461 = "", "", [1]F_ProductBM!J1461 ),"")</f>
        <v/>
      </c>
      <c r="K4167" s="335" t="str">
        <f>IFERROR(IF([1]F_ProductBM!K1461 = "", "", [1]F_ProductBM!K1461 ),"")</f>
        <v/>
      </c>
      <c r="L4167" s="335" t="str">
        <f>IFERROR(IF([1]F_ProductBM!L1461 = "", "", [1]F_ProductBM!L1461 ),"")</f>
        <v/>
      </c>
      <c r="M4167" s="335" t="str">
        <f>IFERROR(IF([1]F_ProductBM!M1461 = "", "", [1]F_ProductBM!M1461 ),"")</f>
        <v/>
      </c>
      <c r="N4167" s="336" t="str">
        <f>IFERROR(IF([1]F_ProductBM!N1461 = "", "", [1]F_ProductBM!N1461 ),"")</f>
        <v/>
      </c>
    </row>
    <row r="4168" spans="3:14">
      <c r="C4168" s="977"/>
      <c r="D4168" s="915"/>
      <c r="E4168" s="2714" t="s">
        <v>1776</v>
      </c>
      <c r="F4168" s="2410"/>
      <c r="G4168" s="2410"/>
      <c r="H4168" s="921"/>
      <c r="I4168" s="916"/>
      <c r="J4168" s="319" t="str">
        <f>IFERROR(IF([1]F_ProductBM!J1462 = "", "", [1]F_ProductBM!J1462 ),"")</f>
        <v/>
      </c>
      <c r="K4168" s="320" t="str">
        <f>IFERROR(IF([1]F_ProductBM!K1462 = "", "", [1]F_ProductBM!K1462 ),"")</f>
        <v/>
      </c>
      <c r="L4168" s="320" t="str">
        <f>IFERROR(IF([1]F_ProductBM!L1462 = "", "", [1]F_ProductBM!L1462 ),"")</f>
        <v/>
      </c>
      <c r="M4168" s="320" t="str">
        <f>IFERROR(IF([1]F_ProductBM!M1462 = "", "", [1]F_ProductBM!M1462 ),"")</f>
        <v/>
      </c>
      <c r="N4168" s="321" t="str">
        <f>IFERROR(IF([1]F_ProductBM!N1462 = "", "", [1]F_ProductBM!N1462 ),"")</f>
        <v/>
      </c>
    </row>
    <row r="4169" spans="3:14">
      <c r="C4169" s="977"/>
      <c r="D4169" s="915" t="s">
        <v>7</v>
      </c>
      <c r="E4169" s="2714" t="s">
        <v>1654</v>
      </c>
      <c r="F4169" s="2410"/>
      <c r="G4169" s="2410"/>
      <c r="H4169" s="921"/>
      <c r="I4169" s="916"/>
      <c r="J4169" s="288" t="str">
        <f>IFERROR(IF([1]F_ProductBM!J1463 = "", "", [1]F_ProductBM!J1463 ),"")</f>
        <v/>
      </c>
      <c r="K4169" s="289" t="str">
        <f>IFERROR(IF([1]F_ProductBM!K1463 = "", "", [1]F_ProductBM!K1463 ),"")</f>
        <v/>
      </c>
      <c r="L4169" s="289" t="str">
        <f>IFERROR(IF([1]F_ProductBM!L1463 = "", "", [1]F_ProductBM!L1463 ),"")</f>
        <v/>
      </c>
      <c r="M4169" s="289" t="str">
        <f>IFERROR(IF([1]F_ProductBM!M1463 = "", "", [1]F_ProductBM!M1463 ),"")</f>
        <v/>
      </c>
      <c r="N4169" s="290" t="str">
        <f>IFERROR(IF([1]F_ProductBM!N1463 = "", "", [1]F_ProductBM!N1463 ),"")</f>
        <v/>
      </c>
    </row>
    <row r="4170" spans="3:14">
      <c r="C4170" s="977"/>
      <c r="D4170" s="915"/>
      <c r="E4170" s="2714" t="s">
        <v>1689</v>
      </c>
      <c r="F4170" s="2410"/>
      <c r="G4170" s="2410"/>
      <c r="H4170" s="944" t="s">
        <v>471</v>
      </c>
      <c r="I4170" s="281" t="str">
        <f>IFERROR(IF([1]F_ProductBM!I1464 = "", "", [1]F_ProductBM!I1464 ),"")</f>
        <v/>
      </c>
      <c r="J4170" s="282" t="str">
        <f>IFERROR(IF([1]F_ProductBM!J1464 = "", "", [1]F_ProductBM!J1464 ),"")</f>
        <v/>
      </c>
      <c r="K4170" s="283" t="str">
        <f>IFERROR(IF([1]F_ProductBM!K1464 = "", "", [1]F_ProductBM!K1464 ),"")</f>
        <v/>
      </c>
      <c r="L4170" s="283" t="str">
        <f>IFERROR(IF([1]F_ProductBM!L1464 = "", "", [1]F_ProductBM!L1464 ),"")</f>
        <v/>
      </c>
      <c r="M4170" s="283" t="str">
        <f>IFERROR(IF([1]F_ProductBM!M1464 = "", "", [1]F_ProductBM!M1464 ),"")</f>
        <v/>
      </c>
      <c r="N4170" s="284" t="str">
        <f>IFERROR(IF([1]F_ProductBM!N1464 = "", "", [1]F_ProductBM!N1464 ),"")</f>
        <v/>
      </c>
    </row>
    <row r="4171" spans="3:14">
      <c r="C4171" s="977"/>
      <c r="D4171" s="915"/>
      <c r="E4171" s="909"/>
      <c r="F4171" s="909"/>
      <c r="G4171" s="909"/>
      <c r="H4171" s="909"/>
      <c r="I4171" s="909"/>
      <c r="J4171" s="909"/>
      <c r="K4171" s="909"/>
      <c r="L4171" s="909"/>
      <c r="M4171" s="909"/>
      <c r="N4171" s="922"/>
    </row>
    <row r="4172" spans="3:14">
      <c r="C4172" s="977"/>
      <c r="D4172" s="915"/>
      <c r="E4172" s="2713" t="s">
        <v>1653</v>
      </c>
      <c r="F4172" s="2493"/>
      <c r="G4172" s="2493"/>
      <c r="H4172" s="2493"/>
      <c r="I4172" s="2708"/>
      <c r="J4172" s="912">
        <v>2021</v>
      </c>
      <c r="K4172" s="913">
        <v>2022</v>
      </c>
      <c r="L4172" s="913">
        <v>2023</v>
      </c>
      <c r="M4172" s="913">
        <v>2024</v>
      </c>
      <c r="N4172" s="914">
        <v>2025</v>
      </c>
    </row>
    <row r="4173" spans="3:14">
      <c r="C4173" s="977"/>
      <c r="D4173" s="915" t="s">
        <v>8</v>
      </c>
      <c r="E4173" s="2714" t="s">
        <v>2108</v>
      </c>
      <c r="F4173" s="2410"/>
      <c r="G4173" s="2410"/>
      <c r="H4173" s="2410"/>
      <c r="I4173" s="2715"/>
      <c r="J4173" s="69" t="str">
        <f>IFERROR(IF([1]F_ProductBM!J1467 = "", "", [1]F_ProductBM!J1467 ),"")</f>
        <v/>
      </c>
      <c r="K4173" s="62" t="str">
        <f>IFERROR(IF([1]F_ProductBM!K1467 = "", "", [1]F_ProductBM!K1467 ),"")</f>
        <v/>
      </c>
      <c r="L4173" s="62" t="str">
        <f>IFERROR(IF([1]F_ProductBM!L1467 = "", "", [1]F_ProductBM!L1467 ),"")</f>
        <v/>
      </c>
      <c r="M4173" s="62" t="str">
        <f>IFERROR(IF([1]F_ProductBM!M1467 = "", "", [1]F_ProductBM!M1467 ),"")</f>
        <v/>
      </c>
      <c r="N4173" s="70" t="str">
        <f>IFERROR(IF([1]F_ProductBM!N1467 = "", "", [1]F_ProductBM!N1467 ),"")</f>
        <v/>
      </c>
    </row>
    <row r="4174" spans="3:14" ht="13.5" thickBot="1">
      <c r="C4174" s="977"/>
      <c r="D4174" s="915"/>
      <c r="E4174" s="909"/>
      <c r="F4174" s="909"/>
      <c r="G4174" s="909"/>
      <c r="H4174" s="909"/>
      <c r="I4174" s="909"/>
      <c r="J4174" s="909"/>
      <c r="K4174" s="909"/>
      <c r="L4174" s="909"/>
      <c r="M4174" s="909"/>
      <c r="N4174" s="922"/>
    </row>
    <row r="4175" spans="3:14" ht="13.5" thickBot="1">
      <c r="C4175" s="977"/>
      <c r="D4175" s="915" t="s">
        <v>18</v>
      </c>
      <c r="E4175" s="2714" t="s">
        <v>1657</v>
      </c>
      <c r="F4175" s="2410"/>
      <c r="G4175" s="2410"/>
      <c r="H4175" s="2410"/>
      <c r="I4175" s="2715"/>
      <c r="J4175" s="291" t="str">
        <f>IFERROR(IF([1]F_ProductBM!J1469 = "", "", [1]F_ProductBM!J1469 ),"")</f>
        <v/>
      </c>
      <c r="K4175" s="292" t="str">
        <f>IFERROR(IF([1]F_ProductBM!K1469 = "", "", [1]F_ProductBM!K1469 ),"")</f>
        <v/>
      </c>
      <c r="L4175" s="292" t="str">
        <f>IFERROR(IF([1]F_ProductBM!L1469 = "", "", [1]F_ProductBM!L1469 ),"")</f>
        <v/>
      </c>
      <c r="M4175" s="292" t="str">
        <f>IFERROR(IF([1]F_ProductBM!M1469 = "", "", [1]F_ProductBM!M1469 ),"")</f>
        <v/>
      </c>
      <c r="N4175" s="293" t="str">
        <f>IFERROR(IF([1]F_ProductBM!N1469 = "", "", [1]F_ProductBM!N1469 ),"")</f>
        <v/>
      </c>
    </row>
    <row r="4176" spans="3:14" ht="13.5" thickBot="1">
      <c r="C4176" s="977"/>
      <c r="D4176" s="915" t="s">
        <v>787</v>
      </c>
      <c r="E4176" s="2714" t="s">
        <v>1659</v>
      </c>
      <c r="F4176" s="2410"/>
      <c r="G4176" s="2410"/>
      <c r="H4176" s="944" t="s">
        <v>471</v>
      </c>
      <c r="I4176" s="281" t="str">
        <f>IFERROR(IF([1]F_ProductBM!I1470 = "", "", [1]F_ProductBM!I1470 ),"")</f>
        <v/>
      </c>
      <c r="J4176" s="294" t="str">
        <f>IFERROR(IF([1]F_ProductBM!J1470 = "", "", [1]F_ProductBM!J1470 ),"")</f>
        <v/>
      </c>
      <c r="K4176" s="295" t="str">
        <f>IFERROR(IF([1]F_ProductBM!K1470 = "", "", [1]F_ProductBM!K1470 ),"")</f>
        <v/>
      </c>
      <c r="L4176" s="295" t="str">
        <f>IFERROR(IF([1]F_ProductBM!L1470 = "", "", [1]F_ProductBM!L1470 ),"")</f>
        <v/>
      </c>
      <c r="M4176" s="295" t="str">
        <f>IFERROR(IF([1]F_ProductBM!M1470 = "", "", [1]F_ProductBM!M1470 ),"")</f>
        <v/>
      </c>
      <c r="N4176" s="296" t="str">
        <f>IFERROR(IF([1]F_ProductBM!N1470 = "", "", [1]F_ProductBM!N1470 ),"")</f>
        <v/>
      </c>
    </row>
    <row r="4177" spans="3:14" ht="13.5" thickBot="1">
      <c r="C4177" s="977"/>
      <c r="D4177" s="946"/>
      <c r="E4177" s="947"/>
      <c r="F4177" s="947"/>
      <c r="G4177" s="947"/>
      <c r="H4177" s="1014"/>
      <c r="I4177" s="947"/>
      <c r="J4177" s="947"/>
      <c r="K4177" s="947"/>
      <c r="L4177" s="947"/>
      <c r="M4177" s="925"/>
      <c r="N4177" s="926"/>
    </row>
    <row r="4178" spans="3:14">
      <c r="C4178" s="977"/>
      <c r="D4178" s="981"/>
      <c r="E4178" s="981"/>
      <c r="F4178" s="981"/>
      <c r="G4178" s="981"/>
      <c r="H4178" s="983"/>
      <c r="I4178" s="981"/>
      <c r="J4178" s="981"/>
      <c r="K4178" s="981"/>
      <c r="L4178" s="981"/>
      <c r="M4178" s="813"/>
      <c r="N4178" s="814"/>
    </row>
    <row r="4179" spans="3:14">
      <c r="C4179" s="977"/>
      <c r="D4179" s="777" t="s">
        <v>1109</v>
      </c>
      <c r="E4179" s="2649" t="s">
        <v>1218</v>
      </c>
      <c r="F4179" s="2391"/>
      <c r="G4179" s="2391"/>
      <c r="H4179" s="2512"/>
      <c r="I4179" s="2683" t="str">
        <f>IFERROR(IF([1]F_ProductBM!I1473 = "", "", [1]F_ProductBM!I1473 ),"")</f>
        <v/>
      </c>
      <c r="J4179" s="2488"/>
      <c r="K4179" s="2488"/>
      <c r="L4179" s="2488"/>
      <c r="M4179" s="2686"/>
      <c r="N4179" s="814"/>
    </row>
    <row r="4180" spans="3:14">
      <c r="C4180" s="977"/>
      <c r="D4180" s="777"/>
      <c r="E4180" s="2676" t="s">
        <v>2298</v>
      </c>
      <c r="F4180" s="2391"/>
      <c r="G4180" s="2391"/>
      <c r="H4180" s="2391"/>
      <c r="I4180" s="2391"/>
      <c r="J4180" s="2391"/>
      <c r="K4180" s="2391"/>
      <c r="L4180" s="2391"/>
      <c r="M4180" s="2391"/>
      <c r="N4180" s="2650"/>
    </row>
    <row r="4181" spans="3:14">
      <c r="C4181" s="977"/>
      <c r="D4181" s="777"/>
      <c r="E4181" s="2669" t="s">
        <v>1560</v>
      </c>
      <c r="F4181" s="2391"/>
      <c r="G4181" s="2391"/>
      <c r="H4181" s="2391"/>
      <c r="I4181" s="2391"/>
      <c r="J4181" s="2391"/>
      <c r="K4181" s="2391"/>
      <c r="L4181" s="2391"/>
      <c r="M4181" s="2391"/>
      <c r="N4181" s="2650"/>
    </row>
    <row r="4182" spans="3:14">
      <c r="C4182" s="977"/>
      <c r="D4182" s="981"/>
      <c r="E4182" s="989"/>
      <c r="F4182" s="990"/>
      <c r="G4182" s="987" t="s">
        <v>884</v>
      </c>
      <c r="H4182" s="782">
        <v>2019</v>
      </c>
      <c r="I4182" s="988">
        <v>2020</v>
      </c>
      <c r="J4182" s="781">
        <v>2021</v>
      </c>
      <c r="K4182" s="782">
        <v>2022</v>
      </c>
      <c r="L4182" s="782">
        <v>2023</v>
      </c>
      <c r="M4182" s="782">
        <v>2024</v>
      </c>
      <c r="N4182" s="783">
        <v>2025</v>
      </c>
    </row>
    <row r="4183" spans="3:14">
      <c r="C4183" s="977"/>
      <c r="D4183" s="777" t="s">
        <v>1110</v>
      </c>
      <c r="E4183" s="2471" t="s">
        <v>1303</v>
      </c>
      <c r="F4183" s="2472"/>
      <c r="G4183" s="67" t="str">
        <f>IFERROR(IF([1]F_ProductBM!G1477 = "", "", [1]F_ProductBM!G1477 ),"")</f>
        <v/>
      </c>
      <c r="H4183" s="94" t="str">
        <f>IFERROR(IF([1]F_ProductBM!H1477 = "", "", [1]F_ProductBM!H1477 ),"")</f>
        <v/>
      </c>
      <c r="I4183" s="110" t="str">
        <f>IFERROR(IF([1]F_ProductBM!I1477 = "", "", [1]F_ProductBM!I1477 ),"")</f>
        <v/>
      </c>
      <c r="J4183" s="111" t="str">
        <f>IFERROR(IF([1]F_ProductBM!J1477 = "", "", [1]F_ProductBM!J1477 ),"")</f>
        <v/>
      </c>
      <c r="K4183" s="94" t="str">
        <f>IFERROR(IF([1]F_ProductBM!K1477 = "", "", [1]F_ProductBM!K1477 ),"")</f>
        <v/>
      </c>
      <c r="L4183" s="94" t="str">
        <f>IFERROR(IF([1]F_ProductBM!L1477 = "", "", [1]F_ProductBM!L1477 ),"")</f>
        <v/>
      </c>
      <c r="M4183" s="94" t="str">
        <f>IFERROR(IF([1]F_ProductBM!M1477 = "", "", [1]F_ProductBM!M1477 ),"")</f>
        <v/>
      </c>
      <c r="N4183" s="112" t="str">
        <f>IFERROR(IF([1]F_ProductBM!N1477 = "", "", [1]F_ProductBM!N1477 ),"")</f>
        <v/>
      </c>
    </row>
    <row r="4184" spans="3:14">
      <c r="C4184" s="977"/>
      <c r="D4184" s="777" t="s">
        <v>1111</v>
      </c>
      <c r="E4184" s="2473" t="s">
        <v>661</v>
      </c>
      <c r="F4184" s="2474"/>
      <c r="G4184" s="350" t="str">
        <f>IFERROR(IF([1]F_ProductBM!G1478 = "", "", [1]F_ProductBM!G1478 ),"")</f>
        <v>GJ / Unit</v>
      </c>
      <c r="H4184" s="95" t="str">
        <f>IFERROR(IF([1]F_ProductBM!H1478 = "", "", [1]F_ProductBM!H1478 ),"")</f>
        <v/>
      </c>
      <c r="I4184" s="113" t="str">
        <f>IFERROR(IF([1]F_ProductBM!I1478 = "", "", [1]F_ProductBM!I1478 ),"")</f>
        <v/>
      </c>
      <c r="J4184" s="114" t="str">
        <f>IFERROR(IF([1]F_ProductBM!J1478 = "", "", [1]F_ProductBM!J1478 ),"")</f>
        <v/>
      </c>
      <c r="K4184" s="95" t="str">
        <f>IFERROR(IF([1]F_ProductBM!K1478 = "", "", [1]F_ProductBM!K1478 ),"")</f>
        <v/>
      </c>
      <c r="L4184" s="95" t="str">
        <f>IFERROR(IF([1]F_ProductBM!L1478 = "", "", [1]F_ProductBM!L1478 ),"")</f>
        <v/>
      </c>
      <c r="M4184" s="95" t="str">
        <f>IFERROR(IF([1]F_ProductBM!M1478 = "", "", [1]F_ProductBM!M1478 ),"")</f>
        <v/>
      </c>
      <c r="N4184" s="115" t="str">
        <f>IFERROR(IF([1]F_ProductBM!N1478 = "", "", [1]F_ProductBM!N1478 ),"")</f>
        <v/>
      </c>
    </row>
    <row r="4185" spans="3:14">
      <c r="C4185" s="977"/>
      <c r="D4185" s="777" t="s">
        <v>1112</v>
      </c>
      <c r="E4185" s="2475" t="s">
        <v>1102</v>
      </c>
      <c r="F4185" s="2410"/>
      <c r="G4185" s="815" t="s">
        <v>2017</v>
      </c>
      <c r="H4185" s="93" t="str">
        <f>IFERROR(IF([1]F_ProductBM!H1479 = "", "", [1]F_ProductBM!H1479 ),"")</f>
        <v/>
      </c>
      <c r="I4185" s="116" t="str">
        <f>IFERROR(IF([1]F_ProductBM!I1479 = "", "", [1]F_ProductBM!I1479 ),"")</f>
        <v/>
      </c>
      <c r="J4185" s="117" t="str">
        <f>IFERROR(IF([1]F_ProductBM!J1479 = "", "", [1]F_ProductBM!J1479 ),"")</f>
        <v/>
      </c>
      <c r="K4185" s="93" t="str">
        <f>IFERROR(IF([1]F_ProductBM!K1479 = "", "", [1]F_ProductBM!K1479 ),"")</f>
        <v/>
      </c>
      <c r="L4185" s="93" t="str">
        <f>IFERROR(IF([1]F_ProductBM!L1479 = "", "", [1]F_ProductBM!L1479 ),"")</f>
        <v/>
      </c>
      <c r="M4185" s="93" t="str">
        <f>IFERROR(IF([1]F_ProductBM!M1479 = "", "", [1]F_ProductBM!M1479 ),"")</f>
        <v/>
      </c>
      <c r="N4185" s="118" t="str">
        <f>IFERROR(IF([1]F_ProductBM!N1479 = "", "", [1]F_ProductBM!N1479 ),"")</f>
        <v/>
      </c>
    </row>
    <row r="4186" spans="3:14">
      <c r="C4186" s="977"/>
      <c r="D4186" s="777" t="s">
        <v>1113</v>
      </c>
      <c r="E4186" s="2475" t="s">
        <v>1275</v>
      </c>
      <c r="F4186" s="2410"/>
      <c r="G4186" s="815" t="s">
        <v>2018</v>
      </c>
      <c r="H4186" s="93" t="str">
        <f>IFERROR(IF([1]F_ProductBM!H1480 = "", "", [1]F_ProductBM!H1480 ),"")</f>
        <v/>
      </c>
      <c r="I4186" s="116" t="str">
        <f>IFERROR(IF([1]F_ProductBM!I1480 = "", "", [1]F_ProductBM!I1480 ),"")</f>
        <v/>
      </c>
      <c r="J4186" s="117" t="str">
        <f>IFERROR(IF([1]F_ProductBM!J1480 = "", "", [1]F_ProductBM!J1480 ),"")</f>
        <v/>
      </c>
      <c r="K4186" s="93" t="str">
        <f>IFERROR(IF([1]F_ProductBM!K1480 = "", "", [1]F_ProductBM!K1480 ),"")</f>
        <v/>
      </c>
      <c r="L4186" s="93" t="str">
        <f>IFERROR(IF([1]F_ProductBM!L1480 = "", "", [1]F_ProductBM!L1480 ),"")</f>
        <v/>
      </c>
      <c r="M4186" s="93" t="str">
        <f>IFERROR(IF([1]F_ProductBM!M1480 = "", "", [1]F_ProductBM!M1480 ),"")</f>
        <v/>
      </c>
      <c r="N4186" s="118" t="str">
        <f>IFERROR(IF([1]F_ProductBM!N1480 = "", "", [1]F_ProductBM!N1480 ),"")</f>
        <v/>
      </c>
    </row>
    <row r="4187" spans="3:14">
      <c r="C4187" s="977"/>
      <c r="D4187" s="981"/>
      <c r="E4187" s="981"/>
      <c r="F4187" s="981"/>
      <c r="G4187" s="981"/>
      <c r="H4187" s="983"/>
      <c r="I4187" s="981"/>
      <c r="J4187" s="981"/>
      <c r="K4187" s="981"/>
      <c r="L4187" s="981"/>
      <c r="M4187" s="813"/>
      <c r="N4187" s="814"/>
    </row>
    <row r="4188" spans="3:14">
      <c r="C4188" s="977"/>
      <c r="D4188" s="777" t="s">
        <v>1114</v>
      </c>
      <c r="E4188" s="2649" t="s">
        <v>1217</v>
      </c>
      <c r="F4188" s="2391"/>
      <c r="G4188" s="2391"/>
      <c r="H4188" s="2512"/>
      <c r="I4188" s="2683" t="str">
        <f>IFERROR(IF([1]F_ProductBM!I1482 = "", "", [1]F_ProductBM!I1482 ),"")</f>
        <v/>
      </c>
      <c r="J4188" s="2488"/>
      <c r="K4188" s="2488"/>
      <c r="L4188" s="2488"/>
      <c r="M4188" s="2686"/>
      <c r="N4188" s="979"/>
    </row>
    <row r="4189" spans="3:14">
      <c r="C4189" s="977"/>
      <c r="D4189" s="777"/>
      <c r="E4189" s="2676" t="s">
        <v>2298</v>
      </c>
      <c r="F4189" s="2391"/>
      <c r="G4189" s="2391"/>
      <c r="H4189" s="2391"/>
      <c r="I4189" s="2391"/>
      <c r="J4189" s="2391"/>
      <c r="K4189" s="2391"/>
      <c r="L4189" s="2391"/>
      <c r="M4189" s="2391"/>
      <c r="N4189" s="2650"/>
    </row>
    <row r="4190" spans="3:14">
      <c r="C4190" s="977"/>
      <c r="D4190" s="777"/>
      <c r="E4190" s="2669" t="s">
        <v>1317</v>
      </c>
      <c r="F4190" s="2391"/>
      <c r="G4190" s="2391"/>
      <c r="H4190" s="2391"/>
      <c r="I4190" s="2391"/>
      <c r="J4190" s="2391"/>
      <c r="K4190" s="2391"/>
      <c r="L4190" s="2391"/>
      <c r="M4190" s="2391"/>
      <c r="N4190" s="2650"/>
    </row>
    <row r="4191" spans="3:14">
      <c r="C4191" s="977"/>
      <c r="D4191" s="981"/>
      <c r="E4191" s="989"/>
      <c r="F4191" s="990"/>
      <c r="G4191" s="987" t="s">
        <v>884</v>
      </c>
      <c r="H4191" s="782">
        <v>2019</v>
      </c>
      <c r="I4191" s="988">
        <v>2020</v>
      </c>
      <c r="J4191" s="781">
        <v>2021</v>
      </c>
      <c r="K4191" s="782">
        <v>2022</v>
      </c>
      <c r="L4191" s="782">
        <v>2023</v>
      </c>
      <c r="M4191" s="782">
        <v>2024</v>
      </c>
      <c r="N4191" s="783">
        <v>2025</v>
      </c>
    </row>
    <row r="4192" spans="3:14">
      <c r="C4192" s="977"/>
      <c r="D4192" s="777" t="s">
        <v>1115</v>
      </c>
      <c r="E4192" s="2471" t="s">
        <v>1304</v>
      </c>
      <c r="F4192" s="2472"/>
      <c r="G4192" s="67" t="str">
        <f>IFERROR(IF([1]F_ProductBM!G1486 = "", "", [1]F_ProductBM!G1486 ),"")</f>
        <v/>
      </c>
      <c r="H4192" s="94" t="str">
        <f>IFERROR(IF([1]F_ProductBM!H1486 = "", "", [1]F_ProductBM!H1486 ),"")</f>
        <v/>
      </c>
      <c r="I4192" s="110" t="str">
        <f>IFERROR(IF([1]F_ProductBM!I1486 = "", "", [1]F_ProductBM!I1486 ),"")</f>
        <v/>
      </c>
      <c r="J4192" s="111" t="str">
        <f>IFERROR(IF([1]F_ProductBM!J1486 = "", "", [1]F_ProductBM!J1486 ),"")</f>
        <v/>
      </c>
      <c r="K4192" s="94" t="str">
        <f>IFERROR(IF([1]F_ProductBM!K1486 = "", "", [1]F_ProductBM!K1486 ),"")</f>
        <v/>
      </c>
      <c r="L4192" s="94" t="str">
        <f>IFERROR(IF([1]F_ProductBM!L1486 = "", "", [1]F_ProductBM!L1486 ),"")</f>
        <v/>
      </c>
      <c r="M4192" s="94" t="str">
        <f>IFERROR(IF([1]F_ProductBM!M1486 = "", "", [1]F_ProductBM!M1486 ),"")</f>
        <v/>
      </c>
      <c r="N4192" s="112" t="str">
        <f>IFERROR(IF([1]F_ProductBM!N1486 = "", "", [1]F_ProductBM!N1486 ),"")</f>
        <v/>
      </c>
    </row>
    <row r="4193" spans="3:14">
      <c r="C4193" s="977"/>
      <c r="D4193" s="777" t="s">
        <v>1561</v>
      </c>
      <c r="E4193" s="2473" t="s">
        <v>661</v>
      </c>
      <c r="F4193" s="2474"/>
      <c r="G4193" s="350" t="str">
        <f>IFERROR(IF([1]F_ProductBM!G1487 = "", "", [1]F_ProductBM!G1487 ),"")</f>
        <v>GJ / Unit</v>
      </c>
      <c r="H4193" s="95" t="str">
        <f>IFERROR(IF([1]F_ProductBM!H1487 = "", "", [1]F_ProductBM!H1487 ),"")</f>
        <v/>
      </c>
      <c r="I4193" s="113" t="str">
        <f>IFERROR(IF([1]F_ProductBM!I1487 = "", "", [1]F_ProductBM!I1487 ),"")</f>
        <v/>
      </c>
      <c r="J4193" s="114" t="str">
        <f>IFERROR(IF([1]F_ProductBM!J1487 = "", "", [1]F_ProductBM!J1487 ),"")</f>
        <v/>
      </c>
      <c r="K4193" s="95" t="str">
        <f>IFERROR(IF([1]F_ProductBM!K1487 = "", "", [1]F_ProductBM!K1487 ),"")</f>
        <v/>
      </c>
      <c r="L4193" s="95" t="str">
        <f>IFERROR(IF([1]F_ProductBM!L1487 = "", "", [1]F_ProductBM!L1487 ),"")</f>
        <v/>
      </c>
      <c r="M4193" s="95" t="str">
        <f>IFERROR(IF([1]F_ProductBM!M1487 = "", "", [1]F_ProductBM!M1487 ),"")</f>
        <v/>
      </c>
      <c r="N4193" s="115" t="str">
        <f>IFERROR(IF([1]F_ProductBM!N1487 = "", "", [1]F_ProductBM!N1487 ),"")</f>
        <v/>
      </c>
    </row>
    <row r="4194" spans="3:14">
      <c r="C4194" s="977"/>
      <c r="D4194" s="777" t="s">
        <v>1599</v>
      </c>
      <c r="E4194" s="2475" t="s">
        <v>1080</v>
      </c>
      <c r="F4194" s="2410"/>
      <c r="G4194" s="815" t="s">
        <v>2017</v>
      </c>
      <c r="H4194" s="93" t="str">
        <f>IFERROR(IF([1]F_ProductBM!H1488 = "", "", [1]F_ProductBM!H1488 ),"")</f>
        <v/>
      </c>
      <c r="I4194" s="116" t="str">
        <f>IFERROR(IF([1]F_ProductBM!I1488 = "", "", [1]F_ProductBM!I1488 ),"")</f>
        <v/>
      </c>
      <c r="J4194" s="117" t="str">
        <f>IFERROR(IF([1]F_ProductBM!J1488 = "", "", [1]F_ProductBM!J1488 ),"")</f>
        <v/>
      </c>
      <c r="K4194" s="93" t="str">
        <f>IFERROR(IF([1]F_ProductBM!K1488 = "", "", [1]F_ProductBM!K1488 ),"")</f>
        <v/>
      </c>
      <c r="L4194" s="93" t="str">
        <f>IFERROR(IF([1]F_ProductBM!L1488 = "", "", [1]F_ProductBM!L1488 ),"")</f>
        <v/>
      </c>
      <c r="M4194" s="93" t="str">
        <f>IFERROR(IF([1]F_ProductBM!M1488 = "", "", [1]F_ProductBM!M1488 ),"")</f>
        <v/>
      </c>
      <c r="N4194" s="118" t="str">
        <f>IFERROR(IF([1]F_ProductBM!N1488 = "", "", [1]F_ProductBM!N1488 ),"")</f>
        <v/>
      </c>
    </row>
    <row r="4195" spans="3:14">
      <c r="C4195" s="977"/>
      <c r="D4195" s="777" t="s">
        <v>1600</v>
      </c>
      <c r="E4195" s="2475" t="s">
        <v>1276</v>
      </c>
      <c r="F4195" s="2410"/>
      <c r="G4195" s="815" t="s">
        <v>2018</v>
      </c>
      <c r="H4195" s="93" t="str">
        <f>IFERROR(IF([1]F_ProductBM!H1489 = "", "", [1]F_ProductBM!H1489 ),"")</f>
        <v/>
      </c>
      <c r="I4195" s="116" t="str">
        <f>IFERROR(IF([1]F_ProductBM!I1489 = "", "", [1]F_ProductBM!I1489 ),"")</f>
        <v/>
      </c>
      <c r="J4195" s="117" t="str">
        <f>IFERROR(IF([1]F_ProductBM!J1489 = "", "", [1]F_ProductBM!J1489 ),"")</f>
        <v/>
      </c>
      <c r="K4195" s="93" t="str">
        <f>IFERROR(IF([1]F_ProductBM!K1489 = "", "", [1]F_ProductBM!K1489 ),"")</f>
        <v/>
      </c>
      <c r="L4195" s="93" t="str">
        <f>IFERROR(IF([1]F_ProductBM!L1489 = "", "", [1]F_ProductBM!L1489 ),"")</f>
        <v/>
      </c>
      <c r="M4195" s="93" t="str">
        <f>IFERROR(IF([1]F_ProductBM!M1489 = "", "", [1]F_ProductBM!M1489 ),"")</f>
        <v/>
      </c>
      <c r="N4195" s="118" t="str">
        <f>IFERROR(IF([1]F_ProductBM!N1489 = "", "", [1]F_ProductBM!N1489 ),"")</f>
        <v/>
      </c>
    </row>
    <row r="4196" spans="3:14">
      <c r="C4196" s="977"/>
      <c r="D4196" s="981"/>
      <c r="E4196" s="981"/>
      <c r="F4196" s="981"/>
      <c r="G4196" s="981"/>
      <c r="H4196" s="981"/>
      <c r="I4196" s="983"/>
      <c r="J4196" s="981"/>
      <c r="K4196" s="981"/>
      <c r="L4196" s="981"/>
      <c r="M4196" s="981"/>
      <c r="N4196" s="814"/>
    </row>
    <row r="4197" spans="3:14">
      <c r="C4197" s="977"/>
      <c r="D4197" s="982" t="s">
        <v>482</v>
      </c>
      <c r="E4197" s="2649" t="s">
        <v>1127</v>
      </c>
      <c r="F4197" s="2391"/>
      <c r="G4197" s="2391"/>
      <c r="H4197" s="2391"/>
      <c r="I4197" s="2391"/>
      <c r="J4197" s="2391"/>
      <c r="K4197" s="2391"/>
      <c r="L4197" s="2391"/>
      <c r="M4197" s="2391"/>
      <c r="N4197" s="2650"/>
    </row>
    <row r="4198" spans="3:14">
      <c r="C4198" s="977"/>
      <c r="D4198" s="777"/>
      <c r="E4198" s="2676" t="s">
        <v>2299</v>
      </c>
      <c r="F4198" s="2391"/>
      <c r="G4198" s="2391"/>
      <c r="H4198" s="2391"/>
      <c r="I4198" s="2391"/>
      <c r="J4198" s="2391"/>
      <c r="K4198" s="2391"/>
      <c r="L4198" s="2391"/>
      <c r="M4198" s="2391"/>
      <c r="N4198" s="2650"/>
    </row>
    <row r="4199" spans="3:14" ht="23.1" customHeight="1">
      <c r="C4199" s="977"/>
      <c r="D4199" s="981"/>
      <c r="E4199" s="2669" t="s">
        <v>2712</v>
      </c>
      <c r="F4199" s="2391"/>
      <c r="G4199" s="2391"/>
      <c r="H4199" s="2391"/>
      <c r="I4199" s="2391"/>
      <c r="J4199" s="2391"/>
      <c r="K4199" s="2391"/>
      <c r="L4199" s="2391"/>
      <c r="M4199" s="2391"/>
      <c r="N4199" s="2650"/>
    </row>
    <row r="4200" spans="3:14">
      <c r="C4200" s="977"/>
      <c r="D4200" s="982"/>
      <c r="E4200" s="989"/>
      <c r="F4200" s="990"/>
      <c r="G4200" s="987" t="s">
        <v>884</v>
      </c>
      <c r="H4200" s="782">
        <v>2019</v>
      </c>
      <c r="I4200" s="988">
        <v>2020</v>
      </c>
      <c r="J4200" s="781">
        <v>2021</v>
      </c>
      <c r="K4200" s="782">
        <v>2022</v>
      </c>
      <c r="L4200" s="782">
        <v>2023</v>
      </c>
      <c r="M4200" s="782">
        <v>2024</v>
      </c>
      <c r="N4200" s="783">
        <v>2025</v>
      </c>
    </row>
    <row r="4201" spans="3:14">
      <c r="C4201" s="977"/>
      <c r="D4201" s="777"/>
      <c r="E4201" s="2475" t="s">
        <v>1354</v>
      </c>
      <c r="F4201" s="2410"/>
      <c r="G4201" s="815" t="s">
        <v>2021</v>
      </c>
      <c r="H4201" s="93" t="str">
        <f>IFERROR(IF([1]F_ProductBM!H1495 = "", "", [1]F_ProductBM!H1495 ),"")</f>
        <v/>
      </c>
      <c r="I4201" s="116" t="str">
        <f>IFERROR(IF([1]F_ProductBM!I1495 = "", "", [1]F_ProductBM!I1495 ),"")</f>
        <v/>
      </c>
      <c r="J4201" s="117" t="str">
        <f>IFERROR(IF([1]F_ProductBM!J1495 = "", "", [1]F_ProductBM!J1495 ),"")</f>
        <v/>
      </c>
      <c r="K4201" s="93" t="str">
        <f>IFERROR(IF([1]F_ProductBM!K1495 = "", "", [1]F_ProductBM!K1495 ),"")</f>
        <v/>
      </c>
      <c r="L4201" s="93" t="str">
        <f>IFERROR(IF([1]F_ProductBM!L1495 = "", "", [1]F_ProductBM!L1495 ),"")</f>
        <v/>
      </c>
      <c r="M4201" s="93" t="str">
        <f>IFERROR(IF([1]F_ProductBM!M1495 = "", "", [1]F_ProductBM!M1495 ),"")</f>
        <v/>
      </c>
      <c r="N4201" s="118" t="str">
        <f>IFERROR(IF([1]F_ProductBM!N1495 = "", "", [1]F_ProductBM!N1495 ),"")</f>
        <v/>
      </c>
    </row>
    <row r="4202" spans="3:14">
      <c r="C4202" s="977"/>
      <c r="D4202" s="981"/>
      <c r="E4202" s="981"/>
      <c r="F4202" s="981"/>
      <c r="G4202" s="981"/>
      <c r="H4202" s="981"/>
      <c r="I4202" s="983"/>
      <c r="J4202" s="981"/>
      <c r="K4202" s="981"/>
      <c r="L4202" s="981"/>
      <c r="M4202" s="981"/>
      <c r="N4202" s="814"/>
    </row>
    <row r="4203" spans="3:14">
      <c r="C4203" s="977"/>
      <c r="D4203" s="982" t="s">
        <v>245</v>
      </c>
      <c r="E4203" s="2649" t="s">
        <v>1157</v>
      </c>
      <c r="F4203" s="2391"/>
      <c r="G4203" s="2391"/>
      <c r="H4203" s="2391"/>
      <c r="I4203" s="2391"/>
      <c r="J4203" s="2391"/>
      <c r="K4203" s="2391"/>
      <c r="L4203" s="2391"/>
      <c r="M4203" s="2391"/>
      <c r="N4203" s="2650"/>
    </row>
    <row r="4204" spans="3:14">
      <c r="C4204" s="977"/>
      <c r="D4204" s="981"/>
      <c r="E4204" s="2669" t="s">
        <v>1264</v>
      </c>
      <c r="F4204" s="2391"/>
      <c r="G4204" s="2391"/>
      <c r="H4204" s="2391"/>
      <c r="I4204" s="2391"/>
      <c r="J4204" s="2391"/>
      <c r="K4204" s="2391"/>
      <c r="L4204" s="2391"/>
      <c r="M4204" s="2391"/>
      <c r="N4204" s="2650"/>
    </row>
    <row r="4205" spans="3:14">
      <c r="C4205" s="977"/>
      <c r="D4205" s="981"/>
      <c r="E4205" s="2669" t="s">
        <v>1563</v>
      </c>
      <c r="F4205" s="2391"/>
      <c r="G4205" s="2391"/>
      <c r="H4205" s="2391"/>
      <c r="I4205" s="2391"/>
      <c r="J4205" s="2391"/>
      <c r="K4205" s="2391"/>
      <c r="L4205" s="2391"/>
      <c r="M4205" s="2391"/>
      <c r="N4205" s="2650"/>
    </row>
    <row r="4206" spans="3:14">
      <c r="C4206" s="977"/>
      <c r="D4206" s="777"/>
      <c r="E4206" s="2707" t="s">
        <v>1598</v>
      </c>
      <c r="F4206" s="2493"/>
      <c r="G4206" s="2493"/>
      <c r="H4206" s="2493"/>
      <c r="I4206" s="2493"/>
      <c r="J4206" s="2493"/>
      <c r="K4206" s="2493"/>
      <c r="L4206" s="2493"/>
      <c r="M4206" s="2493"/>
      <c r="N4206" s="2708"/>
    </row>
    <row r="4207" spans="3:14">
      <c r="C4207" s="977"/>
      <c r="D4207" s="777"/>
      <c r="E4207" s="2487" t="str">
        <f>IFERROR(IF([1]F_ProductBM!E1501 = "", "", [1]F_ProductBM!E1501 ),"")</f>
        <v/>
      </c>
      <c r="F4207" s="2488"/>
      <c r="G4207" s="815" t="s">
        <v>1020</v>
      </c>
      <c r="H4207" s="93" t="str">
        <f>IFERROR(IF([1]F_ProductBM!H1501 = "", "", [1]F_ProductBM!H1501 ),"")</f>
        <v/>
      </c>
      <c r="I4207" s="116" t="str">
        <f>IFERROR(IF([1]F_ProductBM!I1501 = "", "", [1]F_ProductBM!I1501 ),"")</f>
        <v/>
      </c>
      <c r="J4207" s="117" t="str">
        <f>IFERROR(IF([1]F_ProductBM!J1501 = "", "", [1]F_ProductBM!J1501 ),"")</f>
        <v/>
      </c>
      <c r="K4207" s="93" t="str">
        <f>IFERROR(IF([1]F_ProductBM!K1501 = "", "", [1]F_ProductBM!K1501 ),"")</f>
        <v/>
      </c>
      <c r="L4207" s="93" t="str">
        <f>IFERROR(IF([1]F_ProductBM!L1501 = "", "", [1]F_ProductBM!L1501 ),"")</f>
        <v/>
      </c>
      <c r="M4207" s="93" t="str">
        <f>IFERROR(IF([1]F_ProductBM!M1501 = "", "", [1]F_ProductBM!M1501 ),"")</f>
        <v/>
      </c>
      <c r="N4207" s="118" t="str">
        <f>IFERROR(IF([1]F_ProductBM!N1501 = "", "", [1]F_ProductBM!N1501 ),"")</f>
        <v/>
      </c>
    </row>
    <row r="4208" spans="3:14">
      <c r="C4208" s="977"/>
      <c r="D4208" s="777"/>
      <c r="E4208" s="777"/>
      <c r="F4208" s="777"/>
      <c r="G4208" s="777"/>
      <c r="H4208" s="983"/>
      <c r="I4208" s="777"/>
      <c r="J4208" s="777"/>
      <c r="K4208" s="777"/>
      <c r="L4208" s="777"/>
      <c r="M4208" s="777"/>
      <c r="N4208" s="1007"/>
    </row>
    <row r="4209" spans="3:14">
      <c r="C4209" s="977"/>
      <c r="D4209" s="982" t="s">
        <v>832</v>
      </c>
      <c r="E4209" s="2649" t="s">
        <v>1142</v>
      </c>
      <c r="F4209" s="2391"/>
      <c r="G4209" s="2391"/>
      <c r="H4209" s="2391"/>
      <c r="I4209" s="2391"/>
      <c r="J4209" s="2391"/>
      <c r="K4209" s="2391"/>
      <c r="L4209" s="2391"/>
      <c r="M4209" s="2391"/>
      <c r="N4209" s="2650"/>
    </row>
    <row r="4210" spans="3:14">
      <c r="C4210" s="977"/>
      <c r="D4210" s="981"/>
      <c r="E4210" s="2669" t="s">
        <v>1366</v>
      </c>
      <c r="F4210" s="2391"/>
      <c r="G4210" s="2391"/>
      <c r="H4210" s="2391"/>
      <c r="I4210" s="2391"/>
      <c r="J4210" s="2391"/>
      <c r="K4210" s="2391"/>
      <c r="L4210" s="2391"/>
      <c r="M4210" s="2391"/>
      <c r="N4210" s="2650"/>
    </row>
    <row r="4211" spans="3:14">
      <c r="C4211" s="977"/>
      <c r="D4211" s="981"/>
      <c r="E4211" s="2676" t="s">
        <v>1610</v>
      </c>
      <c r="F4211" s="2391"/>
      <c r="G4211" s="2391"/>
      <c r="H4211" s="2391"/>
      <c r="I4211" s="2391"/>
      <c r="J4211" s="2391"/>
      <c r="K4211" s="2391"/>
      <c r="L4211" s="2391"/>
      <c r="M4211" s="2391"/>
      <c r="N4211" s="2650"/>
    </row>
    <row r="4212" spans="3:14">
      <c r="C4212" s="977"/>
      <c r="D4212" s="777" t="s">
        <v>6</v>
      </c>
      <c r="E4212" s="2682" t="s">
        <v>2713</v>
      </c>
      <c r="F4212" s="2391"/>
      <c r="G4212" s="2391"/>
      <c r="H4212" s="2391"/>
      <c r="I4212" s="2391"/>
      <c r="J4212" s="2391"/>
      <c r="K4212" s="2512"/>
      <c r="L4212" s="120" t="str">
        <f>IFERROR(IF([1]F_ProductBM!L1506 = "", "", [1]F_ProductBM!L1506 ),"")</f>
        <v/>
      </c>
      <c r="M4212" s="813"/>
      <c r="N4212" s="1015"/>
    </row>
    <row r="4213" spans="3:14">
      <c r="C4213" s="977"/>
      <c r="D4213" s="777"/>
      <c r="E4213" s="777"/>
      <c r="F4213" s="777"/>
      <c r="G4213" s="777"/>
      <c r="H4213" s="983"/>
      <c r="I4213" s="777"/>
      <c r="J4213" s="777"/>
      <c r="K4213" s="777"/>
      <c r="L4213" s="777"/>
      <c r="M4213" s="777"/>
      <c r="N4213" s="1007"/>
    </row>
    <row r="4214" spans="3:14">
      <c r="C4214" s="977"/>
      <c r="D4214" s="982"/>
      <c r="E4214" s="2648" t="s">
        <v>1144</v>
      </c>
      <c r="F4214" s="2493"/>
      <c r="G4214" s="778" t="s">
        <v>884</v>
      </c>
      <c r="H4214" s="782">
        <v>2019</v>
      </c>
      <c r="I4214" s="988">
        <v>2020</v>
      </c>
      <c r="J4214" s="781">
        <v>2021</v>
      </c>
      <c r="K4214" s="782">
        <v>2022</v>
      </c>
      <c r="L4214" s="782">
        <v>2023</v>
      </c>
      <c r="M4214" s="782">
        <v>2024</v>
      </c>
      <c r="N4214" s="783">
        <v>2025</v>
      </c>
    </row>
    <row r="4215" spans="3:14">
      <c r="C4215" s="977"/>
      <c r="D4215" s="777" t="s">
        <v>7</v>
      </c>
      <c r="E4215" s="2513" t="str">
        <f>IFERROR(IF([1]F_ProductBM!E1509 = "", "", [1]F_ProductBM!E1509 ),"")</f>
        <v/>
      </c>
      <c r="F4215" s="2705"/>
      <c r="G4215" s="355" t="str">
        <f>IFERROR(IF([1]F_ProductBM!G1509 = "", "", [1]F_ProductBM!G1509 ),"")</f>
        <v>tonnes</v>
      </c>
      <c r="H4215" s="371" t="str">
        <f>IFERROR(IF([1]F_ProductBM!H1509 = "", "", [1]F_ProductBM!H1509 ),"")</f>
        <v/>
      </c>
      <c r="I4215" s="372" t="str">
        <f>IFERROR(IF([1]F_ProductBM!I1509 = "", "", [1]F_ProductBM!I1509 ),"")</f>
        <v/>
      </c>
      <c r="J4215" s="373" t="str">
        <f>IFERROR(IF([1]F_ProductBM!J1509 = "", "", [1]F_ProductBM!J1509 ),"")</f>
        <v/>
      </c>
      <c r="K4215" s="371" t="str">
        <f>IFERROR(IF([1]F_ProductBM!K1509 = "", "", [1]F_ProductBM!K1509 ),"")</f>
        <v/>
      </c>
      <c r="L4215" s="371" t="str">
        <f>IFERROR(IF([1]F_ProductBM!L1509 = "", "", [1]F_ProductBM!L1509 ),"")</f>
        <v/>
      </c>
      <c r="M4215" s="371" t="str">
        <f>IFERROR(IF([1]F_ProductBM!M1509 = "", "", [1]F_ProductBM!M1509 ),"")</f>
        <v/>
      </c>
      <c r="N4215" s="374" t="str">
        <f>IFERROR(IF([1]F_ProductBM!N1509 = "", "", [1]F_ProductBM!N1509 ),"")</f>
        <v/>
      </c>
    </row>
    <row r="4216" spans="3:14">
      <c r="C4216" s="977"/>
      <c r="D4216" s="777" t="s">
        <v>8</v>
      </c>
      <c r="E4216" s="2520" t="str">
        <f>IFERROR(IF([1]F_ProductBM!E1510 = "", "", [1]F_ProductBM!E1510 ),"")</f>
        <v/>
      </c>
      <c r="F4216" s="2706"/>
      <c r="G4216" s="350" t="str">
        <f>IFERROR(IF([1]F_ProductBM!G1510 = "", "", [1]F_ProductBM!G1510 ),"")</f>
        <v>tonnes</v>
      </c>
      <c r="H4216" s="364" t="str">
        <f>IFERROR(IF([1]F_ProductBM!H1510 = "", "", [1]F_ProductBM!H1510 ),"")</f>
        <v/>
      </c>
      <c r="I4216" s="365" t="str">
        <f>IFERROR(IF([1]F_ProductBM!I1510 = "", "", [1]F_ProductBM!I1510 ),"")</f>
        <v/>
      </c>
      <c r="J4216" s="366" t="str">
        <f>IFERROR(IF([1]F_ProductBM!J1510 = "", "", [1]F_ProductBM!J1510 ),"")</f>
        <v/>
      </c>
      <c r="K4216" s="364" t="str">
        <f>IFERROR(IF([1]F_ProductBM!K1510 = "", "", [1]F_ProductBM!K1510 ),"")</f>
        <v/>
      </c>
      <c r="L4216" s="364" t="str">
        <f>IFERROR(IF([1]F_ProductBM!L1510 = "", "", [1]F_ProductBM!L1510 ),"")</f>
        <v/>
      </c>
      <c r="M4216" s="364" t="str">
        <f>IFERROR(IF([1]F_ProductBM!M1510 = "", "", [1]F_ProductBM!M1510 ),"")</f>
        <v/>
      </c>
      <c r="N4216" s="367" t="str">
        <f>IFERROR(IF([1]F_ProductBM!N1510 = "", "", [1]F_ProductBM!N1510 ),"")</f>
        <v/>
      </c>
    </row>
    <row r="4217" spans="3:14">
      <c r="C4217" s="977"/>
      <c r="D4217" s="777"/>
      <c r="E4217" s="777"/>
      <c r="F4217" s="777"/>
      <c r="G4217" s="777"/>
      <c r="H4217" s="777"/>
      <c r="I4217" s="777"/>
      <c r="J4217" s="777"/>
      <c r="K4217" s="777"/>
      <c r="L4217" s="777"/>
      <c r="M4217" s="777"/>
      <c r="N4217" s="810"/>
    </row>
    <row r="4218" spans="3:14">
      <c r="C4218" s="977"/>
      <c r="D4218" s="982"/>
      <c r="E4218" s="2648" t="s">
        <v>1143</v>
      </c>
      <c r="F4218" s="2493"/>
      <c r="G4218" s="778" t="s">
        <v>884</v>
      </c>
      <c r="H4218" s="782">
        <v>2019</v>
      </c>
      <c r="I4218" s="988">
        <v>2020</v>
      </c>
      <c r="J4218" s="781">
        <v>2021</v>
      </c>
      <c r="K4218" s="782">
        <v>2022</v>
      </c>
      <c r="L4218" s="782">
        <v>2023</v>
      </c>
      <c r="M4218" s="782">
        <v>2024</v>
      </c>
      <c r="N4218" s="783">
        <v>2025</v>
      </c>
    </row>
    <row r="4219" spans="3:14">
      <c r="C4219" s="977"/>
      <c r="D4219" s="777" t="s">
        <v>18</v>
      </c>
      <c r="E4219" s="2513" t="str">
        <f>IFERROR(IF([1]F_ProductBM!E1513 = "", "", [1]F_ProductBM!E1513 ),"")</f>
        <v/>
      </c>
      <c r="F4219" s="2705"/>
      <c r="G4219" s="355" t="str">
        <f>IFERROR(IF([1]F_ProductBM!G1513 = "", "", [1]F_ProductBM!G1513 ),"")</f>
        <v>tonnes</v>
      </c>
      <c r="H4219" s="371" t="str">
        <f>IFERROR(IF([1]F_ProductBM!H1513 = "", "", [1]F_ProductBM!H1513 ),"")</f>
        <v/>
      </c>
      <c r="I4219" s="372" t="str">
        <f>IFERROR(IF([1]F_ProductBM!I1513 = "", "", [1]F_ProductBM!I1513 ),"")</f>
        <v/>
      </c>
      <c r="J4219" s="373" t="str">
        <f>IFERROR(IF([1]F_ProductBM!J1513 = "", "", [1]F_ProductBM!J1513 ),"")</f>
        <v/>
      </c>
      <c r="K4219" s="371" t="str">
        <f>IFERROR(IF([1]F_ProductBM!K1513 = "", "", [1]F_ProductBM!K1513 ),"")</f>
        <v/>
      </c>
      <c r="L4219" s="371" t="str">
        <f>IFERROR(IF([1]F_ProductBM!L1513 = "", "", [1]F_ProductBM!L1513 ),"")</f>
        <v/>
      </c>
      <c r="M4219" s="371" t="str">
        <f>IFERROR(IF([1]F_ProductBM!M1513 = "", "", [1]F_ProductBM!M1513 ),"")</f>
        <v/>
      </c>
      <c r="N4219" s="374" t="str">
        <f>IFERROR(IF([1]F_ProductBM!N1513 = "", "", [1]F_ProductBM!N1513 ),"")</f>
        <v/>
      </c>
    </row>
    <row r="4220" spans="3:14">
      <c r="C4220" s="977"/>
      <c r="D4220" s="777" t="s">
        <v>787</v>
      </c>
      <c r="E4220" s="2520" t="str">
        <f>IFERROR(IF([1]F_ProductBM!E1514 = "", "", [1]F_ProductBM!E1514 ),"")</f>
        <v/>
      </c>
      <c r="F4220" s="2706"/>
      <c r="G4220" s="350" t="str">
        <f>IFERROR(IF([1]F_ProductBM!G1514 = "", "", [1]F_ProductBM!G1514 ),"")</f>
        <v>tonnes</v>
      </c>
      <c r="H4220" s="364" t="str">
        <f>IFERROR(IF([1]F_ProductBM!H1514 = "", "", [1]F_ProductBM!H1514 ),"")</f>
        <v/>
      </c>
      <c r="I4220" s="365" t="str">
        <f>IFERROR(IF([1]F_ProductBM!I1514 = "", "", [1]F_ProductBM!I1514 ),"")</f>
        <v/>
      </c>
      <c r="J4220" s="366" t="str">
        <f>IFERROR(IF([1]F_ProductBM!J1514 = "", "", [1]F_ProductBM!J1514 ),"")</f>
        <v/>
      </c>
      <c r="K4220" s="364" t="str">
        <f>IFERROR(IF([1]F_ProductBM!K1514 = "", "", [1]F_ProductBM!K1514 ),"")</f>
        <v/>
      </c>
      <c r="L4220" s="364" t="str">
        <f>IFERROR(IF([1]F_ProductBM!L1514 = "", "", [1]F_ProductBM!L1514 ),"")</f>
        <v/>
      </c>
      <c r="M4220" s="364" t="str">
        <f>IFERROR(IF([1]F_ProductBM!M1514 = "", "", [1]F_ProductBM!M1514 ),"")</f>
        <v/>
      </c>
      <c r="N4220" s="367" t="str">
        <f>IFERROR(IF([1]F_ProductBM!N1514 = "", "", [1]F_ProductBM!N1514 ),"")</f>
        <v/>
      </c>
    </row>
    <row r="4221" spans="3:14">
      <c r="C4221" s="977"/>
      <c r="D4221" s="777"/>
      <c r="E4221" s="777"/>
      <c r="F4221" s="777"/>
      <c r="G4221" s="777"/>
      <c r="H4221" s="777"/>
      <c r="I4221" s="777"/>
      <c r="J4221" s="777"/>
      <c r="K4221" s="777"/>
      <c r="L4221" s="777"/>
      <c r="M4221" s="777"/>
      <c r="N4221" s="1007"/>
    </row>
    <row r="4222" spans="3:14">
      <c r="C4222" s="977"/>
      <c r="D4222" s="777" t="s">
        <v>788</v>
      </c>
      <c r="E4222" s="813" t="s">
        <v>1146</v>
      </c>
      <c r="F4222" s="813"/>
      <c r="G4222" s="813"/>
      <c r="H4222" s="813"/>
      <c r="I4222" s="813"/>
      <c r="J4222" s="813"/>
      <c r="K4222" s="813"/>
      <c r="L4222" s="813"/>
      <c r="M4222" s="813"/>
      <c r="N4222" s="1007"/>
    </row>
    <row r="4223" spans="3:14">
      <c r="C4223" s="977"/>
      <c r="D4223" s="777"/>
      <c r="E4223" s="1017" t="s">
        <v>1459</v>
      </c>
      <c r="F4223" s="978"/>
      <c r="G4223" s="978"/>
      <c r="H4223" s="978"/>
      <c r="I4223" s="978"/>
      <c r="J4223" s="978"/>
      <c r="K4223" s="978"/>
      <c r="L4223" s="978"/>
      <c r="M4223" s="978"/>
      <c r="N4223" s="979"/>
    </row>
    <row r="4224" spans="3:14">
      <c r="C4224" s="977"/>
      <c r="D4224" s="777"/>
      <c r="E4224" s="2699" t="str">
        <f>IFERROR(IF([1]F_ProductBM!E1518 = "", "", [1]F_ProductBM!E1518 ),"")</f>
        <v/>
      </c>
      <c r="F4224" s="2700"/>
      <c r="G4224" s="2700"/>
      <c r="H4224" s="2700"/>
      <c r="I4224" s="2700"/>
      <c r="J4224" s="2700"/>
      <c r="K4224" s="2700"/>
      <c r="L4224" s="2700"/>
      <c r="M4224" s="2701"/>
      <c r="N4224" s="1007"/>
    </row>
    <row r="4225" spans="3:14">
      <c r="C4225" s="977"/>
      <c r="D4225" s="777"/>
      <c r="E4225" s="2702"/>
      <c r="F4225" s="2703"/>
      <c r="G4225" s="2703"/>
      <c r="H4225" s="2703"/>
      <c r="I4225" s="2703"/>
      <c r="J4225" s="2703"/>
      <c r="K4225" s="2703"/>
      <c r="L4225" s="2703"/>
      <c r="M4225" s="2704"/>
      <c r="N4225" s="1007"/>
    </row>
    <row r="4226" spans="3:14" ht="13.5" thickBot="1">
      <c r="C4226" s="1018"/>
      <c r="D4226" s="1019"/>
      <c r="E4226" s="1019"/>
      <c r="F4226" s="1019"/>
      <c r="G4226" s="1019"/>
      <c r="H4226" s="1019"/>
      <c r="I4226" s="1019"/>
      <c r="J4226" s="1019"/>
      <c r="K4226" s="1019"/>
      <c r="L4226" s="1019"/>
      <c r="M4226" s="805"/>
      <c r="N4226" s="806"/>
    </row>
    <row r="4227" spans="3:14" ht="13.5" thickBot="1">
      <c r="C4227" s="467"/>
      <c r="D4227" s="467"/>
      <c r="E4227" s="467"/>
      <c r="F4227" s="467"/>
      <c r="G4227" s="467"/>
      <c r="H4227" s="467"/>
      <c r="I4227" s="467"/>
      <c r="J4227" s="467"/>
      <c r="K4227" s="467"/>
      <c r="L4227" s="467"/>
      <c r="M4227" s="481"/>
      <c r="N4227" s="481"/>
    </row>
    <row r="4228" spans="3:14">
      <c r="C4228" s="1020"/>
      <c r="D4228" s="1020"/>
      <c r="E4228" s="1020"/>
      <c r="F4228" s="1020"/>
      <c r="G4228" s="1020"/>
      <c r="H4228" s="1020"/>
      <c r="I4228" s="1020"/>
      <c r="J4228" s="1020"/>
      <c r="K4228" s="1020"/>
      <c r="L4228" s="1020"/>
      <c r="M4228" s="1020"/>
      <c r="N4228" s="1020"/>
    </row>
    <row r="4229" spans="3:14" ht="15">
      <c r="C4229" s="897">
        <v>6</v>
      </c>
      <c r="D4229" s="2482" t="s">
        <v>2704</v>
      </c>
      <c r="E4229" s="2400"/>
      <c r="F4229" s="2400"/>
      <c r="G4229" s="2400"/>
      <c r="H4229" s="2585"/>
      <c r="I4229" s="2489" t="str">
        <f>IFERROR(IF([1]F_ProductBM!I1523 = "", "", [1]F_ProductBM!I1523 ),"")</f>
        <v/>
      </c>
      <c r="J4229" s="2534"/>
      <c r="K4229" s="2534"/>
      <c r="L4229" s="2534"/>
      <c r="M4229" s="2534"/>
      <c r="N4229" s="2535"/>
    </row>
    <row r="4230" spans="3:14">
      <c r="C4230" s="479"/>
      <c r="D4230" s="485"/>
      <c r="E4230" s="2465" t="s">
        <v>2706</v>
      </c>
      <c r="F4230" s="2400"/>
      <c r="G4230" s="2400"/>
      <c r="H4230" s="2400"/>
      <c r="I4230" s="2400"/>
      <c r="J4230" s="2400"/>
      <c r="K4230" s="2400"/>
      <c r="L4230" s="2400"/>
      <c r="M4230" s="2400"/>
      <c r="N4230" s="2400"/>
    </row>
    <row r="4231" spans="3:14">
      <c r="C4231" s="479"/>
      <c r="D4231" s="479"/>
      <c r="E4231" s="479"/>
      <c r="F4231" s="479"/>
      <c r="G4231" s="479"/>
      <c r="H4231" s="479"/>
      <c r="I4231" s="479"/>
      <c r="J4231" s="479"/>
      <c r="K4231" s="479"/>
      <c r="L4231" s="479"/>
      <c r="M4231" s="485"/>
      <c r="N4231" s="485"/>
    </row>
    <row r="4232" spans="3:14">
      <c r="C4232" s="479"/>
      <c r="D4232" s="482" t="s">
        <v>400</v>
      </c>
      <c r="E4232" s="2373" t="s">
        <v>1930</v>
      </c>
      <c r="F4232" s="2400"/>
      <c r="G4232" s="2400"/>
      <c r="H4232" s="2400"/>
      <c r="I4232" s="2400"/>
      <c r="J4232" s="2400"/>
      <c r="K4232" s="2400"/>
      <c r="L4232" s="2400"/>
      <c r="M4232" s="2400"/>
      <c r="N4232" s="2400"/>
    </row>
    <row r="4233" spans="3:14">
      <c r="C4233" s="479"/>
      <c r="D4233" s="485"/>
      <c r="E4233" s="2465" t="s">
        <v>801</v>
      </c>
      <c r="F4233" s="2400"/>
      <c r="G4233" s="2400"/>
      <c r="H4233" s="2400"/>
      <c r="I4233" s="2400"/>
      <c r="J4233" s="2400"/>
      <c r="K4233" s="2400"/>
      <c r="L4233" s="2400"/>
      <c r="M4233" s="2400"/>
      <c r="N4233" s="2400"/>
    </row>
    <row r="4234" spans="3:14">
      <c r="C4234" s="479"/>
      <c r="D4234" s="485"/>
      <c r="E4234" s="2465" t="s">
        <v>1199</v>
      </c>
      <c r="F4234" s="2400"/>
      <c r="G4234" s="2400"/>
      <c r="H4234" s="2400"/>
      <c r="I4234" s="2400"/>
      <c r="J4234" s="2400"/>
      <c r="K4234" s="2400"/>
      <c r="L4234" s="2400"/>
      <c r="M4234" s="2400"/>
      <c r="N4234" s="2400"/>
    </row>
    <row r="4235" spans="3:14">
      <c r="C4235" s="479"/>
      <c r="D4235" s="485"/>
      <c r="E4235" s="2465" t="s">
        <v>125</v>
      </c>
      <c r="F4235" s="2400"/>
      <c r="G4235" s="2400"/>
      <c r="H4235" s="2400"/>
      <c r="I4235" s="2400"/>
      <c r="J4235" s="2400"/>
      <c r="K4235" s="2400"/>
      <c r="L4235" s="2400"/>
      <c r="M4235" s="2400"/>
      <c r="N4235" s="2400"/>
    </row>
    <row r="4236" spans="3:14">
      <c r="C4236" s="485"/>
      <c r="D4236" s="482"/>
      <c r="E4236" s="2509" t="s">
        <v>1447</v>
      </c>
      <c r="F4236" s="2509"/>
      <c r="G4236" s="663" t="s">
        <v>884</v>
      </c>
      <c r="H4236" s="578">
        <v>2019</v>
      </c>
      <c r="I4236" s="697">
        <v>2020</v>
      </c>
      <c r="J4236" s="696">
        <v>2021</v>
      </c>
      <c r="K4236" s="578">
        <v>2022</v>
      </c>
      <c r="L4236" s="578">
        <v>2023</v>
      </c>
      <c r="M4236" s="578">
        <v>2024</v>
      </c>
      <c r="N4236" s="671">
        <v>2025</v>
      </c>
    </row>
    <row r="4237" spans="3:14">
      <c r="C4237" s="485"/>
      <c r="D4237" s="561" t="s">
        <v>6</v>
      </c>
      <c r="E4237" s="2696" t="str">
        <f>IFERROR(IF([1]F_ProductBM!E1531 = "", "", [1]F_ProductBM!E1531 ),"")</f>
        <v/>
      </c>
      <c r="F4237" s="2696"/>
      <c r="G4237" s="74" t="str">
        <f>IFERROR(IF([1]F_ProductBM!G1531 = "", "", [1]F_ProductBM!G1531 ),"")</f>
        <v>tonnes</v>
      </c>
      <c r="H4237" s="277" t="str">
        <f>IFERROR(IF([1]F_ProductBM!H1531 = "", "", [1]F_ProductBM!H1531 ),"")</f>
        <v/>
      </c>
      <c r="I4237" s="275" t="str">
        <f>IFERROR(IF([1]F_ProductBM!I1531 = "", "", [1]F_ProductBM!I1531 ),"")</f>
        <v/>
      </c>
      <c r="J4237" s="276" t="str">
        <f>IFERROR(IF([1]F_ProductBM!J1531 = "", "", [1]F_ProductBM!J1531 ),"")</f>
        <v/>
      </c>
      <c r="K4237" s="277" t="str">
        <f>IFERROR(IF([1]F_ProductBM!K1531 = "", "", [1]F_ProductBM!K1531 ),"")</f>
        <v/>
      </c>
      <c r="L4237" s="277" t="str">
        <f>IFERROR(IF([1]F_ProductBM!L1531 = "", "", [1]F_ProductBM!L1531 ),"")</f>
        <v/>
      </c>
      <c r="M4237" s="277" t="str">
        <f>IFERROR(IF([1]F_ProductBM!M1531 = "", "", [1]F_ProductBM!M1531 ),"")</f>
        <v/>
      </c>
      <c r="N4237" s="277" t="str">
        <f>IFERROR(IF([1]F_ProductBM!N1531 = "", "", [1]F_ProductBM!N1531 ),"")</f>
        <v/>
      </c>
    </row>
    <row r="4238" spans="3:14">
      <c r="C4238" s="485"/>
      <c r="D4238" s="561" t="s">
        <v>7</v>
      </c>
      <c r="E4238" s="2696" t="str">
        <f>IFERROR(IF([1]F_ProductBM!E1532 = "", "", [1]F_ProductBM!E1532 ),"")</f>
        <v>From sheet "H_SpecialBM":</v>
      </c>
      <c r="F4238" s="2696"/>
      <c r="G4238" s="74" t="str">
        <f>IFERROR(IF([1]F_ProductBM!G1532 = "", "", [1]F_ProductBM!G1532 ),"")</f>
        <v>tonnes</v>
      </c>
      <c r="H4238" s="278" t="str">
        <f>IFERROR(IF([1]F_ProductBM!H1532 = "", "", [1]F_ProductBM!H1532 ),"")</f>
        <v/>
      </c>
      <c r="I4238" s="279" t="str">
        <f>IFERROR(IF([1]F_ProductBM!I1532 = "", "", [1]F_ProductBM!I1532 ),"")</f>
        <v/>
      </c>
      <c r="J4238" s="280" t="str">
        <f>IFERROR(IF([1]F_ProductBM!J1532 = "", "", [1]F_ProductBM!J1532 ),"")</f>
        <v/>
      </c>
      <c r="K4238" s="278" t="str">
        <f>IFERROR(IF([1]F_ProductBM!K1532 = "", "", [1]F_ProductBM!K1532 ),"")</f>
        <v/>
      </c>
      <c r="L4238" s="278" t="str">
        <f>IFERROR(IF([1]F_ProductBM!L1532 = "", "", [1]F_ProductBM!L1532 ),"")</f>
        <v/>
      </c>
      <c r="M4238" s="278" t="str">
        <f>IFERROR(IF([1]F_ProductBM!M1532 = "", "", [1]F_ProductBM!M1532 ),"")</f>
        <v/>
      </c>
      <c r="N4238" s="277" t="str">
        <f>IFERROR(IF([1]F_ProductBM!N1532 = "", "", [1]F_ProductBM!N1532 ),"")</f>
        <v/>
      </c>
    </row>
    <row r="4239" spans="3:14">
      <c r="C4239" s="485"/>
      <c r="D4239" s="561" t="s">
        <v>8</v>
      </c>
      <c r="E4239" s="2696" t="str">
        <f>IFERROR(IF([1]F_ProductBM!E1533 = "", "", [1]F_ProductBM!E1533 ),"")</f>
        <v>Values used for calculation:</v>
      </c>
      <c r="F4239" s="2696"/>
      <c r="G4239" s="74" t="str">
        <f>IFERROR(IF([1]F_ProductBM!G1533 = "", "", [1]F_ProductBM!G1533 ),"")</f>
        <v>tonnes</v>
      </c>
      <c r="H4239" s="278" t="str">
        <f>IFERROR(IF([1]F_ProductBM!H1533 = "", "", [1]F_ProductBM!H1533 ),"")</f>
        <v/>
      </c>
      <c r="I4239" s="279" t="str">
        <f>IFERROR(IF([1]F_ProductBM!I1533 = "", "", [1]F_ProductBM!I1533 ),"")</f>
        <v/>
      </c>
      <c r="J4239" s="280" t="str">
        <f>IFERROR(IF([1]F_ProductBM!J1533 = "", "", [1]F_ProductBM!J1533 ),"")</f>
        <v/>
      </c>
      <c r="K4239" s="278" t="str">
        <f>IFERROR(IF([1]F_ProductBM!K1533 = "", "", [1]F_ProductBM!K1533 ),"")</f>
        <v/>
      </c>
      <c r="L4239" s="278" t="str">
        <f>IFERROR(IF([1]F_ProductBM!L1533 = "", "", [1]F_ProductBM!L1533 ),"")</f>
        <v/>
      </c>
      <c r="M4239" s="278" t="str">
        <f>IFERROR(IF([1]F_ProductBM!M1533 = "", "", [1]F_ProductBM!M1533 ),"")</f>
        <v/>
      </c>
      <c r="N4239" s="277" t="str">
        <f>IFERROR(IF([1]F_ProductBM!N1533 = "", "", [1]F_ProductBM!N1533 ),"")</f>
        <v/>
      </c>
    </row>
    <row r="4240" spans="3:14">
      <c r="C4240" s="479"/>
      <c r="D4240" s="479"/>
      <c r="E4240" s="479"/>
      <c r="F4240" s="479"/>
      <c r="G4240" s="479"/>
      <c r="H4240" s="479"/>
      <c r="I4240" s="479"/>
      <c r="J4240" s="479"/>
      <c r="K4240" s="479"/>
      <c r="L4240" s="479"/>
      <c r="M4240" s="485"/>
      <c r="N4240" s="485"/>
    </row>
    <row r="4241" spans="3:14">
      <c r="C4241" s="479"/>
      <c r="D4241" s="561" t="s">
        <v>18</v>
      </c>
      <c r="E4241" s="2373" t="s">
        <v>922</v>
      </c>
      <c r="F4241" s="2373"/>
      <c r="G4241" s="2604"/>
      <c r="H4241" s="2652" t="s">
        <v>1857</v>
      </c>
      <c r="I4241" s="2689"/>
      <c r="J4241" s="2689"/>
      <c r="K4241" s="2689"/>
      <c r="L4241" s="2689"/>
      <c r="M4241" s="2689"/>
      <c r="N4241" s="2690"/>
    </row>
    <row r="4242" spans="3:14">
      <c r="C4242" s="479"/>
      <c r="D4242" s="485"/>
      <c r="E4242" s="2465" t="s">
        <v>923</v>
      </c>
      <c r="F4242" s="2400"/>
      <c r="G4242" s="2400"/>
      <c r="H4242" s="2400"/>
      <c r="I4242" s="2400"/>
      <c r="J4242" s="2400"/>
      <c r="K4242" s="2400"/>
      <c r="L4242" s="2400"/>
      <c r="M4242" s="2400"/>
      <c r="N4242" s="2400"/>
    </row>
    <row r="4243" spans="3:14">
      <c r="C4243" s="479"/>
      <c r="D4243" s="485"/>
      <c r="E4243" s="485"/>
      <c r="F4243" s="485"/>
      <c r="G4243" s="485"/>
      <c r="H4243" s="485"/>
      <c r="I4243" s="485"/>
      <c r="J4243" s="485"/>
      <c r="K4243" s="485"/>
      <c r="L4243" s="485"/>
      <c r="M4243" s="485"/>
      <c r="N4243" s="485"/>
    </row>
    <row r="4244" spans="3:14">
      <c r="C4244" s="479"/>
      <c r="D4244" s="482" t="s">
        <v>876</v>
      </c>
      <c r="E4244" s="2373" t="s">
        <v>1709</v>
      </c>
      <c r="F4244" s="2400"/>
      <c r="G4244" s="2400"/>
      <c r="H4244" s="2400"/>
      <c r="I4244" s="2400"/>
      <c r="J4244" s="2400"/>
      <c r="K4244" s="2400"/>
      <c r="L4244" s="2400"/>
      <c r="M4244" s="2400"/>
      <c r="N4244" s="2400"/>
    </row>
    <row r="4245" spans="3:14">
      <c r="C4245" s="479"/>
      <c r="D4245" s="485"/>
      <c r="E4245" s="2465" t="s">
        <v>1958</v>
      </c>
      <c r="F4245" s="2400"/>
      <c r="G4245" s="2400"/>
      <c r="H4245" s="2400"/>
      <c r="I4245" s="2400"/>
      <c r="J4245" s="2400"/>
      <c r="K4245" s="2400"/>
      <c r="L4245" s="2400"/>
      <c r="M4245" s="2400"/>
      <c r="N4245" s="2400"/>
    </row>
    <row r="4246" spans="3:14">
      <c r="C4246" s="479"/>
      <c r="D4246" s="485"/>
      <c r="E4246" s="2465" t="s">
        <v>2701</v>
      </c>
      <c r="F4246" s="2400"/>
      <c r="G4246" s="2400"/>
      <c r="H4246" s="2400"/>
      <c r="I4246" s="2400"/>
      <c r="J4246" s="2400"/>
      <c r="K4246" s="2400"/>
      <c r="L4246" s="2400"/>
      <c r="M4246" s="2400"/>
      <c r="N4246" s="2400"/>
    </row>
    <row r="4247" spans="3:14">
      <c r="C4247" s="479"/>
      <c r="D4247" s="485"/>
      <c r="E4247" s="901" t="s">
        <v>1021</v>
      </c>
      <c r="F4247" s="2651" t="s">
        <v>2711</v>
      </c>
      <c r="G4247" s="2584"/>
      <c r="H4247" s="2584"/>
      <c r="I4247" s="2584"/>
      <c r="J4247" s="2584"/>
      <c r="K4247" s="2584"/>
      <c r="L4247" s="2584"/>
      <c r="M4247" s="2584"/>
      <c r="N4247" s="2584"/>
    </row>
    <row r="4248" spans="3:14" ht="13.5" thickBot="1">
      <c r="C4248" s="479"/>
      <c r="D4248" s="485"/>
      <c r="E4248" s="901" t="s">
        <v>1021</v>
      </c>
      <c r="F4248" s="2651" t="s">
        <v>1985</v>
      </c>
      <c r="G4248" s="2584"/>
      <c r="H4248" s="2584"/>
      <c r="I4248" s="2584"/>
      <c r="J4248" s="2584"/>
      <c r="K4248" s="2584"/>
      <c r="L4248" s="2584"/>
      <c r="M4248" s="2584"/>
      <c r="N4248" s="2584"/>
    </row>
    <row r="4249" spans="3:14">
      <c r="C4249" s="479"/>
      <c r="D4249" s="902"/>
      <c r="E4249" s="903"/>
      <c r="F4249" s="904"/>
      <c r="G4249" s="905"/>
      <c r="H4249" s="905"/>
      <c r="I4249" s="905"/>
      <c r="J4249" s="905"/>
      <c r="K4249" s="905"/>
      <c r="L4249" s="905"/>
      <c r="M4249" s="905"/>
      <c r="N4249" s="906"/>
    </row>
    <row r="4250" spans="3:14">
      <c r="C4250" s="479"/>
      <c r="D4250" s="907"/>
      <c r="E4250" s="908" t="s">
        <v>1690</v>
      </c>
      <c r="F4250" s="909"/>
      <c r="G4250" s="909"/>
      <c r="H4250" s="910" t="s">
        <v>884</v>
      </c>
      <c r="I4250" s="911" t="s">
        <v>2212</v>
      </c>
      <c r="J4250" s="912">
        <v>2021</v>
      </c>
      <c r="K4250" s="913">
        <v>2022</v>
      </c>
      <c r="L4250" s="913">
        <v>2023</v>
      </c>
      <c r="M4250" s="913">
        <v>2024</v>
      </c>
      <c r="N4250" s="914">
        <v>2025</v>
      </c>
    </row>
    <row r="4251" spans="3:14">
      <c r="C4251" s="479"/>
      <c r="D4251" s="915" t="s">
        <v>6</v>
      </c>
      <c r="E4251" s="916" t="s">
        <v>1976</v>
      </c>
      <c r="F4251" s="916"/>
      <c r="G4251" s="916"/>
      <c r="H4251" s="63" t="str">
        <f>IFERROR(IF([1]F_ProductBM!H1545 = "", "", [1]F_ProductBM!H1545 ),"")</f>
        <v>tonnes</v>
      </c>
      <c r="I4251" s="281" t="str">
        <f>IFERROR(IF([1]F_ProductBM!I1545 = "", "", [1]F_ProductBM!I1545 ),"")</f>
        <v/>
      </c>
      <c r="J4251" s="282" t="str">
        <f>IFERROR(IF([1]F_ProductBM!J1545 = "", "", [1]F_ProductBM!J1545 ),"")</f>
        <v/>
      </c>
      <c r="K4251" s="283" t="str">
        <f>IFERROR(IF([1]F_ProductBM!K1545 = "", "", [1]F_ProductBM!K1545 ),"")</f>
        <v/>
      </c>
      <c r="L4251" s="283" t="str">
        <f>IFERROR(IF([1]F_ProductBM!L1545 = "", "", [1]F_ProductBM!L1545 ),"")</f>
        <v/>
      </c>
      <c r="M4251" s="283" t="str">
        <f>IFERROR(IF([1]F_ProductBM!M1545 = "", "", [1]F_ProductBM!M1545 ),"")</f>
        <v/>
      </c>
      <c r="N4251" s="284" t="str">
        <f>IFERROR(IF([1]F_ProductBM!N1545 = "", "", [1]F_ProductBM!N1545 ),"")</f>
        <v/>
      </c>
    </row>
    <row r="4252" spans="3:14">
      <c r="C4252" s="479"/>
      <c r="D4252" s="918"/>
      <c r="E4252" s="919" t="s">
        <v>1648</v>
      </c>
      <c r="F4252" s="919"/>
      <c r="G4252" s="919"/>
      <c r="H4252" s="920"/>
      <c r="I4252" s="919"/>
      <c r="J4252" s="285" t="str">
        <f>IFERROR(IF([1]F_ProductBM!J1546 = "", "", [1]F_ProductBM!J1546 ),"")</f>
        <v/>
      </c>
      <c r="K4252" s="286" t="str">
        <f>IFERROR(IF([1]F_ProductBM!K1546 = "", "", [1]F_ProductBM!K1546 ),"")</f>
        <v/>
      </c>
      <c r="L4252" s="286" t="str">
        <f>IFERROR(IF([1]F_ProductBM!L1546 = "", "", [1]F_ProductBM!L1546 ),"")</f>
        <v/>
      </c>
      <c r="M4252" s="286" t="str">
        <f>IFERROR(IF([1]F_ProductBM!M1546 = "", "", [1]F_ProductBM!M1546 ),"")</f>
        <v/>
      </c>
      <c r="N4252" s="287" t="str">
        <f>IFERROR(IF([1]F_ProductBM!N1546 = "", "", [1]F_ProductBM!N1546 ),"")</f>
        <v/>
      </c>
    </row>
    <row r="4253" spans="3:14">
      <c r="C4253" s="479"/>
      <c r="D4253" s="915" t="s">
        <v>7</v>
      </c>
      <c r="E4253" s="916" t="s">
        <v>1654</v>
      </c>
      <c r="F4253" s="916"/>
      <c r="G4253" s="916"/>
      <c r="H4253" s="921"/>
      <c r="I4253" s="916"/>
      <c r="J4253" s="288" t="str">
        <f>IFERROR(IF([1]F_ProductBM!J1547 = "", "", [1]F_ProductBM!J1547 ),"")</f>
        <v/>
      </c>
      <c r="K4253" s="289" t="str">
        <f>IFERROR(IF([1]F_ProductBM!K1547 = "", "", [1]F_ProductBM!K1547 ),"")</f>
        <v/>
      </c>
      <c r="L4253" s="289" t="str">
        <f>IFERROR(IF([1]F_ProductBM!L1547 = "", "", [1]F_ProductBM!L1547 ),"")</f>
        <v/>
      </c>
      <c r="M4253" s="289" t="str">
        <f>IFERROR(IF([1]F_ProductBM!M1547 = "", "", [1]F_ProductBM!M1547 ),"")</f>
        <v/>
      </c>
      <c r="N4253" s="290" t="str">
        <f>IFERROR(IF([1]F_ProductBM!N1547 = "", "", [1]F_ProductBM!N1547 ),"")</f>
        <v/>
      </c>
    </row>
    <row r="4254" spans="3:14">
      <c r="C4254" s="479"/>
      <c r="D4254" s="918"/>
      <c r="E4254" s="916" t="s">
        <v>1689</v>
      </c>
      <c r="F4254" s="916"/>
      <c r="G4254" s="916"/>
      <c r="H4254" s="63" t="str">
        <f>IFERROR(IF([1]F_ProductBM!H1548 = "", "", [1]F_ProductBM!H1548 ),"")</f>
        <v>tonnes</v>
      </c>
      <c r="I4254" s="281" t="str">
        <f>IFERROR(IF([1]F_ProductBM!I1548 = "", "", [1]F_ProductBM!I1548 ),"")</f>
        <v/>
      </c>
      <c r="J4254" s="282" t="str">
        <f>IFERROR(IF([1]F_ProductBM!J1548 = "", "", [1]F_ProductBM!J1548 ),"")</f>
        <v/>
      </c>
      <c r="K4254" s="283" t="str">
        <f>IFERROR(IF([1]F_ProductBM!K1548 = "", "", [1]F_ProductBM!K1548 ),"")</f>
        <v/>
      </c>
      <c r="L4254" s="283" t="str">
        <f>IFERROR(IF([1]F_ProductBM!L1548 = "", "", [1]F_ProductBM!L1548 ),"")</f>
        <v/>
      </c>
      <c r="M4254" s="283" t="str">
        <f>IFERROR(IF([1]F_ProductBM!M1548 = "", "", [1]F_ProductBM!M1548 ),"")</f>
        <v/>
      </c>
      <c r="N4254" s="284" t="str">
        <f>IFERROR(IF([1]F_ProductBM!N1548 = "", "", [1]F_ProductBM!N1548 ),"")</f>
        <v/>
      </c>
    </row>
    <row r="4255" spans="3:14">
      <c r="C4255" s="479"/>
      <c r="D4255" s="918"/>
      <c r="E4255" s="909"/>
      <c r="F4255" s="909"/>
      <c r="G4255" s="909"/>
      <c r="H4255" s="909"/>
      <c r="I4255" s="909"/>
      <c r="J4255" s="909"/>
      <c r="K4255" s="909"/>
      <c r="L4255" s="909"/>
      <c r="M4255" s="909"/>
      <c r="N4255" s="922"/>
    </row>
    <row r="4256" spans="3:14">
      <c r="C4256" s="479"/>
      <c r="D4256" s="918"/>
      <c r="E4256" s="923" t="s">
        <v>1653</v>
      </c>
      <c r="F4256" s="923"/>
      <c r="G4256" s="923"/>
      <c r="H4256" s="923"/>
      <c r="I4256" s="923"/>
      <c r="J4256" s="912">
        <v>2021</v>
      </c>
      <c r="K4256" s="913">
        <v>2022</v>
      </c>
      <c r="L4256" s="913">
        <v>2023</v>
      </c>
      <c r="M4256" s="913">
        <v>2024</v>
      </c>
      <c r="N4256" s="914">
        <v>2025</v>
      </c>
    </row>
    <row r="4257" spans="3:14">
      <c r="C4257" s="479"/>
      <c r="D4257" s="915" t="s">
        <v>8</v>
      </c>
      <c r="E4257" s="916" t="s">
        <v>2108</v>
      </c>
      <c r="F4257" s="916"/>
      <c r="G4257" s="916"/>
      <c r="H4257" s="916"/>
      <c r="I4257" s="916"/>
      <c r="J4257" s="69" t="str">
        <f>IFERROR(IF([1]F_ProductBM!J1551 = "", "", [1]F_ProductBM!J1551 ),"")</f>
        <v/>
      </c>
      <c r="K4257" s="62" t="str">
        <f>IFERROR(IF([1]F_ProductBM!K1551 = "", "", [1]F_ProductBM!K1551 ),"")</f>
        <v/>
      </c>
      <c r="L4257" s="62" t="str">
        <f>IFERROR(IF([1]F_ProductBM!L1551 = "", "", [1]F_ProductBM!L1551 ),"")</f>
        <v/>
      </c>
      <c r="M4257" s="62" t="str">
        <f>IFERROR(IF([1]F_ProductBM!M1551 = "", "", [1]F_ProductBM!M1551 ),"")</f>
        <v/>
      </c>
      <c r="N4257" s="70" t="str">
        <f>IFERROR(IF([1]F_ProductBM!N1551 = "", "", [1]F_ProductBM!N1551 ),"")</f>
        <v/>
      </c>
    </row>
    <row r="4258" spans="3:14" ht="13.5" thickBot="1">
      <c r="C4258" s="479"/>
      <c r="D4258" s="918"/>
      <c r="E4258" s="909"/>
      <c r="F4258" s="909"/>
      <c r="G4258" s="909"/>
      <c r="H4258" s="909"/>
      <c r="I4258" s="909"/>
      <c r="J4258" s="909"/>
      <c r="K4258" s="909"/>
      <c r="L4258" s="909"/>
      <c r="M4258" s="909"/>
      <c r="N4258" s="922"/>
    </row>
    <row r="4259" spans="3:14" ht="13.5" thickBot="1">
      <c r="C4259" s="479"/>
      <c r="D4259" s="915" t="s">
        <v>18</v>
      </c>
      <c r="E4259" s="916" t="s">
        <v>1657</v>
      </c>
      <c r="F4259" s="916"/>
      <c r="G4259" s="916"/>
      <c r="H4259" s="921"/>
      <c r="I4259" s="916"/>
      <c r="J4259" s="291" t="str">
        <f>IFERROR(IF([1]F_ProductBM!J1553 = "", "", [1]F_ProductBM!J1553 ),"")</f>
        <v/>
      </c>
      <c r="K4259" s="292" t="str">
        <f>IFERROR(IF([1]F_ProductBM!K1553 = "", "", [1]F_ProductBM!K1553 ),"")</f>
        <v/>
      </c>
      <c r="L4259" s="292" t="str">
        <f>IFERROR(IF([1]F_ProductBM!L1553 = "", "", [1]F_ProductBM!L1553 ),"")</f>
        <v/>
      </c>
      <c r="M4259" s="292" t="str">
        <f>IFERROR(IF([1]F_ProductBM!M1553 = "", "", [1]F_ProductBM!M1553 ),"")</f>
        <v/>
      </c>
      <c r="N4259" s="293" t="str">
        <f>IFERROR(IF([1]F_ProductBM!N1553 = "", "", [1]F_ProductBM!N1553 ),"")</f>
        <v/>
      </c>
    </row>
    <row r="4260" spans="3:14" ht="13.5" thickBot="1">
      <c r="C4260" s="479"/>
      <c r="D4260" s="915" t="s">
        <v>787</v>
      </c>
      <c r="E4260" s="916" t="s">
        <v>1659</v>
      </c>
      <c r="F4260" s="916"/>
      <c r="G4260" s="916"/>
      <c r="H4260" s="63" t="str">
        <f>IFERROR(IF([1]F_ProductBM!H1554 = "", "", [1]F_ProductBM!H1554 ),"")</f>
        <v>tonnes</v>
      </c>
      <c r="I4260" s="281" t="str">
        <f>IFERROR(IF([1]F_ProductBM!I1554 = "", "", [1]F_ProductBM!I1554 ),"")</f>
        <v/>
      </c>
      <c r="J4260" s="294" t="str">
        <f>IFERROR(IF([1]F_ProductBM!J1554 = "", "", [1]F_ProductBM!J1554 ),"")</f>
        <v/>
      </c>
      <c r="K4260" s="295" t="str">
        <f>IFERROR(IF([1]F_ProductBM!K1554 = "", "", [1]F_ProductBM!K1554 ),"")</f>
        <v/>
      </c>
      <c r="L4260" s="295" t="str">
        <f>IFERROR(IF([1]F_ProductBM!L1554 = "", "", [1]F_ProductBM!L1554 ),"")</f>
        <v/>
      </c>
      <c r="M4260" s="295" t="str">
        <f>IFERROR(IF([1]F_ProductBM!M1554 = "", "", [1]F_ProductBM!M1554 ),"")</f>
        <v/>
      </c>
      <c r="N4260" s="296" t="str">
        <f>IFERROR(IF([1]F_ProductBM!N1554 = "", "", [1]F_ProductBM!N1554 ),"")</f>
        <v/>
      </c>
    </row>
    <row r="4261" spans="3:14" ht="13.5" thickBot="1">
      <c r="C4261" s="479"/>
      <c r="D4261" s="924"/>
      <c r="E4261" s="925"/>
      <c r="F4261" s="925"/>
      <c r="G4261" s="925"/>
      <c r="H4261" s="925"/>
      <c r="I4261" s="925"/>
      <c r="J4261" s="925"/>
      <c r="K4261" s="925"/>
      <c r="L4261" s="925"/>
      <c r="M4261" s="925"/>
      <c r="N4261" s="926"/>
    </row>
    <row r="4262" spans="3:14">
      <c r="C4262" s="479"/>
      <c r="D4262" s="485"/>
      <c r="E4262" s="485"/>
      <c r="F4262" s="485"/>
      <c r="G4262" s="485"/>
      <c r="H4262" s="485"/>
      <c r="I4262" s="485"/>
      <c r="J4262" s="485"/>
      <c r="K4262" s="485"/>
      <c r="L4262" s="485"/>
      <c r="M4262" s="485"/>
      <c r="N4262" s="485"/>
    </row>
    <row r="4263" spans="3:14">
      <c r="C4263" s="479"/>
      <c r="D4263" s="2482" t="s">
        <v>1229</v>
      </c>
      <c r="E4263" s="2400"/>
      <c r="F4263" s="2400"/>
      <c r="G4263" s="2400"/>
      <c r="H4263" s="2400"/>
      <c r="I4263" s="2400"/>
      <c r="J4263" s="2400"/>
      <c r="K4263" s="2400"/>
      <c r="L4263" s="2400"/>
      <c r="M4263" s="2400"/>
      <c r="N4263" s="2400"/>
    </row>
    <row r="4264" spans="3:14">
      <c r="C4264" s="479"/>
      <c r="D4264" s="479"/>
      <c r="E4264" s="479"/>
      <c r="F4264" s="479"/>
      <c r="G4264" s="479"/>
      <c r="H4264" s="479"/>
      <c r="I4264" s="479"/>
      <c r="J4264" s="479"/>
      <c r="K4264" s="479"/>
      <c r="L4264" s="479"/>
      <c r="M4264" s="479"/>
      <c r="N4264" s="479"/>
    </row>
    <row r="4265" spans="3:14">
      <c r="C4265" s="485"/>
      <c r="D4265" s="482" t="s">
        <v>48</v>
      </c>
      <c r="E4265" s="2373" t="s">
        <v>800</v>
      </c>
      <c r="F4265" s="2400"/>
      <c r="G4265" s="2400"/>
      <c r="H4265" s="2400"/>
      <c r="I4265" s="2585"/>
      <c r="J4265" s="2652" t="s">
        <v>1857</v>
      </c>
      <c r="K4265" s="2653"/>
      <c r="L4265" s="2653"/>
      <c r="M4265" s="2653"/>
      <c r="N4265" s="2654"/>
    </row>
    <row r="4266" spans="3:14">
      <c r="C4266" s="479"/>
      <c r="D4266" s="485"/>
      <c r="E4266" s="2465" t="s">
        <v>1241</v>
      </c>
      <c r="F4266" s="2400"/>
      <c r="G4266" s="2400"/>
      <c r="H4266" s="2400"/>
      <c r="I4266" s="2400"/>
      <c r="J4266" s="2400"/>
      <c r="K4266" s="2400"/>
      <c r="L4266" s="2400"/>
      <c r="M4266" s="2400"/>
      <c r="N4266" s="2400"/>
    </row>
    <row r="4267" spans="3:14">
      <c r="C4267" s="479"/>
      <c r="D4267" s="485"/>
      <c r="E4267" s="2465" t="s">
        <v>1526</v>
      </c>
      <c r="F4267" s="2400"/>
      <c r="G4267" s="2400"/>
      <c r="H4267" s="2400"/>
      <c r="I4267" s="2400"/>
      <c r="J4267" s="2400"/>
      <c r="K4267" s="2400"/>
      <c r="L4267" s="2400"/>
      <c r="M4267" s="2400"/>
      <c r="N4267" s="2400"/>
    </row>
    <row r="4268" spans="3:14">
      <c r="C4268" s="479"/>
      <c r="D4268" s="485"/>
      <c r="E4268" s="2465" t="s">
        <v>1635</v>
      </c>
      <c r="F4268" s="2400"/>
      <c r="G4268" s="2400"/>
      <c r="H4268" s="2400"/>
      <c r="I4268" s="2400"/>
      <c r="J4268" s="2400"/>
      <c r="K4268" s="2400"/>
      <c r="L4268" s="2400"/>
      <c r="M4268" s="2400"/>
      <c r="N4268" s="2400"/>
    </row>
    <row r="4269" spans="3:14">
      <c r="C4269" s="485"/>
      <c r="D4269" s="482"/>
      <c r="E4269" s="927" t="s">
        <v>62</v>
      </c>
      <c r="F4269" s="518"/>
      <c r="G4269" s="663" t="s">
        <v>884</v>
      </c>
      <c r="H4269" s="578">
        <v>2019</v>
      </c>
      <c r="I4269" s="697">
        <v>2020</v>
      </c>
      <c r="J4269" s="696">
        <v>2021</v>
      </c>
      <c r="K4269" s="928">
        <v>2022</v>
      </c>
      <c r="L4269" s="578">
        <v>2023</v>
      </c>
      <c r="M4269" s="578">
        <v>2024</v>
      </c>
      <c r="N4269" s="578">
        <v>2025</v>
      </c>
    </row>
    <row r="4270" spans="3:14">
      <c r="C4270" s="485"/>
      <c r="D4270" s="561" t="s">
        <v>6</v>
      </c>
      <c r="E4270" s="863" t="s">
        <v>63</v>
      </c>
      <c r="F4270" s="863"/>
      <c r="G4270" s="579" t="s">
        <v>2015</v>
      </c>
      <c r="H4270" s="297" t="str">
        <f>IFERROR(IF([1]F_ProductBM!H1564 = "", "", [1]F_ProductBM!H1564 ),"")</f>
        <v/>
      </c>
      <c r="I4270" s="298" t="str">
        <f>IFERROR(IF([1]F_ProductBM!I1564 = "", "", [1]F_ProductBM!I1564 ),"")</f>
        <v/>
      </c>
      <c r="J4270" s="299" t="str">
        <f>IFERROR(IF([1]F_ProductBM!J1564 = "", "", [1]F_ProductBM!J1564 ),"")</f>
        <v/>
      </c>
      <c r="K4270" s="300" t="str">
        <f>IFERROR(IF([1]F_ProductBM!K1564 = "", "", [1]F_ProductBM!K1564 ),"")</f>
        <v/>
      </c>
      <c r="L4270" s="300" t="str">
        <f>IFERROR(IF([1]F_ProductBM!L1564 = "", "", [1]F_ProductBM!L1564 ),"")</f>
        <v/>
      </c>
      <c r="M4270" s="297" t="str">
        <f>IFERROR(IF([1]F_ProductBM!M1564 = "", "", [1]F_ProductBM!M1564 ),"")</f>
        <v/>
      </c>
      <c r="N4270" s="297" t="str">
        <f>IFERROR(IF([1]F_ProductBM!N1564 = "", "", [1]F_ProductBM!N1564 ),"")</f>
        <v/>
      </c>
    </row>
    <row r="4271" spans="3:14">
      <c r="C4271" s="485"/>
      <c r="D4271" s="561" t="s">
        <v>7</v>
      </c>
      <c r="E4271" s="865" t="s">
        <v>257</v>
      </c>
      <c r="F4271" s="865"/>
      <c r="G4271" s="582" t="s">
        <v>2017</v>
      </c>
      <c r="H4271" s="134" t="str">
        <f>IFERROR(IF([1]F_ProductBM!H1565 = "", "", [1]F_ProductBM!H1565 ),"")</f>
        <v/>
      </c>
      <c r="I4271" s="301" t="str">
        <f>IFERROR(IF([1]F_ProductBM!I1565 = "", "", [1]F_ProductBM!I1565 ),"")</f>
        <v/>
      </c>
      <c r="J4271" s="302" t="str">
        <f>IFERROR(IF([1]F_ProductBM!J1565 = "", "", [1]F_ProductBM!J1565 ),"")</f>
        <v/>
      </c>
      <c r="K4271" s="303" t="str">
        <f>IFERROR(IF([1]F_ProductBM!K1565 = "", "", [1]F_ProductBM!K1565 ),"")</f>
        <v/>
      </c>
      <c r="L4271" s="134" t="str">
        <f>IFERROR(IF([1]F_ProductBM!L1565 = "", "", [1]F_ProductBM!L1565 ),"")</f>
        <v/>
      </c>
      <c r="M4271" s="134" t="str">
        <f>IFERROR(IF([1]F_ProductBM!M1565 = "", "", [1]F_ProductBM!M1565 ),"")</f>
        <v/>
      </c>
      <c r="N4271" s="134" t="str">
        <f>IFERROR(IF([1]F_ProductBM!N1565 = "", "", [1]F_ProductBM!N1565 ),"")</f>
        <v/>
      </c>
    </row>
    <row r="4272" spans="3:14">
      <c r="C4272" s="485"/>
      <c r="D4272" s="561" t="s">
        <v>8</v>
      </c>
      <c r="E4272" s="932" t="s">
        <v>914</v>
      </c>
      <c r="F4272" s="932"/>
      <c r="G4272" s="933" t="s">
        <v>2021</v>
      </c>
      <c r="H4272" s="109" t="str">
        <f>IFERROR(IF([1]F_ProductBM!H1566 = "", "", [1]F_ProductBM!H1566 ),"")</f>
        <v/>
      </c>
      <c r="I4272" s="304" t="str">
        <f>IFERROR(IF([1]F_ProductBM!I1566 = "", "", [1]F_ProductBM!I1566 ),"")</f>
        <v/>
      </c>
      <c r="J4272" s="305" t="str">
        <f>IFERROR(IF([1]F_ProductBM!J1566 = "", "", [1]F_ProductBM!J1566 ),"")</f>
        <v/>
      </c>
      <c r="K4272" s="306" t="str">
        <f>IFERROR(IF([1]F_ProductBM!K1566 = "", "", [1]F_ProductBM!K1566 ),"")</f>
        <v/>
      </c>
      <c r="L4272" s="109" t="str">
        <f>IFERROR(IF([1]F_ProductBM!L1566 = "", "", [1]F_ProductBM!L1566 ),"")</f>
        <v/>
      </c>
      <c r="M4272" s="109" t="str">
        <f>IFERROR(IF([1]F_ProductBM!M1566 = "", "", [1]F_ProductBM!M1566 ),"")</f>
        <v/>
      </c>
      <c r="N4272" s="109" t="str">
        <f>IFERROR(IF([1]F_ProductBM!N1566 = "", "", [1]F_ProductBM!N1566 ),"")</f>
        <v/>
      </c>
    </row>
    <row r="4273" spans="3:14">
      <c r="C4273" s="485"/>
      <c r="D4273" s="561" t="s">
        <v>18</v>
      </c>
      <c r="E4273" s="863" t="s">
        <v>915</v>
      </c>
      <c r="F4273" s="863"/>
      <c r="G4273" s="579" t="s">
        <v>2015</v>
      </c>
      <c r="H4273" s="297" t="str">
        <f>IFERROR(IF([1]F_ProductBM!H1567 = "", "", [1]F_ProductBM!H1567 ),"")</f>
        <v/>
      </c>
      <c r="I4273" s="298" t="str">
        <f>IFERROR(IF([1]F_ProductBM!I1567 = "", "", [1]F_ProductBM!I1567 ),"")</f>
        <v/>
      </c>
      <c r="J4273" s="299" t="str">
        <f>IFERROR(IF([1]F_ProductBM!J1567 = "", "", [1]F_ProductBM!J1567 ),"")</f>
        <v/>
      </c>
      <c r="K4273" s="300" t="str">
        <f>IFERROR(IF([1]F_ProductBM!K1567 = "", "", [1]F_ProductBM!K1567 ),"")</f>
        <v/>
      </c>
      <c r="L4273" s="300" t="str">
        <f>IFERROR(IF([1]F_ProductBM!L1567 = "", "", [1]F_ProductBM!L1567 ),"")</f>
        <v/>
      </c>
      <c r="M4273" s="297" t="str">
        <f>IFERROR(IF([1]F_ProductBM!M1567 = "", "", [1]F_ProductBM!M1567 ),"")</f>
        <v/>
      </c>
      <c r="N4273" s="297" t="str">
        <f>IFERROR(IF([1]F_ProductBM!N1567 = "", "", [1]F_ProductBM!N1567 ),"")</f>
        <v/>
      </c>
    </row>
    <row r="4274" spans="3:14">
      <c r="C4274" s="485"/>
      <c r="D4274" s="561" t="s">
        <v>787</v>
      </c>
      <c r="E4274" s="867" t="s">
        <v>916</v>
      </c>
      <c r="F4274" s="867"/>
      <c r="G4274" s="584" t="s">
        <v>2015</v>
      </c>
      <c r="H4274" s="307" t="str">
        <f>IFERROR(IF([1]F_ProductBM!H1568 = "", "", [1]F_ProductBM!H1568 ),"")</f>
        <v/>
      </c>
      <c r="I4274" s="308" t="str">
        <f>IFERROR(IF([1]F_ProductBM!I1568 = "", "", [1]F_ProductBM!I1568 ),"")</f>
        <v/>
      </c>
      <c r="J4274" s="309" t="str">
        <f>IFERROR(IF([1]F_ProductBM!J1568 = "", "", [1]F_ProductBM!J1568 ),"")</f>
        <v/>
      </c>
      <c r="K4274" s="310" t="str">
        <f>IFERROR(IF([1]F_ProductBM!K1568 = "", "", [1]F_ProductBM!K1568 ),"")</f>
        <v/>
      </c>
      <c r="L4274" s="310" t="str">
        <f>IFERROR(IF([1]F_ProductBM!L1568 = "", "", [1]F_ProductBM!L1568 ),"")</f>
        <v/>
      </c>
      <c r="M4274" s="307" t="str">
        <f>IFERROR(IF([1]F_ProductBM!M1568 = "", "", [1]F_ProductBM!M1568 ),"")</f>
        <v/>
      </c>
      <c r="N4274" s="307" t="str">
        <f>IFERROR(IF([1]F_ProductBM!N1568 = "", "", [1]F_ProductBM!N1568 ),"")</f>
        <v/>
      </c>
    </row>
    <row r="4275" spans="3:14">
      <c r="C4275" s="479"/>
      <c r="D4275" s="479"/>
      <c r="E4275" s="479"/>
      <c r="F4275" s="479"/>
      <c r="G4275" s="479"/>
      <c r="H4275" s="479"/>
      <c r="I4275" s="479"/>
      <c r="J4275" s="937"/>
      <c r="K4275" s="479"/>
      <c r="L4275" s="479"/>
      <c r="M4275" s="485"/>
      <c r="N4275" s="485"/>
    </row>
    <row r="4276" spans="3:14">
      <c r="C4276" s="479"/>
      <c r="D4276" s="561" t="s">
        <v>788</v>
      </c>
      <c r="E4276" s="698" t="s">
        <v>1389</v>
      </c>
      <c r="F4276" s="938"/>
      <c r="G4276" s="939" t="s">
        <v>1021</v>
      </c>
      <c r="H4276" s="311" t="str">
        <f>IFERROR(IF([1]F_ProductBM!H1570 = "", "", [1]F_ProductBM!H1570 ),"")</f>
        <v/>
      </c>
      <c r="I4276" s="312" t="str">
        <f>IFERROR(IF([1]F_ProductBM!I1570 = "", "", [1]F_ProductBM!I1570 ),"")</f>
        <v/>
      </c>
      <c r="J4276" s="313" t="str">
        <f>IFERROR(IF([1]F_ProductBM!J1570 = "", "", [1]F_ProductBM!J1570 ),"")</f>
        <v/>
      </c>
      <c r="K4276" s="314" t="str">
        <f>IFERROR(IF([1]F_ProductBM!K1570 = "", "", [1]F_ProductBM!K1570 ),"")</f>
        <v/>
      </c>
      <c r="L4276" s="311" t="str">
        <f>IFERROR(IF([1]F_ProductBM!L1570 = "", "", [1]F_ProductBM!L1570 ),"")</f>
        <v/>
      </c>
      <c r="M4276" s="311" t="str">
        <f>IFERROR(IF([1]F_ProductBM!M1570 = "", "", [1]F_ProductBM!M1570 ),"")</f>
        <v/>
      </c>
      <c r="N4276" s="311" t="str">
        <f>IFERROR(IF([1]F_ProductBM!N1570 = "", "", [1]F_ProductBM!N1570 ),"")</f>
        <v/>
      </c>
    </row>
    <row r="4277" spans="3:14">
      <c r="C4277" s="479"/>
      <c r="D4277" s="479"/>
      <c r="E4277" s="479"/>
      <c r="F4277" s="479"/>
      <c r="G4277" s="479"/>
      <c r="H4277" s="479"/>
      <c r="I4277" s="479"/>
      <c r="J4277" s="479"/>
      <c r="K4277" s="479"/>
      <c r="L4277" s="479"/>
      <c r="M4277" s="485"/>
      <c r="N4277" s="485"/>
    </row>
    <row r="4278" spans="3:14" ht="26.1" customHeight="1" thickBot="1">
      <c r="C4278" s="479"/>
      <c r="D4278" s="485"/>
      <c r="E4278" s="2465" t="s">
        <v>2709</v>
      </c>
      <c r="F4278" s="2400"/>
      <c r="G4278" s="2400"/>
      <c r="H4278" s="2400"/>
      <c r="I4278" s="2400"/>
      <c r="J4278" s="2400"/>
      <c r="K4278" s="2400"/>
      <c r="L4278" s="2400"/>
      <c r="M4278" s="2400"/>
      <c r="N4278" s="2400"/>
    </row>
    <row r="4279" spans="3:14">
      <c r="C4279" s="479"/>
      <c r="D4279" s="902"/>
      <c r="E4279" s="942"/>
      <c r="F4279" s="942"/>
      <c r="G4279" s="942"/>
      <c r="H4279" s="942"/>
      <c r="I4279" s="942"/>
      <c r="J4279" s="942"/>
      <c r="K4279" s="942"/>
      <c r="L4279" s="942"/>
      <c r="M4279" s="942"/>
      <c r="N4279" s="943"/>
    </row>
    <row r="4280" spans="3:14">
      <c r="C4280" s="479"/>
      <c r="D4280" s="907" t="s">
        <v>1915</v>
      </c>
      <c r="E4280" s="908" t="s">
        <v>1775</v>
      </c>
      <c r="F4280" s="909"/>
      <c r="G4280" s="909"/>
      <c r="H4280" s="910" t="s">
        <v>884</v>
      </c>
      <c r="I4280" s="911" t="s">
        <v>2220</v>
      </c>
      <c r="J4280" s="912">
        <v>2021</v>
      </c>
      <c r="K4280" s="913">
        <v>2022</v>
      </c>
      <c r="L4280" s="913">
        <v>2023</v>
      </c>
      <c r="M4280" s="913">
        <v>2024</v>
      </c>
      <c r="N4280" s="914">
        <v>2025</v>
      </c>
    </row>
    <row r="4281" spans="3:14">
      <c r="C4281" s="479"/>
      <c r="D4281" s="915" t="s">
        <v>6</v>
      </c>
      <c r="E4281" s="916" t="s">
        <v>1691</v>
      </c>
      <c r="F4281" s="916"/>
      <c r="G4281" s="916"/>
      <c r="H4281" s="944" t="s">
        <v>1021</v>
      </c>
      <c r="I4281" s="315" t="str">
        <f>IFERROR(IF([1]F_ProductBM!I1575 = "", "", [1]F_ProductBM!I1575 ),"")</f>
        <v/>
      </c>
      <c r="J4281" s="316" t="str">
        <f>IFERROR(IF([1]F_ProductBM!J1575 = "", "", [1]F_ProductBM!J1575 ),"")</f>
        <v/>
      </c>
      <c r="K4281" s="317" t="str">
        <f>IFERROR(IF([1]F_ProductBM!K1575 = "", "", [1]F_ProductBM!K1575 ),"")</f>
        <v/>
      </c>
      <c r="L4281" s="317" t="str">
        <f>IFERROR(IF([1]F_ProductBM!L1575 = "", "", [1]F_ProductBM!L1575 ),"")</f>
        <v/>
      </c>
      <c r="M4281" s="317" t="str">
        <f>IFERROR(IF([1]F_ProductBM!M1575 = "", "", [1]F_ProductBM!M1575 ),"")</f>
        <v/>
      </c>
      <c r="N4281" s="318" t="str">
        <f>IFERROR(IF([1]F_ProductBM!N1575 = "", "", [1]F_ProductBM!N1575 ),"")</f>
        <v/>
      </c>
    </row>
    <row r="4282" spans="3:14">
      <c r="C4282" s="479"/>
      <c r="D4282" s="915"/>
      <c r="E4282" s="916" t="s">
        <v>1776</v>
      </c>
      <c r="F4282" s="916"/>
      <c r="G4282" s="916"/>
      <c r="H4282" s="921"/>
      <c r="I4282" s="916"/>
      <c r="J4282" s="319" t="str">
        <f>IFERROR(IF([1]F_ProductBM!J1576 = "", "", [1]F_ProductBM!J1576 ),"")</f>
        <v/>
      </c>
      <c r="K4282" s="320" t="str">
        <f>IFERROR(IF([1]F_ProductBM!K1576 = "", "", [1]F_ProductBM!K1576 ),"")</f>
        <v/>
      </c>
      <c r="L4282" s="320" t="str">
        <f>IFERROR(IF([1]F_ProductBM!L1576 = "", "", [1]F_ProductBM!L1576 ),"")</f>
        <v/>
      </c>
      <c r="M4282" s="320" t="str">
        <f>IFERROR(IF([1]F_ProductBM!M1576 = "", "", [1]F_ProductBM!M1576 ),"")</f>
        <v/>
      </c>
      <c r="N4282" s="321" t="str">
        <f>IFERROR(IF([1]F_ProductBM!N1576 = "", "", [1]F_ProductBM!N1576 ),"")</f>
        <v/>
      </c>
    </row>
    <row r="4283" spans="3:14">
      <c r="C4283" s="479"/>
      <c r="D4283" s="915" t="s">
        <v>7</v>
      </c>
      <c r="E4283" s="916" t="s">
        <v>1654</v>
      </c>
      <c r="F4283" s="916"/>
      <c r="G4283" s="916"/>
      <c r="H4283" s="921"/>
      <c r="I4283" s="916"/>
      <c r="J4283" s="288" t="str">
        <f>IFERROR(IF([1]F_ProductBM!J1577 = "", "", [1]F_ProductBM!J1577 ),"")</f>
        <v/>
      </c>
      <c r="K4283" s="289" t="str">
        <f>IFERROR(IF([1]F_ProductBM!K1577 = "", "", [1]F_ProductBM!K1577 ),"")</f>
        <v/>
      </c>
      <c r="L4283" s="289" t="str">
        <f>IFERROR(IF([1]F_ProductBM!L1577 = "", "", [1]F_ProductBM!L1577 ),"")</f>
        <v/>
      </c>
      <c r="M4283" s="289" t="str">
        <f>IFERROR(IF([1]F_ProductBM!M1577 = "", "", [1]F_ProductBM!M1577 ),"")</f>
        <v/>
      </c>
      <c r="N4283" s="290" t="str">
        <f>IFERROR(IF([1]F_ProductBM!N1577 = "", "", [1]F_ProductBM!N1577 ),"")</f>
        <v/>
      </c>
    </row>
    <row r="4284" spans="3:14">
      <c r="C4284" s="479"/>
      <c r="D4284" s="915"/>
      <c r="E4284" s="916" t="s">
        <v>1689</v>
      </c>
      <c r="F4284" s="916"/>
      <c r="G4284" s="916"/>
      <c r="H4284" s="944" t="s">
        <v>1021</v>
      </c>
      <c r="I4284" s="315" t="str">
        <f>IFERROR(IF([1]F_ProductBM!I1578 = "", "", [1]F_ProductBM!I1578 ),"")</f>
        <v/>
      </c>
      <c r="J4284" s="322" t="str">
        <f>IFERROR(IF([1]F_ProductBM!J1578 = "", "", [1]F_ProductBM!J1578 ),"")</f>
        <v/>
      </c>
      <c r="K4284" s="323" t="str">
        <f>IFERROR(IF([1]F_ProductBM!K1578 = "", "", [1]F_ProductBM!K1578 ),"")</f>
        <v/>
      </c>
      <c r="L4284" s="323" t="str">
        <f>IFERROR(IF([1]F_ProductBM!L1578 = "", "", [1]F_ProductBM!L1578 ),"")</f>
        <v/>
      </c>
      <c r="M4284" s="323" t="str">
        <f>IFERROR(IF([1]F_ProductBM!M1578 = "", "", [1]F_ProductBM!M1578 ),"")</f>
        <v/>
      </c>
      <c r="N4284" s="324" t="str">
        <f>IFERROR(IF([1]F_ProductBM!N1578 = "", "", [1]F_ProductBM!N1578 ),"")</f>
        <v/>
      </c>
    </row>
    <row r="4285" spans="3:14">
      <c r="C4285" s="479"/>
      <c r="D4285" s="915"/>
      <c r="E4285" s="909"/>
      <c r="F4285" s="909"/>
      <c r="G4285" s="909"/>
      <c r="H4285" s="909"/>
      <c r="I4285" s="909"/>
      <c r="J4285" s="909"/>
      <c r="K4285" s="909"/>
      <c r="L4285" s="909"/>
      <c r="M4285" s="909"/>
      <c r="N4285" s="922"/>
    </row>
    <row r="4286" spans="3:14">
      <c r="C4286" s="479"/>
      <c r="D4286" s="915"/>
      <c r="E4286" s="923" t="s">
        <v>1653</v>
      </c>
      <c r="F4286" s="923"/>
      <c r="G4286" s="923"/>
      <c r="H4286" s="923"/>
      <c r="I4286" s="923"/>
      <c r="J4286" s="912">
        <v>2021</v>
      </c>
      <c r="K4286" s="913">
        <v>2022</v>
      </c>
      <c r="L4286" s="913">
        <v>2023</v>
      </c>
      <c r="M4286" s="913">
        <v>2024</v>
      </c>
      <c r="N4286" s="914">
        <v>2025</v>
      </c>
    </row>
    <row r="4287" spans="3:14">
      <c r="C4287" s="479"/>
      <c r="D4287" s="915" t="s">
        <v>8</v>
      </c>
      <c r="E4287" s="916" t="s">
        <v>2108</v>
      </c>
      <c r="F4287" s="916"/>
      <c r="G4287" s="916"/>
      <c r="H4287" s="916"/>
      <c r="I4287" s="916"/>
      <c r="J4287" s="69" t="str">
        <f>IFERROR(IF([1]F_ProductBM!J1581 = "", "", [1]F_ProductBM!J1581 ),"")</f>
        <v/>
      </c>
      <c r="K4287" s="62" t="str">
        <f>IFERROR(IF([1]F_ProductBM!K1581 = "", "", [1]F_ProductBM!K1581 ),"")</f>
        <v/>
      </c>
      <c r="L4287" s="62" t="str">
        <f>IFERROR(IF([1]F_ProductBM!L1581 = "", "", [1]F_ProductBM!L1581 ),"")</f>
        <v/>
      </c>
      <c r="M4287" s="62" t="str">
        <f>IFERROR(IF([1]F_ProductBM!M1581 = "", "", [1]F_ProductBM!M1581 ),"")</f>
        <v/>
      </c>
      <c r="N4287" s="70" t="str">
        <f>IFERROR(IF([1]F_ProductBM!N1581 = "", "", [1]F_ProductBM!N1581 ),"")</f>
        <v/>
      </c>
    </row>
    <row r="4288" spans="3:14" ht="13.5" thickBot="1">
      <c r="C4288" s="479"/>
      <c r="D4288" s="915"/>
      <c r="E4288" s="909"/>
      <c r="F4288" s="909"/>
      <c r="G4288" s="909"/>
      <c r="H4288" s="909"/>
      <c r="I4288" s="909"/>
      <c r="J4288" s="909"/>
      <c r="K4288" s="909"/>
      <c r="L4288" s="909"/>
      <c r="M4288" s="909"/>
      <c r="N4288" s="922"/>
    </row>
    <row r="4289" spans="3:14" ht="13.5" thickBot="1">
      <c r="C4289" s="479"/>
      <c r="D4289" s="915" t="s">
        <v>18</v>
      </c>
      <c r="E4289" s="916" t="s">
        <v>1657</v>
      </c>
      <c r="F4289" s="916"/>
      <c r="G4289" s="916"/>
      <c r="H4289" s="921"/>
      <c r="I4289" s="916"/>
      <c r="J4289" s="291" t="str">
        <f>IFERROR(IF([1]F_ProductBM!J1583 = "", "", [1]F_ProductBM!J1583 ),"")</f>
        <v/>
      </c>
      <c r="K4289" s="292" t="str">
        <f>IFERROR(IF([1]F_ProductBM!K1583 = "", "", [1]F_ProductBM!K1583 ),"")</f>
        <v/>
      </c>
      <c r="L4289" s="292" t="str">
        <f>IFERROR(IF([1]F_ProductBM!L1583 = "", "", [1]F_ProductBM!L1583 ),"")</f>
        <v/>
      </c>
      <c r="M4289" s="292" t="str">
        <f>IFERROR(IF([1]F_ProductBM!M1583 = "", "", [1]F_ProductBM!M1583 ),"")</f>
        <v/>
      </c>
      <c r="N4289" s="293" t="str">
        <f>IFERROR(IF([1]F_ProductBM!N1583 = "", "", [1]F_ProductBM!N1583 ),"")</f>
        <v/>
      </c>
    </row>
    <row r="4290" spans="3:14" ht="13.5" thickBot="1">
      <c r="C4290" s="479"/>
      <c r="D4290" s="915" t="s">
        <v>787</v>
      </c>
      <c r="E4290" s="916" t="s">
        <v>1659</v>
      </c>
      <c r="F4290" s="916"/>
      <c r="G4290" s="916"/>
      <c r="H4290" s="944" t="s">
        <v>1021</v>
      </c>
      <c r="I4290" s="315" t="str">
        <f>IFERROR(IF([1]F_ProductBM!I1584 = "", "", [1]F_ProductBM!I1584 ),"")</f>
        <v/>
      </c>
      <c r="J4290" s="325" t="str">
        <f>IFERROR(IF([1]F_ProductBM!J1584 = "", "", [1]F_ProductBM!J1584 ),"")</f>
        <v/>
      </c>
      <c r="K4290" s="326" t="str">
        <f>IFERROR(IF([1]F_ProductBM!K1584 = "", "", [1]F_ProductBM!K1584 ),"")</f>
        <v/>
      </c>
      <c r="L4290" s="326" t="str">
        <f>IFERROR(IF([1]F_ProductBM!L1584 = "", "", [1]F_ProductBM!L1584 ),"")</f>
        <v/>
      </c>
      <c r="M4290" s="326" t="str">
        <f>IFERROR(IF([1]F_ProductBM!M1584 = "", "", [1]F_ProductBM!M1584 ),"")</f>
        <v/>
      </c>
      <c r="N4290" s="327" t="str">
        <f>IFERROR(IF([1]F_ProductBM!N1584 = "", "", [1]F_ProductBM!N1584 ),"")</f>
        <v/>
      </c>
    </row>
    <row r="4291" spans="3:14" ht="13.5" thickBot="1">
      <c r="C4291" s="479"/>
      <c r="D4291" s="946"/>
      <c r="E4291" s="947"/>
      <c r="F4291" s="947"/>
      <c r="G4291" s="947"/>
      <c r="H4291" s="947"/>
      <c r="I4291" s="947"/>
      <c r="J4291" s="947"/>
      <c r="K4291" s="947"/>
      <c r="L4291" s="947"/>
      <c r="M4291" s="925"/>
      <c r="N4291" s="926"/>
    </row>
    <row r="4292" spans="3:14">
      <c r="C4292" s="479"/>
      <c r="D4292" s="479"/>
      <c r="E4292" s="479"/>
      <c r="F4292" s="479"/>
      <c r="G4292" s="479"/>
      <c r="H4292" s="479"/>
      <c r="I4292" s="479"/>
      <c r="J4292" s="479"/>
      <c r="K4292" s="479"/>
      <c r="L4292" s="479"/>
      <c r="M4292" s="485"/>
      <c r="N4292" s="485"/>
    </row>
    <row r="4293" spans="3:14">
      <c r="C4293" s="479"/>
      <c r="D4293" s="482" t="s">
        <v>881</v>
      </c>
      <c r="E4293" s="2373" t="s">
        <v>941</v>
      </c>
      <c r="F4293" s="2373"/>
      <c r="G4293" s="2373"/>
      <c r="H4293" s="2373"/>
      <c r="I4293" s="2604"/>
      <c r="J4293" s="2652" t="s">
        <v>1857</v>
      </c>
      <c r="K4293" s="2653"/>
      <c r="L4293" s="2653"/>
      <c r="M4293" s="2653"/>
      <c r="N4293" s="2654"/>
    </row>
    <row r="4294" spans="3:14">
      <c r="C4294" s="479"/>
      <c r="D4294" s="485"/>
      <c r="E4294" s="2465" t="s">
        <v>1368</v>
      </c>
      <c r="F4294" s="2400"/>
      <c r="G4294" s="2400"/>
      <c r="H4294" s="2400"/>
      <c r="I4294" s="2400"/>
      <c r="J4294" s="2400"/>
      <c r="K4294" s="2400"/>
      <c r="L4294" s="2400"/>
      <c r="M4294" s="2400"/>
      <c r="N4294" s="2400"/>
    </row>
    <row r="4295" spans="3:14">
      <c r="C4295" s="479"/>
      <c r="D4295" s="485"/>
      <c r="E4295" s="2465" t="s">
        <v>1474</v>
      </c>
      <c r="F4295" s="2400"/>
      <c r="G4295" s="2400"/>
      <c r="H4295" s="2400"/>
      <c r="I4295" s="2400"/>
      <c r="J4295" s="2400"/>
      <c r="K4295" s="2400"/>
      <c r="L4295" s="2400"/>
      <c r="M4295" s="2400"/>
      <c r="N4295" s="2400"/>
    </row>
    <row r="4296" spans="3:14">
      <c r="C4296" s="479"/>
      <c r="D4296" s="485"/>
      <c r="E4296" s="2465" t="s">
        <v>1300</v>
      </c>
      <c r="F4296" s="2400"/>
      <c r="G4296" s="2400"/>
      <c r="H4296" s="2400"/>
      <c r="I4296" s="2400"/>
      <c r="J4296" s="2400"/>
      <c r="K4296" s="2400"/>
      <c r="L4296" s="2400"/>
      <c r="M4296" s="2400"/>
      <c r="N4296" s="2400"/>
    </row>
    <row r="4297" spans="3:14">
      <c r="C4297" s="479"/>
      <c r="D4297" s="485"/>
      <c r="E4297" s="2465" t="s">
        <v>1608</v>
      </c>
      <c r="F4297" s="2400"/>
      <c r="G4297" s="2400"/>
      <c r="H4297" s="2400"/>
      <c r="I4297" s="2400"/>
      <c r="J4297" s="2400"/>
      <c r="K4297" s="2400"/>
      <c r="L4297" s="2400"/>
      <c r="M4297" s="2400"/>
      <c r="N4297" s="2400"/>
    </row>
    <row r="4298" spans="3:14">
      <c r="C4298" s="485"/>
      <c r="D4298" s="482"/>
      <c r="E4298" s="927" t="s">
        <v>62</v>
      </c>
      <c r="F4298" s="518"/>
      <c r="G4298" s="663" t="s">
        <v>884</v>
      </c>
      <c r="H4298" s="578">
        <v>2019</v>
      </c>
      <c r="I4298" s="697">
        <v>2020</v>
      </c>
      <c r="J4298" s="696">
        <v>2021</v>
      </c>
      <c r="K4298" s="578">
        <v>2022</v>
      </c>
      <c r="L4298" s="578">
        <v>2023</v>
      </c>
      <c r="M4298" s="578">
        <v>2024</v>
      </c>
      <c r="N4298" s="578">
        <v>2025</v>
      </c>
    </row>
    <row r="4299" spans="3:14" ht="25.5">
      <c r="C4299" s="485"/>
      <c r="D4299" s="561" t="s">
        <v>6</v>
      </c>
      <c r="E4299" s="948" t="s">
        <v>650</v>
      </c>
      <c r="F4299" s="948"/>
      <c r="G4299" s="730" t="s">
        <v>2017</v>
      </c>
      <c r="H4299" s="93" t="str">
        <f>IFERROR(IF([1]F_ProductBM!H1593 = "", "", [1]F_ProductBM!H1593 ),"")</f>
        <v/>
      </c>
      <c r="I4299" s="116" t="str">
        <f>IFERROR(IF([1]F_ProductBM!I1593 = "", "", [1]F_ProductBM!I1593 ),"")</f>
        <v/>
      </c>
      <c r="J4299" s="117" t="str">
        <f>IFERROR(IF([1]F_ProductBM!J1593 = "", "", [1]F_ProductBM!J1593 ),"")</f>
        <v/>
      </c>
      <c r="K4299" s="93" t="str">
        <f>IFERROR(IF([1]F_ProductBM!K1593 = "", "", [1]F_ProductBM!K1593 ),"")</f>
        <v/>
      </c>
      <c r="L4299" s="93" t="str">
        <f>IFERROR(IF([1]F_ProductBM!L1593 = "", "", [1]F_ProductBM!L1593 ),"")</f>
        <v/>
      </c>
      <c r="M4299" s="93" t="str">
        <f>IFERROR(IF([1]F_ProductBM!M1593 = "", "", [1]F_ProductBM!M1593 ),"")</f>
        <v/>
      </c>
      <c r="N4299" s="93" t="str">
        <f>IFERROR(IF([1]F_ProductBM!N1593 = "", "", [1]F_ProductBM!N1593 ),"")</f>
        <v/>
      </c>
    </row>
    <row r="4300" spans="3:14" ht="25.5">
      <c r="C4300" s="485"/>
      <c r="D4300" s="561" t="s">
        <v>7</v>
      </c>
      <c r="E4300" s="863" t="s">
        <v>107</v>
      </c>
      <c r="F4300" s="863"/>
      <c r="G4300" s="950" t="s">
        <v>1022</v>
      </c>
      <c r="H4300" s="328" t="str">
        <f>IFERROR(IF([1]F_ProductBM!H1594 = "", "", [1]F_ProductBM!H1594 ),"")</f>
        <v/>
      </c>
      <c r="I4300" s="329" t="str">
        <f>IFERROR(IF([1]F_ProductBM!I1594 = "", "", [1]F_ProductBM!I1594 ),"")</f>
        <v/>
      </c>
      <c r="J4300" s="330" t="str">
        <f>IFERROR(IF([1]F_ProductBM!J1594 = "", "", [1]F_ProductBM!J1594 ),"")</f>
        <v/>
      </c>
      <c r="K4300" s="328" t="str">
        <f>IFERROR(IF([1]F_ProductBM!K1594 = "", "", [1]F_ProductBM!K1594 ),"")</f>
        <v/>
      </c>
      <c r="L4300" s="328" t="str">
        <f>IFERROR(IF([1]F_ProductBM!L1594 = "", "", [1]F_ProductBM!L1594 ),"")</f>
        <v/>
      </c>
      <c r="M4300" s="328" t="str">
        <f>IFERROR(IF([1]F_ProductBM!M1594 = "", "", [1]F_ProductBM!M1594 ),"")</f>
        <v/>
      </c>
      <c r="N4300" s="328" t="str">
        <f>IFERROR(IF([1]F_ProductBM!N1594 = "", "", [1]F_ProductBM!N1594 ),"")</f>
        <v/>
      </c>
    </row>
    <row r="4301" spans="3:14" ht="25.5">
      <c r="C4301" s="485"/>
      <c r="D4301" s="561" t="s">
        <v>8</v>
      </c>
      <c r="E4301" s="571" t="s">
        <v>1548</v>
      </c>
      <c r="F4301" s="571"/>
      <c r="G4301" s="951" t="s">
        <v>1022</v>
      </c>
      <c r="H4301" s="331" t="str">
        <f>IFERROR(IF([1]F_ProductBM!H1595 = "", "", [1]F_ProductBM!H1595 ),"")</f>
        <v/>
      </c>
      <c r="I4301" s="332" t="str">
        <f>IFERROR(IF([1]F_ProductBM!I1595 = "", "", [1]F_ProductBM!I1595 ),"")</f>
        <v/>
      </c>
      <c r="J4301" s="333" t="str">
        <f>IFERROR(IF([1]F_ProductBM!J1595 = "", "", [1]F_ProductBM!J1595 ),"")</f>
        <v/>
      </c>
      <c r="K4301" s="331" t="str">
        <f>IFERROR(IF([1]F_ProductBM!K1595 = "", "", [1]F_ProductBM!K1595 ),"")</f>
        <v/>
      </c>
      <c r="L4301" s="331" t="str">
        <f>IFERROR(IF([1]F_ProductBM!L1595 = "", "", [1]F_ProductBM!L1595 ),"")</f>
        <v/>
      </c>
      <c r="M4301" s="331" t="str">
        <f>IFERROR(IF([1]F_ProductBM!M1595 = "", "", [1]F_ProductBM!M1595 ),"")</f>
        <v/>
      </c>
      <c r="N4301" s="331" t="str">
        <f>IFERROR(IF([1]F_ProductBM!N1595 = "", "", [1]F_ProductBM!N1595 ),"")</f>
        <v/>
      </c>
    </row>
    <row r="4302" spans="3:14">
      <c r="C4302" s="485"/>
      <c r="D4302" s="485"/>
      <c r="E4302" s="485"/>
      <c r="F4302" s="485"/>
      <c r="G4302" s="485"/>
      <c r="H4302" s="485"/>
      <c r="I4302" s="952"/>
      <c r="J4302" s="485"/>
      <c r="K4302" s="485"/>
      <c r="L4302" s="485"/>
      <c r="M4302" s="485"/>
      <c r="N4302" s="485"/>
    </row>
    <row r="4303" spans="3:14" ht="26.1" customHeight="1" thickBot="1">
      <c r="C4303" s="479"/>
      <c r="D4303" s="485"/>
      <c r="E4303" s="2465" t="s">
        <v>2709</v>
      </c>
      <c r="F4303" s="2400"/>
      <c r="G4303" s="2400"/>
      <c r="H4303" s="2400"/>
      <c r="I4303" s="2400"/>
      <c r="J4303" s="2400"/>
      <c r="K4303" s="2400"/>
      <c r="L4303" s="2400"/>
      <c r="M4303" s="2400"/>
      <c r="N4303" s="2400"/>
    </row>
    <row r="4304" spans="3:14">
      <c r="C4304" s="479"/>
      <c r="D4304" s="902"/>
      <c r="E4304" s="904"/>
      <c r="F4304" s="953"/>
      <c r="G4304" s="953"/>
      <c r="H4304" s="953"/>
      <c r="I4304" s="953"/>
      <c r="J4304" s="953"/>
      <c r="K4304" s="953"/>
      <c r="L4304" s="953"/>
      <c r="M4304" s="953"/>
      <c r="N4304" s="954"/>
    </row>
    <row r="4305" spans="3:14">
      <c r="C4305" s="479"/>
      <c r="D4305" s="907" t="s">
        <v>1916</v>
      </c>
      <c r="E4305" s="908" t="s">
        <v>1774</v>
      </c>
      <c r="F4305" s="909"/>
      <c r="G4305" s="909"/>
      <c r="H4305" s="910" t="s">
        <v>884</v>
      </c>
      <c r="I4305" s="911" t="s">
        <v>2213</v>
      </c>
      <c r="J4305" s="912">
        <v>2021</v>
      </c>
      <c r="K4305" s="913">
        <v>2022</v>
      </c>
      <c r="L4305" s="913">
        <v>2023</v>
      </c>
      <c r="M4305" s="913">
        <v>2024</v>
      </c>
      <c r="N4305" s="914">
        <v>2025</v>
      </c>
    </row>
    <row r="4306" spans="3:14">
      <c r="C4306" s="479"/>
      <c r="D4306" s="915" t="s">
        <v>6</v>
      </c>
      <c r="E4306" s="916" t="s">
        <v>1691</v>
      </c>
      <c r="F4306" s="916"/>
      <c r="G4306" s="916"/>
      <c r="H4306" s="944" t="s">
        <v>471</v>
      </c>
      <c r="I4306" s="281" t="str">
        <f>IFERROR(IF([1]F_ProductBM!I1600 = "", "", [1]F_ProductBM!I1600 ),"")</f>
        <v/>
      </c>
      <c r="J4306" s="334" t="str">
        <f>IFERROR(IF([1]F_ProductBM!J1600 = "", "", [1]F_ProductBM!J1600 ),"")</f>
        <v/>
      </c>
      <c r="K4306" s="335" t="str">
        <f>IFERROR(IF([1]F_ProductBM!K1600 = "", "", [1]F_ProductBM!K1600 ),"")</f>
        <v/>
      </c>
      <c r="L4306" s="335" t="str">
        <f>IFERROR(IF([1]F_ProductBM!L1600 = "", "", [1]F_ProductBM!L1600 ),"")</f>
        <v/>
      </c>
      <c r="M4306" s="335" t="str">
        <f>IFERROR(IF([1]F_ProductBM!M1600 = "", "", [1]F_ProductBM!M1600 ),"")</f>
        <v/>
      </c>
      <c r="N4306" s="336" t="str">
        <f>IFERROR(IF([1]F_ProductBM!N1600 = "", "", [1]F_ProductBM!N1600 ),"")</f>
        <v/>
      </c>
    </row>
    <row r="4307" spans="3:14">
      <c r="C4307" s="479"/>
      <c r="D4307" s="915"/>
      <c r="E4307" s="916" t="s">
        <v>1776</v>
      </c>
      <c r="F4307" s="916"/>
      <c r="G4307" s="916"/>
      <c r="H4307" s="921"/>
      <c r="I4307" s="916"/>
      <c r="J4307" s="319" t="str">
        <f>IFERROR(IF([1]F_ProductBM!J1601 = "", "", [1]F_ProductBM!J1601 ),"")</f>
        <v/>
      </c>
      <c r="K4307" s="320" t="str">
        <f>IFERROR(IF([1]F_ProductBM!K1601 = "", "", [1]F_ProductBM!K1601 ),"")</f>
        <v/>
      </c>
      <c r="L4307" s="320" t="str">
        <f>IFERROR(IF([1]F_ProductBM!L1601 = "", "", [1]F_ProductBM!L1601 ),"")</f>
        <v/>
      </c>
      <c r="M4307" s="320" t="str">
        <f>IFERROR(IF([1]F_ProductBM!M1601 = "", "", [1]F_ProductBM!M1601 ),"")</f>
        <v/>
      </c>
      <c r="N4307" s="321" t="str">
        <f>IFERROR(IF([1]F_ProductBM!N1601 = "", "", [1]F_ProductBM!N1601 ),"")</f>
        <v/>
      </c>
    </row>
    <row r="4308" spans="3:14">
      <c r="C4308" s="479"/>
      <c r="D4308" s="915" t="s">
        <v>7</v>
      </c>
      <c r="E4308" s="916" t="s">
        <v>1654</v>
      </c>
      <c r="F4308" s="916"/>
      <c r="G4308" s="916"/>
      <c r="H4308" s="921"/>
      <c r="I4308" s="916"/>
      <c r="J4308" s="288" t="str">
        <f>IFERROR(IF([1]F_ProductBM!J1602 = "", "", [1]F_ProductBM!J1602 ),"")</f>
        <v/>
      </c>
      <c r="K4308" s="289" t="str">
        <f>IFERROR(IF([1]F_ProductBM!K1602 = "", "", [1]F_ProductBM!K1602 ),"")</f>
        <v/>
      </c>
      <c r="L4308" s="289" t="str">
        <f>IFERROR(IF([1]F_ProductBM!L1602 = "", "", [1]F_ProductBM!L1602 ),"")</f>
        <v/>
      </c>
      <c r="M4308" s="289" t="str">
        <f>IFERROR(IF([1]F_ProductBM!M1602 = "", "", [1]F_ProductBM!M1602 ),"")</f>
        <v/>
      </c>
      <c r="N4308" s="290" t="str">
        <f>IFERROR(IF([1]F_ProductBM!N1602 = "", "", [1]F_ProductBM!N1602 ),"")</f>
        <v/>
      </c>
    </row>
    <row r="4309" spans="3:14">
      <c r="C4309" s="479"/>
      <c r="D4309" s="915"/>
      <c r="E4309" s="916" t="s">
        <v>1689</v>
      </c>
      <c r="F4309" s="916"/>
      <c r="G4309" s="916"/>
      <c r="H4309" s="944" t="s">
        <v>471</v>
      </c>
      <c r="I4309" s="281" t="str">
        <f>IFERROR(IF([1]F_ProductBM!I1603 = "", "", [1]F_ProductBM!I1603 ),"")</f>
        <v/>
      </c>
      <c r="J4309" s="282" t="str">
        <f>IFERROR(IF([1]F_ProductBM!J1603 = "", "", [1]F_ProductBM!J1603 ),"")</f>
        <v/>
      </c>
      <c r="K4309" s="283" t="str">
        <f>IFERROR(IF([1]F_ProductBM!K1603 = "", "", [1]F_ProductBM!K1603 ),"")</f>
        <v/>
      </c>
      <c r="L4309" s="283" t="str">
        <f>IFERROR(IF([1]F_ProductBM!L1603 = "", "", [1]F_ProductBM!L1603 ),"")</f>
        <v/>
      </c>
      <c r="M4309" s="283" t="str">
        <f>IFERROR(IF([1]F_ProductBM!M1603 = "", "", [1]F_ProductBM!M1603 ),"")</f>
        <v/>
      </c>
      <c r="N4309" s="284" t="str">
        <f>IFERROR(IF([1]F_ProductBM!N1603 = "", "", [1]F_ProductBM!N1603 ),"")</f>
        <v/>
      </c>
    </row>
    <row r="4310" spans="3:14">
      <c r="C4310" s="479"/>
      <c r="D4310" s="915"/>
      <c r="E4310" s="909"/>
      <c r="F4310" s="909"/>
      <c r="G4310" s="909"/>
      <c r="H4310" s="909"/>
      <c r="I4310" s="909"/>
      <c r="J4310" s="909"/>
      <c r="K4310" s="909"/>
      <c r="L4310" s="909"/>
      <c r="M4310" s="909"/>
      <c r="N4310" s="922"/>
    </row>
    <row r="4311" spans="3:14">
      <c r="C4311" s="479"/>
      <c r="D4311" s="915"/>
      <c r="E4311" s="923" t="s">
        <v>1653</v>
      </c>
      <c r="F4311" s="923"/>
      <c r="G4311" s="923"/>
      <c r="H4311" s="923"/>
      <c r="I4311" s="923"/>
      <c r="J4311" s="912">
        <v>2021</v>
      </c>
      <c r="K4311" s="913">
        <v>2022</v>
      </c>
      <c r="L4311" s="913">
        <v>2023</v>
      </c>
      <c r="M4311" s="913">
        <v>2024</v>
      </c>
      <c r="N4311" s="914">
        <v>2025</v>
      </c>
    </row>
    <row r="4312" spans="3:14">
      <c r="C4312" s="479"/>
      <c r="D4312" s="915" t="s">
        <v>8</v>
      </c>
      <c r="E4312" s="916" t="s">
        <v>2108</v>
      </c>
      <c r="F4312" s="916"/>
      <c r="G4312" s="916"/>
      <c r="H4312" s="916"/>
      <c r="I4312" s="916"/>
      <c r="J4312" s="69" t="str">
        <f>IFERROR(IF([1]F_ProductBM!J1606 = "", "", [1]F_ProductBM!J1606 ),"")</f>
        <v/>
      </c>
      <c r="K4312" s="62" t="str">
        <f>IFERROR(IF([1]F_ProductBM!K1606 = "", "", [1]F_ProductBM!K1606 ),"")</f>
        <v/>
      </c>
      <c r="L4312" s="62" t="str">
        <f>IFERROR(IF([1]F_ProductBM!L1606 = "", "", [1]F_ProductBM!L1606 ),"")</f>
        <v/>
      </c>
      <c r="M4312" s="62" t="str">
        <f>IFERROR(IF([1]F_ProductBM!M1606 = "", "", [1]F_ProductBM!M1606 ),"")</f>
        <v/>
      </c>
      <c r="N4312" s="70" t="str">
        <f>IFERROR(IF([1]F_ProductBM!N1606 = "", "", [1]F_ProductBM!N1606 ),"")</f>
        <v/>
      </c>
    </row>
    <row r="4313" spans="3:14" ht="13.5" thickBot="1">
      <c r="C4313" s="479"/>
      <c r="D4313" s="915"/>
      <c r="E4313" s="909"/>
      <c r="F4313" s="909"/>
      <c r="G4313" s="909"/>
      <c r="H4313" s="909"/>
      <c r="I4313" s="909"/>
      <c r="J4313" s="909"/>
      <c r="K4313" s="909"/>
      <c r="L4313" s="909"/>
      <c r="M4313" s="909"/>
      <c r="N4313" s="922"/>
    </row>
    <row r="4314" spans="3:14" ht="13.5" thickBot="1">
      <c r="C4314" s="479"/>
      <c r="D4314" s="915" t="s">
        <v>18</v>
      </c>
      <c r="E4314" s="916" t="s">
        <v>1657</v>
      </c>
      <c r="F4314" s="916"/>
      <c r="G4314" s="916"/>
      <c r="H4314" s="921"/>
      <c r="I4314" s="916"/>
      <c r="J4314" s="291" t="str">
        <f>IFERROR(IF([1]F_ProductBM!J1608 = "", "", [1]F_ProductBM!J1608 ),"")</f>
        <v/>
      </c>
      <c r="K4314" s="292" t="str">
        <f>IFERROR(IF([1]F_ProductBM!K1608 = "", "", [1]F_ProductBM!K1608 ),"")</f>
        <v/>
      </c>
      <c r="L4314" s="292" t="str">
        <f>IFERROR(IF([1]F_ProductBM!L1608 = "", "", [1]F_ProductBM!L1608 ),"")</f>
        <v/>
      </c>
      <c r="M4314" s="292" t="str">
        <f>IFERROR(IF([1]F_ProductBM!M1608 = "", "", [1]F_ProductBM!M1608 ),"")</f>
        <v/>
      </c>
      <c r="N4314" s="293" t="str">
        <f>IFERROR(IF([1]F_ProductBM!N1608 = "", "", [1]F_ProductBM!N1608 ),"")</f>
        <v/>
      </c>
    </row>
    <row r="4315" spans="3:14" ht="13.5" thickBot="1">
      <c r="C4315" s="479"/>
      <c r="D4315" s="915" t="s">
        <v>787</v>
      </c>
      <c r="E4315" s="916" t="s">
        <v>1659</v>
      </c>
      <c r="F4315" s="916"/>
      <c r="G4315" s="916"/>
      <c r="H4315" s="944" t="s">
        <v>471</v>
      </c>
      <c r="I4315" s="281" t="str">
        <f>IFERROR(IF([1]F_ProductBM!I1609 = "", "", [1]F_ProductBM!I1609 ),"")</f>
        <v/>
      </c>
      <c r="J4315" s="294" t="str">
        <f>IFERROR(IF([1]F_ProductBM!J1609 = "", "", [1]F_ProductBM!J1609 ),"")</f>
        <v/>
      </c>
      <c r="K4315" s="295" t="str">
        <f>IFERROR(IF([1]F_ProductBM!K1609 = "", "", [1]F_ProductBM!K1609 ),"")</f>
        <v/>
      </c>
      <c r="L4315" s="295" t="str">
        <f>IFERROR(IF([1]F_ProductBM!L1609 = "", "", [1]F_ProductBM!L1609 ),"")</f>
        <v/>
      </c>
      <c r="M4315" s="295" t="str">
        <f>IFERROR(IF([1]F_ProductBM!M1609 = "", "", [1]F_ProductBM!M1609 ),"")</f>
        <v/>
      </c>
      <c r="N4315" s="296" t="str">
        <f>IFERROR(IF([1]F_ProductBM!N1609 = "", "", [1]F_ProductBM!N1609 ),"")</f>
        <v/>
      </c>
    </row>
    <row r="4316" spans="3:14" ht="13.5" thickBot="1">
      <c r="C4316" s="485"/>
      <c r="D4316" s="924"/>
      <c r="E4316" s="925"/>
      <c r="F4316" s="925"/>
      <c r="G4316" s="925"/>
      <c r="H4316" s="925"/>
      <c r="I4316" s="955"/>
      <c r="J4316" s="925"/>
      <c r="K4316" s="925"/>
      <c r="L4316" s="925"/>
      <c r="M4316" s="925"/>
      <c r="N4316" s="926"/>
    </row>
    <row r="4317" spans="3:14">
      <c r="C4317" s="485"/>
      <c r="D4317" s="485"/>
      <c r="E4317" s="485"/>
      <c r="F4317" s="485"/>
      <c r="G4317" s="485"/>
      <c r="H4317" s="485"/>
      <c r="I4317" s="952"/>
      <c r="J4317" s="485"/>
      <c r="K4317" s="485"/>
      <c r="L4317" s="485"/>
      <c r="M4317" s="485"/>
      <c r="N4317" s="485"/>
    </row>
    <row r="4318" spans="3:14" ht="15">
      <c r="C4318" s="856"/>
      <c r="D4318" s="2482" t="s">
        <v>103</v>
      </c>
      <c r="E4318" s="2400"/>
      <c r="F4318" s="2400"/>
      <c r="G4318" s="2400"/>
      <c r="H4318" s="2400"/>
      <c r="I4318" s="2400"/>
      <c r="J4318" s="2400"/>
      <c r="K4318" s="2400"/>
      <c r="L4318" s="2400"/>
      <c r="M4318" s="2400"/>
      <c r="N4318" s="2400"/>
    </row>
    <row r="4319" spans="3:14">
      <c r="C4319" s="479"/>
      <c r="D4319" s="479"/>
      <c r="E4319" s="479"/>
      <c r="F4319" s="479"/>
      <c r="G4319" s="479"/>
      <c r="H4319" s="479"/>
      <c r="I4319" s="479"/>
      <c r="J4319" s="479"/>
      <c r="K4319" s="479"/>
      <c r="L4319" s="479"/>
      <c r="M4319" s="479"/>
      <c r="N4319" s="479"/>
    </row>
    <row r="4320" spans="3:14">
      <c r="C4320" s="482"/>
      <c r="D4320" s="482" t="s">
        <v>57</v>
      </c>
      <c r="E4320" s="2373" t="s">
        <v>108</v>
      </c>
      <c r="F4320" s="2400"/>
      <c r="G4320" s="2400"/>
      <c r="H4320" s="2400"/>
      <c r="I4320" s="2400"/>
      <c r="J4320" s="2400"/>
      <c r="K4320" s="2400"/>
      <c r="L4320" s="2400"/>
      <c r="M4320" s="2400"/>
      <c r="N4320" s="2400"/>
    </row>
    <row r="4321" spans="3:14">
      <c r="C4321" s="485"/>
      <c r="D4321" s="485"/>
      <c r="E4321" s="2465" t="s">
        <v>1935</v>
      </c>
      <c r="F4321" s="2400"/>
      <c r="G4321" s="2400"/>
      <c r="H4321" s="2400"/>
      <c r="I4321" s="2400"/>
      <c r="J4321" s="2400"/>
      <c r="K4321" s="2400"/>
      <c r="L4321" s="2400"/>
      <c r="M4321" s="2400"/>
      <c r="N4321" s="2400"/>
    </row>
    <row r="4322" spans="3:14">
      <c r="C4322" s="485"/>
      <c r="D4322" s="485"/>
      <c r="E4322" s="2465" t="s">
        <v>1636</v>
      </c>
      <c r="F4322" s="2400"/>
      <c r="G4322" s="2400"/>
      <c r="H4322" s="2400"/>
      <c r="I4322" s="2400"/>
      <c r="J4322" s="2400"/>
      <c r="K4322" s="2400"/>
      <c r="L4322" s="2400"/>
      <c r="M4322" s="2400"/>
      <c r="N4322" s="2400"/>
    </row>
    <row r="4323" spans="3:14">
      <c r="C4323" s="485"/>
      <c r="D4323" s="485"/>
      <c r="E4323" s="2465" t="s">
        <v>2119</v>
      </c>
      <c r="F4323" s="2400"/>
      <c r="G4323" s="2400"/>
      <c r="H4323" s="2400"/>
      <c r="I4323" s="2400"/>
      <c r="J4323" s="2400"/>
      <c r="K4323" s="2400"/>
      <c r="L4323" s="2400"/>
      <c r="M4323" s="2400"/>
      <c r="N4323" s="2400"/>
    </row>
    <row r="4324" spans="3:14">
      <c r="C4324" s="485"/>
      <c r="D4324" s="485"/>
      <c r="E4324" s="2677" t="s">
        <v>2120</v>
      </c>
      <c r="F4324" s="2364"/>
      <c r="G4324" s="2364"/>
      <c r="H4324" s="2364"/>
      <c r="I4324" s="2364"/>
      <c r="J4324" s="2364"/>
      <c r="K4324" s="2364"/>
      <c r="L4324" s="2364"/>
      <c r="M4324" s="2364"/>
      <c r="N4324" s="2364"/>
    </row>
    <row r="4325" spans="3:14">
      <c r="C4325" s="479"/>
      <c r="D4325" s="479"/>
      <c r="E4325" s="479"/>
      <c r="F4325" s="479"/>
      <c r="G4325" s="479"/>
      <c r="H4325" s="479"/>
      <c r="I4325" s="479"/>
      <c r="J4325" s="479"/>
      <c r="K4325" s="479"/>
      <c r="L4325" s="479"/>
      <c r="M4325" s="479"/>
      <c r="N4325" s="479"/>
    </row>
    <row r="4326" spans="3:14">
      <c r="C4326" s="482"/>
      <c r="D4326" s="482" t="s">
        <v>58</v>
      </c>
      <c r="E4326" s="2373" t="s">
        <v>1013</v>
      </c>
      <c r="F4326" s="2400"/>
      <c r="G4326" s="2400"/>
      <c r="H4326" s="2400"/>
      <c r="I4326" s="2400"/>
      <c r="J4326" s="2400"/>
      <c r="K4326" s="2400"/>
      <c r="L4326" s="2400"/>
      <c r="M4326" s="2400"/>
      <c r="N4326" s="2400"/>
    </row>
    <row r="4327" spans="3:14">
      <c r="C4327" s="479"/>
      <c r="D4327" s="485"/>
      <c r="E4327" s="617"/>
      <c r="F4327" s="617"/>
      <c r="G4327" s="617"/>
      <c r="H4327" s="617"/>
      <c r="I4327" s="617"/>
      <c r="J4327" s="468"/>
      <c r="K4327" s="468"/>
      <c r="L4327" s="468"/>
      <c r="M4327" s="485"/>
      <c r="N4327" s="485"/>
    </row>
    <row r="4328" spans="3:14" ht="51">
      <c r="C4328" s="485"/>
      <c r="D4328" s="956"/>
      <c r="E4328" s="957" t="s">
        <v>2112</v>
      </c>
      <c r="F4328" s="958" t="s">
        <v>949</v>
      </c>
      <c r="G4328" s="959" t="s">
        <v>884</v>
      </c>
      <c r="H4328" s="578">
        <v>2019</v>
      </c>
      <c r="I4328" s="697">
        <v>2020</v>
      </c>
      <c r="J4328" s="696">
        <v>2021</v>
      </c>
      <c r="K4328" s="578">
        <v>2022</v>
      </c>
      <c r="L4328" s="578">
        <v>2023</v>
      </c>
      <c r="M4328" s="578">
        <v>2024</v>
      </c>
      <c r="N4328" s="578">
        <v>2025</v>
      </c>
    </row>
    <row r="4329" spans="3:14">
      <c r="C4329" s="485"/>
      <c r="D4329" s="579">
        <v>1</v>
      </c>
      <c r="E4329" s="375" t="str">
        <f>IFERROR(IF([1]F_ProductBM!E1623 = "", "", [1]F_ProductBM!E1623 ),"")</f>
        <v/>
      </c>
      <c r="F4329" s="337" t="str">
        <f>IFERROR(IF([1]F_ProductBM!F1623 = "", "", [1]F_ProductBM!F1623 ),"")</f>
        <v/>
      </c>
      <c r="G4329" s="71" t="str">
        <f>IFERROR(IF([1]F_ProductBM!G1623 = "", "", [1]F_ProductBM!G1623 ),"")</f>
        <v/>
      </c>
      <c r="H4329" s="94" t="str">
        <f>IFERROR(IF([1]F_ProductBM!H1623 = "", "", [1]F_ProductBM!H1623 ),"")</f>
        <v/>
      </c>
      <c r="I4329" s="110" t="str">
        <f>IFERROR(IF([1]F_ProductBM!I1623 = "", "", [1]F_ProductBM!I1623 ),"")</f>
        <v/>
      </c>
      <c r="J4329" s="111" t="str">
        <f>IFERROR(IF([1]F_ProductBM!J1623 = "", "", [1]F_ProductBM!J1623 ),"")</f>
        <v/>
      </c>
      <c r="K4329" s="94" t="str">
        <f>IFERROR(IF([1]F_ProductBM!K1623 = "", "", [1]F_ProductBM!K1623 ),"")</f>
        <v/>
      </c>
      <c r="L4329" s="94" t="str">
        <f>IFERROR(IF([1]F_ProductBM!L1623 = "", "", [1]F_ProductBM!L1623 ),"")</f>
        <v/>
      </c>
      <c r="M4329" s="94" t="str">
        <f>IFERROR(IF([1]F_ProductBM!M1623 = "", "", [1]F_ProductBM!M1623 ),"")</f>
        <v/>
      </c>
      <c r="N4329" s="94" t="str">
        <f>IFERROR(IF([1]F_ProductBM!N1623 = "", "", [1]F_ProductBM!N1623 ),"")</f>
        <v/>
      </c>
    </row>
    <row r="4330" spans="3:14">
      <c r="C4330" s="485"/>
      <c r="D4330" s="582">
        <v>2</v>
      </c>
      <c r="E4330" s="376" t="str">
        <f>IFERROR(IF([1]F_ProductBM!E1624 = "", "", [1]F_ProductBM!E1624 ),"")</f>
        <v/>
      </c>
      <c r="F4330" s="338" t="str">
        <f>IFERROR(IF([1]F_ProductBM!F1624 = "", "", [1]F_ProductBM!F1624 ),"")</f>
        <v/>
      </c>
      <c r="G4330" s="72" t="str">
        <f>IFERROR(IF([1]F_ProductBM!G1624 = "", "", [1]F_ProductBM!G1624 ),"")</f>
        <v/>
      </c>
      <c r="H4330" s="101" t="str">
        <f>IFERROR(IF([1]F_ProductBM!H1624 = "", "", [1]F_ProductBM!H1624 ),"")</f>
        <v/>
      </c>
      <c r="I4330" s="361" t="str">
        <f>IFERROR(IF([1]F_ProductBM!I1624 = "", "", [1]F_ProductBM!I1624 ),"")</f>
        <v/>
      </c>
      <c r="J4330" s="362" t="str">
        <f>IFERROR(IF([1]F_ProductBM!J1624 = "", "", [1]F_ProductBM!J1624 ),"")</f>
        <v/>
      </c>
      <c r="K4330" s="101" t="str">
        <f>IFERROR(IF([1]F_ProductBM!K1624 = "", "", [1]F_ProductBM!K1624 ),"")</f>
        <v/>
      </c>
      <c r="L4330" s="101" t="str">
        <f>IFERROR(IF([1]F_ProductBM!L1624 = "", "", [1]F_ProductBM!L1624 ),"")</f>
        <v/>
      </c>
      <c r="M4330" s="101" t="str">
        <f>IFERROR(IF([1]F_ProductBM!M1624 = "", "", [1]F_ProductBM!M1624 ),"")</f>
        <v/>
      </c>
      <c r="N4330" s="101" t="str">
        <f>IFERROR(IF([1]F_ProductBM!N1624 = "", "", [1]F_ProductBM!N1624 ),"")</f>
        <v/>
      </c>
    </row>
    <row r="4331" spans="3:14">
      <c r="C4331" s="485"/>
      <c r="D4331" s="582">
        <v>3</v>
      </c>
      <c r="E4331" s="376" t="str">
        <f>IFERROR(IF([1]F_ProductBM!E1625 = "", "", [1]F_ProductBM!E1625 ),"")</f>
        <v/>
      </c>
      <c r="F4331" s="338" t="str">
        <f>IFERROR(IF([1]F_ProductBM!F1625 = "", "", [1]F_ProductBM!F1625 ),"")</f>
        <v/>
      </c>
      <c r="G4331" s="72" t="str">
        <f>IFERROR(IF([1]F_ProductBM!G1625 = "", "", [1]F_ProductBM!G1625 ),"")</f>
        <v/>
      </c>
      <c r="H4331" s="101" t="str">
        <f>IFERROR(IF([1]F_ProductBM!H1625 = "", "", [1]F_ProductBM!H1625 ),"")</f>
        <v/>
      </c>
      <c r="I4331" s="361" t="str">
        <f>IFERROR(IF([1]F_ProductBM!I1625 = "", "", [1]F_ProductBM!I1625 ),"")</f>
        <v/>
      </c>
      <c r="J4331" s="362" t="str">
        <f>IFERROR(IF([1]F_ProductBM!J1625 = "", "", [1]F_ProductBM!J1625 ),"")</f>
        <v/>
      </c>
      <c r="K4331" s="101" t="str">
        <f>IFERROR(IF([1]F_ProductBM!K1625 = "", "", [1]F_ProductBM!K1625 ),"")</f>
        <v/>
      </c>
      <c r="L4331" s="101" t="str">
        <f>IFERROR(IF([1]F_ProductBM!L1625 = "", "", [1]F_ProductBM!L1625 ),"")</f>
        <v/>
      </c>
      <c r="M4331" s="101" t="str">
        <f>IFERROR(IF([1]F_ProductBM!M1625 = "", "", [1]F_ProductBM!M1625 ),"")</f>
        <v/>
      </c>
      <c r="N4331" s="101" t="str">
        <f>IFERROR(IF([1]F_ProductBM!N1625 = "", "", [1]F_ProductBM!N1625 ),"")</f>
        <v/>
      </c>
    </row>
    <row r="4332" spans="3:14">
      <c r="C4332" s="485"/>
      <c r="D4332" s="582">
        <v>4</v>
      </c>
      <c r="E4332" s="376" t="str">
        <f>IFERROR(IF([1]F_ProductBM!E1626 = "", "", [1]F_ProductBM!E1626 ),"")</f>
        <v/>
      </c>
      <c r="F4332" s="338" t="str">
        <f>IFERROR(IF([1]F_ProductBM!F1626 = "", "", [1]F_ProductBM!F1626 ),"")</f>
        <v/>
      </c>
      <c r="G4332" s="72" t="str">
        <f>IFERROR(IF([1]F_ProductBM!G1626 = "", "", [1]F_ProductBM!G1626 ),"")</f>
        <v/>
      </c>
      <c r="H4332" s="101" t="str">
        <f>IFERROR(IF([1]F_ProductBM!H1626 = "", "", [1]F_ProductBM!H1626 ),"")</f>
        <v/>
      </c>
      <c r="I4332" s="361" t="str">
        <f>IFERROR(IF([1]F_ProductBM!I1626 = "", "", [1]F_ProductBM!I1626 ),"")</f>
        <v/>
      </c>
      <c r="J4332" s="362" t="str">
        <f>IFERROR(IF([1]F_ProductBM!J1626 = "", "", [1]F_ProductBM!J1626 ),"")</f>
        <v/>
      </c>
      <c r="K4332" s="101" t="str">
        <f>IFERROR(IF([1]F_ProductBM!K1626 = "", "", [1]F_ProductBM!K1626 ),"")</f>
        <v/>
      </c>
      <c r="L4332" s="101" t="str">
        <f>IFERROR(IF([1]F_ProductBM!L1626 = "", "", [1]F_ProductBM!L1626 ),"")</f>
        <v/>
      </c>
      <c r="M4332" s="101" t="str">
        <f>IFERROR(IF([1]F_ProductBM!M1626 = "", "", [1]F_ProductBM!M1626 ),"")</f>
        <v/>
      </c>
      <c r="N4332" s="101" t="str">
        <f>IFERROR(IF([1]F_ProductBM!N1626 = "", "", [1]F_ProductBM!N1626 ),"")</f>
        <v/>
      </c>
    </row>
    <row r="4333" spans="3:14">
      <c r="C4333" s="485"/>
      <c r="D4333" s="582">
        <v>5</v>
      </c>
      <c r="E4333" s="376" t="str">
        <f>IFERROR(IF([1]F_ProductBM!E1627 = "", "", [1]F_ProductBM!E1627 ),"")</f>
        <v/>
      </c>
      <c r="F4333" s="338" t="str">
        <f>IFERROR(IF([1]F_ProductBM!F1627 = "", "", [1]F_ProductBM!F1627 ),"")</f>
        <v/>
      </c>
      <c r="G4333" s="72" t="str">
        <f>IFERROR(IF([1]F_ProductBM!G1627 = "", "", [1]F_ProductBM!G1627 ),"")</f>
        <v/>
      </c>
      <c r="H4333" s="101" t="str">
        <f>IFERROR(IF([1]F_ProductBM!H1627 = "", "", [1]F_ProductBM!H1627 ),"")</f>
        <v/>
      </c>
      <c r="I4333" s="361" t="str">
        <f>IFERROR(IF([1]F_ProductBM!I1627 = "", "", [1]F_ProductBM!I1627 ),"")</f>
        <v/>
      </c>
      <c r="J4333" s="362" t="str">
        <f>IFERROR(IF([1]F_ProductBM!J1627 = "", "", [1]F_ProductBM!J1627 ),"")</f>
        <v/>
      </c>
      <c r="K4333" s="101" t="str">
        <f>IFERROR(IF([1]F_ProductBM!K1627 = "", "", [1]F_ProductBM!K1627 ),"")</f>
        <v/>
      </c>
      <c r="L4333" s="101" t="str">
        <f>IFERROR(IF([1]F_ProductBM!L1627 = "", "", [1]F_ProductBM!L1627 ),"")</f>
        <v/>
      </c>
      <c r="M4333" s="101" t="str">
        <f>IFERROR(IF([1]F_ProductBM!M1627 = "", "", [1]F_ProductBM!M1627 ),"")</f>
        <v/>
      </c>
      <c r="N4333" s="101" t="str">
        <f>IFERROR(IF([1]F_ProductBM!N1627 = "", "", [1]F_ProductBM!N1627 ),"")</f>
        <v/>
      </c>
    </row>
    <row r="4334" spans="3:14">
      <c r="C4334" s="485"/>
      <c r="D4334" s="582">
        <v>6</v>
      </c>
      <c r="E4334" s="376" t="str">
        <f>IFERROR(IF([1]F_ProductBM!E1628 = "", "", [1]F_ProductBM!E1628 ),"")</f>
        <v/>
      </c>
      <c r="F4334" s="338" t="str">
        <f>IFERROR(IF([1]F_ProductBM!F1628 = "", "", [1]F_ProductBM!F1628 ),"")</f>
        <v/>
      </c>
      <c r="G4334" s="72" t="str">
        <f>IFERROR(IF([1]F_ProductBM!G1628 = "", "", [1]F_ProductBM!G1628 ),"")</f>
        <v/>
      </c>
      <c r="H4334" s="101" t="str">
        <f>IFERROR(IF([1]F_ProductBM!H1628 = "", "", [1]F_ProductBM!H1628 ),"")</f>
        <v/>
      </c>
      <c r="I4334" s="361" t="str">
        <f>IFERROR(IF([1]F_ProductBM!I1628 = "", "", [1]F_ProductBM!I1628 ),"")</f>
        <v/>
      </c>
      <c r="J4334" s="362" t="str">
        <f>IFERROR(IF([1]F_ProductBM!J1628 = "", "", [1]F_ProductBM!J1628 ),"")</f>
        <v/>
      </c>
      <c r="K4334" s="101" t="str">
        <f>IFERROR(IF([1]F_ProductBM!K1628 = "", "", [1]F_ProductBM!K1628 ),"")</f>
        <v/>
      </c>
      <c r="L4334" s="101" t="str">
        <f>IFERROR(IF([1]F_ProductBM!L1628 = "", "", [1]F_ProductBM!L1628 ),"")</f>
        <v/>
      </c>
      <c r="M4334" s="101" t="str">
        <f>IFERROR(IF([1]F_ProductBM!M1628 = "", "", [1]F_ProductBM!M1628 ),"")</f>
        <v/>
      </c>
      <c r="N4334" s="101" t="str">
        <f>IFERROR(IF([1]F_ProductBM!N1628 = "", "", [1]F_ProductBM!N1628 ),"")</f>
        <v/>
      </c>
    </row>
    <row r="4335" spans="3:14">
      <c r="C4335" s="485"/>
      <c r="D4335" s="582">
        <v>7</v>
      </c>
      <c r="E4335" s="376" t="str">
        <f>IFERROR(IF([1]F_ProductBM!E1629 = "", "", [1]F_ProductBM!E1629 ),"")</f>
        <v/>
      </c>
      <c r="F4335" s="338" t="str">
        <f>IFERROR(IF([1]F_ProductBM!F1629 = "", "", [1]F_ProductBM!F1629 ),"")</f>
        <v/>
      </c>
      <c r="G4335" s="72" t="str">
        <f>IFERROR(IF([1]F_ProductBM!G1629 = "", "", [1]F_ProductBM!G1629 ),"")</f>
        <v/>
      </c>
      <c r="H4335" s="101" t="str">
        <f>IFERROR(IF([1]F_ProductBM!H1629 = "", "", [1]F_ProductBM!H1629 ),"")</f>
        <v/>
      </c>
      <c r="I4335" s="361" t="str">
        <f>IFERROR(IF([1]F_ProductBM!I1629 = "", "", [1]F_ProductBM!I1629 ),"")</f>
        <v/>
      </c>
      <c r="J4335" s="362" t="str">
        <f>IFERROR(IF([1]F_ProductBM!J1629 = "", "", [1]F_ProductBM!J1629 ),"")</f>
        <v/>
      </c>
      <c r="K4335" s="101" t="str">
        <f>IFERROR(IF([1]F_ProductBM!K1629 = "", "", [1]F_ProductBM!K1629 ),"")</f>
        <v/>
      </c>
      <c r="L4335" s="101" t="str">
        <f>IFERROR(IF([1]F_ProductBM!L1629 = "", "", [1]F_ProductBM!L1629 ),"")</f>
        <v/>
      </c>
      <c r="M4335" s="101" t="str">
        <f>IFERROR(IF([1]F_ProductBM!M1629 = "", "", [1]F_ProductBM!M1629 ),"")</f>
        <v/>
      </c>
      <c r="N4335" s="101" t="str">
        <f>IFERROR(IF([1]F_ProductBM!N1629 = "", "", [1]F_ProductBM!N1629 ),"")</f>
        <v/>
      </c>
    </row>
    <row r="4336" spans="3:14">
      <c r="C4336" s="485"/>
      <c r="D4336" s="582">
        <v>8</v>
      </c>
      <c r="E4336" s="376" t="str">
        <f>IFERROR(IF([1]F_ProductBM!E1630 = "", "", [1]F_ProductBM!E1630 ),"")</f>
        <v/>
      </c>
      <c r="F4336" s="338" t="str">
        <f>IFERROR(IF([1]F_ProductBM!F1630 = "", "", [1]F_ProductBM!F1630 ),"")</f>
        <v/>
      </c>
      <c r="G4336" s="72" t="str">
        <f>IFERROR(IF([1]F_ProductBM!G1630 = "", "", [1]F_ProductBM!G1630 ),"")</f>
        <v/>
      </c>
      <c r="H4336" s="101" t="str">
        <f>IFERROR(IF([1]F_ProductBM!H1630 = "", "", [1]F_ProductBM!H1630 ),"")</f>
        <v/>
      </c>
      <c r="I4336" s="361" t="str">
        <f>IFERROR(IF([1]F_ProductBM!I1630 = "", "", [1]F_ProductBM!I1630 ),"")</f>
        <v/>
      </c>
      <c r="J4336" s="362" t="str">
        <f>IFERROR(IF([1]F_ProductBM!J1630 = "", "", [1]F_ProductBM!J1630 ),"")</f>
        <v/>
      </c>
      <c r="K4336" s="101" t="str">
        <f>IFERROR(IF([1]F_ProductBM!K1630 = "", "", [1]F_ProductBM!K1630 ),"")</f>
        <v/>
      </c>
      <c r="L4336" s="101" t="str">
        <f>IFERROR(IF([1]F_ProductBM!L1630 = "", "", [1]F_ProductBM!L1630 ),"")</f>
        <v/>
      </c>
      <c r="M4336" s="101" t="str">
        <f>IFERROR(IF([1]F_ProductBM!M1630 = "", "", [1]F_ProductBM!M1630 ),"")</f>
        <v/>
      </c>
      <c r="N4336" s="101" t="str">
        <f>IFERROR(IF([1]F_ProductBM!N1630 = "", "", [1]F_ProductBM!N1630 ),"")</f>
        <v/>
      </c>
    </row>
    <row r="4337" spans="3:14">
      <c r="C4337" s="485"/>
      <c r="D4337" s="582">
        <v>9</v>
      </c>
      <c r="E4337" s="376" t="str">
        <f>IFERROR(IF([1]F_ProductBM!E1631 = "", "", [1]F_ProductBM!E1631 ),"")</f>
        <v/>
      </c>
      <c r="F4337" s="338" t="str">
        <f>IFERROR(IF([1]F_ProductBM!F1631 = "", "", [1]F_ProductBM!F1631 ),"")</f>
        <v/>
      </c>
      <c r="G4337" s="72" t="str">
        <f>IFERROR(IF([1]F_ProductBM!G1631 = "", "", [1]F_ProductBM!G1631 ),"")</f>
        <v/>
      </c>
      <c r="H4337" s="101" t="str">
        <f>IFERROR(IF([1]F_ProductBM!H1631 = "", "", [1]F_ProductBM!H1631 ),"")</f>
        <v/>
      </c>
      <c r="I4337" s="361" t="str">
        <f>IFERROR(IF([1]F_ProductBM!I1631 = "", "", [1]F_ProductBM!I1631 ),"")</f>
        <v/>
      </c>
      <c r="J4337" s="362" t="str">
        <f>IFERROR(IF([1]F_ProductBM!J1631 = "", "", [1]F_ProductBM!J1631 ),"")</f>
        <v/>
      </c>
      <c r="K4337" s="101" t="str">
        <f>IFERROR(IF([1]F_ProductBM!K1631 = "", "", [1]F_ProductBM!K1631 ),"")</f>
        <v/>
      </c>
      <c r="L4337" s="101" t="str">
        <f>IFERROR(IF([1]F_ProductBM!L1631 = "", "", [1]F_ProductBM!L1631 ),"")</f>
        <v/>
      </c>
      <c r="M4337" s="101" t="str">
        <f>IFERROR(IF([1]F_ProductBM!M1631 = "", "", [1]F_ProductBM!M1631 ),"")</f>
        <v/>
      </c>
      <c r="N4337" s="101" t="str">
        <f>IFERROR(IF([1]F_ProductBM!N1631 = "", "", [1]F_ProductBM!N1631 ),"")</f>
        <v/>
      </c>
    </row>
    <row r="4338" spans="3:14">
      <c r="C4338" s="485"/>
      <c r="D4338" s="584">
        <v>10</v>
      </c>
      <c r="E4338" s="377" t="str">
        <f>IFERROR(IF([1]F_ProductBM!E1632 = "", "", [1]F_ProductBM!E1632 ),"")</f>
        <v/>
      </c>
      <c r="F4338" s="339" t="str">
        <f>IFERROR(IF([1]F_ProductBM!F1632 = "", "", [1]F_ProductBM!F1632 ),"")</f>
        <v/>
      </c>
      <c r="G4338" s="73" t="str">
        <f>IFERROR(IF([1]F_ProductBM!G1632 = "", "", [1]F_ProductBM!G1632 ),"")</f>
        <v/>
      </c>
      <c r="H4338" s="95" t="str">
        <f>IFERROR(IF([1]F_ProductBM!H1632 = "", "", [1]F_ProductBM!H1632 ),"")</f>
        <v/>
      </c>
      <c r="I4338" s="113" t="str">
        <f>IFERROR(IF([1]F_ProductBM!I1632 = "", "", [1]F_ProductBM!I1632 ),"")</f>
        <v/>
      </c>
      <c r="J4338" s="114" t="str">
        <f>IFERROR(IF([1]F_ProductBM!J1632 = "", "", [1]F_ProductBM!J1632 ),"")</f>
        <v/>
      </c>
      <c r="K4338" s="95" t="str">
        <f>IFERROR(IF([1]F_ProductBM!K1632 = "", "", [1]F_ProductBM!K1632 ),"")</f>
        <v/>
      </c>
      <c r="L4338" s="95" t="str">
        <f>IFERROR(IF([1]F_ProductBM!L1632 = "", "", [1]F_ProductBM!L1632 ),"")</f>
        <v/>
      </c>
      <c r="M4338" s="95" t="str">
        <f>IFERROR(IF([1]F_ProductBM!M1632 = "", "", [1]F_ProductBM!M1632 ),"")</f>
        <v/>
      </c>
      <c r="N4338" s="95" t="str">
        <f>IFERROR(IF([1]F_ProductBM!N1632 = "", "", [1]F_ProductBM!N1632 ),"")</f>
        <v/>
      </c>
    </row>
    <row r="4339" spans="3:14">
      <c r="C4339" s="485"/>
      <c r="D4339" s="971"/>
      <c r="E4339" s="972" t="s">
        <v>921</v>
      </c>
      <c r="F4339" s="948"/>
      <c r="G4339" s="73" t="str">
        <f>IFERROR(IF([1]F_ProductBM!G1633 = "", "", [1]F_ProductBM!G1633 ),"")</f>
        <v/>
      </c>
      <c r="H4339" s="86" t="str">
        <f>IFERROR(IF([1]F_ProductBM!H1633 = "", "", [1]F_ProductBM!H1633 ),"")</f>
        <v/>
      </c>
      <c r="I4339" s="340" t="str">
        <f>IFERROR(IF([1]F_ProductBM!I1633 = "", "", [1]F_ProductBM!I1633 ),"")</f>
        <v/>
      </c>
      <c r="J4339" s="341" t="str">
        <f>IFERROR(IF([1]F_ProductBM!J1633 = "", "", [1]F_ProductBM!J1633 ),"")</f>
        <v/>
      </c>
      <c r="K4339" s="86" t="str">
        <f>IFERROR(IF([1]F_ProductBM!K1633 = "", "", [1]F_ProductBM!K1633 ),"")</f>
        <v/>
      </c>
      <c r="L4339" s="86" t="str">
        <f>IFERROR(IF([1]F_ProductBM!L1633 = "", "", [1]F_ProductBM!L1633 ),"")</f>
        <v/>
      </c>
      <c r="M4339" s="86" t="str">
        <f>IFERROR(IF([1]F_ProductBM!M1633 = "", "", [1]F_ProductBM!M1633 ),"")</f>
        <v/>
      </c>
      <c r="N4339" s="86" t="str">
        <f>IFERROR(IF([1]F_ProductBM!N1633 = "", "", [1]F_ProductBM!N1633 ),"")</f>
        <v/>
      </c>
    </row>
    <row r="4340" spans="3:14" ht="13.5" thickBot="1">
      <c r="C4340" s="479"/>
      <c r="D4340" s="479"/>
      <c r="E4340" s="479"/>
      <c r="F4340" s="479"/>
      <c r="G4340" s="479"/>
      <c r="H4340" s="479"/>
      <c r="I4340" s="479"/>
      <c r="J4340" s="479"/>
      <c r="K4340" s="479"/>
      <c r="L4340" s="479"/>
      <c r="M4340" s="485"/>
      <c r="N4340" s="485"/>
    </row>
    <row r="4341" spans="3:14">
      <c r="C4341" s="975"/>
      <c r="D4341" s="976"/>
      <c r="E4341" s="976"/>
      <c r="F4341" s="976"/>
      <c r="G4341" s="976"/>
      <c r="H4341" s="976"/>
      <c r="I4341" s="976"/>
      <c r="J4341" s="976"/>
      <c r="K4341" s="976"/>
      <c r="L4341" s="976"/>
      <c r="M4341" s="774"/>
      <c r="N4341" s="775"/>
    </row>
    <row r="4342" spans="3:14">
      <c r="C4342" s="977"/>
      <c r="D4342" s="2678" t="s">
        <v>2330</v>
      </c>
      <c r="E4342" s="2672"/>
      <c r="F4342" s="2672"/>
      <c r="G4342" s="2672"/>
      <c r="H4342" s="2672"/>
      <c r="I4342" s="2672"/>
      <c r="J4342" s="2672"/>
      <c r="K4342" s="2672"/>
      <c r="L4342" s="2672"/>
      <c r="M4342" s="2672"/>
      <c r="N4342" s="2673"/>
    </row>
    <row r="4343" spans="3:14">
      <c r="C4343" s="980"/>
      <c r="D4343" s="813"/>
      <c r="E4343" s="813"/>
      <c r="F4343" s="813"/>
      <c r="G4343" s="813"/>
      <c r="H4343" s="813"/>
      <c r="I4343" s="813"/>
      <c r="J4343" s="813"/>
      <c r="K4343" s="813"/>
      <c r="L4343" s="813"/>
      <c r="M4343" s="813"/>
      <c r="N4343" s="814"/>
    </row>
    <row r="4344" spans="3:14">
      <c r="C4344" s="980"/>
      <c r="D4344" s="2679" t="s">
        <v>2704</v>
      </c>
      <c r="E4344" s="2646"/>
      <c r="F4344" s="2646"/>
      <c r="G4344" s="2646"/>
      <c r="H4344" s="2680"/>
      <c r="I4344" s="2489" t="str">
        <f>IFERROR(IF([1]F_ProductBM!I1638 = "", "", [1]F_ProductBM!I1638 ),"")</f>
        <v/>
      </c>
      <c r="J4344" s="2534"/>
      <c r="K4344" s="2534"/>
      <c r="L4344" s="2534"/>
      <c r="M4344" s="2534"/>
      <c r="N4344" s="2681"/>
    </row>
    <row r="4345" spans="3:14">
      <c r="C4345" s="980"/>
      <c r="D4345" s="813"/>
      <c r="E4345" s="813"/>
      <c r="F4345" s="813"/>
      <c r="G4345" s="813"/>
      <c r="H4345" s="813"/>
      <c r="I4345" s="813"/>
      <c r="J4345" s="813"/>
      <c r="K4345" s="813"/>
      <c r="L4345" s="813"/>
      <c r="M4345" s="813"/>
      <c r="N4345" s="814"/>
    </row>
    <row r="4346" spans="3:14">
      <c r="C4346" s="977"/>
      <c r="D4346" s="981"/>
      <c r="E4346" s="2691" t="s">
        <v>2154</v>
      </c>
      <c r="F4346" s="2691"/>
      <c r="G4346" s="2691"/>
      <c r="H4346" s="2691"/>
      <c r="I4346" s="2691"/>
      <c r="J4346" s="2691"/>
      <c r="K4346" s="2691"/>
      <c r="L4346" s="2691"/>
      <c r="M4346" s="2691"/>
      <c r="N4346" s="2692"/>
    </row>
    <row r="4347" spans="3:14">
      <c r="C4347" s="977"/>
      <c r="D4347" s="981"/>
      <c r="E4347" s="2691" t="s">
        <v>2176</v>
      </c>
      <c r="F4347" s="2691"/>
      <c r="G4347" s="2691"/>
      <c r="H4347" s="2691"/>
      <c r="I4347" s="2691"/>
      <c r="J4347" s="2691"/>
      <c r="K4347" s="2691"/>
      <c r="L4347" s="2691"/>
      <c r="M4347" s="2691"/>
      <c r="N4347" s="2650"/>
    </row>
    <row r="4348" spans="3:14">
      <c r="C4348" s="977"/>
      <c r="D4348" s="981"/>
      <c r="E4348" s="2691" t="s">
        <v>1549</v>
      </c>
      <c r="F4348" s="2391"/>
      <c r="G4348" s="2391"/>
      <c r="H4348" s="2391"/>
      <c r="I4348" s="2391"/>
      <c r="J4348" s="2391"/>
      <c r="K4348" s="2391"/>
      <c r="L4348" s="2391"/>
      <c r="M4348" s="2391"/>
      <c r="N4348" s="2650"/>
    </row>
    <row r="4349" spans="3:14">
      <c r="C4349" s="977"/>
      <c r="D4349" s="981"/>
      <c r="E4349" s="2693" t="s">
        <v>1643</v>
      </c>
      <c r="F4349" s="2693"/>
      <c r="G4349" s="2693"/>
      <c r="H4349" s="2693"/>
      <c r="I4349" s="2693"/>
      <c r="J4349" s="2693"/>
      <c r="K4349" s="2693"/>
      <c r="L4349" s="2693"/>
      <c r="M4349" s="2693"/>
      <c r="N4349" s="2694"/>
    </row>
    <row r="4350" spans="3:14">
      <c r="C4350" s="980"/>
      <c r="D4350" s="813"/>
      <c r="E4350" s="813"/>
      <c r="F4350" s="813"/>
      <c r="G4350" s="813"/>
      <c r="H4350" s="813"/>
      <c r="I4350" s="813"/>
      <c r="J4350" s="813"/>
      <c r="K4350" s="813"/>
      <c r="L4350" s="813"/>
      <c r="M4350" s="813"/>
      <c r="N4350" s="814"/>
    </row>
    <row r="4351" spans="3:14">
      <c r="C4351" s="977"/>
      <c r="D4351" s="981"/>
      <c r="E4351" s="2695" t="s">
        <v>1475</v>
      </c>
      <c r="F4351" s="2695"/>
      <c r="G4351" s="2695"/>
      <c r="H4351" s="2695"/>
      <c r="I4351" s="2695"/>
      <c r="J4351" s="2695"/>
      <c r="K4351" s="2695"/>
      <c r="L4351" s="2695"/>
      <c r="M4351" s="2695"/>
      <c r="N4351" s="2694"/>
    </row>
    <row r="4352" spans="3:14">
      <c r="C4352" s="980"/>
      <c r="D4352" s="813"/>
      <c r="E4352" s="813"/>
      <c r="F4352" s="813"/>
      <c r="G4352" s="813"/>
      <c r="H4352" s="813"/>
      <c r="I4352" s="813"/>
      <c r="J4352" s="813"/>
      <c r="K4352" s="813"/>
      <c r="L4352" s="813"/>
      <c r="M4352" s="813"/>
      <c r="N4352" s="814"/>
    </row>
    <row r="4353" spans="3:14">
      <c r="C4353" s="977"/>
      <c r="D4353" s="982" t="s">
        <v>266</v>
      </c>
      <c r="E4353" s="2671" t="s">
        <v>1617</v>
      </c>
      <c r="F4353" s="2672"/>
      <c r="G4353" s="2672"/>
      <c r="H4353" s="2672"/>
      <c r="I4353" s="2672"/>
      <c r="J4353" s="2672"/>
      <c r="K4353" s="2672"/>
      <c r="L4353" s="2672"/>
      <c r="M4353" s="2672"/>
      <c r="N4353" s="2673"/>
    </row>
    <row r="4354" spans="3:14">
      <c r="C4354" s="977"/>
      <c r="D4354" s="777"/>
      <c r="E4354" s="2711" t="s">
        <v>2295</v>
      </c>
      <c r="F4354" s="2671"/>
      <c r="G4354" s="2671"/>
      <c r="H4354" s="2671"/>
      <c r="I4354" s="2671"/>
      <c r="J4354" s="2671"/>
      <c r="K4354" s="2671"/>
      <c r="L4354" s="2671"/>
      <c r="M4354" s="2671"/>
      <c r="N4354" s="2712"/>
    </row>
    <row r="4355" spans="3:14">
      <c r="C4355" s="977"/>
      <c r="D4355" s="981"/>
      <c r="E4355" s="2674" t="s">
        <v>1618</v>
      </c>
      <c r="F4355" s="2674"/>
      <c r="G4355" s="2674"/>
      <c r="H4355" s="2674"/>
      <c r="I4355" s="2674"/>
      <c r="J4355" s="2674"/>
      <c r="K4355" s="2674"/>
      <c r="L4355" s="2674"/>
      <c r="M4355" s="2674"/>
      <c r="N4355" s="2675"/>
    </row>
    <row r="4356" spans="3:14">
      <c r="C4356" s="977"/>
      <c r="D4356" s="981"/>
      <c r="E4356" s="985" t="s">
        <v>1021</v>
      </c>
      <c r="F4356" s="2645" t="s">
        <v>1616</v>
      </c>
      <c r="G4356" s="2646"/>
      <c r="H4356" s="2646"/>
      <c r="I4356" s="2646"/>
      <c r="J4356" s="2646"/>
      <c r="K4356" s="2646"/>
      <c r="L4356" s="2646"/>
      <c r="M4356" s="2646"/>
      <c r="N4356" s="2647"/>
    </row>
    <row r="4357" spans="3:14">
      <c r="C4357" s="977"/>
      <c r="D4357" s="981"/>
      <c r="E4357" s="985"/>
      <c r="F4357" s="2669" t="s">
        <v>1615</v>
      </c>
      <c r="G4357" s="2391"/>
      <c r="H4357" s="2391"/>
      <c r="I4357" s="2391"/>
      <c r="J4357" s="2391"/>
      <c r="K4357" s="2391"/>
      <c r="L4357" s="2391"/>
      <c r="M4357" s="2391"/>
      <c r="N4357" s="2650"/>
    </row>
    <row r="4358" spans="3:14">
      <c r="C4358" s="977"/>
      <c r="D4358" s="981"/>
      <c r="E4358" s="985" t="s">
        <v>1021</v>
      </c>
      <c r="F4358" s="2645" t="s">
        <v>1278</v>
      </c>
      <c r="G4358" s="2646"/>
      <c r="H4358" s="2646"/>
      <c r="I4358" s="2646"/>
      <c r="J4358" s="2646"/>
      <c r="K4358" s="2646"/>
      <c r="L4358" s="2646"/>
      <c r="M4358" s="2646"/>
      <c r="N4358" s="2647"/>
    </row>
    <row r="4359" spans="3:14">
      <c r="C4359" s="977"/>
      <c r="D4359" s="981"/>
      <c r="E4359" s="985"/>
      <c r="F4359" s="2645" t="s">
        <v>1620</v>
      </c>
      <c r="G4359" s="2646"/>
      <c r="H4359" s="2646"/>
      <c r="I4359" s="2646"/>
      <c r="J4359" s="2646"/>
      <c r="K4359" s="2646"/>
      <c r="L4359" s="2646"/>
      <c r="M4359" s="2646"/>
      <c r="N4359" s="2647"/>
    </row>
    <row r="4360" spans="3:14">
      <c r="C4360" s="977"/>
      <c r="D4360" s="981"/>
      <c r="E4360" s="985"/>
      <c r="F4360" s="2645" t="s">
        <v>1619</v>
      </c>
      <c r="G4360" s="2646"/>
      <c r="H4360" s="2646"/>
      <c r="I4360" s="2646"/>
      <c r="J4360" s="2646"/>
      <c r="K4360" s="2646"/>
      <c r="L4360" s="2646"/>
      <c r="M4360" s="2646"/>
      <c r="N4360" s="2647"/>
    </row>
    <row r="4361" spans="3:14">
      <c r="C4361" s="977"/>
      <c r="D4361" s="981"/>
      <c r="E4361" s="985" t="s">
        <v>1021</v>
      </c>
      <c r="F4361" s="2645" t="s">
        <v>1542</v>
      </c>
      <c r="G4361" s="2646"/>
      <c r="H4361" s="2646"/>
      <c r="I4361" s="2646"/>
      <c r="J4361" s="2646"/>
      <c r="K4361" s="2646"/>
      <c r="L4361" s="2646"/>
      <c r="M4361" s="2646"/>
      <c r="N4361" s="2647"/>
    </row>
    <row r="4362" spans="3:14">
      <c r="C4362" s="977"/>
      <c r="D4362" s="981"/>
      <c r="E4362" s="985" t="s">
        <v>1021</v>
      </c>
      <c r="F4362" s="2645" t="s">
        <v>1458</v>
      </c>
      <c r="G4362" s="2646"/>
      <c r="H4362" s="2646"/>
      <c r="I4362" s="2646"/>
      <c r="J4362" s="2646"/>
      <c r="K4362" s="2646"/>
      <c r="L4362" s="2646"/>
      <c r="M4362" s="2646"/>
      <c r="N4362" s="2647"/>
    </row>
    <row r="4363" spans="3:14">
      <c r="C4363" s="977"/>
      <c r="D4363" s="982"/>
      <c r="E4363" s="2648" t="s">
        <v>1612</v>
      </c>
      <c r="F4363" s="2648"/>
      <c r="G4363" s="987" t="s">
        <v>884</v>
      </c>
      <c r="H4363" s="782">
        <v>2019</v>
      </c>
      <c r="I4363" s="988">
        <v>2020</v>
      </c>
      <c r="J4363" s="781">
        <v>2021</v>
      </c>
      <c r="K4363" s="782">
        <v>2022</v>
      </c>
      <c r="L4363" s="782">
        <v>2023</v>
      </c>
      <c r="M4363" s="782">
        <v>2024</v>
      </c>
      <c r="N4363" s="783">
        <v>2025</v>
      </c>
    </row>
    <row r="4364" spans="3:14">
      <c r="C4364" s="977"/>
      <c r="D4364" s="981"/>
      <c r="E4364" s="2487" t="str">
        <f>IFERROR(IF([1]F_ProductBM!E1658 = "", "", [1]F_ProductBM!E1658 ),"")</f>
        <v/>
      </c>
      <c r="F4364" s="2488"/>
      <c r="G4364" s="815" t="s">
        <v>2016</v>
      </c>
      <c r="H4364" s="93" t="str">
        <f>IFERROR(IF([1]F_ProductBM!H1658 = "", "", [1]F_ProductBM!H1658 ),"")</f>
        <v/>
      </c>
      <c r="I4364" s="116" t="str">
        <f>IFERROR(IF([1]F_ProductBM!I1658 = "", "", [1]F_ProductBM!I1658 ),"")</f>
        <v/>
      </c>
      <c r="J4364" s="117" t="str">
        <f>IFERROR(IF([1]F_ProductBM!J1658 = "", "", [1]F_ProductBM!J1658 ),"")</f>
        <v/>
      </c>
      <c r="K4364" s="93" t="str">
        <f>IFERROR(IF([1]F_ProductBM!K1658 = "", "", [1]F_ProductBM!K1658 ),"")</f>
        <v/>
      </c>
      <c r="L4364" s="93" t="str">
        <f>IFERROR(IF([1]F_ProductBM!L1658 = "", "", [1]F_ProductBM!L1658 ),"")</f>
        <v/>
      </c>
      <c r="M4364" s="93" t="str">
        <f>IFERROR(IF([1]F_ProductBM!M1658 = "", "", [1]F_ProductBM!M1658 ),"")</f>
        <v/>
      </c>
      <c r="N4364" s="118" t="str">
        <f>IFERROR(IF([1]F_ProductBM!N1658 = "", "", [1]F_ProductBM!N1658 ),"")</f>
        <v/>
      </c>
    </row>
    <row r="4365" spans="3:14">
      <c r="C4365" s="977"/>
      <c r="D4365" s="981"/>
      <c r="E4365" s="981"/>
      <c r="F4365" s="981"/>
      <c r="G4365" s="981"/>
      <c r="H4365" s="981"/>
      <c r="I4365" s="981"/>
      <c r="J4365" s="981"/>
      <c r="K4365" s="981"/>
      <c r="L4365" s="981"/>
      <c r="M4365" s="813"/>
      <c r="N4365" s="814"/>
    </row>
    <row r="4366" spans="3:14">
      <c r="C4366" s="977"/>
      <c r="D4366" s="982" t="s">
        <v>269</v>
      </c>
      <c r="E4366" s="2649" t="s">
        <v>1189</v>
      </c>
      <c r="F4366" s="2391"/>
      <c r="G4366" s="2391"/>
      <c r="H4366" s="2391"/>
      <c r="I4366" s="2391"/>
      <c r="J4366" s="2391"/>
      <c r="K4366" s="2391"/>
      <c r="L4366" s="2391"/>
      <c r="M4366" s="2391"/>
      <c r="N4366" s="2650"/>
    </row>
    <row r="4367" spans="3:14">
      <c r="C4367" s="977"/>
      <c r="D4367" s="981"/>
      <c r="E4367" s="2674" t="s">
        <v>1605</v>
      </c>
      <c r="F4367" s="2674"/>
      <c r="G4367" s="2674"/>
      <c r="H4367" s="2674"/>
      <c r="I4367" s="2674"/>
      <c r="J4367" s="2674"/>
      <c r="K4367" s="2674"/>
      <c r="L4367" s="2674"/>
      <c r="M4367" s="2674"/>
      <c r="N4367" s="2675"/>
    </row>
    <row r="4368" spans="3:14">
      <c r="C4368" s="977"/>
      <c r="D4368" s="981"/>
      <c r="E4368" s="2674" t="s">
        <v>1357</v>
      </c>
      <c r="F4368" s="2674"/>
      <c r="G4368" s="2674"/>
      <c r="H4368" s="2674"/>
      <c r="I4368" s="2674"/>
      <c r="J4368" s="2674"/>
      <c r="K4368" s="2674"/>
      <c r="L4368" s="2674"/>
      <c r="M4368" s="2674"/>
      <c r="N4368" s="2675"/>
    </row>
    <row r="4369" spans="3:14">
      <c r="C4369" s="977"/>
      <c r="D4369" s="981"/>
      <c r="E4369" s="2674" t="s">
        <v>1594</v>
      </c>
      <c r="F4369" s="2674"/>
      <c r="G4369" s="2674"/>
      <c r="H4369" s="2674"/>
      <c r="I4369" s="2674"/>
      <c r="J4369" s="2674"/>
      <c r="K4369" s="2674"/>
      <c r="L4369" s="2674"/>
      <c r="M4369" s="2674"/>
      <c r="N4369" s="2675"/>
    </row>
    <row r="4370" spans="3:14">
      <c r="C4370" s="977"/>
      <c r="D4370" s="981"/>
      <c r="E4370" s="2676" t="s">
        <v>1557</v>
      </c>
      <c r="F4370" s="2391"/>
      <c r="G4370" s="2391"/>
      <c r="H4370" s="2391"/>
      <c r="I4370" s="2391"/>
      <c r="J4370" s="2391"/>
      <c r="K4370" s="2391"/>
      <c r="L4370" s="2391"/>
      <c r="M4370" s="2391"/>
      <c r="N4370" s="2650"/>
    </row>
    <row r="4371" spans="3:14">
      <c r="C4371" s="977"/>
      <c r="D4371" s="982"/>
      <c r="E4371" s="989"/>
      <c r="F4371" s="990"/>
      <c r="G4371" s="987" t="s">
        <v>884</v>
      </c>
      <c r="H4371" s="782">
        <v>2019</v>
      </c>
      <c r="I4371" s="988">
        <v>2020</v>
      </c>
      <c r="J4371" s="781">
        <v>2021</v>
      </c>
      <c r="K4371" s="782">
        <v>2022</v>
      </c>
      <c r="L4371" s="782">
        <v>2023</v>
      </c>
      <c r="M4371" s="782">
        <v>2024</v>
      </c>
      <c r="N4371" s="783">
        <v>2025</v>
      </c>
    </row>
    <row r="4372" spans="3:14">
      <c r="C4372" s="977"/>
      <c r="D4372" s="777" t="s">
        <v>6</v>
      </c>
      <c r="E4372" s="2475" t="s">
        <v>1344</v>
      </c>
      <c r="F4372" s="2410"/>
      <c r="G4372" s="815" t="s">
        <v>2017</v>
      </c>
      <c r="H4372" s="93" t="str">
        <f>IFERROR(IF([1]F_ProductBM!H1666 = "", "", [1]F_ProductBM!H1666 ),"")</f>
        <v/>
      </c>
      <c r="I4372" s="116" t="str">
        <f>IFERROR(IF([1]F_ProductBM!I1666 = "", "", [1]F_ProductBM!I1666 ),"")</f>
        <v/>
      </c>
      <c r="J4372" s="117" t="str">
        <f>IFERROR(IF([1]F_ProductBM!J1666 = "", "", [1]F_ProductBM!J1666 ),"")</f>
        <v/>
      </c>
      <c r="K4372" s="93" t="str">
        <f>IFERROR(IF([1]F_ProductBM!K1666 = "", "", [1]F_ProductBM!K1666 ),"")</f>
        <v/>
      </c>
      <c r="L4372" s="93" t="str">
        <f>IFERROR(IF([1]F_ProductBM!L1666 = "", "", [1]F_ProductBM!L1666 ),"")</f>
        <v/>
      </c>
      <c r="M4372" s="93" t="str">
        <f>IFERROR(IF([1]F_ProductBM!M1666 = "", "", [1]F_ProductBM!M1666 ),"")</f>
        <v/>
      </c>
      <c r="N4372" s="118" t="str">
        <f>IFERROR(IF([1]F_ProductBM!N1666 = "", "", [1]F_ProductBM!N1666 ),"")</f>
        <v/>
      </c>
    </row>
    <row r="4373" spans="3:14">
      <c r="C4373" s="977"/>
      <c r="D4373" s="777" t="s">
        <v>7</v>
      </c>
      <c r="E4373" s="2475" t="s">
        <v>1182</v>
      </c>
      <c r="F4373" s="2410"/>
      <c r="G4373" s="991" t="s">
        <v>2018</v>
      </c>
      <c r="H4373" s="109" t="str">
        <f>IFERROR(IF([1]F_ProductBM!H1667 = "", "", [1]F_ProductBM!H1667 ),"")</f>
        <v/>
      </c>
      <c r="I4373" s="304" t="str">
        <f>IFERROR(IF([1]F_ProductBM!I1667 = "", "", [1]F_ProductBM!I1667 ),"")</f>
        <v/>
      </c>
      <c r="J4373" s="305" t="str">
        <f>IFERROR(IF([1]F_ProductBM!J1667 = "", "", [1]F_ProductBM!J1667 ),"")</f>
        <v/>
      </c>
      <c r="K4373" s="109" t="str">
        <f>IFERROR(IF([1]F_ProductBM!K1667 = "", "", [1]F_ProductBM!K1667 ),"")</f>
        <v/>
      </c>
      <c r="L4373" s="109" t="str">
        <f>IFERROR(IF([1]F_ProductBM!L1667 = "", "", [1]F_ProductBM!L1667 ),"")</f>
        <v/>
      </c>
      <c r="M4373" s="109" t="str">
        <f>IFERROR(IF([1]F_ProductBM!M1667 = "", "", [1]F_ProductBM!M1667 ),"")</f>
        <v/>
      </c>
      <c r="N4373" s="357" t="str">
        <f>IFERROR(IF([1]F_ProductBM!N1667 = "", "", [1]F_ProductBM!N1667 ),"")</f>
        <v/>
      </c>
    </row>
    <row r="4374" spans="3:14">
      <c r="C4374" s="977"/>
      <c r="D4374" s="981"/>
      <c r="E4374" s="981"/>
      <c r="F4374" s="981"/>
      <c r="G4374" s="981"/>
      <c r="H4374" s="981"/>
      <c r="I4374" s="981"/>
      <c r="J4374" s="981"/>
      <c r="K4374" s="981"/>
      <c r="L4374" s="981"/>
      <c r="M4374" s="813"/>
      <c r="N4374" s="814"/>
    </row>
    <row r="4375" spans="3:14">
      <c r="C4375" s="977"/>
      <c r="D4375" s="982" t="s">
        <v>271</v>
      </c>
      <c r="E4375" s="2649" t="s">
        <v>1416</v>
      </c>
      <c r="F4375" s="2391"/>
      <c r="G4375" s="2391"/>
      <c r="H4375" s="2391"/>
      <c r="I4375" s="2391"/>
      <c r="J4375" s="2391"/>
      <c r="K4375" s="2391"/>
      <c r="L4375" s="2391"/>
      <c r="M4375" s="2391"/>
      <c r="N4375" s="2650"/>
    </row>
    <row r="4376" spans="3:14">
      <c r="C4376" s="977"/>
      <c r="D4376" s="777"/>
      <c r="E4376" s="2676" t="s">
        <v>2295</v>
      </c>
      <c r="F4376" s="2391"/>
      <c r="G4376" s="2391"/>
      <c r="H4376" s="2391"/>
      <c r="I4376" s="2391"/>
      <c r="J4376" s="2391"/>
      <c r="K4376" s="2391"/>
      <c r="L4376" s="2391"/>
      <c r="M4376" s="2391"/>
      <c r="N4376" s="2650"/>
    </row>
    <row r="4377" spans="3:14">
      <c r="C4377" s="977"/>
      <c r="D4377" s="981"/>
      <c r="E4377" s="2676" t="s">
        <v>1551</v>
      </c>
      <c r="F4377" s="2391"/>
      <c r="G4377" s="2391"/>
      <c r="H4377" s="2391"/>
      <c r="I4377" s="2391"/>
      <c r="J4377" s="2391"/>
      <c r="K4377" s="2391"/>
      <c r="L4377" s="2391"/>
      <c r="M4377" s="2391"/>
      <c r="N4377" s="2650"/>
    </row>
    <row r="4378" spans="3:14">
      <c r="C4378" s="977"/>
      <c r="D4378" s="981"/>
      <c r="E4378" s="2669" t="s">
        <v>1552</v>
      </c>
      <c r="F4378" s="2391"/>
      <c r="G4378" s="2391"/>
      <c r="H4378" s="2391"/>
      <c r="I4378" s="2391"/>
      <c r="J4378" s="2391"/>
      <c r="K4378" s="2391"/>
      <c r="L4378" s="2391"/>
      <c r="M4378" s="2391"/>
      <c r="N4378" s="2650"/>
    </row>
    <row r="4379" spans="3:14">
      <c r="C4379" s="977"/>
      <c r="D4379" s="981"/>
      <c r="E4379" s="2669" t="s">
        <v>1553</v>
      </c>
      <c r="F4379" s="2391"/>
      <c r="G4379" s="2391"/>
      <c r="H4379" s="2391"/>
      <c r="I4379" s="2391"/>
      <c r="J4379" s="2391"/>
      <c r="K4379" s="2391"/>
      <c r="L4379" s="2391"/>
      <c r="M4379" s="2391"/>
      <c r="N4379" s="2650"/>
    </row>
    <row r="4380" spans="3:14">
      <c r="C4380" s="977"/>
      <c r="D4380" s="981"/>
      <c r="E4380" s="2669" t="s">
        <v>1567</v>
      </c>
      <c r="F4380" s="2391"/>
      <c r="G4380" s="2391"/>
      <c r="H4380" s="2391"/>
      <c r="I4380" s="2391"/>
      <c r="J4380" s="2391"/>
      <c r="K4380" s="2391"/>
      <c r="L4380" s="2391"/>
      <c r="M4380" s="2391"/>
      <c r="N4380" s="2650"/>
    </row>
    <row r="4381" spans="3:14">
      <c r="C4381" s="977"/>
      <c r="D4381" s="981"/>
      <c r="E4381" s="2669" t="s">
        <v>1565</v>
      </c>
      <c r="F4381" s="2391"/>
      <c r="G4381" s="2391"/>
      <c r="H4381" s="2391"/>
      <c r="I4381" s="2391"/>
      <c r="J4381" s="2391"/>
      <c r="K4381" s="2391"/>
      <c r="L4381" s="2391"/>
      <c r="M4381" s="2391"/>
      <c r="N4381" s="2650"/>
    </row>
    <row r="4382" spans="3:14">
      <c r="C4382" s="977"/>
      <c r="D4382" s="777" t="s">
        <v>6</v>
      </c>
      <c r="E4382" s="2682" t="s">
        <v>1456</v>
      </c>
      <c r="F4382" s="2391"/>
      <c r="G4382" s="2391"/>
      <c r="H4382" s="2391"/>
      <c r="I4382" s="2391"/>
      <c r="J4382" s="2391"/>
      <c r="K4382" s="2512"/>
      <c r="L4382" s="120" t="str">
        <f>IFERROR(IF([1]F_ProductBM!L1676 = "", "", [1]F_ProductBM!L1676 ),"")</f>
        <v/>
      </c>
      <c r="M4382" s="978"/>
      <c r="N4382" s="979"/>
    </row>
    <row r="4383" spans="3:14">
      <c r="C4383" s="977"/>
      <c r="D4383" s="981"/>
      <c r="E4383" s="2669" t="s">
        <v>1216</v>
      </c>
      <c r="F4383" s="2391"/>
      <c r="G4383" s="2391"/>
      <c r="H4383" s="2391"/>
      <c r="I4383" s="2391"/>
      <c r="J4383" s="2391"/>
      <c r="K4383" s="2391"/>
      <c r="L4383" s="2391"/>
      <c r="M4383" s="2391"/>
      <c r="N4383" s="2650"/>
    </row>
    <row r="4384" spans="3:14">
      <c r="C4384" s="977"/>
      <c r="D4384" s="777" t="s">
        <v>7</v>
      </c>
      <c r="E4384" s="2649" t="s">
        <v>1214</v>
      </c>
      <c r="F4384" s="2391"/>
      <c r="G4384" s="2391"/>
      <c r="H4384" s="2512"/>
      <c r="I4384" s="2683" t="str">
        <f>IFERROR(IF([1]F_ProductBM!I1678 = "", "", [1]F_ProductBM!I1678 ),"")</f>
        <v/>
      </c>
      <c r="J4384" s="2487"/>
      <c r="K4384" s="2487"/>
      <c r="L4384" s="2487"/>
      <c r="M4384" s="2684"/>
      <c r="N4384" s="992"/>
    </row>
    <row r="4385" spans="3:14">
      <c r="C4385" s="977"/>
      <c r="D4385" s="981"/>
      <c r="E4385" s="986"/>
      <c r="F4385" s="978"/>
      <c r="G4385" s="978"/>
      <c r="H4385" s="978"/>
      <c r="I4385" s="978"/>
      <c r="J4385" s="978"/>
      <c r="K4385" s="978"/>
      <c r="L4385" s="978"/>
      <c r="M4385" s="978"/>
      <c r="N4385" s="979"/>
    </row>
    <row r="4386" spans="3:14">
      <c r="C4386" s="977"/>
      <c r="D4386" s="981"/>
      <c r="E4386" s="2648" t="s">
        <v>1154</v>
      </c>
      <c r="F4386" s="2493"/>
      <c r="G4386" s="987" t="s">
        <v>884</v>
      </c>
      <c r="H4386" s="782">
        <v>2019</v>
      </c>
      <c r="I4386" s="988">
        <v>2020</v>
      </c>
      <c r="J4386" s="781">
        <v>2021</v>
      </c>
      <c r="K4386" s="782">
        <v>2022</v>
      </c>
      <c r="L4386" s="782">
        <v>2023</v>
      </c>
      <c r="M4386" s="782">
        <v>2024</v>
      </c>
      <c r="N4386" s="783">
        <v>2025</v>
      </c>
    </row>
    <row r="4387" spans="3:14">
      <c r="C4387" s="977"/>
      <c r="D4387" s="777" t="s">
        <v>8</v>
      </c>
      <c r="E4387" s="2471" t="s">
        <v>1153</v>
      </c>
      <c r="F4387" s="2472"/>
      <c r="G4387" s="811" t="s">
        <v>2152</v>
      </c>
      <c r="H4387" s="94" t="str">
        <f>IFERROR(IF([1]F_ProductBM!H1681 = "", "", [1]F_ProductBM!H1681 ),"")</f>
        <v/>
      </c>
      <c r="I4387" s="110" t="str">
        <f>IFERROR(IF([1]F_ProductBM!I1681 = "", "", [1]F_ProductBM!I1681 ),"")</f>
        <v/>
      </c>
      <c r="J4387" s="111" t="str">
        <f>IFERROR(IF([1]F_ProductBM!J1681 = "", "", [1]F_ProductBM!J1681 ),"")</f>
        <v/>
      </c>
      <c r="K4387" s="94" t="str">
        <f>IFERROR(IF([1]F_ProductBM!K1681 = "", "", [1]F_ProductBM!K1681 ),"")</f>
        <v/>
      </c>
      <c r="L4387" s="94" t="str">
        <f>IFERROR(IF([1]F_ProductBM!L1681 = "", "", [1]F_ProductBM!L1681 ),"")</f>
        <v/>
      </c>
      <c r="M4387" s="94" t="str">
        <f>IFERROR(IF([1]F_ProductBM!M1681 = "", "", [1]F_ProductBM!M1681 ),"")</f>
        <v/>
      </c>
      <c r="N4387" s="112" t="str">
        <f>IFERROR(IF([1]F_ProductBM!N1681 = "", "", [1]F_ProductBM!N1681 ),"")</f>
        <v/>
      </c>
    </row>
    <row r="4388" spans="3:14">
      <c r="C4388" s="977"/>
      <c r="D4388" s="777" t="s">
        <v>18</v>
      </c>
      <c r="E4388" s="2685" t="s">
        <v>946</v>
      </c>
      <c r="F4388" s="2608"/>
      <c r="G4388" s="993" t="s">
        <v>2019</v>
      </c>
      <c r="H4388" s="101" t="str">
        <f>IFERROR(IF([1]F_ProductBM!H1682 = "", "", [1]F_ProductBM!H1682 ),"")</f>
        <v/>
      </c>
      <c r="I4388" s="361" t="str">
        <f>IFERROR(IF([1]F_ProductBM!I1682 = "", "", [1]F_ProductBM!I1682 ),"")</f>
        <v/>
      </c>
      <c r="J4388" s="362" t="str">
        <f>IFERROR(IF([1]F_ProductBM!J1682 = "", "", [1]F_ProductBM!J1682 ),"")</f>
        <v/>
      </c>
      <c r="K4388" s="101" t="str">
        <f>IFERROR(IF([1]F_ProductBM!K1682 = "", "", [1]F_ProductBM!K1682 ),"")</f>
        <v/>
      </c>
      <c r="L4388" s="101" t="str">
        <f>IFERROR(IF([1]F_ProductBM!L1682 = "", "", [1]F_ProductBM!L1682 ),"")</f>
        <v/>
      </c>
      <c r="M4388" s="101" t="str">
        <f>IFERROR(IF([1]F_ProductBM!M1682 = "", "", [1]F_ProductBM!M1682 ),"")</f>
        <v/>
      </c>
      <c r="N4388" s="363" t="str">
        <f>IFERROR(IF([1]F_ProductBM!N1682 = "", "", [1]F_ProductBM!N1682 ),"")</f>
        <v/>
      </c>
    </row>
    <row r="4389" spans="3:14">
      <c r="C4389" s="977"/>
      <c r="D4389" s="777" t="s">
        <v>787</v>
      </c>
      <c r="E4389" s="2685" t="s">
        <v>945</v>
      </c>
      <c r="F4389" s="2608"/>
      <c r="G4389" s="994" t="s">
        <v>878</v>
      </c>
      <c r="H4389" s="101" t="str">
        <f>IFERROR(IF([1]F_ProductBM!H1683 = "", "", [1]F_ProductBM!H1683 ),"")</f>
        <v/>
      </c>
      <c r="I4389" s="361" t="str">
        <f>IFERROR(IF([1]F_ProductBM!I1683 = "", "", [1]F_ProductBM!I1683 ),"")</f>
        <v/>
      </c>
      <c r="J4389" s="362" t="str">
        <f>IFERROR(IF([1]F_ProductBM!J1683 = "", "", [1]F_ProductBM!J1683 ),"")</f>
        <v/>
      </c>
      <c r="K4389" s="101" t="str">
        <f>IFERROR(IF([1]F_ProductBM!K1683 = "", "", [1]F_ProductBM!K1683 ),"")</f>
        <v/>
      </c>
      <c r="L4389" s="101" t="str">
        <f>IFERROR(IF([1]F_ProductBM!L1683 = "", "", [1]F_ProductBM!L1683 ),"")</f>
        <v/>
      </c>
      <c r="M4389" s="101" t="str">
        <f>IFERROR(IF([1]F_ProductBM!M1683 = "", "", [1]F_ProductBM!M1683 ),"")</f>
        <v/>
      </c>
      <c r="N4389" s="363" t="str">
        <f>IFERROR(IF([1]F_ProductBM!N1683 = "", "", [1]F_ProductBM!N1683 ),"")</f>
        <v/>
      </c>
    </row>
    <row r="4390" spans="3:14">
      <c r="C4390" s="977"/>
      <c r="D4390" s="777" t="s">
        <v>788</v>
      </c>
      <c r="E4390" s="2473" t="s">
        <v>880</v>
      </c>
      <c r="F4390" s="2474"/>
      <c r="G4390" s="812" t="s">
        <v>878</v>
      </c>
      <c r="H4390" s="95" t="str">
        <f>IFERROR(IF([1]F_ProductBM!H1684 = "", "", [1]F_ProductBM!H1684 ),"")</f>
        <v/>
      </c>
      <c r="I4390" s="113" t="str">
        <f>IFERROR(IF([1]F_ProductBM!I1684 = "", "", [1]F_ProductBM!I1684 ),"")</f>
        <v/>
      </c>
      <c r="J4390" s="114" t="str">
        <f>IFERROR(IF([1]F_ProductBM!J1684 = "", "", [1]F_ProductBM!J1684 ),"")</f>
        <v/>
      </c>
      <c r="K4390" s="95" t="str">
        <f>IFERROR(IF([1]F_ProductBM!K1684 = "", "", [1]F_ProductBM!K1684 ),"")</f>
        <v/>
      </c>
      <c r="L4390" s="95" t="str">
        <f>IFERROR(IF([1]F_ProductBM!L1684 = "", "", [1]F_ProductBM!L1684 ),"")</f>
        <v/>
      </c>
      <c r="M4390" s="95" t="str">
        <f>IFERROR(IF([1]F_ProductBM!M1684 = "", "", [1]F_ProductBM!M1684 ),"")</f>
        <v/>
      </c>
      <c r="N4390" s="115" t="str">
        <f>IFERROR(IF([1]F_ProductBM!N1684 = "", "", [1]F_ProductBM!N1684 ),"")</f>
        <v/>
      </c>
    </row>
    <row r="4391" spans="3:14">
      <c r="C4391" s="977"/>
      <c r="D4391" s="777" t="s">
        <v>789</v>
      </c>
      <c r="E4391" s="2471" t="s">
        <v>882</v>
      </c>
      <c r="F4391" s="2472"/>
      <c r="G4391" s="995" t="s">
        <v>2015</v>
      </c>
      <c r="H4391" s="378" t="str">
        <f>IFERROR(IF([1]F_ProductBM!H1685 = "", "", [1]F_ProductBM!H1685 ),"")</f>
        <v/>
      </c>
      <c r="I4391" s="379" t="str">
        <f>IFERROR(IF([1]F_ProductBM!I1685 = "", "", [1]F_ProductBM!I1685 ),"")</f>
        <v/>
      </c>
      <c r="J4391" s="380" t="str">
        <f>IFERROR(IF([1]F_ProductBM!J1685 = "", "", [1]F_ProductBM!J1685 ),"")</f>
        <v/>
      </c>
      <c r="K4391" s="378" t="str">
        <f>IFERROR(IF([1]F_ProductBM!K1685 = "", "", [1]F_ProductBM!K1685 ),"")</f>
        <v/>
      </c>
      <c r="L4391" s="378" t="str">
        <f>IFERROR(IF([1]F_ProductBM!L1685 = "", "", [1]F_ProductBM!L1685 ),"")</f>
        <v/>
      </c>
      <c r="M4391" s="378" t="str">
        <f>IFERROR(IF([1]F_ProductBM!M1685 = "", "", [1]F_ProductBM!M1685 ),"")</f>
        <v/>
      </c>
      <c r="N4391" s="381" t="str">
        <f>IFERROR(IF([1]F_ProductBM!N1685 = "", "", [1]F_ProductBM!N1685 ),"")</f>
        <v/>
      </c>
    </row>
    <row r="4392" spans="3:14">
      <c r="C4392" s="977"/>
      <c r="D4392" s="777" t="s">
        <v>790</v>
      </c>
      <c r="E4392" s="2670" t="s">
        <v>879</v>
      </c>
      <c r="F4392" s="2608"/>
      <c r="G4392" s="998" t="s">
        <v>2015</v>
      </c>
      <c r="H4392" s="382" t="str">
        <f>IFERROR(IF([1]F_ProductBM!H1686 = "", "", [1]F_ProductBM!H1686 ),"")</f>
        <v/>
      </c>
      <c r="I4392" s="383" t="str">
        <f>IFERROR(IF([1]F_ProductBM!I1686 = "", "", [1]F_ProductBM!I1686 ),"")</f>
        <v/>
      </c>
      <c r="J4392" s="384" t="str">
        <f>IFERROR(IF([1]F_ProductBM!J1686 = "", "", [1]F_ProductBM!J1686 ),"")</f>
        <v/>
      </c>
      <c r="K4392" s="382" t="str">
        <f>IFERROR(IF([1]F_ProductBM!K1686 = "", "", [1]F_ProductBM!K1686 ),"")</f>
        <v/>
      </c>
      <c r="L4392" s="382" t="str">
        <f>IFERROR(IF([1]F_ProductBM!L1686 = "", "", [1]F_ProductBM!L1686 ),"")</f>
        <v/>
      </c>
      <c r="M4392" s="382" t="str">
        <f>IFERROR(IF([1]F_ProductBM!M1686 = "", "", [1]F_ProductBM!M1686 ),"")</f>
        <v/>
      </c>
      <c r="N4392" s="385" t="str">
        <f>IFERROR(IF([1]F_ProductBM!N1686 = "", "", [1]F_ProductBM!N1686 ),"")</f>
        <v/>
      </c>
    </row>
    <row r="4393" spans="3:14">
      <c r="C4393" s="977"/>
      <c r="D4393" s="777" t="s">
        <v>791</v>
      </c>
      <c r="E4393" s="2473" t="s">
        <v>41</v>
      </c>
      <c r="F4393" s="2474"/>
      <c r="G4393" s="1001" t="s">
        <v>2017</v>
      </c>
      <c r="H4393" s="86" t="str">
        <f>IFERROR(IF([1]F_ProductBM!H1687 = "", "", [1]F_ProductBM!H1687 ),"")</f>
        <v/>
      </c>
      <c r="I4393" s="340" t="str">
        <f>IFERROR(IF([1]F_ProductBM!I1687 = "", "", [1]F_ProductBM!I1687 ),"")</f>
        <v/>
      </c>
      <c r="J4393" s="341" t="str">
        <f>IFERROR(IF([1]F_ProductBM!J1687 = "", "", [1]F_ProductBM!J1687 ),"")</f>
        <v/>
      </c>
      <c r="K4393" s="86" t="str">
        <f>IFERROR(IF([1]F_ProductBM!K1687 = "", "", [1]F_ProductBM!K1687 ),"")</f>
        <v/>
      </c>
      <c r="L4393" s="86" t="str">
        <f>IFERROR(IF([1]F_ProductBM!L1687 = "", "", [1]F_ProductBM!L1687 ),"")</f>
        <v/>
      </c>
      <c r="M4393" s="86" t="str">
        <f>IFERROR(IF([1]F_ProductBM!M1687 = "", "", [1]F_ProductBM!M1687 ),"")</f>
        <v/>
      </c>
      <c r="N4393" s="342" t="str">
        <f>IFERROR(IF([1]F_ProductBM!N1687 = "", "", [1]F_ProductBM!N1687 ),"")</f>
        <v/>
      </c>
    </row>
    <row r="4394" spans="3:14">
      <c r="C4394" s="977"/>
      <c r="D4394" s="777" t="s">
        <v>64</v>
      </c>
      <c r="E4394" s="2687" t="s">
        <v>393</v>
      </c>
      <c r="F4394" s="2688"/>
      <c r="G4394" s="1002"/>
      <c r="H4394" s="343" t="str">
        <f>IFERROR(IF([1]F_ProductBM!H1688 = "", "", [1]F_ProductBM!H1688 ),"")</f>
        <v/>
      </c>
      <c r="I4394" s="344" t="str">
        <f>IFERROR(IF([1]F_ProductBM!I1688 = "", "", [1]F_ProductBM!I1688 ),"")</f>
        <v/>
      </c>
      <c r="J4394" s="345" t="str">
        <f>IFERROR(IF([1]F_ProductBM!J1688 = "", "", [1]F_ProductBM!J1688 ),"")</f>
        <v/>
      </c>
      <c r="K4394" s="343" t="str">
        <f>IFERROR(IF([1]F_ProductBM!K1688 = "", "", [1]F_ProductBM!K1688 ),"")</f>
        <v/>
      </c>
      <c r="L4394" s="343" t="str">
        <f>IFERROR(IF([1]F_ProductBM!L1688 = "", "", [1]F_ProductBM!L1688 ),"")</f>
        <v/>
      </c>
      <c r="M4394" s="343" t="str">
        <f>IFERROR(IF([1]F_ProductBM!M1688 = "", "", [1]F_ProductBM!M1688 ),"")</f>
        <v/>
      </c>
      <c r="N4394" s="346" t="str">
        <f>IFERROR(IF([1]F_ProductBM!N1688 = "", "", [1]F_ProductBM!N1688 ),"")</f>
        <v/>
      </c>
    </row>
    <row r="4395" spans="3:14">
      <c r="C4395" s="977"/>
      <c r="D4395" s="777"/>
      <c r="E4395" s="981"/>
      <c r="F4395" s="981"/>
      <c r="G4395" s="981"/>
      <c r="H4395" s="981"/>
      <c r="I4395" s="981"/>
      <c r="J4395" s="981"/>
      <c r="K4395" s="981"/>
      <c r="L4395" s="981"/>
      <c r="M4395" s="813"/>
      <c r="N4395" s="814"/>
    </row>
    <row r="4396" spans="3:14">
      <c r="C4396" s="977"/>
      <c r="D4396" s="777" t="s">
        <v>65</v>
      </c>
      <c r="E4396" s="2649" t="s">
        <v>1215</v>
      </c>
      <c r="F4396" s="2391"/>
      <c r="G4396" s="2391"/>
      <c r="H4396" s="2512"/>
      <c r="I4396" s="2683" t="str">
        <f>IFERROR(IF([1]F_ProductBM!I1690 = "", "", [1]F_ProductBM!I1690 ),"")</f>
        <v/>
      </c>
      <c r="J4396" s="2488"/>
      <c r="K4396" s="2488"/>
      <c r="L4396" s="2488"/>
      <c r="M4396" s="2686"/>
      <c r="N4396" s="979"/>
    </row>
    <row r="4397" spans="3:14">
      <c r="C4397" s="977"/>
      <c r="D4397" s="981"/>
      <c r="E4397" s="986"/>
      <c r="F4397" s="978"/>
      <c r="G4397" s="981"/>
      <c r="H4397" s="981"/>
      <c r="I4397" s="978"/>
      <c r="J4397" s="978"/>
      <c r="K4397" s="978"/>
      <c r="L4397" s="978"/>
      <c r="M4397" s="978"/>
      <c r="N4397" s="979"/>
    </row>
    <row r="4398" spans="3:14">
      <c r="C4398" s="977"/>
      <c r="D4398" s="777"/>
      <c r="E4398" s="2648" t="s">
        <v>1155</v>
      </c>
      <c r="F4398" s="2493"/>
      <c r="G4398" s="987" t="s">
        <v>884</v>
      </c>
      <c r="H4398" s="782">
        <v>2019</v>
      </c>
      <c r="I4398" s="988">
        <v>2020</v>
      </c>
      <c r="J4398" s="781">
        <v>2021</v>
      </c>
      <c r="K4398" s="782">
        <v>2022</v>
      </c>
      <c r="L4398" s="782">
        <v>2023</v>
      </c>
      <c r="M4398" s="782">
        <v>2024</v>
      </c>
      <c r="N4398" s="783">
        <v>2025</v>
      </c>
    </row>
    <row r="4399" spans="3:14">
      <c r="C4399" s="977"/>
      <c r="D4399" s="777" t="s">
        <v>66</v>
      </c>
      <c r="E4399" s="2471" t="s">
        <v>1153</v>
      </c>
      <c r="F4399" s="2472"/>
      <c r="G4399" s="811" t="s">
        <v>2152</v>
      </c>
      <c r="H4399" s="94" t="str">
        <f>IFERROR(IF([1]F_ProductBM!H1693 = "", "", [1]F_ProductBM!H1693 ),"")</f>
        <v/>
      </c>
      <c r="I4399" s="110" t="str">
        <f>IFERROR(IF([1]F_ProductBM!I1693 = "", "", [1]F_ProductBM!I1693 ),"")</f>
        <v/>
      </c>
      <c r="J4399" s="111" t="str">
        <f>IFERROR(IF([1]F_ProductBM!J1693 = "", "", [1]F_ProductBM!J1693 ),"")</f>
        <v/>
      </c>
      <c r="K4399" s="94" t="str">
        <f>IFERROR(IF([1]F_ProductBM!K1693 = "", "", [1]F_ProductBM!K1693 ),"")</f>
        <v/>
      </c>
      <c r="L4399" s="94" t="str">
        <f>IFERROR(IF([1]F_ProductBM!L1693 = "", "", [1]F_ProductBM!L1693 ),"")</f>
        <v/>
      </c>
      <c r="M4399" s="94" t="str">
        <f>IFERROR(IF([1]F_ProductBM!M1693 = "", "", [1]F_ProductBM!M1693 ),"")</f>
        <v/>
      </c>
      <c r="N4399" s="112" t="str">
        <f>IFERROR(IF([1]F_ProductBM!N1693 = "", "", [1]F_ProductBM!N1693 ),"")</f>
        <v/>
      </c>
    </row>
    <row r="4400" spans="3:14">
      <c r="C4400" s="977"/>
      <c r="D4400" s="777" t="s">
        <v>1105</v>
      </c>
      <c r="E4400" s="2685" t="s">
        <v>946</v>
      </c>
      <c r="F4400" s="2608"/>
      <c r="G4400" s="993" t="s">
        <v>2019</v>
      </c>
      <c r="H4400" s="101" t="str">
        <f>IFERROR(IF([1]F_ProductBM!H1694 = "", "", [1]F_ProductBM!H1694 ),"")</f>
        <v/>
      </c>
      <c r="I4400" s="361" t="str">
        <f>IFERROR(IF([1]F_ProductBM!I1694 = "", "", [1]F_ProductBM!I1694 ),"")</f>
        <v/>
      </c>
      <c r="J4400" s="362" t="str">
        <f>IFERROR(IF([1]F_ProductBM!J1694 = "", "", [1]F_ProductBM!J1694 ),"")</f>
        <v/>
      </c>
      <c r="K4400" s="101" t="str">
        <f>IFERROR(IF([1]F_ProductBM!K1694 = "", "", [1]F_ProductBM!K1694 ),"")</f>
        <v/>
      </c>
      <c r="L4400" s="101" t="str">
        <f>IFERROR(IF([1]F_ProductBM!L1694 = "", "", [1]F_ProductBM!L1694 ),"")</f>
        <v/>
      </c>
      <c r="M4400" s="101" t="str">
        <f>IFERROR(IF([1]F_ProductBM!M1694 = "", "", [1]F_ProductBM!M1694 ),"")</f>
        <v/>
      </c>
      <c r="N4400" s="363" t="str">
        <f>IFERROR(IF([1]F_ProductBM!N1694 = "", "", [1]F_ProductBM!N1694 ),"")</f>
        <v/>
      </c>
    </row>
    <row r="4401" spans="3:14">
      <c r="C4401" s="977"/>
      <c r="D4401" s="777" t="s">
        <v>1106</v>
      </c>
      <c r="E4401" s="2685" t="s">
        <v>945</v>
      </c>
      <c r="F4401" s="2608"/>
      <c r="G4401" s="994" t="s">
        <v>878</v>
      </c>
      <c r="H4401" s="101" t="str">
        <f>IFERROR(IF([1]F_ProductBM!H1695 = "", "", [1]F_ProductBM!H1695 ),"")</f>
        <v/>
      </c>
      <c r="I4401" s="361" t="str">
        <f>IFERROR(IF([1]F_ProductBM!I1695 = "", "", [1]F_ProductBM!I1695 ),"")</f>
        <v/>
      </c>
      <c r="J4401" s="362" t="str">
        <f>IFERROR(IF([1]F_ProductBM!J1695 = "", "", [1]F_ProductBM!J1695 ),"")</f>
        <v/>
      </c>
      <c r="K4401" s="101" t="str">
        <f>IFERROR(IF([1]F_ProductBM!K1695 = "", "", [1]F_ProductBM!K1695 ),"")</f>
        <v/>
      </c>
      <c r="L4401" s="101" t="str">
        <f>IFERROR(IF([1]F_ProductBM!L1695 = "", "", [1]F_ProductBM!L1695 ),"")</f>
        <v/>
      </c>
      <c r="M4401" s="101" t="str">
        <f>IFERROR(IF([1]F_ProductBM!M1695 = "", "", [1]F_ProductBM!M1695 ),"")</f>
        <v/>
      </c>
      <c r="N4401" s="363" t="str">
        <f>IFERROR(IF([1]F_ProductBM!N1695 = "", "", [1]F_ProductBM!N1695 ),"")</f>
        <v/>
      </c>
    </row>
    <row r="4402" spans="3:14">
      <c r="C4402" s="977"/>
      <c r="D4402" s="777" t="s">
        <v>1107</v>
      </c>
      <c r="E4402" s="2473" t="s">
        <v>880</v>
      </c>
      <c r="F4402" s="2474"/>
      <c r="G4402" s="812" t="s">
        <v>878</v>
      </c>
      <c r="H4402" s="95" t="str">
        <f>IFERROR(IF([1]F_ProductBM!H1696 = "", "", [1]F_ProductBM!H1696 ),"")</f>
        <v/>
      </c>
      <c r="I4402" s="113" t="str">
        <f>IFERROR(IF([1]F_ProductBM!I1696 = "", "", [1]F_ProductBM!I1696 ),"")</f>
        <v/>
      </c>
      <c r="J4402" s="114" t="str">
        <f>IFERROR(IF([1]F_ProductBM!J1696 = "", "", [1]F_ProductBM!J1696 ),"")</f>
        <v/>
      </c>
      <c r="K4402" s="95" t="str">
        <f>IFERROR(IF([1]F_ProductBM!K1696 = "", "", [1]F_ProductBM!K1696 ),"")</f>
        <v/>
      </c>
      <c r="L4402" s="95" t="str">
        <f>IFERROR(IF([1]F_ProductBM!L1696 = "", "", [1]F_ProductBM!L1696 ),"")</f>
        <v/>
      </c>
      <c r="M4402" s="95" t="str">
        <f>IFERROR(IF([1]F_ProductBM!M1696 = "", "", [1]F_ProductBM!M1696 ),"")</f>
        <v/>
      </c>
      <c r="N4402" s="115" t="str">
        <f>IFERROR(IF([1]F_ProductBM!N1696 = "", "", [1]F_ProductBM!N1696 ),"")</f>
        <v/>
      </c>
    </row>
    <row r="4403" spans="3:14">
      <c r="C4403" s="977"/>
      <c r="D4403" s="777" t="s">
        <v>1108</v>
      </c>
      <c r="E4403" s="2471" t="s">
        <v>882</v>
      </c>
      <c r="F4403" s="2472"/>
      <c r="G4403" s="995" t="s">
        <v>2015</v>
      </c>
      <c r="H4403" s="378" t="str">
        <f>IFERROR(IF([1]F_ProductBM!H1697 = "", "", [1]F_ProductBM!H1697 ),"")</f>
        <v/>
      </c>
      <c r="I4403" s="379" t="str">
        <f>IFERROR(IF([1]F_ProductBM!I1697 = "", "", [1]F_ProductBM!I1697 ),"")</f>
        <v/>
      </c>
      <c r="J4403" s="380" t="str">
        <f>IFERROR(IF([1]F_ProductBM!J1697 = "", "", [1]F_ProductBM!J1697 ),"")</f>
        <v/>
      </c>
      <c r="K4403" s="378" t="str">
        <f>IFERROR(IF([1]F_ProductBM!K1697 = "", "", [1]F_ProductBM!K1697 ),"")</f>
        <v/>
      </c>
      <c r="L4403" s="378" t="str">
        <f>IFERROR(IF([1]F_ProductBM!L1697 = "", "", [1]F_ProductBM!L1697 ),"")</f>
        <v/>
      </c>
      <c r="M4403" s="378" t="str">
        <f>IFERROR(IF([1]F_ProductBM!M1697 = "", "", [1]F_ProductBM!M1697 ),"")</f>
        <v/>
      </c>
      <c r="N4403" s="381" t="str">
        <f>IFERROR(IF([1]F_ProductBM!N1697 = "", "", [1]F_ProductBM!N1697 ),"")</f>
        <v/>
      </c>
    </row>
    <row r="4404" spans="3:14">
      <c r="C4404" s="977"/>
      <c r="D4404" s="777" t="s">
        <v>1109</v>
      </c>
      <c r="E4404" s="2670" t="s">
        <v>879</v>
      </c>
      <c r="F4404" s="2608"/>
      <c r="G4404" s="998" t="s">
        <v>2015</v>
      </c>
      <c r="H4404" s="382" t="str">
        <f>IFERROR(IF([1]F_ProductBM!H1698 = "", "", [1]F_ProductBM!H1698 ),"")</f>
        <v/>
      </c>
      <c r="I4404" s="383" t="str">
        <f>IFERROR(IF([1]F_ProductBM!I1698 = "", "", [1]F_ProductBM!I1698 ),"")</f>
        <v/>
      </c>
      <c r="J4404" s="384" t="str">
        <f>IFERROR(IF([1]F_ProductBM!J1698 = "", "", [1]F_ProductBM!J1698 ),"")</f>
        <v/>
      </c>
      <c r="K4404" s="382" t="str">
        <f>IFERROR(IF([1]F_ProductBM!K1698 = "", "", [1]F_ProductBM!K1698 ),"")</f>
        <v/>
      </c>
      <c r="L4404" s="382" t="str">
        <f>IFERROR(IF([1]F_ProductBM!L1698 = "", "", [1]F_ProductBM!L1698 ),"")</f>
        <v/>
      </c>
      <c r="M4404" s="382" t="str">
        <f>IFERROR(IF([1]F_ProductBM!M1698 = "", "", [1]F_ProductBM!M1698 ),"")</f>
        <v/>
      </c>
      <c r="N4404" s="385" t="str">
        <f>IFERROR(IF([1]F_ProductBM!N1698 = "", "", [1]F_ProductBM!N1698 ),"")</f>
        <v/>
      </c>
    </row>
    <row r="4405" spans="3:14">
      <c r="C4405" s="977"/>
      <c r="D4405" s="777" t="s">
        <v>1110</v>
      </c>
      <c r="E4405" s="2473" t="s">
        <v>41</v>
      </c>
      <c r="F4405" s="2474"/>
      <c r="G4405" s="1001" t="s">
        <v>2017</v>
      </c>
      <c r="H4405" s="86" t="str">
        <f>IFERROR(IF([1]F_ProductBM!H1699 = "", "", [1]F_ProductBM!H1699 ),"")</f>
        <v/>
      </c>
      <c r="I4405" s="340" t="str">
        <f>IFERROR(IF([1]F_ProductBM!I1699 = "", "", [1]F_ProductBM!I1699 ),"")</f>
        <v/>
      </c>
      <c r="J4405" s="341" t="str">
        <f>IFERROR(IF([1]F_ProductBM!J1699 = "", "", [1]F_ProductBM!J1699 ),"")</f>
        <v/>
      </c>
      <c r="K4405" s="86" t="str">
        <f>IFERROR(IF([1]F_ProductBM!K1699 = "", "", [1]F_ProductBM!K1699 ),"")</f>
        <v/>
      </c>
      <c r="L4405" s="86" t="str">
        <f>IFERROR(IF([1]F_ProductBM!L1699 = "", "", [1]F_ProductBM!L1699 ),"")</f>
        <v/>
      </c>
      <c r="M4405" s="86" t="str">
        <f>IFERROR(IF([1]F_ProductBM!M1699 = "", "", [1]F_ProductBM!M1699 ),"")</f>
        <v/>
      </c>
      <c r="N4405" s="342" t="str">
        <f>IFERROR(IF([1]F_ProductBM!N1699 = "", "", [1]F_ProductBM!N1699 ),"")</f>
        <v/>
      </c>
    </row>
    <row r="4406" spans="3:14">
      <c r="C4406" s="977"/>
      <c r="D4406" s="777" t="s">
        <v>1106</v>
      </c>
      <c r="E4406" s="2687" t="s">
        <v>393</v>
      </c>
      <c r="F4406" s="2688"/>
      <c r="G4406" s="1002"/>
      <c r="H4406" s="343" t="str">
        <f>IFERROR(IF([1]F_ProductBM!H1700 = "", "", [1]F_ProductBM!H1700 ),"")</f>
        <v/>
      </c>
      <c r="I4406" s="344" t="str">
        <f>IFERROR(IF([1]F_ProductBM!I1700 = "", "", [1]F_ProductBM!I1700 ),"")</f>
        <v/>
      </c>
      <c r="J4406" s="345" t="str">
        <f>IFERROR(IF([1]F_ProductBM!J1700 = "", "", [1]F_ProductBM!J1700 ),"")</f>
        <v/>
      </c>
      <c r="K4406" s="343" t="str">
        <f>IFERROR(IF([1]F_ProductBM!K1700 = "", "", [1]F_ProductBM!K1700 ),"")</f>
        <v/>
      </c>
      <c r="L4406" s="343" t="str">
        <f>IFERROR(IF([1]F_ProductBM!L1700 = "", "", [1]F_ProductBM!L1700 ),"")</f>
        <v/>
      </c>
      <c r="M4406" s="343" t="str">
        <f>IFERROR(IF([1]F_ProductBM!M1700 = "", "", [1]F_ProductBM!M1700 ),"")</f>
        <v/>
      </c>
      <c r="N4406" s="346" t="str">
        <f>IFERROR(IF([1]F_ProductBM!N1700 = "", "", [1]F_ProductBM!N1700 ),"")</f>
        <v/>
      </c>
    </row>
    <row r="4407" spans="3:14">
      <c r="C4407" s="977"/>
      <c r="D4407" s="981"/>
      <c r="E4407" s="981"/>
      <c r="F4407" s="981"/>
      <c r="G4407" s="981"/>
      <c r="H4407" s="981"/>
      <c r="I4407" s="981"/>
      <c r="J4407" s="981"/>
      <c r="K4407" s="981"/>
      <c r="L4407" s="981"/>
      <c r="M4407" s="813"/>
      <c r="N4407" s="814"/>
    </row>
    <row r="4408" spans="3:14">
      <c r="C4408" s="977"/>
      <c r="D4408" s="982" t="s">
        <v>478</v>
      </c>
      <c r="E4408" s="2649" t="s">
        <v>1457</v>
      </c>
      <c r="F4408" s="2391"/>
      <c r="G4408" s="2391"/>
      <c r="H4408" s="2391"/>
      <c r="I4408" s="2391"/>
      <c r="J4408" s="2391"/>
      <c r="K4408" s="2391"/>
      <c r="L4408" s="2391"/>
      <c r="M4408" s="2391"/>
      <c r="N4408" s="2650"/>
    </row>
    <row r="4409" spans="3:14">
      <c r="C4409" s="977"/>
      <c r="D4409" s="777"/>
      <c r="E4409" s="2676" t="s">
        <v>2295</v>
      </c>
      <c r="F4409" s="2391"/>
      <c r="G4409" s="2391"/>
      <c r="H4409" s="2391"/>
      <c r="I4409" s="2391"/>
      <c r="J4409" s="2391"/>
      <c r="K4409" s="2391"/>
      <c r="L4409" s="2391"/>
      <c r="M4409" s="2391"/>
      <c r="N4409" s="2650"/>
    </row>
    <row r="4410" spans="3:14">
      <c r="C4410" s="977"/>
      <c r="D4410" s="981"/>
      <c r="E4410" s="2669" t="s">
        <v>2300</v>
      </c>
      <c r="F4410" s="2391"/>
      <c r="G4410" s="2391"/>
      <c r="H4410" s="2391"/>
      <c r="I4410" s="2391"/>
      <c r="J4410" s="2391"/>
      <c r="K4410" s="2391"/>
      <c r="L4410" s="2391"/>
      <c r="M4410" s="2391"/>
      <c r="N4410" s="2650"/>
    </row>
    <row r="4411" spans="3:14">
      <c r="C4411" s="977"/>
      <c r="D4411" s="981"/>
      <c r="E4411" s="2669" t="s">
        <v>1365</v>
      </c>
      <c r="F4411" s="2391"/>
      <c r="G4411" s="2391"/>
      <c r="H4411" s="2391"/>
      <c r="I4411" s="2391"/>
      <c r="J4411" s="2391"/>
      <c r="K4411" s="2391"/>
      <c r="L4411" s="2391"/>
      <c r="M4411" s="2391"/>
      <c r="N4411" s="2650"/>
    </row>
    <row r="4412" spans="3:14">
      <c r="C4412" s="977"/>
      <c r="D4412" s="982"/>
      <c r="E4412" s="989"/>
      <c r="F4412" s="990"/>
      <c r="G4412" s="987" t="s">
        <v>884</v>
      </c>
      <c r="H4412" s="782">
        <v>2019</v>
      </c>
      <c r="I4412" s="988">
        <v>2020</v>
      </c>
      <c r="J4412" s="781">
        <v>2021</v>
      </c>
      <c r="K4412" s="782">
        <v>2022</v>
      </c>
      <c r="L4412" s="782">
        <v>2023</v>
      </c>
      <c r="M4412" s="782">
        <v>2024</v>
      </c>
      <c r="N4412" s="783">
        <v>2025</v>
      </c>
    </row>
    <row r="4413" spans="3:14">
      <c r="C4413" s="977"/>
      <c r="D4413" s="777"/>
      <c r="E4413" s="2475" t="s">
        <v>1156</v>
      </c>
      <c r="F4413" s="2410"/>
      <c r="G4413" s="815" t="s">
        <v>2016</v>
      </c>
      <c r="H4413" s="93" t="str">
        <f>IFERROR(IF([1]F_ProductBM!H1707 = "", "", [1]F_ProductBM!H1707 ),"")</f>
        <v/>
      </c>
      <c r="I4413" s="116" t="str">
        <f>IFERROR(IF([1]F_ProductBM!I1707 = "", "", [1]F_ProductBM!I1707 ),"")</f>
        <v/>
      </c>
      <c r="J4413" s="117" t="str">
        <f>IFERROR(IF([1]F_ProductBM!J1707 = "", "", [1]F_ProductBM!J1707 ),"")</f>
        <v/>
      </c>
      <c r="K4413" s="93" t="str">
        <f>IFERROR(IF([1]F_ProductBM!K1707 = "", "", [1]F_ProductBM!K1707 ),"")</f>
        <v/>
      </c>
      <c r="L4413" s="93" t="str">
        <f>IFERROR(IF([1]F_ProductBM!L1707 = "", "", [1]F_ProductBM!L1707 ),"")</f>
        <v/>
      </c>
      <c r="M4413" s="93" t="str">
        <f>IFERROR(IF([1]F_ProductBM!M1707 = "", "", [1]F_ProductBM!M1707 ),"")</f>
        <v/>
      </c>
      <c r="N4413" s="118" t="str">
        <f>IFERROR(IF([1]F_ProductBM!N1707 = "", "", [1]F_ProductBM!N1707 ),"")</f>
        <v/>
      </c>
    </row>
    <row r="4414" spans="3:14">
      <c r="C4414" s="977"/>
      <c r="D4414" s="981"/>
      <c r="E4414" s="981"/>
      <c r="F4414" s="981"/>
      <c r="G4414" s="981"/>
      <c r="H4414" s="981"/>
      <c r="I4414" s="981"/>
      <c r="J4414" s="981"/>
      <c r="K4414" s="981"/>
      <c r="L4414" s="981"/>
      <c r="M4414" s="813"/>
      <c r="N4414" s="814"/>
    </row>
    <row r="4415" spans="3:14">
      <c r="C4415" s="977"/>
      <c r="D4415" s="982" t="s">
        <v>479</v>
      </c>
      <c r="E4415" s="2649" t="s">
        <v>1118</v>
      </c>
      <c r="F4415" s="2391"/>
      <c r="G4415" s="2391"/>
      <c r="H4415" s="2391"/>
      <c r="I4415" s="2391"/>
      <c r="J4415" s="2391"/>
      <c r="K4415" s="2391"/>
      <c r="L4415" s="2391"/>
      <c r="M4415" s="2391"/>
      <c r="N4415" s="2650"/>
    </row>
    <row r="4416" spans="3:14">
      <c r="C4416" s="977"/>
      <c r="D4416" s="777"/>
      <c r="E4416" s="2676" t="s">
        <v>2297</v>
      </c>
      <c r="F4416" s="2391"/>
      <c r="G4416" s="2391"/>
      <c r="H4416" s="2391"/>
      <c r="I4416" s="2391"/>
      <c r="J4416" s="2391"/>
      <c r="K4416" s="2391"/>
      <c r="L4416" s="2391"/>
      <c r="M4416" s="2391"/>
      <c r="N4416" s="2650"/>
    </row>
    <row r="4417" spans="3:14">
      <c r="C4417" s="977"/>
      <c r="D4417" s="981"/>
      <c r="E4417" s="2669" t="s">
        <v>2118</v>
      </c>
      <c r="F4417" s="2391"/>
      <c r="G4417" s="2391"/>
      <c r="H4417" s="2391"/>
      <c r="I4417" s="2391"/>
      <c r="J4417" s="2391"/>
      <c r="K4417" s="2391"/>
      <c r="L4417" s="2391"/>
      <c r="M4417" s="2391"/>
      <c r="N4417" s="2650"/>
    </row>
    <row r="4418" spans="3:14">
      <c r="C4418" s="977"/>
      <c r="D4418" s="981"/>
      <c r="E4418" s="2669" t="s">
        <v>1614</v>
      </c>
      <c r="F4418" s="2391"/>
      <c r="G4418" s="2391"/>
      <c r="H4418" s="2391"/>
      <c r="I4418" s="2391"/>
      <c r="J4418" s="2391"/>
      <c r="K4418" s="2391"/>
      <c r="L4418" s="2391"/>
      <c r="M4418" s="2391"/>
      <c r="N4418" s="2650"/>
    </row>
    <row r="4419" spans="3:14">
      <c r="C4419" s="977"/>
      <c r="D4419" s="981"/>
      <c r="E4419" s="2669" t="s">
        <v>1593</v>
      </c>
      <c r="F4419" s="2391"/>
      <c r="G4419" s="2391"/>
      <c r="H4419" s="2391"/>
      <c r="I4419" s="2391"/>
      <c r="J4419" s="2391"/>
      <c r="K4419" s="2391"/>
      <c r="L4419" s="2391"/>
      <c r="M4419" s="2391"/>
      <c r="N4419" s="2650"/>
    </row>
    <row r="4420" spans="3:14">
      <c r="C4420" s="977"/>
      <c r="D4420" s="981"/>
      <c r="E4420" s="2697" t="s">
        <v>1555</v>
      </c>
      <c r="F4420" s="2698"/>
      <c r="G4420" s="2698"/>
      <c r="H4420" s="2698"/>
      <c r="I4420" s="2698"/>
      <c r="J4420" s="2698"/>
      <c r="K4420" s="2698"/>
      <c r="L4420" s="2698"/>
      <c r="M4420" s="2698"/>
      <c r="N4420" s="2694"/>
    </row>
    <row r="4421" spans="3:14">
      <c r="C4421" s="977"/>
      <c r="D4421" s="981"/>
      <c r="E4421" s="2648" t="s">
        <v>1151</v>
      </c>
      <c r="F4421" s="2493"/>
      <c r="G4421" s="987" t="s">
        <v>884</v>
      </c>
      <c r="H4421" s="782">
        <v>2019</v>
      </c>
      <c r="I4421" s="988">
        <v>2020</v>
      </c>
      <c r="J4421" s="781">
        <v>2021</v>
      </c>
      <c r="K4421" s="782">
        <v>2022</v>
      </c>
      <c r="L4421" s="782">
        <v>2023</v>
      </c>
      <c r="M4421" s="782">
        <v>2024</v>
      </c>
      <c r="N4421" s="783">
        <v>2025</v>
      </c>
    </row>
    <row r="4422" spans="3:14">
      <c r="C4422" s="977"/>
      <c r="D4422" s="777" t="s">
        <v>6</v>
      </c>
      <c r="E4422" s="2475" t="s">
        <v>1087</v>
      </c>
      <c r="F4422" s="2410"/>
      <c r="G4422" s="815" t="s">
        <v>2017</v>
      </c>
      <c r="H4422" s="93" t="str">
        <f>IFERROR(IF([1]F_ProductBM!H1716 = "", "", [1]F_ProductBM!H1716 ),"")</f>
        <v/>
      </c>
      <c r="I4422" s="116" t="str">
        <f>IFERROR(IF([1]F_ProductBM!I1716 = "", "", [1]F_ProductBM!I1716 ),"")</f>
        <v/>
      </c>
      <c r="J4422" s="117" t="str">
        <f>IFERROR(IF([1]F_ProductBM!J1716 = "", "", [1]F_ProductBM!J1716 ),"")</f>
        <v/>
      </c>
      <c r="K4422" s="93" t="str">
        <f>IFERROR(IF([1]F_ProductBM!K1716 = "", "", [1]F_ProductBM!K1716 ),"")</f>
        <v/>
      </c>
      <c r="L4422" s="93" t="str">
        <f>IFERROR(IF([1]F_ProductBM!L1716 = "", "", [1]F_ProductBM!L1716 ),"")</f>
        <v/>
      </c>
      <c r="M4422" s="93" t="str">
        <f>IFERROR(IF([1]F_ProductBM!M1716 = "", "", [1]F_ProductBM!M1716 ),"")</f>
        <v/>
      </c>
      <c r="N4422" s="118" t="str">
        <f>IFERROR(IF([1]F_ProductBM!N1716 = "", "", [1]F_ProductBM!N1716 ),"")</f>
        <v/>
      </c>
    </row>
    <row r="4423" spans="3:14">
      <c r="C4423" s="977"/>
      <c r="D4423" s="777" t="s">
        <v>7</v>
      </c>
      <c r="E4423" s="2475" t="s">
        <v>1103</v>
      </c>
      <c r="F4423" s="2410"/>
      <c r="G4423" s="815" t="s">
        <v>2018</v>
      </c>
      <c r="H4423" s="93" t="str">
        <f>IFERROR(IF([1]F_ProductBM!H1717 = "", "", [1]F_ProductBM!H1717 ),"")</f>
        <v/>
      </c>
      <c r="I4423" s="116" t="str">
        <f>IFERROR(IF([1]F_ProductBM!I1717 = "", "", [1]F_ProductBM!I1717 ),"")</f>
        <v/>
      </c>
      <c r="J4423" s="117" t="str">
        <f>IFERROR(IF([1]F_ProductBM!J1717 = "", "", [1]F_ProductBM!J1717 ),"")</f>
        <v/>
      </c>
      <c r="K4423" s="93" t="str">
        <f>IFERROR(IF([1]F_ProductBM!K1717 = "", "", [1]F_ProductBM!K1717 ),"")</f>
        <v/>
      </c>
      <c r="L4423" s="93" t="str">
        <f>IFERROR(IF([1]F_ProductBM!L1717 = "", "", [1]F_ProductBM!L1717 ),"")</f>
        <v/>
      </c>
      <c r="M4423" s="93" t="str">
        <f>IFERROR(IF([1]F_ProductBM!M1717 = "", "", [1]F_ProductBM!M1717 ),"")</f>
        <v/>
      </c>
      <c r="N4423" s="118" t="str">
        <f>IFERROR(IF([1]F_ProductBM!N1717 = "", "", [1]F_ProductBM!N1717 ),"")</f>
        <v/>
      </c>
    </row>
    <row r="4424" spans="3:14">
      <c r="C4424" s="977"/>
      <c r="D4424" s="981"/>
      <c r="E4424" s="981"/>
      <c r="F4424" s="981"/>
      <c r="G4424" s="981"/>
      <c r="H4424" s="981"/>
      <c r="I4424" s="981"/>
      <c r="J4424" s="981"/>
      <c r="K4424" s="981"/>
      <c r="L4424" s="981"/>
      <c r="M4424" s="981"/>
      <c r="N4424" s="814"/>
    </row>
    <row r="4425" spans="3:14">
      <c r="C4425" s="977"/>
      <c r="D4425" s="981"/>
      <c r="E4425" s="2648" t="s">
        <v>1406</v>
      </c>
      <c r="F4425" s="2493"/>
      <c r="G4425" s="987" t="s">
        <v>884</v>
      </c>
      <c r="H4425" s="782">
        <v>2019</v>
      </c>
      <c r="I4425" s="988">
        <v>2020</v>
      </c>
      <c r="J4425" s="781">
        <v>2021</v>
      </c>
      <c r="K4425" s="782">
        <v>2022</v>
      </c>
      <c r="L4425" s="782">
        <v>2023</v>
      </c>
      <c r="M4425" s="782">
        <v>2024</v>
      </c>
      <c r="N4425" s="783">
        <v>2025</v>
      </c>
    </row>
    <row r="4426" spans="3:14">
      <c r="C4426" s="977"/>
      <c r="D4426" s="777" t="s">
        <v>8</v>
      </c>
      <c r="E4426" s="2475" t="s">
        <v>1556</v>
      </c>
      <c r="F4426" s="2410"/>
      <c r="G4426" s="815" t="s">
        <v>2017</v>
      </c>
      <c r="H4426" s="351" t="str">
        <f>IFERROR(IF([1]F_ProductBM!H1720 = "", "", [1]F_ProductBM!H1720 ),"")</f>
        <v/>
      </c>
      <c r="I4426" s="352" t="str">
        <f>IFERROR(IF([1]F_ProductBM!I1720 = "", "", [1]F_ProductBM!I1720 ),"")</f>
        <v/>
      </c>
      <c r="J4426" s="353" t="str">
        <f>IFERROR(IF([1]F_ProductBM!J1720 = "", "", [1]F_ProductBM!J1720 ),"")</f>
        <v/>
      </c>
      <c r="K4426" s="351" t="str">
        <f>IFERROR(IF([1]F_ProductBM!K1720 = "", "", [1]F_ProductBM!K1720 ),"")</f>
        <v/>
      </c>
      <c r="L4426" s="351" t="str">
        <f>IFERROR(IF([1]F_ProductBM!L1720 = "", "", [1]F_ProductBM!L1720 ),"")</f>
        <v/>
      </c>
      <c r="M4426" s="351" t="str">
        <f>IFERROR(IF([1]F_ProductBM!M1720 = "", "", [1]F_ProductBM!M1720 ),"")</f>
        <v/>
      </c>
      <c r="N4426" s="354" t="str">
        <f>IFERROR(IF([1]F_ProductBM!N1720 = "", "", [1]F_ProductBM!N1720 ),"")</f>
        <v/>
      </c>
    </row>
    <row r="4427" spans="3:14">
      <c r="C4427" s="977"/>
      <c r="D4427" s="777" t="s">
        <v>18</v>
      </c>
      <c r="E4427" s="2475" t="s">
        <v>1149</v>
      </c>
      <c r="F4427" s="2410"/>
      <c r="G4427" s="815" t="s">
        <v>2017</v>
      </c>
      <c r="H4427" s="93" t="str">
        <f>IFERROR(IF([1]F_ProductBM!H1721 = "", "", [1]F_ProductBM!H1721 ),"")</f>
        <v/>
      </c>
      <c r="I4427" s="116" t="str">
        <f>IFERROR(IF([1]F_ProductBM!I1721 = "", "", [1]F_ProductBM!I1721 ),"")</f>
        <v/>
      </c>
      <c r="J4427" s="117" t="str">
        <f>IFERROR(IF([1]F_ProductBM!J1721 = "", "", [1]F_ProductBM!J1721 ),"")</f>
        <v/>
      </c>
      <c r="K4427" s="93" t="str">
        <f>IFERROR(IF([1]F_ProductBM!K1721 = "", "", [1]F_ProductBM!K1721 ),"")</f>
        <v/>
      </c>
      <c r="L4427" s="93" t="str">
        <f>IFERROR(IF([1]F_ProductBM!L1721 = "", "", [1]F_ProductBM!L1721 ),"")</f>
        <v/>
      </c>
      <c r="M4427" s="93" t="str">
        <f>IFERROR(IF([1]F_ProductBM!M1721 = "", "", [1]F_ProductBM!M1721 ),"")</f>
        <v/>
      </c>
      <c r="N4427" s="118" t="str">
        <f>IFERROR(IF([1]F_ProductBM!N1721 = "", "", [1]F_ProductBM!N1721 ),"")</f>
        <v/>
      </c>
    </row>
    <row r="4428" spans="3:14">
      <c r="C4428" s="977"/>
      <c r="D4428" s="981"/>
      <c r="E4428" s="981"/>
      <c r="F4428" s="981"/>
      <c r="G4428" s="981"/>
      <c r="H4428" s="981"/>
      <c r="I4428" s="981"/>
      <c r="J4428" s="981"/>
      <c r="K4428" s="981"/>
      <c r="L4428" s="981"/>
      <c r="M4428" s="981"/>
      <c r="N4428" s="814"/>
    </row>
    <row r="4429" spans="3:14">
      <c r="C4429" s="977"/>
      <c r="D4429" s="981"/>
      <c r="E4429" s="2648" t="s">
        <v>1152</v>
      </c>
      <c r="F4429" s="2493"/>
      <c r="G4429" s="987" t="s">
        <v>884</v>
      </c>
      <c r="H4429" s="782">
        <v>2019</v>
      </c>
      <c r="I4429" s="988">
        <v>2020</v>
      </c>
      <c r="J4429" s="781">
        <v>2021</v>
      </c>
      <c r="K4429" s="782">
        <v>2022</v>
      </c>
      <c r="L4429" s="782">
        <v>2023</v>
      </c>
      <c r="M4429" s="782">
        <v>2024</v>
      </c>
      <c r="N4429" s="783">
        <v>2025</v>
      </c>
    </row>
    <row r="4430" spans="3:14">
      <c r="C4430" s="977"/>
      <c r="D4430" s="777" t="s">
        <v>787</v>
      </c>
      <c r="E4430" s="2475" t="s">
        <v>1079</v>
      </c>
      <c r="F4430" s="2410"/>
      <c r="G4430" s="815" t="s">
        <v>2017</v>
      </c>
      <c r="H4430" s="93" t="str">
        <f>IFERROR(IF([1]F_ProductBM!H1724 = "", "", [1]F_ProductBM!H1724 ),"")</f>
        <v/>
      </c>
      <c r="I4430" s="116" t="str">
        <f>IFERROR(IF([1]F_ProductBM!I1724 = "", "", [1]F_ProductBM!I1724 ),"")</f>
        <v/>
      </c>
      <c r="J4430" s="117" t="str">
        <f>IFERROR(IF([1]F_ProductBM!J1724 = "", "", [1]F_ProductBM!J1724 ),"")</f>
        <v/>
      </c>
      <c r="K4430" s="93" t="str">
        <f>IFERROR(IF([1]F_ProductBM!K1724 = "", "", [1]F_ProductBM!K1724 ),"")</f>
        <v/>
      </c>
      <c r="L4430" s="93" t="str">
        <f>IFERROR(IF([1]F_ProductBM!L1724 = "", "", [1]F_ProductBM!L1724 ),"")</f>
        <v/>
      </c>
      <c r="M4430" s="93" t="str">
        <f>IFERROR(IF([1]F_ProductBM!M1724 = "", "", [1]F_ProductBM!M1724 ),"")</f>
        <v/>
      </c>
      <c r="N4430" s="118" t="str">
        <f>IFERROR(IF([1]F_ProductBM!N1724 = "", "", [1]F_ProductBM!N1724 ),"")</f>
        <v/>
      </c>
    </row>
    <row r="4431" spans="3:14">
      <c r="C4431" s="977"/>
      <c r="D4431" s="777" t="s">
        <v>788</v>
      </c>
      <c r="E4431" s="2475" t="s">
        <v>1104</v>
      </c>
      <c r="F4431" s="2410"/>
      <c r="G4431" s="815" t="s">
        <v>2018</v>
      </c>
      <c r="H4431" s="93" t="str">
        <f>IFERROR(IF([1]F_ProductBM!H1725 = "", "", [1]F_ProductBM!H1725 ),"")</f>
        <v/>
      </c>
      <c r="I4431" s="116" t="str">
        <f>IFERROR(IF([1]F_ProductBM!I1725 = "", "", [1]F_ProductBM!I1725 ),"")</f>
        <v/>
      </c>
      <c r="J4431" s="117" t="str">
        <f>IFERROR(IF([1]F_ProductBM!J1725 = "", "", [1]F_ProductBM!J1725 ),"")</f>
        <v/>
      </c>
      <c r="K4431" s="93" t="str">
        <f>IFERROR(IF([1]F_ProductBM!K1725 = "", "", [1]F_ProductBM!K1725 ),"")</f>
        <v/>
      </c>
      <c r="L4431" s="93" t="str">
        <f>IFERROR(IF([1]F_ProductBM!L1725 = "", "", [1]F_ProductBM!L1725 ),"")</f>
        <v/>
      </c>
      <c r="M4431" s="93" t="str">
        <f>IFERROR(IF([1]F_ProductBM!M1725 = "", "", [1]F_ProductBM!M1725 ),"")</f>
        <v/>
      </c>
      <c r="N4431" s="118" t="str">
        <f>IFERROR(IF([1]F_ProductBM!N1725 = "", "", [1]F_ProductBM!N1725 ),"")</f>
        <v/>
      </c>
    </row>
    <row r="4432" spans="3:14">
      <c r="C4432" s="977"/>
      <c r="D4432" s="981"/>
      <c r="E4432" s="981"/>
      <c r="F4432" s="981"/>
      <c r="G4432" s="981"/>
      <c r="H4432" s="981"/>
      <c r="I4432" s="981"/>
      <c r="J4432" s="981"/>
      <c r="K4432" s="981"/>
      <c r="L4432" s="981"/>
      <c r="M4432" s="813"/>
      <c r="N4432" s="814"/>
    </row>
    <row r="4433" spans="3:14">
      <c r="C4433" s="977"/>
      <c r="D4433" s="982" t="s">
        <v>481</v>
      </c>
      <c r="E4433" s="2649" t="s">
        <v>1312</v>
      </c>
      <c r="F4433" s="2391"/>
      <c r="G4433" s="2391"/>
      <c r="H4433" s="2391"/>
      <c r="I4433" s="2391"/>
      <c r="J4433" s="2391"/>
      <c r="K4433" s="2391"/>
      <c r="L4433" s="2391"/>
      <c r="M4433" s="2391"/>
      <c r="N4433" s="2650"/>
    </row>
    <row r="4434" spans="3:14">
      <c r="C4434" s="977"/>
      <c r="D4434" s="981"/>
      <c r="E4434" s="986"/>
      <c r="F4434" s="986"/>
      <c r="G4434" s="986"/>
      <c r="H4434" s="986"/>
      <c r="I4434" s="986"/>
      <c r="J4434" s="986"/>
      <c r="K4434" s="986"/>
      <c r="L4434" s="986"/>
      <c r="M4434" s="986"/>
      <c r="N4434" s="1007"/>
    </row>
    <row r="4435" spans="3:14">
      <c r="C4435" s="977"/>
      <c r="D4435" s="777" t="s">
        <v>6</v>
      </c>
      <c r="E4435" s="2649" t="s">
        <v>1313</v>
      </c>
      <c r="F4435" s="2391"/>
      <c r="G4435" s="2391"/>
      <c r="H4435" s="2391"/>
      <c r="I4435" s="2391"/>
      <c r="J4435" s="2391"/>
      <c r="K4435" s="2512"/>
      <c r="L4435" s="120" t="str">
        <f>IFERROR(IF([1]F_ProductBM!L1729 = "", "", [1]F_ProductBM!L1729 ),"")</f>
        <v/>
      </c>
      <c r="M4435" s="978"/>
      <c r="N4435" s="979"/>
    </row>
    <row r="4436" spans="3:14">
      <c r="C4436" s="977"/>
      <c r="D4436" s="981"/>
      <c r="E4436" s="2669" t="s">
        <v>1314</v>
      </c>
      <c r="F4436" s="2391"/>
      <c r="G4436" s="2391"/>
      <c r="H4436" s="2391"/>
      <c r="I4436" s="2391"/>
      <c r="J4436" s="2391"/>
      <c r="K4436" s="2391"/>
      <c r="L4436" s="2391"/>
      <c r="M4436" s="2391"/>
      <c r="N4436" s="2650"/>
    </row>
    <row r="4437" spans="3:14">
      <c r="C4437" s="977"/>
      <c r="D4437" s="777" t="s">
        <v>7</v>
      </c>
      <c r="E4437" s="2649" t="s">
        <v>1219</v>
      </c>
      <c r="F4437" s="2391"/>
      <c r="G4437" s="2391"/>
      <c r="H4437" s="2512"/>
      <c r="I4437" s="2683" t="str">
        <f>IFERROR(IF([1]F_ProductBM!I1731 = "", "", [1]F_ProductBM!I1731 ),"")</f>
        <v/>
      </c>
      <c r="J4437" s="2488"/>
      <c r="K4437" s="2488"/>
      <c r="L4437" s="2488"/>
      <c r="M4437" s="2686"/>
      <c r="N4437" s="979"/>
    </row>
    <row r="4438" spans="3:14">
      <c r="C4438" s="977"/>
      <c r="D4438" s="981"/>
      <c r="E4438" s="2669" t="s">
        <v>1316</v>
      </c>
      <c r="F4438" s="2391"/>
      <c r="G4438" s="2391"/>
      <c r="H4438" s="2391"/>
      <c r="I4438" s="2391"/>
      <c r="J4438" s="2391"/>
      <c r="K4438" s="2391"/>
      <c r="L4438" s="2391"/>
      <c r="M4438" s="2391"/>
      <c r="N4438" s="2650"/>
    </row>
    <row r="4439" spans="3:14">
      <c r="C4439" s="977"/>
      <c r="D4439" s="981"/>
      <c r="E4439" s="2676" t="s">
        <v>1557</v>
      </c>
      <c r="F4439" s="2391"/>
      <c r="G4439" s="2391"/>
      <c r="H4439" s="2391"/>
      <c r="I4439" s="2391"/>
      <c r="J4439" s="2391"/>
      <c r="K4439" s="2391"/>
      <c r="L4439" s="2391"/>
      <c r="M4439" s="2391"/>
      <c r="N4439" s="2650"/>
    </row>
    <row r="4440" spans="3:14">
      <c r="C4440" s="977"/>
      <c r="D4440" s="981"/>
      <c r="E4440" s="989"/>
      <c r="F4440" s="990"/>
      <c r="G4440" s="987" t="s">
        <v>884</v>
      </c>
      <c r="H4440" s="782">
        <v>2019</v>
      </c>
      <c r="I4440" s="988">
        <v>2020</v>
      </c>
      <c r="J4440" s="781">
        <v>2021</v>
      </c>
      <c r="K4440" s="782">
        <v>2022</v>
      </c>
      <c r="L4440" s="782">
        <v>2023</v>
      </c>
      <c r="M4440" s="782">
        <v>2024</v>
      </c>
      <c r="N4440" s="783">
        <v>2025</v>
      </c>
    </row>
    <row r="4441" spans="3:14">
      <c r="C4441" s="977"/>
      <c r="D4441" s="777" t="s">
        <v>8</v>
      </c>
      <c r="E4441" s="2471" t="s">
        <v>1305</v>
      </c>
      <c r="F4441" s="2472"/>
      <c r="G4441" s="67" t="str">
        <f>IFERROR(IF([1]F_ProductBM!G1735 = "", "", [1]F_ProductBM!G1735 ),"")</f>
        <v/>
      </c>
      <c r="H4441" s="94" t="str">
        <f>IFERROR(IF([1]F_ProductBM!H1735 = "", "", [1]F_ProductBM!H1735 ),"")</f>
        <v/>
      </c>
      <c r="I4441" s="110" t="str">
        <f>IFERROR(IF([1]F_ProductBM!I1735 = "", "", [1]F_ProductBM!I1735 ),"")</f>
        <v/>
      </c>
      <c r="J4441" s="111" t="str">
        <f>IFERROR(IF([1]F_ProductBM!J1735 = "", "", [1]F_ProductBM!J1735 ),"")</f>
        <v/>
      </c>
      <c r="K4441" s="94" t="str">
        <f>IFERROR(IF([1]F_ProductBM!K1735 = "", "", [1]F_ProductBM!K1735 ),"")</f>
        <v/>
      </c>
      <c r="L4441" s="94" t="str">
        <f>IFERROR(IF([1]F_ProductBM!L1735 = "", "", [1]F_ProductBM!L1735 ),"")</f>
        <v/>
      </c>
      <c r="M4441" s="94" t="str">
        <f>IFERROR(IF([1]F_ProductBM!M1735 = "", "", [1]F_ProductBM!M1735 ),"")</f>
        <v/>
      </c>
      <c r="N4441" s="112" t="str">
        <f>IFERROR(IF([1]F_ProductBM!N1735 = "", "", [1]F_ProductBM!N1735 ),"")</f>
        <v/>
      </c>
    </row>
    <row r="4442" spans="3:14">
      <c r="C4442" s="977"/>
      <c r="D4442" s="777" t="s">
        <v>18</v>
      </c>
      <c r="E4442" s="2473" t="s">
        <v>661</v>
      </c>
      <c r="F4442" s="2474"/>
      <c r="G4442" s="350" t="str">
        <f>IFERROR(IF([1]F_ProductBM!G1736 = "", "", [1]F_ProductBM!G1736 ),"")</f>
        <v>GJ / Unit</v>
      </c>
      <c r="H4442" s="95" t="str">
        <f>IFERROR(IF([1]F_ProductBM!H1736 = "", "", [1]F_ProductBM!H1736 ),"")</f>
        <v/>
      </c>
      <c r="I4442" s="113" t="str">
        <f>IFERROR(IF([1]F_ProductBM!I1736 = "", "", [1]F_ProductBM!I1736 ),"")</f>
        <v/>
      </c>
      <c r="J4442" s="114" t="str">
        <f>IFERROR(IF([1]F_ProductBM!J1736 = "", "", [1]F_ProductBM!J1736 ),"")</f>
        <v/>
      </c>
      <c r="K4442" s="95" t="str">
        <f>IFERROR(IF([1]F_ProductBM!K1736 = "", "", [1]F_ProductBM!K1736 ),"")</f>
        <v/>
      </c>
      <c r="L4442" s="95" t="str">
        <f>IFERROR(IF([1]F_ProductBM!L1736 = "", "", [1]F_ProductBM!L1736 ),"")</f>
        <v/>
      </c>
      <c r="M4442" s="95" t="str">
        <f>IFERROR(IF([1]F_ProductBM!M1736 = "", "", [1]F_ProductBM!M1736 ),"")</f>
        <v/>
      </c>
      <c r="N4442" s="115" t="str">
        <f>IFERROR(IF([1]F_ProductBM!N1736 = "", "", [1]F_ProductBM!N1736 ),"")</f>
        <v/>
      </c>
    </row>
    <row r="4443" spans="3:14">
      <c r="C4443" s="977"/>
      <c r="D4443" s="777" t="s">
        <v>787</v>
      </c>
      <c r="E4443" s="2475" t="s">
        <v>1141</v>
      </c>
      <c r="F4443" s="2410"/>
      <c r="G4443" s="815" t="s">
        <v>2017</v>
      </c>
      <c r="H4443" s="351" t="str">
        <f>IFERROR(IF([1]F_ProductBM!H1737 = "", "", [1]F_ProductBM!H1737 ),"")</f>
        <v/>
      </c>
      <c r="I4443" s="352" t="str">
        <f>IFERROR(IF([1]F_ProductBM!I1737 = "", "", [1]F_ProductBM!I1737 ),"")</f>
        <v/>
      </c>
      <c r="J4443" s="353" t="str">
        <f>IFERROR(IF([1]F_ProductBM!J1737 = "", "", [1]F_ProductBM!J1737 ),"")</f>
        <v/>
      </c>
      <c r="K4443" s="351" t="str">
        <f>IFERROR(IF([1]F_ProductBM!K1737 = "", "", [1]F_ProductBM!K1737 ),"")</f>
        <v/>
      </c>
      <c r="L4443" s="351" t="str">
        <f>IFERROR(IF([1]F_ProductBM!L1737 = "", "", [1]F_ProductBM!L1737 ),"")</f>
        <v/>
      </c>
      <c r="M4443" s="351" t="str">
        <f>IFERROR(IF([1]F_ProductBM!M1737 = "", "", [1]F_ProductBM!M1737 ),"")</f>
        <v/>
      </c>
      <c r="N4443" s="354" t="str">
        <f>IFERROR(IF([1]F_ProductBM!N1737 = "", "", [1]F_ProductBM!N1737 ),"")</f>
        <v/>
      </c>
    </row>
    <row r="4444" spans="3:14">
      <c r="C4444" s="977"/>
      <c r="D4444" s="777" t="s">
        <v>788</v>
      </c>
      <c r="E4444" s="2475" t="s">
        <v>1258</v>
      </c>
      <c r="F4444" s="2410"/>
      <c r="G4444" s="815" t="s">
        <v>2018</v>
      </c>
      <c r="H4444" s="93" t="str">
        <f>IFERROR(IF([1]F_ProductBM!H1738 = "", "", [1]F_ProductBM!H1738 ),"")</f>
        <v/>
      </c>
      <c r="I4444" s="116" t="str">
        <f>IFERROR(IF([1]F_ProductBM!I1738 = "", "", [1]F_ProductBM!I1738 ),"")</f>
        <v/>
      </c>
      <c r="J4444" s="117" t="str">
        <f>IFERROR(IF([1]F_ProductBM!J1738 = "", "", [1]F_ProductBM!J1738 ),"")</f>
        <v/>
      </c>
      <c r="K4444" s="93" t="str">
        <f>IFERROR(IF([1]F_ProductBM!K1738 = "", "", [1]F_ProductBM!K1738 ),"")</f>
        <v/>
      </c>
      <c r="L4444" s="93" t="str">
        <f>IFERROR(IF([1]F_ProductBM!L1738 = "", "", [1]F_ProductBM!L1738 ),"")</f>
        <v/>
      </c>
      <c r="M4444" s="93" t="str">
        <f>IFERROR(IF([1]F_ProductBM!M1738 = "", "", [1]F_ProductBM!M1738 ),"")</f>
        <v/>
      </c>
      <c r="N4444" s="118" t="str">
        <f>IFERROR(IF([1]F_ProductBM!N1738 = "", "", [1]F_ProductBM!N1738 ),"")</f>
        <v/>
      </c>
    </row>
    <row r="4445" spans="3:14">
      <c r="C4445" s="977"/>
      <c r="D4445" s="981"/>
      <c r="E4445" s="981"/>
      <c r="F4445" s="981"/>
      <c r="G4445" s="981"/>
      <c r="H4445" s="983"/>
      <c r="I4445" s="981"/>
      <c r="J4445" s="981"/>
      <c r="K4445" s="981"/>
      <c r="L4445" s="981"/>
      <c r="M4445" s="813"/>
      <c r="N4445" s="814"/>
    </row>
    <row r="4446" spans="3:14">
      <c r="C4446" s="977"/>
      <c r="D4446" s="777" t="s">
        <v>789</v>
      </c>
      <c r="E4446" s="2649" t="s">
        <v>1301</v>
      </c>
      <c r="F4446" s="2391"/>
      <c r="G4446" s="2391"/>
      <c r="H4446" s="2512"/>
      <c r="I4446" s="2683" t="str">
        <f>IFERROR(IF([1]F_ProductBM!I1740 = "", "", [1]F_ProductBM!I1740 ),"")</f>
        <v/>
      </c>
      <c r="J4446" s="2488"/>
      <c r="K4446" s="2488"/>
      <c r="L4446" s="2488"/>
      <c r="M4446" s="2686"/>
      <c r="N4446" s="979"/>
    </row>
    <row r="4447" spans="3:14">
      <c r="C4447" s="977"/>
      <c r="D4447" s="777"/>
      <c r="E4447" s="2669" t="s">
        <v>1606</v>
      </c>
      <c r="F4447" s="2391"/>
      <c r="G4447" s="2391"/>
      <c r="H4447" s="2391"/>
      <c r="I4447" s="2391"/>
      <c r="J4447" s="2391"/>
      <c r="K4447" s="2391"/>
      <c r="L4447" s="2391"/>
      <c r="M4447" s="2391"/>
      <c r="N4447" s="2650"/>
    </row>
    <row r="4448" spans="3:14">
      <c r="C4448" s="977"/>
      <c r="D4448" s="981"/>
      <c r="E4448" s="2676" t="s">
        <v>1557</v>
      </c>
      <c r="F4448" s="2391"/>
      <c r="G4448" s="2391"/>
      <c r="H4448" s="2391"/>
      <c r="I4448" s="2391"/>
      <c r="J4448" s="2391"/>
      <c r="K4448" s="2391"/>
      <c r="L4448" s="2391"/>
      <c r="M4448" s="2391"/>
      <c r="N4448" s="2650"/>
    </row>
    <row r="4449" spans="3:14">
      <c r="C4449" s="977"/>
      <c r="D4449" s="981"/>
      <c r="E4449" s="989"/>
      <c r="F4449" s="990"/>
      <c r="G4449" s="987" t="s">
        <v>884</v>
      </c>
      <c r="H4449" s="782">
        <v>2019</v>
      </c>
      <c r="I4449" s="988">
        <v>2020</v>
      </c>
      <c r="J4449" s="781">
        <v>2021</v>
      </c>
      <c r="K4449" s="782">
        <v>2022</v>
      </c>
      <c r="L4449" s="782">
        <v>2023</v>
      </c>
      <c r="M4449" s="782">
        <v>2024</v>
      </c>
      <c r="N4449" s="783">
        <v>2025</v>
      </c>
    </row>
    <row r="4450" spans="3:14">
      <c r="C4450" s="977"/>
      <c r="D4450" s="777" t="s">
        <v>790</v>
      </c>
      <c r="E4450" s="2471" t="s">
        <v>1306</v>
      </c>
      <c r="F4450" s="2472"/>
      <c r="G4450" s="67" t="str">
        <f>IFERROR(IF([1]F_ProductBM!G1744 = "", "", [1]F_ProductBM!G1744 ),"")</f>
        <v/>
      </c>
      <c r="H4450" s="94" t="str">
        <f>IFERROR(IF([1]F_ProductBM!H1744 = "", "", [1]F_ProductBM!H1744 ),"")</f>
        <v/>
      </c>
      <c r="I4450" s="110" t="str">
        <f>IFERROR(IF([1]F_ProductBM!I1744 = "", "", [1]F_ProductBM!I1744 ),"")</f>
        <v/>
      </c>
      <c r="J4450" s="111" t="str">
        <f>IFERROR(IF([1]F_ProductBM!J1744 = "", "", [1]F_ProductBM!J1744 ),"")</f>
        <v/>
      </c>
      <c r="K4450" s="94" t="str">
        <f>IFERROR(IF([1]F_ProductBM!K1744 = "", "", [1]F_ProductBM!K1744 ),"")</f>
        <v/>
      </c>
      <c r="L4450" s="94" t="str">
        <f>IFERROR(IF([1]F_ProductBM!L1744 = "", "", [1]F_ProductBM!L1744 ),"")</f>
        <v/>
      </c>
      <c r="M4450" s="94" t="str">
        <f>IFERROR(IF([1]F_ProductBM!M1744 = "", "", [1]F_ProductBM!M1744 ),"")</f>
        <v/>
      </c>
      <c r="N4450" s="112" t="str">
        <f>IFERROR(IF([1]F_ProductBM!N1744 = "", "", [1]F_ProductBM!N1744 ),"")</f>
        <v/>
      </c>
    </row>
    <row r="4451" spans="3:14">
      <c r="C4451" s="977"/>
      <c r="D4451" s="777" t="s">
        <v>791</v>
      </c>
      <c r="E4451" s="2473" t="s">
        <v>661</v>
      </c>
      <c r="F4451" s="2474"/>
      <c r="G4451" s="350" t="str">
        <f>IFERROR(IF([1]F_ProductBM!G1745 = "", "", [1]F_ProductBM!G1745 ),"")</f>
        <v>GJ / Unit</v>
      </c>
      <c r="H4451" s="95" t="str">
        <f>IFERROR(IF([1]F_ProductBM!H1745 = "", "", [1]F_ProductBM!H1745 ),"")</f>
        <v/>
      </c>
      <c r="I4451" s="113" t="str">
        <f>IFERROR(IF([1]F_ProductBM!I1745 = "", "", [1]F_ProductBM!I1745 ),"")</f>
        <v/>
      </c>
      <c r="J4451" s="114" t="str">
        <f>IFERROR(IF([1]F_ProductBM!J1745 = "", "", [1]F_ProductBM!J1745 ),"")</f>
        <v/>
      </c>
      <c r="K4451" s="95" t="str">
        <f>IFERROR(IF([1]F_ProductBM!K1745 = "", "", [1]F_ProductBM!K1745 ),"")</f>
        <v/>
      </c>
      <c r="L4451" s="95" t="str">
        <f>IFERROR(IF([1]F_ProductBM!L1745 = "", "", [1]F_ProductBM!L1745 ),"")</f>
        <v/>
      </c>
      <c r="M4451" s="95" t="str">
        <f>IFERROR(IF([1]F_ProductBM!M1745 = "", "", [1]F_ProductBM!M1745 ),"")</f>
        <v/>
      </c>
      <c r="N4451" s="115" t="str">
        <f>IFERROR(IF([1]F_ProductBM!N1745 = "", "", [1]F_ProductBM!N1745 ),"")</f>
        <v/>
      </c>
    </row>
    <row r="4452" spans="3:14">
      <c r="C4452" s="977"/>
      <c r="D4452" s="777" t="s">
        <v>64</v>
      </c>
      <c r="E4452" s="2475" t="s">
        <v>1309</v>
      </c>
      <c r="F4452" s="2410"/>
      <c r="G4452" s="815" t="s">
        <v>2017</v>
      </c>
      <c r="H4452" s="351" t="str">
        <f>IFERROR(IF([1]F_ProductBM!H1746 = "", "", [1]F_ProductBM!H1746 ),"")</f>
        <v/>
      </c>
      <c r="I4452" s="352" t="str">
        <f>IFERROR(IF([1]F_ProductBM!I1746 = "", "", [1]F_ProductBM!I1746 ),"")</f>
        <v/>
      </c>
      <c r="J4452" s="353" t="str">
        <f>IFERROR(IF([1]F_ProductBM!J1746 = "", "", [1]F_ProductBM!J1746 ),"")</f>
        <v/>
      </c>
      <c r="K4452" s="351" t="str">
        <f>IFERROR(IF([1]F_ProductBM!K1746 = "", "", [1]F_ProductBM!K1746 ),"")</f>
        <v/>
      </c>
      <c r="L4452" s="351" t="str">
        <f>IFERROR(IF([1]F_ProductBM!L1746 = "", "", [1]F_ProductBM!L1746 ),"")</f>
        <v/>
      </c>
      <c r="M4452" s="351" t="str">
        <f>IFERROR(IF([1]F_ProductBM!M1746 = "", "", [1]F_ProductBM!M1746 ),"")</f>
        <v/>
      </c>
      <c r="N4452" s="354" t="str">
        <f>IFERROR(IF([1]F_ProductBM!N1746 = "", "", [1]F_ProductBM!N1746 ),"")</f>
        <v/>
      </c>
    </row>
    <row r="4453" spans="3:14">
      <c r="C4453" s="977"/>
      <c r="D4453" s="777" t="s">
        <v>65</v>
      </c>
      <c r="E4453" s="2475" t="s">
        <v>1307</v>
      </c>
      <c r="F4453" s="2410"/>
      <c r="G4453" s="815" t="s">
        <v>2018</v>
      </c>
      <c r="H4453" s="93" t="str">
        <f>IFERROR(IF([1]F_ProductBM!H1747 = "", "", [1]F_ProductBM!H1747 ),"")</f>
        <v/>
      </c>
      <c r="I4453" s="116" t="str">
        <f>IFERROR(IF([1]F_ProductBM!I1747 = "", "", [1]F_ProductBM!I1747 ),"")</f>
        <v/>
      </c>
      <c r="J4453" s="117" t="str">
        <f>IFERROR(IF([1]F_ProductBM!J1747 = "", "", [1]F_ProductBM!J1747 ),"")</f>
        <v/>
      </c>
      <c r="K4453" s="93" t="str">
        <f>IFERROR(IF([1]F_ProductBM!K1747 = "", "", [1]F_ProductBM!K1747 ),"")</f>
        <v/>
      </c>
      <c r="L4453" s="93" t="str">
        <f>IFERROR(IF([1]F_ProductBM!L1747 = "", "", [1]F_ProductBM!L1747 ),"")</f>
        <v/>
      </c>
      <c r="M4453" s="93" t="str">
        <f>IFERROR(IF([1]F_ProductBM!M1747 = "", "", [1]F_ProductBM!M1747 ),"")</f>
        <v/>
      </c>
      <c r="N4453" s="118" t="str">
        <f>IFERROR(IF([1]F_ProductBM!N1747 = "", "", [1]F_ProductBM!N1747 ),"")</f>
        <v/>
      </c>
    </row>
    <row r="4454" spans="3:14">
      <c r="C4454" s="977"/>
      <c r="D4454" s="981"/>
      <c r="E4454" s="981"/>
      <c r="F4454" s="981"/>
      <c r="G4454" s="981"/>
      <c r="H4454" s="983"/>
      <c r="I4454" s="981"/>
      <c r="J4454" s="981"/>
      <c r="K4454" s="981"/>
      <c r="L4454" s="981"/>
      <c r="M4454" s="813"/>
      <c r="N4454" s="814"/>
    </row>
    <row r="4455" spans="3:14">
      <c r="C4455" s="977"/>
      <c r="D4455" s="777" t="s">
        <v>66</v>
      </c>
      <c r="E4455" s="2649" t="s">
        <v>1287</v>
      </c>
      <c r="F4455" s="2391"/>
      <c r="G4455" s="2391"/>
      <c r="H4455" s="2512"/>
      <c r="I4455" s="2683" t="str">
        <f>IFERROR(IF([1]F_ProductBM!I1749 = "", "", [1]F_ProductBM!I1749 ),"")</f>
        <v/>
      </c>
      <c r="J4455" s="2488"/>
      <c r="K4455" s="2488"/>
      <c r="L4455" s="2488"/>
      <c r="M4455" s="2686"/>
      <c r="N4455" s="979"/>
    </row>
    <row r="4456" spans="3:14">
      <c r="C4456" s="977"/>
      <c r="D4456" s="777"/>
      <c r="E4456" s="2669" t="s">
        <v>1476</v>
      </c>
      <c r="F4456" s="2391"/>
      <c r="G4456" s="2391"/>
      <c r="H4456" s="2391"/>
      <c r="I4456" s="2391"/>
      <c r="J4456" s="2391"/>
      <c r="K4456" s="2391"/>
      <c r="L4456" s="2391"/>
      <c r="M4456" s="2391"/>
      <c r="N4456" s="2650"/>
    </row>
    <row r="4457" spans="3:14">
      <c r="C4457" s="977"/>
      <c r="D4457" s="981"/>
      <c r="E4457" s="2669" t="s">
        <v>1558</v>
      </c>
      <c r="F4457" s="2391"/>
      <c r="G4457" s="2391"/>
      <c r="H4457" s="2391"/>
      <c r="I4457" s="2391"/>
      <c r="J4457" s="2391"/>
      <c r="K4457" s="2391"/>
      <c r="L4457" s="2391"/>
      <c r="M4457" s="2391"/>
      <c r="N4457" s="2650"/>
    </row>
    <row r="4458" spans="3:14">
      <c r="C4458" s="977"/>
      <c r="D4458" s="981"/>
      <c r="E4458" s="2676" t="s">
        <v>1559</v>
      </c>
      <c r="F4458" s="2391"/>
      <c r="G4458" s="2391"/>
      <c r="H4458" s="2391"/>
      <c r="I4458" s="2391"/>
      <c r="J4458" s="2391"/>
      <c r="K4458" s="2391"/>
      <c r="L4458" s="2391"/>
      <c r="M4458" s="2391"/>
      <c r="N4458" s="2650"/>
    </row>
    <row r="4459" spans="3:14">
      <c r="C4459" s="977"/>
      <c r="D4459" s="981"/>
      <c r="E4459" s="989"/>
      <c r="F4459" s="990"/>
      <c r="G4459" s="987" t="s">
        <v>884</v>
      </c>
      <c r="H4459" s="782">
        <v>2019</v>
      </c>
      <c r="I4459" s="988">
        <v>2020</v>
      </c>
      <c r="J4459" s="781">
        <v>2021</v>
      </c>
      <c r="K4459" s="782">
        <v>2022</v>
      </c>
      <c r="L4459" s="782">
        <v>2023</v>
      </c>
      <c r="M4459" s="782">
        <v>2024</v>
      </c>
      <c r="N4459" s="783">
        <v>2025</v>
      </c>
    </row>
    <row r="4460" spans="3:14">
      <c r="C4460" s="977"/>
      <c r="D4460" s="777" t="s">
        <v>1105</v>
      </c>
      <c r="E4460" s="2471" t="s">
        <v>1302</v>
      </c>
      <c r="F4460" s="2472"/>
      <c r="G4460" s="67" t="str">
        <f>IFERROR(IF([1]F_ProductBM!G1754 = "", "", [1]F_ProductBM!G1754 ),"")</f>
        <v/>
      </c>
      <c r="H4460" s="94" t="str">
        <f>IFERROR(IF([1]F_ProductBM!H1754 = "", "", [1]F_ProductBM!H1754 ),"")</f>
        <v/>
      </c>
      <c r="I4460" s="110" t="str">
        <f>IFERROR(IF([1]F_ProductBM!I1754 = "", "", [1]F_ProductBM!I1754 ),"")</f>
        <v/>
      </c>
      <c r="J4460" s="111" t="str">
        <f>IFERROR(IF([1]F_ProductBM!J1754 = "", "", [1]F_ProductBM!J1754 ),"")</f>
        <v/>
      </c>
      <c r="K4460" s="94" t="str">
        <f>IFERROR(IF([1]F_ProductBM!K1754 = "", "", [1]F_ProductBM!K1754 ),"")</f>
        <v/>
      </c>
      <c r="L4460" s="94" t="str">
        <f>IFERROR(IF([1]F_ProductBM!L1754 = "", "", [1]F_ProductBM!L1754 ),"")</f>
        <v/>
      </c>
      <c r="M4460" s="94" t="str">
        <f>IFERROR(IF([1]F_ProductBM!M1754 = "", "", [1]F_ProductBM!M1754 ),"")</f>
        <v/>
      </c>
      <c r="N4460" s="112" t="str">
        <f>IFERROR(IF([1]F_ProductBM!N1754 = "", "", [1]F_ProductBM!N1754 ),"")</f>
        <v/>
      </c>
    </row>
    <row r="4461" spans="3:14">
      <c r="C4461" s="977"/>
      <c r="D4461" s="777" t="s">
        <v>1106</v>
      </c>
      <c r="E4461" s="2473" t="s">
        <v>661</v>
      </c>
      <c r="F4461" s="2474"/>
      <c r="G4461" s="350" t="str">
        <f>IFERROR(IF([1]F_ProductBM!G1755 = "", "", [1]F_ProductBM!G1755 ),"")</f>
        <v>GJ / Unit</v>
      </c>
      <c r="H4461" s="95" t="str">
        <f>IFERROR(IF([1]F_ProductBM!H1755 = "", "", [1]F_ProductBM!H1755 ),"")</f>
        <v/>
      </c>
      <c r="I4461" s="113" t="str">
        <f>IFERROR(IF([1]F_ProductBM!I1755 = "", "", [1]F_ProductBM!I1755 ),"")</f>
        <v/>
      </c>
      <c r="J4461" s="114" t="str">
        <f>IFERROR(IF([1]F_ProductBM!J1755 = "", "", [1]F_ProductBM!J1755 ),"")</f>
        <v/>
      </c>
      <c r="K4461" s="95" t="str">
        <f>IFERROR(IF([1]F_ProductBM!K1755 = "", "", [1]F_ProductBM!K1755 ),"")</f>
        <v/>
      </c>
      <c r="L4461" s="95" t="str">
        <f>IFERROR(IF([1]F_ProductBM!L1755 = "", "", [1]F_ProductBM!L1755 ),"")</f>
        <v/>
      </c>
      <c r="M4461" s="95" t="str">
        <f>IFERROR(IF([1]F_ProductBM!M1755 = "", "", [1]F_ProductBM!M1755 ),"")</f>
        <v/>
      </c>
      <c r="N4461" s="115" t="str">
        <f>IFERROR(IF([1]F_ProductBM!N1755 = "", "", [1]F_ProductBM!N1755 ),"")</f>
        <v/>
      </c>
    </row>
    <row r="4462" spans="3:14">
      <c r="C4462" s="977"/>
      <c r="D4462" s="777" t="s">
        <v>1107</v>
      </c>
      <c r="E4462" s="2475" t="s">
        <v>1288</v>
      </c>
      <c r="F4462" s="2410"/>
      <c r="G4462" s="815" t="s">
        <v>2017</v>
      </c>
      <c r="H4462" s="351" t="str">
        <f>IFERROR(IF([1]F_ProductBM!H1756 = "", "", [1]F_ProductBM!H1756 ),"")</f>
        <v/>
      </c>
      <c r="I4462" s="352" t="str">
        <f>IFERROR(IF([1]F_ProductBM!I1756 = "", "", [1]F_ProductBM!I1756 ),"")</f>
        <v/>
      </c>
      <c r="J4462" s="353" t="str">
        <f>IFERROR(IF([1]F_ProductBM!J1756 = "", "", [1]F_ProductBM!J1756 ),"")</f>
        <v/>
      </c>
      <c r="K4462" s="351" t="str">
        <f>IFERROR(IF([1]F_ProductBM!K1756 = "", "", [1]F_ProductBM!K1756 ),"")</f>
        <v/>
      </c>
      <c r="L4462" s="351" t="str">
        <f>IFERROR(IF([1]F_ProductBM!L1756 = "", "", [1]F_ProductBM!L1756 ),"")</f>
        <v/>
      </c>
      <c r="M4462" s="351" t="str">
        <f>IFERROR(IF([1]F_ProductBM!M1756 = "", "", [1]F_ProductBM!M1756 ),"")</f>
        <v/>
      </c>
      <c r="N4462" s="354" t="str">
        <f>IFERROR(IF([1]F_ProductBM!N1756 = "", "", [1]F_ProductBM!N1756 ),"")</f>
        <v/>
      </c>
    </row>
    <row r="4463" spans="3:14">
      <c r="C4463" s="977"/>
      <c r="D4463" s="777" t="s">
        <v>1108</v>
      </c>
      <c r="E4463" s="2475" t="s">
        <v>1308</v>
      </c>
      <c r="F4463" s="2410"/>
      <c r="G4463" s="815" t="s">
        <v>2018</v>
      </c>
      <c r="H4463" s="93" t="str">
        <f>IFERROR(IF([1]F_ProductBM!H1757 = "", "", [1]F_ProductBM!H1757 ),"")</f>
        <v/>
      </c>
      <c r="I4463" s="116" t="str">
        <f>IFERROR(IF([1]F_ProductBM!I1757 = "", "", [1]F_ProductBM!I1757 ),"")</f>
        <v/>
      </c>
      <c r="J4463" s="117" t="str">
        <f>IFERROR(IF([1]F_ProductBM!J1757 = "", "", [1]F_ProductBM!J1757 ),"")</f>
        <v/>
      </c>
      <c r="K4463" s="93" t="str">
        <f>IFERROR(IF([1]F_ProductBM!K1757 = "", "", [1]F_ProductBM!K1757 ),"")</f>
        <v/>
      </c>
      <c r="L4463" s="93" t="str">
        <f>IFERROR(IF([1]F_ProductBM!L1757 = "", "", [1]F_ProductBM!L1757 ),"")</f>
        <v/>
      </c>
      <c r="M4463" s="93" t="str">
        <f>IFERROR(IF([1]F_ProductBM!M1757 = "", "", [1]F_ProductBM!M1757 ),"")</f>
        <v/>
      </c>
      <c r="N4463" s="118" t="str">
        <f>IFERROR(IF([1]F_ProductBM!N1757 = "", "", [1]F_ProductBM!N1757 ),"")</f>
        <v/>
      </c>
    </row>
    <row r="4464" spans="3:14">
      <c r="C4464" s="977"/>
      <c r="D4464" s="981"/>
      <c r="E4464" s="981"/>
      <c r="F4464" s="981"/>
      <c r="G4464" s="981"/>
      <c r="H4464" s="983"/>
      <c r="I4464" s="981"/>
      <c r="J4464" s="981"/>
      <c r="K4464" s="981"/>
      <c r="L4464" s="981"/>
      <c r="M4464" s="813"/>
      <c r="N4464" s="814"/>
    </row>
    <row r="4465" spans="3:14">
      <c r="C4465" s="977"/>
      <c r="D4465" s="981"/>
      <c r="E4465" s="2475" t="s">
        <v>1844</v>
      </c>
      <c r="F4465" s="2475"/>
      <c r="G4465" s="1009" t="s">
        <v>471</v>
      </c>
      <c r="H4465" s="62" t="str">
        <f>IFERROR(IF([1]F_ProductBM!H1759 = "", "", [1]F_ProductBM!H1759 ),"")</f>
        <v/>
      </c>
      <c r="I4465" s="65" t="str">
        <f>IFERROR(IF([1]F_ProductBM!I1759 = "", "", [1]F_ProductBM!I1759 ),"")</f>
        <v/>
      </c>
      <c r="J4465" s="69" t="str">
        <f>IFERROR(IF([1]F_ProductBM!J1759 = "", "", [1]F_ProductBM!J1759 ),"")</f>
        <v/>
      </c>
      <c r="K4465" s="62" t="str">
        <f>IFERROR(IF([1]F_ProductBM!K1759 = "", "", [1]F_ProductBM!K1759 ),"")</f>
        <v/>
      </c>
      <c r="L4465" s="62" t="str">
        <f>IFERROR(IF([1]F_ProductBM!L1759 = "", "", [1]F_ProductBM!L1759 ),"")</f>
        <v/>
      </c>
      <c r="M4465" s="62" t="str">
        <f>IFERROR(IF([1]F_ProductBM!M1759 = "", "", [1]F_ProductBM!M1759 ),"")</f>
        <v/>
      </c>
      <c r="N4465" s="62" t="str">
        <f>IFERROR(IF([1]F_ProductBM!N1759 = "", "", [1]F_ProductBM!N1759 ),"")</f>
        <v/>
      </c>
    </row>
    <row r="4466" spans="3:14" ht="13.5" thickBot="1">
      <c r="C4466" s="977"/>
      <c r="D4466" s="981"/>
      <c r="E4466" s="981"/>
      <c r="F4466" s="981"/>
      <c r="G4466" s="981"/>
      <c r="H4466" s="983"/>
      <c r="I4466" s="981"/>
      <c r="J4466" s="981"/>
      <c r="K4466" s="981"/>
      <c r="L4466" s="981"/>
      <c r="M4466" s="813"/>
      <c r="N4466" s="814"/>
    </row>
    <row r="4467" spans="3:14">
      <c r="C4467" s="977"/>
      <c r="D4467" s="1010"/>
      <c r="E4467" s="1011"/>
      <c r="F4467" s="1011"/>
      <c r="G4467" s="1011"/>
      <c r="H4467" s="1012"/>
      <c r="I4467" s="1011"/>
      <c r="J4467" s="1011"/>
      <c r="K4467" s="1011"/>
      <c r="L4467" s="1011"/>
      <c r="M4467" s="942"/>
      <c r="N4467" s="943"/>
    </row>
    <row r="4468" spans="3:14">
      <c r="C4468" s="977"/>
      <c r="D4468" s="907" t="s">
        <v>1917</v>
      </c>
      <c r="E4468" s="2713" t="s">
        <v>1773</v>
      </c>
      <c r="F4468" s="2493"/>
      <c r="G4468" s="2493"/>
      <c r="H4468" s="910" t="s">
        <v>884</v>
      </c>
      <c r="I4468" s="911" t="s">
        <v>2220</v>
      </c>
      <c r="J4468" s="912">
        <v>2021</v>
      </c>
      <c r="K4468" s="913">
        <v>2022</v>
      </c>
      <c r="L4468" s="913">
        <v>2023</v>
      </c>
      <c r="M4468" s="913">
        <v>2024</v>
      </c>
      <c r="N4468" s="914">
        <v>2025</v>
      </c>
    </row>
    <row r="4469" spans="3:14">
      <c r="C4469" s="977"/>
      <c r="D4469" s="915" t="s">
        <v>6</v>
      </c>
      <c r="E4469" s="2714" t="s">
        <v>1691</v>
      </c>
      <c r="F4469" s="2410"/>
      <c r="G4469" s="2410"/>
      <c r="H4469" s="944" t="s">
        <v>471</v>
      </c>
      <c r="I4469" s="281" t="str">
        <f>IFERROR(IF([1]F_ProductBM!I1763 = "", "", [1]F_ProductBM!I1763 ),"")</f>
        <v/>
      </c>
      <c r="J4469" s="334" t="str">
        <f>IFERROR(IF([1]F_ProductBM!J1763 = "", "", [1]F_ProductBM!J1763 ),"")</f>
        <v/>
      </c>
      <c r="K4469" s="335" t="str">
        <f>IFERROR(IF([1]F_ProductBM!K1763 = "", "", [1]F_ProductBM!K1763 ),"")</f>
        <v/>
      </c>
      <c r="L4469" s="335" t="str">
        <f>IFERROR(IF([1]F_ProductBM!L1763 = "", "", [1]F_ProductBM!L1763 ),"")</f>
        <v/>
      </c>
      <c r="M4469" s="335" t="str">
        <f>IFERROR(IF([1]F_ProductBM!M1763 = "", "", [1]F_ProductBM!M1763 ),"")</f>
        <v/>
      </c>
      <c r="N4469" s="336" t="str">
        <f>IFERROR(IF([1]F_ProductBM!N1763 = "", "", [1]F_ProductBM!N1763 ),"")</f>
        <v/>
      </c>
    </row>
    <row r="4470" spans="3:14">
      <c r="C4470" s="977"/>
      <c r="D4470" s="915"/>
      <c r="E4470" s="2714" t="s">
        <v>1776</v>
      </c>
      <c r="F4470" s="2410"/>
      <c r="G4470" s="2410"/>
      <c r="H4470" s="921"/>
      <c r="I4470" s="916"/>
      <c r="J4470" s="319" t="str">
        <f>IFERROR(IF([1]F_ProductBM!J1764 = "", "", [1]F_ProductBM!J1764 ),"")</f>
        <v/>
      </c>
      <c r="K4470" s="320" t="str">
        <f>IFERROR(IF([1]F_ProductBM!K1764 = "", "", [1]F_ProductBM!K1764 ),"")</f>
        <v/>
      </c>
      <c r="L4470" s="320" t="str">
        <f>IFERROR(IF([1]F_ProductBM!L1764 = "", "", [1]F_ProductBM!L1764 ),"")</f>
        <v/>
      </c>
      <c r="M4470" s="320" t="str">
        <f>IFERROR(IF([1]F_ProductBM!M1764 = "", "", [1]F_ProductBM!M1764 ),"")</f>
        <v/>
      </c>
      <c r="N4470" s="321" t="str">
        <f>IFERROR(IF([1]F_ProductBM!N1764 = "", "", [1]F_ProductBM!N1764 ),"")</f>
        <v/>
      </c>
    </row>
    <row r="4471" spans="3:14">
      <c r="C4471" s="977"/>
      <c r="D4471" s="915" t="s">
        <v>7</v>
      </c>
      <c r="E4471" s="2714" t="s">
        <v>1654</v>
      </c>
      <c r="F4471" s="2410"/>
      <c r="G4471" s="2410"/>
      <c r="H4471" s="921"/>
      <c r="I4471" s="916"/>
      <c r="J4471" s="288" t="str">
        <f>IFERROR(IF([1]F_ProductBM!J1765 = "", "", [1]F_ProductBM!J1765 ),"")</f>
        <v/>
      </c>
      <c r="K4471" s="289" t="str">
        <f>IFERROR(IF([1]F_ProductBM!K1765 = "", "", [1]F_ProductBM!K1765 ),"")</f>
        <v/>
      </c>
      <c r="L4471" s="289" t="str">
        <f>IFERROR(IF([1]F_ProductBM!L1765 = "", "", [1]F_ProductBM!L1765 ),"")</f>
        <v/>
      </c>
      <c r="M4471" s="289" t="str">
        <f>IFERROR(IF([1]F_ProductBM!M1765 = "", "", [1]F_ProductBM!M1765 ),"")</f>
        <v/>
      </c>
      <c r="N4471" s="290" t="str">
        <f>IFERROR(IF([1]F_ProductBM!N1765 = "", "", [1]F_ProductBM!N1765 ),"")</f>
        <v/>
      </c>
    </row>
    <row r="4472" spans="3:14">
      <c r="C4472" s="977"/>
      <c r="D4472" s="915"/>
      <c r="E4472" s="2714" t="s">
        <v>1689</v>
      </c>
      <c r="F4472" s="2410"/>
      <c r="G4472" s="2410"/>
      <c r="H4472" s="944" t="s">
        <v>471</v>
      </c>
      <c r="I4472" s="281" t="str">
        <f>IFERROR(IF([1]F_ProductBM!I1766 = "", "", [1]F_ProductBM!I1766 ),"")</f>
        <v/>
      </c>
      <c r="J4472" s="282" t="str">
        <f>IFERROR(IF([1]F_ProductBM!J1766 = "", "", [1]F_ProductBM!J1766 ),"")</f>
        <v/>
      </c>
      <c r="K4472" s="283" t="str">
        <f>IFERROR(IF([1]F_ProductBM!K1766 = "", "", [1]F_ProductBM!K1766 ),"")</f>
        <v/>
      </c>
      <c r="L4472" s="283" t="str">
        <f>IFERROR(IF([1]F_ProductBM!L1766 = "", "", [1]F_ProductBM!L1766 ),"")</f>
        <v/>
      </c>
      <c r="M4472" s="283" t="str">
        <f>IFERROR(IF([1]F_ProductBM!M1766 = "", "", [1]F_ProductBM!M1766 ),"")</f>
        <v/>
      </c>
      <c r="N4472" s="284" t="str">
        <f>IFERROR(IF([1]F_ProductBM!N1766 = "", "", [1]F_ProductBM!N1766 ),"")</f>
        <v/>
      </c>
    </row>
    <row r="4473" spans="3:14">
      <c r="C4473" s="977"/>
      <c r="D4473" s="915"/>
      <c r="E4473" s="909"/>
      <c r="F4473" s="909"/>
      <c r="G4473" s="909"/>
      <c r="H4473" s="909"/>
      <c r="I4473" s="909"/>
      <c r="J4473" s="909"/>
      <c r="K4473" s="909"/>
      <c r="L4473" s="909"/>
      <c r="M4473" s="909"/>
      <c r="N4473" s="922"/>
    </row>
    <row r="4474" spans="3:14">
      <c r="C4474" s="977"/>
      <c r="D4474" s="915"/>
      <c r="E4474" s="2713" t="s">
        <v>1653</v>
      </c>
      <c r="F4474" s="2493"/>
      <c r="G4474" s="2493"/>
      <c r="H4474" s="2493"/>
      <c r="I4474" s="2708"/>
      <c r="J4474" s="912">
        <v>2021</v>
      </c>
      <c r="K4474" s="913">
        <v>2022</v>
      </c>
      <c r="L4474" s="913">
        <v>2023</v>
      </c>
      <c r="M4474" s="913">
        <v>2024</v>
      </c>
      <c r="N4474" s="914">
        <v>2025</v>
      </c>
    </row>
    <row r="4475" spans="3:14">
      <c r="C4475" s="977"/>
      <c r="D4475" s="915" t="s">
        <v>8</v>
      </c>
      <c r="E4475" s="2714" t="s">
        <v>2108</v>
      </c>
      <c r="F4475" s="2410"/>
      <c r="G4475" s="2410"/>
      <c r="H4475" s="2410"/>
      <c r="I4475" s="2715"/>
      <c r="J4475" s="69" t="str">
        <f>IFERROR(IF([1]F_ProductBM!J1769 = "", "", [1]F_ProductBM!J1769 ),"")</f>
        <v/>
      </c>
      <c r="K4475" s="62" t="str">
        <f>IFERROR(IF([1]F_ProductBM!K1769 = "", "", [1]F_ProductBM!K1769 ),"")</f>
        <v/>
      </c>
      <c r="L4475" s="62" t="str">
        <f>IFERROR(IF([1]F_ProductBM!L1769 = "", "", [1]F_ProductBM!L1769 ),"")</f>
        <v/>
      </c>
      <c r="M4475" s="62" t="str">
        <f>IFERROR(IF([1]F_ProductBM!M1769 = "", "", [1]F_ProductBM!M1769 ),"")</f>
        <v/>
      </c>
      <c r="N4475" s="70" t="str">
        <f>IFERROR(IF([1]F_ProductBM!N1769 = "", "", [1]F_ProductBM!N1769 ),"")</f>
        <v/>
      </c>
    </row>
    <row r="4476" spans="3:14" ht="13.5" thickBot="1">
      <c r="C4476" s="977"/>
      <c r="D4476" s="915"/>
      <c r="E4476" s="909"/>
      <c r="F4476" s="909"/>
      <c r="G4476" s="909"/>
      <c r="H4476" s="909"/>
      <c r="I4476" s="909"/>
      <c r="J4476" s="909"/>
      <c r="K4476" s="909"/>
      <c r="L4476" s="909"/>
      <c r="M4476" s="909"/>
      <c r="N4476" s="922"/>
    </row>
    <row r="4477" spans="3:14" ht="13.5" thickBot="1">
      <c r="C4477" s="977"/>
      <c r="D4477" s="915" t="s">
        <v>18</v>
      </c>
      <c r="E4477" s="2714" t="s">
        <v>1657</v>
      </c>
      <c r="F4477" s="2410"/>
      <c r="G4477" s="2410"/>
      <c r="H4477" s="2410"/>
      <c r="I4477" s="2715"/>
      <c r="J4477" s="291" t="str">
        <f>IFERROR(IF([1]F_ProductBM!J1771 = "", "", [1]F_ProductBM!J1771 ),"")</f>
        <v/>
      </c>
      <c r="K4477" s="292" t="str">
        <f>IFERROR(IF([1]F_ProductBM!K1771 = "", "", [1]F_ProductBM!K1771 ),"")</f>
        <v/>
      </c>
      <c r="L4477" s="292" t="str">
        <f>IFERROR(IF([1]F_ProductBM!L1771 = "", "", [1]F_ProductBM!L1771 ),"")</f>
        <v/>
      </c>
      <c r="M4477" s="292" t="str">
        <f>IFERROR(IF([1]F_ProductBM!M1771 = "", "", [1]F_ProductBM!M1771 ),"")</f>
        <v/>
      </c>
      <c r="N4477" s="293" t="str">
        <f>IFERROR(IF([1]F_ProductBM!N1771 = "", "", [1]F_ProductBM!N1771 ),"")</f>
        <v/>
      </c>
    </row>
    <row r="4478" spans="3:14" ht="13.5" thickBot="1">
      <c r="C4478" s="977"/>
      <c r="D4478" s="915" t="s">
        <v>787</v>
      </c>
      <c r="E4478" s="2714" t="s">
        <v>1659</v>
      </c>
      <c r="F4478" s="2410"/>
      <c r="G4478" s="2410"/>
      <c r="H4478" s="944" t="s">
        <v>471</v>
      </c>
      <c r="I4478" s="281" t="str">
        <f>IFERROR(IF([1]F_ProductBM!I1772 = "", "", [1]F_ProductBM!I1772 ),"")</f>
        <v/>
      </c>
      <c r="J4478" s="294" t="str">
        <f>IFERROR(IF([1]F_ProductBM!J1772 = "", "", [1]F_ProductBM!J1772 ),"")</f>
        <v/>
      </c>
      <c r="K4478" s="295" t="str">
        <f>IFERROR(IF([1]F_ProductBM!K1772 = "", "", [1]F_ProductBM!K1772 ),"")</f>
        <v/>
      </c>
      <c r="L4478" s="295" t="str">
        <f>IFERROR(IF([1]F_ProductBM!L1772 = "", "", [1]F_ProductBM!L1772 ),"")</f>
        <v/>
      </c>
      <c r="M4478" s="295" t="str">
        <f>IFERROR(IF([1]F_ProductBM!M1772 = "", "", [1]F_ProductBM!M1772 ),"")</f>
        <v/>
      </c>
      <c r="N4478" s="296" t="str">
        <f>IFERROR(IF([1]F_ProductBM!N1772 = "", "", [1]F_ProductBM!N1772 ),"")</f>
        <v/>
      </c>
    </row>
    <row r="4479" spans="3:14" ht="13.5" thickBot="1">
      <c r="C4479" s="977"/>
      <c r="D4479" s="946"/>
      <c r="E4479" s="947"/>
      <c r="F4479" s="947"/>
      <c r="G4479" s="947"/>
      <c r="H4479" s="1014"/>
      <c r="I4479" s="947"/>
      <c r="J4479" s="947"/>
      <c r="K4479" s="947"/>
      <c r="L4479" s="947"/>
      <c r="M4479" s="925"/>
      <c r="N4479" s="926"/>
    </row>
    <row r="4480" spans="3:14">
      <c r="C4480" s="977"/>
      <c r="D4480" s="981"/>
      <c r="E4480" s="981"/>
      <c r="F4480" s="981"/>
      <c r="G4480" s="981"/>
      <c r="H4480" s="983"/>
      <c r="I4480" s="981"/>
      <c r="J4480" s="981"/>
      <c r="K4480" s="981"/>
      <c r="L4480" s="981"/>
      <c r="M4480" s="813"/>
      <c r="N4480" s="814"/>
    </row>
    <row r="4481" spans="3:14">
      <c r="C4481" s="977"/>
      <c r="D4481" s="777" t="s">
        <v>1109</v>
      </c>
      <c r="E4481" s="2649" t="s">
        <v>1218</v>
      </c>
      <c r="F4481" s="2391"/>
      <c r="G4481" s="2391"/>
      <c r="H4481" s="2512"/>
      <c r="I4481" s="2683" t="str">
        <f>IFERROR(IF([1]F_ProductBM!I1775 = "", "", [1]F_ProductBM!I1775 ),"")</f>
        <v/>
      </c>
      <c r="J4481" s="2488"/>
      <c r="K4481" s="2488"/>
      <c r="L4481" s="2488"/>
      <c r="M4481" s="2686"/>
      <c r="N4481" s="814"/>
    </row>
    <row r="4482" spans="3:14">
      <c r="C4482" s="977"/>
      <c r="D4482" s="777"/>
      <c r="E4482" s="2676" t="s">
        <v>2298</v>
      </c>
      <c r="F4482" s="2391"/>
      <c r="G4482" s="2391"/>
      <c r="H4482" s="2391"/>
      <c r="I4482" s="2391"/>
      <c r="J4482" s="2391"/>
      <c r="K4482" s="2391"/>
      <c r="L4482" s="2391"/>
      <c r="M4482" s="2391"/>
      <c r="N4482" s="2650"/>
    </row>
    <row r="4483" spans="3:14">
      <c r="C4483" s="977"/>
      <c r="D4483" s="777"/>
      <c r="E4483" s="2669" t="s">
        <v>1560</v>
      </c>
      <c r="F4483" s="2391"/>
      <c r="G4483" s="2391"/>
      <c r="H4483" s="2391"/>
      <c r="I4483" s="2391"/>
      <c r="J4483" s="2391"/>
      <c r="K4483" s="2391"/>
      <c r="L4483" s="2391"/>
      <c r="M4483" s="2391"/>
      <c r="N4483" s="2650"/>
    </row>
    <row r="4484" spans="3:14">
      <c r="C4484" s="977"/>
      <c r="D4484" s="981"/>
      <c r="E4484" s="989"/>
      <c r="F4484" s="990"/>
      <c r="G4484" s="987" t="s">
        <v>884</v>
      </c>
      <c r="H4484" s="782">
        <v>2019</v>
      </c>
      <c r="I4484" s="988">
        <v>2020</v>
      </c>
      <c r="J4484" s="781">
        <v>2021</v>
      </c>
      <c r="K4484" s="782">
        <v>2022</v>
      </c>
      <c r="L4484" s="782">
        <v>2023</v>
      </c>
      <c r="M4484" s="782">
        <v>2024</v>
      </c>
      <c r="N4484" s="783">
        <v>2025</v>
      </c>
    </row>
    <row r="4485" spans="3:14">
      <c r="C4485" s="977"/>
      <c r="D4485" s="777" t="s">
        <v>1110</v>
      </c>
      <c r="E4485" s="2471" t="s">
        <v>1303</v>
      </c>
      <c r="F4485" s="2472"/>
      <c r="G4485" s="67" t="str">
        <f>IFERROR(IF([1]F_ProductBM!G1779 = "", "", [1]F_ProductBM!G1779 ),"")</f>
        <v/>
      </c>
      <c r="H4485" s="94" t="str">
        <f>IFERROR(IF([1]F_ProductBM!H1779 = "", "", [1]F_ProductBM!H1779 ),"")</f>
        <v/>
      </c>
      <c r="I4485" s="110" t="str">
        <f>IFERROR(IF([1]F_ProductBM!I1779 = "", "", [1]F_ProductBM!I1779 ),"")</f>
        <v/>
      </c>
      <c r="J4485" s="111" t="str">
        <f>IFERROR(IF([1]F_ProductBM!J1779 = "", "", [1]F_ProductBM!J1779 ),"")</f>
        <v/>
      </c>
      <c r="K4485" s="94" t="str">
        <f>IFERROR(IF([1]F_ProductBM!K1779 = "", "", [1]F_ProductBM!K1779 ),"")</f>
        <v/>
      </c>
      <c r="L4485" s="94" t="str">
        <f>IFERROR(IF([1]F_ProductBM!L1779 = "", "", [1]F_ProductBM!L1779 ),"")</f>
        <v/>
      </c>
      <c r="M4485" s="94" t="str">
        <f>IFERROR(IF([1]F_ProductBM!M1779 = "", "", [1]F_ProductBM!M1779 ),"")</f>
        <v/>
      </c>
      <c r="N4485" s="112" t="str">
        <f>IFERROR(IF([1]F_ProductBM!N1779 = "", "", [1]F_ProductBM!N1779 ),"")</f>
        <v/>
      </c>
    </row>
    <row r="4486" spans="3:14">
      <c r="C4486" s="977"/>
      <c r="D4486" s="777" t="s">
        <v>1111</v>
      </c>
      <c r="E4486" s="2473" t="s">
        <v>661</v>
      </c>
      <c r="F4486" s="2474"/>
      <c r="G4486" s="350" t="str">
        <f>IFERROR(IF([1]F_ProductBM!G1780 = "", "", [1]F_ProductBM!G1780 ),"")</f>
        <v>GJ / Unit</v>
      </c>
      <c r="H4486" s="95" t="str">
        <f>IFERROR(IF([1]F_ProductBM!H1780 = "", "", [1]F_ProductBM!H1780 ),"")</f>
        <v/>
      </c>
      <c r="I4486" s="113" t="str">
        <f>IFERROR(IF([1]F_ProductBM!I1780 = "", "", [1]F_ProductBM!I1780 ),"")</f>
        <v/>
      </c>
      <c r="J4486" s="114" t="str">
        <f>IFERROR(IF([1]F_ProductBM!J1780 = "", "", [1]F_ProductBM!J1780 ),"")</f>
        <v/>
      </c>
      <c r="K4486" s="95" t="str">
        <f>IFERROR(IF([1]F_ProductBM!K1780 = "", "", [1]F_ProductBM!K1780 ),"")</f>
        <v/>
      </c>
      <c r="L4486" s="95" t="str">
        <f>IFERROR(IF([1]F_ProductBM!L1780 = "", "", [1]F_ProductBM!L1780 ),"")</f>
        <v/>
      </c>
      <c r="M4486" s="95" t="str">
        <f>IFERROR(IF([1]F_ProductBM!M1780 = "", "", [1]F_ProductBM!M1780 ),"")</f>
        <v/>
      </c>
      <c r="N4486" s="115" t="str">
        <f>IFERROR(IF([1]F_ProductBM!N1780 = "", "", [1]F_ProductBM!N1780 ),"")</f>
        <v/>
      </c>
    </row>
    <row r="4487" spans="3:14">
      <c r="C4487" s="977"/>
      <c r="D4487" s="777" t="s">
        <v>1112</v>
      </c>
      <c r="E4487" s="2475" t="s">
        <v>1102</v>
      </c>
      <c r="F4487" s="2410"/>
      <c r="G4487" s="815" t="s">
        <v>2017</v>
      </c>
      <c r="H4487" s="93" t="str">
        <f>IFERROR(IF([1]F_ProductBM!H1781 = "", "", [1]F_ProductBM!H1781 ),"")</f>
        <v/>
      </c>
      <c r="I4487" s="116" t="str">
        <f>IFERROR(IF([1]F_ProductBM!I1781 = "", "", [1]F_ProductBM!I1781 ),"")</f>
        <v/>
      </c>
      <c r="J4487" s="117" t="str">
        <f>IFERROR(IF([1]F_ProductBM!J1781 = "", "", [1]F_ProductBM!J1781 ),"")</f>
        <v/>
      </c>
      <c r="K4487" s="93" t="str">
        <f>IFERROR(IF([1]F_ProductBM!K1781 = "", "", [1]F_ProductBM!K1781 ),"")</f>
        <v/>
      </c>
      <c r="L4487" s="93" t="str">
        <f>IFERROR(IF([1]F_ProductBM!L1781 = "", "", [1]F_ProductBM!L1781 ),"")</f>
        <v/>
      </c>
      <c r="M4487" s="93" t="str">
        <f>IFERROR(IF([1]F_ProductBM!M1781 = "", "", [1]F_ProductBM!M1781 ),"")</f>
        <v/>
      </c>
      <c r="N4487" s="118" t="str">
        <f>IFERROR(IF([1]F_ProductBM!N1781 = "", "", [1]F_ProductBM!N1781 ),"")</f>
        <v/>
      </c>
    </row>
    <row r="4488" spans="3:14">
      <c r="C4488" s="977"/>
      <c r="D4488" s="777" t="s">
        <v>1113</v>
      </c>
      <c r="E4488" s="2475" t="s">
        <v>1275</v>
      </c>
      <c r="F4488" s="2410"/>
      <c r="G4488" s="815" t="s">
        <v>2018</v>
      </c>
      <c r="H4488" s="93" t="str">
        <f>IFERROR(IF([1]F_ProductBM!H1782 = "", "", [1]F_ProductBM!H1782 ),"")</f>
        <v/>
      </c>
      <c r="I4488" s="116" t="str">
        <f>IFERROR(IF([1]F_ProductBM!I1782 = "", "", [1]F_ProductBM!I1782 ),"")</f>
        <v/>
      </c>
      <c r="J4488" s="117" t="str">
        <f>IFERROR(IF([1]F_ProductBM!J1782 = "", "", [1]F_ProductBM!J1782 ),"")</f>
        <v/>
      </c>
      <c r="K4488" s="93" t="str">
        <f>IFERROR(IF([1]F_ProductBM!K1782 = "", "", [1]F_ProductBM!K1782 ),"")</f>
        <v/>
      </c>
      <c r="L4488" s="93" t="str">
        <f>IFERROR(IF([1]F_ProductBM!L1782 = "", "", [1]F_ProductBM!L1782 ),"")</f>
        <v/>
      </c>
      <c r="M4488" s="93" t="str">
        <f>IFERROR(IF([1]F_ProductBM!M1782 = "", "", [1]F_ProductBM!M1782 ),"")</f>
        <v/>
      </c>
      <c r="N4488" s="118" t="str">
        <f>IFERROR(IF([1]F_ProductBM!N1782 = "", "", [1]F_ProductBM!N1782 ),"")</f>
        <v/>
      </c>
    </row>
    <row r="4489" spans="3:14">
      <c r="C4489" s="977"/>
      <c r="D4489" s="981"/>
      <c r="E4489" s="981"/>
      <c r="F4489" s="981"/>
      <c r="G4489" s="981"/>
      <c r="H4489" s="983"/>
      <c r="I4489" s="981"/>
      <c r="J4489" s="981"/>
      <c r="K4489" s="981"/>
      <c r="L4489" s="981"/>
      <c r="M4489" s="813"/>
      <c r="N4489" s="814"/>
    </row>
    <row r="4490" spans="3:14">
      <c r="C4490" s="977"/>
      <c r="D4490" s="777" t="s">
        <v>1114</v>
      </c>
      <c r="E4490" s="2649" t="s">
        <v>1217</v>
      </c>
      <c r="F4490" s="2391"/>
      <c r="G4490" s="2391"/>
      <c r="H4490" s="2512"/>
      <c r="I4490" s="2683" t="str">
        <f>IFERROR(IF([1]F_ProductBM!I1784 = "", "", [1]F_ProductBM!I1784 ),"")</f>
        <v/>
      </c>
      <c r="J4490" s="2488"/>
      <c r="K4490" s="2488"/>
      <c r="L4490" s="2488"/>
      <c r="M4490" s="2686"/>
      <c r="N4490" s="979"/>
    </row>
    <row r="4491" spans="3:14">
      <c r="C4491" s="977"/>
      <c r="D4491" s="777"/>
      <c r="E4491" s="2676" t="s">
        <v>2298</v>
      </c>
      <c r="F4491" s="2391"/>
      <c r="G4491" s="2391"/>
      <c r="H4491" s="2391"/>
      <c r="I4491" s="2391"/>
      <c r="J4491" s="2391"/>
      <c r="K4491" s="2391"/>
      <c r="L4491" s="2391"/>
      <c r="M4491" s="2391"/>
      <c r="N4491" s="2650"/>
    </row>
    <row r="4492" spans="3:14">
      <c r="C4492" s="977"/>
      <c r="D4492" s="777"/>
      <c r="E4492" s="2669" t="s">
        <v>1317</v>
      </c>
      <c r="F4492" s="2391"/>
      <c r="G4492" s="2391"/>
      <c r="H4492" s="2391"/>
      <c r="I4492" s="2391"/>
      <c r="J4492" s="2391"/>
      <c r="K4492" s="2391"/>
      <c r="L4492" s="2391"/>
      <c r="M4492" s="2391"/>
      <c r="N4492" s="2650"/>
    </row>
    <row r="4493" spans="3:14">
      <c r="C4493" s="977"/>
      <c r="D4493" s="981"/>
      <c r="E4493" s="989"/>
      <c r="F4493" s="990"/>
      <c r="G4493" s="987" t="s">
        <v>884</v>
      </c>
      <c r="H4493" s="782">
        <v>2019</v>
      </c>
      <c r="I4493" s="988">
        <v>2020</v>
      </c>
      <c r="J4493" s="781">
        <v>2021</v>
      </c>
      <c r="K4493" s="782">
        <v>2022</v>
      </c>
      <c r="L4493" s="782">
        <v>2023</v>
      </c>
      <c r="M4493" s="782">
        <v>2024</v>
      </c>
      <c r="N4493" s="783">
        <v>2025</v>
      </c>
    </row>
    <row r="4494" spans="3:14">
      <c r="C4494" s="977"/>
      <c r="D4494" s="777" t="s">
        <v>1115</v>
      </c>
      <c r="E4494" s="2471" t="s">
        <v>1304</v>
      </c>
      <c r="F4494" s="2472"/>
      <c r="G4494" s="67" t="str">
        <f>IFERROR(IF([1]F_ProductBM!G1788 = "", "", [1]F_ProductBM!G1788 ),"")</f>
        <v/>
      </c>
      <c r="H4494" s="94" t="str">
        <f>IFERROR(IF([1]F_ProductBM!H1788 = "", "", [1]F_ProductBM!H1788 ),"")</f>
        <v/>
      </c>
      <c r="I4494" s="110" t="str">
        <f>IFERROR(IF([1]F_ProductBM!I1788 = "", "", [1]F_ProductBM!I1788 ),"")</f>
        <v/>
      </c>
      <c r="J4494" s="111" t="str">
        <f>IFERROR(IF([1]F_ProductBM!J1788 = "", "", [1]F_ProductBM!J1788 ),"")</f>
        <v/>
      </c>
      <c r="K4494" s="94" t="str">
        <f>IFERROR(IF([1]F_ProductBM!K1788 = "", "", [1]F_ProductBM!K1788 ),"")</f>
        <v/>
      </c>
      <c r="L4494" s="94" t="str">
        <f>IFERROR(IF([1]F_ProductBM!L1788 = "", "", [1]F_ProductBM!L1788 ),"")</f>
        <v/>
      </c>
      <c r="M4494" s="94" t="str">
        <f>IFERROR(IF([1]F_ProductBM!M1788 = "", "", [1]F_ProductBM!M1788 ),"")</f>
        <v/>
      </c>
      <c r="N4494" s="112" t="str">
        <f>IFERROR(IF([1]F_ProductBM!N1788 = "", "", [1]F_ProductBM!N1788 ),"")</f>
        <v/>
      </c>
    </row>
    <row r="4495" spans="3:14">
      <c r="C4495" s="977"/>
      <c r="D4495" s="777" t="s">
        <v>1561</v>
      </c>
      <c r="E4495" s="2473" t="s">
        <v>661</v>
      </c>
      <c r="F4495" s="2474"/>
      <c r="G4495" s="350" t="str">
        <f>IFERROR(IF([1]F_ProductBM!G1789 = "", "", [1]F_ProductBM!G1789 ),"")</f>
        <v>GJ / Unit</v>
      </c>
      <c r="H4495" s="95" t="str">
        <f>IFERROR(IF([1]F_ProductBM!H1789 = "", "", [1]F_ProductBM!H1789 ),"")</f>
        <v/>
      </c>
      <c r="I4495" s="113" t="str">
        <f>IFERROR(IF([1]F_ProductBM!I1789 = "", "", [1]F_ProductBM!I1789 ),"")</f>
        <v/>
      </c>
      <c r="J4495" s="114" t="str">
        <f>IFERROR(IF([1]F_ProductBM!J1789 = "", "", [1]F_ProductBM!J1789 ),"")</f>
        <v/>
      </c>
      <c r="K4495" s="95" t="str">
        <f>IFERROR(IF([1]F_ProductBM!K1789 = "", "", [1]F_ProductBM!K1789 ),"")</f>
        <v/>
      </c>
      <c r="L4495" s="95" t="str">
        <f>IFERROR(IF([1]F_ProductBM!L1789 = "", "", [1]F_ProductBM!L1789 ),"")</f>
        <v/>
      </c>
      <c r="M4495" s="95" t="str">
        <f>IFERROR(IF([1]F_ProductBM!M1789 = "", "", [1]F_ProductBM!M1789 ),"")</f>
        <v/>
      </c>
      <c r="N4495" s="115" t="str">
        <f>IFERROR(IF([1]F_ProductBM!N1789 = "", "", [1]F_ProductBM!N1789 ),"")</f>
        <v/>
      </c>
    </row>
    <row r="4496" spans="3:14">
      <c r="C4496" s="977"/>
      <c r="D4496" s="777" t="s">
        <v>1599</v>
      </c>
      <c r="E4496" s="2475" t="s">
        <v>1080</v>
      </c>
      <c r="F4496" s="2410"/>
      <c r="G4496" s="815" t="s">
        <v>2017</v>
      </c>
      <c r="H4496" s="93" t="str">
        <f>IFERROR(IF([1]F_ProductBM!H1790 = "", "", [1]F_ProductBM!H1790 ),"")</f>
        <v/>
      </c>
      <c r="I4496" s="116" t="str">
        <f>IFERROR(IF([1]F_ProductBM!I1790 = "", "", [1]F_ProductBM!I1790 ),"")</f>
        <v/>
      </c>
      <c r="J4496" s="117" t="str">
        <f>IFERROR(IF([1]F_ProductBM!J1790 = "", "", [1]F_ProductBM!J1790 ),"")</f>
        <v/>
      </c>
      <c r="K4496" s="93" t="str">
        <f>IFERROR(IF([1]F_ProductBM!K1790 = "", "", [1]F_ProductBM!K1790 ),"")</f>
        <v/>
      </c>
      <c r="L4496" s="93" t="str">
        <f>IFERROR(IF([1]F_ProductBM!L1790 = "", "", [1]F_ProductBM!L1790 ),"")</f>
        <v/>
      </c>
      <c r="M4496" s="93" t="str">
        <f>IFERROR(IF([1]F_ProductBM!M1790 = "", "", [1]F_ProductBM!M1790 ),"")</f>
        <v/>
      </c>
      <c r="N4496" s="118" t="str">
        <f>IFERROR(IF([1]F_ProductBM!N1790 = "", "", [1]F_ProductBM!N1790 ),"")</f>
        <v/>
      </c>
    </row>
    <row r="4497" spans="3:14">
      <c r="C4497" s="977"/>
      <c r="D4497" s="777" t="s">
        <v>1600</v>
      </c>
      <c r="E4497" s="2475" t="s">
        <v>1276</v>
      </c>
      <c r="F4497" s="2410"/>
      <c r="G4497" s="815" t="s">
        <v>2018</v>
      </c>
      <c r="H4497" s="93" t="str">
        <f>IFERROR(IF([1]F_ProductBM!H1791 = "", "", [1]F_ProductBM!H1791 ),"")</f>
        <v/>
      </c>
      <c r="I4497" s="116" t="str">
        <f>IFERROR(IF([1]F_ProductBM!I1791 = "", "", [1]F_ProductBM!I1791 ),"")</f>
        <v/>
      </c>
      <c r="J4497" s="117" t="str">
        <f>IFERROR(IF([1]F_ProductBM!J1791 = "", "", [1]F_ProductBM!J1791 ),"")</f>
        <v/>
      </c>
      <c r="K4497" s="93" t="str">
        <f>IFERROR(IF([1]F_ProductBM!K1791 = "", "", [1]F_ProductBM!K1791 ),"")</f>
        <v/>
      </c>
      <c r="L4497" s="93" t="str">
        <f>IFERROR(IF([1]F_ProductBM!L1791 = "", "", [1]F_ProductBM!L1791 ),"")</f>
        <v/>
      </c>
      <c r="M4497" s="93" t="str">
        <f>IFERROR(IF([1]F_ProductBM!M1791 = "", "", [1]F_ProductBM!M1791 ),"")</f>
        <v/>
      </c>
      <c r="N4497" s="118" t="str">
        <f>IFERROR(IF([1]F_ProductBM!N1791 = "", "", [1]F_ProductBM!N1791 ),"")</f>
        <v/>
      </c>
    </row>
    <row r="4498" spans="3:14">
      <c r="C4498" s="977"/>
      <c r="D4498" s="981"/>
      <c r="E4498" s="981"/>
      <c r="F4498" s="981"/>
      <c r="G4498" s="981"/>
      <c r="H4498" s="981"/>
      <c r="I4498" s="983"/>
      <c r="J4498" s="981"/>
      <c r="K4498" s="981"/>
      <c r="L4498" s="981"/>
      <c r="M4498" s="981"/>
      <c r="N4498" s="814"/>
    </row>
    <row r="4499" spans="3:14">
      <c r="C4499" s="977"/>
      <c r="D4499" s="982" t="s">
        <v>482</v>
      </c>
      <c r="E4499" s="2649" t="s">
        <v>1127</v>
      </c>
      <c r="F4499" s="2391"/>
      <c r="G4499" s="2391"/>
      <c r="H4499" s="2391"/>
      <c r="I4499" s="2391"/>
      <c r="J4499" s="2391"/>
      <c r="K4499" s="2391"/>
      <c r="L4499" s="2391"/>
      <c r="M4499" s="2391"/>
      <c r="N4499" s="2650"/>
    </row>
    <row r="4500" spans="3:14">
      <c r="C4500" s="977"/>
      <c r="D4500" s="777"/>
      <c r="E4500" s="2676" t="s">
        <v>2299</v>
      </c>
      <c r="F4500" s="2391"/>
      <c r="G4500" s="2391"/>
      <c r="H4500" s="2391"/>
      <c r="I4500" s="2391"/>
      <c r="J4500" s="2391"/>
      <c r="K4500" s="2391"/>
      <c r="L4500" s="2391"/>
      <c r="M4500" s="2391"/>
      <c r="N4500" s="2650"/>
    </row>
    <row r="4501" spans="3:14" ht="21" customHeight="1">
      <c r="C4501" s="977"/>
      <c r="D4501" s="981"/>
      <c r="E4501" s="2669" t="s">
        <v>2710</v>
      </c>
      <c r="F4501" s="2391"/>
      <c r="G4501" s="2391"/>
      <c r="H4501" s="2391"/>
      <c r="I4501" s="2391"/>
      <c r="J4501" s="2391"/>
      <c r="K4501" s="2391"/>
      <c r="L4501" s="2391"/>
      <c r="M4501" s="2391"/>
      <c r="N4501" s="2650"/>
    </row>
    <row r="4502" spans="3:14">
      <c r="C4502" s="977"/>
      <c r="D4502" s="982"/>
      <c r="E4502" s="989"/>
      <c r="F4502" s="990"/>
      <c r="G4502" s="987" t="s">
        <v>884</v>
      </c>
      <c r="H4502" s="782">
        <v>2019</v>
      </c>
      <c r="I4502" s="988">
        <v>2020</v>
      </c>
      <c r="J4502" s="781">
        <v>2021</v>
      </c>
      <c r="K4502" s="782">
        <v>2022</v>
      </c>
      <c r="L4502" s="782">
        <v>2023</v>
      </c>
      <c r="M4502" s="782">
        <v>2024</v>
      </c>
      <c r="N4502" s="783">
        <v>2025</v>
      </c>
    </row>
    <row r="4503" spans="3:14">
      <c r="C4503" s="977"/>
      <c r="D4503" s="777"/>
      <c r="E4503" s="2475" t="s">
        <v>1354</v>
      </c>
      <c r="F4503" s="2410"/>
      <c r="G4503" s="815" t="s">
        <v>2021</v>
      </c>
      <c r="H4503" s="93" t="str">
        <f>IFERROR(IF([1]F_ProductBM!H1797 = "", "", [1]F_ProductBM!H1797 ),"")</f>
        <v/>
      </c>
      <c r="I4503" s="116" t="str">
        <f>IFERROR(IF([1]F_ProductBM!I1797 = "", "", [1]F_ProductBM!I1797 ),"")</f>
        <v/>
      </c>
      <c r="J4503" s="117" t="str">
        <f>IFERROR(IF([1]F_ProductBM!J1797 = "", "", [1]F_ProductBM!J1797 ),"")</f>
        <v/>
      </c>
      <c r="K4503" s="93" t="str">
        <f>IFERROR(IF([1]F_ProductBM!K1797 = "", "", [1]F_ProductBM!K1797 ),"")</f>
        <v/>
      </c>
      <c r="L4503" s="93" t="str">
        <f>IFERROR(IF([1]F_ProductBM!L1797 = "", "", [1]F_ProductBM!L1797 ),"")</f>
        <v/>
      </c>
      <c r="M4503" s="93" t="str">
        <f>IFERROR(IF([1]F_ProductBM!M1797 = "", "", [1]F_ProductBM!M1797 ),"")</f>
        <v/>
      </c>
      <c r="N4503" s="118" t="str">
        <f>IFERROR(IF([1]F_ProductBM!N1797 = "", "", [1]F_ProductBM!N1797 ),"")</f>
        <v/>
      </c>
    </row>
    <row r="4504" spans="3:14">
      <c r="C4504" s="977"/>
      <c r="D4504" s="981"/>
      <c r="E4504" s="981"/>
      <c r="F4504" s="981"/>
      <c r="G4504" s="981"/>
      <c r="H4504" s="981"/>
      <c r="I4504" s="983"/>
      <c r="J4504" s="981"/>
      <c r="K4504" s="981"/>
      <c r="L4504" s="981"/>
      <c r="M4504" s="981"/>
      <c r="N4504" s="814"/>
    </row>
    <row r="4505" spans="3:14">
      <c r="C4505" s="977"/>
      <c r="D4505" s="982" t="s">
        <v>245</v>
      </c>
      <c r="E4505" s="2649" t="s">
        <v>1157</v>
      </c>
      <c r="F4505" s="2391"/>
      <c r="G4505" s="2391"/>
      <c r="H4505" s="2391"/>
      <c r="I4505" s="2391"/>
      <c r="J4505" s="2391"/>
      <c r="K4505" s="2391"/>
      <c r="L4505" s="2391"/>
      <c r="M4505" s="2391"/>
      <c r="N4505" s="2650"/>
    </row>
    <row r="4506" spans="3:14">
      <c r="C4506" s="977"/>
      <c r="D4506" s="981"/>
      <c r="E4506" s="2669" t="s">
        <v>1264</v>
      </c>
      <c r="F4506" s="2391"/>
      <c r="G4506" s="2391"/>
      <c r="H4506" s="2391"/>
      <c r="I4506" s="2391"/>
      <c r="J4506" s="2391"/>
      <c r="K4506" s="2391"/>
      <c r="L4506" s="2391"/>
      <c r="M4506" s="2391"/>
      <c r="N4506" s="2650"/>
    </row>
    <row r="4507" spans="3:14">
      <c r="C4507" s="977"/>
      <c r="D4507" s="981"/>
      <c r="E4507" s="2669" t="s">
        <v>1563</v>
      </c>
      <c r="F4507" s="2391"/>
      <c r="G4507" s="2391"/>
      <c r="H4507" s="2391"/>
      <c r="I4507" s="2391"/>
      <c r="J4507" s="2391"/>
      <c r="K4507" s="2391"/>
      <c r="L4507" s="2391"/>
      <c r="M4507" s="2391"/>
      <c r="N4507" s="2650"/>
    </row>
    <row r="4508" spans="3:14">
      <c r="C4508" s="977"/>
      <c r="D4508" s="777"/>
      <c r="E4508" s="2707" t="s">
        <v>1598</v>
      </c>
      <c r="F4508" s="2493"/>
      <c r="G4508" s="2493"/>
      <c r="H4508" s="2493"/>
      <c r="I4508" s="2493"/>
      <c r="J4508" s="2493"/>
      <c r="K4508" s="2493"/>
      <c r="L4508" s="2493"/>
      <c r="M4508" s="2493"/>
      <c r="N4508" s="2708"/>
    </row>
    <row r="4509" spans="3:14">
      <c r="C4509" s="977"/>
      <c r="D4509" s="777"/>
      <c r="E4509" s="2487" t="str">
        <f>IFERROR(IF([1]F_ProductBM!E1803 = "", "", [1]F_ProductBM!E1803 ),"")</f>
        <v/>
      </c>
      <c r="F4509" s="2488"/>
      <c r="G4509" s="815" t="s">
        <v>1020</v>
      </c>
      <c r="H4509" s="93" t="str">
        <f>IFERROR(IF([1]F_ProductBM!H1803 = "", "", [1]F_ProductBM!H1803 ),"")</f>
        <v/>
      </c>
      <c r="I4509" s="116" t="str">
        <f>IFERROR(IF([1]F_ProductBM!I1803 = "", "", [1]F_ProductBM!I1803 ),"")</f>
        <v/>
      </c>
      <c r="J4509" s="117" t="str">
        <f>IFERROR(IF([1]F_ProductBM!J1803 = "", "", [1]F_ProductBM!J1803 ),"")</f>
        <v/>
      </c>
      <c r="K4509" s="93" t="str">
        <f>IFERROR(IF([1]F_ProductBM!K1803 = "", "", [1]F_ProductBM!K1803 ),"")</f>
        <v/>
      </c>
      <c r="L4509" s="93" t="str">
        <f>IFERROR(IF([1]F_ProductBM!L1803 = "", "", [1]F_ProductBM!L1803 ),"")</f>
        <v/>
      </c>
      <c r="M4509" s="93" t="str">
        <f>IFERROR(IF([1]F_ProductBM!M1803 = "", "", [1]F_ProductBM!M1803 ),"")</f>
        <v/>
      </c>
      <c r="N4509" s="118" t="str">
        <f>IFERROR(IF([1]F_ProductBM!N1803 = "", "", [1]F_ProductBM!N1803 ),"")</f>
        <v/>
      </c>
    </row>
    <row r="4510" spans="3:14">
      <c r="C4510" s="977"/>
      <c r="D4510" s="777"/>
      <c r="E4510" s="777"/>
      <c r="F4510" s="777"/>
      <c r="G4510" s="777"/>
      <c r="H4510" s="983"/>
      <c r="I4510" s="777"/>
      <c r="J4510" s="777"/>
      <c r="K4510" s="777"/>
      <c r="L4510" s="777"/>
      <c r="M4510" s="777"/>
      <c r="N4510" s="1007"/>
    </row>
    <row r="4511" spans="3:14">
      <c r="C4511" s="977"/>
      <c r="D4511" s="982" t="s">
        <v>832</v>
      </c>
      <c r="E4511" s="2649" t="s">
        <v>1142</v>
      </c>
      <c r="F4511" s="2391"/>
      <c r="G4511" s="2391"/>
      <c r="H4511" s="2391"/>
      <c r="I4511" s="2391"/>
      <c r="J4511" s="2391"/>
      <c r="K4511" s="2391"/>
      <c r="L4511" s="2391"/>
      <c r="M4511" s="2391"/>
      <c r="N4511" s="2650"/>
    </row>
    <row r="4512" spans="3:14">
      <c r="C4512" s="977"/>
      <c r="D4512" s="981"/>
      <c r="E4512" s="2669" t="s">
        <v>1366</v>
      </c>
      <c r="F4512" s="2391"/>
      <c r="G4512" s="2391"/>
      <c r="H4512" s="2391"/>
      <c r="I4512" s="2391"/>
      <c r="J4512" s="2391"/>
      <c r="K4512" s="2391"/>
      <c r="L4512" s="2391"/>
      <c r="M4512" s="2391"/>
      <c r="N4512" s="2650"/>
    </row>
    <row r="4513" spans="3:14">
      <c r="C4513" s="977"/>
      <c r="D4513" s="981"/>
      <c r="E4513" s="2676" t="s">
        <v>1610</v>
      </c>
      <c r="F4513" s="2391"/>
      <c r="G4513" s="2391"/>
      <c r="H4513" s="2391"/>
      <c r="I4513" s="2391"/>
      <c r="J4513" s="2391"/>
      <c r="K4513" s="2391"/>
      <c r="L4513" s="2391"/>
      <c r="M4513" s="2391"/>
      <c r="N4513" s="2650"/>
    </row>
    <row r="4514" spans="3:14">
      <c r="C4514" s="977"/>
      <c r="D4514" s="777" t="s">
        <v>6</v>
      </c>
      <c r="E4514" s="2682" t="s">
        <v>1145</v>
      </c>
      <c r="F4514" s="2391"/>
      <c r="G4514" s="2391"/>
      <c r="H4514" s="2391"/>
      <c r="I4514" s="2391"/>
      <c r="J4514" s="2391"/>
      <c r="K4514" s="2512"/>
      <c r="L4514" s="120" t="str">
        <f>IFERROR(IF([1]F_ProductBM!L1808 = "", "", [1]F_ProductBM!L1808 ),"")</f>
        <v/>
      </c>
      <c r="M4514" s="813"/>
      <c r="N4514" s="1015"/>
    </row>
    <row r="4515" spans="3:14">
      <c r="C4515" s="977"/>
      <c r="D4515" s="777"/>
      <c r="E4515" s="777"/>
      <c r="F4515" s="777"/>
      <c r="G4515" s="777"/>
      <c r="H4515" s="983"/>
      <c r="I4515" s="777"/>
      <c r="J4515" s="777"/>
      <c r="K4515" s="777"/>
      <c r="L4515" s="777"/>
      <c r="M4515" s="777"/>
      <c r="N4515" s="1007"/>
    </row>
    <row r="4516" spans="3:14">
      <c r="C4516" s="977"/>
      <c r="D4516" s="982"/>
      <c r="E4516" s="2648" t="s">
        <v>1144</v>
      </c>
      <c r="F4516" s="2493"/>
      <c r="G4516" s="778" t="s">
        <v>884</v>
      </c>
      <c r="H4516" s="782">
        <v>2019</v>
      </c>
      <c r="I4516" s="988">
        <v>2020</v>
      </c>
      <c r="J4516" s="781">
        <v>2021</v>
      </c>
      <c r="K4516" s="782">
        <v>2022</v>
      </c>
      <c r="L4516" s="782">
        <v>2023</v>
      </c>
      <c r="M4516" s="782">
        <v>2024</v>
      </c>
      <c r="N4516" s="783">
        <v>2025</v>
      </c>
    </row>
    <row r="4517" spans="3:14">
      <c r="C4517" s="977"/>
      <c r="D4517" s="777" t="s">
        <v>7</v>
      </c>
      <c r="E4517" s="2513" t="str">
        <f>IFERROR(IF([1]F_ProductBM!E1811 = "", "", [1]F_ProductBM!E1811 ),"")</f>
        <v/>
      </c>
      <c r="F4517" s="2705"/>
      <c r="G4517" s="355" t="str">
        <f>IFERROR(IF([1]F_ProductBM!G1811 = "", "", [1]F_ProductBM!G1811 ),"")</f>
        <v>tonnes</v>
      </c>
      <c r="H4517" s="371" t="str">
        <f>IFERROR(IF([1]F_ProductBM!H1811 = "", "", [1]F_ProductBM!H1811 ),"")</f>
        <v/>
      </c>
      <c r="I4517" s="372" t="str">
        <f>IFERROR(IF([1]F_ProductBM!I1811 = "", "", [1]F_ProductBM!I1811 ),"")</f>
        <v/>
      </c>
      <c r="J4517" s="373" t="str">
        <f>IFERROR(IF([1]F_ProductBM!J1811 = "", "", [1]F_ProductBM!J1811 ),"")</f>
        <v/>
      </c>
      <c r="K4517" s="371" t="str">
        <f>IFERROR(IF([1]F_ProductBM!K1811 = "", "", [1]F_ProductBM!K1811 ),"")</f>
        <v/>
      </c>
      <c r="L4517" s="371" t="str">
        <f>IFERROR(IF([1]F_ProductBM!L1811 = "", "", [1]F_ProductBM!L1811 ),"")</f>
        <v/>
      </c>
      <c r="M4517" s="371" t="str">
        <f>IFERROR(IF([1]F_ProductBM!M1811 = "", "", [1]F_ProductBM!M1811 ),"")</f>
        <v/>
      </c>
      <c r="N4517" s="374" t="str">
        <f>IFERROR(IF([1]F_ProductBM!N1811 = "", "", [1]F_ProductBM!N1811 ),"")</f>
        <v/>
      </c>
    </row>
    <row r="4518" spans="3:14">
      <c r="C4518" s="977"/>
      <c r="D4518" s="777" t="s">
        <v>8</v>
      </c>
      <c r="E4518" s="2520" t="str">
        <f>IFERROR(IF([1]F_ProductBM!E1812 = "", "", [1]F_ProductBM!E1812 ),"")</f>
        <v/>
      </c>
      <c r="F4518" s="2706"/>
      <c r="G4518" s="350" t="str">
        <f>IFERROR(IF([1]F_ProductBM!G1812 = "", "", [1]F_ProductBM!G1812 ),"")</f>
        <v>tonnes</v>
      </c>
      <c r="H4518" s="364" t="str">
        <f>IFERROR(IF([1]F_ProductBM!H1812 = "", "", [1]F_ProductBM!H1812 ),"")</f>
        <v/>
      </c>
      <c r="I4518" s="365" t="str">
        <f>IFERROR(IF([1]F_ProductBM!I1812 = "", "", [1]F_ProductBM!I1812 ),"")</f>
        <v/>
      </c>
      <c r="J4518" s="366" t="str">
        <f>IFERROR(IF([1]F_ProductBM!J1812 = "", "", [1]F_ProductBM!J1812 ),"")</f>
        <v/>
      </c>
      <c r="K4518" s="364" t="str">
        <f>IFERROR(IF([1]F_ProductBM!K1812 = "", "", [1]F_ProductBM!K1812 ),"")</f>
        <v/>
      </c>
      <c r="L4518" s="364" t="str">
        <f>IFERROR(IF([1]F_ProductBM!L1812 = "", "", [1]F_ProductBM!L1812 ),"")</f>
        <v/>
      </c>
      <c r="M4518" s="364" t="str">
        <f>IFERROR(IF([1]F_ProductBM!M1812 = "", "", [1]F_ProductBM!M1812 ),"")</f>
        <v/>
      </c>
      <c r="N4518" s="367" t="str">
        <f>IFERROR(IF([1]F_ProductBM!N1812 = "", "", [1]F_ProductBM!N1812 ),"")</f>
        <v/>
      </c>
    </row>
    <row r="4519" spans="3:14">
      <c r="C4519" s="977"/>
      <c r="D4519" s="777"/>
      <c r="E4519" s="777"/>
      <c r="F4519" s="777"/>
      <c r="G4519" s="777"/>
      <c r="H4519" s="777"/>
      <c r="I4519" s="777"/>
      <c r="J4519" s="777"/>
      <c r="K4519" s="777"/>
      <c r="L4519" s="777"/>
      <c r="M4519" s="777"/>
      <c r="N4519" s="810"/>
    </row>
    <row r="4520" spans="3:14">
      <c r="C4520" s="977"/>
      <c r="D4520" s="982"/>
      <c r="E4520" s="2648" t="s">
        <v>1143</v>
      </c>
      <c r="F4520" s="2493"/>
      <c r="G4520" s="778" t="s">
        <v>884</v>
      </c>
      <c r="H4520" s="782">
        <v>2019</v>
      </c>
      <c r="I4520" s="988">
        <v>2020</v>
      </c>
      <c r="J4520" s="781">
        <v>2021</v>
      </c>
      <c r="K4520" s="782">
        <v>2022</v>
      </c>
      <c r="L4520" s="782">
        <v>2023</v>
      </c>
      <c r="M4520" s="782">
        <v>2024</v>
      </c>
      <c r="N4520" s="783">
        <v>2025</v>
      </c>
    </row>
    <row r="4521" spans="3:14">
      <c r="C4521" s="977"/>
      <c r="D4521" s="777" t="s">
        <v>18</v>
      </c>
      <c r="E4521" s="2513" t="str">
        <f>IFERROR(IF([1]F_ProductBM!E1815 = "", "", [1]F_ProductBM!E1815 ),"")</f>
        <v/>
      </c>
      <c r="F4521" s="2705"/>
      <c r="G4521" s="355" t="str">
        <f>IFERROR(IF([1]F_ProductBM!G1815 = "", "", [1]F_ProductBM!G1815 ),"")</f>
        <v>tonnes</v>
      </c>
      <c r="H4521" s="371" t="str">
        <f>IFERROR(IF([1]F_ProductBM!H1815 = "", "", [1]F_ProductBM!H1815 ),"")</f>
        <v/>
      </c>
      <c r="I4521" s="372" t="str">
        <f>IFERROR(IF([1]F_ProductBM!I1815 = "", "", [1]F_ProductBM!I1815 ),"")</f>
        <v/>
      </c>
      <c r="J4521" s="373" t="str">
        <f>IFERROR(IF([1]F_ProductBM!J1815 = "", "", [1]F_ProductBM!J1815 ),"")</f>
        <v/>
      </c>
      <c r="K4521" s="371" t="str">
        <f>IFERROR(IF([1]F_ProductBM!K1815 = "", "", [1]F_ProductBM!K1815 ),"")</f>
        <v/>
      </c>
      <c r="L4521" s="371" t="str">
        <f>IFERROR(IF([1]F_ProductBM!L1815 = "", "", [1]F_ProductBM!L1815 ),"")</f>
        <v/>
      </c>
      <c r="M4521" s="371" t="str">
        <f>IFERROR(IF([1]F_ProductBM!M1815 = "", "", [1]F_ProductBM!M1815 ),"")</f>
        <v/>
      </c>
      <c r="N4521" s="374" t="str">
        <f>IFERROR(IF([1]F_ProductBM!N1815 = "", "", [1]F_ProductBM!N1815 ),"")</f>
        <v/>
      </c>
    </row>
    <row r="4522" spans="3:14">
      <c r="C4522" s="977"/>
      <c r="D4522" s="777" t="s">
        <v>787</v>
      </c>
      <c r="E4522" s="2520" t="str">
        <f>IFERROR(IF([1]F_ProductBM!E1816 = "", "", [1]F_ProductBM!E1816 ),"")</f>
        <v/>
      </c>
      <c r="F4522" s="2706"/>
      <c r="G4522" s="350" t="str">
        <f>IFERROR(IF([1]F_ProductBM!G1816 = "", "", [1]F_ProductBM!G1816 ),"")</f>
        <v>tonnes</v>
      </c>
      <c r="H4522" s="364" t="str">
        <f>IFERROR(IF([1]F_ProductBM!H1816 = "", "", [1]F_ProductBM!H1816 ),"")</f>
        <v/>
      </c>
      <c r="I4522" s="365" t="str">
        <f>IFERROR(IF([1]F_ProductBM!I1816 = "", "", [1]F_ProductBM!I1816 ),"")</f>
        <v/>
      </c>
      <c r="J4522" s="366" t="str">
        <f>IFERROR(IF([1]F_ProductBM!J1816 = "", "", [1]F_ProductBM!J1816 ),"")</f>
        <v/>
      </c>
      <c r="K4522" s="364" t="str">
        <f>IFERROR(IF([1]F_ProductBM!K1816 = "", "", [1]F_ProductBM!K1816 ),"")</f>
        <v/>
      </c>
      <c r="L4522" s="364" t="str">
        <f>IFERROR(IF([1]F_ProductBM!L1816 = "", "", [1]F_ProductBM!L1816 ),"")</f>
        <v/>
      </c>
      <c r="M4522" s="364" t="str">
        <f>IFERROR(IF([1]F_ProductBM!M1816 = "", "", [1]F_ProductBM!M1816 ),"")</f>
        <v/>
      </c>
      <c r="N4522" s="367" t="str">
        <f>IFERROR(IF([1]F_ProductBM!N1816 = "", "", [1]F_ProductBM!N1816 ),"")</f>
        <v/>
      </c>
    </row>
    <row r="4523" spans="3:14">
      <c r="C4523" s="977"/>
      <c r="D4523" s="777"/>
      <c r="E4523" s="777"/>
      <c r="F4523" s="777"/>
      <c r="G4523" s="777"/>
      <c r="H4523" s="777"/>
      <c r="I4523" s="777"/>
      <c r="J4523" s="777"/>
      <c r="K4523" s="777"/>
      <c r="L4523" s="777"/>
      <c r="M4523" s="777"/>
      <c r="N4523" s="1007"/>
    </row>
    <row r="4524" spans="3:14">
      <c r="C4524" s="977"/>
      <c r="D4524" s="777" t="s">
        <v>788</v>
      </c>
      <c r="E4524" s="813" t="s">
        <v>1146</v>
      </c>
      <c r="F4524" s="813"/>
      <c r="G4524" s="813"/>
      <c r="H4524" s="813"/>
      <c r="I4524" s="813"/>
      <c r="J4524" s="813"/>
      <c r="K4524" s="813"/>
      <c r="L4524" s="813"/>
      <c r="M4524" s="813"/>
      <c r="N4524" s="1007"/>
    </row>
    <row r="4525" spans="3:14">
      <c r="C4525" s="977"/>
      <c r="D4525" s="777"/>
      <c r="E4525" s="1017" t="s">
        <v>1459</v>
      </c>
      <c r="F4525" s="978"/>
      <c r="G4525" s="978"/>
      <c r="H4525" s="978"/>
      <c r="I4525" s="978"/>
      <c r="J4525" s="978"/>
      <c r="K4525" s="978"/>
      <c r="L4525" s="978"/>
      <c r="M4525" s="978"/>
      <c r="N4525" s="979"/>
    </row>
    <row r="4526" spans="3:14">
      <c r="C4526" s="977"/>
      <c r="D4526" s="777"/>
      <c r="E4526" s="2699" t="str">
        <f>IFERROR(IF([1]F_ProductBM!E1820 = "", "", [1]F_ProductBM!E1820 ),"")</f>
        <v/>
      </c>
      <c r="F4526" s="2700"/>
      <c r="G4526" s="2700"/>
      <c r="H4526" s="2700"/>
      <c r="I4526" s="2700"/>
      <c r="J4526" s="2700"/>
      <c r="K4526" s="2700"/>
      <c r="L4526" s="2700"/>
      <c r="M4526" s="2701"/>
      <c r="N4526" s="1007"/>
    </row>
    <row r="4527" spans="3:14">
      <c r="C4527" s="977"/>
      <c r="D4527" s="777"/>
      <c r="E4527" s="2702"/>
      <c r="F4527" s="2703"/>
      <c r="G4527" s="2703"/>
      <c r="H4527" s="2703"/>
      <c r="I4527" s="2703"/>
      <c r="J4527" s="2703"/>
      <c r="K4527" s="2703"/>
      <c r="L4527" s="2703"/>
      <c r="M4527" s="2704"/>
      <c r="N4527" s="1007"/>
    </row>
    <row r="4528" spans="3:14" ht="13.5" thickBot="1">
      <c r="C4528" s="1018"/>
      <c r="D4528" s="1019"/>
      <c r="E4528" s="1019"/>
      <c r="F4528" s="1019"/>
      <c r="G4528" s="1019"/>
      <c r="H4528" s="1019"/>
      <c r="I4528" s="1019"/>
      <c r="J4528" s="1019"/>
      <c r="K4528" s="1019"/>
      <c r="L4528" s="1019"/>
      <c r="M4528" s="805"/>
      <c r="N4528" s="806"/>
    </row>
    <row r="4529" spans="3:14" ht="13.5" thickBot="1">
      <c r="C4529" s="467"/>
      <c r="D4529" s="467"/>
      <c r="E4529" s="467"/>
      <c r="F4529" s="467"/>
      <c r="G4529" s="467"/>
      <c r="H4529" s="467"/>
      <c r="I4529" s="467"/>
      <c r="J4529" s="467"/>
      <c r="K4529" s="467"/>
      <c r="L4529" s="467"/>
      <c r="M4529" s="481"/>
      <c r="N4529" s="481"/>
    </row>
    <row r="4530" spans="3:14">
      <c r="C4530" s="1020"/>
      <c r="D4530" s="1020"/>
      <c r="E4530" s="1020"/>
      <c r="F4530" s="1020"/>
      <c r="G4530" s="1020"/>
      <c r="H4530" s="1020"/>
      <c r="I4530" s="1020"/>
      <c r="J4530" s="1020"/>
      <c r="K4530" s="1020"/>
      <c r="L4530" s="1020"/>
      <c r="M4530" s="1020"/>
      <c r="N4530" s="1020"/>
    </row>
    <row r="4531" spans="3:14" ht="15">
      <c r="C4531" s="897">
        <v>7</v>
      </c>
      <c r="D4531" s="2482" t="s">
        <v>2704</v>
      </c>
      <c r="E4531" s="2400"/>
      <c r="F4531" s="2400"/>
      <c r="G4531" s="2400"/>
      <c r="H4531" s="2585"/>
      <c r="I4531" s="2489" t="str">
        <f>IFERROR(IF([1]F_ProductBM!I1825 = "", "", [1]F_ProductBM!I1825 ),"")</f>
        <v/>
      </c>
      <c r="J4531" s="2534"/>
      <c r="K4531" s="2534"/>
      <c r="L4531" s="2534"/>
      <c r="M4531" s="2534"/>
      <c r="N4531" s="2535"/>
    </row>
    <row r="4532" spans="3:14">
      <c r="C4532" s="479"/>
      <c r="D4532" s="485"/>
      <c r="E4532" s="2465" t="s">
        <v>2706</v>
      </c>
      <c r="F4532" s="2400"/>
      <c r="G4532" s="2400"/>
      <c r="H4532" s="2400"/>
      <c r="I4532" s="2400"/>
      <c r="J4532" s="2400"/>
      <c r="K4532" s="2400"/>
      <c r="L4532" s="2400"/>
      <c r="M4532" s="2400"/>
      <c r="N4532" s="2400"/>
    </row>
    <row r="4533" spans="3:14">
      <c r="C4533" s="479"/>
      <c r="D4533" s="479"/>
      <c r="E4533" s="479"/>
      <c r="F4533" s="479"/>
      <c r="G4533" s="479"/>
      <c r="H4533" s="479"/>
      <c r="I4533" s="479"/>
      <c r="J4533" s="479"/>
      <c r="K4533" s="479"/>
      <c r="L4533" s="479"/>
      <c r="M4533" s="485"/>
      <c r="N4533" s="485"/>
    </row>
    <row r="4534" spans="3:14">
      <c r="C4534" s="479"/>
      <c r="D4534" s="482" t="s">
        <v>400</v>
      </c>
      <c r="E4534" s="2373" t="s">
        <v>1930</v>
      </c>
      <c r="F4534" s="2400"/>
      <c r="G4534" s="2400"/>
      <c r="H4534" s="2400"/>
      <c r="I4534" s="2400"/>
      <c r="J4534" s="2400"/>
      <c r="K4534" s="2400"/>
      <c r="L4534" s="2400"/>
      <c r="M4534" s="2400"/>
      <c r="N4534" s="2400"/>
    </row>
    <row r="4535" spans="3:14">
      <c r="C4535" s="479"/>
      <c r="D4535" s="485"/>
      <c r="E4535" s="2465" t="s">
        <v>801</v>
      </c>
      <c r="F4535" s="2400"/>
      <c r="G4535" s="2400"/>
      <c r="H4535" s="2400"/>
      <c r="I4535" s="2400"/>
      <c r="J4535" s="2400"/>
      <c r="K4535" s="2400"/>
      <c r="L4535" s="2400"/>
      <c r="M4535" s="2400"/>
      <c r="N4535" s="2400"/>
    </row>
    <row r="4536" spans="3:14">
      <c r="C4536" s="479"/>
      <c r="D4536" s="485"/>
      <c r="E4536" s="2465" t="s">
        <v>1199</v>
      </c>
      <c r="F4536" s="2400"/>
      <c r="G4536" s="2400"/>
      <c r="H4536" s="2400"/>
      <c r="I4536" s="2400"/>
      <c r="J4536" s="2400"/>
      <c r="K4536" s="2400"/>
      <c r="L4536" s="2400"/>
      <c r="M4536" s="2400"/>
      <c r="N4536" s="2400"/>
    </row>
    <row r="4537" spans="3:14">
      <c r="C4537" s="479"/>
      <c r="D4537" s="485"/>
      <c r="E4537" s="2465" t="s">
        <v>125</v>
      </c>
      <c r="F4537" s="2400"/>
      <c r="G4537" s="2400"/>
      <c r="H4537" s="2400"/>
      <c r="I4537" s="2400"/>
      <c r="J4537" s="2400"/>
      <c r="K4537" s="2400"/>
      <c r="L4537" s="2400"/>
      <c r="M4537" s="2400"/>
      <c r="N4537" s="2400"/>
    </row>
    <row r="4538" spans="3:14">
      <c r="C4538" s="485"/>
      <c r="D4538" s="482"/>
      <c r="E4538" s="2509" t="s">
        <v>1447</v>
      </c>
      <c r="F4538" s="2509"/>
      <c r="G4538" s="663" t="s">
        <v>884</v>
      </c>
      <c r="H4538" s="578">
        <v>2019</v>
      </c>
      <c r="I4538" s="697">
        <v>2020</v>
      </c>
      <c r="J4538" s="696">
        <v>2021</v>
      </c>
      <c r="K4538" s="578">
        <v>2022</v>
      </c>
      <c r="L4538" s="578">
        <v>2023</v>
      </c>
      <c r="M4538" s="578">
        <v>2024</v>
      </c>
      <c r="N4538" s="671">
        <v>2025</v>
      </c>
    </row>
    <row r="4539" spans="3:14">
      <c r="C4539" s="485"/>
      <c r="D4539" s="561" t="s">
        <v>6</v>
      </c>
      <c r="E4539" s="2696" t="str">
        <f>IFERROR(IF([1]F_ProductBM!E1833 = "", "", [1]F_ProductBM!E1833 ),"")</f>
        <v/>
      </c>
      <c r="F4539" s="2696"/>
      <c r="G4539" s="74" t="str">
        <f>IFERROR(IF([1]F_ProductBM!G1833 = "", "", [1]F_ProductBM!G1833 ),"")</f>
        <v>tonnes</v>
      </c>
      <c r="H4539" s="277" t="str">
        <f>IFERROR(IF([1]F_ProductBM!H1833 = "", "", [1]F_ProductBM!H1833 ),"")</f>
        <v/>
      </c>
      <c r="I4539" s="275" t="str">
        <f>IFERROR(IF([1]F_ProductBM!I1833 = "", "", [1]F_ProductBM!I1833 ),"")</f>
        <v/>
      </c>
      <c r="J4539" s="276" t="str">
        <f>IFERROR(IF([1]F_ProductBM!J1833 = "", "", [1]F_ProductBM!J1833 ),"")</f>
        <v/>
      </c>
      <c r="K4539" s="277" t="str">
        <f>IFERROR(IF([1]F_ProductBM!K1833 = "", "", [1]F_ProductBM!K1833 ),"")</f>
        <v/>
      </c>
      <c r="L4539" s="277" t="str">
        <f>IFERROR(IF([1]F_ProductBM!L1833 = "", "", [1]F_ProductBM!L1833 ),"")</f>
        <v/>
      </c>
      <c r="M4539" s="277" t="str">
        <f>IFERROR(IF([1]F_ProductBM!M1833 = "", "", [1]F_ProductBM!M1833 ),"")</f>
        <v/>
      </c>
      <c r="N4539" s="277" t="str">
        <f>IFERROR(IF([1]F_ProductBM!N1833 = "", "", [1]F_ProductBM!N1833 ),"")</f>
        <v/>
      </c>
    </row>
    <row r="4540" spans="3:14">
      <c r="C4540" s="485"/>
      <c r="D4540" s="561" t="s">
        <v>7</v>
      </c>
      <c r="E4540" s="2696" t="str">
        <f>IFERROR(IF([1]F_ProductBM!E1834 = "", "", [1]F_ProductBM!E1834 ),"")</f>
        <v>From sheet "H_SpecialBM":</v>
      </c>
      <c r="F4540" s="2696"/>
      <c r="G4540" s="74" t="str">
        <f>IFERROR(IF([1]F_ProductBM!G1834 = "", "", [1]F_ProductBM!G1834 ),"")</f>
        <v>tonnes</v>
      </c>
      <c r="H4540" s="278" t="str">
        <f>IFERROR(IF([1]F_ProductBM!H1834 = "", "", [1]F_ProductBM!H1834 ),"")</f>
        <v/>
      </c>
      <c r="I4540" s="279" t="str">
        <f>IFERROR(IF([1]F_ProductBM!I1834 = "", "", [1]F_ProductBM!I1834 ),"")</f>
        <v/>
      </c>
      <c r="J4540" s="280" t="str">
        <f>IFERROR(IF([1]F_ProductBM!J1834 = "", "", [1]F_ProductBM!J1834 ),"")</f>
        <v/>
      </c>
      <c r="K4540" s="278" t="str">
        <f>IFERROR(IF([1]F_ProductBM!K1834 = "", "", [1]F_ProductBM!K1834 ),"")</f>
        <v/>
      </c>
      <c r="L4540" s="278" t="str">
        <f>IFERROR(IF([1]F_ProductBM!L1834 = "", "", [1]F_ProductBM!L1834 ),"")</f>
        <v/>
      </c>
      <c r="M4540" s="278" t="str">
        <f>IFERROR(IF([1]F_ProductBM!M1834 = "", "", [1]F_ProductBM!M1834 ),"")</f>
        <v/>
      </c>
      <c r="N4540" s="277" t="str">
        <f>IFERROR(IF([1]F_ProductBM!N1834 = "", "", [1]F_ProductBM!N1834 ),"")</f>
        <v/>
      </c>
    </row>
    <row r="4541" spans="3:14">
      <c r="C4541" s="485"/>
      <c r="D4541" s="561" t="s">
        <v>8</v>
      </c>
      <c r="E4541" s="2696" t="str">
        <f>IFERROR(IF([1]F_ProductBM!E1835 = "", "", [1]F_ProductBM!E1835 ),"")</f>
        <v>Values used for calculation:</v>
      </c>
      <c r="F4541" s="2696"/>
      <c r="G4541" s="74" t="str">
        <f>IFERROR(IF([1]F_ProductBM!G1835 = "", "", [1]F_ProductBM!G1835 ),"")</f>
        <v>tonnes</v>
      </c>
      <c r="H4541" s="278" t="str">
        <f>IFERROR(IF([1]F_ProductBM!H1835 = "", "", [1]F_ProductBM!H1835 ),"")</f>
        <v/>
      </c>
      <c r="I4541" s="279" t="str">
        <f>IFERROR(IF([1]F_ProductBM!I1835 = "", "", [1]F_ProductBM!I1835 ),"")</f>
        <v/>
      </c>
      <c r="J4541" s="280" t="str">
        <f>IFERROR(IF([1]F_ProductBM!J1835 = "", "", [1]F_ProductBM!J1835 ),"")</f>
        <v/>
      </c>
      <c r="K4541" s="278" t="str">
        <f>IFERROR(IF([1]F_ProductBM!K1835 = "", "", [1]F_ProductBM!K1835 ),"")</f>
        <v/>
      </c>
      <c r="L4541" s="278" t="str">
        <f>IFERROR(IF([1]F_ProductBM!L1835 = "", "", [1]F_ProductBM!L1835 ),"")</f>
        <v/>
      </c>
      <c r="M4541" s="278" t="str">
        <f>IFERROR(IF([1]F_ProductBM!M1835 = "", "", [1]F_ProductBM!M1835 ),"")</f>
        <v/>
      </c>
      <c r="N4541" s="277" t="str">
        <f>IFERROR(IF([1]F_ProductBM!N1835 = "", "", [1]F_ProductBM!N1835 ),"")</f>
        <v/>
      </c>
    </row>
    <row r="4542" spans="3:14">
      <c r="C4542" s="479"/>
      <c r="D4542" s="479"/>
      <c r="E4542" s="479"/>
      <c r="F4542" s="479"/>
      <c r="G4542" s="479"/>
      <c r="H4542" s="479"/>
      <c r="I4542" s="479"/>
      <c r="J4542" s="479"/>
      <c r="K4542" s="479"/>
      <c r="L4542" s="479"/>
      <c r="M4542" s="485"/>
      <c r="N4542" s="485"/>
    </row>
    <row r="4543" spans="3:14">
      <c r="C4543" s="479"/>
      <c r="D4543" s="561" t="s">
        <v>18</v>
      </c>
      <c r="E4543" s="2373" t="s">
        <v>922</v>
      </c>
      <c r="F4543" s="2373"/>
      <c r="G4543" s="2604"/>
      <c r="H4543" s="2652" t="s">
        <v>1857</v>
      </c>
      <c r="I4543" s="2689"/>
      <c r="J4543" s="2689"/>
      <c r="K4543" s="2689"/>
      <c r="L4543" s="2689"/>
      <c r="M4543" s="2689"/>
      <c r="N4543" s="2690"/>
    </row>
    <row r="4544" spans="3:14">
      <c r="C4544" s="479"/>
      <c r="D4544" s="485"/>
      <c r="E4544" s="2465" t="s">
        <v>923</v>
      </c>
      <c r="F4544" s="2400"/>
      <c r="G4544" s="2400"/>
      <c r="H4544" s="2400"/>
      <c r="I4544" s="2400"/>
      <c r="J4544" s="2400"/>
      <c r="K4544" s="2400"/>
      <c r="L4544" s="2400"/>
      <c r="M4544" s="2400"/>
      <c r="N4544" s="2400"/>
    </row>
    <row r="4545" spans="3:14">
      <c r="C4545" s="479"/>
      <c r="D4545" s="485"/>
      <c r="E4545" s="485"/>
      <c r="F4545" s="485"/>
      <c r="G4545" s="485"/>
      <c r="H4545" s="485"/>
      <c r="I4545" s="485"/>
      <c r="J4545" s="485"/>
      <c r="K4545" s="485"/>
      <c r="L4545" s="485"/>
      <c r="M4545" s="485"/>
      <c r="N4545" s="485"/>
    </row>
    <row r="4546" spans="3:14">
      <c r="C4546" s="479"/>
      <c r="D4546" s="482" t="s">
        <v>876</v>
      </c>
      <c r="E4546" s="2373" t="s">
        <v>1709</v>
      </c>
      <c r="F4546" s="2400"/>
      <c r="G4546" s="2400"/>
      <c r="H4546" s="2400"/>
      <c r="I4546" s="2400"/>
      <c r="J4546" s="2400"/>
      <c r="K4546" s="2400"/>
      <c r="L4546" s="2400"/>
      <c r="M4546" s="2400"/>
      <c r="N4546" s="2400"/>
    </row>
    <row r="4547" spans="3:14">
      <c r="C4547" s="479"/>
      <c r="D4547" s="485"/>
      <c r="E4547" s="2465" t="s">
        <v>1958</v>
      </c>
      <c r="F4547" s="2400"/>
      <c r="G4547" s="2400"/>
      <c r="H4547" s="2400"/>
      <c r="I4547" s="2400"/>
      <c r="J4547" s="2400"/>
      <c r="K4547" s="2400"/>
      <c r="L4547" s="2400"/>
      <c r="M4547" s="2400"/>
      <c r="N4547" s="2400"/>
    </row>
    <row r="4548" spans="3:14">
      <c r="C4548" s="479"/>
      <c r="D4548" s="485"/>
      <c r="E4548" s="2465" t="s">
        <v>1696</v>
      </c>
      <c r="F4548" s="2400"/>
      <c r="G4548" s="2400"/>
      <c r="H4548" s="2400"/>
      <c r="I4548" s="2400"/>
      <c r="J4548" s="2400"/>
      <c r="K4548" s="2400"/>
      <c r="L4548" s="2400"/>
      <c r="M4548" s="2400"/>
      <c r="N4548" s="2400"/>
    </row>
    <row r="4549" spans="3:14">
      <c r="C4549" s="479"/>
      <c r="D4549" s="485"/>
      <c r="E4549" s="901" t="s">
        <v>1021</v>
      </c>
      <c r="F4549" s="2651" t="s">
        <v>2711</v>
      </c>
      <c r="G4549" s="2584"/>
      <c r="H4549" s="2584"/>
      <c r="I4549" s="2584"/>
      <c r="J4549" s="2584"/>
      <c r="K4549" s="2584"/>
      <c r="L4549" s="2584"/>
      <c r="M4549" s="2584"/>
      <c r="N4549" s="2584"/>
    </row>
    <row r="4550" spans="3:14" ht="13.5" thickBot="1">
      <c r="C4550" s="479"/>
      <c r="D4550" s="485"/>
      <c r="E4550" s="901" t="s">
        <v>1021</v>
      </c>
      <c r="F4550" s="2651" t="s">
        <v>1985</v>
      </c>
      <c r="G4550" s="2584"/>
      <c r="H4550" s="2584"/>
      <c r="I4550" s="2584"/>
      <c r="J4550" s="2584"/>
      <c r="K4550" s="2584"/>
      <c r="L4550" s="2584"/>
      <c r="M4550" s="2584"/>
      <c r="N4550" s="2584"/>
    </row>
    <row r="4551" spans="3:14">
      <c r="C4551" s="479"/>
      <c r="D4551" s="902"/>
      <c r="E4551" s="903"/>
      <c r="F4551" s="904"/>
      <c r="G4551" s="905"/>
      <c r="H4551" s="905"/>
      <c r="I4551" s="905"/>
      <c r="J4551" s="905"/>
      <c r="K4551" s="905"/>
      <c r="L4551" s="905"/>
      <c r="M4551" s="905"/>
      <c r="N4551" s="906"/>
    </row>
    <row r="4552" spans="3:14">
      <c r="C4552" s="479"/>
      <c r="D4552" s="907"/>
      <c r="E4552" s="908" t="s">
        <v>1690</v>
      </c>
      <c r="F4552" s="909"/>
      <c r="G4552" s="909"/>
      <c r="H4552" s="910" t="s">
        <v>884</v>
      </c>
      <c r="I4552" s="911" t="s">
        <v>2212</v>
      </c>
      <c r="J4552" s="912">
        <v>2021</v>
      </c>
      <c r="K4552" s="913">
        <v>2022</v>
      </c>
      <c r="L4552" s="913">
        <v>2023</v>
      </c>
      <c r="M4552" s="913">
        <v>2024</v>
      </c>
      <c r="N4552" s="914">
        <v>2025</v>
      </c>
    </row>
    <row r="4553" spans="3:14">
      <c r="C4553" s="479"/>
      <c r="D4553" s="915" t="s">
        <v>6</v>
      </c>
      <c r="E4553" s="916" t="s">
        <v>1976</v>
      </c>
      <c r="F4553" s="916"/>
      <c r="G4553" s="916"/>
      <c r="H4553" s="63" t="str">
        <f>IFERROR(IF([1]F_ProductBM!H1847 = "", "", [1]F_ProductBM!H1847 ),"")</f>
        <v>tonnes</v>
      </c>
      <c r="I4553" s="281" t="str">
        <f>IFERROR(IF([1]F_ProductBM!I1847 = "", "", [1]F_ProductBM!I1847 ),"")</f>
        <v/>
      </c>
      <c r="J4553" s="282" t="str">
        <f>IFERROR(IF([1]F_ProductBM!J1847 = "", "", [1]F_ProductBM!J1847 ),"")</f>
        <v/>
      </c>
      <c r="K4553" s="283" t="str">
        <f>IFERROR(IF([1]F_ProductBM!K1847 = "", "", [1]F_ProductBM!K1847 ),"")</f>
        <v/>
      </c>
      <c r="L4553" s="283" t="str">
        <f>IFERROR(IF([1]F_ProductBM!L1847 = "", "", [1]F_ProductBM!L1847 ),"")</f>
        <v/>
      </c>
      <c r="M4553" s="283" t="str">
        <f>IFERROR(IF([1]F_ProductBM!M1847 = "", "", [1]F_ProductBM!M1847 ),"")</f>
        <v/>
      </c>
      <c r="N4553" s="284" t="str">
        <f>IFERROR(IF([1]F_ProductBM!N1847 = "", "", [1]F_ProductBM!N1847 ),"")</f>
        <v/>
      </c>
    </row>
    <row r="4554" spans="3:14">
      <c r="C4554" s="479"/>
      <c r="D4554" s="918"/>
      <c r="E4554" s="919" t="s">
        <v>1648</v>
      </c>
      <c r="F4554" s="919"/>
      <c r="G4554" s="919"/>
      <c r="H4554" s="920"/>
      <c r="I4554" s="919"/>
      <c r="J4554" s="285" t="str">
        <f>IFERROR(IF([1]F_ProductBM!J1848 = "", "", [1]F_ProductBM!J1848 ),"")</f>
        <v/>
      </c>
      <c r="K4554" s="286" t="str">
        <f>IFERROR(IF([1]F_ProductBM!K1848 = "", "", [1]F_ProductBM!K1848 ),"")</f>
        <v/>
      </c>
      <c r="L4554" s="286" t="str">
        <f>IFERROR(IF([1]F_ProductBM!L1848 = "", "", [1]F_ProductBM!L1848 ),"")</f>
        <v/>
      </c>
      <c r="M4554" s="286" t="str">
        <f>IFERROR(IF([1]F_ProductBM!M1848 = "", "", [1]F_ProductBM!M1848 ),"")</f>
        <v/>
      </c>
      <c r="N4554" s="287" t="str">
        <f>IFERROR(IF([1]F_ProductBM!N1848 = "", "", [1]F_ProductBM!N1848 ),"")</f>
        <v/>
      </c>
    </row>
    <row r="4555" spans="3:14">
      <c r="C4555" s="479"/>
      <c r="D4555" s="915" t="s">
        <v>7</v>
      </c>
      <c r="E4555" s="916" t="s">
        <v>1654</v>
      </c>
      <c r="F4555" s="916"/>
      <c r="G4555" s="916"/>
      <c r="H4555" s="921"/>
      <c r="I4555" s="916"/>
      <c r="J4555" s="288" t="str">
        <f>IFERROR(IF([1]F_ProductBM!J1849 = "", "", [1]F_ProductBM!J1849 ),"")</f>
        <v/>
      </c>
      <c r="K4555" s="289" t="str">
        <f>IFERROR(IF([1]F_ProductBM!K1849 = "", "", [1]F_ProductBM!K1849 ),"")</f>
        <v/>
      </c>
      <c r="L4555" s="289" t="str">
        <f>IFERROR(IF([1]F_ProductBM!L1849 = "", "", [1]F_ProductBM!L1849 ),"")</f>
        <v/>
      </c>
      <c r="M4555" s="289" t="str">
        <f>IFERROR(IF([1]F_ProductBM!M1849 = "", "", [1]F_ProductBM!M1849 ),"")</f>
        <v/>
      </c>
      <c r="N4555" s="290" t="str">
        <f>IFERROR(IF([1]F_ProductBM!N1849 = "", "", [1]F_ProductBM!N1849 ),"")</f>
        <v/>
      </c>
    </row>
    <row r="4556" spans="3:14">
      <c r="C4556" s="479"/>
      <c r="D4556" s="918"/>
      <c r="E4556" s="916" t="s">
        <v>1689</v>
      </c>
      <c r="F4556" s="916"/>
      <c r="G4556" s="916"/>
      <c r="H4556" s="63" t="str">
        <f>IFERROR(IF([1]F_ProductBM!H1850 = "", "", [1]F_ProductBM!H1850 ),"")</f>
        <v>tonnes</v>
      </c>
      <c r="I4556" s="281" t="str">
        <f>IFERROR(IF([1]F_ProductBM!I1850 = "", "", [1]F_ProductBM!I1850 ),"")</f>
        <v/>
      </c>
      <c r="J4556" s="282" t="str">
        <f>IFERROR(IF([1]F_ProductBM!J1850 = "", "", [1]F_ProductBM!J1850 ),"")</f>
        <v/>
      </c>
      <c r="K4556" s="283" t="str">
        <f>IFERROR(IF([1]F_ProductBM!K1850 = "", "", [1]F_ProductBM!K1850 ),"")</f>
        <v/>
      </c>
      <c r="L4556" s="283" t="str">
        <f>IFERROR(IF([1]F_ProductBM!L1850 = "", "", [1]F_ProductBM!L1850 ),"")</f>
        <v/>
      </c>
      <c r="M4556" s="283" t="str">
        <f>IFERROR(IF([1]F_ProductBM!M1850 = "", "", [1]F_ProductBM!M1850 ),"")</f>
        <v/>
      </c>
      <c r="N4556" s="284" t="str">
        <f>IFERROR(IF([1]F_ProductBM!N1850 = "", "", [1]F_ProductBM!N1850 ),"")</f>
        <v/>
      </c>
    </row>
    <row r="4557" spans="3:14">
      <c r="C4557" s="479"/>
      <c r="D4557" s="918"/>
      <c r="E4557" s="909"/>
      <c r="F4557" s="909"/>
      <c r="G4557" s="909"/>
      <c r="H4557" s="909"/>
      <c r="I4557" s="909"/>
      <c r="J4557" s="909"/>
      <c r="K4557" s="909"/>
      <c r="L4557" s="909"/>
      <c r="M4557" s="909"/>
      <c r="N4557" s="922"/>
    </row>
    <row r="4558" spans="3:14">
      <c r="C4558" s="479"/>
      <c r="D4558" s="918"/>
      <c r="E4558" s="923" t="s">
        <v>1653</v>
      </c>
      <c r="F4558" s="923"/>
      <c r="G4558" s="923"/>
      <c r="H4558" s="923"/>
      <c r="I4558" s="923"/>
      <c r="J4558" s="912">
        <v>2021</v>
      </c>
      <c r="K4558" s="913">
        <v>2022</v>
      </c>
      <c r="L4558" s="913">
        <v>2023</v>
      </c>
      <c r="M4558" s="913">
        <v>2024</v>
      </c>
      <c r="N4558" s="914">
        <v>2025</v>
      </c>
    </row>
    <row r="4559" spans="3:14">
      <c r="C4559" s="479"/>
      <c r="D4559" s="915" t="s">
        <v>8</v>
      </c>
      <c r="E4559" s="916" t="s">
        <v>2108</v>
      </c>
      <c r="F4559" s="916"/>
      <c r="G4559" s="916"/>
      <c r="H4559" s="916"/>
      <c r="I4559" s="916"/>
      <c r="J4559" s="69" t="str">
        <f>IFERROR(IF([1]F_ProductBM!J1853 = "", "", [1]F_ProductBM!J1853 ),"")</f>
        <v/>
      </c>
      <c r="K4559" s="62" t="str">
        <f>IFERROR(IF([1]F_ProductBM!K1853 = "", "", [1]F_ProductBM!K1853 ),"")</f>
        <v/>
      </c>
      <c r="L4559" s="62" t="str">
        <f>IFERROR(IF([1]F_ProductBM!L1853 = "", "", [1]F_ProductBM!L1853 ),"")</f>
        <v/>
      </c>
      <c r="M4559" s="62" t="str">
        <f>IFERROR(IF([1]F_ProductBM!M1853 = "", "", [1]F_ProductBM!M1853 ),"")</f>
        <v/>
      </c>
      <c r="N4559" s="70" t="str">
        <f>IFERROR(IF([1]F_ProductBM!N1853 = "", "", [1]F_ProductBM!N1853 ),"")</f>
        <v/>
      </c>
    </row>
    <row r="4560" spans="3:14" ht="13.5" thickBot="1">
      <c r="C4560" s="479"/>
      <c r="D4560" s="918"/>
      <c r="E4560" s="909"/>
      <c r="F4560" s="909"/>
      <c r="G4560" s="909"/>
      <c r="H4560" s="909"/>
      <c r="I4560" s="909"/>
      <c r="J4560" s="909"/>
      <c r="K4560" s="909"/>
      <c r="L4560" s="909"/>
      <c r="M4560" s="909"/>
      <c r="N4560" s="922"/>
    </row>
    <row r="4561" spans="3:14" ht="13.5" thickBot="1">
      <c r="C4561" s="479"/>
      <c r="D4561" s="915" t="s">
        <v>18</v>
      </c>
      <c r="E4561" s="916" t="s">
        <v>1657</v>
      </c>
      <c r="F4561" s="916"/>
      <c r="G4561" s="916"/>
      <c r="H4561" s="921"/>
      <c r="I4561" s="916"/>
      <c r="J4561" s="291" t="str">
        <f>IFERROR(IF([1]F_ProductBM!J1855 = "", "", [1]F_ProductBM!J1855 ),"")</f>
        <v/>
      </c>
      <c r="K4561" s="292" t="str">
        <f>IFERROR(IF([1]F_ProductBM!K1855 = "", "", [1]F_ProductBM!K1855 ),"")</f>
        <v/>
      </c>
      <c r="L4561" s="292" t="str">
        <f>IFERROR(IF([1]F_ProductBM!L1855 = "", "", [1]F_ProductBM!L1855 ),"")</f>
        <v/>
      </c>
      <c r="M4561" s="292" t="str">
        <f>IFERROR(IF([1]F_ProductBM!M1855 = "", "", [1]F_ProductBM!M1855 ),"")</f>
        <v/>
      </c>
      <c r="N4561" s="293" t="str">
        <f>IFERROR(IF([1]F_ProductBM!N1855 = "", "", [1]F_ProductBM!N1855 ),"")</f>
        <v/>
      </c>
    </row>
    <row r="4562" spans="3:14" ht="13.5" thickBot="1">
      <c r="C4562" s="479"/>
      <c r="D4562" s="915" t="s">
        <v>787</v>
      </c>
      <c r="E4562" s="916" t="s">
        <v>1659</v>
      </c>
      <c r="F4562" s="916"/>
      <c r="G4562" s="916"/>
      <c r="H4562" s="63" t="str">
        <f>IFERROR(IF([1]F_ProductBM!H1856 = "", "", [1]F_ProductBM!H1856 ),"")</f>
        <v>tonnes</v>
      </c>
      <c r="I4562" s="281" t="str">
        <f>IFERROR(IF([1]F_ProductBM!I1856 = "", "", [1]F_ProductBM!I1856 ),"")</f>
        <v/>
      </c>
      <c r="J4562" s="294" t="str">
        <f>IFERROR(IF([1]F_ProductBM!J1856 = "", "", [1]F_ProductBM!J1856 ),"")</f>
        <v/>
      </c>
      <c r="K4562" s="295" t="str">
        <f>IFERROR(IF([1]F_ProductBM!K1856 = "", "", [1]F_ProductBM!K1856 ),"")</f>
        <v/>
      </c>
      <c r="L4562" s="295" t="str">
        <f>IFERROR(IF([1]F_ProductBM!L1856 = "", "", [1]F_ProductBM!L1856 ),"")</f>
        <v/>
      </c>
      <c r="M4562" s="295" t="str">
        <f>IFERROR(IF([1]F_ProductBM!M1856 = "", "", [1]F_ProductBM!M1856 ),"")</f>
        <v/>
      </c>
      <c r="N4562" s="296" t="str">
        <f>IFERROR(IF([1]F_ProductBM!N1856 = "", "", [1]F_ProductBM!N1856 ),"")</f>
        <v/>
      </c>
    </row>
    <row r="4563" spans="3:14" ht="13.5" thickBot="1">
      <c r="C4563" s="479"/>
      <c r="D4563" s="924"/>
      <c r="E4563" s="925"/>
      <c r="F4563" s="925"/>
      <c r="G4563" s="925"/>
      <c r="H4563" s="925"/>
      <c r="I4563" s="925"/>
      <c r="J4563" s="925"/>
      <c r="K4563" s="925"/>
      <c r="L4563" s="925"/>
      <c r="M4563" s="925"/>
      <c r="N4563" s="926"/>
    </row>
    <row r="4564" spans="3:14">
      <c r="C4564" s="479"/>
      <c r="D4564" s="485"/>
      <c r="E4564" s="485"/>
      <c r="F4564" s="485"/>
      <c r="G4564" s="485"/>
      <c r="H4564" s="485"/>
      <c r="I4564" s="485"/>
      <c r="J4564" s="485"/>
      <c r="K4564" s="485"/>
      <c r="L4564" s="485"/>
      <c r="M4564" s="485"/>
      <c r="N4564" s="485"/>
    </row>
    <row r="4565" spans="3:14">
      <c r="C4565" s="479"/>
      <c r="D4565" s="2482" t="s">
        <v>1229</v>
      </c>
      <c r="E4565" s="2400"/>
      <c r="F4565" s="2400"/>
      <c r="G4565" s="2400"/>
      <c r="H4565" s="2400"/>
      <c r="I4565" s="2400"/>
      <c r="J4565" s="2400"/>
      <c r="K4565" s="2400"/>
      <c r="L4565" s="2400"/>
      <c r="M4565" s="2400"/>
      <c r="N4565" s="2400"/>
    </row>
    <row r="4566" spans="3:14">
      <c r="C4566" s="479"/>
      <c r="D4566" s="479"/>
      <c r="E4566" s="479"/>
      <c r="F4566" s="479"/>
      <c r="G4566" s="479"/>
      <c r="H4566" s="479"/>
      <c r="I4566" s="479"/>
      <c r="J4566" s="479"/>
      <c r="K4566" s="479"/>
      <c r="L4566" s="479"/>
      <c r="M4566" s="479"/>
      <c r="N4566" s="479"/>
    </row>
    <row r="4567" spans="3:14">
      <c r="C4567" s="485"/>
      <c r="D4567" s="482" t="s">
        <v>48</v>
      </c>
      <c r="E4567" s="2373" t="s">
        <v>800</v>
      </c>
      <c r="F4567" s="2400"/>
      <c r="G4567" s="2400"/>
      <c r="H4567" s="2400"/>
      <c r="I4567" s="2585"/>
      <c r="J4567" s="2652" t="s">
        <v>1857</v>
      </c>
      <c r="K4567" s="2653"/>
      <c r="L4567" s="2653"/>
      <c r="M4567" s="2653"/>
      <c r="N4567" s="2654"/>
    </row>
    <row r="4568" spans="3:14">
      <c r="C4568" s="479"/>
      <c r="D4568" s="485"/>
      <c r="E4568" s="2465" t="s">
        <v>1241</v>
      </c>
      <c r="F4568" s="2400"/>
      <c r="G4568" s="2400"/>
      <c r="H4568" s="2400"/>
      <c r="I4568" s="2400"/>
      <c r="J4568" s="2400"/>
      <c r="K4568" s="2400"/>
      <c r="L4568" s="2400"/>
      <c r="M4568" s="2400"/>
      <c r="N4568" s="2400"/>
    </row>
    <row r="4569" spans="3:14">
      <c r="C4569" s="479"/>
      <c r="D4569" s="485"/>
      <c r="E4569" s="2465" t="s">
        <v>1526</v>
      </c>
      <c r="F4569" s="2400"/>
      <c r="G4569" s="2400"/>
      <c r="H4569" s="2400"/>
      <c r="I4569" s="2400"/>
      <c r="J4569" s="2400"/>
      <c r="K4569" s="2400"/>
      <c r="L4569" s="2400"/>
      <c r="M4569" s="2400"/>
      <c r="N4569" s="2400"/>
    </row>
    <row r="4570" spans="3:14">
      <c r="C4570" s="479"/>
      <c r="D4570" s="485"/>
      <c r="E4570" s="2465" t="s">
        <v>1635</v>
      </c>
      <c r="F4570" s="2400"/>
      <c r="G4570" s="2400"/>
      <c r="H4570" s="2400"/>
      <c r="I4570" s="2400"/>
      <c r="J4570" s="2400"/>
      <c r="K4570" s="2400"/>
      <c r="L4570" s="2400"/>
      <c r="M4570" s="2400"/>
      <c r="N4570" s="2400"/>
    </row>
    <row r="4571" spans="3:14">
      <c r="C4571" s="485"/>
      <c r="D4571" s="482"/>
      <c r="E4571" s="927" t="s">
        <v>62</v>
      </c>
      <c r="F4571" s="518"/>
      <c r="G4571" s="663" t="s">
        <v>884</v>
      </c>
      <c r="H4571" s="578">
        <v>2019</v>
      </c>
      <c r="I4571" s="697">
        <v>2020</v>
      </c>
      <c r="J4571" s="696">
        <v>2021</v>
      </c>
      <c r="K4571" s="928">
        <v>2022</v>
      </c>
      <c r="L4571" s="578">
        <v>2023</v>
      </c>
      <c r="M4571" s="578">
        <v>2024</v>
      </c>
      <c r="N4571" s="578">
        <v>2025</v>
      </c>
    </row>
    <row r="4572" spans="3:14">
      <c r="C4572" s="485"/>
      <c r="D4572" s="561" t="s">
        <v>6</v>
      </c>
      <c r="E4572" s="863" t="s">
        <v>63</v>
      </c>
      <c r="F4572" s="863"/>
      <c r="G4572" s="579" t="s">
        <v>2015</v>
      </c>
      <c r="H4572" s="297" t="str">
        <f>IFERROR(IF([1]F_ProductBM!H1866 = "", "", [1]F_ProductBM!H1866 ),"")</f>
        <v/>
      </c>
      <c r="I4572" s="298" t="str">
        <f>IFERROR(IF([1]F_ProductBM!I1866 = "", "", [1]F_ProductBM!I1866 ),"")</f>
        <v/>
      </c>
      <c r="J4572" s="299" t="str">
        <f>IFERROR(IF([1]F_ProductBM!J1866 = "", "", [1]F_ProductBM!J1866 ),"")</f>
        <v/>
      </c>
      <c r="K4572" s="300" t="str">
        <f>IFERROR(IF([1]F_ProductBM!K1866 = "", "", [1]F_ProductBM!K1866 ),"")</f>
        <v/>
      </c>
      <c r="L4572" s="300" t="str">
        <f>IFERROR(IF([1]F_ProductBM!L1866 = "", "", [1]F_ProductBM!L1866 ),"")</f>
        <v/>
      </c>
      <c r="M4572" s="297" t="str">
        <f>IFERROR(IF([1]F_ProductBM!M1866 = "", "", [1]F_ProductBM!M1866 ),"")</f>
        <v/>
      </c>
      <c r="N4572" s="297" t="str">
        <f>IFERROR(IF([1]F_ProductBM!N1866 = "", "", [1]F_ProductBM!N1866 ),"")</f>
        <v/>
      </c>
    </row>
    <row r="4573" spans="3:14">
      <c r="C4573" s="485"/>
      <c r="D4573" s="561" t="s">
        <v>7</v>
      </c>
      <c r="E4573" s="865" t="s">
        <v>257</v>
      </c>
      <c r="F4573" s="865"/>
      <c r="G4573" s="582" t="s">
        <v>2017</v>
      </c>
      <c r="H4573" s="134" t="str">
        <f>IFERROR(IF([1]F_ProductBM!H1867 = "", "", [1]F_ProductBM!H1867 ),"")</f>
        <v/>
      </c>
      <c r="I4573" s="301" t="str">
        <f>IFERROR(IF([1]F_ProductBM!I1867 = "", "", [1]F_ProductBM!I1867 ),"")</f>
        <v/>
      </c>
      <c r="J4573" s="302" t="str">
        <f>IFERROR(IF([1]F_ProductBM!J1867 = "", "", [1]F_ProductBM!J1867 ),"")</f>
        <v/>
      </c>
      <c r="K4573" s="303" t="str">
        <f>IFERROR(IF([1]F_ProductBM!K1867 = "", "", [1]F_ProductBM!K1867 ),"")</f>
        <v/>
      </c>
      <c r="L4573" s="134" t="str">
        <f>IFERROR(IF([1]F_ProductBM!L1867 = "", "", [1]F_ProductBM!L1867 ),"")</f>
        <v/>
      </c>
      <c r="M4573" s="134" t="str">
        <f>IFERROR(IF([1]F_ProductBM!M1867 = "", "", [1]F_ProductBM!M1867 ),"")</f>
        <v/>
      </c>
      <c r="N4573" s="134" t="str">
        <f>IFERROR(IF([1]F_ProductBM!N1867 = "", "", [1]F_ProductBM!N1867 ),"")</f>
        <v/>
      </c>
    </row>
    <row r="4574" spans="3:14">
      <c r="C4574" s="485"/>
      <c r="D4574" s="561" t="s">
        <v>8</v>
      </c>
      <c r="E4574" s="932" t="s">
        <v>914</v>
      </c>
      <c r="F4574" s="932"/>
      <c r="G4574" s="933" t="s">
        <v>2021</v>
      </c>
      <c r="H4574" s="109" t="str">
        <f>IFERROR(IF([1]F_ProductBM!H1868 = "", "", [1]F_ProductBM!H1868 ),"")</f>
        <v/>
      </c>
      <c r="I4574" s="304" t="str">
        <f>IFERROR(IF([1]F_ProductBM!I1868 = "", "", [1]F_ProductBM!I1868 ),"")</f>
        <v/>
      </c>
      <c r="J4574" s="305" t="str">
        <f>IFERROR(IF([1]F_ProductBM!J1868 = "", "", [1]F_ProductBM!J1868 ),"")</f>
        <v/>
      </c>
      <c r="K4574" s="306" t="str">
        <f>IFERROR(IF([1]F_ProductBM!K1868 = "", "", [1]F_ProductBM!K1868 ),"")</f>
        <v/>
      </c>
      <c r="L4574" s="109" t="str">
        <f>IFERROR(IF([1]F_ProductBM!L1868 = "", "", [1]F_ProductBM!L1868 ),"")</f>
        <v/>
      </c>
      <c r="M4574" s="109" t="str">
        <f>IFERROR(IF([1]F_ProductBM!M1868 = "", "", [1]F_ProductBM!M1868 ),"")</f>
        <v/>
      </c>
      <c r="N4574" s="109" t="str">
        <f>IFERROR(IF([1]F_ProductBM!N1868 = "", "", [1]F_ProductBM!N1868 ),"")</f>
        <v/>
      </c>
    </row>
    <row r="4575" spans="3:14">
      <c r="C4575" s="485"/>
      <c r="D4575" s="561" t="s">
        <v>18</v>
      </c>
      <c r="E4575" s="863" t="s">
        <v>915</v>
      </c>
      <c r="F4575" s="863"/>
      <c r="G4575" s="579" t="s">
        <v>2015</v>
      </c>
      <c r="H4575" s="297" t="str">
        <f>IFERROR(IF([1]F_ProductBM!H1869 = "", "", [1]F_ProductBM!H1869 ),"")</f>
        <v/>
      </c>
      <c r="I4575" s="298" t="str">
        <f>IFERROR(IF([1]F_ProductBM!I1869 = "", "", [1]F_ProductBM!I1869 ),"")</f>
        <v/>
      </c>
      <c r="J4575" s="299" t="str">
        <f>IFERROR(IF([1]F_ProductBM!J1869 = "", "", [1]F_ProductBM!J1869 ),"")</f>
        <v/>
      </c>
      <c r="K4575" s="300" t="str">
        <f>IFERROR(IF([1]F_ProductBM!K1869 = "", "", [1]F_ProductBM!K1869 ),"")</f>
        <v/>
      </c>
      <c r="L4575" s="300" t="str">
        <f>IFERROR(IF([1]F_ProductBM!L1869 = "", "", [1]F_ProductBM!L1869 ),"")</f>
        <v/>
      </c>
      <c r="M4575" s="297" t="str">
        <f>IFERROR(IF([1]F_ProductBM!M1869 = "", "", [1]F_ProductBM!M1869 ),"")</f>
        <v/>
      </c>
      <c r="N4575" s="297" t="str">
        <f>IFERROR(IF([1]F_ProductBM!N1869 = "", "", [1]F_ProductBM!N1869 ),"")</f>
        <v/>
      </c>
    </row>
    <row r="4576" spans="3:14">
      <c r="C4576" s="485"/>
      <c r="D4576" s="561" t="s">
        <v>787</v>
      </c>
      <c r="E4576" s="867" t="s">
        <v>916</v>
      </c>
      <c r="F4576" s="867"/>
      <c r="G4576" s="584" t="s">
        <v>2015</v>
      </c>
      <c r="H4576" s="307" t="str">
        <f>IFERROR(IF([1]F_ProductBM!H1870 = "", "", [1]F_ProductBM!H1870 ),"")</f>
        <v/>
      </c>
      <c r="I4576" s="308" t="str">
        <f>IFERROR(IF([1]F_ProductBM!I1870 = "", "", [1]F_ProductBM!I1870 ),"")</f>
        <v/>
      </c>
      <c r="J4576" s="309" t="str">
        <f>IFERROR(IF([1]F_ProductBM!J1870 = "", "", [1]F_ProductBM!J1870 ),"")</f>
        <v/>
      </c>
      <c r="K4576" s="310" t="str">
        <f>IFERROR(IF([1]F_ProductBM!K1870 = "", "", [1]F_ProductBM!K1870 ),"")</f>
        <v/>
      </c>
      <c r="L4576" s="310" t="str">
        <f>IFERROR(IF([1]F_ProductBM!L1870 = "", "", [1]F_ProductBM!L1870 ),"")</f>
        <v/>
      </c>
      <c r="M4576" s="307" t="str">
        <f>IFERROR(IF([1]F_ProductBM!M1870 = "", "", [1]F_ProductBM!M1870 ),"")</f>
        <v/>
      </c>
      <c r="N4576" s="307" t="str">
        <f>IFERROR(IF([1]F_ProductBM!N1870 = "", "", [1]F_ProductBM!N1870 ),"")</f>
        <v/>
      </c>
    </row>
    <row r="4577" spans="3:14">
      <c r="C4577" s="479"/>
      <c r="D4577" s="479"/>
      <c r="E4577" s="479"/>
      <c r="F4577" s="479"/>
      <c r="G4577" s="479"/>
      <c r="H4577" s="479"/>
      <c r="I4577" s="479"/>
      <c r="J4577" s="937"/>
      <c r="K4577" s="479"/>
      <c r="L4577" s="479"/>
      <c r="M4577" s="485"/>
      <c r="N4577" s="485"/>
    </row>
    <row r="4578" spans="3:14">
      <c r="C4578" s="479"/>
      <c r="D4578" s="561" t="s">
        <v>788</v>
      </c>
      <c r="E4578" s="698" t="s">
        <v>1389</v>
      </c>
      <c r="F4578" s="938"/>
      <c r="G4578" s="939" t="s">
        <v>1021</v>
      </c>
      <c r="H4578" s="311" t="str">
        <f>IFERROR(IF([1]F_ProductBM!H1872 = "", "", [1]F_ProductBM!H1872 ),"")</f>
        <v/>
      </c>
      <c r="I4578" s="312" t="str">
        <f>IFERROR(IF([1]F_ProductBM!I1872 = "", "", [1]F_ProductBM!I1872 ),"")</f>
        <v/>
      </c>
      <c r="J4578" s="313" t="str">
        <f>IFERROR(IF([1]F_ProductBM!J1872 = "", "", [1]F_ProductBM!J1872 ),"")</f>
        <v/>
      </c>
      <c r="K4578" s="314" t="str">
        <f>IFERROR(IF([1]F_ProductBM!K1872 = "", "", [1]F_ProductBM!K1872 ),"")</f>
        <v/>
      </c>
      <c r="L4578" s="311" t="str">
        <f>IFERROR(IF([1]F_ProductBM!L1872 = "", "", [1]F_ProductBM!L1872 ),"")</f>
        <v/>
      </c>
      <c r="M4578" s="311" t="str">
        <f>IFERROR(IF([1]F_ProductBM!M1872 = "", "", [1]F_ProductBM!M1872 ),"")</f>
        <v/>
      </c>
      <c r="N4578" s="311" t="str">
        <f>IFERROR(IF([1]F_ProductBM!N1872 = "", "", [1]F_ProductBM!N1872 ),"")</f>
        <v/>
      </c>
    </row>
    <row r="4579" spans="3:14">
      <c r="C4579" s="479"/>
      <c r="D4579" s="479"/>
      <c r="E4579" s="479"/>
      <c r="F4579" s="479"/>
      <c r="G4579" s="479"/>
      <c r="H4579" s="479"/>
      <c r="I4579" s="479"/>
      <c r="J4579" s="479"/>
      <c r="K4579" s="479"/>
      <c r="L4579" s="479"/>
      <c r="M4579" s="485"/>
      <c r="N4579" s="485"/>
    </row>
    <row r="4580" spans="3:14" ht="21" customHeight="1" thickBot="1">
      <c r="C4580" s="479"/>
      <c r="D4580" s="485"/>
      <c r="E4580" s="2465" t="s">
        <v>2709</v>
      </c>
      <c r="F4580" s="2400"/>
      <c r="G4580" s="2400"/>
      <c r="H4580" s="2400"/>
      <c r="I4580" s="2400"/>
      <c r="J4580" s="2400"/>
      <c r="K4580" s="2400"/>
      <c r="L4580" s="2400"/>
      <c r="M4580" s="2400"/>
      <c r="N4580" s="2400"/>
    </row>
    <row r="4581" spans="3:14">
      <c r="C4581" s="479"/>
      <c r="D4581" s="902"/>
      <c r="E4581" s="942"/>
      <c r="F4581" s="942"/>
      <c r="G4581" s="942"/>
      <c r="H4581" s="942"/>
      <c r="I4581" s="942"/>
      <c r="J4581" s="942"/>
      <c r="K4581" s="942"/>
      <c r="L4581" s="942"/>
      <c r="M4581" s="942"/>
      <c r="N4581" s="943"/>
    </row>
    <row r="4582" spans="3:14">
      <c r="C4582" s="479"/>
      <c r="D4582" s="907" t="s">
        <v>1915</v>
      </c>
      <c r="E4582" s="908" t="s">
        <v>1775</v>
      </c>
      <c r="F4582" s="909"/>
      <c r="G4582" s="909"/>
      <c r="H4582" s="910" t="s">
        <v>884</v>
      </c>
      <c r="I4582" s="911" t="s">
        <v>2213</v>
      </c>
      <c r="J4582" s="912">
        <v>2021</v>
      </c>
      <c r="K4582" s="913">
        <v>2022</v>
      </c>
      <c r="L4582" s="913">
        <v>2023</v>
      </c>
      <c r="M4582" s="913">
        <v>2024</v>
      </c>
      <c r="N4582" s="914">
        <v>2025</v>
      </c>
    </row>
    <row r="4583" spans="3:14">
      <c r="C4583" s="479"/>
      <c r="D4583" s="915" t="s">
        <v>6</v>
      </c>
      <c r="E4583" s="916" t="s">
        <v>1691</v>
      </c>
      <c r="F4583" s="916"/>
      <c r="G4583" s="916"/>
      <c r="H4583" s="944" t="s">
        <v>1021</v>
      </c>
      <c r="I4583" s="315" t="str">
        <f>IFERROR(IF([1]F_ProductBM!I1877 = "", "", [1]F_ProductBM!I1877 ),"")</f>
        <v/>
      </c>
      <c r="J4583" s="316" t="str">
        <f>IFERROR(IF([1]F_ProductBM!J1877 = "", "", [1]F_ProductBM!J1877 ),"")</f>
        <v/>
      </c>
      <c r="K4583" s="317" t="str">
        <f>IFERROR(IF([1]F_ProductBM!K1877 = "", "", [1]F_ProductBM!K1877 ),"")</f>
        <v/>
      </c>
      <c r="L4583" s="317" t="str">
        <f>IFERROR(IF([1]F_ProductBM!L1877 = "", "", [1]F_ProductBM!L1877 ),"")</f>
        <v/>
      </c>
      <c r="M4583" s="317" t="str">
        <f>IFERROR(IF([1]F_ProductBM!M1877 = "", "", [1]F_ProductBM!M1877 ),"")</f>
        <v/>
      </c>
      <c r="N4583" s="318" t="str">
        <f>IFERROR(IF([1]F_ProductBM!N1877 = "", "", [1]F_ProductBM!N1877 ),"")</f>
        <v/>
      </c>
    </row>
    <row r="4584" spans="3:14">
      <c r="C4584" s="479"/>
      <c r="D4584" s="915"/>
      <c r="E4584" s="916" t="s">
        <v>1776</v>
      </c>
      <c r="F4584" s="916"/>
      <c r="G4584" s="916"/>
      <c r="H4584" s="921"/>
      <c r="I4584" s="916"/>
      <c r="J4584" s="319" t="str">
        <f>IFERROR(IF([1]F_ProductBM!J1878 = "", "", [1]F_ProductBM!J1878 ),"")</f>
        <v/>
      </c>
      <c r="K4584" s="320" t="str">
        <f>IFERROR(IF([1]F_ProductBM!K1878 = "", "", [1]F_ProductBM!K1878 ),"")</f>
        <v/>
      </c>
      <c r="L4584" s="320" t="str">
        <f>IFERROR(IF([1]F_ProductBM!L1878 = "", "", [1]F_ProductBM!L1878 ),"")</f>
        <v/>
      </c>
      <c r="M4584" s="320" t="str">
        <f>IFERROR(IF([1]F_ProductBM!M1878 = "", "", [1]F_ProductBM!M1878 ),"")</f>
        <v/>
      </c>
      <c r="N4584" s="321" t="str">
        <f>IFERROR(IF([1]F_ProductBM!N1878 = "", "", [1]F_ProductBM!N1878 ),"")</f>
        <v/>
      </c>
    </row>
    <row r="4585" spans="3:14">
      <c r="C4585" s="479"/>
      <c r="D4585" s="915" t="s">
        <v>7</v>
      </c>
      <c r="E4585" s="916" t="s">
        <v>1654</v>
      </c>
      <c r="F4585" s="916"/>
      <c r="G4585" s="916"/>
      <c r="H4585" s="921"/>
      <c r="I4585" s="916"/>
      <c r="J4585" s="288" t="str">
        <f>IFERROR(IF([1]F_ProductBM!J1879 = "", "", [1]F_ProductBM!J1879 ),"")</f>
        <v/>
      </c>
      <c r="K4585" s="289" t="str">
        <f>IFERROR(IF([1]F_ProductBM!K1879 = "", "", [1]F_ProductBM!K1879 ),"")</f>
        <v/>
      </c>
      <c r="L4585" s="289" t="str">
        <f>IFERROR(IF([1]F_ProductBM!L1879 = "", "", [1]F_ProductBM!L1879 ),"")</f>
        <v/>
      </c>
      <c r="M4585" s="289" t="str">
        <f>IFERROR(IF([1]F_ProductBM!M1879 = "", "", [1]F_ProductBM!M1879 ),"")</f>
        <v/>
      </c>
      <c r="N4585" s="290" t="str">
        <f>IFERROR(IF([1]F_ProductBM!N1879 = "", "", [1]F_ProductBM!N1879 ),"")</f>
        <v/>
      </c>
    </row>
    <row r="4586" spans="3:14">
      <c r="C4586" s="479"/>
      <c r="D4586" s="915"/>
      <c r="E4586" s="916" t="s">
        <v>1689</v>
      </c>
      <c r="F4586" s="916"/>
      <c r="G4586" s="916"/>
      <c r="H4586" s="944" t="s">
        <v>1021</v>
      </c>
      <c r="I4586" s="315" t="str">
        <f>IFERROR(IF([1]F_ProductBM!I1880 = "", "", [1]F_ProductBM!I1880 ),"")</f>
        <v/>
      </c>
      <c r="J4586" s="322" t="str">
        <f>IFERROR(IF([1]F_ProductBM!J1880 = "", "", [1]F_ProductBM!J1880 ),"")</f>
        <v/>
      </c>
      <c r="K4586" s="323" t="str">
        <f>IFERROR(IF([1]F_ProductBM!K1880 = "", "", [1]F_ProductBM!K1880 ),"")</f>
        <v/>
      </c>
      <c r="L4586" s="323" t="str">
        <f>IFERROR(IF([1]F_ProductBM!L1880 = "", "", [1]F_ProductBM!L1880 ),"")</f>
        <v/>
      </c>
      <c r="M4586" s="323" t="str">
        <f>IFERROR(IF([1]F_ProductBM!M1880 = "", "", [1]F_ProductBM!M1880 ),"")</f>
        <v/>
      </c>
      <c r="N4586" s="324" t="str">
        <f>IFERROR(IF([1]F_ProductBM!N1880 = "", "", [1]F_ProductBM!N1880 ),"")</f>
        <v/>
      </c>
    </row>
    <row r="4587" spans="3:14">
      <c r="C4587" s="479"/>
      <c r="D4587" s="915"/>
      <c r="E4587" s="909"/>
      <c r="F4587" s="909"/>
      <c r="G4587" s="909"/>
      <c r="H4587" s="909"/>
      <c r="I4587" s="909"/>
      <c r="J4587" s="909"/>
      <c r="K4587" s="909"/>
      <c r="L4587" s="909"/>
      <c r="M4587" s="909"/>
      <c r="N4587" s="922"/>
    </row>
    <row r="4588" spans="3:14">
      <c r="C4588" s="479"/>
      <c r="D4588" s="915"/>
      <c r="E4588" s="923" t="s">
        <v>1653</v>
      </c>
      <c r="F4588" s="923"/>
      <c r="G4588" s="923"/>
      <c r="H4588" s="923"/>
      <c r="I4588" s="923"/>
      <c r="J4588" s="912">
        <v>2021</v>
      </c>
      <c r="K4588" s="913">
        <v>2022</v>
      </c>
      <c r="L4588" s="913">
        <v>2023</v>
      </c>
      <c r="M4588" s="913">
        <v>2024</v>
      </c>
      <c r="N4588" s="914">
        <v>2025</v>
      </c>
    </row>
    <row r="4589" spans="3:14">
      <c r="C4589" s="479"/>
      <c r="D4589" s="915" t="s">
        <v>8</v>
      </c>
      <c r="E4589" s="916" t="s">
        <v>2108</v>
      </c>
      <c r="F4589" s="916"/>
      <c r="G4589" s="916"/>
      <c r="H4589" s="916"/>
      <c r="I4589" s="916"/>
      <c r="J4589" s="69" t="str">
        <f>IFERROR(IF([1]F_ProductBM!J1883 = "", "", [1]F_ProductBM!J1883 ),"")</f>
        <v/>
      </c>
      <c r="K4589" s="62" t="str">
        <f>IFERROR(IF([1]F_ProductBM!K1883 = "", "", [1]F_ProductBM!K1883 ),"")</f>
        <v/>
      </c>
      <c r="L4589" s="62" t="str">
        <f>IFERROR(IF([1]F_ProductBM!L1883 = "", "", [1]F_ProductBM!L1883 ),"")</f>
        <v/>
      </c>
      <c r="M4589" s="62" t="str">
        <f>IFERROR(IF([1]F_ProductBM!M1883 = "", "", [1]F_ProductBM!M1883 ),"")</f>
        <v/>
      </c>
      <c r="N4589" s="70" t="str">
        <f>IFERROR(IF([1]F_ProductBM!N1883 = "", "", [1]F_ProductBM!N1883 ),"")</f>
        <v/>
      </c>
    </row>
    <row r="4590" spans="3:14" ht="13.5" thickBot="1">
      <c r="C4590" s="479"/>
      <c r="D4590" s="915"/>
      <c r="E4590" s="909"/>
      <c r="F4590" s="909"/>
      <c r="G4590" s="909"/>
      <c r="H4590" s="909"/>
      <c r="I4590" s="909"/>
      <c r="J4590" s="909"/>
      <c r="K4590" s="909"/>
      <c r="L4590" s="909"/>
      <c r="M4590" s="909"/>
      <c r="N4590" s="922"/>
    </row>
    <row r="4591" spans="3:14" ht="13.5" thickBot="1">
      <c r="C4591" s="479"/>
      <c r="D4591" s="915" t="s">
        <v>18</v>
      </c>
      <c r="E4591" s="916" t="s">
        <v>1657</v>
      </c>
      <c r="F4591" s="916"/>
      <c r="G4591" s="916"/>
      <c r="H4591" s="921"/>
      <c r="I4591" s="916"/>
      <c r="J4591" s="291" t="str">
        <f>IFERROR(IF([1]F_ProductBM!J1885 = "", "", [1]F_ProductBM!J1885 ),"")</f>
        <v/>
      </c>
      <c r="K4591" s="292" t="str">
        <f>IFERROR(IF([1]F_ProductBM!K1885 = "", "", [1]F_ProductBM!K1885 ),"")</f>
        <v/>
      </c>
      <c r="L4591" s="292" t="str">
        <f>IFERROR(IF([1]F_ProductBM!L1885 = "", "", [1]F_ProductBM!L1885 ),"")</f>
        <v/>
      </c>
      <c r="M4591" s="292" t="str">
        <f>IFERROR(IF([1]F_ProductBM!M1885 = "", "", [1]F_ProductBM!M1885 ),"")</f>
        <v/>
      </c>
      <c r="N4591" s="293" t="str">
        <f>IFERROR(IF([1]F_ProductBM!N1885 = "", "", [1]F_ProductBM!N1885 ),"")</f>
        <v/>
      </c>
    </row>
    <row r="4592" spans="3:14" ht="13.5" thickBot="1">
      <c r="C4592" s="479"/>
      <c r="D4592" s="915" t="s">
        <v>787</v>
      </c>
      <c r="E4592" s="916" t="s">
        <v>1659</v>
      </c>
      <c r="F4592" s="916"/>
      <c r="G4592" s="916"/>
      <c r="H4592" s="944" t="s">
        <v>1021</v>
      </c>
      <c r="I4592" s="315" t="str">
        <f>IFERROR(IF([1]F_ProductBM!I1886 = "", "", [1]F_ProductBM!I1886 ),"")</f>
        <v/>
      </c>
      <c r="J4592" s="325" t="str">
        <f>IFERROR(IF([1]F_ProductBM!J1886 = "", "", [1]F_ProductBM!J1886 ),"")</f>
        <v/>
      </c>
      <c r="K4592" s="326" t="str">
        <f>IFERROR(IF([1]F_ProductBM!K1886 = "", "", [1]F_ProductBM!K1886 ),"")</f>
        <v/>
      </c>
      <c r="L4592" s="326" t="str">
        <f>IFERROR(IF([1]F_ProductBM!L1886 = "", "", [1]F_ProductBM!L1886 ),"")</f>
        <v/>
      </c>
      <c r="M4592" s="326" t="str">
        <f>IFERROR(IF([1]F_ProductBM!M1886 = "", "", [1]F_ProductBM!M1886 ),"")</f>
        <v/>
      </c>
      <c r="N4592" s="327" t="str">
        <f>IFERROR(IF([1]F_ProductBM!N1886 = "", "", [1]F_ProductBM!N1886 ),"")</f>
        <v/>
      </c>
    </row>
    <row r="4593" spans="3:14" ht="13.5" thickBot="1">
      <c r="C4593" s="479"/>
      <c r="D4593" s="946"/>
      <c r="E4593" s="947"/>
      <c r="F4593" s="947"/>
      <c r="G4593" s="947"/>
      <c r="H4593" s="947"/>
      <c r="I4593" s="947"/>
      <c r="J4593" s="947"/>
      <c r="K4593" s="947"/>
      <c r="L4593" s="947"/>
      <c r="M4593" s="925"/>
      <c r="N4593" s="926"/>
    </row>
    <row r="4594" spans="3:14">
      <c r="C4594" s="479"/>
      <c r="D4594" s="479"/>
      <c r="E4594" s="479"/>
      <c r="F4594" s="479"/>
      <c r="G4594" s="479"/>
      <c r="H4594" s="479"/>
      <c r="I4594" s="479"/>
      <c r="J4594" s="479"/>
      <c r="K4594" s="479"/>
      <c r="L4594" s="479"/>
      <c r="M4594" s="485"/>
      <c r="N4594" s="485"/>
    </row>
    <row r="4595" spans="3:14">
      <c r="C4595" s="479"/>
      <c r="D4595" s="482" t="s">
        <v>881</v>
      </c>
      <c r="E4595" s="2373" t="s">
        <v>941</v>
      </c>
      <c r="F4595" s="2373"/>
      <c r="G4595" s="2373"/>
      <c r="H4595" s="2373"/>
      <c r="I4595" s="2604"/>
      <c r="J4595" s="2652" t="s">
        <v>1857</v>
      </c>
      <c r="K4595" s="2653"/>
      <c r="L4595" s="2653"/>
      <c r="M4595" s="2653"/>
      <c r="N4595" s="2654"/>
    </row>
    <row r="4596" spans="3:14">
      <c r="C4596" s="479"/>
      <c r="D4596" s="485"/>
      <c r="E4596" s="2465" t="s">
        <v>1368</v>
      </c>
      <c r="F4596" s="2400"/>
      <c r="G4596" s="2400"/>
      <c r="H4596" s="2400"/>
      <c r="I4596" s="2400"/>
      <c r="J4596" s="2400"/>
      <c r="K4596" s="2400"/>
      <c r="L4596" s="2400"/>
      <c r="M4596" s="2400"/>
      <c r="N4596" s="2400"/>
    </row>
    <row r="4597" spans="3:14">
      <c r="C4597" s="479"/>
      <c r="D4597" s="485"/>
      <c r="E4597" s="2465" t="s">
        <v>1474</v>
      </c>
      <c r="F4597" s="2400"/>
      <c r="G4597" s="2400"/>
      <c r="H4597" s="2400"/>
      <c r="I4597" s="2400"/>
      <c r="J4597" s="2400"/>
      <c r="K4597" s="2400"/>
      <c r="L4597" s="2400"/>
      <c r="M4597" s="2400"/>
      <c r="N4597" s="2400"/>
    </row>
    <row r="4598" spans="3:14">
      <c r="C4598" s="479"/>
      <c r="D4598" s="485"/>
      <c r="E4598" s="2465" t="s">
        <v>1300</v>
      </c>
      <c r="F4598" s="2400"/>
      <c r="G4598" s="2400"/>
      <c r="H4598" s="2400"/>
      <c r="I4598" s="2400"/>
      <c r="J4598" s="2400"/>
      <c r="K4598" s="2400"/>
      <c r="L4598" s="2400"/>
      <c r="M4598" s="2400"/>
      <c r="N4598" s="2400"/>
    </row>
    <row r="4599" spans="3:14">
      <c r="C4599" s="479"/>
      <c r="D4599" s="485"/>
      <c r="E4599" s="2465" t="s">
        <v>1608</v>
      </c>
      <c r="F4599" s="2400"/>
      <c r="G4599" s="2400"/>
      <c r="H4599" s="2400"/>
      <c r="I4599" s="2400"/>
      <c r="J4599" s="2400"/>
      <c r="K4599" s="2400"/>
      <c r="L4599" s="2400"/>
      <c r="M4599" s="2400"/>
      <c r="N4599" s="2400"/>
    </row>
    <row r="4600" spans="3:14">
      <c r="C4600" s="485"/>
      <c r="D4600" s="482"/>
      <c r="E4600" s="927" t="s">
        <v>62</v>
      </c>
      <c r="F4600" s="518"/>
      <c r="G4600" s="663" t="s">
        <v>884</v>
      </c>
      <c r="H4600" s="578">
        <v>2019</v>
      </c>
      <c r="I4600" s="697">
        <v>2020</v>
      </c>
      <c r="J4600" s="696">
        <v>2021</v>
      </c>
      <c r="K4600" s="578">
        <v>2022</v>
      </c>
      <c r="L4600" s="578">
        <v>2023</v>
      </c>
      <c r="M4600" s="578">
        <v>2024</v>
      </c>
      <c r="N4600" s="578">
        <v>2025</v>
      </c>
    </row>
    <row r="4601" spans="3:14" ht="25.5">
      <c r="C4601" s="485"/>
      <c r="D4601" s="561" t="s">
        <v>6</v>
      </c>
      <c r="E4601" s="948" t="s">
        <v>650</v>
      </c>
      <c r="F4601" s="948"/>
      <c r="G4601" s="730" t="s">
        <v>2017</v>
      </c>
      <c r="H4601" s="93" t="str">
        <f>IFERROR(IF([1]F_ProductBM!H1895 = "", "", [1]F_ProductBM!H1895 ),"")</f>
        <v/>
      </c>
      <c r="I4601" s="116" t="str">
        <f>IFERROR(IF([1]F_ProductBM!I1895 = "", "", [1]F_ProductBM!I1895 ),"")</f>
        <v/>
      </c>
      <c r="J4601" s="117" t="str">
        <f>IFERROR(IF([1]F_ProductBM!J1895 = "", "", [1]F_ProductBM!J1895 ),"")</f>
        <v/>
      </c>
      <c r="K4601" s="93" t="str">
        <f>IFERROR(IF([1]F_ProductBM!K1895 = "", "", [1]F_ProductBM!K1895 ),"")</f>
        <v/>
      </c>
      <c r="L4601" s="93" t="str">
        <f>IFERROR(IF([1]F_ProductBM!L1895 = "", "", [1]F_ProductBM!L1895 ),"")</f>
        <v/>
      </c>
      <c r="M4601" s="93" t="str">
        <f>IFERROR(IF([1]F_ProductBM!M1895 = "", "", [1]F_ProductBM!M1895 ),"")</f>
        <v/>
      </c>
      <c r="N4601" s="93" t="str">
        <f>IFERROR(IF([1]F_ProductBM!N1895 = "", "", [1]F_ProductBM!N1895 ),"")</f>
        <v/>
      </c>
    </row>
    <row r="4602" spans="3:14" ht="25.5">
      <c r="C4602" s="485"/>
      <c r="D4602" s="561" t="s">
        <v>7</v>
      </c>
      <c r="E4602" s="863" t="s">
        <v>107</v>
      </c>
      <c r="F4602" s="863"/>
      <c r="G4602" s="950" t="s">
        <v>1022</v>
      </c>
      <c r="H4602" s="328" t="str">
        <f>IFERROR(IF([1]F_ProductBM!H1896 = "", "", [1]F_ProductBM!H1896 ),"")</f>
        <v/>
      </c>
      <c r="I4602" s="329" t="str">
        <f>IFERROR(IF([1]F_ProductBM!I1896 = "", "", [1]F_ProductBM!I1896 ),"")</f>
        <v/>
      </c>
      <c r="J4602" s="330" t="str">
        <f>IFERROR(IF([1]F_ProductBM!J1896 = "", "", [1]F_ProductBM!J1896 ),"")</f>
        <v/>
      </c>
      <c r="K4602" s="328" t="str">
        <f>IFERROR(IF([1]F_ProductBM!K1896 = "", "", [1]F_ProductBM!K1896 ),"")</f>
        <v/>
      </c>
      <c r="L4602" s="328" t="str">
        <f>IFERROR(IF([1]F_ProductBM!L1896 = "", "", [1]F_ProductBM!L1896 ),"")</f>
        <v/>
      </c>
      <c r="M4602" s="328" t="str">
        <f>IFERROR(IF([1]F_ProductBM!M1896 = "", "", [1]F_ProductBM!M1896 ),"")</f>
        <v/>
      </c>
      <c r="N4602" s="328" t="str">
        <f>IFERROR(IF([1]F_ProductBM!N1896 = "", "", [1]F_ProductBM!N1896 ),"")</f>
        <v/>
      </c>
    </row>
    <row r="4603" spans="3:14" ht="25.5">
      <c r="C4603" s="485"/>
      <c r="D4603" s="561" t="s">
        <v>8</v>
      </c>
      <c r="E4603" s="571" t="s">
        <v>1548</v>
      </c>
      <c r="F4603" s="571"/>
      <c r="G4603" s="951" t="s">
        <v>1022</v>
      </c>
      <c r="H4603" s="331" t="str">
        <f>IFERROR(IF([1]F_ProductBM!H1897 = "", "", [1]F_ProductBM!H1897 ),"")</f>
        <v/>
      </c>
      <c r="I4603" s="332" t="str">
        <f>IFERROR(IF([1]F_ProductBM!I1897 = "", "", [1]F_ProductBM!I1897 ),"")</f>
        <v/>
      </c>
      <c r="J4603" s="333" t="str">
        <f>IFERROR(IF([1]F_ProductBM!J1897 = "", "", [1]F_ProductBM!J1897 ),"")</f>
        <v/>
      </c>
      <c r="K4603" s="331" t="str">
        <f>IFERROR(IF([1]F_ProductBM!K1897 = "", "", [1]F_ProductBM!K1897 ),"")</f>
        <v/>
      </c>
      <c r="L4603" s="331" t="str">
        <f>IFERROR(IF([1]F_ProductBM!L1897 = "", "", [1]F_ProductBM!L1897 ),"")</f>
        <v/>
      </c>
      <c r="M4603" s="331" t="str">
        <f>IFERROR(IF([1]F_ProductBM!M1897 = "", "", [1]F_ProductBM!M1897 ),"")</f>
        <v/>
      </c>
      <c r="N4603" s="331" t="str">
        <f>IFERROR(IF([1]F_ProductBM!N1897 = "", "", [1]F_ProductBM!N1897 ),"")</f>
        <v/>
      </c>
    </row>
    <row r="4604" spans="3:14">
      <c r="C4604" s="485"/>
      <c r="D4604" s="485"/>
      <c r="E4604" s="485"/>
      <c r="F4604" s="485"/>
      <c r="G4604" s="485"/>
      <c r="H4604" s="485"/>
      <c r="I4604" s="952"/>
      <c r="J4604" s="485"/>
      <c r="K4604" s="485"/>
      <c r="L4604" s="485"/>
      <c r="M4604" s="485"/>
      <c r="N4604" s="485"/>
    </row>
    <row r="4605" spans="3:14" ht="25.5" customHeight="1" thickBot="1">
      <c r="C4605" s="479"/>
      <c r="D4605" s="485"/>
      <c r="E4605" s="2465" t="s">
        <v>2709</v>
      </c>
      <c r="F4605" s="2400"/>
      <c r="G4605" s="2400"/>
      <c r="H4605" s="2400"/>
      <c r="I4605" s="2400"/>
      <c r="J4605" s="2400"/>
      <c r="K4605" s="2400"/>
      <c r="L4605" s="2400"/>
      <c r="M4605" s="2400"/>
      <c r="N4605" s="2400"/>
    </row>
    <row r="4606" spans="3:14">
      <c r="C4606" s="479"/>
      <c r="D4606" s="902"/>
      <c r="E4606" s="904"/>
      <c r="F4606" s="953"/>
      <c r="G4606" s="953"/>
      <c r="H4606" s="953"/>
      <c r="I4606" s="953"/>
      <c r="J4606" s="953"/>
      <c r="K4606" s="953"/>
      <c r="L4606" s="953"/>
      <c r="M4606" s="953"/>
      <c r="N4606" s="954"/>
    </row>
    <row r="4607" spans="3:14">
      <c r="C4607" s="479"/>
      <c r="D4607" s="907" t="s">
        <v>1916</v>
      </c>
      <c r="E4607" s="908" t="s">
        <v>1774</v>
      </c>
      <c r="F4607" s="909"/>
      <c r="G4607" s="909"/>
      <c r="H4607" s="910" t="s">
        <v>884</v>
      </c>
      <c r="I4607" s="911" t="s">
        <v>2213</v>
      </c>
      <c r="J4607" s="912">
        <v>2021</v>
      </c>
      <c r="K4607" s="913">
        <v>2022</v>
      </c>
      <c r="L4607" s="913">
        <v>2023</v>
      </c>
      <c r="M4607" s="913">
        <v>2024</v>
      </c>
      <c r="N4607" s="914">
        <v>2025</v>
      </c>
    </row>
    <row r="4608" spans="3:14">
      <c r="C4608" s="479"/>
      <c r="D4608" s="915" t="s">
        <v>6</v>
      </c>
      <c r="E4608" s="916" t="s">
        <v>1691</v>
      </c>
      <c r="F4608" s="916"/>
      <c r="G4608" s="916"/>
      <c r="H4608" s="944" t="s">
        <v>471</v>
      </c>
      <c r="I4608" s="281" t="str">
        <f>IFERROR(IF([1]F_ProductBM!I1902 = "", "", [1]F_ProductBM!I1902 ),"")</f>
        <v/>
      </c>
      <c r="J4608" s="334" t="str">
        <f>IFERROR(IF([1]F_ProductBM!J1902 = "", "", [1]F_ProductBM!J1902 ),"")</f>
        <v/>
      </c>
      <c r="K4608" s="335" t="str">
        <f>IFERROR(IF([1]F_ProductBM!K1902 = "", "", [1]F_ProductBM!K1902 ),"")</f>
        <v/>
      </c>
      <c r="L4608" s="335" t="str">
        <f>IFERROR(IF([1]F_ProductBM!L1902 = "", "", [1]F_ProductBM!L1902 ),"")</f>
        <v/>
      </c>
      <c r="M4608" s="335" t="str">
        <f>IFERROR(IF([1]F_ProductBM!M1902 = "", "", [1]F_ProductBM!M1902 ),"")</f>
        <v/>
      </c>
      <c r="N4608" s="336" t="str">
        <f>IFERROR(IF([1]F_ProductBM!N1902 = "", "", [1]F_ProductBM!N1902 ),"")</f>
        <v/>
      </c>
    </row>
    <row r="4609" spans="3:14">
      <c r="C4609" s="479"/>
      <c r="D4609" s="915"/>
      <c r="E4609" s="916" t="s">
        <v>1776</v>
      </c>
      <c r="F4609" s="916"/>
      <c r="G4609" s="916"/>
      <c r="H4609" s="921"/>
      <c r="I4609" s="916"/>
      <c r="J4609" s="319" t="str">
        <f>IFERROR(IF([1]F_ProductBM!J1903 = "", "", [1]F_ProductBM!J1903 ),"")</f>
        <v/>
      </c>
      <c r="K4609" s="320" t="str">
        <f>IFERROR(IF([1]F_ProductBM!K1903 = "", "", [1]F_ProductBM!K1903 ),"")</f>
        <v/>
      </c>
      <c r="L4609" s="320" t="str">
        <f>IFERROR(IF([1]F_ProductBM!L1903 = "", "", [1]F_ProductBM!L1903 ),"")</f>
        <v/>
      </c>
      <c r="M4609" s="320" t="str">
        <f>IFERROR(IF([1]F_ProductBM!M1903 = "", "", [1]F_ProductBM!M1903 ),"")</f>
        <v/>
      </c>
      <c r="N4609" s="321" t="str">
        <f>IFERROR(IF([1]F_ProductBM!N1903 = "", "", [1]F_ProductBM!N1903 ),"")</f>
        <v/>
      </c>
    </row>
    <row r="4610" spans="3:14">
      <c r="C4610" s="479"/>
      <c r="D4610" s="915" t="s">
        <v>7</v>
      </c>
      <c r="E4610" s="916" t="s">
        <v>1654</v>
      </c>
      <c r="F4610" s="916"/>
      <c r="G4610" s="916"/>
      <c r="H4610" s="921"/>
      <c r="I4610" s="916"/>
      <c r="J4610" s="288" t="str">
        <f>IFERROR(IF([1]F_ProductBM!J1904 = "", "", [1]F_ProductBM!J1904 ),"")</f>
        <v/>
      </c>
      <c r="K4610" s="289" t="str">
        <f>IFERROR(IF([1]F_ProductBM!K1904 = "", "", [1]F_ProductBM!K1904 ),"")</f>
        <v/>
      </c>
      <c r="L4610" s="289" t="str">
        <f>IFERROR(IF([1]F_ProductBM!L1904 = "", "", [1]F_ProductBM!L1904 ),"")</f>
        <v/>
      </c>
      <c r="M4610" s="289" t="str">
        <f>IFERROR(IF([1]F_ProductBM!M1904 = "", "", [1]F_ProductBM!M1904 ),"")</f>
        <v/>
      </c>
      <c r="N4610" s="290" t="str">
        <f>IFERROR(IF([1]F_ProductBM!N1904 = "", "", [1]F_ProductBM!N1904 ),"")</f>
        <v/>
      </c>
    </row>
    <row r="4611" spans="3:14">
      <c r="C4611" s="479"/>
      <c r="D4611" s="915"/>
      <c r="E4611" s="916" t="s">
        <v>1689</v>
      </c>
      <c r="F4611" s="916"/>
      <c r="G4611" s="916"/>
      <c r="H4611" s="944" t="s">
        <v>471</v>
      </c>
      <c r="I4611" s="281" t="str">
        <f>IFERROR(IF([1]F_ProductBM!I1905 = "", "", [1]F_ProductBM!I1905 ),"")</f>
        <v/>
      </c>
      <c r="J4611" s="282" t="str">
        <f>IFERROR(IF([1]F_ProductBM!J1905 = "", "", [1]F_ProductBM!J1905 ),"")</f>
        <v/>
      </c>
      <c r="K4611" s="283" t="str">
        <f>IFERROR(IF([1]F_ProductBM!K1905 = "", "", [1]F_ProductBM!K1905 ),"")</f>
        <v/>
      </c>
      <c r="L4611" s="283" t="str">
        <f>IFERROR(IF([1]F_ProductBM!L1905 = "", "", [1]F_ProductBM!L1905 ),"")</f>
        <v/>
      </c>
      <c r="M4611" s="283" t="str">
        <f>IFERROR(IF([1]F_ProductBM!M1905 = "", "", [1]F_ProductBM!M1905 ),"")</f>
        <v/>
      </c>
      <c r="N4611" s="284" t="str">
        <f>IFERROR(IF([1]F_ProductBM!N1905 = "", "", [1]F_ProductBM!N1905 ),"")</f>
        <v/>
      </c>
    </row>
    <row r="4612" spans="3:14">
      <c r="C4612" s="479"/>
      <c r="D4612" s="915"/>
      <c r="E4612" s="909"/>
      <c r="F4612" s="909"/>
      <c r="G4612" s="909"/>
      <c r="H4612" s="909"/>
      <c r="I4612" s="909"/>
      <c r="J4612" s="909"/>
      <c r="K4612" s="909"/>
      <c r="L4612" s="909"/>
      <c r="M4612" s="909"/>
      <c r="N4612" s="922"/>
    </row>
    <row r="4613" spans="3:14">
      <c r="C4613" s="479"/>
      <c r="D4613" s="915"/>
      <c r="E4613" s="923" t="s">
        <v>1653</v>
      </c>
      <c r="F4613" s="923"/>
      <c r="G4613" s="923"/>
      <c r="H4613" s="923"/>
      <c r="I4613" s="923"/>
      <c r="J4613" s="912">
        <v>2021</v>
      </c>
      <c r="K4613" s="913">
        <v>2022</v>
      </c>
      <c r="L4613" s="913">
        <v>2023</v>
      </c>
      <c r="M4613" s="913">
        <v>2024</v>
      </c>
      <c r="N4613" s="914">
        <v>2025</v>
      </c>
    </row>
    <row r="4614" spans="3:14">
      <c r="C4614" s="479"/>
      <c r="D4614" s="915" t="s">
        <v>8</v>
      </c>
      <c r="E4614" s="916" t="s">
        <v>2108</v>
      </c>
      <c r="F4614" s="916"/>
      <c r="G4614" s="916"/>
      <c r="H4614" s="916"/>
      <c r="I4614" s="916"/>
      <c r="J4614" s="69" t="str">
        <f>IFERROR(IF([1]F_ProductBM!J1908 = "", "", [1]F_ProductBM!J1908 ),"")</f>
        <v/>
      </c>
      <c r="K4614" s="62" t="str">
        <f>IFERROR(IF([1]F_ProductBM!K1908 = "", "", [1]F_ProductBM!K1908 ),"")</f>
        <v/>
      </c>
      <c r="L4614" s="62" t="str">
        <f>IFERROR(IF([1]F_ProductBM!L1908 = "", "", [1]F_ProductBM!L1908 ),"")</f>
        <v/>
      </c>
      <c r="M4614" s="62" t="str">
        <f>IFERROR(IF([1]F_ProductBM!M1908 = "", "", [1]F_ProductBM!M1908 ),"")</f>
        <v/>
      </c>
      <c r="N4614" s="70" t="str">
        <f>IFERROR(IF([1]F_ProductBM!N1908 = "", "", [1]F_ProductBM!N1908 ),"")</f>
        <v/>
      </c>
    </row>
    <row r="4615" spans="3:14" ht="13.5" thickBot="1">
      <c r="C4615" s="479"/>
      <c r="D4615" s="915"/>
      <c r="E4615" s="909"/>
      <c r="F4615" s="909"/>
      <c r="G4615" s="909"/>
      <c r="H4615" s="909"/>
      <c r="I4615" s="909"/>
      <c r="J4615" s="909"/>
      <c r="K4615" s="909"/>
      <c r="L4615" s="909"/>
      <c r="M4615" s="909"/>
      <c r="N4615" s="922"/>
    </row>
    <row r="4616" spans="3:14" ht="13.5" thickBot="1">
      <c r="C4616" s="479"/>
      <c r="D4616" s="915" t="s">
        <v>18</v>
      </c>
      <c r="E4616" s="916" t="s">
        <v>1657</v>
      </c>
      <c r="F4616" s="916"/>
      <c r="G4616" s="916"/>
      <c r="H4616" s="921"/>
      <c r="I4616" s="916"/>
      <c r="J4616" s="291" t="str">
        <f>IFERROR(IF([1]F_ProductBM!J1910 = "", "", [1]F_ProductBM!J1910 ),"")</f>
        <v/>
      </c>
      <c r="K4616" s="292" t="str">
        <f>IFERROR(IF([1]F_ProductBM!K1910 = "", "", [1]F_ProductBM!K1910 ),"")</f>
        <v/>
      </c>
      <c r="L4616" s="292" t="str">
        <f>IFERROR(IF([1]F_ProductBM!L1910 = "", "", [1]F_ProductBM!L1910 ),"")</f>
        <v/>
      </c>
      <c r="M4616" s="292" t="str">
        <f>IFERROR(IF([1]F_ProductBM!M1910 = "", "", [1]F_ProductBM!M1910 ),"")</f>
        <v/>
      </c>
      <c r="N4616" s="293" t="str">
        <f>IFERROR(IF([1]F_ProductBM!N1910 = "", "", [1]F_ProductBM!N1910 ),"")</f>
        <v/>
      </c>
    </row>
    <row r="4617" spans="3:14" ht="13.5" thickBot="1">
      <c r="C4617" s="479"/>
      <c r="D4617" s="915" t="s">
        <v>787</v>
      </c>
      <c r="E4617" s="916" t="s">
        <v>1659</v>
      </c>
      <c r="F4617" s="916"/>
      <c r="G4617" s="916"/>
      <c r="H4617" s="944" t="s">
        <v>471</v>
      </c>
      <c r="I4617" s="281" t="str">
        <f>IFERROR(IF([1]F_ProductBM!I1911 = "", "", [1]F_ProductBM!I1911 ),"")</f>
        <v/>
      </c>
      <c r="J4617" s="294" t="str">
        <f>IFERROR(IF([1]F_ProductBM!J1911 = "", "", [1]F_ProductBM!J1911 ),"")</f>
        <v/>
      </c>
      <c r="K4617" s="295" t="str">
        <f>IFERROR(IF([1]F_ProductBM!K1911 = "", "", [1]F_ProductBM!K1911 ),"")</f>
        <v/>
      </c>
      <c r="L4617" s="295" t="str">
        <f>IFERROR(IF([1]F_ProductBM!L1911 = "", "", [1]F_ProductBM!L1911 ),"")</f>
        <v/>
      </c>
      <c r="M4617" s="295" t="str">
        <f>IFERROR(IF([1]F_ProductBM!M1911 = "", "", [1]F_ProductBM!M1911 ),"")</f>
        <v/>
      </c>
      <c r="N4617" s="296" t="str">
        <f>IFERROR(IF([1]F_ProductBM!N1911 = "", "", [1]F_ProductBM!N1911 ),"")</f>
        <v/>
      </c>
    </row>
    <row r="4618" spans="3:14" ht="13.5" thickBot="1">
      <c r="C4618" s="485"/>
      <c r="D4618" s="924"/>
      <c r="E4618" s="925"/>
      <c r="F4618" s="925"/>
      <c r="G4618" s="925"/>
      <c r="H4618" s="925"/>
      <c r="I4618" s="955"/>
      <c r="J4618" s="925"/>
      <c r="K4618" s="925"/>
      <c r="L4618" s="925"/>
      <c r="M4618" s="925"/>
      <c r="N4618" s="926"/>
    </row>
    <row r="4619" spans="3:14">
      <c r="C4619" s="485"/>
      <c r="D4619" s="485"/>
      <c r="E4619" s="485"/>
      <c r="F4619" s="485"/>
      <c r="G4619" s="485"/>
      <c r="H4619" s="485"/>
      <c r="I4619" s="952"/>
      <c r="J4619" s="485"/>
      <c r="K4619" s="485"/>
      <c r="L4619" s="485"/>
      <c r="M4619" s="485"/>
      <c r="N4619" s="485"/>
    </row>
    <row r="4620" spans="3:14" ht="15">
      <c r="C4620" s="856"/>
      <c r="D4620" s="2482" t="s">
        <v>103</v>
      </c>
      <c r="E4620" s="2400"/>
      <c r="F4620" s="2400"/>
      <c r="G4620" s="2400"/>
      <c r="H4620" s="2400"/>
      <c r="I4620" s="2400"/>
      <c r="J4620" s="2400"/>
      <c r="K4620" s="2400"/>
      <c r="L4620" s="2400"/>
      <c r="M4620" s="2400"/>
      <c r="N4620" s="2400"/>
    </row>
    <row r="4621" spans="3:14">
      <c r="C4621" s="479"/>
      <c r="D4621" s="479"/>
      <c r="E4621" s="479"/>
      <c r="F4621" s="479"/>
      <c r="G4621" s="479"/>
      <c r="H4621" s="479"/>
      <c r="I4621" s="479"/>
      <c r="J4621" s="479"/>
      <c r="K4621" s="479"/>
      <c r="L4621" s="479"/>
      <c r="M4621" s="479"/>
      <c r="N4621" s="479"/>
    </row>
    <row r="4622" spans="3:14">
      <c r="C4622" s="482"/>
      <c r="D4622" s="482" t="s">
        <v>57</v>
      </c>
      <c r="E4622" s="2373" t="s">
        <v>108</v>
      </c>
      <c r="F4622" s="2400"/>
      <c r="G4622" s="2400"/>
      <c r="H4622" s="2400"/>
      <c r="I4622" s="2400"/>
      <c r="J4622" s="2400"/>
      <c r="K4622" s="2400"/>
      <c r="L4622" s="2400"/>
      <c r="M4622" s="2400"/>
      <c r="N4622" s="2400"/>
    </row>
    <row r="4623" spans="3:14">
      <c r="C4623" s="485"/>
      <c r="D4623" s="485"/>
      <c r="E4623" s="2465" t="s">
        <v>1935</v>
      </c>
      <c r="F4623" s="2400"/>
      <c r="G4623" s="2400"/>
      <c r="H4623" s="2400"/>
      <c r="I4623" s="2400"/>
      <c r="J4623" s="2400"/>
      <c r="K4623" s="2400"/>
      <c r="L4623" s="2400"/>
      <c r="M4623" s="2400"/>
      <c r="N4623" s="2400"/>
    </row>
    <row r="4624" spans="3:14">
      <c r="C4624" s="485"/>
      <c r="D4624" s="485"/>
      <c r="E4624" s="2465" t="s">
        <v>1636</v>
      </c>
      <c r="F4624" s="2400"/>
      <c r="G4624" s="2400"/>
      <c r="H4624" s="2400"/>
      <c r="I4624" s="2400"/>
      <c r="J4624" s="2400"/>
      <c r="K4624" s="2400"/>
      <c r="L4624" s="2400"/>
      <c r="M4624" s="2400"/>
      <c r="N4624" s="2400"/>
    </row>
    <row r="4625" spans="3:14">
      <c r="C4625" s="485"/>
      <c r="D4625" s="485"/>
      <c r="E4625" s="2465" t="s">
        <v>2119</v>
      </c>
      <c r="F4625" s="2400"/>
      <c r="G4625" s="2400"/>
      <c r="H4625" s="2400"/>
      <c r="I4625" s="2400"/>
      <c r="J4625" s="2400"/>
      <c r="K4625" s="2400"/>
      <c r="L4625" s="2400"/>
      <c r="M4625" s="2400"/>
      <c r="N4625" s="2400"/>
    </row>
    <row r="4626" spans="3:14">
      <c r="C4626" s="485"/>
      <c r="D4626" s="485"/>
      <c r="E4626" s="2677" t="s">
        <v>2120</v>
      </c>
      <c r="F4626" s="2364"/>
      <c r="G4626" s="2364"/>
      <c r="H4626" s="2364"/>
      <c r="I4626" s="2364"/>
      <c r="J4626" s="2364"/>
      <c r="K4626" s="2364"/>
      <c r="L4626" s="2364"/>
      <c r="M4626" s="2364"/>
      <c r="N4626" s="2364"/>
    </row>
    <row r="4627" spans="3:14">
      <c r="C4627" s="479"/>
      <c r="D4627" s="479"/>
      <c r="E4627" s="479"/>
      <c r="F4627" s="479"/>
      <c r="G4627" s="479"/>
      <c r="H4627" s="479"/>
      <c r="I4627" s="479"/>
      <c r="J4627" s="479"/>
      <c r="K4627" s="479"/>
      <c r="L4627" s="479"/>
      <c r="M4627" s="479"/>
      <c r="N4627" s="479"/>
    </row>
    <row r="4628" spans="3:14">
      <c r="C4628" s="482"/>
      <c r="D4628" s="482" t="s">
        <v>58</v>
      </c>
      <c r="E4628" s="2373" t="s">
        <v>1013</v>
      </c>
      <c r="F4628" s="2400"/>
      <c r="G4628" s="2400"/>
      <c r="H4628" s="2400"/>
      <c r="I4628" s="2400"/>
      <c r="J4628" s="2400"/>
      <c r="K4628" s="2400"/>
      <c r="L4628" s="2400"/>
      <c r="M4628" s="2400"/>
      <c r="N4628" s="2400"/>
    </row>
    <row r="4629" spans="3:14">
      <c r="C4629" s="479"/>
      <c r="D4629" s="485"/>
      <c r="E4629" s="617"/>
      <c r="F4629" s="617"/>
      <c r="G4629" s="617"/>
      <c r="H4629" s="617"/>
      <c r="I4629" s="617"/>
      <c r="J4629" s="468"/>
      <c r="K4629" s="468"/>
      <c r="L4629" s="468"/>
      <c r="M4629" s="485"/>
      <c r="N4629" s="485"/>
    </row>
    <row r="4630" spans="3:14" ht="51">
      <c r="C4630" s="485"/>
      <c r="D4630" s="956"/>
      <c r="E4630" s="957" t="s">
        <v>2112</v>
      </c>
      <c r="F4630" s="958" t="s">
        <v>949</v>
      </c>
      <c r="G4630" s="959" t="s">
        <v>884</v>
      </c>
      <c r="H4630" s="578">
        <v>2019</v>
      </c>
      <c r="I4630" s="697">
        <v>2020</v>
      </c>
      <c r="J4630" s="696">
        <v>2021</v>
      </c>
      <c r="K4630" s="578">
        <v>2022</v>
      </c>
      <c r="L4630" s="578">
        <v>2023</v>
      </c>
      <c r="M4630" s="578">
        <v>2024</v>
      </c>
      <c r="N4630" s="578">
        <v>2025</v>
      </c>
    </row>
    <row r="4631" spans="3:14">
      <c r="C4631" s="485"/>
      <c r="D4631" s="579">
        <v>1</v>
      </c>
      <c r="E4631" s="375" t="str">
        <f>IFERROR(IF([1]F_ProductBM!E1925 = "", "", [1]F_ProductBM!E1925 ),"")</f>
        <v/>
      </c>
      <c r="F4631" s="337" t="str">
        <f>IFERROR(IF([1]F_ProductBM!F1925 = "", "", [1]F_ProductBM!F1925 ),"")</f>
        <v/>
      </c>
      <c r="G4631" s="71" t="str">
        <f>IFERROR(IF([1]F_ProductBM!G1925 = "", "", [1]F_ProductBM!G1925 ),"")</f>
        <v/>
      </c>
      <c r="H4631" s="94" t="str">
        <f>IFERROR(IF([1]F_ProductBM!H1925 = "", "", [1]F_ProductBM!H1925 ),"")</f>
        <v/>
      </c>
      <c r="I4631" s="110" t="str">
        <f>IFERROR(IF([1]F_ProductBM!I1925 = "", "", [1]F_ProductBM!I1925 ),"")</f>
        <v/>
      </c>
      <c r="J4631" s="111" t="str">
        <f>IFERROR(IF([1]F_ProductBM!J1925 = "", "", [1]F_ProductBM!J1925 ),"")</f>
        <v/>
      </c>
      <c r="K4631" s="94" t="str">
        <f>IFERROR(IF([1]F_ProductBM!K1925 = "", "", [1]F_ProductBM!K1925 ),"")</f>
        <v/>
      </c>
      <c r="L4631" s="94" t="str">
        <f>IFERROR(IF([1]F_ProductBM!L1925 = "", "", [1]F_ProductBM!L1925 ),"")</f>
        <v/>
      </c>
      <c r="M4631" s="94" t="str">
        <f>IFERROR(IF([1]F_ProductBM!M1925 = "", "", [1]F_ProductBM!M1925 ),"")</f>
        <v/>
      </c>
      <c r="N4631" s="94" t="str">
        <f>IFERROR(IF([1]F_ProductBM!N1925 = "", "", [1]F_ProductBM!N1925 ),"")</f>
        <v/>
      </c>
    </row>
    <row r="4632" spans="3:14">
      <c r="C4632" s="485"/>
      <c r="D4632" s="582">
        <v>2</v>
      </c>
      <c r="E4632" s="376" t="str">
        <f>IFERROR(IF([1]F_ProductBM!E1926 = "", "", [1]F_ProductBM!E1926 ),"")</f>
        <v/>
      </c>
      <c r="F4632" s="338" t="str">
        <f>IFERROR(IF([1]F_ProductBM!F1926 = "", "", [1]F_ProductBM!F1926 ),"")</f>
        <v/>
      </c>
      <c r="G4632" s="72" t="str">
        <f>IFERROR(IF([1]F_ProductBM!G1926 = "", "", [1]F_ProductBM!G1926 ),"")</f>
        <v/>
      </c>
      <c r="H4632" s="101" t="str">
        <f>IFERROR(IF([1]F_ProductBM!H1926 = "", "", [1]F_ProductBM!H1926 ),"")</f>
        <v/>
      </c>
      <c r="I4632" s="361" t="str">
        <f>IFERROR(IF([1]F_ProductBM!I1926 = "", "", [1]F_ProductBM!I1926 ),"")</f>
        <v/>
      </c>
      <c r="J4632" s="362" t="str">
        <f>IFERROR(IF([1]F_ProductBM!J1926 = "", "", [1]F_ProductBM!J1926 ),"")</f>
        <v/>
      </c>
      <c r="K4632" s="101" t="str">
        <f>IFERROR(IF([1]F_ProductBM!K1926 = "", "", [1]F_ProductBM!K1926 ),"")</f>
        <v/>
      </c>
      <c r="L4632" s="101" t="str">
        <f>IFERROR(IF([1]F_ProductBM!L1926 = "", "", [1]F_ProductBM!L1926 ),"")</f>
        <v/>
      </c>
      <c r="M4632" s="101" t="str">
        <f>IFERROR(IF([1]F_ProductBM!M1926 = "", "", [1]F_ProductBM!M1926 ),"")</f>
        <v/>
      </c>
      <c r="N4632" s="101" t="str">
        <f>IFERROR(IF([1]F_ProductBM!N1926 = "", "", [1]F_ProductBM!N1926 ),"")</f>
        <v/>
      </c>
    </row>
    <row r="4633" spans="3:14">
      <c r="C4633" s="485"/>
      <c r="D4633" s="582">
        <v>3</v>
      </c>
      <c r="E4633" s="376" t="str">
        <f>IFERROR(IF([1]F_ProductBM!E1927 = "", "", [1]F_ProductBM!E1927 ),"")</f>
        <v/>
      </c>
      <c r="F4633" s="338" t="str">
        <f>IFERROR(IF([1]F_ProductBM!F1927 = "", "", [1]F_ProductBM!F1927 ),"")</f>
        <v/>
      </c>
      <c r="G4633" s="72" t="str">
        <f>IFERROR(IF([1]F_ProductBM!G1927 = "", "", [1]F_ProductBM!G1927 ),"")</f>
        <v/>
      </c>
      <c r="H4633" s="101" t="str">
        <f>IFERROR(IF([1]F_ProductBM!H1927 = "", "", [1]F_ProductBM!H1927 ),"")</f>
        <v/>
      </c>
      <c r="I4633" s="361" t="str">
        <f>IFERROR(IF([1]F_ProductBM!I1927 = "", "", [1]F_ProductBM!I1927 ),"")</f>
        <v/>
      </c>
      <c r="J4633" s="362" t="str">
        <f>IFERROR(IF([1]F_ProductBM!J1927 = "", "", [1]F_ProductBM!J1927 ),"")</f>
        <v/>
      </c>
      <c r="K4633" s="101" t="str">
        <f>IFERROR(IF([1]F_ProductBM!K1927 = "", "", [1]F_ProductBM!K1927 ),"")</f>
        <v/>
      </c>
      <c r="L4633" s="101" t="str">
        <f>IFERROR(IF([1]F_ProductBM!L1927 = "", "", [1]F_ProductBM!L1927 ),"")</f>
        <v/>
      </c>
      <c r="M4633" s="101" t="str">
        <f>IFERROR(IF([1]F_ProductBM!M1927 = "", "", [1]F_ProductBM!M1927 ),"")</f>
        <v/>
      </c>
      <c r="N4633" s="101" t="str">
        <f>IFERROR(IF([1]F_ProductBM!N1927 = "", "", [1]F_ProductBM!N1927 ),"")</f>
        <v/>
      </c>
    </row>
    <row r="4634" spans="3:14">
      <c r="C4634" s="485"/>
      <c r="D4634" s="582">
        <v>4</v>
      </c>
      <c r="E4634" s="376" t="str">
        <f>IFERROR(IF([1]F_ProductBM!E1928 = "", "", [1]F_ProductBM!E1928 ),"")</f>
        <v/>
      </c>
      <c r="F4634" s="338" t="str">
        <f>IFERROR(IF([1]F_ProductBM!F1928 = "", "", [1]F_ProductBM!F1928 ),"")</f>
        <v/>
      </c>
      <c r="G4634" s="72" t="str">
        <f>IFERROR(IF([1]F_ProductBM!G1928 = "", "", [1]F_ProductBM!G1928 ),"")</f>
        <v/>
      </c>
      <c r="H4634" s="101" t="str">
        <f>IFERROR(IF([1]F_ProductBM!H1928 = "", "", [1]F_ProductBM!H1928 ),"")</f>
        <v/>
      </c>
      <c r="I4634" s="361" t="str">
        <f>IFERROR(IF([1]F_ProductBM!I1928 = "", "", [1]F_ProductBM!I1928 ),"")</f>
        <v/>
      </c>
      <c r="J4634" s="362" t="str">
        <f>IFERROR(IF([1]F_ProductBM!J1928 = "", "", [1]F_ProductBM!J1928 ),"")</f>
        <v/>
      </c>
      <c r="K4634" s="101" t="str">
        <f>IFERROR(IF([1]F_ProductBM!K1928 = "", "", [1]F_ProductBM!K1928 ),"")</f>
        <v/>
      </c>
      <c r="L4634" s="101" t="str">
        <f>IFERROR(IF([1]F_ProductBM!L1928 = "", "", [1]F_ProductBM!L1928 ),"")</f>
        <v/>
      </c>
      <c r="M4634" s="101" t="str">
        <f>IFERROR(IF([1]F_ProductBM!M1928 = "", "", [1]F_ProductBM!M1928 ),"")</f>
        <v/>
      </c>
      <c r="N4634" s="101" t="str">
        <f>IFERROR(IF([1]F_ProductBM!N1928 = "", "", [1]F_ProductBM!N1928 ),"")</f>
        <v/>
      </c>
    </row>
    <row r="4635" spans="3:14">
      <c r="C4635" s="485"/>
      <c r="D4635" s="582">
        <v>5</v>
      </c>
      <c r="E4635" s="376" t="str">
        <f>IFERROR(IF([1]F_ProductBM!E1929 = "", "", [1]F_ProductBM!E1929 ),"")</f>
        <v/>
      </c>
      <c r="F4635" s="338" t="str">
        <f>IFERROR(IF([1]F_ProductBM!F1929 = "", "", [1]F_ProductBM!F1929 ),"")</f>
        <v/>
      </c>
      <c r="G4635" s="72" t="str">
        <f>IFERROR(IF([1]F_ProductBM!G1929 = "", "", [1]F_ProductBM!G1929 ),"")</f>
        <v/>
      </c>
      <c r="H4635" s="101" t="str">
        <f>IFERROR(IF([1]F_ProductBM!H1929 = "", "", [1]F_ProductBM!H1929 ),"")</f>
        <v/>
      </c>
      <c r="I4635" s="361" t="str">
        <f>IFERROR(IF([1]F_ProductBM!I1929 = "", "", [1]F_ProductBM!I1929 ),"")</f>
        <v/>
      </c>
      <c r="J4635" s="362" t="str">
        <f>IFERROR(IF([1]F_ProductBM!J1929 = "", "", [1]F_ProductBM!J1929 ),"")</f>
        <v/>
      </c>
      <c r="K4635" s="101" t="str">
        <f>IFERROR(IF([1]F_ProductBM!K1929 = "", "", [1]F_ProductBM!K1929 ),"")</f>
        <v/>
      </c>
      <c r="L4635" s="101" t="str">
        <f>IFERROR(IF([1]F_ProductBM!L1929 = "", "", [1]F_ProductBM!L1929 ),"")</f>
        <v/>
      </c>
      <c r="M4635" s="101" t="str">
        <f>IFERROR(IF([1]F_ProductBM!M1929 = "", "", [1]F_ProductBM!M1929 ),"")</f>
        <v/>
      </c>
      <c r="N4635" s="101" t="str">
        <f>IFERROR(IF([1]F_ProductBM!N1929 = "", "", [1]F_ProductBM!N1929 ),"")</f>
        <v/>
      </c>
    </row>
    <row r="4636" spans="3:14">
      <c r="C4636" s="485"/>
      <c r="D4636" s="582">
        <v>6</v>
      </c>
      <c r="E4636" s="376" t="str">
        <f>IFERROR(IF([1]F_ProductBM!E1930 = "", "", [1]F_ProductBM!E1930 ),"")</f>
        <v/>
      </c>
      <c r="F4636" s="338" t="str">
        <f>IFERROR(IF([1]F_ProductBM!F1930 = "", "", [1]F_ProductBM!F1930 ),"")</f>
        <v/>
      </c>
      <c r="G4636" s="72" t="str">
        <f>IFERROR(IF([1]F_ProductBM!G1930 = "", "", [1]F_ProductBM!G1930 ),"")</f>
        <v/>
      </c>
      <c r="H4636" s="101" t="str">
        <f>IFERROR(IF([1]F_ProductBM!H1930 = "", "", [1]F_ProductBM!H1930 ),"")</f>
        <v/>
      </c>
      <c r="I4636" s="361" t="str">
        <f>IFERROR(IF([1]F_ProductBM!I1930 = "", "", [1]F_ProductBM!I1930 ),"")</f>
        <v/>
      </c>
      <c r="J4636" s="362" t="str">
        <f>IFERROR(IF([1]F_ProductBM!J1930 = "", "", [1]F_ProductBM!J1930 ),"")</f>
        <v/>
      </c>
      <c r="K4636" s="101" t="str">
        <f>IFERROR(IF([1]F_ProductBM!K1930 = "", "", [1]F_ProductBM!K1930 ),"")</f>
        <v/>
      </c>
      <c r="L4636" s="101" t="str">
        <f>IFERROR(IF([1]F_ProductBM!L1930 = "", "", [1]F_ProductBM!L1930 ),"")</f>
        <v/>
      </c>
      <c r="M4636" s="101" t="str">
        <f>IFERROR(IF([1]F_ProductBM!M1930 = "", "", [1]F_ProductBM!M1930 ),"")</f>
        <v/>
      </c>
      <c r="N4636" s="101" t="str">
        <f>IFERROR(IF([1]F_ProductBM!N1930 = "", "", [1]F_ProductBM!N1930 ),"")</f>
        <v/>
      </c>
    </row>
    <row r="4637" spans="3:14">
      <c r="C4637" s="485"/>
      <c r="D4637" s="582">
        <v>7</v>
      </c>
      <c r="E4637" s="376" t="str">
        <f>IFERROR(IF([1]F_ProductBM!E1931 = "", "", [1]F_ProductBM!E1931 ),"")</f>
        <v/>
      </c>
      <c r="F4637" s="338" t="str">
        <f>IFERROR(IF([1]F_ProductBM!F1931 = "", "", [1]F_ProductBM!F1931 ),"")</f>
        <v/>
      </c>
      <c r="G4637" s="72" t="str">
        <f>IFERROR(IF([1]F_ProductBM!G1931 = "", "", [1]F_ProductBM!G1931 ),"")</f>
        <v/>
      </c>
      <c r="H4637" s="101" t="str">
        <f>IFERROR(IF([1]F_ProductBM!H1931 = "", "", [1]F_ProductBM!H1931 ),"")</f>
        <v/>
      </c>
      <c r="I4637" s="361" t="str">
        <f>IFERROR(IF([1]F_ProductBM!I1931 = "", "", [1]F_ProductBM!I1931 ),"")</f>
        <v/>
      </c>
      <c r="J4637" s="362" t="str">
        <f>IFERROR(IF([1]F_ProductBM!J1931 = "", "", [1]F_ProductBM!J1931 ),"")</f>
        <v/>
      </c>
      <c r="K4637" s="101" t="str">
        <f>IFERROR(IF([1]F_ProductBM!K1931 = "", "", [1]F_ProductBM!K1931 ),"")</f>
        <v/>
      </c>
      <c r="L4637" s="101" t="str">
        <f>IFERROR(IF([1]F_ProductBM!L1931 = "", "", [1]F_ProductBM!L1931 ),"")</f>
        <v/>
      </c>
      <c r="M4637" s="101" t="str">
        <f>IFERROR(IF([1]F_ProductBM!M1931 = "", "", [1]F_ProductBM!M1931 ),"")</f>
        <v/>
      </c>
      <c r="N4637" s="101" t="str">
        <f>IFERROR(IF([1]F_ProductBM!N1931 = "", "", [1]F_ProductBM!N1931 ),"")</f>
        <v/>
      </c>
    </row>
    <row r="4638" spans="3:14">
      <c r="C4638" s="485"/>
      <c r="D4638" s="582">
        <v>8</v>
      </c>
      <c r="E4638" s="376" t="str">
        <f>IFERROR(IF([1]F_ProductBM!E1932 = "", "", [1]F_ProductBM!E1932 ),"")</f>
        <v/>
      </c>
      <c r="F4638" s="338" t="str">
        <f>IFERROR(IF([1]F_ProductBM!F1932 = "", "", [1]F_ProductBM!F1932 ),"")</f>
        <v/>
      </c>
      <c r="G4638" s="72" t="str">
        <f>IFERROR(IF([1]F_ProductBM!G1932 = "", "", [1]F_ProductBM!G1932 ),"")</f>
        <v/>
      </c>
      <c r="H4638" s="101" t="str">
        <f>IFERROR(IF([1]F_ProductBM!H1932 = "", "", [1]F_ProductBM!H1932 ),"")</f>
        <v/>
      </c>
      <c r="I4638" s="361" t="str">
        <f>IFERROR(IF([1]F_ProductBM!I1932 = "", "", [1]F_ProductBM!I1932 ),"")</f>
        <v/>
      </c>
      <c r="J4638" s="362" t="str">
        <f>IFERROR(IF([1]F_ProductBM!J1932 = "", "", [1]F_ProductBM!J1932 ),"")</f>
        <v/>
      </c>
      <c r="K4638" s="101" t="str">
        <f>IFERROR(IF([1]F_ProductBM!K1932 = "", "", [1]F_ProductBM!K1932 ),"")</f>
        <v/>
      </c>
      <c r="L4638" s="101" t="str">
        <f>IFERROR(IF([1]F_ProductBM!L1932 = "", "", [1]F_ProductBM!L1932 ),"")</f>
        <v/>
      </c>
      <c r="M4638" s="101" t="str">
        <f>IFERROR(IF([1]F_ProductBM!M1932 = "", "", [1]F_ProductBM!M1932 ),"")</f>
        <v/>
      </c>
      <c r="N4638" s="101" t="str">
        <f>IFERROR(IF([1]F_ProductBM!N1932 = "", "", [1]F_ProductBM!N1932 ),"")</f>
        <v/>
      </c>
    </row>
    <row r="4639" spans="3:14">
      <c r="C4639" s="485"/>
      <c r="D4639" s="582">
        <v>9</v>
      </c>
      <c r="E4639" s="376" t="str">
        <f>IFERROR(IF([1]F_ProductBM!E1933 = "", "", [1]F_ProductBM!E1933 ),"")</f>
        <v/>
      </c>
      <c r="F4639" s="338" t="str">
        <f>IFERROR(IF([1]F_ProductBM!F1933 = "", "", [1]F_ProductBM!F1933 ),"")</f>
        <v/>
      </c>
      <c r="G4639" s="72" t="str">
        <f>IFERROR(IF([1]F_ProductBM!G1933 = "", "", [1]F_ProductBM!G1933 ),"")</f>
        <v/>
      </c>
      <c r="H4639" s="101" t="str">
        <f>IFERROR(IF([1]F_ProductBM!H1933 = "", "", [1]F_ProductBM!H1933 ),"")</f>
        <v/>
      </c>
      <c r="I4639" s="361" t="str">
        <f>IFERROR(IF([1]F_ProductBM!I1933 = "", "", [1]F_ProductBM!I1933 ),"")</f>
        <v/>
      </c>
      <c r="J4639" s="362" t="str">
        <f>IFERROR(IF([1]F_ProductBM!J1933 = "", "", [1]F_ProductBM!J1933 ),"")</f>
        <v/>
      </c>
      <c r="K4639" s="101" t="str">
        <f>IFERROR(IF([1]F_ProductBM!K1933 = "", "", [1]F_ProductBM!K1933 ),"")</f>
        <v/>
      </c>
      <c r="L4639" s="101" t="str">
        <f>IFERROR(IF([1]F_ProductBM!L1933 = "", "", [1]F_ProductBM!L1933 ),"")</f>
        <v/>
      </c>
      <c r="M4639" s="101" t="str">
        <f>IFERROR(IF([1]F_ProductBM!M1933 = "", "", [1]F_ProductBM!M1933 ),"")</f>
        <v/>
      </c>
      <c r="N4639" s="101" t="str">
        <f>IFERROR(IF([1]F_ProductBM!N1933 = "", "", [1]F_ProductBM!N1933 ),"")</f>
        <v/>
      </c>
    </row>
    <row r="4640" spans="3:14">
      <c r="C4640" s="485"/>
      <c r="D4640" s="584">
        <v>10</v>
      </c>
      <c r="E4640" s="377" t="str">
        <f>IFERROR(IF([1]F_ProductBM!E1934 = "", "", [1]F_ProductBM!E1934 ),"")</f>
        <v/>
      </c>
      <c r="F4640" s="339" t="str">
        <f>IFERROR(IF([1]F_ProductBM!F1934 = "", "", [1]F_ProductBM!F1934 ),"")</f>
        <v/>
      </c>
      <c r="G4640" s="73" t="str">
        <f>IFERROR(IF([1]F_ProductBM!G1934 = "", "", [1]F_ProductBM!G1934 ),"")</f>
        <v/>
      </c>
      <c r="H4640" s="95" t="str">
        <f>IFERROR(IF([1]F_ProductBM!H1934 = "", "", [1]F_ProductBM!H1934 ),"")</f>
        <v/>
      </c>
      <c r="I4640" s="113" t="str">
        <f>IFERROR(IF([1]F_ProductBM!I1934 = "", "", [1]F_ProductBM!I1934 ),"")</f>
        <v/>
      </c>
      <c r="J4640" s="114" t="str">
        <f>IFERROR(IF([1]F_ProductBM!J1934 = "", "", [1]F_ProductBM!J1934 ),"")</f>
        <v/>
      </c>
      <c r="K4640" s="95" t="str">
        <f>IFERROR(IF([1]F_ProductBM!K1934 = "", "", [1]F_ProductBM!K1934 ),"")</f>
        <v/>
      </c>
      <c r="L4640" s="95" t="str">
        <f>IFERROR(IF([1]F_ProductBM!L1934 = "", "", [1]F_ProductBM!L1934 ),"")</f>
        <v/>
      </c>
      <c r="M4640" s="95" t="str">
        <f>IFERROR(IF([1]F_ProductBM!M1934 = "", "", [1]F_ProductBM!M1934 ),"")</f>
        <v/>
      </c>
      <c r="N4640" s="95" t="str">
        <f>IFERROR(IF([1]F_ProductBM!N1934 = "", "", [1]F_ProductBM!N1934 ),"")</f>
        <v/>
      </c>
    </row>
    <row r="4641" spans="3:14">
      <c r="C4641" s="485"/>
      <c r="D4641" s="971"/>
      <c r="E4641" s="972" t="s">
        <v>2168</v>
      </c>
      <c r="F4641" s="948"/>
      <c r="G4641" s="73" t="str">
        <f>IFERROR(IF([1]F_ProductBM!G1935 = "", "", [1]F_ProductBM!G1935 ),"")</f>
        <v/>
      </c>
      <c r="H4641" s="86" t="str">
        <f>IFERROR(IF([1]F_ProductBM!H1935 = "", "", [1]F_ProductBM!H1935 ),"")</f>
        <v/>
      </c>
      <c r="I4641" s="340" t="str">
        <f>IFERROR(IF([1]F_ProductBM!I1935 = "", "", [1]F_ProductBM!I1935 ),"")</f>
        <v/>
      </c>
      <c r="J4641" s="341" t="str">
        <f>IFERROR(IF([1]F_ProductBM!J1935 = "", "", [1]F_ProductBM!J1935 ),"")</f>
        <v/>
      </c>
      <c r="K4641" s="86" t="str">
        <f>IFERROR(IF([1]F_ProductBM!K1935 = "", "", [1]F_ProductBM!K1935 ),"")</f>
        <v/>
      </c>
      <c r="L4641" s="86" t="str">
        <f>IFERROR(IF([1]F_ProductBM!L1935 = "", "", [1]F_ProductBM!L1935 ),"")</f>
        <v/>
      </c>
      <c r="M4641" s="86" t="str">
        <f>IFERROR(IF([1]F_ProductBM!M1935 = "", "", [1]F_ProductBM!M1935 ),"")</f>
        <v/>
      </c>
      <c r="N4641" s="86" t="str">
        <f>IFERROR(IF([1]F_ProductBM!N1935 = "", "", [1]F_ProductBM!N1935 ),"")</f>
        <v/>
      </c>
    </row>
    <row r="4642" spans="3:14" ht="13.5" thickBot="1">
      <c r="C4642" s="479"/>
      <c r="D4642" s="479"/>
      <c r="E4642" s="479"/>
      <c r="F4642" s="479"/>
      <c r="G4642" s="479"/>
      <c r="H4642" s="479"/>
      <c r="I4642" s="479"/>
      <c r="J4642" s="479"/>
      <c r="K4642" s="479"/>
      <c r="L4642" s="479"/>
      <c r="M4642" s="485"/>
      <c r="N4642" s="485"/>
    </row>
    <row r="4643" spans="3:14">
      <c r="C4643" s="975"/>
      <c r="D4643" s="976"/>
      <c r="E4643" s="976"/>
      <c r="F4643" s="976"/>
      <c r="G4643" s="976"/>
      <c r="H4643" s="976"/>
      <c r="I4643" s="976"/>
      <c r="J4643" s="976"/>
      <c r="K4643" s="976"/>
      <c r="L4643" s="976"/>
      <c r="M4643" s="774"/>
      <c r="N4643" s="775"/>
    </row>
    <row r="4644" spans="3:14">
      <c r="C4644" s="977"/>
      <c r="D4644" s="2678" t="s">
        <v>2330</v>
      </c>
      <c r="E4644" s="2672"/>
      <c r="F4644" s="2672"/>
      <c r="G4644" s="2672"/>
      <c r="H4644" s="2672"/>
      <c r="I4644" s="2672"/>
      <c r="J4644" s="2672"/>
      <c r="K4644" s="2672"/>
      <c r="L4644" s="2672"/>
      <c r="M4644" s="2672"/>
      <c r="N4644" s="2673"/>
    </row>
    <row r="4645" spans="3:14">
      <c r="C4645" s="980"/>
      <c r="D4645" s="813"/>
      <c r="E4645" s="813"/>
      <c r="F4645" s="813"/>
      <c r="G4645" s="813"/>
      <c r="H4645" s="813"/>
      <c r="I4645" s="813"/>
      <c r="J4645" s="813"/>
      <c r="K4645" s="813"/>
      <c r="L4645" s="813"/>
      <c r="M4645" s="813"/>
      <c r="N4645" s="814"/>
    </row>
    <row r="4646" spans="3:14">
      <c r="C4646" s="980"/>
      <c r="D4646" s="2679" t="s">
        <v>2704</v>
      </c>
      <c r="E4646" s="2646"/>
      <c r="F4646" s="2646"/>
      <c r="G4646" s="2646"/>
      <c r="H4646" s="2680"/>
      <c r="I4646" s="2489" t="str">
        <f>IFERROR(IF([1]F_ProductBM!I1940 = "", "", [1]F_ProductBM!I1940 ),"")</f>
        <v/>
      </c>
      <c r="J4646" s="2534"/>
      <c r="K4646" s="2534"/>
      <c r="L4646" s="2534"/>
      <c r="M4646" s="2534"/>
      <c r="N4646" s="2681"/>
    </row>
    <row r="4647" spans="3:14">
      <c r="C4647" s="980"/>
      <c r="D4647" s="813"/>
      <c r="E4647" s="813"/>
      <c r="F4647" s="813"/>
      <c r="G4647" s="813"/>
      <c r="H4647" s="813"/>
      <c r="I4647" s="813"/>
      <c r="J4647" s="813"/>
      <c r="K4647" s="813"/>
      <c r="L4647" s="813"/>
      <c r="M4647" s="813"/>
      <c r="N4647" s="814"/>
    </row>
    <row r="4648" spans="3:14">
      <c r="C4648" s="977"/>
      <c r="D4648" s="981"/>
      <c r="E4648" s="2691" t="s">
        <v>2154</v>
      </c>
      <c r="F4648" s="2691"/>
      <c r="G4648" s="2691"/>
      <c r="H4648" s="2691"/>
      <c r="I4648" s="2691"/>
      <c r="J4648" s="2691"/>
      <c r="K4648" s="2691"/>
      <c r="L4648" s="2691"/>
      <c r="M4648" s="2691"/>
      <c r="N4648" s="2692"/>
    </row>
    <row r="4649" spans="3:14">
      <c r="C4649" s="977"/>
      <c r="D4649" s="981"/>
      <c r="E4649" s="2691" t="s">
        <v>2176</v>
      </c>
      <c r="F4649" s="2691"/>
      <c r="G4649" s="2691"/>
      <c r="H4649" s="2691"/>
      <c r="I4649" s="2691"/>
      <c r="J4649" s="2691"/>
      <c r="K4649" s="2691"/>
      <c r="L4649" s="2691"/>
      <c r="M4649" s="2691"/>
      <c r="N4649" s="2650"/>
    </row>
    <row r="4650" spans="3:14">
      <c r="C4650" s="977"/>
      <c r="D4650" s="981"/>
      <c r="E4650" s="2691" t="s">
        <v>1549</v>
      </c>
      <c r="F4650" s="2391"/>
      <c r="G4650" s="2391"/>
      <c r="H4650" s="2391"/>
      <c r="I4650" s="2391"/>
      <c r="J4650" s="2391"/>
      <c r="K4650" s="2391"/>
      <c r="L4650" s="2391"/>
      <c r="M4650" s="2391"/>
      <c r="N4650" s="2650"/>
    </row>
    <row r="4651" spans="3:14">
      <c r="C4651" s="977"/>
      <c r="D4651" s="981"/>
      <c r="E4651" s="2693" t="s">
        <v>1643</v>
      </c>
      <c r="F4651" s="2693"/>
      <c r="G4651" s="2693"/>
      <c r="H4651" s="2693"/>
      <c r="I4651" s="2693"/>
      <c r="J4651" s="2693"/>
      <c r="K4651" s="2693"/>
      <c r="L4651" s="2693"/>
      <c r="M4651" s="2693"/>
      <c r="N4651" s="2694"/>
    </row>
    <row r="4652" spans="3:14">
      <c r="C4652" s="980"/>
      <c r="D4652" s="813"/>
      <c r="E4652" s="813"/>
      <c r="F4652" s="813"/>
      <c r="G4652" s="813"/>
      <c r="H4652" s="813"/>
      <c r="I4652" s="813"/>
      <c r="J4652" s="813"/>
      <c r="K4652" s="813"/>
      <c r="L4652" s="813"/>
      <c r="M4652" s="813"/>
      <c r="N4652" s="814"/>
    </row>
    <row r="4653" spans="3:14">
      <c r="C4653" s="977"/>
      <c r="D4653" s="981"/>
      <c r="E4653" s="2695" t="s">
        <v>1475</v>
      </c>
      <c r="F4653" s="2695"/>
      <c r="G4653" s="2695"/>
      <c r="H4653" s="2695"/>
      <c r="I4653" s="2695"/>
      <c r="J4653" s="2695"/>
      <c r="K4653" s="2695"/>
      <c r="L4653" s="2695"/>
      <c r="M4653" s="2695"/>
      <c r="N4653" s="2694"/>
    </row>
    <row r="4654" spans="3:14">
      <c r="C4654" s="980"/>
      <c r="D4654" s="813"/>
      <c r="E4654" s="813"/>
      <c r="F4654" s="813"/>
      <c r="G4654" s="813"/>
      <c r="H4654" s="813"/>
      <c r="I4654" s="813"/>
      <c r="J4654" s="813"/>
      <c r="K4654" s="813"/>
      <c r="L4654" s="813"/>
      <c r="M4654" s="813"/>
      <c r="N4654" s="814"/>
    </row>
    <row r="4655" spans="3:14">
      <c r="C4655" s="977"/>
      <c r="D4655" s="982" t="s">
        <v>266</v>
      </c>
      <c r="E4655" s="2671" t="s">
        <v>1617</v>
      </c>
      <c r="F4655" s="2672"/>
      <c r="G4655" s="2672"/>
      <c r="H4655" s="2672"/>
      <c r="I4655" s="2672"/>
      <c r="J4655" s="2672"/>
      <c r="K4655" s="2672"/>
      <c r="L4655" s="2672"/>
      <c r="M4655" s="2672"/>
      <c r="N4655" s="2673"/>
    </row>
    <row r="4656" spans="3:14">
      <c r="C4656" s="977"/>
      <c r="D4656" s="777"/>
      <c r="E4656" s="2711" t="s">
        <v>2295</v>
      </c>
      <c r="F4656" s="2671"/>
      <c r="G4656" s="2671"/>
      <c r="H4656" s="2671"/>
      <c r="I4656" s="2671"/>
      <c r="J4656" s="2671"/>
      <c r="K4656" s="2671"/>
      <c r="L4656" s="2671"/>
      <c r="M4656" s="2671"/>
      <c r="N4656" s="2712"/>
    </row>
    <row r="4657" spans="3:14">
      <c r="C4657" s="977"/>
      <c r="D4657" s="981"/>
      <c r="E4657" s="2674" t="s">
        <v>1618</v>
      </c>
      <c r="F4657" s="2674"/>
      <c r="G4657" s="2674"/>
      <c r="H4657" s="2674"/>
      <c r="I4657" s="2674"/>
      <c r="J4657" s="2674"/>
      <c r="K4657" s="2674"/>
      <c r="L4657" s="2674"/>
      <c r="M4657" s="2674"/>
      <c r="N4657" s="2675"/>
    </row>
    <row r="4658" spans="3:14">
      <c r="C4658" s="977"/>
      <c r="D4658" s="981"/>
      <c r="E4658" s="985" t="s">
        <v>1021</v>
      </c>
      <c r="F4658" s="2645" t="s">
        <v>1616</v>
      </c>
      <c r="G4658" s="2646"/>
      <c r="H4658" s="2646"/>
      <c r="I4658" s="2646"/>
      <c r="J4658" s="2646"/>
      <c r="K4658" s="2646"/>
      <c r="L4658" s="2646"/>
      <c r="M4658" s="2646"/>
      <c r="N4658" s="2647"/>
    </row>
    <row r="4659" spans="3:14">
      <c r="C4659" s="977"/>
      <c r="D4659" s="981"/>
      <c r="E4659" s="985"/>
      <c r="F4659" s="2669" t="s">
        <v>1615</v>
      </c>
      <c r="G4659" s="2391"/>
      <c r="H4659" s="2391"/>
      <c r="I4659" s="2391"/>
      <c r="J4659" s="2391"/>
      <c r="K4659" s="2391"/>
      <c r="L4659" s="2391"/>
      <c r="M4659" s="2391"/>
      <c r="N4659" s="2650"/>
    </row>
    <row r="4660" spans="3:14">
      <c r="C4660" s="977"/>
      <c r="D4660" s="981"/>
      <c r="E4660" s="985" t="s">
        <v>1021</v>
      </c>
      <c r="F4660" s="2645" t="s">
        <v>1278</v>
      </c>
      <c r="G4660" s="2646"/>
      <c r="H4660" s="2646"/>
      <c r="I4660" s="2646"/>
      <c r="J4660" s="2646"/>
      <c r="K4660" s="2646"/>
      <c r="L4660" s="2646"/>
      <c r="M4660" s="2646"/>
      <c r="N4660" s="2647"/>
    </row>
    <row r="4661" spans="3:14">
      <c r="C4661" s="977"/>
      <c r="D4661" s="981"/>
      <c r="E4661" s="985"/>
      <c r="F4661" s="2645" t="s">
        <v>1620</v>
      </c>
      <c r="G4661" s="2646"/>
      <c r="H4661" s="2646"/>
      <c r="I4661" s="2646"/>
      <c r="J4661" s="2646"/>
      <c r="K4661" s="2646"/>
      <c r="L4661" s="2646"/>
      <c r="M4661" s="2646"/>
      <c r="N4661" s="2647"/>
    </row>
    <row r="4662" spans="3:14">
      <c r="C4662" s="977"/>
      <c r="D4662" s="981"/>
      <c r="E4662" s="985"/>
      <c r="F4662" s="2645" t="s">
        <v>1619</v>
      </c>
      <c r="G4662" s="2646"/>
      <c r="H4662" s="2646"/>
      <c r="I4662" s="2646"/>
      <c r="J4662" s="2646"/>
      <c r="K4662" s="2646"/>
      <c r="L4662" s="2646"/>
      <c r="M4662" s="2646"/>
      <c r="N4662" s="2647"/>
    </row>
    <row r="4663" spans="3:14">
      <c r="C4663" s="977"/>
      <c r="D4663" s="981"/>
      <c r="E4663" s="985" t="s">
        <v>1021</v>
      </c>
      <c r="F4663" s="2645" t="s">
        <v>1542</v>
      </c>
      <c r="G4663" s="2646"/>
      <c r="H4663" s="2646"/>
      <c r="I4663" s="2646"/>
      <c r="J4663" s="2646"/>
      <c r="K4663" s="2646"/>
      <c r="L4663" s="2646"/>
      <c r="M4663" s="2646"/>
      <c r="N4663" s="2647"/>
    </row>
    <row r="4664" spans="3:14">
      <c r="C4664" s="977"/>
      <c r="D4664" s="981"/>
      <c r="E4664" s="985" t="s">
        <v>1021</v>
      </c>
      <c r="F4664" s="2645" t="s">
        <v>1458</v>
      </c>
      <c r="G4664" s="2646"/>
      <c r="H4664" s="2646"/>
      <c r="I4664" s="2646"/>
      <c r="J4664" s="2646"/>
      <c r="K4664" s="2646"/>
      <c r="L4664" s="2646"/>
      <c r="M4664" s="2646"/>
      <c r="N4664" s="2647"/>
    </row>
    <row r="4665" spans="3:14">
      <c r="C4665" s="977"/>
      <c r="D4665" s="982"/>
      <c r="E4665" s="2648" t="s">
        <v>1612</v>
      </c>
      <c r="F4665" s="2648"/>
      <c r="G4665" s="987" t="s">
        <v>884</v>
      </c>
      <c r="H4665" s="782">
        <v>2019</v>
      </c>
      <c r="I4665" s="988">
        <v>2020</v>
      </c>
      <c r="J4665" s="781">
        <v>2021</v>
      </c>
      <c r="K4665" s="782">
        <v>2022</v>
      </c>
      <c r="L4665" s="782">
        <v>2023</v>
      </c>
      <c r="M4665" s="782">
        <v>2024</v>
      </c>
      <c r="N4665" s="783">
        <v>2025</v>
      </c>
    </row>
    <row r="4666" spans="3:14">
      <c r="C4666" s="977"/>
      <c r="D4666" s="981"/>
      <c r="E4666" s="2487" t="str">
        <f>IFERROR(IF([1]F_ProductBM!E1960 = "", "", [1]F_ProductBM!E1960 ),"")</f>
        <v/>
      </c>
      <c r="F4666" s="2488"/>
      <c r="G4666" s="815" t="s">
        <v>2016</v>
      </c>
      <c r="H4666" s="93" t="str">
        <f>IFERROR(IF([1]F_ProductBM!H1960 = "", "", [1]F_ProductBM!H1960 ),"")</f>
        <v/>
      </c>
      <c r="I4666" s="116" t="str">
        <f>IFERROR(IF([1]F_ProductBM!I1960 = "", "", [1]F_ProductBM!I1960 ),"")</f>
        <v/>
      </c>
      <c r="J4666" s="117" t="str">
        <f>IFERROR(IF([1]F_ProductBM!J1960 = "", "", [1]F_ProductBM!J1960 ),"")</f>
        <v/>
      </c>
      <c r="K4666" s="93" t="str">
        <f>IFERROR(IF([1]F_ProductBM!K1960 = "", "", [1]F_ProductBM!K1960 ),"")</f>
        <v/>
      </c>
      <c r="L4666" s="93" t="str">
        <f>IFERROR(IF([1]F_ProductBM!L1960 = "", "", [1]F_ProductBM!L1960 ),"")</f>
        <v/>
      </c>
      <c r="M4666" s="93" t="str">
        <f>IFERROR(IF([1]F_ProductBM!M1960 = "", "", [1]F_ProductBM!M1960 ),"")</f>
        <v/>
      </c>
      <c r="N4666" s="118" t="str">
        <f>IFERROR(IF([1]F_ProductBM!N1960 = "", "", [1]F_ProductBM!N1960 ),"")</f>
        <v/>
      </c>
    </row>
    <row r="4667" spans="3:14">
      <c r="C4667" s="977"/>
      <c r="D4667" s="981"/>
      <c r="E4667" s="981"/>
      <c r="F4667" s="981"/>
      <c r="G4667" s="981"/>
      <c r="H4667" s="981"/>
      <c r="I4667" s="981"/>
      <c r="J4667" s="981"/>
      <c r="K4667" s="981"/>
      <c r="L4667" s="981"/>
      <c r="M4667" s="813"/>
      <c r="N4667" s="814"/>
    </row>
    <row r="4668" spans="3:14">
      <c r="C4668" s="977"/>
      <c r="D4668" s="982" t="s">
        <v>269</v>
      </c>
      <c r="E4668" s="2649" t="s">
        <v>1189</v>
      </c>
      <c r="F4668" s="2391"/>
      <c r="G4668" s="2391"/>
      <c r="H4668" s="2391"/>
      <c r="I4668" s="2391"/>
      <c r="J4668" s="2391"/>
      <c r="K4668" s="2391"/>
      <c r="L4668" s="2391"/>
      <c r="M4668" s="2391"/>
      <c r="N4668" s="2650"/>
    </row>
    <row r="4669" spans="3:14">
      <c r="C4669" s="977"/>
      <c r="D4669" s="981"/>
      <c r="E4669" s="2674" t="s">
        <v>1605</v>
      </c>
      <c r="F4669" s="2674"/>
      <c r="G4669" s="2674"/>
      <c r="H4669" s="2674"/>
      <c r="I4669" s="2674"/>
      <c r="J4669" s="2674"/>
      <c r="K4669" s="2674"/>
      <c r="L4669" s="2674"/>
      <c r="M4669" s="2674"/>
      <c r="N4669" s="2675"/>
    </row>
    <row r="4670" spans="3:14">
      <c r="C4670" s="977"/>
      <c r="D4670" s="981"/>
      <c r="E4670" s="2674" t="s">
        <v>1357</v>
      </c>
      <c r="F4670" s="2674"/>
      <c r="G4670" s="2674"/>
      <c r="H4670" s="2674"/>
      <c r="I4670" s="2674"/>
      <c r="J4670" s="2674"/>
      <c r="K4670" s="2674"/>
      <c r="L4670" s="2674"/>
      <c r="M4670" s="2674"/>
      <c r="N4670" s="2675"/>
    </row>
    <row r="4671" spans="3:14">
      <c r="C4671" s="977"/>
      <c r="D4671" s="981"/>
      <c r="E4671" s="2674" t="s">
        <v>1594</v>
      </c>
      <c r="F4671" s="2674"/>
      <c r="G4671" s="2674"/>
      <c r="H4671" s="2674"/>
      <c r="I4671" s="2674"/>
      <c r="J4671" s="2674"/>
      <c r="K4671" s="2674"/>
      <c r="L4671" s="2674"/>
      <c r="M4671" s="2674"/>
      <c r="N4671" s="2675"/>
    </row>
    <row r="4672" spans="3:14">
      <c r="C4672" s="977"/>
      <c r="D4672" s="981"/>
      <c r="E4672" s="2676" t="s">
        <v>1557</v>
      </c>
      <c r="F4672" s="2391"/>
      <c r="G4672" s="2391"/>
      <c r="H4672" s="2391"/>
      <c r="I4672" s="2391"/>
      <c r="J4672" s="2391"/>
      <c r="K4672" s="2391"/>
      <c r="L4672" s="2391"/>
      <c r="M4672" s="2391"/>
      <c r="N4672" s="2650"/>
    </row>
    <row r="4673" spans="3:14">
      <c r="C4673" s="977"/>
      <c r="D4673" s="982"/>
      <c r="E4673" s="989"/>
      <c r="F4673" s="990"/>
      <c r="G4673" s="987" t="s">
        <v>884</v>
      </c>
      <c r="H4673" s="782">
        <v>2019</v>
      </c>
      <c r="I4673" s="988">
        <v>2020</v>
      </c>
      <c r="J4673" s="781">
        <v>2021</v>
      </c>
      <c r="K4673" s="782">
        <v>2022</v>
      </c>
      <c r="L4673" s="782">
        <v>2023</v>
      </c>
      <c r="M4673" s="782">
        <v>2024</v>
      </c>
      <c r="N4673" s="783">
        <v>2025</v>
      </c>
    </row>
    <row r="4674" spans="3:14">
      <c r="C4674" s="977"/>
      <c r="D4674" s="777" t="s">
        <v>6</v>
      </c>
      <c r="E4674" s="2475" t="s">
        <v>1344</v>
      </c>
      <c r="F4674" s="2410"/>
      <c r="G4674" s="815" t="s">
        <v>2017</v>
      </c>
      <c r="H4674" s="93" t="str">
        <f>IFERROR(IF([1]F_ProductBM!H1968 = "", "", [1]F_ProductBM!H1968 ),"")</f>
        <v/>
      </c>
      <c r="I4674" s="116" t="str">
        <f>IFERROR(IF([1]F_ProductBM!I1968 = "", "", [1]F_ProductBM!I1968 ),"")</f>
        <v/>
      </c>
      <c r="J4674" s="117" t="str">
        <f>IFERROR(IF([1]F_ProductBM!J1968 = "", "", [1]F_ProductBM!J1968 ),"")</f>
        <v/>
      </c>
      <c r="K4674" s="93" t="str">
        <f>IFERROR(IF([1]F_ProductBM!K1968 = "", "", [1]F_ProductBM!K1968 ),"")</f>
        <v/>
      </c>
      <c r="L4674" s="93" t="str">
        <f>IFERROR(IF([1]F_ProductBM!L1968 = "", "", [1]F_ProductBM!L1968 ),"")</f>
        <v/>
      </c>
      <c r="M4674" s="93" t="str">
        <f>IFERROR(IF([1]F_ProductBM!M1968 = "", "", [1]F_ProductBM!M1968 ),"")</f>
        <v/>
      </c>
      <c r="N4674" s="118" t="str">
        <f>IFERROR(IF([1]F_ProductBM!N1968 = "", "", [1]F_ProductBM!N1968 ),"")</f>
        <v/>
      </c>
    </row>
    <row r="4675" spans="3:14">
      <c r="C4675" s="977"/>
      <c r="D4675" s="777" t="s">
        <v>7</v>
      </c>
      <c r="E4675" s="2475" t="s">
        <v>1182</v>
      </c>
      <c r="F4675" s="2410"/>
      <c r="G4675" s="991" t="s">
        <v>2018</v>
      </c>
      <c r="H4675" s="109" t="str">
        <f>IFERROR(IF([1]F_ProductBM!H1969 = "", "", [1]F_ProductBM!H1969 ),"")</f>
        <v/>
      </c>
      <c r="I4675" s="304" t="str">
        <f>IFERROR(IF([1]F_ProductBM!I1969 = "", "", [1]F_ProductBM!I1969 ),"")</f>
        <v/>
      </c>
      <c r="J4675" s="305" t="str">
        <f>IFERROR(IF([1]F_ProductBM!J1969 = "", "", [1]F_ProductBM!J1969 ),"")</f>
        <v/>
      </c>
      <c r="K4675" s="109" t="str">
        <f>IFERROR(IF([1]F_ProductBM!K1969 = "", "", [1]F_ProductBM!K1969 ),"")</f>
        <v/>
      </c>
      <c r="L4675" s="109" t="str">
        <f>IFERROR(IF([1]F_ProductBM!L1969 = "", "", [1]F_ProductBM!L1969 ),"")</f>
        <v/>
      </c>
      <c r="M4675" s="109" t="str">
        <f>IFERROR(IF([1]F_ProductBM!M1969 = "", "", [1]F_ProductBM!M1969 ),"")</f>
        <v/>
      </c>
      <c r="N4675" s="357" t="str">
        <f>IFERROR(IF([1]F_ProductBM!N1969 = "", "", [1]F_ProductBM!N1969 ),"")</f>
        <v/>
      </c>
    </row>
    <row r="4676" spans="3:14">
      <c r="C4676" s="977"/>
      <c r="D4676" s="981"/>
      <c r="E4676" s="981"/>
      <c r="F4676" s="981"/>
      <c r="G4676" s="981"/>
      <c r="H4676" s="981"/>
      <c r="I4676" s="981"/>
      <c r="J4676" s="981"/>
      <c r="K4676" s="981"/>
      <c r="L4676" s="981"/>
      <c r="M4676" s="813"/>
      <c r="N4676" s="814"/>
    </row>
    <row r="4677" spans="3:14">
      <c r="C4677" s="977"/>
      <c r="D4677" s="982" t="s">
        <v>271</v>
      </c>
      <c r="E4677" s="2649" t="s">
        <v>1416</v>
      </c>
      <c r="F4677" s="2391"/>
      <c r="G4677" s="2391"/>
      <c r="H4677" s="2391"/>
      <c r="I4677" s="2391"/>
      <c r="J4677" s="2391"/>
      <c r="K4677" s="2391"/>
      <c r="L4677" s="2391"/>
      <c r="M4677" s="2391"/>
      <c r="N4677" s="2650"/>
    </row>
    <row r="4678" spans="3:14">
      <c r="C4678" s="977"/>
      <c r="D4678" s="777"/>
      <c r="E4678" s="2676" t="s">
        <v>2295</v>
      </c>
      <c r="F4678" s="2391"/>
      <c r="G4678" s="2391"/>
      <c r="H4678" s="2391"/>
      <c r="I4678" s="2391"/>
      <c r="J4678" s="2391"/>
      <c r="K4678" s="2391"/>
      <c r="L4678" s="2391"/>
      <c r="M4678" s="2391"/>
      <c r="N4678" s="2650"/>
    </row>
    <row r="4679" spans="3:14">
      <c r="C4679" s="977"/>
      <c r="D4679" s="981"/>
      <c r="E4679" s="2676" t="s">
        <v>1551</v>
      </c>
      <c r="F4679" s="2391"/>
      <c r="G4679" s="2391"/>
      <c r="H4679" s="2391"/>
      <c r="I4679" s="2391"/>
      <c r="J4679" s="2391"/>
      <c r="K4679" s="2391"/>
      <c r="L4679" s="2391"/>
      <c r="M4679" s="2391"/>
      <c r="N4679" s="2650"/>
    </row>
    <row r="4680" spans="3:14">
      <c r="C4680" s="977"/>
      <c r="D4680" s="981"/>
      <c r="E4680" s="2669" t="s">
        <v>1552</v>
      </c>
      <c r="F4680" s="2391"/>
      <c r="G4680" s="2391"/>
      <c r="H4680" s="2391"/>
      <c r="I4680" s="2391"/>
      <c r="J4680" s="2391"/>
      <c r="K4680" s="2391"/>
      <c r="L4680" s="2391"/>
      <c r="M4680" s="2391"/>
      <c r="N4680" s="2650"/>
    </row>
    <row r="4681" spans="3:14">
      <c r="C4681" s="977"/>
      <c r="D4681" s="981"/>
      <c r="E4681" s="2669" t="s">
        <v>1553</v>
      </c>
      <c r="F4681" s="2391"/>
      <c r="G4681" s="2391"/>
      <c r="H4681" s="2391"/>
      <c r="I4681" s="2391"/>
      <c r="J4681" s="2391"/>
      <c r="K4681" s="2391"/>
      <c r="L4681" s="2391"/>
      <c r="M4681" s="2391"/>
      <c r="N4681" s="2650"/>
    </row>
    <row r="4682" spans="3:14">
      <c r="C4682" s="977"/>
      <c r="D4682" s="981"/>
      <c r="E4682" s="2669" t="s">
        <v>1567</v>
      </c>
      <c r="F4682" s="2391"/>
      <c r="G4682" s="2391"/>
      <c r="H4682" s="2391"/>
      <c r="I4682" s="2391"/>
      <c r="J4682" s="2391"/>
      <c r="K4682" s="2391"/>
      <c r="L4682" s="2391"/>
      <c r="M4682" s="2391"/>
      <c r="N4682" s="2650"/>
    </row>
    <row r="4683" spans="3:14">
      <c r="C4683" s="977"/>
      <c r="D4683" s="981"/>
      <c r="E4683" s="2669" t="s">
        <v>1565</v>
      </c>
      <c r="F4683" s="2391"/>
      <c r="G4683" s="2391"/>
      <c r="H4683" s="2391"/>
      <c r="I4683" s="2391"/>
      <c r="J4683" s="2391"/>
      <c r="K4683" s="2391"/>
      <c r="L4683" s="2391"/>
      <c r="M4683" s="2391"/>
      <c r="N4683" s="2650"/>
    </row>
    <row r="4684" spans="3:14">
      <c r="C4684" s="977"/>
      <c r="D4684" s="777" t="s">
        <v>6</v>
      </c>
      <c r="E4684" s="2682" t="s">
        <v>1456</v>
      </c>
      <c r="F4684" s="2391"/>
      <c r="G4684" s="2391"/>
      <c r="H4684" s="2391"/>
      <c r="I4684" s="2391"/>
      <c r="J4684" s="2391"/>
      <c r="K4684" s="2512"/>
      <c r="L4684" s="120" t="str">
        <f>IFERROR(IF([1]F_ProductBM!L1978 = "", "", [1]F_ProductBM!L1978 ),"")</f>
        <v/>
      </c>
      <c r="M4684" s="978"/>
      <c r="N4684" s="979"/>
    </row>
    <row r="4685" spans="3:14">
      <c r="C4685" s="977"/>
      <c r="D4685" s="981"/>
      <c r="E4685" s="2669" t="s">
        <v>1216</v>
      </c>
      <c r="F4685" s="2391"/>
      <c r="G4685" s="2391"/>
      <c r="H4685" s="2391"/>
      <c r="I4685" s="2391"/>
      <c r="J4685" s="2391"/>
      <c r="K4685" s="2391"/>
      <c r="L4685" s="2391"/>
      <c r="M4685" s="2391"/>
      <c r="N4685" s="2650"/>
    </row>
    <row r="4686" spans="3:14">
      <c r="C4686" s="977"/>
      <c r="D4686" s="777" t="s">
        <v>7</v>
      </c>
      <c r="E4686" s="2649" t="s">
        <v>1214</v>
      </c>
      <c r="F4686" s="2391"/>
      <c r="G4686" s="2391"/>
      <c r="H4686" s="2512"/>
      <c r="I4686" s="2683" t="str">
        <f>IFERROR(IF([1]F_ProductBM!I1980 = "", "", [1]F_ProductBM!I1980 ),"")</f>
        <v/>
      </c>
      <c r="J4686" s="2487"/>
      <c r="K4686" s="2487"/>
      <c r="L4686" s="2487"/>
      <c r="M4686" s="2684"/>
      <c r="N4686" s="992"/>
    </row>
    <row r="4687" spans="3:14">
      <c r="C4687" s="977"/>
      <c r="D4687" s="981"/>
      <c r="E4687" s="986"/>
      <c r="F4687" s="978"/>
      <c r="G4687" s="978"/>
      <c r="H4687" s="978"/>
      <c r="I4687" s="978"/>
      <c r="J4687" s="978"/>
      <c r="K4687" s="978"/>
      <c r="L4687" s="978"/>
      <c r="M4687" s="978"/>
      <c r="N4687" s="979"/>
    </row>
    <row r="4688" spans="3:14">
      <c r="C4688" s="977"/>
      <c r="D4688" s="981"/>
      <c r="E4688" s="2648" t="s">
        <v>1154</v>
      </c>
      <c r="F4688" s="2493"/>
      <c r="G4688" s="987" t="s">
        <v>884</v>
      </c>
      <c r="H4688" s="782">
        <v>2019</v>
      </c>
      <c r="I4688" s="988">
        <v>2020</v>
      </c>
      <c r="J4688" s="781">
        <v>2021</v>
      </c>
      <c r="K4688" s="782">
        <v>2022</v>
      </c>
      <c r="L4688" s="782">
        <v>2023</v>
      </c>
      <c r="M4688" s="782">
        <v>2024</v>
      </c>
      <c r="N4688" s="783">
        <v>2025</v>
      </c>
    </row>
    <row r="4689" spans="3:14">
      <c r="C4689" s="977"/>
      <c r="D4689" s="777" t="s">
        <v>8</v>
      </c>
      <c r="E4689" s="2471" t="s">
        <v>1153</v>
      </c>
      <c r="F4689" s="2472"/>
      <c r="G4689" s="811" t="s">
        <v>2152</v>
      </c>
      <c r="H4689" s="94" t="str">
        <f>IFERROR(IF([1]F_ProductBM!H1983 = "", "", [1]F_ProductBM!H1983 ),"")</f>
        <v/>
      </c>
      <c r="I4689" s="110" t="str">
        <f>IFERROR(IF([1]F_ProductBM!I1983 = "", "", [1]F_ProductBM!I1983 ),"")</f>
        <v/>
      </c>
      <c r="J4689" s="111" t="str">
        <f>IFERROR(IF([1]F_ProductBM!J1983 = "", "", [1]F_ProductBM!J1983 ),"")</f>
        <v/>
      </c>
      <c r="K4689" s="94" t="str">
        <f>IFERROR(IF([1]F_ProductBM!K1983 = "", "", [1]F_ProductBM!K1983 ),"")</f>
        <v/>
      </c>
      <c r="L4689" s="94" t="str">
        <f>IFERROR(IF([1]F_ProductBM!L1983 = "", "", [1]F_ProductBM!L1983 ),"")</f>
        <v/>
      </c>
      <c r="M4689" s="94" t="str">
        <f>IFERROR(IF([1]F_ProductBM!M1983 = "", "", [1]F_ProductBM!M1983 ),"")</f>
        <v/>
      </c>
      <c r="N4689" s="112" t="str">
        <f>IFERROR(IF([1]F_ProductBM!N1983 = "", "", [1]F_ProductBM!N1983 ),"")</f>
        <v/>
      </c>
    </row>
    <row r="4690" spans="3:14">
      <c r="C4690" s="977"/>
      <c r="D4690" s="777" t="s">
        <v>18</v>
      </c>
      <c r="E4690" s="2685" t="s">
        <v>946</v>
      </c>
      <c r="F4690" s="2608"/>
      <c r="G4690" s="993" t="s">
        <v>2019</v>
      </c>
      <c r="H4690" s="101" t="str">
        <f>IFERROR(IF([1]F_ProductBM!H1984 = "", "", [1]F_ProductBM!H1984 ),"")</f>
        <v/>
      </c>
      <c r="I4690" s="361" t="str">
        <f>IFERROR(IF([1]F_ProductBM!I1984 = "", "", [1]F_ProductBM!I1984 ),"")</f>
        <v/>
      </c>
      <c r="J4690" s="362" t="str">
        <f>IFERROR(IF([1]F_ProductBM!J1984 = "", "", [1]F_ProductBM!J1984 ),"")</f>
        <v/>
      </c>
      <c r="K4690" s="101" t="str">
        <f>IFERROR(IF([1]F_ProductBM!K1984 = "", "", [1]F_ProductBM!K1984 ),"")</f>
        <v/>
      </c>
      <c r="L4690" s="101" t="str">
        <f>IFERROR(IF([1]F_ProductBM!L1984 = "", "", [1]F_ProductBM!L1984 ),"")</f>
        <v/>
      </c>
      <c r="M4690" s="101" t="str">
        <f>IFERROR(IF([1]F_ProductBM!M1984 = "", "", [1]F_ProductBM!M1984 ),"")</f>
        <v/>
      </c>
      <c r="N4690" s="363" t="str">
        <f>IFERROR(IF([1]F_ProductBM!N1984 = "", "", [1]F_ProductBM!N1984 ),"")</f>
        <v/>
      </c>
    </row>
    <row r="4691" spans="3:14">
      <c r="C4691" s="977"/>
      <c r="D4691" s="777" t="s">
        <v>787</v>
      </c>
      <c r="E4691" s="2685" t="s">
        <v>945</v>
      </c>
      <c r="F4691" s="2608"/>
      <c r="G4691" s="994" t="s">
        <v>878</v>
      </c>
      <c r="H4691" s="101" t="str">
        <f>IFERROR(IF([1]F_ProductBM!H1985 = "", "", [1]F_ProductBM!H1985 ),"")</f>
        <v/>
      </c>
      <c r="I4691" s="361" t="str">
        <f>IFERROR(IF([1]F_ProductBM!I1985 = "", "", [1]F_ProductBM!I1985 ),"")</f>
        <v/>
      </c>
      <c r="J4691" s="362" t="str">
        <f>IFERROR(IF([1]F_ProductBM!J1985 = "", "", [1]F_ProductBM!J1985 ),"")</f>
        <v/>
      </c>
      <c r="K4691" s="101" t="str">
        <f>IFERROR(IF([1]F_ProductBM!K1985 = "", "", [1]F_ProductBM!K1985 ),"")</f>
        <v/>
      </c>
      <c r="L4691" s="101" t="str">
        <f>IFERROR(IF([1]F_ProductBM!L1985 = "", "", [1]F_ProductBM!L1985 ),"")</f>
        <v/>
      </c>
      <c r="M4691" s="101" t="str">
        <f>IFERROR(IF([1]F_ProductBM!M1985 = "", "", [1]F_ProductBM!M1985 ),"")</f>
        <v/>
      </c>
      <c r="N4691" s="363" t="str">
        <f>IFERROR(IF([1]F_ProductBM!N1985 = "", "", [1]F_ProductBM!N1985 ),"")</f>
        <v/>
      </c>
    </row>
    <row r="4692" spans="3:14">
      <c r="C4692" s="977"/>
      <c r="D4692" s="777" t="s">
        <v>788</v>
      </c>
      <c r="E4692" s="2473" t="s">
        <v>880</v>
      </c>
      <c r="F4692" s="2474"/>
      <c r="G4692" s="812" t="s">
        <v>878</v>
      </c>
      <c r="H4692" s="95" t="str">
        <f>IFERROR(IF([1]F_ProductBM!H1986 = "", "", [1]F_ProductBM!H1986 ),"")</f>
        <v/>
      </c>
      <c r="I4692" s="113" t="str">
        <f>IFERROR(IF([1]F_ProductBM!I1986 = "", "", [1]F_ProductBM!I1986 ),"")</f>
        <v/>
      </c>
      <c r="J4692" s="114" t="str">
        <f>IFERROR(IF([1]F_ProductBM!J1986 = "", "", [1]F_ProductBM!J1986 ),"")</f>
        <v/>
      </c>
      <c r="K4692" s="95" t="str">
        <f>IFERROR(IF([1]F_ProductBM!K1986 = "", "", [1]F_ProductBM!K1986 ),"")</f>
        <v/>
      </c>
      <c r="L4692" s="95" t="str">
        <f>IFERROR(IF([1]F_ProductBM!L1986 = "", "", [1]F_ProductBM!L1986 ),"")</f>
        <v/>
      </c>
      <c r="M4692" s="95" t="str">
        <f>IFERROR(IF([1]F_ProductBM!M1986 = "", "", [1]F_ProductBM!M1986 ),"")</f>
        <v/>
      </c>
      <c r="N4692" s="115" t="str">
        <f>IFERROR(IF([1]F_ProductBM!N1986 = "", "", [1]F_ProductBM!N1986 ),"")</f>
        <v/>
      </c>
    </row>
    <row r="4693" spans="3:14">
      <c r="C4693" s="977"/>
      <c r="D4693" s="777" t="s">
        <v>789</v>
      </c>
      <c r="E4693" s="2471" t="s">
        <v>882</v>
      </c>
      <c r="F4693" s="2472"/>
      <c r="G4693" s="995" t="s">
        <v>2015</v>
      </c>
      <c r="H4693" s="378" t="str">
        <f>IFERROR(IF([1]F_ProductBM!H1987 = "", "", [1]F_ProductBM!H1987 ),"")</f>
        <v/>
      </c>
      <c r="I4693" s="379" t="str">
        <f>IFERROR(IF([1]F_ProductBM!I1987 = "", "", [1]F_ProductBM!I1987 ),"")</f>
        <v/>
      </c>
      <c r="J4693" s="380" t="str">
        <f>IFERROR(IF([1]F_ProductBM!J1987 = "", "", [1]F_ProductBM!J1987 ),"")</f>
        <v/>
      </c>
      <c r="K4693" s="378" t="str">
        <f>IFERROR(IF([1]F_ProductBM!K1987 = "", "", [1]F_ProductBM!K1987 ),"")</f>
        <v/>
      </c>
      <c r="L4693" s="378" t="str">
        <f>IFERROR(IF([1]F_ProductBM!L1987 = "", "", [1]F_ProductBM!L1987 ),"")</f>
        <v/>
      </c>
      <c r="M4693" s="378" t="str">
        <f>IFERROR(IF([1]F_ProductBM!M1987 = "", "", [1]F_ProductBM!M1987 ),"")</f>
        <v/>
      </c>
      <c r="N4693" s="381" t="str">
        <f>IFERROR(IF([1]F_ProductBM!N1987 = "", "", [1]F_ProductBM!N1987 ),"")</f>
        <v/>
      </c>
    </row>
    <row r="4694" spans="3:14">
      <c r="C4694" s="977"/>
      <c r="D4694" s="777" t="s">
        <v>790</v>
      </c>
      <c r="E4694" s="2670" t="s">
        <v>879</v>
      </c>
      <c r="F4694" s="2608"/>
      <c r="G4694" s="998" t="s">
        <v>2015</v>
      </c>
      <c r="H4694" s="382" t="str">
        <f>IFERROR(IF([1]F_ProductBM!H1988 = "", "", [1]F_ProductBM!H1988 ),"")</f>
        <v/>
      </c>
      <c r="I4694" s="383" t="str">
        <f>IFERROR(IF([1]F_ProductBM!I1988 = "", "", [1]F_ProductBM!I1988 ),"")</f>
        <v/>
      </c>
      <c r="J4694" s="384" t="str">
        <f>IFERROR(IF([1]F_ProductBM!J1988 = "", "", [1]F_ProductBM!J1988 ),"")</f>
        <v/>
      </c>
      <c r="K4694" s="382" t="str">
        <f>IFERROR(IF([1]F_ProductBM!K1988 = "", "", [1]F_ProductBM!K1988 ),"")</f>
        <v/>
      </c>
      <c r="L4694" s="382" t="str">
        <f>IFERROR(IF([1]F_ProductBM!L1988 = "", "", [1]F_ProductBM!L1988 ),"")</f>
        <v/>
      </c>
      <c r="M4694" s="382" t="str">
        <f>IFERROR(IF([1]F_ProductBM!M1988 = "", "", [1]F_ProductBM!M1988 ),"")</f>
        <v/>
      </c>
      <c r="N4694" s="385" t="str">
        <f>IFERROR(IF([1]F_ProductBM!N1988 = "", "", [1]F_ProductBM!N1988 ),"")</f>
        <v/>
      </c>
    </row>
    <row r="4695" spans="3:14">
      <c r="C4695" s="977"/>
      <c r="D4695" s="777" t="s">
        <v>791</v>
      </c>
      <c r="E4695" s="2473" t="s">
        <v>41</v>
      </c>
      <c r="F4695" s="2474"/>
      <c r="G4695" s="1001" t="s">
        <v>2017</v>
      </c>
      <c r="H4695" s="86" t="str">
        <f>IFERROR(IF([1]F_ProductBM!H1989 = "", "", [1]F_ProductBM!H1989 ),"")</f>
        <v/>
      </c>
      <c r="I4695" s="340" t="str">
        <f>IFERROR(IF([1]F_ProductBM!I1989 = "", "", [1]F_ProductBM!I1989 ),"")</f>
        <v/>
      </c>
      <c r="J4695" s="341" t="str">
        <f>IFERROR(IF([1]F_ProductBM!J1989 = "", "", [1]F_ProductBM!J1989 ),"")</f>
        <v/>
      </c>
      <c r="K4695" s="86" t="str">
        <f>IFERROR(IF([1]F_ProductBM!K1989 = "", "", [1]F_ProductBM!K1989 ),"")</f>
        <v/>
      </c>
      <c r="L4695" s="86" t="str">
        <f>IFERROR(IF([1]F_ProductBM!L1989 = "", "", [1]F_ProductBM!L1989 ),"")</f>
        <v/>
      </c>
      <c r="M4695" s="86" t="str">
        <f>IFERROR(IF([1]F_ProductBM!M1989 = "", "", [1]F_ProductBM!M1989 ),"")</f>
        <v/>
      </c>
      <c r="N4695" s="342" t="str">
        <f>IFERROR(IF([1]F_ProductBM!N1989 = "", "", [1]F_ProductBM!N1989 ),"")</f>
        <v/>
      </c>
    </row>
    <row r="4696" spans="3:14">
      <c r="C4696" s="977"/>
      <c r="D4696" s="777" t="s">
        <v>64</v>
      </c>
      <c r="E4696" s="2687" t="s">
        <v>393</v>
      </c>
      <c r="F4696" s="2688"/>
      <c r="G4696" s="1002"/>
      <c r="H4696" s="343" t="str">
        <f>IFERROR(IF([1]F_ProductBM!H1990 = "", "", [1]F_ProductBM!H1990 ),"")</f>
        <v/>
      </c>
      <c r="I4696" s="344" t="str">
        <f>IFERROR(IF([1]F_ProductBM!I1990 = "", "", [1]F_ProductBM!I1990 ),"")</f>
        <v/>
      </c>
      <c r="J4696" s="345" t="str">
        <f>IFERROR(IF([1]F_ProductBM!J1990 = "", "", [1]F_ProductBM!J1990 ),"")</f>
        <v/>
      </c>
      <c r="K4696" s="343" t="str">
        <f>IFERROR(IF([1]F_ProductBM!K1990 = "", "", [1]F_ProductBM!K1990 ),"")</f>
        <v/>
      </c>
      <c r="L4696" s="343" t="str">
        <f>IFERROR(IF([1]F_ProductBM!L1990 = "", "", [1]F_ProductBM!L1990 ),"")</f>
        <v/>
      </c>
      <c r="M4696" s="343" t="str">
        <f>IFERROR(IF([1]F_ProductBM!M1990 = "", "", [1]F_ProductBM!M1990 ),"")</f>
        <v/>
      </c>
      <c r="N4696" s="346" t="str">
        <f>IFERROR(IF([1]F_ProductBM!N1990 = "", "", [1]F_ProductBM!N1990 ),"")</f>
        <v/>
      </c>
    </row>
    <row r="4697" spans="3:14">
      <c r="C4697" s="977"/>
      <c r="D4697" s="777"/>
      <c r="E4697" s="981"/>
      <c r="F4697" s="981"/>
      <c r="G4697" s="981"/>
      <c r="H4697" s="981"/>
      <c r="I4697" s="981"/>
      <c r="J4697" s="981"/>
      <c r="K4697" s="981"/>
      <c r="L4697" s="981"/>
      <c r="M4697" s="813"/>
      <c r="N4697" s="814"/>
    </row>
    <row r="4698" spans="3:14">
      <c r="C4698" s="977"/>
      <c r="D4698" s="777" t="s">
        <v>65</v>
      </c>
      <c r="E4698" s="2649" t="s">
        <v>1215</v>
      </c>
      <c r="F4698" s="2391"/>
      <c r="G4698" s="2391"/>
      <c r="H4698" s="2512"/>
      <c r="I4698" s="2683" t="str">
        <f>IFERROR(IF([1]F_ProductBM!I1992 = "", "", [1]F_ProductBM!I1992 ),"")</f>
        <v/>
      </c>
      <c r="J4698" s="2488"/>
      <c r="K4698" s="2488"/>
      <c r="L4698" s="2488"/>
      <c r="M4698" s="2686"/>
      <c r="N4698" s="979"/>
    </row>
    <row r="4699" spans="3:14">
      <c r="C4699" s="977"/>
      <c r="D4699" s="981"/>
      <c r="E4699" s="986"/>
      <c r="F4699" s="978"/>
      <c r="G4699" s="981"/>
      <c r="H4699" s="981"/>
      <c r="I4699" s="978"/>
      <c r="J4699" s="978"/>
      <c r="K4699" s="978"/>
      <c r="L4699" s="978"/>
      <c r="M4699" s="978"/>
      <c r="N4699" s="979"/>
    </row>
    <row r="4700" spans="3:14">
      <c r="C4700" s="977"/>
      <c r="D4700" s="777"/>
      <c r="E4700" s="2648" t="s">
        <v>1155</v>
      </c>
      <c r="F4700" s="2493"/>
      <c r="G4700" s="987" t="s">
        <v>884</v>
      </c>
      <c r="H4700" s="782">
        <v>2019</v>
      </c>
      <c r="I4700" s="988">
        <v>2020</v>
      </c>
      <c r="J4700" s="781">
        <v>2021</v>
      </c>
      <c r="K4700" s="782">
        <v>2022</v>
      </c>
      <c r="L4700" s="782">
        <v>2023</v>
      </c>
      <c r="M4700" s="782">
        <v>2024</v>
      </c>
      <c r="N4700" s="783">
        <v>2025</v>
      </c>
    </row>
    <row r="4701" spans="3:14">
      <c r="C4701" s="977"/>
      <c r="D4701" s="777" t="s">
        <v>66</v>
      </c>
      <c r="E4701" s="2471" t="s">
        <v>1153</v>
      </c>
      <c r="F4701" s="2472"/>
      <c r="G4701" s="811" t="s">
        <v>2152</v>
      </c>
      <c r="H4701" s="94" t="str">
        <f>IFERROR(IF([1]F_ProductBM!H1995 = "", "", [1]F_ProductBM!H1995 ),"")</f>
        <v/>
      </c>
      <c r="I4701" s="110" t="str">
        <f>IFERROR(IF([1]F_ProductBM!I1995 = "", "", [1]F_ProductBM!I1995 ),"")</f>
        <v/>
      </c>
      <c r="J4701" s="111" t="str">
        <f>IFERROR(IF([1]F_ProductBM!J1995 = "", "", [1]F_ProductBM!J1995 ),"")</f>
        <v/>
      </c>
      <c r="K4701" s="94" t="str">
        <f>IFERROR(IF([1]F_ProductBM!K1995 = "", "", [1]F_ProductBM!K1995 ),"")</f>
        <v/>
      </c>
      <c r="L4701" s="94" t="str">
        <f>IFERROR(IF([1]F_ProductBM!L1995 = "", "", [1]F_ProductBM!L1995 ),"")</f>
        <v/>
      </c>
      <c r="M4701" s="94" t="str">
        <f>IFERROR(IF([1]F_ProductBM!M1995 = "", "", [1]F_ProductBM!M1995 ),"")</f>
        <v/>
      </c>
      <c r="N4701" s="112" t="str">
        <f>IFERROR(IF([1]F_ProductBM!N1995 = "", "", [1]F_ProductBM!N1995 ),"")</f>
        <v/>
      </c>
    </row>
    <row r="4702" spans="3:14">
      <c r="C4702" s="977"/>
      <c r="D4702" s="777" t="s">
        <v>1105</v>
      </c>
      <c r="E4702" s="2685" t="s">
        <v>946</v>
      </c>
      <c r="F4702" s="2608"/>
      <c r="G4702" s="993" t="s">
        <v>2019</v>
      </c>
      <c r="H4702" s="101" t="str">
        <f>IFERROR(IF([1]F_ProductBM!H1996 = "", "", [1]F_ProductBM!H1996 ),"")</f>
        <v/>
      </c>
      <c r="I4702" s="361" t="str">
        <f>IFERROR(IF([1]F_ProductBM!I1996 = "", "", [1]F_ProductBM!I1996 ),"")</f>
        <v/>
      </c>
      <c r="J4702" s="362" t="str">
        <f>IFERROR(IF([1]F_ProductBM!J1996 = "", "", [1]F_ProductBM!J1996 ),"")</f>
        <v/>
      </c>
      <c r="K4702" s="101" t="str">
        <f>IFERROR(IF([1]F_ProductBM!K1996 = "", "", [1]F_ProductBM!K1996 ),"")</f>
        <v/>
      </c>
      <c r="L4702" s="101" t="str">
        <f>IFERROR(IF([1]F_ProductBM!L1996 = "", "", [1]F_ProductBM!L1996 ),"")</f>
        <v/>
      </c>
      <c r="M4702" s="101" t="str">
        <f>IFERROR(IF([1]F_ProductBM!M1996 = "", "", [1]F_ProductBM!M1996 ),"")</f>
        <v/>
      </c>
      <c r="N4702" s="363" t="str">
        <f>IFERROR(IF([1]F_ProductBM!N1996 = "", "", [1]F_ProductBM!N1996 ),"")</f>
        <v/>
      </c>
    </row>
    <row r="4703" spans="3:14">
      <c r="C4703" s="977"/>
      <c r="D4703" s="777" t="s">
        <v>1106</v>
      </c>
      <c r="E4703" s="2685" t="s">
        <v>945</v>
      </c>
      <c r="F4703" s="2608"/>
      <c r="G4703" s="994" t="s">
        <v>878</v>
      </c>
      <c r="H4703" s="101" t="str">
        <f>IFERROR(IF([1]F_ProductBM!H1997 = "", "", [1]F_ProductBM!H1997 ),"")</f>
        <v/>
      </c>
      <c r="I4703" s="361" t="str">
        <f>IFERROR(IF([1]F_ProductBM!I1997 = "", "", [1]F_ProductBM!I1997 ),"")</f>
        <v/>
      </c>
      <c r="J4703" s="362" t="str">
        <f>IFERROR(IF([1]F_ProductBM!J1997 = "", "", [1]F_ProductBM!J1997 ),"")</f>
        <v/>
      </c>
      <c r="K4703" s="101" t="str">
        <f>IFERROR(IF([1]F_ProductBM!K1997 = "", "", [1]F_ProductBM!K1997 ),"")</f>
        <v/>
      </c>
      <c r="L4703" s="101" t="str">
        <f>IFERROR(IF([1]F_ProductBM!L1997 = "", "", [1]F_ProductBM!L1997 ),"")</f>
        <v/>
      </c>
      <c r="M4703" s="101" t="str">
        <f>IFERROR(IF([1]F_ProductBM!M1997 = "", "", [1]F_ProductBM!M1997 ),"")</f>
        <v/>
      </c>
      <c r="N4703" s="363" t="str">
        <f>IFERROR(IF([1]F_ProductBM!N1997 = "", "", [1]F_ProductBM!N1997 ),"")</f>
        <v/>
      </c>
    </row>
    <row r="4704" spans="3:14">
      <c r="C4704" s="977"/>
      <c r="D4704" s="777" t="s">
        <v>1107</v>
      </c>
      <c r="E4704" s="2473" t="s">
        <v>880</v>
      </c>
      <c r="F4704" s="2474"/>
      <c r="G4704" s="812" t="s">
        <v>878</v>
      </c>
      <c r="H4704" s="95" t="str">
        <f>IFERROR(IF([1]F_ProductBM!H1998 = "", "", [1]F_ProductBM!H1998 ),"")</f>
        <v/>
      </c>
      <c r="I4704" s="113" t="str">
        <f>IFERROR(IF([1]F_ProductBM!I1998 = "", "", [1]F_ProductBM!I1998 ),"")</f>
        <v/>
      </c>
      <c r="J4704" s="114" t="str">
        <f>IFERROR(IF([1]F_ProductBM!J1998 = "", "", [1]F_ProductBM!J1998 ),"")</f>
        <v/>
      </c>
      <c r="K4704" s="95" t="str">
        <f>IFERROR(IF([1]F_ProductBM!K1998 = "", "", [1]F_ProductBM!K1998 ),"")</f>
        <v/>
      </c>
      <c r="L4704" s="95" t="str">
        <f>IFERROR(IF([1]F_ProductBM!L1998 = "", "", [1]F_ProductBM!L1998 ),"")</f>
        <v/>
      </c>
      <c r="M4704" s="95" t="str">
        <f>IFERROR(IF([1]F_ProductBM!M1998 = "", "", [1]F_ProductBM!M1998 ),"")</f>
        <v/>
      </c>
      <c r="N4704" s="115" t="str">
        <f>IFERROR(IF([1]F_ProductBM!N1998 = "", "", [1]F_ProductBM!N1998 ),"")</f>
        <v/>
      </c>
    </row>
    <row r="4705" spans="3:14">
      <c r="C4705" s="977"/>
      <c r="D4705" s="777" t="s">
        <v>1108</v>
      </c>
      <c r="E4705" s="2471" t="s">
        <v>882</v>
      </c>
      <c r="F4705" s="2472"/>
      <c r="G4705" s="995" t="s">
        <v>2015</v>
      </c>
      <c r="H4705" s="378" t="str">
        <f>IFERROR(IF([1]F_ProductBM!H1999 = "", "", [1]F_ProductBM!H1999 ),"")</f>
        <v/>
      </c>
      <c r="I4705" s="379" t="str">
        <f>IFERROR(IF([1]F_ProductBM!I1999 = "", "", [1]F_ProductBM!I1999 ),"")</f>
        <v/>
      </c>
      <c r="J4705" s="380" t="str">
        <f>IFERROR(IF([1]F_ProductBM!J1999 = "", "", [1]F_ProductBM!J1999 ),"")</f>
        <v/>
      </c>
      <c r="K4705" s="378" t="str">
        <f>IFERROR(IF([1]F_ProductBM!K1999 = "", "", [1]F_ProductBM!K1999 ),"")</f>
        <v/>
      </c>
      <c r="L4705" s="378" t="str">
        <f>IFERROR(IF([1]F_ProductBM!L1999 = "", "", [1]F_ProductBM!L1999 ),"")</f>
        <v/>
      </c>
      <c r="M4705" s="378" t="str">
        <f>IFERROR(IF([1]F_ProductBM!M1999 = "", "", [1]F_ProductBM!M1999 ),"")</f>
        <v/>
      </c>
      <c r="N4705" s="381" t="str">
        <f>IFERROR(IF([1]F_ProductBM!N1999 = "", "", [1]F_ProductBM!N1999 ),"")</f>
        <v/>
      </c>
    </row>
    <row r="4706" spans="3:14">
      <c r="C4706" s="977"/>
      <c r="D4706" s="777" t="s">
        <v>1109</v>
      </c>
      <c r="E4706" s="2670" t="s">
        <v>879</v>
      </c>
      <c r="F4706" s="2608"/>
      <c r="G4706" s="998" t="s">
        <v>2015</v>
      </c>
      <c r="H4706" s="382" t="str">
        <f>IFERROR(IF([1]F_ProductBM!H2000 = "", "", [1]F_ProductBM!H2000 ),"")</f>
        <v/>
      </c>
      <c r="I4706" s="383" t="str">
        <f>IFERROR(IF([1]F_ProductBM!I2000 = "", "", [1]F_ProductBM!I2000 ),"")</f>
        <v/>
      </c>
      <c r="J4706" s="384" t="str">
        <f>IFERROR(IF([1]F_ProductBM!J2000 = "", "", [1]F_ProductBM!J2000 ),"")</f>
        <v/>
      </c>
      <c r="K4706" s="382" t="str">
        <f>IFERROR(IF([1]F_ProductBM!K2000 = "", "", [1]F_ProductBM!K2000 ),"")</f>
        <v/>
      </c>
      <c r="L4706" s="382" t="str">
        <f>IFERROR(IF([1]F_ProductBM!L2000 = "", "", [1]F_ProductBM!L2000 ),"")</f>
        <v/>
      </c>
      <c r="M4706" s="382" t="str">
        <f>IFERROR(IF([1]F_ProductBM!M2000 = "", "", [1]F_ProductBM!M2000 ),"")</f>
        <v/>
      </c>
      <c r="N4706" s="385" t="str">
        <f>IFERROR(IF([1]F_ProductBM!N2000 = "", "", [1]F_ProductBM!N2000 ),"")</f>
        <v/>
      </c>
    </row>
    <row r="4707" spans="3:14">
      <c r="C4707" s="977"/>
      <c r="D4707" s="777" t="s">
        <v>1110</v>
      </c>
      <c r="E4707" s="2473" t="s">
        <v>41</v>
      </c>
      <c r="F4707" s="2474"/>
      <c r="G4707" s="1001" t="s">
        <v>2017</v>
      </c>
      <c r="H4707" s="86" t="str">
        <f>IFERROR(IF([1]F_ProductBM!H2001 = "", "", [1]F_ProductBM!H2001 ),"")</f>
        <v/>
      </c>
      <c r="I4707" s="340" t="str">
        <f>IFERROR(IF([1]F_ProductBM!I2001 = "", "", [1]F_ProductBM!I2001 ),"")</f>
        <v/>
      </c>
      <c r="J4707" s="341" t="str">
        <f>IFERROR(IF([1]F_ProductBM!J2001 = "", "", [1]F_ProductBM!J2001 ),"")</f>
        <v/>
      </c>
      <c r="K4707" s="86" t="str">
        <f>IFERROR(IF([1]F_ProductBM!K2001 = "", "", [1]F_ProductBM!K2001 ),"")</f>
        <v/>
      </c>
      <c r="L4707" s="86" t="str">
        <f>IFERROR(IF([1]F_ProductBM!L2001 = "", "", [1]F_ProductBM!L2001 ),"")</f>
        <v/>
      </c>
      <c r="M4707" s="86" t="str">
        <f>IFERROR(IF([1]F_ProductBM!M2001 = "", "", [1]F_ProductBM!M2001 ),"")</f>
        <v/>
      </c>
      <c r="N4707" s="342" t="str">
        <f>IFERROR(IF([1]F_ProductBM!N2001 = "", "", [1]F_ProductBM!N2001 ),"")</f>
        <v/>
      </c>
    </row>
    <row r="4708" spans="3:14">
      <c r="C4708" s="977"/>
      <c r="D4708" s="777" t="s">
        <v>1106</v>
      </c>
      <c r="E4708" s="2687" t="s">
        <v>393</v>
      </c>
      <c r="F4708" s="2688"/>
      <c r="G4708" s="1002"/>
      <c r="H4708" s="343" t="str">
        <f>IFERROR(IF([1]F_ProductBM!H2002 = "", "", [1]F_ProductBM!H2002 ),"")</f>
        <v/>
      </c>
      <c r="I4708" s="344" t="str">
        <f>IFERROR(IF([1]F_ProductBM!I2002 = "", "", [1]F_ProductBM!I2002 ),"")</f>
        <v/>
      </c>
      <c r="J4708" s="345" t="str">
        <f>IFERROR(IF([1]F_ProductBM!J2002 = "", "", [1]F_ProductBM!J2002 ),"")</f>
        <v/>
      </c>
      <c r="K4708" s="343" t="str">
        <f>IFERROR(IF([1]F_ProductBM!K2002 = "", "", [1]F_ProductBM!K2002 ),"")</f>
        <v/>
      </c>
      <c r="L4708" s="343" t="str">
        <f>IFERROR(IF([1]F_ProductBM!L2002 = "", "", [1]F_ProductBM!L2002 ),"")</f>
        <v/>
      </c>
      <c r="M4708" s="343" t="str">
        <f>IFERROR(IF([1]F_ProductBM!M2002 = "", "", [1]F_ProductBM!M2002 ),"")</f>
        <v/>
      </c>
      <c r="N4708" s="346" t="str">
        <f>IFERROR(IF([1]F_ProductBM!N2002 = "", "", [1]F_ProductBM!N2002 ),"")</f>
        <v/>
      </c>
    </row>
    <row r="4709" spans="3:14">
      <c r="C4709" s="977"/>
      <c r="D4709" s="981"/>
      <c r="E4709" s="981"/>
      <c r="F4709" s="981"/>
      <c r="G4709" s="981"/>
      <c r="H4709" s="981"/>
      <c r="I4709" s="981"/>
      <c r="J4709" s="981"/>
      <c r="K4709" s="981"/>
      <c r="L4709" s="981"/>
      <c r="M4709" s="813"/>
      <c r="N4709" s="814"/>
    </row>
    <row r="4710" spans="3:14">
      <c r="C4710" s="977"/>
      <c r="D4710" s="982" t="s">
        <v>478</v>
      </c>
      <c r="E4710" s="2649" t="s">
        <v>1457</v>
      </c>
      <c r="F4710" s="2391"/>
      <c r="G4710" s="2391"/>
      <c r="H4710" s="2391"/>
      <c r="I4710" s="2391"/>
      <c r="J4710" s="2391"/>
      <c r="K4710" s="2391"/>
      <c r="L4710" s="2391"/>
      <c r="M4710" s="2391"/>
      <c r="N4710" s="2650"/>
    </row>
    <row r="4711" spans="3:14">
      <c r="C4711" s="977"/>
      <c r="D4711" s="777"/>
      <c r="E4711" s="2676" t="s">
        <v>2295</v>
      </c>
      <c r="F4711" s="2391"/>
      <c r="G4711" s="2391"/>
      <c r="H4711" s="2391"/>
      <c r="I4711" s="2391"/>
      <c r="J4711" s="2391"/>
      <c r="K4711" s="2391"/>
      <c r="L4711" s="2391"/>
      <c r="M4711" s="2391"/>
      <c r="N4711" s="2650"/>
    </row>
    <row r="4712" spans="3:14">
      <c r="C4712" s="977"/>
      <c r="D4712" s="981"/>
      <c r="E4712" s="2669" t="s">
        <v>2300</v>
      </c>
      <c r="F4712" s="2391"/>
      <c r="G4712" s="2391"/>
      <c r="H4712" s="2391"/>
      <c r="I4712" s="2391"/>
      <c r="J4712" s="2391"/>
      <c r="K4712" s="2391"/>
      <c r="L4712" s="2391"/>
      <c r="M4712" s="2391"/>
      <c r="N4712" s="2650"/>
    </row>
    <row r="4713" spans="3:14">
      <c r="C4713" s="977"/>
      <c r="D4713" s="981"/>
      <c r="E4713" s="2669" t="s">
        <v>1365</v>
      </c>
      <c r="F4713" s="2391"/>
      <c r="G4713" s="2391"/>
      <c r="H4713" s="2391"/>
      <c r="I4713" s="2391"/>
      <c r="J4713" s="2391"/>
      <c r="K4713" s="2391"/>
      <c r="L4713" s="2391"/>
      <c r="M4713" s="2391"/>
      <c r="N4713" s="2650"/>
    </row>
    <row r="4714" spans="3:14">
      <c r="C4714" s="977"/>
      <c r="D4714" s="982"/>
      <c r="E4714" s="989"/>
      <c r="F4714" s="990"/>
      <c r="G4714" s="987" t="s">
        <v>884</v>
      </c>
      <c r="H4714" s="782">
        <v>2019</v>
      </c>
      <c r="I4714" s="988">
        <v>2020</v>
      </c>
      <c r="J4714" s="781">
        <v>2021</v>
      </c>
      <c r="K4714" s="782">
        <v>2022</v>
      </c>
      <c r="L4714" s="782">
        <v>2023</v>
      </c>
      <c r="M4714" s="782">
        <v>2024</v>
      </c>
      <c r="N4714" s="783">
        <v>2025</v>
      </c>
    </row>
    <row r="4715" spans="3:14">
      <c r="C4715" s="977"/>
      <c r="D4715" s="777"/>
      <c r="E4715" s="2475" t="s">
        <v>1156</v>
      </c>
      <c r="F4715" s="2410"/>
      <c r="G4715" s="815" t="s">
        <v>2016</v>
      </c>
      <c r="H4715" s="93" t="str">
        <f>IFERROR(IF([1]F_ProductBM!H2009 = "", "", [1]F_ProductBM!H2009 ),"")</f>
        <v/>
      </c>
      <c r="I4715" s="116" t="str">
        <f>IFERROR(IF([1]F_ProductBM!I2009 = "", "", [1]F_ProductBM!I2009 ),"")</f>
        <v/>
      </c>
      <c r="J4715" s="117" t="str">
        <f>IFERROR(IF([1]F_ProductBM!J2009 = "", "", [1]F_ProductBM!J2009 ),"")</f>
        <v/>
      </c>
      <c r="K4715" s="93" t="str">
        <f>IFERROR(IF([1]F_ProductBM!K2009 = "", "", [1]F_ProductBM!K2009 ),"")</f>
        <v/>
      </c>
      <c r="L4715" s="93" t="str">
        <f>IFERROR(IF([1]F_ProductBM!L2009 = "", "", [1]F_ProductBM!L2009 ),"")</f>
        <v/>
      </c>
      <c r="M4715" s="93" t="str">
        <f>IFERROR(IF([1]F_ProductBM!M2009 = "", "", [1]F_ProductBM!M2009 ),"")</f>
        <v/>
      </c>
      <c r="N4715" s="118" t="str">
        <f>IFERROR(IF([1]F_ProductBM!N2009 = "", "", [1]F_ProductBM!N2009 ),"")</f>
        <v/>
      </c>
    </row>
    <row r="4716" spans="3:14">
      <c r="C4716" s="977"/>
      <c r="D4716" s="981"/>
      <c r="E4716" s="981"/>
      <c r="F4716" s="981"/>
      <c r="G4716" s="981"/>
      <c r="H4716" s="981"/>
      <c r="I4716" s="981"/>
      <c r="J4716" s="981"/>
      <c r="K4716" s="981"/>
      <c r="L4716" s="981"/>
      <c r="M4716" s="813"/>
      <c r="N4716" s="814"/>
    </row>
    <row r="4717" spans="3:14">
      <c r="C4717" s="977"/>
      <c r="D4717" s="982" t="s">
        <v>479</v>
      </c>
      <c r="E4717" s="2649" t="s">
        <v>1118</v>
      </c>
      <c r="F4717" s="2391"/>
      <c r="G4717" s="2391"/>
      <c r="H4717" s="2391"/>
      <c r="I4717" s="2391"/>
      <c r="J4717" s="2391"/>
      <c r="K4717" s="2391"/>
      <c r="L4717" s="2391"/>
      <c r="M4717" s="2391"/>
      <c r="N4717" s="2650"/>
    </row>
    <row r="4718" spans="3:14">
      <c r="C4718" s="977"/>
      <c r="D4718" s="777"/>
      <c r="E4718" s="2676" t="s">
        <v>2297</v>
      </c>
      <c r="F4718" s="2391"/>
      <c r="G4718" s="2391"/>
      <c r="H4718" s="2391"/>
      <c r="I4718" s="2391"/>
      <c r="J4718" s="2391"/>
      <c r="K4718" s="2391"/>
      <c r="L4718" s="2391"/>
      <c r="M4718" s="2391"/>
      <c r="N4718" s="2650"/>
    </row>
    <row r="4719" spans="3:14">
      <c r="C4719" s="977"/>
      <c r="D4719" s="981"/>
      <c r="E4719" s="2669" t="s">
        <v>2118</v>
      </c>
      <c r="F4719" s="2391"/>
      <c r="G4719" s="2391"/>
      <c r="H4719" s="2391"/>
      <c r="I4719" s="2391"/>
      <c r="J4719" s="2391"/>
      <c r="K4719" s="2391"/>
      <c r="L4719" s="2391"/>
      <c r="M4719" s="2391"/>
      <c r="N4719" s="2650"/>
    </row>
    <row r="4720" spans="3:14">
      <c r="C4720" s="977"/>
      <c r="D4720" s="981"/>
      <c r="E4720" s="2669" t="s">
        <v>1614</v>
      </c>
      <c r="F4720" s="2391"/>
      <c r="G4720" s="2391"/>
      <c r="H4720" s="2391"/>
      <c r="I4720" s="2391"/>
      <c r="J4720" s="2391"/>
      <c r="K4720" s="2391"/>
      <c r="L4720" s="2391"/>
      <c r="M4720" s="2391"/>
      <c r="N4720" s="2650"/>
    </row>
    <row r="4721" spans="3:14">
      <c r="C4721" s="977"/>
      <c r="D4721" s="981"/>
      <c r="E4721" s="2669" t="s">
        <v>1593</v>
      </c>
      <c r="F4721" s="2391"/>
      <c r="G4721" s="2391"/>
      <c r="H4721" s="2391"/>
      <c r="I4721" s="2391"/>
      <c r="J4721" s="2391"/>
      <c r="K4721" s="2391"/>
      <c r="L4721" s="2391"/>
      <c r="M4721" s="2391"/>
      <c r="N4721" s="2650"/>
    </row>
    <row r="4722" spans="3:14">
      <c r="C4722" s="977"/>
      <c r="D4722" s="981"/>
      <c r="E4722" s="2697" t="s">
        <v>1555</v>
      </c>
      <c r="F4722" s="2698"/>
      <c r="G4722" s="2698"/>
      <c r="H4722" s="2698"/>
      <c r="I4722" s="2698"/>
      <c r="J4722" s="2698"/>
      <c r="K4722" s="2698"/>
      <c r="L4722" s="2698"/>
      <c r="M4722" s="2698"/>
      <c r="N4722" s="2694"/>
    </row>
    <row r="4723" spans="3:14">
      <c r="C4723" s="977"/>
      <c r="D4723" s="981"/>
      <c r="E4723" s="2648" t="s">
        <v>1151</v>
      </c>
      <c r="F4723" s="2493"/>
      <c r="G4723" s="987" t="s">
        <v>884</v>
      </c>
      <c r="H4723" s="782">
        <v>2019</v>
      </c>
      <c r="I4723" s="988">
        <v>2020</v>
      </c>
      <c r="J4723" s="781">
        <v>2021</v>
      </c>
      <c r="K4723" s="782">
        <v>2022</v>
      </c>
      <c r="L4723" s="782">
        <v>2023</v>
      </c>
      <c r="M4723" s="782">
        <v>2024</v>
      </c>
      <c r="N4723" s="783">
        <v>2025</v>
      </c>
    </row>
    <row r="4724" spans="3:14">
      <c r="C4724" s="977"/>
      <c r="D4724" s="777" t="s">
        <v>6</v>
      </c>
      <c r="E4724" s="2475" t="s">
        <v>1087</v>
      </c>
      <c r="F4724" s="2410"/>
      <c r="G4724" s="815" t="s">
        <v>2017</v>
      </c>
      <c r="H4724" s="93" t="str">
        <f>IFERROR(IF([1]F_ProductBM!H2018 = "", "", [1]F_ProductBM!H2018 ),"")</f>
        <v/>
      </c>
      <c r="I4724" s="116" t="str">
        <f>IFERROR(IF([1]F_ProductBM!I2018 = "", "", [1]F_ProductBM!I2018 ),"")</f>
        <v/>
      </c>
      <c r="J4724" s="117" t="str">
        <f>IFERROR(IF([1]F_ProductBM!J2018 = "", "", [1]F_ProductBM!J2018 ),"")</f>
        <v/>
      </c>
      <c r="K4724" s="93" t="str">
        <f>IFERROR(IF([1]F_ProductBM!K2018 = "", "", [1]F_ProductBM!K2018 ),"")</f>
        <v/>
      </c>
      <c r="L4724" s="93" t="str">
        <f>IFERROR(IF([1]F_ProductBM!L2018 = "", "", [1]F_ProductBM!L2018 ),"")</f>
        <v/>
      </c>
      <c r="M4724" s="93" t="str">
        <f>IFERROR(IF([1]F_ProductBM!M2018 = "", "", [1]F_ProductBM!M2018 ),"")</f>
        <v/>
      </c>
      <c r="N4724" s="118" t="str">
        <f>IFERROR(IF([1]F_ProductBM!N2018 = "", "", [1]F_ProductBM!N2018 ),"")</f>
        <v/>
      </c>
    </row>
    <row r="4725" spans="3:14">
      <c r="C4725" s="977"/>
      <c r="D4725" s="777" t="s">
        <v>7</v>
      </c>
      <c r="E4725" s="2475" t="s">
        <v>1103</v>
      </c>
      <c r="F4725" s="2410"/>
      <c r="G4725" s="815" t="s">
        <v>2018</v>
      </c>
      <c r="H4725" s="93" t="str">
        <f>IFERROR(IF([1]F_ProductBM!H2019 = "", "", [1]F_ProductBM!H2019 ),"")</f>
        <v/>
      </c>
      <c r="I4725" s="116" t="str">
        <f>IFERROR(IF([1]F_ProductBM!I2019 = "", "", [1]F_ProductBM!I2019 ),"")</f>
        <v/>
      </c>
      <c r="J4725" s="117" t="str">
        <f>IFERROR(IF([1]F_ProductBM!J2019 = "", "", [1]F_ProductBM!J2019 ),"")</f>
        <v/>
      </c>
      <c r="K4725" s="93" t="str">
        <f>IFERROR(IF([1]F_ProductBM!K2019 = "", "", [1]F_ProductBM!K2019 ),"")</f>
        <v/>
      </c>
      <c r="L4725" s="93" t="str">
        <f>IFERROR(IF([1]F_ProductBM!L2019 = "", "", [1]F_ProductBM!L2019 ),"")</f>
        <v/>
      </c>
      <c r="M4725" s="93" t="str">
        <f>IFERROR(IF([1]F_ProductBM!M2019 = "", "", [1]F_ProductBM!M2019 ),"")</f>
        <v/>
      </c>
      <c r="N4725" s="118" t="str">
        <f>IFERROR(IF([1]F_ProductBM!N2019 = "", "", [1]F_ProductBM!N2019 ),"")</f>
        <v/>
      </c>
    </row>
    <row r="4726" spans="3:14">
      <c r="C4726" s="977"/>
      <c r="D4726" s="981"/>
      <c r="E4726" s="981"/>
      <c r="F4726" s="981"/>
      <c r="G4726" s="981"/>
      <c r="H4726" s="981"/>
      <c r="I4726" s="981"/>
      <c r="J4726" s="981"/>
      <c r="K4726" s="981"/>
      <c r="L4726" s="981"/>
      <c r="M4726" s="981"/>
      <c r="N4726" s="814"/>
    </row>
    <row r="4727" spans="3:14">
      <c r="C4727" s="977"/>
      <c r="D4727" s="981"/>
      <c r="E4727" s="2648" t="s">
        <v>1406</v>
      </c>
      <c r="F4727" s="2493"/>
      <c r="G4727" s="987" t="s">
        <v>884</v>
      </c>
      <c r="H4727" s="782">
        <v>2019</v>
      </c>
      <c r="I4727" s="988">
        <v>2020</v>
      </c>
      <c r="J4727" s="781">
        <v>2021</v>
      </c>
      <c r="K4727" s="782">
        <v>2022</v>
      </c>
      <c r="L4727" s="782">
        <v>2023</v>
      </c>
      <c r="M4727" s="782">
        <v>2024</v>
      </c>
      <c r="N4727" s="783">
        <v>2025</v>
      </c>
    </row>
    <row r="4728" spans="3:14">
      <c r="C4728" s="977"/>
      <c r="D4728" s="777" t="s">
        <v>8</v>
      </c>
      <c r="E4728" s="2475" t="s">
        <v>1556</v>
      </c>
      <c r="F4728" s="2410"/>
      <c r="G4728" s="815" t="s">
        <v>2017</v>
      </c>
      <c r="H4728" s="351" t="str">
        <f>IFERROR(IF([1]F_ProductBM!H2022 = "", "", [1]F_ProductBM!H2022 ),"")</f>
        <v/>
      </c>
      <c r="I4728" s="352" t="str">
        <f>IFERROR(IF([1]F_ProductBM!I2022 = "", "", [1]F_ProductBM!I2022 ),"")</f>
        <v/>
      </c>
      <c r="J4728" s="353" t="str">
        <f>IFERROR(IF([1]F_ProductBM!J2022 = "", "", [1]F_ProductBM!J2022 ),"")</f>
        <v/>
      </c>
      <c r="K4728" s="351" t="str">
        <f>IFERROR(IF([1]F_ProductBM!K2022 = "", "", [1]F_ProductBM!K2022 ),"")</f>
        <v/>
      </c>
      <c r="L4728" s="351" t="str">
        <f>IFERROR(IF([1]F_ProductBM!L2022 = "", "", [1]F_ProductBM!L2022 ),"")</f>
        <v/>
      </c>
      <c r="M4728" s="351" t="str">
        <f>IFERROR(IF([1]F_ProductBM!M2022 = "", "", [1]F_ProductBM!M2022 ),"")</f>
        <v/>
      </c>
      <c r="N4728" s="354" t="str">
        <f>IFERROR(IF([1]F_ProductBM!N2022 = "", "", [1]F_ProductBM!N2022 ),"")</f>
        <v/>
      </c>
    </row>
    <row r="4729" spans="3:14">
      <c r="C4729" s="977"/>
      <c r="D4729" s="777" t="s">
        <v>18</v>
      </c>
      <c r="E4729" s="2475" t="s">
        <v>1149</v>
      </c>
      <c r="F4729" s="2410"/>
      <c r="G4729" s="815" t="s">
        <v>2017</v>
      </c>
      <c r="H4729" s="93" t="str">
        <f>IFERROR(IF([1]F_ProductBM!H2023 = "", "", [1]F_ProductBM!H2023 ),"")</f>
        <v/>
      </c>
      <c r="I4729" s="116" t="str">
        <f>IFERROR(IF([1]F_ProductBM!I2023 = "", "", [1]F_ProductBM!I2023 ),"")</f>
        <v/>
      </c>
      <c r="J4729" s="117" t="str">
        <f>IFERROR(IF([1]F_ProductBM!J2023 = "", "", [1]F_ProductBM!J2023 ),"")</f>
        <v/>
      </c>
      <c r="K4729" s="93" t="str">
        <f>IFERROR(IF([1]F_ProductBM!K2023 = "", "", [1]F_ProductBM!K2023 ),"")</f>
        <v/>
      </c>
      <c r="L4729" s="93" t="str">
        <f>IFERROR(IF([1]F_ProductBM!L2023 = "", "", [1]F_ProductBM!L2023 ),"")</f>
        <v/>
      </c>
      <c r="M4729" s="93" t="str">
        <f>IFERROR(IF([1]F_ProductBM!M2023 = "", "", [1]F_ProductBM!M2023 ),"")</f>
        <v/>
      </c>
      <c r="N4729" s="118" t="str">
        <f>IFERROR(IF([1]F_ProductBM!N2023 = "", "", [1]F_ProductBM!N2023 ),"")</f>
        <v/>
      </c>
    </row>
    <row r="4730" spans="3:14">
      <c r="C4730" s="977"/>
      <c r="D4730" s="981"/>
      <c r="E4730" s="981"/>
      <c r="F4730" s="981"/>
      <c r="G4730" s="981"/>
      <c r="H4730" s="981"/>
      <c r="I4730" s="981"/>
      <c r="J4730" s="981"/>
      <c r="K4730" s="981"/>
      <c r="L4730" s="981"/>
      <c r="M4730" s="981"/>
      <c r="N4730" s="814"/>
    </row>
    <row r="4731" spans="3:14">
      <c r="C4731" s="977"/>
      <c r="D4731" s="981"/>
      <c r="E4731" s="2648" t="s">
        <v>1152</v>
      </c>
      <c r="F4731" s="2493"/>
      <c r="G4731" s="987" t="s">
        <v>884</v>
      </c>
      <c r="H4731" s="782">
        <v>2019</v>
      </c>
      <c r="I4731" s="988">
        <v>2020</v>
      </c>
      <c r="J4731" s="781">
        <v>2021</v>
      </c>
      <c r="K4731" s="782">
        <v>2022</v>
      </c>
      <c r="L4731" s="782">
        <v>2023</v>
      </c>
      <c r="M4731" s="782">
        <v>2024</v>
      </c>
      <c r="N4731" s="783">
        <v>2025</v>
      </c>
    </row>
    <row r="4732" spans="3:14">
      <c r="C4732" s="977"/>
      <c r="D4732" s="777" t="s">
        <v>787</v>
      </c>
      <c r="E4732" s="2475" t="s">
        <v>1079</v>
      </c>
      <c r="F4732" s="2410"/>
      <c r="G4732" s="815" t="s">
        <v>2017</v>
      </c>
      <c r="H4732" s="93" t="str">
        <f>IFERROR(IF([1]F_ProductBM!H2026 = "", "", [1]F_ProductBM!H2026 ),"")</f>
        <v/>
      </c>
      <c r="I4732" s="116" t="str">
        <f>IFERROR(IF([1]F_ProductBM!I2026 = "", "", [1]F_ProductBM!I2026 ),"")</f>
        <v/>
      </c>
      <c r="J4732" s="117" t="str">
        <f>IFERROR(IF([1]F_ProductBM!J2026 = "", "", [1]F_ProductBM!J2026 ),"")</f>
        <v/>
      </c>
      <c r="K4732" s="93" t="str">
        <f>IFERROR(IF([1]F_ProductBM!K2026 = "", "", [1]F_ProductBM!K2026 ),"")</f>
        <v/>
      </c>
      <c r="L4732" s="93" t="str">
        <f>IFERROR(IF([1]F_ProductBM!L2026 = "", "", [1]F_ProductBM!L2026 ),"")</f>
        <v/>
      </c>
      <c r="M4732" s="93" t="str">
        <f>IFERROR(IF([1]F_ProductBM!M2026 = "", "", [1]F_ProductBM!M2026 ),"")</f>
        <v/>
      </c>
      <c r="N4732" s="118" t="str">
        <f>IFERROR(IF([1]F_ProductBM!N2026 = "", "", [1]F_ProductBM!N2026 ),"")</f>
        <v/>
      </c>
    </row>
    <row r="4733" spans="3:14">
      <c r="C4733" s="977"/>
      <c r="D4733" s="777" t="s">
        <v>788</v>
      </c>
      <c r="E4733" s="2475" t="s">
        <v>1104</v>
      </c>
      <c r="F4733" s="2410"/>
      <c r="G4733" s="815" t="s">
        <v>2018</v>
      </c>
      <c r="H4733" s="93" t="str">
        <f>IFERROR(IF([1]F_ProductBM!H2027 = "", "", [1]F_ProductBM!H2027 ),"")</f>
        <v/>
      </c>
      <c r="I4733" s="116" t="str">
        <f>IFERROR(IF([1]F_ProductBM!I2027 = "", "", [1]F_ProductBM!I2027 ),"")</f>
        <v/>
      </c>
      <c r="J4733" s="117" t="str">
        <f>IFERROR(IF([1]F_ProductBM!J2027 = "", "", [1]F_ProductBM!J2027 ),"")</f>
        <v/>
      </c>
      <c r="K4733" s="93" t="str">
        <f>IFERROR(IF([1]F_ProductBM!K2027 = "", "", [1]F_ProductBM!K2027 ),"")</f>
        <v/>
      </c>
      <c r="L4733" s="93" t="str">
        <f>IFERROR(IF([1]F_ProductBM!L2027 = "", "", [1]F_ProductBM!L2027 ),"")</f>
        <v/>
      </c>
      <c r="M4733" s="93" t="str">
        <f>IFERROR(IF([1]F_ProductBM!M2027 = "", "", [1]F_ProductBM!M2027 ),"")</f>
        <v/>
      </c>
      <c r="N4733" s="118" t="str">
        <f>IFERROR(IF([1]F_ProductBM!N2027 = "", "", [1]F_ProductBM!N2027 ),"")</f>
        <v/>
      </c>
    </row>
    <row r="4734" spans="3:14">
      <c r="C4734" s="977"/>
      <c r="D4734" s="981"/>
      <c r="E4734" s="981"/>
      <c r="F4734" s="981"/>
      <c r="G4734" s="981"/>
      <c r="H4734" s="981"/>
      <c r="I4734" s="981"/>
      <c r="J4734" s="981"/>
      <c r="K4734" s="981"/>
      <c r="L4734" s="981"/>
      <c r="M4734" s="813"/>
      <c r="N4734" s="814"/>
    </row>
    <row r="4735" spans="3:14">
      <c r="C4735" s="977"/>
      <c r="D4735" s="982" t="s">
        <v>481</v>
      </c>
      <c r="E4735" s="2649" t="s">
        <v>1312</v>
      </c>
      <c r="F4735" s="2391"/>
      <c r="G4735" s="2391"/>
      <c r="H4735" s="2391"/>
      <c r="I4735" s="2391"/>
      <c r="J4735" s="2391"/>
      <c r="K4735" s="2391"/>
      <c r="L4735" s="2391"/>
      <c r="M4735" s="2391"/>
      <c r="N4735" s="2650"/>
    </row>
    <row r="4736" spans="3:14">
      <c r="C4736" s="977"/>
      <c r="D4736" s="981"/>
      <c r="E4736" s="986"/>
      <c r="F4736" s="986"/>
      <c r="G4736" s="986"/>
      <c r="H4736" s="986"/>
      <c r="I4736" s="986"/>
      <c r="J4736" s="986"/>
      <c r="K4736" s="986"/>
      <c r="L4736" s="986"/>
      <c r="M4736" s="986"/>
      <c r="N4736" s="1007"/>
    </row>
    <row r="4737" spans="3:14">
      <c r="C4737" s="977"/>
      <c r="D4737" s="777" t="s">
        <v>6</v>
      </c>
      <c r="E4737" s="2649" t="s">
        <v>1313</v>
      </c>
      <c r="F4737" s="2391"/>
      <c r="G4737" s="2391"/>
      <c r="H4737" s="2391"/>
      <c r="I4737" s="2391"/>
      <c r="J4737" s="2391"/>
      <c r="K4737" s="2512"/>
      <c r="L4737" s="120" t="str">
        <f>IFERROR(IF([1]F_ProductBM!L2031 = "", "", [1]F_ProductBM!L2031 ),"")</f>
        <v/>
      </c>
      <c r="M4737" s="978"/>
      <c r="N4737" s="979"/>
    </row>
    <row r="4738" spans="3:14">
      <c r="C4738" s="977"/>
      <c r="D4738" s="981"/>
      <c r="E4738" s="2669" t="s">
        <v>1314</v>
      </c>
      <c r="F4738" s="2391"/>
      <c r="G4738" s="2391"/>
      <c r="H4738" s="2391"/>
      <c r="I4738" s="2391"/>
      <c r="J4738" s="2391"/>
      <c r="K4738" s="2391"/>
      <c r="L4738" s="2391"/>
      <c r="M4738" s="2391"/>
      <c r="N4738" s="2650"/>
    </row>
    <row r="4739" spans="3:14">
      <c r="C4739" s="977"/>
      <c r="D4739" s="777" t="s">
        <v>7</v>
      </c>
      <c r="E4739" s="2649" t="s">
        <v>1219</v>
      </c>
      <c r="F4739" s="2391"/>
      <c r="G4739" s="2391"/>
      <c r="H4739" s="2512"/>
      <c r="I4739" s="2683" t="str">
        <f>IFERROR(IF([1]F_ProductBM!I2033 = "", "", [1]F_ProductBM!I2033 ),"")</f>
        <v/>
      </c>
      <c r="J4739" s="2488"/>
      <c r="K4739" s="2488"/>
      <c r="L4739" s="2488"/>
      <c r="M4739" s="2686"/>
      <c r="N4739" s="979"/>
    </row>
    <row r="4740" spans="3:14">
      <c r="C4740" s="977"/>
      <c r="D4740" s="981"/>
      <c r="E4740" s="2669" t="s">
        <v>1316</v>
      </c>
      <c r="F4740" s="2391"/>
      <c r="G4740" s="2391"/>
      <c r="H4740" s="2391"/>
      <c r="I4740" s="2391"/>
      <c r="J4740" s="2391"/>
      <c r="K4740" s="2391"/>
      <c r="L4740" s="2391"/>
      <c r="M4740" s="2391"/>
      <c r="N4740" s="2650"/>
    </row>
    <row r="4741" spans="3:14">
      <c r="C4741" s="977"/>
      <c r="D4741" s="981"/>
      <c r="E4741" s="2676" t="s">
        <v>1557</v>
      </c>
      <c r="F4741" s="2391"/>
      <c r="G4741" s="2391"/>
      <c r="H4741" s="2391"/>
      <c r="I4741" s="2391"/>
      <c r="J4741" s="2391"/>
      <c r="K4741" s="2391"/>
      <c r="L4741" s="2391"/>
      <c r="M4741" s="2391"/>
      <c r="N4741" s="2650"/>
    </row>
    <row r="4742" spans="3:14">
      <c r="C4742" s="977"/>
      <c r="D4742" s="981"/>
      <c r="E4742" s="989"/>
      <c r="F4742" s="990"/>
      <c r="G4742" s="987" t="s">
        <v>884</v>
      </c>
      <c r="H4742" s="782">
        <v>2019</v>
      </c>
      <c r="I4742" s="988">
        <v>2020</v>
      </c>
      <c r="J4742" s="781">
        <v>2021</v>
      </c>
      <c r="K4742" s="782">
        <v>2022</v>
      </c>
      <c r="L4742" s="782">
        <v>2023</v>
      </c>
      <c r="M4742" s="782">
        <v>2024</v>
      </c>
      <c r="N4742" s="783">
        <v>2025</v>
      </c>
    </row>
    <row r="4743" spans="3:14">
      <c r="C4743" s="977"/>
      <c r="D4743" s="777" t="s">
        <v>8</v>
      </c>
      <c r="E4743" s="2471" t="s">
        <v>1305</v>
      </c>
      <c r="F4743" s="2472"/>
      <c r="G4743" s="67" t="str">
        <f>IFERROR(IF([1]F_ProductBM!G2037 = "", "", [1]F_ProductBM!G2037 ),"")</f>
        <v/>
      </c>
      <c r="H4743" s="94" t="str">
        <f>IFERROR(IF([1]F_ProductBM!H2037 = "", "", [1]F_ProductBM!H2037 ),"")</f>
        <v/>
      </c>
      <c r="I4743" s="110" t="str">
        <f>IFERROR(IF([1]F_ProductBM!I2037 = "", "", [1]F_ProductBM!I2037 ),"")</f>
        <v/>
      </c>
      <c r="J4743" s="111" t="str">
        <f>IFERROR(IF([1]F_ProductBM!J2037 = "", "", [1]F_ProductBM!J2037 ),"")</f>
        <v/>
      </c>
      <c r="K4743" s="94" t="str">
        <f>IFERROR(IF([1]F_ProductBM!K2037 = "", "", [1]F_ProductBM!K2037 ),"")</f>
        <v/>
      </c>
      <c r="L4743" s="94" t="str">
        <f>IFERROR(IF([1]F_ProductBM!L2037 = "", "", [1]F_ProductBM!L2037 ),"")</f>
        <v/>
      </c>
      <c r="M4743" s="94" t="str">
        <f>IFERROR(IF([1]F_ProductBM!M2037 = "", "", [1]F_ProductBM!M2037 ),"")</f>
        <v/>
      </c>
      <c r="N4743" s="112" t="str">
        <f>IFERROR(IF([1]F_ProductBM!N2037 = "", "", [1]F_ProductBM!N2037 ),"")</f>
        <v/>
      </c>
    </row>
    <row r="4744" spans="3:14">
      <c r="C4744" s="977"/>
      <c r="D4744" s="777" t="s">
        <v>18</v>
      </c>
      <c r="E4744" s="2473" t="s">
        <v>661</v>
      </c>
      <c r="F4744" s="2474"/>
      <c r="G4744" s="350" t="str">
        <f>IFERROR(IF([1]F_ProductBM!G2038 = "", "", [1]F_ProductBM!G2038 ),"")</f>
        <v>GJ / Unit</v>
      </c>
      <c r="H4744" s="95" t="str">
        <f>IFERROR(IF([1]F_ProductBM!H2038 = "", "", [1]F_ProductBM!H2038 ),"")</f>
        <v/>
      </c>
      <c r="I4744" s="113" t="str">
        <f>IFERROR(IF([1]F_ProductBM!I2038 = "", "", [1]F_ProductBM!I2038 ),"")</f>
        <v/>
      </c>
      <c r="J4744" s="114" t="str">
        <f>IFERROR(IF([1]F_ProductBM!J2038 = "", "", [1]F_ProductBM!J2038 ),"")</f>
        <v/>
      </c>
      <c r="K4744" s="95" t="str">
        <f>IFERROR(IF([1]F_ProductBM!K2038 = "", "", [1]F_ProductBM!K2038 ),"")</f>
        <v/>
      </c>
      <c r="L4744" s="95" t="str">
        <f>IFERROR(IF([1]F_ProductBM!L2038 = "", "", [1]F_ProductBM!L2038 ),"")</f>
        <v/>
      </c>
      <c r="M4744" s="95" t="str">
        <f>IFERROR(IF([1]F_ProductBM!M2038 = "", "", [1]F_ProductBM!M2038 ),"")</f>
        <v/>
      </c>
      <c r="N4744" s="115" t="str">
        <f>IFERROR(IF([1]F_ProductBM!N2038 = "", "", [1]F_ProductBM!N2038 ),"")</f>
        <v/>
      </c>
    </row>
    <row r="4745" spans="3:14">
      <c r="C4745" s="977"/>
      <c r="D4745" s="777" t="s">
        <v>787</v>
      </c>
      <c r="E4745" s="2475" t="s">
        <v>1141</v>
      </c>
      <c r="F4745" s="2410"/>
      <c r="G4745" s="815" t="s">
        <v>2017</v>
      </c>
      <c r="H4745" s="351" t="str">
        <f>IFERROR(IF([1]F_ProductBM!H2039 = "", "", [1]F_ProductBM!H2039 ),"")</f>
        <v/>
      </c>
      <c r="I4745" s="352" t="str">
        <f>IFERROR(IF([1]F_ProductBM!I2039 = "", "", [1]F_ProductBM!I2039 ),"")</f>
        <v/>
      </c>
      <c r="J4745" s="353" t="str">
        <f>IFERROR(IF([1]F_ProductBM!J2039 = "", "", [1]F_ProductBM!J2039 ),"")</f>
        <v/>
      </c>
      <c r="K4745" s="351" t="str">
        <f>IFERROR(IF([1]F_ProductBM!K2039 = "", "", [1]F_ProductBM!K2039 ),"")</f>
        <v/>
      </c>
      <c r="L4745" s="351" t="str">
        <f>IFERROR(IF([1]F_ProductBM!L2039 = "", "", [1]F_ProductBM!L2039 ),"")</f>
        <v/>
      </c>
      <c r="M4745" s="351" t="str">
        <f>IFERROR(IF([1]F_ProductBM!M2039 = "", "", [1]F_ProductBM!M2039 ),"")</f>
        <v/>
      </c>
      <c r="N4745" s="354" t="str">
        <f>IFERROR(IF([1]F_ProductBM!N2039 = "", "", [1]F_ProductBM!N2039 ),"")</f>
        <v/>
      </c>
    </row>
    <row r="4746" spans="3:14">
      <c r="C4746" s="977"/>
      <c r="D4746" s="777" t="s">
        <v>788</v>
      </c>
      <c r="E4746" s="2475" t="s">
        <v>1258</v>
      </c>
      <c r="F4746" s="2410"/>
      <c r="G4746" s="815" t="s">
        <v>2018</v>
      </c>
      <c r="H4746" s="93" t="str">
        <f>IFERROR(IF([1]F_ProductBM!H2040 = "", "", [1]F_ProductBM!H2040 ),"")</f>
        <v/>
      </c>
      <c r="I4746" s="116" t="str">
        <f>IFERROR(IF([1]F_ProductBM!I2040 = "", "", [1]F_ProductBM!I2040 ),"")</f>
        <v/>
      </c>
      <c r="J4746" s="117" t="str">
        <f>IFERROR(IF([1]F_ProductBM!J2040 = "", "", [1]F_ProductBM!J2040 ),"")</f>
        <v/>
      </c>
      <c r="K4746" s="93" t="str">
        <f>IFERROR(IF([1]F_ProductBM!K2040 = "", "", [1]F_ProductBM!K2040 ),"")</f>
        <v/>
      </c>
      <c r="L4746" s="93" t="str">
        <f>IFERROR(IF([1]F_ProductBM!L2040 = "", "", [1]F_ProductBM!L2040 ),"")</f>
        <v/>
      </c>
      <c r="M4746" s="93" t="str">
        <f>IFERROR(IF([1]F_ProductBM!M2040 = "", "", [1]F_ProductBM!M2040 ),"")</f>
        <v/>
      </c>
      <c r="N4746" s="118" t="str">
        <f>IFERROR(IF([1]F_ProductBM!N2040 = "", "", [1]F_ProductBM!N2040 ),"")</f>
        <v/>
      </c>
    </row>
    <row r="4747" spans="3:14">
      <c r="C4747" s="977"/>
      <c r="D4747" s="981"/>
      <c r="E4747" s="981"/>
      <c r="F4747" s="981"/>
      <c r="G4747" s="981"/>
      <c r="H4747" s="983"/>
      <c r="I4747" s="981"/>
      <c r="J4747" s="981"/>
      <c r="K4747" s="981"/>
      <c r="L4747" s="981"/>
      <c r="M4747" s="813"/>
      <c r="N4747" s="814"/>
    </row>
    <row r="4748" spans="3:14">
      <c r="C4748" s="977"/>
      <c r="D4748" s="777" t="s">
        <v>789</v>
      </c>
      <c r="E4748" s="2649" t="s">
        <v>1301</v>
      </c>
      <c r="F4748" s="2391"/>
      <c r="G4748" s="2391"/>
      <c r="H4748" s="2512"/>
      <c r="I4748" s="2683" t="str">
        <f>IFERROR(IF([1]F_ProductBM!I2042 = "", "", [1]F_ProductBM!I2042 ),"")</f>
        <v/>
      </c>
      <c r="J4748" s="2488"/>
      <c r="K4748" s="2488"/>
      <c r="L4748" s="2488"/>
      <c r="M4748" s="2686"/>
      <c r="N4748" s="979"/>
    </row>
    <row r="4749" spans="3:14">
      <c r="C4749" s="977"/>
      <c r="D4749" s="777"/>
      <c r="E4749" s="2669" t="s">
        <v>1606</v>
      </c>
      <c r="F4749" s="2391"/>
      <c r="G4749" s="2391"/>
      <c r="H4749" s="2391"/>
      <c r="I4749" s="2391"/>
      <c r="J4749" s="2391"/>
      <c r="K4749" s="2391"/>
      <c r="L4749" s="2391"/>
      <c r="M4749" s="2391"/>
      <c r="N4749" s="2650"/>
    </row>
    <row r="4750" spans="3:14">
      <c r="C4750" s="977"/>
      <c r="D4750" s="981"/>
      <c r="E4750" s="2676" t="s">
        <v>1557</v>
      </c>
      <c r="F4750" s="2391"/>
      <c r="G4750" s="2391"/>
      <c r="H4750" s="2391"/>
      <c r="I4750" s="2391"/>
      <c r="J4750" s="2391"/>
      <c r="K4750" s="2391"/>
      <c r="L4750" s="2391"/>
      <c r="M4750" s="2391"/>
      <c r="N4750" s="2650"/>
    </row>
    <row r="4751" spans="3:14">
      <c r="C4751" s="977"/>
      <c r="D4751" s="981"/>
      <c r="E4751" s="989"/>
      <c r="F4751" s="990"/>
      <c r="G4751" s="987" t="s">
        <v>884</v>
      </c>
      <c r="H4751" s="782">
        <v>2019</v>
      </c>
      <c r="I4751" s="988">
        <v>2020</v>
      </c>
      <c r="J4751" s="781">
        <v>2021</v>
      </c>
      <c r="K4751" s="782">
        <v>2022</v>
      </c>
      <c r="L4751" s="782">
        <v>2023</v>
      </c>
      <c r="M4751" s="782">
        <v>2024</v>
      </c>
      <c r="N4751" s="783">
        <v>2025</v>
      </c>
    </row>
    <row r="4752" spans="3:14">
      <c r="C4752" s="977"/>
      <c r="D4752" s="777" t="s">
        <v>790</v>
      </c>
      <c r="E4752" s="2471" t="s">
        <v>1306</v>
      </c>
      <c r="F4752" s="2472"/>
      <c r="G4752" s="67" t="str">
        <f>IFERROR(IF([1]F_ProductBM!G2046 = "", "", [1]F_ProductBM!G2046 ),"")</f>
        <v/>
      </c>
      <c r="H4752" s="94" t="str">
        <f>IFERROR(IF([1]F_ProductBM!H2046 = "", "", [1]F_ProductBM!H2046 ),"")</f>
        <v/>
      </c>
      <c r="I4752" s="110" t="str">
        <f>IFERROR(IF([1]F_ProductBM!I2046 = "", "", [1]F_ProductBM!I2046 ),"")</f>
        <v/>
      </c>
      <c r="J4752" s="111" t="str">
        <f>IFERROR(IF([1]F_ProductBM!J2046 = "", "", [1]F_ProductBM!J2046 ),"")</f>
        <v/>
      </c>
      <c r="K4752" s="94" t="str">
        <f>IFERROR(IF([1]F_ProductBM!K2046 = "", "", [1]F_ProductBM!K2046 ),"")</f>
        <v/>
      </c>
      <c r="L4752" s="94" t="str">
        <f>IFERROR(IF([1]F_ProductBM!L2046 = "", "", [1]F_ProductBM!L2046 ),"")</f>
        <v/>
      </c>
      <c r="M4752" s="94" t="str">
        <f>IFERROR(IF([1]F_ProductBM!M2046 = "", "", [1]F_ProductBM!M2046 ),"")</f>
        <v/>
      </c>
      <c r="N4752" s="112" t="str">
        <f>IFERROR(IF([1]F_ProductBM!N2046 = "", "", [1]F_ProductBM!N2046 ),"")</f>
        <v/>
      </c>
    </row>
    <row r="4753" spans="3:14">
      <c r="C4753" s="977"/>
      <c r="D4753" s="777" t="s">
        <v>791</v>
      </c>
      <c r="E4753" s="2473" t="s">
        <v>661</v>
      </c>
      <c r="F4753" s="2474"/>
      <c r="G4753" s="350" t="str">
        <f>IFERROR(IF([1]F_ProductBM!G2047 = "", "", [1]F_ProductBM!G2047 ),"")</f>
        <v>GJ / Unit</v>
      </c>
      <c r="H4753" s="95" t="str">
        <f>IFERROR(IF([1]F_ProductBM!H2047 = "", "", [1]F_ProductBM!H2047 ),"")</f>
        <v/>
      </c>
      <c r="I4753" s="113" t="str">
        <f>IFERROR(IF([1]F_ProductBM!I2047 = "", "", [1]F_ProductBM!I2047 ),"")</f>
        <v/>
      </c>
      <c r="J4753" s="114" t="str">
        <f>IFERROR(IF([1]F_ProductBM!J2047 = "", "", [1]F_ProductBM!J2047 ),"")</f>
        <v/>
      </c>
      <c r="K4753" s="95" t="str">
        <f>IFERROR(IF([1]F_ProductBM!K2047 = "", "", [1]F_ProductBM!K2047 ),"")</f>
        <v/>
      </c>
      <c r="L4753" s="95" t="str">
        <f>IFERROR(IF([1]F_ProductBM!L2047 = "", "", [1]F_ProductBM!L2047 ),"")</f>
        <v/>
      </c>
      <c r="M4753" s="95" t="str">
        <f>IFERROR(IF([1]F_ProductBM!M2047 = "", "", [1]F_ProductBM!M2047 ),"")</f>
        <v/>
      </c>
      <c r="N4753" s="115" t="str">
        <f>IFERROR(IF([1]F_ProductBM!N2047 = "", "", [1]F_ProductBM!N2047 ),"")</f>
        <v/>
      </c>
    </row>
    <row r="4754" spans="3:14">
      <c r="C4754" s="977"/>
      <c r="D4754" s="777" t="s">
        <v>64</v>
      </c>
      <c r="E4754" s="2475" t="s">
        <v>1309</v>
      </c>
      <c r="F4754" s="2410"/>
      <c r="G4754" s="815" t="s">
        <v>2017</v>
      </c>
      <c r="H4754" s="351" t="str">
        <f>IFERROR(IF([1]F_ProductBM!H2048 = "", "", [1]F_ProductBM!H2048 ),"")</f>
        <v/>
      </c>
      <c r="I4754" s="352" t="str">
        <f>IFERROR(IF([1]F_ProductBM!I2048 = "", "", [1]F_ProductBM!I2048 ),"")</f>
        <v/>
      </c>
      <c r="J4754" s="353" t="str">
        <f>IFERROR(IF([1]F_ProductBM!J2048 = "", "", [1]F_ProductBM!J2048 ),"")</f>
        <v/>
      </c>
      <c r="K4754" s="351" t="str">
        <f>IFERROR(IF([1]F_ProductBM!K2048 = "", "", [1]F_ProductBM!K2048 ),"")</f>
        <v/>
      </c>
      <c r="L4754" s="351" t="str">
        <f>IFERROR(IF([1]F_ProductBM!L2048 = "", "", [1]F_ProductBM!L2048 ),"")</f>
        <v/>
      </c>
      <c r="M4754" s="351" t="str">
        <f>IFERROR(IF([1]F_ProductBM!M2048 = "", "", [1]F_ProductBM!M2048 ),"")</f>
        <v/>
      </c>
      <c r="N4754" s="354" t="str">
        <f>IFERROR(IF([1]F_ProductBM!N2048 = "", "", [1]F_ProductBM!N2048 ),"")</f>
        <v/>
      </c>
    </row>
    <row r="4755" spans="3:14">
      <c r="C4755" s="977"/>
      <c r="D4755" s="777" t="s">
        <v>65</v>
      </c>
      <c r="E4755" s="2475" t="s">
        <v>1307</v>
      </c>
      <c r="F4755" s="2410"/>
      <c r="G4755" s="815" t="s">
        <v>2018</v>
      </c>
      <c r="H4755" s="93" t="str">
        <f>IFERROR(IF([1]F_ProductBM!H2049 = "", "", [1]F_ProductBM!H2049 ),"")</f>
        <v/>
      </c>
      <c r="I4755" s="116" t="str">
        <f>IFERROR(IF([1]F_ProductBM!I2049 = "", "", [1]F_ProductBM!I2049 ),"")</f>
        <v/>
      </c>
      <c r="J4755" s="117" t="str">
        <f>IFERROR(IF([1]F_ProductBM!J2049 = "", "", [1]F_ProductBM!J2049 ),"")</f>
        <v/>
      </c>
      <c r="K4755" s="93" t="str">
        <f>IFERROR(IF([1]F_ProductBM!K2049 = "", "", [1]F_ProductBM!K2049 ),"")</f>
        <v/>
      </c>
      <c r="L4755" s="93" t="str">
        <f>IFERROR(IF([1]F_ProductBM!L2049 = "", "", [1]F_ProductBM!L2049 ),"")</f>
        <v/>
      </c>
      <c r="M4755" s="93" t="str">
        <f>IFERROR(IF([1]F_ProductBM!M2049 = "", "", [1]F_ProductBM!M2049 ),"")</f>
        <v/>
      </c>
      <c r="N4755" s="118" t="str">
        <f>IFERROR(IF([1]F_ProductBM!N2049 = "", "", [1]F_ProductBM!N2049 ),"")</f>
        <v/>
      </c>
    </row>
    <row r="4756" spans="3:14">
      <c r="C4756" s="977"/>
      <c r="D4756" s="981"/>
      <c r="E4756" s="981"/>
      <c r="F4756" s="981"/>
      <c r="G4756" s="981"/>
      <c r="H4756" s="983"/>
      <c r="I4756" s="981"/>
      <c r="J4756" s="981"/>
      <c r="K4756" s="981"/>
      <c r="L4756" s="981"/>
      <c r="M4756" s="813"/>
      <c r="N4756" s="814"/>
    </row>
    <row r="4757" spans="3:14">
      <c r="C4757" s="977"/>
      <c r="D4757" s="777" t="s">
        <v>66</v>
      </c>
      <c r="E4757" s="2649" t="s">
        <v>1287</v>
      </c>
      <c r="F4757" s="2391"/>
      <c r="G4757" s="2391"/>
      <c r="H4757" s="2512"/>
      <c r="I4757" s="2683" t="str">
        <f>IFERROR(IF([1]F_ProductBM!I2051 = "", "", [1]F_ProductBM!I2051 ),"")</f>
        <v/>
      </c>
      <c r="J4757" s="2488"/>
      <c r="K4757" s="2488"/>
      <c r="L4757" s="2488"/>
      <c r="M4757" s="2686"/>
      <c r="N4757" s="979"/>
    </row>
    <row r="4758" spans="3:14">
      <c r="C4758" s="977"/>
      <c r="D4758" s="777"/>
      <c r="E4758" s="2669" t="s">
        <v>1476</v>
      </c>
      <c r="F4758" s="2391"/>
      <c r="G4758" s="2391"/>
      <c r="H4758" s="2391"/>
      <c r="I4758" s="2391"/>
      <c r="J4758" s="2391"/>
      <c r="K4758" s="2391"/>
      <c r="L4758" s="2391"/>
      <c r="M4758" s="2391"/>
      <c r="N4758" s="2650"/>
    </row>
    <row r="4759" spans="3:14">
      <c r="C4759" s="977"/>
      <c r="D4759" s="981"/>
      <c r="E4759" s="2669" t="s">
        <v>1558</v>
      </c>
      <c r="F4759" s="2391"/>
      <c r="G4759" s="2391"/>
      <c r="H4759" s="2391"/>
      <c r="I4759" s="2391"/>
      <c r="J4759" s="2391"/>
      <c r="K4759" s="2391"/>
      <c r="L4759" s="2391"/>
      <c r="M4759" s="2391"/>
      <c r="N4759" s="2650"/>
    </row>
    <row r="4760" spans="3:14">
      <c r="C4760" s="977"/>
      <c r="D4760" s="981"/>
      <c r="E4760" s="2676" t="s">
        <v>1559</v>
      </c>
      <c r="F4760" s="2391"/>
      <c r="G4760" s="2391"/>
      <c r="H4760" s="2391"/>
      <c r="I4760" s="2391"/>
      <c r="J4760" s="2391"/>
      <c r="K4760" s="2391"/>
      <c r="L4760" s="2391"/>
      <c r="M4760" s="2391"/>
      <c r="N4760" s="2650"/>
    </row>
    <row r="4761" spans="3:14">
      <c r="C4761" s="977"/>
      <c r="D4761" s="981"/>
      <c r="E4761" s="989"/>
      <c r="F4761" s="990"/>
      <c r="G4761" s="987" t="s">
        <v>884</v>
      </c>
      <c r="H4761" s="782">
        <v>2019</v>
      </c>
      <c r="I4761" s="988">
        <v>2020</v>
      </c>
      <c r="J4761" s="781">
        <v>2021</v>
      </c>
      <c r="K4761" s="782">
        <v>2022</v>
      </c>
      <c r="L4761" s="782">
        <v>2023</v>
      </c>
      <c r="M4761" s="782">
        <v>2024</v>
      </c>
      <c r="N4761" s="783">
        <v>2025</v>
      </c>
    </row>
    <row r="4762" spans="3:14">
      <c r="C4762" s="977"/>
      <c r="D4762" s="777" t="s">
        <v>1105</v>
      </c>
      <c r="E4762" s="2471" t="s">
        <v>1302</v>
      </c>
      <c r="F4762" s="2472"/>
      <c r="G4762" s="67" t="str">
        <f>IFERROR(IF([1]F_ProductBM!G2056 = "", "", [1]F_ProductBM!G2056 ),"")</f>
        <v/>
      </c>
      <c r="H4762" s="94" t="str">
        <f>IFERROR(IF([1]F_ProductBM!H2056 = "", "", [1]F_ProductBM!H2056 ),"")</f>
        <v/>
      </c>
      <c r="I4762" s="110" t="str">
        <f>IFERROR(IF([1]F_ProductBM!I2056 = "", "", [1]F_ProductBM!I2056 ),"")</f>
        <v/>
      </c>
      <c r="J4762" s="111" t="str">
        <f>IFERROR(IF([1]F_ProductBM!J2056 = "", "", [1]F_ProductBM!J2056 ),"")</f>
        <v/>
      </c>
      <c r="K4762" s="94" t="str">
        <f>IFERROR(IF([1]F_ProductBM!K2056 = "", "", [1]F_ProductBM!K2056 ),"")</f>
        <v/>
      </c>
      <c r="L4762" s="94" t="str">
        <f>IFERROR(IF([1]F_ProductBM!L2056 = "", "", [1]F_ProductBM!L2056 ),"")</f>
        <v/>
      </c>
      <c r="M4762" s="94" t="str">
        <f>IFERROR(IF([1]F_ProductBM!M2056 = "", "", [1]F_ProductBM!M2056 ),"")</f>
        <v/>
      </c>
      <c r="N4762" s="112" t="str">
        <f>IFERROR(IF([1]F_ProductBM!N2056 = "", "", [1]F_ProductBM!N2056 ),"")</f>
        <v/>
      </c>
    </row>
    <row r="4763" spans="3:14">
      <c r="C4763" s="977"/>
      <c r="D4763" s="777" t="s">
        <v>1106</v>
      </c>
      <c r="E4763" s="2473" t="s">
        <v>661</v>
      </c>
      <c r="F4763" s="2474"/>
      <c r="G4763" s="350" t="str">
        <f>IFERROR(IF([1]F_ProductBM!G2057 = "", "", [1]F_ProductBM!G2057 ),"")</f>
        <v>GJ / Unit</v>
      </c>
      <c r="H4763" s="95" t="str">
        <f>IFERROR(IF([1]F_ProductBM!H2057 = "", "", [1]F_ProductBM!H2057 ),"")</f>
        <v/>
      </c>
      <c r="I4763" s="113" t="str">
        <f>IFERROR(IF([1]F_ProductBM!I2057 = "", "", [1]F_ProductBM!I2057 ),"")</f>
        <v/>
      </c>
      <c r="J4763" s="114" t="str">
        <f>IFERROR(IF([1]F_ProductBM!J2057 = "", "", [1]F_ProductBM!J2057 ),"")</f>
        <v/>
      </c>
      <c r="K4763" s="95" t="str">
        <f>IFERROR(IF([1]F_ProductBM!K2057 = "", "", [1]F_ProductBM!K2057 ),"")</f>
        <v/>
      </c>
      <c r="L4763" s="95" t="str">
        <f>IFERROR(IF([1]F_ProductBM!L2057 = "", "", [1]F_ProductBM!L2057 ),"")</f>
        <v/>
      </c>
      <c r="M4763" s="95" t="str">
        <f>IFERROR(IF([1]F_ProductBM!M2057 = "", "", [1]F_ProductBM!M2057 ),"")</f>
        <v/>
      </c>
      <c r="N4763" s="115" t="str">
        <f>IFERROR(IF([1]F_ProductBM!N2057 = "", "", [1]F_ProductBM!N2057 ),"")</f>
        <v/>
      </c>
    </row>
    <row r="4764" spans="3:14">
      <c r="C4764" s="977"/>
      <c r="D4764" s="777" t="s">
        <v>1107</v>
      </c>
      <c r="E4764" s="2475" t="s">
        <v>1288</v>
      </c>
      <c r="F4764" s="2410"/>
      <c r="G4764" s="815" t="s">
        <v>2017</v>
      </c>
      <c r="H4764" s="351" t="str">
        <f>IFERROR(IF([1]F_ProductBM!H2058 = "", "", [1]F_ProductBM!H2058 ),"")</f>
        <v/>
      </c>
      <c r="I4764" s="352" t="str">
        <f>IFERROR(IF([1]F_ProductBM!I2058 = "", "", [1]F_ProductBM!I2058 ),"")</f>
        <v/>
      </c>
      <c r="J4764" s="353" t="str">
        <f>IFERROR(IF([1]F_ProductBM!J2058 = "", "", [1]F_ProductBM!J2058 ),"")</f>
        <v/>
      </c>
      <c r="K4764" s="351" t="str">
        <f>IFERROR(IF([1]F_ProductBM!K2058 = "", "", [1]F_ProductBM!K2058 ),"")</f>
        <v/>
      </c>
      <c r="L4764" s="351" t="str">
        <f>IFERROR(IF([1]F_ProductBM!L2058 = "", "", [1]F_ProductBM!L2058 ),"")</f>
        <v/>
      </c>
      <c r="M4764" s="351" t="str">
        <f>IFERROR(IF([1]F_ProductBM!M2058 = "", "", [1]F_ProductBM!M2058 ),"")</f>
        <v/>
      </c>
      <c r="N4764" s="354" t="str">
        <f>IFERROR(IF([1]F_ProductBM!N2058 = "", "", [1]F_ProductBM!N2058 ),"")</f>
        <v/>
      </c>
    </row>
    <row r="4765" spans="3:14">
      <c r="C4765" s="977"/>
      <c r="D4765" s="777" t="s">
        <v>1108</v>
      </c>
      <c r="E4765" s="2475" t="s">
        <v>1308</v>
      </c>
      <c r="F4765" s="2410"/>
      <c r="G4765" s="815" t="s">
        <v>2018</v>
      </c>
      <c r="H4765" s="93" t="str">
        <f>IFERROR(IF([1]F_ProductBM!H2059 = "", "", [1]F_ProductBM!H2059 ),"")</f>
        <v/>
      </c>
      <c r="I4765" s="116" t="str">
        <f>IFERROR(IF([1]F_ProductBM!I2059 = "", "", [1]F_ProductBM!I2059 ),"")</f>
        <v/>
      </c>
      <c r="J4765" s="117" t="str">
        <f>IFERROR(IF([1]F_ProductBM!J2059 = "", "", [1]F_ProductBM!J2059 ),"")</f>
        <v/>
      </c>
      <c r="K4765" s="93" t="str">
        <f>IFERROR(IF([1]F_ProductBM!K2059 = "", "", [1]F_ProductBM!K2059 ),"")</f>
        <v/>
      </c>
      <c r="L4765" s="93" t="str">
        <f>IFERROR(IF([1]F_ProductBM!L2059 = "", "", [1]F_ProductBM!L2059 ),"")</f>
        <v/>
      </c>
      <c r="M4765" s="93" t="str">
        <f>IFERROR(IF([1]F_ProductBM!M2059 = "", "", [1]F_ProductBM!M2059 ),"")</f>
        <v/>
      </c>
      <c r="N4765" s="118" t="str">
        <f>IFERROR(IF([1]F_ProductBM!N2059 = "", "", [1]F_ProductBM!N2059 ),"")</f>
        <v/>
      </c>
    </row>
    <row r="4766" spans="3:14">
      <c r="C4766" s="977"/>
      <c r="D4766" s="981"/>
      <c r="E4766" s="981"/>
      <c r="F4766" s="981"/>
      <c r="G4766" s="981"/>
      <c r="H4766" s="983"/>
      <c r="I4766" s="981"/>
      <c r="J4766" s="981"/>
      <c r="K4766" s="981"/>
      <c r="L4766" s="981"/>
      <c r="M4766" s="813"/>
      <c r="N4766" s="814"/>
    </row>
    <row r="4767" spans="3:14">
      <c r="C4767" s="977"/>
      <c r="D4767" s="981"/>
      <c r="E4767" s="2475" t="s">
        <v>1844</v>
      </c>
      <c r="F4767" s="2475"/>
      <c r="G4767" s="1009" t="s">
        <v>471</v>
      </c>
      <c r="H4767" s="62" t="str">
        <f>IFERROR(IF([1]F_ProductBM!H2061 = "", "", [1]F_ProductBM!H2061 ),"")</f>
        <v/>
      </c>
      <c r="I4767" s="65" t="str">
        <f>IFERROR(IF([1]F_ProductBM!I2061 = "", "", [1]F_ProductBM!I2061 ),"")</f>
        <v/>
      </c>
      <c r="J4767" s="69" t="str">
        <f>IFERROR(IF([1]F_ProductBM!J2061 = "", "", [1]F_ProductBM!J2061 ),"")</f>
        <v/>
      </c>
      <c r="K4767" s="62" t="str">
        <f>IFERROR(IF([1]F_ProductBM!K2061 = "", "", [1]F_ProductBM!K2061 ),"")</f>
        <v/>
      </c>
      <c r="L4767" s="62" t="str">
        <f>IFERROR(IF([1]F_ProductBM!L2061 = "", "", [1]F_ProductBM!L2061 ),"")</f>
        <v/>
      </c>
      <c r="M4767" s="62" t="str">
        <f>IFERROR(IF([1]F_ProductBM!M2061 = "", "", [1]F_ProductBM!M2061 ),"")</f>
        <v/>
      </c>
      <c r="N4767" s="62" t="str">
        <f>IFERROR(IF([1]F_ProductBM!N2061 = "", "", [1]F_ProductBM!N2061 ),"")</f>
        <v/>
      </c>
    </row>
    <row r="4768" spans="3:14" ht="13.5" thickBot="1">
      <c r="C4768" s="977"/>
      <c r="D4768" s="981"/>
      <c r="E4768" s="981"/>
      <c r="F4768" s="981"/>
      <c r="G4768" s="981"/>
      <c r="H4768" s="983"/>
      <c r="I4768" s="981"/>
      <c r="J4768" s="981"/>
      <c r="K4768" s="981"/>
      <c r="L4768" s="981"/>
      <c r="M4768" s="813"/>
      <c r="N4768" s="814"/>
    </row>
    <row r="4769" spans="3:14">
      <c r="C4769" s="977"/>
      <c r="D4769" s="1010"/>
      <c r="E4769" s="1011"/>
      <c r="F4769" s="1011"/>
      <c r="G4769" s="1011"/>
      <c r="H4769" s="1012"/>
      <c r="I4769" s="1011"/>
      <c r="J4769" s="1011"/>
      <c r="K4769" s="1011"/>
      <c r="L4769" s="1011"/>
      <c r="M4769" s="942"/>
      <c r="N4769" s="943"/>
    </row>
    <row r="4770" spans="3:14">
      <c r="C4770" s="977"/>
      <c r="D4770" s="907" t="s">
        <v>1917</v>
      </c>
      <c r="E4770" s="2713" t="s">
        <v>1773</v>
      </c>
      <c r="F4770" s="2493"/>
      <c r="G4770" s="2493"/>
      <c r="H4770" s="910" t="s">
        <v>884</v>
      </c>
      <c r="I4770" s="911" t="s">
        <v>2213</v>
      </c>
      <c r="J4770" s="912">
        <v>2021</v>
      </c>
      <c r="K4770" s="913">
        <v>2022</v>
      </c>
      <c r="L4770" s="913">
        <v>2023</v>
      </c>
      <c r="M4770" s="913">
        <v>2024</v>
      </c>
      <c r="N4770" s="914">
        <v>2025</v>
      </c>
    </row>
    <row r="4771" spans="3:14">
      <c r="C4771" s="977"/>
      <c r="D4771" s="915" t="s">
        <v>6</v>
      </c>
      <c r="E4771" s="2714" t="s">
        <v>1691</v>
      </c>
      <c r="F4771" s="2410"/>
      <c r="G4771" s="2410"/>
      <c r="H4771" s="944" t="s">
        <v>471</v>
      </c>
      <c r="I4771" s="281" t="str">
        <f>IFERROR(IF([1]F_ProductBM!I2065 = "", "", [1]F_ProductBM!I2065 ),"")</f>
        <v/>
      </c>
      <c r="J4771" s="334" t="str">
        <f>IFERROR(IF([1]F_ProductBM!J2065 = "", "", [1]F_ProductBM!J2065 ),"")</f>
        <v/>
      </c>
      <c r="K4771" s="335" t="str">
        <f>IFERROR(IF([1]F_ProductBM!K2065 = "", "", [1]F_ProductBM!K2065 ),"")</f>
        <v/>
      </c>
      <c r="L4771" s="335" t="str">
        <f>IFERROR(IF([1]F_ProductBM!L2065 = "", "", [1]F_ProductBM!L2065 ),"")</f>
        <v/>
      </c>
      <c r="M4771" s="335" t="str">
        <f>IFERROR(IF([1]F_ProductBM!M2065 = "", "", [1]F_ProductBM!M2065 ),"")</f>
        <v/>
      </c>
      <c r="N4771" s="336" t="str">
        <f>IFERROR(IF([1]F_ProductBM!N2065 = "", "", [1]F_ProductBM!N2065 ),"")</f>
        <v/>
      </c>
    </row>
    <row r="4772" spans="3:14">
      <c r="C4772" s="977"/>
      <c r="D4772" s="915"/>
      <c r="E4772" s="2714" t="s">
        <v>1776</v>
      </c>
      <c r="F4772" s="2410"/>
      <c r="G4772" s="2410"/>
      <c r="H4772" s="921"/>
      <c r="I4772" s="916"/>
      <c r="J4772" s="319" t="str">
        <f>IFERROR(IF([1]F_ProductBM!J2066 = "", "", [1]F_ProductBM!J2066 ),"")</f>
        <v/>
      </c>
      <c r="K4772" s="320" t="str">
        <f>IFERROR(IF([1]F_ProductBM!K2066 = "", "", [1]F_ProductBM!K2066 ),"")</f>
        <v/>
      </c>
      <c r="L4772" s="320" t="str">
        <f>IFERROR(IF([1]F_ProductBM!L2066 = "", "", [1]F_ProductBM!L2066 ),"")</f>
        <v/>
      </c>
      <c r="M4772" s="320" t="str">
        <f>IFERROR(IF([1]F_ProductBM!M2066 = "", "", [1]F_ProductBM!M2066 ),"")</f>
        <v/>
      </c>
      <c r="N4772" s="321" t="str">
        <f>IFERROR(IF([1]F_ProductBM!N2066 = "", "", [1]F_ProductBM!N2066 ),"")</f>
        <v/>
      </c>
    </row>
    <row r="4773" spans="3:14">
      <c r="C4773" s="977"/>
      <c r="D4773" s="915" t="s">
        <v>7</v>
      </c>
      <c r="E4773" s="2714" t="s">
        <v>1654</v>
      </c>
      <c r="F4773" s="2410"/>
      <c r="G4773" s="2410"/>
      <c r="H4773" s="921"/>
      <c r="I4773" s="916"/>
      <c r="J4773" s="288" t="str">
        <f>IFERROR(IF([1]F_ProductBM!J2067 = "", "", [1]F_ProductBM!J2067 ),"")</f>
        <v/>
      </c>
      <c r="K4773" s="289" t="str">
        <f>IFERROR(IF([1]F_ProductBM!K2067 = "", "", [1]F_ProductBM!K2067 ),"")</f>
        <v/>
      </c>
      <c r="L4773" s="289" t="str">
        <f>IFERROR(IF([1]F_ProductBM!L2067 = "", "", [1]F_ProductBM!L2067 ),"")</f>
        <v/>
      </c>
      <c r="M4773" s="289" t="str">
        <f>IFERROR(IF([1]F_ProductBM!M2067 = "", "", [1]F_ProductBM!M2067 ),"")</f>
        <v/>
      </c>
      <c r="N4773" s="290" t="str">
        <f>IFERROR(IF([1]F_ProductBM!N2067 = "", "", [1]F_ProductBM!N2067 ),"")</f>
        <v/>
      </c>
    </row>
    <row r="4774" spans="3:14">
      <c r="C4774" s="977"/>
      <c r="D4774" s="915"/>
      <c r="E4774" s="2714" t="s">
        <v>1689</v>
      </c>
      <c r="F4774" s="2410"/>
      <c r="G4774" s="2410"/>
      <c r="H4774" s="944" t="s">
        <v>471</v>
      </c>
      <c r="I4774" s="281" t="str">
        <f>IFERROR(IF([1]F_ProductBM!I2068 = "", "", [1]F_ProductBM!I2068 ),"")</f>
        <v/>
      </c>
      <c r="J4774" s="282" t="str">
        <f>IFERROR(IF([1]F_ProductBM!J2068 = "", "", [1]F_ProductBM!J2068 ),"")</f>
        <v/>
      </c>
      <c r="K4774" s="283" t="str">
        <f>IFERROR(IF([1]F_ProductBM!K2068 = "", "", [1]F_ProductBM!K2068 ),"")</f>
        <v/>
      </c>
      <c r="L4774" s="283" t="str">
        <f>IFERROR(IF([1]F_ProductBM!L2068 = "", "", [1]F_ProductBM!L2068 ),"")</f>
        <v/>
      </c>
      <c r="M4774" s="283" t="str">
        <f>IFERROR(IF([1]F_ProductBM!M2068 = "", "", [1]F_ProductBM!M2068 ),"")</f>
        <v/>
      </c>
      <c r="N4774" s="284" t="str">
        <f>IFERROR(IF([1]F_ProductBM!N2068 = "", "", [1]F_ProductBM!N2068 ),"")</f>
        <v/>
      </c>
    </row>
    <row r="4775" spans="3:14">
      <c r="C4775" s="977"/>
      <c r="D4775" s="915"/>
      <c r="E4775" s="909"/>
      <c r="F4775" s="909"/>
      <c r="G4775" s="909"/>
      <c r="H4775" s="909"/>
      <c r="I4775" s="909"/>
      <c r="J4775" s="909"/>
      <c r="K4775" s="909"/>
      <c r="L4775" s="909"/>
      <c r="M4775" s="909"/>
      <c r="N4775" s="922"/>
    </row>
    <row r="4776" spans="3:14">
      <c r="C4776" s="977"/>
      <c r="D4776" s="915"/>
      <c r="E4776" s="2713" t="s">
        <v>1653</v>
      </c>
      <c r="F4776" s="2493"/>
      <c r="G4776" s="2493"/>
      <c r="H4776" s="2493"/>
      <c r="I4776" s="2708"/>
      <c r="J4776" s="912">
        <v>2021</v>
      </c>
      <c r="K4776" s="913">
        <v>2022</v>
      </c>
      <c r="L4776" s="913">
        <v>2023</v>
      </c>
      <c r="M4776" s="913">
        <v>2024</v>
      </c>
      <c r="N4776" s="914">
        <v>2025</v>
      </c>
    </row>
    <row r="4777" spans="3:14">
      <c r="C4777" s="977"/>
      <c r="D4777" s="915" t="s">
        <v>8</v>
      </c>
      <c r="E4777" s="2714" t="s">
        <v>2108</v>
      </c>
      <c r="F4777" s="2410"/>
      <c r="G4777" s="2410"/>
      <c r="H4777" s="2410"/>
      <c r="I4777" s="2715"/>
      <c r="J4777" s="69" t="str">
        <f>IFERROR(IF([1]F_ProductBM!J2071 = "", "", [1]F_ProductBM!J2071 ),"")</f>
        <v/>
      </c>
      <c r="K4777" s="62" t="str">
        <f>IFERROR(IF([1]F_ProductBM!K2071 = "", "", [1]F_ProductBM!K2071 ),"")</f>
        <v/>
      </c>
      <c r="L4777" s="62" t="str">
        <f>IFERROR(IF([1]F_ProductBM!L2071 = "", "", [1]F_ProductBM!L2071 ),"")</f>
        <v/>
      </c>
      <c r="M4777" s="62" t="str">
        <f>IFERROR(IF([1]F_ProductBM!M2071 = "", "", [1]F_ProductBM!M2071 ),"")</f>
        <v/>
      </c>
      <c r="N4777" s="70" t="str">
        <f>IFERROR(IF([1]F_ProductBM!N2071 = "", "", [1]F_ProductBM!N2071 ),"")</f>
        <v/>
      </c>
    </row>
    <row r="4778" spans="3:14" ht="13.5" thickBot="1">
      <c r="C4778" s="977"/>
      <c r="D4778" s="915"/>
      <c r="E4778" s="909"/>
      <c r="F4778" s="909"/>
      <c r="G4778" s="909"/>
      <c r="H4778" s="909"/>
      <c r="I4778" s="909"/>
      <c r="J4778" s="909"/>
      <c r="K4778" s="909"/>
      <c r="L4778" s="909"/>
      <c r="M4778" s="909"/>
      <c r="N4778" s="922"/>
    </row>
    <row r="4779" spans="3:14" ht="13.5" thickBot="1">
      <c r="C4779" s="977"/>
      <c r="D4779" s="915" t="s">
        <v>18</v>
      </c>
      <c r="E4779" s="2714" t="s">
        <v>1657</v>
      </c>
      <c r="F4779" s="2410"/>
      <c r="G4779" s="2410"/>
      <c r="H4779" s="2410"/>
      <c r="I4779" s="2715"/>
      <c r="J4779" s="291" t="str">
        <f>IFERROR(IF([1]F_ProductBM!J2073 = "", "", [1]F_ProductBM!J2073 ),"")</f>
        <v/>
      </c>
      <c r="K4779" s="292" t="str">
        <f>IFERROR(IF([1]F_ProductBM!K2073 = "", "", [1]F_ProductBM!K2073 ),"")</f>
        <v/>
      </c>
      <c r="L4779" s="292" t="str">
        <f>IFERROR(IF([1]F_ProductBM!L2073 = "", "", [1]F_ProductBM!L2073 ),"")</f>
        <v/>
      </c>
      <c r="M4779" s="292" t="str">
        <f>IFERROR(IF([1]F_ProductBM!M2073 = "", "", [1]F_ProductBM!M2073 ),"")</f>
        <v/>
      </c>
      <c r="N4779" s="293" t="str">
        <f>IFERROR(IF([1]F_ProductBM!N2073 = "", "", [1]F_ProductBM!N2073 ),"")</f>
        <v/>
      </c>
    </row>
    <row r="4780" spans="3:14" ht="13.5" thickBot="1">
      <c r="C4780" s="977"/>
      <c r="D4780" s="915" t="s">
        <v>787</v>
      </c>
      <c r="E4780" s="2714" t="s">
        <v>1659</v>
      </c>
      <c r="F4780" s="2410"/>
      <c r="G4780" s="2410"/>
      <c r="H4780" s="944" t="s">
        <v>471</v>
      </c>
      <c r="I4780" s="281" t="str">
        <f>IFERROR(IF([1]F_ProductBM!I2074 = "", "", [1]F_ProductBM!I2074 ),"")</f>
        <v/>
      </c>
      <c r="J4780" s="294" t="str">
        <f>IFERROR(IF([1]F_ProductBM!J2074 = "", "", [1]F_ProductBM!J2074 ),"")</f>
        <v/>
      </c>
      <c r="K4780" s="295" t="str">
        <f>IFERROR(IF([1]F_ProductBM!K2074 = "", "", [1]F_ProductBM!K2074 ),"")</f>
        <v/>
      </c>
      <c r="L4780" s="295" t="str">
        <f>IFERROR(IF([1]F_ProductBM!L2074 = "", "", [1]F_ProductBM!L2074 ),"")</f>
        <v/>
      </c>
      <c r="M4780" s="295" t="str">
        <f>IFERROR(IF([1]F_ProductBM!M2074 = "", "", [1]F_ProductBM!M2074 ),"")</f>
        <v/>
      </c>
      <c r="N4780" s="296" t="str">
        <f>IFERROR(IF([1]F_ProductBM!N2074 = "", "", [1]F_ProductBM!N2074 ),"")</f>
        <v/>
      </c>
    </row>
    <row r="4781" spans="3:14" ht="13.5" thickBot="1">
      <c r="C4781" s="977"/>
      <c r="D4781" s="946"/>
      <c r="E4781" s="947"/>
      <c r="F4781" s="947"/>
      <c r="G4781" s="947"/>
      <c r="H4781" s="1014"/>
      <c r="I4781" s="947"/>
      <c r="J4781" s="947"/>
      <c r="K4781" s="947"/>
      <c r="L4781" s="947"/>
      <c r="M4781" s="925"/>
      <c r="N4781" s="926"/>
    </row>
    <row r="4782" spans="3:14">
      <c r="C4782" s="977"/>
      <c r="D4782" s="981"/>
      <c r="E4782" s="981"/>
      <c r="F4782" s="981"/>
      <c r="G4782" s="981"/>
      <c r="H4782" s="983"/>
      <c r="I4782" s="981"/>
      <c r="J4782" s="981"/>
      <c r="K4782" s="981"/>
      <c r="L4782" s="981"/>
      <c r="M4782" s="813"/>
      <c r="N4782" s="814"/>
    </row>
    <row r="4783" spans="3:14">
      <c r="C4783" s="977"/>
      <c r="D4783" s="777" t="s">
        <v>1109</v>
      </c>
      <c r="E4783" s="2649" t="s">
        <v>1218</v>
      </c>
      <c r="F4783" s="2391"/>
      <c r="G4783" s="2391"/>
      <c r="H4783" s="2512"/>
      <c r="I4783" s="2683" t="str">
        <f>IFERROR(IF([1]F_ProductBM!I2077 = "", "", [1]F_ProductBM!I2077 ),"")</f>
        <v/>
      </c>
      <c r="J4783" s="2488"/>
      <c r="K4783" s="2488"/>
      <c r="L4783" s="2488"/>
      <c r="M4783" s="2686"/>
      <c r="N4783" s="814"/>
    </row>
    <row r="4784" spans="3:14">
      <c r="C4784" s="977"/>
      <c r="D4784" s="777"/>
      <c r="E4784" s="2676" t="s">
        <v>2298</v>
      </c>
      <c r="F4784" s="2391"/>
      <c r="G4784" s="2391"/>
      <c r="H4784" s="2391"/>
      <c r="I4784" s="2391"/>
      <c r="J4784" s="2391"/>
      <c r="K4784" s="2391"/>
      <c r="L4784" s="2391"/>
      <c r="M4784" s="2391"/>
      <c r="N4784" s="2650"/>
    </row>
    <row r="4785" spans="3:14" ht="21" customHeight="1">
      <c r="C4785" s="977"/>
      <c r="D4785" s="777"/>
      <c r="E4785" s="2669" t="s">
        <v>1560</v>
      </c>
      <c r="F4785" s="2391"/>
      <c r="G4785" s="2391"/>
      <c r="H4785" s="2391"/>
      <c r="I4785" s="2391"/>
      <c r="J4785" s="2391"/>
      <c r="K4785" s="2391"/>
      <c r="L4785" s="2391"/>
      <c r="M4785" s="2391"/>
      <c r="N4785" s="2650"/>
    </row>
    <row r="4786" spans="3:14">
      <c r="C4786" s="977"/>
      <c r="D4786" s="981"/>
      <c r="E4786" s="989"/>
      <c r="F4786" s="990"/>
      <c r="G4786" s="987" t="s">
        <v>884</v>
      </c>
      <c r="H4786" s="782">
        <v>2019</v>
      </c>
      <c r="I4786" s="988">
        <v>2020</v>
      </c>
      <c r="J4786" s="781">
        <v>2021</v>
      </c>
      <c r="K4786" s="782">
        <v>2022</v>
      </c>
      <c r="L4786" s="782">
        <v>2023</v>
      </c>
      <c r="M4786" s="782">
        <v>2024</v>
      </c>
      <c r="N4786" s="783">
        <v>2025</v>
      </c>
    </row>
    <row r="4787" spans="3:14">
      <c r="C4787" s="977"/>
      <c r="D4787" s="777" t="s">
        <v>1110</v>
      </c>
      <c r="E4787" s="2471" t="s">
        <v>1303</v>
      </c>
      <c r="F4787" s="2472"/>
      <c r="G4787" s="67" t="str">
        <f>IFERROR(IF([1]F_ProductBM!G2081 = "", "", [1]F_ProductBM!G2081 ),"")</f>
        <v/>
      </c>
      <c r="H4787" s="94" t="str">
        <f>IFERROR(IF([1]F_ProductBM!H2081 = "", "", [1]F_ProductBM!H2081 ),"")</f>
        <v/>
      </c>
      <c r="I4787" s="110" t="str">
        <f>IFERROR(IF([1]F_ProductBM!I2081 = "", "", [1]F_ProductBM!I2081 ),"")</f>
        <v/>
      </c>
      <c r="J4787" s="111" t="str">
        <f>IFERROR(IF([1]F_ProductBM!J2081 = "", "", [1]F_ProductBM!J2081 ),"")</f>
        <v/>
      </c>
      <c r="K4787" s="94" t="str">
        <f>IFERROR(IF([1]F_ProductBM!K2081 = "", "", [1]F_ProductBM!K2081 ),"")</f>
        <v/>
      </c>
      <c r="L4787" s="94" t="str">
        <f>IFERROR(IF([1]F_ProductBM!L2081 = "", "", [1]F_ProductBM!L2081 ),"")</f>
        <v/>
      </c>
      <c r="M4787" s="94" t="str">
        <f>IFERROR(IF([1]F_ProductBM!M2081 = "", "", [1]F_ProductBM!M2081 ),"")</f>
        <v/>
      </c>
      <c r="N4787" s="112" t="str">
        <f>IFERROR(IF([1]F_ProductBM!N2081 = "", "", [1]F_ProductBM!N2081 ),"")</f>
        <v/>
      </c>
    </row>
    <row r="4788" spans="3:14">
      <c r="C4788" s="977"/>
      <c r="D4788" s="777" t="s">
        <v>1111</v>
      </c>
      <c r="E4788" s="2473" t="s">
        <v>661</v>
      </c>
      <c r="F4788" s="2474"/>
      <c r="G4788" s="350" t="str">
        <f>IFERROR(IF([1]F_ProductBM!G2082 = "", "", [1]F_ProductBM!G2082 ),"")</f>
        <v>GJ / Unit</v>
      </c>
      <c r="H4788" s="95" t="str">
        <f>IFERROR(IF([1]F_ProductBM!H2082 = "", "", [1]F_ProductBM!H2082 ),"")</f>
        <v/>
      </c>
      <c r="I4788" s="113" t="str">
        <f>IFERROR(IF([1]F_ProductBM!I2082 = "", "", [1]F_ProductBM!I2082 ),"")</f>
        <v/>
      </c>
      <c r="J4788" s="114" t="str">
        <f>IFERROR(IF([1]F_ProductBM!J2082 = "", "", [1]F_ProductBM!J2082 ),"")</f>
        <v/>
      </c>
      <c r="K4788" s="95" t="str">
        <f>IFERROR(IF([1]F_ProductBM!K2082 = "", "", [1]F_ProductBM!K2082 ),"")</f>
        <v/>
      </c>
      <c r="L4788" s="95" t="str">
        <f>IFERROR(IF([1]F_ProductBM!L2082 = "", "", [1]F_ProductBM!L2082 ),"")</f>
        <v/>
      </c>
      <c r="M4788" s="95" t="str">
        <f>IFERROR(IF([1]F_ProductBM!M2082 = "", "", [1]F_ProductBM!M2082 ),"")</f>
        <v/>
      </c>
      <c r="N4788" s="115" t="str">
        <f>IFERROR(IF([1]F_ProductBM!N2082 = "", "", [1]F_ProductBM!N2082 ),"")</f>
        <v/>
      </c>
    </row>
    <row r="4789" spans="3:14">
      <c r="C4789" s="977"/>
      <c r="D4789" s="777" t="s">
        <v>1112</v>
      </c>
      <c r="E4789" s="2475" t="s">
        <v>1102</v>
      </c>
      <c r="F4789" s="2410"/>
      <c r="G4789" s="815" t="s">
        <v>2017</v>
      </c>
      <c r="H4789" s="93" t="str">
        <f>IFERROR(IF([1]F_ProductBM!H2083 = "", "", [1]F_ProductBM!H2083 ),"")</f>
        <v/>
      </c>
      <c r="I4789" s="116" t="str">
        <f>IFERROR(IF([1]F_ProductBM!I2083 = "", "", [1]F_ProductBM!I2083 ),"")</f>
        <v/>
      </c>
      <c r="J4789" s="117" t="str">
        <f>IFERROR(IF([1]F_ProductBM!J2083 = "", "", [1]F_ProductBM!J2083 ),"")</f>
        <v/>
      </c>
      <c r="K4789" s="93" t="str">
        <f>IFERROR(IF([1]F_ProductBM!K2083 = "", "", [1]F_ProductBM!K2083 ),"")</f>
        <v/>
      </c>
      <c r="L4789" s="93" t="str">
        <f>IFERROR(IF([1]F_ProductBM!L2083 = "", "", [1]F_ProductBM!L2083 ),"")</f>
        <v/>
      </c>
      <c r="M4789" s="93" t="str">
        <f>IFERROR(IF([1]F_ProductBM!M2083 = "", "", [1]F_ProductBM!M2083 ),"")</f>
        <v/>
      </c>
      <c r="N4789" s="118" t="str">
        <f>IFERROR(IF([1]F_ProductBM!N2083 = "", "", [1]F_ProductBM!N2083 ),"")</f>
        <v/>
      </c>
    </row>
    <row r="4790" spans="3:14">
      <c r="C4790" s="977"/>
      <c r="D4790" s="777" t="s">
        <v>1113</v>
      </c>
      <c r="E4790" s="2475" t="s">
        <v>1275</v>
      </c>
      <c r="F4790" s="2410"/>
      <c r="G4790" s="815" t="s">
        <v>2018</v>
      </c>
      <c r="H4790" s="93" t="str">
        <f>IFERROR(IF([1]F_ProductBM!H2084 = "", "", [1]F_ProductBM!H2084 ),"")</f>
        <v/>
      </c>
      <c r="I4790" s="116" t="str">
        <f>IFERROR(IF([1]F_ProductBM!I2084 = "", "", [1]F_ProductBM!I2084 ),"")</f>
        <v/>
      </c>
      <c r="J4790" s="117" t="str">
        <f>IFERROR(IF([1]F_ProductBM!J2084 = "", "", [1]F_ProductBM!J2084 ),"")</f>
        <v/>
      </c>
      <c r="K4790" s="93" t="str">
        <f>IFERROR(IF([1]F_ProductBM!K2084 = "", "", [1]F_ProductBM!K2084 ),"")</f>
        <v/>
      </c>
      <c r="L4790" s="93" t="str">
        <f>IFERROR(IF([1]F_ProductBM!L2084 = "", "", [1]F_ProductBM!L2084 ),"")</f>
        <v/>
      </c>
      <c r="M4790" s="93" t="str">
        <f>IFERROR(IF([1]F_ProductBM!M2084 = "", "", [1]F_ProductBM!M2084 ),"")</f>
        <v/>
      </c>
      <c r="N4790" s="118" t="str">
        <f>IFERROR(IF([1]F_ProductBM!N2084 = "", "", [1]F_ProductBM!N2084 ),"")</f>
        <v/>
      </c>
    </row>
    <row r="4791" spans="3:14">
      <c r="C4791" s="977"/>
      <c r="D4791" s="981"/>
      <c r="E4791" s="981"/>
      <c r="F4791" s="981"/>
      <c r="G4791" s="981"/>
      <c r="H4791" s="983"/>
      <c r="I4791" s="981"/>
      <c r="J4791" s="981"/>
      <c r="K4791" s="981"/>
      <c r="L4791" s="981"/>
      <c r="M4791" s="813"/>
      <c r="N4791" s="814"/>
    </row>
    <row r="4792" spans="3:14">
      <c r="C4792" s="977"/>
      <c r="D4792" s="777" t="s">
        <v>1114</v>
      </c>
      <c r="E4792" s="2649" t="s">
        <v>1217</v>
      </c>
      <c r="F4792" s="2391"/>
      <c r="G4792" s="2391"/>
      <c r="H4792" s="2512"/>
      <c r="I4792" s="2683" t="str">
        <f>IFERROR(IF([1]F_ProductBM!I2086 = "", "", [1]F_ProductBM!I2086 ),"")</f>
        <v/>
      </c>
      <c r="J4792" s="2488"/>
      <c r="K4792" s="2488"/>
      <c r="L4792" s="2488"/>
      <c r="M4792" s="2686"/>
      <c r="N4792" s="979"/>
    </row>
    <row r="4793" spans="3:14">
      <c r="C4793" s="977"/>
      <c r="D4793" s="777"/>
      <c r="E4793" s="2676" t="s">
        <v>2298</v>
      </c>
      <c r="F4793" s="2391"/>
      <c r="G4793" s="2391"/>
      <c r="H4793" s="2391"/>
      <c r="I4793" s="2391"/>
      <c r="J4793" s="2391"/>
      <c r="K4793" s="2391"/>
      <c r="L4793" s="2391"/>
      <c r="M4793" s="2391"/>
      <c r="N4793" s="2650"/>
    </row>
    <row r="4794" spans="3:14">
      <c r="C4794" s="977"/>
      <c r="D4794" s="777"/>
      <c r="E4794" s="2669" t="s">
        <v>1317</v>
      </c>
      <c r="F4794" s="2391"/>
      <c r="G4794" s="2391"/>
      <c r="H4794" s="2391"/>
      <c r="I4794" s="2391"/>
      <c r="J4794" s="2391"/>
      <c r="K4794" s="2391"/>
      <c r="L4794" s="2391"/>
      <c r="M4794" s="2391"/>
      <c r="N4794" s="2650"/>
    </row>
    <row r="4795" spans="3:14">
      <c r="C4795" s="977"/>
      <c r="D4795" s="981"/>
      <c r="E4795" s="989"/>
      <c r="F4795" s="990"/>
      <c r="G4795" s="987" t="s">
        <v>884</v>
      </c>
      <c r="H4795" s="782">
        <v>2019</v>
      </c>
      <c r="I4795" s="988">
        <v>2020</v>
      </c>
      <c r="J4795" s="781">
        <v>2021</v>
      </c>
      <c r="K4795" s="782">
        <v>2022</v>
      </c>
      <c r="L4795" s="782">
        <v>2023</v>
      </c>
      <c r="M4795" s="782">
        <v>2024</v>
      </c>
      <c r="N4795" s="783">
        <v>2025</v>
      </c>
    </row>
    <row r="4796" spans="3:14">
      <c r="C4796" s="977"/>
      <c r="D4796" s="777" t="s">
        <v>1115</v>
      </c>
      <c r="E4796" s="2471" t="s">
        <v>1304</v>
      </c>
      <c r="F4796" s="2472"/>
      <c r="G4796" s="67" t="str">
        <f>IFERROR(IF([1]F_ProductBM!G2090 = "", "", [1]F_ProductBM!G2090 ),"")</f>
        <v/>
      </c>
      <c r="H4796" s="94" t="str">
        <f>IFERROR(IF([1]F_ProductBM!H2090 = "", "", [1]F_ProductBM!H2090 ),"")</f>
        <v/>
      </c>
      <c r="I4796" s="110" t="str">
        <f>IFERROR(IF([1]F_ProductBM!I2090 = "", "", [1]F_ProductBM!I2090 ),"")</f>
        <v/>
      </c>
      <c r="J4796" s="111" t="str">
        <f>IFERROR(IF([1]F_ProductBM!J2090 = "", "", [1]F_ProductBM!J2090 ),"")</f>
        <v/>
      </c>
      <c r="K4796" s="94" t="str">
        <f>IFERROR(IF([1]F_ProductBM!K2090 = "", "", [1]F_ProductBM!K2090 ),"")</f>
        <v/>
      </c>
      <c r="L4796" s="94" t="str">
        <f>IFERROR(IF([1]F_ProductBM!L2090 = "", "", [1]F_ProductBM!L2090 ),"")</f>
        <v/>
      </c>
      <c r="M4796" s="94" t="str">
        <f>IFERROR(IF([1]F_ProductBM!M2090 = "", "", [1]F_ProductBM!M2090 ),"")</f>
        <v/>
      </c>
      <c r="N4796" s="112" t="str">
        <f>IFERROR(IF([1]F_ProductBM!N2090 = "", "", [1]F_ProductBM!N2090 ),"")</f>
        <v/>
      </c>
    </row>
    <row r="4797" spans="3:14">
      <c r="C4797" s="977"/>
      <c r="D4797" s="777" t="s">
        <v>1561</v>
      </c>
      <c r="E4797" s="2473" t="s">
        <v>661</v>
      </c>
      <c r="F4797" s="2474"/>
      <c r="G4797" s="350" t="str">
        <f>IFERROR(IF([1]F_ProductBM!G2091 = "", "", [1]F_ProductBM!G2091 ),"")</f>
        <v>GJ / Unit</v>
      </c>
      <c r="H4797" s="95" t="str">
        <f>IFERROR(IF([1]F_ProductBM!H2091 = "", "", [1]F_ProductBM!H2091 ),"")</f>
        <v/>
      </c>
      <c r="I4797" s="113" t="str">
        <f>IFERROR(IF([1]F_ProductBM!I2091 = "", "", [1]F_ProductBM!I2091 ),"")</f>
        <v/>
      </c>
      <c r="J4797" s="114" t="str">
        <f>IFERROR(IF([1]F_ProductBM!J2091 = "", "", [1]F_ProductBM!J2091 ),"")</f>
        <v/>
      </c>
      <c r="K4797" s="95" t="str">
        <f>IFERROR(IF([1]F_ProductBM!K2091 = "", "", [1]F_ProductBM!K2091 ),"")</f>
        <v/>
      </c>
      <c r="L4797" s="95" t="str">
        <f>IFERROR(IF([1]F_ProductBM!L2091 = "", "", [1]F_ProductBM!L2091 ),"")</f>
        <v/>
      </c>
      <c r="M4797" s="95" t="str">
        <f>IFERROR(IF([1]F_ProductBM!M2091 = "", "", [1]F_ProductBM!M2091 ),"")</f>
        <v/>
      </c>
      <c r="N4797" s="115" t="str">
        <f>IFERROR(IF([1]F_ProductBM!N2091 = "", "", [1]F_ProductBM!N2091 ),"")</f>
        <v/>
      </c>
    </row>
    <row r="4798" spans="3:14">
      <c r="C4798" s="977"/>
      <c r="D4798" s="777" t="s">
        <v>1599</v>
      </c>
      <c r="E4798" s="2475" t="s">
        <v>1080</v>
      </c>
      <c r="F4798" s="2410"/>
      <c r="G4798" s="815" t="s">
        <v>2017</v>
      </c>
      <c r="H4798" s="93" t="str">
        <f>IFERROR(IF([1]F_ProductBM!H2092 = "", "", [1]F_ProductBM!H2092 ),"")</f>
        <v/>
      </c>
      <c r="I4798" s="116" t="str">
        <f>IFERROR(IF([1]F_ProductBM!I2092 = "", "", [1]F_ProductBM!I2092 ),"")</f>
        <v/>
      </c>
      <c r="J4798" s="117" t="str">
        <f>IFERROR(IF([1]F_ProductBM!J2092 = "", "", [1]F_ProductBM!J2092 ),"")</f>
        <v/>
      </c>
      <c r="K4798" s="93" t="str">
        <f>IFERROR(IF([1]F_ProductBM!K2092 = "", "", [1]F_ProductBM!K2092 ),"")</f>
        <v/>
      </c>
      <c r="L4798" s="93" t="str">
        <f>IFERROR(IF([1]F_ProductBM!L2092 = "", "", [1]F_ProductBM!L2092 ),"")</f>
        <v/>
      </c>
      <c r="M4798" s="93" t="str">
        <f>IFERROR(IF([1]F_ProductBM!M2092 = "", "", [1]F_ProductBM!M2092 ),"")</f>
        <v/>
      </c>
      <c r="N4798" s="118" t="str">
        <f>IFERROR(IF([1]F_ProductBM!N2092 = "", "", [1]F_ProductBM!N2092 ),"")</f>
        <v/>
      </c>
    </row>
    <row r="4799" spans="3:14">
      <c r="C4799" s="977"/>
      <c r="D4799" s="777" t="s">
        <v>1600</v>
      </c>
      <c r="E4799" s="2475" t="s">
        <v>1276</v>
      </c>
      <c r="F4799" s="2410"/>
      <c r="G4799" s="815" t="s">
        <v>2018</v>
      </c>
      <c r="H4799" s="93" t="str">
        <f>IFERROR(IF([1]F_ProductBM!H2093 = "", "", [1]F_ProductBM!H2093 ),"")</f>
        <v/>
      </c>
      <c r="I4799" s="116" t="str">
        <f>IFERROR(IF([1]F_ProductBM!I2093 = "", "", [1]F_ProductBM!I2093 ),"")</f>
        <v/>
      </c>
      <c r="J4799" s="117" t="str">
        <f>IFERROR(IF([1]F_ProductBM!J2093 = "", "", [1]F_ProductBM!J2093 ),"")</f>
        <v/>
      </c>
      <c r="K4799" s="93" t="str">
        <f>IFERROR(IF([1]F_ProductBM!K2093 = "", "", [1]F_ProductBM!K2093 ),"")</f>
        <v/>
      </c>
      <c r="L4799" s="93" t="str">
        <f>IFERROR(IF([1]F_ProductBM!L2093 = "", "", [1]F_ProductBM!L2093 ),"")</f>
        <v/>
      </c>
      <c r="M4799" s="93" t="str">
        <f>IFERROR(IF([1]F_ProductBM!M2093 = "", "", [1]F_ProductBM!M2093 ),"")</f>
        <v/>
      </c>
      <c r="N4799" s="118" t="str">
        <f>IFERROR(IF([1]F_ProductBM!N2093 = "", "", [1]F_ProductBM!N2093 ),"")</f>
        <v/>
      </c>
    </row>
    <row r="4800" spans="3:14">
      <c r="C4800" s="977"/>
      <c r="D4800" s="981"/>
      <c r="E4800" s="981"/>
      <c r="F4800" s="981"/>
      <c r="G4800" s="981"/>
      <c r="H4800" s="981"/>
      <c r="I4800" s="983"/>
      <c r="J4800" s="981"/>
      <c r="K4800" s="981"/>
      <c r="L4800" s="981"/>
      <c r="M4800" s="981"/>
      <c r="N4800" s="814"/>
    </row>
    <row r="4801" spans="3:14">
      <c r="C4801" s="977"/>
      <c r="D4801" s="982" t="s">
        <v>482</v>
      </c>
      <c r="E4801" s="2649" t="s">
        <v>1127</v>
      </c>
      <c r="F4801" s="2391"/>
      <c r="G4801" s="2391"/>
      <c r="H4801" s="2391"/>
      <c r="I4801" s="2391"/>
      <c r="J4801" s="2391"/>
      <c r="K4801" s="2391"/>
      <c r="L4801" s="2391"/>
      <c r="M4801" s="2391"/>
      <c r="N4801" s="2650"/>
    </row>
    <row r="4802" spans="3:14">
      <c r="C4802" s="977"/>
      <c r="D4802" s="777"/>
      <c r="E4802" s="2676" t="s">
        <v>2299</v>
      </c>
      <c r="F4802" s="2391"/>
      <c r="G4802" s="2391"/>
      <c r="H4802" s="2391"/>
      <c r="I4802" s="2391"/>
      <c r="J4802" s="2391"/>
      <c r="K4802" s="2391"/>
      <c r="L4802" s="2391"/>
      <c r="M4802" s="2391"/>
      <c r="N4802" s="2650"/>
    </row>
    <row r="4803" spans="3:14" ht="22.5" customHeight="1">
      <c r="C4803" s="977"/>
      <c r="D4803" s="981"/>
      <c r="E4803" s="2669" t="s">
        <v>2710</v>
      </c>
      <c r="F4803" s="2391"/>
      <c r="G4803" s="2391"/>
      <c r="H4803" s="2391"/>
      <c r="I4803" s="2391"/>
      <c r="J4803" s="2391"/>
      <c r="K4803" s="2391"/>
      <c r="L4803" s="2391"/>
      <c r="M4803" s="2391"/>
      <c r="N4803" s="2650"/>
    </row>
    <row r="4804" spans="3:14">
      <c r="C4804" s="977"/>
      <c r="D4804" s="982"/>
      <c r="E4804" s="989"/>
      <c r="F4804" s="990"/>
      <c r="G4804" s="987" t="s">
        <v>884</v>
      </c>
      <c r="H4804" s="782">
        <v>2019</v>
      </c>
      <c r="I4804" s="988">
        <v>2020</v>
      </c>
      <c r="J4804" s="781">
        <v>2021</v>
      </c>
      <c r="K4804" s="782">
        <v>2022</v>
      </c>
      <c r="L4804" s="782">
        <v>2023</v>
      </c>
      <c r="M4804" s="782">
        <v>2024</v>
      </c>
      <c r="N4804" s="783">
        <v>2025</v>
      </c>
    </row>
    <row r="4805" spans="3:14">
      <c r="C4805" s="977"/>
      <c r="D4805" s="777"/>
      <c r="E4805" s="2475" t="s">
        <v>1354</v>
      </c>
      <c r="F4805" s="2410"/>
      <c r="G4805" s="815" t="s">
        <v>2021</v>
      </c>
      <c r="H4805" s="93" t="str">
        <f>IFERROR(IF([1]F_ProductBM!H2099 = "", "", [1]F_ProductBM!H2099 ),"")</f>
        <v/>
      </c>
      <c r="I4805" s="116" t="str">
        <f>IFERROR(IF([1]F_ProductBM!I2099 = "", "", [1]F_ProductBM!I2099 ),"")</f>
        <v/>
      </c>
      <c r="J4805" s="117" t="str">
        <f>IFERROR(IF([1]F_ProductBM!J2099 = "", "", [1]F_ProductBM!J2099 ),"")</f>
        <v/>
      </c>
      <c r="K4805" s="93" t="str">
        <f>IFERROR(IF([1]F_ProductBM!K2099 = "", "", [1]F_ProductBM!K2099 ),"")</f>
        <v/>
      </c>
      <c r="L4805" s="93" t="str">
        <f>IFERROR(IF([1]F_ProductBM!L2099 = "", "", [1]F_ProductBM!L2099 ),"")</f>
        <v/>
      </c>
      <c r="M4805" s="93" t="str">
        <f>IFERROR(IF([1]F_ProductBM!M2099 = "", "", [1]F_ProductBM!M2099 ),"")</f>
        <v/>
      </c>
      <c r="N4805" s="118" t="str">
        <f>IFERROR(IF([1]F_ProductBM!N2099 = "", "", [1]F_ProductBM!N2099 ),"")</f>
        <v/>
      </c>
    </row>
    <row r="4806" spans="3:14">
      <c r="C4806" s="977"/>
      <c r="D4806" s="981"/>
      <c r="E4806" s="981"/>
      <c r="F4806" s="981"/>
      <c r="G4806" s="981"/>
      <c r="H4806" s="981"/>
      <c r="I4806" s="983"/>
      <c r="J4806" s="981"/>
      <c r="K4806" s="981"/>
      <c r="L4806" s="981"/>
      <c r="M4806" s="981"/>
      <c r="N4806" s="814"/>
    </row>
    <row r="4807" spans="3:14">
      <c r="C4807" s="977"/>
      <c r="D4807" s="982" t="s">
        <v>245</v>
      </c>
      <c r="E4807" s="2649" t="s">
        <v>1157</v>
      </c>
      <c r="F4807" s="2391"/>
      <c r="G4807" s="2391"/>
      <c r="H4807" s="2391"/>
      <c r="I4807" s="2391"/>
      <c r="J4807" s="2391"/>
      <c r="K4807" s="2391"/>
      <c r="L4807" s="2391"/>
      <c r="M4807" s="2391"/>
      <c r="N4807" s="2650"/>
    </row>
    <row r="4808" spans="3:14">
      <c r="C4808" s="977"/>
      <c r="D4808" s="981"/>
      <c r="E4808" s="2669" t="s">
        <v>1264</v>
      </c>
      <c r="F4808" s="2391"/>
      <c r="G4808" s="2391"/>
      <c r="H4808" s="2391"/>
      <c r="I4808" s="2391"/>
      <c r="J4808" s="2391"/>
      <c r="K4808" s="2391"/>
      <c r="L4808" s="2391"/>
      <c r="M4808" s="2391"/>
      <c r="N4808" s="2650"/>
    </row>
    <row r="4809" spans="3:14">
      <c r="C4809" s="977"/>
      <c r="D4809" s="981"/>
      <c r="E4809" s="2669" t="s">
        <v>1563</v>
      </c>
      <c r="F4809" s="2391"/>
      <c r="G4809" s="2391"/>
      <c r="H4809" s="2391"/>
      <c r="I4809" s="2391"/>
      <c r="J4809" s="2391"/>
      <c r="K4809" s="2391"/>
      <c r="L4809" s="2391"/>
      <c r="M4809" s="2391"/>
      <c r="N4809" s="2650"/>
    </row>
    <row r="4810" spans="3:14">
      <c r="C4810" s="977"/>
      <c r="D4810" s="777"/>
      <c r="E4810" s="2707" t="s">
        <v>1598</v>
      </c>
      <c r="F4810" s="2493"/>
      <c r="G4810" s="2493"/>
      <c r="H4810" s="2493"/>
      <c r="I4810" s="2493"/>
      <c r="J4810" s="2493"/>
      <c r="K4810" s="2493"/>
      <c r="L4810" s="2493"/>
      <c r="M4810" s="2493"/>
      <c r="N4810" s="2708"/>
    </row>
    <row r="4811" spans="3:14">
      <c r="C4811" s="977"/>
      <c r="D4811" s="777"/>
      <c r="E4811" s="2487" t="str">
        <f>IFERROR(IF([1]F_ProductBM!E2105 = "", "", [1]F_ProductBM!E2105 ),"")</f>
        <v/>
      </c>
      <c r="F4811" s="2488"/>
      <c r="G4811" s="815" t="s">
        <v>1020</v>
      </c>
      <c r="H4811" s="93" t="str">
        <f>IFERROR(IF([1]F_ProductBM!H2105 = "", "", [1]F_ProductBM!H2105 ),"")</f>
        <v/>
      </c>
      <c r="I4811" s="116" t="str">
        <f>IFERROR(IF([1]F_ProductBM!I2105 = "", "", [1]F_ProductBM!I2105 ),"")</f>
        <v/>
      </c>
      <c r="J4811" s="117" t="str">
        <f>IFERROR(IF([1]F_ProductBM!J2105 = "", "", [1]F_ProductBM!J2105 ),"")</f>
        <v/>
      </c>
      <c r="K4811" s="93" t="str">
        <f>IFERROR(IF([1]F_ProductBM!K2105 = "", "", [1]F_ProductBM!K2105 ),"")</f>
        <v/>
      </c>
      <c r="L4811" s="93" t="str">
        <f>IFERROR(IF([1]F_ProductBM!L2105 = "", "", [1]F_ProductBM!L2105 ),"")</f>
        <v/>
      </c>
      <c r="M4811" s="93" t="str">
        <f>IFERROR(IF([1]F_ProductBM!M2105 = "", "", [1]F_ProductBM!M2105 ),"")</f>
        <v/>
      </c>
      <c r="N4811" s="118" t="str">
        <f>IFERROR(IF([1]F_ProductBM!N2105 = "", "", [1]F_ProductBM!N2105 ),"")</f>
        <v/>
      </c>
    </row>
    <row r="4812" spans="3:14">
      <c r="C4812" s="977"/>
      <c r="D4812" s="777"/>
      <c r="E4812" s="777"/>
      <c r="F4812" s="777"/>
      <c r="G4812" s="777"/>
      <c r="H4812" s="983"/>
      <c r="I4812" s="777"/>
      <c r="J4812" s="777"/>
      <c r="K4812" s="777"/>
      <c r="L4812" s="777"/>
      <c r="M4812" s="777"/>
      <c r="N4812" s="1007"/>
    </row>
    <row r="4813" spans="3:14">
      <c r="C4813" s="977"/>
      <c r="D4813" s="982" t="s">
        <v>832</v>
      </c>
      <c r="E4813" s="2649" t="s">
        <v>1142</v>
      </c>
      <c r="F4813" s="2391"/>
      <c r="G4813" s="2391"/>
      <c r="H4813" s="2391"/>
      <c r="I4813" s="2391"/>
      <c r="J4813" s="2391"/>
      <c r="K4813" s="2391"/>
      <c r="L4813" s="2391"/>
      <c r="M4813" s="2391"/>
      <c r="N4813" s="2650"/>
    </row>
    <row r="4814" spans="3:14">
      <c r="C4814" s="977"/>
      <c r="D4814" s="981"/>
      <c r="E4814" s="2669" t="s">
        <v>1366</v>
      </c>
      <c r="F4814" s="2391"/>
      <c r="G4814" s="2391"/>
      <c r="H4814" s="2391"/>
      <c r="I4814" s="2391"/>
      <c r="J4814" s="2391"/>
      <c r="K4814" s="2391"/>
      <c r="L4814" s="2391"/>
      <c r="M4814" s="2391"/>
      <c r="N4814" s="2650"/>
    </row>
    <row r="4815" spans="3:14">
      <c r="C4815" s="977"/>
      <c r="D4815" s="981"/>
      <c r="E4815" s="2676" t="s">
        <v>1610</v>
      </c>
      <c r="F4815" s="2391"/>
      <c r="G4815" s="2391"/>
      <c r="H4815" s="2391"/>
      <c r="I4815" s="2391"/>
      <c r="J4815" s="2391"/>
      <c r="K4815" s="2391"/>
      <c r="L4815" s="2391"/>
      <c r="M4815" s="2391"/>
      <c r="N4815" s="2650"/>
    </row>
    <row r="4816" spans="3:14">
      <c r="C4816" s="977"/>
      <c r="D4816" s="777" t="s">
        <v>6</v>
      </c>
      <c r="E4816" s="2682" t="s">
        <v>1145</v>
      </c>
      <c r="F4816" s="2391"/>
      <c r="G4816" s="2391"/>
      <c r="H4816" s="2391"/>
      <c r="I4816" s="2391"/>
      <c r="J4816" s="2391"/>
      <c r="K4816" s="2512"/>
      <c r="L4816" s="120" t="str">
        <f>IFERROR(IF([1]F_ProductBM!L2110 = "", "", [1]F_ProductBM!L2110 ),"")</f>
        <v/>
      </c>
      <c r="M4816" s="813"/>
      <c r="N4816" s="1015"/>
    </row>
    <row r="4817" spans="3:14">
      <c r="C4817" s="977"/>
      <c r="D4817" s="777"/>
      <c r="E4817" s="777"/>
      <c r="F4817" s="777"/>
      <c r="G4817" s="777"/>
      <c r="H4817" s="983"/>
      <c r="I4817" s="777"/>
      <c r="J4817" s="777"/>
      <c r="K4817" s="777"/>
      <c r="L4817" s="777"/>
      <c r="M4817" s="777"/>
      <c r="N4817" s="1007"/>
    </row>
    <row r="4818" spans="3:14">
      <c r="C4818" s="977"/>
      <c r="D4818" s="982"/>
      <c r="E4818" s="2648" t="s">
        <v>1144</v>
      </c>
      <c r="F4818" s="2493"/>
      <c r="G4818" s="778" t="s">
        <v>884</v>
      </c>
      <c r="H4818" s="782">
        <v>2019</v>
      </c>
      <c r="I4818" s="988">
        <v>2020</v>
      </c>
      <c r="J4818" s="781">
        <v>2021</v>
      </c>
      <c r="K4818" s="782">
        <v>2022</v>
      </c>
      <c r="L4818" s="782">
        <v>2023</v>
      </c>
      <c r="M4818" s="782">
        <v>2024</v>
      </c>
      <c r="N4818" s="783">
        <v>2025</v>
      </c>
    </row>
    <row r="4819" spans="3:14">
      <c r="C4819" s="977"/>
      <c r="D4819" s="777" t="s">
        <v>7</v>
      </c>
      <c r="E4819" s="2513" t="str">
        <f>IFERROR(IF([1]F_ProductBM!E2113 = "", "", [1]F_ProductBM!E2113 ),"")</f>
        <v/>
      </c>
      <c r="F4819" s="2705"/>
      <c r="G4819" s="355" t="str">
        <f>IFERROR(IF([1]F_ProductBM!G2113 = "", "", [1]F_ProductBM!G2113 ),"")</f>
        <v>tonnes</v>
      </c>
      <c r="H4819" s="371" t="str">
        <f>IFERROR(IF([1]F_ProductBM!H2113 = "", "", [1]F_ProductBM!H2113 ),"")</f>
        <v/>
      </c>
      <c r="I4819" s="372" t="str">
        <f>IFERROR(IF([1]F_ProductBM!I2113 = "", "", [1]F_ProductBM!I2113 ),"")</f>
        <v/>
      </c>
      <c r="J4819" s="373" t="str">
        <f>IFERROR(IF([1]F_ProductBM!J2113 = "", "", [1]F_ProductBM!J2113 ),"")</f>
        <v/>
      </c>
      <c r="K4819" s="371" t="str">
        <f>IFERROR(IF([1]F_ProductBM!K2113 = "", "", [1]F_ProductBM!K2113 ),"")</f>
        <v/>
      </c>
      <c r="L4819" s="371" t="str">
        <f>IFERROR(IF([1]F_ProductBM!L2113 = "", "", [1]F_ProductBM!L2113 ),"")</f>
        <v/>
      </c>
      <c r="M4819" s="371" t="str">
        <f>IFERROR(IF([1]F_ProductBM!M2113 = "", "", [1]F_ProductBM!M2113 ),"")</f>
        <v/>
      </c>
      <c r="N4819" s="374" t="str">
        <f>IFERROR(IF([1]F_ProductBM!N2113 = "", "", [1]F_ProductBM!N2113 ),"")</f>
        <v/>
      </c>
    </row>
    <row r="4820" spans="3:14">
      <c r="C4820" s="977"/>
      <c r="D4820" s="777" t="s">
        <v>8</v>
      </c>
      <c r="E4820" s="2520" t="str">
        <f>IFERROR(IF([1]F_ProductBM!E2114 = "", "", [1]F_ProductBM!E2114 ),"")</f>
        <v/>
      </c>
      <c r="F4820" s="2706"/>
      <c r="G4820" s="350" t="str">
        <f>IFERROR(IF([1]F_ProductBM!G2114 = "", "", [1]F_ProductBM!G2114 ),"")</f>
        <v>tonnes</v>
      </c>
      <c r="H4820" s="364" t="str">
        <f>IFERROR(IF([1]F_ProductBM!H2114 = "", "", [1]F_ProductBM!H2114 ),"")</f>
        <v/>
      </c>
      <c r="I4820" s="365" t="str">
        <f>IFERROR(IF([1]F_ProductBM!I2114 = "", "", [1]F_ProductBM!I2114 ),"")</f>
        <v/>
      </c>
      <c r="J4820" s="366" t="str">
        <f>IFERROR(IF([1]F_ProductBM!J2114 = "", "", [1]F_ProductBM!J2114 ),"")</f>
        <v/>
      </c>
      <c r="K4820" s="364" t="str">
        <f>IFERROR(IF([1]F_ProductBM!K2114 = "", "", [1]F_ProductBM!K2114 ),"")</f>
        <v/>
      </c>
      <c r="L4820" s="364" t="str">
        <f>IFERROR(IF([1]F_ProductBM!L2114 = "", "", [1]F_ProductBM!L2114 ),"")</f>
        <v/>
      </c>
      <c r="M4820" s="364" t="str">
        <f>IFERROR(IF([1]F_ProductBM!M2114 = "", "", [1]F_ProductBM!M2114 ),"")</f>
        <v/>
      </c>
      <c r="N4820" s="367" t="str">
        <f>IFERROR(IF([1]F_ProductBM!N2114 = "", "", [1]F_ProductBM!N2114 ),"")</f>
        <v/>
      </c>
    </row>
    <row r="4821" spans="3:14">
      <c r="C4821" s="977"/>
      <c r="D4821" s="777"/>
      <c r="E4821" s="777"/>
      <c r="F4821" s="777"/>
      <c r="G4821" s="777"/>
      <c r="H4821" s="777"/>
      <c r="I4821" s="777"/>
      <c r="J4821" s="777"/>
      <c r="K4821" s="777"/>
      <c r="L4821" s="777"/>
      <c r="M4821" s="777"/>
      <c r="N4821" s="810"/>
    </row>
    <row r="4822" spans="3:14">
      <c r="C4822" s="977"/>
      <c r="D4822" s="982"/>
      <c r="E4822" s="2648" t="s">
        <v>1143</v>
      </c>
      <c r="F4822" s="2493"/>
      <c r="G4822" s="778" t="s">
        <v>884</v>
      </c>
      <c r="H4822" s="782">
        <v>2019</v>
      </c>
      <c r="I4822" s="988">
        <v>2020</v>
      </c>
      <c r="J4822" s="781">
        <v>2021</v>
      </c>
      <c r="K4822" s="782">
        <v>2022</v>
      </c>
      <c r="L4822" s="782">
        <v>2023</v>
      </c>
      <c r="M4822" s="782">
        <v>2024</v>
      </c>
      <c r="N4822" s="783">
        <v>2025</v>
      </c>
    </row>
    <row r="4823" spans="3:14">
      <c r="C4823" s="977"/>
      <c r="D4823" s="777" t="s">
        <v>18</v>
      </c>
      <c r="E4823" s="2513" t="str">
        <f>IFERROR(IF([1]F_ProductBM!E2117 = "", "", [1]F_ProductBM!E2117 ),"")</f>
        <v/>
      </c>
      <c r="F4823" s="2705"/>
      <c r="G4823" s="355" t="str">
        <f>IFERROR(IF([1]F_ProductBM!G2117 = "", "", [1]F_ProductBM!G2117 ),"")</f>
        <v>tonnes</v>
      </c>
      <c r="H4823" s="371" t="str">
        <f>IFERROR(IF([1]F_ProductBM!H2117 = "", "", [1]F_ProductBM!H2117 ),"")</f>
        <v/>
      </c>
      <c r="I4823" s="372" t="str">
        <f>IFERROR(IF([1]F_ProductBM!I2117 = "", "", [1]F_ProductBM!I2117 ),"")</f>
        <v/>
      </c>
      <c r="J4823" s="373" t="str">
        <f>IFERROR(IF([1]F_ProductBM!J2117 = "", "", [1]F_ProductBM!J2117 ),"")</f>
        <v/>
      </c>
      <c r="K4823" s="371" t="str">
        <f>IFERROR(IF([1]F_ProductBM!K2117 = "", "", [1]F_ProductBM!K2117 ),"")</f>
        <v/>
      </c>
      <c r="L4823" s="371" t="str">
        <f>IFERROR(IF([1]F_ProductBM!L2117 = "", "", [1]F_ProductBM!L2117 ),"")</f>
        <v/>
      </c>
      <c r="M4823" s="371" t="str">
        <f>IFERROR(IF([1]F_ProductBM!M2117 = "", "", [1]F_ProductBM!M2117 ),"")</f>
        <v/>
      </c>
      <c r="N4823" s="374" t="str">
        <f>IFERROR(IF([1]F_ProductBM!N2117 = "", "", [1]F_ProductBM!N2117 ),"")</f>
        <v/>
      </c>
    </row>
    <row r="4824" spans="3:14">
      <c r="C4824" s="977"/>
      <c r="D4824" s="777" t="s">
        <v>787</v>
      </c>
      <c r="E4824" s="2520" t="str">
        <f>IFERROR(IF([1]F_ProductBM!E2118 = "", "", [1]F_ProductBM!E2118 ),"")</f>
        <v/>
      </c>
      <c r="F4824" s="2706"/>
      <c r="G4824" s="350" t="str">
        <f>IFERROR(IF([1]F_ProductBM!G2118 = "", "", [1]F_ProductBM!G2118 ),"")</f>
        <v>tonnes</v>
      </c>
      <c r="H4824" s="364" t="str">
        <f>IFERROR(IF([1]F_ProductBM!H2118 = "", "", [1]F_ProductBM!H2118 ),"")</f>
        <v/>
      </c>
      <c r="I4824" s="365" t="str">
        <f>IFERROR(IF([1]F_ProductBM!I2118 = "", "", [1]F_ProductBM!I2118 ),"")</f>
        <v/>
      </c>
      <c r="J4824" s="366" t="str">
        <f>IFERROR(IF([1]F_ProductBM!J2118 = "", "", [1]F_ProductBM!J2118 ),"")</f>
        <v/>
      </c>
      <c r="K4824" s="364" t="str">
        <f>IFERROR(IF([1]F_ProductBM!K2118 = "", "", [1]F_ProductBM!K2118 ),"")</f>
        <v/>
      </c>
      <c r="L4824" s="364" t="str">
        <f>IFERROR(IF([1]F_ProductBM!L2118 = "", "", [1]F_ProductBM!L2118 ),"")</f>
        <v/>
      </c>
      <c r="M4824" s="364" t="str">
        <f>IFERROR(IF([1]F_ProductBM!M2118 = "", "", [1]F_ProductBM!M2118 ),"")</f>
        <v/>
      </c>
      <c r="N4824" s="367" t="str">
        <f>IFERROR(IF([1]F_ProductBM!N2118 = "", "", [1]F_ProductBM!N2118 ),"")</f>
        <v/>
      </c>
    </row>
    <row r="4825" spans="3:14">
      <c r="C4825" s="977"/>
      <c r="D4825" s="777"/>
      <c r="E4825" s="777"/>
      <c r="F4825" s="777"/>
      <c r="G4825" s="777"/>
      <c r="H4825" s="777"/>
      <c r="I4825" s="777"/>
      <c r="J4825" s="777"/>
      <c r="K4825" s="777"/>
      <c r="L4825" s="777"/>
      <c r="M4825" s="777"/>
      <c r="N4825" s="1007"/>
    </row>
    <row r="4826" spans="3:14">
      <c r="C4826" s="977"/>
      <c r="D4826" s="777" t="s">
        <v>788</v>
      </c>
      <c r="E4826" s="813" t="s">
        <v>1146</v>
      </c>
      <c r="F4826" s="813"/>
      <c r="G4826" s="813"/>
      <c r="H4826" s="813"/>
      <c r="I4826" s="813"/>
      <c r="J4826" s="813"/>
      <c r="K4826" s="813"/>
      <c r="L4826" s="813"/>
      <c r="M4826" s="813"/>
      <c r="N4826" s="1007"/>
    </row>
    <row r="4827" spans="3:14">
      <c r="C4827" s="977"/>
      <c r="D4827" s="777"/>
      <c r="E4827" s="1017" t="s">
        <v>1459</v>
      </c>
      <c r="F4827" s="978"/>
      <c r="G4827" s="978"/>
      <c r="H4827" s="978"/>
      <c r="I4827" s="978"/>
      <c r="J4827" s="978"/>
      <c r="K4827" s="978"/>
      <c r="L4827" s="978"/>
      <c r="M4827" s="978"/>
      <c r="N4827" s="979"/>
    </row>
    <row r="4828" spans="3:14">
      <c r="C4828" s="977"/>
      <c r="D4828" s="777"/>
      <c r="E4828" s="2699" t="str">
        <f>IFERROR(IF([1]F_ProductBM!E2122 = "", "", [1]F_ProductBM!E2122 ),"")</f>
        <v/>
      </c>
      <c r="F4828" s="2700"/>
      <c r="G4828" s="2700"/>
      <c r="H4828" s="2700"/>
      <c r="I4828" s="2700"/>
      <c r="J4828" s="2700"/>
      <c r="K4828" s="2700"/>
      <c r="L4828" s="2700"/>
      <c r="M4828" s="2701"/>
      <c r="N4828" s="1007"/>
    </row>
    <row r="4829" spans="3:14">
      <c r="C4829" s="977"/>
      <c r="D4829" s="777"/>
      <c r="E4829" s="2702"/>
      <c r="F4829" s="2703"/>
      <c r="G4829" s="2703"/>
      <c r="H4829" s="2703"/>
      <c r="I4829" s="2703"/>
      <c r="J4829" s="2703"/>
      <c r="K4829" s="2703"/>
      <c r="L4829" s="2703"/>
      <c r="M4829" s="2704"/>
      <c r="N4829" s="1007"/>
    </row>
    <row r="4830" spans="3:14" ht="13.5" thickBot="1">
      <c r="C4830" s="1018"/>
      <c r="D4830" s="1019"/>
      <c r="E4830" s="1019"/>
      <c r="F4830" s="1019"/>
      <c r="G4830" s="1019"/>
      <c r="H4830" s="1019"/>
      <c r="I4830" s="1019"/>
      <c r="J4830" s="1019"/>
      <c r="K4830" s="1019"/>
      <c r="L4830" s="1019"/>
      <c r="M4830" s="805"/>
      <c r="N4830" s="806"/>
    </row>
    <row r="4831" spans="3:14" ht="13.5" thickBot="1">
      <c r="C4831" s="467"/>
      <c r="D4831" s="467"/>
      <c r="E4831" s="467"/>
      <c r="F4831" s="467"/>
      <c r="G4831" s="467"/>
      <c r="H4831" s="467"/>
      <c r="I4831" s="467"/>
      <c r="J4831" s="467"/>
      <c r="K4831" s="467"/>
      <c r="L4831" s="467"/>
      <c r="M4831" s="481"/>
      <c r="N4831" s="481"/>
    </row>
    <row r="4832" spans="3:14">
      <c r="C4832" s="1020"/>
      <c r="D4832" s="1020"/>
      <c r="E4832" s="1020"/>
      <c r="F4832" s="1020"/>
      <c r="G4832" s="1020"/>
      <c r="H4832" s="1020"/>
      <c r="I4832" s="1020"/>
      <c r="J4832" s="1020"/>
      <c r="K4832" s="1020"/>
      <c r="L4832" s="1020"/>
      <c r="M4832" s="1020"/>
      <c r="N4832" s="1020"/>
    </row>
    <row r="4833" spans="3:14" ht="15">
      <c r="C4833" s="897">
        <v>8</v>
      </c>
      <c r="D4833" s="2482" t="s">
        <v>2704</v>
      </c>
      <c r="E4833" s="2400"/>
      <c r="F4833" s="2400"/>
      <c r="G4833" s="2400"/>
      <c r="H4833" s="2585"/>
      <c r="I4833" s="2489" t="str">
        <f>IFERROR(IF([1]F_ProductBM!I2127 = "", "", [1]F_ProductBM!I2127 ),"")</f>
        <v/>
      </c>
      <c r="J4833" s="2534"/>
      <c r="K4833" s="2534"/>
      <c r="L4833" s="2534"/>
      <c r="M4833" s="2534"/>
      <c r="N4833" s="2535"/>
    </row>
    <row r="4834" spans="3:14">
      <c r="C4834" s="479"/>
      <c r="D4834" s="485"/>
      <c r="E4834" s="2465" t="s">
        <v>2706</v>
      </c>
      <c r="F4834" s="2400"/>
      <c r="G4834" s="2400"/>
      <c r="H4834" s="2400"/>
      <c r="I4834" s="2400"/>
      <c r="J4834" s="2400"/>
      <c r="K4834" s="2400"/>
      <c r="L4834" s="2400"/>
      <c r="M4834" s="2400"/>
      <c r="N4834" s="2400"/>
    </row>
    <row r="4835" spans="3:14">
      <c r="C4835" s="479"/>
      <c r="D4835" s="479"/>
      <c r="E4835" s="479"/>
      <c r="F4835" s="479"/>
      <c r="G4835" s="479"/>
      <c r="H4835" s="479"/>
      <c r="I4835" s="479"/>
      <c r="J4835" s="479"/>
      <c r="K4835" s="479"/>
      <c r="L4835" s="479"/>
      <c r="M4835" s="485"/>
      <c r="N4835" s="485"/>
    </row>
    <row r="4836" spans="3:14">
      <c r="C4836" s="479"/>
      <c r="D4836" s="482" t="s">
        <v>400</v>
      </c>
      <c r="E4836" s="2373" t="s">
        <v>1930</v>
      </c>
      <c r="F4836" s="2400"/>
      <c r="G4836" s="2400"/>
      <c r="H4836" s="2400"/>
      <c r="I4836" s="2400"/>
      <c r="J4836" s="2400"/>
      <c r="K4836" s="2400"/>
      <c r="L4836" s="2400"/>
      <c r="M4836" s="2400"/>
      <c r="N4836" s="2400"/>
    </row>
    <row r="4837" spans="3:14">
      <c r="C4837" s="479"/>
      <c r="D4837" s="485"/>
      <c r="E4837" s="2465" t="s">
        <v>801</v>
      </c>
      <c r="F4837" s="2400"/>
      <c r="G4837" s="2400"/>
      <c r="H4837" s="2400"/>
      <c r="I4837" s="2400"/>
      <c r="J4837" s="2400"/>
      <c r="K4837" s="2400"/>
      <c r="L4837" s="2400"/>
      <c r="M4837" s="2400"/>
      <c r="N4837" s="2400"/>
    </row>
    <row r="4838" spans="3:14">
      <c r="C4838" s="479"/>
      <c r="D4838" s="485"/>
      <c r="E4838" s="2465" t="s">
        <v>1199</v>
      </c>
      <c r="F4838" s="2400"/>
      <c r="G4838" s="2400"/>
      <c r="H4838" s="2400"/>
      <c r="I4838" s="2400"/>
      <c r="J4838" s="2400"/>
      <c r="K4838" s="2400"/>
      <c r="L4838" s="2400"/>
      <c r="M4838" s="2400"/>
      <c r="N4838" s="2400"/>
    </row>
    <row r="4839" spans="3:14">
      <c r="C4839" s="479"/>
      <c r="D4839" s="485"/>
      <c r="E4839" s="2465" t="s">
        <v>125</v>
      </c>
      <c r="F4839" s="2400"/>
      <c r="G4839" s="2400"/>
      <c r="H4839" s="2400"/>
      <c r="I4839" s="2400"/>
      <c r="J4839" s="2400"/>
      <c r="K4839" s="2400"/>
      <c r="L4839" s="2400"/>
      <c r="M4839" s="2400"/>
      <c r="N4839" s="2400"/>
    </row>
    <row r="4840" spans="3:14">
      <c r="C4840" s="485"/>
      <c r="D4840" s="482"/>
      <c r="E4840" s="2509" t="s">
        <v>1447</v>
      </c>
      <c r="F4840" s="2509"/>
      <c r="G4840" s="663" t="s">
        <v>884</v>
      </c>
      <c r="H4840" s="578">
        <v>2019</v>
      </c>
      <c r="I4840" s="697">
        <v>2020</v>
      </c>
      <c r="J4840" s="696">
        <v>2021</v>
      </c>
      <c r="K4840" s="578">
        <v>2022</v>
      </c>
      <c r="L4840" s="578">
        <v>2023</v>
      </c>
      <c r="M4840" s="578">
        <v>2024</v>
      </c>
      <c r="N4840" s="671">
        <v>2025</v>
      </c>
    </row>
    <row r="4841" spans="3:14">
      <c r="C4841" s="485"/>
      <c r="D4841" s="561" t="s">
        <v>6</v>
      </c>
      <c r="E4841" s="2696" t="str">
        <f>IFERROR(IF([1]F_ProductBM!E2135 = "", "", [1]F_ProductBM!E2135 ),"")</f>
        <v/>
      </c>
      <c r="F4841" s="2696"/>
      <c r="G4841" s="74" t="str">
        <f>IFERROR(IF([1]F_ProductBM!G2135 = "", "", [1]F_ProductBM!G2135 ),"")</f>
        <v>tonnes</v>
      </c>
      <c r="H4841" s="277" t="str">
        <f>IFERROR(IF([1]F_ProductBM!H2135 = "", "", [1]F_ProductBM!H2135 ),"")</f>
        <v/>
      </c>
      <c r="I4841" s="275" t="str">
        <f>IFERROR(IF([1]F_ProductBM!I2135 = "", "", [1]F_ProductBM!I2135 ),"")</f>
        <v/>
      </c>
      <c r="J4841" s="276" t="str">
        <f>IFERROR(IF([1]F_ProductBM!J2135 = "", "", [1]F_ProductBM!J2135 ),"")</f>
        <v/>
      </c>
      <c r="K4841" s="277" t="str">
        <f>IFERROR(IF([1]F_ProductBM!K2135 = "", "", [1]F_ProductBM!K2135 ),"")</f>
        <v/>
      </c>
      <c r="L4841" s="277" t="str">
        <f>IFERROR(IF([1]F_ProductBM!L2135 = "", "", [1]F_ProductBM!L2135 ),"")</f>
        <v/>
      </c>
      <c r="M4841" s="277" t="str">
        <f>IFERROR(IF([1]F_ProductBM!M2135 = "", "", [1]F_ProductBM!M2135 ),"")</f>
        <v/>
      </c>
      <c r="N4841" s="277" t="str">
        <f>IFERROR(IF([1]F_ProductBM!N2135 = "", "", [1]F_ProductBM!N2135 ),"")</f>
        <v/>
      </c>
    </row>
    <row r="4842" spans="3:14">
      <c r="C4842" s="485"/>
      <c r="D4842" s="561" t="s">
        <v>7</v>
      </c>
      <c r="E4842" s="2696" t="str">
        <f>IFERROR(IF([1]F_ProductBM!E2136 = "", "", [1]F_ProductBM!E2136 ),"")</f>
        <v>From sheet "H_SpecialBM":</v>
      </c>
      <c r="F4842" s="2696"/>
      <c r="G4842" s="74" t="str">
        <f>IFERROR(IF([1]F_ProductBM!G2136 = "", "", [1]F_ProductBM!G2136 ),"")</f>
        <v>tonnes</v>
      </c>
      <c r="H4842" s="278" t="str">
        <f>IFERROR(IF([1]F_ProductBM!H2136 = "", "", [1]F_ProductBM!H2136 ),"")</f>
        <v/>
      </c>
      <c r="I4842" s="279" t="str">
        <f>IFERROR(IF([1]F_ProductBM!I2136 = "", "", [1]F_ProductBM!I2136 ),"")</f>
        <v/>
      </c>
      <c r="J4842" s="280" t="str">
        <f>IFERROR(IF([1]F_ProductBM!J2136 = "", "", [1]F_ProductBM!J2136 ),"")</f>
        <v/>
      </c>
      <c r="K4842" s="278" t="str">
        <f>IFERROR(IF([1]F_ProductBM!K2136 = "", "", [1]F_ProductBM!K2136 ),"")</f>
        <v/>
      </c>
      <c r="L4842" s="278" t="str">
        <f>IFERROR(IF([1]F_ProductBM!L2136 = "", "", [1]F_ProductBM!L2136 ),"")</f>
        <v/>
      </c>
      <c r="M4842" s="278" t="str">
        <f>IFERROR(IF([1]F_ProductBM!M2136 = "", "", [1]F_ProductBM!M2136 ),"")</f>
        <v/>
      </c>
      <c r="N4842" s="277" t="str">
        <f>IFERROR(IF([1]F_ProductBM!N2136 = "", "", [1]F_ProductBM!N2136 ),"")</f>
        <v/>
      </c>
    </row>
    <row r="4843" spans="3:14">
      <c r="C4843" s="485"/>
      <c r="D4843" s="561" t="s">
        <v>8</v>
      </c>
      <c r="E4843" s="2696" t="str">
        <f>IFERROR(IF([1]F_ProductBM!E2137 = "", "", [1]F_ProductBM!E2137 ),"")</f>
        <v>Values used for calculation:</v>
      </c>
      <c r="F4843" s="2696"/>
      <c r="G4843" s="74" t="str">
        <f>IFERROR(IF([1]F_ProductBM!G2137 = "", "", [1]F_ProductBM!G2137 ),"")</f>
        <v>tonnes</v>
      </c>
      <c r="H4843" s="278" t="str">
        <f>IFERROR(IF([1]F_ProductBM!H2137 = "", "", [1]F_ProductBM!H2137 ),"")</f>
        <v/>
      </c>
      <c r="I4843" s="279" t="str">
        <f>IFERROR(IF([1]F_ProductBM!I2137 = "", "", [1]F_ProductBM!I2137 ),"")</f>
        <v/>
      </c>
      <c r="J4843" s="280" t="str">
        <f>IFERROR(IF([1]F_ProductBM!J2137 = "", "", [1]F_ProductBM!J2137 ),"")</f>
        <v/>
      </c>
      <c r="K4843" s="278" t="str">
        <f>IFERROR(IF([1]F_ProductBM!K2137 = "", "", [1]F_ProductBM!K2137 ),"")</f>
        <v/>
      </c>
      <c r="L4843" s="278" t="str">
        <f>IFERROR(IF([1]F_ProductBM!L2137 = "", "", [1]F_ProductBM!L2137 ),"")</f>
        <v/>
      </c>
      <c r="M4843" s="278" t="str">
        <f>IFERROR(IF([1]F_ProductBM!M2137 = "", "", [1]F_ProductBM!M2137 ),"")</f>
        <v/>
      </c>
      <c r="N4843" s="277" t="str">
        <f>IFERROR(IF([1]F_ProductBM!N2137 = "", "", [1]F_ProductBM!N2137 ),"")</f>
        <v/>
      </c>
    </row>
    <row r="4844" spans="3:14">
      <c r="C4844" s="479"/>
      <c r="D4844" s="479"/>
      <c r="E4844" s="479"/>
      <c r="F4844" s="479"/>
      <c r="G4844" s="479"/>
      <c r="H4844" s="479"/>
      <c r="I4844" s="479"/>
      <c r="J4844" s="479"/>
      <c r="K4844" s="479"/>
      <c r="L4844" s="479"/>
      <c r="M4844" s="485"/>
      <c r="N4844" s="485"/>
    </row>
    <row r="4845" spans="3:14">
      <c r="C4845" s="479"/>
      <c r="D4845" s="561" t="s">
        <v>18</v>
      </c>
      <c r="E4845" s="2373" t="s">
        <v>922</v>
      </c>
      <c r="F4845" s="2373"/>
      <c r="G4845" s="2604"/>
      <c r="H4845" s="2652" t="s">
        <v>1857</v>
      </c>
      <c r="I4845" s="2689"/>
      <c r="J4845" s="2689"/>
      <c r="K4845" s="2689"/>
      <c r="L4845" s="2689"/>
      <c r="M4845" s="2689"/>
      <c r="N4845" s="2690"/>
    </row>
    <row r="4846" spans="3:14">
      <c r="C4846" s="479"/>
      <c r="D4846" s="485"/>
      <c r="E4846" s="2465" t="s">
        <v>923</v>
      </c>
      <c r="F4846" s="2400"/>
      <c r="G4846" s="2400"/>
      <c r="H4846" s="2400"/>
      <c r="I4846" s="2400"/>
      <c r="J4846" s="2400"/>
      <c r="K4846" s="2400"/>
      <c r="L4846" s="2400"/>
      <c r="M4846" s="2400"/>
      <c r="N4846" s="2400"/>
    </row>
    <row r="4847" spans="3:14">
      <c r="C4847" s="479"/>
      <c r="D4847" s="485"/>
      <c r="E4847" s="485"/>
      <c r="F4847" s="485"/>
      <c r="G4847" s="485"/>
      <c r="H4847" s="485"/>
      <c r="I4847" s="485"/>
      <c r="J4847" s="485"/>
      <c r="K4847" s="485"/>
      <c r="L4847" s="485"/>
      <c r="M4847" s="485"/>
      <c r="N4847" s="485"/>
    </row>
    <row r="4848" spans="3:14">
      <c r="C4848" s="479"/>
      <c r="D4848" s="482" t="s">
        <v>876</v>
      </c>
      <c r="E4848" s="2373" t="s">
        <v>1709</v>
      </c>
      <c r="F4848" s="2400"/>
      <c r="G4848" s="2400"/>
      <c r="H4848" s="2400"/>
      <c r="I4848" s="2400"/>
      <c r="J4848" s="2400"/>
      <c r="K4848" s="2400"/>
      <c r="L4848" s="2400"/>
      <c r="M4848" s="2400"/>
      <c r="N4848" s="2400"/>
    </row>
    <row r="4849" spans="3:14">
      <c r="C4849" s="479"/>
      <c r="D4849" s="485"/>
      <c r="E4849" s="2465" t="s">
        <v>1958</v>
      </c>
      <c r="F4849" s="2400"/>
      <c r="G4849" s="2400"/>
      <c r="H4849" s="2400"/>
      <c r="I4849" s="2400"/>
      <c r="J4849" s="2400"/>
      <c r="K4849" s="2400"/>
      <c r="L4849" s="2400"/>
      <c r="M4849" s="2400"/>
      <c r="N4849" s="2400"/>
    </row>
    <row r="4850" spans="3:14">
      <c r="C4850" s="479"/>
      <c r="D4850" s="485"/>
      <c r="E4850" s="2465" t="s">
        <v>2701</v>
      </c>
      <c r="F4850" s="2400"/>
      <c r="G4850" s="2400"/>
      <c r="H4850" s="2400"/>
      <c r="I4850" s="2400"/>
      <c r="J4850" s="2400"/>
      <c r="K4850" s="2400"/>
      <c r="L4850" s="2400"/>
      <c r="M4850" s="2400"/>
      <c r="N4850" s="2400"/>
    </row>
    <row r="4851" spans="3:14">
      <c r="C4851" s="479"/>
      <c r="D4851" s="485"/>
      <c r="E4851" s="901" t="s">
        <v>1021</v>
      </c>
      <c r="F4851" s="2651" t="s">
        <v>2711</v>
      </c>
      <c r="G4851" s="2584"/>
      <c r="H4851" s="2584"/>
      <c r="I4851" s="2584"/>
      <c r="J4851" s="2584"/>
      <c r="K4851" s="2584"/>
      <c r="L4851" s="2584"/>
      <c r="M4851" s="2584"/>
      <c r="N4851" s="2584"/>
    </row>
    <row r="4852" spans="3:14" ht="13.5" thickBot="1">
      <c r="C4852" s="479"/>
      <c r="D4852" s="485"/>
      <c r="E4852" s="901" t="s">
        <v>1021</v>
      </c>
      <c r="F4852" s="2651" t="s">
        <v>1985</v>
      </c>
      <c r="G4852" s="2584"/>
      <c r="H4852" s="2584"/>
      <c r="I4852" s="2584"/>
      <c r="J4852" s="2584"/>
      <c r="K4852" s="2584"/>
      <c r="L4852" s="2584"/>
      <c r="M4852" s="2584"/>
      <c r="N4852" s="2584"/>
    </row>
    <row r="4853" spans="3:14">
      <c r="C4853" s="479"/>
      <c r="D4853" s="902"/>
      <c r="E4853" s="903"/>
      <c r="F4853" s="904"/>
      <c r="G4853" s="905"/>
      <c r="H4853" s="905"/>
      <c r="I4853" s="905"/>
      <c r="J4853" s="905"/>
      <c r="K4853" s="905"/>
      <c r="L4853" s="905"/>
      <c r="M4853" s="905"/>
      <c r="N4853" s="906"/>
    </row>
    <row r="4854" spans="3:14">
      <c r="C4854" s="479"/>
      <c r="D4854" s="907"/>
      <c r="E4854" s="908" t="s">
        <v>1690</v>
      </c>
      <c r="F4854" s="909"/>
      <c r="G4854" s="909"/>
      <c r="H4854" s="910" t="s">
        <v>884</v>
      </c>
      <c r="I4854" s="911" t="s">
        <v>2212</v>
      </c>
      <c r="J4854" s="912">
        <v>2021</v>
      </c>
      <c r="K4854" s="913">
        <v>2022</v>
      </c>
      <c r="L4854" s="913">
        <v>2023</v>
      </c>
      <c r="M4854" s="913">
        <v>2024</v>
      </c>
      <c r="N4854" s="914">
        <v>2025</v>
      </c>
    </row>
    <row r="4855" spans="3:14">
      <c r="C4855" s="479"/>
      <c r="D4855" s="915" t="s">
        <v>6</v>
      </c>
      <c r="E4855" s="916" t="s">
        <v>1976</v>
      </c>
      <c r="F4855" s="916"/>
      <c r="G4855" s="916"/>
      <c r="H4855" s="63" t="str">
        <f>IFERROR(IF([1]F_ProductBM!H2149 = "", "", [1]F_ProductBM!H2149 ),"")</f>
        <v>tonnes</v>
      </c>
      <c r="I4855" s="281" t="str">
        <f>IFERROR(IF([1]F_ProductBM!I2149 = "", "", [1]F_ProductBM!I2149 ),"")</f>
        <v/>
      </c>
      <c r="J4855" s="282" t="str">
        <f>IFERROR(IF([1]F_ProductBM!J2149 = "", "", [1]F_ProductBM!J2149 ),"")</f>
        <v/>
      </c>
      <c r="K4855" s="283" t="str">
        <f>IFERROR(IF([1]F_ProductBM!K2149 = "", "", [1]F_ProductBM!K2149 ),"")</f>
        <v/>
      </c>
      <c r="L4855" s="283" t="str">
        <f>IFERROR(IF([1]F_ProductBM!L2149 = "", "", [1]F_ProductBM!L2149 ),"")</f>
        <v/>
      </c>
      <c r="M4855" s="283" t="str">
        <f>IFERROR(IF([1]F_ProductBM!M2149 = "", "", [1]F_ProductBM!M2149 ),"")</f>
        <v/>
      </c>
      <c r="N4855" s="284" t="str">
        <f>IFERROR(IF([1]F_ProductBM!N2149 = "", "", [1]F_ProductBM!N2149 ),"")</f>
        <v/>
      </c>
    </row>
    <row r="4856" spans="3:14">
      <c r="C4856" s="479"/>
      <c r="D4856" s="918"/>
      <c r="E4856" s="919" t="s">
        <v>1648</v>
      </c>
      <c r="F4856" s="919"/>
      <c r="G4856" s="919"/>
      <c r="H4856" s="920"/>
      <c r="I4856" s="919"/>
      <c r="J4856" s="285" t="str">
        <f>IFERROR(IF([1]F_ProductBM!J2150 = "", "", [1]F_ProductBM!J2150 ),"")</f>
        <v/>
      </c>
      <c r="K4856" s="286" t="str">
        <f>IFERROR(IF([1]F_ProductBM!K2150 = "", "", [1]F_ProductBM!K2150 ),"")</f>
        <v/>
      </c>
      <c r="L4856" s="286" t="str">
        <f>IFERROR(IF([1]F_ProductBM!L2150 = "", "", [1]F_ProductBM!L2150 ),"")</f>
        <v/>
      </c>
      <c r="M4856" s="286" t="str">
        <f>IFERROR(IF([1]F_ProductBM!M2150 = "", "", [1]F_ProductBM!M2150 ),"")</f>
        <v/>
      </c>
      <c r="N4856" s="287" t="str">
        <f>IFERROR(IF([1]F_ProductBM!N2150 = "", "", [1]F_ProductBM!N2150 ),"")</f>
        <v/>
      </c>
    </row>
    <row r="4857" spans="3:14">
      <c r="C4857" s="479"/>
      <c r="D4857" s="915" t="s">
        <v>7</v>
      </c>
      <c r="E4857" s="916" t="s">
        <v>1654</v>
      </c>
      <c r="F4857" s="916"/>
      <c r="G4857" s="916"/>
      <c r="H4857" s="921"/>
      <c r="I4857" s="916"/>
      <c r="J4857" s="288" t="str">
        <f>IFERROR(IF([1]F_ProductBM!J2151 = "", "", [1]F_ProductBM!J2151 ),"")</f>
        <v/>
      </c>
      <c r="K4857" s="289" t="str">
        <f>IFERROR(IF([1]F_ProductBM!K2151 = "", "", [1]F_ProductBM!K2151 ),"")</f>
        <v/>
      </c>
      <c r="L4857" s="289" t="str">
        <f>IFERROR(IF([1]F_ProductBM!L2151 = "", "", [1]F_ProductBM!L2151 ),"")</f>
        <v/>
      </c>
      <c r="M4857" s="289" t="str">
        <f>IFERROR(IF([1]F_ProductBM!M2151 = "", "", [1]F_ProductBM!M2151 ),"")</f>
        <v/>
      </c>
      <c r="N4857" s="290" t="str">
        <f>IFERROR(IF([1]F_ProductBM!N2151 = "", "", [1]F_ProductBM!N2151 ),"")</f>
        <v/>
      </c>
    </row>
    <row r="4858" spans="3:14">
      <c r="C4858" s="479"/>
      <c r="D4858" s="918"/>
      <c r="E4858" s="916" t="s">
        <v>1689</v>
      </c>
      <c r="F4858" s="916"/>
      <c r="G4858" s="916"/>
      <c r="H4858" s="63" t="str">
        <f>IFERROR(IF([1]F_ProductBM!H2152 = "", "", [1]F_ProductBM!H2152 ),"")</f>
        <v>tonnes</v>
      </c>
      <c r="I4858" s="281" t="str">
        <f>IFERROR(IF([1]F_ProductBM!I2152 = "", "", [1]F_ProductBM!I2152 ),"")</f>
        <v/>
      </c>
      <c r="J4858" s="282" t="str">
        <f>IFERROR(IF([1]F_ProductBM!J2152 = "", "", [1]F_ProductBM!J2152 ),"")</f>
        <v/>
      </c>
      <c r="K4858" s="283" t="str">
        <f>IFERROR(IF([1]F_ProductBM!K2152 = "", "", [1]F_ProductBM!K2152 ),"")</f>
        <v/>
      </c>
      <c r="L4858" s="283" t="str">
        <f>IFERROR(IF([1]F_ProductBM!L2152 = "", "", [1]F_ProductBM!L2152 ),"")</f>
        <v/>
      </c>
      <c r="M4858" s="283" t="str">
        <f>IFERROR(IF([1]F_ProductBM!M2152 = "", "", [1]F_ProductBM!M2152 ),"")</f>
        <v/>
      </c>
      <c r="N4858" s="284" t="str">
        <f>IFERROR(IF([1]F_ProductBM!N2152 = "", "", [1]F_ProductBM!N2152 ),"")</f>
        <v/>
      </c>
    </row>
    <row r="4859" spans="3:14">
      <c r="C4859" s="479"/>
      <c r="D4859" s="918"/>
      <c r="E4859" s="909"/>
      <c r="F4859" s="909"/>
      <c r="G4859" s="909"/>
      <c r="H4859" s="909"/>
      <c r="I4859" s="909"/>
      <c r="J4859" s="909"/>
      <c r="K4859" s="909"/>
      <c r="L4859" s="909"/>
      <c r="M4859" s="909"/>
      <c r="N4859" s="922"/>
    </row>
    <row r="4860" spans="3:14">
      <c r="C4860" s="479"/>
      <c r="D4860" s="918"/>
      <c r="E4860" s="923" t="s">
        <v>1653</v>
      </c>
      <c r="F4860" s="923"/>
      <c r="G4860" s="923"/>
      <c r="H4860" s="923"/>
      <c r="I4860" s="923"/>
      <c r="J4860" s="912">
        <v>2021</v>
      </c>
      <c r="K4860" s="913">
        <v>2022</v>
      </c>
      <c r="L4860" s="913">
        <v>2023</v>
      </c>
      <c r="M4860" s="913">
        <v>2024</v>
      </c>
      <c r="N4860" s="914">
        <v>2025</v>
      </c>
    </row>
    <row r="4861" spans="3:14">
      <c r="C4861" s="479"/>
      <c r="D4861" s="915" t="s">
        <v>8</v>
      </c>
      <c r="E4861" s="916" t="s">
        <v>2108</v>
      </c>
      <c r="F4861" s="916"/>
      <c r="G4861" s="916"/>
      <c r="H4861" s="916"/>
      <c r="I4861" s="916"/>
      <c r="J4861" s="69" t="str">
        <f>IFERROR(IF([1]F_ProductBM!J2155 = "", "", [1]F_ProductBM!J2155 ),"")</f>
        <v/>
      </c>
      <c r="K4861" s="62" t="str">
        <f>IFERROR(IF([1]F_ProductBM!K2155 = "", "", [1]F_ProductBM!K2155 ),"")</f>
        <v/>
      </c>
      <c r="L4861" s="62" t="str">
        <f>IFERROR(IF([1]F_ProductBM!L2155 = "", "", [1]F_ProductBM!L2155 ),"")</f>
        <v/>
      </c>
      <c r="M4861" s="62" t="str">
        <f>IFERROR(IF([1]F_ProductBM!M2155 = "", "", [1]F_ProductBM!M2155 ),"")</f>
        <v/>
      </c>
      <c r="N4861" s="70" t="str">
        <f>IFERROR(IF([1]F_ProductBM!N2155 = "", "", [1]F_ProductBM!N2155 ),"")</f>
        <v/>
      </c>
    </row>
    <row r="4862" spans="3:14" ht="13.5" thickBot="1">
      <c r="C4862" s="479"/>
      <c r="D4862" s="918"/>
      <c r="E4862" s="909"/>
      <c r="F4862" s="909"/>
      <c r="G4862" s="909"/>
      <c r="H4862" s="909"/>
      <c r="I4862" s="909"/>
      <c r="J4862" s="909"/>
      <c r="K4862" s="909"/>
      <c r="L4862" s="909"/>
      <c r="M4862" s="909"/>
      <c r="N4862" s="922"/>
    </row>
    <row r="4863" spans="3:14" ht="13.5" thickBot="1">
      <c r="C4863" s="479"/>
      <c r="D4863" s="915" t="s">
        <v>18</v>
      </c>
      <c r="E4863" s="916" t="s">
        <v>1657</v>
      </c>
      <c r="F4863" s="916"/>
      <c r="G4863" s="916"/>
      <c r="H4863" s="921"/>
      <c r="I4863" s="916"/>
      <c r="J4863" s="291" t="str">
        <f>IFERROR(IF([1]F_ProductBM!J2157 = "", "", [1]F_ProductBM!J2157 ),"")</f>
        <v/>
      </c>
      <c r="K4863" s="292" t="str">
        <f>IFERROR(IF([1]F_ProductBM!K2157 = "", "", [1]F_ProductBM!K2157 ),"")</f>
        <v/>
      </c>
      <c r="L4863" s="292" t="str">
        <f>IFERROR(IF([1]F_ProductBM!L2157 = "", "", [1]F_ProductBM!L2157 ),"")</f>
        <v/>
      </c>
      <c r="M4863" s="292" t="str">
        <f>IFERROR(IF([1]F_ProductBM!M2157 = "", "", [1]F_ProductBM!M2157 ),"")</f>
        <v/>
      </c>
      <c r="N4863" s="293" t="str">
        <f>IFERROR(IF([1]F_ProductBM!N2157 = "", "", [1]F_ProductBM!N2157 ),"")</f>
        <v/>
      </c>
    </row>
    <row r="4864" spans="3:14" ht="13.5" thickBot="1">
      <c r="C4864" s="479"/>
      <c r="D4864" s="915" t="s">
        <v>787</v>
      </c>
      <c r="E4864" s="916" t="s">
        <v>1659</v>
      </c>
      <c r="F4864" s="916"/>
      <c r="G4864" s="916"/>
      <c r="H4864" s="63" t="str">
        <f>IFERROR(IF([1]F_ProductBM!H2158 = "", "", [1]F_ProductBM!H2158 ),"")</f>
        <v>tonnes</v>
      </c>
      <c r="I4864" s="281" t="str">
        <f>IFERROR(IF([1]F_ProductBM!I2158 = "", "", [1]F_ProductBM!I2158 ),"")</f>
        <v/>
      </c>
      <c r="J4864" s="294" t="str">
        <f>IFERROR(IF([1]F_ProductBM!J2158 = "", "", [1]F_ProductBM!J2158 ),"")</f>
        <v/>
      </c>
      <c r="K4864" s="295" t="str">
        <f>IFERROR(IF([1]F_ProductBM!K2158 = "", "", [1]F_ProductBM!K2158 ),"")</f>
        <v/>
      </c>
      <c r="L4864" s="295" t="str">
        <f>IFERROR(IF([1]F_ProductBM!L2158 = "", "", [1]F_ProductBM!L2158 ),"")</f>
        <v/>
      </c>
      <c r="M4864" s="295" t="str">
        <f>IFERROR(IF([1]F_ProductBM!M2158 = "", "", [1]F_ProductBM!M2158 ),"")</f>
        <v/>
      </c>
      <c r="N4864" s="296" t="str">
        <f>IFERROR(IF([1]F_ProductBM!N2158 = "", "", [1]F_ProductBM!N2158 ),"")</f>
        <v/>
      </c>
    </row>
    <row r="4865" spans="3:14" ht="13.5" thickBot="1">
      <c r="C4865" s="479"/>
      <c r="D4865" s="924"/>
      <c r="E4865" s="925"/>
      <c r="F4865" s="925"/>
      <c r="G4865" s="925"/>
      <c r="H4865" s="925"/>
      <c r="I4865" s="925"/>
      <c r="J4865" s="925"/>
      <c r="K4865" s="925"/>
      <c r="L4865" s="925"/>
      <c r="M4865" s="925"/>
      <c r="N4865" s="926"/>
    </row>
    <row r="4866" spans="3:14">
      <c r="C4866" s="479"/>
      <c r="D4866" s="485"/>
      <c r="E4866" s="485"/>
      <c r="F4866" s="485"/>
      <c r="G4866" s="485"/>
      <c r="H4866" s="485"/>
      <c r="I4866" s="485"/>
      <c r="J4866" s="485"/>
      <c r="K4866" s="485"/>
      <c r="L4866" s="485"/>
      <c r="M4866" s="485"/>
      <c r="N4866" s="485"/>
    </row>
    <row r="4867" spans="3:14">
      <c r="C4867" s="479"/>
      <c r="D4867" s="2482" t="s">
        <v>1229</v>
      </c>
      <c r="E4867" s="2400"/>
      <c r="F4867" s="2400"/>
      <c r="G4867" s="2400"/>
      <c r="H4867" s="2400"/>
      <c r="I4867" s="2400"/>
      <c r="J4867" s="2400"/>
      <c r="K4867" s="2400"/>
      <c r="L4867" s="2400"/>
      <c r="M4867" s="2400"/>
      <c r="N4867" s="2400"/>
    </row>
    <row r="4868" spans="3:14">
      <c r="C4868" s="479"/>
      <c r="D4868" s="479"/>
      <c r="E4868" s="479"/>
      <c r="F4868" s="479"/>
      <c r="G4868" s="479"/>
      <c r="H4868" s="479"/>
      <c r="I4868" s="479"/>
      <c r="J4868" s="479"/>
      <c r="K4868" s="479"/>
      <c r="L4868" s="479"/>
      <c r="M4868" s="479"/>
      <c r="N4868" s="479"/>
    </row>
    <row r="4869" spans="3:14">
      <c r="C4869" s="485"/>
      <c r="D4869" s="482" t="s">
        <v>48</v>
      </c>
      <c r="E4869" s="2373" t="s">
        <v>800</v>
      </c>
      <c r="F4869" s="2400"/>
      <c r="G4869" s="2400"/>
      <c r="H4869" s="2400"/>
      <c r="I4869" s="2585"/>
      <c r="J4869" s="2652" t="s">
        <v>1857</v>
      </c>
      <c r="K4869" s="2653"/>
      <c r="L4869" s="2653"/>
      <c r="M4869" s="2653"/>
      <c r="N4869" s="2654"/>
    </row>
    <row r="4870" spans="3:14">
      <c r="C4870" s="479"/>
      <c r="D4870" s="485"/>
      <c r="E4870" s="2465" t="s">
        <v>1241</v>
      </c>
      <c r="F4870" s="2400"/>
      <c r="G4870" s="2400"/>
      <c r="H4870" s="2400"/>
      <c r="I4870" s="2400"/>
      <c r="J4870" s="2400"/>
      <c r="K4870" s="2400"/>
      <c r="L4870" s="2400"/>
      <c r="M4870" s="2400"/>
      <c r="N4870" s="2400"/>
    </row>
    <row r="4871" spans="3:14">
      <c r="C4871" s="479"/>
      <c r="D4871" s="485"/>
      <c r="E4871" s="2465" t="s">
        <v>1526</v>
      </c>
      <c r="F4871" s="2400"/>
      <c r="G4871" s="2400"/>
      <c r="H4871" s="2400"/>
      <c r="I4871" s="2400"/>
      <c r="J4871" s="2400"/>
      <c r="K4871" s="2400"/>
      <c r="L4871" s="2400"/>
      <c r="M4871" s="2400"/>
      <c r="N4871" s="2400"/>
    </row>
    <row r="4872" spans="3:14">
      <c r="C4872" s="479"/>
      <c r="D4872" s="485"/>
      <c r="E4872" s="2465" t="s">
        <v>1635</v>
      </c>
      <c r="F4872" s="2400"/>
      <c r="G4872" s="2400"/>
      <c r="H4872" s="2400"/>
      <c r="I4872" s="2400"/>
      <c r="J4872" s="2400"/>
      <c r="K4872" s="2400"/>
      <c r="L4872" s="2400"/>
      <c r="M4872" s="2400"/>
      <c r="N4872" s="2400"/>
    </row>
    <row r="4873" spans="3:14">
      <c r="C4873" s="485"/>
      <c r="D4873" s="482"/>
      <c r="E4873" s="927" t="s">
        <v>62</v>
      </c>
      <c r="F4873" s="518"/>
      <c r="G4873" s="663" t="s">
        <v>884</v>
      </c>
      <c r="H4873" s="578">
        <v>2019</v>
      </c>
      <c r="I4873" s="697">
        <v>2020</v>
      </c>
      <c r="J4873" s="696">
        <v>2021</v>
      </c>
      <c r="K4873" s="928">
        <v>2022</v>
      </c>
      <c r="L4873" s="578">
        <v>2023</v>
      </c>
      <c r="M4873" s="578">
        <v>2024</v>
      </c>
      <c r="N4873" s="578">
        <v>2025</v>
      </c>
    </row>
    <row r="4874" spans="3:14">
      <c r="C4874" s="485"/>
      <c r="D4874" s="561" t="s">
        <v>6</v>
      </c>
      <c r="E4874" s="863" t="s">
        <v>63</v>
      </c>
      <c r="F4874" s="863"/>
      <c r="G4874" s="579" t="s">
        <v>2015</v>
      </c>
      <c r="H4874" s="297" t="str">
        <f>IFERROR(IF([1]F_ProductBM!H2168 = "", "", [1]F_ProductBM!H2168 ),"")</f>
        <v/>
      </c>
      <c r="I4874" s="298" t="str">
        <f>IFERROR(IF([1]F_ProductBM!I2168 = "", "", [1]F_ProductBM!I2168 ),"")</f>
        <v/>
      </c>
      <c r="J4874" s="299" t="str">
        <f>IFERROR(IF([1]F_ProductBM!J2168 = "", "", [1]F_ProductBM!J2168 ),"")</f>
        <v/>
      </c>
      <c r="K4874" s="300" t="str">
        <f>IFERROR(IF([1]F_ProductBM!K2168 = "", "", [1]F_ProductBM!K2168 ),"")</f>
        <v/>
      </c>
      <c r="L4874" s="300" t="str">
        <f>IFERROR(IF([1]F_ProductBM!L2168 = "", "", [1]F_ProductBM!L2168 ),"")</f>
        <v/>
      </c>
      <c r="M4874" s="297" t="str">
        <f>IFERROR(IF([1]F_ProductBM!M2168 = "", "", [1]F_ProductBM!M2168 ),"")</f>
        <v/>
      </c>
      <c r="N4874" s="297" t="str">
        <f>IFERROR(IF([1]F_ProductBM!N2168 = "", "", [1]F_ProductBM!N2168 ),"")</f>
        <v/>
      </c>
    </row>
    <row r="4875" spans="3:14">
      <c r="C4875" s="485"/>
      <c r="D4875" s="561" t="s">
        <v>7</v>
      </c>
      <c r="E4875" s="865" t="s">
        <v>257</v>
      </c>
      <c r="F4875" s="865"/>
      <c r="G4875" s="582" t="s">
        <v>2017</v>
      </c>
      <c r="H4875" s="134" t="str">
        <f>IFERROR(IF([1]F_ProductBM!H2169 = "", "", [1]F_ProductBM!H2169 ),"")</f>
        <v/>
      </c>
      <c r="I4875" s="301" t="str">
        <f>IFERROR(IF([1]F_ProductBM!I2169 = "", "", [1]F_ProductBM!I2169 ),"")</f>
        <v/>
      </c>
      <c r="J4875" s="302" t="str">
        <f>IFERROR(IF([1]F_ProductBM!J2169 = "", "", [1]F_ProductBM!J2169 ),"")</f>
        <v/>
      </c>
      <c r="K4875" s="303" t="str">
        <f>IFERROR(IF([1]F_ProductBM!K2169 = "", "", [1]F_ProductBM!K2169 ),"")</f>
        <v/>
      </c>
      <c r="L4875" s="134" t="str">
        <f>IFERROR(IF([1]F_ProductBM!L2169 = "", "", [1]F_ProductBM!L2169 ),"")</f>
        <v/>
      </c>
      <c r="M4875" s="134" t="str">
        <f>IFERROR(IF([1]F_ProductBM!M2169 = "", "", [1]F_ProductBM!M2169 ),"")</f>
        <v/>
      </c>
      <c r="N4875" s="134" t="str">
        <f>IFERROR(IF([1]F_ProductBM!N2169 = "", "", [1]F_ProductBM!N2169 ),"")</f>
        <v/>
      </c>
    </row>
    <row r="4876" spans="3:14">
      <c r="C4876" s="485"/>
      <c r="D4876" s="561" t="s">
        <v>8</v>
      </c>
      <c r="E4876" s="932" t="s">
        <v>914</v>
      </c>
      <c r="F4876" s="932"/>
      <c r="G4876" s="933" t="s">
        <v>2021</v>
      </c>
      <c r="H4876" s="109" t="str">
        <f>IFERROR(IF([1]F_ProductBM!H2170 = "", "", [1]F_ProductBM!H2170 ),"")</f>
        <v/>
      </c>
      <c r="I4876" s="304" t="str">
        <f>IFERROR(IF([1]F_ProductBM!I2170 = "", "", [1]F_ProductBM!I2170 ),"")</f>
        <v/>
      </c>
      <c r="J4876" s="305" t="str">
        <f>IFERROR(IF([1]F_ProductBM!J2170 = "", "", [1]F_ProductBM!J2170 ),"")</f>
        <v/>
      </c>
      <c r="K4876" s="306" t="str">
        <f>IFERROR(IF([1]F_ProductBM!K2170 = "", "", [1]F_ProductBM!K2170 ),"")</f>
        <v/>
      </c>
      <c r="L4876" s="109" t="str">
        <f>IFERROR(IF([1]F_ProductBM!L2170 = "", "", [1]F_ProductBM!L2170 ),"")</f>
        <v/>
      </c>
      <c r="M4876" s="109" t="str">
        <f>IFERROR(IF([1]F_ProductBM!M2170 = "", "", [1]F_ProductBM!M2170 ),"")</f>
        <v/>
      </c>
      <c r="N4876" s="109" t="str">
        <f>IFERROR(IF([1]F_ProductBM!N2170 = "", "", [1]F_ProductBM!N2170 ),"")</f>
        <v/>
      </c>
    </row>
    <row r="4877" spans="3:14">
      <c r="C4877" s="485"/>
      <c r="D4877" s="561" t="s">
        <v>18</v>
      </c>
      <c r="E4877" s="863" t="s">
        <v>915</v>
      </c>
      <c r="F4877" s="863"/>
      <c r="G4877" s="579" t="s">
        <v>2015</v>
      </c>
      <c r="H4877" s="297" t="str">
        <f>IFERROR(IF([1]F_ProductBM!H2171 = "", "", [1]F_ProductBM!H2171 ),"")</f>
        <v/>
      </c>
      <c r="I4877" s="298" t="str">
        <f>IFERROR(IF([1]F_ProductBM!I2171 = "", "", [1]F_ProductBM!I2171 ),"")</f>
        <v/>
      </c>
      <c r="J4877" s="299" t="str">
        <f>IFERROR(IF([1]F_ProductBM!J2171 = "", "", [1]F_ProductBM!J2171 ),"")</f>
        <v/>
      </c>
      <c r="K4877" s="300" t="str">
        <f>IFERROR(IF([1]F_ProductBM!K2171 = "", "", [1]F_ProductBM!K2171 ),"")</f>
        <v/>
      </c>
      <c r="L4877" s="300" t="str">
        <f>IFERROR(IF([1]F_ProductBM!L2171 = "", "", [1]F_ProductBM!L2171 ),"")</f>
        <v/>
      </c>
      <c r="M4877" s="297" t="str">
        <f>IFERROR(IF([1]F_ProductBM!M2171 = "", "", [1]F_ProductBM!M2171 ),"")</f>
        <v/>
      </c>
      <c r="N4877" s="297" t="str">
        <f>IFERROR(IF([1]F_ProductBM!N2171 = "", "", [1]F_ProductBM!N2171 ),"")</f>
        <v/>
      </c>
    </row>
    <row r="4878" spans="3:14">
      <c r="C4878" s="485"/>
      <c r="D4878" s="561" t="s">
        <v>787</v>
      </c>
      <c r="E4878" s="867" t="s">
        <v>916</v>
      </c>
      <c r="F4878" s="867"/>
      <c r="G4878" s="584" t="s">
        <v>2015</v>
      </c>
      <c r="H4878" s="307" t="str">
        <f>IFERROR(IF([1]F_ProductBM!H2172 = "", "", [1]F_ProductBM!H2172 ),"")</f>
        <v/>
      </c>
      <c r="I4878" s="308" t="str">
        <f>IFERROR(IF([1]F_ProductBM!I2172 = "", "", [1]F_ProductBM!I2172 ),"")</f>
        <v/>
      </c>
      <c r="J4878" s="309" t="str">
        <f>IFERROR(IF([1]F_ProductBM!J2172 = "", "", [1]F_ProductBM!J2172 ),"")</f>
        <v/>
      </c>
      <c r="K4878" s="310" t="str">
        <f>IFERROR(IF([1]F_ProductBM!K2172 = "", "", [1]F_ProductBM!K2172 ),"")</f>
        <v/>
      </c>
      <c r="L4878" s="310" t="str">
        <f>IFERROR(IF([1]F_ProductBM!L2172 = "", "", [1]F_ProductBM!L2172 ),"")</f>
        <v/>
      </c>
      <c r="M4878" s="307" t="str">
        <f>IFERROR(IF([1]F_ProductBM!M2172 = "", "", [1]F_ProductBM!M2172 ),"")</f>
        <v/>
      </c>
      <c r="N4878" s="307" t="str">
        <f>IFERROR(IF([1]F_ProductBM!N2172 = "", "", [1]F_ProductBM!N2172 ),"")</f>
        <v/>
      </c>
    </row>
    <row r="4879" spans="3:14">
      <c r="C4879" s="479"/>
      <c r="D4879" s="479"/>
      <c r="E4879" s="479"/>
      <c r="F4879" s="479"/>
      <c r="G4879" s="479"/>
      <c r="H4879" s="479"/>
      <c r="I4879" s="479"/>
      <c r="J4879" s="937"/>
      <c r="K4879" s="479"/>
      <c r="L4879" s="479"/>
      <c r="M4879" s="485"/>
      <c r="N4879" s="485"/>
    </row>
    <row r="4880" spans="3:14">
      <c r="C4880" s="479"/>
      <c r="D4880" s="561" t="s">
        <v>788</v>
      </c>
      <c r="E4880" s="698" t="s">
        <v>1389</v>
      </c>
      <c r="F4880" s="938"/>
      <c r="G4880" s="939" t="s">
        <v>1021</v>
      </c>
      <c r="H4880" s="311" t="str">
        <f>IFERROR(IF([1]F_ProductBM!H2174 = "", "", [1]F_ProductBM!H2174 ),"")</f>
        <v/>
      </c>
      <c r="I4880" s="312" t="str">
        <f>IFERROR(IF([1]F_ProductBM!I2174 = "", "", [1]F_ProductBM!I2174 ),"")</f>
        <v/>
      </c>
      <c r="J4880" s="313" t="str">
        <f>IFERROR(IF([1]F_ProductBM!J2174 = "", "", [1]F_ProductBM!J2174 ),"")</f>
        <v/>
      </c>
      <c r="K4880" s="314" t="str">
        <f>IFERROR(IF([1]F_ProductBM!K2174 = "", "", [1]F_ProductBM!K2174 ),"")</f>
        <v/>
      </c>
      <c r="L4880" s="311" t="str">
        <f>IFERROR(IF([1]F_ProductBM!L2174 = "", "", [1]F_ProductBM!L2174 ),"")</f>
        <v/>
      </c>
      <c r="M4880" s="311" t="str">
        <f>IFERROR(IF([1]F_ProductBM!M2174 = "", "", [1]F_ProductBM!M2174 ),"")</f>
        <v/>
      </c>
      <c r="N4880" s="311" t="str">
        <f>IFERROR(IF([1]F_ProductBM!N2174 = "", "", [1]F_ProductBM!N2174 ),"")</f>
        <v/>
      </c>
    </row>
    <row r="4881" spans="3:14">
      <c r="C4881" s="479"/>
      <c r="D4881" s="479"/>
      <c r="E4881" s="479"/>
      <c r="F4881" s="479"/>
      <c r="G4881" s="479"/>
      <c r="H4881" s="479"/>
      <c r="I4881" s="479"/>
      <c r="J4881" s="479"/>
      <c r="K4881" s="479"/>
      <c r="L4881" s="479"/>
      <c r="M4881" s="485"/>
      <c r="N4881" s="485"/>
    </row>
    <row r="4882" spans="3:14" ht="24" customHeight="1" thickBot="1">
      <c r="C4882" s="479"/>
      <c r="D4882" s="485"/>
      <c r="E4882" s="2465" t="s">
        <v>2709</v>
      </c>
      <c r="F4882" s="2400"/>
      <c r="G4882" s="2400"/>
      <c r="H4882" s="2400"/>
      <c r="I4882" s="2400"/>
      <c r="J4882" s="2400"/>
      <c r="K4882" s="2400"/>
      <c r="L4882" s="2400"/>
      <c r="M4882" s="2400"/>
      <c r="N4882" s="2400"/>
    </row>
    <row r="4883" spans="3:14">
      <c r="C4883" s="479"/>
      <c r="D4883" s="902"/>
      <c r="E4883" s="942"/>
      <c r="F4883" s="942"/>
      <c r="G4883" s="942"/>
      <c r="H4883" s="942"/>
      <c r="I4883" s="942"/>
      <c r="J4883" s="942"/>
      <c r="K4883" s="942"/>
      <c r="L4883" s="942"/>
      <c r="M4883" s="942"/>
      <c r="N4883" s="943"/>
    </row>
    <row r="4884" spans="3:14">
      <c r="C4884" s="479"/>
      <c r="D4884" s="907" t="s">
        <v>1915</v>
      </c>
      <c r="E4884" s="908" t="s">
        <v>1775</v>
      </c>
      <c r="F4884" s="909"/>
      <c r="G4884" s="909"/>
      <c r="H4884" s="910" t="s">
        <v>884</v>
      </c>
      <c r="I4884" s="911" t="s">
        <v>2213</v>
      </c>
      <c r="J4884" s="912">
        <v>2021</v>
      </c>
      <c r="K4884" s="913">
        <v>2022</v>
      </c>
      <c r="L4884" s="913">
        <v>2023</v>
      </c>
      <c r="M4884" s="913">
        <v>2024</v>
      </c>
      <c r="N4884" s="914">
        <v>2025</v>
      </c>
    </row>
    <row r="4885" spans="3:14">
      <c r="C4885" s="479"/>
      <c r="D4885" s="915" t="s">
        <v>6</v>
      </c>
      <c r="E4885" s="916" t="s">
        <v>1691</v>
      </c>
      <c r="F4885" s="916"/>
      <c r="G4885" s="916"/>
      <c r="H4885" s="944" t="s">
        <v>1021</v>
      </c>
      <c r="I4885" s="315" t="str">
        <f>IFERROR(IF([1]F_ProductBM!I2179 = "", "", [1]F_ProductBM!I2179 ),"")</f>
        <v/>
      </c>
      <c r="J4885" s="316" t="str">
        <f>IFERROR(IF([1]F_ProductBM!J2179 = "", "", [1]F_ProductBM!J2179 ),"")</f>
        <v/>
      </c>
      <c r="K4885" s="317" t="str">
        <f>IFERROR(IF([1]F_ProductBM!K2179 = "", "", [1]F_ProductBM!K2179 ),"")</f>
        <v/>
      </c>
      <c r="L4885" s="317" t="str">
        <f>IFERROR(IF([1]F_ProductBM!L2179 = "", "", [1]F_ProductBM!L2179 ),"")</f>
        <v/>
      </c>
      <c r="M4885" s="317" t="str">
        <f>IFERROR(IF([1]F_ProductBM!M2179 = "", "", [1]F_ProductBM!M2179 ),"")</f>
        <v/>
      </c>
      <c r="N4885" s="318" t="str">
        <f>IFERROR(IF([1]F_ProductBM!N2179 = "", "", [1]F_ProductBM!N2179 ),"")</f>
        <v/>
      </c>
    </row>
    <row r="4886" spans="3:14">
      <c r="C4886" s="479"/>
      <c r="D4886" s="915"/>
      <c r="E4886" s="916" t="s">
        <v>1776</v>
      </c>
      <c r="F4886" s="916"/>
      <c r="G4886" s="916"/>
      <c r="H4886" s="921"/>
      <c r="I4886" s="916"/>
      <c r="J4886" s="319" t="str">
        <f>IFERROR(IF([1]F_ProductBM!J2180 = "", "", [1]F_ProductBM!J2180 ),"")</f>
        <v/>
      </c>
      <c r="K4886" s="320" t="str">
        <f>IFERROR(IF([1]F_ProductBM!K2180 = "", "", [1]F_ProductBM!K2180 ),"")</f>
        <v/>
      </c>
      <c r="L4886" s="320" t="str">
        <f>IFERROR(IF([1]F_ProductBM!L2180 = "", "", [1]F_ProductBM!L2180 ),"")</f>
        <v/>
      </c>
      <c r="M4886" s="320" t="str">
        <f>IFERROR(IF([1]F_ProductBM!M2180 = "", "", [1]F_ProductBM!M2180 ),"")</f>
        <v/>
      </c>
      <c r="N4886" s="321" t="str">
        <f>IFERROR(IF([1]F_ProductBM!N2180 = "", "", [1]F_ProductBM!N2180 ),"")</f>
        <v/>
      </c>
    </row>
    <row r="4887" spans="3:14">
      <c r="C4887" s="479"/>
      <c r="D4887" s="915" t="s">
        <v>7</v>
      </c>
      <c r="E4887" s="916" t="s">
        <v>1654</v>
      </c>
      <c r="F4887" s="916"/>
      <c r="G4887" s="916"/>
      <c r="H4887" s="921"/>
      <c r="I4887" s="916"/>
      <c r="J4887" s="288" t="str">
        <f>IFERROR(IF([1]F_ProductBM!J2181 = "", "", [1]F_ProductBM!J2181 ),"")</f>
        <v/>
      </c>
      <c r="K4887" s="289" t="str">
        <f>IFERROR(IF([1]F_ProductBM!K2181 = "", "", [1]F_ProductBM!K2181 ),"")</f>
        <v/>
      </c>
      <c r="L4887" s="289" t="str">
        <f>IFERROR(IF([1]F_ProductBM!L2181 = "", "", [1]F_ProductBM!L2181 ),"")</f>
        <v/>
      </c>
      <c r="M4887" s="289" t="str">
        <f>IFERROR(IF([1]F_ProductBM!M2181 = "", "", [1]F_ProductBM!M2181 ),"")</f>
        <v/>
      </c>
      <c r="N4887" s="290" t="str">
        <f>IFERROR(IF([1]F_ProductBM!N2181 = "", "", [1]F_ProductBM!N2181 ),"")</f>
        <v/>
      </c>
    </row>
    <row r="4888" spans="3:14">
      <c r="C4888" s="479"/>
      <c r="D4888" s="915"/>
      <c r="E4888" s="916" t="s">
        <v>1689</v>
      </c>
      <c r="F4888" s="916"/>
      <c r="G4888" s="916"/>
      <c r="H4888" s="944" t="s">
        <v>1021</v>
      </c>
      <c r="I4888" s="315" t="str">
        <f>IFERROR(IF([1]F_ProductBM!I2182 = "", "", [1]F_ProductBM!I2182 ),"")</f>
        <v/>
      </c>
      <c r="J4888" s="322" t="str">
        <f>IFERROR(IF([1]F_ProductBM!J2182 = "", "", [1]F_ProductBM!J2182 ),"")</f>
        <v/>
      </c>
      <c r="K4888" s="323" t="str">
        <f>IFERROR(IF([1]F_ProductBM!K2182 = "", "", [1]F_ProductBM!K2182 ),"")</f>
        <v/>
      </c>
      <c r="L4888" s="323" t="str">
        <f>IFERROR(IF([1]F_ProductBM!L2182 = "", "", [1]F_ProductBM!L2182 ),"")</f>
        <v/>
      </c>
      <c r="M4888" s="323" t="str">
        <f>IFERROR(IF([1]F_ProductBM!M2182 = "", "", [1]F_ProductBM!M2182 ),"")</f>
        <v/>
      </c>
      <c r="N4888" s="324" t="str">
        <f>IFERROR(IF([1]F_ProductBM!N2182 = "", "", [1]F_ProductBM!N2182 ),"")</f>
        <v/>
      </c>
    </row>
    <row r="4889" spans="3:14">
      <c r="C4889" s="479"/>
      <c r="D4889" s="915"/>
      <c r="E4889" s="909"/>
      <c r="F4889" s="909"/>
      <c r="G4889" s="909"/>
      <c r="H4889" s="909"/>
      <c r="I4889" s="909"/>
      <c r="J4889" s="909"/>
      <c r="K4889" s="909"/>
      <c r="L4889" s="909"/>
      <c r="M4889" s="909"/>
      <c r="N4889" s="922"/>
    </row>
    <row r="4890" spans="3:14">
      <c r="C4890" s="479"/>
      <c r="D4890" s="915"/>
      <c r="E4890" s="923" t="s">
        <v>1653</v>
      </c>
      <c r="F4890" s="923"/>
      <c r="G4890" s="923"/>
      <c r="H4890" s="923"/>
      <c r="I4890" s="923"/>
      <c r="J4890" s="912">
        <v>2021</v>
      </c>
      <c r="K4890" s="913">
        <v>2022</v>
      </c>
      <c r="L4890" s="913">
        <v>2023</v>
      </c>
      <c r="M4890" s="913">
        <v>2024</v>
      </c>
      <c r="N4890" s="914">
        <v>2025</v>
      </c>
    </row>
    <row r="4891" spans="3:14">
      <c r="C4891" s="479"/>
      <c r="D4891" s="915" t="s">
        <v>8</v>
      </c>
      <c r="E4891" s="916" t="s">
        <v>2108</v>
      </c>
      <c r="F4891" s="916"/>
      <c r="G4891" s="916"/>
      <c r="H4891" s="916"/>
      <c r="I4891" s="916"/>
      <c r="J4891" s="69" t="str">
        <f>IFERROR(IF([1]F_ProductBM!J2185 = "", "", [1]F_ProductBM!J2185 ),"")</f>
        <v/>
      </c>
      <c r="K4891" s="62" t="str">
        <f>IFERROR(IF([1]F_ProductBM!K2185 = "", "", [1]F_ProductBM!K2185 ),"")</f>
        <v/>
      </c>
      <c r="L4891" s="62" t="str">
        <f>IFERROR(IF([1]F_ProductBM!L2185 = "", "", [1]F_ProductBM!L2185 ),"")</f>
        <v/>
      </c>
      <c r="M4891" s="62" t="str">
        <f>IFERROR(IF([1]F_ProductBM!M2185 = "", "", [1]F_ProductBM!M2185 ),"")</f>
        <v/>
      </c>
      <c r="N4891" s="70" t="str">
        <f>IFERROR(IF([1]F_ProductBM!N2185 = "", "", [1]F_ProductBM!N2185 ),"")</f>
        <v/>
      </c>
    </row>
    <row r="4892" spans="3:14" ht="13.5" thickBot="1">
      <c r="C4892" s="479"/>
      <c r="D4892" s="915"/>
      <c r="E4892" s="909"/>
      <c r="F4892" s="909"/>
      <c r="G4892" s="909"/>
      <c r="H4892" s="909"/>
      <c r="I4892" s="909"/>
      <c r="J4892" s="909"/>
      <c r="K4892" s="909"/>
      <c r="L4892" s="909"/>
      <c r="M4892" s="909"/>
      <c r="N4892" s="922"/>
    </row>
    <row r="4893" spans="3:14" ht="13.5" thickBot="1">
      <c r="C4893" s="479"/>
      <c r="D4893" s="915" t="s">
        <v>18</v>
      </c>
      <c r="E4893" s="916" t="s">
        <v>1657</v>
      </c>
      <c r="F4893" s="916"/>
      <c r="G4893" s="916"/>
      <c r="H4893" s="921"/>
      <c r="I4893" s="916"/>
      <c r="J4893" s="291" t="str">
        <f>IFERROR(IF([1]F_ProductBM!J2187 = "", "", [1]F_ProductBM!J2187 ),"")</f>
        <v/>
      </c>
      <c r="K4893" s="292" t="str">
        <f>IFERROR(IF([1]F_ProductBM!K2187 = "", "", [1]F_ProductBM!K2187 ),"")</f>
        <v/>
      </c>
      <c r="L4893" s="292" t="str">
        <f>IFERROR(IF([1]F_ProductBM!L2187 = "", "", [1]F_ProductBM!L2187 ),"")</f>
        <v/>
      </c>
      <c r="M4893" s="292" t="str">
        <f>IFERROR(IF([1]F_ProductBM!M2187 = "", "", [1]F_ProductBM!M2187 ),"")</f>
        <v/>
      </c>
      <c r="N4893" s="293" t="str">
        <f>IFERROR(IF([1]F_ProductBM!N2187 = "", "", [1]F_ProductBM!N2187 ),"")</f>
        <v/>
      </c>
    </row>
    <row r="4894" spans="3:14" ht="13.5" thickBot="1">
      <c r="C4894" s="479"/>
      <c r="D4894" s="915" t="s">
        <v>787</v>
      </c>
      <c r="E4894" s="916" t="s">
        <v>1659</v>
      </c>
      <c r="F4894" s="916"/>
      <c r="G4894" s="916"/>
      <c r="H4894" s="944" t="s">
        <v>1021</v>
      </c>
      <c r="I4894" s="315" t="str">
        <f>IFERROR(IF([1]F_ProductBM!I2188 = "", "", [1]F_ProductBM!I2188 ),"")</f>
        <v/>
      </c>
      <c r="J4894" s="325" t="str">
        <f>IFERROR(IF([1]F_ProductBM!J2188 = "", "", [1]F_ProductBM!J2188 ),"")</f>
        <v/>
      </c>
      <c r="K4894" s="326" t="str">
        <f>IFERROR(IF([1]F_ProductBM!K2188 = "", "", [1]F_ProductBM!K2188 ),"")</f>
        <v/>
      </c>
      <c r="L4894" s="326" t="str">
        <f>IFERROR(IF([1]F_ProductBM!L2188 = "", "", [1]F_ProductBM!L2188 ),"")</f>
        <v/>
      </c>
      <c r="M4894" s="326" t="str">
        <f>IFERROR(IF([1]F_ProductBM!M2188 = "", "", [1]F_ProductBM!M2188 ),"")</f>
        <v/>
      </c>
      <c r="N4894" s="327" t="str">
        <f>IFERROR(IF([1]F_ProductBM!N2188 = "", "", [1]F_ProductBM!N2188 ),"")</f>
        <v/>
      </c>
    </row>
    <row r="4895" spans="3:14" ht="13.5" thickBot="1">
      <c r="C4895" s="479"/>
      <c r="D4895" s="946"/>
      <c r="E4895" s="947"/>
      <c r="F4895" s="947"/>
      <c r="G4895" s="947"/>
      <c r="H4895" s="947"/>
      <c r="I4895" s="947"/>
      <c r="J4895" s="947"/>
      <c r="K4895" s="947"/>
      <c r="L4895" s="947"/>
      <c r="M4895" s="925"/>
      <c r="N4895" s="926"/>
    </row>
    <row r="4896" spans="3:14">
      <c r="C4896" s="479"/>
      <c r="D4896" s="479"/>
      <c r="E4896" s="479"/>
      <c r="F4896" s="479"/>
      <c r="G4896" s="479"/>
      <c r="H4896" s="479"/>
      <c r="I4896" s="479"/>
      <c r="J4896" s="479"/>
      <c r="K4896" s="479"/>
      <c r="L4896" s="479"/>
      <c r="M4896" s="485"/>
      <c r="N4896" s="485"/>
    </row>
    <row r="4897" spans="3:14">
      <c r="C4897" s="479"/>
      <c r="D4897" s="482" t="s">
        <v>881</v>
      </c>
      <c r="E4897" s="2373" t="s">
        <v>941</v>
      </c>
      <c r="F4897" s="2373"/>
      <c r="G4897" s="2373"/>
      <c r="H4897" s="2373"/>
      <c r="I4897" s="2604"/>
      <c r="J4897" s="2652" t="s">
        <v>1857</v>
      </c>
      <c r="K4897" s="2653"/>
      <c r="L4897" s="2653"/>
      <c r="M4897" s="2653"/>
      <c r="N4897" s="2654"/>
    </row>
    <row r="4898" spans="3:14">
      <c r="C4898" s="479"/>
      <c r="D4898" s="485"/>
      <c r="E4898" s="2465" t="s">
        <v>1368</v>
      </c>
      <c r="F4898" s="2400"/>
      <c r="G4898" s="2400"/>
      <c r="H4898" s="2400"/>
      <c r="I4898" s="2400"/>
      <c r="J4898" s="2400"/>
      <c r="K4898" s="2400"/>
      <c r="L4898" s="2400"/>
      <c r="M4898" s="2400"/>
      <c r="N4898" s="2400"/>
    </row>
    <row r="4899" spans="3:14">
      <c r="C4899" s="479"/>
      <c r="D4899" s="485"/>
      <c r="E4899" s="2465" t="s">
        <v>1474</v>
      </c>
      <c r="F4899" s="2400"/>
      <c r="G4899" s="2400"/>
      <c r="H4899" s="2400"/>
      <c r="I4899" s="2400"/>
      <c r="J4899" s="2400"/>
      <c r="K4899" s="2400"/>
      <c r="L4899" s="2400"/>
      <c r="M4899" s="2400"/>
      <c r="N4899" s="2400"/>
    </row>
    <row r="4900" spans="3:14">
      <c r="C4900" s="479"/>
      <c r="D4900" s="485"/>
      <c r="E4900" s="2465" t="s">
        <v>1300</v>
      </c>
      <c r="F4900" s="2400"/>
      <c r="G4900" s="2400"/>
      <c r="H4900" s="2400"/>
      <c r="I4900" s="2400"/>
      <c r="J4900" s="2400"/>
      <c r="K4900" s="2400"/>
      <c r="L4900" s="2400"/>
      <c r="M4900" s="2400"/>
      <c r="N4900" s="2400"/>
    </row>
    <row r="4901" spans="3:14">
      <c r="C4901" s="479"/>
      <c r="D4901" s="485"/>
      <c r="E4901" s="2465" t="s">
        <v>1608</v>
      </c>
      <c r="F4901" s="2400"/>
      <c r="G4901" s="2400"/>
      <c r="H4901" s="2400"/>
      <c r="I4901" s="2400"/>
      <c r="J4901" s="2400"/>
      <c r="K4901" s="2400"/>
      <c r="L4901" s="2400"/>
      <c r="M4901" s="2400"/>
      <c r="N4901" s="2400"/>
    </row>
    <row r="4902" spans="3:14">
      <c r="C4902" s="485"/>
      <c r="D4902" s="482"/>
      <c r="E4902" s="927" t="s">
        <v>62</v>
      </c>
      <c r="F4902" s="518"/>
      <c r="G4902" s="663" t="s">
        <v>884</v>
      </c>
      <c r="H4902" s="578">
        <v>2019</v>
      </c>
      <c r="I4902" s="697">
        <v>2020</v>
      </c>
      <c r="J4902" s="696">
        <v>2021</v>
      </c>
      <c r="K4902" s="578">
        <v>2022</v>
      </c>
      <c r="L4902" s="578">
        <v>2023</v>
      </c>
      <c r="M4902" s="578">
        <v>2024</v>
      </c>
      <c r="N4902" s="578">
        <v>2025</v>
      </c>
    </row>
    <row r="4903" spans="3:14" ht="25.5">
      <c r="C4903" s="485"/>
      <c r="D4903" s="561" t="s">
        <v>6</v>
      </c>
      <c r="E4903" s="948" t="s">
        <v>650</v>
      </c>
      <c r="F4903" s="948"/>
      <c r="G4903" s="730" t="s">
        <v>2017</v>
      </c>
      <c r="H4903" s="93" t="str">
        <f>IFERROR(IF([1]F_ProductBM!H2197 = "", "", [1]F_ProductBM!H2197 ),"")</f>
        <v/>
      </c>
      <c r="I4903" s="116" t="str">
        <f>IFERROR(IF([1]F_ProductBM!I2197 = "", "", [1]F_ProductBM!I2197 ),"")</f>
        <v/>
      </c>
      <c r="J4903" s="117" t="str">
        <f>IFERROR(IF([1]F_ProductBM!J2197 = "", "", [1]F_ProductBM!J2197 ),"")</f>
        <v/>
      </c>
      <c r="K4903" s="93" t="str">
        <f>IFERROR(IF([1]F_ProductBM!K2197 = "", "", [1]F_ProductBM!K2197 ),"")</f>
        <v/>
      </c>
      <c r="L4903" s="93" t="str">
        <f>IFERROR(IF([1]F_ProductBM!L2197 = "", "", [1]F_ProductBM!L2197 ),"")</f>
        <v/>
      </c>
      <c r="M4903" s="93" t="str">
        <f>IFERROR(IF([1]F_ProductBM!M2197 = "", "", [1]F_ProductBM!M2197 ),"")</f>
        <v/>
      </c>
      <c r="N4903" s="93" t="str">
        <f>IFERROR(IF([1]F_ProductBM!N2197 = "", "", [1]F_ProductBM!N2197 ),"")</f>
        <v/>
      </c>
    </row>
    <row r="4904" spans="3:14" ht="25.5">
      <c r="C4904" s="485"/>
      <c r="D4904" s="561" t="s">
        <v>7</v>
      </c>
      <c r="E4904" s="863" t="s">
        <v>107</v>
      </c>
      <c r="F4904" s="863"/>
      <c r="G4904" s="950" t="s">
        <v>1022</v>
      </c>
      <c r="H4904" s="328" t="str">
        <f>IFERROR(IF([1]F_ProductBM!H2198 = "", "", [1]F_ProductBM!H2198 ),"")</f>
        <v/>
      </c>
      <c r="I4904" s="329" t="str">
        <f>IFERROR(IF([1]F_ProductBM!I2198 = "", "", [1]F_ProductBM!I2198 ),"")</f>
        <v/>
      </c>
      <c r="J4904" s="330" t="str">
        <f>IFERROR(IF([1]F_ProductBM!J2198 = "", "", [1]F_ProductBM!J2198 ),"")</f>
        <v/>
      </c>
      <c r="K4904" s="328" t="str">
        <f>IFERROR(IF([1]F_ProductBM!K2198 = "", "", [1]F_ProductBM!K2198 ),"")</f>
        <v/>
      </c>
      <c r="L4904" s="328" t="str">
        <f>IFERROR(IF([1]F_ProductBM!L2198 = "", "", [1]F_ProductBM!L2198 ),"")</f>
        <v/>
      </c>
      <c r="M4904" s="328" t="str">
        <f>IFERROR(IF([1]F_ProductBM!M2198 = "", "", [1]F_ProductBM!M2198 ),"")</f>
        <v/>
      </c>
      <c r="N4904" s="328" t="str">
        <f>IFERROR(IF([1]F_ProductBM!N2198 = "", "", [1]F_ProductBM!N2198 ),"")</f>
        <v/>
      </c>
    </row>
    <row r="4905" spans="3:14" ht="25.5">
      <c r="C4905" s="485"/>
      <c r="D4905" s="561" t="s">
        <v>8</v>
      </c>
      <c r="E4905" s="571" t="s">
        <v>1548</v>
      </c>
      <c r="F4905" s="571"/>
      <c r="G4905" s="951" t="s">
        <v>1022</v>
      </c>
      <c r="H4905" s="331" t="str">
        <f>IFERROR(IF([1]F_ProductBM!H2199 = "", "", [1]F_ProductBM!H2199 ),"")</f>
        <v/>
      </c>
      <c r="I4905" s="332" t="str">
        <f>IFERROR(IF([1]F_ProductBM!I2199 = "", "", [1]F_ProductBM!I2199 ),"")</f>
        <v/>
      </c>
      <c r="J4905" s="333" t="str">
        <f>IFERROR(IF([1]F_ProductBM!J2199 = "", "", [1]F_ProductBM!J2199 ),"")</f>
        <v/>
      </c>
      <c r="K4905" s="331" t="str">
        <f>IFERROR(IF([1]F_ProductBM!K2199 = "", "", [1]F_ProductBM!K2199 ),"")</f>
        <v/>
      </c>
      <c r="L4905" s="331" t="str">
        <f>IFERROR(IF([1]F_ProductBM!L2199 = "", "", [1]F_ProductBM!L2199 ),"")</f>
        <v/>
      </c>
      <c r="M4905" s="331" t="str">
        <f>IFERROR(IF([1]F_ProductBM!M2199 = "", "", [1]F_ProductBM!M2199 ),"")</f>
        <v/>
      </c>
      <c r="N4905" s="331" t="str">
        <f>IFERROR(IF([1]F_ProductBM!N2199 = "", "", [1]F_ProductBM!N2199 ),"")</f>
        <v/>
      </c>
    </row>
    <row r="4906" spans="3:14">
      <c r="C4906" s="485"/>
      <c r="D4906" s="485"/>
      <c r="E4906" s="485"/>
      <c r="F4906" s="485"/>
      <c r="G4906" s="485"/>
      <c r="H4906" s="485"/>
      <c r="I4906" s="952"/>
      <c r="J4906" s="485"/>
      <c r="K4906" s="485"/>
      <c r="L4906" s="485"/>
      <c r="M4906" s="485"/>
      <c r="N4906" s="485"/>
    </row>
    <row r="4907" spans="3:14" ht="24" customHeight="1" thickBot="1">
      <c r="C4907" s="479"/>
      <c r="D4907" s="485"/>
      <c r="E4907" s="2465" t="s">
        <v>2709</v>
      </c>
      <c r="F4907" s="2400"/>
      <c r="G4907" s="2400"/>
      <c r="H4907" s="2400"/>
      <c r="I4907" s="2400"/>
      <c r="J4907" s="2400"/>
      <c r="K4907" s="2400"/>
      <c r="L4907" s="2400"/>
      <c r="M4907" s="2400"/>
      <c r="N4907" s="2400"/>
    </row>
    <row r="4908" spans="3:14">
      <c r="C4908" s="479"/>
      <c r="D4908" s="902"/>
      <c r="E4908" s="904"/>
      <c r="F4908" s="953"/>
      <c r="G4908" s="953"/>
      <c r="H4908" s="953"/>
      <c r="I4908" s="953"/>
      <c r="J4908" s="953"/>
      <c r="K4908" s="953"/>
      <c r="L4908" s="953"/>
      <c r="M4908" s="953"/>
      <c r="N4908" s="954"/>
    </row>
    <row r="4909" spans="3:14">
      <c r="C4909" s="479"/>
      <c r="D4909" s="907" t="s">
        <v>1916</v>
      </c>
      <c r="E4909" s="908" t="s">
        <v>1774</v>
      </c>
      <c r="F4909" s="909"/>
      <c r="G4909" s="909"/>
      <c r="H4909" s="910" t="s">
        <v>884</v>
      </c>
      <c r="I4909" s="911" t="s">
        <v>2213</v>
      </c>
      <c r="J4909" s="912">
        <v>2021</v>
      </c>
      <c r="K4909" s="913">
        <v>2022</v>
      </c>
      <c r="L4909" s="913">
        <v>2023</v>
      </c>
      <c r="M4909" s="913">
        <v>2024</v>
      </c>
      <c r="N4909" s="914">
        <v>2025</v>
      </c>
    </row>
    <row r="4910" spans="3:14">
      <c r="C4910" s="479"/>
      <c r="D4910" s="915" t="s">
        <v>6</v>
      </c>
      <c r="E4910" s="916" t="s">
        <v>1691</v>
      </c>
      <c r="F4910" s="916"/>
      <c r="G4910" s="916"/>
      <c r="H4910" s="944" t="s">
        <v>471</v>
      </c>
      <c r="I4910" s="281" t="str">
        <f>IFERROR(IF([1]F_ProductBM!I2204 = "", "", [1]F_ProductBM!I2204 ),"")</f>
        <v/>
      </c>
      <c r="J4910" s="334" t="str">
        <f>IFERROR(IF([1]F_ProductBM!J2204 = "", "", [1]F_ProductBM!J2204 ),"")</f>
        <v/>
      </c>
      <c r="K4910" s="335" t="str">
        <f>IFERROR(IF([1]F_ProductBM!K2204 = "", "", [1]F_ProductBM!K2204 ),"")</f>
        <v/>
      </c>
      <c r="L4910" s="335" t="str">
        <f>IFERROR(IF([1]F_ProductBM!L2204 = "", "", [1]F_ProductBM!L2204 ),"")</f>
        <v/>
      </c>
      <c r="M4910" s="335" t="str">
        <f>IFERROR(IF([1]F_ProductBM!M2204 = "", "", [1]F_ProductBM!M2204 ),"")</f>
        <v/>
      </c>
      <c r="N4910" s="336" t="str">
        <f>IFERROR(IF([1]F_ProductBM!N2204 = "", "", [1]F_ProductBM!N2204 ),"")</f>
        <v/>
      </c>
    </row>
    <row r="4911" spans="3:14">
      <c r="C4911" s="479"/>
      <c r="D4911" s="915"/>
      <c r="E4911" s="916" t="s">
        <v>1776</v>
      </c>
      <c r="F4911" s="916"/>
      <c r="G4911" s="916"/>
      <c r="H4911" s="921"/>
      <c r="I4911" s="916"/>
      <c r="J4911" s="319" t="str">
        <f>IFERROR(IF([1]F_ProductBM!J2205 = "", "", [1]F_ProductBM!J2205 ),"")</f>
        <v/>
      </c>
      <c r="K4911" s="320" t="str">
        <f>IFERROR(IF([1]F_ProductBM!K2205 = "", "", [1]F_ProductBM!K2205 ),"")</f>
        <v/>
      </c>
      <c r="L4911" s="320" t="str">
        <f>IFERROR(IF([1]F_ProductBM!L2205 = "", "", [1]F_ProductBM!L2205 ),"")</f>
        <v/>
      </c>
      <c r="M4911" s="320" t="str">
        <f>IFERROR(IF([1]F_ProductBM!M2205 = "", "", [1]F_ProductBM!M2205 ),"")</f>
        <v/>
      </c>
      <c r="N4911" s="321" t="str">
        <f>IFERROR(IF([1]F_ProductBM!N2205 = "", "", [1]F_ProductBM!N2205 ),"")</f>
        <v/>
      </c>
    </row>
    <row r="4912" spans="3:14">
      <c r="C4912" s="479"/>
      <c r="D4912" s="915" t="s">
        <v>7</v>
      </c>
      <c r="E4912" s="916" t="s">
        <v>1654</v>
      </c>
      <c r="F4912" s="916"/>
      <c r="G4912" s="916"/>
      <c r="H4912" s="921"/>
      <c r="I4912" s="916"/>
      <c r="J4912" s="288" t="str">
        <f>IFERROR(IF([1]F_ProductBM!J2206 = "", "", [1]F_ProductBM!J2206 ),"")</f>
        <v/>
      </c>
      <c r="K4912" s="289" t="str">
        <f>IFERROR(IF([1]F_ProductBM!K2206 = "", "", [1]F_ProductBM!K2206 ),"")</f>
        <v/>
      </c>
      <c r="L4912" s="289" t="str">
        <f>IFERROR(IF([1]F_ProductBM!L2206 = "", "", [1]F_ProductBM!L2206 ),"")</f>
        <v/>
      </c>
      <c r="M4912" s="289" t="str">
        <f>IFERROR(IF([1]F_ProductBM!M2206 = "", "", [1]F_ProductBM!M2206 ),"")</f>
        <v/>
      </c>
      <c r="N4912" s="290" t="str">
        <f>IFERROR(IF([1]F_ProductBM!N2206 = "", "", [1]F_ProductBM!N2206 ),"")</f>
        <v/>
      </c>
    </row>
    <row r="4913" spans="3:14">
      <c r="C4913" s="479"/>
      <c r="D4913" s="915"/>
      <c r="E4913" s="916" t="s">
        <v>1689</v>
      </c>
      <c r="F4913" s="916"/>
      <c r="G4913" s="916"/>
      <c r="H4913" s="944" t="s">
        <v>471</v>
      </c>
      <c r="I4913" s="281" t="str">
        <f>IFERROR(IF([1]F_ProductBM!I2207 = "", "", [1]F_ProductBM!I2207 ),"")</f>
        <v/>
      </c>
      <c r="J4913" s="282" t="str">
        <f>IFERROR(IF([1]F_ProductBM!J2207 = "", "", [1]F_ProductBM!J2207 ),"")</f>
        <v/>
      </c>
      <c r="K4913" s="283" t="str">
        <f>IFERROR(IF([1]F_ProductBM!K2207 = "", "", [1]F_ProductBM!K2207 ),"")</f>
        <v/>
      </c>
      <c r="L4913" s="283" t="str">
        <f>IFERROR(IF([1]F_ProductBM!L2207 = "", "", [1]F_ProductBM!L2207 ),"")</f>
        <v/>
      </c>
      <c r="M4913" s="283" t="str">
        <f>IFERROR(IF([1]F_ProductBM!M2207 = "", "", [1]F_ProductBM!M2207 ),"")</f>
        <v/>
      </c>
      <c r="N4913" s="284" t="str">
        <f>IFERROR(IF([1]F_ProductBM!N2207 = "", "", [1]F_ProductBM!N2207 ),"")</f>
        <v/>
      </c>
    </row>
    <row r="4914" spans="3:14">
      <c r="C4914" s="479"/>
      <c r="D4914" s="915"/>
      <c r="E4914" s="909"/>
      <c r="F4914" s="909"/>
      <c r="G4914" s="909"/>
      <c r="H4914" s="909"/>
      <c r="I4914" s="909"/>
      <c r="J4914" s="909"/>
      <c r="K4914" s="909"/>
      <c r="L4914" s="909"/>
      <c r="M4914" s="909"/>
      <c r="N4914" s="922"/>
    </row>
    <row r="4915" spans="3:14">
      <c r="C4915" s="479"/>
      <c r="D4915" s="915"/>
      <c r="E4915" s="923" t="s">
        <v>1653</v>
      </c>
      <c r="F4915" s="923"/>
      <c r="G4915" s="923"/>
      <c r="H4915" s="923"/>
      <c r="I4915" s="923"/>
      <c r="J4915" s="912">
        <v>2021</v>
      </c>
      <c r="K4915" s="913">
        <v>2022</v>
      </c>
      <c r="L4915" s="913">
        <v>2023</v>
      </c>
      <c r="M4915" s="913">
        <v>2024</v>
      </c>
      <c r="N4915" s="914">
        <v>2025</v>
      </c>
    </row>
    <row r="4916" spans="3:14">
      <c r="C4916" s="479"/>
      <c r="D4916" s="915" t="s">
        <v>8</v>
      </c>
      <c r="E4916" s="916" t="s">
        <v>2108</v>
      </c>
      <c r="F4916" s="916"/>
      <c r="G4916" s="916"/>
      <c r="H4916" s="916"/>
      <c r="I4916" s="916"/>
      <c r="J4916" s="69" t="str">
        <f>IFERROR(IF([1]F_ProductBM!J2210 = "", "", [1]F_ProductBM!J2210 ),"")</f>
        <v/>
      </c>
      <c r="K4916" s="62" t="str">
        <f>IFERROR(IF([1]F_ProductBM!K2210 = "", "", [1]F_ProductBM!K2210 ),"")</f>
        <v/>
      </c>
      <c r="L4916" s="62" t="str">
        <f>IFERROR(IF([1]F_ProductBM!L2210 = "", "", [1]F_ProductBM!L2210 ),"")</f>
        <v/>
      </c>
      <c r="M4916" s="62" t="str">
        <f>IFERROR(IF([1]F_ProductBM!M2210 = "", "", [1]F_ProductBM!M2210 ),"")</f>
        <v/>
      </c>
      <c r="N4916" s="70" t="str">
        <f>IFERROR(IF([1]F_ProductBM!N2210 = "", "", [1]F_ProductBM!N2210 ),"")</f>
        <v/>
      </c>
    </row>
    <row r="4917" spans="3:14" ht="13.5" thickBot="1">
      <c r="C4917" s="479"/>
      <c r="D4917" s="915"/>
      <c r="E4917" s="909"/>
      <c r="F4917" s="909"/>
      <c r="G4917" s="909"/>
      <c r="H4917" s="909"/>
      <c r="I4917" s="909"/>
      <c r="J4917" s="909"/>
      <c r="K4917" s="909"/>
      <c r="L4917" s="909"/>
      <c r="M4917" s="909"/>
      <c r="N4917" s="922"/>
    </row>
    <row r="4918" spans="3:14" ht="13.5" thickBot="1">
      <c r="C4918" s="479"/>
      <c r="D4918" s="915" t="s">
        <v>18</v>
      </c>
      <c r="E4918" s="916" t="s">
        <v>1657</v>
      </c>
      <c r="F4918" s="916"/>
      <c r="G4918" s="916"/>
      <c r="H4918" s="921"/>
      <c r="I4918" s="916"/>
      <c r="J4918" s="291" t="str">
        <f>IFERROR(IF([1]F_ProductBM!J2212 = "", "", [1]F_ProductBM!J2212 ),"")</f>
        <v/>
      </c>
      <c r="K4918" s="292" t="str">
        <f>IFERROR(IF([1]F_ProductBM!K2212 = "", "", [1]F_ProductBM!K2212 ),"")</f>
        <v/>
      </c>
      <c r="L4918" s="292" t="str">
        <f>IFERROR(IF([1]F_ProductBM!L2212 = "", "", [1]F_ProductBM!L2212 ),"")</f>
        <v/>
      </c>
      <c r="M4918" s="292" t="str">
        <f>IFERROR(IF([1]F_ProductBM!M2212 = "", "", [1]F_ProductBM!M2212 ),"")</f>
        <v/>
      </c>
      <c r="N4918" s="293" t="str">
        <f>IFERROR(IF([1]F_ProductBM!N2212 = "", "", [1]F_ProductBM!N2212 ),"")</f>
        <v/>
      </c>
    </row>
    <row r="4919" spans="3:14" ht="13.5" thickBot="1">
      <c r="C4919" s="479"/>
      <c r="D4919" s="915" t="s">
        <v>787</v>
      </c>
      <c r="E4919" s="916" t="s">
        <v>1659</v>
      </c>
      <c r="F4919" s="916"/>
      <c r="G4919" s="916"/>
      <c r="H4919" s="944" t="s">
        <v>471</v>
      </c>
      <c r="I4919" s="281" t="str">
        <f>IFERROR(IF([1]F_ProductBM!I2213 = "", "", [1]F_ProductBM!I2213 ),"")</f>
        <v/>
      </c>
      <c r="J4919" s="294" t="str">
        <f>IFERROR(IF([1]F_ProductBM!J2213 = "", "", [1]F_ProductBM!J2213 ),"")</f>
        <v/>
      </c>
      <c r="K4919" s="295" t="str">
        <f>IFERROR(IF([1]F_ProductBM!K2213 = "", "", [1]F_ProductBM!K2213 ),"")</f>
        <v/>
      </c>
      <c r="L4919" s="295" t="str">
        <f>IFERROR(IF([1]F_ProductBM!L2213 = "", "", [1]F_ProductBM!L2213 ),"")</f>
        <v/>
      </c>
      <c r="M4919" s="295" t="str">
        <f>IFERROR(IF([1]F_ProductBM!M2213 = "", "", [1]F_ProductBM!M2213 ),"")</f>
        <v/>
      </c>
      <c r="N4919" s="296" t="str">
        <f>IFERROR(IF([1]F_ProductBM!N2213 = "", "", [1]F_ProductBM!N2213 ),"")</f>
        <v/>
      </c>
    </row>
    <row r="4920" spans="3:14" ht="13.5" thickBot="1">
      <c r="C4920" s="485"/>
      <c r="D4920" s="924"/>
      <c r="E4920" s="925"/>
      <c r="F4920" s="925"/>
      <c r="G4920" s="925"/>
      <c r="H4920" s="925"/>
      <c r="I4920" s="955"/>
      <c r="J4920" s="925"/>
      <c r="K4920" s="925"/>
      <c r="L4920" s="925"/>
      <c r="M4920" s="925"/>
      <c r="N4920" s="926"/>
    </row>
    <row r="4921" spans="3:14">
      <c r="C4921" s="485"/>
      <c r="D4921" s="485"/>
      <c r="E4921" s="485"/>
      <c r="F4921" s="485"/>
      <c r="G4921" s="485"/>
      <c r="H4921" s="485"/>
      <c r="I4921" s="952"/>
      <c r="J4921" s="485"/>
      <c r="K4921" s="485"/>
      <c r="L4921" s="485"/>
      <c r="M4921" s="485"/>
      <c r="N4921" s="485"/>
    </row>
    <row r="4922" spans="3:14" ht="15">
      <c r="C4922" s="856"/>
      <c r="D4922" s="2482" t="s">
        <v>103</v>
      </c>
      <c r="E4922" s="2400"/>
      <c r="F4922" s="2400"/>
      <c r="G4922" s="2400"/>
      <c r="H4922" s="2400"/>
      <c r="I4922" s="2400"/>
      <c r="J4922" s="2400"/>
      <c r="K4922" s="2400"/>
      <c r="L4922" s="2400"/>
      <c r="M4922" s="2400"/>
      <c r="N4922" s="2400"/>
    </row>
    <row r="4923" spans="3:14">
      <c r="C4923" s="479"/>
      <c r="D4923" s="479"/>
      <c r="E4923" s="479"/>
      <c r="F4923" s="479"/>
      <c r="G4923" s="479"/>
      <c r="H4923" s="479"/>
      <c r="I4923" s="479"/>
      <c r="J4923" s="479"/>
      <c r="K4923" s="479"/>
      <c r="L4923" s="479"/>
      <c r="M4923" s="479"/>
      <c r="N4923" s="479"/>
    </row>
    <row r="4924" spans="3:14">
      <c r="C4924" s="482"/>
      <c r="D4924" s="482" t="s">
        <v>57</v>
      </c>
      <c r="E4924" s="2373" t="s">
        <v>108</v>
      </c>
      <c r="F4924" s="2400"/>
      <c r="G4924" s="2400"/>
      <c r="H4924" s="2400"/>
      <c r="I4924" s="2400"/>
      <c r="J4924" s="2400"/>
      <c r="K4924" s="2400"/>
      <c r="L4924" s="2400"/>
      <c r="M4924" s="2400"/>
      <c r="N4924" s="2400"/>
    </row>
    <row r="4925" spans="3:14">
      <c r="C4925" s="485"/>
      <c r="D4925" s="485"/>
      <c r="E4925" s="2465" t="s">
        <v>1935</v>
      </c>
      <c r="F4925" s="2400"/>
      <c r="G4925" s="2400"/>
      <c r="H4925" s="2400"/>
      <c r="I4925" s="2400"/>
      <c r="J4925" s="2400"/>
      <c r="K4925" s="2400"/>
      <c r="L4925" s="2400"/>
      <c r="M4925" s="2400"/>
      <c r="N4925" s="2400"/>
    </row>
    <row r="4926" spans="3:14">
      <c r="C4926" s="485"/>
      <c r="D4926" s="485"/>
      <c r="E4926" s="2465" t="s">
        <v>1636</v>
      </c>
      <c r="F4926" s="2400"/>
      <c r="G4926" s="2400"/>
      <c r="H4926" s="2400"/>
      <c r="I4926" s="2400"/>
      <c r="J4926" s="2400"/>
      <c r="K4926" s="2400"/>
      <c r="L4926" s="2400"/>
      <c r="M4926" s="2400"/>
      <c r="N4926" s="2400"/>
    </row>
    <row r="4927" spans="3:14">
      <c r="C4927" s="485"/>
      <c r="D4927" s="485"/>
      <c r="E4927" s="2465" t="s">
        <v>2119</v>
      </c>
      <c r="F4927" s="2400"/>
      <c r="G4927" s="2400"/>
      <c r="H4927" s="2400"/>
      <c r="I4927" s="2400"/>
      <c r="J4927" s="2400"/>
      <c r="K4927" s="2400"/>
      <c r="L4927" s="2400"/>
      <c r="M4927" s="2400"/>
      <c r="N4927" s="2400"/>
    </row>
    <row r="4928" spans="3:14">
      <c r="C4928" s="485"/>
      <c r="D4928" s="485"/>
      <c r="E4928" s="2677" t="s">
        <v>2120</v>
      </c>
      <c r="F4928" s="2364"/>
      <c r="G4928" s="2364"/>
      <c r="H4928" s="2364"/>
      <c r="I4928" s="2364"/>
      <c r="J4928" s="2364"/>
      <c r="K4928" s="2364"/>
      <c r="L4928" s="2364"/>
      <c r="M4928" s="2364"/>
      <c r="N4928" s="2364"/>
    </row>
    <row r="4929" spans="3:14">
      <c r="C4929" s="479"/>
      <c r="D4929" s="479"/>
      <c r="E4929" s="479"/>
      <c r="F4929" s="479"/>
      <c r="G4929" s="479"/>
      <c r="H4929" s="479"/>
      <c r="I4929" s="479"/>
      <c r="J4929" s="479"/>
      <c r="K4929" s="479"/>
      <c r="L4929" s="479"/>
      <c r="M4929" s="479"/>
      <c r="N4929" s="479"/>
    </row>
    <row r="4930" spans="3:14">
      <c r="C4930" s="482"/>
      <c r="D4930" s="482" t="s">
        <v>58</v>
      </c>
      <c r="E4930" s="2373" t="s">
        <v>1013</v>
      </c>
      <c r="F4930" s="2400"/>
      <c r="G4930" s="2400"/>
      <c r="H4930" s="2400"/>
      <c r="I4930" s="2400"/>
      <c r="J4930" s="2400"/>
      <c r="K4930" s="2400"/>
      <c r="L4930" s="2400"/>
      <c r="M4930" s="2400"/>
      <c r="N4930" s="2400"/>
    </row>
    <row r="4931" spans="3:14">
      <c r="C4931" s="479"/>
      <c r="D4931" s="485"/>
      <c r="E4931" s="617"/>
      <c r="F4931" s="617"/>
      <c r="G4931" s="617"/>
      <c r="H4931" s="617"/>
      <c r="I4931" s="617"/>
      <c r="J4931" s="468"/>
      <c r="K4931" s="468"/>
      <c r="L4931" s="468"/>
      <c r="M4931" s="485"/>
      <c r="N4931" s="485"/>
    </row>
    <row r="4932" spans="3:14" ht="51">
      <c r="C4932" s="485"/>
      <c r="D4932" s="956"/>
      <c r="E4932" s="957" t="s">
        <v>2112</v>
      </c>
      <c r="F4932" s="958" t="s">
        <v>949</v>
      </c>
      <c r="G4932" s="959" t="s">
        <v>884</v>
      </c>
      <c r="H4932" s="578">
        <v>2019</v>
      </c>
      <c r="I4932" s="697">
        <v>2020</v>
      </c>
      <c r="J4932" s="696">
        <v>2021</v>
      </c>
      <c r="K4932" s="578">
        <v>2022</v>
      </c>
      <c r="L4932" s="578">
        <v>2023</v>
      </c>
      <c r="M4932" s="578">
        <v>2024</v>
      </c>
      <c r="N4932" s="578">
        <v>2025</v>
      </c>
    </row>
    <row r="4933" spans="3:14">
      <c r="C4933" s="485"/>
      <c r="D4933" s="579">
        <v>1</v>
      </c>
      <c r="E4933" s="375" t="str">
        <f>IFERROR(IF([1]F_ProductBM!E2227 = "", "", [1]F_ProductBM!E2227 ),"")</f>
        <v/>
      </c>
      <c r="F4933" s="337" t="str">
        <f>IFERROR(IF([1]F_ProductBM!F2227 = "", "", [1]F_ProductBM!F2227 ),"")</f>
        <v/>
      </c>
      <c r="G4933" s="71" t="str">
        <f>IFERROR(IF([1]F_ProductBM!G2227 = "", "", [1]F_ProductBM!G2227 ),"")</f>
        <v/>
      </c>
      <c r="H4933" s="94" t="str">
        <f>IFERROR(IF([1]F_ProductBM!H2227 = "", "", [1]F_ProductBM!H2227 ),"")</f>
        <v/>
      </c>
      <c r="I4933" s="110" t="str">
        <f>IFERROR(IF([1]F_ProductBM!I2227 = "", "", [1]F_ProductBM!I2227 ),"")</f>
        <v/>
      </c>
      <c r="J4933" s="111" t="str">
        <f>IFERROR(IF([1]F_ProductBM!J2227 = "", "", [1]F_ProductBM!J2227 ),"")</f>
        <v/>
      </c>
      <c r="K4933" s="94" t="str">
        <f>IFERROR(IF([1]F_ProductBM!K2227 = "", "", [1]F_ProductBM!K2227 ),"")</f>
        <v/>
      </c>
      <c r="L4933" s="94" t="str">
        <f>IFERROR(IF([1]F_ProductBM!L2227 = "", "", [1]F_ProductBM!L2227 ),"")</f>
        <v/>
      </c>
      <c r="M4933" s="94" t="str">
        <f>IFERROR(IF([1]F_ProductBM!M2227 = "", "", [1]F_ProductBM!M2227 ),"")</f>
        <v/>
      </c>
      <c r="N4933" s="94" t="str">
        <f>IFERROR(IF([1]F_ProductBM!N2227 = "", "", [1]F_ProductBM!N2227 ),"")</f>
        <v/>
      </c>
    </row>
    <row r="4934" spans="3:14">
      <c r="C4934" s="485"/>
      <c r="D4934" s="582">
        <v>2</v>
      </c>
      <c r="E4934" s="376" t="str">
        <f>IFERROR(IF([1]F_ProductBM!E2228 = "", "", [1]F_ProductBM!E2228 ),"")</f>
        <v/>
      </c>
      <c r="F4934" s="338" t="str">
        <f>IFERROR(IF([1]F_ProductBM!F2228 = "", "", [1]F_ProductBM!F2228 ),"")</f>
        <v/>
      </c>
      <c r="G4934" s="72" t="str">
        <f>IFERROR(IF([1]F_ProductBM!G2228 = "", "", [1]F_ProductBM!G2228 ),"")</f>
        <v/>
      </c>
      <c r="H4934" s="101" t="str">
        <f>IFERROR(IF([1]F_ProductBM!H2228 = "", "", [1]F_ProductBM!H2228 ),"")</f>
        <v/>
      </c>
      <c r="I4934" s="361" t="str">
        <f>IFERROR(IF([1]F_ProductBM!I2228 = "", "", [1]F_ProductBM!I2228 ),"")</f>
        <v/>
      </c>
      <c r="J4934" s="362" t="str">
        <f>IFERROR(IF([1]F_ProductBM!J2228 = "", "", [1]F_ProductBM!J2228 ),"")</f>
        <v/>
      </c>
      <c r="K4934" s="101" t="str">
        <f>IFERROR(IF([1]F_ProductBM!K2228 = "", "", [1]F_ProductBM!K2228 ),"")</f>
        <v/>
      </c>
      <c r="L4934" s="101" t="str">
        <f>IFERROR(IF([1]F_ProductBM!L2228 = "", "", [1]F_ProductBM!L2228 ),"")</f>
        <v/>
      </c>
      <c r="M4934" s="101" t="str">
        <f>IFERROR(IF([1]F_ProductBM!M2228 = "", "", [1]F_ProductBM!M2228 ),"")</f>
        <v/>
      </c>
      <c r="N4934" s="101" t="str">
        <f>IFERROR(IF([1]F_ProductBM!N2228 = "", "", [1]F_ProductBM!N2228 ),"")</f>
        <v/>
      </c>
    </row>
    <row r="4935" spans="3:14">
      <c r="C4935" s="485"/>
      <c r="D4935" s="582">
        <v>3</v>
      </c>
      <c r="E4935" s="376" t="str">
        <f>IFERROR(IF([1]F_ProductBM!E2229 = "", "", [1]F_ProductBM!E2229 ),"")</f>
        <v/>
      </c>
      <c r="F4935" s="338" t="str">
        <f>IFERROR(IF([1]F_ProductBM!F2229 = "", "", [1]F_ProductBM!F2229 ),"")</f>
        <v/>
      </c>
      <c r="G4935" s="72" t="str">
        <f>IFERROR(IF([1]F_ProductBM!G2229 = "", "", [1]F_ProductBM!G2229 ),"")</f>
        <v/>
      </c>
      <c r="H4935" s="101" t="str">
        <f>IFERROR(IF([1]F_ProductBM!H2229 = "", "", [1]F_ProductBM!H2229 ),"")</f>
        <v/>
      </c>
      <c r="I4935" s="361" t="str">
        <f>IFERROR(IF([1]F_ProductBM!I2229 = "", "", [1]F_ProductBM!I2229 ),"")</f>
        <v/>
      </c>
      <c r="J4935" s="362" t="str">
        <f>IFERROR(IF([1]F_ProductBM!J2229 = "", "", [1]F_ProductBM!J2229 ),"")</f>
        <v/>
      </c>
      <c r="K4935" s="101" t="str">
        <f>IFERROR(IF([1]F_ProductBM!K2229 = "", "", [1]F_ProductBM!K2229 ),"")</f>
        <v/>
      </c>
      <c r="L4935" s="101" t="str">
        <f>IFERROR(IF([1]F_ProductBM!L2229 = "", "", [1]F_ProductBM!L2229 ),"")</f>
        <v/>
      </c>
      <c r="M4935" s="101" t="str">
        <f>IFERROR(IF([1]F_ProductBM!M2229 = "", "", [1]F_ProductBM!M2229 ),"")</f>
        <v/>
      </c>
      <c r="N4935" s="101" t="str">
        <f>IFERROR(IF([1]F_ProductBM!N2229 = "", "", [1]F_ProductBM!N2229 ),"")</f>
        <v/>
      </c>
    </row>
    <row r="4936" spans="3:14">
      <c r="C4936" s="485"/>
      <c r="D4936" s="582">
        <v>4</v>
      </c>
      <c r="E4936" s="376" t="str">
        <f>IFERROR(IF([1]F_ProductBM!E2230 = "", "", [1]F_ProductBM!E2230 ),"")</f>
        <v/>
      </c>
      <c r="F4936" s="338" t="str">
        <f>IFERROR(IF([1]F_ProductBM!F2230 = "", "", [1]F_ProductBM!F2230 ),"")</f>
        <v/>
      </c>
      <c r="G4936" s="72" t="str">
        <f>IFERROR(IF([1]F_ProductBM!G2230 = "", "", [1]F_ProductBM!G2230 ),"")</f>
        <v/>
      </c>
      <c r="H4936" s="101" t="str">
        <f>IFERROR(IF([1]F_ProductBM!H2230 = "", "", [1]F_ProductBM!H2230 ),"")</f>
        <v/>
      </c>
      <c r="I4936" s="361" t="str">
        <f>IFERROR(IF([1]F_ProductBM!I2230 = "", "", [1]F_ProductBM!I2230 ),"")</f>
        <v/>
      </c>
      <c r="J4936" s="362" t="str">
        <f>IFERROR(IF([1]F_ProductBM!J2230 = "", "", [1]F_ProductBM!J2230 ),"")</f>
        <v/>
      </c>
      <c r="K4936" s="101" t="str">
        <f>IFERROR(IF([1]F_ProductBM!K2230 = "", "", [1]F_ProductBM!K2230 ),"")</f>
        <v/>
      </c>
      <c r="L4936" s="101" t="str">
        <f>IFERROR(IF([1]F_ProductBM!L2230 = "", "", [1]F_ProductBM!L2230 ),"")</f>
        <v/>
      </c>
      <c r="M4936" s="101" t="str">
        <f>IFERROR(IF([1]F_ProductBM!M2230 = "", "", [1]F_ProductBM!M2230 ),"")</f>
        <v/>
      </c>
      <c r="N4936" s="101" t="str">
        <f>IFERROR(IF([1]F_ProductBM!N2230 = "", "", [1]F_ProductBM!N2230 ),"")</f>
        <v/>
      </c>
    </row>
    <row r="4937" spans="3:14">
      <c r="C4937" s="485"/>
      <c r="D4937" s="582">
        <v>5</v>
      </c>
      <c r="E4937" s="376" t="str">
        <f>IFERROR(IF([1]F_ProductBM!E2231 = "", "", [1]F_ProductBM!E2231 ),"")</f>
        <v/>
      </c>
      <c r="F4937" s="338" t="str">
        <f>IFERROR(IF([1]F_ProductBM!F2231 = "", "", [1]F_ProductBM!F2231 ),"")</f>
        <v/>
      </c>
      <c r="G4937" s="72" t="str">
        <f>IFERROR(IF([1]F_ProductBM!G2231 = "", "", [1]F_ProductBM!G2231 ),"")</f>
        <v/>
      </c>
      <c r="H4937" s="101" t="str">
        <f>IFERROR(IF([1]F_ProductBM!H2231 = "", "", [1]F_ProductBM!H2231 ),"")</f>
        <v/>
      </c>
      <c r="I4937" s="361" t="str">
        <f>IFERROR(IF([1]F_ProductBM!I2231 = "", "", [1]F_ProductBM!I2231 ),"")</f>
        <v/>
      </c>
      <c r="J4937" s="362" t="str">
        <f>IFERROR(IF([1]F_ProductBM!J2231 = "", "", [1]F_ProductBM!J2231 ),"")</f>
        <v/>
      </c>
      <c r="K4937" s="101" t="str">
        <f>IFERROR(IF([1]F_ProductBM!K2231 = "", "", [1]F_ProductBM!K2231 ),"")</f>
        <v/>
      </c>
      <c r="L4937" s="101" t="str">
        <f>IFERROR(IF([1]F_ProductBM!L2231 = "", "", [1]F_ProductBM!L2231 ),"")</f>
        <v/>
      </c>
      <c r="M4937" s="101" t="str">
        <f>IFERROR(IF([1]F_ProductBM!M2231 = "", "", [1]F_ProductBM!M2231 ),"")</f>
        <v/>
      </c>
      <c r="N4937" s="101" t="str">
        <f>IFERROR(IF([1]F_ProductBM!N2231 = "", "", [1]F_ProductBM!N2231 ),"")</f>
        <v/>
      </c>
    </row>
    <row r="4938" spans="3:14">
      <c r="C4938" s="485"/>
      <c r="D4938" s="582">
        <v>6</v>
      </c>
      <c r="E4938" s="376" t="str">
        <f>IFERROR(IF([1]F_ProductBM!E2232 = "", "", [1]F_ProductBM!E2232 ),"")</f>
        <v/>
      </c>
      <c r="F4938" s="338" t="str">
        <f>IFERROR(IF([1]F_ProductBM!F2232 = "", "", [1]F_ProductBM!F2232 ),"")</f>
        <v/>
      </c>
      <c r="G4938" s="72" t="str">
        <f>IFERROR(IF([1]F_ProductBM!G2232 = "", "", [1]F_ProductBM!G2232 ),"")</f>
        <v/>
      </c>
      <c r="H4938" s="101" t="str">
        <f>IFERROR(IF([1]F_ProductBM!H2232 = "", "", [1]F_ProductBM!H2232 ),"")</f>
        <v/>
      </c>
      <c r="I4938" s="361" t="str">
        <f>IFERROR(IF([1]F_ProductBM!I2232 = "", "", [1]F_ProductBM!I2232 ),"")</f>
        <v/>
      </c>
      <c r="J4938" s="362" t="str">
        <f>IFERROR(IF([1]F_ProductBM!J2232 = "", "", [1]F_ProductBM!J2232 ),"")</f>
        <v/>
      </c>
      <c r="K4938" s="101" t="str">
        <f>IFERROR(IF([1]F_ProductBM!K2232 = "", "", [1]F_ProductBM!K2232 ),"")</f>
        <v/>
      </c>
      <c r="L4938" s="101" t="str">
        <f>IFERROR(IF([1]F_ProductBM!L2232 = "", "", [1]F_ProductBM!L2232 ),"")</f>
        <v/>
      </c>
      <c r="M4938" s="101" t="str">
        <f>IFERROR(IF([1]F_ProductBM!M2232 = "", "", [1]F_ProductBM!M2232 ),"")</f>
        <v/>
      </c>
      <c r="N4938" s="101" t="str">
        <f>IFERROR(IF([1]F_ProductBM!N2232 = "", "", [1]F_ProductBM!N2232 ),"")</f>
        <v/>
      </c>
    </row>
    <row r="4939" spans="3:14">
      <c r="C4939" s="485"/>
      <c r="D4939" s="582">
        <v>7</v>
      </c>
      <c r="E4939" s="376" t="str">
        <f>IFERROR(IF([1]F_ProductBM!E2233 = "", "", [1]F_ProductBM!E2233 ),"")</f>
        <v/>
      </c>
      <c r="F4939" s="338" t="str">
        <f>IFERROR(IF([1]F_ProductBM!F2233 = "", "", [1]F_ProductBM!F2233 ),"")</f>
        <v/>
      </c>
      <c r="G4939" s="72" t="str">
        <f>IFERROR(IF([1]F_ProductBM!G2233 = "", "", [1]F_ProductBM!G2233 ),"")</f>
        <v/>
      </c>
      <c r="H4939" s="101" t="str">
        <f>IFERROR(IF([1]F_ProductBM!H2233 = "", "", [1]F_ProductBM!H2233 ),"")</f>
        <v/>
      </c>
      <c r="I4939" s="361" t="str">
        <f>IFERROR(IF([1]F_ProductBM!I2233 = "", "", [1]F_ProductBM!I2233 ),"")</f>
        <v/>
      </c>
      <c r="J4939" s="362" t="str">
        <f>IFERROR(IF([1]F_ProductBM!J2233 = "", "", [1]F_ProductBM!J2233 ),"")</f>
        <v/>
      </c>
      <c r="K4939" s="101" t="str">
        <f>IFERROR(IF([1]F_ProductBM!K2233 = "", "", [1]F_ProductBM!K2233 ),"")</f>
        <v/>
      </c>
      <c r="L4939" s="101" t="str">
        <f>IFERROR(IF([1]F_ProductBM!L2233 = "", "", [1]F_ProductBM!L2233 ),"")</f>
        <v/>
      </c>
      <c r="M4939" s="101" t="str">
        <f>IFERROR(IF([1]F_ProductBM!M2233 = "", "", [1]F_ProductBM!M2233 ),"")</f>
        <v/>
      </c>
      <c r="N4939" s="101" t="str">
        <f>IFERROR(IF([1]F_ProductBM!N2233 = "", "", [1]F_ProductBM!N2233 ),"")</f>
        <v/>
      </c>
    </row>
    <row r="4940" spans="3:14">
      <c r="C4940" s="485"/>
      <c r="D4940" s="582">
        <v>8</v>
      </c>
      <c r="E4940" s="376" t="str">
        <f>IFERROR(IF([1]F_ProductBM!E2234 = "", "", [1]F_ProductBM!E2234 ),"")</f>
        <v/>
      </c>
      <c r="F4940" s="338" t="str">
        <f>IFERROR(IF([1]F_ProductBM!F2234 = "", "", [1]F_ProductBM!F2234 ),"")</f>
        <v/>
      </c>
      <c r="G4940" s="72" t="str">
        <f>IFERROR(IF([1]F_ProductBM!G2234 = "", "", [1]F_ProductBM!G2234 ),"")</f>
        <v/>
      </c>
      <c r="H4940" s="101" t="str">
        <f>IFERROR(IF([1]F_ProductBM!H2234 = "", "", [1]F_ProductBM!H2234 ),"")</f>
        <v/>
      </c>
      <c r="I4940" s="361" t="str">
        <f>IFERROR(IF([1]F_ProductBM!I2234 = "", "", [1]F_ProductBM!I2234 ),"")</f>
        <v/>
      </c>
      <c r="J4940" s="362" t="str">
        <f>IFERROR(IF([1]F_ProductBM!J2234 = "", "", [1]F_ProductBM!J2234 ),"")</f>
        <v/>
      </c>
      <c r="K4940" s="101" t="str">
        <f>IFERROR(IF([1]F_ProductBM!K2234 = "", "", [1]F_ProductBM!K2234 ),"")</f>
        <v/>
      </c>
      <c r="L4940" s="101" t="str">
        <f>IFERROR(IF([1]F_ProductBM!L2234 = "", "", [1]F_ProductBM!L2234 ),"")</f>
        <v/>
      </c>
      <c r="M4940" s="101" t="str">
        <f>IFERROR(IF([1]F_ProductBM!M2234 = "", "", [1]F_ProductBM!M2234 ),"")</f>
        <v/>
      </c>
      <c r="N4940" s="101" t="str">
        <f>IFERROR(IF([1]F_ProductBM!N2234 = "", "", [1]F_ProductBM!N2234 ),"")</f>
        <v/>
      </c>
    </row>
    <row r="4941" spans="3:14">
      <c r="C4941" s="485"/>
      <c r="D4941" s="582">
        <v>9</v>
      </c>
      <c r="E4941" s="376" t="str">
        <f>IFERROR(IF([1]F_ProductBM!E2235 = "", "", [1]F_ProductBM!E2235 ),"")</f>
        <v/>
      </c>
      <c r="F4941" s="338" t="str">
        <f>IFERROR(IF([1]F_ProductBM!F2235 = "", "", [1]F_ProductBM!F2235 ),"")</f>
        <v/>
      </c>
      <c r="G4941" s="72" t="str">
        <f>IFERROR(IF([1]F_ProductBM!G2235 = "", "", [1]F_ProductBM!G2235 ),"")</f>
        <v/>
      </c>
      <c r="H4941" s="101" t="str">
        <f>IFERROR(IF([1]F_ProductBM!H2235 = "", "", [1]F_ProductBM!H2235 ),"")</f>
        <v/>
      </c>
      <c r="I4941" s="361" t="str">
        <f>IFERROR(IF([1]F_ProductBM!I2235 = "", "", [1]F_ProductBM!I2235 ),"")</f>
        <v/>
      </c>
      <c r="J4941" s="362" t="str">
        <f>IFERROR(IF([1]F_ProductBM!J2235 = "", "", [1]F_ProductBM!J2235 ),"")</f>
        <v/>
      </c>
      <c r="K4941" s="101" t="str">
        <f>IFERROR(IF([1]F_ProductBM!K2235 = "", "", [1]F_ProductBM!K2235 ),"")</f>
        <v/>
      </c>
      <c r="L4941" s="101" t="str">
        <f>IFERROR(IF([1]F_ProductBM!L2235 = "", "", [1]F_ProductBM!L2235 ),"")</f>
        <v/>
      </c>
      <c r="M4941" s="101" t="str">
        <f>IFERROR(IF([1]F_ProductBM!M2235 = "", "", [1]F_ProductBM!M2235 ),"")</f>
        <v/>
      </c>
      <c r="N4941" s="101" t="str">
        <f>IFERROR(IF([1]F_ProductBM!N2235 = "", "", [1]F_ProductBM!N2235 ),"")</f>
        <v/>
      </c>
    </row>
    <row r="4942" spans="3:14">
      <c r="C4942" s="485"/>
      <c r="D4942" s="584">
        <v>10</v>
      </c>
      <c r="E4942" s="377" t="str">
        <f>IFERROR(IF([1]F_ProductBM!E2236 = "", "", [1]F_ProductBM!E2236 ),"")</f>
        <v/>
      </c>
      <c r="F4942" s="339" t="str">
        <f>IFERROR(IF([1]F_ProductBM!F2236 = "", "", [1]F_ProductBM!F2236 ),"")</f>
        <v/>
      </c>
      <c r="G4942" s="73" t="str">
        <f>IFERROR(IF([1]F_ProductBM!G2236 = "", "", [1]F_ProductBM!G2236 ),"")</f>
        <v/>
      </c>
      <c r="H4942" s="95" t="str">
        <f>IFERROR(IF([1]F_ProductBM!H2236 = "", "", [1]F_ProductBM!H2236 ),"")</f>
        <v/>
      </c>
      <c r="I4942" s="113" t="str">
        <f>IFERROR(IF([1]F_ProductBM!I2236 = "", "", [1]F_ProductBM!I2236 ),"")</f>
        <v/>
      </c>
      <c r="J4942" s="114" t="str">
        <f>IFERROR(IF([1]F_ProductBM!J2236 = "", "", [1]F_ProductBM!J2236 ),"")</f>
        <v/>
      </c>
      <c r="K4942" s="95" t="str">
        <f>IFERROR(IF([1]F_ProductBM!K2236 = "", "", [1]F_ProductBM!K2236 ),"")</f>
        <v/>
      </c>
      <c r="L4942" s="95" t="str">
        <f>IFERROR(IF([1]F_ProductBM!L2236 = "", "", [1]F_ProductBM!L2236 ),"")</f>
        <v/>
      </c>
      <c r="M4942" s="95" t="str">
        <f>IFERROR(IF([1]F_ProductBM!M2236 = "", "", [1]F_ProductBM!M2236 ),"")</f>
        <v/>
      </c>
      <c r="N4942" s="95" t="str">
        <f>IFERROR(IF([1]F_ProductBM!N2236 = "", "", [1]F_ProductBM!N2236 ),"")</f>
        <v/>
      </c>
    </row>
    <row r="4943" spans="3:14">
      <c r="C4943" s="485"/>
      <c r="D4943" s="971"/>
      <c r="E4943" s="972" t="s">
        <v>921</v>
      </c>
      <c r="F4943" s="948"/>
      <c r="G4943" s="73" t="str">
        <f>IFERROR(IF([1]F_ProductBM!G2237 = "", "", [1]F_ProductBM!G2237 ),"")</f>
        <v/>
      </c>
      <c r="H4943" s="86" t="str">
        <f>IFERROR(IF([1]F_ProductBM!H2237 = "", "", [1]F_ProductBM!H2237 ),"")</f>
        <v/>
      </c>
      <c r="I4943" s="340" t="str">
        <f>IFERROR(IF([1]F_ProductBM!I2237 = "", "", [1]F_ProductBM!I2237 ),"")</f>
        <v/>
      </c>
      <c r="J4943" s="341" t="str">
        <f>IFERROR(IF([1]F_ProductBM!J2237 = "", "", [1]F_ProductBM!J2237 ),"")</f>
        <v/>
      </c>
      <c r="K4943" s="86" t="str">
        <f>IFERROR(IF([1]F_ProductBM!K2237 = "", "", [1]F_ProductBM!K2237 ),"")</f>
        <v/>
      </c>
      <c r="L4943" s="86" t="str">
        <f>IFERROR(IF([1]F_ProductBM!L2237 = "", "", [1]F_ProductBM!L2237 ),"")</f>
        <v/>
      </c>
      <c r="M4943" s="86" t="str">
        <f>IFERROR(IF([1]F_ProductBM!M2237 = "", "", [1]F_ProductBM!M2237 ),"")</f>
        <v/>
      </c>
      <c r="N4943" s="86" t="str">
        <f>IFERROR(IF([1]F_ProductBM!N2237 = "", "", [1]F_ProductBM!N2237 ),"")</f>
        <v/>
      </c>
    </row>
    <row r="4944" spans="3:14" ht="13.5" thickBot="1">
      <c r="C4944" s="479"/>
      <c r="D4944" s="479"/>
      <c r="E4944" s="479"/>
      <c r="F4944" s="479"/>
      <c r="G4944" s="479"/>
      <c r="H4944" s="479"/>
      <c r="I4944" s="479"/>
      <c r="J4944" s="479"/>
      <c r="K4944" s="479"/>
      <c r="L4944" s="479"/>
      <c r="M4944" s="485"/>
      <c r="N4944" s="485"/>
    </row>
    <row r="4945" spans="3:14">
      <c r="C4945" s="975"/>
      <c r="D4945" s="976"/>
      <c r="E4945" s="976"/>
      <c r="F4945" s="976"/>
      <c r="G4945" s="976"/>
      <c r="H4945" s="976"/>
      <c r="I4945" s="976"/>
      <c r="J4945" s="976"/>
      <c r="K4945" s="976"/>
      <c r="L4945" s="976"/>
      <c r="M4945" s="774"/>
      <c r="N4945" s="775"/>
    </row>
    <row r="4946" spans="3:14">
      <c r="C4946" s="977"/>
      <c r="D4946" s="2678" t="s">
        <v>2330</v>
      </c>
      <c r="E4946" s="2672"/>
      <c r="F4946" s="2672"/>
      <c r="G4946" s="2672"/>
      <c r="H4946" s="2672"/>
      <c r="I4946" s="2672"/>
      <c r="J4946" s="2672"/>
      <c r="K4946" s="2672"/>
      <c r="L4946" s="2672"/>
      <c r="M4946" s="2672"/>
      <c r="N4946" s="2673"/>
    </row>
    <row r="4947" spans="3:14">
      <c r="C4947" s="980"/>
      <c r="D4947" s="813"/>
      <c r="E4947" s="813"/>
      <c r="F4947" s="813"/>
      <c r="G4947" s="813"/>
      <c r="H4947" s="813"/>
      <c r="I4947" s="813"/>
      <c r="J4947" s="813"/>
      <c r="K4947" s="813"/>
      <c r="L4947" s="813"/>
      <c r="M4947" s="813"/>
      <c r="N4947" s="814"/>
    </row>
    <row r="4948" spans="3:14">
      <c r="C4948" s="980"/>
      <c r="D4948" s="2679" t="s">
        <v>2704</v>
      </c>
      <c r="E4948" s="2646"/>
      <c r="F4948" s="2646"/>
      <c r="G4948" s="2646"/>
      <c r="H4948" s="2680"/>
      <c r="I4948" s="2489" t="str">
        <f>IFERROR(IF([1]F_ProductBM!I2242 = "", "", [1]F_ProductBM!I2242 ),"")</f>
        <v/>
      </c>
      <c r="J4948" s="2534"/>
      <c r="K4948" s="2534"/>
      <c r="L4948" s="2534"/>
      <c r="M4948" s="2534"/>
      <c r="N4948" s="2681"/>
    </row>
    <row r="4949" spans="3:14">
      <c r="C4949" s="980"/>
      <c r="D4949" s="813"/>
      <c r="E4949" s="813"/>
      <c r="F4949" s="813"/>
      <c r="G4949" s="813"/>
      <c r="H4949" s="813"/>
      <c r="I4949" s="813"/>
      <c r="J4949" s="813"/>
      <c r="K4949" s="813"/>
      <c r="L4949" s="813"/>
      <c r="M4949" s="813"/>
      <c r="N4949" s="814"/>
    </row>
    <row r="4950" spans="3:14">
      <c r="C4950" s="977"/>
      <c r="D4950" s="981"/>
      <c r="E4950" s="2691" t="s">
        <v>2154</v>
      </c>
      <c r="F4950" s="2691"/>
      <c r="G4950" s="2691"/>
      <c r="H4950" s="2691"/>
      <c r="I4950" s="2691"/>
      <c r="J4950" s="2691"/>
      <c r="K4950" s="2691"/>
      <c r="L4950" s="2691"/>
      <c r="M4950" s="2691"/>
      <c r="N4950" s="2692"/>
    </row>
    <row r="4951" spans="3:14">
      <c r="C4951" s="977"/>
      <c r="D4951" s="981"/>
      <c r="E4951" s="2691" t="s">
        <v>2176</v>
      </c>
      <c r="F4951" s="2691"/>
      <c r="G4951" s="2691"/>
      <c r="H4951" s="2691"/>
      <c r="I4951" s="2691"/>
      <c r="J4951" s="2691"/>
      <c r="K4951" s="2691"/>
      <c r="L4951" s="2691"/>
      <c r="M4951" s="2691"/>
      <c r="N4951" s="2650"/>
    </row>
    <row r="4952" spans="3:14">
      <c r="C4952" s="977"/>
      <c r="D4952" s="981"/>
      <c r="E4952" s="2691" t="s">
        <v>1549</v>
      </c>
      <c r="F4952" s="2391"/>
      <c r="G4952" s="2391"/>
      <c r="H4952" s="2391"/>
      <c r="I4952" s="2391"/>
      <c r="J4952" s="2391"/>
      <c r="K4952" s="2391"/>
      <c r="L4952" s="2391"/>
      <c r="M4952" s="2391"/>
      <c r="N4952" s="2650"/>
    </row>
    <row r="4953" spans="3:14">
      <c r="C4953" s="977"/>
      <c r="D4953" s="981"/>
      <c r="E4953" s="2693" t="s">
        <v>1643</v>
      </c>
      <c r="F4953" s="2693"/>
      <c r="G4953" s="2693"/>
      <c r="H4953" s="2693"/>
      <c r="I4953" s="2693"/>
      <c r="J4953" s="2693"/>
      <c r="K4953" s="2693"/>
      <c r="L4953" s="2693"/>
      <c r="M4953" s="2693"/>
      <c r="N4953" s="2694"/>
    </row>
    <row r="4954" spans="3:14">
      <c r="C4954" s="980"/>
      <c r="D4954" s="813"/>
      <c r="E4954" s="813"/>
      <c r="F4954" s="813"/>
      <c r="G4954" s="813"/>
      <c r="H4954" s="813"/>
      <c r="I4954" s="813"/>
      <c r="J4954" s="813"/>
      <c r="K4954" s="813"/>
      <c r="L4954" s="813"/>
      <c r="M4954" s="813"/>
      <c r="N4954" s="814"/>
    </row>
    <row r="4955" spans="3:14">
      <c r="C4955" s="977"/>
      <c r="D4955" s="981"/>
      <c r="E4955" s="2695" t="s">
        <v>1475</v>
      </c>
      <c r="F4955" s="2695"/>
      <c r="G4955" s="2695"/>
      <c r="H4955" s="2695"/>
      <c r="I4955" s="2695"/>
      <c r="J4955" s="2695"/>
      <c r="K4955" s="2695"/>
      <c r="L4955" s="2695"/>
      <c r="M4955" s="2695"/>
      <c r="N4955" s="2694"/>
    </row>
    <row r="4956" spans="3:14">
      <c r="C4956" s="980"/>
      <c r="D4956" s="813"/>
      <c r="E4956" s="813"/>
      <c r="F4956" s="813"/>
      <c r="G4956" s="813"/>
      <c r="H4956" s="813"/>
      <c r="I4956" s="813"/>
      <c r="J4956" s="813"/>
      <c r="K4956" s="813"/>
      <c r="L4956" s="813"/>
      <c r="M4956" s="813"/>
      <c r="N4956" s="814"/>
    </row>
    <row r="4957" spans="3:14">
      <c r="C4957" s="977"/>
      <c r="D4957" s="982" t="s">
        <v>266</v>
      </c>
      <c r="E4957" s="2671" t="s">
        <v>1617</v>
      </c>
      <c r="F4957" s="2672"/>
      <c r="G4957" s="2672"/>
      <c r="H4957" s="2672"/>
      <c r="I4957" s="2672"/>
      <c r="J4957" s="2672"/>
      <c r="K4957" s="2672"/>
      <c r="L4957" s="2672"/>
      <c r="M4957" s="2672"/>
      <c r="N4957" s="2673"/>
    </row>
    <row r="4958" spans="3:14">
      <c r="C4958" s="977"/>
      <c r="D4958" s="777"/>
      <c r="E4958" s="2711" t="s">
        <v>2295</v>
      </c>
      <c r="F4958" s="2671"/>
      <c r="G4958" s="2671"/>
      <c r="H4958" s="2671"/>
      <c r="I4958" s="2671"/>
      <c r="J4958" s="2671"/>
      <c r="K4958" s="2671"/>
      <c r="L4958" s="2671"/>
      <c r="M4958" s="2671"/>
      <c r="N4958" s="2712"/>
    </row>
    <row r="4959" spans="3:14">
      <c r="C4959" s="977"/>
      <c r="D4959" s="981"/>
      <c r="E4959" s="2674" t="s">
        <v>1618</v>
      </c>
      <c r="F4959" s="2674"/>
      <c r="G4959" s="2674"/>
      <c r="H4959" s="2674"/>
      <c r="I4959" s="2674"/>
      <c r="J4959" s="2674"/>
      <c r="K4959" s="2674"/>
      <c r="L4959" s="2674"/>
      <c r="M4959" s="2674"/>
      <c r="N4959" s="2675"/>
    </row>
    <row r="4960" spans="3:14">
      <c r="C4960" s="977"/>
      <c r="D4960" s="981"/>
      <c r="E4960" s="985" t="s">
        <v>1021</v>
      </c>
      <c r="F4960" s="2645" t="s">
        <v>1616</v>
      </c>
      <c r="G4960" s="2646"/>
      <c r="H4960" s="2646"/>
      <c r="I4960" s="2646"/>
      <c r="J4960" s="2646"/>
      <c r="K4960" s="2646"/>
      <c r="L4960" s="2646"/>
      <c r="M4960" s="2646"/>
      <c r="N4960" s="2647"/>
    </row>
    <row r="4961" spans="3:14">
      <c r="C4961" s="977"/>
      <c r="D4961" s="981"/>
      <c r="E4961" s="985"/>
      <c r="F4961" s="2669" t="s">
        <v>1615</v>
      </c>
      <c r="G4961" s="2391"/>
      <c r="H4961" s="2391"/>
      <c r="I4961" s="2391"/>
      <c r="J4961" s="2391"/>
      <c r="K4961" s="2391"/>
      <c r="L4961" s="2391"/>
      <c r="M4961" s="2391"/>
      <c r="N4961" s="2650"/>
    </row>
    <row r="4962" spans="3:14">
      <c r="C4962" s="977"/>
      <c r="D4962" s="981"/>
      <c r="E4962" s="985" t="s">
        <v>1021</v>
      </c>
      <c r="F4962" s="2645" t="s">
        <v>1278</v>
      </c>
      <c r="G4962" s="2646"/>
      <c r="H4962" s="2646"/>
      <c r="I4962" s="2646"/>
      <c r="J4962" s="2646"/>
      <c r="K4962" s="2646"/>
      <c r="L4962" s="2646"/>
      <c r="M4962" s="2646"/>
      <c r="N4962" s="2647"/>
    </row>
    <row r="4963" spans="3:14">
      <c r="C4963" s="977"/>
      <c r="D4963" s="981"/>
      <c r="E4963" s="985"/>
      <c r="F4963" s="2645" t="s">
        <v>1620</v>
      </c>
      <c r="G4963" s="2646"/>
      <c r="H4963" s="2646"/>
      <c r="I4963" s="2646"/>
      <c r="J4963" s="2646"/>
      <c r="K4963" s="2646"/>
      <c r="L4963" s="2646"/>
      <c r="M4963" s="2646"/>
      <c r="N4963" s="2647"/>
    </row>
    <row r="4964" spans="3:14">
      <c r="C4964" s="977"/>
      <c r="D4964" s="981"/>
      <c r="E4964" s="985"/>
      <c r="F4964" s="2645" t="s">
        <v>1619</v>
      </c>
      <c r="G4964" s="2646"/>
      <c r="H4964" s="2646"/>
      <c r="I4964" s="2646"/>
      <c r="J4964" s="2646"/>
      <c r="K4964" s="2646"/>
      <c r="L4964" s="2646"/>
      <c r="M4964" s="2646"/>
      <c r="N4964" s="2647"/>
    </row>
    <row r="4965" spans="3:14">
      <c r="C4965" s="977"/>
      <c r="D4965" s="981"/>
      <c r="E4965" s="985" t="s">
        <v>1021</v>
      </c>
      <c r="F4965" s="2645" t="s">
        <v>1542</v>
      </c>
      <c r="G4965" s="2646"/>
      <c r="H4965" s="2646"/>
      <c r="I4965" s="2646"/>
      <c r="J4965" s="2646"/>
      <c r="K4965" s="2646"/>
      <c r="L4965" s="2646"/>
      <c r="M4965" s="2646"/>
      <c r="N4965" s="2647"/>
    </row>
    <row r="4966" spans="3:14">
      <c r="C4966" s="977"/>
      <c r="D4966" s="981"/>
      <c r="E4966" s="985" t="s">
        <v>1021</v>
      </c>
      <c r="F4966" s="2645" t="s">
        <v>1458</v>
      </c>
      <c r="G4966" s="2646"/>
      <c r="H4966" s="2646"/>
      <c r="I4966" s="2646"/>
      <c r="J4966" s="2646"/>
      <c r="K4966" s="2646"/>
      <c r="L4966" s="2646"/>
      <c r="M4966" s="2646"/>
      <c r="N4966" s="2647"/>
    </row>
    <row r="4967" spans="3:14">
      <c r="C4967" s="977"/>
      <c r="D4967" s="982"/>
      <c r="E4967" s="2648" t="s">
        <v>1612</v>
      </c>
      <c r="F4967" s="2648"/>
      <c r="G4967" s="987" t="s">
        <v>884</v>
      </c>
      <c r="H4967" s="782">
        <v>2019</v>
      </c>
      <c r="I4967" s="988">
        <v>2020</v>
      </c>
      <c r="J4967" s="781">
        <v>2021</v>
      </c>
      <c r="K4967" s="782">
        <v>2022</v>
      </c>
      <c r="L4967" s="782">
        <v>2023</v>
      </c>
      <c r="M4967" s="782">
        <v>2024</v>
      </c>
      <c r="N4967" s="783">
        <v>2025</v>
      </c>
    </row>
    <row r="4968" spans="3:14">
      <c r="C4968" s="977"/>
      <c r="D4968" s="981"/>
      <c r="E4968" s="2487" t="str">
        <f>IFERROR(IF([1]F_ProductBM!E2262 = "", "", [1]F_ProductBM!E2262 ),"")</f>
        <v/>
      </c>
      <c r="F4968" s="2488"/>
      <c r="G4968" s="815" t="s">
        <v>2016</v>
      </c>
      <c r="H4968" s="93" t="str">
        <f>IFERROR(IF([1]F_ProductBM!H2262 = "", "", [1]F_ProductBM!H2262 ),"")</f>
        <v/>
      </c>
      <c r="I4968" s="116" t="str">
        <f>IFERROR(IF([1]F_ProductBM!I2262 = "", "", [1]F_ProductBM!I2262 ),"")</f>
        <v/>
      </c>
      <c r="J4968" s="117" t="str">
        <f>IFERROR(IF([1]F_ProductBM!J2262 = "", "", [1]F_ProductBM!J2262 ),"")</f>
        <v/>
      </c>
      <c r="K4968" s="93" t="str">
        <f>IFERROR(IF([1]F_ProductBM!K2262 = "", "", [1]F_ProductBM!K2262 ),"")</f>
        <v/>
      </c>
      <c r="L4968" s="93" t="str">
        <f>IFERROR(IF([1]F_ProductBM!L2262 = "", "", [1]F_ProductBM!L2262 ),"")</f>
        <v/>
      </c>
      <c r="M4968" s="93" t="str">
        <f>IFERROR(IF([1]F_ProductBM!M2262 = "", "", [1]F_ProductBM!M2262 ),"")</f>
        <v/>
      </c>
      <c r="N4968" s="118" t="str">
        <f>IFERROR(IF([1]F_ProductBM!N2262 = "", "", [1]F_ProductBM!N2262 ),"")</f>
        <v/>
      </c>
    </row>
    <row r="4969" spans="3:14">
      <c r="C4969" s="977"/>
      <c r="D4969" s="981"/>
      <c r="E4969" s="981"/>
      <c r="F4969" s="981"/>
      <c r="G4969" s="981"/>
      <c r="H4969" s="981"/>
      <c r="I4969" s="981"/>
      <c r="J4969" s="981"/>
      <c r="K4969" s="981"/>
      <c r="L4969" s="981"/>
      <c r="M4969" s="813"/>
      <c r="N4969" s="814"/>
    </row>
    <row r="4970" spans="3:14">
      <c r="C4970" s="977"/>
      <c r="D4970" s="982" t="s">
        <v>269</v>
      </c>
      <c r="E4970" s="2649" t="s">
        <v>1189</v>
      </c>
      <c r="F4970" s="2391"/>
      <c r="G4970" s="2391"/>
      <c r="H4970" s="2391"/>
      <c r="I4970" s="2391"/>
      <c r="J4970" s="2391"/>
      <c r="K4970" s="2391"/>
      <c r="L4970" s="2391"/>
      <c r="M4970" s="2391"/>
      <c r="N4970" s="2650"/>
    </row>
    <row r="4971" spans="3:14">
      <c r="C4971" s="977"/>
      <c r="D4971" s="981"/>
      <c r="E4971" s="2674" t="s">
        <v>1605</v>
      </c>
      <c r="F4971" s="2674"/>
      <c r="G4971" s="2674"/>
      <c r="H4971" s="2674"/>
      <c r="I4971" s="2674"/>
      <c r="J4971" s="2674"/>
      <c r="K4971" s="2674"/>
      <c r="L4971" s="2674"/>
      <c r="M4971" s="2674"/>
      <c r="N4971" s="2675"/>
    </row>
    <row r="4972" spans="3:14">
      <c r="C4972" s="977"/>
      <c r="D4972" s="981"/>
      <c r="E4972" s="2674" t="s">
        <v>1357</v>
      </c>
      <c r="F4972" s="2674"/>
      <c r="G4972" s="2674"/>
      <c r="H4972" s="2674"/>
      <c r="I4972" s="2674"/>
      <c r="J4972" s="2674"/>
      <c r="K4972" s="2674"/>
      <c r="L4972" s="2674"/>
      <c r="M4972" s="2674"/>
      <c r="N4972" s="2675"/>
    </row>
    <row r="4973" spans="3:14">
      <c r="C4973" s="977"/>
      <c r="D4973" s="981"/>
      <c r="E4973" s="2674" t="s">
        <v>1594</v>
      </c>
      <c r="F4973" s="2674"/>
      <c r="G4973" s="2674"/>
      <c r="H4973" s="2674"/>
      <c r="I4973" s="2674"/>
      <c r="J4973" s="2674"/>
      <c r="K4973" s="2674"/>
      <c r="L4973" s="2674"/>
      <c r="M4973" s="2674"/>
      <c r="N4973" s="2675"/>
    </row>
    <row r="4974" spans="3:14">
      <c r="C4974" s="977"/>
      <c r="D4974" s="981"/>
      <c r="E4974" s="2676" t="s">
        <v>1557</v>
      </c>
      <c r="F4974" s="2391"/>
      <c r="G4974" s="2391"/>
      <c r="H4974" s="2391"/>
      <c r="I4974" s="2391"/>
      <c r="J4974" s="2391"/>
      <c r="K4974" s="2391"/>
      <c r="L4974" s="2391"/>
      <c r="M4974" s="2391"/>
      <c r="N4974" s="2650"/>
    </row>
    <row r="4975" spans="3:14">
      <c r="C4975" s="977"/>
      <c r="D4975" s="982"/>
      <c r="E4975" s="989"/>
      <c r="F4975" s="990"/>
      <c r="G4975" s="987" t="s">
        <v>884</v>
      </c>
      <c r="H4975" s="782">
        <v>2019</v>
      </c>
      <c r="I4975" s="988">
        <v>2020</v>
      </c>
      <c r="J4975" s="781">
        <v>2021</v>
      </c>
      <c r="K4975" s="782">
        <v>2022</v>
      </c>
      <c r="L4975" s="782">
        <v>2023</v>
      </c>
      <c r="M4975" s="782">
        <v>2024</v>
      </c>
      <c r="N4975" s="783">
        <v>2025</v>
      </c>
    </row>
    <row r="4976" spans="3:14">
      <c r="C4976" s="977"/>
      <c r="D4976" s="777" t="s">
        <v>6</v>
      </c>
      <c r="E4976" s="2475" t="s">
        <v>1344</v>
      </c>
      <c r="F4976" s="2410"/>
      <c r="G4976" s="815" t="s">
        <v>2017</v>
      </c>
      <c r="H4976" s="93" t="str">
        <f>IFERROR(IF([1]F_ProductBM!H2270 = "", "", [1]F_ProductBM!H2270 ),"")</f>
        <v/>
      </c>
      <c r="I4976" s="116" t="str">
        <f>IFERROR(IF([1]F_ProductBM!I2270 = "", "", [1]F_ProductBM!I2270 ),"")</f>
        <v/>
      </c>
      <c r="J4976" s="117" t="str">
        <f>IFERROR(IF([1]F_ProductBM!J2270 = "", "", [1]F_ProductBM!J2270 ),"")</f>
        <v/>
      </c>
      <c r="K4976" s="93" t="str">
        <f>IFERROR(IF([1]F_ProductBM!K2270 = "", "", [1]F_ProductBM!K2270 ),"")</f>
        <v/>
      </c>
      <c r="L4976" s="93" t="str">
        <f>IFERROR(IF([1]F_ProductBM!L2270 = "", "", [1]F_ProductBM!L2270 ),"")</f>
        <v/>
      </c>
      <c r="M4976" s="93" t="str">
        <f>IFERROR(IF([1]F_ProductBM!M2270 = "", "", [1]F_ProductBM!M2270 ),"")</f>
        <v/>
      </c>
      <c r="N4976" s="118" t="str">
        <f>IFERROR(IF([1]F_ProductBM!N2270 = "", "", [1]F_ProductBM!N2270 ),"")</f>
        <v/>
      </c>
    </row>
    <row r="4977" spans="3:14">
      <c r="C4977" s="977"/>
      <c r="D4977" s="777" t="s">
        <v>7</v>
      </c>
      <c r="E4977" s="2475" t="s">
        <v>1182</v>
      </c>
      <c r="F4977" s="2410"/>
      <c r="G4977" s="991" t="s">
        <v>2018</v>
      </c>
      <c r="H4977" s="109" t="str">
        <f>IFERROR(IF([1]F_ProductBM!H2271 = "", "", [1]F_ProductBM!H2271 ),"")</f>
        <v/>
      </c>
      <c r="I4977" s="304" t="str">
        <f>IFERROR(IF([1]F_ProductBM!I2271 = "", "", [1]F_ProductBM!I2271 ),"")</f>
        <v/>
      </c>
      <c r="J4977" s="305" t="str">
        <f>IFERROR(IF([1]F_ProductBM!J2271 = "", "", [1]F_ProductBM!J2271 ),"")</f>
        <v/>
      </c>
      <c r="K4977" s="109" t="str">
        <f>IFERROR(IF([1]F_ProductBM!K2271 = "", "", [1]F_ProductBM!K2271 ),"")</f>
        <v/>
      </c>
      <c r="L4977" s="109" t="str">
        <f>IFERROR(IF([1]F_ProductBM!L2271 = "", "", [1]F_ProductBM!L2271 ),"")</f>
        <v/>
      </c>
      <c r="M4977" s="109" t="str">
        <f>IFERROR(IF([1]F_ProductBM!M2271 = "", "", [1]F_ProductBM!M2271 ),"")</f>
        <v/>
      </c>
      <c r="N4977" s="357" t="str">
        <f>IFERROR(IF([1]F_ProductBM!N2271 = "", "", [1]F_ProductBM!N2271 ),"")</f>
        <v/>
      </c>
    </row>
    <row r="4978" spans="3:14">
      <c r="C4978" s="977"/>
      <c r="D4978" s="981"/>
      <c r="E4978" s="981"/>
      <c r="F4978" s="981"/>
      <c r="G4978" s="981"/>
      <c r="H4978" s="981"/>
      <c r="I4978" s="981"/>
      <c r="J4978" s="981"/>
      <c r="K4978" s="981"/>
      <c r="L4978" s="981"/>
      <c r="M4978" s="813"/>
      <c r="N4978" s="814"/>
    </row>
    <row r="4979" spans="3:14">
      <c r="C4979" s="977"/>
      <c r="D4979" s="982" t="s">
        <v>271</v>
      </c>
      <c r="E4979" s="2649" t="s">
        <v>1416</v>
      </c>
      <c r="F4979" s="2391"/>
      <c r="G4979" s="2391"/>
      <c r="H4979" s="2391"/>
      <c r="I4979" s="2391"/>
      <c r="J4979" s="2391"/>
      <c r="K4979" s="2391"/>
      <c r="L4979" s="2391"/>
      <c r="M4979" s="2391"/>
      <c r="N4979" s="2650"/>
    </row>
    <row r="4980" spans="3:14">
      <c r="C4980" s="977"/>
      <c r="D4980" s="777"/>
      <c r="E4980" s="2676" t="s">
        <v>2295</v>
      </c>
      <c r="F4980" s="2391"/>
      <c r="G4980" s="2391"/>
      <c r="H4980" s="2391"/>
      <c r="I4980" s="2391"/>
      <c r="J4980" s="2391"/>
      <c r="K4980" s="2391"/>
      <c r="L4980" s="2391"/>
      <c r="M4980" s="2391"/>
      <c r="N4980" s="2650"/>
    </row>
    <row r="4981" spans="3:14">
      <c r="C4981" s="977"/>
      <c r="D4981" s="981"/>
      <c r="E4981" s="2676" t="s">
        <v>1551</v>
      </c>
      <c r="F4981" s="2391"/>
      <c r="G4981" s="2391"/>
      <c r="H4981" s="2391"/>
      <c r="I4981" s="2391"/>
      <c r="J4981" s="2391"/>
      <c r="K4981" s="2391"/>
      <c r="L4981" s="2391"/>
      <c r="M4981" s="2391"/>
      <c r="N4981" s="2650"/>
    </row>
    <row r="4982" spans="3:14">
      <c r="C4982" s="977"/>
      <c r="D4982" s="981"/>
      <c r="E4982" s="2669" t="s">
        <v>1552</v>
      </c>
      <c r="F4982" s="2391"/>
      <c r="G4982" s="2391"/>
      <c r="H4982" s="2391"/>
      <c r="I4982" s="2391"/>
      <c r="J4982" s="2391"/>
      <c r="K4982" s="2391"/>
      <c r="L4982" s="2391"/>
      <c r="M4982" s="2391"/>
      <c r="N4982" s="2650"/>
    </row>
    <row r="4983" spans="3:14">
      <c r="C4983" s="977"/>
      <c r="D4983" s="981"/>
      <c r="E4983" s="2669" t="s">
        <v>1553</v>
      </c>
      <c r="F4983" s="2391"/>
      <c r="G4983" s="2391"/>
      <c r="H4983" s="2391"/>
      <c r="I4983" s="2391"/>
      <c r="J4983" s="2391"/>
      <c r="K4983" s="2391"/>
      <c r="L4983" s="2391"/>
      <c r="M4983" s="2391"/>
      <c r="N4983" s="2650"/>
    </row>
    <row r="4984" spans="3:14">
      <c r="C4984" s="977"/>
      <c r="D4984" s="981"/>
      <c r="E4984" s="2669" t="s">
        <v>1567</v>
      </c>
      <c r="F4984" s="2391"/>
      <c r="G4984" s="2391"/>
      <c r="H4984" s="2391"/>
      <c r="I4984" s="2391"/>
      <c r="J4984" s="2391"/>
      <c r="K4984" s="2391"/>
      <c r="L4984" s="2391"/>
      <c r="M4984" s="2391"/>
      <c r="N4984" s="2650"/>
    </row>
    <row r="4985" spans="3:14">
      <c r="C4985" s="977"/>
      <c r="D4985" s="981"/>
      <c r="E4985" s="2669" t="s">
        <v>1565</v>
      </c>
      <c r="F4985" s="2391"/>
      <c r="G4985" s="2391"/>
      <c r="H4985" s="2391"/>
      <c r="I4985" s="2391"/>
      <c r="J4985" s="2391"/>
      <c r="K4985" s="2391"/>
      <c r="L4985" s="2391"/>
      <c r="M4985" s="2391"/>
      <c r="N4985" s="2650"/>
    </row>
    <row r="4986" spans="3:14">
      <c r="C4986" s="977"/>
      <c r="D4986" s="777" t="s">
        <v>6</v>
      </c>
      <c r="E4986" s="2682" t="s">
        <v>1456</v>
      </c>
      <c r="F4986" s="2391"/>
      <c r="G4986" s="2391"/>
      <c r="H4986" s="2391"/>
      <c r="I4986" s="2391"/>
      <c r="J4986" s="2391"/>
      <c r="K4986" s="2512"/>
      <c r="L4986" s="120" t="str">
        <f>IFERROR(IF([1]F_ProductBM!L2280 = "", "", [1]F_ProductBM!L2280 ),"")</f>
        <v/>
      </c>
      <c r="M4986" s="978"/>
      <c r="N4986" s="979"/>
    </row>
    <row r="4987" spans="3:14">
      <c r="C4987" s="977"/>
      <c r="D4987" s="981"/>
      <c r="E4987" s="2669" t="s">
        <v>1216</v>
      </c>
      <c r="F4987" s="2391"/>
      <c r="G4987" s="2391"/>
      <c r="H4987" s="2391"/>
      <c r="I4987" s="2391"/>
      <c r="J4987" s="2391"/>
      <c r="K4987" s="2391"/>
      <c r="L4987" s="2391"/>
      <c r="M4987" s="2391"/>
      <c r="N4987" s="2650"/>
    </row>
    <row r="4988" spans="3:14">
      <c r="C4988" s="977"/>
      <c r="D4988" s="777" t="s">
        <v>7</v>
      </c>
      <c r="E4988" s="2649" t="s">
        <v>1214</v>
      </c>
      <c r="F4988" s="2391"/>
      <c r="G4988" s="2391"/>
      <c r="H4988" s="2512"/>
      <c r="I4988" s="2683" t="str">
        <f>IFERROR(IF([1]F_ProductBM!I2282 = "", "", [1]F_ProductBM!I2282 ),"")</f>
        <v/>
      </c>
      <c r="J4988" s="2487"/>
      <c r="K4988" s="2487"/>
      <c r="L4988" s="2487"/>
      <c r="M4988" s="2684"/>
      <c r="N4988" s="992"/>
    </row>
    <row r="4989" spans="3:14">
      <c r="C4989" s="977"/>
      <c r="D4989" s="981"/>
      <c r="E4989" s="986"/>
      <c r="F4989" s="978"/>
      <c r="G4989" s="978"/>
      <c r="H4989" s="978"/>
      <c r="I4989" s="978"/>
      <c r="J4989" s="978"/>
      <c r="K4989" s="978"/>
      <c r="L4989" s="978"/>
      <c r="M4989" s="978"/>
      <c r="N4989" s="979"/>
    </row>
    <row r="4990" spans="3:14">
      <c r="C4990" s="977"/>
      <c r="D4990" s="981"/>
      <c r="E4990" s="2648" t="s">
        <v>1154</v>
      </c>
      <c r="F4990" s="2493"/>
      <c r="G4990" s="987" t="s">
        <v>884</v>
      </c>
      <c r="H4990" s="782">
        <v>2019</v>
      </c>
      <c r="I4990" s="988">
        <v>2020</v>
      </c>
      <c r="J4990" s="781">
        <v>2021</v>
      </c>
      <c r="K4990" s="782">
        <v>2022</v>
      </c>
      <c r="L4990" s="782">
        <v>2023</v>
      </c>
      <c r="M4990" s="782">
        <v>2024</v>
      </c>
      <c r="N4990" s="783">
        <v>2025</v>
      </c>
    </row>
    <row r="4991" spans="3:14">
      <c r="C4991" s="977"/>
      <c r="D4991" s="777" t="s">
        <v>8</v>
      </c>
      <c r="E4991" s="2471" t="s">
        <v>1153</v>
      </c>
      <c r="F4991" s="2472"/>
      <c r="G4991" s="811" t="s">
        <v>2152</v>
      </c>
      <c r="H4991" s="94" t="str">
        <f>IFERROR(IF([1]F_ProductBM!H2285 = "", "", [1]F_ProductBM!H2285 ),"")</f>
        <v/>
      </c>
      <c r="I4991" s="110" t="str">
        <f>IFERROR(IF([1]F_ProductBM!I2285 = "", "", [1]F_ProductBM!I2285 ),"")</f>
        <v/>
      </c>
      <c r="J4991" s="111" t="str">
        <f>IFERROR(IF([1]F_ProductBM!J2285 = "", "", [1]F_ProductBM!J2285 ),"")</f>
        <v/>
      </c>
      <c r="K4991" s="94" t="str">
        <f>IFERROR(IF([1]F_ProductBM!K2285 = "", "", [1]F_ProductBM!K2285 ),"")</f>
        <v/>
      </c>
      <c r="L4991" s="94" t="str">
        <f>IFERROR(IF([1]F_ProductBM!L2285 = "", "", [1]F_ProductBM!L2285 ),"")</f>
        <v/>
      </c>
      <c r="M4991" s="94" t="str">
        <f>IFERROR(IF([1]F_ProductBM!M2285 = "", "", [1]F_ProductBM!M2285 ),"")</f>
        <v/>
      </c>
      <c r="N4991" s="112" t="str">
        <f>IFERROR(IF([1]F_ProductBM!N2285 = "", "", [1]F_ProductBM!N2285 ),"")</f>
        <v/>
      </c>
    </row>
    <row r="4992" spans="3:14">
      <c r="C4992" s="977"/>
      <c r="D4992" s="777" t="s">
        <v>18</v>
      </c>
      <c r="E4992" s="2685" t="s">
        <v>946</v>
      </c>
      <c r="F4992" s="2608"/>
      <c r="G4992" s="993" t="s">
        <v>2019</v>
      </c>
      <c r="H4992" s="101" t="str">
        <f>IFERROR(IF([1]F_ProductBM!H2286 = "", "", [1]F_ProductBM!H2286 ),"")</f>
        <v/>
      </c>
      <c r="I4992" s="361" t="str">
        <f>IFERROR(IF([1]F_ProductBM!I2286 = "", "", [1]F_ProductBM!I2286 ),"")</f>
        <v/>
      </c>
      <c r="J4992" s="362" t="str">
        <f>IFERROR(IF([1]F_ProductBM!J2286 = "", "", [1]F_ProductBM!J2286 ),"")</f>
        <v/>
      </c>
      <c r="K4992" s="101" t="str">
        <f>IFERROR(IF([1]F_ProductBM!K2286 = "", "", [1]F_ProductBM!K2286 ),"")</f>
        <v/>
      </c>
      <c r="L4992" s="101" t="str">
        <f>IFERROR(IF([1]F_ProductBM!L2286 = "", "", [1]F_ProductBM!L2286 ),"")</f>
        <v/>
      </c>
      <c r="M4992" s="101" t="str">
        <f>IFERROR(IF([1]F_ProductBM!M2286 = "", "", [1]F_ProductBM!M2286 ),"")</f>
        <v/>
      </c>
      <c r="N4992" s="363" t="str">
        <f>IFERROR(IF([1]F_ProductBM!N2286 = "", "", [1]F_ProductBM!N2286 ),"")</f>
        <v/>
      </c>
    </row>
    <row r="4993" spans="3:14">
      <c r="C4993" s="977"/>
      <c r="D4993" s="777" t="s">
        <v>787</v>
      </c>
      <c r="E4993" s="2685" t="s">
        <v>945</v>
      </c>
      <c r="F4993" s="2608"/>
      <c r="G4993" s="994" t="s">
        <v>878</v>
      </c>
      <c r="H4993" s="101" t="str">
        <f>IFERROR(IF([1]F_ProductBM!H2287 = "", "", [1]F_ProductBM!H2287 ),"")</f>
        <v/>
      </c>
      <c r="I4993" s="361" t="str">
        <f>IFERROR(IF([1]F_ProductBM!I2287 = "", "", [1]F_ProductBM!I2287 ),"")</f>
        <v/>
      </c>
      <c r="J4993" s="362" t="str">
        <f>IFERROR(IF([1]F_ProductBM!J2287 = "", "", [1]F_ProductBM!J2287 ),"")</f>
        <v/>
      </c>
      <c r="K4993" s="101" t="str">
        <f>IFERROR(IF([1]F_ProductBM!K2287 = "", "", [1]F_ProductBM!K2287 ),"")</f>
        <v/>
      </c>
      <c r="L4993" s="101" t="str">
        <f>IFERROR(IF([1]F_ProductBM!L2287 = "", "", [1]F_ProductBM!L2287 ),"")</f>
        <v/>
      </c>
      <c r="M4993" s="101" t="str">
        <f>IFERROR(IF([1]F_ProductBM!M2287 = "", "", [1]F_ProductBM!M2287 ),"")</f>
        <v/>
      </c>
      <c r="N4993" s="363" t="str">
        <f>IFERROR(IF([1]F_ProductBM!N2287 = "", "", [1]F_ProductBM!N2287 ),"")</f>
        <v/>
      </c>
    </row>
    <row r="4994" spans="3:14">
      <c r="C4994" s="977"/>
      <c r="D4994" s="777" t="s">
        <v>788</v>
      </c>
      <c r="E4994" s="2473" t="s">
        <v>880</v>
      </c>
      <c r="F4994" s="2474"/>
      <c r="G4994" s="812" t="s">
        <v>878</v>
      </c>
      <c r="H4994" s="95" t="str">
        <f>IFERROR(IF([1]F_ProductBM!H2288 = "", "", [1]F_ProductBM!H2288 ),"")</f>
        <v/>
      </c>
      <c r="I4994" s="113" t="str">
        <f>IFERROR(IF([1]F_ProductBM!I2288 = "", "", [1]F_ProductBM!I2288 ),"")</f>
        <v/>
      </c>
      <c r="J4994" s="114" t="str">
        <f>IFERROR(IF([1]F_ProductBM!J2288 = "", "", [1]F_ProductBM!J2288 ),"")</f>
        <v/>
      </c>
      <c r="K4994" s="95" t="str">
        <f>IFERROR(IF([1]F_ProductBM!K2288 = "", "", [1]F_ProductBM!K2288 ),"")</f>
        <v/>
      </c>
      <c r="L4994" s="95" t="str">
        <f>IFERROR(IF([1]F_ProductBM!L2288 = "", "", [1]F_ProductBM!L2288 ),"")</f>
        <v/>
      </c>
      <c r="M4994" s="95" t="str">
        <f>IFERROR(IF([1]F_ProductBM!M2288 = "", "", [1]F_ProductBM!M2288 ),"")</f>
        <v/>
      </c>
      <c r="N4994" s="115" t="str">
        <f>IFERROR(IF([1]F_ProductBM!N2288 = "", "", [1]F_ProductBM!N2288 ),"")</f>
        <v/>
      </c>
    </row>
    <row r="4995" spans="3:14">
      <c r="C4995" s="977"/>
      <c r="D4995" s="777" t="s">
        <v>789</v>
      </c>
      <c r="E4995" s="2471" t="s">
        <v>882</v>
      </c>
      <c r="F4995" s="2472"/>
      <c r="G4995" s="995" t="s">
        <v>2015</v>
      </c>
      <c r="H4995" s="378" t="str">
        <f>IFERROR(IF([1]F_ProductBM!H2289 = "", "", [1]F_ProductBM!H2289 ),"")</f>
        <v/>
      </c>
      <c r="I4995" s="379" t="str">
        <f>IFERROR(IF([1]F_ProductBM!I2289 = "", "", [1]F_ProductBM!I2289 ),"")</f>
        <v/>
      </c>
      <c r="J4995" s="380" t="str">
        <f>IFERROR(IF([1]F_ProductBM!J2289 = "", "", [1]F_ProductBM!J2289 ),"")</f>
        <v/>
      </c>
      <c r="K4995" s="378" t="str">
        <f>IFERROR(IF([1]F_ProductBM!K2289 = "", "", [1]F_ProductBM!K2289 ),"")</f>
        <v/>
      </c>
      <c r="L4995" s="378" t="str">
        <f>IFERROR(IF([1]F_ProductBM!L2289 = "", "", [1]F_ProductBM!L2289 ),"")</f>
        <v/>
      </c>
      <c r="M4995" s="378" t="str">
        <f>IFERROR(IF([1]F_ProductBM!M2289 = "", "", [1]F_ProductBM!M2289 ),"")</f>
        <v/>
      </c>
      <c r="N4995" s="381" t="str">
        <f>IFERROR(IF([1]F_ProductBM!N2289 = "", "", [1]F_ProductBM!N2289 ),"")</f>
        <v/>
      </c>
    </row>
    <row r="4996" spans="3:14">
      <c r="C4996" s="977"/>
      <c r="D4996" s="777" t="s">
        <v>790</v>
      </c>
      <c r="E4996" s="2670" t="s">
        <v>879</v>
      </c>
      <c r="F4996" s="2608"/>
      <c r="G4996" s="998" t="s">
        <v>2015</v>
      </c>
      <c r="H4996" s="382" t="str">
        <f>IFERROR(IF([1]F_ProductBM!H2290 = "", "", [1]F_ProductBM!H2290 ),"")</f>
        <v/>
      </c>
      <c r="I4996" s="383" t="str">
        <f>IFERROR(IF([1]F_ProductBM!I2290 = "", "", [1]F_ProductBM!I2290 ),"")</f>
        <v/>
      </c>
      <c r="J4996" s="384" t="str">
        <f>IFERROR(IF([1]F_ProductBM!J2290 = "", "", [1]F_ProductBM!J2290 ),"")</f>
        <v/>
      </c>
      <c r="K4996" s="382" t="str">
        <f>IFERROR(IF([1]F_ProductBM!K2290 = "", "", [1]F_ProductBM!K2290 ),"")</f>
        <v/>
      </c>
      <c r="L4996" s="382" t="str">
        <f>IFERROR(IF([1]F_ProductBM!L2290 = "", "", [1]F_ProductBM!L2290 ),"")</f>
        <v/>
      </c>
      <c r="M4996" s="382" t="str">
        <f>IFERROR(IF([1]F_ProductBM!M2290 = "", "", [1]F_ProductBM!M2290 ),"")</f>
        <v/>
      </c>
      <c r="N4996" s="385" t="str">
        <f>IFERROR(IF([1]F_ProductBM!N2290 = "", "", [1]F_ProductBM!N2290 ),"")</f>
        <v/>
      </c>
    </row>
    <row r="4997" spans="3:14">
      <c r="C4997" s="977"/>
      <c r="D4997" s="777" t="s">
        <v>791</v>
      </c>
      <c r="E4997" s="2473" t="s">
        <v>41</v>
      </c>
      <c r="F4997" s="2474"/>
      <c r="G4997" s="1001" t="s">
        <v>2017</v>
      </c>
      <c r="H4997" s="86" t="str">
        <f>IFERROR(IF([1]F_ProductBM!H2291 = "", "", [1]F_ProductBM!H2291 ),"")</f>
        <v/>
      </c>
      <c r="I4997" s="340" t="str">
        <f>IFERROR(IF([1]F_ProductBM!I2291 = "", "", [1]F_ProductBM!I2291 ),"")</f>
        <v/>
      </c>
      <c r="J4997" s="341" t="str">
        <f>IFERROR(IF([1]F_ProductBM!J2291 = "", "", [1]F_ProductBM!J2291 ),"")</f>
        <v/>
      </c>
      <c r="K4997" s="86" t="str">
        <f>IFERROR(IF([1]F_ProductBM!K2291 = "", "", [1]F_ProductBM!K2291 ),"")</f>
        <v/>
      </c>
      <c r="L4997" s="86" t="str">
        <f>IFERROR(IF([1]F_ProductBM!L2291 = "", "", [1]F_ProductBM!L2291 ),"")</f>
        <v/>
      </c>
      <c r="M4997" s="86" t="str">
        <f>IFERROR(IF([1]F_ProductBM!M2291 = "", "", [1]F_ProductBM!M2291 ),"")</f>
        <v/>
      </c>
      <c r="N4997" s="342" t="str">
        <f>IFERROR(IF([1]F_ProductBM!N2291 = "", "", [1]F_ProductBM!N2291 ),"")</f>
        <v/>
      </c>
    </row>
    <row r="4998" spans="3:14">
      <c r="C4998" s="977"/>
      <c r="D4998" s="777" t="s">
        <v>64</v>
      </c>
      <c r="E4998" s="2687" t="s">
        <v>393</v>
      </c>
      <c r="F4998" s="2688"/>
      <c r="G4998" s="1002"/>
      <c r="H4998" s="343" t="str">
        <f>IFERROR(IF([1]F_ProductBM!H2292 = "", "", [1]F_ProductBM!H2292 ),"")</f>
        <v/>
      </c>
      <c r="I4998" s="344" t="str">
        <f>IFERROR(IF([1]F_ProductBM!I2292 = "", "", [1]F_ProductBM!I2292 ),"")</f>
        <v/>
      </c>
      <c r="J4998" s="345" t="str">
        <f>IFERROR(IF([1]F_ProductBM!J2292 = "", "", [1]F_ProductBM!J2292 ),"")</f>
        <v/>
      </c>
      <c r="K4998" s="343" t="str">
        <f>IFERROR(IF([1]F_ProductBM!K2292 = "", "", [1]F_ProductBM!K2292 ),"")</f>
        <v/>
      </c>
      <c r="L4998" s="343" t="str">
        <f>IFERROR(IF([1]F_ProductBM!L2292 = "", "", [1]F_ProductBM!L2292 ),"")</f>
        <v/>
      </c>
      <c r="M4998" s="343" t="str">
        <f>IFERROR(IF([1]F_ProductBM!M2292 = "", "", [1]F_ProductBM!M2292 ),"")</f>
        <v/>
      </c>
      <c r="N4998" s="346" t="str">
        <f>IFERROR(IF([1]F_ProductBM!N2292 = "", "", [1]F_ProductBM!N2292 ),"")</f>
        <v/>
      </c>
    </row>
    <row r="4999" spans="3:14">
      <c r="C4999" s="977"/>
      <c r="D4999" s="777"/>
      <c r="E4999" s="981"/>
      <c r="F4999" s="981"/>
      <c r="G4999" s="981"/>
      <c r="H4999" s="981"/>
      <c r="I4999" s="981"/>
      <c r="J4999" s="981"/>
      <c r="K4999" s="981"/>
      <c r="L4999" s="981"/>
      <c r="M4999" s="813"/>
      <c r="N4999" s="814"/>
    </row>
    <row r="5000" spans="3:14">
      <c r="C5000" s="977"/>
      <c r="D5000" s="777" t="s">
        <v>65</v>
      </c>
      <c r="E5000" s="2649" t="s">
        <v>1215</v>
      </c>
      <c r="F5000" s="2391"/>
      <c r="G5000" s="2391"/>
      <c r="H5000" s="2512"/>
      <c r="I5000" s="2683" t="str">
        <f>IFERROR(IF([1]F_ProductBM!I2294 = "", "", [1]F_ProductBM!I2294 ),"")</f>
        <v/>
      </c>
      <c r="J5000" s="2488"/>
      <c r="K5000" s="2488"/>
      <c r="L5000" s="2488"/>
      <c r="M5000" s="2686"/>
      <c r="N5000" s="979"/>
    </row>
    <row r="5001" spans="3:14">
      <c r="C5001" s="977"/>
      <c r="D5001" s="981"/>
      <c r="E5001" s="986"/>
      <c r="F5001" s="978"/>
      <c r="G5001" s="981"/>
      <c r="H5001" s="981"/>
      <c r="I5001" s="978"/>
      <c r="J5001" s="978"/>
      <c r="K5001" s="978"/>
      <c r="L5001" s="978"/>
      <c r="M5001" s="978"/>
      <c r="N5001" s="979"/>
    </row>
    <row r="5002" spans="3:14">
      <c r="C5002" s="977"/>
      <c r="D5002" s="777"/>
      <c r="E5002" s="2648" t="s">
        <v>1155</v>
      </c>
      <c r="F5002" s="2493"/>
      <c r="G5002" s="987" t="s">
        <v>884</v>
      </c>
      <c r="H5002" s="782">
        <v>2019</v>
      </c>
      <c r="I5002" s="988">
        <v>2020</v>
      </c>
      <c r="J5002" s="781">
        <v>2021</v>
      </c>
      <c r="K5002" s="782">
        <v>2022</v>
      </c>
      <c r="L5002" s="782">
        <v>2023</v>
      </c>
      <c r="M5002" s="782">
        <v>2024</v>
      </c>
      <c r="N5002" s="783">
        <v>2025</v>
      </c>
    </row>
    <row r="5003" spans="3:14">
      <c r="C5003" s="977"/>
      <c r="D5003" s="777" t="s">
        <v>66</v>
      </c>
      <c r="E5003" s="2471" t="s">
        <v>1153</v>
      </c>
      <c r="F5003" s="2472"/>
      <c r="G5003" s="811" t="s">
        <v>2152</v>
      </c>
      <c r="H5003" s="94" t="str">
        <f>IFERROR(IF([1]F_ProductBM!H2297 = "", "", [1]F_ProductBM!H2297 ),"")</f>
        <v/>
      </c>
      <c r="I5003" s="110" t="str">
        <f>IFERROR(IF([1]F_ProductBM!I2297 = "", "", [1]F_ProductBM!I2297 ),"")</f>
        <v/>
      </c>
      <c r="J5003" s="111" t="str">
        <f>IFERROR(IF([1]F_ProductBM!J2297 = "", "", [1]F_ProductBM!J2297 ),"")</f>
        <v/>
      </c>
      <c r="K5003" s="94" t="str">
        <f>IFERROR(IF([1]F_ProductBM!K2297 = "", "", [1]F_ProductBM!K2297 ),"")</f>
        <v/>
      </c>
      <c r="L5003" s="94" t="str">
        <f>IFERROR(IF([1]F_ProductBM!L2297 = "", "", [1]F_ProductBM!L2297 ),"")</f>
        <v/>
      </c>
      <c r="M5003" s="94" t="str">
        <f>IFERROR(IF([1]F_ProductBM!M2297 = "", "", [1]F_ProductBM!M2297 ),"")</f>
        <v/>
      </c>
      <c r="N5003" s="112" t="str">
        <f>IFERROR(IF([1]F_ProductBM!N2297 = "", "", [1]F_ProductBM!N2297 ),"")</f>
        <v/>
      </c>
    </row>
    <row r="5004" spans="3:14">
      <c r="C5004" s="977"/>
      <c r="D5004" s="777" t="s">
        <v>1105</v>
      </c>
      <c r="E5004" s="2685" t="s">
        <v>946</v>
      </c>
      <c r="F5004" s="2608"/>
      <c r="G5004" s="993" t="s">
        <v>2019</v>
      </c>
      <c r="H5004" s="101" t="str">
        <f>IFERROR(IF([1]F_ProductBM!H2298 = "", "", [1]F_ProductBM!H2298 ),"")</f>
        <v/>
      </c>
      <c r="I5004" s="361" t="str">
        <f>IFERROR(IF([1]F_ProductBM!I2298 = "", "", [1]F_ProductBM!I2298 ),"")</f>
        <v/>
      </c>
      <c r="J5004" s="362" t="str">
        <f>IFERROR(IF([1]F_ProductBM!J2298 = "", "", [1]F_ProductBM!J2298 ),"")</f>
        <v/>
      </c>
      <c r="K5004" s="101" t="str">
        <f>IFERROR(IF([1]F_ProductBM!K2298 = "", "", [1]F_ProductBM!K2298 ),"")</f>
        <v/>
      </c>
      <c r="L5004" s="101" t="str">
        <f>IFERROR(IF([1]F_ProductBM!L2298 = "", "", [1]F_ProductBM!L2298 ),"")</f>
        <v/>
      </c>
      <c r="M5004" s="101" t="str">
        <f>IFERROR(IF([1]F_ProductBM!M2298 = "", "", [1]F_ProductBM!M2298 ),"")</f>
        <v/>
      </c>
      <c r="N5004" s="363" t="str">
        <f>IFERROR(IF([1]F_ProductBM!N2298 = "", "", [1]F_ProductBM!N2298 ),"")</f>
        <v/>
      </c>
    </row>
    <row r="5005" spans="3:14">
      <c r="C5005" s="977"/>
      <c r="D5005" s="777" t="s">
        <v>1106</v>
      </c>
      <c r="E5005" s="2685" t="s">
        <v>945</v>
      </c>
      <c r="F5005" s="2608"/>
      <c r="G5005" s="994" t="s">
        <v>878</v>
      </c>
      <c r="H5005" s="101" t="str">
        <f>IFERROR(IF([1]F_ProductBM!H2299 = "", "", [1]F_ProductBM!H2299 ),"")</f>
        <v/>
      </c>
      <c r="I5005" s="361" t="str">
        <f>IFERROR(IF([1]F_ProductBM!I2299 = "", "", [1]F_ProductBM!I2299 ),"")</f>
        <v/>
      </c>
      <c r="J5005" s="362" t="str">
        <f>IFERROR(IF([1]F_ProductBM!J2299 = "", "", [1]F_ProductBM!J2299 ),"")</f>
        <v/>
      </c>
      <c r="K5005" s="101" t="str">
        <f>IFERROR(IF([1]F_ProductBM!K2299 = "", "", [1]F_ProductBM!K2299 ),"")</f>
        <v/>
      </c>
      <c r="L5005" s="101" t="str">
        <f>IFERROR(IF([1]F_ProductBM!L2299 = "", "", [1]F_ProductBM!L2299 ),"")</f>
        <v/>
      </c>
      <c r="M5005" s="101" t="str">
        <f>IFERROR(IF([1]F_ProductBM!M2299 = "", "", [1]F_ProductBM!M2299 ),"")</f>
        <v/>
      </c>
      <c r="N5005" s="363" t="str">
        <f>IFERROR(IF([1]F_ProductBM!N2299 = "", "", [1]F_ProductBM!N2299 ),"")</f>
        <v/>
      </c>
    </row>
    <row r="5006" spans="3:14">
      <c r="C5006" s="977"/>
      <c r="D5006" s="777" t="s">
        <v>1107</v>
      </c>
      <c r="E5006" s="2473" t="s">
        <v>880</v>
      </c>
      <c r="F5006" s="2474"/>
      <c r="G5006" s="812" t="s">
        <v>878</v>
      </c>
      <c r="H5006" s="95" t="str">
        <f>IFERROR(IF([1]F_ProductBM!H2300 = "", "", [1]F_ProductBM!H2300 ),"")</f>
        <v/>
      </c>
      <c r="I5006" s="113" t="str">
        <f>IFERROR(IF([1]F_ProductBM!I2300 = "", "", [1]F_ProductBM!I2300 ),"")</f>
        <v/>
      </c>
      <c r="J5006" s="114" t="str">
        <f>IFERROR(IF([1]F_ProductBM!J2300 = "", "", [1]F_ProductBM!J2300 ),"")</f>
        <v/>
      </c>
      <c r="K5006" s="95" t="str">
        <f>IFERROR(IF([1]F_ProductBM!K2300 = "", "", [1]F_ProductBM!K2300 ),"")</f>
        <v/>
      </c>
      <c r="L5006" s="95" t="str">
        <f>IFERROR(IF([1]F_ProductBM!L2300 = "", "", [1]F_ProductBM!L2300 ),"")</f>
        <v/>
      </c>
      <c r="M5006" s="95" t="str">
        <f>IFERROR(IF([1]F_ProductBM!M2300 = "", "", [1]F_ProductBM!M2300 ),"")</f>
        <v/>
      </c>
      <c r="N5006" s="115" t="str">
        <f>IFERROR(IF([1]F_ProductBM!N2300 = "", "", [1]F_ProductBM!N2300 ),"")</f>
        <v/>
      </c>
    </row>
    <row r="5007" spans="3:14">
      <c r="C5007" s="977"/>
      <c r="D5007" s="777" t="s">
        <v>1108</v>
      </c>
      <c r="E5007" s="2471" t="s">
        <v>882</v>
      </c>
      <c r="F5007" s="2472"/>
      <c r="G5007" s="995" t="s">
        <v>2015</v>
      </c>
      <c r="H5007" s="378" t="str">
        <f>IFERROR(IF([1]F_ProductBM!H2301 = "", "", [1]F_ProductBM!H2301 ),"")</f>
        <v/>
      </c>
      <c r="I5007" s="379" t="str">
        <f>IFERROR(IF([1]F_ProductBM!I2301 = "", "", [1]F_ProductBM!I2301 ),"")</f>
        <v/>
      </c>
      <c r="J5007" s="380" t="str">
        <f>IFERROR(IF([1]F_ProductBM!J2301 = "", "", [1]F_ProductBM!J2301 ),"")</f>
        <v/>
      </c>
      <c r="K5007" s="378" t="str">
        <f>IFERROR(IF([1]F_ProductBM!K2301 = "", "", [1]F_ProductBM!K2301 ),"")</f>
        <v/>
      </c>
      <c r="L5007" s="378" t="str">
        <f>IFERROR(IF([1]F_ProductBM!L2301 = "", "", [1]F_ProductBM!L2301 ),"")</f>
        <v/>
      </c>
      <c r="M5007" s="378" t="str">
        <f>IFERROR(IF([1]F_ProductBM!M2301 = "", "", [1]F_ProductBM!M2301 ),"")</f>
        <v/>
      </c>
      <c r="N5007" s="381" t="str">
        <f>IFERROR(IF([1]F_ProductBM!N2301 = "", "", [1]F_ProductBM!N2301 ),"")</f>
        <v/>
      </c>
    </row>
    <row r="5008" spans="3:14">
      <c r="C5008" s="977"/>
      <c r="D5008" s="777" t="s">
        <v>1109</v>
      </c>
      <c r="E5008" s="2670" t="s">
        <v>879</v>
      </c>
      <c r="F5008" s="2608"/>
      <c r="G5008" s="998" t="s">
        <v>2015</v>
      </c>
      <c r="H5008" s="382" t="str">
        <f>IFERROR(IF([1]F_ProductBM!H2302 = "", "", [1]F_ProductBM!H2302 ),"")</f>
        <v/>
      </c>
      <c r="I5008" s="383" t="str">
        <f>IFERROR(IF([1]F_ProductBM!I2302 = "", "", [1]F_ProductBM!I2302 ),"")</f>
        <v/>
      </c>
      <c r="J5008" s="384" t="str">
        <f>IFERROR(IF([1]F_ProductBM!J2302 = "", "", [1]F_ProductBM!J2302 ),"")</f>
        <v/>
      </c>
      <c r="K5008" s="382" t="str">
        <f>IFERROR(IF([1]F_ProductBM!K2302 = "", "", [1]F_ProductBM!K2302 ),"")</f>
        <v/>
      </c>
      <c r="L5008" s="382" t="str">
        <f>IFERROR(IF([1]F_ProductBM!L2302 = "", "", [1]F_ProductBM!L2302 ),"")</f>
        <v/>
      </c>
      <c r="M5008" s="382" t="str">
        <f>IFERROR(IF([1]F_ProductBM!M2302 = "", "", [1]F_ProductBM!M2302 ),"")</f>
        <v/>
      </c>
      <c r="N5008" s="385" t="str">
        <f>IFERROR(IF([1]F_ProductBM!N2302 = "", "", [1]F_ProductBM!N2302 ),"")</f>
        <v/>
      </c>
    </row>
    <row r="5009" spans="3:14">
      <c r="C5009" s="977"/>
      <c r="D5009" s="777" t="s">
        <v>1110</v>
      </c>
      <c r="E5009" s="2473" t="s">
        <v>41</v>
      </c>
      <c r="F5009" s="2474"/>
      <c r="G5009" s="1001" t="s">
        <v>2017</v>
      </c>
      <c r="H5009" s="86" t="str">
        <f>IFERROR(IF([1]F_ProductBM!H2303 = "", "", [1]F_ProductBM!H2303 ),"")</f>
        <v/>
      </c>
      <c r="I5009" s="340" t="str">
        <f>IFERROR(IF([1]F_ProductBM!I2303 = "", "", [1]F_ProductBM!I2303 ),"")</f>
        <v/>
      </c>
      <c r="J5009" s="341" t="str">
        <f>IFERROR(IF([1]F_ProductBM!J2303 = "", "", [1]F_ProductBM!J2303 ),"")</f>
        <v/>
      </c>
      <c r="K5009" s="86" t="str">
        <f>IFERROR(IF([1]F_ProductBM!K2303 = "", "", [1]F_ProductBM!K2303 ),"")</f>
        <v/>
      </c>
      <c r="L5009" s="86" t="str">
        <f>IFERROR(IF([1]F_ProductBM!L2303 = "", "", [1]F_ProductBM!L2303 ),"")</f>
        <v/>
      </c>
      <c r="M5009" s="86" t="str">
        <f>IFERROR(IF([1]F_ProductBM!M2303 = "", "", [1]F_ProductBM!M2303 ),"")</f>
        <v/>
      </c>
      <c r="N5009" s="342" t="str">
        <f>IFERROR(IF([1]F_ProductBM!N2303 = "", "", [1]F_ProductBM!N2303 ),"")</f>
        <v/>
      </c>
    </row>
    <row r="5010" spans="3:14">
      <c r="C5010" s="977"/>
      <c r="D5010" s="777" t="s">
        <v>1106</v>
      </c>
      <c r="E5010" s="2687" t="s">
        <v>393</v>
      </c>
      <c r="F5010" s="2688"/>
      <c r="G5010" s="1002"/>
      <c r="H5010" s="343" t="str">
        <f>IFERROR(IF([1]F_ProductBM!H2304 = "", "", [1]F_ProductBM!H2304 ),"")</f>
        <v/>
      </c>
      <c r="I5010" s="344" t="str">
        <f>IFERROR(IF([1]F_ProductBM!I2304 = "", "", [1]F_ProductBM!I2304 ),"")</f>
        <v/>
      </c>
      <c r="J5010" s="345" t="str">
        <f>IFERROR(IF([1]F_ProductBM!J2304 = "", "", [1]F_ProductBM!J2304 ),"")</f>
        <v/>
      </c>
      <c r="K5010" s="343" t="str">
        <f>IFERROR(IF([1]F_ProductBM!K2304 = "", "", [1]F_ProductBM!K2304 ),"")</f>
        <v/>
      </c>
      <c r="L5010" s="343" t="str">
        <f>IFERROR(IF([1]F_ProductBM!L2304 = "", "", [1]F_ProductBM!L2304 ),"")</f>
        <v/>
      </c>
      <c r="M5010" s="343" t="str">
        <f>IFERROR(IF([1]F_ProductBM!M2304 = "", "", [1]F_ProductBM!M2304 ),"")</f>
        <v/>
      </c>
      <c r="N5010" s="346" t="str">
        <f>IFERROR(IF([1]F_ProductBM!N2304 = "", "", [1]F_ProductBM!N2304 ),"")</f>
        <v/>
      </c>
    </row>
    <row r="5011" spans="3:14">
      <c r="C5011" s="977"/>
      <c r="D5011" s="981"/>
      <c r="E5011" s="981"/>
      <c r="F5011" s="981"/>
      <c r="G5011" s="981"/>
      <c r="H5011" s="981"/>
      <c r="I5011" s="981"/>
      <c r="J5011" s="981"/>
      <c r="K5011" s="981"/>
      <c r="L5011" s="981"/>
      <c r="M5011" s="813"/>
      <c r="N5011" s="814"/>
    </row>
    <row r="5012" spans="3:14">
      <c r="C5012" s="977"/>
      <c r="D5012" s="982" t="s">
        <v>478</v>
      </c>
      <c r="E5012" s="2649" t="s">
        <v>1457</v>
      </c>
      <c r="F5012" s="2391"/>
      <c r="G5012" s="2391"/>
      <c r="H5012" s="2391"/>
      <c r="I5012" s="2391"/>
      <c r="J5012" s="2391"/>
      <c r="K5012" s="2391"/>
      <c r="L5012" s="2391"/>
      <c r="M5012" s="2391"/>
      <c r="N5012" s="2650"/>
    </row>
    <row r="5013" spans="3:14">
      <c r="C5013" s="977"/>
      <c r="D5013" s="777"/>
      <c r="E5013" s="2676" t="s">
        <v>2295</v>
      </c>
      <c r="F5013" s="2391"/>
      <c r="G5013" s="2391"/>
      <c r="H5013" s="2391"/>
      <c r="I5013" s="2391"/>
      <c r="J5013" s="2391"/>
      <c r="K5013" s="2391"/>
      <c r="L5013" s="2391"/>
      <c r="M5013" s="2391"/>
      <c r="N5013" s="2650"/>
    </row>
    <row r="5014" spans="3:14">
      <c r="C5014" s="977"/>
      <c r="D5014" s="981"/>
      <c r="E5014" s="2669" t="s">
        <v>2300</v>
      </c>
      <c r="F5014" s="2391"/>
      <c r="G5014" s="2391"/>
      <c r="H5014" s="2391"/>
      <c r="I5014" s="2391"/>
      <c r="J5014" s="2391"/>
      <c r="K5014" s="2391"/>
      <c r="L5014" s="2391"/>
      <c r="M5014" s="2391"/>
      <c r="N5014" s="2650"/>
    </row>
    <row r="5015" spans="3:14">
      <c r="C5015" s="977"/>
      <c r="D5015" s="981"/>
      <c r="E5015" s="2669" t="s">
        <v>1365</v>
      </c>
      <c r="F5015" s="2391"/>
      <c r="G5015" s="2391"/>
      <c r="H5015" s="2391"/>
      <c r="I5015" s="2391"/>
      <c r="J5015" s="2391"/>
      <c r="K5015" s="2391"/>
      <c r="L5015" s="2391"/>
      <c r="M5015" s="2391"/>
      <c r="N5015" s="2650"/>
    </row>
    <row r="5016" spans="3:14">
      <c r="C5016" s="977"/>
      <c r="D5016" s="982"/>
      <c r="E5016" s="989"/>
      <c r="F5016" s="990"/>
      <c r="G5016" s="987" t="s">
        <v>884</v>
      </c>
      <c r="H5016" s="782">
        <v>2019</v>
      </c>
      <c r="I5016" s="988">
        <v>2020</v>
      </c>
      <c r="J5016" s="781">
        <v>2021</v>
      </c>
      <c r="K5016" s="782">
        <v>2022</v>
      </c>
      <c r="L5016" s="782">
        <v>2023</v>
      </c>
      <c r="M5016" s="782">
        <v>2024</v>
      </c>
      <c r="N5016" s="783">
        <v>2025</v>
      </c>
    </row>
    <row r="5017" spans="3:14">
      <c r="C5017" s="977"/>
      <c r="D5017" s="777"/>
      <c r="E5017" s="2475" t="s">
        <v>1156</v>
      </c>
      <c r="F5017" s="2410"/>
      <c r="G5017" s="815" t="s">
        <v>2016</v>
      </c>
      <c r="H5017" s="93" t="str">
        <f>IFERROR(IF([1]F_ProductBM!H2311 = "", "", [1]F_ProductBM!H2311 ),"")</f>
        <v/>
      </c>
      <c r="I5017" s="116" t="str">
        <f>IFERROR(IF([1]F_ProductBM!I2311 = "", "", [1]F_ProductBM!I2311 ),"")</f>
        <v/>
      </c>
      <c r="J5017" s="117" t="str">
        <f>IFERROR(IF([1]F_ProductBM!J2311 = "", "", [1]F_ProductBM!J2311 ),"")</f>
        <v/>
      </c>
      <c r="K5017" s="93" t="str">
        <f>IFERROR(IF([1]F_ProductBM!K2311 = "", "", [1]F_ProductBM!K2311 ),"")</f>
        <v/>
      </c>
      <c r="L5017" s="93" t="str">
        <f>IFERROR(IF([1]F_ProductBM!L2311 = "", "", [1]F_ProductBM!L2311 ),"")</f>
        <v/>
      </c>
      <c r="M5017" s="93" t="str">
        <f>IFERROR(IF([1]F_ProductBM!M2311 = "", "", [1]F_ProductBM!M2311 ),"")</f>
        <v/>
      </c>
      <c r="N5017" s="118" t="str">
        <f>IFERROR(IF([1]F_ProductBM!N2311 = "", "", [1]F_ProductBM!N2311 ),"")</f>
        <v/>
      </c>
    </row>
    <row r="5018" spans="3:14">
      <c r="C5018" s="977"/>
      <c r="D5018" s="981"/>
      <c r="E5018" s="981"/>
      <c r="F5018" s="981"/>
      <c r="G5018" s="981"/>
      <c r="H5018" s="981"/>
      <c r="I5018" s="981"/>
      <c r="J5018" s="981"/>
      <c r="K5018" s="981"/>
      <c r="L5018" s="981"/>
      <c r="M5018" s="813"/>
      <c r="N5018" s="814"/>
    </row>
    <row r="5019" spans="3:14">
      <c r="C5019" s="977"/>
      <c r="D5019" s="982" t="s">
        <v>479</v>
      </c>
      <c r="E5019" s="2649" t="s">
        <v>1118</v>
      </c>
      <c r="F5019" s="2391"/>
      <c r="G5019" s="2391"/>
      <c r="H5019" s="2391"/>
      <c r="I5019" s="2391"/>
      <c r="J5019" s="2391"/>
      <c r="K5019" s="2391"/>
      <c r="L5019" s="2391"/>
      <c r="M5019" s="2391"/>
      <c r="N5019" s="2650"/>
    </row>
    <row r="5020" spans="3:14">
      <c r="C5020" s="977"/>
      <c r="D5020" s="777"/>
      <c r="E5020" s="2676" t="s">
        <v>2297</v>
      </c>
      <c r="F5020" s="2391"/>
      <c r="G5020" s="2391"/>
      <c r="H5020" s="2391"/>
      <c r="I5020" s="2391"/>
      <c r="J5020" s="2391"/>
      <c r="K5020" s="2391"/>
      <c r="L5020" s="2391"/>
      <c r="M5020" s="2391"/>
      <c r="N5020" s="2650"/>
    </row>
    <row r="5021" spans="3:14">
      <c r="C5021" s="977"/>
      <c r="D5021" s="981"/>
      <c r="E5021" s="2669" t="s">
        <v>2118</v>
      </c>
      <c r="F5021" s="2391"/>
      <c r="G5021" s="2391"/>
      <c r="H5021" s="2391"/>
      <c r="I5021" s="2391"/>
      <c r="J5021" s="2391"/>
      <c r="K5021" s="2391"/>
      <c r="L5021" s="2391"/>
      <c r="M5021" s="2391"/>
      <c r="N5021" s="2650"/>
    </row>
    <row r="5022" spans="3:14">
      <c r="C5022" s="977"/>
      <c r="D5022" s="981"/>
      <c r="E5022" s="2669" t="s">
        <v>1614</v>
      </c>
      <c r="F5022" s="2391"/>
      <c r="G5022" s="2391"/>
      <c r="H5022" s="2391"/>
      <c r="I5022" s="2391"/>
      <c r="J5022" s="2391"/>
      <c r="K5022" s="2391"/>
      <c r="L5022" s="2391"/>
      <c r="M5022" s="2391"/>
      <c r="N5022" s="2650"/>
    </row>
    <row r="5023" spans="3:14">
      <c r="C5023" s="977"/>
      <c r="D5023" s="981"/>
      <c r="E5023" s="2669" t="s">
        <v>1593</v>
      </c>
      <c r="F5023" s="2391"/>
      <c r="G5023" s="2391"/>
      <c r="H5023" s="2391"/>
      <c r="I5023" s="2391"/>
      <c r="J5023" s="2391"/>
      <c r="K5023" s="2391"/>
      <c r="L5023" s="2391"/>
      <c r="M5023" s="2391"/>
      <c r="N5023" s="2650"/>
    </row>
    <row r="5024" spans="3:14">
      <c r="C5024" s="977"/>
      <c r="D5024" s="981"/>
      <c r="E5024" s="2697" t="s">
        <v>1555</v>
      </c>
      <c r="F5024" s="2698"/>
      <c r="G5024" s="2698"/>
      <c r="H5024" s="2698"/>
      <c r="I5024" s="2698"/>
      <c r="J5024" s="2698"/>
      <c r="K5024" s="2698"/>
      <c r="L5024" s="2698"/>
      <c r="M5024" s="2698"/>
      <c r="N5024" s="2694"/>
    </row>
    <row r="5025" spans="3:14">
      <c r="C5025" s="977"/>
      <c r="D5025" s="981"/>
      <c r="E5025" s="2648" t="s">
        <v>1151</v>
      </c>
      <c r="F5025" s="2493"/>
      <c r="G5025" s="987" t="s">
        <v>884</v>
      </c>
      <c r="H5025" s="782">
        <v>2019</v>
      </c>
      <c r="I5025" s="988">
        <v>2020</v>
      </c>
      <c r="J5025" s="781">
        <v>2021</v>
      </c>
      <c r="K5025" s="782">
        <v>2022</v>
      </c>
      <c r="L5025" s="782">
        <v>2023</v>
      </c>
      <c r="M5025" s="782">
        <v>2024</v>
      </c>
      <c r="N5025" s="783">
        <v>2025</v>
      </c>
    </row>
    <row r="5026" spans="3:14">
      <c r="C5026" s="977"/>
      <c r="D5026" s="777" t="s">
        <v>6</v>
      </c>
      <c r="E5026" s="2475" t="s">
        <v>1087</v>
      </c>
      <c r="F5026" s="2410"/>
      <c r="G5026" s="815" t="s">
        <v>2017</v>
      </c>
      <c r="H5026" s="93" t="str">
        <f>IFERROR(IF([1]F_ProductBM!H2320 = "", "", [1]F_ProductBM!H2320 ),"")</f>
        <v/>
      </c>
      <c r="I5026" s="116" t="str">
        <f>IFERROR(IF([1]F_ProductBM!I2320 = "", "", [1]F_ProductBM!I2320 ),"")</f>
        <v/>
      </c>
      <c r="J5026" s="117" t="str">
        <f>IFERROR(IF([1]F_ProductBM!J2320 = "", "", [1]F_ProductBM!J2320 ),"")</f>
        <v/>
      </c>
      <c r="K5026" s="93" t="str">
        <f>IFERROR(IF([1]F_ProductBM!K2320 = "", "", [1]F_ProductBM!K2320 ),"")</f>
        <v/>
      </c>
      <c r="L5026" s="93" t="str">
        <f>IFERROR(IF([1]F_ProductBM!L2320 = "", "", [1]F_ProductBM!L2320 ),"")</f>
        <v/>
      </c>
      <c r="M5026" s="93" t="str">
        <f>IFERROR(IF([1]F_ProductBM!M2320 = "", "", [1]F_ProductBM!M2320 ),"")</f>
        <v/>
      </c>
      <c r="N5026" s="118" t="str">
        <f>IFERROR(IF([1]F_ProductBM!N2320 = "", "", [1]F_ProductBM!N2320 ),"")</f>
        <v/>
      </c>
    </row>
    <row r="5027" spans="3:14">
      <c r="C5027" s="977"/>
      <c r="D5027" s="777" t="s">
        <v>7</v>
      </c>
      <c r="E5027" s="2475" t="s">
        <v>1103</v>
      </c>
      <c r="F5027" s="2410"/>
      <c r="G5027" s="815" t="s">
        <v>2018</v>
      </c>
      <c r="H5027" s="93" t="str">
        <f>IFERROR(IF([1]F_ProductBM!H2321 = "", "", [1]F_ProductBM!H2321 ),"")</f>
        <v/>
      </c>
      <c r="I5027" s="116" t="str">
        <f>IFERROR(IF([1]F_ProductBM!I2321 = "", "", [1]F_ProductBM!I2321 ),"")</f>
        <v/>
      </c>
      <c r="J5027" s="117" t="str">
        <f>IFERROR(IF([1]F_ProductBM!J2321 = "", "", [1]F_ProductBM!J2321 ),"")</f>
        <v/>
      </c>
      <c r="K5027" s="93" t="str">
        <f>IFERROR(IF([1]F_ProductBM!K2321 = "", "", [1]F_ProductBM!K2321 ),"")</f>
        <v/>
      </c>
      <c r="L5027" s="93" t="str">
        <f>IFERROR(IF([1]F_ProductBM!L2321 = "", "", [1]F_ProductBM!L2321 ),"")</f>
        <v/>
      </c>
      <c r="M5027" s="93" t="str">
        <f>IFERROR(IF([1]F_ProductBM!M2321 = "", "", [1]F_ProductBM!M2321 ),"")</f>
        <v/>
      </c>
      <c r="N5027" s="118" t="str">
        <f>IFERROR(IF([1]F_ProductBM!N2321 = "", "", [1]F_ProductBM!N2321 ),"")</f>
        <v/>
      </c>
    </row>
    <row r="5028" spans="3:14">
      <c r="C5028" s="977"/>
      <c r="D5028" s="981"/>
      <c r="E5028" s="981"/>
      <c r="F5028" s="981"/>
      <c r="G5028" s="981"/>
      <c r="H5028" s="981"/>
      <c r="I5028" s="981"/>
      <c r="J5028" s="981"/>
      <c r="K5028" s="981"/>
      <c r="L5028" s="981"/>
      <c r="M5028" s="981"/>
      <c r="N5028" s="814"/>
    </row>
    <row r="5029" spans="3:14">
      <c r="C5029" s="977"/>
      <c r="D5029" s="981"/>
      <c r="E5029" s="2648" t="s">
        <v>1406</v>
      </c>
      <c r="F5029" s="2493"/>
      <c r="G5029" s="987" t="s">
        <v>884</v>
      </c>
      <c r="H5029" s="782">
        <v>2019</v>
      </c>
      <c r="I5029" s="988">
        <v>2020</v>
      </c>
      <c r="J5029" s="781">
        <v>2021</v>
      </c>
      <c r="K5029" s="782">
        <v>2022</v>
      </c>
      <c r="L5029" s="782">
        <v>2023</v>
      </c>
      <c r="M5029" s="782">
        <v>2024</v>
      </c>
      <c r="N5029" s="783">
        <v>2025</v>
      </c>
    </row>
    <row r="5030" spans="3:14">
      <c r="C5030" s="977"/>
      <c r="D5030" s="777" t="s">
        <v>8</v>
      </c>
      <c r="E5030" s="2475" t="s">
        <v>1556</v>
      </c>
      <c r="F5030" s="2410"/>
      <c r="G5030" s="815" t="s">
        <v>2017</v>
      </c>
      <c r="H5030" s="351" t="str">
        <f>IFERROR(IF([1]F_ProductBM!H2324 = "", "", [1]F_ProductBM!H2324 ),"")</f>
        <v/>
      </c>
      <c r="I5030" s="352" t="str">
        <f>IFERROR(IF([1]F_ProductBM!I2324 = "", "", [1]F_ProductBM!I2324 ),"")</f>
        <v/>
      </c>
      <c r="J5030" s="353" t="str">
        <f>IFERROR(IF([1]F_ProductBM!J2324 = "", "", [1]F_ProductBM!J2324 ),"")</f>
        <v/>
      </c>
      <c r="K5030" s="351" t="str">
        <f>IFERROR(IF([1]F_ProductBM!K2324 = "", "", [1]F_ProductBM!K2324 ),"")</f>
        <v/>
      </c>
      <c r="L5030" s="351" t="str">
        <f>IFERROR(IF([1]F_ProductBM!L2324 = "", "", [1]F_ProductBM!L2324 ),"")</f>
        <v/>
      </c>
      <c r="M5030" s="351" t="str">
        <f>IFERROR(IF([1]F_ProductBM!M2324 = "", "", [1]F_ProductBM!M2324 ),"")</f>
        <v/>
      </c>
      <c r="N5030" s="354" t="str">
        <f>IFERROR(IF([1]F_ProductBM!N2324 = "", "", [1]F_ProductBM!N2324 ),"")</f>
        <v/>
      </c>
    </row>
    <row r="5031" spans="3:14">
      <c r="C5031" s="977"/>
      <c r="D5031" s="777" t="s">
        <v>18</v>
      </c>
      <c r="E5031" s="2475" t="s">
        <v>1149</v>
      </c>
      <c r="F5031" s="2410"/>
      <c r="G5031" s="815" t="s">
        <v>2017</v>
      </c>
      <c r="H5031" s="93" t="str">
        <f>IFERROR(IF([1]F_ProductBM!H2325 = "", "", [1]F_ProductBM!H2325 ),"")</f>
        <v/>
      </c>
      <c r="I5031" s="116" t="str">
        <f>IFERROR(IF([1]F_ProductBM!I2325 = "", "", [1]F_ProductBM!I2325 ),"")</f>
        <v/>
      </c>
      <c r="J5031" s="117" t="str">
        <f>IFERROR(IF([1]F_ProductBM!J2325 = "", "", [1]F_ProductBM!J2325 ),"")</f>
        <v/>
      </c>
      <c r="K5031" s="93" t="str">
        <f>IFERROR(IF([1]F_ProductBM!K2325 = "", "", [1]F_ProductBM!K2325 ),"")</f>
        <v/>
      </c>
      <c r="L5031" s="93" t="str">
        <f>IFERROR(IF([1]F_ProductBM!L2325 = "", "", [1]F_ProductBM!L2325 ),"")</f>
        <v/>
      </c>
      <c r="M5031" s="93" t="str">
        <f>IFERROR(IF([1]F_ProductBM!M2325 = "", "", [1]F_ProductBM!M2325 ),"")</f>
        <v/>
      </c>
      <c r="N5031" s="118" t="str">
        <f>IFERROR(IF([1]F_ProductBM!N2325 = "", "", [1]F_ProductBM!N2325 ),"")</f>
        <v/>
      </c>
    </row>
    <row r="5032" spans="3:14">
      <c r="C5032" s="977"/>
      <c r="D5032" s="981"/>
      <c r="E5032" s="981"/>
      <c r="F5032" s="981"/>
      <c r="G5032" s="981"/>
      <c r="H5032" s="981"/>
      <c r="I5032" s="981"/>
      <c r="J5032" s="981"/>
      <c r="K5032" s="981"/>
      <c r="L5032" s="981"/>
      <c r="M5032" s="981"/>
      <c r="N5032" s="814"/>
    </row>
    <row r="5033" spans="3:14">
      <c r="C5033" s="977"/>
      <c r="D5033" s="981"/>
      <c r="E5033" s="2648" t="s">
        <v>1152</v>
      </c>
      <c r="F5033" s="2493"/>
      <c r="G5033" s="987" t="s">
        <v>884</v>
      </c>
      <c r="H5033" s="782">
        <v>2019</v>
      </c>
      <c r="I5033" s="988">
        <v>2020</v>
      </c>
      <c r="J5033" s="781">
        <v>2021</v>
      </c>
      <c r="K5033" s="782">
        <v>2022</v>
      </c>
      <c r="L5033" s="782">
        <v>2023</v>
      </c>
      <c r="M5033" s="782">
        <v>2024</v>
      </c>
      <c r="N5033" s="783">
        <v>2025</v>
      </c>
    </row>
    <row r="5034" spans="3:14">
      <c r="C5034" s="977"/>
      <c r="D5034" s="777" t="s">
        <v>787</v>
      </c>
      <c r="E5034" s="2475" t="s">
        <v>1079</v>
      </c>
      <c r="F5034" s="2410"/>
      <c r="G5034" s="815" t="s">
        <v>2017</v>
      </c>
      <c r="H5034" s="93" t="str">
        <f>IFERROR(IF([1]F_ProductBM!H2328 = "", "", [1]F_ProductBM!H2328 ),"")</f>
        <v/>
      </c>
      <c r="I5034" s="116" t="str">
        <f>IFERROR(IF([1]F_ProductBM!I2328 = "", "", [1]F_ProductBM!I2328 ),"")</f>
        <v/>
      </c>
      <c r="J5034" s="117" t="str">
        <f>IFERROR(IF([1]F_ProductBM!J2328 = "", "", [1]F_ProductBM!J2328 ),"")</f>
        <v/>
      </c>
      <c r="K5034" s="93" t="str">
        <f>IFERROR(IF([1]F_ProductBM!K2328 = "", "", [1]F_ProductBM!K2328 ),"")</f>
        <v/>
      </c>
      <c r="L5034" s="93" t="str">
        <f>IFERROR(IF([1]F_ProductBM!L2328 = "", "", [1]F_ProductBM!L2328 ),"")</f>
        <v/>
      </c>
      <c r="M5034" s="93" t="str">
        <f>IFERROR(IF([1]F_ProductBM!M2328 = "", "", [1]F_ProductBM!M2328 ),"")</f>
        <v/>
      </c>
      <c r="N5034" s="118" t="str">
        <f>IFERROR(IF([1]F_ProductBM!N2328 = "", "", [1]F_ProductBM!N2328 ),"")</f>
        <v/>
      </c>
    </row>
    <row r="5035" spans="3:14">
      <c r="C5035" s="977"/>
      <c r="D5035" s="777" t="s">
        <v>788</v>
      </c>
      <c r="E5035" s="2475" t="s">
        <v>1104</v>
      </c>
      <c r="F5035" s="2410"/>
      <c r="G5035" s="815" t="s">
        <v>2018</v>
      </c>
      <c r="H5035" s="93" t="str">
        <f>IFERROR(IF([1]F_ProductBM!H2329 = "", "", [1]F_ProductBM!H2329 ),"")</f>
        <v/>
      </c>
      <c r="I5035" s="116" t="str">
        <f>IFERROR(IF([1]F_ProductBM!I2329 = "", "", [1]F_ProductBM!I2329 ),"")</f>
        <v/>
      </c>
      <c r="J5035" s="117" t="str">
        <f>IFERROR(IF([1]F_ProductBM!J2329 = "", "", [1]F_ProductBM!J2329 ),"")</f>
        <v/>
      </c>
      <c r="K5035" s="93" t="str">
        <f>IFERROR(IF([1]F_ProductBM!K2329 = "", "", [1]F_ProductBM!K2329 ),"")</f>
        <v/>
      </c>
      <c r="L5035" s="93" t="str">
        <f>IFERROR(IF([1]F_ProductBM!L2329 = "", "", [1]F_ProductBM!L2329 ),"")</f>
        <v/>
      </c>
      <c r="M5035" s="93" t="str">
        <f>IFERROR(IF([1]F_ProductBM!M2329 = "", "", [1]F_ProductBM!M2329 ),"")</f>
        <v/>
      </c>
      <c r="N5035" s="118" t="str">
        <f>IFERROR(IF([1]F_ProductBM!N2329 = "", "", [1]F_ProductBM!N2329 ),"")</f>
        <v/>
      </c>
    </row>
    <row r="5036" spans="3:14">
      <c r="C5036" s="977"/>
      <c r="D5036" s="981"/>
      <c r="E5036" s="981"/>
      <c r="F5036" s="981"/>
      <c r="G5036" s="981"/>
      <c r="H5036" s="981"/>
      <c r="I5036" s="981"/>
      <c r="J5036" s="981"/>
      <c r="K5036" s="981"/>
      <c r="L5036" s="981"/>
      <c r="M5036" s="813"/>
      <c r="N5036" s="814"/>
    </row>
    <row r="5037" spans="3:14">
      <c r="C5037" s="977"/>
      <c r="D5037" s="982" t="s">
        <v>481</v>
      </c>
      <c r="E5037" s="2649" t="s">
        <v>1312</v>
      </c>
      <c r="F5037" s="2391"/>
      <c r="G5037" s="2391"/>
      <c r="H5037" s="2391"/>
      <c r="I5037" s="2391"/>
      <c r="J5037" s="2391"/>
      <c r="K5037" s="2391"/>
      <c r="L5037" s="2391"/>
      <c r="M5037" s="2391"/>
      <c r="N5037" s="2650"/>
    </row>
    <row r="5038" spans="3:14">
      <c r="C5038" s="977"/>
      <c r="D5038" s="981"/>
      <c r="E5038" s="986"/>
      <c r="F5038" s="986"/>
      <c r="G5038" s="986"/>
      <c r="H5038" s="986"/>
      <c r="I5038" s="986"/>
      <c r="J5038" s="986"/>
      <c r="K5038" s="986"/>
      <c r="L5038" s="986"/>
      <c r="M5038" s="986"/>
      <c r="N5038" s="1007"/>
    </row>
    <row r="5039" spans="3:14">
      <c r="C5039" s="977"/>
      <c r="D5039" s="777" t="s">
        <v>6</v>
      </c>
      <c r="E5039" s="2649" t="s">
        <v>1313</v>
      </c>
      <c r="F5039" s="2391"/>
      <c r="G5039" s="2391"/>
      <c r="H5039" s="2391"/>
      <c r="I5039" s="2391"/>
      <c r="J5039" s="2391"/>
      <c r="K5039" s="2512"/>
      <c r="L5039" s="120" t="str">
        <f>IFERROR(IF([1]F_ProductBM!L2333 = "", "", [1]F_ProductBM!L2333 ),"")</f>
        <v/>
      </c>
      <c r="M5039" s="978"/>
      <c r="N5039" s="979"/>
    </row>
    <row r="5040" spans="3:14">
      <c r="C5040" s="977"/>
      <c r="D5040" s="981"/>
      <c r="E5040" s="2669" t="s">
        <v>1314</v>
      </c>
      <c r="F5040" s="2391"/>
      <c r="G5040" s="2391"/>
      <c r="H5040" s="2391"/>
      <c r="I5040" s="2391"/>
      <c r="J5040" s="2391"/>
      <c r="K5040" s="2391"/>
      <c r="L5040" s="2391"/>
      <c r="M5040" s="2391"/>
      <c r="N5040" s="2650"/>
    </row>
    <row r="5041" spans="3:14">
      <c r="C5041" s="977"/>
      <c r="D5041" s="777" t="s">
        <v>7</v>
      </c>
      <c r="E5041" s="2649" t="s">
        <v>1219</v>
      </c>
      <c r="F5041" s="2391"/>
      <c r="G5041" s="2391"/>
      <c r="H5041" s="2512"/>
      <c r="I5041" s="2683" t="str">
        <f>IFERROR(IF([1]F_ProductBM!I2335 = "", "", [1]F_ProductBM!I2335 ),"")</f>
        <v/>
      </c>
      <c r="J5041" s="2488"/>
      <c r="K5041" s="2488"/>
      <c r="L5041" s="2488"/>
      <c r="M5041" s="2686"/>
      <c r="N5041" s="979"/>
    </row>
    <row r="5042" spans="3:14">
      <c r="C5042" s="977"/>
      <c r="D5042" s="981"/>
      <c r="E5042" s="2669" t="s">
        <v>1316</v>
      </c>
      <c r="F5042" s="2391"/>
      <c r="G5042" s="2391"/>
      <c r="H5042" s="2391"/>
      <c r="I5042" s="2391"/>
      <c r="J5042" s="2391"/>
      <c r="K5042" s="2391"/>
      <c r="L5042" s="2391"/>
      <c r="M5042" s="2391"/>
      <c r="N5042" s="2650"/>
    </row>
    <row r="5043" spans="3:14">
      <c r="C5043" s="977"/>
      <c r="D5043" s="981"/>
      <c r="E5043" s="2676" t="s">
        <v>1557</v>
      </c>
      <c r="F5043" s="2391"/>
      <c r="G5043" s="2391"/>
      <c r="H5043" s="2391"/>
      <c r="I5043" s="2391"/>
      <c r="J5043" s="2391"/>
      <c r="K5043" s="2391"/>
      <c r="L5043" s="2391"/>
      <c r="M5043" s="2391"/>
      <c r="N5043" s="2650"/>
    </row>
    <row r="5044" spans="3:14">
      <c r="C5044" s="977"/>
      <c r="D5044" s="981"/>
      <c r="E5044" s="989"/>
      <c r="F5044" s="990"/>
      <c r="G5044" s="987" t="s">
        <v>884</v>
      </c>
      <c r="H5044" s="782">
        <v>2019</v>
      </c>
      <c r="I5044" s="988">
        <v>2020</v>
      </c>
      <c r="J5044" s="781">
        <v>2021</v>
      </c>
      <c r="K5044" s="782">
        <v>2022</v>
      </c>
      <c r="L5044" s="782">
        <v>2023</v>
      </c>
      <c r="M5044" s="782">
        <v>2024</v>
      </c>
      <c r="N5044" s="783">
        <v>2025</v>
      </c>
    </row>
    <row r="5045" spans="3:14">
      <c r="C5045" s="977"/>
      <c r="D5045" s="777" t="s">
        <v>8</v>
      </c>
      <c r="E5045" s="2471" t="s">
        <v>1305</v>
      </c>
      <c r="F5045" s="2472"/>
      <c r="G5045" s="67" t="str">
        <f>IFERROR(IF([1]F_ProductBM!G2339 = "", "", [1]F_ProductBM!G2339 ),"")</f>
        <v/>
      </c>
      <c r="H5045" s="94" t="str">
        <f>IFERROR(IF([1]F_ProductBM!H2339 = "", "", [1]F_ProductBM!H2339 ),"")</f>
        <v/>
      </c>
      <c r="I5045" s="110" t="str">
        <f>IFERROR(IF([1]F_ProductBM!I2339 = "", "", [1]F_ProductBM!I2339 ),"")</f>
        <v/>
      </c>
      <c r="J5045" s="111" t="str">
        <f>IFERROR(IF([1]F_ProductBM!J2339 = "", "", [1]F_ProductBM!J2339 ),"")</f>
        <v/>
      </c>
      <c r="K5045" s="94" t="str">
        <f>IFERROR(IF([1]F_ProductBM!K2339 = "", "", [1]F_ProductBM!K2339 ),"")</f>
        <v/>
      </c>
      <c r="L5045" s="94" t="str">
        <f>IFERROR(IF([1]F_ProductBM!L2339 = "", "", [1]F_ProductBM!L2339 ),"")</f>
        <v/>
      </c>
      <c r="M5045" s="94" t="str">
        <f>IFERROR(IF([1]F_ProductBM!M2339 = "", "", [1]F_ProductBM!M2339 ),"")</f>
        <v/>
      </c>
      <c r="N5045" s="112" t="str">
        <f>IFERROR(IF([1]F_ProductBM!N2339 = "", "", [1]F_ProductBM!N2339 ),"")</f>
        <v/>
      </c>
    </row>
    <row r="5046" spans="3:14">
      <c r="C5046" s="977"/>
      <c r="D5046" s="777" t="s">
        <v>18</v>
      </c>
      <c r="E5046" s="2473" t="s">
        <v>661</v>
      </c>
      <c r="F5046" s="2474"/>
      <c r="G5046" s="350" t="str">
        <f>IFERROR(IF([1]F_ProductBM!G2340 = "", "", [1]F_ProductBM!G2340 ),"")</f>
        <v>GJ / Unit</v>
      </c>
      <c r="H5046" s="95" t="str">
        <f>IFERROR(IF([1]F_ProductBM!H2340 = "", "", [1]F_ProductBM!H2340 ),"")</f>
        <v/>
      </c>
      <c r="I5046" s="113" t="str">
        <f>IFERROR(IF([1]F_ProductBM!I2340 = "", "", [1]F_ProductBM!I2340 ),"")</f>
        <v/>
      </c>
      <c r="J5046" s="114" t="str">
        <f>IFERROR(IF([1]F_ProductBM!J2340 = "", "", [1]F_ProductBM!J2340 ),"")</f>
        <v/>
      </c>
      <c r="K5046" s="95" t="str">
        <f>IFERROR(IF([1]F_ProductBM!K2340 = "", "", [1]F_ProductBM!K2340 ),"")</f>
        <v/>
      </c>
      <c r="L5046" s="95" t="str">
        <f>IFERROR(IF([1]F_ProductBM!L2340 = "", "", [1]F_ProductBM!L2340 ),"")</f>
        <v/>
      </c>
      <c r="M5046" s="95" t="str">
        <f>IFERROR(IF([1]F_ProductBM!M2340 = "", "", [1]F_ProductBM!M2340 ),"")</f>
        <v/>
      </c>
      <c r="N5046" s="115" t="str">
        <f>IFERROR(IF([1]F_ProductBM!N2340 = "", "", [1]F_ProductBM!N2340 ),"")</f>
        <v/>
      </c>
    </row>
    <row r="5047" spans="3:14">
      <c r="C5047" s="977"/>
      <c r="D5047" s="777" t="s">
        <v>787</v>
      </c>
      <c r="E5047" s="2475" t="s">
        <v>1141</v>
      </c>
      <c r="F5047" s="2410"/>
      <c r="G5047" s="815" t="s">
        <v>2017</v>
      </c>
      <c r="H5047" s="351" t="str">
        <f>IFERROR(IF([1]F_ProductBM!H2341 = "", "", [1]F_ProductBM!H2341 ),"")</f>
        <v/>
      </c>
      <c r="I5047" s="352" t="str">
        <f>IFERROR(IF([1]F_ProductBM!I2341 = "", "", [1]F_ProductBM!I2341 ),"")</f>
        <v/>
      </c>
      <c r="J5047" s="353" t="str">
        <f>IFERROR(IF([1]F_ProductBM!J2341 = "", "", [1]F_ProductBM!J2341 ),"")</f>
        <v/>
      </c>
      <c r="K5047" s="351" t="str">
        <f>IFERROR(IF([1]F_ProductBM!K2341 = "", "", [1]F_ProductBM!K2341 ),"")</f>
        <v/>
      </c>
      <c r="L5047" s="351" t="str">
        <f>IFERROR(IF([1]F_ProductBM!L2341 = "", "", [1]F_ProductBM!L2341 ),"")</f>
        <v/>
      </c>
      <c r="M5047" s="351" t="str">
        <f>IFERROR(IF([1]F_ProductBM!M2341 = "", "", [1]F_ProductBM!M2341 ),"")</f>
        <v/>
      </c>
      <c r="N5047" s="354" t="str">
        <f>IFERROR(IF([1]F_ProductBM!N2341 = "", "", [1]F_ProductBM!N2341 ),"")</f>
        <v/>
      </c>
    </row>
    <row r="5048" spans="3:14">
      <c r="C5048" s="977"/>
      <c r="D5048" s="777" t="s">
        <v>788</v>
      </c>
      <c r="E5048" s="2475" t="s">
        <v>1258</v>
      </c>
      <c r="F5048" s="2410"/>
      <c r="G5048" s="815" t="s">
        <v>2018</v>
      </c>
      <c r="H5048" s="93" t="str">
        <f>IFERROR(IF([1]F_ProductBM!H2342 = "", "", [1]F_ProductBM!H2342 ),"")</f>
        <v/>
      </c>
      <c r="I5048" s="116" t="str">
        <f>IFERROR(IF([1]F_ProductBM!I2342 = "", "", [1]F_ProductBM!I2342 ),"")</f>
        <v/>
      </c>
      <c r="J5048" s="117" t="str">
        <f>IFERROR(IF([1]F_ProductBM!J2342 = "", "", [1]F_ProductBM!J2342 ),"")</f>
        <v/>
      </c>
      <c r="K5048" s="93" t="str">
        <f>IFERROR(IF([1]F_ProductBM!K2342 = "", "", [1]F_ProductBM!K2342 ),"")</f>
        <v/>
      </c>
      <c r="L5048" s="93" t="str">
        <f>IFERROR(IF([1]F_ProductBM!L2342 = "", "", [1]F_ProductBM!L2342 ),"")</f>
        <v/>
      </c>
      <c r="M5048" s="93" t="str">
        <f>IFERROR(IF([1]F_ProductBM!M2342 = "", "", [1]F_ProductBM!M2342 ),"")</f>
        <v/>
      </c>
      <c r="N5048" s="118" t="str">
        <f>IFERROR(IF([1]F_ProductBM!N2342 = "", "", [1]F_ProductBM!N2342 ),"")</f>
        <v/>
      </c>
    </row>
    <row r="5049" spans="3:14">
      <c r="C5049" s="977"/>
      <c r="D5049" s="981"/>
      <c r="E5049" s="981"/>
      <c r="F5049" s="981"/>
      <c r="G5049" s="981"/>
      <c r="H5049" s="983"/>
      <c r="I5049" s="981"/>
      <c r="J5049" s="981"/>
      <c r="K5049" s="981"/>
      <c r="L5049" s="981"/>
      <c r="M5049" s="813"/>
      <c r="N5049" s="814"/>
    </row>
    <row r="5050" spans="3:14">
      <c r="C5050" s="977"/>
      <c r="D5050" s="777" t="s">
        <v>789</v>
      </c>
      <c r="E5050" s="2649" t="s">
        <v>1301</v>
      </c>
      <c r="F5050" s="2391"/>
      <c r="G5050" s="2391"/>
      <c r="H5050" s="2512"/>
      <c r="I5050" s="2683" t="str">
        <f>IFERROR(IF([1]F_ProductBM!I2344 = "", "", [1]F_ProductBM!I2344 ),"")</f>
        <v/>
      </c>
      <c r="J5050" s="2488"/>
      <c r="K5050" s="2488"/>
      <c r="L5050" s="2488"/>
      <c r="M5050" s="2686"/>
      <c r="N5050" s="979"/>
    </row>
    <row r="5051" spans="3:14">
      <c r="C5051" s="977"/>
      <c r="D5051" s="777"/>
      <c r="E5051" s="2669" t="s">
        <v>1606</v>
      </c>
      <c r="F5051" s="2391"/>
      <c r="G5051" s="2391"/>
      <c r="H5051" s="2391"/>
      <c r="I5051" s="2391"/>
      <c r="J5051" s="2391"/>
      <c r="K5051" s="2391"/>
      <c r="L5051" s="2391"/>
      <c r="M5051" s="2391"/>
      <c r="N5051" s="2650"/>
    </row>
    <row r="5052" spans="3:14">
      <c r="C5052" s="977"/>
      <c r="D5052" s="981"/>
      <c r="E5052" s="2676" t="s">
        <v>1557</v>
      </c>
      <c r="F5052" s="2391"/>
      <c r="G5052" s="2391"/>
      <c r="H5052" s="2391"/>
      <c r="I5052" s="2391"/>
      <c r="J5052" s="2391"/>
      <c r="K5052" s="2391"/>
      <c r="L5052" s="2391"/>
      <c r="M5052" s="2391"/>
      <c r="N5052" s="2650"/>
    </row>
    <row r="5053" spans="3:14">
      <c r="C5053" s="977"/>
      <c r="D5053" s="981"/>
      <c r="E5053" s="989"/>
      <c r="F5053" s="990"/>
      <c r="G5053" s="987" t="s">
        <v>884</v>
      </c>
      <c r="H5053" s="782">
        <v>2019</v>
      </c>
      <c r="I5053" s="988">
        <v>2020</v>
      </c>
      <c r="J5053" s="781">
        <v>2021</v>
      </c>
      <c r="K5053" s="782">
        <v>2022</v>
      </c>
      <c r="L5053" s="782">
        <v>2023</v>
      </c>
      <c r="M5053" s="782">
        <v>2024</v>
      </c>
      <c r="N5053" s="783">
        <v>2025</v>
      </c>
    </row>
    <row r="5054" spans="3:14">
      <c r="C5054" s="977"/>
      <c r="D5054" s="777" t="s">
        <v>790</v>
      </c>
      <c r="E5054" s="2471" t="s">
        <v>1306</v>
      </c>
      <c r="F5054" s="2472"/>
      <c r="G5054" s="67" t="str">
        <f>IFERROR(IF([1]F_ProductBM!G2348 = "", "", [1]F_ProductBM!G2348 ),"")</f>
        <v/>
      </c>
      <c r="H5054" s="94" t="str">
        <f>IFERROR(IF([1]F_ProductBM!H2348 = "", "", [1]F_ProductBM!H2348 ),"")</f>
        <v/>
      </c>
      <c r="I5054" s="110" t="str">
        <f>IFERROR(IF([1]F_ProductBM!I2348 = "", "", [1]F_ProductBM!I2348 ),"")</f>
        <v/>
      </c>
      <c r="J5054" s="111" t="str">
        <f>IFERROR(IF([1]F_ProductBM!J2348 = "", "", [1]F_ProductBM!J2348 ),"")</f>
        <v/>
      </c>
      <c r="K5054" s="94" t="str">
        <f>IFERROR(IF([1]F_ProductBM!K2348 = "", "", [1]F_ProductBM!K2348 ),"")</f>
        <v/>
      </c>
      <c r="L5054" s="94" t="str">
        <f>IFERROR(IF([1]F_ProductBM!L2348 = "", "", [1]F_ProductBM!L2348 ),"")</f>
        <v/>
      </c>
      <c r="M5054" s="94" t="str">
        <f>IFERROR(IF([1]F_ProductBM!M2348 = "", "", [1]F_ProductBM!M2348 ),"")</f>
        <v/>
      </c>
      <c r="N5054" s="112" t="str">
        <f>IFERROR(IF([1]F_ProductBM!N2348 = "", "", [1]F_ProductBM!N2348 ),"")</f>
        <v/>
      </c>
    </row>
    <row r="5055" spans="3:14">
      <c r="C5055" s="977"/>
      <c r="D5055" s="777" t="s">
        <v>791</v>
      </c>
      <c r="E5055" s="2473" t="s">
        <v>661</v>
      </c>
      <c r="F5055" s="2474"/>
      <c r="G5055" s="350" t="str">
        <f>IFERROR(IF([1]F_ProductBM!G2349 = "", "", [1]F_ProductBM!G2349 ),"")</f>
        <v>GJ / Unit</v>
      </c>
      <c r="H5055" s="95" t="str">
        <f>IFERROR(IF([1]F_ProductBM!H2349 = "", "", [1]F_ProductBM!H2349 ),"")</f>
        <v/>
      </c>
      <c r="I5055" s="113" t="str">
        <f>IFERROR(IF([1]F_ProductBM!I2349 = "", "", [1]F_ProductBM!I2349 ),"")</f>
        <v/>
      </c>
      <c r="J5055" s="114" t="str">
        <f>IFERROR(IF([1]F_ProductBM!J2349 = "", "", [1]F_ProductBM!J2349 ),"")</f>
        <v/>
      </c>
      <c r="K5055" s="95" t="str">
        <f>IFERROR(IF([1]F_ProductBM!K2349 = "", "", [1]F_ProductBM!K2349 ),"")</f>
        <v/>
      </c>
      <c r="L5055" s="95" t="str">
        <f>IFERROR(IF([1]F_ProductBM!L2349 = "", "", [1]F_ProductBM!L2349 ),"")</f>
        <v/>
      </c>
      <c r="M5055" s="95" t="str">
        <f>IFERROR(IF([1]F_ProductBM!M2349 = "", "", [1]F_ProductBM!M2349 ),"")</f>
        <v/>
      </c>
      <c r="N5055" s="115" t="str">
        <f>IFERROR(IF([1]F_ProductBM!N2349 = "", "", [1]F_ProductBM!N2349 ),"")</f>
        <v/>
      </c>
    </row>
    <row r="5056" spans="3:14">
      <c r="C5056" s="977"/>
      <c r="D5056" s="777" t="s">
        <v>64</v>
      </c>
      <c r="E5056" s="2475" t="s">
        <v>1309</v>
      </c>
      <c r="F5056" s="2410"/>
      <c r="G5056" s="815" t="s">
        <v>2017</v>
      </c>
      <c r="H5056" s="351" t="str">
        <f>IFERROR(IF([1]F_ProductBM!H2350 = "", "", [1]F_ProductBM!H2350 ),"")</f>
        <v/>
      </c>
      <c r="I5056" s="352" t="str">
        <f>IFERROR(IF([1]F_ProductBM!I2350 = "", "", [1]F_ProductBM!I2350 ),"")</f>
        <v/>
      </c>
      <c r="J5056" s="353" t="str">
        <f>IFERROR(IF([1]F_ProductBM!J2350 = "", "", [1]F_ProductBM!J2350 ),"")</f>
        <v/>
      </c>
      <c r="K5056" s="351" t="str">
        <f>IFERROR(IF([1]F_ProductBM!K2350 = "", "", [1]F_ProductBM!K2350 ),"")</f>
        <v/>
      </c>
      <c r="L5056" s="351" t="str">
        <f>IFERROR(IF([1]F_ProductBM!L2350 = "", "", [1]F_ProductBM!L2350 ),"")</f>
        <v/>
      </c>
      <c r="M5056" s="351" t="str">
        <f>IFERROR(IF([1]F_ProductBM!M2350 = "", "", [1]F_ProductBM!M2350 ),"")</f>
        <v/>
      </c>
      <c r="N5056" s="354" t="str">
        <f>IFERROR(IF([1]F_ProductBM!N2350 = "", "", [1]F_ProductBM!N2350 ),"")</f>
        <v/>
      </c>
    </row>
    <row r="5057" spans="3:14">
      <c r="C5057" s="977"/>
      <c r="D5057" s="777" t="s">
        <v>65</v>
      </c>
      <c r="E5057" s="2475" t="s">
        <v>1307</v>
      </c>
      <c r="F5057" s="2410"/>
      <c r="G5057" s="815" t="s">
        <v>2018</v>
      </c>
      <c r="H5057" s="93" t="str">
        <f>IFERROR(IF([1]F_ProductBM!H2351 = "", "", [1]F_ProductBM!H2351 ),"")</f>
        <v/>
      </c>
      <c r="I5057" s="116" t="str">
        <f>IFERROR(IF([1]F_ProductBM!I2351 = "", "", [1]F_ProductBM!I2351 ),"")</f>
        <v/>
      </c>
      <c r="J5057" s="117" t="str">
        <f>IFERROR(IF([1]F_ProductBM!J2351 = "", "", [1]F_ProductBM!J2351 ),"")</f>
        <v/>
      </c>
      <c r="K5057" s="93" t="str">
        <f>IFERROR(IF([1]F_ProductBM!K2351 = "", "", [1]F_ProductBM!K2351 ),"")</f>
        <v/>
      </c>
      <c r="L5057" s="93" t="str">
        <f>IFERROR(IF([1]F_ProductBM!L2351 = "", "", [1]F_ProductBM!L2351 ),"")</f>
        <v/>
      </c>
      <c r="M5057" s="93" t="str">
        <f>IFERROR(IF([1]F_ProductBM!M2351 = "", "", [1]F_ProductBM!M2351 ),"")</f>
        <v/>
      </c>
      <c r="N5057" s="118" t="str">
        <f>IFERROR(IF([1]F_ProductBM!N2351 = "", "", [1]F_ProductBM!N2351 ),"")</f>
        <v/>
      </c>
    </row>
    <row r="5058" spans="3:14">
      <c r="C5058" s="977"/>
      <c r="D5058" s="981"/>
      <c r="E5058" s="981"/>
      <c r="F5058" s="981"/>
      <c r="G5058" s="981"/>
      <c r="H5058" s="983"/>
      <c r="I5058" s="981"/>
      <c r="J5058" s="981"/>
      <c r="K5058" s="981"/>
      <c r="L5058" s="981"/>
      <c r="M5058" s="813"/>
      <c r="N5058" s="814"/>
    </row>
    <row r="5059" spans="3:14">
      <c r="C5059" s="977"/>
      <c r="D5059" s="777" t="s">
        <v>66</v>
      </c>
      <c r="E5059" s="2649" t="s">
        <v>1287</v>
      </c>
      <c r="F5059" s="2391"/>
      <c r="G5059" s="2391"/>
      <c r="H5059" s="2512"/>
      <c r="I5059" s="2683" t="str">
        <f>IFERROR(IF([1]F_ProductBM!I2353 = "", "", [1]F_ProductBM!I2353 ),"")</f>
        <v/>
      </c>
      <c r="J5059" s="2488"/>
      <c r="K5059" s="2488"/>
      <c r="L5059" s="2488"/>
      <c r="M5059" s="2686"/>
      <c r="N5059" s="979"/>
    </row>
    <row r="5060" spans="3:14">
      <c r="C5060" s="977"/>
      <c r="D5060" s="777"/>
      <c r="E5060" s="2669" t="s">
        <v>1476</v>
      </c>
      <c r="F5060" s="2391"/>
      <c r="G5060" s="2391"/>
      <c r="H5060" s="2391"/>
      <c r="I5060" s="2391"/>
      <c r="J5060" s="2391"/>
      <c r="K5060" s="2391"/>
      <c r="L5060" s="2391"/>
      <c r="M5060" s="2391"/>
      <c r="N5060" s="2650"/>
    </row>
    <row r="5061" spans="3:14">
      <c r="C5061" s="977"/>
      <c r="D5061" s="981"/>
      <c r="E5061" s="2669" t="s">
        <v>1558</v>
      </c>
      <c r="F5061" s="2391"/>
      <c r="G5061" s="2391"/>
      <c r="H5061" s="2391"/>
      <c r="I5061" s="2391"/>
      <c r="J5061" s="2391"/>
      <c r="K5061" s="2391"/>
      <c r="L5061" s="2391"/>
      <c r="M5061" s="2391"/>
      <c r="N5061" s="2650"/>
    </row>
    <row r="5062" spans="3:14">
      <c r="C5062" s="977"/>
      <c r="D5062" s="981"/>
      <c r="E5062" s="2676" t="s">
        <v>1559</v>
      </c>
      <c r="F5062" s="2391"/>
      <c r="G5062" s="2391"/>
      <c r="H5062" s="2391"/>
      <c r="I5062" s="2391"/>
      <c r="J5062" s="2391"/>
      <c r="K5062" s="2391"/>
      <c r="L5062" s="2391"/>
      <c r="M5062" s="2391"/>
      <c r="N5062" s="2650"/>
    </row>
    <row r="5063" spans="3:14">
      <c r="C5063" s="977"/>
      <c r="D5063" s="981"/>
      <c r="E5063" s="989"/>
      <c r="F5063" s="990"/>
      <c r="G5063" s="987" t="s">
        <v>884</v>
      </c>
      <c r="H5063" s="782">
        <v>2019</v>
      </c>
      <c r="I5063" s="988">
        <v>2020</v>
      </c>
      <c r="J5063" s="781">
        <v>2021</v>
      </c>
      <c r="K5063" s="782">
        <v>2022</v>
      </c>
      <c r="L5063" s="782">
        <v>2023</v>
      </c>
      <c r="M5063" s="782">
        <v>2024</v>
      </c>
      <c r="N5063" s="783">
        <v>2025</v>
      </c>
    </row>
    <row r="5064" spans="3:14">
      <c r="C5064" s="977"/>
      <c r="D5064" s="777" t="s">
        <v>1105</v>
      </c>
      <c r="E5064" s="2471" t="s">
        <v>1302</v>
      </c>
      <c r="F5064" s="2472"/>
      <c r="G5064" s="67" t="str">
        <f>IFERROR(IF([1]F_ProductBM!G2358 = "", "", [1]F_ProductBM!G2358 ),"")</f>
        <v/>
      </c>
      <c r="H5064" s="94" t="str">
        <f>IFERROR(IF([1]F_ProductBM!H2358 = "", "", [1]F_ProductBM!H2358 ),"")</f>
        <v/>
      </c>
      <c r="I5064" s="110" t="str">
        <f>IFERROR(IF([1]F_ProductBM!I2358 = "", "", [1]F_ProductBM!I2358 ),"")</f>
        <v/>
      </c>
      <c r="J5064" s="111" t="str">
        <f>IFERROR(IF([1]F_ProductBM!J2358 = "", "", [1]F_ProductBM!J2358 ),"")</f>
        <v/>
      </c>
      <c r="K5064" s="94" t="str">
        <f>IFERROR(IF([1]F_ProductBM!K2358 = "", "", [1]F_ProductBM!K2358 ),"")</f>
        <v/>
      </c>
      <c r="L5064" s="94" t="str">
        <f>IFERROR(IF([1]F_ProductBM!L2358 = "", "", [1]F_ProductBM!L2358 ),"")</f>
        <v/>
      </c>
      <c r="M5064" s="94" t="str">
        <f>IFERROR(IF([1]F_ProductBM!M2358 = "", "", [1]F_ProductBM!M2358 ),"")</f>
        <v/>
      </c>
      <c r="N5064" s="112" t="str">
        <f>IFERROR(IF([1]F_ProductBM!N2358 = "", "", [1]F_ProductBM!N2358 ),"")</f>
        <v/>
      </c>
    </row>
    <row r="5065" spans="3:14">
      <c r="C5065" s="977"/>
      <c r="D5065" s="777" t="s">
        <v>1106</v>
      </c>
      <c r="E5065" s="2473" t="s">
        <v>661</v>
      </c>
      <c r="F5065" s="2474"/>
      <c r="G5065" s="350" t="str">
        <f>IFERROR(IF([1]F_ProductBM!G2359 = "", "", [1]F_ProductBM!G2359 ),"")</f>
        <v>GJ / Unit</v>
      </c>
      <c r="H5065" s="95" t="str">
        <f>IFERROR(IF([1]F_ProductBM!H2359 = "", "", [1]F_ProductBM!H2359 ),"")</f>
        <v/>
      </c>
      <c r="I5065" s="113" t="str">
        <f>IFERROR(IF([1]F_ProductBM!I2359 = "", "", [1]F_ProductBM!I2359 ),"")</f>
        <v/>
      </c>
      <c r="J5065" s="114" t="str">
        <f>IFERROR(IF([1]F_ProductBM!J2359 = "", "", [1]F_ProductBM!J2359 ),"")</f>
        <v/>
      </c>
      <c r="K5065" s="95" t="str">
        <f>IFERROR(IF([1]F_ProductBM!K2359 = "", "", [1]F_ProductBM!K2359 ),"")</f>
        <v/>
      </c>
      <c r="L5065" s="95" t="str">
        <f>IFERROR(IF([1]F_ProductBM!L2359 = "", "", [1]F_ProductBM!L2359 ),"")</f>
        <v/>
      </c>
      <c r="M5065" s="95" t="str">
        <f>IFERROR(IF([1]F_ProductBM!M2359 = "", "", [1]F_ProductBM!M2359 ),"")</f>
        <v/>
      </c>
      <c r="N5065" s="115" t="str">
        <f>IFERROR(IF([1]F_ProductBM!N2359 = "", "", [1]F_ProductBM!N2359 ),"")</f>
        <v/>
      </c>
    </row>
    <row r="5066" spans="3:14">
      <c r="C5066" s="977"/>
      <c r="D5066" s="777" t="s">
        <v>1107</v>
      </c>
      <c r="E5066" s="2475" t="s">
        <v>1288</v>
      </c>
      <c r="F5066" s="2410"/>
      <c r="G5066" s="815" t="s">
        <v>2017</v>
      </c>
      <c r="H5066" s="351" t="str">
        <f>IFERROR(IF([1]F_ProductBM!H2360 = "", "", [1]F_ProductBM!H2360 ),"")</f>
        <v/>
      </c>
      <c r="I5066" s="352" t="str">
        <f>IFERROR(IF([1]F_ProductBM!I2360 = "", "", [1]F_ProductBM!I2360 ),"")</f>
        <v/>
      </c>
      <c r="J5066" s="353" t="str">
        <f>IFERROR(IF([1]F_ProductBM!J2360 = "", "", [1]F_ProductBM!J2360 ),"")</f>
        <v/>
      </c>
      <c r="K5066" s="351" t="str">
        <f>IFERROR(IF([1]F_ProductBM!K2360 = "", "", [1]F_ProductBM!K2360 ),"")</f>
        <v/>
      </c>
      <c r="L5066" s="351" t="str">
        <f>IFERROR(IF([1]F_ProductBM!L2360 = "", "", [1]F_ProductBM!L2360 ),"")</f>
        <v/>
      </c>
      <c r="M5066" s="351" t="str">
        <f>IFERROR(IF([1]F_ProductBM!M2360 = "", "", [1]F_ProductBM!M2360 ),"")</f>
        <v/>
      </c>
      <c r="N5066" s="354" t="str">
        <f>IFERROR(IF([1]F_ProductBM!N2360 = "", "", [1]F_ProductBM!N2360 ),"")</f>
        <v/>
      </c>
    </row>
    <row r="5067" spans="3:14">
      <c r="C5067" s="977"/>
      <c r="D5067" s="777" t="s">
        <v>1108</v>
      </c>
      <c r="E5067" s="2475" t="s">
        <v>1308</v>
      </c>
      <c r="F5067" s="2410"/>
      <c r="G5067" s="815" t="s">
        <v>2018</v>
      </c>
      <c r="H5067" s="93" t="str">
        <f>IFERROR(IF([1]F_ProductBM!H2361 = "", "", [1]F_ProductBM!H2361 ),"")</f>
        <v/>
      </c>
      <c r="I5067" s="116" t="str">
        <f>IFERROR(IF([1]F_ProductBM!I2361 = "", "", [1]F_ProductBM!I2361 ),"")</f>
        <v/>
      </c>
      <c r="J5067" s="117" t="str">
        <f>IFERROR(IF([1]F_ProductBM!J2361 = "", "", [1]F_ProductBM!J2361 ),"")</f>
        <v/>
      </c>
      <c r="K5067" s="93" t="str">
        <f>IFERROR(IF([1]F_ProductBM!K2361 = "", "", [1]F_ProductBM!K2361 ),"")</f>
        <v/>
      </c>
      <c r="L5067" s="93" t="str">
        <f>IFERROR(IF([1]F_ProductBM!L2361 = "", "", [1]F_ProductBM!L2361 ),"")</f>
        <v/>
      </c>
      <c r="M5067" s="93" t="str">
        <f>IFERROR(IF([1]F_ProductBM!M2361 = "", "", [1]F_ProductBM!M2361 ),"")</f>
        <v/>
      </c>
      <c r="N5067" s="118" t="str">
        <f>IFERROR(IF([1]F_ProductBM!N2361 = "", "", [1]F_ProductBM!N2361 ),"")</f>
        <v/>
      </c>
    </row>
    <row r="5068" spans="3:14">
      <c r="C5068" s="977"/>
      <c r="D5068" s="981"/>
      <c r="E5068" s="981"/>
      <c r="F5068" s="981"/>
      <c r="G5068" s="981"/>
      <c r="H5068" s="983"/>
      <c r="I5068" s="981"/>
      <c r="J5068" s="981"/>
      <c r="K5068" s="981"/>
      <c r="L5068" s="981"/>
      <c r="M5068" s="813"/>
      <c r="N5068" s="814"/>
    </row>
    <row r="5069" spans="3:14">
      <c r="C5069" s="977"/>
      <c r="D5069" s="981"/>
      <c r="E5069" s="2475" t="s">
        <v>1844</v>
      </c>
      <c r="F5069" s="2475"/>
      <c r="G5069" s="1009" t="s">
        <v>471</v>
      </c>
      <c r="H5069" s="62" t="str">
        <f>IFERROR(IF([1]F_ProductBM!H2363 = "", "", [1]F_ProductBM!H2363 ),"")</f>
        <v/>
      </c>
      <c r="I5069" s="65" t="str">
        <f>IFERROR(IF([1]F_ProductBM!I2363 = "", "", [1]F_ProductBM!I2363 ),"")</f>
        <v/>
      </c>
      <c r="J5069" s="69" t="str">
        <f>IFERROR(IF([1]F_ProductBM!J2363 = "", "", [1]F_ProductBM!J2363 ),"")</f>
        <v/>
      </c>
      <c r="K5069" s="62" t="str">
        <f>IFERROR(IF([1]F_ProductBM!K2363 = "", "", [1]F_ProductBM!K2363 ),"")</f>
        <v/>
      </c>
      <c r="L5069" s="62" t="str">
        <f>IFERROR(IF([1]F_ProductBM!L2363 = "", "", [1]F_ProductBM!L2363 ),"")</f>
        <v/>
      </c>
      <c r="M5069" s="62" t="str">
        <f>IFERROR(IF([1]F_ProductBM!M2363 = "", "", [1]F_ProductBM!M2363 ),"")</f>
        <v/>
      </c>
      <c r="N5069" s="62" t="str">
        <f>IFERROR(IF([1]F_ProductBM!N2363 = "", "", [1]F_ProductBM!N2363 ),"")</f>
        <v/>
      </c>
    </row>
    <row r="5070" spans="3:14" ht="13.5" thickBot="1">
      <c r="C5070" s="977"/>
      <c r="D5070" s="981"/>
      <c r="E5070" s="981"/>
      <c r="F5070" s="981"/>
      <c r="G5070" s="981"/>
      <c r="H5070" s="983"/>
      <c r="I5070" s="981"/>
      <c r="J5070" s="981"/>
      <c r="K5070" s="981"/>
      <c r="L5070" s="981"/>
      <c r="M5070" s="813"/>
      <c r="N5070" s="814"/>
    </row>
    <row r="5071" spans="3:14">
      <c r="C5071" s="977"/>
      <c r="D5071" s="1010"/>
      <c r="E5071" s="1011"/>
      <c r="F5071" s="1011"/>
      <c r="G5071" s="1011"/>
      <c r="H5071" s="1012"/>
      <c r="I5071" s="1011"/>
      <c r="J5071" s="1011"/>
      <c r="K5071" s="1011"/>
      <c r="L5071" s="1011"/>
      <c r="M5071" s="942"/>
      <c r="N5071" s="943"/>
    </row>
    <row r="5072" spans="3:14">
      <c r="C5072" s="977"/>
      <c r="D5072" s="907" t="s">
        <v>1917</v>
      </c>
      <c r="E5072" s="2713" t="s">
        <v>1773</v>
      </c>
      <c r="F5072" s="2493"/>
      <c r="G5072" s="2493"/>
      <c r="H5072" s="910" t="s">
        <v>884</v>
      </c>
      <c r="I5072" s="911" t="s">
        <v>2213</v>
      </c>
      <c r="J5072" s="912">
        <v>2021</v>
      </c>
      <c r="K5072" s="913">
        <v>2022</v>
      </c>
      <c r="L5072" s="913">
        <v>2023</v>
      </c>
      <c r="M5072" s="913">
        <v>2024</v>
      </c>
      <c r="N5072" s="914">
        <v>2025</v>
      </c>
    </row>
    <row r="5073" spans="3:14">
      <c r="C5073" s="977"/>
      <c r="D5073" s="915" t="s">
        <v>6</v>
      </c>
      <c r="E5073" s="2714" t="s">
        <v>1691</v>
      </c>
      <c r="F5073" s="2410"/>
      <c r="G5073" s="2410"/>
      <c r="H5073" s="944" t="s">
        <v>471</v>
      </c>
      <c r="I5073" s="281" t="str">
        <f>IFERROR(IF([1]F_ProductBM!I2367 = "", "", [1]F_ProductBM!I2367 ),"")</f>
        <v/>
      </c>
      <c r="J5073" s="334" t="str">
        <f>IFERROR(IF([1]F_ProductBM!J2367 = "", "", [1]F_ProductBM!J2367 ),"")</f>
        <v/>
      </c>
      <c r="K5073" s="335" t="str">
        <f>IFERROR(IF([1]F_ProductBM!K2367 = "", "", [1]F_ProductBM!K2367 ),"")</f>
        <v/>
      </c>
      <c r="L5073" s="335" t="str">
        <f>IFERROR(IF([1]F_ProductBM!L2367 = "", "", [1]F_ProductBM!L2367 ),"")</f>
        <v/>
      </c>
      <c r="M5073" s="335" t="str">
        <f>IFERROR(IF([1]F_ProductBM!M2367 = "", "", [1]F_ProductBM!M2367 ),"")</f>
        <v/>
      </c>
      <c r="N5073" s="336" t="str">
        <f>IFERROR(IF([1]F_ProductBM!N2367 = "", "", [1]F_ProductBM!N2367 ),"")</f>
        <v/>
      </c>
    </row>
    <row r="5074" spans="3:14">
      <c r="C5074" s="977"/>
      <c r="D5074" s="915"/>
      <c r="E5074" s="2714" t="s">
        <v>1776</v>
      </c>
      <c r="F5074" s="2410"/>
      <c r="G5074" s="2410"/>
      <c r="H5074" s="921"/>
      <c r="I5074" s="916"/>
      <c r="J5074" s="319" t="str">
        <f>IFERROR(IF([1]F_ProductBM!J2368 = "", "", [1]F_ProductBM!J2368 ),"")</f>
        <v/>
      </c>
      <c r="K5074" s="320" t="str">
        <f>IFERROR(IF([1]F_ProductBM!K2368 = "", "", [1]F_ProductBM!K2368 ),"")</f>
        <v/>
      </c>
      <c r="L5074" s="320" t="str">
        <f>IFERROR(IF([1]F_ProductBM!L2368 = "", "", [1]F_ProductBM!L2368 ),"")</f>
        <v/>
      </c>
      <c r="M5074" s="320" t="str">
        <f>IFERROR(IF([1]F_ProductBM!M2368 = "", "", [1]F_ProductBM!M2368 ),"")</f>
        <v/>
      </c>
      <c r="N5074" s="321" t="str">
        <f>IFERROR(IF([1]F_ProductBM!N2368 = "", "", [1]F_ProductBM!N2368 ),"")</f>
        <v/>
      </c>
    </row>
    <row r="5075" spans="3:14">
      <c r="C5075" s="977"/>
      <c r="D5075" s="915" t="s">
        <v>7</v>
      </c>
      <c r="E5075" s="2714" t="s">
        <v>1654</v>
      </c>
      <c r="F5075" s="2410"/>
      <c r="G5075" s="2410"/>
      <c r="H5075" s="921"/>
      <c r="I5075" s="916"/>
      <c r="J5075" s="288" t="str">
        <f>IFERROR(IF([1]F_ProductBM!J2369 = "", "", [1]F_ProductBM!J2369 ),"")</f>
        <v/>
      </c>
      <c r="K5075" s="289" t="str">
        <f>IFERROR(IF([1]F_ProductBM!K2369 = "", "", [1]F_ProductBM!K2369 ),"")</f>
        <v/>
      </c>
      <c r="L5075" s="289" t="str">
        <f>IFERROR(IF([1]F_ProductBM!L2369 = "", "", [1]F_ProductBM!L2369 ),"")</f>
        <v/>
      </c>
      <c r="M5075" s="289" t="str">
        <f>IFERROR(IF([1]F_ProductBM!M2369 = "", "", [1]F_ProductBM!M2369 ),"")</f>
        <v/>
      </c>
      <c r="N5075" s="290" t="str">
        <f>IFERROR(IF([1]F_ProductBM!N2369 = "", "", [1]F_ProductBM!N2369 ),"")</f>
        <v/>
      </c>
    </row>
    <row r="5076" spans="3:14">
      <c r="C5076" s="977"/>
      <c r="D5076" s="915"/>
      <c r="E5076" s="2714" t="s">
        <v>1689</v>
      </c>
      <c r="F5076" s="2410"/>
      <c r="G5076" s="2410"/>
      <c r="H5076" s="944" t="s">
        <v>471</v>
      </c>
      <c r="I5076" s="281" t="str">
        <f>IFERROR(IF([1]F_ProductBM!I2370 = "", "", [1]F_ProductBM!I2370 ),"")</f>
        <v/>
      </c>
      <c r="J5076" s="282" t="str">
        <f>IFERROR(IF([1]F_ProductBM!J2370 = "", "", [1]F_ProductBM!J2370 ),"")</f>
        <v/>
      </c>
      <c r="K5076" s="283" t="str">
        <f>IFERROR(IF([1]F_ProductBM!K2370 = "", "", [1]F_ProductBM!K2370 ),"")</f>
        <v/>
      </c>
      <c r="L5076" s="283" t="str">
        <f>IFERROR(IF([1]F_ProductBM!L2370 = "", "", [1]F_ProductBM!L2370 ),"")</f>
        <v/>
      </c>
      <c r="M5076" s="283" t="str">
        <f>IFERROR(IF([1]F_ProductBM!M2370 = "", "", [1]F_ProductBM!M2370 ),"")</f>
        <v/>
      </c>
      <c r="N5076" s="284" t="str">
        <f>IFERROR(IF([1]F_ProductBM!N2370 = "", "", [1]F_ProductBM!N2370 ),"")</f>
        <v/>
      </c>
    </row>
    <row r="5077" spans="3:14">
      <c r="C5077" s="977"/>
      <c r="D5077" s="915"/>
      <c r="E5077" s="909"/>
      <c r="F5077" s="909"/>
      <c r="G5077" s="909"/>
      <c r="H5077" s="909"/>
      <c r="I5077" s="909"/>
      <c r="J5077" s="909"/>
      <c r="K5077" s="909"/>
      <c r="L5077" s="909"/>
      <c r="M5077" s="909"/>
      <c r="N5077" s="922"/>
    </row>
    <row r="5078" spans="3:14">
      <c r="C5078" s="977"/>
      <c r="D5078" s="915"/>
      <c r="E5078" s="2713" t="s">
        <v>1653</v>
      </c>
      <c r="F5078" s="2493"/>
      <c r="G5078" s="2493"/>
      <c r="H5078" s="2493"/>
      <c r="I5078" s="2708"/>
      <c r="J5078" s="912">
        <v>2021</v>
      </c>
      <c r="K5078" s="913">
        <v>2022</v>
      </c>
      <c r="L5078" s="913">
        <v>2023</v>
      </c>
      <c r="M5078" s="913">
        <v>2024</v>
      </c>
      <c r="N5078" s="914">
        <v>2025</v>
      </c>
    </row>
    <row r="5079" spans="3:14">
      <c r="C5079" s="977"/>
      <c r="D5079" s="915" t="s">
        <v>8</v>
      </c>
      <c r="E5079" s="2714" t="s">
        <v>2108</v>
      </c>
      <c r="F5079" s="2410"/>
      <c r="G5079" s="2410"/>
      <c r="H5079" s="2410"/>
      <c r="I5079" s="2715"/>
      <c r="J5079" s="69" t="str">
        <f>IFERROR(IF([1]F_ProductBM!J2373 = "", "", [1]F_ProductBM!J2373 ),"")</f>
        <v/>
      </c>
      <c r="K5079" s="62" t="str">
        <f>IFERROR(IF([1]F_ProductBM!K2373 = "", "", [1]F_ProductBM!K2373 ),"")</f>
        <v/>
      </c>
      <c r="L5079" s="62" t="str">
        <f>IFERROR(IF([1]F_ProductBM!L2373 = "", "", [1]F_ProductBM!L2373 ),"")</f>
        <v/>
      </c>
      <c r="M5079" s="62" t="str">
        <f>IFERROR(IF([1]F_ProductBM!M2373 = "", "", [1]F_ProductBM!M2373 ),"")</f>
        <v/>
      </c>
      <c r="N5079" s="70" t="str">
        <f>IFERROR(IF([1]F_ProductBM!N2373 = "", "", [1]F_ProductBM!N2373 ),"")</f>
        <v/>
      </c>
    </row>
    <row r="5080" spans="3:14" ht="13.5" thickBot="1">
      <c r="C5080" s="977"/>
      <c r="D5080" s="915"/>
      <c r="E5080" s="909"/>
      <c r="F5080" s="909"/>
      <c r="G5080" s="909"/>
      <c r="H5080" s="909"/>
      <c r="I5080" s="909"/>
      <c r="J5080" s="909"/>
      <c r="K5080" s="909"/>
      <c r="L5080" s="909"/>
      <c r="M5080" s="909"/>
      <c r="N5080" s="922"/>
    </row>
    <row r="5081" spans="3:14" ht="13.5" thickBot="1">
      <c r="C5081" s="977"/>
      <c r="D5081" s="915" t="s">
        <v>18</v>
      </c>
      <c r="E5081" s="2714" t="s">
        <v>1657</v>
      </c>
      <c r="F5081" s="2410"/>
      <c r="G5081" s="2410"/>
      <c r="H5081" s="2410"/>
      <c r="I5081" s="2715"/>
      <c r="J5081" s="291" t="str">
        <f>IFERROR(IF([1]F_ProductBM!J2375 = "", "", [1]F_ProductBM!J2375 ),"")</f>
        <v/>
      </c>
      <c r="K5081" s="292" t="str">
        <f>IFERROR(IF([1]F_ProductBM!K2375 = "", "", [1]F_ProductBM!K2375 ),"")</f>
        <v/>
      </c>
      <c r="L5081" s="292" t="str">
        <f>IFERROR(IF([1]F_ProductBM!L2375 = "", "", [1]F_ProductBM!L2375 ),"")</f>
        <v/>
      </c>
      <c r="M5081" s="292" t="str">
        <f>IFERROR(IF([1]F_ProductBM!M2375 = "", "", [1]F_ProductBM!M2375 ),"")</f>
        <v/>
      </c>
      <c r="N5081" s="293" t="str">
        <f>IFERROR(IF([1]F_ProductBM!N2375 = "", "", [1]F_ProductBM!N2375 ),"")</f>
        <v/>
      </c>
    </row>
    <row r="5082" spans="3:14" ht="13.5" thickBot="1">
      <c r="C5082" s="977"/>
      <c r="D5082" s="915" t="s">
        <v>787</v>
      </c>
      <c r="E5082" s="2714" t="s">
        <v>1659</v>
      </c>
      <c r="F5082" s="2410"/>
      <c r="G5082" s="2410"/>
      <c r="H5082" s="944" t="s">
        <v>471</v>
      </c>
      <c r="I5082" s="281" t="str">
        <f>IFERROR(IF([1]F_ProductBM!I2376 = "", "", [1]F_ProductBM!I2376 ),"")</f>
        <v/>
      </c>
      <c r="J5082" s="294" t="str">
        <f>IFERROR(IF([1]F_ProductBM!J2376 = "", "", [1]F_ProductBM!J2376 ),"")</f>
        <v/>
      </c>
      <c r="K5082" s="295" t="str">
        <f>IFERROR(IF([1]F_ProductBM!K2376 = "", "", [1]F_ProductBM!K2376 ),"")</f>
        <v/>
      </c>
      <c r="L5082" s="295" t="str">
        <f>IFERROR(IF([1]F_ProductBM!L2376 = "", "", [1]F_ProductBM!L2376 ),"")</f>
        <v/>
      </c>
      <c r="M5082" s="295" t="str">
        <f>IFERROR(IF([1]F_ProductBM!M2376 = "", "", [1]F_ProductBM!M2376 ),"")</f>
        <v/>
      </c>
      <c r="N5082" s="296" t="str">
        <f>IFERROR(IF([1]F_ProductBM!N2376 = "", "", [1]F_ProductBM!N2376 ),"")</f>
        <v/>
      </c>
    </row>
    <row r="5083" spans="3:14" ht="13.5" thickBot="1">
      <c r="C5083" s="977"/>
      <c r="D5083" s="946"/>
      <c r="E5083" s="947"/>
      <c r="F5083" s="947"/>
      <c r="G5083" s="947"/>
      <c r="H5083" s="1014"/>
      <c r="I5083" s="947"/>
      <c r="J5083" s="947"/>
      <c r="K5083" s="947"/>
      <c r="L5083" s="947"/>
      <c r="M5083" s="925"/>
      <c r="N5083" s="926"/>
    </row>
    <row r="5084" spans="3:14">
      <c r="C5084" s="977"/>
      <c r="D5084" s="981"/>
      <c r="E5084" s="981"/>
      <c r="F5084" s="981"/>
      <c r="G5084" s="981"/>
      <c r="H5084" s="983"/>
      <c r="I5084" s="981"/>
      <c r="J5084" s="981"/>
      <c r="K5084" s="981"/>
      <c r="L5084" s="981"/>
      <c r="M5084" s="813"/>
      <c r="N5084" s="814"/>
    </row>
    <row r="5085" spans="3:14">
      <c r="C5085" s="977"/>
      <c r="D5085" s="777" t="s">
        <v>1109</v>
      </c>
      <c r="E5085" s="2649" t="s">
        <v>1218</v>
      </c>
      <c r="F5085" s="2391"/>
      <c r="G5085" s="2391"/>
      <c r="H5085" s="2512"/>
      <c r="I5085" s="2683" t="str">
        <f>IFERROR(IF([1]F_ProductBM!I2379 = "", "", [1]F_ProductBM!I2379 ),"")</f>
        <v/>
      </c>
      <c r="J5085" s="2488"/>
      <c r="K5085" s="2488"/>
      <c r="L5085" s="2488"/>
      <c r="M5085" s="2686"/>
      <c r="N5085" s="814"/>
    </row>
    <row r="5086" spans="3:14">
      <c r="C5086" s="977"/>
      <c r="D5086" s="777"/>
      <c r="E5086" s="2676" t="s">
        <v>2298</v>
      </c>
      <c r="F5086" s="2391"/>
      <c r="G5086" s="2391"/>
      <c r="H5086" s="2391"/>
      <c r="I5086" s="2391"/>
      <c r="J5086" s="2391"/>
      <c r="K5086" s="2391"/>
      <c r="L5086" s="2391"/>
      <c r="M5086" s="2391"/>
      <c r="N5086" s="2650"/>
    </row>
    <row r="5087" spans="3:14">
      <c r="C5087" s="977"/>
      <c r="D5087" s="777"/>
      <c r="E5087" s="2669" t="s">
        <v>1560</v>
      </c>
      <c r="F5087" s="2391"/>
      <c r="G5087" s="2391"/>
      <c r="H5087" s="2391"/>
      <c r="I5087" s="2391"/>
      <c r="J5087" s="2391"/>
      <c r="K5087" s="2391"/>
      <c r="L5087" s="2391"/>
      <c r="M5087" s="2391"/>
      <c r="N5087" s="2650"/>
    </row>
    <row r="5088" spans="3:14">
      <c r="C5088" s="977"/>
      <c r="D5088" s="981"/>
      <c r="E5088" s="989"/>
      <c r="F5088" s="990"/>
      <c r="G5088" s="987" t="s">
        <v>884</v>
      </c>
      <c r="H5088" s="782">
        <v>2019</v>
      </c>
      <c r="I5088" s="988">
        <v>2020</v>
      </c>
      <c r="J5088" s="781">
        <v>2021</v>
      </c>
      <c r="K5088" s="782">
        <v>2022</v>
      </c>
      <c r="L5088" s="782">
        <v>2023</v>
      </c>
      <c r="M5088" s="782">
        <v>2024</v>
      </c>
      <c r="N5088" s="783">
        <v>2025</v>
      </c>
    </row>
    <row r="5089" spans="3:14">
      <c r="C5089" s="977"/>
      <c r="D5089" s="777" t="s">
        <v>1110</v>
      </c>
      <c r="E5089" s="2471" t="s">
        <v>1303</v>
      </c>
      <c r="F5089" s="2472"/>
      <c r="G5089" s="67" t="str">
        <f>IFERROR(IF([1]F_ProductBM!G2383 = "", "", [1]F_ProductBM!G2383 ),"")</f>
        <v/>
      </c>
      <c r="H5089" s="94" t="str">
        <f>IFERROR(IF([1]F_ProductBM!H2383 = "", "", [1]F_ProductBM!H2383 ),"")</f>
        <v/>
      </c>
      <c r="I5089" s="110" t="str">
        <f>IFERROR(IF([1]F_ProductBM!I2383 = "", "", [1]F_ProductBM!I2383 ),"")</f>
        <v/>
      </c>
      <c r="J5089" s="111" t="str">
        <f>IFERROR(IF([1]F_ProductBM!J2383 = "", "", [1]F_ProductBM!J2383 ),"")</f>
        <v/>
      </c>
      <c r="K5089" s="94" t="str">
        <f>IFERROR(IF([1]F_ProductBM!K2383 = "", "", [1]F_ProductBM!K2383 ),"")</f>
        <v/>
      </c>
      <c r="L5089" s="94" t="str">
        <f>IFERROR(IF([1]F_ProductBM!L2383 = "", "", [1]F_ProductBM!L2383 ),"")</f>
        <v/>
      </c>
      <c r="M5089" s="94" t="str">
        <f>IFERROR(IF([1]F_ProductBM!M2383 = "", "", [1]F_ProductBM!M2383 ),"")</f>
        <v/>
      </c>
      <c r="N5089" s="112" t="str">
        <f>IFERROR(IF([1]F_ProductBM!N2383 = "", "", [1]F_ProductBM!N2383 ),"")</f>
        <v/>
      </c>
    </row>
    <row r="5090" spans="3:14">
      <c r="C5090" s="977"/>
      <c r="D5090" s="777" t="s">
        <v>1111</v>
      </c>
      <c r="E5090" s="2473" t="s">
        <v>661</v>
      </c>
      <c r="F5090" s="2474"/>
      <c r="G5090" s="350" t="str">
        <f>IFERROR(IF([1]F_ProductBM!G2384 = "", "", [1]F_ProductBM!G2384 ),"")</f>
        <v>GJ / Unit</v>
      </c>
      <c r="H5090" s="95" t="str">
        <f>IFERROR(IF([1]F_ProductBM!H2384 = "", "", [1]F_ProductBM!H2384 ),"")</f>
        <v/>
      </c>
      <c r="I5090" s="113" t="str">
        <f>IFERROR(IF([1]F_ProductBM!I2384 = "", "", [1]F_ProductBM!I2384 ),"")</f>
        <v/>
      </c>
      <c r="J5090" s="114" t="str">
        <f>IFERROR(IF([1]F_ProductBM!J2384 = "", "", [1]F_ProductBM!J2384 ),"")</f>
        <v/>
      </c>
      <c r="K5090" s="95" t="str">
        <f>IFERROR(IF([1]F_ProductBM!K2384 = "", "", [1]F_ProductBM!K2384 ),"")</f>
        <v/>
      </c>
      <c r="L5090" s="95" t="str">
        <f>IFERROR(IF([1]F_ProductBM!L2384 = "", "", [1]F_ProductBM!L2384 ),"")</f>
        <v/>
      </c>
      <c r="M5090" s="95" t="str">
        <f>IFERROR(IF([1]F_ProductBM!M2384 = "", "", [1]F_ProductBM!M2384 ),"")</f>
        <v/>
      </c>
      <c r="N5090" s="115" t="str">
        <f>IFERROR(IF([1]F_ProductBM!N2384 = "", "", [1]F_ProductBM!N2384 ),"")</f>
        <v/>
      </c>
    </row>
    <row r="5091" spans="3:14">
      <c r="C5091" s="977"/>
      <c r="D5091" s="777" t="s">
        <v>1112</v>
      </c>
      <c r="E5091" s="2475" t="s">
        <v>1102</v>
      </c>
      <c r="F5091" s="2410"/>
      <c r="G5091" s="815" t="s">
        <v>2017</v>
      </c>
      <c r="H5091" s="93" t="str">
        <f>IFERROR(IF([1]F_ProductBM!H2385 = "", "", [1]F_ProductBM!H2385 ),"")</f>
        <v/>
      </c>
      <c r="I5091" s="116" t="str">
        <f>IFERROR(IF([1]F_ProductBM!I2385 = "", "", [1]F_ProductBM!I2385 ),"")</f>
        <v/>
      </c>
      <c r="J5091" s="117" t="str">
        <f>IFERROR(IF([1]F_ProductBM!J2385 = "", "", [1]F_ProductBM!J2385 ),"")</f>
        <v/>
      </c>
      <c r="K5091" s="93" t="str">
        <f>IFERROR(IF([1]F_ProductBM!K2385 = "", "", [1]F_ProductBM!K2385 ),"")</f>
        <v/>
      </c>
      <c r="L5091" s="93" t="str">
        <f>IFERROR(IF([1]F_ProductBM!L2385 = "", "", [1]F_ProductBM!L2385 ),"")</f>
        <v/>
      </c>
      <c r="M5091" s="93" t="str">
        <f>IFERROR(IF([1]F_ProductBM!M2385 = "", "", [1]F_ProductBM!M2385 ),"")</f>
        <v/>
      </c>
      <c r="N5091" s="118" t="str">
        <f>IFERROR(IF([1]F_ProductBM!N2385 = "", "", [1]F_ProductBM!N2385 ),"")</f>
        <v/>
      </c>
    </row>
    <row r="5092" spans="3:14">
      <c r="C5092" s="977"/>
      <c r="D5092" s="777" t="s">
        <v>1113</v>
      </c>
      <c r="E5092" s="2475" t="s">
        <v>1275</v>
      </c>
      <c r="F5092" s="2410"/>
      <c r="G5092" s="815" t="s">
        <v>2018</v>
      </c>
      <c r="H5092" s="93" t="str">
        <f>IFERROR(IF([1]F_ProductBM!H2386 = "", "", [1]F_ProductBM!H2386 ),"")</f>
        <v/>
      </c>
      <c r="I5092" s="116" t="str">
        <f>IFERROR(IF([1]F_ProductBM!I2386 = "", "", [1]F_ProductBM!I2386 ),"")</f>
        <v/>
      </c>
      <c r="J5092" s="117" t="str">
        <f>IFERROR(IF([1]F_ProductBM!J2386 = "", "", [1]F_ProductBM!J2386 ),"")</f>
        <v/>
      </c>
      <c r="K5092" s="93" t="str">
        <f>IFERROR(IF([1]F_ProductBM!K2386 = "", "", [1]F_ProductBM!K2386 ),"")</f>
        <v/>
      </c>
      <c r="L5092" s="93" t="str">
        <f>IFERROR(IF([1]F_ProductBM!L2386 = "", "", [1]F_ProductBM!L2386 ),"")</f>
        <v/>
      </c>
      <c r="M5092" s="93" t="str">
        <f>IFERROR(IF([1]F_ProductBM!M2386 = "", "", [1]F_ProductBM!M2386 ),"")</f>
        <v/>
      </c>
      <c r="N5092" s="118" t="str">
        <f>IFERROR(IF([1]F_ProductBM!N2386 = "", "", [1]F_ProductBM!N2386 ),"")</f>
        <v/>
      </c>
    </row>
    <row r="5093" spans="3:14">
      <c r="C5093" s="977"/>
      <c r="D5093" s="981"/>
      <c r="E5093" s="981"/>
      <c r="F5093" s="981"/>
      <c r="G5093" s="981"/>
      <c r="H5093" s="983"/>
      <c r="I5093" s="981"/>
      <c r="J5093" s="981"/>
      <c r="K5093" s="981"/>
      <c r="L5093" s="981"/>
      <c r="M5093" s="813"/>
      <c r="N5093" s="814"/>
    </row>
    <row r="5094" spans="3:14">
      <c r="C5094" s="977"/>
      <c r="D5094" s="777" t="s">
        <v>1114</v>
      </c>
      <c r="E5094" s="2649" t="s">
        <v>1217</v>
      </c>
      <c r="F5094" s="2391"/>
      <c r="G5094" s="2391"/>
      <c r="H5094" s="2512"/>
      <c r="I5094" s="2683" t="str">
        <f>IFERROR(IF([1]F_ProductBM!I2388 = "", "", [1]F_ProductBM!I2388 ),"")</f>
        <v/>
      </c>
      <c r="J5094" s="2488"/>
      <c r="K5094" s="2488"/>
      <c r="L5094" s="2488"/>
      <c r="M5094" s="2686"/>
      <c r="N5094" s="979"/>
    </row>
    <row r="5095" spans="3:14">
      <c r="C5095" s="977"/>
      <c r="D5095" s="777"/>
      <c r="E5095" s="2676" t="s">
        <v>2298</v>
      </c>
      <c r="F5095" s="2391"/>
      <c r="G5095" s="2391"/>
      <c r="H5095" s="2391"/>
      <c r="I5095" s="2391"/>
      <c r="J5095" s="2391"/>
      <c r="K5095" s="2391"/>
      <c r="L5095" s="2391"/>
      <c r="M5095" s="2391"/>
      <c r="N5095" s="2650"/>
    </row>
    <row r="5096" spans="3:14">
      <c r="C5096" s="977"/>
      <c r="D5096" s="777"/>
      <c r="E5096" s="2669" t="s">
        <v>1317</v>
      </c>
      <c r="F5096" s="2391"/>
      <c r="G5096" s="2391"/>
      <c r="H5096" s="2391"/>
      <c r="I5096" s="2391"/>
      <c r="J5096" s="2391"/>
      <c r="K5096" s="2391"/>
      <c r="L5096" s="2391"/>
      <c r="M5096" s="2391"/>
      <c r="N5096" s="2650"/>
    </row>
    <row r="5097" spans="3:14">
      <c r="C5097" s="977"/>
      <c r="D5097" s="981"/>
      <c r="E5097" s="989"/>
      <c r="F5097" s="990"/>
      <c r="G5097" s="987" t="s">
        <v>884</v>
      </c>
      <c r="H5097" s="782">
        <v>2019</v>
      </c>
      <c r="I5097" s="988">
        <v>2020</v>
      </c>
      <c r="J5097" s="781">
        <v>2021</v>
      </c>
      <c r="K5097" s="782">
        <v>2022</v>
      </c>
      <c r="L5097" s="782">
        <v>2023</v>
      </c>
      <c r="M5097" s="782">
        <v>2024</v>
      </c>
      <c r="N5097" s="783">
        <v>2025</v>
      </c>
    </row>
    <row r="5098" spans="3:14">
      <c r="C5098" s="977"/>
      <c r="D5098" s="777" t="s">
        <v>1115</v>
      </c>
      <c r="E5098" s="2471" t="s">
        <v>1304</v>
      </c>
      <c r="F5098" s="2472"/>
      <c r="G5098" s="67" t="str">
        <f>IFERROR(IF([1]F_ProductBM!G2392 = "", "", [1]F_ProductBM!G2392 ),"")</f>
        <v/>
      </c>
      <c r="H5098" s="94" t="str">
        <f>IFERROR(IF([1]F_ProductBM!H2392 = "", "", [1]F_ProductBM!H2392 ),"")</f>
        <v/>
      </c>
      <c r="I5098" s="110" t="str">
        <f>IFERROR(IF([1]F_ProductBM!I2392 = "", "", [1]F_ProductBM!I2392 ),"")</f>
        <v/>
      </c>
      <c r="J5098" s="111" t="str">
        <f>IFERROR(IF([1]F_ProductBM!J2392 = "", "", [1]F_ProductBM!J2392 ),"")</f>
        <v/>
      </c>
      <c r="K5098" s="94" t="str">
        <f>IFERROR(IF([1]F_ProductBM!K2392 = "", "", [1]F_ProductBM!K2392 ),"")</f>
        <v/>
      </c>
      <c r="L5098" s="94" t="str">
        <f>IFERROR(IF([1]F_ProductBM!L2392 = "", "", [1]F_ProductBM!L2392 ),"")</f>
        <v/>
      </c>
      <c r="M5098" s="94" t="str">
        <f>IFERROR(IF([1]F_ProductBM!M2392 = "", "", [1]F_ProductBM!M2392 ),"")</f>
        <v/>
      </c>
      <c r="N5098" s="112" t="str">
        <f>IFERROR(IF([1]F_ProductBM!N2392 = "", "", [1]F_ProductBM!N2392 ),"")</f>
        <v/>
      </c>
    </row>
    <row r="5099" spans="3:14">
      <c r="C5099" s="977"/>
      <c r="D5099" s="777" t="s">
        <v>1561</v>
      </c>
      <c r="E5099" s="2473" t="s">
        <v>661</v>
      </c>
      <c r="F5099" s="2474"/>
      <c r="G5099" s="350" t="str">
        <f>IFERROR(IF([1]F_ProductBM!G2393 = "", "", [1]F_ProductBM!G2393 ),"")</f>
        <v>GJ / Unit</v>
      </c>
      <c r="H5099" s="95" t="str">
        <f>IFERROR(IF([1]F_ProductBM!H2393 = "", "", [1]F_ProductBM!H2393 ),"")</f>
        <v/>
      </c>
      <c r="I5099" s="113" t="str">
        <f>IFERROR(IF([1]F_ProductBM!I2393 = "", "", [1]F_ProductBM!I2393 ),"")</f>
        <v/>
      </c>
      <c r="J5099" s="114" t="str">
        <f>IFERROR(IF([1]F_ProductBM!J2393 = "", "", [1]F_ProductBM!J2393 ),"")</f>
        <v/>
      </c>
      <c r="K5099" s="95" t="str">
        <f>IFERROR(IF([1]F_ProductBM!K2393 = "", "", [1]F_ProductBM!K2393 ),"")</f>
        <v/>
      </c>
      <c r="L5099" s="95" t="str">
        <f>IFERROR(IF([1]F_ProductBM!L2393 = "", "", [1]F_ProductBM!L2393 ),"")</f>
        <v/>
      </c>
      <c r="M5099" s="95" t="str">
        <f>IFERROR(IF([1]F_ProductBM!M2393 = "", "", [1]F_ProductBM!M2393 ),"")</f>
        <v/>
      </c>
      <c r="N5099" s="115" t="str">
        <f>IFERROR(IF([1]F_ProductBM!N2393 = "", "", [1]F_ProductBM!N2393 ),"")</f>
        <v/>
      </c>
    </row>
    <row r="5100" spans="3:14">
      <c r="C5100" s="977"/>
      <c r="D5100" s="777" t="s">
        <v>1599</v>
      </c>
      <c r="E5100" s="2475" t="s">
        <v>1080</v>
      </c>
      <c r="F5100" s="2410"/>
      <c r="G5100" s="815" t="s">
        <v>2017</v>
      </c>
      <c r="H5100" s="93" t="str">
        <f>IFERROR(IF([1]F_ProductBM!H2394 = "", "", [1]F_ProductBM!H2394 ),"")</f>
        <v/>
      </c>
      <c r="I5100" s="116" t="str">
        <f>IFERROR(IF([1]F_ProductBM!I2394 = "", "", [1]F_ProductBM!I2394 ),"")</f>
        <v/>
      </c>
      <c r="J5100" s="117" t="str">
        <f>IFERROR(IF([1]F_ProductBM!J2394 = "", "", [1]F_ProductBM!J2394 ),"")</f>
        <v/>
      </c>
      <c r="K5100" s="93" t="str">
        <f>IFERROR(IF([1]F_ProductBM!K2394 = "", "", [1]F_ProductBM!K2394 ),"")</f>
        <v/>
      </c>
      <c r="L5100" s="93" t="str">
        <f>IFERROR(IF([1]F_ProductBM!L2394 = "", "", [1]F_ProductBM!L2394 ),"")</f>
        <v/>
      </c>
      <c r="M5100" s="93" t="str">
        <f>IFERROR(IF([1]F_ProductBM!M2394 = "", "", [1]F_ProductBM!M2394 ),"")</f>
        <v/>
      </c>
      <c r="N5100" s="118" t="str">
        <f>IFERROR(IF([1]F_ProductBM!N2394 = "", "", [1]F_ProductBM!N2394 ),"")</f>
        <v/>
      </c>
    </row>
    <row r="5101" spans="3:14">
      <c r="C5101" s="977"/>
      <c r="D5101" s="777" t="s">
        <v>1600</v>
      </c>
      <c r="E5101" s="2475" t="s">
        <v>1276</v>
      </c>
      <c r="F5101" s="2410"/>
      <c r="G5101" s="815" t="s">
        <v>2018</v>
      </c>
      <c r="H5101" s="93" t="str">
        <f>IFERROR(IF([1]F_ProductBM!H2395 = "", "", [1]F_ProductBM!H2395 ),"")</f>
        <v/>
      </c>
      <c r="I5101" s="116" t="str">
        <f>IFERROR(IF([1]F_ProductBM!I2395 = "", "", [1]F_ProductBM!I2395 ),"")</f>
        <v/>
      </c>
      <c r="J5101" s="117" t="str">
        <f>IFERROR(IF([1]F_ProductBM!J2395 = "", "", [1]F_ProductBM!J2395 ),"")</f>
        <v/>
      </c>
      <c r="K5101" s="93" t="str">
        <f>IFERROR(IF([1]F_ProductBM!K2395 = "", "", [1]F_ProductBM!K2395 ),"")</f>
        <v/>
      </c>
      <c r="L5101" s="93" t="str">
        <f>IFERROR(IF([1]F_ProductBM!L2395 = "", "", [1]F_ProductBM!L2395 ),"")</f>
        <v/>
      </c>
      <c r="M5101" s="93" t="str">
        <f>IFERROR(IF([1]F_ProductBM!M2395 = "", "", [1]F_ProductBM!M2395 ),"")</f>
        <v/>
      </c>
      <c r="N5101" s="118" t="str">
        <f>IFERROR(IF([1]F_ProductBM!N2395 = "", "", [1]F_ProductBM!N2395 ),"")</f>
        <v/>
      </c>
    </row>
    <row r="5102" spans="3:14">
      <c r="C5102" s="977"/>
      <c r="D5102" s="981"/>
      <c r="E5102" s="981"/>
      <c r="F5102" s="981"/>
      <c r="G5102" s="981"/>
      <c r="H5102" s="981"/>
      <c r="I5102" s="983"/>
      <c r="J5102" s="981"/>
      <c r="K5102" s="981"/>
      <c r="L5102" s="981"/>
      <c r="M5102" s="981"/>
      <c r="N5102" s="814"/>
    </row>
    <row r="5103" spans="3:14">
      <c r="C5103" s="977"/>
      <c r="D5103" s="982" t="s">
        <v>482</v>
      </c>
      <c r="E5103" s="2649" t="s">
        <v>1127</v>
      </c>
      <c r="F5103" s="2391"/>
      <c r="G5103" s="2391"/>
      <c r="H5103" s="2391"/>
      <c r="I5103" s="2391"/>
      <c r="J5103" s="2391"/>
      <c r="K5103" s="2391"/>
      <c r="L5103" s="2391"/>
      <c r="M5103" s="2391"/>
      <c r="N5103" s="2650"/>
    </row>
    <row r="5104" spans="3:14">
      <c r="C5104" s="977"/>
      <c r="D5104" s="777"/>
      <c r="E5104" s="2676" t="s">
        <v>2299</v>
      </c>
      <c r="F5104" s="2391"/>
      <c r="G5104" s="2391"/>
      <c r="H5104" s="2391"/>
      <c r="I5104" s="2391"/>
      <c r="J5104" s="2391"/>
      <c r="K5104" s="2391"/>
      <c r="L5104" s="2391"/>
      <c r="M5104" s="2391"/>
      <c r="N5104" s="2650"/>
    </row>
    <row r="5105" spans="3:14" ht="24" customHeight="1">
      <c r="C5105" s="977"/>
      <c r="D5105" s="981"/>
      <c r="E5105" s="2669" t="s">
        <v>2710</v>
      </c>
      <c r="F5105" s="2391"/>
      <c r="G5105" s="2391"/>
      <c r="H5105" s="2391"/>
      <c r="I5105" s="2391"/>
      <c r="J5105" s="2391"/>
      <c r="K5105" s="2391"/>
      <c r="L5105" s="2391"/>
      <c r="M5105" s="2391"/>
      <c r="N5105" s="2650"/>
    </row>
    <row r="5106" spans="3:14">
      <c r="C5106" s="977"/>
      <c r="D5106" s="982"/>
      <c r="E5106" s="989"/>
      <c r="F5106" s="990"/>
      <c r="G5106" s="987" t="s">
        <v>884</v>
      </c>
      <c r="H5106" s="782">
        <v>2019</v>
      </c>
      <c r="I5106" s="988">
        <v>2020</v>
      </c>
      <c r="J5106" s="781">
        <v>2021</v>
      </c>
      <c r="K5106" s="782">
        <v>2022</v>
      </c>
      <c r="L5106" s="782">
        <v>2023</v>
      </c>
      <c r="M5106" s="782">
        <v>2024</v>
      </c>
      <c r="N5106" s="783">
        <v>2025</v>
      </c>
    </row>
    <row r="5107" spans="3:14">
      <c r="C5107" s="977"/>
      <c r="D5107" s="777"/>
      <c r="E5107" s="2475" t="s">
        <v>1354</v>
      </c>
      <c r="F5107" s="2410"/>
      <c r="G5107" s="815" t="s">
        <v>2021</v>
      </c>
      <c r="H5107" s="93" t="str">
        <f>IFERROR(IF([1]F_ProductBM!H2401 = "", "", [1]F_ProductBM!H2401 ),"")</f>
        <v/>
      </c>
      <c r="I5107" s="116" t="str">
        <f>IFERROR(IF([1]F_ProductBM!I2401 = "", "", [1]F_ProductBM!I2401 ),"")</f>
        <v/>
      </c>
      <c r="J5107" s="117" t="str">
        <f>IFERROR(IF([1]F_ProductBM!J2401 = "", "", [1]F_ProductBM!J2401 ),"")</f>
        <v/>
      </c>
      <c r="K5107" s="93" t="str">
        <f>IFERROR(IF([1]F_ProductBM!K2401 = "", "", [1]F_ProductBM!K2401 ),"")</f>
        <v/>
      </c>
      <c r="L5107" s="93" t="str">
        <f>IFERROR(IF([1]F_ProductBM!L2401 = "", "", [1]F_ProductBM!L2401 ),"")</f>
        <v/>
      </c>
      <c r="M5107" s="93" t="str">
        <f>IFERROR(IF([1]F_ProductBM!M2401 = "", "", [1]F_ProductBM!M2401 ),"")</f>
        <v/>
      </c>
      <c r="N5107" s="118" t="str">
        <f>IFERROR(IF([1]F_ProductBM!N2401 = "", "", [1]F_ProductBM!N2401 ),"")</f>
        <v/>
      </c>
    </row>
    <row r="5108" spans="3:14">
      <c r="C5108" s="977"/>
      <c r="D5108" s="981"/>
      <c r="E5108" s="981"/>
      <c r="F5108" s="981"/>
      <c r="G5108" s="981"/>
      <c r="H5108" s="981"/>
      <c r="I5108" s="983"/>
      <c r="J5108" s="981"/>
      <c r="K5108" s="981"/>
      <c r="L5108" s="981"/>
      <c r="M5108" s="981"/>
      <c r="N5108" s="814"/>
    </row>
    <row r="5109" spans="3:14">
      <c r="C5109" s="977"/>
      <c r="D5109" s="982" t="s">
        <v>245</v>
      </c>
      <c r="E5109" s="2649" t="s">
        <v>1157</v>
      </c>
      <c r="F5109" s="2391"/>
      <c r="G5109" s="2391"/>
      <c r="H5109" s="2391"/>
      <c r="I5109" s="2391"/>
      <c r="J5109" s="2391"/>
      <c r="K5109" s="2391"/>
      <c r="L5109" s="2391"/>
      <c r="M5109" s="2391"/>
      <c r="N5109" s="2650"/>
    </row>
    <row r="5110" spans="3:14">
      <c r="C5110" s="977"/>
      <c r="D5110" s="981"/>
      <c r="E5110" s="2669" t="s">
        <v>1264</v>
      </c>
      <c r="F5110" s="2391"/>
      <c r="G5110" s="2391"/>
      <c r="H5110" s="2391"/>
      <c r="I5110" s="2391"/>
      <c r="J5110" s="2391"/>
      <c r="K5110" s="2391"/>
      <c r="L5110" s="2391"/>
      <c r="M5110" s="2391"/>
      <c r="N5110" s="2650"/>
    </row>
    <row r="5111" spans="3:14">
      <c r="C5111" s="977"/>
      <c r="D5111" s="981"/>
      <c r="E5111" s="2669" t="s">
        <v>1563</v>
      </c>
      <c r="F5111" s="2391"/>
      <c r="G5111" s="2391"/>
      <c r="H5111" s="2391"/>
      <c r="I5111" s="2391"/>
      <c r="J5111" s="2391"/>
      <c r="K5111" s="2391"/>
      <c r="L5111" s="2391"/>
      <c r="M5111" s="2391"/>
      <c r="N5111" s="2650"/>
    </row>
    <row r="5112" spans="3:14">
      <c r="C5112" s="977"/>
      <c r="D5112" s="777"/>
      <c r="E5112" s="2707" t="s">
        <v>1598</v>
      </c>
      <c r="F5112" s="2493"/>
      <c r="G5112" s="2493"/>
      <c r="H5112" s="2493"/>
      <c r="I5112" s="2493"/>
      <c r="J5112" s="2493"/>
      <c r="K5112" s="2493"/>
      <c r="L5112" s="2493"/>
      <c r="M5112" s="2493"/>
      <c r="N5112" s="2708"/>
    </row>
    <row r="5113" spans="3:14">
      <c r="C5113" s="977"/>
      <c r="D5113" s="777"/>
      <c r="E5113" s="2487" t="str">
        <f>IFERROR(IF([1]F_ProductBM!E2407 = "", "", [1]F_ProductBM!E2407 ),"")</f>
        <v/>
      </c>
      <c r="F5113" s="2488"/>
      <c r="G5113" s="815" t="s">
        <v>1020</v>
      </c>
      <c r="H5113" s="93" t="str">
        <f>IFERROR(IF([1]F_ProductBM!H2407 = "", "", [1]F_ProductBM!H2407 ),"")</f>
        <v/>
      </c>
      <c r="I5113" s="116" t="str">
        <f>IFERROR(IF([1]F_ProductBM!I2407 = "", "", [1]F_ProductBM!I2407 ),"")</f>
        <v/>
      </c>
      <c r="J5113" s="117" t="str">
        <f>IFERROR(IF([1]F_ProductBM!J2407 = "", "", [1]F_ProductBM!J2407 ),"")</f>
        <v/>
      </c>
      <c r="K5113" s="93" t="str">
        <f>IFERROR(IF([1]F_ProductBM!K2407 = "", "", [1]F_ProductBM!K2407 ),"")</f>
        <v/>
      </c>
      <c r="L5113" s="93" t="str">
        <f>IFERROR(IF([1]F_ProductBM!L2407 = "", "", [1]F_ProductBM!L2407 ),"")</f>
        <v/>
      </c>
      <c r="M5113" s="93" t="str">
        <f>IFERROR(IF([1]F_ProductBM!M2407 = "", "", [1]F_ProductBM!M2407 ),"")</f>
        <v/>
      </c>
      <c r="N5113" s="118" t="str">
        <f>IFERROR(IF([1]F_ProductBM!N2407 = "", "", [1]F_ProductBM!N2407 ),"")</f>
        <v/>
      </c>
    </row>
    <row r="5114" spans="3:14">
      <c r="C5114" s="977"/>
      <c r="D5114" s="777"/>
      <c r="E5114" s="777"/>
      <c r="F5114" s="777"/>
      <c r="G5114" s="777"/>
      <c r="H5114" s="983"/>
      <c r="I5114" s="777"/>
      <c r="J5114" s="777"/>
      <c r="K5114" s="777"/>
      <c r="L5114" s="777"/>
      <c r="M5114" s="777"/>
      <c r="N5114" s="1007"/>
    </row>
    <row r="5115" spans="3:14">
      <c r="C5115" s="977"/>
      <c r="D5115" s="982" t="s">
        <v>832</v>
      </c>
      <c r="E5115" s="2649" t="s">
        <v>1142</v>
      </c>
      <c r="F5115" s="2391"/>
      <c r="G5115" s="2391"/>
      <c r="H5115" s="2391"/>
      <c r="I5115" s="2391"/>
      <c r="J5115" s="2391"/>
      <c r="K5115" s="2391"/>
      <c r="L5115" s="2391"/>
      <c r="M5115" s="2391"/>
      <c r="N5115" s="2650"/>
    </row>
    <row r="5116" spans="3:14">
      <c r="C5116" s="977"/>
      <c r="D5116" s="981"/>
      <c r="E5116" s="2669" t="s">
        <v>1366</v>
      </c>
      <c r="F5116" s="2391"/>
      <c r="G5116" s="2391"/>
      <c r="H5116" s="2391"/>
      <c r="I5116" s="2391"/>
      <c r="J5116" s="2391"/>
      <c r="K5116" s="2391"/>
      <c r="L5116" s="2391"/>
      <c r="M5116" s="2391"/>
      <c r="N5116" s="2650"/>
    </row>
    <row r="5117" spans="3:14">
      <c r="C5117" s="977"/>
      <c r="D5117" s="981"/>
      <c r="E5117" s="2676" t="s">
        <v>1610</v>
      </c>
      <c r="F5117" s="2391"/>
      <c r="G5117" s="2391"/>
      <c r="H5117" s="2391"/>
      <c r="I5117" s="2391"/>
      <c r="J5117" s="2391"/>
      <c r="K5117" s="2391"/>
      <c r="L5117" s="2391"/>
      <c r="M5117" s="2391"/>
      <c r="N5117" s="2650"/>
    </row>
    <row r="5118" spans="3:14">
      <c r="C5118" s="977"/>
      <c r="D5118" s="777" t="s">
        <v>6</v>
      </c>
      <c r="E5118" s="2682" t="s">
        <v>1145</v>
      </c>
      <c r="F5118" s="2391"/>
      <c r="G5118" s="2391"/>
      <c r="H5118" s="2391"/>
      <c r="I5118" s="2391"/>
      <c r="J5118" s="2391"/>
      <c r="K5118" s="2512"/>
      <c r="L5118" s="120" t="str">
        <f>IFERROR(IF([1]F_ProductBM!L2412 = "", "", [1]F_ProductBM!L2412 ),"")</f>
        <v/>
      </c>
      <c r="M5118" s="813"/>
      <c r="N5118" s="1015"/>
    </row>
    <row r="5119" spans="3:14">
      <c r="C5119" s="977"/>
      <c r="D5119" s="777"/>
      <c r="E5119" s="777"/>
      <c r="F5119" s="777"/>
      <c r="G5119" s="777"/>
      <c r="H5119" s="983"/>
      <c r="I5119" s="777"/>
      <c r="J5119" s="777"/>
      <c r="K5119" s="777"/>
      <c r="L5119" s="777"/>
      <c r="M5119" s="777"/>
      <c r="N5119" s="1007"/>
    </row>
    <row r="5120" spans="3:14">
      <c r="C5120" s="977"/>
      <c r="D5120" s="982"/>
      <c r="E5120" s="2648" t="s">
        <v>1144</v>
      </c>
      <c r="F5120" s="2493"/>
      <c r="G5120" s="778" t="s">
        <v>884</v>
      </c>
      <c r="H5120" s="782">
        <v>2019</v>
      </c>
      <c r="I5120" s="988">
        <v>2020</v>
      </c>
      <c r="J5120" s="781">
        <v>2021</v>
      </c>
      <c r="K5120" s="782">
        <v>2022</v>
      </c>
      <c r="L5120" s="782">
        <v>2023</v>
      </c>
      <c r="M5120" s="782">
        <v>2024</v>
      </c>
      <c r="N5120" s="783">
        <v>2025</v>
      </c>
    </row>
    <row r="5121" spans="3:14">
      <c r="C5121" s="977"/>
      <c r="D5121" s="777" t="s">
        <v>7</v>
      </c>
      <c r="E5121" s="2513" t="str">
        <f>IFERROR(IF([1]F_ProductBM!E2415 = "", "", [1]F_ProductBM!E2415 ),"")</f>
        <v/>
      </c>
      <c r="F5121" s="2705"/>
      <c r="G5121" s="355" t="str">
        <f>IFERROR(IF([1]F_ProductBM!G2415 = "", "", [1]F_ProductBM!G2415 ),"")</f>
        <v>tonnes</v>
      </c>
      <c r="H5121" s="371" t="str">
        <f>IFERROR(IF([1]F_ProductBM!H2415 = "", "", [1]F_ProductBM!H2415 ),"")</f>
        <v/>
      </c>
      <c r="I5121" s="372" t="str">
        <f>IFERROR(IF([1]F_ProductBM!I2415 = "", "", [1]F_ProductBM!I2415 ),"")</f>
        <v/>
      </c>
      <c r="J5121" s="373" t="str">
        <f>IFERROR(IF([1]F_ProductBM!J2415 = "", "", [1]F_ProductBM!J2415 ),"")</f>
        <v/>
      </c>
      <c r="K5121" s="371" t="str">
        <f>IFERROR(IF([1]F_ProductBM!K2415 = "", "", [1]F_ProductBM!K2415 ),"")</f>
        <v/>
      </c>
      <c r="L5121" s="371" t="str">
        <f>IFERROR(IF([1]F_ProductBM!L2415 = "", "", [1]F_ProductBM!L2415 ),"")</f>
        <v/>
      </c>
      <c r="M5121" s="371" t="str">
        <f>IFERROR(IF([1]F_ProductBM!M2415 = "", "", [1]F_ProductBM!M2415 ),"")</f>
        <v/>
      </c>
      <c r="N5121" s="374" t="str">
        <f>IFERROR(IF([1]F_ProductBM!N2415 = "", "", [1]F_ProductBM!N2415 ),"")</f>
        <v/>
      </c>
    </row>
    <row r="5122" spans="3:14">
      <c r="C5122" s="977"/>
      <c r="D5122" s="777" t="s">
        <v>8</v>
      </c>
      <c r="E5122" s="2520" t="str">
        <f>IFERROR(IF([1]F_ProductBM!E2416 = "", "", [1]F_ProductBM!E2416 ),"")</f>
        <v/>
      </c>
      <c r="F5122" s="2706"/>
      <c r="G5122" s="350" t="str">
        <f>IFERROR(IF([1]F_ProductBM!G2416 = "", "", [1]F_ProductBM!G2416 ),"")</f>
        <v>tonnes</v>
      </c>
      <c r="H5122" s="364" t="str">
        <f>IFERROR(IF([1]F_ProductBM!H2416 = "", "", [1]F_ProductBM!H2416 ),"")</f>
        <v/>
      </c>
      <c r="I5122" s="365" t="str">
        <f>IFERROR(IF([1]F_ProductBM!I2416 = "", "", [1]F_ProductBM!I2416 ),"")</f>
        <v/>
      </c>
      <c r="J5122" s="366" t="str">
        <f>IFERROR(IF([1]F_ProductBM!J2416 = "", "", [1]F_ProductBM!J2416 ),"")</f>
        <v/>
      </c>
      <c r="K5122" s="364" t="str">
        <f>IFERROR(IF([1]F_ProductBM!K2416 = "", "", [1]F_ProductBM!K2416 ),"")</f>
        <v/>
      </c>
      <c r="L5122" s="364" t="str">
        <f>IFERROR(IF([1]F_ProductBM!L2416 = "", "", [1]F_ProductBM!L2416 ),"")</f>
        <v/>
      </c>
      <c r="M5122" s="364" t="str">
        <f>IFERROR(IF([1]F_ProductBM!M2416 = "", "", [1]F_ProductBM!M2416 ),"")</f>
        <v/>
      </c>
      <c r="N5122" s="367" t="str">
        <f>IFERROR(IF([1]F_ProductBM!N2416 = "", "", [1]F_ProductBM!N2416 ),"")</f>
        <v/>
      </c>
    </row>
    <row r="5123" spans="3:14">
      <c r="C5123" s="977"/>
      <c r="D5123" s="777"/>
      <c r="E5123" s="777"/>
      <c r="F5123" s="777"/>
      <c r="G5123" s="777"/>
      <c r="H5123" s="777"/>
      <c r="I5123" s="777"/>
      <c r="J5123" s="777"/>
      <c r="K5123" s="777"/>
      <c r="L5123" s="777"/>
      <c r="M5123" s="777"/>
      <c r="N5123" s="810"/>
    </row>
    <row r="5124" spans="3:14">
      <c r="C5124" s="977"/>
      <c r="D5124" s="982"/>
      <c r="E5124" s="2648" t="s">
        <v>1143</v>
      </c>
      <c r="F5124" s="2493"/>
      <c r="G5124" s="778" t="s">
        <v>884</v>
      </c>
      <c r="H5124" s="782">
        <v>2019</v>
      </c>
      <c r="I5124" s="988">
        <v>2020</v>
      </c>
      <c r="J5124" s="781">
        <v>2021</v>
      </c>
      <c r="K5124" s="782">
        <v>2022</v>
      </c>
      <c r="L5124" s="782">
        <v>2023</v>
      </c>
      <c r="M5124" s="782">
        <v>2024</v>
      </c>
      <c r="N5124" s="783">
        <v>2025</v>
      </c>
    </row>
    <row r="5125" spans="3:14">
      <c r="C5125" s="977"/>
      <c r="D5125" s="777" t="s">
        <v>18</v>
      </c>
      <c r="E5125" s="2513" t="str">
        <f>IFERROR(IF([1]F_ProductBM!E2419 = "", "", [1]F_ProductBM!E2419 ),"")</f>
        <v/>
      </c>
      <c r="F5125" s="2705"/>
      <c r="G5125" s="355" t="str">
        <f>IFERROR(IF([1]F_ProductBM!G2419 = "", "", [1]F_ProductBM!G2419 ),"")</f>
        <v>tonnes</v>
      </c>
      <c r="H5125" s="371" t="str">
        <f>IFERROR(IF([1]F_ProductBM!H2419 = "", "", [1]F_ProductBM!H2419 ),"")</f>
        <v/>
      </c>
      <c r="I5125" s="372" t="str">
        <f>IFERROR(IF([1]F_ProductBM!I2419 = "", "", [1]F_ProductBM!I2419 ),"")</f>
        <v/>
      </c>
      <c r="J5125" s="373" t="str">
        <f>IFERROR(IF([1]F_ProductBM!J2419 = "", "", [1]F_ProductBM!J2419 ),"")</f>
        <v/>
      </c>
      <c r="K5125" s="371" t="str">
        <f>IFERROR(IF([1]F_ProductBM!K2419 = "", "", [1]F_ProductBM!K2419 ),"")</f>
        <v/>
      </c>
      <c r="L5125" s="371" t="str">
        <f>IFERROR(IF([1]F_ProductBM!L2419 = "", "", [1]F_ProductBM!L2419 ),"")</f>
        <v/>
      </c>
      <c r="M5125" s="371" t="str">
        <f>IFERROR(IF([1]F_ProductBM!M2419 = "", "", [1]F_ProductBM!M2419 ),"")</f>
        <v/>
      </c>
      <c r="N5125" s="374" t="str">
        <f>IFERROR(IF([1]F_ProductBM!N2419 = "", "", [1]F_ProductBM!N2419 ),"")</f>
        <v/>
      </c>
    </row>
    <row r="5126" spans="3:14">
      <c r="C5126" s="977"/>
      <c r="D5126" s="777" t="s">
        <v>787</v>
      </c>
      <c r="E5126" s="2520" t="str">
        <f>IFERROR(IF([1]F_ProductBM!E2420 = "", "", [1]F_ProductBM!E2420 ),"")</f>
        <v/>
      </c>
      <c r="F5126" s="2706"/>
      <c r="G5126" s="350" t="str">
        <f>IFERROR(IF([1]F_ProductBM!G2420 = "", "", [1]F_ProductBM!G2420 ),"")</f>
        <v>tonnes</v>
      </c>
      <c r="H5126" s="364" t="str">
        <f>IFERROR(IF([1]F_ProductBM!H2420 = "", "", [1]F_ProductBM!H2420 ),"")</f>
        <v/>
      </c>
      <c r="I5126" s="365" t="str">
        <f>IFERROR(IF([1]F_ProductBM!I2420 = "", "", [1]F_ProductBM!I2420 ),"")</f>
        <v/>
      </c>
      <c r="J5126" s="366" t="str">
        <f>IFERROR(IF([1]F_ProductBM!J2420 = "", "", [1]F_ProductBM!J2420 ),"")</f>
        <v/>
      </c>
      <c r="K5126" s="364" t="str">
        <f>IFERROR(IF([1]F_ProductBM!K2420 = "", "", [1]F_ProductBM!K2420 ),"")</f>
        <v/>
      </c>
      <c r="L5126" s="364" t="str">
        <f>IFERROR(IF([1]F_ProductBM!L2420 = "", "", [1]F_ProductBM!L2420 ),"")</f>
        <v/>
      </c>
      <c r="M5126" s="364" t="str">
        <f>IFERROR(IF([1]F_ProductBM!M2420 = "", "", [1]F_ProductBM!M2420 ),"")</f>
        <v/>
      </c>
      <c r="N5126" s="367" t="str">
        <f>IFERROR(IF([1]F_ProductBM!N2420 = "", "", [1]F_ProductBM!N2420 ),"")</f>
        <v/>
      </c>
    </row>
    <row r="5127" spans="3:14">
      <c r="C5127" s="977"/>
      <c r="D5127" s="777"/>
      <c r="E5127" s="777"/>
      <c r="F5127" s="777"/>
      <c r="G5127" s="777"/>
      <c r="H5127" s="777"/>
      <c r="I5127" s="777"/>
      <c r="J5127" s="777"/>
      <c r="K5127" s="777"/>
      <c r="L5127" s="777"/>
      <c r="M5127" s="777"/>
      <c r="N5127" s="1007"/>
    </row>
    <row r="5128" spans="3:14">
      <c r="C5128" s="977"/>
      <c r="D5128" s="777" t="s">
        <v>788</v>
      </c>
      <c r="E5128" s="813" t="s">
        <v>1146</v>
      </c>
      <c r="F5128" s="813"/>
      <c r="G5128" s="813"/>
      <c r="H5128" s="813"/>
      <c r="I5128" s="813"/>
      <c r="J5128" s="813"/>
      <c r="K5128" s="813"/>
      <c r="L5128" s="813"/>
      <c r="M5128" s="813"/>
      <c r="N5128" s="1007"/>
    </row>
    <row r="5129" spans="3:14">
      <c r="C5129" s="977"/>
      <c r="D5129" s="777"/>
      <c r="E5129" s="1017" t="s">
        <v>1459</v>
      </c>
      <c r="F5129" s="978"/>
      <c r="G5129" s="978"/>
      <c r="H5129" s="978"/>
      <c r="I5129" s="978"/>
      <c r="J5129" s="978"/>
      <c r="K5129" s="978"/>
      <c r="L5129" s="978"/>
      <c r="M5129" s="978"/>
      <c r="N5129" s="979"/>
    </row>
    <row r="5130" spans="3:14">
      <c r="C5130" s="977"/>
      <c r="D5130" s="777"/>
      <c r="E5130" s="2699" t="str">
        <f>IFERROR(IF([1]F_ProductBM!E2424 = "", "", [1]F_ProductBM!E2424 ),"")</f>
        <v/>
      </c>
      <c r="F5130" s="2700"/>
      <c r="G5130" s="2700"/>
      <c r="H5130" s="2700"/>
      <c r="I5130" s="2700"/>
      <c r="J5130" s="2700"/>
      <c r="K5130" s="2700"/>
      <c r="L5130" s="2700"/>
      <c r="M5130" s="2701"/>
      <c r="N5130" s="1007"/>
    </row>
    <row r="5131" spans="3:14">
      <c r="C5131" s="977"/>
      <c r="D5131" s="777"/>
      <c r="E5131" s="2702"/>
      <c r="F5131" s="2703"/>
      <c r="G5131" s="2703"/>
      <c r="H5131" s="2703"/>
      <c r="I5131" s="2703"/>
      <c r="J5131" s="2703"/>
      <c r="K5131" s="2703"/>
      <c r="L5131" s="2703"/>
      <c r="M5131" s="2704"/>
      <c r="N5131" s="1007"/>
    </row>
    <row r="5132" spans="3:14" ht="13.5" thickBot="1">
      <c r="C5132" s="1018"/>
      <c r="D5132" s="1019"/>
      <c r="E5132" s="1019"/>
      <c r="F5132" s="1019"/>
      <c r="G5132" s="1019"/>
      <c r="H5132" s="1019"/>
      <c r="I5132" s="1019"/>
      <c r="J5132" s="1019"/>
      <c r="K5132" s="1019"/>
      <c r="L5132" s="1019"/>
      <c r="M5132" s="805"/>
      <c r="N5132" s="806"/>
    </row>
    <row r="5133" spans="3:14" ht="13.5" thickBot="1">
      <c r="C5133" s="467"/>
      <c r="D5133" s="467"/>
      <c r="E5133" s="467"/>
      <c r="F5133" s="467"/>
      <c r="G5133" s="467"/>
      <c r="H5133" s="467"/>
      <c r="I5133" s="467"/>
      <c r="J5133" s="467"/>
      <c r="K5133" s="467"/>
      <c r="L5133" s="467"/>
      <c r="M5133" s="481"/>
      <c r="N5133" s="481"/>
    </row>
    <row r="5134" spans="3:14">
      <c r="C5134" s="1020"/>
      <c r="D5134" s="1020"/>
      <c r="E5134" s="1020"/>
      <c r="F5134" s="1020"/>
      <c r="G5134" s="1020"/>
      <c r="H5134" s="1020"/>
      <c r="I5134" s="1020"/>
      <c r="J5134" s="1020"/>
      <c r="K5134" s="1020"/>
      <c r="L5134" s="1020"/>
      <c r="M5134" s="1020"/>
      <c r="N5134" s="1020"/>
    </row>
    <row r="5135" spans="3:14" ht="15">
      <c r="C5135" s="897">
        <v>9</v>
      </c>
      <c r="D5135" s="2482" t="s">
        <v>2704</v>
      </c>
      <c r="E5135" s="2400"/>
      <c r="F5135" s="2400"/>
      <c r="G5135" s="2400"/>
      <c r="H5135" s="2585"/>
      <c r="I5135" s="2489" t="str">
        <f>IFERROR(IF([1]F_ProductBM!I2429 = "", "", [1]F_ProductBM!I2429 ),"")</f>
        <v/>
      </c>
      <c r="J5135" s="2534"/>
      <c r="K5135" s="2534"/>
      <c r="L5135" s="2534"/>
      <c r="M5135" s="2534"/>
      <c r="N5135" s="2535"/>
    </row>
    <row r="5136" spans="3:14">
      <c r="C5136" s="479"/>
      <c r="D5136" s="485"/>
      <c r="E5136" s="2465" t="s">
        <v>2706</v>
      </c>
      <c r="F5136" s="2400"/>
      <c r="G5136" s="2400"/>
      <c r="H5136" s="2400"/>
      <c r="I5136" s="2400"/>
      <c r="J5136" s="2400"/>
      <c r="K5136" s="2400"/>
      <c r="L5136" s="2400"/>
      <c r="M5136" s="2400"/>
      <c r="N5136" s="2400"/>
    </row>
    <row r="5137" spans="3:14">
      <c r="C5137" s="479"/>
      <c r="D5137" s="479"/>
      <c r="E5137" s="479"/>
      <c r="F5137" s="479"/>
      <c r="G5137" s="479"/>
      <c r="H5137" s="479"/>
      <c r="I5137" s="479"/>
      <c r="J5137" s="479"/>
      <c r="K5137" s="479"/>
      <c r="L5137" s="479"/>
      <c r="M5137" s="485"/>
      <c r="N5137" s="485"/>
    </row>
    <row r="5138" spans="3:14">
      <c r="C5138" s="479"/>
      <c r="D5138" s="482" t="s">
        <v>400</v>
      </c>
      <c r="E5138" s="2373" t="s">
        <v>1930</v>
      </c>
      <c r="F5138" s="2400"/>
      <c r="G5138" s="2400"/>
      <c r="H5138" s="2400"/>
      <c r="I5138" s="2400"/>
      <c r="J5138" s="2400"/>
      <c r="K5138" s="2400"/>
      <c r="L5138" s="2400"/>
      <c r="M5138" s="2400"/>
      <c r="N5138" s="2400"/>
    </row>
    <row r="5139" spans="3:14">
      <c r="C5139" s="479"/>
      <c r="D5139" s="485"/>
      <c r="E5139" s="2465" t="s">
        <v>801</v>
      </c>
      <c r="F5139" s="2400"/>
      <c r="G5139" s="2400"/>
      <c r="H5139" s="2400"/>
      <c r="I5139" s="2400"/>
      <c r="J5139" s="2400"/>
      <c r="K5139" s="2400"/>
      <c r="L5139" s="2400"/>
      <c r="M5139" s="2400"/>
      <c r="N5139" s="2400"/>
    </row>
    <row r="5140" spans="3:14">
      <c r="C5140" s="479"/>
      <c r="D5140" s="485"/>
      <c r="E5140" s="2465" t="s">
        <v>1199</v>
      </c>
      <c r="F5140" s="2400"/>
      <c r="G5140" s="2400"/>
      <c r="H5140" s="2400"/>
      <c r="I5140" s="2400"/>
      <c r="J5140" s="2400"/>
      <c r="K5140" s="2400"/>
      <c r="L5140" s="2400"/>
      <c r="M5140" s="2400"/>
      <c r="N5140" s="2400"/>
    </row>
    <row r="5141" spans="3:14">
      <c r="C5141" s="479"/>
      <c r="D5141" s="485"/>
      <c r="E5141" s="2465" t="s">
        <v>125</v>
      </c>
      <c r="F5141" s="2400"/>
      <c r="G5141" s="2400"/>
      <c r="H5141" s="2400"/>
      <c r="I5141" s="2400"/>
      <c r="J5141" s="2400"/>
      <c r="K5141" s="2400"/>
      <c r="L5141" s="2400"/>
      <c r="M5141" s="2400"/>
      <c r="N5141" s="2400"/>
    </row>
    <row r="5142" spans="3:14">
      <c r="C5142" s="485"/>
      <c r="D5142" s="482"/>
      <c r="E5142" s="2509" t="s">
        <v>1447</v>
      </c>
      <c r="F5142" s="2509"/>
      <c r="G5142" s="663" t="s">
        <v>884</v>
      </c>
      <c r="H5142" s="578">
        <v>2019</v>
      </c>
      <c r="I5142" s="697">
        <v>2020</v>
      </c>
      <c r="J5142" s="696">
        <v>2021</v>
      </c>
      <c r="K5142" s="578">
        <v>2022</v>
      </c>
      <c r="L5142" s="578">
        <v>2023</v>
      </c>
      <c r="M5142" s="578">
        <v>2024</v>
      </c>
      <c r="N5142" s="671">
        <v>2025</v>
      </c>
    </row>
    <row r="5143" spans="3:14">
      <c r="C5143" s="485"/>
      <c r="D5143" s="561" t="s">
        <v>6</v>
      </c>
      <c r="E5143" s="2696" t="str">
        <f>IFERROR(IF([1]F_ProductBM!E2437 = "", "", [1]F_ProductBM!E2437 ),"")</f>
        <v/>
      </c>
      <c r="F5143" s="2696"/>
      <c r="G5143" s="74" t="str">
        <f>IFERROR(IF([1]F_ProductBM!G2437 = "", "", [1]F_ProductBM!G2437 ),"")</f>
        <v>tonnes</v>
      </c>
      <c r="H5143" s="277" t="str">
        <f>IFERROR(IF([1]F_ProductBM!H2437 = "", "", [1]F_ProductBM!H2437 ),"")</f>
        <v/>
      </c>
      <c r="I5143" s="275" t="str">
        <f>IFERROR(IF([1]F_ProductBM!I2437 = "", "", [1]F_ProductBM!I2437 ),"")</f>
        <v/>
      </c>
      <c r="J5143" s="276" t="str">
        <f>IFERROR(IF([1]F_ProductBM!J2437 = "", "", [1]F_ProductBM!J2437 ),"")</f>
        <v/>
      </c>
      <c r="K5143" s="277" t="str">
        <f>IFERROR(IF([1]F_ProductBM!K2437 = "", "", [1]F_ProductBM!K2437 ),"")</f>
        <v/>
      </c>
      <c r="L5143" s="277" t="str">
        <f>IFERROR(IF([1]F_ProductBM!L2437 = "", "", [1]F_ProductBM!L2437 ),"")</f>
        <v/>
      </c>
      <c r="M5143" s="277" t="str">
        <f>IFERROR(IF([1]F_ProductBM!M2437 = "", "", [1]F_ProductBM!M2437 ),"")</f>
        <v/>
      </c>
      <c r="N5143" s="277" t="str">
        <f>IFERROR(IF([1]F_ProductBM!N2437 = "", "", [1]F_ProductBM!N2437 ),"")</f>
        <v/>
      </c>
    </row>
    <row r="5144" spans="3:14">
      <c r="C5144" s="485"/>
      <c r="D5144" s="561" t="s">
        <v>7</v>
      </c>
      <c r="E5144" s="2696" t="str">
        <f>IFERROR(IF([1]F_ProductBM!E2438 = "", "", [1]F_ProductBM!E2438 ),"")</f>
        <v>From sheet "H_SpecialBM":</v>
      </c>
      <c r="F5144" s="2696"/>
      <c r="G5144" s="74" t="str">
        <f>IFERROR(IF([1]F_ProductBM!G2438 = "", "", [1]F_ProductBM!G2438 ),"")</f>
        <v>tonnes</v>
      </c>
      <c r="H5144" s="278" t="str">
        <f>IFERROR(IF([1]F_ProductBM!H2438 = "", "", [1]F_ProductBM!H2438 ),"")</f>
        <v/>
      </c>
      <c r="I5144" s="279" t="str">
        <f>IFERROR(IF([1]F_ProductBM!I2438 = "", "", [1]F_ProductBM!I2438 ),"")</f>
        <v/>
      </c>
      <c r="J5144" s="280" t="str">
        <f>IFERROR(IF([1]F_ProductBM!J2438 = "", "", [1]F_ProductBM!J2438 ),"")</f>
        <v/>
      </c>
      <c r="K5144" s="278" t="str">
        <f>IFERROR(IF([1]F_ProductBM!K2438 = "", "", [1]F_ProductBM!K2438 ),"")</f>
        <v/>
      </c>
      <c r="L5144" s="278" t="str">
        <f>IFERROR(IF([1]F_ProductBM!L2438 = "", "", [1]F_ProductBM!L2438 ),"")</f>
        <v/>
      </c>
      <c r="M5144" s="278" t="str">
        <f>IFERROR(IF([1]F_ProductBM!M2438 = "", "", [1]F_ProductBM!M2438 ),"")</f>
        <v/>
      </c>
      <c r="N5144" s="277" t="str">
        <f>IFERROR(IF([1]F_ProductBM!N2438 = "", "", [1]F_ProductBM!N2438 ),"")</f>
        <v/>
      </c>
    </row>
    <row r="5145" spans="3:14">
      <c r="C5145" s="485"/>
      <c r="D5145" s="561" t="s">
        <v>8</v>
      </c>
      <c r="E5145" s="2696" t="str">
        <f>IFERROR(IF([1]F_ProductBM!E2439 = "", "", [1]F_ProductBM!E2439 ),"")</f>
        <v>Values used for calculation:</v>
      </c>
      <c r="F5145" s="2696"/>
      <c r="G5145" s="74" t="str">
        <f>IFERROR(IF([1]F_ProductBM!G2439 = "", "", [1]F_ProductBM!G2439 ),"")</f>
        <v>tonnes</v>
      </c>
      <c r="H5145" s="278" t="str">
        <f>IFERROR(IF([1]F_ProductBM!H2439 = "", "", [1]F_ProductBM!H2439 ),"")</f>
        <v/>
      </c>
      <c r="I5145" s="279" t="str">
        <f>IFERROR(IF([1]F_ProductBM!I2439 = "", "", [1]F_ProductBM!I2439 ),"")</f>
        <v/>
      </c>
      <c r="J5145" s="280" t="str">
        <f>IFERROR(IF([1]F_ProductBM!J2439 = "", "", [1]F_ProductBM!J2439 ),"")</f>
        <v/>
      </c>
      <c r="K5145" s="278" t="str">
        <f>IFERROR(IF([1]F_ProductBM!K2439 = "", "", [1]F_ProductBM!K2439 ),"")</f>
        <v/>
      </c>
      <c r="L5145" s="278" t="str">
        <f>IFERROR(IF([1]F_ProductBM!L2439 = "", "", [1]F_ProductBM!L2439 ),"")</f>
        <v/>
      </c>
      <c r="M5145" s="278" t="str">
        <f>IFERROR(IF([1]F_ProductBM!M2439 = "", "", [1]F_ProductBM!M2439 ),"")</f>
        <v/>
      </c>
      <c r="N5145" s="277" t="str">
        <f>IFERROR(IF([1]F_ProductBM!N2439 = "", "", [1]F_ProductBM!N2439 ),"")</f>
        <v/>
      </c>
    </row>
    <row r="5146" spans="3:14">
      <c r="C5146" s="479"/>
      <c r="D5146" s="479"/>
      <c r="E5146" s="479"/>
      <c r="F5146" s="479"/>
      <c r="G5146" s="479"/>
      <c r="H5146" s="479"/>
      <c r="I5146" s="479"/>
      <c r="J5146" s="479"/>
      <c r="K5146" s="479"/>
      <c r="L5146" s="479"/>
      <c r="M5146" s="485"/>
      <c r="N5146" s="485"/>
    </row>
    <row r="5147" spans="3:14">
      <c r="C5147" s="479"/>
      <c r="D5147" s="561" t="s">
        <v>18</v>
      </c>
      <c r="E5147" s="2373" t="s">
        <v>922</v>
      </c>
      <c r="F5147" s="2373"/>
      <c r="G5147" s="2604"/>
      <c r="H5147" s="2652" t="s">
        <v>1857</v>
      </c>
      <c r="I5147" s="2689"/>
      <c r="J5147" s="2689"/>
      <c r="K5147" s="2689"/>
      <c r="L5147" s="2689"/>
      <c r="M5147" s="2689"/>
      <c r="N5147" s="2690"/>
    </row>
    <row r="5148" spans="3:14">
      <c r="C5148" s="479"/>
      <c r="D5148" s="485"/>
      <c r="E5148" s="2465" t="s">
        <v>923</v>
      </c>
      <c r="F5148" s="2400"/>
      <c r="G5148" s="2400"/>
      <c r="H5148" s="2400"/>
      <c r="I5148" s="2400"/>
      <c r="J5148" s="2400"/>
      <c r="K5148" s="2400"/>
      <c r="L5148" s="2400"/>
      <c r="M5148" s="2400"/>
      <c r="N5148" s="2400"/>
    </row>
    <row r="5149" spans="3:14">
      <c r="C5149" s="479"/>
      <c r="D5149" s="485"/>
      <c r="E5149" s="485"/>
      <c r="F5149" s="485"/>
      <c r="G5149" s="485"/>
      <c r="H5149" s="485"/>
      <c r="I5149" s="485"/>
      <c r="J5149" s="485"/>
      <c r="K5149" s="485"/>
      <c r="L5149" s="485"/>
      <c r="M5149" s="485"/>
      <c r="N5149" s="485"/>
    </row>
    <row r="5150" spans="3:14">
      <c r="C5150" s="479"/>
      <c r="D5150" s="482" t="s">
        <v>876</v>
      </c>
      <c r="E5150" s="2373" t="s">
        <v>1709</v>
      </c>
      <c r="F5150" s="2400"/>
      <c r="G5150" s="2400"/>
      <c r="H5150" s="2400"/>
      <c r="I5150" s="2400"/>
      <c r="J5150" s="2400"/>
      <c r="K5150" s="2400"/>
      <c r="L5150" s="2400"/>
      <c r="M5150" s="2400"/>
      <c r="N5150" s="2400"/>
    </row>
    <row r="5151" spans="3:14">
      <c r="C5151" s="479"/>
      <c r="D5151" s="485"/>
      <c r="E5151" s="2465" t="s">
        <v>1958</v>
      </c>
      <c r="F5151" s="2400"/>
      <c r="G5151" s="2400"/>
      <c r="H5151" s="2400"/>
      <c r="I5151" s="2400"/>
      <c r="J5151" s="2400"/>
      <c r="K5151" s="2400"/>
      <c r="L5151" s="2400"/>
      <c r="M5151" s="2400"/>
      <c r="N5151" s="2400"/>
    </row>
    <row r="5152" spans="3:14" ht="13.5" customHeight="1">
      <c r="C5152" s="479"/>
      <c r="D5152" s="485"/>
      <c r="E5152" s="2465" t="s">
        <v>2701</v>
      </c>
      <c r="F5152" s="2400"/>
      <c r="G5152" s="2400"/>
      <c r="H5152" s="2400"/>
      <c r="I5152" s="2400"/>
      <c r="J5152" s="2400"/>
      <c r="K5152" s="2400"/>
      <c r="L5152" s="2400"/>
      <c r="M5152" s="2400"/>
      <c r="N5152" s="2400"/>
    </row>
    <row r="5153" spans="3:14">
      <c r="C5153" s="479"/>
      <c r="D5153" s="485"/>
      <c r="E5153" s="901" t="s">
        <v>1021</v>
      </c>
      <c r="F5153" s="2651" t="s">
        <v>2711</v>
      </c>
      <c r="G5153" s="2584"/>
      <c r="H5153" s="2584"/>
      <c r="I5153" s="2584"/>
      <c r="J5153" s="2584"/>
      <c r="K5153" s="2584"/>
      <c r="L5153" s="2584"/>
      <c r="M5153" s="2584"/>
      <c r="N5153" s="2584"/>
    </row>
    <row r="5154" spans="3:14" ht="13.5" thickBot="1">
      <c r="C5154" s="479"/>
      <c r="D5154" s="485"/>
      <c r="E5154" s="901" t="s">
        <v>1021</v>
      </c>
      <c r="F5154" s="2651" t="s">
        <v>1985</v>
      </c>
      <c r="G5154" s="2584"/>
      <c r="H5154" s="2584"/>
      <c r="I5154" s="2584"/>
      <c r="J5154" s="2584"/>
      <c r="K5154" s="2584"/>
      <c r="L5154" s="2584"/>
      <c r="M5154" s="2584"/>
      <c r="N5154" s="2584"/>
    </row>
    <row r="5155" spans="3:14">
      <c r="C5155" s="479"/>
      <c r="D5155" s="902"/>
      <c r="E5155" s="903"/>
      <c r="F5155" s="904"/>
      <c r="G5155" s="905"/>
      <c r="H5155" s="905"/>
      <c r="I5155" s="905"/>
      <c r="J5155" s="905"/>
      <c r="K5155" s="905"/>
      <c r="L5155" s="905"/>
      <c r="M5155" s="905"/>
      <c r="N5155" s="906"/>
    </row>
    <row r="5156" spans="3:14">
      <c r="C5156" s="479"/>
      <c r="D5156" s="907"/>
      <c r="E5156" s="908" t="s">
        <v>1690</v>
      </c>
      <c r="F5156" s="909"/>
      <c r="G5156" s="909"/>
      <c r="H5156" s="910" t="s">
        <v>884</v>
      </c>
      <c r="I5156" s="911" t="s">
        <v>1646</v>
      </c>
      <c r="J5156" s="912">
        <v>2021</v>
      </c>
      <c r="K5156" s="913">
        <v>2022</v>
      </c>
      <c r="L5156" s="913">
        <v>2023</v>
      </c>
      <c r="M5156" s="913">
        <v>2024</v>
      </c>
      <c r="N5156" s="914">
        <v>2025</v>
      </c>
    </row>
    <row r="5157" spans="3:14">
      <c r="C5157" s="479"/>
      <c r="D5157" s="915" t="s">
        <v>6</v>
      </c>
      <c r="E5157" s="916" t="s">
        <v>1976</v>
      </c>
      <c r="F5157" s="916"/>
      <c r="G5157" s="916"/>
      <c r="H5157" s="63" t="str">
        <f>IFERROR(IF([1]F_ProductBM!H2451 = "", "", [1]F_ProductBM!H2451 ),"")</f>
        <v>tonnes</v>
      </c>
      <c r="I5157" s="281" t="str">
        <f>IFERROR(IF([1]F_ProductBM!I2451 = "", "", [1]F_ProductBM!I2451 ),"")</f>
        <v/>
      </c>
      <c r="J5157" s="282" t="str">
        <f>IFERROR(IF([1]F_ProductBM!J2451 = "", "", [1]F_ProductBM!J2451 ),"")</f>
        <v/>
      </c>
      <c r="K5157" s="283" t="str">
        <f>IFERROR(IF([1]F_ProductBM!K2451 = "", "", [1]F_ProductBM!K2451 ),"")</f>
        <v/>
      </c>
      <c r="L5157" s="283" t="str">
        <f>IFERROR(IF([1]F_ProductBM!L2451 = "", "", [1]F_ProductBM!L2451 ),"")</f>
        <v/>
      </c>
      <c r="M5157" s="283" t="str">
        <f>IFERROR(IF([1]F_ProductBM!M2451 = "", "", [1]F_ProductBM!M2451 ),"")</f>
        <v/>
      </c>
      <c r="N5157" s="284" t="str">
        <f>IFERROR(IF([1]F_ProductBM!N2451 = "", "", [1]F_ProductBM!N2451 ),"")</f>
        <v/>
      </c>
    </row>
    <row r="5158" spans="3:14">
      <c r="C5158" s="479"/>
      <c r="D5158" s="918"/>
      <c r="E5158" s="919" t="s">
        <v>1648</v>
      </c>
      <c r="F5158" s="919"/>
      <c r="G5158" s="919"/>
      <c r="H5158" s="920"/>
      <c r="I5158" s="919"/>
      <c r="J5158" s="285" t="str">
        <f>IFERROR(IF([1]F_ProductBM!J2452 = "", "", [1]F_ProductBM!J2452 ),"")</f>
        <v/>
      </c>
      <c r="K5158" s="286" t="str">
        <f>IFERROR(IF([1]F_ProductBM!K2452 = "", "", [1]F_ProductBM!K2452 ),"")</f>
        <v/>
      </c>
      <c r="L5158" s="286" t="str">
        <f>IFERROR(IF([1]F_ProductBM!L2452 = "", "", [1]F_ProductBM!L2452 ),"")</f>
        <v/>
      </c>
      <c r="M5158" s="286" t="str">
        <f>IFERROR(IF([1]F_ProductBM!M2452 = "", "", [1]F_ProductBM!M2452 ),"")</f>
        <v/>
      </c>
      <c r="N5158" s="287" t="str">
        <f>IFERROR(IF([1]F_ProductBM!N2452 = "", "", [1]F_ProductBM!N2452 ),"")</f>
        <v/>
      </c>
    </row>
    <row r="5159" spans="3:14">
      <c r="C5159" s="479"/>
      <c r="D5159" s="915" t="s">
        <v>7</v>
      </c>
      <c r="E5159" s="916" t="s">
        <v>1654</v>
      </c>
      <c r="F5159" s="916"/>
      <c r="G5159" s="916"/>
      <c r="H5159" s="921"/>
      <c r="I5159" s="916"/>
      <c r="J5159" s="288" t="str">
        <f>IFERROR(IF([1]F_ProductBM!J2453 = "", "", [1]F_ProductBM!J2453 ),"")</f>
        <v/>
      </c>
      <c r="K5159" s="289" t="str">
        <f>IFERROR(IF([1]F_ProductBM!K2453 = "", "", [1]F_ProductBM!K2453 ),"")</f>
        <v/>
      </c>
      <c r="L5159" s="289" t="str">
        <f>IFERROR(IF([1]F_ProductBM!L2453 = "", "", [1]F_ProductBM!L2453 ),"")</f>
        <v/>
      </c>
      <c r="M5159" s="289" t="str">
        <f>IFERROR(IF([1]F_ProductBM!M2453 = "", "", [1]F_ProductBM!M2453 ),"")</f>
        <v/>
      </c>
      <c r="N5159" s="290" t="str">
        <f>IFERROR(IF([1]F_ProductBM!N2453 = "", "", [1]F_ProductBM!N2453 ),"")</f>
        <v/>
      </c>
    </row>
    <row r="5160" spans="3:14">
      <c r="C5160" s="479"/>
      <c r="D5160" s="918"/>
      <c r="E5160" s="916" t="s">
        <v>1689</v>
      </c>
      <c r="F5160" s="916"/>
      <c r="G5160" s="916"/>
      <c r="H5160" s="63" t="str">
        <f>IFERROR(IF([1]F_ProductBM!H2454 = "", "", [1]F_ProductBM!H2454 ),"")</f>
        <v>tonnes</v>
      </c>
      <c r="I5160" s="281" t="str">
        <f>IFERROR(IF([1]F_ProductBM!I2454 = "", "", [1]F_ProductBM!I2454 ),"")</f>
        <v/>
      </c>
      <c r="J5160" s="282" t="str">
        <f>IFERROR(IF([1]F_ProductBM!J2454 = "", "", [1]F_ProductBM!J2454 ),"")</f>
        <v/>
      </c>
      <c r="K5160" s="283" t="str">
        <f>IFERROR(IF([1]F_ProductBM!K2454 = "", "", [1]F_ProductBM!K2454 ),"")</f>
        <v/>
      </c>
      <c r="L5160" s="283" t="str">
        <f>IFERROR(IF([1]F_ProductBM!L2454 = "", "", [1]F_ProductBM!L2454 ),"")</f>
        <v/>
      </c>
      <c r="M5160" s="283" t="str">
        <f>IFERROR(IF([1]F_ProductBM!M2454 = "", "", [1]F_ProductBM!M2454 ),"")</f>
        <v/>
      </c>
      <c r="N5160" s="284" t="str">
        <f>IFERROR(IF([1]F_ProductBM!N2454 = "", "", [1]F_ProductBM!N2454 ),"")</f>
        <v/>
      </c>
    </row>
    <row r="5161" spans="3:14">
      <c r="C5161" s="479"/>
      <c r="D5161" s="918"/>
      <c r="E5161" s="909"/>
      <c r="F5161" s="909"/>
      <c r="G5161" s="909"/>
      <c r="H5161" s="909"/>
      <c r="I5161" s="909"/>
      <c r="J5161" s="909"/>
      <c r="K5161" s="909"/>
      <c r="L5161" s="909"/>
      <c r="M5161" s="909"/>
      <c r="N5161" s="922"/>
    </row>
    <row r="5162" spans="3:14">
      <c r="C5162" s="479"/>
      <c r="D5162" s="918"/>
      <c r="E5162" s="923" t="s">
        <v>1653</v>
      </c>
      <c r="F5162" s="923"/>
      <c r="G5162" s="923"/>
      <c r="H5162" s="923"/>
      <c r="I5162" s="923"/>
      <c r="J5162" s="912">
        <v>2021</v>
      </c>
      <c r="K5162" s="913">
        <v>2022</v>
      </c>
      <c r="L5162" s="913">
        <v>2023</v>
      </c>
      <c r="M5162" s="913">
        <v>2024</v>
      </c>
      <c r="N5162" s="914">
        <v>2025</v>
      </c>
    </row>
    <row r="5163" spans="3:14">
      <c r="C5163" s="479"/>
      <c r="D5163" s="915" t="s">
        <v>8</v>
      </c>
      <c r="E5163" s="916" t="s">
        <v>2108</v>
      </c>
      <c r="F5163" s="916"/>
      <c r="G5163" s="916"/>
      <c r="H5163" s="916"/>
      <c r="I5163" s="916"/>
      <c r="J5163" s="69" t="str">
        <f>IFERROR(IF([1]F_ProductBM!J2457 = "", "", [1]F_ProductBM!J2457 ),"")</f>
        <v/>
      </c>
      <c r="K5163" s="62" t="str">
        <f>IFERROR(IF([1]F_ProductBM!K2457 = "", "", [1]F_ProductBM!K2457 ),"")</f>
        <v/>
      </c>
      <c r="L5163" s="62" t="str">
        <f>IFERROR(IF([1]F_ProductBM!L2457 = "", "", [1]F_ProductBM!L2457 ),"")</f>
        <v/>
      </c>
      <c r="M5163" s="62" t="str">
        <f>IFERROR(IF([1]F_ProductBM!M2457 = "", "", [1]F_ProductBM!M2457 ),"")</f>
        <v/>
      </c>
      <c r="N5163" s="70" t="str">
        <f>IFERROR(IF([1]F_ProductBM!N2457 = "", "", [1]F_ProductBM!N2457 ),"")</f>
        <v/>
      </c>
    </row>
    <row r="5164" spans="3:14" ht="13.5" thickBot="1">
      <c r="C5164" s="479"/>
      <c r="D5164" s="918"/>
      <c r="E5164" s="909"/>
      <c r="F5164" s="909"/>
      <c r="G5164" s="909"/>
      <c r="H5164" s="909"/>
      <c r="I5164" s="909"/>
      <c r="J5164" s="909"/>
      <c r="K5164" s="909"/>
      <c r="L5164" s="909"/>
      <c r="M5164" s="909"/>
      <c r="N5164" s="922"/>
    </row>
    <row r="5165" spans="3:14" ht="13.5" thickBot="1">
      <c r="C5165" s="479"/>
      <c r="D5165" s="915" t="s">
        <v>18</v>
      </c>
      <c r="E5165" s="916" t="s">
        <v>1657</v>
      </c>
      <c r="F5165" s="916"/>
      <c r="G5165" s="916"/>
      <c r="H5165" s="921"/>
      <c r="I5165" s="916"/>
      <c r="J5165" s="291" t="str">
        <f>IFERROR(IF([1]F_ProductBM!J2459 = "", "", [1]F_ProductBM!J2459 ),"")</f>
        <v/>
      </c>
      <c r="K5165" s="292" t="str">
        <f>IFERROR(IF([1]F_ProductBM!K2459 = "", "", [1]F_ProductBM!K2459 ),"")</f>
        <v/>
      </c>
      <c r="L5165" s="292" t="str">
        <f>IFERROR(IF([1]F_ProductBM!L2459 = "", "", [1]F_ProductBM!L2459 ),"")</f>
        <v/>
      </c>
      <c r="M5165" s="292" t="str">
        <f>IFERROR(IF([1]F_ProductBM!M2459 = "", "", [1]F_ProductBM!M2459 ),"")</f>
        <v/>
      </c>
      <c r="N5165" s="293" t="str">
        <f>IFERROR(IF([1]F_ProductBM!N2459 = "", "", [1]F_ProductBM!N2459 ),"")</f>
        <v/>
      </c>
    </row>
    <row r="5166" spans="3:14" ht="13.5" thickBot="1">
      <c r="C5166" s="479"/>
      <c r="D5166" s="915" t="s">
        <v>787</v>
      </c>
      <c r="E5166" s="916" t="s">
        <v>1659</v>
      </c>
      <c r="F5166" s="916"/>
      <c r="G5166" s="916"/>
      <c r="H5166" s="63" t="str">
        <f>IFERROR(IF([1]F_ProductBM!H2460 = "", "", [1]F_ProductBM!H2460 ),"")</f>
        <v>tonnes</v>
      </c>
      <c r="I5166" s="281" t="str">
        <f>IFERROR(IF([1]F_ProductBM!I2460 = "", "", [1]F_ProductBM!I2460 ),"")</f>
        <v/>
      </c>
      <c r="J5166" s="294" t="str">
        <f>IFERROR(IF([1]F_ProductBM!J2460 = "", "", [1]F_ProductBM!J2460 ),"")</f>
        <v/>
      </c>
      <c r="K5166" s="295" t="str">
        <f>IFERROR(IF([1]F_ProductBM!K2460 = "", "", [1]F_ProductBM!K2460 ),"")</f>
        <v/>
      </c>
      <c r="L5166" s="295" t="str">
        <f>IFERROR(IF([1]F_ProductBM!L2460 = "", "", [1]F_ProductBM!L2460 ),"")</f>
        <v/>
      </c>
      <c r="M5166" s="295" t="str">
        <f>IFERROR(IF([1]F_ProductBM!M2460 = "", "", [1]F_ProductBM!M2460 ),"")</f>
        <v/>
      </c>
      <c r="N5166" s="296" t="str">
        <f>IFERROR(IF([1]F_ProductBM!N2460 = "", "", [1]F_ProductBM!N2460 ),"")</f>
        <v/>
      </c>
    </row>
    <row r="5167" spans="3:14" ht="13.5" thickBot="1">
      <c r="C5167" s="479"/>
      <c r="D5167" s="924"/>
      <c r="E5167" s="925"/>
      <c r="F5167" s="925"/>
      <c r="G5167" s="925"/>
      <c r="H5167" s="925"/>
      <c r="I5167" s="925"/>
      <c r="J5167" s="925"/>
      <c r="K5167" s="925"/>
      <c r="L5167" s="925"/>
      <c r="M5167" s="925"/>
      <c r="N5167" s="926"/>
    </row>
    <row r="5168" spans="3:14">
      <c r="C5168" s="479"/>
      <c r="D5168" s="485"/>
      <c r="E5168" s="485"/>
      <c r="F5168" s="485"/>
      <c r="G5168" s="485"/>
      <c r="H5168" s="485"/>
      <c r="I5168" s="485"/>
      <c r="J5168" s="485"/>
      <c r="K5168" s="485"/>
      <c r="L5168" s="485"/>
      <c r="M5168" s="485"/>
      <c r="N5168" s="485"/>
    </row>
    <row r="5169" spans="3:14">
      <c r="C5169" s="479"/>
      <c r="D5169" s="2482" t="s">
        <v>1229</v>
      </c>
      <c r="E5169" s="2400"/>
      <c r="F5169" s="2400"/>
      <c r="G5169" s="2400"/>
      <c r="H5169" s="2400"/>
      <c r="I5169" s="2400"/>
      <c r="J5169" s="2400"/>
      <c r="K5169" s="2400"/>
      <c r="L5169" s="2400"/>
      <c r="M5169" s="2400"/>
      <c r="N5169" s="2400"/>
    </row>
    <row r="5170" spans="3:14">
      <c r="C5170" s="479"/>
      <c r="D5170" s="479"/>
      <c r="E5170" s="479"/>
      <c r="F5170" s="479"/>
      <c r="G5170" s="479"/>
      <c r="H5170" s="479"/>
      <c r="I5170" s="479"/>
      <c r="J5170" s="479"/>
      <c r="K5170" s="479"/>
      <c r="L5170" s="479"/>
      <c r="M5170" s="479"/>
      <c r="N5170" s="479"/>
    </row>
    <row r="5171" spans="3:14">
      <c r="C5171" s="485"/>
      <c r="D5171" s="482" t="s">
        <v>48</v>
      </c>
      <c r="E5171" s="2373" t="s">
        <v>800</v>
      </c>
      <c r="F5171" s="2400"/>
      <c r="G5171" s="2400"/>
      <c r="H5171" s="2400"/>
      <c r="I5171" s="2585"/>
      <c r="J5171" s="2652" t="s">
        <v>1857</v>
      </c>
      <c r="K5171" s="2653"/>
      <c r="L5171" s="2653"/>
      <c r="M5171" s="2653"/>
      <c r="N5171" s="2654"/>
    </row>
    <row r="5172" spans="3:14">
      <c r="C5172" s="479"/>
      <c r="D5172" s="485"/>
      <c r="E5172" s="2465" t="s">
        <v>1241</v>
      </c>
      <c r="F5172" s="2400"/>
      <c r="G5172" s="2400"/>
      <c r="H5172" s="2400"/>
      <c r="I5172" s="2400"/>
      <c r="J5172" s="2400"/>
      <c r="K5172" s="2400"/>
      <c r="L5172" s="2400"/>
      <c r="M5172" s="2400"/>
      <c r="N5172" s="2400"/>
    </row>
    <row r="5173" spans="3:14">
      <c r="C5173" s="479"/>
      <c r="D5173" s="485"/>
      <c r="E5173" s="2465" t="s">
        <v>1526</v>
      </c>
      <c r="F5173" s="2400"/>
      <c r="G5173" s="2400"/>
      <c r="H5173" s="2400"/>
      <c r="I5173" s="2400"/>
      <c r="J5173" s="2400"/>
      <c r="K5173" s="2400"/>
      <c r="L5173" s="2400"/>
      <c r="M5173" s="2400"/>
      <c r="N5173" s="2400"/>
    </row>
    <row r="5174" spans="3:14">
      <c r="C5174" s="479"/>
      <c r="D5174" s="485"/>
      <c r="E5174" s="2465" t="s">
        <v>1635</v>
      </c>
      <c r="F5174" s="2400"/>
      <c r="G5174" s="2400"/>
      <c r="H5174" s="2400"/>
      <c r="I5174" s="2400"/>
      <c r="J5174" s="2400"/>
      <c r="K5174" s="2400"/>
      <c r="L5174" s="2400"/>
      <c r="M5174" s="2400"/>
      <c r="N5174" s="2400"/>
    </row>
    <row r="5175" spans="3:14">
      <c r="C5175" s="485"/>
      <c r="D5175" s="482"/>
      <c r="E5175" s="927" t="s">
        <v>62</v>
      </c>
      <c r="F5175" s="518"/>
      <c r="G5175" s="663" t="s">
        <v>884</v>
      </c>
      <c r="H5175" s="578">
        <v>2019</v>
      </c>
      <c r="I5175" s="697">
        <v>2020</v>
      </c>
      <c r="J5175" s="696">
        <v>2021</v>
      </c>
      <c r="K5175" s="928">
        <v>2022</v>
      </c>
      <c r="L5175" s="578">
        <v>2023</v>
      </c>
      <c r="M5175" s="578">
        <v>2024</v>
      </c>
      <c r="N5175" s="578">
        <v>2025</v>
      </c>
    </row>
    <row r="5176" spans="3:14">
      <c r="C5176" s="485"/>
      <c r="D5176" s="561" t="s">
        <v>6</v>
      </c>
      <c r="E5176" s="863" t="s">
        <v>63</v>
      </c>
      <c r="F5176" s="863"/>
      <c r="G5176" s="579" t="s">
        <v>2015</v>
      </c>
      <c r="H5176" s="297" t="str">
        <f>IFERROR(IF([1]F_ProductBM!H2470 = "", "", [1]F_ProductBM!H2470 ),"")</f>
        <v/>
      </c>
      <c r="I5176" s="298" t="str">
        <f>IFERROR(IF([1]F_ProductBM!I2470 = "", "", [1]F_ProductBM!I2470 ),"")</f>
        <v/>
      </c>
      <c r="J5176" s="299" t="str">
        <f>IFERROR(IF([1]F_ProductBM!J2470 = "", "", [1]F_ProductBM!J2470 ),"")</f>
        <v/>
      </c>
      <c r="K5176" s="300" t="str">
        <f>IFERROR(IF([1]F_ProductBM!K2470 = "", "", [1]F_ProductBM!K2470 ),"")</f>
        <v/>
      </c>
      <c r="L5176" s="300" t="str">
        <f>IFERROR(IF([1]F_ProductBM!L2470 = "", "", [1]F_ProductBM!L2470 ),"")</f>
        <v/>
      </c>
      <c r="M5176" s="297" t="str">
        <f>IFERROR(IF([1]F_ProductBM!M2470 = "", "", [1]F_ProductBM!M2470 ),"")</f>
        <v/>
      </c>
      <c r="N5176" s="297" t="str">
        <f>IFERROR(IF([1]F_ProductBM!N2470 = "", "", [1]F_ProductBM!N2470 ),"")</f>
        <v/>
      </c>
    </row>
    <row r="5177" spans="3:14">
      <c r="C5177" s="485"/>
      <c r="D5177" s="561" t="s">
        <v>7</v>
      </c>
      <c r="E5177" s="865" t="s">
        <v>257</v>
      </c>
      <c r="F5177" s="865"/>
      <c r="G5177" s="582" t="s">
        <v>2017</v>
      </c>
      <c r="H5177" s="134" t="str">
        <f>IFERROR(IF([1]F_ProductBM!H2471 = "", "", [1]F_ProductBM!H2471 ),"")</f>
        <v/>
      </c>
      <c r="I5177" s="301" t="str">
        <f>IFERROR(IF([1]F_ProductBM!I2471 = "", "", [1]F_ProductBM!I2471 ),"")</f>
        <v/>
      </c>
      <c r="J5177" s="302" t="str">
        <f>IFERROR(IF([1]F_ProductBM!J2471 = "", "", [1]F_ProductBM!J2471 ),"")</f>
        <v/>
      </c>
      <c r="K5177" s="303" t="str">
        <f>IFERROR(IF([1]F_ProductBM!K2471 = "", "", [1]F_ProductBM!K2471 ),"")</f>
        <v/>
      </c>
      <c r="L5177" s="134" t="str">
        <f>IFERROR(IF([1]F_ProductBM!L2471 = "", "", [1]F_ProductBM!L2471 ),"")</f>
        <v/>
      </c>
      <c r="M5177" s="134" t="str">
        <f>IFERROR(IF([1]F_ProductBM!M2471 = "", "", [1]F_ProductBM!M2471 ),"")</f>
        <v/>
      </c>
      <c r="N5177" s="134" t="str">
        <f>IFERROR(IF([1]F_ProductBM!N2471 = "", "", [1]F_ProductBM!N2471 ),"")</f>
        <v/>
      </c>
    </row>
    <row r="5178" spans="3:14">
      <c r="C5178" s="485"/>
      <c r="D5178" s="561" t="s">
        <v>8</v>
      </c>
      <c r="E5178" s="932" t="s">
        <v>914</v>
      </c>
      <c r="F5178" s="932"/>
      <c r="G5178" s="933" t="s">
        <v>2021</v>
      </c>
      <c r="H5178" s="109" t="str">
        <f>IFERROR(IF([1]F_ProductBM!H2472 = "", "", [1]F_ProductBM!H2472 ),"")</f>
        <v/>
      </c>
      <c r="I5178" s="304" t="str">
        <f>IFERROR(IF([1]F_ProductBM!I2472 = "", "", [1]F_ProductBM!I2472 ),"")</f>
        <v/>
      </c>
      <c r="J5178" s="305" t="str">
        <f>IFERROR(IF([1]F_ProductBM!J2472 = "", "", [1]F_ProductBM!J2472 ),"")</f>
        <v/>
      </c>
      <c r="K5178" s="306" t="str">
        <f>IFERROR(IF([1]F_ProductBM!K2472 = "", "", [1]F_ProductBM!K2472 ),"")</f>
        <v/>
      </c>
      <c r="L5178" s="109" t="str">
        <f>IFERROR(IF([1]F_ProductBM!L2472 = "", "", [1]F_ProductBM!L2472 ),"")</f>
        <v/>
      </c>
      <c r="M5178" s="109" t="str">
        <f>IFERROR(IF([1]F_ProductBM!M2472 = "", "", [1]F_ProductBM!M2472 ),"")</f>
        <v/>
      </c>
      <c r="N5178" s="109" t="str">
        <f>IFERROR(IF([1]F_ProductBM!N2472 = "", "", [1]F_ProductBM!N2472 ),"")</f>
        <v/>
      </c>
    </row>
    <row r="5179" spans="3:14">
      <c r="C5179" s="485"/>
      <c r="D5179" s="561" t="s">
        <v>18</v>
      </c>
      <c r="E5179" s="863" t="s">
        <v>915</v>
      </c>
      <c r="F5179" s="863"/>
      <c r="G5179" s="579" t="s">
        <v>2015</v>
      </c>
      <c r="H5179" s="297" t="str">
        <f>IFERROR(IF([1]F_ProductBM!H2473 = "", "", [1]F_ProductBM!H2473 ),"")</f>
        <v/>
      </c>
      <c r="I5179" s="298" t="str">
        <f>IFERROR(IF([1]F_ProductBM!I2473 = "", "", [1]F_ProductBM!I2473 ),"")</f>
        <v/>
      </c>
      <c r="J5179" s="299" t="str">
        <f>IFERROR(IF([1]F_ProductBM!J2473 = "", "", [1]F_ProductBM!J2473 ),"")</f>
        <v/>
      </c>
      <c r="K5179" s="300" t="str">
        <f>IFERROR(IF([1]F_ProductBM!K2473 = "", "", [1]F_ProductBM!K2473 ),"")</f>
        <v/>
      </c>
      <c r="L5179" s="300" t="str">
        <f>IFERROR(IF([1]F_ProductBM!L2473 = "", "", [1]F_ProductBM!L2473 ),"")</f>
        <v/>
      </c>
      <c r="M5179" s="297" t="str">
        <f>IFERROR(IF([1]F_ProductBM!M2473 = "", "", [1]F_ProductBM!M2473 ),"")</f>
        <v/>
      </c>
      <c r="N5179" s="297" t="str">
        <f>IFERROR(IF([1]F_ProductBM!N2473 = "", "", [1]F_ProductBM!N2473 ),"")</f>
        <v/>
      </c>
    </row>
    <row r="5180" spans="3:14">
      <c r="C5180" s="485"/>
      <c r="D5180" s="561" t="s">
        <v>787</v>
      </c>
      <c r="E5180" s="867" t="s">
        <v>916</v>
      </c>
      <c r="F5180" s="867"/>
      <c r="G5180" s="584" t="s">
        <v>2015</v>
      </c>
      <c r="H5180" s="307" t="str">
        <f>IFERROR(IF([1]F_ProductBM!H2474 = "", "", [1]F_ProductBM!H2474 ),"")</f>
        <v/>
      </c>
      <c r="I5180" s="308" t="str">
        <f>IFERROR(IF([1]F_ProductBM!I2474 = "", "", [1]F_ProductBM!I2474 ),"")</f>
        <v/>
      </c>
      <c r="J5180" s="309" t="str">
        <f>IFERROR(IF([1]F_ProductBM!J2474 = "", "", [1]F_ProductBM!J2474 ),"")</f>
        <v/>
      </c>
      <c r="K5180" s="310" t="str">
        <f>IFERROR(IF([1]F_ProductBM!K2474 = "", "", [1]F_ProductBM!K2474 ),"")</f>
        <v/>
      </c>
      <c r="L5180" s="310" t="str">
        <f>IFERROR(IF([1]F_ProductBM!L2474 = "", "", [1]F_ProductBM!L2474 ),"")</f>
        <v/>
      </c>
      <c r="M5180" s="307" t="str">
        <f>IFERROR(IF([1]F_ProductBM!M2474 = "", "", [1]F_ProductBM!M2474 ),"")</f>
        <v/>
      </c>
      <c r="N5180" s="307" t="str">
        <f>IFERROR(IF([1]F_ProductBM!N2474 = "", "", [1]F_ProductBM!N2474 ),"")</f>
        <v/>
      </c>
    </row>
    <row r="5181" spans="3:14">
      <c r="C5181" s="479"/>
      <c r="D5181" s="479"/>
      <c r="E5181" s="479"/>
      <c r="F5181" s="479"/>
      <c r="G5181" s="479"/>
      <c r="H5181" s="479"/>
      <c r="I5181" s="479"/>
      <c r="J5181" s="937"/>
      <c r="K5181" s="479"/>
      <c r="L5181" s="479"/>
      <c r="M5181" s="485"/>
      <c r="N5181" s="485"/>
    </row>
    <row r="5182" spans="3:14">
      <c r="C5182" s="479"/>
      <c r="D5182" s="561" t="s">
        <v>788</v>
      </c>
      <c r="E5182" s="698" t="s">
        <v>1389</v>
      </c>
      <c r="F5182" s="938"/>
      <c r="G5182" s="939" t="s">
        <v>1021</v>
      </c>
      <c r="H5182" s="311" t="str">
        <f>IFERROR(IF([1]F_ProductBM!H2476 = "", "", [1]F_ProductBM!H2476 ),"")</f>
        <v/>
      </c>
      <c r="I5182" s="312" t="str">
        <f>IFERROR(IF([1]F_ProductBM!I2476 = "", "", [1]F_ProductBM!I2476 ),"")</f>
        <v/>
      </c>
      <c r="J5182" s="313" t="str">
        <f>IFERROR(IF([1]F_ProductBM!J2476 = "", "", [1]F_ProductBM!J2476 ),"")</f>
        <v/>
      </c>
      <c r="K5182" s="314" t="str">
        <f>IFERROR(IF([1]F_ProductBM!K2476 = "", "", [1]F_ProductBM!K2476 ),"")</f>
        <v/>
      </c>
      <c r="L5182" s="311" t="str">
        <f>IFERROR(IF([1]F_ProductBM!L2476 = "", "", [1]F_ProductBM!L2476 ),"")</f>
        <v/>
      </c>
      <c r="M5182" s="311" t="str">
        <f>IFERROR(IF([1]F_ProductBM!M2476 = "", "", [1]F_ProductBM!M2476 ),"")</f>
        <v/>
      </c>
      <c r="N5182" s="311" t="str">
        <f>IFERROR(IF([1]F_ProductBM!N2476 = "", "", [1]F_ProductBM!N2476 ),"")</f>
        <v/>
      </c>
    </row>
    <row r="5183" spans="3:14">
      <c r="C5183" s="479"/>
      <c r="D5183" s="479"/>
      <c r="E5183" s="479"/>
      <c r="F5183" s="479"/>
      <c r="G5183" s="479"/>
      <c r="H5183" s="479"/>
      <c r="I5183" s="479"/>
      <c r="J5183" s="479"/>
      <c r="K5183" s="479"/>
      <c r="L5183" s="479"/>
      <c r="M5183" s="485"/>
      <c r="N5183" s="485"/>
    </row>
    <row r="5184" spans="3:14" ht="18.95" customHeight="1" thickBot="1">
      <c r="C5184" s="479"/>
      <c r="D5184" s="485"/>
      <c r="E5184" s="2465" t="s">
        <v>2709</v>
      </c>
      <c r="F5184" s="2400"/>
      <c r="G5184" s="2400"/>
      <c r="H5184" s="2400"/>
      <c r="I5184" s="2400"/>
      <c r="J5184" s="2400"/>
      <c r="K5184" s="2400"/>
      <c r="L5184" s="2400"/>
      <c r="M5184" s="2400"/>
      <c r="N5184" s="2400"/>
    </row>
    <row r="5185" spans="3:14">
      <c r="C5185" s="479"/>
      <c r="D5185" s="902"/>
      <c r="E5185" s="942"/>
      <c r="F5185" s="942"/>
      <c r="G5185" s="942"/>
      <c r="H5185" s="942"/>
      <c r="I5185" s="942"/>
      <c r="J5185" s="942"/>
      <c r="K5185" s="942"/>
      <c r="L5185" s="942"/>
      <c r="M5185" s="942"/>
      <c r="N5185" s="943"/>
    </row>
    <row r="5186" spans="3:14">
      <c r="C5186" s="479"/>
      <c r="D5186" s="907" t="s">
        <v>1915</v>
      </c>
      <c r="E5186" s="908" t="s">
        <v>1775</v>
      </c>
      <c r="F5186" s="909"/>
      <c r="G5186" s="909"/>
      <c r="H5186" s="910" t="s">
        <v>884</v>
      </c>
      <c r="I5186" s="911" t="s">
        <v>2213</v>
      </c>
      <c r="J5186" s="912">
        <v>2021</v>
      </c>
      <c r="K5186" s="913">
        <v>2022</v>
      </c>
      <c r="L5186" s="913">
        <v>2023</v>
      </c>
      <c r="M5186" s="913">
        <v>2024</v>
      </c>
      <c r="N5186" s="914">
        <v>2025</v>
      </c>
    </row>
    <row r="5187" spans="3:14">
      <c r="C5187" s="479"/>
      <c r="D5187" s="915" t="s">
        <v>6</v>
      </c>
      <c r="E5187" s="916" t="s">
        <v>1691</v>
      </c>
      <c r="F5187" s="916"/>
      <c r="G5187" s="916"/>
      <c r="H5187" s="944" t="s">
        <v>1021</v>
      </c>
      <c r="I5187" s="315" t="str">
        <f>IFERROR(IF([1]F_ProductBM!I2481 = "", "", [1]F_ProductBM!I2481 ),"")</f>
        <v/>
      </c>
      <c r="J5187" s="316" t="str">
        <f>IFERROR(IF([1]F_ProductBM!J2481 = "", "", [1]F_ProductBM!J2481 ),"")</f>
        <v/>
      </c>
      <c r="K5187" s="317" t="str">
        <f>IFERROR(IF([1]F_ProductBM!K2481 = "", "", [1]F_ProductBM!K2481 ),"")</f>
        <v/>
      </c>
      <c r="L5187" s="317" t="str">
        <f>IFERROR(IF([1]F_ProductBM!L2481 = "", "", [1]F_ProductBM!L2481 ),"")</f>
        <v/>
      </c>
      <c r="M5187" s="317" t="str">
        <f>IFERROR(IF([1]F_ProductBM!M2481 = "", "", [1]F_ProductBM!M2481 ),"")</f>
        <v/>
      </c>
      <c r="N5187" s="318" t="str">
        <f>IFERROR(IF([1]F_ProductBM!N2481 = "", "", [1]F_ProductBM!N2481 ),"")</f>
        <v/>
      </c>
    </row>
    <row r="5188" spans="3:14">
      <c r="C5188" s="479"/>
      <c r="D5188" s="915"/>
      <c r="E5188" s="916" t="s">
        <v>1776</v>
      </c>
      <c r="F5188" s="916"/>
      <c r="G5188" s="916"/>
      <c r="H5188" s="921"/>
      <c r="I5188" s="916"/>
      <c r="J5188" s="319" t="str">
        <f>IFERROR(IF([1]F_ProductBM!J2482 = "", "", [1]F_ProductBM!J2482 ),"")</f>
        <v/>
      </c>
      <c r="K5188" s="320" t="str">
        <f>IFERROR(IF([1]F_ProductBM!K2482 = "", "", [1]F_ProductBM!K2482 ),"")</f>
        <v/>
      </c>
      <c r="L5188" s="320" t="str">
        <f>IFERROR(IF([1]F_ProductBM!L2482 = "", "", [1]F_ProductBM!L2482 ),"")</f>
        <v/>
      </c>
      <c r="M5188" s="320" t="str">
        <f>IFERROR(IF([1]F_ProductBM!M2482 = "", "", [1]F_ProductBM!M2482 ),"")</f>
        <v/>
      </c>
      <c r="N5188" s="321" t="str">
        <f>IFERROR(IF([1]F_ProductBM!N2482 = "", "", [1]F_ProductBM!N2482 ),"")</f>
        <v/>
      </c>
    </row>
    <row r="5189" spans="3:14">
      <c r="C5189" s="479"/>
      <c r="D5189" s="915" t="s">
        <v>7</v>
      </c>
      <c r="E5189" s="916" t="s">
        <v>1654</v>
      </c>
      <c r="F5189" s="916"/>
      <c r="G5189" s="916"/>
      <c r="H5189" s="921"/>
      <c r="I5189" s="916"/>
      <c r="J5189" s="288" t="str">
        <f>IFERROR(IF([1]F_ProductBM!J2483 = "", "", [1]F_ProductBM!J2483 ),"")</f>
        <v/>
      </c>
      <c r="K5189" s="289" t="str">
        <f>IFERROR(IF([1]F_ProductBM!K2483 = "", "", [1]F_ProductBM!K2483 ),"")</f>
        <v/>
      </c>
      <c r="L5189" s="289" t="str">
        <f>IFERROR(IF([1]F_ProductBM!L2483 = "", "", [1]F_ProductBM!L2483 ),"")</f>
        <v/>
      </c>
      <c r="M5189" s="289" t="str">
        <f>IFERROR(IF([1]F_ProductBM!M2483 = "", "", [1]F_ProductBM!M2483 ),"")</f>
        <v/>
      </c>
      <c r="N5189" s="290" t="str">
        <f>IFERROR(IF([1]F_ProductBM!N2483 = "", "", [1]F_ProductBM!N2483 ),"")</f>
        <v/>
      </c>
    </row>
    <row r="5190" spans="3:14">
      <c r="C5190" s="479"/>
      <c r="D5190" s="915"/>
      <c r="E5190" s="916" t="s">
        <v>1689</v>
      </c>
      <c r="F5190" s="916"/>
      <c r="G5190" s="916"/>
      <c r="H5190" s="944" t="s">
        <v>1021</v>
      </c>
      <c r="I5190" s="315" t="str">
        <f>IFERROR(IF([1]F_ProductBM!I2484 = "", "", [1]F_ProductBM!I2484 ),"")</f>
        <v/>
      </c>
      <c r="J5190" s="322" t="str">
        <f>IFERROR(IF([1]F_ProductBM!J2484 = "", "", [1]F_ProductBM!J2484 ),"")</f>
        <v/>
      </c>
      <c r="K5190" s="323" t="str">
        <f>IFERROR(IF([1]F_ProductBM!K2484 = "", "", [1]F_ProductBM!K2484 ),"")</f>
        <v/>
      </c>
      <c r="L5190" s="323" t="str">
        <f>IFERROR(IF([1]F_ProductBM!L2484 = "", "", [1]F_ProductBM!L2484 ),"")</f>
        <v/>
      </c>
      <c r="M5190" s="323" t="str">
        <f>IFERROR(IF([1]F_ProductBM!M2484 = "", "", [1]F_ProductBM!M2484 ),"")</f>
        <v/>
      </c>
      <c r="N5190" s="324" t="str">
        <f>IFERROR(IF([1]F_ProductBM!N2484 = "", "", [1]F_ProductBM!N2484 ),"")</f>
        <v/>
      </c>
    </row>
    <row r="5191" spans="3:14">
      <c r="C5191" s="479"/>
      <c r="D5191" s="915"/>
      <c r="E5191" s="909"/>
      <c r="F5191" s="909"/>
      <c r="G5191" s="909"/>
      <c r="H5191" s="909"/>
      <c r="I5191" s="909"/>
      <c r="J5191" s="909"/>
      <c r="K5191" s="909"/>
      <c r="L5191" s="909"/>
      <c r="M5191" s="909"/>
      <c r="N5191" s="922"/>
    </row>
    <row r="5192" spans="3:14">
      <c r="C5192" s="479"/>
      <c r="D5192" s="915"/>
      <c r="E5192" s="923" t="s">
        <v>1653</v>
      </c>
      <c r="F5192" s="923"/>
      <c r="G5192" s="923"/>
      <c r="H5192" s="923"/>
      <c r="I5192" s="923"/>
      <c r="J5192" s="912">
        <v>2021</v>
      </c>
      <c r="K5192" s="913">
        <v>2022</v>
      </c>
      <c r="L5192" s="913">
        <v>2023</v>
      </c>
      <c r="M5192" s="913">
        <v>2024</v>
      </c>
      <c r="N5192" s="914">
        <v>2025</v>
      </c>
    </row>
    <row r="5193" spans="3:14">
      <c r="C5193" s="479"/>
      <c r="D5193" s="915" t="s">
        <v>8</v>
      </c>
      <c r="E5193" s="916" t="s">
        <v>2108</v>
      </c>
      <c r="F5193" s="916"/>
      <c r="G5193" s="916"/>
      <c r="H5193" s="916"/>
      <c r="I5193" s="916"/>
      <c r="J5193" s="69" t="str">
        <f>IFERROR(IF([1]F_ProductBM!J2487 = "", "", [1]F_ProductBM!J2487 ),"")</f>
        <v/>
      </c>
      <c r="K5193" s="62" t="str">
        <f>IFERROR(IF([1]F_ProductBM!K2487 = "", "", [1]F_ProductBM!K2487 ),"")</f>
        <v/>
      </c>
      <c r="L5193" s="62" t="str">
        <f>IFERROR(IF([1]F_ProductBM!L2487 = "", "", [1]F_ProductBM!L2487 ),"")</f>
        <v/>
      </c>
      <c r="M5193" s="62" t="str">
        <f>IFERROR(IF([1]F_ProductBM!M2487 = "", "", [1]F_ProductBM!M2487 ),"")</f>
        <v/>
      </c>
      <c r="N5193" s="70" t="str">
        <f>IFERROR(IF([1]F_ProductBM!N2487 = "", "", [1]F_ProductBM!N2487 ),"")</f>
        <v/>
      </c>
    </row>
    <row r="5194" spans="3:14" ht="13.5" thickBot="1">
      <c r="C5194" s="479"/>
      <c r="D5194" s="915"/>
      <c r="E5194" s="909"/>
      <c r="F5194" s="909"/>
      <c r="G5194" s="909"/>
      <c r="H5194" s="909"/>
      <c r="I5194" s="909"/>
      <c r="J5194" s="909"/>
      <c r="K5194" s="909"/>
      <c r="L5194" s="909"/>
      <c r="M5194" s="909"/>
      <c r="N5194" s="922"/>
    </row>
    <row r="5195" spans="3:14" ht="13.5" thickBot="1">
      <c r="C5195" s="479"/>
      <c r="D5195" s="915" t="s">
        <v>18</v>
      </c>
      <c r="E5195" s="916" t="s">
        <v>1657</v>
      </c>
      <c r="F5195" s="916"/>
      <c r="G5195" s="916"/>
      <c r="H5195" s="921"/>
      <c r="I5195" s="916"/>
      <c r="J5195" s="291" t="str">
        <f>IFERROR(IF([1]F_ProductBM!J2489 = "", "", [1]F_ProductBM!J2489 ),"")</f>
        <v/>
      </c>
      <c r="K5195" s="292" t="str">
        <f>IFERROR(IF([1]F_ProductBM!K2489 = "", "", [1]F_ProductBM!K2489 ),"")</f>
        <v/>
      </c>
      <c r="L5195" s="292" t="str">
        <f>IFERROR(IF([1]F_ProductBM!L2489 = "", "", [1]F_ProductBM!L2489 ),"")</f>
        <v/>
      </c>
      <c r="M5195" s="292" t="str">
        <f>IFERROR(IF([1]F_ProductBM!M2489 = "", "", [1]F_ProductBM!M2489 ),"")</f>
        <v/>
      </c>
      <c r="N5195" s="293" t="str">
        <f>IFERROR(IF([1]F_ProductBM!N2489 = "", "", [1]F_ProductBM!N2489 ),"")</f>
        <v/>
      </c>
    </row>
    <row r="5196" spans="3:14" ht="13.5" thickBot="1">
      <c r="C5196" s="479"/>
      <c r="D5196" s="915" t="s">
        <v>787</v>
      </c>
      <c r="E5196" s="916" t="s">
        <v>1659</v>
      </c>
      <c r="F5196" s="916"/>
      <c r="G5196" s="916"/>
      <c r="H5196" s="944" t="s">
        <v>1021</v>
      </c>
      <c r="I5196" s="315" t="str">
        <f>IFERROR(IF([1]F_ProductBM!I2490 = "", "", [1]F_ProductBM!I2490 ),"")</f>
        <v/>
      </c>
      <c r="J5196" s="325" t="str">
        <f>IFERROR(IF([1]F_ProductBM!J2490 = "", "", [1]F_ProductBM!J2490 ),"")</f>
        <v/>
      </c>
      <c r="K5196" s="326" t="str">
        <f>IFERROR(IF([1]F_ProductBM!K2490 = "", "", [1]F_ProductBM!K2490 ),"")</f>
        <v/>
      </c>
      <c r="L5196" s="326" t="str">
        <f>IFERROR(IF([1]F_ProductBM!L2490 = "", "", [1]F_ProductBM!L2490 ),"")</f>
        <v/>
      </c>
      <c r="M5196" s="326" t="str">
        <f>IFERROR(IF([1]F_ProductBM!M2490 = "", "", [1]F_ProductBM!M2490 ),"")</f>
        <v/>
      </c>
      <c r="N5196" s="327" t="str">
        <f>IFERROR(IF([1]F_ProductBM!N2490 = "", "", [1]F_ProductBM!N2490 ),"")</f>
        <v/>
      </c>
    </row>
    <row r="5197" spans="3:14" ht="13.5" thickBot="1">
      <c r="C5197" s="479"/>
      <c r="D5197" s="946"/>
      <c r="E5197" s="947"/>
      <c r="F5197" s="947"/>
      <c r="G5197" s="947"/>
      <c r="H5197" s="947"/>
      <c r="I5197" s="947"/>
      <c r="J5197" s="947"/>
      <c r="K5197" s="947"/>
      <c r="L5197" s="947"/>
      <c r="M5197" s="925"/>
      <c r="N5197" s="926"/>
    </row>
    <row r="5198" spans="3:14">
      <c r="C5198" s="479"/>
      <c r="D5198" s="479"/>
      <c r="E5198" s="479"/>
      <c r="F5198" s="479"/>
      <c r="G5198" s="479"/>
      <c r="H5198" s="479"/>
      <c r="I5198" s="479"/>
      <c r="J5198" s="479"/>
      <c r="K5198" s="479"/>
      <c r="L5198" s="479"/>
      <c r="M5198" s="485"/>
      <c r="N5198" s="485"/>
    </row>
    <row r="5199" spans="3:14">
      <c r="C5199" s="479"/>
      <c r="D5199" s="482" t="s">
        <v>881</v>
      </c>
      <c r="E5199" s="2373" t="s">
        <v>941</v>
      </c>
      <c r="F5199" s="2373"/>
      <c r="G5199" s="2373"/>
      <c r="H5199" s="2373"/>
      <c r="I5199" s="2604"/>
      <c r="J5199" s="2652" t="s">
        <v>1857</v>
      </c>
      <c r="K5199" s="2653"/>
      <c r="L5199" s="2653"/>
      <c r="M5199" s="2653"/>
      <c r="N5199" s="2654"/>
    </row>
    <row r="5200" spans="3:14">
      <c r="C5200" s="479"/>
      <c r="D5200" s="485"/>
      <c r="E5200" s="2465" t="s">
        <v>1368</v>
      </c>
      <c r="F5200" s="2400"/>
      <c r="G5200" s="2400"/>
      <c r="H5200" s="2400"/>
      <c r="I5200" s="2400"/>
      <c r="J5200" s="2400"/>
      <c r="K5200" s="2400"/>
      <c r="L5200" s="2400"/>
      <c r="M5200" s="2400"/>
      <c r="N5200" s="2400"/>
    </row>
    <row r="5201" spans="3:14">
      <c r="C5201" s="479"/>
      <c r="D5201" s="485"/>
      <c r="E5201" s="2465" t="s">
        <v>1474</v>
      </c>
      <c r="F5201" s="2400"/>
      <c r="G5201" s="2400"/>
      <c r="H5201" s="2400"/>
      <c r="I5201" s="2400"/>
      <c r="J5201" s="2400"/>
      <c r="K5201" s="2400"/>
      <c r="L5201" s="2400"/>
      <c r="M5201" s="2400"/>
      <c r="N5201" s="2400"/>
    </row>
    <row r="5202" spans="3:14">
      <c r="C5202" s="479"/>
      <c r="D5202" s="485"/>
      <c r="E5202" s="2465" t="s">
        <v>1300</v>
      </c>
      <c r="F5202" s="2400"/>
      <c r="G5202" s="2400"/>
      <c r="H5202" s="2400"/>
      <c r="I5202" s="2400"/>
      <c r="J5202" s="2400"/>
      <c r="K5202" s="2400"/>
      <c r="L5202" s="2400"/>
      <c r="M5202" s="2400"/>
      <c r="N5202" s="2400"/>
    </row>
    <row r="5203" spans="3:14">
      <c r="C5203" s="479"/>
      <c r="D5203" s="485"/>
      <c r="E5203" s="2465" t="s">
        <v>1608</v>
      </c>
      <c r="F5203" s="2400"/>
      <c r="G5203" s="2400"/>
      <c r="H5203" s="2400"/>
      <c r="I5203" s="2400"/>
      <c r="J5203" s="2400"/>
      <c r="K5203" s="2400"/>
      <c r="L5203" s="2400"/>
      <c r="M5203" s="2400"/>
      <c r="N5203" s="2400"/>
    </row>
    <row r="5204" spans="3:14">
      <c r="C5204" s="485"/>
      <c r="D5204" s="482"/>
      <c r="E5204" s="927" t="s">
        <v>62</v>
      </c>
      <c r="F5204" s="518"/>
      <c r="G5204" s="663" t="s">
        <v>884</v>
      </c>
      <c r="H5204" s="578">
        <v>2019</v>
      </c>
      <c r="I5204" s="697">
        <v>2020</v>
      </c>
      <c r="J5204" s="696">
        <v>2021</v>
      </c>
      <c r="K5204" s="578">
        <v>2022</v>
      </c>
      <c r="L5204" s="578">
        <v>2023</v>
      </c>
      <c r="M5204" s="578">
        <v>2024</v>
      </c>
      <c r="N5204" s="578">
        <v>2025</v>
      </c>
    </row>
    <row r="5205" spans="3:14" ht="25.5">
      <c r="C5205" s="485"/>
      <c r="D5205" s="561" t="s">
        <v>6</v>
      </c>
      <c r="E5205" s="948" t="s">
        <v>650</v>
      </c>
      <c r="F5205" s="948"/>
      <c r="G5205" s="730" t="s">
        <v>2017</v>
      </c>
      <c r="H5205" s="93" t="str">
        <f>IFERROR(IF([1]F_ProductBM!H2499 = "", "", [1]F_ProductBM!H2499 ),"")</f>
        <v/>
      </c>
      <c r="I5205" s="116" t="str">
        <f>IFERROR(IF([1]F_ProductBM!I2499 = "", "", [1]F_ProductBM!I2499 ),"")</f>
        <v/>
      </c>
      <c r="J5205" s="117" t="str">
        <f>IFERROR(IF([1]F_ProductBM!J2499 = "", "", [1]F_ProductBM!J2499 ),"")</f>
        <v/>
      </c>
      <c r="K5205" s="93" t="str">
        <f>IFERROR(IF([1]F_ProductBM!K2499 = "", "", [1]F_ProductBM!K2499 ),"")</f>
        <v/>
      </c>
      <c r="L5205" s="93" t="str">
        <f>IFERROR(IF([1]F_ProductBM!L2499 = "", "", [1]F_ProductBM!L2499 ),"")</f>
        <v/>
      </c>
      <c r="M5205" s="93" t="str">
        <f>IFERROR(IF([1]F_ProductBM!M2499 = "", "", [1]F_ProductBM!M2499 ),"")</f>
        <v/>
      </c>
      <c r="N5205" s="93" t="str">
        <f>IFERROR(IF([1]F_ProductBM!N2499 = "", "", [1]F_ProductBM!N2499 ),"")</f>
        <v/>
      </c>
    </row>
    <row r="5206" spans="3:14" ht="25.5">
      <c r="C5206" s="485"/>
      <c r="D5206" s="561" t="s">
        <v>7</v>
      </c>
      <c r="E5206" s="863" t="s">
        <v>107</v>
      </c>
      <c r="F5206" s="863"/>
      <c r="G5206" s="950" t="s">
        <v>1022</v>
      </c>
      <c r="H5206" s="328" t="str">
        <f>IFERROR(IF([1]F_ProductBM!H2500 = "", "", [1]F_ProductBM!H2500 ),"")</f>
        <v/>
      </c>
      <c r="I5206" s="329" t="str">
        <f>IFERROR(IF([1]F_ProductBM!I2500 = "", "", [1]F_ProductBM!I2500 ),"")</f>
        <v/>
      </c>
      <c r="J5206" s="330" t="str">
        <f>IFERROR(IF([1]F_ProductBM!J2500 = "", "", [1]F_ProductBM!J2500 ),"")</f>
        <v/>
      </c>
      <c r="K5206" s="328" t="str">
        <f>IFERROR(IF([1]F_ProductBM!K2500 = "", "", [1]F_ProductBM!K2500 ),"")</f>
        <v/>
      </c>
      <c r="L5206" s="328" t="str">
        <f>IFERROR(IF([1]F_ProductBM!L2500 = "", "", [1]F_ProductBM!L2500 ),"")</f>
        <v/>
      </c>
      <c r="M5206" s="328" t="str">
        <f>IFERROR(IF([1]F_ProductBM!M2500 = "", "", [1]F_ProductBM!M2500 ),"")</f>
        <v/>
      </c>
      <c r="N5206" s="328" t="str">
        <f>IFERROR(IF([1]F_ProductBM!N2500 = "", "", [1]F_ProductBM!N2500 ),"")</f>
        <v/>
      </c>
    </row>
    <row r="5207" spans="3:14" ht="25.5">
      <c r="C5207" s="485"/>
      <c r="D5207" s="561" t="s">
        <v>8</v>
      </c>
      <c r="E5207" s="571" t="s">
        <v>1548</v>
      </c>
      <c r="F5207" s="571"/>
      <c r="G5207" s="951" t="s">
        <v>1022</v>
      </c>
      <c r="H5207" s="331" t="str">
        <f>IFERROR(IF([1]F_ProductBM!H2501 = "", "", [1]F_ProductBM!H2501 ),"")</f>
        <v/>
      </c>
      <c r="I5207" s="332" t="str">
        <f>IFERROR(IF([1]F_ProductBM!I2501 = "", "", [1]F_ProductBM!I2501 ),"")</f>
        <v/>
      </c>
      <c r="J5207" s="333" t="str">
        <f>IFERROR(IF([1]F_ProductBM!J2501 = "", "", [1]F_ProductBM!J2501 ),"")</f>
        <v/>
      </c>
      <c r="K5207" s="331" t="str">
        <f>IFERROR(IF([1]F_ProductBM!K2501 = "", "", [1]F_ProductBM!K2501 ),"")</f>
        <v/>
      </c>
      <c r="L5207" s="331" t="str">
        <f>IFERROR(IF([1]F_ProductBM!L2501 = "", "", [1]F_ProductBM!L2501 ),"")</f>
        <v/>
      </c>
      <c r="M5207" s="331" t="str">
        <f>IFERROR(IF([1]F_ProductBM!M2501 = "", "", [1]F_ProductBM!M2501 ),"")</f>
        <v/>
      </c>
      <c r="N5207" s="331" t="str">
        <f>IFERROR(IF([1]F_ProductBM!N2501 = "", "", [1]F_ProductBM!N2501 ),"")</f>
        <v/>
      </c>
    </row>
    <row r="5208" spans="3:14">
      <c r="C5208" s="485"/>
      <c r="D5208" s="485"/>
      <c r="E5208" s="485"/>
      <c r="F5208" s="485"/>
      <c r="G5208" s="485"/>
      <c r="H5208" s="485"/>
      <c r="I5208" s="952"/>
      <c r="J5208" s="485"/>
      <c r="K5208" s="485"/>
      <c r="L5208" s="485"/>
      <c r="M5208" s="485"/>
      <c r="N5208" s="485"/>
    </row>
    <row r="5209" spans="3:14" ht="23.1" customHeight="1" thickBot="1">
      <c r="C5209" s="479"/>
      <c r="D5209" s="485"/>
      <c r="E5209" s="2465" t="s">
        <v>2709</v>
      </c>
      <c r="F5209" s="2400"/>
      <c r="G5209" s="2400"/>
      <c r="H5209" s="2400"/>
      <c r="I5209" s="2400"/>
      <c r="J5209" s="2400"/>
      <c r="K5209" s="2400"/>
      <c r="L5209" s="2400"/>
      <c r="M5209" s="2400"/>
      <c r="N5209" s="2400"/>
    </row>
    <row r="5210" spans="3:14">
      <c r="C5210" s="479"/>
      <c r="D5210" s="902"/>
      <c r="E5210" s="904"/>
      <c r="F5210" s="953"/>
      <c r="G5210" s="953"/>
      <c r="H5210" s="953"/>
      <c r="I5210" s="953"/>
      <c r="J5210" s="953"/>
      <c r="K5210" s="953"/>
      <c r="L5210" s="953"/>
      <c r="M5210" s="953"/>
      <c r="N5210" s="954"/>
    </row>
    <row r="5211" spans="3:14">
      <c r="C5211" s="479"/>
      <c r="D5211" s="907" t="s">
        <v>1916</v>
      </c>
      <c r="E5211" s="908" t="s">
        <v>1774</v>
      </c>
      <c r="F5211" s="909"/>
      <c r="G5211" s="909"/>
      <c r="H5211" s="910" t="s">
        <v>884</v>
      </c>
      <c r="I5211" s="911" t="s">
        <v>2220</v>
      </c>
      <c r="J5211" s="912">
        <v>2021</v>
      </c>
      <c r="K5211" s="913">
        <v>2022</v>
      </c>
      <c r="L5211" s="913">
        <v>2023</v>
      </c>
      <c r="M5211" s="913">
        <v>2024</v>
      </c>
      <c r="N5211" s="914">
        <v>2025</v>
      </c>
    </row>
    <row r="5212" spans="3:14">
      <c r="C5212" s="479"/>
      <c r="D5212" s="915" t="s">
        <v>6</v>
      </c>
      <c r="E5212" s="916" t="s">
        <v>1691</v>
      </c>
      <c r="F5212" s="916"/>
      <c r="G5212" s="916"/>
      <c r="H5212" s="944" t="s">
        <v>471</v>
      </c>
      <c r="I5212" s="281" t="str">
        <f>IFERROR(IF([1]F_ProductBM!I2506 = "", "", [1]F_ProductBM!I2506 ),"")</f>
        <v/>
      </c>
      <c r="J5212" s="334" t="str">
        <f>IFERROR(IF([1]F_ProductBM!J2506 = "", "", [1]F_ProductBM!J2506 ),"")</f>
        <v/>
      </c>
      <c r="K5212" s="335" t="str">
        <f>IFERROR(IF([1]F_ProductBM!K2506 = "", "", [1]F_ProductBM!K2506 ),"")</f>
        <v/>
      </c>
      <c r="L5212" s="335" t="str">
        <f>IFERROR(IF([1]F_ProductBM!L2506 = "", "", [1]F_ProductBM!L2506 ),"")</f>
        <v/>
      </c>
      <c r="M5212" s="335" t="str">
        <f>IFERROR(IF([1]F_ProductBM!M2506 = "", "", [1]F_ProductBM!M2506 ),"")</f>
        <v/>
      </c>
      <c r="N5212" s="336" t="str">
        <f>IFERROR(IF([1]F_ProductBM!N2506 = "", "", [1]F_ProductBM!N2506 ),"")</f>
        <v/>
      </c>
    </row>
    <row r="5213" spans="3:14">
      <c r="C5213" s="479"/>
      <c r="D5213" s="915"/>
      <c r="E5213" s="916" t="s">
        <v>1776</v>
      </c>
      <c r="F5213" s="916"/>
      <c r="G5213" s="916"/>
      <c r="H5213" s="921"/>
      <c r="I5213" s="916"/>
      <c r="J5213" s="319" t="str">
        <f>IFERROR(IF([1]F_ProductBM!J2507 = "", "", [1]F_ProductBM!J2507 ),"")</f>
        <v/>
      </c>
      <c r="K5213" s="320" t="str">
        <f>IFERROR(IF([1]F_ProductBM!K2507 = "", "", [1]F_ProductBM!K2507 ),"")</f>
        <v/>
      </c>
      <c r="L5213" s="320" t="str">
        <f>IFERROR(IF([1]F_ProductBM!L2507 = "", "", [1]F_ProductBM!L2507 ),"")</f>
        <v/>
      </c>
      <c r="M5213" s="320" t="str">
        <f>IFERROR(IF([1]F_ProductBM!M2507 = "", "", [1]F_ProductBM!M2507 ),"")</f>
        <v/>
      </c>
      <c r="N5213" s="321" t="str">
        <f>IFERROR(IF([1]F_ProductBM!N2507 = "", "", [1]F_ProductBM!N2507 ),"")</f>
        <v/>
      </c>
    </row>
    <row r="5214" spans="3:14">
      <c r="C5214" s="479"/>
      <c r="D5214" s="915" t="s">
        <v>7</v>
      </c>
      <c r="E5214" s="916" t="s">
        <v>1654</v>
      </c>
      <c r="F5214" s="916"/>
      <c r="G5214" s="916"/>
      <c r="H5214" s="921"/>
      <c r="I5214" s="916"/>
      <c r="J5214" s="288" t="str">
        <f>IFERROR(IF([1]F_ProductBM!J2508 = "", "", [1]F_ProductBM!J2508 ),"")</f>
        <v/>
      </c>
      <c r="K5214" s="289" t="str">
        <f>IFERROR(IF([1]F_ProductBM!K2508 = "", "", [1]F_ProductBM!K2508 ),"")</f>
        <v/>
      </c>
      <c r="L5214" s="289" t="str">
        <f>IFERROR(IF([1]F_ProductBM!L2508 = "", "", [1]F_ProductBM!L2508 ),"")</f>
        <v/>
      </c>
      <c r="M5214" s="289" t="str">
        <f>IFERROR(IF([1]F_ProductBM!M2508 = "", "", [1]F_ProductBM!M2508 ),"")</f>
        <v/>
      </c>
      <c r="N5214" s="290" t="str">
        <f>IFERROR(IF([1]F_ProductBM!N2508 = "", "", [1]F_ProductBM!N2508 ),"")</f>
        <v/>
      </c>
    </row>
    <row r="5215" spans="3:14">
      <c r="C5215" s="479"/>
      <c r="D5215" s="915"/>
      <c r="E5215" s="916" t="s">
        <v>1689</v>
      </c>
      <c r="F5215" s="916"/>
      <c r="G5215" s="916"/>
      <c r="H5215" s="944" t="s">
        <v>471</v>
      </c>
      <c r="I5215" s="281" t="str">
        <f>IFERROR(IF([1]F_ProductBM!I2509 = "", "", [1]F_ProductBM!I2509 ),"")</f>
        <v/>
      </c>
      <c r="J5215" s="282" t="str">
        <f>IFERROR(IF([1]F_ProductBM!J2509 = "", "", [1]F_ProductBM!J2509 ),"")</f>
        <v/>
      </c>
      <c r="K5215" s="283" t="str">
        <f>IFERROR(IF([1]F_ProductBM!K2509 = "", "", [1]F_ProductBM!K2509 ),"")</f>
        <v/>
      </c>
      <c r="L5215" s="283" t="str">
        <f>IFERROR(IF([1]F_ProductBM!L2509 = "", "", [1]F_ProductBM!L2509 ),"")</f>
        <v/>
      </c>
      <c r="M5215" s="283" t="str">
        <f>IFERROR(IF([1]F_ProductBM!M2509 = "", "", [1]F_ProductBM!M2509 ),"")</f>
        <v/>
      </c>
      <c r="N5215" s="284" t="str">
        <f>IFERROR(IF([1]F_ProductBM!N2509 = "", "", [1]F_ProductBM!N2509 ),"")</f>
        <v/>
      </c>
    </row>
    <row r="5216" spans="3:14">
      <c r="C5216" s="479"/>
      <c r="D5216" s="915"/>
      <c r="E5216" s="909"/>
      <c r="F5216" s="909"/>
      <c r="G5216" s="909"/>
      <c r="H5216" s="909"/>
      <c r="I5216" s="909"/>
      <c r="J5216" s="909"/>
      <c r="K5216" s="909"/>
      <c r="L5216" s="909"/>
      <c r="M5216" s="909"/>
      <c r="N5216" s="922"/>
    </row>
    <row r="5217" spans="3:14">
      <c r="C5217" s="479"/>
      <c r="D5217" s="915"/>
      <c r="E5217" s="923" t="s">
        <v>1653</v>
      </c>
      <c r="F5217" s="923"/>
      <c r="G5217" s="923"/>
      <c r="H5217" s="923"/>
      <c r="I5217" s="923"/>
      <c r="J5217" s="912">
        <v>2021</v>
      </c>
      <c r="K5217" s="913">
        <v>2022</v>
      </c>
      <c r="L5217" s="913">
        <v>2023</v>
      </c>
      <c r="M5217" s="913">
        <v>2024</v>
      </c>
      <c r="N5217" s="914">
        <v>2025</v>
      </c>
    </row>
    <row r="5218" spans="3:14">
      <c r="C5218" s="479"/>
      <c r="D5218" s="915" t="s">
        <v>8</v>
      </c>
      <c r="E5218" s="916" t="s">
        <v>2108</v>
      </c>
      <c r="F5218" s="916"/>
      <c r="G5218" s="916"/>
      <c r="H5218" s="916"/>
      <c r="I5218" s="916"/>
      <c r="J5218" s="69" t="str">
        <f>IFERROR(IF([1]F_ProductBM!J2512 = "", "", [1]F_ProductBM!J2512 ),"")</f>
        <v/>
      </c>
      <c r="K5218" s="62" t="str">
        <f>IFERROR(IF([1]F_ProductBM!K2512 = "", "", [1]F_ProductBM!K2512 ),"")</f>
        <v/>
      </c>
      <c r="L5218" s="62" t="str">
        <f>IFERROR(IF([1]F_ProductBM!L2512 = "", "", [1]F_ProductBM!L2512 ),"")</f>
        <v/>
      </c>
      <c r="M5218" s="62" t="str">
        <f>IFERROR(IF([1]F_ProductBM!M2512 = "", "", [1]F_ProductBM!M2512 ),"")</f>
        <v/>
      </c>
      <c r="N5218" s="70" t="str">
        <f>IFERROR(IF([1]F_ProductBM!N2512 = "", "", [1]F_ProductBM!N2512 ),"")</f>
        <v/>
      </c>
    </row>
    <row r="5219" spans="3:14" ht="13.5" thickBot="1">
      <c r="C5219" s="479"/>
      <c r="D5219" s="915"/>
      <c r="E5219" s="909"/>
      <c r="F5219" s="909"/>
      <c r="G5219" s="909"/>
      <c r="H5219" s="909"/>
      <c r="I5219" s="909"/>
      <c r="J5219" s="909"/>
      <c r="K5219" s="909"/>
      <c r="L5219" s="909"/>
      <c r="M5219" s="909"/>
      <c r="N5219" s="922"/>
    </row>
    <row r="5220" spans="3:14" ht="13.5" thickBot="1">
      <c r="C5220" s="479"/>
      <c r="D5220" s="915" t="s">
        <v>18</v>
      </c>
      <c r="E5220" s="916" t="s">
        <v>1657</v>
      </c>
      <c r="F5220" s="916"/>
      <c r="G5220" s="916"/>
      <c r="H5220" s="921"/>
      <c r="I5220" s="916"/>
      <c r="J5220" s="291" t="str">
        <f>IFERROR(IF([1]F_ProductBM!J2514 = "", "", [1]F_ProductBM!J2514 ),"")</f>
        <v/>
      </c>
      <c r="K5220" s="292" t="str">
        <f>IFERROR(IF([1]F_ProductBM!K2514 = "", "", [1]F_ProductBM!K2514 ),"")</f>
        <v/>
      </c>
      <c r="L5220" s="292" t="str">
        <f>IFERROR(IF([1]F_ProductBM!L2514 = "", "", [1]F_ProductBM!L2514 ),"")</f>
        <v/>
      </c>
      <c r="M5220" s="292" t="str">
        <f>IFERROR(IF([1]F_ProductBM!M2514 = "", "", [1]F_ProductBM!M2514 ),"")</f>
        <v/>
      </c>
      <c r="N5220" s="293" t="str">
        <f>IFERROR(IF([1]F_ProductBM!N2514 = "", "", [1]F_ProductBM!N2514 ),"")</f>
        <v/>
      </c>
    </row>
    <row r="5221" spans="3:14" ht="13.5" thickBot="1">
      <c r="C5221" s="479"/>
      <c r="D5221" s="915" t="s">
        <v>787</v>
      </c>
      <c r="E5221" s="916" t="s">
        <v>1659</v>
      </c>
      <c r="F5221" s="916"/>
      <c r="G5221" s="916"/>
      <c r="H5221" s="944" t="s">
        <v>471</v>
      </c>
      <c r="I5221" s="281" t="str">
        <f>IFERROR(IF([1]F_ProductBM!I2515 = "", "", [1]F_ProductBM!I2515 ),"")</f>
        <v/>
      </c>
      <c r="J5221" s="294" t="str">
        <f>IFERROR(IF([1]F_ProductBM!J2515 = "", "", [1]F_ProductBM!J2515 ),"")</f>
        <v/>
      </c>
      <c r="K5221" s="295" t="str">
        <f>IFERROR(IF([1]F_ProductBM!K2515 = "", "", [1]F_ProductBM!K2515 ),"")</f>
        <v/>
      </c>
      <c r="L5221" s="295" t="str">
        <f>IFERROR(IF([1]F_ProductBM!L2515 = "", "", [1]F_ProductBM!L2515 ),"")</f>
        <v/>
      </c>
      <c r="M5221" s="295" t="str">
        <f>IFERROR(IF([1]F_ProductBM!M2515 = "", "", [1]F_ProductBM!M2515 ),"")</f>
        <v/>
      </c>
      <c r="N5221" s="296" t="str">
        <f>IFERROR(IF([1]F_ProductBM!N2515 = "", "", [1]F_ProductBM!N2515 ),"")</f>
        <v/>
      </c>
    </row>
    <row r="5222" spans="3:14" ht="13.5" thickBot="1">
      <c r="C5222" s="485"/>
      <c r="D5222" s="924"/>
      <c r="E5222" s="925"/>
      <c r="F5222" s="925"/>
      <c r="G5222" s="925"/>
      <c r="H5222" s="925"/>
      <c r="I5222" s="955"/>
      <c r="J5222" s="925"/>
      <c r="K5222" s="925"/>
      <c r="L5222" s="925"/>
      <c r="M5222" s="925"/>
      <c r="N5222" s="926"/>
    </row>
    <row r="5223" spans="3:14">
      <c r="C5223" s="485"/>
      <c r="D5223" s="485"/>
      <c r="E5223" s="485"/>
      <c r="F5223" s="485"/>
      <c r="G5223" s="485"/>
      <c r="H5223" s="485"/>
      <c r="I5223" s="952"/>
      <c r="J5223" s="485"/>
      <c r="K5223" s="485"/>
      <c r="L5223" s="485"/>
      <c r="M5223" s="485"/>
      <c r="N5223" s="485"/>
    </row>
    <row r="5224" spans="3:14" ht="15">
      <c r="C5224" s="856"/>
      <c r="D5224" s="2482" t="s">
        <v>103</v>
      </c>
      <c r="E5224" s="2400"/>
      <c r="F5224" s="2400"/>
      <c r="G5224" s="2400"/>
      <c r="H5224" s="2400"/>
      <c r="I5224" s="2400"/>
      <c r="J5224" s="2400"/>
      <c r="K5224" s="2400"/>
      <c r="L5224" s="2400"/>
      <c r="M5224" s="2400"/>
      <c r="N5224" s="2400"/>
    </row>
    <row r="5225" spans="3:14">
      <c r="C5225" s="479"/>
      <c r="D5225" s="479"/>
      <c r="E5225" s="479"/>
      <c r="F5225" s="479"/>
      <c r="G5225" s="479"/>
      <c r="H5225" s="479"/>
      <c r="I5225" s="479"/>
      <c r="J5225" s="479"/>
      <c r="K5225" s="479"/>
      <c r="L5225" s="479"/>
      <c r="M5225" s="479"/>
      <c r="N5225" s="479"/>
    </row>
    <row r="5226" spans="3:14">
      <c r="C5226" s="482"/>
      <c r="D5226" s="482" t="s">
        <v>57</v>
      </c>
      <c r="E5226" s="2373" t="s">
        <v>108</v>
      </c>
      <c r="F5226" s="2400"/>
      <c r="G5226" s="2400"/>
      <c r="H5226" s="2400"/>
      <c r="I5226" s="2400"/>
      <c r="J5226" s="2400"/>
      <c r="K5226" s="2400"/>
      <c r="L5226" s="2400"/>
      <c r="M5226" s="2400"/>
      <c r="N5226" s="2400"/>
    </row>
    <row r="5227" spans="3:14">
      <c r="C5227" s="485"/>
      <c r="D5227" s="485"/>
      <c r="E5227" s="2465" t="s">
        <v>1935</v>
      </c>
      <c r="F5227" s="2400"/>
      <c r="G5227" s="2400"/>
      <c r="H5227" s="2400"/>
      <c r="I5227" s="2400"/>
      <c r="J5227" s="2400"/>
      <c r="K5227" s="2400"/>
      <c r="L5227" s="2400"/>
      <c r="M5227" s="2400"/>
      <c r="N5227" s="2400"/>
    </row>
    <row r="5228" spans="3:14">
      <c r="C5228" s="485"/>
      <c r="D5228" s="485"/>
      <c r="E5228" s="2465" t="s">
        <v>1636</v>
      </c>
      <c r="F5228" s="2400"/>
      <c r="G5228" s="2400"/>
      <c r="H5228" s="2400"/>
      <c r="I5228" s="2400"/>
      <c r="J5228" s="2400"/>
      <c r="K5228" s="2400"/>
      <c r="L5228" s="2400"/>
      <c r="M5228" s="2400"/>
      <c r="N5228" s="2400"/>
    </row>
    <row r="5229" spans="3:14">
      <c r="C5229" s="485"/>
      <c r="D5229" s="485"/>
      <c r="E5229" s="2465" t="s">
        <v>2119</v>
      </c>
      <c r="F5229" s="2400"/>
      <c r="G5229" s="2400"/>
      <c r="H5229" s="2400"/>
      <c r="I5229" s="2400"/>
      <c r="J5229" s="2400"/>
      <c r="K5229" s="2400"/>
      <c r="L5229" s="2400"/>
      <c r="M5229" s="2400"/>
      <c r="N5229" s="2400"/>
    </row>
    <row r="5230" spans="3:14">
      <c r="C5230" s="485"/>
      <c r="D5230" s="485"/>
      <c r="E5230" s="2677" t="s">
        <v>2120</v>
      </c>
      <c r="F5230" s="2364"/>
      <c r="G5230" s="2364"/>
      <c r="H5230" s="2364"/>
      <c r="I5230" s="2364"/>
      <c r="J5230" s="2364"/>
      <c r="K5230" s="2364"/>
      <c r="L5230" s="2364"/>
      <c r="M5230" s="2364"/>
      <c r="N5230" s="2364"/>
    </row>
    <row r="5231" spans="3:14">
      <c r="C5231" s="479"/>
      <c r="D5231" s="479"/>
      <c r="E5231" s="479"/>
      <c r="F5231" s="479"/>
      <c r="G5231" s="479"/>
      <c r="H5231" s="479"/>
      <c r="I5231" s="479"/>
      <c r="J5231" s="479"/>
      <c r="K5231" s="479"/>
      <c r="L5231" s="479"/>
      <c r="M5231" s="479"/>
      <c r="N5231" s="479"/>
    </row>
    <row r="5232" spans="3:14">
      <c r="C5232" s="482"/>
      <c r="D5232" s="482" t="s">
        <v>58</v>
      </c>
      <c r="E5232" s="2373" t="s">
        <v>1013</v>
      </c>
      <c r="F5232" s="2400"/>
      <c r="G5232" s="2400"/>
      <c r="H5232" s="2400"/>
      <c r="I5232" s="2400"/>
      <c r="J5232" s="2400"/>
      <c r="K5232" s="2400"/>
      <c r="L5232" s="2400"/>
      <c r="M5232" s="2400"/>
      <c r="N5232" s="2400"/>
    </row>
    <row r="5233" spans="3:14">
      <c r="C5233" s="479"/>
      <c r="D5233" s="485"/>
      <c r="E5233" s="617"/>
      <c r="F5233" s="617"/>
      <c r="G5233" s="617"/>
      <c r="H5233" s="617"/>
      <c r="I5233" s="617"/>
      <c r="J5233" s="468"/>
      <c r="K5233" s="468"/>
      <c r="L5233" s="468"/>
      <c r="M5233" s="485"/>
      <c r="N5233" s="485"/>
    </row>
    <row r="5234" spans="3:14" ht="51">
      <c r="C5234" s="485"/>
      <c r="D5234" s="956"/>
      <c r="E5234" s="957" t="s">
        <v>2112</v>
      </c>
      <c r="F5234" s="958" t="s">
        <v>949</v>
      </c>
      <c r="G5234" s="959" t="s">
        <v>884</v>
      </c>
      <c r="H5234" s="578">
        <v>2019</v>
      </c>
      <c r="I5234" s="697">
        <v>2020</v>
      </c>
      <c r="J5234" s="696">
        <v>2021</v>
      </c>
      <c r="K5234" s="578">
        <v>2022</v>
      </c>
      <c r="L5234" s="578">
        <v>2023</v>
      </c>
      <c r="M5234" s="578">
        <v>2024</v>
      </c>
      <c r="N5234" s="578">
        <v>2025</v>
      </c>
    </row>
    <row r="5235" spans="3:14">
      <c r="C5235" s="485"/>
      <c r="D5235" s="579">
        <v>1</v>
      </c>
      <c r="E5235" s="375" t="str">
        <f>IFERROR(IF([1]F_ProductBM!E2529 = "", "", [1]F_ProductBM!E2529 ),"")</f>
        <v/>
      </c>
      <c r="F5235" s="337" t="str">
        <f>IFERROR(IF([1]F_ProductBM!F2529 = "", "", [1]F_ProductBM!F2529 ),"")</f>
        <v/>
      </c>
      <c r="G5235" s="71" t="str">
        <f>IFERROR(IF([1]F_ProductBM!G2529 = "", "", [1]F_ProductBM!G2529 ),"")</f>
        <v/>
      </c>
      <c r="H5235" s="94" t="str">
        <f>IFERROR(IF([1]F_ProductBM!H2529 = "", "", [1]F_ProductBM!H2529 ),"")</f>
        <v/>
      </c>
      <c r="I5235" s="110" t="str">
        <f>IFERROR(IF([1]F_ProductBM!I2529 = "", "", [1]F_ProductBM!I2529 ),"")</f>
        <v/>
      </c>
      <c r="J5235" s="111" t="str">
        <f>IFERROR(IF([1]F_ProductBM!J2529 = "", "", [1]F_ProductBM!J2529 ),"")</f>
        <v/>
      </c>
      <c r="K5235" s="94" t="str">
        <f>IFERROR(IF([1]F_ProductBM!K2529 = "", "", [1]F_ProductBM!K2529 ),"")</f>
        <v/>
      </c>
      <c r="L5235" s="94" t="str">
        <f>IFERROR(IF([1]F_ProductBM!L2529 = "", "", [1]F_ProductBM!L2529 ),"")</f>
        <v/>
      </c>
      <c r="M5235" s="94" t="str">
        <f>IFERROR(IF([1]F_ProductBM!M2529 = "", "", [1]F_ProductBM!M2529 ),"")</f>
        <v/>
      </c>
      <c r="N5235" s="94" t="str">
        <f>IFERROR(IF([1]F_ProductBM!N2529 = "", "", [1]F_ProductBM!N2529 ),"")</f>
        <v/>
      </c>
    </row>
    <row r="5236" spans="3:14">
      <c r="C5236" s="485"/>
      <c r="D5236" s="582">
        <v>2</v>
      </c>
      <c r="E5236" s="376" t="str">
        <f>IFERROR(IF([1]F_ProductBM!E2530 = "", "", [1]F_ProductBM!E2530 ),"")</f>
        <v/>
      </c>
      <c r="F5236" s="338" t="str">
        <f>IFERROR(IF([1]F_ProductBM!F2530 = "", "", [1]F_ProductBM!F2530 ),"")</f>
        <v/>
      </c>
      <c r="G5236" s="72" t="str">
        <f>IFERROR(IF([1]F_ProductBM!G2530 = "", "", [1]F_ProductBM!G2530 ),"")</f>
        <v/>
      </c>
      <c r="H5236" s="101" t="str">
        <f>IFERROR(IF([1]F_ProductBM!H2530 = "", "", [1]F_ProductBM!H2530 ),"")</f>
        <v/>
      </c>
      <c r="I5236" s="361" t="str">
        <f>IFERROR(IF([1]F_ProductBM!I2530 = "", "", [1]F_ProductBM!I2530 ),"")</f>
        <v/>
      </c>
      <c r="J5236" s="362" t="str">
        <f>IFERROR(IF([1]F_ProductBM!J2530 = "", "", [1]F_ProductBM!J2530 ),"")</f>
        <v/>
      </c>
      <c r="K5236" s="101" t="str">
        <f>IFERROR(IF([1]F_ProductBM!K2530 = "", "", [1]F_ProductBM!K2530 ),"")</f>
        <v/>
      </c>
      <c r="L5236" s="101" t="str">
        <f>IFERROR(IF([1]F_ProductBM!L2530 = "", "", [1]F_ProductBM!L2530 ),"")</f>
        <v/>
      </c>
      <c r="M5236" s="101" t="str">
        <f>IFERROR(IF([1]F_ProductBM!M2530 = "", "", [1]F_ProductBM!M2530 ),"")</f>
        <v/>
      </c>
      <c r="N5236" s="101" t="str">
        <f>IFERROR(IF([1]F_ProductBM!N2530 = "", "", [1]F_ProductBM!N2530 ),"")</f>
        <v/>
      </c>
    </row>
    <row r="5237" spans="3:14">
      <c r="C5237" s="485"/>
      <c r="D5237" s="582">
        <v>3</v>
      </c>
      <c r="E5237" s="376" t="str">
        <f>IFERROR(IF([1]F_ProductBM!E2531 = "", "", [1]F_ProductBM!E2531 ),"")</f>
        <v/>
      </c>
      <c r="F5237" s="338" t="str">
        <f>IFERROR(IF([1]F_ProductBM!F2531 = "", "", [1]F_ProductBM!F2531 ),"")</f>
        <v/>
      </c>
      <c r="G5237" s="72" t="str">
        <f>IFERROR(IF([1]F_ProductBM!G2531 = "", "", [1]F_ProductBM!G2531 ),"")</f>
        <v/>
      </c>
      <c r="H5237" s="101" t="str">
        <f>IFERROR(IF([1]F_ProductBM!H2531 = "", "", [1]F_ProductBM!H2531 ),"")</f>
        <v/>
      </c>
      <c r="I5237" s="361" t="str">
        <f>IFERROR(IF([1]F_ProductBM!I2531 = "", "", [1]F_ProductBM!I2531 ),"")</f>
        <v/>
      </c>
      <c r="J5237" s="362" t="str">
        <f>IFERROR(IF([1]F_ProductBM!J2531 = "", "", [1]F_ProductBM!J2531 ),"")</f>
        <v/>
      </c>
      <c r="K5237" s="101" t="str">
        <f>IFERROR(IF([1]F_ProductBM!K2531 = "", "", [1]F_ProductBM!K2531 ),"")</f>
        <v/>
      </c>
      <c r="L5237" s="101" t="str">
        <f>IFERROR(IF([1]F_ProductBM!L2531 = "", "", [1]F_ProductBM!L2531 ),"")</f>
        <v/>
      </c>
      <c r="M5237" s="101" t="str">
        <f>IFERROR(IF([1]F_ProductBM!M2531 = "", "", [1]F_ProductBM!M2531 ),"")</f>
        <v/>
      </c>
      <c r="N5237" s="101" t="str">
        <f>IFERROR(IF([1]F_ProductBM!N2531 = "", "", [1]F_ProductBM!N2531 ),"")</f>
        <v/>
      </c>
    </row>
    <row r="5238" spans="3:14">
      <c r="C5238" s="485"/>
      <c r="D5238" s="582">
        <v>4</v>
      </c>
      <c r="E5238" s="376" t="str">
        <f>IFERROR(IF([1]F_ProductBM!E2532 = "", "", [1]F_ProductBM!E2532 ),"")</f>
        <v/>
      </c>
      <c r="F5238" s="338" t="str">
        <f>IFERROR(IF([1]F_ProductBM!F2532 = "", "", [1]F_ProductBM!F2532 ),"")</f>
        <v/>
      </c>
      <c r="G5238" s="72" t="str">
        <f>IFERROR(IF([1]F_ProductBM!G2532 = "", "", [1]F_ProductBM!G2532 ),"")</f>
        <v/>
      </c>
      <c r="H5238" s="101" t="str">
        <f>IFERROR(IF([1]F_ProductBM!H2532 = "", "", [1]F_ProductBM!H2532 ),"")</f>
        <v/>
      </c>
      <c r="I5238" s="361" t="str">
        <f>IFERROR(IF([1]F_ProductBM!I2532 = "", "", [1]F_ProductBM!I2532 ),"")</f>
        <v/>
      </c>
      <c r="J5238" s="362" t="str">
        <f>IFERROR(IF([1]F_ProductBM!J2532 = "", "", [1]F_ProductBM!J2532 ),"")</f>
        <v/>
      </c>
      <c r="K5238" s="101" t="str">
        <f>IFERROR(IF([1]F_ProductBM!K2532 = "", "", [1]F_ProductBM!K2532 ),"")</f>
        <v/>
      </c>
      <c r="L5238" s="101" t="str">
        <f>IFERROR(IF([1]F_ProductBM!L2532 = "", "", [1]F_ProductBM!L2532 ),"")</f>
        <v/>
      </c>
      <c r="M5238" s="101" t="str">
        <f>IFERROR(IF([1]F_ProductBM!M2532 = "", "", [1]F_ProductBM!M2532 ),"")</f>
        <v/>
      </c>
      <c r="N5238" s="101" t="str">
        <f>IFERROR(IF([1]F_ProductBM!N2532 = "", "", [1]F_ProductBM!N2532 ),"")</f>
        <v/>
      </c>
    </row>
    <row r="5239" spans="3:14">
      <c r="C5239" s="485"/>
      <c r="D5239" s="582">
        <v>5</v>
      </c>
      <c r="E5239" s="376" t="str">
        <f>IFERROR(IF([1]F_ProductBM!E2533 = "", "", [1]F_ProductBM!E2533 ),"")</f>
        <v/>
      </c>
      <c r="F5239" s="338" t="str">
        <f>IFERROR(IF([1]F_ProductBM!F2533 = "", "", [1]F_ProductBM!F2533 ),"")</f>
        <v/>
      </c>
      <c r="G5239" s="72" t="str">
        <f>IFERROR(IF([1]F_ProductBM!G2533 = "", "", [1]F_ProductBM!G2533 ),"")</f>
        <v/>
      </c>
      <c r="H5239" s="101" t="str">
        <f>IFERROR(IF([1]F_ProductBM!H2533 = "", "", [1]F_ProductBM!H2533 ),"")</f>
        <v/>
      </c>
      <c r="I5239" s="361" t="str">
        <f>IFERROR(IF([1]F_ProductBM!I2533 = "", "", [1]F_ProductBM!I2533 ),"")</f>
        <v/>
      </c>
      <c r="J5239" s="362" t="str">
        <f>IFERROR(IF([1]F_ProductBM!J2533 = "", "", [1]F_ProductBM!J2533 ),"")</f>
        <v/>
      </c>
      <c r="K5239" s="101" t="str">
        <f>IFERROR(IF([1]F_ProductBM!K2533 = "", "", [1]F_ProductBM!K2533 ),"")</f>
        <v/>
      </c>
      <c r="L5239" s="101" t="str">
        <f>IFERROR(IF([1]F_ProductBM!L2533 = "", "", [1]F_ProductBM!L2533 ),"")</f>
        <v/>
      </c>
      <c r="M5239" s="101" t="str">
        <f>IFERROR(IF([1]F_ProductBM!M2533 = "", "", [1]F_ProductBM!M2533 ),"")</f>
        <v/>
      </c>
      <c r="N5239" s="101" t="str">
        <f>IFERROR(IF([1]F_ProductBM!N2533 = "", "", [1]F_ProductBM!N2533 ),"")</f>
        <v/>
      </c>
    </row>
    <row r="5240" spans="3:14">
      <c r="C5240" s="485"/>
      <c r="D5240" s="582">
        <v>6</v>
      </c>
      <c r="E5240" s="376" t="str">
        <f>IFERROR(IF([1]F_ProductBM!E2534 = "", "", [1]F_ProductBM!E2534 ),"")</f>
        <v/>
      </c>
      <c r="F5240" s="338" t="str">
        <f>IFERROR(IF([1]F_ProductBM!F2534 = "", "", [1]F_ProductBM!F2534 ),"")</f>
        <v/>
      </c>
      <c r="G5240" s="72" t="str">
        <f>IFERROR(IF([1]F_ProductBM!G2534 = "", "", [1]F_ProductBM!G2534 ),"")</f>
        <v/>
      </c>
      <c r="H5240" s="101" t="str">
        <f>IFERROR(IF([1]F_ProductBM!H2534 = "", "", [1]F_ProductBM!H2534 ),"")</f>
        <v/>
      </c>
      <c r="I5240" s="361" t="str">
        <f>IFERROR(IF([1]F_ProductBM!I2534 = "", "", [1]F_ProductBM!I2534 ),"")</f>
        <v/>
      </c>
      <c r="J5240" s="362" t="str">
        <f>IFERROR(IF([1]F_ProductBM!J2534 = "", "", [1]F_ProductBM!J2534 ),"")</f>
        <v/>
      </c>
      <c r="K5240" s="101" t="str">
        <f>IFERROR(IF([1]F_ProductBM!K2534 = "", "", [1]F_ProductBM!K2534 ),"")</f>
        <v/>
      </c>
      <c r="L5240" s="101" t="str">
        <f>IFERROR(IF([1]F_ProductBM!L2534 = "", "", [1]F_ProductBM!L2534 ),"")</f>
        <v/>
      </c>
      <c r="M5240" s="101" t="str">
        <f>IFERROR(IF([1]F_ProductBM!M2534 = "", "", [1]F_ProductBM!M2534 ),"")</f>
        <v/>
      </c>
      <c r="N5240" s="101" t="str">
        <f>IFERROR(IF([1]F_ProductBM!N2534 = "", "", [1]F_ProductBM!N2534 ),"")</f>
        <v/>
      </c>
    </row>
    <row r="5241" spans="3:14">
      <c r="C5241" s="485"/>
      <c r="D5241" s="582">
        <v>7</v>
      </c>
      <c r="E5241" s="376" t="str">
        <f>IFERROR(IF([1]F_ProductBM!E2535 = "", "", [1]F_ProductBM!E2535 ),"")</f>
        <v/>
      </c>
      <c r="F5241" s="338" t="str">
        <f>IFERROR(IF([1]F_ProductBM!F2535 = "", "", [1]F_ProductBM!F2535 ),"")</f>
        <v/>
      </c>
      <c r="G5241" s="72" t="str">
        <f>IFERROR(IF([1]F_ProductBM!G2535 = "", "", [1]F_ProductBM!G2535 ),"")</f>
        <v/>
      </c>
      <c r="H5241" s="101" t="str">
        <f>IFERROR(IF([1]F_ProductBM!H2535 = "", "", [1]F_ProductBM!H2535 ),"")</f>
        <v/>
      </c>
      <c r="I5241" s="361" t="str">
        <f>IFERROR(IF([1]F_ProductBM!I2535 = "", "", [1]F_ProductBM!I2535 ),"")</f>
        <v/>
      </c>
      <c r="J5241" s="362" t="str">
        <f>IFERROR(IF([1]F_ProductBM!J2535 = "", "", [1]F_ProductBM!J2535 ),"")</f>
        <v/>
      </c>
      <c r="K5241" s="101" t="str">
        <f>IFERROR(IF([1]F_ProductBM!K2535 = "", "", [1]F_ProductBM!K2535 ),"")</f>
        <v/>
      </c>
      <c r="L5241" s="101" t="str">
        <f>IFERROR(IF([1]F_ProductBM!L2535 = "", "", [1]F_ProductBM!L2535 ),"")</f>
        <v/>
      </c>
      <c r="M5241" s="101" t="str">
        <f>IFERROR(IF([1]F_ProductBM!M2535 = "", "", [1]F_ProductBM!M2535 ),"")</f>
        <v/>
      </c>
      <c r="N5241" s="101" t="str">
        <f>IFERROR(IF([1]F_ProductBM!N2535 = "", "", [1]F_ProductBM!N2535 ),"")</f>
        <v/>
      </c>
    </row>
    <row r="5242" spans="3:14">
      <c r="C5242" s="485"/>
      <c r="D5242" s="582">
        <v>8</v>
      </c>
      <c r="E5242" s="376" t="str">
        <f>IFERROR(IF([1]F_ProductBM!E2536 = "", "", [1]F_ProductBM!E2536 ),"")</f>
        <v/>
      </c>
      <c r="F5242" s="338" t="str">
        <f>IFERROR(IF([1]F_ProductBM!F2536 = "", "", [1]F_ProductBM!F2536 ),"")</f>
        <v/>
      </c>
      <c r="G5242" s="72" t="str">
        <f>IFERROR(IF([1]F_ProductBM!G2536 = "", "", [1]F_ProductBM!G2536 ),"")</f>
        <v/>
      </c>
      <c r="H5242" s="101" t="str">
        <f>IFERROR(IF([1]F_ProductBM!H2536 = "", "", [1]F_ProductBM!H2536 ),"")</f>
        <v/>
      </c>
      <c r="I5242" s="361" t="str">
        <f>IFERROR(IF([1]F_ProductBM!I2536 = "", "", [1]F_ProductBM!I2536 ),"")</f>
        <v/>
      </c>
      <c r="J5242" s="362" t="str">
        <f>IFERROR(IF([1]F_ProductBM!J2536 = "", "", [1]F_ProductBM!J2536 ),"")</f>
        <v/>
      </c>
      <c r="K5242" s="101" t="str">
        <f>IFERROR(IF([1]F_ProductBM!K2536 = "", "", [1]F_ProductBM!K2536 ),"")</f>
        <v/>
      </c>
      <c r="L5242" s="101" t="str">
        <f>IFERROR(IF([1]F_ProductBM!L2536 = "", "", [1]F_ProductBM!L2536 ),"")</f>
        <v/>
      </c>
      <c r="M5242" s="101" t="str">
        <f>IFERROR(IF([1]F_ProductBM!M2536 = "", "", [1]F_ProductBM!M2536 ),"")</f>
        <v/>
      </c>
      <c r="N5242" s="101" t="str">
        <f>IFERROR(IF([1]F_ProductBM!N2536 = "", "", [1]F_ProductBM!N2536 ),"")</f>
        <v/>
      </c>
    </row>
    <row r="5243" spans="3:14">
      <c r="C5243" s="485"/>
      <c r="D5243" s="582">
        <v>9</v>
      </c>
      <c r="E5243" s="376" t="str">
        <f>IFERROR(IF([1]F_ProductBM!E2537 = "", "", [1]F_ProductBM!E2537 ),"")</f>
        <v/>
      </c>
      <c r="F5243" s="338" t="str">
        <f>IFERROR(IF([1]F_ProductBM!F2537 = "", "", [1]F_ProductBM!F2537 ),"")</f>
        <v/>
      </c>
      <c r="G5243" s="72" t="str">
        <f>IFERROR(IF([1]F_ProductBM!G2537 = "", "", [1]F_ProductBM!G2537 ),"")</f>
        <v/>
      </c>
      <c r="H5243" s="101" t="str">
        <f>IFERROR(IF([1]F_ProductBM!H2537 = "", "", [1]F_ProductBM!H2537 ),"")</f>
        <v/>
      </c>
      <c r="I5243" s="361" t="str">
        <f>IFERROR(IF([1]F_ProductBM!I2537 = "", "", [1]F_ProductBM!I2537 ),"")</f>
        <v/>
      </c>
      <c r="J5243" s="362" t="str">
        <f>IFERROR(IF([1]F_ProductBM!J2537 = "", "", [1]F_ProductBM!J2537 ),"")</f>
        <v/>
      </c>
      <c r="K5243" s="101" t="str">
        <f>IFERROR(IF([1]F_ProductBM!K2537 = "", "", [1]F_ProductBM!K2537 ),"")</f>
        <v/>
      </c>
      <c r="L5243" s="101" t="str">
        <f>IFERROR(IF([1]F_ProductBM!L2537 = "", "", [1]F_ProductBM!L2537 ),"")</f>
        <v/>
      </c>
      <c r="M5243" s="101" t="str">
        <f>IFERROR(IF([1]F_ProductBM!M2537 = "", "", [1]F_ProductBM!M2537 ),"")</f>
        <v/>
      </c>
      <c r="N5243" s="101" t="str">
        <f>IFERROR(IF([1]F_ProductBM!N2537 = "", "", [1]F_ProductBM!N2537 ),"")</f>
        <v/>
      </c>
    </row>
    <row r="5244" spans="3:14">
      <c r="C5244" s="485"/>
      <c r="D5244" s="584">
        <v>10</v>
      </c>
      <c r="E5244" s="377" t="str">
        <f>IFERROR(IF([1]F_ProductBM!E2538 = "", "", [1]F_ProductBM!E2538 ),"")</f>
        <v/>
      </c>
      <c r="F5244" s="339" t="str">
        <f>IFERROR(IF([1]F_ProductBM!F2538 = "", "", [1]F_ProductBM!F2538 ),"")</f>
        <v/>
      </c>
      <c r="G5244" s="73" t="str">
        <f>IFERROR(IF([1]F_ProductBM!G2538 = "", "", [1]F_ProductBM!G2538 ),"")</f>
        <v/>
      </c>
      <c r="H5244" s="95" t="str">
        <f>IFERROR(IF([1]F_ProductBM!H2538 = "", "", [1]F_ProductBM!H2538 ),"")</f>
        <v/>
      </c>
      <c r="I5244" s="113" t="str">
        <f>IFERROR(IF([1]F_ProductBM!I2538 = "", "", [1]F_ProductBM!I2538 ),"")</f>
        <v/>
      </c>
      <c r="J5244" s="114" t="str">
        <f>IFERROR(IF([1]F_ProductBM!J2538 = "", "", [1]F_ProductBM!J2538 ),"")</f>
        <v/>
      </c>
      <c r="K5244" s="95" t="str">
        <f>IFERROR(IF([1]F_ProductBM!K2538 = "", "", [1]F_ProductBM!K2538 ),"")</f>
        <v/>
      </c>
      <c r="L5244" s="95" t="str">
        <f>IFERROR(IF([1]F_ProductBM!L2538 = "", "", [1]F_ProductBM!L2538 ),"")</f>
        <v/>
      </c>
      <c r="M5244" s="95" t="str">
        <f>IFERROR(IF([1]F_ProductBM!M2538 = "", "", [1]F_ProductBM!M2538 ),"")</f>
        <v/>
      </c>
      <c r="N5244" s="95" t="str">
        <f>IFERROR(IF([1]F_ProductBM!N2538 = "", "", [1]F_ProductBM!N2538 ),"")</f>
        <v/>
      </c>
    </row>
    <row r="5245" spans="3:14">
      <c r="C5245" s="485"/>
      <c r="D5245" s="971"/>
      <c r="E5245" s="972" t="s">
        <v>921</v>
      </c>
      <c r="F5245" s="948"/>
      <c r="G5245" s="73" t="str">
        <f>IFERROR(IF([1]F_ProductBM!G2539 = "", "", [1]F_ProductBM!G2539 ),"")</f>
        <v/>
      </c>
      <c r="H5245" s="86" t="str">
        <f>IFERROR(IF([1]F_ProductBM!H2539 = "", "", [1]F_ProductBM!H2539 ),"")</f>
        <v/>
      </c>
      <c r="I5245" s="340" t="str">
        <f>IFERROR(IF([1]F_ProductBM!I2539 = "", "", [1]F_ProductBM!I2539 ),"")</f>
        <v/>
      </c>
      <c r="J5245" s="341" t="str">
        <f>IFERROR(IF([1]F_ProductBM!J2539 = "", "", [1]F_ProductBM!J2539 ),"")</f>
        <v/>
      </c>
      <c r="K5245" s="86" t="str">
        <f>IFERROR(IF([1]F_ProductBM!K2539 = "", "", [1]F_ProductBM!K2539 ),"")</f>
        <v/>
      </c>
      <c r="L5245" s="86" t="str">
        <f>IFERROR(IF([1]F_ProductBM!L2539 = "", "", [1]F_ProductBM!L2539 ),"")</f>
        <v/>
      </c>
      <c r="M5245" s="86" t="str">
        <f>IFERROR(IF([1]F_ProductBM!M2539 = "", "", [1]F_ProductBM!M2539 ),"")</f>
        <v/>
      </c>
      <c r="N5245" s="86" t="str">
        <f>IFERROR(IF([1]F_ProductBM!N2539 = "", "", [1]F_ProductBM!N2539 ),"")</f>
        <v/>
      </c>
    </row>
    <row r="5246" spans="3:14" ht="13.5" thickBot="1">
      <c r="C5246" s="479"/>
      <c r="D5246" s="479"/>
      <c r="E5246" s="479"/>
      <c r="F5246" s="479"/>
      <c r="G5246" s="479"/>
      <c r="H5246" s="479"/>
      <c r="I5246" s="479"/>
      <c r="J5246" s="479"/>
      <c r="K5246" s="479"/>
      <c r="L5246" s="479"/>
      <c r="M5246" s="485"/>
      <c r="N5246" s="485"/>
    </row>
    <row r="5247" spans="3:14">
      <c r="C5247" s="975"/>
      <c r="D5247" s="976"/>
      <c r="E5247" s="976"/>
      <c r="F5247" s="976"/>
      <c r="G5247" s="976"/>
      <c r="H5247" s="976"/>
      <c r="I5247" s="976"/>
      <c r="J5247" s="976"/>
      <c r="K5247" s="976"/>
      <c r="L5247" s="976"/>
      <c r="M5247" s="774"/>
      <c r="N5247" s="775"/>
    </row>
    <row r="5248" spans="3:14">
      <c r="C5248" s="977"/>
      <c r="D5248" s="2678" t="s">
        <v>2330</v>
      </c>
      <c r="E5248" s="2672"/>
      <c r="F5248" s="2672"/>
      <c r="G5248" s="2672"/>
      <c r="H5248" s="2672"/>
      <c r="I5248" s="2672"/>
      <c r="J5248" s="2672"/>
      <c r="K5248" s="2672"/>
      <c r="L5248" s="2672"/>
      <c r="M5248" s="2672"/>
      <c r="N5248" s="2673"/>
    </row>
    <row r="5249" spans="3:14">
      <c r="C5249" s="980"/>
      <c r="D5249" s="813"/>
      <c r="E5249" s="813"/>
      <c r="F5249" s="813"/>
      <c r="G5249" s="813"/>
      <c r="H5249" s="813"/>
      <c r="I5249" s="813"/>
      <c r="J5249" s="813"/>
      <c r="K5249" s="813"/>
      <c r="L5249" s="813"/>
      <c r="M5249" s="813"/>
      <c r="N5249" s="814"/>
    </row>
    <row r="5250" spans="3:14">
      <c r="C5250" s="980"/>
      <c r="D5250" s="2679" t="s">
        <v>2704</v>
      </c>
      <c r="E5250" s="2646"/>
      <c r="F5250" s="2646"/>
      <c r="G5250" s="2646"/>
      <c r="H5250" s="2680"/>
      <c r="I5250" s="2489" t="str">
        <f>IFERROR(IF([1]F_ProductBM!I2544 = "", "", [1]F_ProductBM!I2544 ),"")</f>
        <v/>
      </c>
      <c r="J5250" s="2534"/>
      <c r="K5250" s="2534"/>
      <c r="L5250" s="2534"/>
      <c r="M5250" s="2534"/>
      <c r="N5250" s="2681"/>
    </row>
    <row r="5251" spans="3:14">
      <c r="C5251" s="980"/>
      <c r="D5251" s="813"/>
      <c r="E5251" s="813"/>
      <c r="F5251" s="813"/>
      <c r="G5251" s="813"/>
      <c r="H5251" s="813"/>
      <c r="I5251" s="813"/>
      <c r="J5251" s="813"/>
      <c r="K5251" s="813"/>
      <c r="L5251" s="813"/>
      <c r="M5251" s="813"/>
      <c r="N5251" s="814"/>
    </row>
    <row r="5252" spans="3:14">
      <c r="C5252" s="977"/>
      <c r="D5252" s="981"/>
      <c r="E5252" s="2691" t="s">
        <v>2154</v>
      </c>
      <c r="F5252" s="2691"/>
      <c r="G5252" s="2691"/>
      <c r="H5252" s="2691"/>
      <c r="I5252" s="2691"/>
      <c r="J5252" s="2691"/>
      <c r="K5252" s="2691"/>
      <c r="L5252" s="2691"/>
      <c r="M5252" s="2691"/>
      <c r="N5252" s="2692"/>
    </row>
    <row r="5253" spans="3:14">
      <c r="C5253" s="977"/>
      <c r="D5253" s="981"/>
      <c r="E5253" s="2691" t="s">
        <v>2176</v>
      </c>
      <c r="F5253" s="2691"/>
      <c r="G5253" s="2691"/>
      <c r="H5253" s="2691"/>
      <c r="I5253" s="2691"/>
      <c r="J5253" s="2691"/>
      <c r="K5253" s="2691"/>
      <c r="L5253" s="2691"/>
      <c r="M5253" s="2691"/>
      <c r="N5253" s="2650"/>
    </row>
    <row r="5254" spans="3:14">
      <c r="C5254" s="977"/>
      <c r="D5254" s="981"/>
      <c r="E5254" s="2691" t="s">
        <v>1549</v>
      </c>
      <c r="F5254" s="2391"/>
      <c r="G5254" s="2391"/>
      <c r="H5254" s="2391"/>
      <c r="I5254" s="2391"/>
      <c r="J5254" s="2391"/>
      <c r="K5254" s="2391"/>
      <c r="L5254" s="2391"/>
      <c r="M5254" s="2391"/>
      <c r="N5254" s="2650"/>
    </row>
    <row r="5255" spans="3:14">
      <c r="C5255" s="977"/>
      <c r="D5255" s="981"/>
      <c r="E5255" s="2693" t="s">
        <v>1935</v>
      </c>
      <c r="F5255" s="2693"/>
      <c r="G5255" s="2693"/>
      <c r="H5255" s="2693"/>
      <c r="I5255" s="2693"/>
      <c r="J5255" s="2693"/>
      <c r="K5255" s="2693"/>
      <c r="L5255" s="2693"/>
      <c r="M5255" s="2693"/>
      <c r="N5255" s="2694"/>
    </row>
    <row r="5256" spans="3:14">
      <c r="C5256" s="980"/>
      <c r="D5256" s="813"/>
      <c r="E5256" s="813"/>
      <c r="F5256" s="813"/>
      <c r="G5256" s="813"/>
      <c r="H5256" s="813"/>
      <c r="I5256" s="813"/>
      <c r="J5256" s="813"/>
      <c r="K5256" s="813"/>
      <c r="L5256" s="813"/>
      <c r="M5256" s="813"/>
      <c r="N5256" s="814"/>
    </row>
    <row r="5257" spans="3:14">
      <c r="C5257" s="977"/>
      <c r="D5257" s="981"/>
      <c r="E5257" s="2695" t="s">
        <v>1475</v>
      </c>
      <c r="F5257" s="2695"/>
      <c r="G5257" s="2695"/>
      <c r="H5257" s="2695"/>
      <c r="I5257" s="2695"/>
      <c r="J5257" s="2695"/>
      <c r="K5257" s="2695"/>
      <c r="L5257" s="2695"/>
      <c r="M5257" s="2695"/>
      <c r="N5257" s="2694"/>
    </row>
    <row r="5258" spans="3:14">
      <c r="C5258" s="980"/>
      <c r="D5258" s="813"/>
      <c r="E5258" s="813"/>
      <c r="F5258" s="813"/>
      <c r="G5258" s="813"/>
      <c r="H5258" s="813"/>
      <c r="I5258" s="813"/>
      <c r="J5258" s="813"/>
      <c r="K5258" s="813"/>
      <c r="L5258" s="813"/>
      <c r="M5258" s="813"/>
      <c r="N5258" s="814"/>
    </row>
    <row r="5259" spans="3:14">
      <c r="C5259" s="977"/>
      <c r="D5259" s="982" t="s">
        <v>266</v>
      </c>
      <c r="E5259" s="2671" t="s">
        <v>1617</v>
      </c>
      <c r="F5259" s="2672"/>
      <c r="G5259" s="2672"/>
      <c r="H5259" s="2672"/>
      <c r="I5259" s="2672"/>
      <c r="J5259" s="2672"/>
      <c r="K5259" s="2672"/>
      <c r="L5259" s="2672"/>
      <c r="M5259" s="2672"/>
      <c r="N5259" s="2673"/>
    </row>
    <row r="5260" spans="3:14">
      <c r="C5260" s="977"/>
      <c r="D5260" s="777"/>
      <c r="E5260" s="2711" t="s">
        <v>2295</v>
      </c>
      <c r="F5260" s="2671"/>
      <c r="G5260" s="2671"/>
      <c r="H5260" s="2671"/>
      <c r="I5260" s="2671"/>
      <c r="J5260" s="2671"/>
      <c r="K5260" s="2671"/>
      <c r="L5260" s="2671"/>
      <c r="M5260" s="2671"/>
      <c r="N5260" s="2712"/>
    </row>
    <row r="5261" spans="3:14">
      <c r="C5261" s="977"/>
      <c r="D5261" s="981"/>
      <c r="E5261" s="2674" t="s">
        <v>1618</v>
      </c>
      <c r="F5261" s="2674"/>
      <c r="G5261" s="2674"/>
      <c r="H5261" s="2674"/>
      <c r="I5261" s="2674"/>
      <c r="J5261" s="2674"/>
      <c r="K5261" s="2674"/>
      <c r="L5261" s="2674"/>
      <c r="M5261" s="2674"/>
      <c r="N5261" s="2675"/>
    </row>
    <row r="5262" spans="3:14">
      <c r="C5262" s="977"/>
      <c r="D5262" s="981"/>
      <c r="E5262" s="985" t="s">
        <v>1021</v>
      </c>
      <c r="F5262" s="2645" t="s">
        <v>1616</v>
      </c>
      <c r="G5262" s="2646"/>
      <c r="H5262" s="2646"/>
      <c r="I5262" s="2646"/>
      <c r="J5262" s="2646"/>
      <c r="K5262" s="2646"/>
      <c r="L5262" s="2646"/>
      <c r="M5262" s="2646"/>
      <c r="N5262" s="2647"/>
    </row>
    <row r="5263" spans="3:14">
      <c r="C5263" s="977"/>
      <c r="D5263" s="981"/>
      <c r="E5263" s="985"/>
      <c r="F5263" s="2669" t="s">
        <v>1615</v>
      </c>
      <c r="G5263" s="2391"/>
      <c r="H5263" s="2391"/>
      <c r="I5263" s="2391"/>
      <c r="J5263" s="2391"/>
      <c r="K5263" s="2391"/>
      <c r="L5263" s="2391"/>
      <c r="M5263" s="2391"/>
      <c r="N5263" s="2650"/>
    </row>
    <row r="5264" spans="3:14">
      <c r="C5264" s="977"/>
      <c r="D5264" s="981"/>
      <c r="E5264" s="985" t="s">
        <v>1021</v>
      </c>
      <c r="F5264" s="2645" t="s">
        <v>1278</v>
      </c>
      <c r="G5264" s="2646"/>
      <c r="H5264" s="2646"/>
      <c r="I5264" s="2646"/>
      <c r="J5264" s="2646"/>
      <c r="K5264" s="2646"/>
      <c r="L5264" s="2646"/>
      <c r="M5264" s="2646"/>
      <c r="N5264" s="2647"/>
    </row>
    <row r="5265" spans="3:14">
      <c r="C5265" s="977"/>
      <c r="D5265" s="981"/>
      <c r="E5265" s="985"/>
      <c r="F5265" s="2645" t="s">
        <v>1620</v>
      </c>
      <c r="G5265" s="2646"/>
      <c r="H5265" s="2646"/>
      <c r="I5265" s="2646"/>
      <c r="J5265" s="2646"/>
      <c r="K5265" s="2646"/>
      <c r="L5265" s="2646"/>
      <c r="M5265" s="2646"/>
      <c r="N5265" s="2647"/>
    </row>
    <row r="5266" spans="3:14">
      <c r="C5266" s="977"/>
      <c r="D5266" s="981"/>
      <c r="E5266" s="985"/>
      <c r="F5266" s="2645" t="s">
        <v>1619</v>
      </c>
      <c r="G5266" s="2646"/>
      <c r="H5266" s="2646"/>
      <c r="I5266" s="2646"/>
      <c r="J5266" s="2646"/>
      <c r="K5266" s="2646"/>
      <c r="L5266" s="2646"/>
      <c r="M5266" s="2646"/>
      <c r="N5266" s="2647"/>
    </row>
    <row r="5267" spans="3:14">
      <c r="C5267" s="977"/>
      <c r="D5267" s="981"/>
      <c r="E5267" s="985" t="s">
        <v>1021</v>
      </c>
      <c r="F5267" s="2645" t="s">
        <v>1542</v>
      </c>
      <c r="G5267" s="2646"/>
      <c r="H5267" s="2646"/>
      <c r="I5267" s="2646"/>
      <c r="J5267" s="2646"/>
      <c r="K5267" s="2646"/>
      <c r="L5267" s="2646"/>
      <c r="M5267" s="2646"/>
      <c r="N5267" s="2647"/>
    </row>
    <row r="5268" spans="3:14">
      <c r="C5268" s="977"/>
      <c r="D5268" s="981"/>
      <c r="E5268" s="985" t="s">
        <v>1021</v>
      </c>
      <c r="F5268" s="2645" t="s">
        <v>1458</v>
      </c>
      <c r="G5268" s="2646"/>
      <c r="H5268" s="2646"/>
      <c r="I5268" s="2646"/>
      <c r="J5268" s="2646"/>
      <c r="K5268" s="2646"/>
      <c r="L5268" s="2646"/>
      <c r="M5268" s="2646"/>
      <c r="N5268" s="2647"/>
    </row>
    <row r="5269" spans="3:14">
      <c r="C5269" s="977"/>
      <c r="D5269" s="982"/>
      <c r="E5269" s="2648" t="s">
        <v>1612</v>
      </c>
      <c r="F5269" s="2648"/>
      <c r="G5269" s="987" t="s">
        <v>884</v>
      </c>
      <c r="H5269" s="782">
        <v>2019</v>
      </c>
      <c r="I5269" s="988">
        <v>2020</v>
      </c>
      <c r="J5269" s="781">
        <v>2021</v>
      </c>
      <c r="K5269" s="782">
        <v>2022</v>
      </c>
      <c r="L5269" s="782">
        <v>2023</v>
      </c>
      <c r="M5269" s="782">
        <v>2024</v>
      </c>
      <c r="N5269" s="783">
        <v>2025</v>
      </c>
    </row>
    <row r="5270" spans="3:14">
      <c r="C5270" s="977"/>
      <c r="D5270" s="981"/>
      <c r="E5270" s="2487" t="str">
        <f>IFERROR(IF([1]F_ProductBM!E2564 = "", "", [1]F_ProductBM!E2564 ),"")</f>
        <v/>
      </c>
      <c r="F5270" s="2488"/>
      <c r="G5270" s="815" t="s">
        <v>2016</v>
      </c>
      <c r="H5270" s="93" t="str">
        <f>IFERROR(IF([1]F_ProductBM!H2564 = "", "", [1]F_ProductBM!H2564 ),"")</f>
        <v/>
      </c>
      <c r="I5270" s="116" t="str">
        <f>IFERROR(IF([1]F_ProductBM!I2564 = "", "", [1]F_ProductBM!I2564 ),"")</f>
        <v/>
      </c>
      <c r="J5270" s="117" t="str">
        <f>IFERROR(IF([1]F_ProductBM!J2564 = "", "", [1]F_ProductBM!J2564 ),"")</f>
        <v/>
      </c>
      <c r="K5270" s="93" t="str">
        <f>IFERROR(IF([1]F_ProductBM!K2564 = "", "", [1]F_ProductBM!K2564 ),"")</f>
        <v/>
      </c>
      <c r="L5270" s="93" t="str">
        <f>IFERROR(IF([1]F_ProductBM!L2564 = "", "", [1]F_ProductBM!L2564 ),"")</f>
        <v/>
      </c>
      <c r="M5270" s="93" t="str">
        <f>IFERROR(IF([1]F_ProductBM!M2564 = "", "", [1]F_ProductBM!M2564 ),"")</f>
        <v/>
      </c>
      <c r="N5270" s="118" t="str">
        <f>IFERROR(IF([1]F_ProductBM!N2564 = "", "", [1]F_ProductBM!N2564 ),"")</f>
        <v/>
      </c>
    </row>
    <row r="5271" spans="3:14">
      <c r="C5271" s="977"/>
      <c r="D5271" s="981"/>
      <c r="E5271" s="981"/>
      <c r="F5271" s="981"/>
      <c r="G5271" s="981"/>
      <c r="H5271" s="981"/>
      <c r="I5271" s="981"/>
      <c r="J5271" s="981"/>
      <c r="K5271" s="981"/>
      <c r="L5271" s="981"/>
      <c r="M5271" s="813"/>
      <c r="N5271" s="814"/>
    </row>
    <row r="5272" spans="3:14">
      <c r="C5272" s="977"/>
      <c r="D5272" s="982" t="s">
        <v>269</v>
      </c>
      <c r="E5272" s="2649" t="s">
        <v>1189</v>
      </c>
      <c r="F5272" s="2391"/>
      <c r="G5272" s="2391"/>
      <c r="H5272" s="2391"/>
      <c r="I5272" s="2391"/>
      <c r="J5272" s="2391"/>
      <c r="K5272" s="2391"/>
      <c r="L5272" s="2391"/>
      <c r="M5272" s="2391"/>
      <c r="N5272" s="2650"/>
    </row>
    <row r="5273" spans="3:14">
      <c r="C5273" s="977"/>
      <c r="D5273" s="981"/>
      <c r="E5273" s="2674" t="s">
        <v>1605</v>
      </c>
      <c r="F5273" s="2674"/>
      <c r="G5273" s="2674"/>
      <c r="H5273" s="2674"/>
      <c r="I5273" s="2674"/>
      <c r="J5273" s="2674"/>
      <c r="K5273" s="2674"/>
      <c r="L5273" s="2674"/>
      <c r="M5273" s="2674"/>
      <c r="N5273" s="2675"/>
    </row>
    <row r="5274" spans="3:14">
      <c r="C5274" s="977"/>
      <c r="D5274" s="981"/>
      <c r="E5274" s="2674" t="s">
        <v>1357</v>
      </c>
      <c r="F5274" s="2674"/>
      <c r="G5274" s="2674"/>
      <c r="H5274" s="2674"/>
      <c r="I5274" s="2674"/>
      <c r="J5274" s="2674"/>
      <c r="K5274" s="2674"/>
      <c r="L5274" s="2674"/>
      <c r="M5274" s="2674"/>
      <c r="N5274" s="2675"/>
    </row>
    <row r="5275" spans="3:14">
      <c r="C5275" s="977"/>
      <c r="D5275" s="981"/>
      <c r="E5275" s="2674" t="s">
        <v>1594</v>
      </c>
      <c r="F5275" s="2674"/>
      <c r="G5275" s="2674"/>
      <c r="H5275" s="2674"/>
      <c r="I5275" s="2674"/>
      <c r="J5275" s="2674"/>
      <c r="K5275" s="2674"/>
      <c r="L5275" s="2674"/>
      <c r="M5275" s="2674"/>
      <c r="N5275" s="2675"/>
    </row>
    <row r="5276" spans="3:14">
      <c r="C5276" s="977"/>
      <c r="D5276" s="981"/>
      <c r="E5276" s="2676" t="s">
        <v>1557</v>
      </c>
      <c r="F5276" s="2391"/>
      <c r="G5276" s="2391"/>
      <c r="H5276" s="2391"/>
      <c r="I5276" s="2391"/>
      <c r="J5276" s="2391"/>
      <c r="K5276" s="2391"/>
      <c r="L5276" s="2391"/>
      <c r="M5276" s="2391"/>
      <c r="N5276" s="2650"/>
    </row>
    <row r="5277" spans="3:14">
      <c r="C5277" s="977"/>
      <c r="D5277" s="982"/>
      <c r="E5277" s="989"/>
      <c r="F5277" s="990"/>
      <c r="G5277" s="987" t="s">
        <v>884</v>
      </c>
      <c r="H5277" s="782">
        <v>2019</v>
      </c>
      <c r="I5277" s="988">
        <v>2020</v>
      </c>
      <c r="J5277" s="781">
        <v>2021</v>
      </c>
      <c r="K5277" s="782">
        <v>2022</v>
      </c>
      <c r="L5277" s="782">
        <v>2023</v>
      </c>
      <c r="M5277" s="782">
        <v>2024</v>
      </c>
      <c r="N5277" s="783">
        <v>2025</v>
      </c>
    </row>
    <row r="5278" spans="3:14">
      <c r="C5278" s="977"/>
      <c r="D5278" s="777" t="s">
        <v>6</v>
      </c>
      <c r="E5278" s="2475" t="s">
        <v>1344</v>
      </c>
      <c r="F5278" s="2410"/>
      <c r="G5278" s="815" t="s">
        <v>2017</v>
      </c>
      <c r="H5278" s="93" t="str">
        <f>IFERROR(IF([1]F_ProductBM!H2572 = "", "", [1]F_ProductBM!H2572 ),"")</f>
        <v/>
      </c>
      <c r="I5278" s="116" t="str">
        <f>IFERROR(IF([1]F_ProductBM!I2572 = "", "", [1]F_ProductBM!I2572 ),"")</f>
        <v/>
      </c>
      <c r="J5278" s="117" t="str">
        <f>IFERROR(IF([1]F_ProductBM!J2572 = "", "", [1]F_ProductBM!J2572 ),"")</f>
        <v/>
      </c>
      <c r="K5278" s="93" t="str">
        <f>IFERROR(IF([1]F_ProductBM!K2572 = "", "", [1]F_ProductBM!K2572 ),"")</f>
        <v/>
      </c>
      <c r="L5278" s="93" t="str">
        <f>IFERROR(IF([1]F_ProductBM!L2572 = "", "", [1]F_ProductBM!L2572 ),"")</f>
        <v/>
      </c>
      <c r="M5278" s="93" t="str">
        <f>IFERROR(IF([1]F_ProductBM!M2572 = "", "", [1]F_ProductBM!M2572 ),"")</f>
        <v/>
      </c>
      <c r="N5278" s="118" t="str">
        <f>IFERROR(IF([1]F_ProductBM!N2572 = "", "", [1]F_ProductBM!N2572 ),"")</f>
        <v/>
      </c>
    </row>
    <row r="5279" spans="3:14">
      <c r="C5279" s="977"/>
      <c r="D5279" s="777" t="s">
        <v>7</v>
      </c>
      <c r="E5279" s="2475" t="s">
        <v>1182</v>
      </c>
      <c r="F5279" s="2410"/>
      <c r="G5279" s="991" t="s">
        <v>2018</v>
      </c>
      <c r="H5279" s="109" t="str">
        <f>IFERROR(IF([1]F_ProductBM!H2573 = "", "", [1]F_ProductBM!H2573 ),"")</f>
        <v/>
      </c>
      <c r="I5279" s="304" t="str">
        <f>IFERROR(IF([1]F_ProductBM!I2573 = "", "", [1]F_ProductBM!I2573 ),"")</f>
        <v/>
      </c>
      <c r="J5279" s="305" t="str">
        <f>IFERROR(IF([1]F_ProductBM!J2573 = "", "", [1]F_ProductBM!J2573 ),"")</f>
        <v/>
      </c>
      <c r="K5279" s="109" t="str">
        <f>IFERROR(IF([1]F_ProductBM!K2573 = "", "", [1]F_ProductBM!K2573 ),"")</f>
        <v/>
      </c>
      <c r="L5279" s="109" t="str">
        <f>IFERROR(IF([1]F_ProductBM!L2573 = "", "", [1]F_ProductBM!L2573 ),"")</f>
        <v/>
      </c>
      <c r="M5279" s="109" t="str">
        <f>IFERROR(IF([1]F_ProductBM!M2573 = "", "", [1]F_ProductBM!M2573 ),"")</f>
        <v/>
      </c>
      <c r="N5279" s="357" t="str">
        <f>IFERROR(IF([1]F_ProductBM!N2573 = "", "", [1]F_ProductBM!N2573 ),"")</f>
        <v/>
      </c>
    </row>
    <row r="5280" spans="3:14">
      <c r="C5280" s="977"/>
      <c r="D5280" s="981"/>
      <c r="E5280" s="981"/>
      <c r="F5280" s="981"/>
      <c r="G5280" s="981"/>
      <c r="H5280" s="981"/>
      <c r="I5280" s="981"/>
      <c r="J5280" s="981"/>
      <c r="K5280" s="981"/>
      <c r="L5280" s="981"/>
      <c r="M5280" s="813"/>
      <c r="N5280" s="814"/>
    </row>
    <row r="5281" spans="3:14">
      <c r="C5281" s="977"/>
      <c r="D5281" s="982" t="s">
        <v>271</v>
      </c>
      <c r="E5281" s="2649" t="s">
        <v>1416</v>
      </c>
      <c r="F5281" s="2391"/>
      <c r="G5281" s="2391"/>
      <c r="H5281" s="2391"/>
      <c r="I5281" s="2391"/>
      <c r="J5281" s="2391"/>
      <c r="K5281" s="2391"/>
      <c r="L5281" s="2391"/>
      <c r="M5281" s="2391"/>
      <c r="N5281" s="2650"/>
    </row>
    <row r="5282" spans="3:14">
      <c r="C5282" s="977"/>
      <c r="D5282" s="777"/>
      <c r="E5282" s="2676" t="s">
        <v>2295</v>
      </c>
      <c r="F5282" s="2391"/>
      <c r="G5282" s="2391"/>
      <c r="H5282" s="2391"/>
      <c r="I5282" s="2391"/>
      <c r="J5282" s="2391"/>
      <c r="K5282" s="2391"/>
      <c r="L5282" s="2391"/>
      <c r="M5282" s="2391"/>
      <c r="N5282" s="2650"/>
    </row>
    <row r="5283" spans="3:14">
      <c r="C5283" s="977"/>
      <c r="D5283" s="981"/>
      <c r="E5283" s="2676" t="s">
        <v>1551</v>
      </c>
      <c r="F5283" s="2391"/>
      <c r="G5283" s="2391"/>
      <c r="H5283" s="2391"/>
      <c r="I5283" s="2391"/>
      <c r="J5283" s="2391"/>
      <c r="K5283" s="2391"/>
      <c r="L5283" s="2391"/>
      <c r="M5283" s="2391"/>
      <c r="N5283" s="2650"/>
    </row>
    <row r="5284" spans="3:14">
      <c r="C5284" s="977"/>
      <c r="D5284" s="981"/>
      <c r="E5284" s="2669" t="s">
        <v>1552</v>
      </c>
      <c r="F5284" s="2391"/>
      <c r="G5284" s="2391"/>
      <c r="H5284" s="2391"/>
      <c r="I5284" s="2391"/>
      <c r="J5284" s="2391"/>
      <c r="K5284" s="2391"/>
      <c r="L5284" s="2391"/>
      <c r="M5284" s="2391"/>
      <c r="N5284" s="2650"/>
    </row>
    <row r="5285" spans="3:14">
      <c r="C5285" s="977"/>
      <c r="D5285" s="981"/>
      <c r="E5285" s="2669" t="s">
        <v>1553</v>
      </c>
      <c r="F5285" s="2391"/>
      <c r="G5285" s="2391"/>
      <c r="H5285" s="2391"/>
      <c r="I5285" s="2391"/>
      <c r="J5285" s="2391"/>
      <c r="K5285" s="2391"/>
      <c r="L5285" s="2391"/>
      <c r="M5285" s="2391"/>
      <c r="N5285" s="2650"/>
    </row>
    <row r="5286" spans="3:14">
      <c r="C5286" s="977"/>
      <c r="D5286" s="981"/>
      <c r="E5286" s="2669" t="s">
        <v>1567</v>
      </c>
      <c r="F5286" s="2391"/>
      <c r="G5286" s="2391"/>
      <c r="H5286" s="2391"/>
      <c r="I5286" s="2391"/>
      <c r="J5286" s="2391"/>
      <c r="K5286" s="2391"/>
      <c r="L5286" s="2391"/>
      <c r="M5286" s="2391"/>
      <c r="N5286" s="2650"/>
    </row>
    <row r="5287" spans="3:14">
      <c r="C5287" s="977"/>
      <c r="D5287" s="981"/>
      <c r="E5287" s="2669" t="s">
        <v>1565</v>
      </c>
      <c r="F5287" s="2391"/>
      <c r="G5287" s="2391"/>
      <c r="H5287" s="2391"/>
      <c r="I5287" s="2391"/>
      <c r="J5287" s="2391"/>
      <c r="K5287" s="2391"/>
      <c r="L5287" s="2391"/>
      <c r="M5287" s="2391"/>
      <c r="N5287" s="2650"/>
    </row>
    <row r="5288" spans="3:14">
      <c r="C5288" s="977"/>
      <c r="D5288" s="777" t="s">
        <v>6</v>
      </c>
      <c r="E5288" s="2682" t="s">
        <v>1456</v>
      </c>
      <c r="F5288" s="2391"/>
      <c r="G5288" s="2391"/>
      <c r="H5288" s="2391"/>
      <c r="I5288" s="2391"/>
      <c r="J5288" s="2391"/>
      <c r="K5288" s="2512"/>
      <c r="L5288" s="120" t="str">
        <f>IFERROR(IF([1]F_ProductBM!L2582 = "", "", [1]F_ProductBM!L2582 ),"")</f>
        <v/>
      </c>
      <c r="M5288" s="978"/>
      <c r="N5288" s="979"/>
    </row>
    <row r="5289" spans="3:14">
      <c r="C5289" s="977"/>
      <c r="D5289" s="981"/>
      <c r="E5289" s="2669" t="s">
        <v>1216</v>
      </c>
      <c r="F5289" s="2391"/>
      <c r="G5289" s="2391"/>
      <c r="H5289" s="2391"/>
      <c r="I5289" s="2391"/>
      <c r="J5289" s="2391"/>
      <c r="K5289" s="2391"/>
      <c r="L5289" s="2391"/>
      <c r="M5289" s="2391"/>
      <c r="N5289" s="2650"/>
    </row>
    <row r="5290" spans="3:14">
      <c r="C5290" s="977"/>
      <c r="D5290" s="777" t="s">
        <v>7</v>
      </c>
      <c r="E5290" s="2649" t="s">
        <v>1214</v>
      </c>
      <c r="F5290" s="2391"/>
      <c r="G5290" s="2391"/>
      <c r="H5290" s="2512"/>
      <c r="I5290" s="2683" t="str">
        <f>IFERROR(IF([1]F_ProductBM!I2584 = "", "", [1]F_ProductBM!I2584 ),"")</f>
        <v/>
      </c>
      <c r="J5290" s="2487"/>
      <c r="K5290" s="2487"/>
      <c r="L5290" s="2487"/>
      <c r="M5290" s="2684"/>
      <c r="N5290" s="992"/>
    </row>
    <row r="5291" spans="3:14">
      <c r="C5291" s="977"/>
      <c r="D5291" s="981"/>
      <c r="E5291" s="986"/>
      <c r="F5291" s="978"/>
      <c r="G5291" s="978"/>
      <c r="H5291" s="978"/>
      <c r="I5291" s="978"/>
      <c r="J5291" s="978"/>
      <c r="K5291" s="978"/>
      <c r="L5291" s="978"/>
      <c r="M5291" s="978"/>
      <c r="N5291" s="979"/>
    </row>
    <row r="5292" spans="3:14">
      <c r="C5292" s="977"/>
      <c r="D5292" s="981"/>
      <c r="E5292" s="2648" t="s">
        <v>1154</v>
      </c>
      <c r="F5292" s="2493"/>
      <c r="G5292" s="987" t="s">
        <v>884</v>
      </c>
      <c r="H5292" s="782">
        <v>2019</v>
      </c>
      <c r="I5292" s="988">
        <v>2020</v>
      </c>
      <c r="J5292" s="781">
        <v>2021</v>
      </c>
      <c r="K5292" s="782">
        <v>2022</v>
      </c>
      <c r="L5292" s="782">
        <v>2023</v>
      </c>
      <c r="M5292" s="782">
        <v>2024</v>
      </c>
      <c r="N5292" s="783">
        <v>2025</v>
      </c>
    </row>
    <row r="5293" spans="3:14">
      <c r="C5293" s="977"/>
      <c r="D5293" s="777" t="s">
        <v>8</v>
      </c>
      <c r="E5293" s="2471" t="s">
        <v>1153</v>
      </c>
      <c r="F5293" s="2472"/>
      <c r="G5293" s="811" t="s">
        <v>2152</v>
      </c>
      <c r="H5293" s="94" t="str">
        <f>IFERROR(IF([1]F_ProductBM!H2587 = "", "", [1]F_ProductBM!H2587 ),"")</f>
        <v/>
      </c>
      <c r="I5293" s="110" t="str">
        <f>IFERROR(IF([1]F_ProductBM!I2587 = "", "", [1]F_ProductBM!I2587 ),"")</f>
        <v/>
      </c>
      <c r="J5293" s="111" t="str">
        <f>IFERROR(IF([1]F_ProductBM!J2587 = "", "", [1]F_ProductBM!J2587 ),"")</f>
        <v/>
      </c>
      <c r="K5293" s="94" t="str">
        <f>IFERROR(IF([1]F_ProductBM!K2587 = "", "", [1]F_ProductBM!K2587 ),"")</f>
        <v/>
      </c>
      <c r="L5293" s="94" t="str">
        <f>IFERROR(IF([1]F_ProductBM!L2587 = "", "", [1]F_ProductBM!L2587 ),"")</f>
        <v/>
      </c>
      <c r="M5293" s="94" t="str">
        <f>IFERROR(IF([1]F_ProductBM!M2587 = "", "", [1]F_ProductBM!M2587 ),"")</f>
        <v/>
      </c>
      <c r="N5293" s="112" t="str">
        <f>IFERROR(IF([1]F_ProductBM!N2587 = "", "", [1]F_ProductBM!N2587 ),"")</f>
        <v/>
      </c>
    </row>
    <row r="5294" spans="3:14">
      <c r="C5294" s="977"/>
      <c r="D5294" s="777" t="s">
        <v>18</v>
      </c>
      <c r="E5294" s="2685" t="s">
        <v>946</v>
      </c>
      <c r="F5294" s="2608"/>
      <c r="G5294" s="993" t="s">
        <v>2019</v>
      </c>
      <c r="H5294" s="101" t="str">
        <f>IFERROR(IF([1]F_ProductBM!H2588 = "", "", [1]F_ProductBM!H2588 ),"")</f>
        <v/>
      </c>
      <c r="I5294" s="361" t="str">
        <f>IFERROR(IF([1]F_ProductBM!I2588 = "", "", [1]F_ProductBM!I2588 ),"")</f>
        <v/>
      </c>
      <c r="J5294" s="362" t="str">
        <f>IFERROR(IF([1]F_ProductBM!J2588 = "", "", [1]F_ProductBM!J2588 ),"")</f>
        <v/>
      </c>
      <c r="K5294" s="101" t="str">
        <f>IFERROR(IF([1]F_ProductBM!K2588 = "", "", [1]F_ProductBM!K2588 ),"")</f>
        <v/>
      </c>
      <c r="L5294" s="101" t="str">
        <f>IFERROR(IF([1]F_ProductBM!L2588 = "", "", [1]F_ProductBM!L2588 ),"")</f>
        <v/>
      </c>
      <c r="M5294" s="101" t="str">
        <f>IFERROR(IF([1]F_ProductBM!M2588 = "", "", [1]F_ProductBM!M2588 ),"")</f>
        <v/>
      </c>
      <c r="N5294" s="363" t="str">
        <f>IFERROR(IF([1]F_ProductBM!N2588 = "", "", [1]F_ProductBM!N2588 ),"")</f>
        <v/>
      </c>
    </row>
    <row r="5295" spans="3:14">
      <c r="C5295" s="977"/>
      <c r="D5295" s="777" t="s">
        <v>787</v>
      </c>
      <c r="E5295" s="2685" t="s">
        <v>945</v>
      </c>
      <c r="F5295" s="2608"/>
      <c r="G5295" s="994" t="s">
        <v>878</v>
      </c>
      <c r="H5295" s="101" t="str">
        <f>IFERROR(IF([1]F_ProductBM!H2589 = "", "", [1]F_ProductBM!H2589 ),"")</f>
        <v/>
      </c>
      <c r="I5295" s="361" t="str">
        <f>IFERROR(IF([1]F_ProductBM!I2589 = "", "", [1]F_ProductBM!I2589 ),"")</f>
        <v/>
      </c>
      <c r="J5295" s="362" t="str">
        <f>IFERROR(IF([1]F_ProductBM!J2589 = "", "", [1]F_ProductBM!J2589 ),"")</f>
        <v/>
      </c>
      <c r="K5295" s="101" t="str">
        <f>IFERROR(IF([1]F_ProductBM!K2589 = "", "", [1]F_ProductBM!K2589 ),"")</f>
        <v/>
      </c>
      <c r="L5295" s="101" t="str">
        <f>IFERROR(IF([1]F_ProductBM!L2589 = "", "", [1]F_ProductBM!L2589 ),"")</f>
        <v/>
      </c>
      <c r="M5295" s="101" t="str">
        <f>IFERROR(IF([1]F_ProductBM!M2589 = "", "", [1]F_ProductBM!M2589 ),"")</f>
        <v/>
      </c>
      <c r="N5295" s="363" t="str">
        <f>IFERROR(IF([1]F_ProductBM!N2589 = "", "", [1]F_ProductBM!N2589 ),"")</f>
        <v/>
      </c>
    </row>
    <row r="5296" spans="3:14">
      <c r="C5296" s="977"/>
      <c r="D5296" s="777" t="s">
        <v>788</v>
      </c>
      <c r="E5296" s="2473" t="s">
        <v>880</v>
      </c>
      <c r="F5296" s="2474"/>
      <c r="G5296" s="812" t="s">
        <v>878</v>
      </c>
      <c r="H5296" s="95" t="str">
        <f>IFERROR(IF([1]F_ProductBM!H2590 = "", "", [1]F_ProductBM!H2590 ),"")</f>
        <v/>
      </c>
      <c r="I5296" s="113" t="str">
        <f>IFERROR(IF([1]F_ProductBM!I2590 = "", "", [1]F_ProductBM!I2590 ),"")</f>
        <v/>
      </c>
      <c r="J5296" s="114" t="str">
        <f>IFERROR(IF([1]F_ProductBM!J2590 = "", "", [1]F_ProductBM!J2590 ),"")</f>
        <v/>
      </c>
      <c r="K5296" s="95" t="str">
        <f>IFERROR(IF([1]F_ProductBM!K2590 = "", "", [1]F_ProductBM!K2590 ),"")</f>
        <v/>
      </c>
      <c r="L5296" s="95" t="str">
        <f>IFERROR(IF([1]F_ProductBM!L2590 = "", "", [1]F_ProductBM!L2590 ),"")</f>
        <v/>
      </c>
      <c r="M5296" s="95" t="str">
        <f>IFERROR(IF([1]F_ProductBM!M2590 = "", "", [1]F_ProductBM!M2590 ),"")</f>
        <v/>
      </c>
      <c r="N5296" s="115" t="str">
        <f>IFERROR(IF([1]F_ProductBM!N2590 = "", "", [1]F_ProductBM!N2590 ),"")</f>
        <v/>
      </c>
    </row>
    <row r="5297" spans="3:14">
      <c r="C5297" s="977"/>
      <c r="D5297" s="777" t="s">
        <v>789</v>
      </c>
      <c r="E5297" s="2471" t="s">
        <v>882</v>
      </c>
      <c r="F5297" s="2472"/>
      <c r="G5297" s="995" t="s">
        <v>2015</v>
      </c>
      <c r="H5297" s="378" t="str">
        <f>IFERROR(IF([1]F_ProductBM!H2591 = "", "", [1]F_ProductBM!H2591 ),"")</f>
        <v/>
      </c>
      <c r="I5297" s="379" t="str">
        <f>IFERROR(IF([1]F_ProductBM!I2591 = "", "", [1]F_ProductBM!I2591 ),"")</f>
        <v/>
      </c>
      <c r="J5297" s="380" t="str">
        <f>IFERROR(IF([1]F_ProductBM!J2591 = "", "", [1]F_ProductBM!J2591 ),"")</f>
        <v/>
      </c>
      <c r="K5297" s="378" t="str">
        <f>IFERROR(IF([1]F_ProductBM!K2591 = "", "", [1]F_ProductBM!K2591 ),"")</f>
        <v/>
      </c>
      <c r="L5297" s="378" t="str">
        <f>IFERROR(IF([1]F_ProductBM!L2591 = "", "", [1]F_ProductBM!L2591 ),"")</f>
        <v/>
      </c>
      <c r="M5297" s="378" t="str">
        <f>IFERROR(IF([1]F_ProductBM!M2591 = "", "", [1]F_ProductBM!M2591 ),"")</f>
        <v/>
      </c>
      <c r="N5297" s="381" t="str">
        <f>IFERROR(IF([1]F_ProductBM!N2591 = "", "", [1]F_ProductBM!N2591 ),"")</f>
        <v/>
      </c>
    </row>
    <row r="5298" spans="3:14">
      <c r="C5298" s="977"/>
      <c r="D5298" s="777" t="s">
        <v>790</v>
      </c>
      <c r="E5298" s="2670" t="s">
        <v>879</v>
      </c>
      <c r="F5298" s="2608"/>
      <c r="G5298" s="998" t="s">
        <v>2015</v>
      </c>
      <c r="H5298" s="382" t="str">
        <f>IFERROR(IF([1]F_ProductBM!H2592 = "", "", [1]F_ProductBM!H2592 ),"")</f>
        <v/>
      </c>
      <c r="I5298" s="383" t="str">
        <f>IFERROR(IF([1]F_ProductBM!I2592 = "", "", [1]F_ProductBM!I2592 ),"")</f>
        <v/>
      </c>
      <c r="J5298" s="384" t="str">
        <f>IFERROR(IF([1]F_ProductBM!J2592 = "", "", [1]F_ProductBM!J2592 ),"")</f>
        <v/>
      </c>
      <c r="K5298" s="382" t="str">
        <f>IFERROR(IF([1]F_ProductBM!K2592 = "", "", [1]F_ProductBM!K2592 ),"")</f>
        <v/>
      </c>
      <c r="L5298" s="382" t="str">
        <f>IFERROR(IF([1]F_ProductBM!L2592 = "", "", [1]F_ProductBM!L2592 ),"")</f>
        <v/>
      </c>
      <c r="M5298" s="382" t="str">
        <f>IFERROR(IF([1]F_ProductBM!M2592 = "", "", [1]F_ProductBM!M2592 ),"")</f>
        <v/>
      </c>
      <c r="N5298" s="385" t="str">
        <f>IFERROR(IF([1]F_ProductBM!N2592 = "", "", [1]F_ProductBM!N2592 ),"")</f>
        <v/>
      </c>
    </row>
    <row r="5299" spans="3:14">
      <c r="C5299" s="977"/>
      <c r="D5299" s="777" t="s">
        <v>791</v>
      </c>
      <c r="E5299" s="2473" t="s">
        <v>41</v>
      </c>
      <c r="F5299" s="2474"/>
      <c r="G5299" s="1001" t="s">
        <v>2017</v>
      </c>
      <c r="H5299" s="86" t="str">
        <f>IFERROR(IF([1]F_ProductBM!H2593 = "", "", [1]F_ProductBM!H2593 ),"")</f>
        <v/>
      </c>
      <c r="I5299" s="340" t="str">
        <f>IFERROR(IF([1]F_ProductBM!I2593 = "", "", [1]F_ProductBM!I2593 ),"")</f>
        <v/>
      </c>
      <c r="J5299" s="341" t="str">
        <f>IFERROR(IF([1]F_ProductBM!J2593 = "", "", [1]F_ProductBM!J2593 ),"")</f>
        <v/>
      </c>
      <c r="K5299" s="86" t="str">
        <f>IFERROR(IF([1]F_ProductBM!K2593 = "", "", [1]F_ProductBM!K2593 ),"")</f>
        <v/>
      </c>
      <c r="L5299" s="86" t="str">
        <f>IFERROR(IF([1]F_ProductBM!L2593 = "", "", [1]F_ProductBM!L2593 ),"")</f>
        <v/>
      </c>
      <c r="M5299" s="86" t="str">
        <f>IFERROR(IF([1]F_ProductBM!M2593 = "", "", [1]F_ProductBM!M2593 ),"")</f>
        <v/>
      </c>
      <c r="N5299" s="342" t="str">
        <f>IFERROR(IF([1]F_ProductBM!N2593 = "", "", [1]F_ProductBM!N2593 ),"")</f>
        <v/>
      </c>
    </row>
    <row r="5300" spans="3:14">
      <c r="C5300" s="977"/>
      <c r="D5300" s="777" t="s">
        <v>64</v>
      </c>
      <c r="E5300" s="2687" t="s">
        <v>393</v>
      </c>
      <c r="F5300" s="2688"/>
      <c r="G5300" s="1002"/>
      <c r="H5300" s="343" t="str">
        <f>IFERROR(IF([1]F_ProductBM!H2594 = "", "", [1]F_ProductBM!H2594 ),"")</f>
        <v/>
      </c>
      <c r="I5300" s="344" t="str">
        <f>IFERROR(IF([1]F_ProductBM!I2594 = "", "", [1]F_ProductBM!I2594 ),"")</f>
        <v/>
      </c>
      <c r="J5300" s="345" t="str">
        <f>IFERROR(IF([1]F_ProductBM!J2594 = "", "", [1]F_ProductBM!J2594 ),"")</f>
        <v/>
      </c>
      <c r="K5300" s="343" t="str">
        <f>IFERROR(IF([1]F_ProductBM!K2594 = "", "", [1]F_ProductBM!K2594 ),"")</f>
        <v/>
      </c>
      <c r="L5300" s="343" t="str">
        <f>IFERROR(IF([1]F_ProductBM!L2594 = "", "", [1]F_ProductBM!L2594 ),"")</f>
        <v/>
      </c>
      <c r="M5300" s="343" t="str">
        <f>IFERROR(IF([1]F_ProductBM!M2594 = "", "", [1]F_ProductBM!M2594 ),"")</f>
        <v/>
      </c>
      <c r="N5300" s="346" t="str">
        <f>IFERROR(IF([1]F_ProductBM!N2594 = "", "", [1]F_ProductBM!N2594 ),"")</f>
        <v/>
      </c>
    </row>
    <row r="5301" spans="3:14">
      <c r="C5301" s="977"/>
      <c r="D5301" s="777"/>
      <c r="E5301" s="981"/>
      <c r="F5301" s="981"/>
      <c r="G5301" s="981"/>
      <c r="H5301" s="981"/>
      <c r="I5301" s="981"/>
      <c r="J5301" s="981"/>
      <c r="K5301" s="981"/>
      <c r="L5301" s="981"/>
      <c r="M5301" s="813"/>
      <c r="N5301" s="814"/>
    </row>
    <row r="5302" spans="3:14">
      <c r="C5302" s="977"/>
      <c r="D5302" s="777" t="s">
        <v>65</v>
      </c>
      <c r="E5302" s="2649" t="s">
        <v>1215</v>
      </c>
      <c r="F5302" s="2391"/>
      <c r="G5302" s="2391"/>
      <c r="H5302" s="2512"/>
      <c r="I5302" s="2683" t="str">
        <f>IFERROR(IF([1]F_ProductBM!I2596 = "", "", [1]F_ProductBM!I2596 ),"")</f>
        <v/>
      </c>
      <c r="J5302" s="2488"/>
      <c r="K5302" s="2488"/>
      <c r="L5302" s="2488"/>
      <c r="M5302" s="2686"/>
      <c r="N5302" s="979"/>
    </row>
    <row r="5303" spans="3:14">
      <c r="C5303" s="977"/>
      <c r="D5303" s="981"/>
      <c r="E5303" s="986"/>
      <c r="F5303" s="978"/>
      <c r="G5303" s="981"/>
      <c r="H5303" s="981"/>
      <c r="I5303" s="978"/>
      <c r="J5303" s="978"/>
      <c r="K5303" s="978"/>
      <c r="L5303" s="978"/>
      <c r="M5303" s="978"/>
      <c r="N5303" s="979"/>
    </row>
    <row r="5304" spans="3:14">
      <c r="C5304" s="977"/>
      <c r="D5304" s="777"/>
      <c r="E5304" s="2648" t="s">
        <v>1155</v>
      </c>
      <c r="F5304" s="2493"/>
      <c r="G5304" s="987" t="s">
        <v>884</v>
      </c>
      <c r="H5304" s="782">
        <v>2019</v>
      </c>
      <c r="I5304" s="988">
        <v>2020</v>
      </c>
      <c r="J5304" s="781">
        <v>2021</v>
      </c>
      <c r="K5304" s="782">
        <v>2022</v>
      </c>
      <c r="L5304" s="782">
        <v>2023</v>
      </c>
      <c r="M5304" s="782">
        <v>2024</v>
      </c>
      <c r="N5304" s="783">
        <v>2025</v>
      </c>
    </row>
    <row r="5305" spans="3:14">
      <c r="C5305" s="977"/>
      <c r="D5305" s="777" t="s">
        <v>66</v>
      </c>
      <c r="E5305" s="2471" t="s">
        <v>1153</v>
      </c>
      <c r="F5305" s="2472"/>
      <c r="G5305" s="811" t="s">
        <v>2152</v>
      </c>
      <c r="H5305" s="94" t="str">
        <f>IFERROR(IF([1]F_ProductBM!H2599 = "", "", [1]F_ProductBM!H2599 ),"")</f>
        <v/>
      </c>
      <c r="I5305" s="110" t="str">
        <f>IFERROR(IF([1]F_ProductBM!I2599 = "", "", [1]F_ProductBM!I2599 ),"")</f>
        <v/>
      </c>
      <c r="J5305" s="111" t="str">
        <f>IFERROR(IF([1]F_ProductBM!J2599 = "", "", [1]F_ProductBM!J2599 ),"")</f>
        <v/>
      </c>
      <c r="K5305" s="94" t="str">
        <f>IFERROR(IF([1]F_ProductBM!K2599 = "", "", [1]F_ProductBM!K2599 ),"")</f>
        <v/>
      </c>
      <c r="L5305" s="94" t="str">
        <f>IFERROR(IF([1]F_ProductBM!L2599 = "", "", [1]F_ProductBM!L2599 ),"")</f>
        <v/>
      </c>
      <c r="M5305" s="94" t="str">
        <f>IFERROR(IF([1]F_ProductBM!M2599 = "", "", [1]F_ProductBM!M2599 ),"")</f>
        <v/>
      </c>
      <c r="N5305" s="112" t="str">
        <f>IFERROR(IF([1]F_ProductBM!N2599 = "", "", [1]F_ProductBM!N2599 ),"")</f>
        <v/>
      </c>
    </row>
    <row r="5306" spans="3:14">
      <c r="C5306" s="977"/>
      <c r="D5306" s="777" t="s">
        <v>1105</v>
      </c>
      <c r="E5306" s="2685" t="s">
        <v>946</v>
      </c>
      <c r="F5306" s="2608"/>
      <c r="G5306" s="993" t="s">
        <v>2019</v>
      </c>
      <c r="H5306" s="101" t="str">
        <f>IFERROR(IF([1]F_ProductBM!H2600 = "", "", [1]F_ProductBM!H2600 ),"")</f>
        <v/>
      </c>
      <c r="I5306" s="361" t="str">
        <f>IFERROR(IF([1]F_ProductBM!I2600 = "", "", [1]F_ProductBM!I2600 ),"")</f>
        <v/>
      </c>
      <c r="J5306" s="362" t="str">
        <f>IFERROR(IF([1]F_ProductBM!J2600 = "", "", [1]F_ProductBM!J2600 ),"")</f>
        <v/>
      </c>
      <c r="K5306" s="101" t="str">
        <f>IFERROR(IF([1]F_ProductBM!K2600 = "", "", [1]F_ProductBM!K2600 ),"")</f>
        <v/>
      </c>
      <c r="L5306" s="101" t="str">
        <f>IFERROR(IF([1]F_ProductBM!L2600 = "", "", [1]F_ProductBM!L2600 ),"")</f>
        <v/>
      </c>
      <c r="M5306" s="101" t="str">
        <f>IFERROR(IF([1]F_ProductBM!M2600 = "", "", [1]F_ProductBM!M2600 ),"")</f>
        <v/>
      </c>
      <c r="N5306" s="363" t="str">
        <f>IFERROR(IF([1]F_ProductBM!N2600 = "", "", [1]F_ProductBM!N2600 ),"")</f>
        <v/>
      </c>
    </row>
    <row r="5307" spans="3:14">
      <c r="C5307" s="977"/>
      <c r="D5307" s="777" t="s">
        <v>1106</v>
      </c>
      <c r="E5307" s="2685" t="s">
        <v>945</v>
      </c>
      <c r="F5307" s="2608"/>
      <c r="G5307" s="994" t="s">
        <v>878</v>
      </c>
      <c r="H5307" s="101" t="str">
        <f>IFERROR(IF([1]F_ProductBM!H2601 = "", "", [1]F_ProductBM!H2601 ),"")</f>
        <v/>
      </c>
      <c r="I5307" s="361" t="str">
        <f>IFERROR(IF([1]F_ProductBM!I2601 = "", "", [1]F_ProductBM!I2601 ),"")</f>
        <v/>
      </c>
      <c r="J5307" s="362" t="str">
        <f>IFERROR(IF([1]F_ProductBM!J2601 = "", "", [1]F_ProductBM!J2601 ),"")</f>
        <v/>
      </c>
      <c r="K5307" s="101" t="str">
        <f>IFERROR(IF([1]F_ProductBM!K2601 = "", "", [1]F_ProductBM!K2601 ),"")</f>
        <v/>
      </c>
      <c r="L5307" s="101" t="str">
        <f>IFERROR(IF([1]F_ProductBM!L2601 = "", "", [1]F_ProductBM!L2601 ),"")</f>
        <v/>
      </c>
      <c r="M5307" s="101" t="str">
        <f>IFERROR(IF([1]F_ProductBM!M2601 = "", "", [1]F_ProductBM!M2601 ),"")</f>
        <v/>
      </c>
      <c r="N5307" s="363" t="str">
        <f>IFERROR(IF([1]F_ProductBM!N2601 = "", "", [1]F_ProductBM!N2601 ),"")</f>
        <v/>
      </c>
    </row>
    <row r="5308" spans="3:14">
      <c r="C5308" s="977"/>
      <c r="D5308" s="777" t="s">
        <v>1107</v>
      </c>
      <c r="E5308" s="2473" t="s">
        <v>880</v>
      </c>
      <c r="F5308" s="2474"/>
      <c r="G5308" s="812" t="s">
        <v>878</v>
      </c>
      <c r="H5308" s="95" t="str">
        <f>IFERROR(IF([1]F_ProductBM!H2602 = "", "", [1]F_ProductBM!H2602 ),"")</f>
        <v/>
      </c>
      <c r="I5308" s="113" t="str">
        <f>IFERROR(IF([1]F_ProductBM!I2602 = "", "", [1]F_ProductBM!I2602 ),"")</f>
        <v/>
      </c>
      <c r="J5308" s="114" t="str">
        <f>IFERROR(IF([1]F_ProductBM!J2602 = "", "", [1]F_ProductBM!J2602 ),"")</f>
        <v/>
      </c>
      <c r="K5308" s="95" t="str">
        <f>IFERROR(IF([1]F_ProductBM!K2602 = "", "", [1]F_ProductBM!K2602 ),"")</f>
        <v/>
      </c>
      <c r="L5308" s="95" t="str">
        <f>IFERROR(IF([1]F_ProductBM!L2602 = "", "", [1]F_ProductBM!L2602 ),"")</f>
        <v/>
      </c>
      <c r="M5308" s="95" t="str">
        <f>IFERROR(IF([1]F_ProductBM!M2602 = "", "", [1]F_ProductBM!M2602 ),"")</f>
        <v/>
      </c>
      <c r="N5308" s="115" t="str">
        <f>IFERROR(IF([1]F_ProductBM!N2602 = "", "", [1]F_ProductBM!N2602 ),"")</f>
        <v/>
      </c>
    </row>
    <row r="5309" spans="3:14">
      <c r="C5309" s="977"/>
      <c r="D5309" s="777" t="s">
        <v>1108</v>
      </c>
      <c r="E5309" s="2471" t="s">
        <v>882</v>
      </c>
      <c r="F5309" s="2472"/>
      <c r="G5309" s="995" t="s">
        <v>2015</v>
      </c>
      <c r="H5309" s="378" t="str">
        <f>IFERROR(IF([1]F_ProductBM!H2603 = "", "", [1]F_ProductBM!H2603 ),"")</f>
        <v/>
      </c>
      <c r="I5309" s="379" t="str">
        <f>IFERROR(IF([1]F_ProductBM!I2603 = "", "", [1]F_ProductBM!I2603 ),"")</f>
        <v/>
      </c>
      <c r="J5309" s="380" t="str">
        <f>IFERROR(IF([1]F_ProductBM!J2603 = "", "", [1]F_ProductBM!J2603 ),"")</f>
        <v/>
      </c>
      <c r="K5309" s="378" t="str">
        <f>IFERROR(IF([1]F_ProductBM!K2603 = "", "", [1]F_ProductBM!K2603 ),"")</f>
        <v/>
      </c>
      <c r="L5309" s="378" t="str">
        <f>IFERROR(IF([1]F_ProductBM!L2603 = "", "", [1]F_ProductBM!L2603 ),"")</f>
        <v/>
      </c>
      <c r="M5309" s="378" t="str">
        <f>IFERROR(IF([1]F_ProductBM!M2603 = "", "", [1]F_ProductBM!M2603 ),"")</f>
        <v/>
      </c>
      <c r="N5309" s="381" t="str">
        <f>IFERROR(IF([1]F_ProductBM!N2603 = "", "", [1]F_ProductBM!N2603 ),"")</f>
        <v/>
      </c>
    </row>
    <row r="5310" spans="3:14">
      <c r="C5310" s="977"/>
      <c r="D5310" s="777" t="s">
        <v>1109</v>
      </c>
      <c r="E5310" s="2670" t="s">
        <v>879</v>
      </c>
      <c r="F5310" s="2608"/>
      <c r="G5310" s="998" t="s">
        <v>2015</v>
      </c>
      <c r="H5310" s="382" t="str">
        <f>IFERROR(IF([1]F_ProductBM!H2604 = "", "", [1]F_ProductBM!H2604 ),"")</f>
        <v/>
      </c>
      <c r="I5310" s="383" t="str">
        <f>IFERROR(IF([1]F_ProductBM!I2604 = "", "", [1]F_ProductBM!I2604 ),"")</f>
        <v/>
      </c>
      <c r="J5310" s="384" t="str">
        <f>IFERROR(IF([1]F_ProductBM!J2604 = "", "", [1]F_ProductBM!J2604 ),"")</f>
        <v/>
      </c>
      <c r="K5310" s="382" t="str">
        <f>IFERROR(IF([1]F_ProductBM!K2604 = "", "", [1]F_ProductBM!K2604 ),"")</f>
        <v/>
      </c>
      <c r="L5310" s="382" t="str">
        <f>IFERROR(IF([1]F_ProductBM!L2604 = "", "", [1]F_ProductBM!L2604 ),"")</f>
        <v/>
      </c>
      <c r="M5310" s="382" t="str">
        <f>IFERROR(IF([1]F_ProductBM!M2604 = "", "", [1]F_ProductBM!M2604 ),"")</f>
        <v/>
      </c>
      <c r="N5310" s="385" t="str">
        <f>IFERROR(IF([1]F_ProductBM!N2604 = "", "", [1]F_ProductBM!N2604 ),"")</f>
        <v/>
      </c>
    </row>
    <row r="5311" spans="3:14">
      <c r="C5311" s="977"/>
      <c r="D5311" s="777" t="s">
        <v>1110</v>
      </c>
      <c r="E5311" s="2473" t="s">
        <v>41</v>
      </c>
      <c r="F5311" s="2474"/>
      <c r="G5311" s="1001" t="s">
        <v>2017</v>
      </c>
      <c r="H5311" s="86" t="str">
        <f>IFERROR(IF([1]F_ProductBM!H2605 = "", "", [1]F_ProductBM!H2605 ),"")</f>
        <v/>
      </c>
      <c r="I5311" s="340" t="str">
        <f>IFERROR(IF([1]F_ProductBM!I2605 = "", "", [1]F_ProductBM!I2605 ),"")</f>
        <v/>
      </c>
      <c r="J5311" s="341" t="str">
        <f>IFERROR(IF([1]F_ProductBM!J2605 = "", "", [1]F_ProductBM!J2605 ),"")</f>
        <v/>
      </c>
      <c r="K5311" s="86" t="str">
        <f>IFERROR(IF([1]F_ProductBM!K2605 = "", "", [1]F_ProductBM!K2605 ),"")</f>
        <v/>
      </c>
      <c r="L5311" s="86" t="str">
        <f>IFERROR(IF([1]F_ProductBM!L2605 = "", "", [1]F_ProductBM!L2605 ),"")</f>
        <v/>
      </c>
      <c r="M5311" s="86" t="str">
        <f>IFERROR(IF([1]F_ProductBM!M2605 = "", "", [1]F_ProductBM!M2605 ),"")</f>
        <v/>
      </c>
      <c r="N5311" s="342" t="str">
        <f>IFERROR(IF([1]F_ProductBM!N2605 = "", "", [1]F_ProductBM!N2605 ),"")</f>
        <v/>
      </c>
    </row>
    <row r="5312" spans="3:14">
      <c r="C5312" s="977"/>
      <c r="D5312" s="777" t="s">
        <v>1106</v>
      </c>
      <c r="E5312" s="2687" t="s">
        <v>393</v>
      </c>
      <c r="F5312" s="2688"/>
      <c r="G5312" s="1002"/>
      <c r="H5312" s="343" t="str">
        <f>IFERROR(IF([1]F_ProductBM!H2606 = "", "", [1]F_ProductBM!H2606 ),"")</f>
        <v/>
      </c>
      <c r="I5312" s="344" t="str">
        <f>IFERROR(IF([1]F_ProductBM!I2606 = "", "", [1]F_ProductBM!I2606 ),"")</f>
        <v/>
      </c>
      <c r="J5312" s="345" t="str">
        <f>IFERROR(IF([1]F_ProductBM!J2606 = "", "", [1]F_ProductBM!J2606 ),"")</f>
        <v/>
      </c>
      <c r="K5312" s="343" t="str">
        <f>IFERROR(IF([1]F_ProductBM!K2606 = "", "", [1]F_ProductBM!K2606 ),"")</f>
        <v/>
      </c>
      <c r="L5312" s="343" t="str">
        <f>IFERROR(IF([1]F_ProductBM!L2606 = "", "", [1]F_ProductBM!L2606 ),"")</f>
        <v/>
      </c>
      <c r="M5312" s="343" t="str">
        <f>IFERROR(IF([1]F_ProductBM!M2606 = "", "", [1]F_ProductBM!M2606 ),"")</f>
        <v/>
      </c>
      <c r="N5312" s="346" t="str">
        <f>IFERROR(IF([1]F_ProductBM!N2606 = "", "", [1]F_ProductBM!N2606 ),"")</f>
        <v/>
      </c>
    </row>
    <row r="5313" spans="3:14">
      <c r="C5313" s="977"/>
      <c r="D5313" s="981"/>
      <c r="E5313" s="981"/>
      <c r="F5313" s="981"/>
      <c r="G5313" s="981"/>
      <c r="H5313" s="981"/>
      <c r="I5313" s="981"/>
      <c r="J5313" s="981"/>
      <c r="K5313" s="981"/>
      <c r="L5313" s="981"/>
      <c r="M5313" s="813"/>
      <c r="N5313" s="814"/>
    </row>
    <row r="5314" spans="3:14">
      <c r="C5314" s="977"/>
      <c r="D5314" s="982" t="s">
        <v>478</v>
      </c>
      <c r="E5314" s="2649" t="s">
        <v>1457</v>
      </c>
      <c r="F5314" s="2391"/>
      <c r="G5314" s="2391"/>
      <c r="H5314" s="2391"/>
      <c r="I5314" s="2391"/>
      <c r="J5314" s="2391"/>
      <c r="K5314" s="2391"/>
      <c r="L5314" s="2391"/>
      <c r="M5314" s="2391"/>
      <c r="N5314" s="2650"/>
    </row>
    <row r="5315" spans="3:14">
      <c r="C5315" s="977"/>
      <c r="D5315" s="777"/>
      <c r="E5315" s="2676" t="s">
        <v>2295</v>
      </c>
      <c r="F5315" s="2391"/>
      <c r="G5315" s="2391"/>
      <c r="H5315" s="2391"/>
      <c r="I5315" s="2391"/>
      <c r="J5315" s="2391"/>
      <c r="K5315" s="2391"/>
      <c r="L5315" s="2391"/>
      <c r="M5315" s="2391"/>
      <c r="N5315" s="2650"/>
    </row>
    <row r="5316" spans="3:14">
      <c r="C5316" s="977"/>
      <c r="D5316" s="981"/>
      <c r="E5316" s="2669" t="s">
        <v>1367</v>
      </c>
      <c r="F5316" s="2391"/>
      <c r="G5316" s="2391"/>
      <c r="H5316" s="2391"/>
      <c r="I5316" s="2391"/>
      <c r="J5316" s="2391"/>
      <c r="K5316" s="2391"/>
      <c r="L5316" s="2391"/>
      <c r="M5316" s="2391"/>
      <c r="N5316" s="2650"/>
    </row>
    <row r="5317" spans="3:14">
      <c r="C5317" s="977"/>
      <c r="D5317" s="981"/>
      <c r="E5317" s="2669" t="s">
        <v>1365</v>
      </c>
      <c r="F5317" s="2391"/>
      <c r="G5317" s="2391"/>
      <c r="H5317" s="2391"/>
      <c r="I5317" s="2391"/>
      <c r="J5317" s="2391"/>
      <c r="K5317" s="2391"/>
      <c r="L5317" s="2391"/>
      <c r="M5317" s="2391"/>
      <c r="N5317" s="2650"/>
    </row>
    <row r="5318" spans="3:14">
      <c r="C5318" s="977"/>
      <c r="D5318" s="982"/>
      <c r="E5318" s="989"/>
      <c r="F5318" s="990"/>
      <c r="G5318" s="987" t="s">
        <v>884</v>
      </c>
      <c r="H5318" s="782">
        <v>2019</v>
      </c>
      <c r="I5318" s="988">
        <v>2020</v>
      </c>
      <c r="J5318" s="781">
        <v>2021</v>
      </c>
      <c r="K5318" s="782">
        <v>2022</v>
      </c>
      <c r="L5318" s="782">
        <v>2023</v>
      </c>
      <c r="M5318" s="782">
        <v>2024</v>
      </c>
      <c r="N5318" s="783">
        <v>2025</v>
      </c>
    </row>
    <row r="5319" spans="3:14">
      <c r="C5319" s="977"/>
      <c r="D5319" s="777"/>
      <c r="E5319" s="2475" t="s">
        <v>1156</v>
      </c>
      <c r="F5319" s="2410"/>
      <c r="G5319" s="815" t="s">
        <v>2016</v>
      </c>
      <c r="H5319" s="93" t="str">
        <f>IFERROR(IF([1]F_ProductBM!H2613 = "", "", [1]F_ProductBM!H2613 ),"")</f>
        <v/>
      </c>
      <c r="I5319" s="116" t="str">
        <f>IFERROR(IF([1]F_ProductBM!I2613 = "", "", [1]F_ProductBM!I2613 ),"")</f>
        <v/>
      </c>
      <c r="J5319" s="117" t="str">
        <f>IFERROR(IF([1]F_ProductBM!J2613 = "", "", [1]F_ProductBM!J2613 ),"")</f>
        <v/>
      </c>
      <c r="K5319" s="93" t="str">
        <f>IFERROR(IF([1]F_ProductBM!K2613 = "", "", [1]F_ProductBM!K2613 ),"")</f>
        <v/>
      </c>
      <c r="L5319" s="93" t="str">
        <f>IFERROR(IF([1]F_ProductBM!L2613 = "", "", [1]F_ProductBM!L2613 ),"")</f>
        <v/>
      </c>
      <c r="M5319" s="93" t="str">
        <f>IFERROR(IF([1]F_ProductBM!M2613 = "", "", [1]F_ProductBM!M2613 ),"")</f>
        <v/>
      </c>
      <c r="N5319" s="118" t="str">
        <f>IFERROR(IF([1]F_ProductBM!N2613 = "", "", [1]F_ProductBM!N2613 ),"")</f>
        <v/>
      </c>
    </row>
    <row r="5320" spans="3:14">
      <c r="C5320" s="977"/>
      <c r="D5320" s="981"/>
      <c r="E5320" s="981"/>
      <c r="F5320" s="981"/>
      <c r="G5320" s="981"/>
      <c r="H5320" s="981"/>
      <c r="I5320" s="981"/>
      <c r="J5320" s="981"/>
      <c r="K5320" s="981"/>
      <c r="L5320" s="981"/>
      <c r="M5320" s="813"/>
      <c r="N5320" s="814"/>
    </row>
    <row r="5321" spans="3:14">
      <c r="C5321" s="977"/>
      <c r="D5321" s="982" t="s">
        <v>479</v>
      </c>
      <c r="E5321" s="2649" t="s">
        <v>1118</v>
      </c>
      <c r="F5321" s="2391"/>
      <c r="G5321" s="2391"/>
      <c r="H5321" s="2391"/>
      <c r="I5321" s="2391"/>
      <c r="J5321" s="2391"/>
      <c r="K5321" s="2391"/>
      <c r="L5321" s="2391"/>
      <c r="M5321" s="2391"/>
      <c r="N5321" s="2650"/>
    </row>
    <row r="5322" spans="3:14">
      <c r="C5322" s="977"/>
      <c r="D5322" s="777"/>
      <c r="E5322" s="2676" t="s">
        <v>2297</v>
      </c>
      <c r="F5322" s="2391"/>
      <c r="G5322" s="2391"/>
      <c r="H5322" s="2391"/>
      <c r="I5322" s="2391"/>
      <c r="J5322" s="2391"/>
      <c r="K5322" s="2391"/>
      <c r="L5322" s="2391"/>
      <c r="M5322" s="2391"/>
      <c r="N5322" s="2650"/>
    </row>
    <row r="5323" spans="3:14" ht="22.5" customHeight="1">
      <c r="C5323" s="977"/>
      <c r="D5323" s="981"/>
      <c r="E5323" s="2669" t="s">
        <v>2714</v>
      </c>
      <c r="F5323" s="2391"/>
      <c r="G5323" s="2391"/>
      <c r="H5323" s="2391"/>
      <c r="I5323" s="2391"/>
      <c r="J5323" s="2391"/>
      <c r="K5323" s="2391"/>
      <c r="L5323" s="2391"/>
      <c r="M5323" s="2391"/>
      <c r="N5323" s="2650"/>
    </row>
    <row r="5324" spans="3:14">
      <c r="C5324" s="977"/>
      <c r="D5324" s="981"/>
      <c r="E5324" s="2669" t="s">
        <v>1614</v>
      </c>
      <c r="F5324" s="2391"/>
      <c r="G5324" s="2391"/>
      <c r="H5324" s="2391"/>
      <c r="I5324" s="2391"/>
      <c r="J5324" s="2391"/>
      <c r="K5324" s="2391"/>
      <c r="L5324" s="2391"/>
      <c r="M5324" s="2391"/>
      <c r="N5324" s="2650"/>
    </row>
    <row r="5325" spans="3:14">
      <c r="C5325" s="977"/>
      <c r="D5325" s="981"/>
      <c r="E5325" s="2669" t="s">
        <v>1593</v>
      </c>
      <c r="F5325" s="2391"/>
      <c r="G5325" s="2391"/>
      <c r="H5325" s="2391"/>
      <c r="I5325" s="2391"/>
      <c r="J5325" s="2391"/>
      <c r="K5325" s="2391"/>
      <c r="L5325" s="2391"/>
      <c r="M5325" s="2391"/>
      <c r="N5325" s="2650"/>
    </row>
    <row r="5326" spans="3:14">
      <c r="C5326" s="977"/>
      <c r="D5326" s="981"/>
      <c r="E5326" s="2697" t="s">
        <v>1555</v>
      </c>
      <c r="F5326" s="2698"/>
      <c r="G5326" s="2698"/>
      <c r="H5326" s="2698"/>
      <c r="I5326" s="2698"/>
      <c r="J5326" s="2698"/>
      <c r="K5326" s="2698"/>
      <c r="L5326" s="2698"/>
      <c r="M5326" s="2698"/>
      <c r="N5326" s="2694"/>
    </row>
    <row r="5327" spans="3:14">
      <c r="C5327" s="977"/>
      <c r="D5327" s="981"/>
      <c r="E5327" s="2648" t="s">
        <v>1151</v>
      </c>
      <c r="F5327" s="2493"/>
      <c r="G5327" s="987" t="s">
        <v>884</v>
      </c>
      <c r="H5327" s="782">
        <v>2019</v>
      </c>
      <c r="I5327" s="988">
        <v>2020</v>
      </c>
      <c r="J5327" s="781">
        <v>2021</v>
      </c>
      <c r="K5327" s="782">
        <v>2022</v>
      </c>
      <c r="L5327" s="782">
        <v>2023</v>
      </c>
      <c r="M5327" s="782">
        <v>2024</v>
      </c>
      <c r="N5327" s="783">
        <v>2025</v>
      </c>
    </row>
    <row r="5328" spans="3:14">
      <c r="C5328" s="977"/>
      <c r="D5328" s="777" t="s">
        <v>6</v>
      </c>
      <c r="E5328" s="2475" t="s">
        <v>1087</v>
      </c>
      <c r="F5328" s="2410"/>
      <c r="G5328" s="815" t="s">
        <v>2017</v>
      </c>
      <c r="H5328" s="93" t="str">
        <f>IFERROR(IF([1]F_ProductBM!H2622 = "", "", [1]F_ProductBM!H2622 ),"")</f>
        <v/>
      </c>
      <c r="I5328" s="116" t="str">
        <f>IFERROR(IF([1]F_ProductBM!I2622 = "", "", [1]F_ProductBM!I2622 ),"")</f>
        <v/>
      </c>
      <c r="J5328" s="117" t="str">
        <f>IFERROR(IF([1]F_ProductBM!J2622 = "", "", [1]F_ProductBM!J2622 ),"")</f>
        <v/>
      </c>
      <c r="K5328" s="93" t="str">
        <f>IFERROR(IF([1]F_ProductBM!K2622 = "", "", [1]F_ProductBM!K2622 ),"")</f>
        <v/>
      </c>
      <c r="L5328" s="93" t="str">
        <f>IFERROR(IF([1]F_ProductBM!L2622 = "", "", [1]F_ProductBM!L2622 ),"")</f>
        <v/>
      </c>
      <c r="M5328" s="93" t="str">
        <f>IFERROR(IF([1]F_ProductBM!M2622 = "", "", [1]F_ProductBM!M2622 ),"")</f>
        <v/>
      </c>
      <c r="N5328" s="118" t="str">
        <f>IFERROR(IF([1]F_ProductBM!N2622 = "", "", [1]F_ProductBM!N2622 ),"")</f>
        <v/>
      </c>
    </row>
    <row r="5329" spans="3:14">
      <c r="C5329" s="977"/>
      <c r="D5329" s="777" t="s">
        <v>7</v>
      </c>
      <c r="E5329" s="2475" t="s">
        <v>1103</v>
      </c>
      <c r="F5329" s="2410"/>
      <c r="G5329" s="815" t="s">
        <v>2018</v>
      </c>
      <c r="H5329" s="93" t="str">
        <f>IFERROR(IF([1]F_ProductBM!H2623 = "", "", [1]F_ProductBM!H2623 ),"")</f>
        <v/>
      </c>
      <c r="I5329" s="116" t="str">
        <f>IFERROR(IF([1]F_ProductBM!I2623 = "", "", [1]F_ProductBM!I2623 ),"")</f>
        <v/>
      </c>
      <c r="J5329" s="117" t="str">
        <f>IFERROR(IF([1]F_ProductBM!J2623 = "", "", [1]F_ProductBM!J2623 ),"")</f>
        <v/>
      </c>
      <c r="K5329" s="93" t="str">
        <f>IFERROR(IF([1]F_ProductBM!K2623 = "", "", [1]F_ProductBM!K2623 ),"")</f>
        <v/>
      </c>
      <c r="L5329" s="93" t="str">
        <f>IFERROR(IF([1]F_ProductBM!L2623 = "", "", [1]F_ProductBM!L2623 ),"")</f>
        <v/>
      </c>
      <c r="M5329" s="93" t="str">
        <f>IFERROR(IF([1]F_ProductBM!M2623 = "", "", [1]F_ProductBM!M2623 ),"")</f>
        <v/>
      </c>
      <c r="N5329" s="118" t="str">
        <f>IFERROR(IF([1]F_ProductBM!N2623 = "", "", [1]F_ProductBM!N2623 ),"")</f>
        <v/>
      </c>
    </row>
    <row r="5330" spans="3:14">
      <c r="C5330" s="977"/>
      <c r="D5330" s="981"/>
      <c r="E5330" s="981"/>
      <c r="F5330" s="981"/>
      <c r="G5330" s="981"/>
      <c r="H5330" s="981"/>
      <c r="I5330" s="981"/>
      <c r="J5330" s="981"/>
      <c r="K5330" s="981"/>
      <c r="L5330" s="981"/>
      <c r="M5330" s="981"/>
      <c r="N5330" s="814"/>
    </row>
    <row r="5331" spans="3:14">
      <c r="C5331" s="977"/>
      <c r="D5331" s="981"/>
      <c r="E5331" s="2648" t="s">
        <v>1406</v>
      </c>
      <c r="F5331" s="2493"/>
      <c r="G5331" s="987" t="s">
        <v>884</v>
      </c>
      <c r="H5331" s="782">
        <v>2019</v>
      </c>
      <c r="I5331" s="988">
        <v>2020</v>
      </c>
      <c r="J5331" s="781">
        <v>2021</v>
      </c>
      <c r="K5331" s="782">
        <v>2022</v>
      </c>
      <c r="L5331" s="782">
        <v>2023</v>
      </c>
      <c r="M5331" s="782">
        <v>2024</v>
      </c>
      <c r="N5331" s="783">
        <v>2025</v>
      </c>
    </row>
    <row r="5332" spans="3:14">
      <c r="C5332" s="977"/>
      <c r="D5332" s="777" t="s">
        <v>8</v>
      </c>
      <c r="E5332" s="2475" t="s">
        <v>1556</v>
      </c>
      <c r="F5332" s="2410"/>
      <c r="G5332" s="815" t="s">
        <v>2017</v>
      </c>
      <c r="H5332" s="351" t="str">
        <f>IFERROR(IF([1]F_ProductBM!H2626 = "", "", [1]F_ProductBM!H2626 ),"")</f>
        <v/>
      </c>
      <c r="I5332" s="352" t="str">
        <f>IFERROR(IF([1]F_ProductBM!I2626 = "", "", [1]F_ProductBM!I2626 ),"")</f>
        <v/>
      </c>
      <c r="J5332" s="353" t="str">
        <f>IFERROR(IF([1]F_ProductBM!J2626 = "", "", [1]F_ProductBM!J2626 ),"")</f>
        <v/>
      </c>
      <c r="K5332" s="351" t="str">
        <f>IFERROR(IF([1]F_ProductBM!K2626 = "", "", [1]F_ProductBM!K2626 ),"")</f>
        <v/>
      </c>
      <c r="L5332" s="351" t="str">
        <f>IFERROR(IF([1]F_ProductBM!L2626 = "", "", [1]F_ProductBM!L2626 ),"")</f>
        <v/>
      </c>
      <c r="M5332" s="351" t="str">
        <f>IFERROR(IF([1]F_ProductBM!M2626 = "", "", [1]F_ProductBM!M2626 ),"")</f>
        <v/>
      </c>
      <c r="N5332" s="354" t="str">
        <f>IFERROR(IF([1]F_ProductBM!N2626 = "", "", [1]F_ProductBM!N2626 ),"")</f>
        <v/>
      </c>
    </row>
    <row r="5333" spans="3:14">
      <c r="C5333" s="977"/>
      <c r="D5333" s="777" t="s">
        <v>18</v>
      </c>
      <c r="E5333" s="2475" t="s">
        <v>1149</v>
      </c>
      <c r="F5333" s="2410"/>
      <c r="G5333" s="815" t="s">
        <v>2017</v>
      </c>
      <c r="H5333" s="93" t="str">
        <f>IFERROR(IF([1]F_ProductBM!H2627 = "", "", [1]F_ProductBM!H2627 ),"")</f>
        <v/>
      </c>
      <c r="I5333" s="116" t="str">
        <f>IFERROR(IF([1]F_ProductBM!I2627 = "", "", [1]F_ProductBM!I2627 ),"")</f>
        <v/>
      </c>
      <c r="J5333" s="117" t="str">
        <f>IFERROR(IF([1]F_ProductBM!J2627 = "", "", [1]F_ProductBM!J2627 ),"")</f>
        <v/>
      </c>
      <c r="K5333" s="93" t="str">
        <f>IFERROR(IF([1]F_ProductBM!K2627 = "", "", [1]F_ProductBM!K2627 ),"")</f>
        <v/>
      </c>
      <c r="L5333" s="93" t="str">
        <f>IFERROR(IF([1]F_ProductBM!L2627 = "", "", [1]F_ProductBM!L2627 ),"")</f>
        <v/>
      </c>
      <c r="M5333" s="93" t="str">
        <f>IFERROR(IF([1]F_ProductBM!M2627 = "", "", [1]F_ProductBM!M2627 ),"")</f>
        <v/>
      </c>
      <c r="N5333" s="118" t="str">
        <f>IFERROR(IF([1]F_ProductBM!N2627 = "", "", [1]F_ProductBM!N2627 ),"")</f>
        <v/>
      </c>
    </row>
    <row r="5334" spans="3:14">
      <c r="C5334" s="977"/>
      <c r="D5334" s="981"/>
      <c r="E5334" s="981"/>
      <c r="F5334" s="981"/>
      <c r="G5334" s="981"/>
      <c r="H5334" s="981"/>
      <c r="I5334" s="981"/>
      <c r="J5334" s="981"/>
      <c r="K5334" s="981"/>
      <c r="L5334" s="981"/>
      <c r="M5334" s="981"/>
      <c r="N5334" s="814"/>
    </row>
    <row r="5335" spans="3:14">
      <c r="C5335" s="977"/>
      <c r="D5335" s="981"/>
      <c r="E5335" s="2648" t="s">
        <v>1152</v>
      </c>
      <c r="F5335" s="2493"/>
      <c r="G5335" s="987" t="s">
        <v>884</v>
      </c>
      <c r="H5335" s="782">
        <v>2019</v>
      </c>
      <c r="I5335" s="988">
        <v>2020</v>
      </c>
      <c r="J5335" s="781">
        <v>2021</v>
      </c>
      <c r="K5335" s="782">
        <v>2022</v>
      </c>
      <c r="L5335" s="782">
        <v>2023</v>
      </c>
      <c r="M5335" s="782">
        <v>2024</v>
      </c>
      <c r="N5335" s="783">
        <v>2025</v>
      </c>
    </row>
    <row r="5336" spans="3:14">
      <c r="C5336" s="977"/>
      <c r="D5336" s="777" t="s">
        <v>787</v>
      </c>
      <c r="E5336" s="2475" t="s">
        <v>1079</v>
      </c>
      <c r="F5336" s="2410"/>
      <c r="G5336" s="815" t="s">
        <v>2017</v>
      </c>
      <c r="H5336" s="93" t="str">
        <f>IFERROR(IF([1]F_ProductBM!H2630 = "", "", [1]F_ProductBM!H2630 ),"")</f>
        <v/>
      </c>
      <c r="I5336" s="116" t="str">
        <f>IFERROR(IF([1]F_ProductBM!I2630 = "", "", [1]F_ProductBM!I2630 ),"")</f>
        <v/>
      </c>
      <c r="J5336" s="117" t="str">
        <f>IFERROR(IF([1]F_ProductBM!J2630 = "", "", [1]F_ProductBM!J2630 ),"")</f>
        <v/>
      </c>
      <c r="K5336" s="93" t="str">
        <f>IFERROR(IF([1]F_ProductBM!K2630 = "", "", [1]F_ProductBM!K2630 ),"")</f>
        <v/>
      </c>
      <c r="L5336" s="93" t="str">
        <f>IFERROR(IF([1]F_ProductBM!L2630 = "", "", [1]F_ProductBM!L2630 ),"")</f>
        <v/>
      </c>
      <c r="M5336" s="93" t="str">
        <f>IFERROR(IF([1]F_ProductBM!M2630 = "", "", [1]F_ProductBM!M2630 ),"")</f>
        <v/>
      </c>
      <c r="N5336" s="118" t="str">
        <f>IFERROR(IF([1]F_ProductBM!N2630 = "", "", [1]F_ProductBM!N2630 ),"")</f>
        <v/>
      </c>
    </row>
    <row r="5337" spans="3:14">
      <c r="C5337" s="977"/>
      <c r="D5337" s="777" t="s">
        <v>788</v>
      </c>
      <c r="E5337" s="2475" t="s">
        <v>1104</v>
      </c>
      <c r="F5337" s="2410"/>
      <c r="G5337" s="815" t="s">
        <v>2018</v>
      </c>
      <c r="H5337" s="93" t="str">
        <f>IFERROR(IF([1]F_ProductBM!H2631 = "", "", [1]F_ProductBM!H2631 ),"")</f>
        <v/>
      </c>
      <c r="I5337" s="116" t="str">
        <f>IFERROR(IF([1]F_ProductBM!I2631 = "", "", [1]F_ProductBM!I2631 ),"")</f>
        <v/>
      </c>
      <c r="J5337" s="117" t="str">
        <f>IFERROR(IF([1]F_ProductBM!J2631 = "", "", [1]F_ProductBM!J2631 ),"")</f>
        <v/>
      </c>
      <c r="K5337" s="93" t="str">
        <f>IFERROR(IF([1]F_ProductBM!K2631 = "", "", [1]F_ProductBM!K2631 ),"")</f>
        <v/>
      </c>
      <c r="L5337" s="93" t="str">
        <f>IFERROR(IF([1]F_ProductBM!L2631 = "", "", [1]F_ProductBM!L2631 ),"")</f>
        <v/>
      </c>
      <c r="M5337" s="93" t="str">
        <f>IFERROR(IF([1]F_ProductBM!M2631 = "", "", [1]F_ProductBM!M2631 ),"")</f>
        <v/>
      </c>
      <c r="N5337" s="118" t="str">
        <f>IFERROR(IF([1]F_ProductBM!N2631 = "", "", [1]F_ProductBM!N2631 ),"")</f>
        <v/>
      </c>
    </row>
    <row r="5338" spans="3:14">
      <c r="C5338" s="977"/>
      <c r="D5338" s="981"/>
      <c r="E5338" s="981"/>
      <c r="F5338" s="981"/>
      <c r="G5338" s="981"/>
      <c r="H5338" s="981"/>
      <c r="I5338" s="981"/>
      <c r="J5338" s="981"/>
      <c r="K5338" s="981"/>
      <c r="L5338" s="981"/>
      <c r="M5338" s="813"/>
      <c r="N5338" s="814"/>
    </row>
    <row r="5339" spans="3:14">
      <c r="C5339" s="977"/>
      <c r="D5339" s="982" t="s">
        <v>481</v>
      </c>
      <c r="E5339" s="2649" t="s">
        <v>1312</v>
      </c>
      <c r="F5339" s="2391"/>
      <c r="G5339" s="2391"/>
      <c r="H5339" s="2391"/>
      <c r="I5339" s="2391"/>
      <c r="J5339" s="2391"/>
      <c r="K5339" s="2391"/>
      <c r="L5339" s="2391"/>
      <c r="M5339" s="2391"/>
      <c r="N5339" s="2650"/>
    </row>
    <row r="5340" spans="3:14">
      <c r="C5340" s="977"/>
      <c r="D5340" s="981"/>
      <c r="E5340" s="986"/>
      <c r="F5340" s="986"/>
      <c r="G5340" s="986"/>
      <c r="H5340" s="986"/>
      <c r="I5340" s="986"/>
      <c r="J5340" s="986"/>
      <c r="K5340" s="986"/>
      <c r="L5340" s="986"/>
      <c r="M5340" s="986"/>
      <c r="N5340" s="1007"/>
    </row>
    <row r="5341" spans="3:14">
      <c r="C5341" s="977"/>
      <c r="D5341" s="777" t="s">
        <v>6</v>
      </c>
      <c r="E5341" s="2649" t="s">
        <v>1313</v>
      </c>
      <c r="F5341" s="2391"/>
      <c r="G5341" s="2391"/>
      <c r="H5341" s="2391"/>
      <c r="I5341" s="2391"/>
      <c r="J5341" s="2391"/>
      <c r="K5341" s="2512"/>
      <c r="L5341" s="120" t="str">
        <f>IFERROR(IF([1]F_ProductBM!L2635 = "", "", [1]F_ProductBM!L2635 ),"")</f>
        <v/>
      </c>
      <c r="M5341" s="978"/>
      <c r="N5341" s="979"/>
    </row>
    <row r="5342" spans="3:14">
      <c r="C5342" s="977"/>
      <c r="D5342" s="981"/>
      <c r="E5342" s="2669" t="s">
        <v>1314</v>
      </c>
      <c r="F5342" s="2391"/>
      <c r="G5342" s="2391"/>
      <c r="H5342" s="2391"/>
      <c r="I5342" s="2391"/>
      <c r="J5342" s="2391"/>
      <c r="K5342" s="2391"/>
      <c r="L5342" s="2391"/>
      <c r="M5342" s="2391"/>
      <c r="N5342" s="2650"/>
    </row>
    <row r="5343" spans="3:14">
      <c r="C5343" s="977"/>
      <c r="D5343" s="777" t="s">
        <v>7</v>
      </c>
      <c r="E5343" s="2649" t="s">
        <v>1219</v>
      </c>
      <c r="F5343" s="2391"/>
      <c r="G5343" s="2391"/>
      <c r="H5343" s="2512"/>
      <c r="I5343" s="2683" t="str">
        <f>IFERROR(IF([1]F_ProductBM!I2637 = "", "", [1]F_ProductBM!I2637 ),"")</f>
        <v/>
      </c>
      <c r="J5343" s="2488"/>
      <c r="K5343" s="2488"/>
      <c r="L5343" s="2488"/>
      <c r="M5343" s="2686"/>
      <c r="N5343" s="979"/>
    </row>
    <row r="5344" spans="3:14">
      <c r="C5344" s="977"/>
      <c r="D5344" s="981"/>
      <c r="E5344" s="2669" t="s">
        <v>1316</v>
      </c>
      <c r="F5344" s="2391"/>
      <c r="G5344" s="2391"/>
      <c r="H5344" s="2391"/>
      <c r="I5344" s="2391"/>
      <c r="J5344" s="2391"/>
      <c r="K5344" s="2391"/>
      <c r="L5344" s="2391"/>
      <c r="M5344" s="2391"/>
      <c r="N5344" s="2650"/>
    </row>
    <row r="5345" spans="3:14">
      <c r="C5345" s="977"/>
      <c r="D5345" s="981"/>
      <c r="E5345" s="2676" t="s">
        <v>1557</v>
      </c>
      <c r="F5345" s="2391"/>
      <c r="G5345" s="2391"/>
      <c r="H5345" s="2391"/>
      <c r="I5345" s="2391"/>
      <c r="J5345" s="2391"/>
      <c r="K5345" s="2391"/>
      <c r="L5345" s="2391"/>
      <c r="M5345" s="2391"/>
      <c r="N5345" s="2650"/>
    </row>
    <row r="5346" spans="3:14">
      <c r="C5346" s="977"/>
      <c r="D5346" s="981"/>
      <c r="E5346" s="989"/>
      <c r="F5346" s="990"/>
      <c r="G5346" s="987" t="s">
        <v>884</v>
      </c>
      <c r="H5346" s="782">
        <v>2019</v>
      </c>
      <c r="I5346" s="988">
        <v>2020</v>
      </c>
      <c r="J5346" s="781">
        <v>2021</v>
      </c>
      <c r="K5346" s="782">
        <v>2022</v>
      </c>
      <c r="L5346" s="782">
        <v>2023</v>
      </c>
      <c r="M5346" s="782">
        <v>2024</v>
      </c>
      <c r="N5346" s="783">
        <v>2025</v>
      </c>
    </row>
    <row r="5347" spans="3:14">
      <c r="C5347" s="977"/>
      <c r="D5347" s="777" t="s">
        <v>8</v>
      </c>
      <c r="E5347" s="2471" t="s">
        <v>1305</v>
      </c>
      <c r="F5347" s="2472"/>
      <c r="G5347" s="67" t="str">
        <f>IFERROR(IF([1]F_ProductBM!G2641 = "", "", [1]F_ProductBM!G2641 ),"")</f>
        <v/>
      </c>
      <c r="H5347" s="94" t="str">
        <f>IFERROR(IF([1]F_ProductBM!H2641 = "", "", [1]F_ProductBM!H2641 ),"")</f>
        <v/>
      </c>
      <c r="I5347" s="110" t="str">
        <f>IFERROR(IF([1]F_ProductBM!I2641 = "", "", [1]F_ProductBM!I2641 ),"")</f>
        <v/>
      </c>
      <c r="J5347" s="111" t="str">
        <f>IFERROR(IF([1]F_ProductBM!J2641 = "", "", [1]F_ProductBM!J2641 ),"")</f>
        <v/>
      </c>
      <c r="K5347" s="94" t="str">
        <f>IFERROR(IF([1]F_ProductBM!K2641 = "", "", [1]F_ProductBM!K2641 ),"")</f>
        <v/>
      </c>
      <c r="L5347" s="94" t="str">
        <f>IFERROR(IF([1]F_ProductBM!L2641 = "", "", [1]F_ProductBM!L2641 ),"")</f>
        <v/>
      </c>
      <c r="M5347" s="94" t="str">
        <f>IFERROR(IF([1]F_ProductBM!M2641 = "", "", [1]F_ProductBM!M2641 ),"")</f>
        <v/>
      </c>
      <c r="N5347" s="112" t="str">
        <f>IFERROR(IF([1]F_ProductBM!N2641 = "", "", [1]F_ProductBM!N2641 ),"")</f>
        <v/>
      </c>
    </row>
    <row r="5348" spans="3:14">
      <c r="C5348" s="977"/>
      <c r="D5348" s="777" t="s">
        <v>18</v>
      </c>
      <c r="E5348" s="2473" t="s">
        <v>661</v>
      </c>
      <c r="F5348" s="2474"/>
      <c r="G5348" s="350" t="str">
        <f>IFERROR(IF([1]F_ProductBM!G2642 = "", "", [1]F_ProductBM!G2642 ),"")</f>
        <v>GJ / Unit</v>
      </c>
      <c r="H5348" s="95" t="str">
        <f>IFERROR(IF([1]F_ProductBM!H2642 = "", "", [1]F_ProductBM!H2642 ),"")</f>
        <v/>
      </c>
      <c r="I5348" s="113" t="str">
        <f>IFERROR(IF([1]F_ProductBM!I2642 = "", "", [1]F_ProductBM!I2642 ),"")</f>
        <v/>
      </c>
      <c r="J5348" s="114" t="str">
        <f>IFERROR(IF([1]F_ProductBM!J2642 = "", "", [1]F_ProductBM!J2642 ),"")</f>
        <v/>
      </c>
      <c r="K5348" s="95" t="str">
        <f>IFERROR(IF([1]F_ProductBM!K2642 = "", "", [1]F_ProductBM!K2642 ),"")</f>
        <v/>
      </c>
      <c r="L5348" s="95" t="str">
        <f>IFERROR(IF([1]F_ProductBM!L2642 = "", "", [1]F_ProductBM!L2642 ),"")</f>
        <v/>
      </c>
      <c r="M5348" s="95" t="str">
        <f>IFERROR(IF([1]F_ProductBM!M2642 = "", "", [1]F_ProductBM!M2642 ),"")</f>
        <v/>
      </c>
      <c r="N5348" s="115" t="str">
        <f>IFERROR(IF([1]F_ProductBM!N2642 = "", "", [1]F_ProductBM!N2642 ),"")</f>
        <v/>
      </c>
    </row>
    <row r="5349" spans="3:14">
      <c r="C5349" s="977"/>
      <c r="D5349" s="777" t="s">
        <v>787</v>
      </c>
      <c r="E5349" s="2475" t="s">
        <v>1141</v>
      </c>
      <c r="F5349" s="2410"/>
      <c r="G5349" s="815" t="s">
        <v>2017</v>
      </c>
      <c r="H5349" s="351" t="str">
        <f>IFERROR(IF([1]F_ProductBM!H2643 = "", "", [1]F_ProductBM!H2643 ),"")</f>
        <v/>
      </c>
      <c r="I5349" s="352" t="str">
        <f>IFERROR(IF([1]F_ProductBM!I2643 = "", "", [1]F_ProductBM!I2643 ),"")</f>
        <v/>
      </c>
      <c r="J5349" s="353" t="str">
        <f>IFERROR(IF([1]F_ProductBM!J2643 = "", "", [1]F_ProductBM!J2643 ),"")</f>
        <v/>
      </c>
      <c r="K5349" s="351" t="str">
        <f>IFERROR(IF([1]F_ProductBM!K2643 = "", "", [1]F_ProductBM!K2643 ),"")</f>
        <v/>
      </c>
      <c r="L5349" s="351" t="str">
        <f>IFERROR(IF([1]F_ProductBM!L2643 = "", "", [1]F_ProductBM!L2643 ),"")</f>
        <v/>
      </c>
      <c r="M5349" s="351" t="str">
        <f>IFERROR(IF([1]F_ProductBM!M2643 = "", "", [1]F_ProductBM!M2643 ),"")</f>
        <v/>
      </c>
      <c r="N5349" s="354" t="str">
        <f>IFERROR(IF([1]F_ProductBM!N2643 = "", "", [1]F_ProductBM!N2643 ),"")</f>
        <v/>
      </c>
    </row>
    <row r="5350" spans="3:14">
      <c r="C5350" s="977"/>
      <c r="D5350" s="777" t="s">
        <v>788</v>
      </c>
      <c r="E5350" s="2475" t="s">
        <v>1258</v>
      </c>
      <c r="F5350" s="2410"/>
      <c r="G5350" s="815" t="s">
        <v>2018</v>
      </c>
      <c r="H5350" s="93" t="str">
        <f>IFERROR(IF([1]F_ProductBM!H2644 = "", "", [1]F_ProductBM!H2644 ),"")</f>
        <v/>
      </c>
      <c r="I5350" s="116" t="str">
        <f>IFERROR(IF([1]F_ProductBM!I2644 = "", "", [1]F_ProductBM!I2644 ),"")</f>
        <v/>
      </c>
      <c r="J5350" s="117" t="str">
        <f>IFERROR(IF([1]F_ProductBM!J2644 = "", "", [1]F_ProductBM!J2644 ),"")</f>
        <v/>
      </c>
      <c r="K5350" s="93" t="str">
        <f>IFERROR(IF([1]F_ProductBM!K2644 = "", "", [1]F_ProductBM!K2644 ),"")</f>
        <v/>
      </c>
      <c r="L5350" s="93" t="str">
        <f>IFERROR(IF([1]F_ProductBM!L2644 = "", "", [1]F_ProductBM!L2644 ),"")</f>
        <v/>
      </c>
      <c r="M5350" s="93" t="str">
        <f>IFERROR(IF([1]F_ProductBM!M2644 = "", "", [1]F_ProductBM!M2644 ),"")</f>
        <v/>
      </c>
      <c r="N5350" s="118" t="str">
        <f>IFERROR(IF([1]F_ProductBM!N2644 = "", "", [1]F_ProductBM!N2644 ),"")</f>
        <v/>
      </c>
    </row>
    <row r="5351" spans="3:14">
      <c r="C5351" s="977"/>
      <c r="D5351" s="981"/>
      <c r="E5351" s="981"/>
      <c r="F5351" s="981"/>
      <c r="G5351" s="981"/>
      <c r="H5351" s="983"/>
      <c r="I5351" s="981"/>
      <c r="J5351" s="981"/>
      <c r="K5351" s="981"/>
      <c r="L5351" s="981"/>
      <c r="M5351" s="813"/>
      <c r="N5351" s="814"/>
    </row>
    <row r="5352" spans="3:14">
      <c r="C5352" s="977"/>
      <c r="D5352" s="777" t="s">
        <v>789</v>
      </c>
      <c r="E5352" s="2649" t="s">
        <v>1301</v>
      </c>
      <c r="F5352" s="2391"/>
      <c r="G5352" s="2391"/>
      <c r="H5352" s="2512"/>
      <c r="I5352" s="2683" t="str">
        <f>IFERROR(IF([1]F_ProductBM!I2646 = "", "", [1]F_ProductBM!I2646 ),"")</f>
        <v/>
      </c>
      <c r="J5352" s="2488"/>
      <c r="K5352" s="2488"/>
      <c r="L5352" s="2488"/>
      <c r="M5352" s="2686"/>
      <c r="N5352" s="979"/>
    </row>
    <row r="5353" spans="3:14">
      <c r="C5353" s="977"/>
      <c r="D5353" s="777"/>
      <c r="E5353" s="2669" t="s">
        <v>1606</v>
      </c>
      <c r="F5353" s="2391"/>
      <c r="G5353" s="2391"/>
      <c r="H5353" s="2391"/>
      <c r="I5353" s="2391"/>
      <c r="J5353" s="2391"/>
      <c r="K5353" s="2391"/>
      <c r="L5353" s="2391"/>
      <c r="M5353" s="2391"/>
      <c r="N5353" s="2650"/>
    </row>
    <row r="5354" spans="3:14">
      <c r="C5354" s="977"/>
      <c r="D5354" s="981"/>
      <c r="E5354" s="2676" t="s">
        <v>1557</v>
      </c>
      <c r="F5354" s="2391"/>
      <c r="G5354" s="2391"/>
      <c r="H5354" s="2391"/>
      <c r="I5354" s="2391"/>
      <c r="J5354" s="2391"/>
      <c r="K5354" s="2391"/>
      <c r="L5354" s="2391"/>
      <c r="M5354" s="2391"/>
      <c r="N5354" s="2650"/>
    </row>
    <row r="5355" spans="3:14">
      <c r="C5355" s="977"/>
      <c r="D5355" s="981"/>
      <c r="E5355" s="989"/>
      <c r="F5355" s="990"/>
      <c r="G5355" s="987" t="s">
        <v>884</v>
      </c>
      <c r="H5355" s="782">
        <v>2019</v>
      </c>
      <c r="I5355" s="988">
        <v>2020</v>
      </c>
      <c r="J5355" s="781">
        <v>2021</v>
      </c>
      <c r="K5355" s="782">
        <v>2022</v>
      </c>
      <c r="L5355" s="782">
        <v>2023</v>
      </c>
      <c r="M5355" s="782">
        <v>2024</v>
      </c>
      <c r="N5355" s="783">
        <v>2025</v>
      </c>
    </row>
    <row r="5356" spans="3:14">
      <c r="C5356" s="977"/>
      <c r="D5356" s="777" t="s">
        <v>790</v>
      </c>
      <c r="E5356" s="2471" t="s">
        <v>1306</v>
      </c>
      <c r="F5356" s="2472"/>
      <c r="G5356" s="67" t="str">
        <f>IFERROR(IF([1]F_ProductBM!G2650 = "", "", [1]F_ProductBM!G2650 ),"")</f>
        <v/>
      </c>
      <c r="H5356" s="94" t="str">
        <f>IFERROR(IF([1]F_ProductBM!H2650 = "", "", [1]F_ProductBM!H2650 ),"")</f>
        <v/>
      </c>
      <c r="I5356" s="110" t="str">
        <f>IFERROR(IF([1]F_ProductBM!I2650 = "", "", [1]F_ProductBM!I2650 ),"")</f>
        <v/>
      </c>
      <c r="J5356" s="111" t="str">
        <f>IFERROR(IF([1]F_ProductBM!J2650 = "", "", [1]F_ProductBM!J2650 ),"")</f>
        <v/>
      </c>
      <c r="K5356" s="94" t="str">
        <f>IFERROR(IF([1]F_ProductBM!K2650 = "", "", [1]F_ProductBM!K2650 ),"")</f>
        <v/>
      </c>
      <c r="L5356" s="94" t="str">
        <f>IFERROR(IF([1]F_ProductBM!L2650 = "", "", [1]F_ProductBM!L2650 ),"")</f>
        <v/>
      </c>
      <c r="M5356" s="94" t="str">
        <f>IFERROR(IF([1]F_ProductBM!M2650 = "", "", [1]F_ProductBM!M2650 ),"")</f>
        <v/>
      </c>
      <c r="N5356" s="112" t="str">
        <f>IFERROR(IF([1]F_ProductBM!N2650 = "", "", [1]F_ProductBM!N2650 ),"")</f>
        <v/>
      </c>
    </row>
    <row r="5357" spans="3:14">
      <c r="C5357" s="977"/>
      <c r="D5357" s="777" t="s">
        <v>791</v>
      </c>
      <c r="E5357" s="2473" t="s">
        <v>661</v>
      </c>
      <c r="F5357" s="2474"/>
      <c r="G5357" s="350" t="str">
        <f>IFERROR(IF([1]F_ProductBM!G2651 = "", "", [1]F_ProductBM!G2651 ),"")</f>
        <v>GJ / Unit</v>
      </c>
      <c r="H5357" s="95" t="str">
        <f>IFERROR(IF([1]F_ProductBM!H2651 = "", "", [1]F_ProductBM!H2651 ),"")</f>
        <v/>
      </c>
      <c r="I5357" s="113" t="str">
        <f>IFERROR(IF([1]F_ProductBM!I2651 = "", "", [1]F_ProductBM!I2651 ),"")</f>
        <v/>
      </c>
      <c r="J5357" s="114" t="str">
        <f>IFERROR(IF([1]F_ProductBM!J2651 = "", "", [1]F_ProductBM!J2651 ),"")</f>
        <v/>
      </c>
      <c r="K5357" s="95" t="str">
        <f>IFERROR(IF([1]F_ProductBM!K2651 = "", "", [1]F_ProductBM!K2651 ),"")</f>
        <v/>
      </c>
      <c r="L5357" s="95" t="str">
        <f>IFERROR(IF([1]F_ProductBM!L2651 = "", "", [1]F_ProductBM!L2651 ),"")</f>
        <v/>
      </c>
      <c r="M5357" s="95" t="str">
        <f>IFERROR(IF([1]F_ProductBM!M2651 = "", "", [1]F_ProductBM!M2651 ),"")</f>
        <v/>
      </c>
      <c r="N5357" s="115" t="str">
        <f>IFERROR(IF([1]F_ProductBM!N2651 = "", "", [1]F_ProductBM!N2651 ),"")</f>
        <v/>
      </c>
    </row>
    <row r="5358" spans="3:14">
      <c r="C5358" s="977"/>
      <c r="D5358" s="777" t="s">
        <v>64</v>
      </c>
      <c r="E5358" s="2475" t="s">
        <v>1309</v>
      </c>
      <c r="F5358" s="2410"/>
      <c r="G5358" s="815" t="s">
        <v>2017</v>
      </c>
      <c r="H5358" s="351" t="str">
        <f>IFERROR(IF([1]F_ProductBM!H2652 = "", "", [1]F_ProductBM!H2652 ),"")</f>
        <v/>
      </c>
      <c r="I5358" s="352" t="str">
        <f>IFERROR(IF([1]F_ProductBM!I2652 = "", "", [1]F_ProductBM!I2652 ),"")</f>
        <v/>
      </c>
      <c r="J5358" s="353" t="str">
        <f>IFERROR(IF([1]F_ProductBM!J2652 = "", "", [1]F_ProductBM!J2652 ),"")</f>
        <v/>
      </c>
      <c r="K5358" s="351" t="str">
        <f>IFERROR(IF([1]F_ProductBM!K2652 = "", "", [1]F_ProductBM!K2652 ),"")</f>
        <v/>
      </c>
      <c r="L5358" s="351" t="str">
        <f>IFERROR(IF([1]F_ProductBM!L2652 = "", "", [1]F_ProductBM!L2652 ),"")</f>
        <v/>
      </c>
      <c r="M5358" s="351" t="str">
        <f>IFERROR(IF([1]F_ProductBM!M2652 = "", "", [1]F_ProductBM!M2652 ),"")</f>
        <v/>
      </c>
      <c r="N5358" s="354" t="str">
        <f>IFERROR(IF([1]F_ProductBM!N2652 = "", "", [1]F_ProductBM!N2652 ),"")</f>
        <v/>
      </c>
    </row>
    <row r="5359" spans="3:14">
      <c r="C5359" s="977"/>
      <c r="D5359" s="777" t="s">
        <v>65</v>
      </c>
      <c r="E5359" s="2475" t="s">
        <v>1307</v>
      </c>
      <c r="F5359" s="2410"/>
      <c r="G5359" s="815" t="s">
        <v>2018</v>
      </c>
      <c r="H5359" s="93" t="str">
        <f>IFERROR(IF([1]F_ProductBM!H2653 = "", "", [1]F_ProductBM!H2653 ),"")</f>
        <v/>
      </c>
      <c r="I5359" s="116" t="str">
        <f>IFERROR(IF([1]F_ProductBM!I2653 = "", "", [1]F_ProductBM!I2653 ),"")</f>
        <v/>
      </c>
      <c r="J5359" s="117" t="str">
        <f>IFERROR(IF([1]F_ProductBM!J2653 = "", "", [1]F_ProductBM!J2653 ),"")</f>
        <v/>
      </c>
      <c r="K5359" s="93" t="str">
        <f>IFERROR(IF([1]F_ProductBM!K2653 = "", "", [1]F_ProductBM!K2653 ),"")</f>
        <v/>
      </c>
      <c r="L5359" s="93" t="str">
        <f>IFERROR(IF([1]F_ProductBM!L2653 = "", "", [1]F_ProductBM!L2653 ),"")</f>
        <v/>
      </c>
      <c r="M5359" s="93" t="str">
        <f>IFERROR(IF([1]F_ProductBM!M2653 = "", "", [1]F_ProductBM!M2653 ),"")</f>
        <v/>
      </c>
      <c r="N5359" s="118" t="str">
        <f>IFERROR(IF([1]F_ProductBM!N2653 = "", "", [1]F_ProductBM!N2653 ),"")</f>
        <v/>
      </c>
    </row>
    <row r="5360" spans="3:14">
      <c r="C5360" s="977"/>
      <c r="D5360" s="981"/>
      <c r="E5360" s="981"/>
      <c r="F5360" s="981"/>
      <c r="G5360" s="981"/>
      <c r="H5360" s="983"/>
      <c r="I5360" s="981"/>
      <c r="J5360" s="981"/>
      <c r="K5360" s="981"/>
      <c r="L5360" s="981"/>
      <c r="M5360" s="813"/>
      <c r="N5360" s="814"/>
    </row>
    <row r="5361" spans="3:14">
      <c r="C5361" s="977"/>
      <c r="D5361" s="777" t="s">
        <v>66</v>
      </c>
      <c r="E5361" s="2649" t="s">
        <v>1287</v>
      </c>
      <c r="F5361" s="2391"/>
      <c r="G5361" s="2391"/>
      <c r="H5361" s="2512"/>
      <c r="I5361" s="2683" t="str">
        <f>IFERROR(IF([1]F_ProductBM!I2655 = "", "", [1]F_ProductBM!I2655 ),"")</f>
        <v/>
      </c>
      <c r="J5361" s="2488"/>
      <c r="K5361" s="2488"/>
      <c r="L5361" s="2488"/>
      <c r="M5361" s="2686"/>
      <c r="N5361" s="979"/>
    </row>
    <row r="5362" spans="3:14">
      <c r="C5362" s="977"/>
      <c r="D5362" s="777"/>
      <c r="E5362" s="2669" t="s">
        <v>1476</v>
      </c>
      <c r="F5362" s="2391"/>
      <c r="G5362" s="2391"/>
      <c r="H5362" s="2391"/>
      <c r="I5362" s="2391"/>
      <c r="J5362" s="2391"/>
      <c r="K5362" s="2391"/>
      <c r="L5362" s="2391"/>
      <c r="M5362" s="2391"/>
      <c r="N5362" s="2650"/>
    </row>
    <row r="5363" spans="3:14">
      <c r="C5363" s="977"/>
      <c r="D5363" s="981"/>
      <c r="E5363" s="2669" t="s">
        <v>1558</v>
      </c>
      <c r="F5363" s="2391"/>
      <c r="G5363" s="2391"/>
      <c r="H5363" s="2391"/>
      <c r="I5363" s="2391"/>
      <c r="J5363" s="2391"/>
      <c r="K5363" s="2391"/>
      <c r="L5363" s="2391"/>
      <c r="M5363" s="2391"/>
      <c r="N5363" s="2650"/>
    </row>
    <row r="5364" spans="3:14">
      <c r="C5364" s="977"/>
      <c r="D5364" s="981"/>
      <c r="E5364" s="2676" t="s">
        <v>1559</v>
      </c>
      <c r="F5364" s="2391"/>
      <c r="G5364" s="2391"/>
      <c r="H5364" s="2391"/>
      <c r="I5364" s="2391"/>
      <c r="J5364" s="2391"/>
      <c r="K5364" s="2391"/>
      <c r="L5364" s="2391"/>
      <c r="M5364" s="2391"/>
      <c r="N5364" s="2650"/>
    </row>
    <row r="5365" spans="3:14">
      <c r="C5365" s="977"/>
      <c r="D5365" s="981"/>
      <c r="E5365" s="989"/>
      <c r="F5365" s="990"/>
      <c r="G5365" s="987" t="s">
        <v>884</v>
      </c>
      <c r="H5365" s="782">
        <v>2019</v>
      </c>
      <c r="I5365" s="988">
        <v>2020</v>
      </c>
      <c r="J5365" s="781">
        <v>2021</v>
      </c>
      <c r="K5365" s="782">
        <v>2022</v>
      </c>
      <c r="L5365" s="782">
        <v>2023</v>
      </c>
      <c r="M5365" s="782">
        <v>2024</v>
      </c>
      <c r="N5365" s="783">
        <v>2025</v>
      </c>
    </row>
    <row r="5366" spans="3:14">
      <c r="C5366" s="977"/>
      <c r="D5366" s="777" t="s">
        <v>1105</v>
      </c>
      <c r="E5366" s="2471" t="s">
        <v>1302</v>
      </c>
      <c r="F5366" s="2472"/>
      <c r="G5366" s="67" t="str">
        <f>IFERROR(IF([1]F_ProductBM!G2660 = "", "", [1]F_ProductBM!G2660 ),"")</f>
        <v/>
      </c>
      <c r="H5366" s="94" t="str">
        <f>IFERROR(IF([1]F_ProductBM!H2660 = "", "", [1]F_ProductBM!H2660 ),"")</f>
        <v/>
      </c>
      <c r="I5366" s="110" t="str">
        <f>IFERROR(IF([1]F_ProductBM!I2660 = "", "", [1]F_ProductBM!I2660 ),"")</f>
        <v/>
      </c>
      <c r="J5366" s="111" t="str">
        <f>IFERROR(IF([1]F_ProductBM!J2660 = "", "", [1]F_ProductBM!J2660 ),"")</f>
        <v/>
      </c>
      <c r="K5366" s="94" t="str">
        <f>IFERROR(IF([1]F_ProductBM!K2660 = "", "", [1]F_ProductBM!K2660 ),"")</f>
        <v/>
      </c>
      <c r="L5366" s="94" t="str">
        <f>IFERROR(IF([1]F_ProductBM!L2660 = "", "", [1]F_ProductBM!L2660 ),"")</f>
        <v/>
      </c>
      <c r="M5366" s="94" t="str">
        <f>IFERROR(IF([1]F_ProductBM!M2660 = "", "", [1]F_ProductBM!M2660 ),"")</f>
        <v/>
      </c>
      <c r="N5366" s="112" t="str">
        <f>IFERROR(IF([1]F_ProductBM!N2660 = "", "", [1]F_ProductBM!N2660 ),"")</f>
        <v/>
      </c>
    </row>
    <row r="5367" spans="3:14">
      <c r="C5367" s="977"/>
      <c r="D5367" s="777" t="s">
        <v>1106</v>
      </c>
      <c r="E5367" s="2473" t="s">
        <v>661</v>
      </c>
      <c r="F5367" s="2474"/>
      <c r="G5367" s="350" t="str">
        <f>IFERROR(IF([1]F_ProductBM!G2661 = "", "", [1]F_ProductBM!G2661 ),"")</f>
        <v>GJ / Unit</v>
      </c>
      <c r="H5367" s="95" t="str">
        <f>IFERROR(IF([1]F_ProductBM!H2661 = "", "", [1]F_ProductBM!H2661 ),"")</f>
        <v/>
      </c>
      <c r="I5367" s="113" t="str">
        <f>IFERROR(IF([1]F_ProductBM!I2661 = "", "", [1]F_ProductBM!I2661 ),"")</f>
        <v/>
      </c>
      <c r="J5367" s="114" t="str">
        <f>IFERROR(IF([1]F_ProductBM!J2661 = "", "", [1]F_ProductBM!J2661 ),"")</f>
        <v/>
      </c>
      <c r="K5367" s="95" t="str">
        <f>IFERROR(IF([1]F_ProductBM!K2661 = "", "", [1]F_ProductBM!K2661 ),"")</f>
        <v/>
      </c>
      <c r="L5367" s="95" t="str">
        <f>IFERROR(IF([1]F_ProductBM!L2661 = "", "", [1]F_ProductBM!L2661 ),"")</f>
        <v/>
      </c>
      <c r="M5367" s="95" t="str">
        <f>IFERROR(IF([1]F_ProductBM!M2661 = "", "", [1]F_ProductBM!M2661 ),"")</f>
        <v/>
      </c>
      <c r="N5367" s="115" t="str">
        <f>IFERROR(IF([1]F_ProductBM!N2661 = "", "", [1]F_ProductBM!N2661 ),"")</f>
        <v/>
      </c>
    </row>
    <row r="5368" spans="3:14">
      <c r="C5368" s="977"/>
      <c r="D5368" s="777" t="s">
        <v>1107</v>
      </c>
      <c r="E5368" s="2475" t="s">
        <v>1288</v>
      </c>
      <c r="F5368" s="2410"/>
      <c r="G5368" s="815" t="s">
        <v>2017</v>
      </c>
      <c r="H5368" s="351" t="str">
        <f>IFERROR(IF([1]F_ProductBM!H2662 = "", "", [1]F_ProductBM!H2662 ),"")</f>
        <v/>
      </c>
      <c r="I5368" s="352" t="str">
        <f>IFERROR(IF([1]F_ProductBM!I2662 = "", "", [1]F_ProductBM!I2662 ),"")</f>
        <v/>
      </c>
      <c r="J5368" s="353" t="str">
        <f>IFERROR(IF([1]F_ProductBM!J2662 = "", "", [1]F_ProductBM!J2662 ),"")</f>
        <v/>
      </c>
      <c r="K5368" s="351" t="str">
        <f>IFERROR(IF([1]F_ProductBM!K2662 = "", "", [1]F_ProductBM!K2662 ),"")</f>
        <v/>
      </c>
      <c r="L5368" s="351" t="str">
        <f>IFERROR(IF([1]F_ProductBM!L2662 = "", "", [1]F_ProductBM!L2662 ),"")</f>
        <v/>
      </c>
      <c r="M5368" s="351" t="str">
        <f>IFERROR(IF([1]F_ProductBM!M2662 = "", "", [1]F_ProductBM!M2662 ),"")</f>
        <v/>
      </c>
      <c r="N5368" s="354" t="str">
        <f>IFERROR(IF([1]F_ProductBM!N2662 = "", "", [1]F_ProductBM!N2662 ),"")</f>
        <v/>
      </c>
    </row>
    <row r="5369" spans="3:14">
      <c r="C5369" s="977"/>
      <c r="D5369" s="777" t="s">
        <v>1108</v>
      </c>
      <c r="E5369" s="2475" t="s">
        <v>1308</v>
      </c>
      <c r="F5369" s="2410"/>
      <c r="G5369" s="815" t="s">
        <v>2018</v>
      </c>
      <c r="H5369" s="93" t="str">
        <f>IFERROR(IF([1]F_ProductBM!H2663 = "", "", [1]F_ProductBM!H2663 ),"")</f>
        <v/>
      </c>
      <c r="I5369" s="116" t="str">
        <f>IFERROR(IF([1]F_ProductBM!I2663 = "", "", [1]F_ProductBM!I2663 ),"")</f>
        <v/>
      </c>
      <c r="J5369" s="117" t="str">
        <f>IFERROR(IF([1]F_ProductBM!J2663 = "", "", [1]F_ProductBM!J2663 ),"")</f>
        <v/>
      </c>
      <c r="K5369" s="93" t="str">
        <f>IFERROR(IF([1]F_ProductBM!K2663 = "", "", [1]F_ProductBM!K2663 ),"")</f>
        <v/>
      </c>
      <c r="L5369" s="93" t="str">
        <f>IFERROR(IF([1]F_ProductBM!L2663 = "", "", [1]F_ProductBM!L2663 ),"")</f>
        <v/>
      </c>
      <c r="M5369" s="93" t="str">
        <f>IFERROR(IF([1]F_ProductBM!M2663 = "", "", [1]F_ProductBM!M2663 ),"")</f>
        <v/>
      </c>
      <c r="N5369" s="118" t="str">
        <f>IFERROR(IF([1]F_ProductBM!N2663 = "", "", [1]F_ProductBM!N2663 ),"")</f>
        <v/>
      </c>
    </row>
    <row r="5370" spans="3:14">
      <c r="C5370" s="977"/>
      <c r="D5370" s="981"/>
      <c r="E5370" s="981"/>
      <c r="F5370" s="981"/>
      <c r="G5370" s="981"/>
      <c r="H5370" s="983"/>
      <c r="I5370" s="981"/>
      <c r="J5370" s="981"/>
      <c r="K5370" s="981"/>
      <c r="L5370" s="981"/>
      <c r="M5370" s="813"/>
      <c r="N5370" s="814"/>
    </row>
    <row r="5371" spans="3:14">
      <c r="C5371" s="977"/>
      <c r="D5371" s="981"/>
      <c r="E5371" s="2475" t="s">
        <v>1844</v>
      </c>
      <c r="F5371" s="2475"/>
      <c r="G5371" s="1009" t="s">
        <v>471</v>
      </c>
      <c r="H5371" s="62" t="str">
        <f>IFERROR(IF([1]F_ProductBM!H2665 = "", "", [1]F_ProductBM!H2665 ),"")</f>
        <v/>
      </c>
      <c r="I5371" s="65" t="str">
        <f>IFERROR(IF([1]F_ProductBM!I2665 = "", "", [1]F_ProductBM!I2665 ),"")</f>
        <v/>
      </c>
      <c r="J5371" s="69" t="str">
        <f>IFERROR(IF([1]F_ProductBM!J2665 = "", "", [1]F_ProductBM!J2665 ),"")</f>
        <v/>
      </c>
      <c r="K5371" s="62" t="str">
        <f>IFERROR(IF([1]F_ProductBM!K2665 = "", "", [1]F_ProductBM!K2665 ),"")</f>
        <v/>
      </c>
      <c r="L5371" s="62" t="str">
        <f>IFERROR(IF([1]F_ProductBM!L2665 = "", "", [1]F_ProductBM!L2665 ),"")</f>
        <v/>
      </c>
      <c r="M5371" s="62" t="str">
        <f>IFERROR(IF([1]F_ProductBM!M2665 = "", "", [1]F_ProductBM!M2665 ),"")</f>
        <v/>
      </c>
      <c r="N5371" s="62" t="str">
        <f>IFERROR(IF([1]F_ProductBM!N2665 = "", "", [1]F_ProductBM!N2665 ),"")</f>
        <v/>
      </c>
    </row>
    <row r="5372" spans="3:14" ht="13.5" thickBot="1">
      <c r="C5372" s="977"/>
      <c r="D5372" s="981"/>
      <c r="E5372" s="981"/>
      <c r="F5372" s="981"/>
      <c r="G5372" s="981"/>
      <c r="H5372" s="983"/>
      <c r="I5372" s="981"/>
      <c r="J5372" s="981"/>
      <c r="K5372" s="981"/>
      <c r="L5372" s="981"/>
      <c r="M5372" s="813"/>
      <c r="N5372" s="814"/>
    </row>
    <row r="5373" spans="3:14">
      <c r="C5373" s="977"/>
      <c r="D5373" s="1010"/>
      <c r="E5373" s="1011"/>
      <c r="F5373" s="1011"/>
      <c r="G5373" s="1011"/>
      <c r="H5373" s="1012"/>
      <c r="I5373" s="1011"/>
      <c r="J5373" s="1011"/>
      <c r="K5373" s="1011"/>
      <c r="L5373" s="1011"/>
      <c r="M5373" s="942"/>
      <c r="N5373" s="943"/>
    </row>
    <row r="5374" spans="3:14">
      <c r="C5374" s="977"/>
      <c r="D5374" s="907" t="s">
        <v>1917</v>
      </c>
      <c r="E5374" s="2713" t="s">
        <v>1773</v>
      </c>
      <c r="F5374" s="2493"/>
      <c r="G5374" s="2493"/>
      <c r="H5374" s="910" t="s">
        <v>884</v>
      </c>
      <c r="I5374" s="911" t="s">
        <v>2220</v>
      </c>
      <c r="J5374" s="912">
        <v>2021</v>
      </c>
      <c r="K5374" s="913">
        <v>2022</v>
      </c>
      <c r="L5374" s="913">
        <v>2023</v>
      </c>
      <c r="M5374" s="913">
        <v>2024</v>
      </c>
      <c r="N5374" s="914">
        <v>2025</v>
      </c>
    </row>
    <row r="5375" spans="3:14">
      <c r="C5375" s="977"/>
      <c r="D5375" s="915" t="s">
        <v>6</v>
      </c>
      <c r="E5375" s="2714" t="s">
        <v>1691</v>
      </c>
      <c r="F5375" s="2410"/>
      <c r="G5375" s="2410"/>
      <c r="H5375" s="944" t="s">
        <v>471</v>
      </c>
      <c r="I5375" s="281" t="str">
        <f>IFERROR(IF([1]F_ProductBM!I2669 = "", "", [1]F_ProductBM!I2669 ),"")</f>
        <v/>
      </c>
      <c r="J5375" s="334" t="str">
        <f>IFERROR(IF([1]F_ProductBM!J2669 = "", "", [1]F_ProductBM!J2669 ),"")</f>
        <v/>
      </c>
      <c r="K5375" s="335" t="str">
        <f>IFERROR(IF([1]F_ProductBM!K2669 = "", "", [1]F_ProductBM!K2669 ),"")</f>
        <v/>
      </c>
      <c r="L5375" s="335" t="str">
        <f>IFERROR(IF([1]F_ProductBM!L2669 = "", "", [1]F_ProductBM!L2669 ),"")</f>
        <v/>
      </c>
      <c r="M5375" s="335" t="str">
        <f>IFERROR(IF([1]F_ProductBM!M2669 = "", "", [1]F_ProductBM!M2669 ),"")</f>
        <v/>
      </c>
      <c r="N5375" s="336" t="str">
        <f>IFERROR(IF([1]F_ProductBM!N2669 = "", "", [1]F_ProductBM!N2669 ),"")</f>
        <v/>
      </c>
    </row>
    <row r="5376" spans="3:14">
      <c r="C5376" s="977"/>
      <c r="D5376" s="915"/>
      <c r="E5376" s="2714" t="s">
        <v>1776</v>
      </c>
      <c r="F5376" s="2410"/>
      <c r="G5376" s="2410"/>
      <c r="H5376" s="921"/>
      <c r="I5376" s="916"/>
      <c r="J5376" s="319" t="str">
        <f>IFERROR(IF([1]F_ProductBM!J2670 = "", "", [1]F_ProductBM!J2670 ),"")</f>
        <v/>
      </c>
      <c r="K5376" s="320" t="str">
        <f>IFERROR(IF([1]F_ProductBM!K2670 = "", "", [1]F_ProductBM!K2670 ),"")</f>
        <v/>
      </c>
      <c r="L5376" s="320" t="str">
        <f>IFERROR(IF([1]F_ProductBM!L2670 = "", "", [1]F_ProductBM!L2670 ),"")</f>
        <v/>
      </c>
      <c r="M5376" s="320" t="str">
        <f>IFERROR(IF([1]F_ProductBM!M2670 = "", "", [1]F_ProductBM!M2670 ),"")</f>
        <v/>
      </c>
      <c r="N5376" s="321" t="str">
        <f>IFERROR(IF([1]F_ProductBM!N2670 = "", "", [1]F_ProductBM!N2670 ),"")</f>
        <v/>
      </c>
    </row>
    <row r="5377" spans="3:14">
      <c r="C5377" s="977"/>
      <c r="D5377" s="915" t="s">
        <v>7</v>
      </c>
      <c r="E5377" s="2714" t="s">
        <v>1654</v>
      </c>
      <c r="F5377" s="2410"/>
      <c r="G5377" s="2410"/>
      <c r="H5377" s="921"/>
      <c r="I5377" s="916"/>
      <c r="J5377" s="288" t="str">
        <f>IFERROR(IF([1]F_ProductBM!J2671 = "", "", [1]F_ProductBM!J2671 ),"")</f>
        <v/>
      </c>
      <c r="K5377" s="289" t="str">
        <f>IFERROR(IF([1]F_ProductBM!K2671 = "", "", [1]F_ProductBM!K2671 ),"")</f>
        <v/>
      </c>
      <c r="L5377" s="289" t="str">
        <f>IFERROR(IF([1]F_ProductBM!L2671 = "", "", [1]F_ProductBM!L2671 ),"")</f>
        <v/>
      </c>
      <c r="M5377" s="289" t="str">
        <f>IFERROR(IF([1]F_ProductBM!M2671 = "", "", [1]F_ProductBM!M2671 ),"")</f>
        <v/>
      </c>
      <c r="N5377" s="290" t="str">
        <f>IFERROR(IF([1]F_ProductBM!N2671 = "", "", [1]F_ProductBM!N2671 ),"")</f>
        <v/>
      </c>
    </row>
    <row r="5378" spans="3:14">
      <c r="C5378" s="977"/>
      <c r="D5378" s="915"/>
      <c r="E5378" s="2714" t="s">
        <v>1689</v>
      </c>
      <c r="F5378" s="2410"/>
      <c r="G5378" s="2410"/>
      <c r="H5378" s="944" t="s">
        <v>471</v>
      </c>
      <c r="I5378" s="281" t="str">
        <f>IFERROR(IF([1]F_ProductBM!I2672 = "", "", [1]F_ProductBM!I2672 ),"")</f>
        <v/>
      </c>
      <c r="J5378" s="282" t="str">
        <f>IFERROR(IF([1]F_ProductBM!J2672 = "", "", [1]F_ProductBM!J2672 ),"")</f>
        <v/>
      </c>
      <c r="K5378" s="283" t="str">
        <f>IFERROR(IF([1]F_ProductBM!K2672 = "", "", [1]F_ProductBM!K2672 ),"")</f>
        <v/>
      </c>
      <c r="L5378" s="283" t="str">
        <f>IFERROR(IF([1]F_ProductBM!L2672 = "", "", [1]F_ProductBM!L2672 ),"")</f>
        <v/>
      </c>
      <c r="M5378" s="283" t="str">
        <f>IFERROR(IF([1]F_ProductBM!M2672 = "", "", [1]F_ProductBM!M2672 ),"")</f>
        <v/>
      </c>
      <c r="N5378" s="284" t="str">
        <f>IFERROR(IF([1]F_ProductBM!N2672 = "", "", [1]F_ProductBM!N2672 ),"")</f>
        <v/>
      </c>
    </row>
    <row r="5379" spans="3:14">
      <c r="C5379" s="977"/>
      <c r="D5379" s="915"/>
      <c r="E5379" s="909"/>
      <c r="F5379" s="909"/>
      <c r="G5379" s="909"/>
      <c r="H5379" s="909"/>
      <c r="I5379" s="909"/>
      <c r="J5379" s="909"/>
      <c r="K5379" s="909"/>
      <c r="L5379" s="909"/>
      <c r="M5379" s="909"/>
      <c r="N5379" s="922"/>
    </row>
    <row r="5380" spans="3:14">
      <c r="C5380" s="977"/>
      <c r="D5380" s="915"/>
      <c r="E5380" s="2713" t="s">
        <v>1653</v>
      </c>
      <c r="F5380" s="2493"/>
      <c r="G5380" s="2493"/>
      <c r="H5380" s="2493"/>
      <c r="I5380" s="2708"/>
      <c r="J5380" s="912">
        <v>2021</v>
      </c>
      <c r="K5380" s="913">
        <v>2022</v>
      </c>
      <c r="L5380" s="913">
        <v>2023</v>
      </c>
      <c r="M5380" s="913">
        <v>2024</v>
      </c>
      <c r="N5380" s="914">
        <v>2025</v>
      </c>
    </row>
    <row r="5381" spans="3:14">
      <c r="C5381" s="977"/>
      <c r="D5381" s="915" t="s">
        <v>8</v>
      </c>
      <c r="E5381" s="2714" t="s">
        <v>2108</v>
      </c>
      <c r="F5381" s="2410"/>
      <c r="G5381" s="2410"/>
      <c r="H5381" s="2410"/>
      <c r="I5381" s="2715"/>
      <c r="J5381" s="69" t="str">
        <f>IFERROR(IF([1]F_ProductBM!J2675 = "", "", [1]F_ProductBM!J2675 ),"")</f>
        <v/>
      </c>
      <c r="K5381" s="62" t="str">
        <f>IFERROR(IF([1]F_ProductBM!K2675 = "", "", [1]F_ProductBM!K2675 ),"")</f>
        <v/>
      </c>
      <c r="L5381" s="62" t="str">
        <f>IFERROR(IF([1]F_ProductBM!L2675 = "", "", [1]F_ProductBM!L2675 ),"")</f>
        <v/>
      </c>
      <c r="M5381" s="62" t="str">
        <f>IFERROR(IF([1]F_ProductBM!M2675 = "", "", [1]F_ProductBM!M2675 ),"")</f>
        <v/>
      </c>
      <c r="N5381" s="70" t="str">
        <f>IFERROR(IF([1]F_ProductBM!N2675 = "", "", [1]F_ProductBM!N2675 ),"")</f>
        <v/>
      </c>
    </row>
    <row r="5382" spans="3:14" ht="13.5" thickBot="1">
      <c r="C5382" s="977"/>
      <c r="D5382" s="915"/>
      <c r="E5382" s="909"/>
      <c r="F5382" s="909"/>
      <c r="G5382" s="909"/>
      <c r="H5382" s="909"/>
      <c r="I5382" s="909"/>
      <c r="J5382" s="909"/>
      <c r="K5382" s="909"/>
      <c r="L5382" s="909"/>
      <c r="M5382" s="909"/>
      <c r="N5382" s="922"/>
    </row>
    <row r="5383" spans="3:14" ht="13.5" thickBot="1">
      <c r="C5383" s="977"/>
      <c r="D5383" s="915" t="s">
        <v>18</v>
      </c>
      <c r="E5383" s="2714" t="s">
        <v>1657</v>
      </c>
      <c r="F5383" s="2410"/>
      <c r="G5383" s="2410"/>
      <c r="H5383" s="2410"/>
      <c r="I5383" s="2715"/>
      <c r="J5383" s="291" t="str">
        <f>IFERROR(IF([1]F_ProductBM!J2677 = "", "", [1]F_ProductBM!J2677 ),"")</f>
        <v/>
      </c>
      <c r="K5383" s="292" t="str">
        <f>IFERROR(IF([1]F_ProductBM!K2677 = "", "", [1]F_ProductBM!K2677 ),"")</f>
        <v/>
      </c>
      <c r="L5383" s="292" t="str">
        <f>IFERROR(IF([1]F_ProductBM!L2677 = "", "", [1]F_ProductBM!L2677 ),"")</f>
        <v/>
      </c>
      <c r="M5383" s="292" t="str">
        <f>IFERROR(IF([1]F_ProductBM!M2677 = "", "", [1]F_ProductBM!M2677 ),"")</f>
        <v/>
      </c>
      <c r="N5383" s="293" t="str">
        <f>IFERROR(IF([1]F_ProductBM!N2677 = "", "", [1]F_ProductBM!N2677 ),"")</f>
        <v/>
      </c>
    </row>
    <row r="5384" spans="3:14" ht="13.5" thickBot="1">
      <c r="C5384" s="977"/>
      <c r="D5384" s="915" t="s">
        <v>787</v>
      </c>
      <c r="E5384" s="2714" t="s">
        <v>1659</v>
      </c>
      <c r="F5384" s="2410"/>
      <c r="G5384" s="2410"/>
      <c r="H5384" s="944" t="s">
        <v>471</v>
      </c>
      <c r="I5384" s="281" t="str">
        <f>IFERROR(IF([1]F_ProductBM!I2678 = "", "", [1]F_ProductBM!I2678 ),"")</f>
        <v/>
      </c>
      <c r="J5384" s="294" t="str">
        <f>IFERROR(IF([1]F_ProductBM!J2678 = "", "", [1]F_ProductBM!J2678 ),"")</f>
        <v/>
      </c>
      <c r="K5384" s="295" t="str">
        <f>IFERROR(IF([1]F_ProductBM!K2678 = "", "", [1]F_ProductBM!K2678 ),"")</f>
        <v/>
      </c>
      <c r="L5384" s="295" t="str">
        <f>IFERROR(IF([1]F_ProductBM!L2678 = "", "", [1]F_ProductBM!L2678 ),"")</f>
        <v/>
      </c>
      <c r="M5384" s="295" t="str">
        <f>IFERROR(IF([1]F_ProductBM!M2678 = "", "", [1]F_ProductBM!M2678 ),"")</f>
        <v/>
      </c>
      <c r="N5384" s="296" t="str">
        <f>IFERROR(IF([1]F_ProductBM!N2678 = "", "", [1]F_ProductBM!N2678 ),"")</f>
        <v/>
      </c>
    </row>
    <row r="5385" spans="3:14" ht="13.5" thickBot="1">
      <c r="C5385" s="977"/>
      <c r="D5385" s="946"/>
      <c r="E5385" s="947"/>
      <c r="F5385" s="947"/>
      <c r="G5385" s="947"/>
      <c r="H5385" s="1014"/>
      <c r="I5385" s="947"/>
      <c r="J5385" s="947"/>
      <c r="K5385" s="947"/>
      <c r="L5385" s="947"/>
      <c r="M5385" s="925"/>
      <c r="N5385" s="926"/>
    </row>
    <row r="5386" spans="3:14">
      <c r="C5386" s="977"/>
      <c r="D5386" s="981"/>
      <c r="E5386" s="981"/>
      <c r="F5386" s="981"/>
      <c r="G5386" s="981"/>
      <c r="H5386" s="983"/>
      <c r="I5386" s="981"/>
      <c r="J5386" s="981"/>
      <c r="K5386" s="981"/>
      <c r="L5386" s="981"/>
      <c r="M5386" s="813"/>
      <c r="N5386" s="814"/>
    </row>
    <row r="5387" spans="3:14">
      <c r="C5387" s="977"/>
      <c r="D5387" s="777" t="s">
        <v>1109</v>
      </c>
      <c r="E5387" s="2649" t="s">
        <v>1218</v>
      </c>
      <c r="F5387" s="2391"/>
      <c r="G5387" s="2391"/>
      <c r="H5387" s="2512"/>
      <c r="I5387" s="2683" t="str">
        <f>IFERROR(IF([1]F_ProductBM!I2681 = "", "", [1]F_ProductBM!I2681 ),"")</f>
        <v/>
      </c>
      <c r="J5387" s="2488"/>
      <c r="K5387" s="2488"/>
      <c r="L5387" s="2488"/>
      <c r="M5387" s="2686"/>
      <c r="N5387" s="814"/>
    </row>
    <row r="5388" spans="3:14">
      <c r="C5388" s="977"/>
      <c r="D5388" s="777"/>
      <c r="E5388" s="2676" t="s">
        <v>2298</v>
      </c>
      <c r="F5388" s="2391"/>
      <c r="G5388" s="2391"/>
      <c r="H5388" s="2391"/>
      <c r="I5388" s="2391"/>
      <c r="J5388" s="2391"/>
      <c r="K5388" s="2391"/>
      <c r="L5388" s="2391"/>
      <c r="M5388" s="2391"/>
      <c r="N5388" s="2650"/>
    </row>
    <row r="5389" spans="3:14">
      <c r="C5389" s="977"/>
      <c r="D5389" s="777"/>
      <c r="E5389" s="2669" t="s">
        <v>1560</v>
      </c>
      <c r="F5389" s="2391"/>
      <c r="G5389" s="2391"/>
      <c r="H5389" s="2391"/>
      <c r="I5389" s="2391"/>
      <c r="J5389" s="2391"/>
      <c r="K5389" s="2391"/>
      <c r="L5389" s="2391"/>
      <c r="M5389" s="2391"/>
      <c r="N5389" s="2650"/>
    </row>
    <row r="5390" spans="3:14">
      <c r="C5390" s="977"/>
      <c r="D5390" s="981"/>
      <c r="E5390" s="989"/>
      <c r="F5390" s="990"/>
      <c r="G5390" s="987" t="s">
        <v>884</v>
      </c>
      <c r="H5390" s="782">
        <v>2019</v>
      </c>
      <c r="I5390" s="988">
        <v>2020</v>
      </c>
      <c r="J5390" s="781">
        <v>2021</v>
      </c>
      <c r="K5390" s="782">
        <v>2022</v>
      </c>
      <c r="L5390" s="782">
        <v>2023</v>
      </c>
      <c r="M5390" s="782">
        <v>2024</v>
      </c>
      <c r="N5390" s="783">
        <v>2025</v>
      </c>
    </row>
    <row r="5391" spans="3:14">
      <c r="C5391" s="977"/>
      <c r="D5391" s="777" t="s">
        <v>1110</v>
      </c>
      <c r="E5391" s="2471" t="s">
        <v>1303</v>
      </c>
      <c r="F5391" s="2472"/>
      <c r="G5391" s="67" t="str">
        <f>IFERROR(IF([1]F_ProductBM!G2685 = "", "", [1]F_ProductBM!G2685 ),"")</f>
        <v/>
      </c>
      <c r="H5391" s="94" t="str">
        <f>IFERROR(IF([1]F_ProductBM!H2685 = "", "", [1]F_ProductBM!H2685 ),"")</f>
        <v/>
      </c>
      <c r="I5391" s="110" t="str">
        <f>IFERROR(IF([1]F_ProductBM!I2685 = "", "", [1]F_ProductBM!I2685 ),"")</f>
        <v/>
      </c>
      <c r="J5391" s="111" t="str">
        <f>IFERROR(IF([1]F_ProductBM!J2685 = "", "", [1]F_ProductBM!J2685 ),"")</f>
        <v/>
      </c>
      <c r="K5391" s="94" t="str">
        <f>IFERROR(IF([1]F_ProductBM!K2685 = "", "", [1]F_ProductBM!K2685 ),"")</f>
        <v/>
      </c>
      <c r="L5391" s="94" t="str">
        <f>IFERROR(IF([1]F_ProductBM!L2685 = "", "", [1]F_ProductBM!L2685 ),"")</f>
        <v/>
      </c>
      <c r="M5391" s="94" t="str">
        <f>IFERROR(IF([1]F_ProductBM!M2685 = "", "", [1]F_ProductBM!M2685 ),"")</f>
        <v/>
      </c>
      <c r="N5391" s="112" t="str">
        <f>IFERROR(IF([1]F_ProductBM!N2685 = "", "", [1]F_ProductBM!N2685 ),"")</f>
        <v/>
      </c>
    </row>
    <row r="5392" spans="3:14">
      <c r="C5392" s="977"/>
      <c r="D5392" s="777" t="s">
        <v>1111</v>
      </c>
      <c r="E5392" s="2473" t="s">
        <v>661</v>
      </c>
      <c r="F5392" s="2474"/>
      <c r="G5392" s="350" t="str">
        <f>IFERROR(IF([1]F_ProductBM!G2686 = "", "", [1]F_ProductBM!G2686 ),"")</f>
        <v>GJ / Unit</v>
      </c>
      <c r="H5392" s="95" t="str">
        <f>IFERROR(IF([1]F_ProductBM!H2686 = "", "", [1]F_ProductBM!H2686 ),"")</f>
        <v/>
      </c>
      <c r="I5392" s="113" t="str">
        <f>IFERROR(IF([1]F_ProductBM!I2686 = "", "", [1]F_ProductBM!I2686 ),"")</f>
        <v/>
      </c>
      <c r="J5392" s="114" t="str">
        <f>IFERROR(IF([1]F_ProductBM!J2686 = "", "", [1]F_ProductBM!J2686 ),"")</f>
        <v/>
      </c>
      <c r="K5392" s="95" t="str">
        <f>IFERROR(IF([1]F_ProductBM!K2686 = "", "", [1]F_ProductBM!K2686 ),"")</f>
        <v/>
      </c>
      <c r="L5392" s="95" t="str">
        <f>IFERROR(IF([1]F_ProductBM!L2686 = "", "", [1]F_ProductBM!L2686 ),"")</f>
        <v/>
      </c>
      <c r="M5392" s="95" t="str">
        <f>IFERROR(IF([1]F_ProductBM!M2686 = "", "", [1]F_ProductBM!M2686 ),"")</f>
        <v/>
      </c>
      <c r="N5392" s="115" t="str">
        <f>IFERROR(IF([1]F_ProductBM!N2686 = "", "", [1]F_ProductBM!N2686 ),"")</f>
        <v/>
      </c>
    </row>
    <row r="5393" spans="3:14">
      <c r="C5393" s="977"/>
      <c r="D5393" s="777" t="s">
        <v>1112</v>
      </c>
      <c r="E5393" s="2475" t="s">
        <v>1102</v>
      </c>
      <c r="F5393" s="2410"/>
      <c r="G5393" s="815" t="s">
        <v>2017</v>
      </c>
      <c r="H5393" s="93" t="str">
        <f>IFERROR(IF([1]F_ProductBM!H2687 = "", "", [1]F_ProductBM!H2687 ),"")</f>
        <v/>
      </c>
      <c r="I5393" s="116" t="str">
        <f>IFERROR(IF([1]F_ProductBM!I2687 = "", "", [1]F_ProductBM!I2687 ),"")</f>
        <v/>
      </c>
      <c r="J5393" s="117" t="str">
        <f>IFERROR(IF([1]F_ProductBM!J2687 = "", "", [1]F_ProductBM!J2687 ),"")</f>
        <v/>
      </c>
      <c r="K5393" s="93" t="str">
        <f>IFERROR(IF([1]F_ProductBM!K2687 = "", "", [1]F_ProductBM!K2687 ),"")</f>
        <v/>
      </c>
      <c r="L5393" s="93" t="str">
        <f>IFERROR(IF([1]F_ProductBM!L2687 = "", "", [1]F_ProductBM!L2687 ),"")</f>
        <v/>
      </c>
      <c r="M5393" s="93" t="str">
        <f>IFERROR(IF([1]F_ProductBM!M2687 = "", "", [1]F_ProductBM!M2687 ),"")</f>
        <v/>
      </c>
      <c r="N5393" s="118" t="str">
        <f>IFERROR(IF([1]F_ProductBM!N2687 = "", "", [1]F_ProductBM!N2687 ),"")</f>
        <v/>
      </c>
    </row>
    <row r="5394" spans="3:14">
      <c r="C5394" s="977"/>
      <c r="D5394" s="777" t="s">
        <v>1113</v>
      </c>
      <c r="E5394" s="2475" t="s">
        <v>1275</v>
      </c>
      <c r="F5394" s="2410"/>
      <c r="G5394" s="815" t="s">
        <v>2018</v>
      </c>
      <c r="H5394" s="93" t="str">
        <f>IFERROR(IF([1]F_ProductBM!H2688 = "", "", [1]F_ProductBM!H2688 ),"")</f>
        <v/>
      </c>
      <c r="I5394" s="116" t="str">
        <f>IFERROR(IF([1]F_ProductBM!I2688 = "", "", [1]F_ProductBM!I2688 ),"")</f>
        <v/>
      </c>
      <c r="J5394" s="117" t="str">
        <f>IFERROR(IF([1]F_ProductBM!J2688 = "", "", [1]F_ProductBM!J2688 ),"")</f>
        <v/>
      </c>
      <c r="K5394" s="93" t="str">
        <f>IFERROR(IF([1]F_ProductBM!K2688 = "", "", [1]F_ProductBM!K2688 ),"")</f>
        <v/>
      </c>
      <c r="L5394" s="93" t="str">
        <f>IFERROR(IF([1]F_ProductBM!L2688 = "", "", [1]F_ProductBM!L2688 ),"")</f>
        <v/>
      </c>
      <c r="M5394" s="93" t="str">
        <f>IFERROR(IF([1]F_ProductBM!M2688 = "", "", [1]F_ProductBM!M2688 ),"")</f>
        <v/>
      </c>
      <c r="N5394" s="118" t="str">
        <f>IFERROR(IF([1]F_ProductBM!N2688 = "", "", [1]F_ProductBM!N2688 ),"")</f>
        <v/>
      </c>
    </row>
    <row r="5395" spans="3:14">
      <c r="C5395" s="977"/>
      <c r="D5395" s="981"/>
      <c r="E5395" s="981"/>
      <c r="F5395" s="981"/>
      <c r="G5395" s="981"/>
      <c r="H5395" s="983"/>
      <c r="I5395" s="981"/>
      <c r="J5395" s="981"/>
      <c r="K5395" s="981"/>
      <c r="L5395" s="981"/>
      <c r="M5395" s="813"/>
      <c r="N5395" s="814"/>
    </row>
    <row r="5396" spans="3:14">
      <c r="C5396" s="977"/>
      <c r="D5396" s="777" t="s">
        <v>1114</v>
      </c>
      <c r="E5396" s="2649" t="s">
        <v>1217</v>
      </c>
      <c r="F5396" s="2391"/>
      <c r="G5396" s="2391"/>
      <c r="H5396" s="2512"/>
      <c r="I5396" s="2683" t="str">
        <f>IFERROR(IF([1]F_ProductBM!I2690 = "", "", [1]F_ProductBM!I2690 ),"")</f>
        <v/>
      </c>
      <c r="J5396" s="2488"/>
      <c r="K5396" s="2488"/>
      <c r="L5396" s="2488"/>
      <c r="M5396" s="2686"/>
      <c r="N5396" s="979"/>
    </row>
    <row r="5397" spans="3:14">
      <c r="C5397" s="977"/>
      <c r="D5397" s="777"/>
      <c r="E5397" s="2676" t="s">
        <v>2298</v>
      </c>
      <c r="F5397" s="2391"/>
      <c r="G5397" s="2391"/>
      <c r="H5397" s="2391"/>
      <c r="I5397" s="2391"/>
      <c r="J5397" s="2391"/>
      <c r="K5397" s="2391"/>
      <c r="L5397" s="2391"/>
      <c r="M5397" s="2391"/>
      <c r="N5397" s="2650"/>
    </row>
    <row r="5398" spans="3:14">
      <c r="C5398" s="977"/>
      <c r="D5398" s="777"/>
      <c r="E5398" s="2669" t="s">
        <v>1317</v>
      </c>
      <c r="F5398" s="2391"/>
      <c r="G5398" s="2391"/>
      <c r="H5398" s="2391"/>
      <c r="I5398" s="2391"/>
      <c r="J5398" s="2391"/>
      <c r="K5398" s="2391"/>
      <c r="L5398" s="2391"/>
      <c r="M5398" s="2391"/>
      <c r="N5398" s="2650"/>
    </row>
    <row r="5399" spans="3:14">
      <c r="C5399" s="977"/>
      <c r="D5399" s="981"/>
      <c r="E5399" s="989"/>
      <c r="F5399" s="990"/>
      <c r="G5399" s="987" t="s">
        <v>884</v>
      </c>
      <c r="H5399" s="782">
        <v>2019</v>
      </c>
      <c r="I5399" s="988">
        <v>2020</v>
      </c>
      <c r="J5399" s="781">
        <v>2021</v>
      </c>
      <c r="K5399" s="782">
        <v>2022</v>
      </c>
      <c r="L5399" s="782">
        <v>2023</v>
      </c>
      <c r="M5399" s="782">
        <v>2024</v>
      </c>
      <c r="N5399" s="783">
        <v>2025</v>
      </c>
    </row>
    <row r="5400" spans="3:14">
      <c r="C5400" s="977"/>
      <c r="D5400" s="777" t="s">
        <v>1115</v>
      </c>
      <c r="E5400" s="2471" t="s">
        <v>1304</v>
      </c>
      <c r="F5400" s="2472"/>
      <c r="G5400" s="67" t="str">
        <f>IFERROR(IF([1]F_ProductBM!G2694 = "", "", [1]F_ProductBM!G2694 ),"")</f>
        <v/>
      </c>
      <c r="H5400" s="94" t="str">
        <f>IFERROR(IF([1]F_ProductBM!H2694 = "", "", [1]F_ProductBM!H2694 ),"")</f>
        <v/>
      </c>
      <c r="I5400" s="110" t="str">
        <f>IFERROR(IF([1]F_ProductBM!I2694 = "", "", [1]F_ProductBM!I2694 ),"")</f>
        <v/>
      </c>
      <c r="J5400" s="111" t="str">
        <f>IFERROR(IF([1]F_ProductBM!J2694 = "", "", [1]F_ProductBM!J2694 ),"")</f>
        <v/>
      </c>
      <c r="K5400" s="94" t="str">
        <f>IFERROR(IF([1]F_ProductBM!K2694 = "", "", [1]F_ProductBM!K2694 ),"")</f>
        <v/>
      </c>
      <c r="L5400" s="94" t="str">
        <f>IFERROR(IF([1]F_ProductBM!L2694 = "", "", [1]F_ProductBM!L2694 ),"")</f>
        <v/>
      </c>
      <c r="M5400" s="94" t="str">
        <f>IFERROR(IF([1]F_ProductBM!M2694 = "", "", [1]F_ProductBM!M2694 ),"")</f>
        <v/>
      </c>
      <c r="N5400" s="112" t="str">
        <f>IFERROR(IF([1]F_ProductBM!N2694 = "", "", [1]F_ProductBM!N2694 ),"")</f>
        <v/>
      </c>
    </row>
    <row r="5401" spans="3:14">
      <c r="C5401" s="977"/>
      <c r="D5401" s="777" t="s">
        <v>1561</v>
      </c>
      <c r="E5401" s="2473" t="s">
        <v>661</v>
      </c>
      <c r="F5401" s="2474"/>
      <c r="G5401" s="350" t="str">
        <f>IFERROR(IF([1]F_ProductBM!G2695 = "", "", [1]F_ProductBM!G2695 ),"")</f>
        <v>GJ / Unit</v>
      </c>
      <c r="H5401" s="95" t="str">
        <f>IFERROR(IF([1]F_ProductBM!H2695 = "", "", [1]F_ProductBM!H2695 ),"")</f>
        <v/>
      </c>
      <c r="I5401" s="113" t="str">
        <f>IFERROR(IF([1]F_ProductBM!I2695 = "", "", [1]F_ProductBM!I2695 ),"")</f>
        <v/>
      </c>
      <c r="J5401" s="114" t="str">
        <f>IFERROR(IF([1]F_ProductBM!J2695 = "", "", [1]F_ProductBM!J2695 ),"")</f>
        <v/>
      </c>
      <c r="K5401" s="95" t="str">
        <f>IFERROR(IF([1]F_ProductBM!K2695 = "", "", [1]F_ProductBM!K2695 ),"")</f>
        <v/>
      </c>
      <c r="L5401" s="95" t="str">
        <f>IFERROR(IF([1]F_ProductBM!L2695 = "", "", [1]F_ProductBM!L2695 ),"")</f>
        <v/>
      </c>
      <c r="M5401" s="95" t="str">
        <f>IFERROR(IF([1]F_ProductBM!M2695 = "", "", [1]F_ProductBM!M2695 ),"")</f>
        <v/>
      </c>
      <c r="N5401" s="115" t="str">
        <f>IFERROR(IF([1]F_ProductBM!N2695 = "", "", [1]F_ProductBM!N2695 ),"")</f>
        <v/>
      </c>
    </row>
    <row r="5402" spans="3:14">
      <c r="C5402" s="977"/>
      <c r="D5402" s="777" t="s">
        <v>1599</v>
      </c>
      <c r="E5402" s="2475" t="s">
        <v>1080</v>
      </c>
      <c r="F5402" s="2410"/>
      <c r="G5402" s="815" t="s">
        <v>2017</v>
      </c>
      <c r="H5402" s="93" t="str">
        <f>IFERROR(IF([1]F_ProductBM!H2696 = "", "", [1]F_ProductBM!H2696 ),"")</f>
        <v/>
      </c>
      <c r="I5402" s="116" t="str">
        <f>IFERROR(IF([1]F_ProductBM!I2696 = "", "", [1]F_ProductBM!I2696 ),"")</f>
        <v/>
      </c>
      <c r="J5402" s="117" t="str">
        <f>IFERROR(IF([1]F_ProductBM!J2696 = "", "", [1]F_ProductBM!J2696 ),"")</f>
        <v/>
      </c>
      <c r="K5402" s="93" t="str">
        <f>IFERROR(IF([1]F_ProductBM!K2696 = "", "", [1]F_ProductBM!K2696 ),"")</f>
        <v/>
      </c>
      <c r="L5402" s="93" t="str">
        <f>IFERROR(IF([1]F_ProductBM!L2696 = "", "", [1]F_ProductBM!L2696 ),"")</f>
        <v/>
      </c>
      <c r="M5402" s="93" t="str">
        <f>IFERROR(IF([1]F_ProductBM!M2696 = "", "", [1]F_ProductBM!M2696 ),"")</f>
        <v/>
      </c>
      <c r="N5402" s="118" t="str">
        <f>IFERROR(IF([1]F_ProductBM!N2696 = "", "", [1]F_ProductBM!N2696 ),"")</f>
        <v/>
      </c>
    </row>
    <row r="5403" spans="3:14">
      <c r="C5403" s="977"/>
      <c r="D5403" s="777" t="s">
        <v>1600</v>
      </c>
      <c r="E5403" s="2475" t="s">
        <v>1276</v>
      </c>
      <c r="F5403" s="2410"/>
      <c r="G5403" s="815" t="s">
        <v>2018</v>
      </c>
      <c r="H5403" s="93" t="str">
        <f>IFERROR(IF([1]F_ProductBM!H2697 = "", "", [1]F_ProductBM!H2697 ),"")</f>
        <v/>
      </c>
      <c r="I5403" s="116" t="str">
        <f>IFERROR(IF([1]F_ProductBM!I2697 = "", "", [1]F_ProductBM!I2697 ),"")</f>
        <v/>
      </c>
      <c r="J5403" s="117" t="str">
        <f>IFERROR(IF([1]F_ProductBM!J2697 = "", "", [1]F_ProductBM!J2697 ),"")</f>
        <v/>
      </c>
      <c r="K5403" s="93" t="str">
        <f>IFERROR(IF([1]F_ProductBM!K2697 = "", "", [1]F_ProductBM!K2697 ),"")</f>
        <v/>
      </c>
      <c r="L5403" s="93" t="str">
        <f>IFERROR(IF([1]F_ProductBM!L2697 = "", "", [1]F_ProductBM!L2697 ),"")</f>
        <v/>
      </c>
      <c r="M5403" s="93" t="str">
        <f>IFERROR(IF([1]F_ProductBM!M2697 = "", "", [1]F_ProductBM!M2697 ),"")</f>
        <v/>
      </c>
      <c r="N5403" s="118" t="str">
        <f>IFERROR(IF([1]F_ProductBM!N2697 = "", "", [1]F_ProductBM!N2697 ),"")</f>
        <v/>
      </c>
    </row>
    <row r="5404" spans="3:14">
      <c r="C5404" s="977"/>
      <c r="D5404" s="981"/>
      <c r="E5404" s="981"/>
      <c r="F5404" s="981"/>
      <c r="G5404" s="981"/>
      <c r="H5404" s="981"/>
      <c r="I5404" s="983"/>
      <c r="J5404" s="981"/>
      <c r="K5404" s="981"/>
      <c r="L5404" s="981"/>
      <c r="M5404" s="981"/>
      <c r="N5404" s="814"/>
    </row>
    <row r="5405" spans="3:14">
      <c r="C5405" s="977"/>
      <c r="D5405" s="982" t="s">
        <v>482</v>
      </c>
      <c r="E5405" s="2649" t="s">
        <v>1127</v>
      </c>
      <c r="F5405" s="2391"/>
      <c r="G5405" s="2391"/>
      <c r="H5405" s="2391"/>
      <c r="I5405" s="2391"/>
      <c r="J5405" s="2391"/>
      <c r="K5405" s="2391"/>
      <c r="L5405" s="2391"/>
      <c r="M5405" s="2391"/>
      <c r="N5405" s="2650"/>
    </row>
    <row r="5406" spans="3:14">
      <c r="C5406" s="977"/>
      <c r="D5406" s="777"/>
      <c r="E5406" s="2676" t="s">
        <v>2302</v>
      </c>
      <c r="F5406" s="2391"/>
      <c r="G5406" s="2391"/>
      <c r="H5406" s="2391"/>
      <c r="I5406" s="2391"/>
      <c r="J5406" s="2391"/>
      <c r="K5406" s="2391"/>
      <c r="L5406" s="2391"/>
      <c r="M5406" s="2391"/>
      <c r="N5406" s="2650"/>
    </row>
    <row r="5407" spans="3:14" ht="21" customHeight="1">
      <c r="C5407" s="977"/>
      <c r="D5407" s="981"/>
      <c r="E5407" s="2669" t="s">
        <v>2710</v>
      </c>
      <c r="F5407" s="2391"/>
      <c r="G5407" s="2391"/>
      <c r="H5407" s="2391"/>
      <c r="I5407" s="2391"/>
      <c r="J5407" s="2391"/>
      <c r="K5407" s="2391"/>
      <c r="L5407" s="2391"/>
      <c r="M5407" s="2391"/>
      <c r="N5407" s="2650"/>
    </row>
    <row r="5408" spans="3:14">
      <c r="C5408" s="977"/>
      <c r="D5408" s="982"/>
      <c r="E5408" s="989"/>
      <c r="F5408" s="990"/>
      <c r="G5408" s="987" t="s">
        <v>884</v>
      </c>
      <c r="H5408" s="782">
        <v>2019</v>
      </c>
      <c r="I5408" s="988">
        <v>2020</v>
      </c>
      <c r="J5408" s="781">
        <v>2021</v>
      </c>
      <c r="K5408" s="782">
        <v>2022</v>
      </c>
      <c r="L5408" s="782">
        <v>2023</v>
      </c>
      <c r="M5408" s="782">
        <v>2024</v>
      </c>
      <c r="N5408" s="783">
        <v>2025</v>
      </c>
    </row>
    <row r="5409" spans="3:14">
      <c r="C5409" s="977"/>
      <c r="D5409" s="777"/>
      <c r="E5409" s="2475" t="s">
        <v>1354</v>
      </c>
      <c r="F5409" s="2410"/>
      <c r="G5409" s="815" t="s">
        <v>2021</v>
      </c>
      <c r="H5409" s="93" t="str">
        <f>IFERROR(IF([1]F_ProductBM!H2703 = "", "", [1]F_ProductBM!H2703 ),"")</f>
        <v/>
      </c>
      <c r="I5409" s="116" t="str">
        <f>IFERROR(IF([1]F_ProductBM!I2703 = "", "", [1]F_ProductBM!I2703 ),"")</f>
        <v/>
      </c>
      <c r="J5409" s="117" t="str">
        <f>IFERROR(IF([1]F_ProductBM!J2703 = "", "", [1]F_ProductBM!J2703 ),"")</f>
        <v/>
      </c>
      <c r="K5409" s="93" t="str">
        <f>IFERROR(IF([1]F_ProductBM!K2703 = "", "", [1]F_ProductBM!K2703 ),"")</f>
        <v/>
      </c>
      <c r="L5409" s="93" t="str">
        <f>IFERROR(IF([1]F_ProductBM!L2703 = "", "", [1]F_ProductBM!L2703 ),"")</f>
        <v/>
      </c>
      <c r="M5409" s="93" t="str">
        <f>IFERROR(IF([1]F_ProductBM!M2703 = "", "", [1]F_ProductBM!M2703 ),"")</f>
        <v/>
      </c>
      <c r="N5409" s="118" t="str">
        <f>IFERROR(IF([1]F_ProductBM!N2703 = "", "", [1]F_ProductBM!N2703 ),"")</f>
        <v/>
      </c>
    </row>
    <row r="5410" spans="3:14">
      <c r="C5410" s="977"/>
      <c r="D5410" s="981"/>
      <c r="E5410" s="981"/>
      <c r="F5410" s="981"/>
      <c r="G5410" s="981"/>
      <c r="H5410" s="981"/>
      <c r="I5410" s="983"/>
      <c r="J5410" s="981"/>
      <c r="K5410" s="981"/>
      <c r="L5410" s="981"/>
      <c r="M5410" s="981"/>
      <c r="N5410" s="814"/>
    </row>
    <row r="5411" spans="3:14">
      <c r="C5411" s="977"/>
      <c r="D5411" s="982" t="s">
        <v>245</v>
      </c>
      <c r="E5411" s="2649" t="s">
        <v>1157</v>
      </c>
      <c r="F5411" s="2391"/>
      <c r="G5411" s="2391"/>
      <c r="H5411" s="2391"/>
      <c r="I5411" s="2391"/>
      <c r="J5411" s="2391"/>
      <c r="K5411" s="2391"/>
      <c r="L5411" s="2391"/>
      <c r="M5411" s="2391"/>
      <c r="N5411" s="2650"/>
    </row>
    <row r="5412" spans="3:14">
      <c r="C5412" s="977"/>
      <c r="D5412" s="981"/>
      <c r="E5412" s="2669" t="s">
        <v>1264</v>
      </c>
      <c r="F5412" s="2391"/>
      <c r="G5412" s="2391"/>
      <c r="H5412" s="2391"/>
      <c r="I5412" s="2391"/>
      <c r="J5412" s="2391"/>
      <c r="K5412" s="2391"/>
      <c r="L5412" s="2391"/>
      <c r="M5412" s="2391"/>
      <c r="N5412" s="2650"/>
    </row>
    <row r="5413" spans="3:14">
      <c r="C5413" s="977"/>
      <c r="D5413" s="981"/>
      <c r="E5413" s="2669" t="s">
        <v>1563</v>
      </c>
      <c r="F5413" s="2391"/>
      <c r="G5413" s="2391"/>
      <c r="H5413" s="2391"/>
      <c r="I5413" s="2391"/>
      <c r="J5413" s="2391"/>
      <c r="K5413" s="2391"/>
      <c r="L5413" s="2391"/>
      <c r="M5413" s="2391"/>
      <c r="N5413" s="2650"/>
    </row>
    <row r="5414" spans="3:14">
      <c r="C5414" s="977"/>
      <c r="D5414" s="777"/>
      <c r="E5414" s="2707" t="s">
        <v>1598</v>
      </c>
      <c r="F5414" s="2493"/>
      <c r="G5414" s="2493"/>
      <c r="H5414" s="2493"/>
      <c r="I5414" s="2493"/>
      <c r="J5414" s="2493"/>
      <c r="K5414" s="2493"/>
      <c r="L5414" s="2493"/>
      <c r="M5414" s="2493"/>
      <c r="N5414" s="2708"/>
    </row>
    <row r="5415" spans="3:14">
      <c r="C5415" s="977"/>
      <c r="D5415" s="777"/>
      <c r="E5415" s="2487" t="str">
        <f>IFERROR(IF([1]F_ProductBM!E2709 = "", "", [1]F_ProductBM!E2709 ),"")</f>
        <v/>
      </c>
      <c r="F5415" s="2488"/>
      <c r="G5415" s="815" t="s">
        <v>1020</v>
      </c>
      <c r="H5415" s="93" t="str">
        <f>IFERROR(IF([1]F_ProductBM!H2709 = "", "", [1]F_ProductBM!H2709 ),"")</f>
        <v/>
      </c>
      <c r="I5415" s="116" t="str">
        <f>IFERROR(IF([1]F_ProductBM!I2709 = "", "", [1]F_ProductBM!I2709 ),"")</f>
        <v/>
      </c>
      <c r="J5415" s="117" t="str">
        <f>IFERROR(IF([1]F_ProductBM!J2709 = "", "", [1]F_ProductBM!J2709 ),"")</f>
        <v/>
      </c>
      <c r="K5415" s="93" t="str">
        <f>IFERROR(IF([1]F_ProductBM!K2709 = "", "", [1]F_ProductBM!K2709 ),"")</f>
        <v/>
      </c>
      <c r="L5415" s="93" t="str">
        <f>IFERROR(IF([1]F_ProductBM!L2709 = "", "", [1]F_ProductBM!L2709 ),"")</f>
        <v/>
      </c>
      <c r="M5415" s="93" t="str">
        <f>IFERROR(IF([1]F_ProductBM!M2709 = "", "", [1]F_ProductBM!M2709 ),"")</f>
        <v/>
      </c>
      <c r="N5415" s="118" t="str">
        <f>IFERROR(IF([1]F_ProductBM!N2709 = "", "", [1]F_ProductBM!N2709 ),"")</f>
        <v/>
      </c>
    </row>
    <row r="5416" spans="3:14">
      <c r="C5416" s="977"/>
      <c r="D5416" s="777"/>
      <c r="E5416" s="777"/>
      <c r="F5416" s="777"/>
      <c r="G5416" s="777"/>
      <c r="H5416" s="983"/>
      <c r="I5416" s="777"/>
      <c r="J5416" s="777"/>
      <c r="K5416" s="777"/>
      <c r="L5416" s="777"/>
      <c r="M5416" s="777"/>
      <c r="N5416" s="1007"/>
    </row>
    <row r="5417" spans="3:14">
      <c r="C5417" s="977"/>
      <c r="D5417" s="982" t="s">
        <v>832</v>
      </c>
      <c r="E5417" s="2649" t="s">
        <v>1142</v>
      </c>
      <c r="F5417" s="2391"/>
      <c r="G5417" s="2391"/>
      <c r="H5417" s="2391"/>
      <c r="I5417" s="2391"/>
      <c r="J5417" s="2391"/>
      <c r="K5417" s="2391"/>
      <c r="L5417" s="2391"/>
      <c r="M5417" s="2391"/>
      <c r="N5417" s="2650"/>
    </row>
    <row r="5418" spans="3:14">
      <c r="C5418" s="977"/>
      <c r="D5418" s="981"/>
      <c r="E5418" s="2669" t="s">
        <v>1366</v>
      </c>
      <c r="F5418" s="2391"/>
      <c r="G5418" s="2391"/>
      <c r="H5418" s="2391"/>
      <c r="I5418" s="2391"/>
      <c r="J5418" s="2391"/>
      <c r="K5418" s="2391"/>
      <c r="L5418" s="2391"/>
      <c r="M5418" s="2391"/>
      <c r="N5418" s="2650"/>
    </row>
    <row r="5419" spans="3:14">
      <c r="C5419" s="977"/>
      <c r="D5419" s="981"/>
      <c r="E5419" s="2676" t="s">
        <v>1610</v>
      </c>
      <c r="F5419" s="2391"/>
      <c r="G5419" s="2391"/>
      <c r="H5419" s="2391"/>
      <c r="I5419" s="2391"/>
      <c r="J5419" s="2391"/>
      <c r="K5419" s="2391"/>
      <c r="L5419" s="2391"/>
      <c r="M5419" s="2391"/>
      <c r="N5419" s="2650"/>
    </row>
    <row r="5420" spans="3:14">
      <c r="C5420" s="977"/>
      <c r="D5420" s="777" t="s">
        <v>6</v>
      </c>
      <c r="E5420" s="2682" t="s">
        <v>1145</v>
      </c>
      <c r="F5420" s="2391"/>
      <c r="G5420" s="2391"/>
      <c r="H5420" s="2391"/>
      <c r="I5420" s="2391"/>
      <c r="J5420" s="2391"/>
      <c r="K5420" s="2512"/>
      <c r="L5420" s="120" t="str">
        <f>IFERROR(IF([1]F_ProductBM!L2714 = "", "", [1]F_ProductBM!L2714 ),"")</f>
        <v/>
      </c>
      <c r="M5420" s="813"/>
      <c r="N5420" s="1015"/>
    </row>
    <row r="5421" spans="3:14">
      <c r="C5421" s="977"/>
      <c r="D5421" s="777"/>
      <c r="E5421" s="777"/>
      <c r="F5421" s="777"/>
      <c r="G5421" s="777"/>
      <c r="H5421" s="983"/>
      <c r="I5421" s="777"/>
      <c r="J5421" s="777"/>
      <c r="K5421" s="777"/>
      <c r="L5421" s="777"/>
      <c r="M5421" s="777"/>
      <c r="N5421" s="1007"/>
    </row>
    <row r="5422" spans="3:14">
      <c r="C5422" s="977"/>
      <c r="D5422" s="982"/>
      <c r="E5422" s="2648" t="s">
        <v>1144</v>
      </c>
      <c r="F5422" s="2493"/>
      <c r="G5422" s="778" t="s">
        <v>884</v>
      </c>
      <c r="H5422" s="782">
        <v>2019</v>
      </c>
      <c r="I5422" s="988">
        <v>2020</v>
      </c>
      <c r="J5422" s="781">
        <v>2021</v>
      </c>
      <c r="K5422" s="782">
        <v>2022</v>
      </c>
      <c r="L5422" s="782">
        <v>2023</v>
      </c>
      <c r="M5422" s="782">
        <v>2024</v>
      </c>
      <c r="N5422" s="783">
        <v>2025</v>
      </c>
    </row>
    <row r="5423" spans="3:14">
      <c r="C5423" s="977"/>
      <c r="D5423" s="777" t="s">
        <v>7</v>
      </c>
      <c r="E5423" s="2513" t="str">
        <f>IFERROR(IF([1]F_ProductBM!E2717 = "", "", [1]F_ProductBM!E2717 ),"")</f>
        <v/>
      </c>
      <c r="F5423" s="2705"/>
      <c r="G5423" s="355" t="str">
        <f>IFERROR(IF([1]F_ProductBM!G2717 = "", "", [1]F_ProductBM!G2717 ),"")</f>
        <v>tonnes</v>
      </c>
      <c r="H5423" s="371" t="str">
        <f>IFERROR(IF([1]F_ProductBM!H2717 = "", "", [1]F_ProductBM!H2717 ),"")</f>
        <v/>
      </c>
      <c r="I5423" s="372" t="str">
        <f>IFERROR(IF([1]F_ProductBM!I2717 = "", "", [1]F_ProductBM!I2717 ),"")</f>
        <v/>
      </c>
      <c r="J5423" s="373" t="str">
        <f>IFERROR(IF([1]F_ProductBM!J2717 = "", "", [1]F_ProductBM!J2717 ),"")</f>
        <v/>
      </c>
      <c r="K5423" s="371" t="str">
        <f>IFERROR(IF([1]F_ProductBM!K2717 = "", "", [1]F_ProductBM!K2717 ),"")</f>
        <v/>
      </c>
      <c r="L5423" s="371" t="str">
        <f>IFERROR(IF([1]F_ProductBM!L2717 = "", "", [1]F_ProductBM!L2717 ),"")</f>
        <v/>
      </c>
      <c r="M5423" s="371" t="str">
        <f>IFERROR(IF([1]F_ProductBM!M2717 = "", "", [1]F_ProductBM!M2717 ),"")</f>
        <v/>
      </c>
      <c r="N5423" s="374" t="str">
        <f>IFERROR(IF([1]F_ProductBM!N2717 = "", "", [1]F_ProductBM!N2717 ),"")</f>
        <v/>
      </c>
    </row>
    <row r="5424" spans="3:14">
      <c r="C5424" s="977"/>
      <c r="D5424" s="777" t="s">
        <v>8</v>
      </c>
      <c r="E5424" s="2520" t="str">
        <f>IFERROR(IF([1]F_ProductBM!E2718 = "", "", [1]F_ProductBM!E2718 ),"")</f>
        <v/>
      </c>
      <c r="F5424" s="2706"/>
      <c r="G5424" s="350" t="str">
        <f>IFERROR(IF([1]F_ProductBM!G2718 = "", "", [1]F_ProductBM!G2718 ),"")</f>
        <v>tonnes</v>
      </c>
      <c r="H5424" s="364" t="str">
        <f>IFERROR(IF([1]F_ProductBM!H2718 = "", "", [1]F_ProductBM!H2718 ),"")</f>
        <v/>
      </c>
      <c r="I5424" s="365" t="str">
        <f>IFERROR(IF([1]F_ProductBM!I2718 = "", "", [1]F_ProductBM!I2718 ),"")</f>
        <v/>
      </c>
      <c r="J5424" s="366" t="str">
        <f>IFERROR(IF([1]F_ProductBM!J2718 = "", "", [1]F_ProductBM!J2718 ),"")</f>
        <v/>
      </c>
      <c r="K5424" s="364" t="str">
        <f>IFERROR(IF([1]F_ProductBM!K2718 = "", "", [1]F_ProductBM!K2718 ),"")</f>
        <v/>
      </c>
      <c r="L5424" s="364" t="str">
        <f>IFERROR(IF([1]F_ProductBM!L2718 = "", "", [1]F_ProductBM!L2718 ),"")</f>
        <v/>
      </c>
      <c r="M5424" s="364" t="str">
        <f>IFERROR(IF([1]F_ProductBM!M2718 = "", "", [1]F_ProductBM!M2718 ),"")</f>
        <v/>
      </c>
      <c r="N5424" s="367" t="str">
        <f>IFERROR(IF([1]F_ProductBM!N2718 = "", "", [1]F_ProductBM!N2718 ),"")</f>
        <v/>
      </c>
    </row>
    <row r="5425" spans="3:14">
      <c r="C5425" s="977"/>
      <c r="D5425" s="777"/>
      <c r="E5425" s="777"/>
      <c r="F5425" s="777"/>
      <c r="G5425" s="777"/>
      <c r="H5425" s="777"/>
      <c r="I5425" s="777"/>
      <c r="J5425" s="777"/>
      <c r="K5425" s="777"/>
      <c r="L5425" s="777"/>
      <c r="M5425" s="777"/>
      <c r="N5425" s="810"/>
    </row>
    <row r="5426" spans="3:14">
      <c r="C5426" s="977"/>
      <c r="D5426" s="982"/>
      <c r="E5426" s="2648" t="s">
        <v>1143</v>
      </c>
      <c r="F5426" s="2493"/>
      <c r="G5426" s="778" t="s">
        <v>884</v>
      </c>
      <c r="H5426" s="782">
        <v>2019</v>
      </c>
      <c r="I5426" s="988">
        <v>2020</v>
      </c>
      <c r="J5426" s="781">
        <v>2021</v>
      </c>
      <c r="K5426" s="782">
        <v>2022</v>
      </c>
      <c r="L5426" s="782">
        <v>2023</v>
      </c>
      <c r="M5426" s="782">
        <v>2024</v>
      </c>
      <c r="N5426" s="783">
        <v>2025</v>
      </c>
    </row>
    <row r="5427" spans="3:14">
      <c r="C5427" s="977"/>
      <c r="D5427" s="777" t="s">
        <v>18</v>
      </c>
      <c r="E5427" s="2513" t="str">
        <f>IFERROR(IF([1]F_ProductBM!E2721 = "", "", [1]F_ProductBM!E2721 ),"")</f>
        <v/>
      </c>
      <c r="F5427" s="2705"/>
      <c r="G5427" s="355" t="str">
        <f>IFERROR(IF([1]F_ProductBM!G2721 = "", "", [1]F_ProductBM!G2721 ),"")</f>
        <v>tonnes</v>
      </c>
      <c r="H5427" s="371" t="str">
        <f>IFERROR(IF([1]F_ProductBM!H2721 = "", "", [1]F_ProductBM!H2721 ),"")</f>
        <v/>
      </c>
      <c r="I5427" s="372" t="str">
        <f>IFERROR(IF([1]F_ProductBM!I2721 = "", "", [1]F_ProductBM!I2721 ),"")</f>
        <v/>
      </c>
      <c r="J5427" s="373" t="str">
        <f>IFERROR(IF([1]F_ProductBM!J2721 = "", "", [1]F_ProductBM!J2721 ),"")</f>
        <v/>
      </c>
      <c r="K5427" s="371" t="str">
        <f>IFERROR(IF([1]F_ProductBM!K2721 = "", "", [1]F_ProductBM!K2721 ),"")</f>
        <v/>
      </c>
      <c r="L5427" s="371" t="str">
        <f>IFERROR(IF([1]F_ProductBM!L2721 = "", "", [1]F_ProductBM!L2721 ),"")</f>
        <v/>
      </c>
      <c r="M5427" s="371" t="str">
        <f>IFERROR(IF([1]F_ProductBM!M2721 = "", "", [1]F_ProductBM!M2721 ),"")</f>
        <v/>
      </c>
      <c r="N5427" s="374" t="str">
        <f>IFERROR(IF([1]F_ProductBM!N2721 = "", "", [1]F_ProductBM!N2721 ),"")</f>
        <v/>
      </c>
    </row>
    <row r="5428" spans="3:14">
      <c r="C5428" s="977"/>
      <c r="D5428" s="777" t="s">
        <v>787</v>
      </c>
      <c r="E5428" s="2520" t="str">
        <f>IFERROR(IF([1]F_ProductBM!E2722 = "", "", [1]F_ProductBM!E2722 ),"")</f>
        <v/>
      </c>
      <c r="F5428" s="2706"/>
      <c r="G5428" s="350" t="str">
        <f>IFERROR(IF([1]F_ProductBM!G2722 = "", "", [1]F_ProductBM!G2722 ),"")</f>
        <v>tonnes</v>
      </c>
      <c r="H5428" s="364" t="str">
        <f>IFERROR(IF([1]F_ProductBM!H2722 = "", "", [1]F_ProductBM!H2722 ),"")</f>
        <v/>
      </c>
      <c r="I5428" s="365" t="str">
        <f>IFERROR(IF([1]F_ProductBM!I2722 = "", "", [1]F_ProductBM!I2722 ),"")</f>
        <v/>
      </c>
      <c r="J5428" s="366" t="str">
        <f>IFERROR(IF([1]F_ProductBM!J2722 = "", "", [1]F_ProductBM!J2722 ),"")</f>
        <v/>
      </c>
      <c r="K5428" s="364" t="str">
        <f>IFERROR(IF([1]F_ProductBM!K2722 = "", "", [1]F_ProductBM!K2722 ),"")</f>
        <v/>
      </c>
      <c r="L5428" s="364" t="str">
        <f>IFERROR(IF([1]F_ProductBM!L2722 = "", "", [1]F_ProductBM!L2722 ),"")</f>
        <v/>
      </c>
      <c r="M5428" s="364" t="str">
        <f>IFERROR(IF([1]F_ProductBM!M2722 = "", "", [1]F_ProductBM!M2722 ),"")</f>
        <v/>
      </c>
      <c r="N5428" s="367" t="str">
        <f>IFERROR(IF([1]F_ProductBM!N2722 = "", "", [1]F_ProductBM!N2722 ),"")</f>
        <v/>
      </c>
    </row>
    <row r="5429" spans="3:14">
      <c r="C5429" s="977"/>
      <c r="D5429" s="777"/>
      <c r="E5429" s="777"/>
      <c r="F5429" s="777"/>
      <c r="G5429" s="777"/>
      <c r="H5429" s="777"/>
      <c r="I5429" s="777"/>
      <c r="J5429" s="777"/>
      <c r="K5429" s="777"/>
      <c r="L5429" s="777"/>
      <c r="M5429" s="777"/>
      <c r="N5429" s="1007"/>
    </row>
    <row r="5430" spans="3:14">
      <c r="C5430" s="977"/>
      <c r="D5430" s="777" t="s">
        <v>788</v>
      </c>
      <c r="E5430" s="813" t="s">
        <v>1146</v>
      </c>
      <c r="F5430" s="813"/>
      <c r="G5430" s="813"/>
      <c r="H5430" s="813"/>
      <c r="I5430" s="813"/>
      <c r="J5430" s="813"/>
      <c r="K5430" s="813"/>
      <c r="L5430" s="813"/>
      <c r="M5430" s="813"/>
      <c r="N5430" s="1007"/>
    </row>
    <row r="5431" spans="3:14">
      <c r="C5431" s="977"/>
      <c r="D5431" s="777"/>
      <c r="E5431" s="1017" t="s">
        <v>1459</v>
      </c>
      <c r="F5431" s="978"/>
      <c r="G5431" s="978"/>
      <c r="H5431" s="978"/>
      <c r="I5431" s="978"/>
      <c r="J5431" s="978"/>
      <c r="K5431" s="978"/>
      <c r="L5431" s="978"/>
      <c r="M5431" s="978"/>
      <c r="N5431" s="979"/>
    </row>
    <row r="5432" spans="3:14">
      <c r="C5432" s="977"/>
      <c r="D5432" s="777"/>
      <c r="E5432" s="2699" t="str">
        <f>IFERROR(IF([1]F_ProductBM!E2726 = "", "", [1]F_ProductBM!E2726 ),"")</f>
        <v/>
      </c>
      <c r="F5432" s="2700"/>
      <c r="G5432" s="2700"/>
      <c r="H5432" s="2700"/>
      <c r="I5432" s="2700"/>
      <c r="J5432" s="2700"/>
      <c r="K5432" s="2700"/>
      <c r="L5432" s="2700"/>
      <c r="M5432" s="2701"/>
      <c r="N5432" s="1007"/>
    </row>
    <row r="5433" spans="3:14">
      <c r="C5433" s="977"/>
      <c r="D5433" s="777"/>
      <c r="E5433" s="2702"/>
      <c r="F5433" s="2703"/>
      <c r="G5433" s="2703"/>
      <c r="H5433" s="2703"/>
      <c r="I5433" s="2703"/>
      <c r="J5433" s="2703"/>
      <c r="K5433" s="2703"/>
      <c r="L5433" s="2703"/>
      <c r="M5433" s="2704"/>
      <c r="N5433" s="1007"/>
    </row>
    <row r="5434" spans="3:14" ht="13.5" thickBot="1">
      <c r="C5434" s="1018"/>
      <c r="D5434" s="1019"/>
      <c r="E5434" s="1019"/>
      <c r="F5434" s="1019"/>
      <c r="G5434" s="1019"/>
      <c r="H5434" s="1019"/>
      <c r="I5434" s="1019"/>
      <c r="J5434" s="1019"/>
      <c r="K5434" s="1019"/>
      <c r="L5434" s="1019"/>
      <c r="M5434" s="805"/>
      <c r="N5434" s="806"/>
    </row>
    <row r="5435" spans="3:14" ht="13.5" thickBot="1">
      <c r="C5435" s="467"/>
      <c r="D5435" s="467"/>
      <c r="E5435" s="467"/>
      <c r="F5435" s="467"/>
      <c r="G5435" s="467"/>
      <c r="H5435" s="467"/>
      <c r="I5435" s="467"/>
      <c r="J5435" s="467"/>
      <c r="K5435" s="467"/>
      <c r="L5435" s="467"/>
      <c r="M5435" s="481"/>
      <c r="N5435" s="481"/>
    </row>
    <row r="5436" spans="3:14">
      <c r="C5436" s="1020"/>
      <c r="D5436" s="1020"/>
      <c r="E5436" s="1020"/>
      <c r="F5436" s="1020"/>
      <c r="G5436" s="1020"/>
      <c r="H5436" s="1020"/>
      <c r="I5436" s="1020"/>
      <c r="J5436" s="1020"/>
      <c r="K5436" s="1020"/>
      <c r="L5436" s="1020"/>
      <c r="M5436" s="1020"/>
      <c r="N5436" s="1020"/>
    </row>
    <row r="5437" spans="3:14" ht="15">
      <c r="C5437" s="897">
        <v>10</v>
      </c>
      <c r="D5437" s="2482" t="s">
        <v>2704</v>
      </c>
      <c r="E5437" s="2400"/>
      <c r="F5437" s="2400"/>
      <c r="G5437" s="2400"/>
      <c r="H5437" s="2585"/>
      <c r="I5437" s="2489" t="str">
        <f>IFERROR(IF([1]F_ProductBM!I2731 = "", "", [1]F_ProductBM!I2731 ),"")</f>
        <v/>
      </c>
      <c r="J5437" s="2534"/>
      <c r="K5437" s="2534"/>
      <c r="L5437" s="2534"/>
      <c r="M5437" s="2534"/>
      <c r="N5437" s="2535"/>
    </row>
    <row r="5438" spans="3:14">
      <c r="C5438" s="479"/>
      <c r="D5438" s="485"/>
      <c r="E5438" s="2465" t="s">
        <v>2706</v>
      </c>
      <c r="F5438" s="2400"/>
      <c r="G5438" s="2400"/>
      <c r="H5438" s="2400"/>
      <c r="I5438" s="2400"/>
      <c r="J5438" s="2400"/>
      <c r="K5438" s="2400"/>
      <c r="L5438" s="2400"/>
      <c r="M5438" s="2400"/>
      <c r="N5438" s="2400"/>
    </row>
    <row r="5439" spans="3:14">
      <c r="C5439" s="479"/>
      <c r="D5439" s="479"/>
      <c r="E5439" s="479"/>
      <c r="F5439" s="479"/>
      <c r="G5439" s="479"/>
      <c r="H5439" s="479"/>
      <c r="I5439" s="479"/>
      <c r="J5439" s="479"/>
      <c r="K5439" s="479"/>
      <c r="L5439" s="479"/>
      <c r="M5439" s="485"/>
      <c r="N5439" s="485"/>
    </row>
    <row r="5440" spans="3:14">
      <c r="C5440" s="479"/>
      <c r="D5440" s="482" t="s">
        <v>400</v>
      </c>
      <c r="E5440" s="2373" t="s">
        <v>1930</v>
      </c>
      <c r="F5440" s="2400"/>
      <c r="G5440" s="2400"/>
      <c r="H5440" s="2400"/>
      <c r="I5440" s="2400"/>
      <c r="J5440" s="2400"/>
      <c r="K5440" s="2400"/>
      <c r="L5440" s="2400"/>
      <c r="M5440" s="2400"/>
      <c r="N5440" s="2400"/>
    </row>
    <row r="5441" spans="3:14">
      <c r="C5441" s="479"/>
      <c r="D5441" s="485"/>
      <c r="E5441" s="2465" t="s">
        <v>801</v>
      </c>
      <c r="F5441" s="2400"/>
      <c r="G5441" s="2400"/>
      <c r="H5441" s="2400"/>
      <c r="I5441" s="2400"/>
      <c r="J5441" s="2400"/>
      <c r="K5441" s="2400"/>
      <c r="L5441" s="2400"/>
      <c r="M5441" s="2400"/>
      <c r="N5441" s="2400"/>
    </row>
    <row r="5442" spans="3:14">
      <c r="C5442" s="479"/>
      <c r="D5442" s="485"/>
      <c r="E5442" s="2465" t="s">
        <v>1199</v>
      </c>
      <c r="F5442" s="2400"/>
      <c r="G5442" s="2400"/>
      <c r="H5442" s="2400"/>
      <c r="I5442" s="2400"/>
      <c r="J5442" s="2400"/>
      <c r="K5442" s="2400"/>
      <c r="L5442" s="2400"/>
      <c r="M5442" s="2400"/>
      <c r="N5442" s="2400"/>
    </row>
    <row r="5443" spans="3:14">
      <c r="C5443" s="479"/>
      <c r="D5443" s="485"/>
      <c r="E5443" s="2465" t="s">
        <v>125</v>
      </c>
      <c r="F5443" s="2400"/>
      <c r="G5443" s="2400"/>
      <c r="H5443" s="2400"/>
      <c r="I5443" s="2400"/>
      <c r="J5443" s="2400"/>
      <c r="K5443" s="2400"/>
      <c r="L5443" s="2400"/>
      <c r="M5443" s="2400"/>
      <c r="N5443" s="2400"/>
    </row>
    <row r="5444" spans="3:14">
      <c r="C5444" s="485"/>
      <c r="D5444" s="482"/>
      <c r="E5444" s="2509" t="s">
        <v>1447</v>
      </c>
      <c r="F5444" s="2509"/>
      <c r="G5444" s="663" t="s">
        <v>884</v>
      </c>
      <c r="H5444" s="578">
        <v>2019</v>
      </c>
      <c r="I5444" s="697">
        <v>2020</v>
      </c>
      <c r="J5444" s="696">
        <v>2021</v>
      </c>
      <c r="K5444" s="578">
        <v>2022</v>
      </c>
      <c r="L5444" s="578">
        <v>2023</v>
      </c>
      <c r="M5444" s="578">
        <v>2024</v>
      </c>
      <c r="N5444" s="671">
        <v>2025</v>
      </c>
    </row>
    <row r="5445" spans="3:14">
      <c r="C5445" s="485"/>
      <c r="D5445" s="561" t="s">
        <v>6</v>
      </c>
      <c r="E5445" s="2696" t="str">
        <f>IFERROR(IF([1]F_ProductBM!E2739 = "", "", [1]F_ProductBM!E2739 ),"")</f>
        <v/>
      </c>
      <c r="F5445" s="2696"/>
      <c r="G5445" s="74" t="str">
        <f>IFERROR(IF([1]F_ProductBM!G2739 = "", "", [1]F_ProductBM!G2739 ),"")</f>
        <v>tonnes</v>
      </c>
      <c r="H5445" s="277" t="str">
        <f>IFERROR(IF([1]F_ProductBM!H2739 = "", "", [1]F_ProductBM!H2739 ),"")</f>
        <v/>
      </c>
      <c r="I5445" s="275" t="str">
        <f>IFERROR(IF([1]F_ProductBM!I2739 = "", "", [1]F_ProductBM!I2739 ),"")</f>
        <v/>
      </c>
      <c r="J5445" s="276" t="str">
        <f>IFERROR(IF([1]F_ProductBM!J2739 = "", "", [1]F_ProductBM!J2739 ),"")</f>
        <v/>
      </c>
      <c r="K5445" s="277" t="str">
        <f>IFERROR(IF([1]F_ProductBM!K2739 = "", "", [1]F_ProductBM!K2739 ),"")</f>
        <v/>
      </c>
      <c r="L5445" s="277" t="str">
        <f>IFERROR(IF([1]F_ProductBM!L2739 = "", "", [1]F_ProductBM!L2739 ),"")</f>
        <v/>
      </c>
      <c r="M5445" s="277" t="str">
        <f>IFERROR(IF([1]F_ProductBM!M2739 = "", "", [1]F_ProductBM!M2739 ),"")</f>
        <v/>
      </c>
      <c r="N5445" s="277" t="str">
        <f>IFERROR(IF([1]F_ProductBM!N2739 = "", "", [1]F_ProductBM!N2739 ),"")</f>
        <v/>
      </c>
    </row>
    <row r="5446" spans="3:14">
      <c r="C5446" s="485"/>
      <c r="D5446" s="561" t="s">
        <v>7</v>
      </c>
      <c r="E5446" s="2696" t="str">
        <f>IFERROR(IF([1]F_ProductBM!E2740 = "", "", [1]F_ProductBM!E2740 ),"")</f>
        <v>From sheet "H_SpecialBM":</v>
      </c>
      <c r="F5446" s="2696"/>
      <c r="G5446" s="74" t="str">
        <f>IFERROR(IF([1]F_ProductBM!G2740 = "", "", [1]F_ProductBM!G2740 ),"")</f>
        <v>tonnes</v>
      </c>
      <c r="H5446" s="278" t="str">
        <f>IFERROR(IF([1]F_ProductBM!H2740 = "", "", [1]F_ProductBM!H2740 ),"")</f>
        <v/>
      </c>
      <c r="I5446" s="279" t="str">
        <f>IFERROR(IF([1]F_ProductBM!I2740 = "", "", [1]F_ProductBM!I2740 ),"")</f>
        <v/>
      </c>
      <c r="J5446" s="280" t="str">
        <f>IFERROR(IF([1]F_ProductBM!J2740 = "", "", [1]F_ProductBM!J2740 ),"")</f>
        <v/>
      </c>
      <c r="K5446" s="278" t="str">
        <f>IFERROR(IF([1]F_ProductBM!K2740 = "", "", [1]F_ProductBM!K2740 ),"")</f>
        <v/>
      </c>
      <c r="L5446" s="278" t="str">
        <f>IFERROR(IF([1]F_ProductBM!L2740 = "", "", [1]F_ProductBM!L2740 ),"")</f>
        <v/>
      </c>
      <c r="M5446" s="278" t="str">
        <f>IFERROR(IF([1]F_ProductBM!M2740 = "", "", [1]F_ProductBM!M2740 ),"")</f>
        <v/>
      </c>
      <c r="N5446" s="277" t="str">
        <f>IFERROR(IF([1]F_ProductBM!N2740 = "", "", [1]F_ProductBM!N2740 ),"")</f>
        <v/>
      </c>
    </row>
    <row r="5447" spans="3:14">
      <c r="C5447" s="485"/>
      <c r="D5447" s="561" t="s">
        <v>8</v>
      </c>
      <c r="E5447" s="2696" t="str">
        <f>IFERROR(IF([1]F_ProductBM!E2741 = "", "", [1]F_ProductBM!E2741 ),"")</f>
        <v>Values used for calculation:</v>
      </c>
      <c r="F5447" s="2696"/>
      <c r="G5447" s="74" t="str">
        <f>IFERROR(IF([1]F_ProductBM!G2741 = "", "", [1]F_ProductBM!G2741 ),"")</f>
        <v>tonnes</v>
      </c>
      <c r="H5447" s="278" t="str">
        <f>IFERROR(IF([1]F_ProductBM!H2741 = "", "", [1]F_ProductBM!H2741 ),"")</f>
        <v/>
      </c>
      <c r="I5447" s="279" t="str">
        <f>IFERROR(IF([1]F_ProductBM!I2741 = "", "", [1]F_ProductBM!I2741 ),"")</f>
        <v/>
      </c>
      <c r="J5447" s="280" t="str">
        <f>IFERROR(IF([1]F_ProductBM!J2741 = "", "", [1]F_ProductBM!J2741 ),"")</f>
        <v/>
      </c>
      <c r="K5447" s="278" t="str">
        <f>IFERROR(IF([1]F_ProductBM!K2741 = "", "", [1]F_ProductBM!K2741 ),"")</f>
        <v/>
      </c>
      <c r="L5447" s="278" t="str">
        <f>IFERROR(IF([1]F_ProductBM!L2741 = "", "", [1]F_ProductBM!L2741 ),"")</f>
        <v/>
      </c>
      <c r="M5447" s="278" t="str">
        <f>IFERROR(IF([1]F_ProductBM!M2741 = "", "", [1]F_ProductBM!M2741 ),"")</f>
        <v/>
      </c>
      <c r="N5447" s="277" t="str">
        <f>IFERROR(IF([1]F_ProductBM!N2741 = "", "", [1]F_ProductBM!N2741 ),"")</f>
        <v/>
      </c>
    </row>
    <row r="5448" spans="3:14">
      <c r="C5448" s="479"/>
      <c r="D5448" s="479"/>
      <c r="E5448" s="479"/>
      <c r="F5448" s="479"/>
      <c r="G5448" s="479"/>
      <c r="H5448" s="479"/>
      <c r="I5448" s="479"/>
      <c r="J5448" s="479"/>
      <c r="K5448" s="479"/>
      <c r="L5448" s="479"/>
      <c r="M5448" s="485"/>
      <c r="N5448" s="485"/>
    </row>
    <row r="5449" spans="3:14">
      <c r="C5449" s="479"/>
      <c r="D5449" s="561" t="s">
        <v>18</v>
      </c>
      <c r="E5449" s="2373" t="s">
        <v>922</v>
      </c>
      <c r="F5449" s="2373"/>
      <c r="G5449" s="2604"/>
      <c r="H5449" s="2652" t="s">
        <v>1857</v>
      </c>
      <c r="I5449" s="2689"/>
      <c r="J5449" s="2689"/>
      <c r="K5449" s="2689"/>
      <c r="L5449" s="2689"/>
      <c r="M5449" s="2689"/>
      <c r="N5449" s="2690"/>
    </row>
    <row r="5450" spans="3:14">
      <c r="C5450" s="479"/>
      <c r="D5450" s="485"/>
      <c r="E5450" s="2465" t="s">
        <v>923</v>
      </c>
      <c r="F5450" s="2400"/>
      <c r="G5450" s="2400"/>
      <c r="H5450" s="2400"/>
      <c r="I5450" s="2400"/>
      <c r="J5450" s="2400"/>
      <c r="K5450" s="2400"/>
      <c r="L5450" s="2400"/>
      <c r="M5450" s="2400"/>
      <c r="N5450" s="2400"/>
    </row>
    <row r="5451" spans="3:14">
      <c r="C5451" s="479"/>
      <c r="D5451" s="485"/>
      <c r="E5451" s="485"/>
      <c r="F5451" s="485"/>
      <c r="G5451" s="485"/>
      <c r="H5451" s="485"/>
      <c r="I5451" s="485"/>
      <c r="J5451" s="485"/>
      <c r="K5451" s="485"/>
      <c r="L5451" s="485"/>
      <c r="M5451" s="485"/>
      <c r="N5451" s="485"/>
    </row>
    <row r="5452" spans="3:14">
      <c r="C5452" s="479"/>
      <c r="D5452" s="482" t="s">
        <v>876</v>
      </c>
      <c r="E5452" s="2373" t="s">
        <v>1709</v>
      </c>
      <c r="F5452" s="2400"/>
      <c r="G5452" s="2400"/>
      <c r="H5452" s="2400"/>
      <c r="I5452" s="2400"/>
      <c r="J5452" s="2400"/>
      <c r="K5452" s="2400"/>
      <c r="L5452" s="2400"/>
      <c r="M5452" s="2400"/>
      <c r="N5452" s="2400"/>
    </row>
    <row r="5453" spans="3:14">
      <c r="C5453" s="479"/>
      <c r="D5453" s="485"/>
      <c r="E5453" s="2465" t="s">
        <v>1958</v>
      </c>
      <c r="F5453" s="2400"/>
      <c r="G5453" s="2400"/>
      <c r="H5453" s="2400"/>
      <c r="I5453" s="2400"/>
      <c r="J5453" s="2400"/>
      <c r="K5453" s="2400"/>
      <c r="L5453" s="2400"/>
      <c r="M5453" s="2400"/>
      <c r="N5453" s="2400"/>
    </row>
    <row r="5454" spans="3:14">
      <c r="C5454" s="479"/>
      <c r="D5454" s="485"/>
      <c r="E5454" s="2465" t="s">
        <v>2701</v>
      </c>
      <c r="F5454" s="2400"/>
      <c r="G5454" s="2400"/>
      <c r="H5454" s="2400"/>
      <c r="I5454" s="2400"/>
      <c r="J5454" s="2400"/>
      <c r="K5454" s="2400"/>
      <c r="L5454" s="2400"/>
      <c r="M5454" s="2400"/>
      <c r="N5454" s="2400"/>
    </row>
    <row r="5455" spans="3:14">
      <c r="C5455" s="479"/>
      <c r="D5455" s="485"/>
      <c r="E5455" s="901" t="s">
        <v>1021</v>
      </c>
      <c r="F5455" s="2651" t="s">
        <v>2711</v>
      </c>
      <c r="G5455" s="2584"/>
      <c r="H5455" s="2584"/>
      <c r="I5455" s="2584"/>
      <c r="J5455" s="2584"/>
      <c r="K5455" s="2584"/>
      <c r="L5455" s="2584"/>
      <c r="M5455" s="2584"/>
      <c r="N5455" s="2584"/>
    </row>
    <row r="5456" spans="3:14" ht="13.5" thickBot="1">
      <c r="C5456" s="479"/>
      <c r="D5456" s="485"/>
      <c r="E5456" s="901" t="s">
        <v>1021</v>
      </c>
      <c r="F5456" s="2651" t="s">
        <v>1985</v>
      </c>
      <c r="G5456" s="2584"/>
      <c r="H5456" s="2584"/>
      <c r="I5456" s="2584"/>
      <c r="J5456" s="2584"/>
      <c r="K5456" s="2584"/>
      <c r="L5456" s="2584"/>
      <c r="M5456" s="2584"/>
      <c r="N5456" s="2584"/>
    </row>
    <row r="5457" spans="3:14">
      <c r="C5457" s="479"/>
      <c r="D5457" s="902"/>
      <c r="E5457" s="903"/>
      <c r="F5457" s="904"/>
      <c r="G5457" s="905"/>
      <c r="H5457" s="905"/>
      <c r="I5457" s="905"/>
      <c r="J5457" s="905"/>
      <c r="K5457" s="905"/>
      <c r="L5457" s="905"/>
      <c r="M5457" s="905"/>
      <c r="N5457" s="906"/>
    </row>
    <row r="5458" spans="3:14">
      <c r="C5458" s="479"/>
      <c r="D5458" s="907"/>
      <c r="E5458" s="908" t="s">
        <v>1690</v>
      </c>
      <c r="F5458" s="909"/>
      <c r="G5458" s="909"/>
      <c r="H5458" s="910" t="s">
        <v>884</v>
      </c>
      <c r="I5458" s="911" t="s">
        <v>1646</v>
      </c>
      <c r="J5458" s="912">
        <v>2021</v>
      </c>
      <c r="K5458" s="913">
        <v>2022</v>
      </c>
      <c r="L5458" s="913">
        <v>2023</v>
      </c>
      <c r="M5458" s="913">
        <v>2024</v>
      </c>
      <c r="N5458" s="914">
        <v>2025</v>
      </c>
    </row>
    <row r="5459" spans="3:14">
      <c r="C5459" s="479"/>
      <c r="D5459" s="915" t="s">
        <v>6</v>
      </c>
      <c r="E5459" s="916" t="s">
        <v>1976</v>
      </c>
      <c r="F5459" s="916"/>
      <c r="G5459" s="916"/>
      <c r="H5459" s="63" t="str">
        <f>IFERROR(IF([1]F_ProductBM!H2753 = "", "", [1]F_ProductBM!H2753 ),"")</f>
        <v>tonnes</v>
      </c>
      <c r="I5459" s="281" t="str">
        <f>IFERROR(IF([1]F_ProductBM!I2753 = "", "", [1]F_ProductBM!I2753 ),"")</f>
        <v/>
      </c>
      <c r="J5459" s="282" t="str">
        <f>IFERROR(IF([1]F_ProductBM!J2753 = "", "", [1]F_ProductBM!J2753 ),"")</f>
        <v/>
      </c>
      <c r="K5459" s="283" t="str">
        <f>IFERROR(IF([1]F_ProductBM!K2753 = "", "", [1]F_ProductBM!K2753 ),"")</f>
        <v/>
      </c>
      <c r="L5459" s="283" t="str">
        <f>IFERROR(IF([1]F_ProductBM!L2753 = "", "", [1]F_ProductBM!L2753 ),"")</f>
        <v/>
      </c>
      <c r="M5459" s="283" t="str">
        <f>IFERROR(IF([1]F_ProductBM!M2753 = "", "", [1]F_ProductBM!M2753 ),"")</f>
        <v/>
      </c>
      <c r="N5459" s="284" t="str">
        <f>IFERROR(IF([1]F_ProductBM!N2753 = "", "", [1]F_ProductBM!N2753 ),"")</f>
        <v/>
      </c>
    </row>
    <row r="5460" spans="3:14">
      <c r="C5460" s="479"/>
      <c r="D5460" s="918"/>
      <c r="E5460" s="919" t="s">
        <v>1648</v>
      </c>
      <c r="F5460" s="919"/>
      <c r="G5460" s="919"/>
      <c r="H5460" s="920"/>
      <c r="I5460" s="919"/>
      <c r="J5460" s="285" t="str">
        <f>IFERROR(IF([1]F_ProductBM!J2754 = "", "", [1]F_ProductBM!J2754 ),"")</f>
        <v/>
      </c>
      <c r="K5460" s="286" t="str">
        <f>IFERROR(IF([1]F_ProductBM!K2754 = "", "", [1]F_ProductBM!K2754 ),"")</f>
        <v/>
      </c>
      <c r="L5460" s="286" t="str">
        <f>IFERROR(IF([1]F_ProductBM!L2754 = "", "", [1]F_ProductBM!L2754 ),"")</f>
        <v/>
      </c>
      <c r="M5460" s="286" t="str">
        <f>IFERROR(IF([1]F_ProductBM!M2754 = "", "", [1]F_ProductBM!M2754 ),"")</f>
        <v/>
      </c>
      <c r="N5460" s="287" t="str">
        <f>IFERROR(IF([1]F_ProductBM!N2754 = "", "", [1]F_ProductBM!N2754 ),"")</f>
        <v/>
      </c>
    </row>
    <row r="5461" spans="3:14">
      <c r="C5461" s="479"/>
      <c r="D5461" s="915" t="s">
        <v>7</v>
      </c>
      <c r="E5461" s="916" t="s">
        <v>1654</v>
      </c>
      <c r="F5461" s="916"/>
      <c r="G5461" s="916"/>
      <c r="H5461" s="921"/>
      <c r="I5461" s="916"/>
      <c r="J5461" s="288" t="str">
        <f>IFERROR(IF([1]F_ProductBM!J2755 = "", "", [1]F_ProductBM!J2755 ),"")</f>
        <v/>
      </c>
      <c r="K5461" s="289" t="str">
        <f>IFERROR(IF([1]F_ProductBM!K2755 = "", "", [1]F_ProductBM!K2755 ),"")</f>
        <v/>
      </c>
      <c r="L5461" s="289" t="str">
        <f>IFERROR(IF([1]F_ProductBM!L2755 = "", "", [1]F_ProductBM!L2755 ),"")</f>
        <v/>
      </c>
      <c r="M5461" s="289" t="str">
        <f>IFERROR(IF([1]F_ProductBM!M2755 = "", "", [1]F_ProductBM!M2755 ),"")</f>
        <v/>
      </c>
      <c r="N5461" s="290" t="str">
        <f>IFERROR(IF([1]F_ProductBM!N2755 = "", "", [1]F_ProductBM!N2755 ),"")</f>
        <v/>
      </c>
    </row>
    <row r="5462" spans="3:14">
      <c r="C5462" s="479"/>
      <c r="D5462" s="918"/>
      <c r="E5462" s="916" t="s">
        <v>1689</v>
      </c>
      <c r="F5462" s="916"/>
      <c r="G5462" s="916"/>
      <c r="H5462" s="63" t="str">
        <f>IFERROR(IF([1]F_ProductBM!H2756 = "", "", [1]F_ProductBM!H2756 ),"")</f>
        <v>tonnes</v>
      </c>
      <c r="I5462" s="281" t="str">
        <f>IFERROR(IF([1]F_ProductBM!I2756 = "", "", [1]F_ProductBM!I2756 ),"")</f>
        <v/>
      </c>
      <c r="J5462" s="282" t="str">
        <f>IFERROR(IF([1]F_ProductBM!J2756 = "", "", [1]F_ProductBM!J2756 ),"")</f>
        <v/>
      </c>
      <c r="K5462" s="283" t="str">
        <f>IFERROR(IF([1]F_ProductBM!K2756 = "", "", [1]F_ProductBM!K2756 ),"")</f>
        <v/>
      </c>
      <c r="L5462" s="283" t="str">
        <f>IFERROR(IF([1]F_ProductBM!L2756 = "", "", [1]F_ProductBM!L2756 ),"")</f>
        <v/>
      </c>
      <c r="M5462" s="283" t="str">
        <f>IFERROR(IF([1]F_ProductBM!M2756 = "", "", [1]F_ProductBM!M2756 ),"")</f>
        <v/>
      </c>
      <c r="N5462" s="284" t="str">
        <f>IFERROR(IF([1]F_ProductBM!N2756 = "", "", [1]F_ProductBM!N2756 ),"")</f>
        <v/>
      </c>
    </row>
    <row r="5463" spans="3:14">
      <c r="C5463" s="479"/>
      <c r="D5463" s="918"/>
      <c r="E5463" s="909"/>
      <c r="F5463" s="909"/>
      <c r="G5463" s="909"/>
      <c r="H5463" s="909"/>
      <c r="I5463" s="909"/>
      <c r="J5463" s="909"/>
      <c r="K5463" s="909"/>
      <c r="L5463" s="909"/>
      <c r="M5463" s="909"/>
      <c r="N5463" s="922"/>
    </row>
    <row r="5464" spans="3:14">
      <c r="C5464" s="479"/>
      <c r="D5464" s="918"/>
      <c r="E5464" s="923" t="s">
        <v>1653</v>
      </c>
      <c r="F5464" s="923"/>
      <c r="G5464" s="923"/>
      <c r="H5464" s="923"/>
      <c r="I5464" s="923"/>
      <c r="J5464" s="912">
        <v>2021</v>
      </c>
      <c r="K5464" s="913">
        <v>2022</v>
      </c>
      <c r="L5464" s="913">
        <v>2023</v>
      </c>
      <c r="M5464" s="913">
        <v>2024</v>
      </c>
      <c r="N5464" s="914">
        <v>2025</v>
      </c>
    </row>
    <row r="5465" spans="3:14">
      <c r="C5465" s="479"/>
      <c r="D5465" s="915" t="s">
        <v>8</v>
      </c>
      <c r="E5465" s="916" t="s">
        <v>2108</v>
      </c>
      <c r="F5465" s="916"/>
      <c r="G5465" s="916"/>
      <c r="H5465" s="916"/>
      <c r="I5465" s="916"/>
      <c r="J5465" s="69" t="str">
        <f>IFERROR(IF([1]F_ProductBM!J2759 = "", "", [1]F_ProductBM!J2759 ),"")</f>
        <v/>
      </c>
      <c r="K5465" s="62" t="str">
        <f>IFERROR(IF([1]F_ProductBM!K2759 = "", "", [1]F_ProductBM!K2759 ),"")</f>
        <v/>
      </c>
      <c r="L5465" s="62" t="str">
        <f>IFERROR(IF([1]F_ProductBM!L2759 = "", "", [1]F_ProductBM!L2759 ),"")</f>
        <v/>
      </c>
      <c r="M5465" s="62" t="str">
        <f>IFERROR(IF([1]F_ProductBM!M2759 = "", "", [1]F_ProductBM!M2759 ),"")</f>
        <v/>
      </c>
      <c r="N5465" s="70" t="str">
        <f>IFERROR(IF([1]F_ProductBM!N2759 = "", "", [1]F_ProductBM!N2759 ),"")</f>
        <v/>
      </c>
    </row>
    <row r="5466" spans="3:14" ht="13.5" thickBot="1">
      <c r="C5466" s="479"/>
      <c r="D5466" s="918"/>
      <c r="E5466" s="909"/>
      <c r="F5466" s="909"/>
      <c r="G5466" s="909"/>
      <c r="H5466" s="909"/>
      <c r="I5466" s="909"/>
      <c r="J5466" s="909"/>
      <c r="K5466" s="909"/>
      <c r="L5466" s="909"/>
      <c r="M5466" s="909"/>
      <c r="N5466" s="922"/>
    </row>
    <row r="5467" spans="3:14" ht="13.5" thickBot="1">
      <c r="C5467" s="479"/>
      <c r="D5467" s="915" t="s">
        <v>18</v>
      </c>
      <c r="E5467" s="916" t="s">
        <v>1657</v>
      </c>
      <c r="F5467" s="916"/>
      <c r="G5467" s="916"/>
      <c r="H5467" s="921"/>
      <c r="I5467" s="916"/>
      <c r="J5467" s="291" t="str">
        <f>IFERROR(IF([1]F_ProductBM!J2761 = "", "", [1]F_ProductBM!J2761 ),"")</f>
        <v/>
      </c>
      <c r="K5467" s="292" t="str">
        <f>IFERROR(IF([1]F_ProductBM!K2761 = "", "", [1]F_ProductBM!K2761 ),"")</f>
        <v/>
      </c>
      <c r="L5467" s="292" t="str">
        <f>IFERROR(IF([1]F_ProductBM!L2761 = "", "", [1]F_ProductBM!L2761 ),"")</f>
        <v/>
      </c>
      <c r="M5467" s="292" t="str">
        <f>IFERROR(IF([1]F_ProductBM!M2761 = "", "", [1]F_ProductBM!M2761 ),"")</f>
        <v/>
      </c>
      <c r="N5467" s="293" t="str">
        <f>IFERROR(IF([1]F_ProductBM!N2761 = "", "", [1]F_ProductBM!N2761 ),"")</f>
        <v/>
      </c>
    </row>
    <row r="5468" spans="3:14" ht="13.5" thickBot="1">
      <c r="C5468" s="479"/>
      <c r="D5468" s="915" t="s">
        <v>787</v>
      </c>
      <c r="E5468" s="916" t="s">
        <v>1659</v>
      </c>
      <c r="F5468" s="916"/>
      <c r="G5468" s="916"/>
      <c r="H5468" s="63" t="str">
        <f>IFERROR(IF([1]F_ProductBM!H2762 = "", "", [1]F_ProductBM!H2762 ),"")</f>
        <v>tonnes</v>
      </c>
      <c r="I5468" s="281" t="str">
        <f>IFERROR(IF([1]F_ProductBM!I2762 = "", "", [1]F_ProductBM!I2762 ),"")</f>
        <v/>
      </c>
      <c r="J5468" s="294" t="str">
        <f>IFERROR(IF([1]F_ProductBM!J2762 = "", "", [1]F_ProductBM!J2762 ),"")</f>
        <v/>
      </c>
      <c r="K5468" s="295" t="str">
        <f>IFERROR(IF([1]F_ProductBM!K2762 = "", "", [1]F_ProductBM!K2762 ),"")</f>
        <v/>
      </c>
      <c r="L5468" s="295" t="str">
        <f>IFERROR(IF([1]F_ProductBM!L2762 = "", "", [1]F_ProductBM!L2762 ),"")</f>
        <v/>
      </c>
      <c r="M5468" s="295" t="str">
        <f>IFERROR(IF([1]F_ProductBM!M2762 = "", "", [1]F_ProductBM!M2762 ),"")</f>
        <v/>
      </c>
      <c r="N5468" s="296" t="str">
        <f>IFERROR(IF([1]F_ProductBM!N2762 = "", "", [1]F_ProductBM!N2762 ),"")</f>
        <v/>
      </c>
    </row>
    <row r="5469" spans="3:14" ht="13.5" thickBot="1">
      <c r="C5469" s="479"/>
      <c r="D5469" s="924"/>
      <c r="E5469" s="925"/>
      <c r="F5469" s="925"/>
      <c r="G5469" s="925"/>
      <c r="H5469" s="925"/>
      <c r="I5469" s="925"/>
      <c r="J5469" s="925"/>
      <c r="K5469" s="925"/>
      <c r="L5469" s="925"/>
      <c r="M5469" s="925"/>
      <c r="N5469" s="926"/>
    </row>
    <row r="5470" spans="3:14">
      <c r="C5470" s="479"/>
      <c r="D5470" s="485"/>
      <c r="E5470" s="485"/>
      <c r="F5470" s="485"/>
      <c r="G5470" s="485"/>
      <c r="H5470" s="485"/>
      <c r="I5470" s="485"/>
      <c r="J5470" s="485"/>
      <c r="K5470" s="485"/>
      <c r="L5470" s="485"/>
      <c r="M5470" s="485"/>
      <c r="N5470" s="485"/>
    </row>
    <row r="5471" spans="3:14">
      <c r="C5471" s="479"/>
      <c r="D5471" s="2482" t="s">
        <v>1229</v>
      </c>
      <c r="E5471" s="2400"/>
      <c r="F5471" s="2400"/>
      <c r="G5471" s="2400"/>
      <c r="H5471" s="2400"/>
      <c r="I5471" s="2400"/>
      <c r="J5471" s="2400"/>
      <c r="K5471" s="2400"/>
      <c r="L5471" s="2400"/>
      <c r="M5471" s="2400"/>
      <c r="N5471" s="2400"/>
    </row>
    <row r="5472" spans="3:14">
      <c r="C5472" s="479"/>
      <c r="D5472" s="479"/>
      <c r="E5472" s="479"/>
      <c r="F5472" s="479"/>
      <c r="G5472" s="479"/>
      <c r="H5472" s="479"/>
      <c r="I5472" s="479"/>
      <c r="J5472" s="479"/>
      <c r="K5472" s="479"/>
      <c r="L5472" s="479"/>
      <c r="M5472" s="479"/>
      <c r="N5472" s="479"/>
    </row>
    <row r="5473" spans="3:14">
      <c r="C5473" s="485"/>
      <c r="D5473" s="482" t="s">
        <v>48</v>
      </c>
      <c r="E5473" s="2373" t="s">
        <v>800</v>
      </c>
      <c r="F5473" s="2400"/>
      <c r="G5473" s="2400"/>
      <c r="H5473" s="2400"/>
      <c r="I5473" s="2585"/>
      <c r="J5473" s="2652" t="s">
        <v>1857</v>
      </c>
      <c r="K5473" s="2653"/>
      <c r="L5473" s="2653"/>
      <c r="M5473" s="2653"/>
      <c r="N5473" s="2654"/>
    </row>
    <row r="5474" spans="3:14">
      <c r="C5474" s="479"/>
      <c r="D5474" s="485"/>
      <c r="E5474" s="2465" t="s">
        <v>1241</v>
      </c>
      <c r="F5474" s="2400"/>
      <c r="G5474" s="2400"/>
      <c r="H5474" s="2400"/>
      <c r="I5474" s="2400"/>
      <c r="J5474" s="2400"/>
      <c r="K5474" s="2400"/>
      <c r="L5474" s="2400"/>
      <c r="M5474" s="2400"/>
      <c r="N5474" s="2400"/>
    </row>
    <row r="5475" spans="3:14">
      <c r="C5475" s="479"/>
      <c r="D5475" s="485"/>
      <c r="E5475" s="2465" t="s">
        <v>1526</v>
      </c>
      <c r="F5475" s="2400"/>
      <c r="G5475" s="2400"/>
      <c r="H5475" s="2400"/>
      <c r="I5475" s="2400"/>
      <c r="J5475" s="2400"/>
      <c r="K5475" s="2400"/>
      <c r="L5475" s="2400"/>
      <c r="M5475" s="2400"/>
      <c r="N5475" s="2400"/>
    </row>
    <row r="5476" spans="3:14">
      <c r="C5476" s="479"/>
      <c r="D5476" s="485"/>
      <c r="E5476" s="2465" t="s">
        <v>1635</v>
      </c>
      <c r="F5476" s="2400"/>
      <c r="G5476" s="2400"/>
      <c r="H5476" s="2400"/>
      <c r="I5476" s="2400"/>
      <c r="J5476" s="2400"/>
      <c r="K5476" s="2400"/>
      <c r="L5476" s="2400"/>
      <c r="M5476" s="2400"/>
      <c r="N5476" s="2400"/>
    </row>
    <row r="5477" spans="3:14">
      <c r="C5477" s="485"/>
      <c r="D5477" s="482"/>
      <c r="E5477" s="927" t="s">
        <v>62</v>
      </c>
      <c r="F5477" s="518"/>
      <c r="G5477" s="663" t="s">
        <v>884</v>
      </c>
      <c r="H5477" s="578">
        <v>2019</v>
      </c>
      <c r="I5477" s="697">
        <v>2020</v>
      </c>
      <c r="J5477" s="696">
        <v>2021</v>
      </c>
      <c r="K5477" s="928">
        <v>2022</v>
      </c>
      <c r="L5477" s="578">
        <v>2023</v>
      </c>
      <c r="M5477" s="578">
        <v>2024</v>
      </c>
      <c r="N5477" s="578">
        <v>2025</v>
      </c>
    </row>
    <row r="5478" spans="3:14">
      <c r="C5478" s="485"/>
      <c r="D5478" s="561" t="s">
        <v>6</v>
      </c>
      <c r="E5478" s="863" t="s">
        <v>63</v>
      </c>
      <c r="F5478" s="863"/>
      <c r="G5478" s="579" t="s">
        <v>2015</v>
      </c>
      <c r="H5478" s="297" t="str">
        <f>IFERROR(IF([1]F_ProductBM!H2772 = "", "", [1]F_ProductBM!H2772 ),"")</f>
        <v/>
      </c>
      <c r="I5478" s="298" t="str">
        <f>IFERROR(IF([1]F_ProductBM!I2772 = "", "", [1]F_ProductBM!I2772 ),"")</f>
        <v/>
      </c>
      <c r="J5478" s="299" t="str">
        <f>IFERROR(IF([1]F_ProductBM!J2772 = "", "", [1]F_ProductBM!J2772 ),"")</f>
        <v/>
      </c>
      <c r="K5478" s="300" t="str">
        <f>IFERROR(IF([1]F_ProductBM!K2772 = "", "", [1]F_ProductBM!K2772 ),"")</f>
        <v/>
      </c>
      <c r="L5478" s="300" t="str">
        <f>IFERROR(IF([1]F_ProductBM!L2772 = "", "", [1]F_ProductBM!L2772 ),"")</f>
        <v/>
      </c>
      <c r="M5478" s="297" t="str">
        <f>IFERROR(IF([1]F_ProductBM!M2772 = "", "", [1]F_ProductBM!M2772 ),"")</f>
        <v/>
      </c>
      <c r="N5478" s="297" t="str">
        <f>IFERROR(IF([1]F_ProductBM!N2772 = "", "", [1]F_ProductBM!N2772 ),"")</f>
        <v/>
      </c>
    </row>
    <row r="5479" spans="3:14">
      <c r="C5479" s="485"/>
      <c r="D5479" s="561" t="s">
        <v>7</v>
      </c>
      <c r="E5479" s="865" t="s">
        <v>257</v>
      </c>
      <c r="F5479" s="865"/>
      <c r="G5479" s="582" t="s">
        <v>2017</v>
      </c>
      <c r="H5479" s="134" t="str">
        <f>IFERROR(IF([1]F_ProductBM!H2773 = "", "", [1]F_ProductBM!H2773 ),"")</f>
        <v/>
      </c>
      <c r="I5479" s="301" t="str">
        <f>IFERROR(IF([1]F_ProductBM!I2773 = "", "", [1]F_ProductBM!I2773 ),"")</f>
        <v/>
      </c>
      <c r="J5479" s="302" t="str">
        <f>IFERROR(IF([1]F_ProductBM!J2773 = "", "", [1]F_ProductBM!J2773 ),"")</f>
        <v/>
      </c>
      <c r="K5479" s="303" t="str">
        <f>IFERROR(IF([1]F_ProductBM!K2773 = "", "", [1]F_ProductBM!K2773 ),"")</f>
        <v/>
      </c>
      <c r="L5479" s="134" t="str">
        <f>IFERROR(IF([1]F_ProductBM!L2773 = "", "", [1]F_ProductBM!L2773 ),"")</f>
        <v/>
      </c>
      <c r="M5479" s="134" t="str">
        <f>IFERROR(IF([1]F_ProductBM!M2773 = "", "", [1]F_ProductBM!M2773 ),"")</f>
        <v/>
      </c>
      <c r="N5479" s="134" t="str">
        <f>IFERROR(IF([1]F_ProductBM!N2773 = "", "", [1]F_ProductBM!N2773 ),"")</f>
        <v/>
      </c>
    </row>
    <row r="5480" spans="3:14">
      <c r="C5480" s="485"/>
      <c r="D5480" s="561" t="s">
        <v>8</v>
      </c>
      <c r="E5480" s="932" t="s">
        <v>914</v>
      </c>
      <c r="F5480" s="932"/>
      <c r="G5480" s="933" t="s">
        <v>2021</v>
      </c>
      <c r="H5480" s="109" t="str">
        <f>IFERROR(IF([1]F_ProductBM!H2774 = "", "", [1]F_ProductBM!H2774 ),"")</f>
        <v/>
      </c>
      <c r="I5480" s="304" t="str">
        <f>IFERROR(IF([1]F_ProductBM!I2774 = "", "", [1]F_ProductBM!I2774 ),"")</f>
        <v/>
      </c>
      <c r="J5480" s="305" t="str">
        <f>IFERROR(IF([1]F_ProductBM!J2774 = "", "", [1]F_ProductBM!J2774 ),"")</f>
        <v/>
      </c>
      <c r="K5480" s="306" t="str">
        <f>IFERROR(IF([1]F_ProductBM!K2774 = "", "", [1]F_ProductBM!K2774 ),"")</f>
        <v/>
      </c>
      <c r="L5480" s="109" t="str">
        <f>IFERROR(IF([1]F_ProductBM!L2774 = "", "", [1]F_ProductBM!L2774 ),"")</f>
        <v/>
      </c>
      <c r="M5480" s="109" t="str">
        <f>IFERROR(IF([1]F_ProductBM!M2774 = "", "", [1]F_ProductBM!M2774 ),"")</f>
        <v/>
      </c>
      <c r="N5480" s="109" t="str">
        <f>IFERROR(IF([1]F_ProductBM!N2774 = "", "", [1]F_ProductBM!N2774 ),"")</f>
        <v/>
      </c>
    </row>
    <row r="5481" spans="3:14">
      <c r="C5481" s="485"/>
      <c r="D5481" s="561" t="s">
        <v>18</v>
      </c>
      <c r="E5481" s="863" t="s">
        <v>915</v>
      </c>
      <c r="F5481" s="863"/>
      <c r="G5481" s="579" t="s">
        <v>2015</v>
      </c>
      <c r="H5481" s="297" t="str">
        <f>IFERROR(IF([1]F_ProductBM!H2775 = "", "", [1]F_ProductBM!H2775 ),"")</f>
        <v/>
      </c>
      <c r="I5481" s="298" t="str">
        <f>IFERROR(IF([1]F_ProductBM!I2775 = "", "", [1]F_ProductBM!I2775 ),"")</f>
        <v/>
      </c>
      <c r="J5481" s="299" t="str">
        <f>IFERROR(IF([1]F_ProductBM!J2775 = "", "", [1]F_ProductBM!J2775 ),"")</f>
        <v/>
      </c>
      <c r="K5481" s="300" t="str">
        <f>IFERROR(IF([1]F_ProductBM!K2775 = "", "", [1]F_ProductBM!K2775 ),"")</f>
        <v/>
      </c>
      <c r="L5481" s="300" t="str">
        <f>IFERROR(IF([1]F_ProductBM!L2775 = "", "", [1]F_ProductBM!L2775 ),"")</f>
        <v/>
      </c>
      <c r="M5481" s="297" t="str">
        <f>IFERROR(IF([1]F_ProductBM!M2775 = "", "", [1]F_ProductBM!M2775 ),"")</f>
        <v/>
      </c>
      <c r="N5481" s="297" t="str">
        <f>IFERROR(IF([1]F_ProductBM!N2775 = "", "", [1]F_ProductBM!N2775 ),"")</f>
        <v/>
      </c>
    </row>
    <row r="5482" spans="3:14">
      <c r="C5482" s="485"/>
      <c r="D5482" s="561" t="s">
        <v>787</v>
      </c>
      <c r="E5482" s="867" t="s">
        <v>916</v>
      </c>
      <c r="F5482" s="867"/>
      <c r="G5482" s="584" t="s">
        <v>2015</v>
      </c>
      <c r="H5482" s="307" t="str">
        <f>IFERROR(IF([1]F_ProductBM!H2776 = "", "", [1]F_ProductBM!H2776 ),"")</f>
        <v/>
      </c>
      <c r="I5482" s="308" t="str">
        <f>IFERROR(IF([1]F_ProductBM!I2776 = "", "", [1]F_ProductBM!I2776 ),"")</f>
        <v/>
      </c>
      <c r="J5482" s="309" t="str">
        <f>IFERROR(IF([1]F_ProductBM!J2776 = "", "", [1]F_ProductBM!J2776 ),"")</f>
        <v/>
      </c>
      <c r="K5482" s="310" t="str">
        <f>IFERROR(IF([1]F_ProductBM!K2776 = "", "", [1]F_ProductBM!K2776 ),"")</f>
        <v/>
      </c>
      <c r="L5482" s="310" t="str">
        <f>IFERROR(IF([1]F_ProductBM!L2776 = "", "", [1]F_ProductBM!L2776 ),"")</f>
        <v/>
      </c>
      <c r="M5482" s="307" t="str">
        <f>IFERROR(IF([1]F_ProductBM!M2776 = "", "", [1]F_ProductBM!M2776 ),"")</f>
        <v/>
      </c>
      <c r="N5482" s="307" t="str">
        <f>IFERROR(IF([1]F_ProductBM!N2776 = "", "", [1]F_ProductBM!N2776 ),"")</f>
        <v/>
      </c>
    </row>
    <row r="5483" spans="3:14">
      <c r="C5483" s="479"/>
      <c r="D5483" s="479"/>
      <c r="E5483" s="479"/>
      <c r="F5483" s="479"/>
      <c r="G5483" s="479"/>
      <c r="H5483" s="479"/>
      <c r="I5483" s="479"/>
      <c r="J5483" s="937"/>
      <c r="K5483" s="479"/>
      <c r="L5483" s="479"/>
      <c r="M5483" s="485"/>
      <c r="N5483" s="485"/>
    </row>
    <row r="5484" spans="3:14">
      <c r="C5484" s="479"/>
      <c r="D5484" s="561" t="s">
        <v>788</v>
      </c>
      <c r="E5484" s="698" t="s">
        <v>1389</v>
      </c>
      <c r="F5484" s="938"/>
      <c r="G5484" s="939" t="s">
        <v>1021</v>
      </c>
      <c r="H5484" s="311" t="str">
        <f>IFERROR(IF([1]F_ProductBM!H2778 = "", "", [1]F_ProductBM!H2778 ),"")</f>
        <v/>
      </c>
      <c r="I5484" s="312" t="str">
        <f>IFERROR(IF([1]F_ProductBM!I2778 = "", "", [1]F_ProductBM!I2778 ),"")</f>
        <v/>
      </c>
      <c r="J5484" s="313" t="str">
        <f>IFERROR(IF([1]F_ProductBM!J2778 = "", "", [1]F_ProductBM!J2778 ),"")</f>
        <v/>
      </c>
      <c r="K5484" s="314" t="str">
        <f>IFERROR(IF([1]F_ProductBM!K2778 = "", "", [1]F_ProductBM!K2778 ),"")</f>
        <v/>
      </c>
      <c r="L5484" s="311" t="str">
        <f>IFERROR(IF([1]F_ProductBM!L2778 = "", "", [1]F_ProductBM!L2778 ),"")</f>
        <v/>
      </c>
      <c r="M5484" s="311" t="str">
        <f>IFERROR(IF([1]F_ProductBM!M2778 = "", "", [1]F_ProductBM!M2778 ),"")</f>
        <v/>
      </c>
      <c r="N5484" s="311" t="str">
        <f>IFERROR(IF([1]F_ProductBM!N2778 = "", "", [1]F_ProductBM!N2778 ),"")</f>
        <v/>
      </c>
    </row>
    <row r="5485" spans="3:14">
      <c r="C5485" s="479"/>
      <c r="D5485" s="479"/>
      <c r="E5485" s="479"/>
      <c r="F5485" s="479"/>
      <c r="G5485" s="479"/>
      <c r="H5485" s="479"/>
      <c r="I5485" s="479"/>
      <c r="J5485" s="479"/>
      <c r="K5485" s="479"/>
      <c r="L5485" s="479"/>
      <c r="M5485" s="485"/>
      <c r="N5485" s="485"/>
    </row>
    <row r="5486" spans="3:14" ht="23.1" customHeight="1" thickBot="1">
      <c r="C5486" s="479"/>
      <c r="D5486" s="485"/>
      <c r="E5486" s="2465" t="s">
        <v>2709</v>
      </c>
      <c r="F5486" s="2400"/>
      <c r="G5486" s="2400"/>
      <c r="H5486" s="2400"/>
      <c r="I5486" s="2400"/>
      <c r="J5486" s="2400"/>
      <c r="K5486" s="2400"/>
      <c r="L5486" s="2400"/>
      <c r="M5486" s="2400"/>
      <c r="N5486" s="2400"/>
    </row>
    <row r="5487" spans="3:14">
      <c r="C5487" s="479"/>
      <c r="D5487" s="902"/>
      <c r="E5487" s="942"/>
      <c r="F5487" s="942"/>
      <c r="G5487" s="942"/>
      <c r="H5487" s="942"/>
      <c r="I5487" s="942"/>
      <c r="J5487" s="942"/>
      <c r="K5487" s="942"/>
      <c r="L5487" s="942"/>
      <c r="M5487" s="942"/>
      <c r="N5487" s="943"/>
    </row>
    <row r="5488" spans="3:14">
      <c r="C5488" s="479"/>
      <c r="D5488" s="907" t="s">
        <v>1915</v>
      </c>
      <c r="E5488" s="908" t="s">
        <v>1775</v>
      </c>
      <c r="F5488" s="909"/>
      <c r="G5488" s="909"/>
      <c r="H5488" s="910" t="s">
        <v>884</v>
      </c>
      <c r="I5488" s="911" t="s">
        <v>2213</v>
      </c>
      <c r="J5488" s="912">
        <v>2021</v>
      </c>
      <c r="K5488" s="913">
        <v>2022</v>
      </c>
      <c r="L5488" s="913">
        <v>2023</v>
      </c>
      <c r="M5488" s="913">
        <v>2024</v>
      </c>
      <c r="N5488" s="914">
        <v>2025</v>
      </c>
    </row>
    <row r="5489" spans="3:14">
      <c r="C5489" s="479"/>
      <c r="D5489" s="915" t="s">
        <v>6</v>
      </c>
      <c r="E5489" s="916" t="s">
        <v>1691</v>
      </c>
      <c r="F5489" s="916"/>
      <c r="G5489" s="916"/>
      <c r="H5489" s="944" t="s">
        <v>1021</v>
      </c>
      <c r="I5489" s="315" t="str">
        <f>IFERROR(IF([1]F_ProductBM!I2783 = "", "", [1]F_ProductBM!I2783 ),"")</f>
        <v/>
      </c>
      <c r="J5489" s="316" t="str">
        <f>IFERROR(IF([1]F_ProductBM!J2783 = "", "", [1]F_ProductBM!J2783 ),"")</f>
        <v/>
      </c>
      <c r="K5489" s="317" t="str">
        <f>IFERROR(IF([1]F_ProductBM!K2783 = "", "", [1]F_ProductBM!K2783 ),"")</f>
        <v/>
      </c>
      <c r="L5489" s="317" t="str">
        <f>IFERROR(IF([1]F_ProductBM!L2783 = "", "", [1]F_ProductBM!L2783 ),"")</f>
        <v/>
      </c>
      <c r="M5489" s="317" t="str">
        <f>IFERROR(IF([1]F_ProductBM!M2783 = "", "", [1]F_ProductBM!M2783 ),"")</f>
        <v/>
      </c>
      <c r="N5489" s="318" t="str">
        <f>IFERROR(IF([1]F_ProductBM!N2783 = "", "", [1]F_ProductBM!N2783 ),"")</f>
        <v/>
      </c>
    </row>
    <row r="5490" spans="3:14">
      <c r="C5490" s="479"/>
      <c r="D5490" s="915"/>
      <c r="E5490" s="916" t="s">
        <v>1776</v>
      </c>
      <c r="F5490" s="916"/>
      <c r="G5490" s="916"/>
      <c r="H5490" s="921"/>
      <c r="I5490" s="916"/>
      <c r="J5490" s="319" t="str">
        <f>IFERROR(IF([1]F_ProductBM!J2784 = "", "", [1]F_ProductBM!J2784 ),"")</f>
        <v/>
      </c>
      <c r="K5490" s="320" t="str">
        <f>IFERROR(IF([1]F_ProductBM!K2784 = "", "", [1]F_ProductBM!K2784 ),"")</f>
        <v/>
      </c>
      <c r="L5490" s="320" t="str">
        <f>IFERROR(IF([1]F_ProductBM!L2784 = "", "", [1]F_ProductBM!L2784 ),"")</f>
        <v/>
      </c>
      <c r="M5490" s="320" t="str">
        <f>IFERROR(IF([1]F_ProductBM!M2784 = "", "", [1]F_ProductBM!M2784 ),"")</f>
        <v/>
      </c>
      <c r="N5490" s="321" t="str">
        <f>IFERROR(IF([1]F_ProductBM!N2784 = "", "", [1]F_ProductBM!N2784 ),"")</f>
        <v/>
      </c>
    </row>
    <row r="5491" spans="3:14">
      <c r="C5491" s="479"/>
      <c r="D5491" s="915" t="s">
        <v>7</v>
      </c>
      <c r="E5491" s="916" t="s">
        <v>1654</v>
      </c>
      <c r="F5491" s="916"/>
      <c r="G5491" s="916"/>
      <c r="H5491" s="921"/>
      <c r="I5491" s="916"/>
      <c r="J5491" s="288" t="str">
        <f>IFERROR(IF([1]F_ProductBM!J2785 = "", "", [1]F_ProductBM!J2785 ),"")</f>
        <v/>
      </c>
      <c r="K5491" s="289" t="str">
        <f>IFERROR(IF([1]F_ProductBM!K2785 = "", "", [1]F_ProductBM!K2785 ),"")</f>
        <v/>
      </c>
      <c r="L5491" s="289" t="str">
        <f>IFERROR(IF([1]F_ProductBM!L2785 = "", "", [1]F_ProductBM!L2785 ),"")</f>
        <v/>
      </c>
      <c r="M5491" s="289" t="str">
        <f>IFERROR(IF([1]F_ProductBM!M2785 = "", "", [1]F_ProductBM!M2785 ),"")</f>
        <v/>
      </c>
      <c r="N5491" s="290" t="str">
        <f>IFERROR(IF([1]F_ProductBM!N2785 = "", "", [1]F_ProductBM!N2785 ),"")</f>
        <v/>
      </c>
    </row>
    <row r="5492" spans="3:14">
      <c r="C5492" s="479"/>
      <c r="D5492" s="915"/>
      <c r="E5492" s="916" t="s">
        <v>1689</v>
      </c>
      <c r="F5492" s="916"/>
      <c r="G5492" s="916"/>
      <c r="H5492" s="944" t="s">
        <v>1021</v>
      </c>
      <c r="I5492" s="315" t="str">
        <f>IFERROR(IF([1]F_ProductBM!I2786 = "", "", [1]F_ProductBM!I2786 ),"")</f>
        <v/>
      </c>
      <c r="J5492" s="322" t="str">
        <f>IFERROR(IF([1]F_ProductBM!J2786 = "", "", [1]F_ProductBM!J2786 ),"")</f>
        <v/>
      </c>
      <c r="K5492" s="323" t="str">
        <f>IFERROR(IF([1]F_ProductBM!K2786 = "", "", [1]F_ProductBM!K2786 ),"")</f>
        <v/>
      </c>
      <c r="L5492" s="323" t="str">
        <f>IFERROR(IF([1]F_ProductBM!L2786 = "", "", [1]F_ProductBM!L2786 ),"")</f>
        <v/>
      </c>
      <c r="M5492" s="323" t="str">
        <f>IFERROR(IF([1]F_ProductBM!M2786 = "", "", [1]F_ProductBM!M2786 ),"")</f>
        <v/>
      </c>
      <c r="N5492" s="324" t="str">
        <f>IFERROR(IF([1]F_ProductBM!N2786 = "", "", [1]F_ProductBM!N2786 ),"")</f>
        <v/>
      </c>
    </row>
    <row r="5493" spans="3:14">
      <c r="C5493" s="479"/>
      <c r="D5493" s="915"/>
      <c r="E5493" s="909"/>
      <c r="F5493" s="909"/>
      <c r="G5493" s="909"/>
      <c r="H5493" s="909"/>
      <c r="I5493" s="909"/>
      <c r="J5493" s="909"/>
      <c r="K5493" s="909"/>
      <c r="L5493" s="909"/>
      <c r="M5493" s="909"/>
      <c r="N5493" s="922"/>
    </row>
    <row r="5494" spans="3:14">
      <c r="C5494" s="479"/>
      <c r="D5494" s="915"/>
      <c r="E5494" s="923" t="s">
        <v>1653</v>
      </c>
      <c r="F5494" s="923"/>
      <c r="G5494" s="923"/>
      <c r="H5494" s="923"/>
      <c r="I5494" s="923"/>
      <c r="J5494" s="912">
        <v>2021</v>
      </c>
      <c r="K5494" s="913">
        <v>2022</v>
      </c>
      <c r="L5494" s="913">
        <v>2023</v>
      </c>
      <c r="M5494" s="913">
        <v>2024</v>
      </c>
      <c r="N5494" s="914">
        <v>2025</v>
      </c>
    </row>
    <row r="5495" spans="3:14">
      <c r="C5495" s="479"/>
      <c r="D5495" s="915" t="s">
        <v>8</v>
      </c>
      <c r="E5495" s="916" t="s">
        <v>2108</v>
      </c>
      <c r="F5495" s="916"/>
      <c r="G5495" s="916"/>
      <c r="H5495" s="916"/>
      <c r="I5495" s="916"/>
      <c r="J5495" s="69" t="str">
        <f>IFERROR(IF([1]F_ProductBM!J2789 = "", "", [1]F_ProductBM!J2789 ),"")</f>
        <v/>
      </c>
      <c r="K5495" s="62" t="str">
        <f>IFERROR(IF([1]F_ProductBM!K2789 = "", "", [1]F_ProductBM!K2789 ),"")</f>
        <v/>
      </c>
      <c r="L5495" s="62" t="str">
        <f>IFERROR(IF([1]F_ProductBM!L2789 = "", "", [1]F_ProductBM!L2789 ),"")</f>
        <v/>
      </c>
      <c r="M5495" s="62" t="str">
        <f>IFERROR(IF([1]F_ProductBM!M2789 = "", "", [1]F_ProductBM!M2789 ),"")</f>
        <v/>
      </c>
      <c r="N5495" s="70" t="str">
        <f>IFERROR(IF([1]F_ProductBM!N2789 = "", "", [1]F_ProductBM!N2789 ),"")</f>
        <v/>
      </c>
    </row>
    <row r="5496" spans="3:14" ht="13.5" thickBot="1">
      <c r="C5496" s="479"/>
      <c r="D5496" s="915"/>
      <c r="E5496" s="909"/>
      <c r="F5496" s="909"/>
      <c r="G5496" s="909"/>
      <c r="H5496" s="909"/>
      <c r="I5496" s="909"/>
      <c r="J5496" s="909"/>
      <c r="K5496" s="909"/>
      <c r="L5496" s="909"/>
      <c r="M5496" s="909"/>
      <c r="N5496" s="922"/>
    </row>
    <row r="5497" spans="3:14" ht="13.5" thickBot="1">
      <c r="C5497" s="479"/>
      <c r="D5497" s="915" t="s">
        <v>18</v>
      </c>
      <c r="E5497" s="916" t="s">
        <v>1657</v>
      </c>
      <c r="F5497" s="916"/>
      <c r="G5497" s="916"/>
      <c r="H5497" s="921"/>
      <c r="I5497" s="916"/>
      <c r="J5497" s="291" t="str">
        <f>IFERROR(IF([1]F_ProductBM!J2791 = "", "", [1]F_ProductBM!J2791 ),"")</f>
        <v/>
      </c>
      <c r="K5497" s="292" t="str">
        <f>IFERROR(IF([1]F_ProductBM!K2791 = "", "", [1]F_ProductBM!K2791 ),"")</f>
        <v/>
      </c>
      <c r="L5497" s="292" t="str">
        <f>IFERROR(IF([1]F_ProductBM!L2791 = "", "", [1]F_ProductBM!L2791 ),"")</f>
        <v/>
      </c>
      <c r="M5497" s="292" t="str">
        <f>IFERROR(IF([1]F_ProductBM!M2791 = "", "", [1]F_ProductBM!M2791 ),"")</f>
        <v/>
      </c>
      <c r="N5497" s="293" t="str">
        <f>IFERROR(IF([1]F_ProductBM!N2791 = "", "", [1]F_ProductBM!N2791 ),"")</f>
        <v/>
      </c>
    </row>
    <row r="5498" spans="3:14" ht="13.5" thickBot="1">
      <c r="C5498" s="479"/>
      <c r="D5498" s="915" t="s">
        <v>787</v>
      </c>
      <c r="E5498" s="916" t="s">
        <v>1659</v>
      </c>
      <c r="F5498" s="916"/>
      <c r="G5498" s="916"/>
      <c r="H5498" s="944" t="s">
        <v>1021</v>
      </c>
      <c r="I5498" s="315" t="str">
        <f>IFERROR(IF([1]F_ProductBM!I2792 = "", "", [1]F_ProductBM!I2792 ),"")</f>
        <v/>
      </c>
      <c r="J5498" s="325" t="str">
        <f>IFERROR(IF([1]F_ProductBM!J2792 = "", "", [1]F_ProductBM!J2792 ),"")</f>
        <v/>
      </c>
      <c r="K5498" s="326" t="str">
        <f>IFERROR(IF([1]F_ProductBM!K2792 = "", "", [1]F_ProductBM!K2792 ),"")</f>
        <v/>
      </c>
      <c r="L5498" s="326" t="str">
        <f>IFERROR(IF([1]F_ProductBM!L2792 = "", "", [1]F_ProductBM!L2792 ),"")</f>
        <v/>
      </c>
      <c r="M5498" s="326" t="str">
        <f>IFERROR(IF([1]F_ProductBM!M2792 = "", "", [1]F_ProductBM!M2792 ),"")</f>
        <v/>
      </c>
      <c r="N5498" s="327" t="str">
        <f>IFERROR(IF([1]F_ProductBM!N2792 = "", "", [1]F_ProductBM!N2792 ),"")</f>
        <v/>
      </c>
    </row>
    <row r="5499" spans="3:14" ht="13.5" thickBot="1">
      <c r="C5499" s="479"/>
      <c r="D5499" s="946"/>
      <c r="E5499" s="947"/>
      <c r="F5499" s="947"/>
      <c r="G5499" s="947"/>
      <c r="H5499" s="947"/>
      <c r="I5499" s="947"/>
      <c r="J5499" s="947"/>
      <c r="K5499" s="947"/>
      <c r="L5499" s="947"/>
      <c r="M5499" s="925"/>
      <c r="N5499" s="926"/>
    </row>
    <row r="5500" spans="3:14">
      <c r="C5500" s="479"/>
      <c r="D5500" s="479"/>
      <c r="E5500" s="479"/>
      <c r="F5500" s="479"/>
      <c r="G5500" s="479"/>
      <c r="H5500" s="479"/>
      <c r="I5500" s="479"/>
      <c r="J5500" s="479"/>
      <c r="K5500" s="479"/>
      <c r="L5500" s="479"/>
      <c r="M5500" s="485"/>
      <c r="N5500" s="485"/>
    </row>
    <row r="5501" spans="3:14">
      <c r="C5501" s="479"/>
      <c r="D5501" s="482" t="s">
        <v>881</v>
      </c>
      <c r="E5501" s="2373" t="s">
        <v>941</v>
      </c>
      <c r="F5501" s="2373"/>
      <c r="G5501" s="2373"/>
      <c r="H5501" s="2373"/>
      <c r="I5501" s="2604"/>
      <c r="J5501" s="2652" t="s">
        <v>1857</v>
      </c>
      <c r="K5501" s="2653"/>
      <c r="L5501" s="2653"/>
      <c r="M5501" s="2653"/>
      <c r="N5501" s="2654"/>
    </row>
    <row r="5502" spans="3:14">
      <c r="C5502" s="479"/>
      <c r="D5502" s="485"/>
      <c r="E5502" s="2465" t="s">
        <v>1368</v>
      </c>
      <c r="F5502" s="2400"/>
      <c r="G5502" s="2400"/>
      <c r="H5502" s="2400"/>
      <c r="I5502" s="2400"/>
      <c r="J5502" s="2400"/>
      <c r="K5502" s="2400"/>
      <c r="L5502" s="2400"/>
      <c r="M5502" s="2400"/>
      <c r="N5502" s="2400"/>
    </row>
    <row r="5503" spans="3:14">
      <c r="C5503" s="479"/>
      <c r="D5503" s="485"/>
      <c r="E5503" s="2465" t="s">
        <v>1474</v>
      </c>
      <c r="F5503" s="2400"/>
      <c r="G5503" s="2400"/>
      <c r="H5503" s="2400"/>
      <c r="I5503" s="2400"/>
      <c r="J5503" s="2400"/>
      <c r="K5503" s="2400"/>
      <c r="L5503" s="2400"/>
      <c r="M5503" s="2400"/>
      <c r="N5503" s="2400"/>
    </row>
    <row r="5504" spans="3:14">
      <c r="C5504" s="479"/>
      <c r="D5504" s="485"/>
      <c r="E5504" s="2465" t="s">
        <v>1300</v>
      </c>
      <c r="F5504" s="2400"/>
      <c r="G5504" s="2400"/>
      <c r="H5504" s="2400"/>
      <c r="I5504" s="2400"/>
      <c r="J5504" s="2400"/>
      <c r="K5504" s="2400"/>
      <c r="L5504" s="2400"/>
      <c r="M5504" s="2400"/>
      <c r="N5504" s="2400"/>
    </row>
    <row r="5505" spans="3:14">
      <c r="C5505" s="479"/>
      <c r="D5505" s="485"/>
      <c r="E5505" s="2465" t="s">
        <v>1608</v>
      </c>
      <c r="F5505" s="2400"/>
      <c r="G5505" s="2400"/>
      <c r="H5505" s="2400"/>
      <c r="I5505" s="2400"/>
      <c r="J5505" s="2400"/>
      <c r="K5505" s="2400"/>
      <c r="L5505" s="2400"/>
      <c r="M5505" s="2400"/>
      <c r="N5505" s="2400"/>
    </row>
    <row r="5506" spans="3:14">
      <c r="C5506" s="485"/>
      <c r="D5506" s="482"/>
      <c r="E5506" s="927" t="s">
        <v>62</v>
      </c>
      <c r="F5506" s="518"/>
      <c r="G5506" s="663" t="s">
        <v>884</v>
      </c>
      <c r="H5506" s="578">
        <v>2019</v>
      </c>
      <c r="I5506" s="697">
        <v>2020</v>
      </c>
      <c r="J5506" s="696">
        <v>2021</v>
      </c>
      <c r="K5506" s="578">
        <v>2022</v>
      </c>
      <c r="L5506" s="578">
        <v>2023</v>
      </c>
      <c r="M5506" s="578">
        <v>2024</v>
      </c>
      <c r="N5506" s="578">
        <v>2025</v>
      </c>
    </row>
    <row r="5507" spans="3:14" ht="25.5">
      <c r="C5507" s="485"/>
      <c r="D5507" s="561" t="s">
        <v>6</v>
      </c>
      <c r="E5507" s="948" t="s">
        <v>650</v>
      </c>
      <c r="F5507" s="948"/>
      <c r="G5507" s="730" t="s">
        <v>2017</v>
      </c>
      <c r="H5507" s="93" t="str">
        <f>IFERROR(IF([1]F_ProductBM!H2801 = "", "", [1]F_ProductBM!H2801 ),"")</f>
        <v/>
      </c>
      <c r="I5507" s="116" t="str">
        <f>IFERROR(IF([1]F_ProductBM!I2801 = "", "", [1]F_ProductBM!I2801 ),"")</f>
        <v/>
      </c>
      <c r="J5507" s="117" t="str">
        <f>IFERROR(IF([1]F_ProductBM!J2801 = "", "", [1]F_ProductBM!J2801 ),"")</f>
        <v/>
      </c>
      <c r="K5507" s="93" t="str">
        <f>IFERROR(IF([1]F_ProductBM!K2801 = "", "", [1]F_ProductBM!K2801 ),"")</f>
        <v/>
      </c>
      <c r="L5507" s="93" t="str">
        <f>IFERROR(IF([1]F_ProductBM!L2801 = "", "", [1]F_ProductBM!L2801 ),"")</f>
        <v/>
      </c>
      <c r="M5507" s="93" t="str">
        <f>IFERROR(IF([1]F_ProductBM!M2801 = "", "", [1]F_ProductBM!M2801 ),"")</f>
        <v/>
      </c>
      <c r="N5507" s="93" t="str">
        <f>IFERROR(IF([1]F_ProductBM!N2801 = "", "", [1]F_ProductBM!N2801 ),"")</f>
        <v/>
      </c>
    </row>
    <row r="5508" spans="3:14" ht="25.5">
      <c r="C5508" s="485"/>
      <c r="D5508" s="561" t="s">
        <v>7</v>
      </c>
      <c r="E5508" s="863" t="s">
        <v>107</v>
      </c>
      <c r="F5508" s="863"/>
      <c r="G5508" s="950" t="s">
        <v>1022</v>
      </c>
      <c r="H5508" s="328" t="str">
        <f>IFERROR(IF([1]F_ProductBM!H2802 = "", "", [1]F_ProductBM!H2802 ),"")</f>
        <v/>
      </c>
      <c r="I5508" s="329" t="str">
        <f>IFERROR(IF([1]F_ProductBM!I2802 = "", "", [1]F_ProductBM!I2802 ),"")</f>
        <v/>
      </c>
      <c r="J5508" s="330" t="str">
        <f>IFERROR(IF([1]F_ProductBM!J2802 = "", "", [1]F_ProductBM!J2802 ),"")</f>
        <v/>
      </c>
      <c r="K5508" s="328" t="str">
        <f>IFERROR(IF([1]F_ProductBM!K2802 = "", "", [1]F_ProductBM!K2802 ),"")</f>
        <v/>
      </c>
      <c r="L5508" s="328" t="str">
        <f>IFERROR(IF([1]F_ProductBM!L2802 = "", "", [1]F_ProductBM!L2802 ),"")</f>
        <v/>
      </c>
      <c r="M5508" s="328" t="str">
        <f>IFERROR(IF([1]F_ProductBM!M2802 = "", "", [1]F_ProductBM!M2802 ),"")</f>
        <v/>
      </c>
      <c r="N5508" s="328" t="str">
        <f>IFERROR(IF([1]F_ProductBM!N2802 = "", "", [1]F_ProductBM!N2802 ),"")</f>
        <v/>
      </c>
    </row>
    <row r="5509" spans="3:14" ht="25.5">
      <c r="C5509" s="485"/>
      <c r="D5509" s="561" t="s">
        <v>8</v>
      </c>
      <c r="E5509" s="571" t="s">
        <v>1548</v>
      </c>
      <c r="F5509" s="571"/>
      <c r="G5509" s="951" t="s">
        <v>1022</v>
      </c>
      <c r="H5509" s="331" t="str">
        <f>IFERROR(IF([1]F_ProductBM!H2803 = "", "", [1]F_ProductBM!H2803 ),"")</f>
        <v/>
      </c>
      <c r="I5509" s="332" t="str">
        <f>IFERROR(IF([1]F_ProductBM!I2803 = "", "", [1]F_ProductBM!I2803 ),"")</f>
        <v/>
      </c>
      <c r="J5509" s="333" t="str">
        <f>IFERROR(IF([1]F_ProductBM!J2803 = "", "", [1]F_ProductBM!J2803 ),"")</f>
        <v/>
      </c>
      <c r="K5509" s="331" t="str">
        <f>IFERROR(IF([1]F_ProductBM!K2803 = "", "", [1]F_ProductBM!K2803 ),"")</f>
        <v/>
      </c>
      <c r="L5509" s="331" t="str">
        <f>IFERROR(IF([1]F_ProductBM!L2803 = "", "", [1]F_ProductBM!L2803 ),"")</f>
        <v/>
      </c>
      <c r="M5509" s="331" t="str">
        <f>IFERROR(IF([1]F_ProductBM!M2803 = "", "", [1]F_ProductBM!M2803 ),"")</f>
        <v/>
      </c>
      <c r="N5509" s="331" t="str">
        <f>IFERROR(IF([1]F_ProductBM!N2803 = "", "", [1]F_ProductBM!N2803 ),"")</f>
        <v/>
      </c>
    </row>
    <row r="5510" spans="3:14">
      <c r="C5510" s="485"/>
      <c r="D5510" s="485"/>
      <c r="E5510" s="485"/>
      <c r="F5510" s="485"/>
      <c r="G5510" s="485"/>
      <c r="H5510" s="485"/>
      <c r="I5510" s="952"/>
      <c r="J5510" s="485"/>
      <c r="K5510" s="485"/>
      <c r="L5510" s="485"/>
      <c r="M5510" s="485"/>
      <c r="N5510" s="485"/>
    </row>
    <row r="5511" spans="3:14" ht="26.1" customHeight="1" thickBot="1">
      <c r="C5511" s="479"/>
      <c r="D5511" s="485"/>
      <c r="E5511" s="2465" t="s">
        <v>2709</v>
      </c>
      <c r="F5511" s="2400"/>
      <c r="G5511" s="2400"/>
      <c r="H5511" s="2400"/>
      <c r="I5511" s="2400"/>
      <c r="J5511" s="2400"/>
      <c r="K5511" s="2400"/>
      <c r="L5511" s="2400"/>
      <c r="M5511" s="2400"/>
      <c r="N5511" s="2400"/>
    </row>
    <row r="5512" spans="3:14">
      <c r="C5512" s="479"/>
      <c r="D5512" s="902"/>
      <c r="E5512" s="904"/>
      <c r="F5512" s="953"/>
      <c r="G5512" s="953"/>
      <c r="H5512" s="953"/>
      <c r="I5512" s="953"/>
      <c r="J5512" s="953"/>
      <c r="K5512" s="953"/>
      <c r="L5512" s="953"/>
      <c r="M5512" s="953"/>
      <c r="N5512" s="954"/>
    </row>
    <row r="5513" spans="3:14">
      <c r="C5513" s="479"/>
      <c r="D5513" s="907" t="s">
        <v>1916</v>
      </c>
      <c r="E5513" s="908" t="s">
        <v>1774</v>
      </c>
      <c r="F5513" s="909"/>
      <c r="G5513" s="909"/>
      <c r="H5513" s="910" t="s">
        <v>884</v>
      </c>
      <c r="I5513" s="911" t="s">
        <v>2213</v>
      </c>
      <c r="J5513" s="912">
        <v>2021</v>
      </c>
      <c r="K5513" s="913">
        <v>2022</v>
      </c>
      <c r="L5513" s="913">
        <v>2023</v>
      </c>
      <c r="M5513" s="913">
        <v>2024</v>
      </c>
      <c r="N5513" s="914">
        <v>2025</v>
      </c>
    </row>
    <row r="5514" spans="3:14">
      <c r="C5514" s="479"/>
      <c r="D5514" s="915" t="s">
        <v>6</v>
      </c>
      <c r="E5514" s="916" t="s">
        <v>1691</v>
      </c>
      <c r="F5514" s="916"/>
      <c r="G5514" s="916"/>
      <c r="H5514" s="944" t="s">
        <v>471</v>
      </c>
      <c r="I5514" s="281" t="str">
        <f>IFERROR(IF([1]F_ProductBM!I2808 = "", "", [1]F_ProductBM!I2808 ),"")</f>
        <v/>
      </c>
      <c r="J5514" s="334" t="str">
        <f>IFERROR(IF([1]F_ProductBM!J2808 = "", "", [1]F_ProductBM!J2808 ),"")</f>
        <v/>
      </c>
      <c r="K5514" s="335" t="str">
        <f>IFERROR(IF([1]F_ProductBM!K2808 = "", "", [1]F_ProductBM!K2808 ),"")</f>
        <v/>
      </c>
      <c r="L5514" s="335" t="str">
        <f>IFERROR(IF([1]F_ProductBM!L2808 = "", "", [1]F_ProductBM!L2808 ),"")</f>
        <v/>
      </c>
      <c r="M5514" s="335" t="str">
        <f>IFERROR(IF([1]F_ProductBM!M2808 = "", "", [1]F_ProductBM!M2808 ),"")</f>
        <v/>
      </c>
      <c r="N5514" s="336" t="str">
        <f>IFERROR(IF([1]F_ProductBM!N2808 = "", "", [1]F_ProductBM!N2808 ),"")</f>
        <v/>
      </c>
    </row>
    <row r="5515" spans="3:14">
      <c r="C5515" s="479"/>
      <c r="D5515" s="915"/>
      <c r="E5515" s="916" t="s">
        <v>1776</v>
      </c>
      <c r="F5515" s="916"/>
      <c r="G5515" s="916"/>
      <c r="H5515" s="921"/>
      <c r="I5515" s="916"/>
      <c r="J5515" s="319" t="str">
        <f>IFERROR(IF([1]F_ProductBM!J2809 = "", "", [1]F_ProductBM!J2809 ),"")</f>
        <v/>
      </c>
      <c r="K5515" s="320" t="str">
        <f>IFERROR(IF([1]F_ProductBM!K2809 = "", "", [1]F_ProductBM!K2809 ),"")</f>
        <v/>
      </c>
      <c r="L5515" s="320" t="str">
        <f>IFERROR(IF([1]F_ProductBM!L2809 = "", "", [1]F_ProductBM!L2809 ),"")</f>
        <v/>
      </c>
      <c r="M5515" s="320" t="str">
        <f>IFERROR(IF([1]F_ProductBM!M2809 = "", "", [1]F_ProductBM!M2809 ),"")</f>
        <v/>
      </c>
      <c r="N5515" s="321" t="str">
        <f>IFERROR(IF([1]F_ProductBM!N2809 = "", "", [1]F_ProductBM!N2809 ),"")</f>
        <v/>
      </c>
    </row>
    <row r="5516" spans="3:14">
      <c r="C5516" s="479"/>
      <c r="D5516" s="915" t="s">
        <v>7</v>
      </c>
      <c r="E5516" s="916" t="s">
        <v>1654</v>
      </c>
      <c r="F5516" s="916"/>
      <c r="G5516" s="916"/>
      <c r="H5516" s="921"/>
      <c r="I5516" s="916"/>
      <c r="J5516" s="288" t="str">
        <f>IFERROR(IF([1]F_ProductBM!J2810 = "", "", [1]F_ProductBM!J2810 ),"")</f>
        <v/>
      </c>
      <c r="K5516" s="289" t="str">
        <f>IFERROR(IF([1]F_ProductBM!K2810 = "", "", [1]F_ProductBM!K2810 ),"")</f>
        <v/>
      </c>
      <c r="L5516" s="289" t="str">
        <f>IFERROR(IF([1]F_ProductBM!L2810 = "", "", [1]F_ProductBM!L2810 ),"")</f>
        <v/>
      </c>
      <c r="M5516" s="289" t="str">
        <f>IFERROR(IF([1]F_ProductBM!M2810 = "", "", [1]F_ProductBM!M2810 ),"")</f>
        <v/>
      </c>
      <c r="N5516" s="290" t="str">
        <f>IFERROR(IF([1]F_ProductBM!N2810 = "", "", [1]F_ProductBM!N2810 ),"")</f>
        <v/>
      </c>
    </row>
    <row r="5517" spans="3:14">
      <c r="C5517" s="479"/>
      <c r="D5517" s="915"/>
      <c r="E5517" s="916" t="s">
        <v>1689</v>
      </c>
      <c r="F5517" s="916"/>
      <c r="G5517" s="916"/>
      <c r="H5517" s="944" t="s">
        <v>471</v>
      </c>
      <c r="I5517" s="281" t="str">
        <f>IFERROR(IF([1]F_ProductBM!I2811 = "", "", [1]F_ProductBM!I2811 ),"")</f>
        <v/>
      </c>
      <c r="J5517" s="282" t="str">
        <f>IFERROR(IF([1]F_ProductBM!J2811 = "", "", [1]F_ProductBM!J2811 ),"")</f>
        <v/>
      </c>
      <c r="K5517" s="283" t="str">
        <f>IFERROR(IF([1]F_ProductBM!K2811 = "", "", [1]F_ProductBM!K2811 ),"")</f>
        <v/>
      </c>
      <c r="L5517" s="283" t="str">
        <f>IFERROR(IF([1]F_ProductBM!L2811 = "", "", [1]F_ProductBM!L2811 ),"")</f>
        <v/>
      </c>
      <c r="M5517" s="283" t="str">
        <f>IFERROR(IF([1]F_ProductBM!M2811 = "", "", [1]F_ProductBM!M2811 ),"")</f>
        <v/>
      </c>
      <c r="N5517" s="284" t="str">
        <f>IFERROR(IF([1]F_ProductBM!N2811 = "", "", [1]F_ProductBM!N2811 ),"")</f>
        <v/>
      </c>
    </row>
    <row r="5518" spans="3:14">
      <c r="C5518" s="479"/>
      <c r="D5518" s="915"/>
      <c r="E5518" s="909"/>
      <c r="F5518" s="909"/>
      <c r="G5518" s="909"/>
      <c r="H5518" s="909"/>
      <c r="I5518" s="909"/>
      <c r="J5518" s="909"/>
      <c r="K5518" s="909"/>
      <c r="L5518" s="909"/>
      <c r="M5518" s="909"/>
      <c r="N5518" s="922"/>
    </row>
    <row r="5519" spans="3:14">
      <c r="C5519" s="479"/>
      <c r="D5519" s="915"/>
      <c r="E5519" s="923" t="s">
        <v>1653</v>
      </c>
      <c r="F5519" s="923"/>
      <c r="G5519" s="923"/>
      <c r="H5519" s="923"/>
      <c r="I5519" s="923"/>
      <c r="J5519" s="912">
        <v>2021</v>
      </c>
      <c r="K5519" s="913">
        <v>2022</v>
      </c>
      <c r="L5519" s="913">
        <v>2023</v>
      </c>
      <c r="M5519" s="913">
        <v>2024</v>
      </c>
      <c r="N5519" s="914">
        <v>2025</v>
      </c>
    </row>
    <row r="5520" spans="3:14">
      <c r="C5520" s="479"/>
      <c r="D5520" s="915" t="s">
        <v>8</v>
      </c>
      <c r="E5520" s="916" t="s">
        <v>2108</v>
      </c>
      <c r="F5520" s="916"/>
      <c r="G5520" s="916"/>
      <c r="H5520" s="916"/>
      <c r="I5520" s="916"/>
      <c r="J5520" s="69" t="str">
        <f>IFERROR(IF([1]F_ProductBM!J2814 = "", "", [1]F_ProductBM!J2814 ),"")</f>
        <v/>
      </c>
      <c r="K5520" s="62" t="str">
        <f>IFERROR(IF([1]F_ProductBM!K2814 = "", "", [1]F_ProductBM!K2814 ),"")</f>
        <v/>
      </c>
      <c r="L5520" s="62" t="str">
        <f>IFERROR(IF([1]F_ProductBM!L2814 = "", "", [1]F_ProductBM!L2814 ),"")</f>
        <v/>
      </c>
      <c r="M5520" s="62" t="str">
        <f>IFERROR(IF([1]F_ProductBM!M2814 = "", "", [1]F_ProductBM!M2814 ),"")</f>
        <v/>
      </c>
      <c r="N5520" s="70" t="str">
        <f>IFERROR(IF([1]F_ProductBM!N2814 = "", "", [1]F_ProductBM!N2814 ),"")</f>
        <v/>
      </c>
    </row>
    <row r="5521" spans="3:14" ht="13.5" thickBot="1">
      <c r="C5521" s="479"/>
      <c r="D5521" s="915"/>
      <c r="E5521" s="909"/>
      <c r="F5521" s="909"/>
      <c r="G5521" s="909"/>
      <c r="H5521" s="909"/>
      <c r="I5521" s="909"/>
      <c r="J5521" s="909"/>
      <c r="K5521" s="909"/>
      <c r="L5521" s="909"/>
      <c r="M5521" s="909"/>
      <c r="N5521" s="922"/>
    </row>
    <row r="5522" spans="3:14" ht="13.5" thickBot="1">
      <c r="C5522" s="479"/>
      <c r="D5522" s="915" t="s">
        <v>18</v>
      </c>
      <c r="E5522" s="916" t="s">
        <v>1657</v>
      </c>
      <c r="F5522" s="916"/>
      <c r="G5522" s="916"/>
      <c r="H5522" s="921"/>
      <c r="I5522" s="916"/>
      <c r="J5522" s="291" t="str">
        <f>IFERROR(IF([1]F_ProductBM!J2816 = "", "", [1]F_ProductBM!J2816 ),"")</f>
        <v/>
      </c>
      <c r="K5522" s="292" t="str">
        <f>IFERROR(IF([1]F_ProductBM!K2816 = "", "", [1]F_ProductBM!K2816 ),"")</f>
        <v/>
      </c>
      <c r="L5522" s="292" t="str">
        <f>IFERROR(IF([1]F_ProductBM!L2816 = "", "", [1]F_ProductBM!L2816 ),"")</f>
        <v/>
      </c>
      <c r="M5522" s="292" t="str">
        <f>IFERROR(IF([1]F_ProductBM!M2816 = "", "", [1]F_ProductBM!M2816 ),"")</f>
        <v/>
      </c>
      <c r="N5522" s="293" t="str">
        <f>IFERROR(IF([1]F_ProductBM!N2816 = "", "", [1]F_ProductBM!N2816 ),"")</f>
        <v/>
      </c>
    </row>
    <row r="5523" spans="3:14" ht="13.5" thickBot="1">
      <c r="C5523" s="479"/>
      <c r="D5523" s="915" t="s">
        <v>787</v>
      </c>
      <c r="E5523" s="916" t="s">
        <v>1659</v>
      </c>
      <c r="F5523" s="916"/>
      <c r="G5523" s="916"/>
      <c r="H5523" s="944" t="s">
        <v>471</v>
      </c>
      <c r="I5523" s="281" t="str">
        <f>IFERROR(IF([1]F_ProductBM!I2817 = "", "", [1]F_ProductBM!I2817 ),"")</f>
        <v/>
      </c>
      <c r="J5523" s="294" t="str">
        <f>IFERROR(IF([1]F_ProductBM!J2817 = "", "", [1]F_ProductBM!J2817 ),"")</f>
        <v/>
      </c>
      <c r="K5523" s="295" t="str">
        <f>IFERROR(IF([1]F_ProductBM!K2817 = "", "", [1]F_ProductBM!K2817 ),"")</f>
        <v/>
      </c>
      <c r="L5523" s="295" t="str">
        <f>IFERROR(IF([1]F_ProductBM!L2817 = "", "", [1]F_ProductBM!L2817 ),"")</f>
        <v/>
      </c>
      <c r="M5523" s="295" t="str">
        <f>IFERROR(IF([1]F_ProductBM!M2817 = "", "", [1]F_ProductBM!M2817 ),"")</f>
        <v/>
      </c>
      <c r="N5523" s="296" t="str">
        <f>IFERROR(IF([1]F_ProductBM!N2817 = "", "", [1]F_ProductBM!N2817 ),"")</f>
        <v/>
      </c>
    </row>
    <row r="5524" spans="3:14" ht="13.5" thickBot="1">
      <c r="C5524" s="485"/>
      <c r="D5524" s="924"/>
      <c r="E5524" s="925"/>
      <c r="F5524" s="925"/>
      <c r="G5524" s="925"/>
      <c r="H5524" s="925"/>
      <c r="I5524" s="955"/>
      <c r="J5524" s="925"/>
      <c r="K5524" s="925"/>
      <c r="L5524" s="925"/>
      <c r="M5524" s="925"/>
      <c r="N5524" s="926"/>
    </row>
    <row r="5525" spans="3:14">
      <c r="C5525" s="485"/>
      <c r="D5525" s="485"/>
      <c r="E5525" s="485"/>
      <c r="F5525" s="485"/>
      <c r="G5525" s="485"/>
      <c r="H5525" s="485"/>
      <c r="I5525" s="952"/>
      <c r="J5525" s="485"/>
      <c r="K5525" s="485"/>
      <c r="L5525" s="485"/>
      <c r="M5525" s="485"/>
      <c r="N5525" s="485"/>
    </row>
    <row r="5526" spans="3:14" ht="15">
      <c r="C5526" s="856"/>
      <c r="D5526" s="2482" t="s">
        <v>103</v>
      </c>
      <c r="E5526" s="2400"/>
      <c r="F5526" s="2400"/>
      <c r="G5526" s="2400"/>
      <c r="H5526" s="2400"/>
      <c r="I5526" s="2400"/>
      <c r="J5526" s="2400"/>
      <c r="K5526" s="2400"/>
      <c r="L5526" s="2400"/>
      <c r="M5526" s="2400"/>
      <c r="N5526" s="2400"/>
    </row>
    <row r="5527" spans="3:14">
      <c r="C5527" s="479"/>
      <c r="D5527" s="479"/>
      <c r="E5527" s="479"/>
      <c r="F5527" s="479"/>
      <c r="G5527" s="479"/>
      <c r="H5527" s="479"/>
      <c r="I5527" s="479"/>
      <c r="J5527" s="479"/>
      <c r="K5527" s="479"/>
      <c r="L5527" s="479"/>
      <c r="M5527" s="479"/>
      <c r="N5527" s="479"/>
    </row>
    <row r="5528" spans="3:14">
      <c r="C5528" s="482"/>
      <c r="D5528" s="482" t="s">
        <v>57</v>
      </c>
      <c r="E5528" s="2373" t="s">
        <v>108</v>
      </c>
      <c r="F5528" s="2400"/>
      <c r="G5528" s="2400"/>
      <c r="H5528" s="2400"/>
      <c r="I5528" s="2400"/>
      <c r="J5528" s="2400"/>
      <c r="K5528" s="2400"/>
      <c r="L5528" s="2400"/>
      <c r="M5528" s="2400"/>
      <c r="N5528" s="2400"/>
    </row>
    <row r="5529" spans="3:14">
      <c r="C5529" s="485"/>
      <c r="D5529" s="485"/>
      <c r="E5529" s="2465" t="s">
        <v>1935</v>
      </c>
      <c r="F5529" s="2400"/>
      <c r="G5529" s="2400"/>
      <c r="H5529" s="2400"/>
      <c r="I5529" s="2400"/>
      <c r="J5529" s="2400"/>
      <c r="K5529" s="2400"/>
      <c r="L5529" s="2400"/>
      <c r="M5529" s="2400"/>
      <c r="N5529" s="2400"/>
    </row>
    <row r="5530" spans="3:14">
      <c r="C5530" s="485"/>
      <c r="D5530" s="485"/>
      <c r="E5530" s="2465" t="s">
        <v>1636</v>
      </c>
      <c r="F5530" s="2400"/>
      <c r="G5530" s="2400"/>
      <c r="H5530" s="2400"/>
      <c r="I5530" s="2400"/>
      <c r="J5530" s="2400"/>
      <c r="K5530" s="2400"/>
      <c r="L5530" s="2400"/>
      <c r="M5530" s="2400"/>
      <c r="N5530" s="2400"/>
    </row>
    <row r="5531" spans="3:14">
      <c r="C5531" s="485"/>
      <c r="D5531" s="485"/>
      <c r="E5531" s="2465" t="s">
        <v>2119</v>
      </c>
      <c r="F5531" s="2400"/>
      <c r="G5531" s="2400"/>
      <c r="H5531" s="2400"/>
      <c r="I5531" s="2400"/>
      <c r="J5531" s="2400"/>
      <c r="K5531" s="2400"/>
      <c r="L5531" s="2400"/>
      <c r="M5531" s="2400"/>
      <c r="N5531" s="2400"/>
    </row>
    <row r="5532" spans="3:14">
      <c r="C5532" s="485"/>
      <c r="D5532" s="485"/>
      <c r="E5532" s="2677" t="s">
        <v>2120</v>
      </c>
      <c r="F5532" s="2364"/>
      <c r="G5532" s="2364"/>
      <c r="H5532" s="2364"/>
      <c r="I5532" s="2364"/>
      <c r="J5532" s="2364"/>
      <c r="K5532" s="2364"/>
      <c r="L5532" s="2364"/>
      <c r="M5532" s="2364"/>
      <c r="N5532" s="2364"/>
    </row>
    <row r="5533" spans="3:14">
      <c r="C5533" s="479"/>
      <c r="D5533" s="479"/>
      <c r="E5533" s="479"/>
      <c r="F5533" s="479"/>
      <c r="G5533" s="479"/>
      <c r="H5533" s="479"/>
      <c r="I5533" s="479"/>
      <c r="J5533" s="479"/>
      <c r="K5533" s="479"/>
      <c r="L5533" s="479"/>
      <c r="M5533" s="479"/>
      <c r="N5533" s="479"/>
    </row>
    <row r="5534" spans="3:14">
      <c r="C5534" s="482"/>
      <c r="D5534" s="482" t="s">
        <v>58</v>
      </c>
      <c r="E5534" s="2373" t="s">
        <v>1013</v>
      </c>
      <c r="F5534" s="2400"/>
      <c r="G5534" s="2400"/>
      <c r="H5534" s="2400"/>
      <c r="I5534" s="2400"/>
      <c r="J5534" s="2400"/>
      <c r="K5534" s="2400"/>
      <c r="L5534" s="2400"/>
      <c r="M5534" s="2400"/>
      <c r="N5534" s="2400"/>
    </row>
    <row r="5535" spans="3:14">
      <c r="C5535" s="479"/>
      <c r="D5535" s="485"/>
      <c r="E5535" s="617"/>
      <c r="F5535" s="617"/>
      <c r="G5535" s="617"/>
      <c r="H5535" s="617"/>
      <c r="I5535" s="617"/>
      <c r="J5535" s="468"/>
      <c r="K5535" s="468"/>
      <c r="L5535" s="468"/>
      <c r="M5535" s="485"/>
      <c r="N5535" s="485"/>
    </row>
    <row r="5536" spans="3:14" ht="51">
      <c r="C5536" s="485"/>
      <c r="D5536" s="956"/>
      <c r="E5536" s="957" t="s">
        <v>2112</v>
      </c>
      <c r="F5536" s="958" t="s">
        <v>949</v>
      </c>
      <c r="G5536" s="959" t="s">
        <v>884</v>
      </c>
      <c r="H5536" s="578">
        <v>2019</v>
      </c>
      <c r="I5536" s="697">
        <v>2020</v>
      </c>
      <c r="J5536" s="696">
        <v>2021</v>
      </c>
      <c r="K5536" s="578">
        <v>2022</v>
      </c>
      <c r="L5536" s="578">
        <v>2023</v>
      </c>
      <c r="M5536" s="578">
        <v>2024</v>
      </c>
      <c r="N5536" s="578">
        <v>2025</v>
      </c>
    </row>
    <row r="5537" spans="3:14">
      <c r="C5537" s="485"/>
      <c r="D5537" s="579">
        <v>1</v>
      </c>
      <c r="E5537" s="375" t="str">
        <f>IFERROR(IF([1]F_ProductBM!E2831 = "", "", [1]F_ProductBM!E2831 ),"")</f>
        <v/>
      </c>
      <c r="F5537" s="337" t="str">
        <f>IFERROR(IF([1]F_ProductBM!F2831 = "", "", [1]F_ProductBM!F2831 ),"")</f>
        <v/>
      </c>
      <c r="G5537" s="71" t="str">
        <f>IFERROR(IF([1]F_ProductBM!G2831 = "", "", [1]F_ProductBM!G2831 ),"")</f>
        <v/>
      </c>
      <c r="H5537" s="94" t="str">
        <f>IFERROR(IF([1]F_ProductBM!H2831 = "", "", [1]F_ProductBM!H2831 ),"")</f>
        <v/>
      </c>
      <c r="I5537" s="110" t="str">
        <f>IFERROR(IF([1]F_ProductBM!I2831 = "", "", [1]F_ProductBM!I2831 ),"")</f>
        <v/>
      </c>
      <c r="J5537" s="111" t="str">
        <f>IFERROR(IF([1]F_ProductBM!J2831 = "", "", [1]F_ProductBM!J2831 ),"")</f>
        <v/>
      </c>
      <c r="K5537" s="94" t="str">
        <f>IFERROR(IF([1]F_ProductBM!K2831 = "", "", [1]F_ProductBM!K2831 ),"")</f>
        <v/>
      </c>
      <c r="L5537" s="94" t="str">
        <f>IFERROR(IF([1]F_ProductBM!L2831 = "", "", [1]F_ProductBM!L2831 ),"")</f>
        <v/>
      </c>
      <c r="M5537" s="94" t="str">
        <f>IFERROR(IF([1]F_ProductBM!M2831 = "", "", [1]F_ProductBM!M2831 ),"")</f>
        <v/>
      </c>
      <c r="N5537" s="94" t="str">
        <f>IFERROR(IF([1]F_ProductBM!N2831 = "", "", [1]F_ProductBM!N2831 ),"")</f>
        <v/>
      </c>
    </row>
    <row r="5538" spans="3:14">
      <c r="C5538" s="485"/>
      <c r="D5538" s="582">
        <v>2</v>
      </c>
      <c r="E5538" s="376" t="str">
        <f>IFERROR(IF([1]F_ProductBM!E2832 = "", "", [1]F_ProductBM!E2832 ),"")</f>
        <v/>
      </c>
      <c r="F5538" s="338" t="str">
        <f>IFERROR(IF([1]F_ProductBM!F2832 = "", "", [1]F_ProductBM!F2832 ),"")</f>
        <v/>
      </c>
      <c r="G5538" s="72" t="str">
        <f>IFERROR(IF([1]F_ProductBM!G2832 = "", "", [1]F_ProductBM!G2832 ),"")</f>
        <v/>
      </c>
      <c r="H5538" s="101" t="str">
        <f>IFERROR(IF([1]F_ProductBM!H2832 = "", "", [1]F_ProductBM!H2832 ),"")</f>
        <v/>
      </c>
      <c r="I5538" s="361" t="str">
        <f>IFERROR(IF([1]F_ProductBM!I2832 = "", "", [1]F_ProductBM!I2832 ),"")</f>
        <v/>
      </c>
      <c r="J5538" s="362" t="str">
        <f>IFERROR(IF([1]F_ProductBM!J2832 = "", "", [1]F_ProductBM!J2832 ),"")</f>
        <v/>
      </c>
      <c r="K5538" s="101" t="str">
        <f>IFERROR(IF([1]F_ProductBM!K2832 = "", "", [1]F_ProductBM!K2832 ),"")</f>
        <v/>
      </c>
      <c r="L5538" s="101" t="str">
        <f>IFERROR(IF([1]F_ProductBM!L2832 = "", "", [1]F_ProductBM!L2832 ),"")</f>
        <v/>
      </c>
      <c r="M5538" s="101" t="str">
        <f>IFERROR(IF([1]F_ProductBM!M2832 = "", "", [1]F_ProductBM!M2832 ),"")</f>
        <v/>
      </c>
      <c r="N5538" s="101" t="str">
        <f>IFERROR(IF([1]F_ProductBM!N2832 = "", "", [1]F_ProductBM!N2832 ),"")</f>
        <v/>
      </c>
    </row>
    <row r="5539" spans="3:14">
      <c r="C5539" s="485"/>
      <c r="D5539" s="582">
        <v>3</v>
      </c>
      <c r="E5539" s="376" t="str">
        <f>IFERROR(IF([1]F_ProductBM!E2833 = "", "", [1]F_ProductBM!E2833 ),"")</f>
        <v/>
      </c>
      <c r="F5539" s="338" t="str">
        <f>IFERROR(IF([1]F_ProductBM!F2833 = "", "", [1]F_ProductBM!F2833 ),"")</f>
        <v/>
      </c>
      <c r="G5539" s="72" t="str">
        <f>IFERROR(IF([1]F_ProductBM!G2833 = "", "", [1]F_ProductBM!G2833 ),"")</f>
        <v/>
      </c>
      <c r="H5539" s="101" t="str">
        <f>IFERROR(IF([1]F_ProductBM!H2833 = "", "", [1]F_ProductBM!H2833 ),"")</f>
        <v/>
      </c>
      <c r="I5539" s="361" t="str">
        <f>IFERROR(IF([1]F_ProductBM!I2833 = "", "", [1]F_ProductBM!I2833 ),"")</f>
        <v/>
      </c>
      <c r="J5539" s="362" t="str">
        <f>IFERROR(IF([1]F_ProductBM!J2833 = "", "", [1]F_ProductBM!J2833 ),"")</f>
        <v/>
      </c>
      <c r="K5539" s="101" t="str">
        <f>IFERROR(IF([1]F_ProductBM!K2833 = "", "", [1]F_ProductBM!K2833 ),"")</f>
        <v/>
      </c>
      <c r="L5539" s="101" t="str">
        <f>IFERROR(IF([1]F_ProductBM!L2833 = "", "", [1]F_ProductBM!L2833 ),"")</f>
        <v/>
      </c>
      <c r="M5539" s="101" t="str">
        <f>IFERROR(IF([1]F_ProductBM!M2833 = "", "", [1]F_ProductBM!M2833 ),"")</f>
        <v/>
      </c>
      <c r="N5539" s="101" t="str">
        <f>IFERROR(IF([1]F_ProductBM!N2833 = "", "", [1]F_ProductBM!N2833 ),"")</f>
        <v/>
      </c>
    </row>
    <row r="5540" spans="3:14">
      <c r="C5540" s="485"/>
      <c r="D5540" s="582">
        <v>4</v>
      </c>
      <c r="E5540" s="376" t="str">
        <f>IFERROR(IF([1]F_ProductBM!E2834 = "", "", [1]F_ProductBM!E2834 ),"")</f>
        <v/>
      </c>
      <c r="F5540" s="338" t="str">
        <f>IFERROR(IF([1]F_ProductBM!F2834 = "", "", [1]F_ProductBM!F2834 ),"")</f>
        <v/>
      </c>
      <c r="G5540" s="72" t="str">
        <f>IFERROR(IF([1]F_ProductBM!G2834 = "", "", [1]F_ProductBM!G2834 ),"")</f>
        <v/>
      </c>
      <c r="H5540" s="101" t="str">
        <f>IFERROR(IF([1]F_ProductBM!H2834 = "", "", [1]F_ProductBM!H2834 ),"")</f>
        <v/>
      </c>
      <c r="I5540" s="361" t="str">
        <f>IFERROR(IF([1]F_ProductBM!I2834 = "", "", [1]F_ProductBM!I2834 ),"")</f>
        <v/>
      </c>
      <c r="J5540" s="362" t="str">
        <f>IFERROR(IF([1]F_ProductBM!J2834 = "", "", [1]F_ProductBM!J2834 ),"")</f>
        <v/>
      </c>
      <c r="K5540" s="101" t="str">
        <f>IFERROR(IF([1]F_ProductBM!K2834 = "", "", [1]F_ProductBM!K2834 ),"")</f>
        <v/>
      </c>
      <c r="L5540" s="101" t="str">
        <f>IFERROR(IF([1]F_ProductBM!L2834 = "", "", [1]F_ProductBM!L2834 ),"")</f>
        <v/>
      </c>
      <c r="M5540" s="101" t="str">
        <f>IFERROR(IF([1]F_ProductBM!M2834 = "", "", [1]F_ProductBM!M2834 ),"")</f>
        <v/>
      </c>
      <c r="N5540" s="101" t="str">
        <f>IFERROR(IF([1]F_ProductBM!N2834 = "", "", [1]F_ProductBM!N2834 ),"")</f>
        <v/>
      </c>
    </row>
    <row r="5541" spans="3:14">
      <c r="C5541" s="485"/>
      <c r="D5541" s="582">
        <v>5</v>
      </c>
      <c r="E5541" s="376" t="str">
        <f>IFERROR(IF([1]F_ProductBM!E2835 = "", "", [1]F_ProductBM!E2835 ),"")</f>
        <v/>
      </c>
      <c r="F5541" s="338" t="str">
        <f>IFERROR(IF([1]F_ProductBM!F2835 = "", "", [1]F_ProductBM!F2835 ),"")</f>
        <v/>
      </c>
      <c r="G5541" s="72" t="str">
        <f>IFERROR(IF([1]F_ProductBM!G2835 = "", "", [1]F_ProductBM!G2835 ),"")</f>
        <v/>
      </c>
      <c r="H5541" s="101" t="str">
        <f>IFERROR(IF([1]F_ProductBM!H2835 = "", "", [1]F_ProductBM!H2835 ),"")</f>
        <v/>
      </c>
      <c r="I5541" s="361" t="str">
        <f>IFERROR(IF([1]F_ProductBM!I2835 = "", "", [1]F_ProductBM!I2835 ),"")</f>
        <v/>
      </c>
      <c r="J5541" s="362" t="str">
        <f>IFERROR(IF([1]F_ProductBM!J2835 = "", "", [1]F_ProductBM!J2835 ),"")</f>
        <v/>
      </c>
      <c r="K5541" s="101" t="str">
        <f>IFERROR(IF([1]F_ProductBM!K2835 = "", "", [1]F_ProductBM!K2835 ),"")</f>
        <v/>
      </c>
      <c r="L5541" s="101" t="str">
        <f>IFERROR(IF([1]F_ProductBM!L2835 = "", "", [1]F_ProductBM!L2835 ),"")</f>
        <v/>
      </c>
      <c r="M5541" s="101" t="str">
        <f>IFERROR(IF([1]F_ProductBM!M2835 = "", "", [1]F_ProductBM!M2835 ),"")</f>
        <v/>
      </c>
      <c r="N5541" s="101" t="str">
        <f>IFERROR(IF([1]F_ProductBM!N2835 = "", "", [1]F_ProductBM!N2835 ),"")</f>
        <v/>
      </c>
    </row>
    <row r="5542" spans="3:14">
      <c r="C5542" s="485"/>
      <c r="D5542" s="582">
        <v>6</v>
      </c>
      <c r="E5542" s="376" t="str">
        <f>IFERROR(IF([1]F_ProductBM!E2836 = "", "", [1]F_ProductBM!E2836 ),"")</f>
        <v/>
      </c>
      <c r="F5542" s="338" t="str">
        <f>IFERROR(IF([1]F_ProductBM!F2836 = "", "", [1]F_ProductBM!F2836 ),"")</f>
        <v/>
      </c>
      <c r="G5542" s="72" t="str">
        <f>IFERROR(IF([1]F_ProductBM!G2836 = "", "", [1]F_ProductBM!G2836 ),"")</f>
        <v/>
      </c>
      <c r="H5542" s="101" t="str">
        <f>IFERROR(IF([1]F_ProductBM!H2836 = "", "", [1]F_ProductBM!H2836 ),"")</f>
        <v/>
      </c>
      <c r="I5542" s="361" t="str">
        <f>IFERROR(IF([1]F_ProductBM!I2836 = "", "", [1]F_ProductBM!I2836 ),"")</f>
        <v/>
      </c>
      <c r="J5542" s="362" t="str">
        <f>IFERROR(IF([1]F_ProductBM!J2836 = "", "", [1]F_ProductBM!J2836 ),"")</f>
        <v/>
      </c>
      <c r="K5542" s="101" t="str">
        <f>IFERROR(IF([1]F_ProductBM!K2836 = "", "", [1]F_ProductBM!K2836 ),"")</f>
        <v/>
      </c>
      <c r="L5542" s="101" t="str">
        <f>IFERROR(IF([1]F_ProductBM!L2836 = "", "", [1]F_ProductBM!L2836 ),"")</f>
        <v/>
      </c>
      <c r="M5542" s="101" t="str">
        <f>IFERROR(IF([1]F_ProductBM!M2836 = "", "", [1]F_ProductBM!M2836 ),"")</f>
        <v/>
      </c>
      <c r="N5542" s="101" t="str">
        <f>IFERROR(IF([1]F_ProductBM!N2836 = "", "", [1]F_ProductBM!N2836 ),"")</f>
        <v/>
      </c>
    </row>
    <row r="5543" spans="3:14">
      <c r="C5543" s="485"/>
      <c r="D5543" s="582">
        <v>7</v>
      </c>
      <c r="E5543" s="376" t="str">
        <f>IFERROR(IF([1]F_ProductBM!E2837 = "", "", [1]F_ProductBM!E2837 ),"")</f>
        <v/>
      </c>
      <c r="F5543" s="338" t="str">
        <f>IFERROR(IF([1]F_ProductBM!F2837 = "", "", [1]F_ProductBM!F2837 ),"")</f>
        <v/>
      </c>
      <c r="G5543" s="72" t="str">
        <f>IFERROR(IF([1]F_ProductBM!G2837 = "", "", [1]F_ProductBM!G2837 ),"")</f>
        <v/>
      </c>
      <c r="H5543" s="101" t="str">
        <f>IFERROR(IF([1]F_ProductBM!H2837 = "", "", [1]F_ProductBM!H2837 ),"")</f>
        <v/>
      </c>
      <c r="I5543" s="361" t="str">
        <f>IFERROR(IF([1]F_ProductBM!I2837 = "", "", [1]F_ProductBM!I2837 ),"")</f>
        <v/>
      </c>
      <c r="J5543" s="362" t="str">
        <f>IFERROR(IF([1]F_ProductBM!J2837 = "", "", [1]F_ProductBM!J2837 ),"")</f>
        <v/>
      </c>
      <c r="K5543" s="101" t="str">
        <f>IFERROR(IF([1]F_ProductBM!K2837 = "", "", [1]F_ProductBM!K2837 ),"")</f>
        <v/>
      </c>
      <c r="L5543" s="101" t="str">
        <f>IFERROR(IF([1]F_ProductBM!L2837 = "", "", [1]F_ProductBM!L2837 ),"")</f>
        <v/>
      </c>
      <c r="M5543" s="101" t="str">
        <f>IFERROR(IF([1]F_ProductBM!M2837 = "", "", [1]F_ProductBM!M2837 ),"")</f>
        <v/>
      </c>
      <c r="N5543" s="101" t="str">
        <f>IFERROR(IF([1]F_ProductBM!N2837 = "", "", [1]F_ProductBM!N2837 ),"")</f>
        <v/>
      </c>
    </row>
    <row r="5544" spans="3:14">
      <c r="C5544" s="485"/>
      <c r="D5544" s="582">
        <v>8</v>
      </c>
      <c r="E5544" s="376" t="str">
        <f>IFERROR(IF([1]F_ProductBM!E2838 = "", "", [1]F_ProductBM!E2838 ),"")</f>
        <v/>
      </c>
      <c r="F5544" s="338" t="str">
        <f>IFERROR(IF([1]F_ProductBM!F2838 = "", "", [1]F_ProductBM!F2838 ),"")</f>
        <v/>
      </c>
      <c r="G5544" s="72" t="str">
        <f>IFERROR(IF([1]F_ProductBM!G2838 = "", "", [1]F_ProductBM!G2838 ),"")</f>
        <v/>
      </c>
      <c r="H5544" s="101" t="str">
        <f>IFERROR(IF([1]F_ProductBM!H2838 = "", "", [1]F_ProductBM!H2838 ),"")</f>
        <v/>
      </c>
      <c r="I5544" s="361" t="str">
        <f>IFERROR(IF([1]F_ProductBM!I2838 = "", "", [1]F_ProductBM!I2838 ),"")</f>
        <v/>
      </c>
      <c r="J5544" s="362" t="str">
        <f>IFERROR(IF([1]F_ProductBM!J2838 = "", "", [1]F_ProductBM!J2838 ),"")</f>
        <v/>
      </c>
      <c r="K5544" s="101" t="str">
        <f>IFERROR(IF([1]F_ProductBM!K2838 = "", "", [1]F_ProductBM!K2838 ),"")</f>
        <v/>
      </c>
      <c r="L5544" s="101" t="str">
        <f>IFERROR(IF([1]F_ProductBM!L2838 = "", "", [1]F_ProductBM!L2838 ),"")</f>
        <v/>
      </c>
      <c r="M5544" s="101" t="str">
        <f>IFERROR(IF([1]F_ProductBM!M2838 = "", "", [1]F_ProductBM!M2838 ),"")</f>
        <v/>
      </c>
      <c r="N5544" s="101" t="str">
        <f>IFERROR(IF([1]F_ProductBM!N2838 = "", "", [1]F_ProductBM!N2838 ),"")</f>
        <v/>
      </c>
    </row>
    <row r="5545" spans="3:14">
      <c r="C5545" s="485"/>
      <c r="D5545" s="582">
        <v>9</v>
      </c>
      <c r="E5545" s="376" t="str">
        <f>IFERROR(IF([1]F_ProductBM!E2839 = "", "", [1]F_ProductBM!E2839 ),"")</f>
        <v/>
      </c>
      <c r="F5545" s="338" t="str">
        <f>IFERROR(IF([1]F_ProductBM!F2839 = "", "", [1]F_ProductBM!F2839 ),"")</f>
        <v/>
      </c>
      <c r="G5545" s="72" t="str">
        <f>IFERROR(IF([1]F_ProductBM!G2839 = "", "", [1]F_ProductBM!G2839 ),"")</f>
        <v/>
      </c>
      <c r="H5545" s="101" t="str">
        <f>IFERROR(IF([1]F_ProductBM!H2839 = "", "", [1]F_ProductBM!H2839 ),"")</f>
        <v/>
      </c>
      <c r="I5545" s="361" t="str">
        <f>IFERROR(IF([1]F_ProductBM!I2839 = "", "", [1]F_ProductBM!I2839 ),"")</f>
        <v/>
      </c>
      <c r="J5545" s="362" t="str">
        <f>IFERROR(IF([1]F_ProductBM!J2839 = "", "", [1]F_ProductBM!J2839 ),"")</f>
        <v/>
      </c>
      <c r="K5545" s="101" t="str">
        <f>IFERROR(IF([1]F_ProductBM!K2839 = "", "", [1]F_ProductBM!K2839 ),"")</f>
        <v/>
      </c>
      <c r="L5545" s="101" t="str">
        <f>IFERROR(IF([1]F_ProductBM!L2839 = "", "", [1]F_ProductBM!L2839 ),"")</f>
        <v/>
      </c>
      <c r="M5545" s="101" t="str">
        <f>IFERROR(IF([1]F_ProductBM!M2839 = "", "", [1]F_ProductBM!M2839 ),"")</f>
        <v/>
      </c>
      <c r="N5545" s="101" t="str">
        <f>IFERROR(IF([1]F_ProductBM!N2839 = "", "", [1]F_ProductBM!N2839 ),"")</f>
        <v/>
      </c>
    </row>
    <row r="5546" spans="3:14">
      <c r="C5546" s="485"/>
      <c r="D5546" s="584">
        <v>10</v>
      </c>
      <c r="E5546" s="377" t="str">
        <f>IFERROR(IF([1]F_ProductBM!E2840 = "", "", [1]F_ProductBM!E2840 ),"")</f>
        <v/>
      </c>
      <c r="F5546" s="339" t="str">
        <f>IFERROR(IF([1]F_ProductBM!F2840 = "", "", [1]F_ProductBM!F2840 ),"")</f>
        <v/>
      </c>
      <c r="G5546" s="73" t="str">
        <f>IFERROR(IF([1]F_ProductBM!G2840 = "", "", [1]F_ProductBM!G2840 ),"")</f>
        <v/>
      </c>
      <c r="H5546" s="95" t="str">
        <f>IFERROR(IF([1]F_ProductBM!H2840 = "", "", [1]F_ProductBM!H2840 ),"")</f>
        <v/>
      </c>
      <c r="I5546" s="113" t="str">
        <f>IFERROR(IF([1]F_ProductBM!I2840 = "", "", [1]F_ProductBM!I2840 ),"")</f>
        <v/>
      </c>
      <c r="J5546" s="114" t="str">
        <f>IFERROR(IF([1]F_ProductBM!J2840 = "", "", [1]F_ProductBM!J2840 ),"")</f>
        <v/>
      </c>
      <c r="K5546" s="95" t="str">
        <f>IFERROR(IF([1]F_ProductBM!K2840 = "", "", [1]F_ProductBM!K2840 ),"")</f>
        <v/>
      </c>
      <c r="L5546" s="95" t="str">
        <f>IFERROR(IF([1]F_ProductBM!L2840 = "", "", [1]F_ProductBM!L2840 ),"")</f>
        <v/>
      </c>
      <c r="M5546" s="95" t="str">
        <f>IFERROR(IF([1]F_ProductBM!M2840 = "", "", [1]F_ProductBM!M2840 ),"")</f>
        <v/>
      </c>
      <c r="N5546" s="95" t="str">
        <f>IFERROR(IF([1]F_ProductBM!N2840 = "", "", [1]F_ProductBM!N2840 ),"")</f>
        <v/>
      </c>
    </row>
    <row r="5547" spans="3:14">
      <c r="C5547" s="485"/>
      <c r="D5547" s="971"/>
      <c r="E5547" s="972" t="s">
        <v>921</v>
      </c>
      <c r="F5547" s="948"/>
      <c r="G5547" s="73" t="str">
        <f>IFERROR(IF([1]F_ProductBM!G2841 = "", "", [1]F_ProductBM!G2841 ),"")</f>
        <v/>
      </c>
      <c r="H5547" s="86" t="str">
        <f>IFERROR(IF([1]F_ProductBM!H2841 = "", "", [1]F_ProductBM!H2841 ),"")</f>
        <v/>
      </c>
      <c r="I5547" s="340" t="str">
        <f>IFERROR(IF([1]F_ProductBM!I2841 = "", "", [1]F_ProductBM!I2841 ),"")</f>
        <v/>
      </c>
      <c r="J5547" s="341" t="str">
        <f>IFERROR(IF([1]F_ProductBM!J2841 = "", "", [1]F_ProductBM!J2841 ),"")</f>
        <v/>
      </c>
      <c r="K5547" s="86" t="str">
        <f>IFERROR(IF([1]F_ProductBM!K2841 = "", "", [1]F_ProductBM!K2841 ),"")</f>
        <v/>
      </c>
      <c r="L5547" s="86" t="str">
        <f>IFERROR(IF([1]F_ProductBM!L2841 = "", "", [1]F_ProductBM!L2841 ),"")</f>
        <v/>
      </c>
      <c r="M5547" s="86" t="str">
        <f>IFERROR(IF([1]F_ProductBM!M2841 = "", "", [1]F_ProductBM!M2841 ),"")</f>
        <v/>
      </c>
      <c r="N5547" s="86" t="str">
        <f>IFERROR(IF([1]F_ProductBM!N2841 = "", "", [1]F_ProductBM!N2841 ),"")</f>
        <v/>
      </c>
    </row>
    <row r="5548" spans="3:14" ht="13.5" thickBot="1">
      <c r="C5548" s="479"/>
      <c r="D5548" s="479"/>
      <c r="E5548" s="479"/>
      <c r="F5548" s="479"/>
      <c r="G5548" s="479"/>
      <c r="H5548" s="479"/>
      <c r="I5548" s="479"/>
      <c r="J5548" s="479"/>
      <c r="K5548" s="479"/>
      <c r="L5548" s="479"/>
      <c r="M5548" s="485"/>
      <c r="N5548" s="485"/>
    </row>
    <row r="5549" spans="3:14">
      <c r="C5549" s="975"/>
      <c r="D5549" s="976"/>
      <c r="E5549" s="976"/>
      <c r="F5549" s="976"/>
      <c r="G5549" s="976"/>
      <c r="H5549" s="976"/>
      <c r="I5549" s="976"/>
      <c r="J5549" s="976"/>
      <c r="K5549" s="976"/>
      <c r="L5549" s="976"/>
      <c r="M5549" s="774"/>
      <c r="N5549" s="775"/>
    </row>
    <row r="5550" spans="3:14">
      <c r="C5550" s="977"/>
      <c r="D5550" s="2678" t="s">
        <v>2330</v>
      </c>
      <c r="E5550" s="2672"/>
      <c r="F5550" s="2672"/>
      <c r="G5550" s="2672"/>
      <c r="H5550" s="2672"/>
      <c r="I5550" s="2672"/>
      <c r="J5550" s="2672"/>
      <c r="K5550" s="2672"/>
      <c r="L5550" s="2672"/>
      <c r="M5550" s="2672"/>
      <c r="N5550" s="2673"/>
    </row>
    <row r="5551" spans="3:14">
      <c r="C5551" s="980"/>
      <c r="D5551" s="813"/>
      <c r="E5551" s="813"/>
      <c r="F5551" s="813"/>
      <c r="G5551" s="813"/>
      <c r="H5551" s="813"/>
      <c r="I5551" s="813"/>
      <c r="J5551" s="813"/>
      <c r="K5551" s="813"/>
      <c r="L5551" s="813"/>
      <c r="M5551" s="813"/>
      <c r="N5551" s="814"/>
    </row>
    <row r="5552" spans="3:14">
      <c r="C5552" s="980"/>
      <c r="D5552" s="2679" t="s">
        <v>2704</v>
      </c>
      <c r="E5552" s="2646"/>
      <c r="F5552" s="2646"/>
      <c r="G5552" s="2646"/>
      <c r="H5552" s="2680"/>
      <c r="I5552" s="2489" t="str">
        <f>IFERROR(IF([1]F_ProductBM!I2846 = "", "", [1]F_ProductBM!I2846 ),"")</f>
        <v/>
      </c>
      <c r="J5552" s="2534"/>
      <c r="K5552" s="2534"/>
      <c r="L5552" s="2534"/>
      <c r="M5552" s="2534"/>
      <c r="N5552" s="2681"/>
    </row>
    <row r="5553" spans="3:14">
      <c r="C5553" s="980"/>
      <c r="D5553" s="813"/>
      <c r="E5553" s="813"/>
      <c r="F5553" s="813"/>
      <c r="G5553" s="813"/>
      <c r="H5553" s="813"/>
      <c r="I5553" s="813"/>
      <c r="J5553" s="813"/>
      <c r="K5553" s="813"/>
      <c r="L5553" s="813"/>
      <c r="M5553" s="813"/>
      <c r="N5553" s="814"/>
    </row>
    <row r="5554" spans="3:14">
      <c r="C5554" s="977"/>
      <c r="D5554" s="981"/>
      <c r="E5554" s="2691" t="s">
        <v>2154</v>
      </c>
      <c r="F5554" s="2691"/>
      <c r="G5554" s="2691"/>
      <c r="H5554" s="2691"/>
      <c r="I5554" s="2691"/>
      <c r="J5554" s="2691"/>
      <c r="K5554" s="2691"/>
      <c r="L5554" s="2691"/>
      <c r="M5554" s="2691"/>
      <c r="N5554" s="2692"/>
    </row>
    <row r="5555" spans="3:14">
      <c r="C5555" s="977"/>
      <c r="D5555" s="981"/>
      <c r="E5555" s="2691" t="s">
        <v>2176</v>
      </c>
      <c r="F5555" s="2691"/>
      <c r="G5555" s="2691"/>
      <c r="H5555" s="2691"/>
      <c r="I5555" s="2691"/>
      <c r="J5555" s="2691"/>
      <c r="K5555" s="2691"/>
      <c r="L5555" s="2691"/>
      <c r="M5555" s="2691"/>
      <c r="N5555" s="2650"/>
    </row>
    <row r="5556" spans="3:14">
      <c r="C5556" s="977"/>
      <c r="D5556" s="981"/>
      <c r="E5556" s="2691" t="s">
        <v>1549</v>
      </c>
      <c r="F5556" s="2391"/>
      <c r="G5556" s="2391"/>
      <c r="H5556" s="2391"/>
      <c r="I5556" s="2391"/>
      <c r="J5556" s="2391"/>
      <c r="K5556" s="2391"/>
      <c r="L5556" s="2391"/>
      <c r="M5556" s="2391"/>
      <c r="N5556" s="2650"/>
    </row>
    <row r="5557" spans="3:14">
      <c r="C5557" s="977"/>
      <c r="D5557" s="981"/>
      <c r="E5557" s="2693" t="s">
        <v>1643</v>
      </c>
      <c r="F5557" s="2693"/>
      <c r="G5557" s="2693"/>
      <c r="H5557" s="2693"/>
      <c r="I5557" s="2693"/>
      <c r="J5557" s="2693"/>
      <c r="K5557" s="2693"/>
      <c r="L5557" s="2693"/>
      <c r="M5557" s="2693"/>
      <c r="N5557" s="2694"/>
    </row>
    <row r="5558" spans="3:14">
      <c r="C5558" s="980"/>
      <c r="D5558" s="813"/>
      <c r="E5558" s="813"/>
      <c r="F5558" s="813"/>
      <c r="G5558" s="813"/>
      <c r="H5558" s="813"/>
      <c r="I5558" s="813"/>
      <c r="J5558" s="813"/>
      <c r="K5558" s="813"/>
      <c r="L5558" s="813"/>
      <c r="M5558" s="813"/>
      <c r="N5558" s="814"/>
    </row>
    <row r="5559" spans="3:14">
      <c r="C5559" s="977"/>
      <c r="D5559" s="981"/>
      <c r="E5559" s="2695" t="s">
        <v>1475</v>
      </c>
      <c r="F5559" s="2695"/>
      <c r="G5559" s="2695"/>
      <c r="H5559" s="2695"/>
      <c r="I5559" s="2695"/>
      <c r="J5559" s="2695"/>
      <c r="K5559" s="2695"/>
      <c r="L5559" s="2695"/>
      <c r="M5559" s="2695"/>
      <c r="N5559" s="2694"/>
    </row>
    <row r="5560" spans="3:14">
      <c r="C5560" s="980"/>
      <c r="D5560" s="813"/>
      <c r="E5560" s="813"/>
      <c r="F5560" s="813"/>
      <c r="G5560" s="813"/>
      <c r="H5560" s="813"/>
      <c r="I5560" s="813"/>
      <c r="J5560" s="813"/>
      <c r="K5560" s="813"/>
      <c r="L5560" s="813"/>
      <c r="M5560" s="813"/>
      <c r="N5560" s="814"/>
    </row>
    <row r="5561" spans="3:14">
      <c r="C5561" s="977"/>
      <c r="D5561" s="982" t="s">
        <v>266</v>
      </c>
      <c r="E5561" s="2671" t="s">
        <v>1617</v>
      </c>
      <c r="F5561" s="2672"/>
      <c r="G5561" s="2672"/>
      <c r="H5561" s="2672"/>
      <c r="I5561" s="2672"/>
      <c r="J5561" s="2672"/>
      <c r="K5561" s="2672"/>
      <c r="L5561" s="2672"/>
      <c r="M5561" s="2672"/>
      <c r="N5561" s="2673"/>
    </row>
    <row r="5562" spans="3:14">
      <c r="C5562" s="977"/>
      <c r="D5562" s="777"/>
      <c r="E5562" s="2711" t="s">
        <v>2295</v>
      </c>
      <c r="F5562" s="2671"/>
      <c r="G5562" s="2671"/>
      <c r="H5562" s="2671"/>
      <c r="I5562" s="2671"/>
      <c r="J5562" s="2671"/>
      <c r="K5562" s="2671"/>
      <c r="L5562" s="2671"/>
      <c r="M5562" s="2671"/>
      <c r="N5562" s="2712"/>
    </row>
    <row r="5563" spans="3:14">
      <c r="C5563" s="977"/>
      <c r="D5563" s="981"/>
      <c r="E5563" s="2674" t="s">
        <v>1618</v>
      </c>
      <c r="F5563" s="2674"/>
      <c r="G5563" s="2674"/>
      <c r="H5563" s="2674"/>
      <c r="I5563" s="2674"/>
      <c r="J5563" s="2674"/>
      <c r="K5563" s="2674"/>
      <c r="L5563" s="2674"/>
      <c r="M5563" s="2674"/>
      <c r="N5563" s="2675"/>
    </row>
    <row r="5564" spans="3:14">
      <c r="C5564" s="977"/>
      <c r="D5564" s="981"/>
      <c r="E5564" s="985" t="s">
        <v>1021</v>
      </c>
      <c r="F5564" s="2645" t="s">
        <v>1616</v>
      </c>
      <c r="G5564" s="2646"/>
      <c r="H5564" s="2646"/>
      <c r="I5564" s="2646"/>
      <c r="J5564" s="2646"/>
      <c r="K5564" s="2646"/>
      <c r="L5564" s="2646"/>
      <c r="M5564" s="2646"/>
      <c r="N5564" s="2647"/>
    </row>
    <row r="5565" spans="3:14">
      <c r="C5565" s="977"/>
      <c r="D5565" s="981"/>
      <c r="E5565" s="985"/>
      <c r="F5565" s="2669" t="s">
        <v>1615</v>
      </c>
      <c r="G5565" s="2391"/>
      <c r="H5565" s="2391"/>
      <c r="I5565" s="2391"/>
      <c r="J5565" s="2391"/>
      <c r="K5565" s="2391"/>
      <c r="L5565" s="2391"/>
      <c r="M5565" s="2391"/>
      <c r="N5565" s="2650"/>
    </row>
    <row r="5566" spans="3:14">
      <c r="C5566" s="977"/>
      <c r="D5566" s="981"/>
      <c r="E5566" s="985" t="s">
        <v>1021</v>
      </c>
      <c r="F5566" s="2645" t="s">
        <v>1278</v>
      </c>
      <c r="G5566" s="2646"/>
      <c r="H5566" s="2646"/>
      <c r="I5566" s="2646"/>
      <c r="J5566" s="2646"/>
      <c r="K5566" s="2646"/>
      <c r="L5566" s="2646"/>
      <c r="M5566" s="2646"/>
      <c r="N5566" s="2647"/>
    </row>
    <row r="5567" spans="3:14">
      <c r="C5567" s="977"/>
      <c r="D5567" s="981"/>
      <c r="E5567" s="985"/>
      <c r="F5567" s="2645" t="s">
        <v>1620</v>
      </c>
      <c r="G5567" s="2646"/>
      <c r="H5567" s="2646"/>
      <c r="I5567" s="2646"/>
      <c r="J5567" s="2646"/>
      <c r="K5567" s="2646"/>
      <c r="L5567" s="2646"/>
      <c r="M5567" s="2646"/>
      <c r="N5567" s="2647"/>
    </row>
    <row r="5568" spans="3:14">
      <c r="C5568" s="977"/>
      <c r="D5568" s="981"/>
      <c r="E5568" s="985"/>
      <c r="F5568" s="2645" t="s">
        <v>1619</v>
      </c>
      <c r="G5568" s="2646"/>
      <c r="H5568" s="2646"/>
      <c r="I5568" s="2646"/>
      <c r="J5568" s="2646"/>
      <c r="K5568" s="2646"/>
      <c r="L5568" s="2646"/>
      <c r="M5568" s="2646"/>
      <c r="N5568" s="2647"/>
    </row>
    <row r="5569" spans="3:14">
      <c r="C5569" s="977"/>
      <c r="D5569" s="981"/>
      <c r="E5569" s="985" t="s">
        <v>1021</v>
      </c>
      <c r="F5569" s="2645" t="s">
        <v>1542</v>
      </c>
      <c r="G5569" s="2646"/>
      <c r="H5569" s="2646"/>
      <c r="I5569" s="2646"/>
      <c r="J5569" s="2646"/>
      <c r="K5569" s="2646"/>
      <c r="L5569" s="2646"/>
      <c r="M5569" s="2646"/>
      <c r="N5569" s="2647"/>
    </row>
    <row r="5570" spans="3:14">
      <c r="C5570" s="977"/>
      <c r="D5570" s="981"/>
      <c r="E5570" s="985" t="s">
        <v>1021</v>
      </c>
      <c r="F5570" s="2645" t="s">
        <v>1458</v>
      </c>
      <c r="G5570" s="2646"/>
      <c r="H5570" s="2646"/>
      <c r="I5570" s="2646"/>
      <c r="J5570" s="2646"/>
      <c r="K5570" s="2646"/>
      <c r="L5570" s="2646"/>
      <c r="M5570" s="2646"/>
      <c r="N5570" s="2647"/>
    </row>
    <row r="5571" spans="3:14">
      <c r="C5571" s="977"/>
      <c r="D5571" s="982"/>
      <c r="E5571" s="2648" t="s">
        <v>1612</v>
      </c>
      <c r="F5571" s="2648"/>
      <c r="G5571" s="987" t="s">
        <v>884</v>
      </c>
      <c r="H5571" s="782">
        <v>2019</v>
      </c>
      <c r="I5571" s="988">
        <v>2020</v>
      </c>
      <c r="J5571" s="781">
        <v>2021</v>
      </c>
      <c r="K5571" s="782">
        <v>2022</v>
      </c>
      <c r="L5571" s="782">
        <v>2023</v>
      </c>
      <c r="M5571" s="782">
        <v>2024</v>
      </c>
      <c r="N5571" s="783">
        <v>2025</v>
      </c>
    </row>
    <row r="5572" spans="3:14">
      <c r="C5572" s="977"/>
      <c r="D5572" s="981"/>
      <c r="E5572" s="2487" t="str">
        <f>IFERROR(IF([1]F_ProductBM!E2866 = "", "", [1]F_ProductBM!E2866 ),"")</f>
        <v/>
      </c>
      <c r="F5572" s="2488"/>
      <c r="G5572" s="815" t="s">
        <v>2016</v>
      </c>
      <c r="H5572" s="93" t="str">
        <f>IFERROR(IF([1]F_ProductBM!H2866 = "", "", [1]F_ProductBM!H2866 ),"")</f>
        <v/>
      </c>
      <c r="I5572" s="116" t="str">
        <f>IFERROR(IF([1]F_ProductBM!I2866 = "", "", [1]F_ProductBM!I2866 ),"")</f>
        <v/>
      </c>
      <c r="J5572" s="117" t="str">
        <f>IFERROR(IF([1]F_ProductBM!J2866 = "", "", [1]F_ProductBM!J2866 ),"")</f>
        <v/>
      </c>
      <c r="K5572" s="93" t="str">
        <f>IFERROR(IF([1]F_ProductBM!K2866 = "", "", [1]F_ProductBM!K2866 ),"")</f>
        <v/>
      </c>
      <c r="L5572" s="93" t="str">
        <f>IFERROR(IF([1]F_ProductBM!L2866 = "", "", [1]F_ProductBM!L2866 ),"")</f>
        <v/>
      </c>
      <c r="M5572" s="93" t="str">
        <f>IFERROR(IF([1]F_ProductBM!M2866 = "", "", [1]F_ProductBM!M2866 ),"")</f>
        <v/>
      </c>
      <c r="N5572" s="118" t="str">
        <f>IFERROR(IF([1]F_ProductBM!N2866 = "", "", [1]F_ProductBM!N2866 ),"")</f>
        <v/>
      </c>
    </row>
    <row r="5573" spans="3:14">
      <c r="C5573" s="977"/>
      <c r="D5573" s="981"/>
      <c r="E5573" s="981"/>
      <c r="F5573" s="981"/>
      <c r="G5573" s="981"/>
      <c r="H5573" s="981"/>
      <c r="I5573" s="981"/>
      <c r="J5573" s="981"/>
      <c r="K5573" s="981"/>
      <c r="L5573" s="981"/>
      <c r="M5573" s="813"/>
      <c r="N5573" s="814"/>
    </row>
    <row r="5574" spans="3:14">
      <c r="C5574" s="977"/>
      <c r="D5574" s="982" t="s">
        <v>269</v>
      </c>
      <c r="E5574" s="2649" t="s">
        <v>1189</v>
      </c>
      <c r="F5574" s="2391"/>
      <c r="G5574" s="2391"/>
      <c r="H5574" s="2391"/>
      <c r="I5574" s="2391"/>
      <c r="J5574" s="2391"/>
      <c r="K5574" s="2391"/>
      <c r="L5574" s="2391"/>
      <c r="M5574" s="2391"/>
      <c r="N5574" s="2650"/>
    </row>
    <row r="5575" spans="3:14">
      <c r="C5575" s="977"/>
      <c r="D5575" s="981"/>
      <c r="E5575" s="2674" t="s">
        <v>1605</v>
      </c>
      <c r="F5575" s="2674"/>
      <c r="G5575" s="2674"/>
      <c r="H5575" s="2674"/>
      <c r="I5575" s="2674"/>
      <c r="J5575" s="2674"/>
      <c r="K5575" s="2674"/>
      <c r="L5575" s="2674"/>
      <c r="M5575" s="2674"/>
      <c r="N5575" s="2675"/>
    </row>
    <row r="5576" spans="3:14">
      <c r="C5576" s="977"/>
      <c r="D5576" s="981"/>
      <c r="E5576" s="2674" t="s">
        <v>1357</v>
      </c>
      <c r="F5576" s="2674"/>
      <c r="G5576" s="2674"/>
      <c r="H5576" s="2674"/>
      <c r="I5576" s="2674"/>
      <c r="J5576" s="2674"/>
      <c r="K5576" s="2674"/>
      <c r="L5576" s="2674"/>
      <c r="M5576" s="2674"/>
      <c r="N5576" s="2675"/>
    </row>
    <row r="5577" spans="3:14">
      <c r="C5577" s="977"/>
      <c r="D5577" s="981"/>
      <c r="E5577" s="2674" t="s">
        <v>1594</v>
      </c>
      <c r="F5577" s="2674"/>
      <c r="G5577" s="2674"/>
      <c r="H5577" s="2674"/>
      <c r="I5577" s="2674"/>
      <c r="J5577" s="2674"/>
      <c r="K5577" s="2674"/>
      <c r="L5577" s="2674"/>
      <c r="M5577" s="2674"/>
      <c r="N5577" s="2675"/>
    </row>
    <row r="5578" spans="3:14">
      <c r="C5578" s="977"/>
      <c r="D5578" s="981"/>
      <c r="E5578" s="2676" t="s">
        <v>1557</v>
      </c>
      <c r="F5578" s="2391"/>
      <c r="G5578" s="2391"/>
      <c r="H5578" s="2391"/>
      <c r="I5578" s="2391"/>
      <c r="J5578" s="2391"/>
      <c r="K5578" s="2391"/>
      <c r="L5578" s="2391"/>
      <c r="M5578" s="2391"/>
      <c r="N5578" s="2650"/>
    </row>
    <row r="5579" spans="3:14">
      <c r="C5579" s="977"/>
      <c r="D5579" s="982"/>
      <c r="E5579" s="989"/>
      <c r="F5579" s="990"/>
      <c r="G5579" s="987" t="s">
        <v>884</v>
      </c>
      <c r="H5579" s="782">
        <v>2019</v>
      </c>
      <c r="I5579" s="988">
        <v>2020</v>
      </c>
      <c r="J5579" s="781">
        <v>2021</v>
      </c>
      <c r="K5579" s="782">
        <v>2022</v>
      </c>
      <c r="L5579" s="782">
        <v>2023</v>
      </c>
      <c r="M5579" s="782">
        <v>2024</v>
      </c>
      <c r="N5579" s="783">
        <v>2025</v>
      </c>
    </row>
    <row r="5580" spans="3:14">
      <c r="C5580" s="977"/>
      <c r="D5580" s="777" t="s">
        <v>6</v>
      </c>
      <c r="E5580" s="2475" t="s">
        <v>1344</v>
      </c>
      <c r="F5580" s="2410"/>
      <c r="G5580" s="815" t="s">
        <v>2017</v>
      </c>
      <c r="H5580" s="93" t="str">
        <f>IFERROR(IF([1]F_ProductBM!H2874 = "", "", [1]F_ProductBM!H2874 ),"")</f>
        <v/>
      </c>
      <c r="I5580" s="116" t="str">
        <f>IFERROR(IF([1]F_ProductBM!I2874 = "", "", [1]F_ProductBM!I2874 ),"")</f>
        <v/>
      </c>
      <c r="J5580" s="117" t="str">
        <f>IFERROR(IF([1]F_ProductBM!J2874 = "", "", [1]F_ProductBM!J2874 ),"")</f>
        <v/>
      </c>
      <c r="K5580" s="93" t="str">
        <f>IFERROR(IF([1]F_ProductBM!K2874 = "", "", [1]F_ProductBM!K2874 ),"")</f>
        <v/>
      </c>
      <c r="L5580" s="93" t="str">
        <f>IFERROR(IF([1]F_ProductBM!L2874 = "", "", [1]F_ProductBM!L2874 ),"")</f>
        <v/>
      </c>
      <c r="M5580" s="93" t="str">
        <f>IFERROR(IF([1]F_ProductBM!M2874 = "", "", [1]F_ProductBM!M2874 ),"")</f>
        <v/>
      </c>
      <c r="N5580" s="118" t="str">
        <f>IFERROR(IF([1]F_ProductBM!N2874 = "", "", [1]F_ProductBM!N2874 ),"")</f>
        <v/>
      </c>
    </row>
    <row r="5581" spans="3:14">
      <c r="C5581" s="977"/>
      <c r="D5581" s="777" t="s">
        <v>7</v>
      </c>
      <c r="E5581" s="2475" t="s">
        <v>1182</v>
      </c>
      <c r="F5581" s="2410"/>
      <c r="G5581" s="991" t="s">
        <v>2018</v>
      </c>
      <c r="H5581" s="109" t="str">
        <f>IFERROR(IF([1]F_ProductBM!H2875 = "", "", [1]F_ProductBM!H2875 ),"")</f>
        <v/>
      </c>
      <c r="I5581" s="304" t="str">
        <f>IFERROR(IF([1]F_ProductBM!I2875 = "", "", [1]F_ProductBM!I2875 ),"")</f>
        <v/>
      </c>
      <c r="J5581" s="305" t="str">
        <f>IFERROR(IF([1]F_ProductBM!J2875 = "", "", [1]F_ProductBM!J2875 ),"")</f>
        <v/>
      </c>
      <c r="K5581" s="109" t="str">
        <f>IFERROR(IF([1]F_ProductBM!K2875 = "", "", [1]F_ProductBM!K2875 ),"")</f>
        <v/>
      </c>
      <c r="L5581" s="109" t="str">
        <f>IFERROR(IF([1]F_ProductBM!L2875 = "", "", [1]F_ProductBM!L2875 ),"")</f>
        <v/>
      </c>
      <c r="M5581" s="109" t="str">
        <f>IFERROR(IF([1]F_ProductBM!M2875 = "", "", [1]F_ProductBM!M2875 ),"")</f>
        <v/>
      </c>
      <c r="N5581" s="357" t="str">
        <f>IFERROR(IF([1]F_ProductBM!N2875 = "", "", [1]F_ProductBM!N2875 ),"")</f>
        <v/>
      </c>
    </row>
    <row r="5582" spans="3:14">
      <c r="C5582" s="977"/>
      <c r="D5582" s="981"/>
      <c r="E5582" s="981"/>
      <c r="F5582" s="981"/>
      <c r="G5582" s="981"/>
      <c r="H5582" s="981"/>
      <c r="I5582" s="981"/>
      <c r="J5582" s="981"/>
      <c r="K5582" s="981"/>
      <c r="L5582" s="981"/>
      <c r="M5582" s="813"/>
      <c r="N5582" s="814"/>
    </row>
    <row r="5583" spans="3:14">
      <c r="C5583" s="977"/>
      <c r="D5583" s="982" t="s">
        <v>271</v>
      </c>
      <c r="E5583" s="2649" t="s">
        <v>1416</v>
      </c>
      <c r="F5583" s="2391"/>
      <c r="G5583" s="2391"/>
      <c r="H5583" s="2391"/>
      <c r="I5583" s="2391"/>
      <c r="J5583" s="2391"/>
      <c r="K5583" s="2391"/>
      <c r="L5583" s="2391"/>
      <c r="M5583" s="2391"/>
      <c r="N5583" s="2650"/>
    </row>
    <row r="5584" spans="3:14">
      <c r="C5584" s="977"/>
      <c r="D5584" s="777"/>
      <c r="E5584" s="2676" t="s">
        <v>2295</v>
      </c>
      <c r="F5584" s="2391"/>
      <c r="G5584" s="2391"/>
      <c r="H5584" s="2391"/>
      <c r="I5584" s="2391"/>
      <c r="J5584" s="2391"/>
      <c r="K5584" s="2391"/>
      <c r="L5584" s="2391"/>
      <c r="M5584" s="2391"/>
      <c r="N5584" s="2650"/>
    </row>
    <row r="5585" spans="3:14">
      <c r="C5585" s="977"/>
      <c r="D5585" s="981"/>
      <c r="E5585" s="2676" t="s">
        <v>1551</v>
      </c>
      <c r="F5585" s="2391"/>
      <c r="G5585" s="2391"/>
      <c r="H5585" s="2391"/>
      <c r="I5585" s="2391"/>
      <c r="J5585" s="2391"/>
      <c r="K5585" s="2391"/>
      <c r="L5585" s="2391"/>
      <c r="M5585" s="2391"/>
      <c r="N5585" s="2650"/>
    </row>
    <row r="5586" spans="3:14">
      <c r="C5586" s="977"/>
      <c r="D5586" s="981"/>
      <c r="E5586" s="2669" t="s">
        <v>1552</v>
      </c>
      <c r="F5586" s="2391"/>
      <c r="G5586" s="2391"/>
      <c r="H5586" s="2391"/>
      <c r="I5586" s="2391"/>
      <c r="J5586" s="2391"/>
      <c r="K5586" s="2391"/>
      <c r="L5586" s="2391"/>
      <c r="M5586" s="2391"/>
      <c r="N5586" s="2650"/>
    </row>
    <row r="5587" spans="3:14">
      <c r="C5587" s="977"/>
      <c r="D5587" s="981"/>
      <c r="E5587" s="2669" t="s">
        <v>1553</v>
      </c>
      <c r="F5587" s="2391"/>
      <c r="G5587" s="2391"/>
      <c r="H5587" s="2391"/>
      <c r="I5587" s="2391"/>
      <c r="J5587" s="2391"/>
      <c r="K5587" s="2391"/>
      <c r="L5587" s="2391"/>
      <c r="M5587" s="2391"/>
      <c r="N5587" s="2650"/>
    </row>
    <row r="5588" spans="3:14">
      <c r="C5588" s="977"/>
      <c r="D5588" s="981"/>
      <c r="E5588" s="2669" t="s">
        <v>1567</v>
      </c>
      <c r="F5588" s="2391"/>
      <c r="G5588" s="2391"/>
      <c r="H5588" s="2391"/>
      <c r="I5588" s="2391"/>
      <c r="J5588" s="2391"/>
      <c r="K5588" s="2391"/>
      <c r="L5588" s="2391"/>
      <c r="M5588" s="2391"/>
      <c r="N5588" s="2650"/>
    </row>
    <row r="5589" spans="3:14">
      <c r="C5589" s="977"/>
      <c r="D5589" s="981"/>
      <c r="E5589" s="2669" t="s">
        <v>1565</v>
      </c>
      <c r="F5589" s="2391"/>
      <c r="G5589" s="2391"/>
      <c r="H5589" s="2391"/>
      <c r="I5589" s="2391"/>
      <c r="J5589" s="2391"/>
      <c r="K5589" s="2391"/>
      <c r="L5589" s="2391"/>
      <c r="M5589" s="2391"/>
      <c r="N5589" s="2650"/>
    </row>
    <row r="5590" spans="3:14">
      <c r="C5590" s="977"/>
      <c r="D5590" s="777" t="s">
        <v>6</v>
      </c>
      <c r="E5590" s="2682" t="s">
        <v>1456</v>
      </c>
      <c r="F5590" s="2391"/>
      <c r="G5590" s="2391"/>
      <c r="H5590" s="2391"/>
      <c r="I5590" s="2391"/>
      <c r="J5590" s="2391"/>
      <c r="K5590" s="2512"/>
      <c r="L5590" s="120" t="str">
        <f>IFERROR(IF([1]F_ProductBM!L2884 = "", "", [1]F_ProductBM!L2884 ),"")</f>
        <v/>
      </c>
      <c r="M5590" s="978"/>
      <c r="N5590" s="979"/>
    </row>
    <row r="5591" spans="3:14">
      <c r="C5591" s="977"/>
      <c r="D5591" s="981"/>
      <c r="E5591" s="2669" t="s">
        <v>1216</v>
      </c>
      <c r="F5591" s="2391"/>
      <c r="G5591" s="2391"/>
      <c r="H5591" s="2391"/>
      <c r="I5591" s="2391"/>
      <c r="J5591" s="2391"/>
      <c r="K5591" s="2391"/>
      <c r="L5591" s="2391"/>
      <c r="M5591" s="2391"/>
      <c r="N5591" s="2650"/>
    </row>
    <row r="5592" spans="3:14">
      <c r="C5592" s="977"/>
      <c r="D5592" s="777" t="s">
        <v>7</v>
      </c>
      <c r="E5592" s="2649" t="s">
        <v>1214</v>
      </c>
      <c r="F5592" s="2391"/>
      <c r="G5592" s="2391"/>
      <c r="H5592" s="2512"/>
      <c r="I5592" s="2683" t="str">
        <f>IFERROR(IF([1]F_ProductBM!I2886 = "", "", [1]F_ProductBM!I2886 ),"")</f>
        <v/>
      </c>
      <c r="J5592" s="2487"/>
      <c r="K5592" s="2487"/>
      <c r="L5592" s="2487"/>
      <c r="M5592" s="2684"/>
      <c r="N5592" s="992"/>
    </row>
    <row r="5593" spans="3:14">
      <c r="C5593" s="977"/>
      <c r="D5593" s="981"/>
      <c r="E5593" s="986"/>
      <c r="F5593" s="978"/>
      <c r="G5593" s="978"/>
      <c r="H5593" s="978"/>
      <c r="I5593" s="978"/>
      <c r="J5593" s="978"/>
      <c r="K5593" s="978"/>
      <c r="L5593" s="978"/>
      <c r="M5593" s="978"/>
      <c r="N5593" s="979"/>
    </row>
    <row r="5594" spans="3:14">
      <c r="C5594" s="977"/>
      <c r="D5594" s="981"/>
      <c r="E5594" s="2648" t="s">
        <v>1154</v>
      </c>
      <c r="F5594" s="2493"/>
      <c r="G5594" s="987" t="s">
        <v>884</v>
      </c>
      <c r="H5594" s="782">
        <v>2019</v>
      </c>
      <c r="I5594" s="988">
        <v>2020</v>
      </c>
      <c r="J5594" s="781">
        <v>2021</v>
      </c>
      <c r="K5594" s="782">
        <v>2022</v>
      </c>
      <c r="L5594" s="782">
        <v>2023</v>
      </c>
      <c r="M5594" s="782">
        <v>2024</v>
      </c>
      <c r="N5594" s="783">
        <v>2025</v>
      </c>
    </row>
    <row r="5595" spans="3:14">
      <c r="C5595" s="977"/>
      <c r="D5595" s="777" t="s">
        <v>8</v>
      </c>
      <c r="E5595" s="2471" t="s">
        <v>1153</v>
      </c>
      <c r="F5595" s="2472"/>
      <c r="G5595" s="811" t="s">
        <v>2152</v>
      </c>
      <c r="H5595" s="94" t="str">
        <f>IFERROR(IF([1]F_ProductBM!H2889 = "", "", [1]F_ProductBM!H2889 ),"")</f>
        <v/>
      </c>
      <c r="I5595" s="110" t="str">
        <f>IFERROR(IF([1]F_ProductBM!I2889 = "", "", [1]F_ProductBM!I2889 ),"")</f>
        <v/>
      </c>
      <c r="J5595" s="111" t="str">
        <f>IFERROR(IF([1]F_ProductBM!J2889 = "", "", [1]F_ProductBM!J2889 ),"")</f>
        <v/>
      </c>
      <c r="K5595" s="94" t="str">
        <f>IFERROR(IF([1]F_ProductBM!K2889 = "", "", [1]F_ProductBM!K2889 ),"")</f>
        <v/>
      </c>
      <c r="L5595" s="94" t="str">
        <f>IFERROR(IF([1]F_ProductBM!L2889 = "", "", [1]F_ProductBM!L2889 ),"")</f>
        <v/>
      </c>
      <c r="M5595" s="94" t="str">
        <f>IFERROR(IF([1]F_ProductBM!M2889 = "", "", [1]F_ProductBM!M2889 ),"")</f>
        <v/>
      </c>
      <c r="N5595" s="112" t="str">
        <f>IFERROR(IF([1]F_ProductBM!N2889 = "", "", [1]F_ProductBM!N2889 ),"")</f>
        <v/>
      </c>
    </row>
    <row r="5596" spans="3:14">
      <c r="C5596" s="977"/>
      <c r="D5596" s="777" t="s">
        <v>18</v>
      </c>
      <c r="E5596" s="2685" t="s">
        <v>946</v>
      </c>
      <c r="F5596" s="2608"/>
      <c r="G5596" s="993" t="s">
        <v>2019</v>
      </c>
      <c r="H5596" s="101" t="str">
        <f>IFERROR(IF([1]F_ProductBM!H2890 = "", "", [1]F_ProductBM!H2890 ),"")</f>
        <v/>
      </c>
      <c r="I5596" s="361" t="str">
        <f>IFERROR(IF([1]F_ProductBM!I2890 = "", "", [1]F_ProductBM!I2890 ),"")</f>
        <v/>
      </c>
      <c r="J5596" s="362" t="str">
        <f>IFERROR(IF([1]F_ProductBM!J2890 = "", "", [1]F_ProductBM!J2890 ),"")</f>
        <v/>
      </c>
      <c r="K5596" s="101" t="str">
        <f>IFERROR(IF([1]F_ProductBM!K2890 = "", "", [1]F_ProductBM!K2890 ),"")</f>
        <v/>
      </c>
      <c r="L5596" s="101" t="str">
        <f>IFERROR(IF([1]F_ProductBM!L2890 = "", "", [1]F_ProductBM!L2890 ),"")</f>
        <v/>
      </c>
      <c r="M5596" s="101" t="str">
        <f>IFERROR(IF([1]F_ProductBM!M2890 = "", "", [1]F_ProductBM!M2890 ),"")</f>
        <v/>
      </c>
      <c r="N5596" s="363" t="str">
        <f>IFERROR(IF([1]F_ProductBM!N2890 = "", "", [1]F_ProductBM!N2890 ),"")</f>
        <v/>
      </c>
    </row>
    <row r="5597" spans="3:14">
      <c r="C5597" s="977"/>
      <c r="D5597" s="777" t="s">
        <v>787</v>
      </c>
      <c r="E5597" s="2685" t="s">
        <v>945</v>
      </c>
      <c r="F5597" s="2608"/>
      <c r="G5597" s="994" t="s">
        <v>878</v>
      </c>
      <c r="H5597" s="101" t="str">
        <f>IFERROR(IF([1]F_ProductBM!H2891 = "", "", [1]F_ProductBM!H2891 ),"")</f>
        <v/>
      </c>
      <c r="I5597" s="361" t="str">
        <f>IFERROR(IF([1]F_ProductBM!I2891 = "", "", [1]F_ProductBM!I2891 ),"")</f>
        <v/>
      </c>
      <c r="J5597" s="362" t="str">
        <f>IFERROR(IF([1]F_ProductBM!J2891 = "", "", [1]F_ProductBM!J2891 ),"")</f>
        <v/>
      </c>
      <c r="K5597" s="101" t="str">
        <f>IFERROR(IF([1]F_ProductBM!K2891 = "", "", [1]F_ProductBM!K2891 ),"")</f>
        <v/>
      </c>
      <c r="L5597" s="101" t="str">
        <f>IFERROR(IF([1]F_ProductBM!L2891 = "", "", [1]F_ProductBM!L2891 ),"")</f>
        <v/>
      </c>
      <c r="M5597" s="101" t="str">
        <f>IFERROR(IF([1]F_ProductBM!M2891 = "", "", [1]F_ProductBM!M2891 ),"")</f>
        <v/>
      </c>
      <c r="N5597" s="363" t="str">
        <f>IFERROR(IF([1]F_ProductBM!N2891 = "", "", [1]F_ProductBM!N2891 ),"")</f>
        <v/>
      </c>
    </row>
    <row r="5598" spans="3:14">
      <c r="C5598" s="977"/>
      <c r="D5598" s="777" t="s">
        <v>788</v>
      </c>
      <c r="E5598" s="2473" t="s">
        <v>880</v>
      </c>
      <c r="F5598" s="2474"/>
      <c r="G5598" s="812" t="s">
        <v>878</v>
      </c>
      <c r="H5598" s="95" t="str">
        <f>IFERROR(IF([1]F_ProductBM!H2892 = "", "", [1]F_ProductBM!H2892 ),"")</f>
        <v/>
      </c>
      <c r="I5598" s="113" t="str">
        <f>IFERROR(IF([1]F_ProductBM!I2892 = "", "", [1]F_ProductBM!I2892 ),"")</f>
        <v/>
      </c>
      <c r="J5598" s="114" t="str">
        <f>IFERROR(IF([1]F_ProductBM!J2892 = "", "", [1]F_ProductBM!J2892 ),"")</f>
        <v/>
      </c>
      <c r="K5598" s="95" t="str">
        <f>IFERROR(IF([1]F_ProductBM!K2892 = "", "", [1]F_ProductBM!K2892 ),"")</f>
        <v/>
      </c>
      <c r="L5598" s="95" t="str">
        <f>IFERROR(IF([1]F_ProductBM!L2892 = "", "", [1]F_ProductBM!L2892 ),"")</f>
        <v/>
      </c>
      <c r="M5598" s="95" t="str">
        <f>IFERROR(IF([1]F_ProductBM!M2892 = "", "", [1]F_ProductBM!M2892 ),"")</f>
        <v/>
      </c>
      <c r="N5598" s="115" t="str">
        <f>IFERROR(IF([1]F_ProductBM!N2892 = "", "", [1]F_ProductBM!N2892 ),"")</f>
        <v/>
      </c>
    </row>
    <row r="5599" spans="3:14">
      <c r="C5599" s="977"/>
      <c r="D5599" s="777" t="s">
        <v>789</v>
      </c>
      <c r="E5599" s="2471" t="s">
        <v>882</v>
      </c>
      <c r="F5599" s="2472"/>
      <c r="G5599" s="995" t="s">
        <v>2015</v>
      </c>
      <c r="H5599" s="378" t="str">
        <f>IFERROR(IF([1]F_ProductBM!H2893 = "", "", [1]F_ProductBM!H2893 ),"")</f>
        <v/>
      </c>
      <c r="I5599" s="379" t="str">
        <f>IFERROR(IF([1]F_ProductBM!I2893 = "", "", [1]F_ProductBM!I2893 ),"")</f>
        <v/>
      </c>
      <c r="J5599" s="380" t="str">
        <f>IFERROR(IF([1]F_ProductBM!J2893 = "", "", [1]F_ProductBM!J2893 ),"")</f>
        <v/>
      </c>
      <c r="K5599" s="378" t="str">
        <f>IFERROR(IF([1]F_ProductBM!K2893 = "", "", [1]F_ProductBM!K2893 ),"")</f>
        <v/>
      </c>
      <c r="L5599" s="378" t="str">
        <f>IFERROR(IF([1]F_ProductBM!L2893 = "", "", [1]F_ProductBM!L2893 ),"")</f>
        <v/>
      </c>
      <c r="M5599" s="378" t="str">
        <f>IFERROR(IF([1]F_ProductBM!M2893 = "", "", [1]F_ProductBM!M2893 ),"")</f>
        <v/>
      </c>
      <c r="N5599" s="381" t="str">
        <f>IFERROR(IF([1]F_ProductBM!N2893 = "", "", [1]F_ProductBM!N2893 ),"")</f>
        <v/>
      </c>
    </row>
    <row r="5600" spans="3:14">
      <c r="C5600" s="977"/>
      <c r="D5600" s="777" t="s">
        <v>790</v>
      </c>
      <c r="E5600" s="2670" t="s">
        <v>879</v>
      </c>
      <c r="F5600" s="2608"/>
      <c r="G5600" s="998" t="s">
        <v>2015</v>
      </c>
      <c r="H5600" s="382" t="str">
        <f>IFERROR(IF([1]F_ProductBM!H2894 = "", "", [1]F_ProductBM!H2894 ),"")</f>
        <v/>
      </c>
      <c r="I5600" s="383" t="str">
        <f>IFERROR(IF([1]F_ProductBM!I2894 = "", "", [1]F_ProductBM!I2894 ),"")</f>
        <v/>
      </c>
      <c r="J5600" s="384" t="str">
        <f>IFERROR(IF([1]F_ProductBM!J2894 = "", "", [1]F_ProductBM!J2894 ),"")</f>
        <v/>
      </c>
      <c r="K5600" s="382" t="str">
        <f>IFERROR(IF([1]F_ProductBM!K2894 = "", "", [1]F_ProductBM!K2894 ),"")</f>
        <v/>
      </c>
      <c r="L5600" s="382" t="str">
        <f>IFERROR(IF([1]F_ProductBM!L2894 = "", "", [1]F_ProductBM!L2894 ),"")</f>
        <v/>
      </c>
      <c r="M5600" s="382" t="str">
        <f>IFERROR(IF([1]F_ProductBM!M2894 = "", "", [1]F_ProductBM!M2894 ),"")</f>
        <v/>
      </c>
      <c r="N5600" s="385" t="str">
        <f>IFERROR(IF([1]F_ProductBM!N2894 = "", "", [1]F_ProductBM!N2894 ),"")</f>
        <v/>
      </c>
    </row>
    <row r="5601" spans="3:14">
      <c r="C5601" s="977"/>
      <c r="D5601" s="777" t="s">
        <v>791</v>
      </c>
      <c r="E5601" s="2473" t="s">
        <v>41</v>
      </c>
      <c r="F5601" s="2474"/>
      <c r="G5601" s="1001" t="s">
        <v>2017</v>
      </c>
      <c r="H5601" s="86" t="str">
        <f>IFERROR(IF([1]F_ProductBM!H2895 = "", "", [1]F_ProductBM!H2895 ),"")</f>
        <v/>
      </c>
      <c r="I5601" s="340" t="str">
        <f>IFERROR(IF([1]F_ProductBM!I2895 = "", "", [1]F_ProductBM!I2895 ),"")</f>
        <v/>
      </c>
      <c r="J5601" s="341" t="str">
        <f>IFERROR(IF([1]F_ProductBM!J2895 = "", "", [1]F_ProductBM!J2895 ),"")</f>
        <v/>
      </c>
      <c r="K5601" s="86" t="str">
        <f>IFERROR(IF([1]F_ProductBM!K2895 = "", "", [1]F_ProductBM!K2895 ),"")</f>
        <v/>
      </c>
      <c r="L5601" s="86" t="str">
        <f>IFERROR(IF([1]F_ProductBM!L2895 = "", "", [1]F_ProductBM!L2895 ),"")</f>
        <v/>
      </c>
      <c r="M5601" s="86" t="str">
        <f>IFERROR(IF([1]F_ProductBM!M2895 = "", "", [1]F_ProductBM!M2895 ),"")</f>
        <v/>
      </c>
      <c r="N5601" s="342" t="str">
        <f>IFERROR(IF([1]F_ProductBM!N2895 = "", "", [1]F_ProductBM!N2895 ),"")</f>
        <v/>
      </c>
    </row>
    <row r="5602" spans="3:14">
      <c r="C5602" s="977"/>
      <c r="D5602" s="777" t="s">
        <v>64</v>
      </c>
      <c r="E5602" s="2687" t="s">
        <v>393</v>
      </c>
      <c r="F5602" s="2688"/>
      <c r="G5602" s="1002"/>
      <c r="H5602" s="343" t="str">
        <f>IFERROR(IF([1]F_ProductBM!H2896 = "", "", [1]F_ProductBM!H2896 ),"")</f>
        <v/>
      </c>
      <c r="I5602" s="344" t="str">
        <f>IFERROR(IF([1]F_ProductBM!I2896 = "", "", [1]F_ProductBM!I2896 ),"")</f>
        <v/>
      </c>
      <c r="J5602" s="345" t="str">
        <f>IFERROR(IF([1]F_ProductBM!J2896 = "", "", [1]F_ProductBM!J2896 ),"")</f>
        <v/>
      </c>
      <c r="K5602" s="343" t="str">
        <f>IFERROR(IF([1]F_ProductBM!K2896 = "", "", [1]F_ProductBM!K2896 ),"")</f>
        <v/>
      </c>
      <c r="L5602" s="343" t="str">
        <f>IFERROR(IF([1]F_ProductBM!L2896 = "", "", [1]F_ProductBM!L2896 ),"")</f>
        <v/>
      </c>
      <c r="M5602" s="343" t="str">
        <f>IFERROR(IF([1]F_ProductBM!M2896 = "", "", [1]F_ProductBM!M2896 ),"")</f>
        <v/>
      </c>
      <c r="N5602" s="346" t="str">
        <f>IFERROR(IF([1]F_ProductBM!N2896 = "", "", [1]F_ProductBM!N2896 ),"")</f>
        <v/>
      </c>
    </row>
    <row r="5603" spans="3:14">
      <c r="C5603" s="977"/>
      <c r="D5603" s="777"/>
      <c r="E5603" s="981"/>
      <c r="F5603" s="981"/>
      <c r="G5603" s="981"/>
      <c r="H5603" s="981"/>
      <c r="I5603" s="981"/>
      <c r="J5603" s="981"/>
      <c r="K5603" s="981"/>
      <c r="L5603" s="981"/>
      <c r="M5603" s="813"/>
      <c r="N5603" s="814"/>
    </row>
    <row r="5604" spans="3:14">
      <c r="C5604" s="977"/>
      <c r="D5604" s="777" t="s">
        <v>65</v>
      </c>
      <c r="E5604" s="2649" t="s">
        <v>1215</v>
      </c>
      <c r="F5604" s="2391"/>
      <c r="G5604" s="2391"/>
      <c r="H5604" s="2512"/>
      <c r="I5604" s="2683" t="str">
        <f>IFERROR(IF([1]F_ProductBM!I2898 = "", "", [1]F_ProductBM!I2898 ),"")</f>
        <v/>
      </c>
      <c r="J5604" s="2488"/>
      <c r="K5604" s="2488"/>
      <c r="L5604" s="2488"/>
      <c r="M5604" s="2686"/>
      <c r="N5604" s="979"/>
    </row>
    <row r="5605" spans="3:14">
      <c r="C5605" s="977"/>
      <c r="D5605" s="981"/>
      <c r="E5605" s="986"/>
      <c r="F5605" s="978"/>
      <c r="G5605" s="981"/>
      <c r="H5605" s="981"/>
      <c r="I5605" s="978"/>
      <c r="J5605" s="978"/>
      <c r="K5605" s="978"/>
      <c r="L5605" s="978"/>
      <c r="M5605" s="978"/>
      <c r="N5605" s="979"/>
    </row>
    <row r="5606" spans="3:14">
      <c r="C5606" s="977"/>
      <c r="D5606" s="777"/>
      <c r="E5606" s="2648" t="s">
        <v>1155</v>
      </c>
      <c r="F5606" s="2493"/>
      <c r="G5606" s="987" t="s">
        <v>884</v>
      </c>
      <c r="H5606" s="782">
        <v>2019</v>
      </c>
      <c r="I5606" s="988">
        <v>2020</v>
      </c>
      <c r="J5606" s="781">
        <v>2021</v>
      </c>
      <c r="K5606" s="782">
        <v>2022</v>
      </c>
      <c r="L5606" s="782">
        <v>2023</v>
      </c>
      <c r="M5606" s="782">
        <v>2024</v>
      </c>
      <c r="N5606" s="783">
        <v>2025</v>
      </c>
    </row>
    <row r="5607" spans="3:14">
      <c r="C5607" s="977"/>
      <c r="D5607" s="777" t="s">
        <v>66</v>
      </c>
      <c r="E5607" s="2471" t="s">
        <v>1153</v>
      </c>
      <c r="F5607" s="2472"/>
      <c r="G5607" s="811" t="s">
        <v>2152</v>
      </c>
      <c r="H5607" s="94" t="str">
        <f>IFERROR(IF([1]F_ProductBM!H2901 = "", "", [1]F_ProductBM!H2901 ),"")</f>
        <v/>
      </c>
      <c r="I5607" s="110" t="str">
        <f>IFERROR(IF([1]F_ProductBM!I2901 = "", "", [1]F_ProductBM!I2901 ),"")</f>
        <v/>
      </c>
      <c r="J5607" s="111" t="str">
        <f>IFERROR(IF([1]F_ProductBM!J2901 = "", "", [1]F_ProductBM!J2901 ),"")</f>
        <v/>
      </c>
      <c r="K5607" s="94" t="str">
        <f>IFERROR(IF([1]F_ProductBM!K2901 = "", "", [1]F_ProductBM!K2901 ),"")</f>
        <v/>
      </c>
      <c r="L5607" s="94" t="str">
        <f>IFERROR(IF([1]F_ProductBM!L2901 = "", "", [1]F_ProductBM!L2901 ),"")</f>
        <v/>
      </c>
      <c r="M5607" s="94" t="str">
        <f>IFERROR(IF([1]F_ProductBM!M2901 = "", "", [1]F_ProductBM!M2901 ),"")</f>
        <v/>
      </c>
      <c r="N5607" s="112" t="str">
        <f>IFERROR(IF([1]F_ProductBM!N2901 = "", "", [1]F_ProductBM!N2901 ),"")</f>
        <v/>
      </c>
    </row>
    <row r="5608" spans="3:14">
      <c r="C5608" s="977"/>
      <c r="D5608" s="777" t="s">
        <v>1105</v>
      </c>
      <c r="E5608" s="2685" t="s">
        <v>946</v>
      </c>
      <c r="F5608" s="2608"/>
      <c r="G5608" s="993" t="s">
        <v>2019</v>
      </c>
      <c r="H5608" s="101" t="str">
        <f>IFERROR(IF([1]F_ProductBM!H2902 = "", "", [1]F_ProductBM!H2902 ),"")</f>
        <v/>
      </c>
      <c r="I5608" s="361" t="str">
        <f>IFERROR(IF([1]F_ProductBM!I2902 = "", "", [1]F_ProductBM!I2902 ),"")</f>
        <v/>
      </c>
      <c r="J5608" s="362" t="str">
        <f>IFERROR(IF([1]F_ProductBM!J2902 = "", "", [1]F_ProductBM!J2902 ),"")</f>
        <v/>
      </c>
      <c r="K5608" s="101" t="str">
        <f>IFERROR(IF([1]F_ProductBM!K2902 = "", "", [1]F_ProductBM!K2902 ),"")</f>
        <v/>
      </c>
      <c r="L5608" s="101" t="str">
        <f>IFERROR(IF([1]F_ProductBM!L2902 = "", "", [1]F_ProductBM!L2902 ),"")</f>
        <v/>
      </c>
      <c r="M5608" s="101" t="str">
        <f>IFERROR(IF([1]F_ProductBM!M2902 = "", "", [1]F_ProductBM!M2902 ),"")</f>
        <v/>
      </c>
      <c r="N5608" s="363" t="str">
        <f>IFERROR(IF([1]F_ProductBM!N2902 = "", "", [1]F_ProductBM!N2902 ),"")</f>
        <v/>
      </c>
    </row>
    <row r="5609" spans="3:14">
      <c r="C5609" s="977"/>
      <c r="D5609" s="777" t="s">
        <v>1106</v>
      </c>
      <c r="E5609" s="2685" t="s">
        <v>945</v>
      </c>
      <c r="F5609" s="2608"/>
      <c r="G5609" s="994" t="s">
        <v>878</v>
      </c>
      <c r="H5609" s="101" t="str">
        <f>IFERROR(IF([1]F_ProductBM!H2903 = "", "", [1]F_ProductBM!H2903 ),"")</f>
        <v/>
      </c>
      <c r="I5609" s="361" t="str">
        <f>IFERROR(IF([1]F_ProductBM!I2903 = "", "", [1]F_ProductBM!I2903 ),"")</f>
        <v/>
      </c>
      <c r="J5609" s="362" t="str">
        <f>IFERROR(IF([1]F_ProductBM!J2903 = "", "", [1]F_ProductBM!J2903 ),"")</f>
        <v/>
      </c>
      <c r="K5609" s="101" t="str">
        <f>IFERROR(IF([1]F_ProductBM!K2903 = "", "", [1]F_ProductBM!K2903 ),"")</f>
        <v/>
      </c>
      <c r="L5609" s="101" t="str">
        <f>IFERROR(IF([1]F_ProductBM!L2903 = "", "", [1]F_ProductBM!L2903 ),"")</f>
        <v/>
      </c>
      <c r="M5609" s="101" t="str">
        <f>IFERROR(IF([1]F_ProductBM!M2903 = "", "", [1]F_ProductBM!M2903 ),"")</f>
        <v/>
      </c>
      <c r="N5609" s="363" t="str">
        <f>IFERROR(IF([1]F_ProductBM!N2903 = "", "", [1]F_ProductBM!N2903 ),"")</f>
        <v/>
      </c>
    </row>
    <row r="5610" spans="3:14">
      <c r="C5610" s="977"/>
      <c r="D5610" s="777" t="s">
        <v>1107</v>
      </c>
      <c r="E5610" s="2473" t="s">
        <v>880</v>
      </c>
      <c r="F5610" s="2474"/>
      <c r="G5610" s="812" t="s">
        <v>878</v>
      </c>
      <c r="H5610" s="95" t="str">
        <f>IFERROR(IF([1]F_ProductBM!H2904 = "", "", [1]F_ProductBM!H2904 ),"")</f>
        <v/>
      </c>
      <c r="I5610" s="113" t="str">
        <f>IFERROR(IF([1]F_ProductBM!I2904 = "", "", [1]F_ProductBM!I2904 ),"")</f>
        <v/>
      </c>
      <c r="J5610" s="114" t="str">
        <f>IFERROR(IF([1]F_ProductBM!J2904 = "", "", [1]F_ProductBM!J2904 ),"")</f>
        <v/>
      </c>
      <c r="K5610" s="95" t="str">
        <f>IFERROR(IF([1]F_ProductBM!K2904 = "", "", [1]F_ProductBM!K2904 ),"")</f>
        <v/>
      </c>
      <c r="L5610" s="95" t="str">
        <f>IFERROR(IF([1]F_ProductBM!L2904 = "", "", [1]F_ProductBM!L2904 ),"")</f>
        <v/>
      </c>
      <c r="M5610" s="95" t="str">
        <f>IFERROR(IF([1]F_ProductBM!M2904 = "", "", [1]F_ProductBM!M2904 ),"")</f>
        <v/>
      </c>
      <c r="N5610" s="115" t="str">
        <f>IFERROR(IF([1]F_ProductBM!N2904 = "", "", [1]F_ProductBM!N2904 ),"")</f>
        <v/>
      </c>
    </row>
    <row r="5611" spans="3:14">
      <c r="C5611" s="977"/>
      <c r="D5611" s="777" t="s">
        <v>1108</v>
      </c>
      <c r="E5611" s="2471" t="s">
        <v>882</v>
      </c>
      <c r="F5611" s="2472"/>
      <c r="G5611" s="995" t="s">
        <v>2015</v>
      </c>
      <c r="H5611" s="378" t="str">
        <f>IFERROR(IF([1]F_ProductBM!H2905 = "", "", [1]F_ProductBM!H2905 ),"")</f>
        <v/>
      </c>
      <c r="I5611" s="379" t="str">
        <f>IFERROR(IF([1]F_ProductBM!I2905 = "", "", [1]F_ProductBM!I2905 ),"")</f>
        <v/>
      </c>
      <c r="J5611" s="380" t="str">
        <f>IFERROR(IF([1]F_ProductBM!J2905 = "", "", [1]F_ProductBM!J2905 ),"")</f>
        <v/>
      </c>
      <c r="K5611" s="378" t="str">
        <f>IFERROR(IF([1]F_ProductBM!K2905 = "", "", [1]F_ProductBM!K2905 ),"")</f>
        <v/>
      </c>
      <c r="L5611" s="378" t="str">
        <f>IFERROR(IF([1]F_ProductBM!L2905 = "", "", [1]F_ProductBM!L2905 ),"")</f>
        <v/>
      </c>
      <c r="M5611" s="378" t="str">
        <f>IFERROR(IF([1]F_ProductBM!M2905 = "", "", [1]F_ProductBM!M2905 ),"")</f>
        <v/>
      </c>
      <c r="N5611" s="381" t="str">
        <f>IFERROR(IF([1]F_ProductBM!N2905 = "", "", [1]F_ProductBM!N2905 ),"")</f>
        <v/>
      </c>
    </row>
    <row r="5612" spans="3:14">
      <c r="C5612" s="977"/>
      <c r="D5612" s="777" t="s">
        <v>1109</v>
      </c>
      <c r="E5612" s="2670" t="s">
        <v>879</v>
      </c>
      <c r="F5612" s="2608"/>
      <c r="G5612" s="998" t="s">
        <v>2015</v>
      </c>
      <c r="H5612" s="382" t="str">
        <f>IFERROR(IF([1]F_ProductBM!H2906 = "", "", [1]F_ProductBM!H2906 ),"")</f>
        <v/>
      </c>
      <c r="I5612" s="383" t="str">
        <f>IFERROR(IF([1]F_ProductBM!I2906 = "", "", [1]F_ProductBM!I2906 ),"")</f>
        <v/>
      </c>
      <c r="J5612" s="384" t="str">
        <f>IFERROR(IF([1]F_ProductBM!J2906 = "", "", [1]F_ProductBM!J2906 ),"")</f>
        <v/>
      </c>
      <c r="K5612" s="382" t="str">
        <f>IFERROR(IF([1]F_ProductBM!K2906 = "", "", [1]F_ProductBM!K2906 ),"")</f>
        <v/>
      </c>
      <c r="L5612" s="382" t="str">
        <f>IFERROR(IF([1]F_ProductBM!L2906 = "", "", [1]F_ProductBM!L2906 ),"")</f>
        <v/>
      </c>
      <c r="M5612" s="382" t="str">
        <f>IFERROR(IF([1]F_ProductBM!M2906 = "", "", [1]F_ProductBM!M2906 ),"")</f>
        <v/>
      </c>
      <c r="N5612" s="385" t="str">
        <f>IFERROR(IF([1]F_ProductBM!N2906 = "", "", [1]F_ProductBM!N2906 ),"")</f>
        <v/>
      </c>
    </row>
    <row r="5613" spans="3:14">
      <c r="C5613" s="977"/>
      <c r="D5613" s="777" t="s">
        <v>1110</v>
      </c>
      <c r="E5613" s="2473" t="s">
        <v>41</v>
      </c>
      <c r="F5613" s="2474"/>
      <c r="G5613" s="1001" t="s">
        <v>2017</v>
      </c>
      <c r="H5613" s="86" t="str">
        <f>IFERROR(IF([1]F_ProductBM!H2907 = "", "", [1]F_ProductBM!H2907 ),"")</f>
        <v/>
      </c>
      <c r="I5613" s="340" t="str">
        <f>IFERROR(IF([1]F_ProductBM!I2907 = "", "", [1]F_ProductBM!I2907 ),"")</f>
        <v/>
      </c>
      <c r="J5613" s="341" t="str">
        <f>IFERROR(IF([1]F_ProductBM!J2907 = "", "", [1]F_ProductBM!J2907 ),"")</f>
        <v/>
      </c>
      <c r="K5613" s="86" t="str">
        <f>IFERROR(IF([1]F_ProductBM!K2907 = "", "", [1]F_ProductBM!K2907 ),"")</f>
        <v/>
      </c>
      <c r="L5613" s="86" t="str">
        <f>IFERROR(IF([1]F_ProductBM!L2907 = "", "", [1]F_ProductBM!L2907 ),"")</f>
        <v/>
      </c>
      <c r="M5613" s="86" t="str">
        <f>IFERROR(IF([1]F_ProductBM!M2907 = "", "", [1]F_ProductBM!M2907 ),"")</f>
        <v/>
      </c>
      <c r="N5613" s="342" t="str">
        <f>IFERROR(IF([1]F_ProductBM!N2907 = "", "", [1]F_ProductBM!N2907 ),"")</f>
        <v/>
      </c>
    </row>
    <row r="5614" spans="3:14">
      <c r="C5614" s="977"/>
      <c r="D5614" s="777" t="s">
        <v>1106</v>
      </c>
      <c r="E5614" s="2687" t="s">
        <v>393</v>
      </c>
      <c r="F5614" s="2688"/>
      <c r="G5614" s="1002"/>
      <c r="H5614" s="343" t="str">
        <f>IFERROR(IF([1]F_ProductBM!H2908 = "", "", [1]F_ProductBM!H2908 ),"")</f>
        <v/>
      </c>
      <c r="I5614" s="344" t="str">
        <f>IFERROR(IF([1]F_ProductBM!I2908 = "", "", [1]F_ProductBM!I2908 ),"")</f>
        <v/>
      </c>
      <c r="J5614" s="345" t="str">
        <f>IFERROR(IF([1]F_ProductBM!J2908 = "", "", [1]F_ProductBM!J2908 ),"")</f>
        <v/>
      </c>
      <c r="K5614" s="343" t="str">
        <f>IFERROR(IF([1]F_ProductBM!K2908 = "", "", [1]F_ProductBM!K2908 ),"")</f>
        <v/>
      </c>
      <c r="L5614" s="343" t="str">
        <f>IFERROR(IF([1]F_ProductBM!L2908 = "", "", [1]F_ProductBM!L2908 ),"")</f>
        <v/>
      </c>
      <c r="M5614" s="343" t="str">
        <f>IFERROR(IF([1]F_ProductBM!M2908 = "", "", [1]F_ProductBM!M2908 ),"")</f>
        <v/>
      </c>
      <c r="N5614" s="346" t="str">
        <f>IFERROR(IF([1]F_ProductBM!N2908 = "", "", [1]F_ProductBM!N2908 ),"")</f>
        <v/>
      </c>
    </row>
    <row r="5615" spans="3:14">
      <c r="C5615" s="977"/>
      <c r="D5615" s="981"/>
      <c r="E5615" s="981"/>
      <c r="F5615" s="981"/>
      <c r="G5615" s="981"/>
      <c r="H5615" s="981"/>
      <c r="I5615" s="981"/>
      <c r="J5615" s="981"/>
      <c r="K5615" s="981"/>
      <c r="L5615" s="981"/>
      <c r="M5615" s="813"/>
      <c r="N5615" s="814"/>
    </row>
    <row r="5616" spans="3:14">
      <c r="C5616" s="977"/>
      <c r="D5616" s="982" t="s">
        <v>478</v>
      </c>
      <c r="E5616" s="2649" t="s">
        <v>1457</v>
      </c>
      <c r="F5616" s="2391"/>
      <c r="G5616" s="2391"/>
      <c r="H5616" s="2391"/>
      <c r="I5616" s="2391"/>
      <c r="J5616" s="2391"/>
      <c r="K5616" s="2391"/>
      <c r="L5616" s="2391"/>
      <c r="M5616" s="2391"/>
      <c r="N5616" s="2650"/>
    </row>
    <row r="5617" spans="3:14">
      <c r="C5617" s="977"/>
      <c r="D5617" s="777"/>
      <c r="E5617" s="2676" t="s">
        <v>2295</v>
      </c>
      <c r="F5617" s="2391"/>
      <c r="G5617" s="2391"/>
      <c r="H5617" s="2391"/>
      <c r="I5617" s="2391"/>
      <c r="J5617" s="2391"/>
      <c r="K5617" s="2391"/>
      <c r="L5617" s="2391"/>
      <c r="M5617" s="2391"/>
      <c r="N5617" s="2650"/>
    </row>
    <row r="5618" spans="3:14">
      <c r="C5618" s="977"/>
      <c r="D5618" s="981"/>
      <c r="E5618" s="2669" t="s">
        <v>1367</v>
      </c>
      <c r="F5618" s="2391"/>
      <c r="G5618" s="2391"/>
      <c r="H5618" s="2391"/>
      <c r="I5618" s="2391"/>
      <c r="J5618" s="2391"/>
      <c r="K5618" s="2391"/>
      <c r="L5618" s="2391"/>
      <c r="M5618" s="2391"/>
      <c r="N5618" s="2650"/>
    </row>
    <row r="5619" spans="3:14">
      <c r="C5619" s="977"/>
      <c r="D5619" s="981"/>
      <c r="E5619" s="2669" t="s">
        <v>1365</v>
      </c>
      <c r="F5619" s="2391"/>
      <c r="G5619" s="2391"/>
      <c r="H5619" s="2391"/>
      <c r="I5619" s="2391"/>
      <c r="J5619" s="2391"/>
      <c r="K5619" s="2391"/>
      <c r="L5619" s="2391"/>
      <c r="M5619" s="2391"/>
      <c r="N5619" s="2650"/>
    </row>
    <row r="5620" spans="3:14">
      <c r="C5620" s="977"/>
      <c r="D5620" s="982"/>
      <c r="E5620" s="989"/>
      <c r="F5620" s="990"/>
      <c r="G5620" s="987" t="s">
        <v>884</v>
      </c>
      <c r="H5620" s="782">
        <v>2019</v>
      </c>
      <c r="I5620" s="988">
        <v>2020</v>
      </c>
      <c r="J5620" s="781">
        <v>2021</v>
      </c>
      <c r="K5620" s="782">
        <v>2022</v>
      </c>
      <c r="L5620" s="782">
        <v>2023</v>
      </c>
      <c r="M5620" s="782">
        <v>2024</v>
      </c>
      <c r="N5620" s="783">
        <v>2025</v>
      </c>
    </row>
    <row r="5621" spans="3:14">
      <c r="C5621" s="977"/>
      <c r="D5621" s="777"/>
      <c r="E5621" s="2475" t="s">
        <v>1156</v>
      </c>
      <c r="F5621" s="2410"/>
      <c r="G5621" s="815" t="s">
        <v>2016</v>
      </c>
      <c r="H5621" s="93" t="str">
        <f>IFERROR(IF([1]F_ProductBM!H2915 = "", "", [1]F_ProductBM!H2915 ),"")</f>
        <v/>
      </c>
      <c r="I5621" s="116" t="str">
        <f>IFERROR(IF([1]F_ProductBM!I2915 = "", "", [1]F_ProductBM!I2915 ),"")</f>
        <v/>
      </c>
      <c r="J5621" s="117" t="str">
        <f>IFERROR(IF([1]F_ProductBM!J2915 = "", "", [1]F_ProductBM!J2915 ),"")</f>
        <v/>
      </c>
      <c r="K5621" s="93" t="str">
        <f>IFERROR(IF([1]F_ProductBM!K2915 = "", "", [1]F_ProductBM!K2915 ),"")</f>
        <v/>
      </c>
      <c r="L5621" s="93" t="str">
        <f>IFERROR(IF([1]F_ProductBM!L2915 = "", "", [1]F_ProductBM!L2915 ),"")</f>
        <v/>
      </c>
      <c r="M5621" s="93" t="str">
        <f>IFERROR(IF([1]F_ProductBM!M2915 = "", "", [1]F_ProductBM!M2915 ),"")</f>
        <v/>
      </c>
      <c r="N5621" s="118" t="str">
        <f>IFERROR(IF([1]F_ProductBM!N2915 = "", "", [1]F_ProductBM!N2915 ),"")</f>
        <v/>
      </c>
    </row>
    <row r="5622" spans="3:14">
      <c r="C5622" s="977"/>
      <c r="D5622" s="981"/>
      <c r="E5622" s="981"/>
      <c r="F5622" s="981"/>
      <c r="G5622" s="981"/>
      <c r="H5622" s="981"/>
      <c r="I5622" s="981"/>
      <c r="J5622" s="981"/>
      <c r="K5622" s="981"/>
      <c r="L5622" s="981"/>
      <c r="M5622" s="813"/>
      <c r="N5622" s="814"/>
    </row>
    <row r="5623" spans="3:14">
      <c r="C5623" s="977"/>
      <c r="D5623" s="982" t="s">
        <v>479</v>
      </c>
      <c r="E5623" s="2649" t="s">
        <v>1118</v>
      </c>
      <c r="F5623" s="2391"/>
      <c r="G5623" s="2391"/>
      <c r="H5623" s="2391"/>
      <c r="I5623" s="2391"/>
      <c r="J5623" s="2391"/>
      <c r="K5623" s="2391"/>
      <c r="L5623" s="2391"/>
      <c r="M5623" s="2391"/>
      <c r="N5623" s="2650"/>
    </row>
    <row r="5624" spans="3:14">
      <c r="C5624" s="977"/>
      <c r="D5624" s="777"/>
      <c r="E5624" s="2676" t="s">
        <v>2297</v>
      </c>
      <c r="F5624" s="2391"/>
      <c r="G5624" s="2391"/>
      <c r="H5624" s="2391"/>
      <c r="I5624" s="2391"/>
      <c r="J5624" s="2391"/>
      <c r="K5624" s="2391"/>
      <c r="L5624" s="2391"/>
      <c r="M5624" s="2391"/>
      <c r="N5624" s="2650"/>
    </row>
    <row r="5625" spans="3:14" ht="21.6" customHeight="1">
      <c r="C5625" s="977"/>
      <c r="D5625" s="981"/>
      <c r="E5625" s="2669" t="s">
        <v>2118</v>
      </c>
      <c r="F5625" s="2391"/>
      <c r="G5625" s="2391"/>
      <c r="H5625" s="2391"/>
      <c r="I5625" s="2391"/>
      <c r="J5625" s="2391"/>
      <c r="K5625" s="2391"/>
      <c r="L5625" s="2391"/>
      <c r="M5625" s="2391"/>
      <c r="N5625" s="2650"/>
    </row>
    <row r="5626" spans="3:14">
      <c r="C5626" s="977"/>
      <c r="D5626" s="981"/>
      <c r="E5626" s="2669" t="s">
        <v>1614</v>
      </c>
      <c r="F5626" s="2391"/>
      <c r="G5626" s="2391"/>
      <c r="H5626" s="2391"/>
      <c r="I5626" s="2391"/>
      <c r="J5626" s="2391"/>
      <c r="K5626" s="2391"/>
      <c r="L5626" s="2391"/>
      <c r="M5626" s="2391"/>
      <c r="N5626" s="2650"/>
    </row>
    <row r="5627" spans="3:14">
      <c r="C5627" s="977"/>
      <c r="D5627" s="981"/>
      <c r="E5627" s="2669" t="s">
        <v>1593</v>
      </c>
      <c r="F5627" s="2391"/>
      <c r="G5627" s="2391"/>
      <c r="H5627" s="2391"/>
      <c r="I5627" s="2391"/>
      <c r="J5627" s="2391"/>
      <c r="K5627" s="2391"/>
      <c r="L5627" s="2391"/>
      <c r="M5627" s="2391"/>
      <c r="N5627" s="2650"/>
    </row>
    <row r="5628" spans="3:14">
      <c r="C5628" s="977"/>
      <c r="D5628" s="981"/>
      <c r="E5628" s="2697" t="s">
        <v>1555</v>
      </c>
      <c r="F5628" s="2698"/>
      <c r="G5628" s="2698"/>
      <c r="H5628" s="2698"/>
      <c r="I5628" s="2698"/>
      <c r="J5628" s="2698"/>
      <c r="K5628" s="2698"/>
      <c r="L5628" s="2698"/>
      <c r="M5628" s="2698"/>
      <c r="N5628" s="2694"/>
    </row>
    <row r="5629" spans="3:14">
      <c r="C5629" s="977"/>
      <c r="D5629" s="981"/>
      <c r="E5629" s="2648" t="s">
        <v>1151</v>
      </c>
      <c r="F5629" s="2493"/>
      <c r="G5629" s="987" t="s">
        <v>884</v>
      </c>
      <c r="H5629" s="782">
        <v>2019</v>
      </c>
      <c r="I5629" s="988">
        <v>2020</v>
      </c>
      <c r="J5629" s="781">
        <v>2021</v>
      </c>
      <c r="K5629" s="782">
        <v>2022</v>
      </c>
      <c r="L5629" s="782">
        <v>2023</v>
      </c>
      <c r="M5629" s="782">
        <v>2024</v>
      </c>
      <c r="N5629" s="783">
        <v>2025</v>
      </c>
    </row>
    <row r="5630" spans="3:14">
      <c r="C5630" s="977"/>
      <c r="D5630" s="777" t="s">
        <v>6</v>
      </c>
      <c r="E5630" s="2475" t="s">
        <v>1087</v>
      </c>
      <c r="F5630" s="2410"/>
      <c r="G5630" s="815" t="s">
        <v>2017</v>
      </c>
      <c r="H5630" s="93" t="str">
        <f>IFERROR(IF([1]F_ProductBM!H2924 = "", "", [1]F_ProductBM!H2924 ),"")</f>
        <v/>
      </c>
      <c r="I5630" s="116" t="str">
        <f>IFERROR(IF([1]F_ProductBM!I2924 = "", "", [1]F_ProductBM!I2924 ),"")</f>
        <v/>
      </c>
      <c r="J5630" s="117" t="str">
        <f>IFERROR(IF([1]F_ProductBM!J2924 = "", "", [1]F_ProductBM!J2924 ),"")</f>
        <v/>
      </c>
      <c r="K5630" s="93" t="str">
        <f>IFERROR(IF([1]F_ProductBM!K2924 = "", "", [1]F_ProductBM!K2924 ),"")</f>
        <v/>
      </c>
      <c r="L5630" s="93" t="str">
        <f>IFERROR(IF([1]F_ProductBM!L2924 = "", "", [1]F_ProductBM!L2924 ),"")</f>
        <v/>
      </c>
      <c r="M5630" s="93" t="str">
        <f>IFERROR(IF([1]F_ProductBM!M2924 = "", "", [1]F_ProductBM!M2924 ),"")</f>
        <v/>
      </c>
      <c r="N5630" s="118" t="str">
        <f>IFERROR(IF([1]F_ProductBM!N2924 = "", "", [1]F_ProductBM!N2924 ),"")</f>
        <v/>
      </c>
    </row>
    <row r="5631" spans="3:14">
      <c r="C5631" s="977"/>
      <c r="D5631" s="777" t="s">
        <v>7</v>
      </c>
      <c r="E5631" s="2475" t="s">
        <v>1103</v>
      </c>
      <c r="F5631" s="2410"/>
      <c r="G5631" s="815" t="s">
        <v>2018</v>
      </c>
      <c r="H5631" s="93" t="str">
        <f>IFERROR(IF([1]F_ProductBM!H2925 = "", "", [1]F_ProductBM!H2925 ),"")</f>
        <v/>
      </c>
      <c r="I5631" s="116" t="str">
        <f>IFERROR(IF([1]F_ProductBM!I2925 = "", "", [1]F_ProductBM!I2925 ),"")</f>
        <v/>
      </c>
      <c r="J5631" s="117" t="str">
        <f>IFERROR(IF([1]F_ProductBM!J2925 = "", "", [1]F_ProductBM!J2925 ),"")</f>
        <v/>
      </c>
      <c r="K5631" s="93" t="str">
        <f>IFERROR(IF([1]F_ProductBM!K2925 = "", "", [1]F_ProductBM!K2925 ),"")</f>
        <v/>
      </c>
      <c r="L5631" s="93" t="str">
        <f>IFERROR(IF([1]F_ProductBM!L2925 = "", "", [1]F_ProductBM!L2925 ),"")</f>
        <v/>
      </c>
      <c r="M5631" s="93" t="str">
        <f>IFERROR(IF([1]F_ProductBM!M2925 = "", "", [1]F_ProductBM!M2925 ),"")</f>
        <v/>
      </c>
      <c r="N5631" s="118" t="str">
        <f>IFERROR(IF([1]F_ProductBM!N2925 = "", "", [1]F_ProductBM!N2925 ),"")</f>
        <v/>
      </c>
    </row>
    <row r="5632" spans="3:14">
      <c r="C5632" s="977"/>
      <c r="D5632" s="981"/>
      <c r="E5632" s="981"/>
      <c r="F5632" s="981"/>
      <c r="G5632" s="981"/>
      <c r="H5632" s="981"/>
      <c r="I5632" s="981"/>
      <c r="J5632" s="981"/>
      <c r="K5632" s="981"/>
      <c r="L5632" s="981"/>
      <c r="M5632" s="981"/>
      <c r="N5632" s="814"/>
    </row>
    <row r="5633" spans="3:14">
      <c r="C5633" s="977"/>
      <c r="D5633" s="981"/>
      <c r="E5633" s="2648" t="s">
        <v>1406</v>
      </c>
      <c r="F5633" s="2493"/>
      <c r="G5633" s="987" t="s">
        <v>884</v>
      </c>
      <c r="H5633" s="782">
        <v>2019</v>
      </c>
      <c r="I5633" s="988">
        <v>2020</v>
      </c>
      <c r="J5633" s="781">
        <v>2021</v>
      </c>
      <c r="K5633" s="782">
        <v>2022</v>
      </c>
      <c r="L5633" s="782">
        <v>2023</v>
      </c>
      <c r="M5633" s="782">
        <v>2024</v>
      </c>
      <c r="N5633" s="783">
        <v>2025</v>
      </c>
    </row>
    <row r="5634" spans="3:14">
      <c r="C5634" s="977"/>
      <c r="D5634" s="777" t="s">
        <v>8</v>
      </c>
      <c r="E5634" s="2475" t="s">
        <v>1556</v>
      </c>
      <c r="F5634" s="2410"/>
      <c r="G5634" s="815" t="s">
        <v>2017</v>
      </c>
      <c r="H5634" s="351" t="str">
        <f>IFERROR(IF([1]F_ProductBM!H2928 = "", "", [1]F_ProductBM!H2928 ),"")</f>
        <v/>
      </c>
      <c r="I5634" s="352" t="str">
        <f>IFERROR(IF([1]F_ProductBM!I2928 = "", "", [1]F_ProductBM!I2928 ),"")</f>
        <v/>
      </c>
      <c r="J5634" s="353" t="str">
        <f>IFERROR(IF([1]F_ProductBM!J2928 = "", "", [1]F_ProductBM!J2928 ),"")</f>
        <v/>
      </c>
      <c r="K5634" s="351" t="str">
        <f>IFERROR(IF([1]F_ProductBM!K2928 = "", "", [1]F_ProductBM!K2928 ),"")</f>
        <v/>
      </c>
      <c r="L5634" s="351" t="str">
        <f>IFERROR(IF([1]F_ProductBM!L2928 = "", "", [1]F_ProductBM!L2928 ),"")</f>
        <v/>
      </c>
      <c r="M5634" s="351" t="str">
        <f>IFERROR(IF([1]F_ProductBM!M2928 = "", "", [1]F_ProductBM!M2928 ),"")</f>
        <v/>
      </c>
      <c r="N5634" s="354" t="str">
        <f>IFERROR(IF([1]F_ProductBM!N2928 = "", "", [1]F_ProductBM!N2928 ),"")</f>
        <v/>
      </c>
    </row>
    <row r="5635" spans="3:14">
      <c r="C5635" s="977"/>
      <c r="D5635" s="777" t="s">
        <v>18</v>
      </c>
      <c r="E5635" s="2475" t="s">
        <v>1149</v>
      </c>
      <c r="F5635" s="2410"/>
      <c r="G5635" s="815" t="s">
        <v>2017</v>
      </c>
      <c r="H5635" s="93" t="str">
        <f>IFERROR(IF([1]F_ProductBM!H2929 = "", "", [1]F_ProductBM!H2929 ),"")</f>
        <v/>
      </c>
      <c r="I5635" s="116" t="str">
        <f>IFERROR(IF([1]F_ProductBM!I2929 = "", "", [1]F_ProductBM!I2929 ),"")</f>
        <v/>
      </c>
      <c r="J5635" s="117" t="str">
        <f>IFERROR(IF([1]F_ProductBM!J2929 = "", "", [1]F_ProductBM!J2929 ),"")</f>
        <v/>
      </c>
      <c r="K5635" s="93" t="str">
        <f>IFERROR(IF([1]F_ProductBM!K2929 = "", "", [1]F_ProductBM!K2929 ),"")</f>
        <v/>
      </c>
      <c r="L5635" s="93" t="str">
        <f>IFERROR(IF([1]F_ProductBM!L2929 = "", "", [1]F_ProductBM!L2929 ),"")</f>
        <v/>
      </c>
      <c r="M5635" s="93" t="str">
        <f>IFERROR(IF([1]F_ProductBM!M2929 = "", "", [1]F_ProductBM!M2929 ),"")</f>
        <v/>
      </c>
      <c r="N5635" s="118" t="str">
        <f>IFERROR(IF([1]F_ProductBM!N2929 = "", "", [1]F_ProductBM!N2929 ),"")</f>
        <v/>
      </c>
    </row>
    <row r="5636" spans="3:14">
      <c r="C5636" s="977"/>
      <c r="D5636" s="981"/>
      <c r="E5636" s="981"/>
      <c r="F5636" s="981"/>
      <c r="G5636" s="981"/>
      <c r="H5636" s="981"/>
      <c r="I5636" s="981"/>
      <c r="J5636" s="981"/>
      <c r="K5636" s="981"/>
      <c r="L5636" s="981"/>
      <c r="M5636" s="981"/>
      <c r="N5636" s="814"/>
    </row>
    <row r="5637" spans="3:14">
      <c r="C5637" s="977"/>
      <c r="D5637" s="981"/>
      <c r="E5637" s="2648" t="s">
        <v>1152</v>
      </c>
      <c r="F5637" s="2493"/>
      <c r="G5637" s="987" t="s">
        <v>884</v>
      </c>
      <c r="H5637" s="782">
        <v>2019</v>
      </c>
      <c r="I5637" s="988">
        <v>2020</v>
      </c>
      <c r="J5637" s="781">
        <v>2021</v>
      </c>
      <c r="K5637" s="782">
        <v>2022</v>
      </c>
      <c r="L5637" s="782">
        <v>2023</v>
      </c>
      <c r="M5637" s="782">
        <v>2024</v>
      </c>
      <c r="N5637" s="783">
        <v>2025</v>
      </c>
    </row>
    <row r="5638" spans="3:14">
      <c r="C5638" s="977"/>
      <c r="D5638" s="777" t="s">
        <v>787</v>
      </c>
      <c r="E5638" s="2475" t="s">
        <v>1079</v>
      </c>
      <c r="F5638" s="2410"/>
      <c r="G5638" s="815" t="s">
        <v>2017</v>
      </c>
      <c r="H5638" s="93" t="str">
        <f>IFERROR(IF([1]F_ProductBM!H2932 = "", "", [1]F_ProductBM!H2932 ),"")</f>
        <v/>
      </c>
      <c r="I5638" s="116" t="str">
        <f>IFERROR(IF([1]F_ProductBM!I2932 = "", "", [1]F_ProductBM!I2932 ),"")</f>
        <v/>
      </c>
      <c r="J5638" s="117" t="str">
        <f>IFERROR(IF([1]F_ProductBM!J2932 = "", "", [1]F_ProductBM!J2932 ),"")</f>
        <v/>
      </c>
      <c r="K5638" s="93" t="str">
        <f>IFERROR(IF([1]F_ProductBM!K2932 = "", "", [1]F_ProductBM!K2932 ),"")</f>
        <v/>
      </c>
      <c r="L5638" s="93" t="str">
        <f>IFERROR(IF([1]F_ProductBM!L2932 = "", "", [1]F_ProductBM!L2932 ),"")</f>
        <v/>
      </c>
      <c r="M5638" s="93" t="str">
        <f>IFERROR(IF([1]F_ProductBM!M2932 = "", "", [1]F_ProductBM!M2932 ),"")</f>
        <v/>
      </c>
      <c r="N5638" s="118" t="str">
        <f>IFERROR(IF([1]F_ProductBM!N2932 = "", "", [1]F_ProductBM!N2932 ),"")</f>
        <v/>
      </c>
    </row>
    <row r="5639" spans="3:14">
      <c r="C5639" s="977"/>
      <c r="D5639" s="777" t="s">
        <v>788</v>
      </c>
      <c r="E5639" s="2475" t="s">
        <v>1104</v>
      </c>
      <c r="F5639" s="2410"/>
      <c r="G5639" s="815" t="s">
        <v>2018</v>
      </c>
      <c r="H5639" s="93" t="str">
        <f>IFERROR(IF([1]F_ProductBM!H2933 = "", "", [1]F_ProductBM!H2933 ),"")</f>
        <v/>
      </c>
      <c r="I5639" s="116" t="str">
        <f>IFERROR(IF([1]F_ProductBM!I2933 = "", "", [1]F_ProductBM!I2933 ),"")</f>
        <v/>
      </c>
      <c r="J5639" s="117" t="str">
        <f>IFERROR(IF([1]F_ProductBM!J2933 = "", "", [1]F_ProductBM!J2933 ),"")</f>
        <v/>
      </c>
      <c r="K5639" s="93" t="str">
        <f>IFERROR(IF([1]F_ProductBM!K2933 = "", "", [1]F_ProductBM!K2933 ),"")</f>
        <v/>
      </c>
      <c r="L5639" s="93" t="str">
        <f>IFERROR(IF([1]F_ProductBM!L2933 = "", "", [1]F_ProductBM!L2933 ),"")</f>
        <v/>
      </c>
      <c r="M5639" s="93" t="str">
        <f>IFERROR(IF([1]F_ProductBM!M2933 = "", "", [1]F_ProductBM!M2933 ),"")</f>
        <v/>
      </c>
      <c r="N5639" s="118" t="str">
        <f>IFERROR(IF([1]F_ProductBM!N2933 = "", "", [1]F_ProductBM!N2933 ),"")</f>
        <v/>
      </c>
    </row>
    <row r="5640" spans="3:14">
      <c r="C5640" s="977"/>
      <c r="D5640" s="981"/>
      <c r="E5640" s="981"/>
      <c r="F5640" s="981"/>
      <c r="G5640" s="981"/>
      <c r="H5640" s="981"/>
      <c r="I5640" s="981"/>
      <c r="J5640" s="981"/>
      <c r="K5640" s="981"/>
      <c r="L5640" s="981"/>
      <c r="M5640" s="813"/>
      <c r="N5640" s="814"/>
    </row>
    <row r="5641" spans="3:14">
      <c r="C5641" s="977"/>
      <c r="D5641" s="982" t="s">
        <v>481</v>
      </c>
      <c r="E5641" s="2649" t="s">
        <v>1312</v>
      </c>
      <c r="F5641" s="2391"/>
      <c r="G5641" s="2391"/>
      <c r="H5641" s="2391"/>
      <c r="I5641" s="2391"/>
      <c r="J5641" s="2391"/>
      <c r="K5641" s="2391"/>
      <c r="L5641" s="2391"/>
      <c r="M5641" s="2391"/>
      <c r="N5641" s="2650"/>
    </row>
    <row r="5642" spans="3:14">
      <c r="C5642" s="977"/>
      <c r="D5642" s="981"/>
      <c r="E5642" s="986"/>
      <c r="F5642" s="986"/>
      <c r="G5642" s="986"/>
      <c r="H5642" s="986"/>
      <c r="I5642" s="986"/>
      <c r="J5642" s="986"/>
      <c r="K5642" s="986"/>
      <c r="L5642" s="986"/>
      <c r="M5642" s="986"/>
      <c r="N5642" s="1007"/>
    </row>
    <row r="5643" spans="3:14">
      <c r="C5643" s="977"/>
      <c r="D5643" s="777" t="s">
        <v>6</v>
      </c>
      <c r="E5643" s="2649" t="s">
        <v>1313</v>
      </c>
      <c r="F5643" s="2391"/>
      <c r="G5643" s="2391"/>
      <c r="H5643" s="2391"/>
      <c r="I5643" s="2391"/>
      <c r="J5643" s="2391"/>
      <c r="K5643" s="2512"/>
      <c r="L5643" s="120" t="str">
        <f>IFERROR(IF([1]F_ProductBM!L2937 = "", "", [1]F_ProductBM!L2937 ),"")</f>
        <v/>
      </c>
      <c r="M5643" s="978"/>
      <c r="N5643" s="979"/>
    </row>
    <row r="5644" spans="3:14">
      <c r="C5644" s="977"/>
      <c r="D5644" s="981"/>
      <c r="E5644" s="2669" t="s">
        <v>1314</v>
      </c>
      <c r="F5644" s="2391"/>
      <c r="G5644" s="2391"/>
      <c r="H5644" s="2391"/>
      <c r="I5644" s="2391"/>
      <c r="J5644" s="2391"/>
      <c r="K5644" s="2391"/>
      <c r="L5644" s="2391"/>
      <c r="M5644" s="2391"/>
      <c r="N5644" s="2650"/>
    </row>
    <row r="5645" spans="3:14">
      <c r="C5645" s="977"/>
      <c r="D5645" s="777" t="s">
        <v>7</v>
      </c>
      <c r="E5645" s="2649" t="s">
        <v>1219</v>
      </c>
      <c r="F5645" s="2391"/>
      <c r="G5645" s="2391"/>
      <c r="H5645" s="2512"/>
      <c r="I5645" s="2683" t="str">
        <f>IFERROR(IF([1]F_ProductBM!I2939 = "", "", [1]F_ProductBM!I2939 ),"")</f>
        <v/>
      </c>
      <c r="J5645" s="2488"/>
      <c r="K5645" s="2488"/>
      <c r="L5645" s="2488"/>
      <c r="M5645" s="2686"/>
      <c r="N5645" s="979"/>
    </row>
    <row r="5646" spans="3:14">
      <c r="C5646" s="977"/>
      <c r="D5646" s="981"/>
      <c r="E5646" s="2669" t="s">
        <v>1316</v>
      </c>
      <c r="F5646" s="2391"/>
      <c r="G5646" s="2391"/>
      <c r="H5646" s="2391"/>
      <c r="I5646" s="2391"/>
      <c r="J5646" s="2391"/>
      <c r="K5646" s="2391"/>
      <c r="L5646" s="2391"/>
      <c r="M5646" s="2391"/>
      <c r="N5646" s="2650"/>
    </row>
    <row r="5647" spans="3:14">
      <c r="C5647" s="977"/>
      <c r="D5647" s="981"/>
      <c r="E5647" s="2676" t="s">
        <v>1557</v>
      </c>
      <c r="F5647" s="2391"/>
      <c r="G5647" s="2391"/>
      <c r="H5647" s="2391"/>
      <c r="I5647" s="2391"/>
      <c r="J5647" s="2391"/>
      <c r="K5647" s="2391"/>
      <c r="L5647" s="2391"/>
      <c r="M5647" s="2391"/>
      <c r="N5647" s="2650"/>
    </row>
    <row r="5648" spans="3:14">
      <c r="C5648" s="977"/>
      <c r="D5648" s="981"/>
      <c r="E5648" s="989"/>
      <c r="F5648" s="990"/>
      <c r="G5648" s="987" t="s">
        <v>884</v>
      </c>
      <c r="H5648" s="782">
        <v>2019</v>
      </c>
      <c r="I5648" s="988">
        <v>2020</v>
      </c>
      <c r="J5648" s="781">
        <v>2021</v>
      </c>
      <c r="K5648" s="782">
        <v>2022</v>
      </c>
      <c r="L5648" s="782">
        <v>2023</v>
      </c>
      <c r="M5648" s="782">
        <v>2024</v>
      </c>
      <c r="N5648" s="783">
        <v>2025</v>
      </c>
    </row>
    <row r="5649" spans="3:14">
      <c r="C5649" s="977"/>
      <c r="D5649" s="777" t="s">
        <v>8</v>
      </c>
      <c r="E5649" s="2471" t="s">
        <v>1305</v>
      </c>
      <c r="F5649" s="2472"/>
      <c r="G5649" s="67" t="str">
        <f>IFERROR(IF([1]F_ProductBM!G2943 = "", "", [1]F_ProductBM!G2943 ),"")</f>
        <v/>
      </c>
      <c r="H5649" s="94" t="str">
        <f>IFERROR(IF([1]F_ProductBM!H2943 = "", "", [1]F_ProductBM!H2943 ),"")</f>
        <v/>
      </c>
      <c r="I5649" s="110" t="str">
        <f>IFERROR(IF([1]F_ProductBM!I2943 = "", "", [1]F_ProductBM!I2943 ),"")</f>
        <v/>
      </c>
      <c r="J5649" s="111" t="str">
        <f>IFERROR(IF([1]F_ProductBM!J2943 = "", "", [1]F_ProductBM!J2943 ),"")</f>
        <v/>
      </c>
      <c r="K5649" s="94" t="str">
        <f>IFERROR(IF([1]F_ProductBM!K2943 = "", "", [1]F_ProductBM!K2943 ),"")</f>
        <v/>
      </c>
      <c r="L5649" s="94" t="str">
        <f>IFERROR(IF([1]F_ProductBM!L2943 = "", "", [1]F_ProductBM!L2943 ),"")</f>
        <v/>
      </c>
      <c r="M5649" s="94" t="str">
        <f>IFERROR(IF([1]F_ProductBM!M2943 = "", "", [1]F_ProductBM!M2943 ),"")</f>
        <v/>
      </c>
      <c r="N5649" s="112" t="str">
        <f>IFERROR(IF([1]F_ProductBM!N2943 = "", "", [1]F_ProductBM!N2943 ),"")</f>
        <v/>
      </c>
    </row>
    <row r="5650" spans="3:14">
      <c r="C5650" s="977"/>
      <c r="D5650" s="777" t="s">
        <v>18</v>
      </c>
      <c r="E5650" s="2473" t="s">
        <v>661</v>
      </c>
      <c r="F5650" s="2474"/>
      <c r="G5650" s="350" t="str">
        <f>IFERROR(IF([1]F_ProductBM!G2944 = "", "", [1]F_ProductBM!G2944 ),"")</f>
        <v>GJ / Unit</v>
      </c>
      <c r="H5650" s="95" t="str">
        <f>IFERROR(IF([1]F_ProductBM!H2944 = "", "", [1]F_ProductBM!H2944 ),"")</f>
        <v/>
      </c>
      <c r="I5650" s="113" t="str">
        <f>IFERROR(IF([1]F_ProductBM!I2944 = "", "", [1]F_ProductBM!I2944 ),"")</f>
        <v/>
      </c>
      <c r="J5650" s="114" t="str">
        <f>IFERROR(IF([1]F_ProductBM!J2944 = "", "", [1]F_ProductBM!J2944 ),"")</f>
        <v/>
      </c>
      <c r="K5650" s="95" t="str">
        <f>IFERROR(IF([1]F_ProductBM!K2944 = "", "", [1]F_ProductBM!K2944 ),"")</f>
        <v/>
      </c>
      <c r="L5650" s="95" t="str">
        <f>IFERROR(IF([1]F_ProductBM!L2944 = "", "", [1]F_ProductBM!L2944 ),"")</f>
        <v/>
      </c>
      <c r="M5650" s="95" t="str">
        <f>IFERROR(IF([1]F_ProductBM!M2944 = "", "", [1]F_ProductBM!M2944 ),"")</f>
        <v/>
      </c>
      <c r="N5650" s="115" t="str">
        <f>IFERROR(IF([1]F_ProductBM!N2944 = "", "", [1]F_ProductBM!N2944 ),"")</f>
        <v/>
      </c>
    </row>
    <row r="5651" spans="3:14">
      <c r="C5651" s="977"/>
      <c r="D5651" s="777" t="s">
        <v>787</v>
      </c>
      <c r="E5651" s="2475" t="s">
        <v>1141</v>
      </c>
      <c r="F5651" s="2410"/>
      <c r="G5651" s="815" t="s">
        <v>2017</v>
      </c>
      <c r="H5651" s="351" t="str">
        <f>IFERROR(IF([1]F_ProductBM!H2945 = "", "", [1]F_ProductBM!H2945 ),"")</f>
        <v/>
      </c>
      <c r="I5651" s="352" t="str">
        <f>IFERROR(IF([1]F_ProductBM!I2945 = "", "", [1]F_ProductBM!I2945 ),"")</f>
        <v/>
      </c>
      <c r="J5651" s="353" t="str">
        <f>IFERROR(IF([1]F_ProductBM!J2945 = "", "", [1]F_ProductBM!J2945 ),"")</f>
        <v/>
      </c>
      <c r="K5651" s="351" t="str">
        <f>IFERROR(IF([1]F_ProductBM!K2945 = "", "", [1]F_ProductBM!K2945 ),"")</f>
        <v/>
      </c>
      <c r="L5651" s="351" t="str">
        <f>IFERROR(IF([1]F_ProductBM!L2945 = "", "", [1]F_ProductBM!L2945 ),"")</f>
        <v/>
      </c>
      <c r="M5651" s="351" t="str">
        <f>IFERROR(IF([1]F_ProductBM!M2945 = "", "", [1]F_ProductBM!M2945 ),"")</f>
        <v/>
      </c>
      <c r="N5651" s="354" t="str">
        <f>IFERROR(IF([1]F_ProductBM!N2945 = "", "", [1]F_ProductBM!N2945 ),"")</f>
        <v/>
      </c>
    </row>
    <row r="5652" spans="3:14">
      <c r="C5652" s="977"/>
      <c r="D5652" s="777" t="s">
        <v>788</v>
      </c>
      <c r="E5652" s="2475" t="s">
        <v>1258</v>
      </c>
      <c r="F5652" s="2410"/>
      <c r="G5652" s="815" t="s">
        <v>2018</v>
      </c>
      <c r="H5652" s="93" t="str">
        <f>IFERROR(IF([1]F_ProductBM!H2946 = "", "", [1]F_ProductBM!H2946 ),"")</f>
        <v/>
      </c>
      <c r="I5652" s="116" t="str">
        <f>IFERROR(IF([1]F_ProductBM!I2946 = "", "", [1]F_ProductBM!I2946 ),"")</f>
        <v/>
      </c>
      <c r="J5652" s="117" t="str">
        <f>IFERROR(IF([1]F_ProductBM!J2946 = "", "", [1]F_ProductBM!J2946 ),"")</f>
        <v/>
      </c>
      <c r="K5652" s="93" t="str">
        <f>IFERROR(IF([1]F_ProductBM!K2946 = "", "", [1]F_ProductBM!K2946 ),"")</f>
        <v/>
      </c>
      <c r="L5652" s="93" t="str">
        <f>IFERROR(IF([1]F_ProductBM!L2946 = "", "", [1]F_ProductBM!L2946 ),"")</f>
        <v/>
      </c>
      <c r="M5652" s="93" t="str">
        <f>IFERROR(IF([1]F_ProductBM!M2946 = "", "", [1]F_ProductBM!M2946 ),"")</f>
        <v/>
      </c>
      <c r="N5652" s="118" t="str">
        <f>IFERROR(IF([1]F_ProductBM!N2946 = "", "", [1]F_ProductBM!N2946 ),"")</f>
        <v/>
      </c>
    </row>
    <row r="5653" spans="3:14">
      <c r="C5653" s="977"/>
      <c r="D5653" s="981"/>
      <c r="E5653" s="981"/>
      <c r="F5653" s="981"/>
      <c r="G5653" s="981"/>
      <c r="H5653" s="983"/>
      <c r="I5653" s="981"/>
      <c r="J5653" s="981"/>
      <c r="K5653" s="981"/>
      <c r="L5653" s="981"/>
      <c r="M5653" s="813"/>
      <c r="N5653" s="814"/>
    </row>
    <row r="5654" spans="3:14">
      <c r="C5654" s="977"/>
      <c r="D5654" s="777" t="s">
        <v>789</v>
      </c>
      <c r="E5654" s="2649" t="s">
        <v>1301</v>
      </c>
      <c r="F5654" s="2391"/>
      <c r="G5654" s="2391"/>
      <c r="H5654" s="2512"/>
      <c r="I5654" s="2683" t="str">
        <f>IFERROR(IF([1]F_ProductBM!I2948 = "", "", [1]F_ProductBM!I2948 ),"")</f>
        <v/>
      </c>
      <c r="J5654" s="2488"/>
      <c r="K5654" s="2488"/>
      <c r="L5654" s="2488"/>
      <c r="M5654" s="2686"/>
      <c r="N5654" s="979"/>
    </row>
    <row r="5655" spans="3:14">
      <c r="C5655" s="977"/>
      <c r="D5655" s="777"/>
      <c r="E5655" s="2669" t="s">
        <v>1606</v>
      </c>
      <c r="F5655" s="2391"/>
      <c r="G5655" s="2391"/>
      <c r="H5655" s="2391"/>
      <c r="I5655" s="2391"/>
      <c r="J5655" s="2391"/>
      <c r="K5655" s="2391"/>
      <c r="L5655" s="2391"/>
      <c r="M5655" s="2391"/>
      <c r="N5655" s="2650"/>
    </row>
    <row r="5656" spans="3:14">
      <c r="C5656" s="977"/>
      <c r="D5656" s="981"/>
      <c r="E5656" s="2676" t="s">
        <v>1557</v>
      </c>
      <c r="F5656" s="2391"/>
      <c r="G5656" s="2391"/>
      <c r="H5656" s="2391"/>
      <c r="I5656" s="2391"/>
      <c r="J5656" s="2391"/>
      <c r="K5656" s="2391"/>
      <c r="L5656" s="2391"/>
      <c r="M5656" s="2391"/>
      <c r="N5656" s="2650"/>
    </row>
    <row r="5657" spans="3:14">
      <c r="C5657" s="977"/>
      <c r="D5657" s="981"/>
      <c r="E5657" s="989"/>
      <c r="F5657" s="990"/>
      <c r="G5657" s="987" t="s">
        <v>884</v>
      </c>
      <c r="H5657" s="782">
        <v>2019</v>
      </c>
      <c r="I5657" s="988">
        <v>2020</v>
      </c>
      <c r="J5657" s="781">
        <v>2021</v>
      </c>
      <c r="K5657" s="782">
        <v>2022</v>
      </c>
      <c r="L5657" s="782">
        <v>2023</v>
      </c>
      <c r="M5657" s="782">
        <v>2024</v>
      </c>
      <c r="N5657" s="783">
        <v>2025</v>
      </c>
    </row>
    <row r="5658" spans="3:14">
      <c r="C5658" s="977"/>
      <c r="D5658" s="777" t="s">
        <v>790</v>
      </c>
      <c r="E5658" s="2471" t="s">
        <v>1306</v>
      </c>
      <c r="F5658" s="2472"/>
      <c r="G5658" s="67" t="str">
        <f>IFERROR(IF([1]F_ProductBM!G2952 = "", "", [1]F_ProductBM!G2952 ),"")</f>
        <v/>
      </c>
      <c r="H5658" s="94" t="str">
        <f>IFERROR(IF([1]F_ProductBM!H2952 = "", "", [1]F_ProductBM!H2952 ),"")</f>
        <v/>
      </c>
      <c r="I5658" s="110" t="str">
        <f>IFERROR(IF([1]F_ProductBM!I2952 = "", "", [1]F_ProductBM!I2952 ),"")</f>
        <v/>
      </c>
      <c r="J5658" s="111" t="str">
        <f>IFERROR(IF([1]F_ProductBM!J2952 = "", "", [1]F_ProductBM!J2952 ),"")</f>
        <v/>
      </c>
      <c r="K5658" s="94" t="str">
        <f>IFERROR(IF([1]F_ProductBM!K2952 = "", "", [1]F_ProductBM!K2952 ),"")</f>
        <v/>
      </c>
      <c r="L5658" s="94" t="str">
        <f>IFERROR(IF([1]F_ProductBM!L2952 = "", "", [1]F_ProductBM!L2952 ),"")</f>
        <v/>
      </c>
      <c r="M5658" s="94" t="str">
        <f>IFERROR(IF([1]F_ProductBM!M2952 = "", "", [1]F_ProductBM!M2952 ),"")</f>
        <v/>
      </c>
      <c r="N5658" s="112" t="str">
        <f>IFERROR(IF([1]F_ProductBM!N2952 = "", "", [1]F_ProductBM!N2952 ),"")</f>
        <v/>
      </c>
    </row>
    <row r="5659" spans="3:14">
      <c r="C5659" s="977"/>
      <c r="D5659" s="777" t="s">
        <v>791</v>
      </c>
      <c r="E5659" s="2473" t="s">
        <v>661</v>
      </c>
      <c r="F5659" s="2474"/>
      <c r="G5659" s="350" t="str">
        <f>IFERROR(IF([1]F_ProductBM!G2953 = "", "", [1]F_ProductBM!G2953 ),"")</f>
        <v>GJ / Unit</v>
      </c>
      <c r="H5659" s="95" t="str">
        <f>IFERROR(IF([1]F_ProductBM!H2953 = "", "", [1]F_ProductBM!H2953 ),"")</f>
        <v/>
      </c>
      <c r="I5659" s="113" t="str">
        <f>IFERROR(IF([1]F_ProductBM!I2953 = "", "", [1]F_ProductBM!I2953 ),"")</f>
        <v/>
      </c>
      <c r="J5659" s="114" t="str">
        <f>IFERROR(IF([1]F_ProductBM!J2953 = "", "", [1]F_ProductBM!J2953 ),"")</f>
        <v/>
      </c>
      <c r="K5659" s="95" t="str">
        <f>IFERROR(IF([1]F_ProductBM!K2953 = "", "", [1]F_ProductBM!K2953 ),"")</f>
        <v/>
      </c>
      <c r="L5659" s="95" t="str">
        <f>IFERROR(IF([1]F_ProductBM!L2953 = "", "", [1]F_ProductBM!L2953 ),"")</f>
        <v/>
      </c>
      <c r="M5659" s="95" t="str">
        <f>IFERROR(IF([1]F_ProductBM!M2953 = "", "", [1]F_ProductBM!M2953 ),"")</f>
        <v/>
      </c>
      <c r="N5659" s="115" t="str">
        <f>IFERROR(IF([1]F_ProductBM!N2953 = "", "", [1]F_ProductBM!N2953 ),"")</f>
        <v/>
      </c>
    </row>
    <row r="5660" spans="3:14">
      <c r="C5660" s="977"/>
      <c r="D5660" s="777" t="s">
        <v>64</v>
      </c>
      <c r="E5660" s="2475" t="s">
        <v>1309</v>
      </c>
      <c r="F5660" s="2410"/>
      <c r="G5660" s="815" t="s">
        <v>2017</v>
      </c>
      <c r="H5660" s="351" t="str">
        <f>IFERROR(IF([1]F_ProductBM!H2954 = "", "", [1]F_ProductBM!H2954 ),"")</f>
        <v/>
      </c>
      <c r="I5660" s="352" t="str">
        <f>IFERROR(IF([1]F_ProductBM!I2954 = "", "", [1]F_ProductBM!I2954 ),"")</f>
        <v/>
      </c>
      <c r="J5660" s="353" t="str">
        <f>IFERROR(IF([1]F_ProductBM!J2954 = "", "", [1]F_ProductBM!J2954 ),"")</f>
        <v/>
      </c>
      <c r="K5660" s="351" t="str">
        <f>IFERROR(IF([1]F_ProductBM!K2954 = "", "", [1]F_ProductBM!K2954 ),"")</f>
        <v/>
      </c>
      <c r="L5660" s="351" t="str">
        <f>IFERROR(IF([1]F_ProductBM!L2954 = "", "", [1]F_ProductBM!L2954 ),"")</f>
        <v/>
      </c>
      <c r="M5660" s="351" t="str">
        <f>IFERROR(IF([1]F_ProductBM!M2954 = "", "", [1]F_ProductBM!M2954 ),"")</f>
        <v/>
      </c>
      <c r="N5660" s="354" t="str">
        <f>IFERROR(IF([1]F_ProductBM!N2954 = "", "", [1]F_ProductBM!N2954 ),"")</f>
        <v/>
      </c>
    </row>
    <row r="5661" spans="3:14">
      <c r="C5661" s="977"/>
      <c r="D5661" s="777" t="s">
        <v>65</v>
      </c>
      <c r="E5661" s="2475" t="s">
        <v>1307</v>
      </c>
      <c r="F5661" s="2410"/>
      <c r="G5661" s="815" t="s">
        <v>2018</v>
      </c>
      <c r="H5661" s="93" t="str">
        <f>IFERROR(IF([1]F_ProductBM!H2955 = "", "", [1]F_ProductBM!H2955 ),"")</f>
        <v/>
      </c>
      <c r="I5661" s="116" t="str">
        <f>IFERROR(IF([1]F_ProductBM!I2955 = "", "", [1]F_ProductBM!I2955 ),"")</f>
        <v/>
      </c>
      <c r="J5661" s="117" t="str">
        <f>IFERROR(IF([1]F_ProductBM!J2955 = "", "", [1]F_ProductBM!J2955 ),"")</f>
        <v/>
      </c>
      <c r="K5661" s="93" t="str">
        <f>IFERROR(IF([1]F_ProductBM!K2955 = "", "", [1]F_ProductBM!K2955 ),"")</f>
        <v/>
      </c>
      <c r="L5661" s="93" t="str">
        <f>IFERROR(IF([1]F_ProductBM!L2955 = "", "", [1]F_ProductBM!L2955 ),"")</f>
        <v/>
      </c>
      <c r="M5661" s="93" t="str">
        <f>IFERROR(IF([1]F_ProductBM!M2955 = "", "", [1]F_ProductBM!M2955 ),"")</f>
        <v/>
      </c>
      <c r="N5661" s="118" t="str">
        <f>IFERROR(IF([1]F_ProductBM!N2955 = "", "", [1]F_ProductBM!N2955 ),"")</f>
        <v/>
      </c>
    </row>
    <row r="5662" spans="3:14">
      <c r="C5662" s="977"/>
      <c r="D5662" s="981"/>
      <c r="E5662" s="981"/>
      <c r="F5662" s="981"/>
      <c r="G5662" s="981"/>
      <c r="H5662" s="983"/>
      <c r="I5662" s="981"/>
      <c r="J5662" s="981"/>
      <c r="K5662" s="981"/>
      <c r="L5662" s="981"/>
      <c r="M5662" s="813"/>
      <c r="N5662" s="814"/>
    </row>
    <row r="5663" spans="3:14">
      <c r="C5663" s="977"/>
      <c r="D5663" s="777" t="s">
        <v>66</v>
      </c>
      <c r="E5663" s="2649" t="s">
        <v>1287</v>
      </c>
      <c r="F5663" s="2391"/>
      <c r="G5663" s="2391"/>
      <c r="H5663" s="2512"/>
      <c r="I5663" s="2683" t="str">
        <f>IFERROR(IF([1]F_ProductBM!I2957 = "", "", [1]F_ProductBM!I2957 ),"")</f>
        <v/>
      </c>
      <c r="J5663" s="2488"/>
      <c r="K5663" s="2488"/>
      <c r="L5663" s="2488"/>
      <c r="M5663" s="2686"/>
      <c r="N5663" s="979"/>
    </row>
    <row r="5664" spans="3:14">
      <c r="C5664" s="977"/>
      <c r="D5664" s="777"/>
      <c r="E5664" s="2669" t="s">
        <v>1476</v>
      </c>
      <c r="F5664" s="2391"/>
      <c r="G5664" s="2391"/>
      <c r="H5664" s="2391"/>
      <c r="I5664" s="2391"/>
      <c r="J5664" s="2391"/>
      <c r="K5664" s="2391"/>
      <c r="L5664" s="2391"/>
      <c r="M5664" s="2391"/>
      <c r="N5664" s="2650"/>
    </row>
    <row r="5665" spans="3:14">
      <c r="C5665" s="977"/>
      <c r="D5665" s="981"/>
      <c r="E5665" s="2669" t="s">
        <v>1558</v>
      </c>
      <c r="F5665" s="2391"/>
      <c r="G5665" s="2391"/>
      <c r="H5665" s="2391"/>
      <c r="I5665" s="2391"/>
      <c r="J5665" s="2391"/>
      <c r="K5665" s="2391"/>
      <c r="L5665" s="2391"/>
      <c r="M5665" s="2391"/>
      <c r="N5665" s="2650"/>
    </row>
    <row r="5666" spans="3:14">
      <c r="C5666" s="977"/>
      <c r="D5666" s="981"/>
      <c r="E5666" s="2676" t="s">
        <v>1559</v>
      </c>
      <c r="F5666" s="2391"/>
      <c r="G5666" s="2391"/>
      <c r="H5666" s="2391"/>
      <c r="I5666" s="2391"/>
      <c r="J5666" s="2391"/>
      <c r="K5666" s="2391"/>
      <c r="L5666" s="2391"/>
      <c r="M5666" s="2391"/>
      <c r="N5666" s="2650"/>
    </row>
    <row r="5667" spans="3:14">
      <c r="C5667" s="977"/>
      <c r="D5667" s="981"/>
      <c r="E5667" s="989"/>
      <c r="F5667" s="990"/>
      <c r="G5667" s="987" t="s">
        <v>884</v>
      </c>
      <c r="H5667" s="782">
        <v>2019</v>
      </c>
      <c r="I5667" s="988">
        <v>2020</v>
      </c>
      <c r="J5667" s="781">
        <v>2021</v>
      </c>
      <c r="K5667" s="782">
        <v>2022</v>
      </c>
      <c r="L5667" s="782">
        <v>2023</v>
      </c>
      <c r="M5667" s="782">
        <v>2024</v>
      </c>
      <c r="N5667" s="783">
        <v>2025</v>
      </c>
    </row>
    <row r="5668" spans="3:14">
      <c r="C5668" s="977"/>
      <c r="D5668" s="777" t="s">
        <v>1105</v>
      </c>
      <c r="E5668" s="2471" t="s">
        <v>1302</v>
      </c>
      <c r="F5668" s="2472"/>
      <c r="G5668" s="67" t="str">
        <f>IFERROR(IF([1]F_ProductBM!G2962 = "", "", [1]F_ProductBM!G2962 ),"")</f>
        <v/>
      </c>
      <c r="H5668" s="94" t="str">
        <f>IFERROR(IF([1]F_ProductBM!H2962 = "", "", [1]F_ProductBM!H2962 ),"")</f>
        <v/>
      </c>
      <c r="I5668" s="110" t="str">
        <f>IFERROR(IF([1]F_ProductBM!I2962 = "", "", [1]F_ProductBM!I2962 ),"")</f>
        <v/>
      </c>
      <c r="J5668" s="111" t="str">
        <f>IFERROR(IF([1]F_ProductBM!J2962 = "", "", [1]F_ProductBM!J2962 ),"")</f>
        <v/>
      </c>
      <c r="K5668" s="94" t="str">
        <f>IFERROR(IF([1]F_ProductBM!K2962 = "", "", [1]F_ProductBM!K2962 ),"")</f>
        <v/>
      </c>
      <c r="L5668" s="94" t="str">
        <f>IFERROR(IF([1]F_ProductBM!L2962 = "", "", [1]F_ProductBM!L2962 ),"")</f>
        <v/>
      </c>
      <c r="M5668" s="94" t="str">
        <f>IFERROR(IF([1]F_ProductBM!M2962 = "", "", [1]F_ProductBM!M2962 ),"")</f>
        <v/>
      </c>
      <c r="N5668" s="112" t="str">
        <f>IFERROR(IF([1]F_ProductBM!N2962 = "", "", [1]F_ProductBM!N2962 ),"")</f>
        <v/>
      </c>
    </row>
    <row r="5669" spans="3:14">
      <c r="C5669" s="977"/>
      <c r="D5669" s="777" t="s">
        <v>1106</v>
      </c>
      <c r="E5669" s="2473" t="s">
        <v>661</v>
      </c>
      <c r="F5669" s="2474"/>
      <c r="G5669" s="350" t="str">
        <f>IFERROR(IF([1]F_ProductBM!G2963 = "", "", [1]F_ProductBM!G2963 ),"")</f>
        <v>GJ / Unit</v>
      </c>
      <c r="H5669" s="95" t="str">
        <f>IFERROR(IF([1]F_ProductBM!H2963 = "", "", [1]F_ProductBM!H2963 ),"")</f>
        <v/>
      </c>
      <c r="I5669" s="113" t="str">
        <f>IFERROR(IF([1]F_ProductBM!I2963 = "", "", [1]F_ProductBM!I2963 ),"")</f>
        <v/>
      </c>
      <c r="J5669" s="114" t="str">
        <f>IFERROR(IF([1]F_ProductBM!J2963 = "", "", [1]F_ProductBM!J2963 ),"")</f>
        <v/>
      </c>
      <c r="K5669" s="95" t="str">
        <f>IFERROR(IF([1]F_ProductBM!K2963 = "", "", [1]F_ProductBM!K2963 ),"")</f>
        <v/>
      </c>
      <c r="L5669" s="95" t="str">
        <f>IFERROR(IF([1]F_ProductBM!L2963 = "", "", [1]F_ProductBM!L2963 ),"")</f>
        <v/>
      </c>
      <c r="M5669" s="95" t="str">
        <f>IFERROR(IF([1]F_ProductBM!M2963 = "", "", [1]F_ProductBM!M2963 ),"")</f>
        <v/>
      </c>
      <c r="N5669" s="115" t="str">
        <f>IFERROR(IF([1]F_ProductBM!N2963 = "", "", [1]F_ProductBM!N2963 ),"")</f>
        <v/>
      </c>
    </row>
    <row r="5670" spans="3:14">
      <c r="C5670" s="977"/>
      <c r="D5670" s="777" t="s">
        <v>1107</v>
      </c>
      <c r="E5670" s="2475" t="s">
        <v>1288</v>
      </c>
      <c r="F5670" s="2410"/>
      <c r="G5670" s="815" t="s">
        <v>2017</v>
      </c>
      <c r="H5670" s="351" t="str">
        <f>IFERROR(IF([1]F_ProductBM!H2964 = "", "", [1]F_ProductBM!H2964 ),"")</f>
        <v/>
      </c>
      <c r="I5670" s="352" t="str">
        <f>IFERROR(IF([1]F_ProductBM!I2964 = "", "", [1]F_ProductBM!I2964 ),"")</f>
        <v/>
      </c>
      <c r="J5670" s="353" t="str">
        <f>IFERROR(IF([1]F_ProductBM!J2964 = "", "", [1]F_ProductBM!J2964 ),"")</f>
        <v/>
      </c>
      <c r="K5670" s="351" t="str">
        <f>IFERROR(IF([1]F_ProductBM!K2964 = "", "", [1]F_ProductBM!K2964 ),"")</f>
        <v/>
      </c>
      <c r="L5670" s="351" t="str">
        <f>IFERROR(IF([1]F_ProductBM!L2964 = "", "", [1]F_ProductBM!L2964 ),"")</f>
        <v/>
      </c>
      <c r="M5670" s="351" t="str">
        <f>IFERROR(IF([1]F_ProductBM!M2964 = "", "", [1]F_ProductBM!M2964 ),"")</f>
        <v/>
      </c>
      <c r="N5670" s="354" t="str">
        <f>IFERROR(IF([1]F_ProductBM!N2964 = "", "", [1]F_ProductBM!N2964 ),"")</f>
        <v/>
      </c>
    </row>
    <row r="5671" spans="3:14">
      <c r="C5671" s="977"/>
      <c r="D5671" s="777" t="s">
        <v>1108</v>
      </c>
      <c r="E5671" s="2475" t="s">
        <v>1308</v>
      </c>
      <c r="F5671" s="2410"/>
      <c r="G5671" s="815" t="s">
        <v>2018</v>
      </c>
      <c r="H5671" s="93" t="str">
        <f>IFERROR(IF([1]F_ProductBM!H2965 = "", "", [1]F_ProductBM!H2965 ),"")</f>
        <v/>
      </c>
      <c r="I5671" s="116" t="str">
        <f>IFERROR(IF([1]F_ProductBM!I2965 = "", "", [1]F_ProductBM!I2965 ),"")</f>
        <v/>
      </c>
      <c r="J5671" s="117" t="str">
        <f>IFERROR(IF([1]F_ProductBM!J2965 = "", "", [1]F_ProductBM!J2965 ),"")</f>
        <v/>
      </c>
      <c r="K5671" s="93" t="str">
        <f>IFERROR(IF([1]F_ProductBM!K2965 = "", "", [1]F_ProductBM!K2965 ),"")</f>
        <v/>
      </c>
      <c r="L5671" s="93" t="str">
        <f>IFERROR(IF([1]F_ProductBM!L2965 = "", "", [1]F_ProductBM!L2965 ),"")</f>
        <v/>
      </c>
      <c r="M5671" s="93" t="str">
        <f>IFERROR(IF([1]F_ProductBM!M2965 = "", "", [1]F_ProductBM!M2965 ),"")</f>
        <v/>
      </c>
      <c r="N5671" s="118" t="str">
        <f>IFERROR(IF([1]F_ProductBM!N2965 = "", "", [1]F_ProductBM!N2965 ),"")</f>
        <v/>
      </c>
    </row>
    <row r="5672" spans="3:14">
      <c r="C5672" s="977"/>
      <c r="D5672" s="981"/>
      <c r="E5672" s="981"/>
      <c r="F5672" s="981"/>
      <c r="G5672" s="981"/>
      <c r="H5672" s="983"/>
      <c r="I5672" s="981"/>
      <c r="J5672" s="981"/>
      <c r="K5672" s="981"/>
      <c r="L5672" s="981"/>
      <c r="M5672" s="813"/>
      <c r="N5672" s="814"/>
    </row>
    <row r="5673" spans="3:14">
      <c r="C5673" s="977"/>
      <c r="D5673" s="981"/>
      <c r="E5673" s="2475" t="s">
        <v>1844</v>
      </c>
      <c r="F5673" s="2475"/>
      <c r="G5673" s="1009" t="s">
        <v>471</v>
      </c>
      <c r="H5673" s="62" t="str">
        <f>IFERROR(IF([1]F_ProductBM!H2967 = "", "", [1]F_ProductBM!H2967 ),"")</f>
        <v/>
      </c>
      <c r="I5673" s="65" t="str">
        <f>IFERROR(IF([1]F_ProductBM!I2967 = "", "", [1]F_ProductBM!I2967 ),"")</f>
        <v/>
      </c>
      <c r="J5673" s="69" t="str">
        <f>IFERROR(IF([1]F_ProductBM!J2967 = "", "", [1]F_ProductBM!J2967 ),"")</f>
        <v/>
      </c>
      <c r="K5673" s="62" t="str">
        <f>IFERROR(IF([1]F_ProductBM!K2967 = "", "", [1]F_ProductBM!K2967 ),"")</f>
        <v/>
      </c>
      <c r="L5673" s="62" t="str">
        <f>IFERROR(IF([1]F_ProductBM!L2967 = "", "", [1]F_ProductBM!L2967 ),"")</f>
        <v/>
      </c>
      <c r="M5673" s="62" t="str">
        <f>IFERROR(IF([1]F_ProductBM!M2967 = "", "", [1]F_ProductBM!M2967 ),"")</f>
        <v/>
      </c>
      <c r="N5673" s="62" t="str">
        <f>IFERROR(IF([1]F_ProductBM!N2967 = "", "", [1]F_ProductBM!N2967 ),"")</f>
        <v/>
      </c>
    </row>
    <row r="5674" spans="3:14" ht="13.5" thickBot="1">
      <c r="C5674" s="977"/>
      <c r="D5674" s="981"/>
      <c r="E5674" s="981"/>
      <c r="F5674" s="981"/>
      <c r="G5674" s="981"/>
      <c r="H5674" s="983"/>
      <c r="I5674" s="981"/>
      <c r="J5674" s="981"/>
      <c r="K5674" s="981"/>
      <c r="L5674" s="981"/>
      <c r="M5674" s="813"/>
      <c r="N5674" s="814"/>
    </row>
    <row r="5675" spans="3:14">
      <c r="C5675" s="977"/>
      <c r="D5675" s="1010"/>
      <c r="E5675" s="1011"/>
      <c r="F5675" s="1011"/>
      <c r="G5675" s="1011"/>
      <c r="H5675" s="1012"/>
      <c r="I5675" s="1011"/>
      <c r="J5675" s="1011"/>
      <c r="K5675" s="1011"/>
      <c r="L5675" s="1011"/>
      <c r="M5675" s="942"/>
      <c r="N5675" s="943"/>
    </row>
    <row r="5676" spans="3:14">
      <c r="C5676" s="977"/>
      <c r="D5676" s="907" t="s">
        <v>1917</v>
      </c>
      <c r="E5676" s="2713" t="s">
        <v>1773</v>
      </c>
      <c r="F5676" s="2493"/>
      <c r="G5676" s="2493"/>
      <c r="H5676" s="910" t="s">
        <v>884</v>
      </c>
      <c r="I5676" s="911" t="s">
        <v>2213</v>
      </c>
      <c r="J5676" s="912">
        <v>2021</v>
      </c>
      <c r="K5676" s="913">
        <v>2022</v>
      </c>
      <c r="L5676" s="913">
        <v>2023</v>
      </c>
      <c r="M5676" s="913">
        <v>2024</v>
      </c>
      <c r="N5676" s="914">
        <v>2025</v>
      </c>
    </row>
    <row r="5677" spans="3:14">
      <c r="C5677" s="977"/>
      <c r="D5677" s="915" t="s">
        <v>6</v>
      </c>
      <c r="E5677" s="2714" t="s">
        <v>1691</v>
      </c>
      <c r="F5677" s="2410"/>
      <c r="G5677" s="2410"/>
      <c r="H5677" s="944" t="s">
        <v>471</v>
      </c>
      <c r="I5677" s="281" t="str">
        <f>IFERROR(IF([1]F_ProductBM!I2971 = "", "", [1]F_ProductBM!I2971 ),"")</f>
        <v/>
      </c>
      <c r="J5677" s="334" t="str">
        <f>IFERROR(IF([1]F_ProductBM!J2971 = "", "", [1]F_ProductBM!J2971 ),"")</f>
        <v/>
      </c>
      <c r="K5677" s="335" t="str">
        <f>IFERROR(IF([1]F_ProductBM!K2971 = "", "", [1]F_ProductBM!K2971 ),"")</f>
        <v/>
      </c>
      <c r="L5677" s="335" t="str">
        <f>IFERROR(IF([1]F_ProductBM!L2971 = "", "", [1]F_ProductBM!L2971 ),"")</f>
        <v/>
      </c>
      <c r="M5677" s="335" t="str">
        <f>IFERROR(IF([1]F_ProductBM!M2971 = "", "", [1]F_ProductBM!M2971 ),"")</f>
        <v/>
      </c>
      <c r="N5677" s="336" t="str">
        <f>IFERROR(IF([1]F_ProductBM!N2971 = "", "", [1]F_ProductBM!N2971 ),"")</f>
        <v/>
      </c>
    </row>
    <row r="5678" spans="3:14">
      <c r="C5678" s="977"/>
      <c r="D5678" s="915"/>
      <c r="E5678" s="2714" t="s">
        <v>1776</v>
      </c>
      <c r="F5678" s="2410"/>
      <c r="G5678" s="2410"/>
      <c r="H5678" s="921"/>
      <c r="I5678" s="916"/>
      <c r="J5678" s="319" t="str">
        <f>IFERROR(IF([1]F_ProductBM!J2972 = "", "", [1]F_ProductBM!J2972 ),"")</f>
        <v/>
      </c>
      <c r="K5678" s="320" t="str">
        <f>IFERROR(IF([1]F_ProductBM!K2972 = "", "", [1]F_ProductBM!K2972 ),"")</f>
        <v/>
      </c>
      <c r="L5678" s="320" t="str">
        <f>IFERROR(IF([1]F_ProductBM!L2972 = "", "", [1]F_ProductBM!L2972 ),"")</f>
        <v/>
      </c>
      <c r="M5678" s="320" t="str">
        <f>IFERROR(IF([1]F_ProductBM!M2972 = "", "", [1]F_ProductBM!M2972 ),"")</f>
        <v/>
      </c>
      <c r="N5678" s="321" t="str">
        <f>IFERROR(IF([1]F_ProductBM!N2972 = "", "", [1]F_ProductBM!N2972 ),"")</f>
        <v/>
      </c>
    </row>
    <row r="5679" spans="3:14">
      <c r="C5679" s="977"/>
      <c r="D5679" s="915" t="s">
        <v>7</v>
      </c>
      <c r="E5679" s="2714" t="s">
        <v>1654</v>
      </c>
      <c r="F5679" s="2410"/>
      <c r="G5679" s="2410"/>
      <c r="H5679" s="921"/>
      <c r="I5679" s="916"/>
      <c r="J5679" s="288" t="str">
        <f>IFERROR(IF([1]F_ProductBM!J2973 = "", "", [1]F_ProductBM!J2973 ),"")</f>
        <v/>
      </c>
      <c r="K5679" s="289" t="str">
        <f>IFERROR(IF([1]F_ProductBM!K2973 = "", "", [1]F_ProductBM!K2973 ),"")</f>
        <v/>
      </c>
      <c r="L5679" s="289" t="str">
        <f>IFERROR(IF([1]F_ProductBM!L2973 = "", "", [1]F_ProductBM!L2973 ),"")</f>
        <v/>
      </c>
      <c r="M5679" s="289" t="str">
        <f>IFERROR(IF([1]F_ProductBM!M2973 = "", "", [1]F_ProductBM!M2973 ),"")</f>
        <v/>
      </c>
      <c r="N5679" s="290" t="str">
        <f>IFERROR(IF([1]F_ProductBM!N2973 = "", "", [1]F_ProductBM!N2973 ),"")</f>
        <v/>
      </c>
    </row>
    <row r="5680" spans="3:14">
      <c r="C5680" s="977"/>
      <c r="D5680" s="915"/>
      <c r="E5680" s="2714" t="s">
        <v>1689</v>
      </c>
      <c r="F5680" s="2410"/>
      <c r="G5680" s="2410"/>
      <c r="H5680" s="944" t="s">
        <v>471</v>
      </c>
      <c r="I5680" s="281" t="str">
        <f>IFERROR(IF([1]F_ProductBM!I2974 = "", "", [1]F_ProductBM!I2974 ),"")</f>
        <v/>
      </c>
      <c r="J5680" s="282" t="str">
        <f>IFERROR(IF([1]F_ProductBM!J2974 = "", "", [1]F_ProductBM!J2974 ),"")</f>
        <v/>
      </c>
      <c r="K5680" s="283" t="str">
        <f>IFERROR(IF([1]F_ProductBM!K2974 = "", "", [1]F_ProductBM!K2974 ),"")</f>
        <v/>
      </c>
      <c r="L5680" s="283" t="str">
        <f>IFERROR(IF([1]F_ProductBM!L2974 = "", "", [1]F_ProductBM!L2974 ),"")</f>
        <v/>
      </c>
      <c r="M5680" s="283" t="str">
        <f>IFERROR(IF([1]F_ProductBM!M2974 = "", "", [1]F_ProductBM!M2974 ),"")</f>
        <v/>
      </c>
      <c r="N5680" s="284" t="str">
        <f>IFERROR(IF([1]F_ProductBM!N2974 = "", "", [1]F_ProductBM!N2974 ),"")</f>
        <v/>
      </c>
    </row>
    <row r="5681" spans="3:14">
      <c r="C5681" s="977"/>
      <c r="D5681" s="915"/>
      <c r="E5681" s="909"/>
      <c r="F5681" s="909"/>
      <c r="G5681" s="909"/>
      <c r="H5681" s="909"/>
      <c r="I5681" s="909"/>
      <c r="J5681" s="909"/>
      <c r="K5681" s="909"/>
      <c r="L5681" s="909"/>
      <c r="M5681" s="909"/>
      <c r="N5681" s="922"/>
    </row>
    <row r="5682" spans="3:14">
      <c r="C5682" s="977"/>
      <c r="D5682" s="915"/>
      <c r="E5682" s="2713" t="s">
        <v>1653</v>
      </c>
      <c r="F5682" s="2493"/>
      <c r="G5682" s="2493"/>
      <c r="H5682" s="2493"/>
      <c r="I5682" s="2708"/>
      <c r="J5682" s="912">
        <v>2021</v>
      </c>
      <c r="K5682" s="913">
        <v>2022</v>
      </c>
      <c r="L5682" s="913">
        <v>2023</v>
      </c>
      <c r="M5682" s="913">
        <v>2024</v>
      </c>
      <c r="N5682" s="914">
        <v>2025</v>
      </c>
    </row>
    <row r="5683" spans="3:14">
      <c r="C5683" s="977"/>
      <c r="D5683" s="915" t="s">
        <v>8</v>
      </c>
      <c r="E5683" s="2714" t="s">
        <v>2108</v>
      </c>
      <c r="F5683" s="2410"/>
      <c r="G5683" s="2410"/>
      <c r="H5683" s="2410"/>
      <c r="I5683" s="2715"/>
      <c r="J5683" s="69" t="str">
        <f>IFERROR(IF([1]F_ProductBM!J2977 = "", "", [1]F_ProductBM!J2977 ),"")</f>
        <v/>
      </c>
      <c r="K5683" s="62" t="str">
        <f>IFERROR(IF([1]F_ProductBM!K2977 = "", "", [1]F_ProductBM!K2977 ),"")</f>
        <v/>
      </c>
      <c r="L5683" s="62" t="str">
        <f>IFERROR(IF([1]F_ProductBM!L2977 = "", "", [1]F_ProductBM!L2977 ),"")</f>
        <v/>
      </c>
      <c r="M5683" s="62" t="str">
        <f>IFERROR(IF([1]F_ProductBM!M2977 = "", "", [1]F_ProductBM!M2977 ),"")</f>
        <v/>
      </c>
      <c r="N5683" s="70" t="str">
        <f>IFERROR(IF([1]F_ProductBM!N2977 = "", "", [1]F_ProductBM!N2977 ),"")</f>
        <v/>
      </c>
    </row>
    <row r="5684" spans="3:14" ht="13.5" thickBot="1">
      <c r="C5684" s="977"/>
      <c r="D5684" s="915"/>
      <c r="E5684" s="909"/>
      <c r="F5684" s="909"/>
      <c r="G5684" s="909"/>
      <c r="H5684" s="909"/>
      <c r="I5684" s="909"/>
      <c r="J5684" s="909"/>
      <c r="K5684" s="909"/>
      <c r="L5684" s="909"/>
      <c r="M5684" s="909"/>
      <c r="N5684" s="922"/>
    </row>
    <row r="5685" spans="3:14" ht="13.5" thickBot="1">
      <c r="C5685" s="977"/>
      <c r="D5685" s="915" t="s">
        <v>18</v>
      </c>
      <c r="E5685" s="2714" t="s">
        <v>1657</v>
      </c>
      <c r="F5685" s="2410"/>
      <c r="G5685" s="2410"/>
      <c r="H5685" s="2410"/>
      <c r="I5685" s="2715"/>
      <c r="J5685" s="291" t="str">
        <f>IFERROR(IF([1]F_ProductBM!J2979 = "", "", [1]F_ProductBM!J2979 ),"")</f>
        <v/>
      </c>
      <c r="K5685" s="292" t="str">
        <f>IFERROR(IF([1]F_ProductBM!K2979 = "", "", [1]F_ProductBM!K2979 ),"")</f>
        <v/>
      </c>
      <c r="L5685" s="292" t="str">
        <f>IFERROR(IF([1]F_ProductBM!L2979 = "", "", [1]F_ProductBM!L2979 ),"")</f>
        <v/>
      </c>
      <c r="M5685" s="292" t="str">
        <f>IFERROR(IF([1]F_ProductBM!M2979 = "", "", [1]F_ProductBM!M2979 ),"")</f>
        <v/>
      </c>
      <c r="N5685" s="293" t="str">
        <f>IFERROR(IF([1]F_ProductBM!N2979 = "", "", [1]F_ProductBM!N2979 ),"")</f>
        <v/>
      </c>
    </row>
    <row r="5686" spans="3:14" ht="13.5" thickBot="1">
      <c r="C5686" s="977"/>
      <c r="D5686" s="915" t="s">
        <v>787</v>
      </c>
      <c r="E5686" s="2714" t="s">
        <v>1659</v>
      </c>
      <c r="F5686" s="2410"/>
      <c r="G5686" s="2410"/>
      <c r="H5686" s="944" t="s">
        <v>471</v>
      </c>
      <c r="I5686" s="281" t="str">
        <f>IFERROR(IF([1]F_ProductBM!I2980 = "", "", [1]F_ProductBM!I2980 ),"")</f>
        <v/>
      </c>
      <c r="J5686" s="294" t="str">
        <f>IFERROR(IF([1]F_ProductBM!J2980 = "", "", [1]F_ProductBM!J2980 ),"")</f>
        <v/>
      </c>
      <c r="K5686" s="295" t="str">
        <f>IFERROR(IF([1]F_ProductBM!K2980 = "", "", [1]F_ProductBM!K2980 ),"")</f>
        <v/>
      </c>
      <c r="L5686" s="295" t="str">
        <f>IFERROR(IF([1]F_ProductBM!L2980 = "", "", [1]F_ProductBM!L2980 ),"")</f>
        <v/>
      </c>
      <c r="M5686" s="295" t="str">
        <f>IFERROR(IF([1]F_ProductBM!M2980 = "", "", [1]F_ProductBM!M2980 ),"")</f>
        <v/>
      </c>
      <c r="N5686" s="296" t="str">
        <f>IFERROR(IF([1]F_ProductBM!N2980 = "", "", [1]F_ProductBM!N2980 ),"")</f>
        <v/>
      </c>
    </row>
    <row r="5687" spans="3:14" ht="13.5" thickBot="1">
      <c r="C5687" s="977"/>
      <c r="D5687" s="946"/>
      <c r="E5687" s="947"/>
      <c r="F5687" s="947"/>
      <c r="G5687" s="947"/>
      <c r="H5687" s="1014"/>
      <c r="I5687" s="947"/>
      <c r="J5687" s="947"/>
      <c r="K5687" s="947"/>
      <c r="L5687" s="947"/>
      <c r="M5687" s="925"/>
      <c r="N5687" s="926"/>
    </row>
    <row r="5688" spans="3:14">
      <c r="C5688" s="977"/>
      <c r="D5688" s="981"/>
      <c r="E5688" s="981"/>
      <c r="F5688" s="981"/>
      <c r="G5688" s="981"/>
      <c r="H5688" s="983"/>
      <c r="I5688" s="981"/>
      <c r="J5688" s="981"/>
      <c r="K5688" s="981"/>
      <c r="L5688" s="981"/>
      <c r="M5688" s="813"/>
      <c r="N5688" s="814"/>
    </row>
    <row r="5689" spans="3:14">
      <c r="C5689" s="977"/>
      <c r="D5689" s="777" t="s">
        <v>1109</v>
      </c>
      <c r="E5689" s="2649" t="s">
        <v>1218</v>
      </c>
      <c r="F5689" s="2391"/>
      <c r="G5689" s="2391"/>
      <c r="H5689" s="2512"/>
      <c r="I5689" s="2683" t="str">
        <f>IFERROR(IF([1]F_ProductBM!I2983 = "", "", [1]F_ProductBM!I2983 ),"")</f>
        <v/>
      </c>
      <c r="J5689" s="2488"/>
      <c r="K5689" s="2488"/>
      <c r="L5689" s="2488"/>
      <c r="M5689" s="2686"/>
      <c r="N5689" s="814"/>
    </row>
    <row r="5690" spans="3:14">
      <c r="C5690" s="977"/>
      <c r="D5690" s="777"/>
      <c r="E5690" s="2676" t="s">
        <v>2298</v>
      </c>
      <c r="F5690" s="2391"/>
      <c r="G5690" s="2391"/>
      <c r="H5690" s="2391"/>
      <c r="I5690" s="2391"/>
      <c r="J5690" s="2391"/>
      <c r="K5690" s="2391"/>
      <c r="L5690" s="2391"/>
      <c r="M5690" s="2391"/>
      <c r="N5690" s="2650"/>
    </row>
    <row r="5691" spans="3:14">
      <c r="C5691" s="977"/>
      <c r="D5691" s="777"/>
      <c r="E5691" s="2669" t="s">
        <v>1560</v>
      </c>
      <c r="F5691" s="2391"/>
      <c r="G5691" s="2391"/>
      <c r="H5691" s="2391"/>
      <c r="I5691" s="2391"/>
      <c r="J5691" s="2391"/>
      <c r="K5691" s="2391"/>
      <c r="L5691" s="2391"/>
      <c r="M5691" s="2391"/>
      <c r="N5691" s="2650"/>
    </row>
    <row r="5692" spans="3:14">
      <c r="C5692" s="977"/>
      <c r="D5692" s="981"/>
      <c r="E5692" s="989"/>
      <c r="F5692" s="990"/>
      <c r="G5692" s="987" t="s">
        <v>884</v>
      </c>
      <c r="H5692" s="782">
        <v>2019</v>
      </c>
      <c r="I5692" s="988">
        <v>2020</v>
      </c>
      <c r="J5692" s="781">
        <v>2021</v>
      </c>
      <c r="K5692" s="782">
        <v>2022</v>
      </c>
      <c r="L5692" s="782">
        <v>2023</v>
      </c>
      <c r="M5692" s="782">
        <v>2024</v>
      </c>
      <c r="N5692" s="783">
        <v>2025</v>
      </c>
    </row>
    <row r="5693" spans="3:14">
      <c r="C5693" s="977"/>
      <c r="D5693" s="777" t="s">
        <v>1110</v>
      </c>
      <c r="E5693" s="2471" t="s">
        <v>1303</v>
      </c>
      <c r="F5693" s="2472"/>
      <c r="G5693" s="67" t="str">
        <f>IFERROR(IF([1]F_ProductBM!G2987 = "", "", [1]F_ProductBM!G2987 ),"")</f>
        <v/>
      </c>
      <c r="H5693" s="94" t="str">
        <f>IFERROR(IF([1]F_ProductBM!H2987 = "", "", [1]F_ProductBM!H2987 ),"")</f>
        <v/>
      </c>
      <c r="I5693" s="110" t="str">
        <f>IFERROR(IF([1]F_ProductBM!I2987 = "", "", [1]F_ProductBM!I2987 ),"")</f>
        <v/>
      </c>
      <c r="J5693" s="111" t="str">
        <f>IFERROR(IF([1]F_ProductBM!J2987 = "", "", [1]F_ProductBM!J2987 ),"")</f>
        <v/>
      </c>
      <c r="K5693" s="94" t="str">
        <f>IFERROR(IF([1]F_ProductBM!K2987 = "", "", [1]F_ProductBM!K2987 ),"")</f>
        <v/>
      </c>
      <c r="L5693" s="94" t="str">
        <f>IFERROR(IF([1]F_ProductBM!L2987 = "", "", [1]F_ProductBM!L2987 ),"")</f>
        <v/>
      </c>
      <c r="M5693" s="94" t="str">
        <f>IFERROR(IF([1]F_ProductBM!M2987 = "", "", [1]F_ProductBM!M2987 ),"")</f>
        <v/>
      </c>
      <c r="N5693" s="112" t="str">
        <f>IFERROR(IF([1]F_ProductBM!N2987 = "", "", [1]F_ProductBM!N2987 ),"")</f>
        <v/>
      </c>
    </row>
    <row r="5694" spans="3:14">
      <c r="C5694" s="977"/>
      <c r="D5694" s="777" t="s">
        <v>1111</v>
      </c>
      <c r="E5694" s="2473" t="s">
        <v>661</v>
      </c>
      <c r="F5694" s="2474"/>
      <c r="G5694" s="350" t="str">
        <f>IFERROR(IF([1]F_ProductBM!G2988 = "", "", [1]F_ProductBM!G2988 ),"")</f>
        <v>GJ / Unit</v>
      </c>
      <c r="H5694" s="95" t="str">
        <f>IFERROR(IF([1]F_ProductBM!H2988 = "", "", [1]F_ProductBM!H2988 ),"")</f>
        <v/>
      </c>
      <c r="I5694" s="113" t="str">
        <f>IFERROR(IF([1]F_ProductBM!I2988 = "", "", [1]F_ProductBM!I2988 ),"")</f>
        <v/>
      </c>
      <c r="J5694" s="114" t="str">
        <f>IFERROR(IF([1]F_ProductBM!J2988 = "", "", [1]F_ProductBM!J2988 ),"")</f>
        <v/>
      </c>
      <c r="K5694" s="95" t="str">
        <f>IFERROR(IF([1]F_ProductBM!K2988 = "", "", [1]F_ProductBM!K2988 ),"")</f>
        <v/>
      </c>
      <c r="L5694" s="95" t="str">
        <f>IFERROR(IF([1]F_ProductBM!L2988 = "", "", [1]F_ProductBM!L2988 ),"")</f>
        <v/>
      </c>
      <c r="M5694" s="95" t="str">
        <f>IFERROR(IF([1]F_ProductBM!M2988 = "", "", [1]F_ProductBM!M2988 ),"")</f>
        <v/>
      </c>
      <c r="N5694" s="115" t="str">
        <f>IFERROR(IF([1]F_ProductBM!N2988 = "", "", [1]F_ProductBM!N2988 ),"")</f>
        <v/>
      </c>
    </row>
    <row r="5695" spans="3:14">
      <c r="C5695" s="977"/>
      <c r="D5695" s="777" t="s">
        <v>1112</v>
      </c>
      <c r="E5695" s="2475" t="s">
        <v>1102</v>
      </c>
      <c r="F5695" s="2410"/>
      <c r="G5695" s="815" t="s">
        <v>2017</v>
      </c>
      <c r="H5695" s="93" t="str">
        <f>IFERROR(IF([1]F_ProductBM!H2989 = "", "", [1]F_ProductBM!H2989 ),"")</f>
        <v/>
      </c>
      <c r="I5695" s="116" t="str">
        <f>IFERROR(IF([1]F_ProductBM!I2989 = "", "", [1]F_ProductBM!I2989 ),"")</f>
        <v/>
      </c>
      <c r="J5695" s="117" t="str">
        <f>IFERROR(IF([1]F_ProductBM!J2989 = "", "", [1]F_ProductBM!J2989 ),"")</f>
        <v/>
      </c>
      <c r="K5695" s="93" t="str">
        <f>IFERROR(IF([1]F_ProductBM!K2989 = "", "", [1]F_ProductBM!K2989 ),"")</f>
        <v/>
      </c>
      <c r="L5695" s="93" t="str">
        <f>IFERROR(IF([1]F_ProductBM!L2989 = "", "", [1]F_ProductBM!L2989 ),"")</f>
        <v/>
      </c>
      <c r="M5695" s="93" t="str">
        <f>IFERROR(IF([1]F_ProductBM!M2989 = "", "", [1]F_ProductBM!M2989 ),"")</f>
        <v/>
      </c>
      <c r="N5695" s="118" t="str">
        <f>IFERROR(IF([1]F_ProductBM!N2989 = "", "", [1]F_ProductBM!N2989 ),"")</f>
        <v/>
      </c>
    </row>
    <row r="5696" spans="3:14">
      <c r="C5696" s="977"/>
      <c r="D5696" s="777" t="s">
        <v>1113</v>
      </c>
      <c r="E5696" s="2475" t="s">
        <v>1275</v>
      </c>
      <c r="F5696" s="2410"/>
      <c r="G5696" s="815" t="s">
        <v>2018</v>
      </c>
      <c r="H5696" s="93" t="str">
        <f>IFERROR(IF([1]F_ProductBM!H2990 = "", "", [1]F_ProductBM!H2990 ),"")</f>
        <v/>
      </c>
      <c r="I5696" s="116" t="str">
        <f>IFERROR(IF([1]F_ProductBM!I2990 = "", "", [1]F_ProductBM!I2990 ),"")</f>
        <v/>
      </c>
      <c r="J5696" s="117" t="str">
        <f>IFERROR(IF([1]F_ProductBM!J2990 = "", "", [1]F_ProductBM!J2990 ),"")</f>
        <v/>
      </c>
      <c r="K5696" s="93" t="str">
        <f>IFERROR(IF([1]F_ProductBM!K2990 = "", "", [1]F_ProductBM!K2990 ),"")</f>
        <v/>
      </c>
      <c r="L5696" s="93" t="str">
        <f>IFERROR(IF([1]F_ProductBM!L2990 = "", "", [1]F_ProductBM!L2990 ),"")</f>
        <v/>
      </c>
      <c r="M5696" s="93" t="str">
        <f>IFERROR(IF([1]F_ProductBM!M2990 = "", "", [1]F_ProductBM!M2990 ),"")</f>
        <v/>
      </c>
      <c r="N5696" s="118" t="str">
        <f>IFERROR(IF([1]F_ProductBM!N2990 = "", "", [1]F_ProductBM!N2990 ),"")</f>
        <v/>
      </c>
    </row>
    <row r="5697" spans="3:14">
      <c r="C5697" s="977"/>
      <c r="D5697" s="981"/>
      <c r="E5697" s="981"/>
      <c r="F5697" s="981"/>
      <c r="G5697" s="981"/>
      <c r="H5697" s="983"/>
      <c r="I5697" s="981"/>
      <c r="J5697" s="981"/>
      <c r="K5697" s="981"/>
      <c r="L5697" s="981"/>
      <c r="M5697" s="813"/>
      <c r="N5697" s="814"/>
    </row>
    <row r="5698" spans="3:14">
      <c r="C5698" s="977"/>
      <c r="D5698" s="777" t="s">
        <v>1114</v>
      </c>
      <c r="E5698" s="2649" t="s">
        <v>1217</v>
      </c>
      <c r="F5698" s="2391"/>
      <c r="G5698" s="2391"/>
      <c r="H5698" s="2512"/>
      <c r="I5698" s="2683" t="str">
        <f>IFERROR(IF([1]F_ProductBM!I2992 = "", "", [1]F_ProductBM!I2992 ),"")</f>
        <v/>
      </c>
      <c r="J5698" s="2488"/>
      <c r="K5698" s="2488"/>
      <c r="L5698" s="2488"/>
      <c r="M5698" s="2686"/>
      <c r="N5698" s="979"/>
    </row>
    <row r="5699" spans="3:14">
      <c r="C5699" s="977"/>
      <c r="D5699" s="777"/>
      <c r="E5699" s="2676" t="s">
        <v>2298</v>
      </c>
      <c r="F5699" s="2391"/>
      <c r="G5699" s="2391"/>
      <c r="H5699" s="2391"/>
      <c r="I5699" s="2391"/>
      <c r="J5699" s="2391"/>
      <c r="K5699" s="2391"/>
      <c r="L5699" s="2391"/>
      <c r="M5699" s="2391"/>
      <c r="N5699" s="2650"/>
    </row>
    <row r="5700" spans="3:14">
      <c r="C5700" s="977"/>
      <c r="D5700" s="777"/>
      <c r="E5700" s="2669" t="s">
        <v>1317</v>
      </c>
      <c r="F5700" s="2391"/>
      <c r="G5700" s="2391"/>
      <c r="H5700" s="2391"/>
      <c r="I5700" s="2391"/>
      <c r="J5700" s="2391"/>
      <c r="K5700" s="2391"/>
      <c r="L5700" s="2391"/>
      <c r="M5700" s="2391"/>
      <c r="N5700" s="2650"/>
    </row>
    <row r="5701" spans="3:14">
      <c r="C5701" s="977"/>
      <c r="D5701" s="981"/>
      <c r="E5701" s="989"/>
      <c r="F5701" s="990"/>
      <c r="G5701" s="987" t="s">
        <v>884</v>
      </c>
      <c r="H5701" s="782">
        <v>2019</v>
      </c>
      <c r="I5701" s="988">
        <v>2020</v>
      </c>
      <c r="J5701" s="781">
        <v>2021</v>
      </c>
      <c r="K5701" s="782">
        <v>2022</v>
      </c>
      <c r="L5701" s="782">
        <v>2023</v>
      </c>
      <c r="M5701" s="782">
        <v>2024</v>
      </c>
      <c r="N5701" s="783">
        <v>2025</v>
      </c>
    </row>
    <row r="5702" spans="3:14">
      <c r="C5702" s="977"/>
      <c r="D5702" s="777" t="s">
        <v>1115</v>
      </c>
      <c r="E5702" s="2471" t="s">
        <v>1304</v>
      </c>
      <c r="F5702" s="2472"/>
      <c r="G5702" s="67" t="str">
        <f>IFERROR(IF([1]F_ProductBM!G2996 = "", "", [1]F_ProductBM!G2996 ),"")</f>
        <v/>
      </c>
      <c r="H5702" s="94" t="str">
        <f>IFERROR(IF([1]F_ProductBM!H2996 = "", "", [1]F_ProductBM!H2996 ),"")</f>
        <v/>
      </c>
      <c r="I5702" s="110" t="str">
        <f>IFERROR(IF([1]F_ProductBM!I2996 = "", "", [1]F_ProductBM!I2996 ),"")</f>
        <v/>
      </c>
      <c r="J5702" s="111" t="str">
        <f>IFERROR(IF([1]F_ProductBM!J2996 = "", "", [1]F_ProductBM!J2996 ),"")</f>
        <v/>
      </c>
      <c r="K5702" s="94" t="str">
        <f>IFERROR(IF([1]F_ProductBM!K2996 = "", "", [1]F_ProductBM!K2996 ),"")</f>
        <v/>
      </c>
      <c r="L5702" s="94" t="str">
        <f>IFERROR(IF([1]F_ProductBM!L2996 = "", "", [1]F_ProductBM!L2996 ),"")</f>
        <v/>
      </c>
      <c r="M5702" s="94" t="str">
        <f>IFERROR(IF([1]F_ProductBM!M2996 = "", "", [1]F_ProductBM!M2996 ),"")</f>
        <v/>
      </c>
      <c r="N5702" s="112" t="str">
        <f>IFERROR(IF([1]F_ProductBM!N2996 = "", "", [1]F_ProductBM!N2996 ),"")</f>
        <v/>
      </c>
    </row>
    <row r="5703" spans="3:14">
      <c r="C5703" s="977"/>
      <c r="D5703" s="777" t="s">
        <v>1561</v>
      </c>
      <c r="E5703" s="2473" t="s">
        <v>661</v>
      </c>
      <c r="F5703" s="2474"/>
      <c r="G5703" s="350" t="str">
        <f>IFERROR(IF([1]F_ProductBM!G2997 = "", "", [1]F_ProductBM!G2997 ),"")</f>
        <v>GJ / Unit</v>
      </c>
      <c r="H5703" s="95" t="str">
        <f>IFERROR(IF([1]F_ProductBM!H2997 = "", "", [1]F_ProductBM!H2997 ),"")</f>
        <v/>
      </c>
      <c r="I5703" s="113" t="str">
        <f>IFERROR(IF([1]F_ProductBM!I2997 = "", "", [1]F_ProductBM!I2997 ),"")</f>
        <v/>
      </c>
      <c r="J5703" s="114" t="str">
        <f>IFERROR(IF([1]F_ProductBM!J2997 = "", "", [1]F_ProductBM!J2997 ),"")</f>
        <v/>
      </c>
      <c r="K5703" s="95" t="str">
        <f>IFERROR(IF([1]F_ProductBM!K2997 = "", "", [1]F_ProductBM!K2997 ),"")</f>
        <v/>
      </c>
      <c r="L5703" s="95" t="str">
        <f>IFERROR(IF([1]F_ProductBM!L2997 = "", "", [1]F_ProductBM!L2997 ),"")</f>
        <v/>
      </c>
      <c r="M5703" s="95" t="str">
        <f>IFERROR(IF([1]F_ProductBM!M2997 = "", "", [1]F_ProductBM!M2997 ),"")</f>
        <v/>
      </c>
      <c r="N5703" s="115" t="str">
        <f>IFERROR(IF([1]F_ProductBM!N2997 = "", "", [1]F_ProductBM!N2997 ),"")</f>
        <v/>
      </c>
    </row>
    <row r="5704" spans="3:14">
      <c r="C5704" s="977"/>
      <c r="D5704" s="777" t="s">
        <v>1599</v>
      </c>
      <c r="E5704" s="2475" t="s">
        <v>1080</v>
      </c>
      <c r="F5704" s="2410"/>
      <c r="G5704" s="815" t="s">
        <v>2017</v>
      </c>
      <c r="H5704" s="93" t="str">
        <f>IFERROR(IF([1]F_ProductBM!H2998 = "", "", [1]F_ProductBM!H2998 ),"")</f>
        <v/>
      </c>
      <c r="I5704" s="116" t="str">
        <f>IFERROR(IF([1]F_ProductBM!I2998 = "", "", [1]F_ProductBM!I2998 ),"")</f>
        <v/>
      </c>
      <c r="J5704" s="117" t="str">
        <f>IFERROR(IF([1]F_ProductBM!J2998 = "", "", [1]F_ProductBM!J2998 ),"")</f>
        <v/>
      </c>
      <c r="K5704" s="93" t="str">
        <f>IFERROR(IF([1]F_ProductBM!K2998 = "", "", [1]F_ProductBM!K2998 ),"")</f>
        <v/>
      </c>
      <c r="L5704" s="93" t="str">
        <f>IFERROR(IF([1]F_ProductBM!L2998 = "", "", [1]F_ProductBM!L2998 ),"")</f>
        <v/>
      </c>
      <c r="M5704" s="93" t="str">
        <f>IFERROR(IF([1]F_ProductBM!M2998 = "", "", [1]F_ProductBM!M2998 ),"")</f>
        <v/>
      </c>
      <c r="N5704" s="118" t="str">
        <f>IFERROR(IF([1]F_ProductBM!N2998 = "", "", [1]F_ProductBM!N2998 ),"")</f>
        <v/>
      </c>
    </row>
    <row r="5705" spans="3:14">
      <c r="C5705" s="977"/>
      <c r="D5705" s="777" t="s">
        <v>1600</v>
      </c>
      <c r="E5705" s="2475" t="s">
        <v>1276</v>
      </c>
      <c r="F5705" s="2410"/>
      <c r="G5705" s="815" t="s">
        <v>2018</v>
      </c>
      <c r="H5705" s="93" t="str">
        <f>IFERROR(IF([1]F_ProductBM!H2999 = "", "", [1]F_ProductBM!H2999 ),"")</f>
        <v/>
      </c>
      <c r="I5705" s="116" t="str">
        <f>IFERROR(IF([1]F_ProductBM!I2999 = "", "", [1]F_ProductBM!I2999 ),"")</f>
        <v/>
      </c>
      <c r="J5705" s="117" t="str">
        <f>IFERROR(IF([1]F_ProductBM!J2999 = "", "", [1]F_ProductBM!J2999 ),"")</f>
        <v/>
      </c>
      <c r="K5705" s="93" t="str">
        <f>IFERROR(IF([1]F_ProductBM!K2999 = "", "", [1]F_ProductBM!K2999 ),"")</f>
        <v/>
      </c>
      <c r="L5705" s="93" t="str">
        <f>IFERROR(IF([1]F_ProductBM!L2999 = "", "", [1]F_ProductBM!L2999 ),"")</f>
        <v/>
      </c>
      <c r="M5705" s="93" t="str">
        <f>IFERROR(IF([1]F_ProductBM!M2999 = "", "", [1]F_ProductBM!M2999 ),"")</f>
        <v/>
      </c>
      <c r="N5705" s="118" t="str">
        <f>IFERROR(IF([1]F_ProductBM!N2999 = "", "", [1]F_ProductBM!N2999 ),"")</f>
        <v/>
      </c>
    </row>
    <row r="5706" spans="3:14">
      <c r="C5706" s="977"/>
      <c r="D5706" s="981"/>
      <c r="E5706" s="981"/>
      <c r="F5706" s="981"/>
      <c r="G5706" s="981"/>
      <c r="H5706" s="981"/>
      <c r="I5706" s="983"/>
      <c r="J5706" s="981"/>
      <c r="K5706" s="981"/>
      <c r="L5706" s="981"/>
      <c r="M5706" s="981"/>
      <c r="N5706" s="814"/>
    </row>
    <row r="5707" spans="3:14">
      <c r="C5707" s="977"/>
      <c r="D5707" s="982" t="s">
        <v>482</v>
      </c>
      <c r="E5707" s="2649" t="s">
        <v>1127</v>
      </c>
      <c r="F5707" s="2391"/>
      <c r="G5707" s="2391"/>
      <c r="H5707" s="2391"/>
      <c r="I5707" s="2391"/>
      <c r="J5707" s="2391"/>
      <c r="K5707" s="2391"/>
      <c r="L5707" s="2391"/>
      <c r="M5707" s="2391"/>
      <c r="N5707" s="2650"/>
    </row>
    <row r="5708" spans="3:14">
      <c r="C5708" s="977"/>
      <c r="D5708" s="777"/>
      <c r="E5708" s="2676" t="s">
        <v>2299</v>
      </c>
      <c r="F5708" s="2391"/>
      <c r="G5708" s="2391"/>
      <c r="H5708" s="2391"/>
      <c r="I5708" s="2391"/>
      <c r="J5708" s="2391"/>
      <c r="K5708" s="2391"/>
      <c r="L5708" s="2391"/>
      <c r="M5708" s="2391"/>
      <c r="N5708" s="2650"/>
    </row>
    <row r="5709" spans="3:14" ht="23.45" customHeight="1">
      <c r="C5709" s="977"/>
      <c r="D5709" s="981"/>
      <c r="E5709" s="2669" t="s">
        <v>2710</v>
      </c>
      <c r="F5709" s="2391"/>
      <c r="G5709" s="2391"/>
      <c r="H5709" s="2391"/>
      <c r="I5709" s="2391"/>
      <c r="J5709" s="2391"/>
      <c r="K5709" s="2391"/>
      <c r="L5709" s="2391"/>
      <c r="M5709" s="2391"/>
      <c r="N5709" s="2650"/>
    </row>
    <row r="5710" spans="3:14">
      <c r="C5710" s="977"/>
      <c r="D5710" s="982"/>
      <c r="E5710" s="989"/>
      <c r="F5710" s="990"/>
      <c r="G5710" s="987" t="s">
        <v>884</v>
      </c>
      <c r="H5710" s="782">
        <v>2019</v>
      </c>
      <c r="I5710" s="988">
        <v>2020</v>
      </c>
      <c r="J5710" s="781">
        <v>2021</v>
      </c>
      <c r="K5710" s="782">
        <v>2022</v>
      </c>
      <c r="L5710" s="782">
        <v>2023</v>
      </c>
      <c r="M5710" s="782">
        <v>2024</v>
      </c>
      <c r="N5710" s="783">
        <v>2025</v>
      </c>
    </row>
    <row r="5711" spans="3:14">
      <c r="C5711" s="977"/>
      <c r="D5711" s="777"/>
      <c r="E5711" s="2475" t="s">
        <v>1354</v>
      </c>
      <c r="F5711" s="2410"/>
      <c r="G5711" s="815" t="s">
        <v>2021</v>
      </c>
      <c r="H5711" s="93" t="str">
        <f>IFERROR(IF([1]F_ProductBM!H3005 = "", "", [1]F_ProductBM!H3005 ),"")</f>
        <v/>
      </c>
      <c r="I5711" s="116" t="str">
        <f>IFERROR(IF([1]F_ProductBM!I3005 = "", "", [1]F_ProductBM!I3005 ),"")</f>
        <v/>
      </c>
      <c r="J5711" s="117" t="str">
        <f>IFERROR(IF([1]F_ProductBM!J3005 = "", "", [1]F_ProductBM!J3005 ),"")</f>
        <v/>
      </c>
      <c r="K5711" s="93" t="str">
        <f>IFERROR(IF([1]F_ProductBM!K3005 = "", "", [1]F_ProductBM!K3005 ),"")</f>
        <v/>
      </c>
      <c r="L5711" s="93" t="str">
        <f>IFERROR(IF([1]F_ProductBM!L3005 = "", "", [1]F_ProductBM!L3005 ),"")</f>
        <v/>
      </c>
      <c r="M5711" s="93" t="str">
        <f>IFERROR(IF([1]F_ProductBM!M3005 = "", "", [1]F_ProductBM!M3005 ),"")</f>
        <v/>
      </c>
      <c r="N5711" s="118" t="str">
        <f>IFERROR(IF([1]F_ProductBM!N3005 = "", "", [1]F_ProductBM!N3005 ),"")</f>
        <v/>
      </c>
    </row>
    <row r="5712" spans="3:14">
      <c r="C5712" s="977"/>
      <c r="D5712" s="981"/>
      <c r="E5712" s="981"/>
      <c r="F5712" s="981"/>
      <c r="G5712" s="981"/>
      <c r="H5712" s="981"/>
      <c r="I5712" s="983"/>
      <c r="J5712" s="981"/>
      <c r="K5712" s="981"/>
      <c r="L5712" s="981"/>
      <c r="M5712" s="981"/>
      <c r="N5712" s="814"/>
    </row>
    <row r="5713" spans="3:14">
      <c r="C5713" s="977"/>
      <c r="D5713" s="982" t="s">
        <v>245</v>
      </c>
      <c r="E5713" s="2649" t="s">
        <v>1157</v>
      </c>
      <c r="F5713" s="2391"/>
      <c r="G5713" s="2391"/>
      <c r="H5713" s="2391"/>
      <c r="I5713" s="2391"/>
      <c r="J5713" s="2391"/>
      <c r="K5713" s="2391"/>
      <c r="L5713" s="2391"/>
      <c r="M5713" s="2391"/>
      <c r="N5713" s="2650"/>
    </row>
    <row r="5714" spans="3:14">
      <c r="C5714" s="977"/>
      <c r="D5714" s="981"/>
      <c r="E5714" s="2669" t="s">
        <v>1264</v>
      </c>
      <c r="F5714" s="2391"/>
      <c r="G5714" s="2391"/>
      <c r="H5714" s="2391"/>
      <c r="I5714" s="2391"/>
      <c r="J5714" s="2391"/>
      <c r="K5714" s="2391"/>
      <c r="L5714" s="2391"/>
      <c r="M5714" s="2391"/>
      <c r="N5714" s="2650"/>
    </row>
    <row r="5715" spans="3:14">
      <c r="C5715" s="977"/>
      <c r="D5715" s="981"/>
      <c r="E5715" s="2669" t="s">
        <v>1563</v>
      </c>
      <c r="F5715" s="2391"/>
      <c r="G5715" s="2391"/>
      <c r="H5715" s="2391"/>
      <c r="I5715" s="2391"/>
      <c r="J5715" s="2391"/>
      <c r="K5715" s="2391"/>
      <c r="L5715" s="2391"/>
      <c r="M5715" s="2391"/>
      <c r="N5715" s="2650"/>
    </row>
    <row r="5716" spans="3:14">
      <c r="C5716" s="977"/>
      <c r="D5716" s="777"/>
      <c r="E5716" s="2707" t="s">
        <v>1598</v>
      </c>
      <c r="F5716" s="2493"/>
      <c r="G5716" s="2493"/>
      <c r="H5716" s="2493"/>
      <c r="I5716" s="2493"/>
      <c r="J5716" s="2493"/>
      <c r="K5716" s="2493"/>
      <c r="L5716" s="2493"/>
      <c r="M5716" s="2493"/>
      <c r="N5716" s="2708"/>
    </row>
    <row r="5717" spans="3:14">
      <c r="C5717" s="977"/>
      <c r="D5717" s="777"/>
      <c r="E5717" s="2487" t="str">
        <f>IFERROR(IF([1]F_ProductBM!E3011 = "", "", [1]F_ProductBM!E3011 ),"")</f>
        <v/>
      </c>
      <c r="F5717" s="2488"/>
      <c r="G5717" s="815" t="s">
        <v>1020</v>
      </c>
      <c r="H5717" s="93" t="str">
        <f>IFERROR(IF([1]F_ProductBM!H3011 = "", "", [1]F_ProductBM!H3011 ),"")</f>
        <v/>
      </c>
      <c r="I5717" s="116" t="str">
        <f>IFERROR(IF([1]F_ProductBM!I3011 = "", "", [1]F_ProductBM!I3011 ),"")</f>
        <v/>
      </c>
      <c r="J5717" s="117" t="str">
        <f>IFERROR(IF([1]F_ProductBM!J3011 = "", "", [1]F_ProductBM!J3011 ),"")</f>
        <v/>
      </c>
      <c r="K5717" s="93" t="str">
        <f>IFERROR(IF([1]F_ProductBM!K3011 = "", "", [1]F_ProductBM!K3011 ),"")</f>
        <v/>
      </c>
      <c r="L5717" s="93" t="str">
        <f>IFERROR(IF([1]F_ProductBM!L3011 = "", "", [1]F_ProductBM!L3011 ),"")</f>
        <v/>
      </c>
      <c r="M5717" s="93" t="str">
        <f>IFERROR(IF([1]F_ProductBM!M3011 = "", "", [1]F_ProductBM!M3011 ),"")</f>
        <v/>
      </c>
      <c r="N5717" s="118" t="str">
        <f>IFERROR(IF([1]F_ProductBM!N3011 = "", "", [1]F_ProductBM!N3011 ),"")</f>
        <v/>
      </c>
    </row>
    <row r="5718" spans="3:14">
      <c r="C5718" s="977"/>
      <c r="D5718" s="777"/>
      <c r="E5718" s="777"/>
      <c r="F5718" s="777"/>
      <c r="G5718" s="777"/>
      <c r="H5718" s="983"/>
      <c r="I5718" s="777"/>
      <c r="J5718" s="777"/>
      <c r="K5718" s="777"/>
      <c r="L5718" s="777"/>
      <c r="M5718" s="777"/>
      <c r="N5718" s="1007"/>
    </row>
    <row r="5719" spans="3:14">
      <c r="C5719" s="977"/>
      <c r="D5719" s="982" t="s">
        <v>832</v>
      </c>
      <c r="E5719" s="2649" t="s">
        <v>1142</v>
      </c>
      <c r="F5719" s="2391"/>
      <c r="G5719" s="2391"/>
      <c r="H5719" s="2391"/>
      <c r="I5719" s="2391"/>
      <c r="J5719" s="2391"/>
      <c r="K5719" s="2391"/>
      <c r="L5719" s="2391"/>
      <c r="M5719" s="2391"/>
      <c r="N5719" s="2650"/>
    </row>
    <row r="5720" spans="3:14">
      <c r="C5720" s="977"/>
      <c r="D5720" s="981"/>
      <c r="E5720" s="2669" t="s">
        <v>1366</v>
      </c>
      <c r="F5720" s="2391"/>
      <c r="G5720" s="2391"/>
      <c r="H5720" s="2391"/>
      <c r="I5720" s="2391"/>
      <c r="J5720" s="2391"/>
      <c r="K5720" s="2391"/>
      <c r="L5720" s="2391"/>
      <c r="M5720" s="2391"/>
      <c r="N5720" s="2650"/>
    </row>
    <row r="5721" spans="3:14">
      <c r="C5721" s="977"/>
      <c r="D5721" s="981"/>
      <c r="E5721" s="2676" t="s">
        <v>1610</v>
      </c>
      <c r="F5721" s="2391"/>
      <c r="G5721" s="2391"/>
      <c r="H5721" s="2391"/>
      <c r="I5721" s="2391"/>
      <c r="J5721" s="2391"/>
      <c r="K5721" s="2391"/>
      <c r="L5721" s="2391"/>
      <c r="M5721" s="2391"/>
      <c r="N5721" s="2650"/>
    </row>
    <row r="5722" spans="3:14">
      <c r="C5722" s="977"/>
      <c r="D5722" s="777" t="s">
        <v>6</v>
      </c>
      <c r="E5722" s="2682" t="s">
        <v>1145</v>
      </c>
      <c r="F5722" s="2391"/>
      <c r="G5722" s="2391"/>
      <c r="H5722" s="2391"/>
      <c r="I5722" s="2391"/>
      <c r="J5722" s="2391"/>
      <c r="K5722" s="2512"/>
      <c r="L5722" s="120" t="str">
        <f>IFERROR(IF([1]F_ProductBM!L3016 = "", "", [1]F_ProductBM!L3016 ),"")</f>
        <v/>
      </c>
      <c r="M5722" s="813"/>
      <c r="N5722" s="1015"/>
    </row>
    <row r="5723" spans="3:14">
      <c r="C5723" s="977"/>
      <c r="D5723" s="777"/>
      <c r="E5723" s="777"/>
      <c r="F5723" s="777"/>
      <c r="G5723" s="777"/>
      <c r="H5723" s="983"/>
      <c r="I5723" s="777"/>
      <c r="J5723" s="777"/>
      <c r="K5723" s="777"/>
      <c r="L5723" s="777"/>
      <c r="M5723" s="777"/>
      <c r="N5723" s="1007"/>
    </row>
    <row r="5724" spans="3:14">
      <c r="C5724" s="977"/>
      <c r="D5724" s="982"/>
      <c r="E5724" s="2648" t="s">
        <v>1144</v>
      </c>
      <c r="F5724" s="2493"/>
      <c r="G5724" s="778" t="s">
        <v>884</v>
      </c>
      <c r="H5724" s="782">
        <v>2019</v>
      </c>
      <c r="I5724" s="988">
        <v>2020</v>
      </c>
      <c r="J5724" s="781">
        <v>2021</v>
      </c>
      <c r="K5724" s="782">
        <v>2022</v>
      </c>
      <c r="L5724" s="782">
        <v>2023</v>
      </c>
      <c r="M5724" s="782">
        <v>2024</v>
      </c>
      <c r="N5724" s="783">
        <v>2025</v>
      </c>
    </row>
    <row r="5725" spans="3:14">
      <c r="C5725" s="977"/>
      <c r="D5725" s="777" t="s">
        <v>7</v>
      </c>
      <c r="E5725" s="2513" t="str">
        <f>IFERROR(IF([1]F_ProductBM!E3019 = "", "", [1]F_ProductBM!E3019 ),"")</f>
        <v/>
      </c>
      <c r="F5725" s="2705"/>
      <c r="G5725" s="355" t="str">
        <f>IFERROR(IF([1]F_ProductBM!G3019 = "", "", [1]F_ProductBM!G3019 ),"")</f>
        <v>tonnes</v>
      </c>
      <c r="H5725" s="371" t="str">
        <f>IFERROR(IF([1]F_ProductBM!H3019 = "", "", [1]F_ProductBM!H3019 ),"")</f>
        <v/>
      </c>
      <c r="I5725" s="372" t="str">
        <f>IFERROR(IF([1]F_ProductBM!I3019 = "", "", [1]F_ProductBM!I3019 ),"")</f>
        <v/>
      </c>
      <c r="J5725" s="373" t="str">
        <f>IFERROR(IF([1]F_ProductBM!J3019 = "", "", [1]F_ProductBM!J3019 ),"")</f>
        <v/>
      </c>
      <c r="K5725" s="371" t="str">
        <f>IFERROR(IF([1]F_ProductBM!K3019 = "", "", [1]F_ProductBM!K3019 ),"")</f>
        <v/>
      </c>
      <c r="L5725" s="371" t="str">
        <f>IFERROR(IF([1]F_ProductBM!L3019 = "", "", [1]F_ProductBM!L3019 ),"")</f>
        <v/>
      </c>
      <c r="M5725" s="371" t="str">
        <f>IFERROR(IF([1]F_ProductBM!M3019 = "", "", [1]F_ProductBM!M3019 ),"")</f>
        <v/>
      </c>
      <c r="N5725" s="374" t="str">
        <f>IFERROR(IF([1]F_ProductBM!N3019 = "", "", [1]F_ProductBM!N3019 ),"")</f>
        <v/>
      </c>
    </row>
    <row r="5726" spans="3:14">
      <c r="C5726" s="977"/>
      <c r="D5726" s="777" t="s">
        <v>8</v>
      </c>
      <c r="E5726" s="2520" t="str">
        <f>IFERROR(IF([1]F_ProductBM!E3020 = "", "", [1]F_ProductBM!E3020 ),"")</f>
        <v/>
      </c>
      <c r="F5726" s="2706"/>
      <c r="G5726" s="350" t="str">
        <f>IFERROR(IF([1]F_ProductBM!G3020 = "", "", [1]F_ProductBM!G3020 ),"")</f>
        <v>tonnes</v>
      </c>
      <c r="H5726" s="364" t="str">
        <f>IFERROR(IF([1]F_ProductBM!H3020 = "", "", [1]F_ProductBM!H3020 ),"")</f>
        <v/>
      </c>
      <c r="I5726" s="365" t="str">
        <f>IFERROR(IF([1]F_ProductBM!I3020 = "", "", [1]F_ProductBM!I3020 ),"")</f>
        <v/>
      </c>
      <c r="J5726" s="366" t="str">
        <f>IFERROR(IF([1]F_ProductBM!J3020 = "", "", [1]F_ProductBM!J3020 ),"")</f>
        <v/>
      </c>
      <c r="K5726" s="364" t="str">
        <f>IFERROR(IF([1]F_ProductBM!K3020 = "", "", [1]F_ProductBM!K3020 ),"")</f>
        <v/>
      </c>
      <c r="L5726" s="364" t="str">
        <f>IFERROR(IF([1]F_ProductBM!L3020 = "", "", [1]F_ProductBM!L3020 ),"")</f>
        <v/>
      </c>
      <c r="M5726" s="364" t="str">
        <f>IFERROR(IF([1]F_ProductBM!M3020 = "", "", [1]F_ProductBM!M3020 ),"")</f>
        <v/>
      </c>
      <c r="N5726" s="367" t="str">
        <f>IFERROR(IF([1]F_ProductBM!N3020 = "", "", [1]F_ProductBM!N3020 ),"")</f>
        <v/>
      </c>
    </row>
    <row r="5727" spans="3:14">
      <c r="C5727" s="977"/>
      <c r="D5727" s="777"/>
      <c r="E5727" s="777"/>
      <c r="F5727" s="777"/>
      <c r="G5727" s="777"/>
      <c r="H5727" s="777"/>
      <c r="I5727" s="777"/>
      <c r="J5727" s="777"/>
      <c r="K5727" s="777"/>
      <c r="L5727" s="777"/>
      <c r="M5727" s="777"/>
      <c r="N5727" s="810"/>
    </row>
    <row r="5728" spans="3:14">
      <c r="C5728" s="977"/>
      <c r="D5728" s="982"/>
      <c r="E5728" s="2648" t="s">
        <v>1143</v>
      </c>
      <c r="F5728" s="2493"/>
      <c r="G5728" s="778" t="s">
        <v>884</v>
      </c>
      <c r="H5728" s="782">
        <v>2019</v>
      </c>
      <c r="I5728" s="988">
        <v>2020</v>
      </c>
      <c r="J5728" s="781">
        <v>2021</v>
      </c>
      <c r="K5728" s="782">
        <v>2022</v>
      </c>
      <c r="L5728" s="782">
        <v>2023</v>
      </c>
      <c r="M5728" s="782">
        <v>2024</v>
      </c>
      <c r="N5728" s="783">
        <v>2025</v>
      </c>
    </row>
    <row r="5729" spans="3:14">
      <c r="C5729" s="977"/>
      <c r="D5729" s="777" t="s">
        <v>18</v>
      </c>
      <c r="E5729" s="2513" t="str">
        <f>IFERROR(IF([1]F_ProductBM!E3023 = "", "", [1]F_ProductBM!E3023 ),"")</f>
        <v/>
      </c>
      <c r="F5729" s="2705"/>
      <c r="G5729" s="355" t="str">
        <f>IFERROR(IF([1]F_ProductBM!G3023 = "", "", [1]F_ProductBM!G3023 ),"")</f>
        <v>tonnes</v>
      </c>
      <c r="H5729" s="371" t="str">
        <f>IFERROR(IF([1]F_ProductBM!H3023 = "", "", [1]F_ProductBM!H3023 ),"")</f>
        <v/>
      </c>
      <c r="I5729" s="372" t="str">
        <f>IFERROR(IF([1]F_ProductBM!I3023 = "", "", [1]F_ProductBM!I3023 ),"")</f>
        <v/>
      </c>
      <c r="J5729" s="373" t="str">
        <f>IFERROR(IF([1]F_ProductBM!J3023 = "", "", [1]F_ProductBM!J3023 ),"")</f>
        <v/>
      </c>
      <c r="K5729" s="371" t="str">
        <f>IFERROR(IF([1]F_ProductBM!K3023 = "", "", [1]F_ProductBM!K3023 ),"")</f>
        <v/>
      </c>
      <c r="L5729" s="371" t="str">
        <f>IFERROR(IF([1]F_ProductBM!L3023 = "", "", [1]F_ProductBM!L3023 ),"")</f>
        <v/>
      </c>
      <c r="M5729" s="371" t="str">
        <f>IFERROR(IF([1]F_ProductBM!M3023 = "", "", [1]F_ProductBM!M3023 ),"")</f>
        <v/>
      </c>
      <c r="N5729" s="374" t="str">
        <f>IFERROR(IF([1]F_ProductBM!N3023 = "", "", [1]F_ProductBM!N3023 ),"")</f>
        <v/>
      </c>
    </row>
    <row r="5730" spans="3:14">
      <c r="C5730" s="977"/>
      <c r="D5730" s="777" t="s">
        <v>787</v>
      </c>
      <c r="E5730" s="2520" t="str">
        <f>IFERROR(IF([1]F_ProductBM!E3024 = "", "", [1]F_ProductBM!E3024 ),"")</f>
        <v/>
      </c>
      <c r="F5730" s="2706"/>
      <c r="G5730" s="350" t="str">
        <f>IFERROR(IF([1]F_ProductBM!G3024 = "", "", [1]F_ProductBM!G3024 ),"")</f>
        <v>tonnes</v>
      </c>
      <c r="H5730" s="364" t="str">
        <f>IFERROR(IF([1]F_ProductBM!H3024 = "", "", [1]F_ProductBM!H3024 ),"")</f>
        <v/>
      </c>
      <c r="I5730" s="365" t="str">
        <f>IFERROR(IF([1]F_ProductBM!I3024 = "", "", [1]F_ProductBM!I3024 ),"")</f>
        <v/>
      </c>
      <c r="J5730" s="366" t="str">
        <f>IFERROR(IF([1]F_ProductBM!J3024 = "", "", [1]F_ProductBM!J3024 ),"")</f>
        <v/>
      </c>
      <c r="K5730" s="364" t="str">
        <f>IFERROR(IF([1]F_ProductBM!K3024 = "", "", [1]F_ProductBM!K3024 ),"")</f>
        <v/>
      </c>
      <c r="L5730" s="364" t="str">
        <f>IFERROR(IF([1]F_ProductBM!L3024 = "", "", [1]F_ProductBM!L3024 ),"")</f>
        <v/>
      </c>
      <c r="M5730" s="364" t="str">
        <f>IFERROR(IF([1]F_ProductBM!M3024 = "", "", [1]F_ProductBM!M3024 ),"")</f>
        <v/>
      </c>
      <c r="N5730" s="367" t="str">
        <f>IFERROR(IF([1]F_ProductBM!N3024 = "", "", [1]F_ProductBM!N3024 ),"")</f>
        <v/>
      </c>
    </row>
    <row r="5731" spans="3:14">
      <c r="C5731" s="977"/>
      <c r="D5731" s="777"/>
      <c r="E5731" s="777"/>
      <c r="F5731" s="777"/>
      <c r="G5731" s="777"/>
      <c r="H5731" s="777"/>
      <c r="I5731" s="777"/>
      <c r="J5731" s="777"/>
      <c r="K5731" s="777"/>
      <c r="L5731" s="777"/>
      <c r="M5731" s="777"/>
      <c r="N5731" s="1007"/>
    </row>
    <row r="5732" spans="3:14">
      <c r="C5732" s="977"/>
      <c r="D5732" s="777" t="s">
        <v>788</v>
      </c>
      <c r="E5732" s="813" t="s">
        <v>1146</v>
      </c>
      <c r="F5732" s="813"/>
      <c r="G5732" s="813"/>
      <c r="H5732" s="813"/>
      <c r="I5732" s="813"/>
      <c r="J5732" s="813"/>
      <c r="K5732" s="813"/>
      <c r="L5732" s="813"/>
      <c r="M5732" s="813"/>
      <c r="N5732" s="1007"/>
    </row>
    <row r="5733" spans="3:14">
      <c r="C5733" s="977"/>
      <c r="D5733" s="777"/>
      <c r="E5733" s="1017" t="s">
        <v>1459</v>
      </c>
      <c r="F5733" s="978"/>
      <c r="G5733" s="978"/>
      <c r="H5733" s="978"/>
      <c r="I5733" s="978"/>
      <c r="J5733" s="978"/>
      <c r="K5733" s="978"/>
      <c r="L5733" s="978"/>
      <c r="M5733" s="978"/>
      <c r="N5733" s="979"/>
    </row>
    <row r="5734" spans="3:14">
      <c r="C5734" s="977"/>
      <c r="D5734" s="777"/>
      <c r="E5734" s="2699" t="str">
        <f>IFERROR(IF([1]F_ProductBM!E3028 = "", "", [1]F_ProductBM!E3028 ),"")</f>
        <v/>
      </c>
      <c r="F5734" s="2700"/>
      <c r="G5734" s="2700"/>
      <c r="H5734" s="2700"/>
      <c r="I5734" s="2700"/>
      <c r="J5734" s="2700"/>
      <c r="K5734" s="2700"/>
      <c r="L5734" s="2700"/>
      <c r="M5734" s="2701"/>
      <c r="N5734" s="1007"/>
    </row>
    <row r="5735" spans="3:14">
      <c r="C5735" s="977"/>
      <c r="D5735" s="777"/>
      <c r="E5735" s="2702"/>
      <c r="F5735" s="2703"/>
      <c r="G5735" s="2703"/>
      <c r="H5735" s="2703"/>
      <c r="I5735" s="2703"/>
      <c r="J5735" s="2703"/>
      <c r="K5735" s="2703"/>
      <c r="L5735" s="2703"/>
      <c r="M5735" s="2704"/>
      <c r="N5735" s="1007"/>
    </row>
    <row r="5736" spans="3:14" ht="13.5" thickBot="1">
      <c r="C5736" s="1018"/>
      <c r="D5736" s="1019"/>
      <c r="E5736" s="1019"/>
      <c r="F5736" s="1019"/>
      <c r="G5736" s="1019"/>
      <c r="H5736" s="1019"/>
      <c r="I5736" s="1019"/>
      <c r="J5736" s="1019"/>
      <c r="K5736" s="1019"/>
      <c r="L5736" s="1019"/>
      <c r="M5736" s="805"/>
      <c r="N5736" s="806"/>
    </row>
    <row r="5737" spans="3:14" ht="13.5" thickBot="1"/>
    <row r="5738" spans="3:14" ht="13.5" thickTop="1">
      <c r="C5738" s="861"/>
      <c r="D5738" s="861"/>
      <c r="E5738" s="861"/>
      <c r="F5738" s="861"/>
      <c r="G5738" s="861"/>
      <c r="H5738" s="861"/>
      <c r="I5738" s="861"/>
      <c r="J5738" s="861"/>
      <c r="K5738" s="861"/>
      <c r="L5738" s="861"/>
      <c r="M5738" s="861"/>
      <c r="N5738" s="861"/>
    </row>
    <row r="5739" spans="3:14" ht="18">
      <c r="C5739" s="2656" t="s">
        <v>2169</v>
      </c>
      <c r="D5739" s="2656"/>
      <c r="E5739" s="2656"/>
      <c r="F5739" s="2656"/>
      <c r="G5739" s="2656"/>
      <c r="H5739" s="2656"/>
      <c r="I5739" s="2656"/>
      <c r="J5739" s="2656"/>
      <c r="K5739" s="2656"/>
      <c r="L5739" s="2656"/>
      <c r="M5739" s="2656"/>
      <c r="N5739" s="2656"/>
    </row>
    <row r="5740" spans="3:14"/>
    <row r="5741" spans="3:14" ht="15.75">
      <c r="C5741" s="507" t="s">
        <v>1018</v>
      </c>
      <c r="D5741" s="2408" t="s">
        <v>996</v>
      </c>
      <c r="E5741" s="2408"/>
      <c r="F5741" s="2408"/>
      <c r="G5741" s="2408"/>
      <c r="H5741" s="2408"/>
      <c r="I5741" s="2408"/>
      <c r="J5741" s="2408"/>
      <c r="K5741" s="2408"/>
      <c r="L5741" s="2408"/>
      <c r="M5741" s="2408"/>
      <c r="N5741" s="2408"/>
    </row>
    <row r="5742" spans="3:14" ht="13.5" thickBot="1">
      <c r="C5742" s="467"/>
      <c r="D5742" s="467"/>
      <c r="E5742" s="467"/>
      <c r="F5742" s="467"/>
      <c r="G5742" s="467"/>
      <c r="H5742" s="467"/>
      <c r="I5742" s="467"/>
      <c r="J5742" s="467"/>
      <c r="K5742" s="467"/>
      <c r="L5742" s="467"/>
      <c r="M5742" s="481"/>
      <c r="N5742" s="481"/>
    </row>
    <row r="5743" spans="3:14" ht="15.75" thickBot="1">
      <c r="C5743" s="559">
        <v>1</v>
      </c>
      <c r="D5743" s="2482" t="s">
        <v>2170</v>
      </c>
      <c r="E5743" s="2400"/>
      <c r="F5743" s="2400"/>
      <c r="G5743" s="2400"/>
      <c r="H5743" s="2585"/>
      <c r="I5743" s="2489" t="str">
        <f>IFERROR(IF('[1]G_Fall-back'!I12 = "", "", '[1]G_Fall-back'!I12 ),"")</f>
        <v>Heat benchmark sub-installation, CL</v>
      </c>
      <c r="J5743" s="2534"/>
      <c r="K5743" s="2534"/>
      <c r="L5743" s="2681"/>
      <c r="M5743" s="2476" t="str">
        <f>IFERROR(IF('[1]G_Fall-back'!M12 = "", "", '[1]G_Fall-back'!M12 ),"")</f>
        <v/>
      </c>
      <c r="N5743" s="2477"/>
    </row>
    <row r="5744" spans="3:14">
      <c r="C5744" s="485"/>
      <c r="D5744" s="485"/>
      <c r="E5744" s="485"/>
      <c r="F5744" s="485"/>
      <c r="G5744" s="485"/>
      <c r="H5744" s="484"/>
      <c r="I5744" s="2716" t="s">
        <v>111</v>
      </c>
      <c r="J5744" s="2717"/>
      <c r="K5744" s="2717"/>
      <c r="L5744" s="2717"/>
      <c r="M5744" s="2718"/>
      <c r="N5744" s="2719"/>
    </row>
    <row r="5745" spans="3:14">
      <c r="C5745" s="467"/>
      <c r="D5745" s="485"/>
      <c r="E5745" s="2465" t="s">
        <v>1197</v>
      </c>
      <c r="F5745" s="2400"/>
      <c r="G5745" s="2400"/>
      <c r="H5745" s="2400"/>
      <c r="I5745" s="2400"/>
      <c r="J5745" s="2400"/>
      <c r="K5745" s="2400"/>
      <c r="L5745" s="2400"/>
      <c r="M5745" s="2400"/>
      <c r="N5745" s="2400"/>
    </row>
    <row r="5746" spans="3:14">
      <c r="C5746" s="467"/>
      <c r="D5746" s="467"/>
      <c r="E5746" s="467"/>
      <c r="F5746" s="467"/>
      <c r="G5746" s="467"/>
      <c r="H5746" s="467"/>
      <c r="I5746" s="467"/>
      <c r="J5746" s="467"/>
      <c r="K5746" s="467"/>
      <c r="L5746" s="467"/>
      <c r="M5746" s="481"/>
      <c r="N5746" s="481"/>
    </row>
    <row r="5747" spans="3:14">
      <c r="C5747" s="482"/>
      <c r="D5747" s="482" t="s">
        <v>400</v>
      </c>
      <c r="E5747" s="2373" t="s">
        <v>1930</v>
      </c>
      <c r="F5747" s="2400"/>
      <c r="G5747" s="2400"/>
      <c r="H5747" s="2400"/>
      <c r="I5747" s="2400"/>
      <c r="J5747" s="2400"/>
      <c r="K5747" s="2400"/>
      <c r="L5747" s="2400"/>
      <c r="M5747" s="2400"/>
      <c r="N5747" s="2400"/>
    </row>
    <row r="5748" spans="3:14">
      <c r="C5748" s="485"/>
      <c r="D5748" s="485"/>
      <c r="E5748" s="2720" t="s">
        <v>1340</v>
      </c>
      <c r="F5748" s="2720"/>
      <c r="G5748" s="2720"/>
      <c r="H5748" s="2720"/>
      <c r="I5748" s="2720"/>
      <c r="J5748" s="2720"/>
      <c r="K5748" s="2720"/>
      <c r="L5748" s="2720"/>
      <c r="M5748" s="2720"/>
      <c r="N5748" s="2720"/>
    </row>
    <row r="5749" spans="3:14">
      <c r="C5749" s="467"/>
      <c r="D5749" s="485"/>
      <c r="E5749" s="2651" t="s">
        <v>1959</v>
      </c>
      <c r="F5749" s="2721"/>
      <c r="G5749" s="2721"/>
      <c r="H5749" s="2721"/>
      <c r="I5749" s="2721"/>
      <c r="J5749" s="2721"/>
      <c r="K5749" s="2721"/>
      <c r="L5749" s="2721"/>
      <c r="M5749" s="2721"/>
      <c r="N5749" s="2721"/>
    </row>
    <row r="5750" spans="3:14">
      <c r="C5750" s="482"/>
      <c r="D5750" s="482"/>
      <c r="E5750" s="707" t="s">
        <v>920</v>
      </c>
      <c r="F5750" s="518"/>
      <c r="G5750" s="663" t="s">
        <v>884</v>
      </c>
      <c r="H5750" s="578">
        <v>2019</v>
      </c>
      <c r="I5750" s="697">
        <v>2020</v>
      </c>
      <c r="J5750" s="696">
        <v>2021</v>
      </c>
      <c r="K5750" s="578">
        <v>2022</v>
      </c>
      <c r="L5750" s="578">
        <v>2023</v>
      </c>
      <c r="M5750" s="578">
        <v>2024</v>
      </c>
      <c r="N5750" s="671">
        <v>2025</v>
      </c>
    </row>
    <row r="5751" spans="3:14">
      <c r="C5751" s="485"/>
      <c r="D5751" s="561" t="s">
        <v>6</v>
      </c>
      <c r="E5751" s="2696" t="str">
        <f>IFERROR(IF('[1]G_Fall-back'!E20 = "", "", '[1]G_Fall-back'!E20 ),"")</f>
        <v>Heat benchmark sub-installation, CL</v>
      </c>
      <c r="F5751" s="2696"/>
      <c r="G5751" s="74" t="str">
        <f>IFERROR(IF('[1]G_Fall-back'!G20 = "", "", '[1]G_Fall-back'!G20 ),"")</f>
        <v>TJ</v>
      </c>
      <c r="H5751" s="102" t="str">
        <f>IFERROR(IF('[1]G_Fall-back'!H20 = "", "", '[1]G_Fall-back'!H20 ),"")</f>
        <v/>
      </c>
      <c r="I5751" s="386" t="str">
        <f>IFERROR(IF('[1]G_Fall-back'!I20 = "", "", '[1]G_Fall-back'!I20 ),"")</f>
        <v/>
      </c>
      <c r="J5751" s="387" t="str">
        <f>IFERROR(IF('[1]G_Fall-back'!J20 = "", "", '[1]G_Fall-back'!J20 ),"")</f>
        <v/>
      </c>
      <c r="K5751" s="102" t="str">
        <f>IFERROR(IF('[1]G_Fall-back'!K20 = "", "", '[1]G_Fall-back'!K20 ),"")</f>
        <v/>
      </c>
      <c r="L5751" s="102" t="str">
        <f>IFERROR(IF('[1]G_Fall-back'!L20 = "", "", '[1]G_Fall-back'!L20 ),"")</f>
        <v/>
      </c>
      <c r="M5751" s="102" t="str">
        <f>IFERROR(IF('[1]G_Fall-back'!M20 = "", "", '[1]G_Fall-back'!M20 ),"")</f>
        <v/>
      </c>
      <c r="N5751" s="102" t="str">
        <f>IFERROR(IF('[1]G_Fall-back'!N20 = "", "", '[1]G_Fall-back'!N20 ),"")</f>
        <v/>
      </c>
    </row>
    <row r="5752" spans="3:14">
      <c r="C5752" s="479"/>
      <c r="D5752" s="485"/>
      <c r="E5752" s="485"/>
      <c r="F5752" s="485"/>
      <c r="G5752" s="485"/>
      <c r="H5752" s="485"/>
      <c r="I5752" s="485"/>
      <c r="J5752" s="485"/>
      <c r="K5752" s="485"/>
      <c r="L5752" s="485"/>
      <c r="M5752" s="485"/>
      <c r="N5752" s="485"/>
    </row>
    <row r="5753" spans="3:14">
      <c r="C5753" s="479"/>
      <c r="D5753" s="485"/>
      <c r="E5753" s="2465" t="s">
        <v>2715</v>
      </c>
      <c r="F5753" s="2400"/>
      <c r="G5753" s="2400"/>
      <c r="H5753" s="2400"/>
      <c r="I5753" s="2400"/>
      <c r="J5753" s="2400"/>
      <c r="K5753" s="2400"/>
      <c r="L5753" s="2400"/>
      <c r="M5753" s="2400"/>
      <c r="N5753" s="2400"/>
    </row>
    <row r="5754" spans="3:14">
      <c r="C5754" s="479"/>
      <c r="D5754" s="485"/>
      <c r="E5754" s="901" t="s">
        <v>1021</v>
      </c>
      <c r="F5754" s="2651" t="s">
        <v>2711</v>
      </c>
      <c r="G5754" s="2584"/>
      <c r="H5754" s="2584"/>
      <c r="I5754" s="2584"/>
      <c r="J5754" s="2584"/>
      <c r="K5754" s="2584"/>
      <c r="L5754" s="2584"/>
      <c r="M5754" s="2584"/>
      <c r="N5754" s="2584"/>
    </row>
    <row r="5755" spans="3:14">
      <c r="C5755" s="479"/>
      <c r="D5755" s="485"/>
      <c r="E5755" s="901" t="s">
        <v>1021</v>
      </c>
      <c r="F5755" s="2651" t="s">
        <v>1985</v>
      </c>
      <c r="G5755" s="2584"/>
      <c r="H5755" s="2584"/>
      <c r="I5755" s="2584"/>
      <c r="J5755" s="2584"/>
      <c r="K5755" s="2584"/>
      <c r="L5755" s="2584"/>
      <c r="M5755" s="2584"/>
      <c r="N5755" s="2584"/>
    </row>
    <row r="5756" spans="3:14" ht="13.5" thickBot="1">
      <c r="C5756" s="479"/>
      <c r="D5756" s="485"/>
      <c r="E5756" s="901" t="s">
        <v>1021</v>
      </c>
      <c r="F5756" s="2651" t="s">
        <v>2252</v>
      </c>
      <c r="G5756" s="2584"/>
      <c r="H5756" s="2584"/>
      <c r="I5756" s="2584"/>
      <c r="J5756" s="2584"/>
      <c r="K5756" s="2584"/>
      <c r="L5756" s="2584"/>
      <c r="M5756" s="2584"/>
      <c r="N5756" s="2584"/>
    </row>
    <row r="5757" spans="3:14">
      <c r="C5757" s="479"/>
      <c r="D5757" s="902"/>
      <c r="E5757" s="903"/>
      <c r="F5757" s="904"/>
      <c r="G5757" s="905"/>
      <c r="H5757" s="905"/>
      <c r="I5757" s="905"/>
      <c r="J5757" s="905"/>
      <c r="K5757" s="905"/>
      <c r="L5757" s="905"/>
      <c r="M5757" s="905"/>
      <c r="N5757" s="906"/>
    </row>
    <row r="5758" spans="3:14">
      <c r="C5758" s="479"/>
      <c r="D5758" s="918"/>
      <c r="E5758" s="908" t="s">
        <v>1652</v>
      </c>
      <c r="F5758" s="909"/>
      <c r="G5758" s="909"/>
      <c r="H5758" s="910" t="s">
        <v>884</v>
      </c>
      <c r="I5758" s="911" t="s">
        <v>2212</v>
      </c>
      <c r="J5758" s="912">
        <v>2021</v>
      </c>
      <c r="K5758" s="913">
        <v>2022</v>
      </c>
      <c r="L5758" s="913">
        <v>2023</v>
      </c>
      <c r="M5758" s="913">
        <v>2024</v>
      </c>
      <c r="N5758" s="914">
        <v>2025</v>
      </c>
    </row>
    <row r="5759" spans="3:14">
      <c r="C5759" s="479"/>
      <c r="D5759" s="915" t="s">
        <v>7</v>
      </c>
      <c r="E5759" s="916" t="s">
        <v>1976</v>
      </c>
      <c r="F5759" s="916"/>
      <c r="G5759" s="916"/>
      <c r="H5759" s="944" t="s">
        <v>283</v>
      </c>
      <c r="I5759" s="235" t="str">
        <f>IFERROR(IF('[1]G_Fall-back'!I28 = "", "", '[1]G_Fall-back'!I28 ),"")</f>
        <v/>
      </c>
      <c r="J5759" s="388" t="str">
        <f>IFERROR(IF('[1]G_Fall-back'!J28 = "", "", '[1]G_Fall-back'!J28 ),"")</f>
        <v/>
      </c>
      <c r="K5759" s="389" t="str">
        <f>IFERROR(IF('[1]G_Fall-back'!K28 = "", "", '[1]G_Fall-back'!K28 ),"")</f>
        <v/>
      </c>
      <c r="L5759" s="389" t="str">
        <f>IFERROR(IF('[1]G_Fall-back'!L28 = "", "", '[1]G_Fall-back'!L28 ),"")</f>
        <v/>
      </c>
      <c r="M5759" s="389" t="str">
        <f>IFERROR(IF('[1]G_Fall-back'!M28 = "", "", '[1]G_Fall-back'!M28 ),"")</f>
        <v/>
      </c>
      <c r="N5759" s="390" t="str">
        <f>IFERROR(IF('[1]G_Fall-back'!N28 = "", "", '[1]G_Fall-back'!N28 ),"")</f>
        <v/>
      </c>
    </row>
    <row r="5760" spans="3:14">
      <c r="C5760" s="479"/>
      <c r="D5760" s="915"/>
      <c r="E5760" s="916" t="s">
        <v>1648</v>
      </c>
      <c r="F5760" s="916"/>
      <c r="G5760" s="916"/>
      <c r="H5760" s="921"/>
      <c r="I5760" s="916"/>
      <c r="J5760" s="319" t="str">
        <f>IFERROR(IF('[1]G_Fall-back'!J29 = "", "", '[1]G_Fall-back'!J29 ),"")</f>
        <v/>
      </c>
      <c r="K5760" s="320" t="str">
        <f>IFERROR(IF('[1]G_Fall-back'!K29 = "", "", '[1]G_Fall-back'!K29 ),"")</f>
        <v/>
      </c>
      <c r="L5760" s="320" t="str">
        <f>IFERROR(IF('[1]G_Fall-back'!L29 = "", "", '[1]G_Fall-back'!L29 ),"")</f>
        <v/>
      </c>
      <c r="M5760" s="320" t="str">
        <f>IFERROR(IF('[1]G_Fall-back'!M29 = "", "", '[1]G_Fall-back'!M29 ),"")</f>
        <v/>
      </c>
      <c r="N5760" s="321" t="str">
        <f>IFERROR(IF('[1]G_Fall-back'!N29 = "", "", '[1]G_Fall-back'!N29 ),"")</f>
        <v/>
      </c>
    </row>
    <row r="5761" spans="3:14">
      <c r="C5761" s="479"/>
      <c r="D5761" s="915" t="s">
        <v>8</v>
      </c>
      <c r="E5761" s="916" t="s">
        <v>1654</v>
      </c>
      <c r="F5761" s="916"/>
      <c r="G5761" s="916"/>
      <c r="H5761" s="921"/>
      <c r="I5761" s="916"/>
      <c r="J5761" s="288" t="str">
        <f>IFERROR(IF('[1]G_Fall-back'!J30 = "", "", '[1]G_Fall-back'!J30 ),"")</f>
        <v/>
      </c>
      <c r="K5761" s="289" t="str">
        <f>IFERROR(IF('[1]G_Fall-back'!K30 = "", "", '[1]G_Fall-back'!K30 ),"")</f>
        <v/>
      </c>
      <c r="L5761" s="289" t="str">
        <f>IFERROR(IF('[1]G_Fall-back'!L30 = "", "", '[1]G_Fall-back'!L30 ),"")</f>
        <v/>
      </c>
      <c r="M5761" s="289" t="str">
        <f>IFERROR(IF('[1]G_Fall-back'!M30 = "", "", '[1]G_Fall-back'!M30 ),"")</f>
        <v/>
      </c>
      <c r="N5761" s="290" t="str">
        <f>IFERROR(IF('[1]G_Fall-back'!N30 = "", "", '[1]G_Fall-back'!N30 ),"")</f>
        <v/>
      </c>
    </row>
    <row r="5762" spans="3:14">
      <c r="C5762" s="479"/>
      <c r="D5762" s="915" t="s">
        <v>18</v>
      </c>
      <c r="E5762" s="916" t="s">
        <v>1647</v>
      </c>
      <c r="F5762" s="916"/>
      <c r="G5762" s="916"/>
      <c r="H5762" s="944" t="s">
        <v>283</v>
      </c>
      <c r="I5762" s="235" t="str">
        <f>IFERROR(IF('[1]G_Fall-back'!I31 = "", "", '[1]G_Fall-back'!I31 ),"")</f>
        <v/>
      </c>
      <c r="J5762" s="388" t="str">
        <f>IFERROR(IF('[1]G_Fall-back'!J31 = "", "", '[1]G_Fall-back'!J31 ),"")</f>
        <v/>
      </c>
      <c r="K5762" s="389" t="str">
        <f>IFERROR(IF('[1]G_Fall-back'!K31 = "", "", '[1]G_Fall-back'!K31 ),"")</f>
        <v/>
      </c>
      <c r="L5762" s="389" t="str">
        <f>IFERROR(IF('[1]G_Fall-back'!L31 = "", "", '[1]G_Fall-back'!L31 ),"")</f>
        <v/>
      </c>
      <c r="M5762" s="389" t="str">
        <f>IFERROR(IF('[1]G_Fall-back'!M31 = "", "", '[1]G_Fall-back'!M31 ),"")</f>
        <v/>
      </c>
      <c r="N5762" s="390" t="str">
        <f>IFERROR(IF('[1]G_Fall-back'!N31 = "", "", '[1]G_Fall-back'!N31 ),"")</f>
        <v/>
      </c>
    </row>
    <row r="5763" spans="3:14" ht="13.5" thickBot="1">
      <c r="C5763" s="467"/>
      <c r="D5763" s="1022"/>
      <c r="E5763" s="1023"/>
      <c r="F5763" s="1023"/>
      <c r="G5763" s="1023"/>
      <c r="H5763" s="1023"/>
      <c r="I5763" s="1023"/>
      <c r="J5763" s="1023"/>
      <c r="K5763" s="1023"/>
      <c r="L5763" s="1023"/>
      <c r="M5763" s="1023"/>
      <c r="N5763" s="1024"/>
    </row>
    <row r="5764" spans="3:14">
      <c r="C5764" s="467"/>
      <c r="D5764" s="467"/>
      <c r="E5764" s="467"/>
      <c r="F5764" s="467"/>
      <c r="G5764" s="467"/>
      <c r="H5764" s="467"/>
      <c r="I5764" s="467"/>
      <c r="J5764" s="467"/>
      <c r="K5764" s="467"/>
      <c r="L5764" s="467"/>
      <c r="M5764" s="467"/>
      <c r="N5764" s="467"/>
    </row>
    <row r="5765" spans="3:14" ht="15">
      <c r="C5765" s="1025"/>
      <c r="D5765" s="2482" t="s">
        <v>103</v>
      </c>
      <c r="E5765" s="2400"/>
      <c r="F5765" s="2400"/>
      <c r="G5765" s="2400"/>
      <c r="H5765" s="2400"/>
      <c r="I5765" s="2400"/>
      <c r="J5765" s="2400"/>
      <c r="K5765" s="2400"/>
      <c r="L5765" s="2400"/>
      <c r="M5765" s="2400"/>
      <c r="N5765" s="2400"/>
    </row>
    <row r="5766" spans="3:14">
      <c r="C5766" s="467"/>
      <c r="D5766" s="467"/>
      <c r="E5766" s="467"/>
      <c r="F5766" s="467"/>
      <c r="G5766" s="467"/>
      <c r="H5766" s="467"/>
      <c r="I5766" s="467"/>
      <c r="J5766" s="467"/>
      <c r="K5766" s="467"/>
      <c r="L5766" s="467"/>
      <c r="M5766" s="467"/>
      <c r="N5766" s="467"/>
    </row>
    <row r="5767" spans="3:14">
      <c r="C5767" s="482"/>
      <c r="D5767" s="482" t="s">
        <v>876</v>
      </c>
      <c r="E5767" s="2373" t="s">
        <v>298</v>
      </c>
      <c r="F5767" s="2400"/>
      <c r="G5767" s="2400"/>
      <c r="H5767" s="2400"/>
      <c r="I5767" s="2400"/>
      <c r="J5767" s="2400"/>
      <c r="K5767" s="2400"/>
      <c r="L5767" s="2400"/>
      <c r="M5767" s="2400"/>
      <c r="N5767" s="2400"/>
    </row>
    <row r="5768" spans="3:14">
      <c r="C5768" s="485"/>
      <c r="D5768" s="485"/>
      <c r="E5768" s="2465" t="s">
        <v>925</v>
      </c>
      <c r="F5768" s="2400"/>
      <c r="G5768" s="2400"/>
      <c r="H5768" s="2400"/>
      <c r="I5768" s="2400"/>
      <c r="J5768" s="2400"/>
      <c r="K5768" s="2400"/>
      <c r="L5768" s="2400"/>
      <c r="M5768" s="2400"/>
      <c r="N5768" s="2400"/>
    </row>
    <row r="5769" spans="3:14">
      <c r="C5769" s="485"/>
      <c r="D5769" s="485"/>
      <c r="E5769" s="1026" t="s">
        <v>2177</v>
      </c>
      <c r="F5769" s="2465" t="s">
        <v>927</v>
      </c>
      <c r="G5769" s="2400"/>
      <c r="H5769" s="2400"/>
      <c r="I5769" s="2400"/>
      <c r="J5769" s="2400"/>
      <c r="K5769" s="2400"/>
      <c r="L5769" s="2400"/>
      <c r="M5769" s="2400"/>
      <c r="N5769" s="2400"/>
    </row>
    <row r="5770" spans="3:14">
      <c r="C5770" s="485"/>
      <c r="D5770" s="485"/>
      <c r="E5770" s="1026" t="s">
        <v>2177</v>
      </c>
      <c r="F5770" s="2465" t="s">
        <v>1005</v>
      </c>
      <c r="G5770" s="2400"/>
      <c r="H5770" s="2400"/>
      <c r="I5770" s="2400"/>
      <c r="J5770" s="2400"/>
      <c r="K5770" s="2400"/>
      <c r="L5770" s="2400"/>
      <c r="M5770" s="2400"/>
      <c r="N5770" s="2400"/>
    </row>
    <row r="5771" spans="3:14">
      <c r="C5771" s="485"/>
      <c r="D5771" s="485"/>
      <c r="E5771" s="1026" t="s">
        <v>2177</v>
      </c>
      <c r="F5771" s="2465" t="s">
        <v>1228</v>
      </c>
      <c r="G5771" s="2400"/>
      <c r="H5771" s="2400"/>
      <c r="I5771" s="2400"/>
      <c r="J5771" s="2400"/>
      <c r="K5771" s="2400"/>
      <c r="L5771" s="2400"/>
      <c r="M5771" s="2400"/>
      <c r="N5771" s="2400"/>
    </row>
    <row r="5772" spans="3:14">
      <c r="C5772" s="485"/>
      <c r="D5772" s="485"/>
      <c r="E5772" s="2465" t="s">
        <v>1636</v>
      </c>
      <c r="F5772" s="2400"/>
      <c r="G5772" s="2400"/>
      <c r="H5772" s="2400"/>
      <c r="I5772" s="2400"/>
      <c r="J5772" s="2400"/>
      <c r="K5772" s="2400"/>
      <c r="L5772" s="2400"/>
      <c r="M5772" s="2400"/>
      <c r="N5772" s="2400"/>
    </row>
    <row r="5773" spans="3:14">
      <c r="C5773" s="485"/>
      <c r="D5773" s="485"/>
      <c r="E5773" s="2465" t="s">
        <v>2119</v>
      </c>
      <c r="F5773" s="2400"/>
      <c r="G5773" s="2400"/>
      <c r="H5773" s="2400"/>
      <c r="I5773" s="2400"/>
      <c r="J5773" s="2400"/>
      <c r="K5773" s="2400"/>
      <c r="L5773" s="2400"/>
      <c r="M5773" s="2400"/>
      <c r="N5773" s="2400"/>
    </row>
    <row r="5774" spans="3:14">
      <c r="C5774" s="485"/>
      <c r="D5774" s="485"/>
      <c r="E5774" s="2677" t="s">
        <v>2120</v>
      </c>
      <c r="F5774" s="2722"/>
      <c r="G5774" s="2722"/>
      <c r="H5774" s="2722"/>
      <c r="I5774" s="2722"/>
      <c r="J5774" s="2722"/>
      <c r="K5774" s="2722"/>
      <c r="L5774" s="2722"/>
      <c r="M5774" s="2722"/>
      <c r="N5774" s="2722"/>
    </row>
    <row r="5775" spans="3:14">
      <c r="C5775" s="485"/>
      <c r="D5775" s="485"/>
      <c r="E5775" s="2465" t="s">
        <v>29</v>
      </c>
      <c r="F5775" s="2400"/>
      <c r="G5775" s="2400"/>
      <c r="H5775" s="2400"/>
      <c r="I5775" s="2400"/>
      <c r="J5775" s="2400"/>
      <c r="K5775" s="2400"/>
      <c r="L5775" s="2400"/>
      <c r="M5775" s="2400"/>
      <c r="N5775" s="2400"/>
    </row>
    <row r="5776" spans="3:14">
      <c r="C5776" s="485"/>
      <c r="D5776" s="485"/>
      <c r="E5776" s="2465" t="s">
        <v>1901</v>
      </c>
      <c r="F5776" s="2400"/>
      <c r="G5776" s="2400"/>
      <c r="H5776" s="2400"/>
      <c r="I5776" s="2400"/>
      <c r="J5776" s="2400"/>
      <c r="K5776" s="2400"/>
      <c r="L5776" s="2400"/>
      <c r="M5776" s="2400"/>
      <c r="N5776" s="2400"/>
    </row>
    <row r="5777" spans="3:14">
      <c r="C5777" s="485"/>
      <c r="D5777" s="485"/>
      <c r="E5777" s="617"/>
      <c r="F5777" s="617"/>
      <c r="G5777" s="617"/>
      <c r="H5777" s="617"/>
      <c r="I5777" s="617"/>
      <c r="J5777" s="468"/>
      <c r="K5777" s="468"/>
      <c r="L5777" s="468"/>
      <c r="M5777" s="481"/>
      <c r="N5777" s="481"/>
    </row>
    <row r="5778" spans="3:14" ht="25.5">
      <c r="C5778" s="482"/>
      <c r="D5778" s="956"/>
      <c r="E5778" s="2723" t="s">
        <v>485</v>
      </c>
      <c r="F5778" s="2724"/>
      <c r="G5778" s="2723" t="s">
        <v>488</v>
      </c>
      <c r="H5778" s="2724"/>
      <c r="I5778" s="2723" t="s">
        <v>1227</v>
      </c>
      <c r="J5778" s="2421"/>
      <c r="K5778" s="2421"/>
      <c r="L5778" s="2724"/>
      <c r="M5778" s="1027" t="s">
        <v>2112</v>
      </c>
      <c r="N5778" s="481"/>
    </row>
    <row r="5779" spans="3:14">
      <c r="C5779" s="484"/>
      <c r="D5779" s="579">
        <v>1</v>
      </c>
      <c r="E5779" s="2599" t="str">
        <f>IFERROR(IF('[1]G_Fall-back'!E48 = "", "", '[1]G_Fall-back'!E48 ),"")</f>
        <v/>
      </c>
      <c r="F5779" s="2617"/>
      <c r="G5779" s="2618" t="str">
        <f>IFERROR(IF('[1]G_Fall-back'!G48 = "", "", '[1]G_Fall-back'!G48 ),"")</f>
        <v/>
      </c>
      <c r="H5779" s="2725"/>
      <c r="I5779" s="2726" t="str">
        <f>IFERROR(IF('[1]G_Fall-back'!I48 = "", "", '[1]G_Fall-back'!I48 ),"")</f>
        <v/>
      </c>
      <c r="J5779" s="2727"/>
      <c r="K5779" s="2727"/>
      <c r="L5779" s="2728"/>
      <c r="M5779" s="391" t="str">
        <f>IFERROR(IF('[1]G_Fall-back'!M48 = "", "", '[1]G_Fall-back'!M48 ),"")</f>
        <v/>
      </c>
      <c r="N5779" s="481"/>
    </row>
    <row r="5780" spans="3:14">
      <c r="C5780" s="484"/>
      <c r="D5780" s="582">
        <v>2</v>
      </c>
      <c r="E5780" s="2603" t="str">
        <f>IFERROR(IF('[1]G_Fall-back'!E49 = "", "", '[1]G_Fall-back'!E49 ),"")</f>
        <v/>
      </c>
      <c r="F5780" s="2620"/>
      <c r="G5780" s="2621" t="str">
        <f>IFERROR(IF('[1]G_Fall-back'!G49 = "", "", '[1]G_Fall-back'!G49 ),"")</f>
        <v/>
      </c>
      <c r="H5780" s="2729"/>
      <c r="I5780" s="2730" t="str">
        <f>IFERROR(IF('[1]G_Fall-back'!I49 = "", "", '[1]G_Fall-back'!I49 ),"")</f>
        <v/>
      </c>
      <c r="J5780" s="2729"/>
      <c r="K5780" s="2729"/>
      <c r="L5780" s="2731"/>
      <c r="M5780" s="392" t="str">
        <f>IFERROR(IF('[1]G_Fall-back'!M49 = "", "", '[1]G_Fall-back'!M49 ),"")</f>
        <v/>
      </c>
      <c r="N5780" s="481"/>
    </row>
    <row r="5781" spans="3:14">
      <c r="C5781" s="484"/>
      <c r="D5781" s="582">
        <v>3</v>
      </c>
      <c r="E5781" s="2603" t="str">
        <f>IFERROR(IF('[1]G_Fall-back'!E50 = "", "", '[1]G_Fall-back'!E50 ),"")</f>
        <v/>
      </c>
      <c r="F5781" s="2620"/>
      <c r="G5781" s="2621" t="str">
        <f>IFERROR(IF('[1]G_Fall-back'!G50 = "", "", '[1]G_Fall-back'!G50 ),"")</f>
        <v/>
      </c>
      <c r="H5781" s="2729"/>
      <c r="I5781" s="2730" t="str">
        <f>IFERROR(IF('[1]G_Fall-back'!I50 = "", "", '[1]G_Fall-back'!I50 ),"")</f>
        <v/>
      </c>
      <c r="J5781" s="2729"/>
      <c r="K5781" s="2729"/>
      <c r="L5781" s="2731"/>
      <c r="M5781" s="392" t="str">
        <f>IFERROR(IF('[1]G_Fall-back'!M50 = "", "", '[1]G_Fall-back'!M50 ),"")</f>
        <v/>
      </c>
      <c r="N5781" s="481"/>
    </row>
    <row r="5782" spans="3:14">
      <c r="C5782" s="484"/>
      <c r="D5782" s="582">
        <v>4</v>
      </c>
      <c r="E5782" s="2603" t="str">
        <f>IFERROR(IF('[1]G_Fall-back'!E51 = "", "", '[1]G_Fall-back'!E51 ),"")</f>
        <v/>
      </c>
      <c r="F5782" s="2620"/>
      <c r="G5782" s="2621" t="str">
        <f>IFERROR(IF('[1]G_Fall-back'!G51 = "", "", '[1]G_Fall-back'!G51 ),"")</f>
        <v/>
      </c>
      <c r="H5782" s="2729"/>
      <c r="I5782" s="2730" t="str">
        <f>IFERROR(IF('[1]G_Fall-back'!I51 = "", "", '[1]G_Fall-back'!I51 ),"")</f>
        <v/>
      </c>
      <c r="J5782" s="2729"/>
      <c r="K5782" s="2729"/>
      <c r="L5782" s="2731"/>
      <c r="M5782" s="392" t="str">
        <f>IFERROR(IF('[1]G_Fall-back'!M51 = "", "", '[1]G_Fall-back'!M51 ),"")</f>
        <v/>
      </c>
      <c r="N5782" s="481"/>
    </row>
    <row r="5783" spans="3:14">
      <c r="C5783" s="484"/>
      <c r="D5783" s="582">
        <v>5</v>
      </c>
      <c r="E5783" s="2603" t="str">
        <f>IFERROR(IF('[1]G_Fall-back'!E52 = "", "", '[1]G_Fall-back'!E52 ),"")</f>
        <v/>
      </c>
      <c r="F5783" s="2620"/>
      <c r="G5783" s="2621" t="str">
        <f>IFERROR(IF('[1]G_Fall-back'!G52 = "", "", '[1]G_Fall-back'!G52 ),"")</f>
        <v/>
      </c>
      <c r="H5783" s="2729"/>
      <c r="I5783" s="2730" t="str">
        <f>IFERROR(IF('[1]G_Fall-back'!I52 = "", "", '[1]G_Fall-back'!I52 ),"")</f>
        <v/>
      </c>
      <c r="J5783" s="2729"/>
      <c r="K5783" s="2729"/>
      <c r="L5783" s="2731"/>
      <c r="M5783" s="392" t="str">
        <f>IFERROR(IF('[1]G_Fall-back'!M52 = "", "", '[1]G_Fall-back'!M52 ),"")</f>
        <v/>
      </c>
      <c r="N5783" s="481"/>
    </row>
    <row r="5784" spans="3:14">
      <c r="C5784" s="484"/>
      <c r="D5784" s="582">
        <v>6</v>
      </c>
      <c r="E5784" s="2603" t="str">
        <f>IFERROR(IF('[1]G_Fall-back'!E53 = "", "", '[1]G_Fall-back'!E53 ),"")</f>
        <v/>
      </c>
      <c r="F5784" s="2620"/>
      <c r="G5784" s="2621" t="str">
        <f>IFERROR(IF('[1]G_Fall-back'!G53 = "", "", '[1]G_Fall-back'!G53 ),"")</f>
        <v/>
      </c>
      <c r="H5784" s="2729"/>
      <c r="I5784" s="2730" t="str">
        <f>IFERROR(IF('[1]G_Fall-back'!I53 = "", "", '[1]G_Fall-back'!I53 ),"")</f>
        <v/>
      </c>
      <c r="J5784" s="2729"/>
      <c r="K5784" s="2729"/>
      <c r="L5784" s="2731"/>
      <c r="M5784" s="392" t="str">
        <f>IFERROR(IF('[1]G_Fall-back'!M53 = "", "", '[1]G_Fall-back'!M53 ),"")</f>
        <v/>
      </c>
      <c r="N5784" s="481"/>
    </row>
    <row r="5785" spans="3:14">
      <c r="C5785" s="484"/>
      <c r="D5785" s="582">
        <v>7</v>
      </c>
      <c r="E5785" s="2603" t="str">
        <f>IFERROR(IF('[1]G_Fall-back'!E54 = "", "", '[1]G_Fall-back'!E54 ),"")</f>
        <v/>
      </c>
      <c r="F5785" s="2620"/>
      <c r="G5785" s="2621" t="str">
        <f>IFERROR(IF('[1]G_Fall-back'!G54 = "", "", '[1]G_Fall-back'!G54 ),"")</f>
        <v/>
      </c>
      <c r="H5785" s="2729"/>
      <c r="I5785" s="2730" t="str">
        <f>IFERROR(IF('[1]G_Fall-back'!I54 = "", "", '[1]G_Fall-back'!I54 ),"")</f>
        <v/>
      </c>
      <c r="J5785" s="2729"/>
      <c r="K5785" s="2729"/>
      <c r="L5785" s="2731"/>
      <c r="M5785" s="392" t="str">
        <f>IFERROR(IF('[1]G_Fall-back'!M54 = "", "", '[1]G_Fall-back'!M54 ),"")</f>
        <v/>
      </c>
      <c r="N5785" s="481"/>
    </row>
    <row r="5786" spans="3:14">
      <c r="C5786" s="484"/>
      <c r="D5786" s="582">
        <v>8</v>
      </c>
      <c r="E5786" s="2603" t="str">
        <f>IFERROR(IF('[1]G_Fall-back'!E55 = "", "", '[1]G_Fall-back'!E55 ),"")</f>
        <v/>
      </c>
      <c r="F5786" s="2620"/>
      <c r="G5786" s="2621" t="str">
        <f>IFERROR(IF('[1]G_Fall-back'!G55 = "", "", '[1]G_Fall-back'!G55 ),"")</f>
        <v/>
      </c>
      <c r="H5786" s="2729"/>
      <c r="I5786" s="2730" t="str">
        <f>IFERROR(IF('[1]G_Fall-back'!I55 = "", "", '[1]G_Fall-back'!I55 ),"")</f>
        <v/>
      </c>
      <c r="J5786" s="2729"/>
      <c r="K5786" s="2729"/>
      <c r="L5786" s="2731"/>
      <c r="M5786" s="392" t="str">
        <f>IFERROR(IF('[1]G_Fall-back'!M55 = "", "", '[1]G_Fall-back'!M55 ),"")</f>
        <v/>
      </c>
      <c r="N5786" s="481"/>
    </row>
    <row r="5787" spans="3:14">
      <c r="C5787" s="484"/>
      <c r="D5787" s="582">
        <v>9</v>
      </c>
      <c r="E5787" s="2603" t="str">
        <f>IFERROR(IF('[1]G_Fall-back'!E56 = "", "", '[1]G_Fall-back'!E56 ),"")</f>
        <v/>
      </c>
      <c r="F5787" s="2620"/>
      <c r="G5787" s="2621" t="str">
        <f>IFERROR(IF('[1]G_Fall-back'!G56 = "", "", '[1]G_Fall-back'!G56 ),"")</f>
        <v/>
      </c>
      <c r="H5787" s="2729"/>
      <c r="I5787" s="2730" t="str">
        <f>IFERROR(IF('[1]G_Fall-back'!I56 = "", "", '[1]G_Fall-back'!I56 ),"")</f>
        <v/>
      </c>
      <c r="J5787" s="2729"/>
      <c r="K5787" s="2729"/>
      <c r="L5787" s="2731"/>
      <c r="M5787" s="392" t="str">
        <f>IFERROR(IF('[1]G_Fall-back'!M56 = "", "", '[1]G_Fall-back'!M56 ),"")</f>
        <v/>
      </c>
      <c r="N5787" s="481"/>
    </row>
    <row r="5788" spans="3:14">
      <c r="C5788" s="484"/>
      <c r="D5788" s="584">
        <v>10</v>
      </c>
      <c r="E5788" s="2613" t="str">
        <f>IFERROR(IF('[1]G_Fall-back'!E57 = "", "", '[1]G_Fall-back'!E57 ),"")</f>
        <v/>
      </c>
      <c r="F5788" s="2627"/>
      <c r="G5788" s="2628" t="str">
        <f>IFERROR(IF('[1]G_Fall-back'!G57 = "", "", '[1]G_Fall-back'!G57 ),"")</f>
        <v/>
      </c>
      <c r="H5788" s="2732"/>
      <c r="I5788" s="2733" t="str">
        <f>IFERROR(IF('[1]G_Fall-back'!I57 = "", "", '[1]G_Fall-back'!I57 ),"")</f>
        <v/>
      </c>
      <c r="J5788" s="2732"/>
      <c r="K5788" s="2732"/>
      <c r="L5788" s="2734"/>
      <c r="M5788" s="393" t="str">
        <f>IFERROR(IF('[1]G_Fall-back'!M57 = "", "", '[1]G_Fall-back'!M57 ),"")</f>
        <v/>
      </c>
      <c r="N5788" s="481"/>
    </row>
    <row r="5789" spans="3:14">
      <c r="C5789" s="467"/>
      <c r="D5789" s="467"/>
      <c r="E5789" s="467"/>
      <c r="F5789" s="467"/>
      <c r="G5789" s="467"/>
      <c r="H5789" s="467"/>
      <c r="I5789" s="467"/>
      <c r="J5789" s="467"/>
      <c r="K5789" s="467"/>
      <c r="L5789" s="467"/>
      <c r="M5789" s="467"/>
      <c r="N5789" s="467"/>
    </row>
    <row r="5790" spans="3:14">
      <c r="C5790" s="482"/>
      <c r="D5790" s="482"/>
      <c r="E5790" s="2373" t="s">
        <v>1477</v>
      </c>
      <c r="F5790" s="2400"/>
      <c r="G5790" s="2400"/>
      <c r="H5790" s="2400"/>
      <c r="I5790" s="2400"/>
      <c r="J5790" s="2400"/>
      <c r="K5790" s="2400"/>
      <c r="L5790" s="2400"/>
      <c r="M5790" s="2400"/>
      <c r="N5790" s="2400"/>
    </row>
    <row r="5791" spans="3:14">
      <c r="C5791" s="482"/>
      <c r="D5791" s="482"/>
      <c r="E5791" s="2465" t="s">
        <v>1929</v>
      </c>
      <c r="F5791" s="2400"/>
      <c r="G5791" s="2400"/>
      <c r="H5791" s="2400"/>
      <c r="I5791" s="2400"/>
      <c r="J5791" s="2400"/>
      <c r="K5791" s="2400"/>
      <c r="L5791" s="2400"/>
      <c r="M5791" s="2400"/>
      <c r="N5791" s="2400"/>
    </row>
    <row r="5792" spans="3:14">
      <c r="C5792" s="482"/>
      <c r="D5792" s="482"/>
      <c r="E5792" s="2465" t="s">
        <v>1878</v>
      </c>
      <c r="F5792" s="2400"/>
      <c r="G5792" s="2400"/>
      <c r="H5792" s="2400"/>
      <c r="I5792" s="2400"/>
      <c r="J5792" s="2400"/>
      <c r="K5792" s="2400"/>
      <c r="L5792" s="2400"/>
      <c r="M5792" s="2400"/>
      <c r="N5792" s="2400"/>
    </row>
    <row r="5793" spans="3:14">
      <c r="C5793" s="482"/>
      <c r="D5793" s="482"/>
      <c r="E5793" s="2465" t="s">
        <v>1947</v>
      </c>
      <c r="F5793" s="2400"/>
      <c r="G5793" s="2400"/>
      <c r="H5793" s="2400"/>
      <c r="I5793" s="2400"/>
      <c r="J5793" s="2400"/>
      <c r="K5793" s="2400"/>
      <c r="L5793" s="2400"/>
      <c r="M5793" s="2400"/>
      <c r="N5793" s="2400"/>
    </row>
    <row r="5794" spans="3:14">
      <c r="C5794" s="485"/>
      <c r="D5794" s="485"/>
      <c r="E5794" s="617"/>
      <c r="F5794" s="617"/>
      <c r="G5794" s="617"/>
      <c r="H5794" s="617"/>
      <c r="I5794" s="617"/>
      <c r="J5794" s="468"/>
      <c r="K5794" s="468"/>
      <c r="L5794" s="468"/>
      <c r="M5794" s="481"/>
      <c r="N5794" s="481"/>
    </row>
    <row r="5795" spans="3:14" ht="25.5">
      <c r="C5795" s="1028"/>
      <c r="D5795" s="1029"/>
      <c r="E5795" s="870" t="s">
        <v>1227</v>
      </c>
      <c r="F5795" s="1030" t="s">
        <v>884</v>
      </c>
      <c r="G5795" s="1031" t="s">
        <v>2213</v>
      </c>
      <c r="H5795" s="1032">
        <v>2019</v>
      </c>
      <c r="I5795" s="1031">
        <v>2020</v>
      </c>
      <c r="J5795" s="1032">
        <v>2021</v>
      </c>
      <c r="K5795" s="1033">
        <v>2022</v>
      </c>
      <c r="L5795" s="1033">
        <v>2023</v>
      </c>
      <c r="M5795" s="1033">
        <v>2024</v>
      </c>
      <c r="N5795" s="1033">
        <v>2025</v>
      </c>
    </row>
    <row r="5796" spans="3:14">
      <c r="C5796" s="484"/>
      <c r="D5796" s="579">
        <v>1</v>
      </c>
      <c r="E5796" s="75" t="str">
        <f>IFERROR(IF('[1]G_Fall-back'!E65 = "", "", '[1]G_Fall-back'!E65 ),"")</f>
        <v/>
      </c>
      <c r="F5796" s="67" t="str">
        <f>IFERROR(IF('[1]G_Fall-back'!F65 = "", "", '[1]G_Fall-back'!F65 ),"")</f>
        <v/>
      </c>
      <c r="G5796" s="110" t="str">
        <f>IFERROR(IF('[1]G_Fall-back'!G65 = "", "", '[1]G_Fall-back'!G65 ),"")</f>
        <v/>
      </c>
      <c r="H5796" s="111" t="str">
        <f>IFERROR(IF('[1]G_Fall-back'!H65 = "", "", '[1]G_Fall-back'!H65 ),"")</f>
        <v/>
      </c>
      <c r="I5796" s="110" t="str">
        <f>IFERROR(IF('[1]G_Fall-back'!I65 = "", "", '[1]G_Fall-back'!I65 ),"")</f>
        <v/>
      </c>
      <c r="J5796" s="111" t="str">
        <f>IFERROR(IF('[1]G_Fall-back'!J65 = "", "", '[1]G_Fall-back'!J65 ),"")</f>
        <v/>
      </c>
      <c r="K5796" s="94" t="str">
        <f>IFERROR(IF('[1]G_Fall-back'!K65 = "", "", '[1]G_Fall-back'!K65 ),"")</f>
        <v/>
      </c>
      <c r="L5796" s="94" t="str">
        <f>IFERROR(IF('[1]G_Fall-back'!L65 = "", "", '[1]G_Fall-back'!L65 ),"")</f>
        <v/>
      </c>
      <c r="M5796" s="94" t="str">
        <f>IFERROR(IF('[1]G_Fall-back'!M65 = "", "", '[1]G_Fall-back'!M65 ),"")</f>
        <v/>
      </c>
      <c r="N5796" s="94" t="str">
        <f>IFERROR(IF('[1]G_Fall-back'!N65 = "", "", '[1]G_Fall-back'!N65 ),"")</f>
        <v/>
      </c>
    </row>
    <row r="5797" spans="3:14">
      <c r="C5797" s="484"/>
      <c r="D5797" s="582">
        <v>2</v>
      </c>
      <c r="E5797" s="76" t="str">
        <f>IFERROR(IF('[1]G_Fall-back'!E66 = "", "", '[1]G_Fall-back'!E66 ),"")</f>
        <v/>
      </c>
      <c r="F5797" s="77" t="str">
        <f>IFERROR(IF('[1]G_Fall-back'!F66 = "", "", '[1]G_Fall-back'!F66 ),"")</f>
        <v/>
      </c>
      <c r="G5797" s="361" t="str">
        <f>IFERROR(IF('[1]G_Fall-back'!G66 = "", "", '[1]G_Fall-back'!G66 ),"")</f>
        <v/>
      </c>
      <c r="H5797" s="362" t="str">
        <f>IFERROR(IF('[1]G_Fall-back'!H66 = "", "", '[1]G_Fall-back'!H66 ),"")</f>
        <v/>
      </c>
      <c r="I5797" s="361" t="str">
        <f>IFERROR(IF('[1]G_Fall-back'!I66 = "", "", '[1]G_Fall-back'!I66 ),"")</f>
        <v/>
      </c>
      <c r="J5797" s="362" t="str">
        <f>IFERROR(IF('[1]G_Fall-back'!J66 = "", "", '[1]G_Fall-back'!J66 ),"")</f>
        <v/>
      </c>
      <c r="K5797" s="101" t="str">
        <f>IFERROR(IF('[1]G_Fall-back'!K66 = "", "", '[1]G_Fall-back'!K66 ),"")</f>
        <v/>
      </c>
      <c r="L5797" s="101" t="str">
        <f>IFERROR(IF('[1]G_Fall-back'!L66 = "", "", '[1]G_Fall-back'!L66 ),"")</f>
        <v/>
      </c>
      <c r="M5797" s="101" t="str">
        <f>IFERROR(IF('[1]G_Fall-back'!M66 = "", "", '[1]G_Fall-back'!M66 ),"")</f>
        <v/>
      </c>
      <c r="N5797" s="101" t="str">
        <f>IFERROR(IF('[1]G_Fall-back'!N66 = "", "", '[1]G_Fall-back'!N66 ),"")</f>
        <v/>
      </c>
    </row>
    <row r="5798" spans="3:14">
      <c r="C5798" s="484"/>
      <c r="D5798" s="582">
        <v>3</v>
      </c>
      <c r="E5798" s="76" t="str">
        <f>IFERROR(IF('[1]G_Fall-back'!E67 = "", "", '[1]G_Fall-back'!E67 ),"")</f>
        <v/>
      </c>
      <c r="F5798" s="77" t="str">
        <f>IFERROR(IF('[1]G_Fall-back'!F67 = "", "", '[1]G_Fall-back'!F67 ),"")</f>
        <v/>
      </c>
      <c r="G5798" s="361" t="str">
        <f>IFERROR(IF('[1]G_Fall-back'!G67 = "", "", '[1]G_Fall-back'!G67 ),"")</f>
        <v/>
      </c>
      <c r="H5798" s="362" t="str">
        <f>IFERROR(IF('[1]G_Fall-back'!H67 = "", "", '[1]G_Fall-back'!H67 ),"")</f>
        <v/>
      </c>
      <c r="I5798" s="361" t="str">
        <f>IFERROR(IF('[1]G_Fall-back'!I67 = "", "", '[1]G_Fall-back'!I67 ),"")</f>
        <v/>
      </c>
      <c r="J5798" s="362" t="str">
        <f>IFERROR(IF('[1]G_Fall-back'!J67 = "", "", '[1]G_Fall-back'!J67 ),"")</f>
        <v/>
      </c>
      <c r="K5798" s="101" t="str">
        <f>IFERROR(IF('[1]G_Fall-back'!K67 = "", "", '[1]G_Fall-back'!K67 ),"")</f>
        <v/>
      </c>
      <c r="L5798" s="101" t="str">
        <f>IFERROR(IF('[1]G_Fall-back'!L67 = "", "", '[1]G_Fall-back'!L67 ),"")</f>
        <v/>
      </c>
      <c r="M5798" s="101" t="str">
        <f>IFERROR(IF('[1]G_Fall-back'!M67 = "", "", '[1]G_Fall-back'!M67 ),"")</f>
        <v/>
      </c>
      <c r="N5798" s="101" t="str">
        <f>IFERROR(IF('[1]G_Fall-back'!N67 = "", "", '[1]G_Fall-back'!N67 ),"")</f>
        <v/>
      </c>
    </row>
    <row r="5799" spans="3:14">
      <c r="C5799" s="484"/>
      <c r="D5799" s="582">
        <v>4</v>
      </c>
      <c r="E5799" s="76" t="str">
        <f>IFERROR(IF('[1]G_Fall-back'!E68 = "", "", '[1]G_Fall-back'!E68 ),"")</f>
        <v/>
      </c>
      <c r="F5799" s="77" t="str">
        <f>IFERROR(IF('[1]G_Fall-back'!F68 = "", "", '[1]G_Fall-back'!F68 ),"")</f>
        <v/>
      </c>
      <c r="G5799" s="361" t="str">
        <f>IFERROR(IF('[1]G_Fall-back'!G68 = "", "", '[1]G_Fall-back'!G68 ),"")</f>
        <v/>
      </c>
      <c r="H5799" s="362" t="str">
        <f>IFERROR(IF('[1]G_Fall-back'!H68 = "", "", '[1]G_Fall-back'!H68 ),"")</f>
        <v/>
      </c>
      <c r="I5799" s="361" t="str">
        <f>IFERROR(IF('[1]G_Fall-back'!I68 = "", "", '[1]G_Fall-back'!I68 ),"")</f>
        <v/>
      </c>
      <c r="J5799" s="362" t="str">
        <f>IFERROR(IF('[1]G_Fall-back'!J68 = "", "", '[1]G_Fall-back'!J68 ),"")</f>
        <v/>
      </c>
      <c r="K5799" s="101" t="str">
        <f>IFERROR(IF('[1]G_Fall-back'!K68 = "", "", '[1]G_Fall-back'!K68 ),"")</f>
        <v/>
      </c>
      <c r="L5799" s="101" t="str">
        <f>IFERROR(IF('[1]G_Fall-back'!L68 = "", "", '[1]G_Fall-back'!L68 ),"")</f>
        <v/>
      </c>
      <c r="M5799" s="101" t="str">
        <f>IFERROR(IF('[1]G_Fall-back'!M68 = "", "", '[1]G_Fall-back'!M68 ),"")</f>
        <v/>
      </c>
      <c r="N5799" s="101" t="str">
        <f>IFERROR(IF('[1]G_Fall-back'!N68 = "", "", '[1]G_Fall-back'!N68 ),"")</f>
        <v/>
      </c>
    </row>
    <row r="5800" spans="3:14">
      <c r="C5800" s="484"/>
      <c r="D5800" s="582">
        <v>5</v>
      </c>
      <c r="E5800" s="76" t="str">
        <f>IFERROR(IF('[1]G_Fall-back'!E69 = "", "", '[1]G_Fall-back'!E69 ),"")</f>
        <v/>
      </c>
      <c r="F5800" s="77" t="str">
        <f>IFERROR(IF('[1]G_Fall-back'!F69 = "", "", '[1]G_Fall-back'!F69 ),"")</f>
        <v/>
      </c>
      <c r="G5800" s="361" t="str">
        <f>IFERROR(IF('[1]G_Fall-back'!G69 = "", "", '[1]G_Fall-back'!G69 ),"")</f>
        <v/>
      </c>
      <c r="H5800" s="362" t="str">
        <f>IFERROR(IF('[1]G_Fall-back'!H69 = "", "", '[1]G_Fall-back'!H69 ),"")</f>
        <v/>
      </c>
      <c r="I5800" s="361" t="str">
        <f>IFERROR(IF('[1]G_Fall-back'!I69 = "", "", '[1]G_Fall-back'!I69 ),"")</f>
        <v/>
      </c>
      <c r="J5800" s="362" t="str">
        <f>IFERROR(IF('[1]G_Fall-back'!J69 = "", "", '[1]G_Fall-back'!J69 ),"")</f>
        <v/>
      </c>
      <c r="K5800" s="101" t="str">
        <f>IFERROR(IF('[1]G_Fall-back'!K69 = "", "", '[1]G_Fall-back'!K69 ),"")</f>
        <v/>
      </c>
      <c r="L5800" s="101" t="str">
        <f>IFERROR(IF('[1]G_Fall-back'!L69 = "", "", '[1]G_Fall-back'!L69 ),"")</f>
        <v/>
      </c>
      <c r="M5800" s="101" t="str">
        <f>IFERROR(IF('[1]G_Fall-back'!M69 = "", "", '[1]G_Fall-back'!M69 ),"")</f>
        <v/>
      </c>
      <c r="N5800" s="101" t="str">
        <f>IFERROR(IF('[1]G_Fall-back'!N69 = "", "", '[1]G_Fall-back'!N69 ),"")</f>
        <v/>
      </c>
    </row>
    <row r="5801" spans="3:14">
      <c r="C5801" s="484"/>
      <c r="D5801" s="582">
        <v>6</v>
      </c>
      <c r="E5801" s="76" t="str">
        <f>IFERROR(IF('[1]G_Fall-back'!E70 = "", "", '[1]G_Fall-back'!E70 ),"")</f>
        <v/>
      </c>
      <c r="F5801" s="77" t="str">
        <f>IFERROR(IF('[1]G_Fall-back'!F70 = "", "", '[1]G_Fall-back'!F70 ),"")</f>
        <v/>
      </c>
      <c r="G5801" s="361" t="str">
        <f>IFERROR(IF('[1]G_Fall-back'!G70 = "", "", '[1]G_Fall-back'!G70 ),"")</f>
        <v/>
      </c>
      <c r="H5801" s="362" t="str">
        <f>IFERROR(IF('[1]G_Fall-back'!H70 = "", "", '[1]G_Fall-back'!H70 ),"")</f>
        <v/>
      </c>
      <c r="I5801" s="361" t="str">
        <f>IFERROR(IF('[1]G_Fall-back'!I70 = "", "", '[1]G_Fall-back'!I70 ),"")</f>
        <v/>
      </c>
      <c r="J5801" s="362" t="str">
        <f>IFERROR(IF('[1]G_Fall-back'!J70 = "", "", '[1]G_Fall-back'!J70 ),"")</f>
        <v/>
      </c>
      <c r="K5801" s="101" t="str">
        <f>IFERROR(IF('[1]G_Fall-back'!K70 = "", "", '[1]G_Fall-back'!K70 ),"")</f>
        <v/>
      </c>
      <c r="L5801" s="101" t="str">
        <f>IFERROR(IF('[1]G_Fall-back'!L70 = "", "", '[1]G_Fall-back'!L70 ),"")</f>
        <v/>
      </c>
      <c r="M5801" s="101" t="str">
        <f>IFERROR(IF('[1]G_Fall-back'!M70 = "", "", '[1]G_Fall-back'!M70 ),"")</f>
        <v/>
      </c>
      <c r="N5801" s="101" t="str">
        <f>IFERROR(IF('[1]G_Fall-back'!N70 = "", "", '[1]G_Fall-back'!N70 ),"")</f>
        <v/>
      </c>
    </row>
    <row r="5802" spans="3:14">
      <c r="C5802" s="484"/>
      <c r="D5802" s="582">
        <v>7</v>
      </c>
      <c r="E5802" s="76" t="str">
        <f>IFERROR(IF('[1]G_Fall-back'!E71 = "", "", '[1]G_Fall-back'!E71 ),"")</f>
        <v/>
      </c>
      <c r="F5802" s="77" t="str">
        <f>IFERROR(IF('[1]G_Fall-back'!F71 = "", "", '[1]G_Fall-back'!F71 ),"")</f>
        <v/>
      </c>
      <c r="G5802" s="361" t="str">
        <f>IFERROR(IF('[1]G_Fall-back'!G71 = "", "", '[1]G_Fall-back'!G71 ),"")</f>
        <v/>
      </c>
      <c r="H5802" s="362" t="str">
        <f>IFERROR(IF('[1]G_Fall-back'!H71 = "", "", '[1]G_Fall-back'!H71 ),"")</f>
        <v/>
      </c>
      <c r="I5802" s="361" t="str">
        <f>IFERROR(IF('[1]G_Fall-back'!I71 = "", "", '[1]G_Fall-back'!I71 ),"")</f>
        <v/>
      </c>
      <c r="J5802" s="362" t="str">
        <f>IFERROR(IF('[1]G_Fall-back'!J71 = "", "", '[1]G_Fall-back'!J71 ),"")</f>
        <v/>
      </c>
      <c r="K5802" s="101" t="str">
        <f>IFERROR(IF('[1]G_Fall-back'!K71 = "", "", '[1]G_Fall-back'!K71 ),"")</f>
        <v/>
      </c>
      <c r="L5802" s="101" t="str">
        <f>IFERROR(IF('[1]G_Fall-back'!L71 = "", "", '[1]G_Fall-back'!L71 ),"")</f>
        <v/>
      </c>
      <c r="M5802" s="101" t="str">
        <f>IFERROR(IF('[1]G_Fall-back'!M71 = "", "", '[1]G_Fall-back'!M71 ),"")</f>
        <v/>
      </c>
      <c r="N5802" s="101" t="str">
        <f>IFERROR(IF('[1]G_Fall-back'!N71 = "", "", '[1]G_Fall-back'!N71 ),"")</f>
        <v/>
      </c>
    </row>
    <row r="5803" spans="3:14">
      <c r="C5803" s="484"/>
      <c r="D5803" s="582">
        <v>8</v>
      </c>
      <c r="E5803" s="76" t="str">
        <f>IFERROR(IF('[1]G_Fall-back'!E72 = "", "", '[1]G_Fall-back'!E72 ),"")</f>
        <v/>
      </c>
      <c r="F5803" s="77" t="str">
        <f>IFERROR(IF('[1]G_Fall-back'!F72 = "", "", '[1]G_Fall-back'!F72 ),"")</f>
        <v/>
      </c>
      <c r="G5803" s="361" t="str">
        <f>IFERROR(IF('[1]G_Fall-back'!G72 = "", "", '[1]G_Fall-back'!G72 ),"")</f>
        <v/>
      </c>
      <c r="H5803" s="362" t="str">
        <f>IFERROR(IF('[1]G_Fall-back'!H72 = "", "", '[1]G_Fall-back'!H72 ),"")</f>
        <v/>
      </c>
      <c r="I5803" s="361" t="str">
        <f>IFERROR(IF('[1]G_Fall-back'!I72 = "", "", '[1]G_Fall-back'!I72 ),"")</f>
        <v/>
      </c>
      <c r="J5803" s="362" t="str">
        <f>IFERROR(IF('[1]G_Fall-back'!J72 = "", "", '[1]G_Fall-back'!J72 ),"")</f>
        <v/>
      </c>
      <c r="K5803" s="101" t="str">
        <f>IFERROR(IF('[1]G_Fall-back'!K72 = "", "", '[1]G_Fall-back'!K72 ),"")</f>
        <v/>
      </c>
      <c r="L5803" s="101" t="str">
        <f>IFERROR(IF('[1]G_Fall-back'!L72 = "", "", '[1]G_Fall-back'!L72 ),"")</f>
        <v/>
      </c>
      <c r="M5803" s="101" t="str">
        <f>IFERROR(IF('[1]G_Fall-back'!M72 = "", "", '[1]G_Fall-back'!M72 ),"")</f>
        <v/>
      </c>
      <c r="N5803" s="101" t="str">
        <f>IFERROR(IF('[1]G_Fall-back'!N72 = "", "", '[1]G_Fall-back'!N72 ),"")</f>
        <v/>
      </c>
    </row>
    <row r="5804" spans="3:14">
      <c r="C5804" s="484"/>
      <c r="D5804" s="582">
        <v>9</v>
      </c>
      <c r="E5804" s="76" t="str">
        <f>IFERROR(IF('[1]G_Fall-back'!E73 = "", "", '[1]G_Fall-back'!E73 ),"")</f>
        <v/>
      </c>
      <c r="F5804" s="77" t="str">
        <f>IFERROR(IF('[1]G_Fall-back'!F73 = "", "", '[1]G_Fall-back'!F73 ),"")</f>
        <v/>
      </c>
      <c r="G5804" s="361" t="str">
        <f>IFERROR(IF('[1]G_Fall-back'!G73 = "", "", '[1]G_Fall-back'!G73 ),"")</f>
        <v/>
      </c>
      <c r="H5804" s="362" t="str">
        <f>IFERROR(IF('[1]G_Fall-back'!H73 = "", "", '[1]G_Fall-back'!H73 ),"")</f>
        <v/>
      </c>
      <c r="I5804" s="361" t="str">
        <f>IFERROR(IF('[1]G_Fall-back'!I73 = "", "", '[1]G_Fall-back'!I73 ),"")</f>
        <v/>
      </c>
      <c r="J5804" s="362" t="str">
        <f>IFERROR(IF('[1]G_Fall-back'!J73 = "", "", '[1]G_Fall-back'!J73 ),"")</f>
        <v/>
      </c>
      <c r="K5804" s="101" t="str">
        <f>IFERROR(IF('[1]G_Fall-back'!K73 = "", "", '[1]G_Fall-back'!K73 ),"")</f>
        <v/>
      </c>
      <c r="L5804" s="101" t="str">
        <f>IFERROR(IF('[1]G_Fall-back'!L73 = "", "", '[1]G_Fall-back'!L73 ),"")</f>
        <v/>
      </c>
      <c r="M5804" s="101" t="str">
        <f>IFERROR(IF('[1]G_Fall-back'!M73 = "", "", '[1]G_Fall-back'!M73 ),"")</f>
        <v/>
      </c>
      <c r="N5804" s="101" t="str">
        <f>IFERROR(IF('[1]G_Fall-back'!N73 = "", "", '[1]G_Fall-back'!N73 ),"")</f>
        <v/>
      </c>
    </row>
    <row r="5805" spans="3:14">
      <c r="C5805" s="484"/>
      <c r="D5805" s="584">
        <v>10</v>
      </c>
      <c r="E5805" s="78" t="str">
        <f>IFERROR(IF('[1]G_Fall-back'!E74 = "", "", '[1]G_Fall-back'!E74 ),"")</f>
        <v/>
      </c>
      <c r="F5805" s="68" t="str">
        <f>IFERROR(IF('[1]G_Fall-back'!F74 = "", "", '[1]G_Fall-back'!F74 ),"")</f>
        <v/>
      </c>
      <c r="G5805" s="113" t="str">
        <f>IFERROR(IF('[1]G_Fall-back'!G74 = "", "", '[1]G_Fall-back'!G74 ),"")</f>
        <v/>
      </c>
      <c r="H5805" s="114" t="str">
        <f>IFERROR(IF('[1]G_Fall-back'!H74 = "", "", '[1]G_Fall-back'!H74 ),"")</f>
        <v/>
      </c>
      <c r="I5805" s="113" t="str">
        <f>IFERROR(IF('[1]G_Fall-back'!I74 = "", "", '[1]G_Fall-back'!I74 ),"")</f>
        <v/>
      </c>
      <c r="J5805" s="114" t="str">
        <f>IFERROR(IF('[1]G_Fall-back'!J74 = "", "", '[1]G_Fall-back'!J74 ),"")</f>
        <v/>
      </c>
      <c r="K5805" s="95" t="str">
        <f>IFERROR(IF('[1]G_Fall-back'!K74 = "", "", '[1]G_Fall-back'!K74 ),"")</f>
        <v/>
      </c>
      <c r="L5805" s="95" t="str">
        <f>IFERROR(IF('[1]G_Fall-back'!L74 = "", "", '[1]G_Fall-back'!L74 ),"")</f>
        <v/>
      </c>
      <c r="M5805" s="95" t="str">
        <f>IFERROR(IF('[1]G_Fall-back'!M74 = "", "", '[1]G_Fall-back'!M74 ),"")</f>
        <v/>
      </c>
      <c r="N5805" s="95" t="str">
        <f>IFERROR(IF('[1]G_Fall-back'!N74 = "", "", '[1]G_Fall-back'!N74 ),"")</f>
        <v/>
      </c>
    </row>
    <row r="5806" spans="3:14">
      <c r="C5806" s="485"/>
      <c r="D5806" s="971"/>
      <c r="E5806" s="972" t="s">
        <v>921</v>
      </c>
      <c r="F5806" s="68" t="str">
        <f>IFERROR(IF('[1]G_Fall-back'!F75 = "", "", '[1]G_Fall-back'!F75 ),"")</f>
        <v/>
      </c>
      <c r="G5806" s="340" t="str">
        <f>IFERROR(IF('[1]G_Fall-back'!G75 = "", "", '[1]G_Fall-back'!G75 ),"")</f>
        <v/>
      </c>
      <c r="H5806" s="341" t="str">
        <f>IFERROR(IF('[1]G_Fall-back'!H75 = "", "", '[1]G_Fall-back'!H75 ),"")</f>
        <v/>
      </c>
      <c r="I5806" s="340" t="str">
        <f>IFERROR(IF('[1]G_Fall-back'!I75 = "", "", '[1]G_Fall-back'!I75 ),"")</f>
        <v/>
      </c>
      <c r="J5806" s="341" t="str">
        <f>IFERROR(IF('[1]G_Fall-back'!J75 = "", "", '[1]G_Fall-back'!J75 ),"")</f>
        <v/>
      </c>
      <c r="K5806" s="86" t="str">
        <f>IFERROR(IF('[1]G_Fall-back'!K75 = "", "", '[1]G_Fall-back'!K75 ),"")</f>
        <v/>
      </c>
      <c r="L5806" s="86" t="str">
        <f>IFERROR(IF('[1]G_Fall-back'!L75 = "", "", '[1]G_Fall-back'!L75 ),"")</f>
        <v/>
      </c>
      <c r="M5806" s="86" t="str">
        <f>IFERROR(IF('[1]G_Fall-back'!M75 = "", "", '[1]G_Fall-back'!M75 ),"")</f>
        <v/>
      </c>
      <c r="N5806" s="86" t="str">
        <f>IFERROR(IF('[1]G_Fall-back'!N75 = "", "", '[1]G_Fall-back'!N75 ),"")</f>
        <v/>
      </c>
    </row>
    <row r="5807" spans="3:14">
      <c r="C5807" s="467"/>
      <c r="D5807" s="467"/>
      <c r="E5807" s="467"/>
      <c r="F5807" s="467"/>
      <c r="G5807" s="467"/>
      <c r="H5807" s="467"/>
      <c r="I5807" s="467"/>
      <c r="J5807" s="467"/>
      <c r="K5807" s="467"/>
      <c r="L5807" s="467"/>
      <c r="M5807" s="467"/>
      <c r="N5807" s="467"/>
    </row>
    <row r="5808" spans="3:14">
      <c r="C5808" s="467"/>
      <c r="D5808" s="482" t="s">
        <v>1711</v>
      </c>
      <c r="E5808" s="2373" t="s">
        <v>1926</v>
      </c>
      <c r="F5808" s="2400"/>
      <c r="G5808" s="2400"/>
      <c r="H5808" s="2400"/>
      <c r="I5808" s="2400"/>
      <c r="J5808" s="2400"/>
      <c r="K5808" s="2400"/>
      <c r="L5808" s="2400"/>
      <c r="M5808" s="2400"/>
      <c r="N5808" s="2400"/>
    </row>
    <row r="5809" spans="3:14">
      <c r="C5809" s="485"/>
      <c r="D5809" s="485"/>
      <c r="E5809" s="2465" t="s">
        <v>1877</v>
      </c>
      <c r="F5809" s="2400"/>
      <c r="G5809" s="2400"/>
      <c r="H5809" s="2400"/>
      <c r="I5809" s="2400"/>
      <c r="J5809" s="2400"/>
      <c r="K5809" s="2400"/>
      <c r="L5809" s="2400"/>
      <c r="M5809" s="2400"/>
      <c r="N5809" s="2400"/>
    </row>
    <row r="5810" spans="3:14">
      <c r="C5810" s="467"/>
      <c r="D5810" s="467"/>
      <c r="E5810" s="2466" t="s">
        <v>1957</v>
      </c>
      <c r="F5810" s="2467"/>
      <c r="G5810" s="2467"/>
      <c r="H5810" s="2467"/>
      <c r="I5810" s="2467"/>
      <c r="J5810" s="2467"/>
      <c r="K5810" s="2467"/>
      <c r="L5810" s="2467"/>
      <c r="M5810" s="2467"/>
      <c r="N5810" s="2467"/>
    </row>
    <row r="5811" spans="3:14">
      <c r="C5811" s="467"/>
      <c r="D5811" s="467"/>
      <c r="E5811" s="2466" t="s">
        <v>2529</v>
      </c>
      <c r="F5811" s="2467"/>
      <c r="G5811" s="2467"/>
      <c r="H5811" s="2467"/>
      <c r="I5811" s="2467"/>
      <c r="J5811" s="2467"/>
      <c r="K5811" s="2467"/>
      <c r="L5811" s="2467"/>
      <c r="M5811" s="2467"/>
      <c r="N5811" s="2467"/>
    </row>
    <row r="5812" spans="3:14">
      <c r="C5812" s="467"/>
      <c r="D5812" s="467"/>
      <c r="E5812" s="540" t="s">
        <v>1021</v>
      </c>
      <c r="F5812" s="2466" t="s">
        <v>1921</v>
      </c>
      <c r="G5812" s="2467"/>
      <c r="H5812" s="2467"/>
      <c r="I5812" s="2467"/>
      <c r="J5812" s="2467"/>
      <c r="K5812" s="2467"/>
      <c r="L5812" s="2467"/>
      <c r="M5812" s="2467"/>
      <c r="N5812" s="2467"/>
    </row>
    <row r="5813" spans="3:14">
      <c r="C5813" s="467"/>
      <c r="D5813" s="467"/>
      <c r="E5813" s="540" t="s">
        <v>1021</v>
      </c>
      <c r="F5813" s="2466" t="s">
        <v>1922</v>
      </c>
      <c r="G5813" s="2467"/>
      <c r="H5813" s="2467"/>
      <c r="I5813" s="2467"/>
      <c r="J5813" s="2467"/>
      <c r="K5813" s="2467"/>
      <c r="L5813" s="2467"/>
      <c r="M5813" s="2467"/>
      <c r="N5813" s="2467"/>
    </row>
    <row r="5814" spans="3:14">
      <c r="C5814" s="467"/>
      <c r="D5814" s="467"/>
      <c r="E5814" s="540" t="s">
        <v>1021</v>
      </c>
      <c r="F5814" s="2466" t="s">
        <v>2528</v>
      </c>
      <c r="G5814" s="2467"/>
      <c r="H5814" s="2467"/>
      <c r="I5814" s="2467"/>
      <c r="J5814" s="2467"/>
      <c r="K5814" s="2467"/>
      <c r="L5814" s="2467"/>
      <c r="M5814" s="2467"/>
      <c r="N5814" s="2467"/>
    </row>
    <row r="5815" spans="3:14">
      <c r="C5815" s="467"/>
      <c r="D5815" s="467"/>
      <c r="E5815" s="2465" t="s">
        <v>1931</v>
      </c>
      <c r="F5815" s="2400"/>
      <c r="G5815" s="2400"/>
      <c r="H5815" s="2400"/>
      <c r="I5815" s="2400"/>
      <c r="J5815" s="2400"/>
      <c r="K5815" s="2400"/>
      <c r="L5815" s="2400"/>
      <c r="M5815" s="2400"/>
      <c r="N5815" s="2400"/>
    </row>
    <row r="5816" spans="3:14">
      <c r="C5816" s="467"/>
      <c r="D5816" s="467"/>
      <c r="E5816" s="2465" t="s">
        <v>1903</v>
      </c>
      <c r="F5816" s="2400"/>
      <c r="G5816" s="2400"/>
      <c r="H5816" s="2400"/>
      <c r="I5816" s="2400"/>
      <c r="J5816" s="2400"/>
      <c r="K5816" s="2400"/>
      <c r="L5816" s="2400"/>
      <c r="M5816" s="2400"/>
      <c r="N5816" s="2400"/>
    </row>
    <row r="5817" spans="3:14">
      <c r="C5817" s="467"/>
      <c r="D5817" s="467"/>
      <c r="E5817" s="2465"/>
      <c r="F5817" s="2400"/>
      <c r="G5817" s="2400"/>
      <c r="H5817" s="2400"/>
      <c r="I5817" s="2400"/>
      <c r="J5817" s="2400"/>
      <c r="K5817" s="2400"/>
      <c r="L5817" s="2400"/>
      <c r="M5817" s="2400"/>
      <c r="N5817" s="2400"/>
    </row>
    <row r="5818" spans="3:14" ht="25.5">
      <c r="C5818" s="1028"/>
      <c r="D5818" s="1029"/>
      <c r="E5818" s="870" t="s">
        <v>1227</v>
      </c>
      <c r="F5818" s="1030" t="s">
        <v>884</v>
      </c>
      <c r="G5818" s="1031" t="s">
        <v>1710</v>
      </c>
      <c r="H5818" s="1032">
        <v>2019</v>
      </c>
      <c r="I5818" s="1031">
        <v>2020</v>
      </c>
      <c r="J5818" s="1032">
        <v>2021</v>
      </c>
      <c r="K5818" s="1033">
        <v>2022</v>
      </c>
      <c r="L5818" s="1033">
        <v>2023</v>
      </c>
      <c r="M5818" s="1033">
        <v>2024</v>
      </c>
      <c r="N5818" s="1033">
        <v>2025</v>
      </c>
    </row>
    <row r="5819" spans="3:14">
      <c r="C5819" s="484"/>
      <c r="D5819" s="579">
        <v>1</v>
      </c>
      <c r="E5819" s="75" t="str">
        <f>IFERROR(IF('[1]G_Fall-back'!E88 = "", "", '[1]G_Fall-back'!E88 ),"")</f>
        <v/>
      </c>
      <c r="F5819" s="950" t="s">
        <v>283</v>
      </c>
      <c r="G5819" s="110" t="str">
        <f>IFERROR(IF('[1]G_Fall-back'!G88 = "", "", '[1]G_Fall-back'!G88 ),"")</f>
        <v/>
      </c>
      <c r="H5819" s="111" t="str">
        <f>IFERROR(IF('[1]G_Fall-back'!H88 = "", "", '[1]G_Fall-back'!H88 ),"")</f>
        <v/>
      </c>
      <c r="I5819" s="110" t="str">
        <f>IFERROR(IF('[1]G_Fall-back'!I88 = "", "", '[1]G_Fall-back'!I88 ),"")</f>
        <v/>
      </c>
      <c r="J5819" s="111" t="str">
        <f>IFERROR(IF('[1]G_Fall-back'!J88 = "", "", '[1]G_Fall-back'!J88 ),"")</f>
        <v/>
      </c>
      <c r="K5819" s="94" t="str">
        <f>IFERROR(IF('[1]G_Fall-back'!K88 = "", "", '[1]G_Fall-back'!K88 ),"")</f>
        <v/>
      </c>
      <c r="L5819" s="94" t="str">
        <f>IFERROR(IF('[1]G_Fall-back'!L88 = "", "", '[1]G_Fall-back'!L88 ),"")</f>
        <v/>
      </c>
      <c r="M5819" s="94" t="str">
        <f>IFERROR(IF('[1]G_Fall-back'!M88 = "", "", '[1]G_Fall-back'!M88 ),"")</f>
        <v/>
      </c>
      <c r="N5819" s="94" t="str">
        <f>IFERROR(IF('[1]G_Fall-back'!N88 = "", "", '[1]G_Fall-back'!N88 ),"")</f>
        <v/>
      </c>
    </row>
    <row r="5820" spans="3:14">
      <c r="C5820" s="484"/>
      <c r="D5820" s="582">
        <v>2</v>
      </c>
      <c r="E5820" s="76" t="str">
        <f>IFERROR(IF('[1]G_Fall-back'!E89 = "", "", '[1]G_Fall-back'!E89 ),"")</f>
        <v/>
      </c>
      <c r="F5820" s="1038" t="s">
        <v>283</v>
      </c>
      <c r="G5820" s="361" t="str">
        <f>IFERROR(IF('[1]G_Fall-back'!G89 = "", "", '[1]G_Fall-back'!G89 ),"")</f>
        <v/>
      </c>
      <c r="H5820" s="362" t="str">
        <f>IFERROR(IF('[1]G_Fall-back'!H89 = "", "", '[1]G_Fall-back'!H89 ),"")</f>
        <v/>
      </c>
      <c r="I5820" s="361" t="str">
        <f>IFERROR(IF('[1]G_Fall-back'!I89 = "", "", '[1]G_Fall-back'!I89 ),"")</f>
        <v/>
      </c>
      <c r="J5820" s="362" t="str">
        <f>IFERROR(IF('[1]G_Fall-back'!J89 = "", "", '[1]G_Fall-back'!J89 ),"")</f>
        <v/>
      </c>
      <c r="K5820" s="101" t="str">
        <f>IFERROR(IF('[1]G_Fall-back'!K89 = "", "", '[1]G_Fall-back'!K89 ),"")</f>
        <v/>
      </c>
      <c r="L5820" s="101" t="str">
        <f>IFERROR(IF('[1]G_Fall-back'!L89 = "", "", '[1]G_Fall-back'!L89 ),"")</f>
        <v/>
      </c>
      <c r="M5820" s="101" t="str">
        <f>IFERROR(IF('[1]G_Fall-back'!M89 = "", "", '[1]G_Fall-back'!M89 ),"")</f>
        <v/>
      </c>
      <c r="N5820" s="101" t="str">
        <f>IFERROR(IF('[1]G_Fall-back'!N89 = "", "", '[1]G_Fall-back'!N89 ),"")</f>
        <v/>
      </c>
    </row>
    <row r="5821" spans="3:14">
      <c r="C5821" s="484"/>
      <c r="D5821" s="582">
        <v>3</v>
      </c>
      <c r="E5821" s="76" t="str">
        <f>IFERROR(IF('[1]G_Fall-back'!E90 = "", "", '[1]G_Fall-back'!E90 ),"")</f>
        <v/>
      </c>
      <c r="F5821" s="1038" t="s">
        <v>283</v>
      </c>
      <c r="G5821" s="361" t="str">
        <f>IFERROR(IF('[1]G_Fall-back'!G90 = "", "", '[1]G_Fall-back'!G90 ),"")</f>
        <v/>
      </c>
      <c r="H5821" s="362" t="str">
        <f>IFERROR(IF('[1]G_Fall-back'!H90 = "", "", '[1]G_Fall-back'!H90 ),"")</f>
        <v/>
      </c>
      <c r="I5821" s="361" t="str">
        <f>IFERROR(IF('[1]G_Fall-back'!I90 = "", "", '[1]G_Fall-back'!I90 ),"")</f>
        <v/>
      </c>
      <c r="J5821" s="362" t="str">
        <f>IFERROR(IF('[1]G_Fall-back'!J90 = "", "", '[1]G_Fall-back'!J90 ),"")</f>
        <v/>
      </c>
      <c r="K5821" s="101" t="str">
        <f>IFERROR(IF('[1]G_Fall-back'!K90 = "", "", '[1]G_Fall-back'!K90 ),"")</f>
        <v/>
      </c>
      <c r="L5821" s="101" t="str">
        <f>IFERROR(IF('[1]G_Fall-back'!L90 = "", "", '[1]G_Fall-back'!L90 ),"")</f>
        <v/>
      </c>
      <c r="M5821" s="101" t="str">
        <f>IFERROR(IF('[1]G_Fall-back'!M90 = "", "", '[1]G_Fall-back'!M90 ),"")</f>
        <v/>
      </c>
      <c r="N5821" s="101" t="str">
        <f>IFERROR(IF('[1]G_Fall-back'!N90 = "", "", '[1]G_Fall-back'!N90 ),"")</f>
        <v/>
      </c>
    </row>
    <row r="5822" spans="3:14">
      <c r="C5822" s="484"/>
      <c r="D5822" s="582">
        <v>4</v>
      </c>
      <c r="E5822" s="76" t="str">
        <f>IFERROR(IF('[1]G_Fall-back'!E91 = "", "", '[1]G_Fall-back'!E91 ),"")</f>
        <v/>
      </c>
      <c r="F5822" s="1038" t="s">
        <v>283</v>
      </c>
      <c r="G5822" s="361" t="str">
        <f>IFERROR(IF('[1]G_Fall-back'!G91 = "", "", '[1]G_Fall-back'!G91 ),"")</f>
        <v/>
      </c>
      <c r="H5822" s="362" t="str">
        <f>IFERROR(IF('[1]G_Fall-back'!H91 = "", "", '[1]G_Fall-back'!H91 ),"")</f>
        <v/>
      </c>
      <c r="I5822" s="361" t="str">
        <f>IFERROR(IF('[1]G_Fall-back'!I91 = "", "", '[1]G_Fall-back'!I91 ),"")</f>
        <v/>
      </c>
      <c r="J5822" s="362" t="str">
        <f>IFERROR(IF('[1]G_Fall-back'!J91 = "", "", '[1]G_Fall-back'!J91 ),"")</f>
        <v/>
      </c>
      <c r="K5822" s="101" t="str">
        <f>IFERROR(IF('[1]G_Fall-back'!K91 = "", "", '[1]G_Fall-back'!K91 ),"")</f>
        <v/>
      </c>
      <c r="L5822" s="101" t="str">
        <f>IFERROR(IF('[1]G_Fall-back'!L91 = "", "", '[1]G_Fall-back'!L91 ),"")</f>
        <v/>
      </c>
      <c r="M5822" s="101" t="str">
        <f>IFERROR(IF('[1]G_Fall-back'!M91 = "", "", '[1]G_Fall-back'!M91 ),"")</f>
        <v/>
      </c>
      <c r="N5822" s="101" t="str">
        <f>IFERROR(IF('[1]G_Fall-back'!N91 = "", "", '[1]G_Fall-back'!N91 ),"")</f>
        <v/>
      </c>
    </row>
    <row r="5823" spans="3:14">
      <c r="C5823" s="484"/>
      <c r="D5823" s="582">
        <v>5</v>
      </c>
      <c r="E5823" s="76" t="str">
        <f>IFERROR(IF('[1]G_Fall-back'!E92 = "", "", '[1]G_Fall-back'!E92 ),"")</f>
        <v/>
      </c>
      <c r="F5823" s="1038" t="s">
        <v>283</v>
      </c>
      <c r="G5823" s="361" t="str">
        <f>IFERROR(IF('[1]G_Fall-back'!G92 = "", "", '[1]G_Fall-back'!G92 ),"")</f>
        <v/>
      </c>
      <c r="H5823" s="362" t="str">
        <f>IFERROR(IF('[1]G_Fall-back'!H92 = "", "", '[1]G_Fall-back'!H92 ),"")</f>
        <v/>
      </c>
      <c r="I5823" s="361" t="str">
        <f>IFERROR(IF('[1]G_Fall-back'!I92 = "", "", '[1]G_Fall-back'!I92 ),"")</f>
        <v/>
      </c>
      <c r="J5823" s="362" t="str">
        <f>IFERROR(IF('[1]G_Fall-back'!J92 = "", "", '[1]G_Fall-back'!J92 ),"")</f>
        <v/>
      </c>
      <c r="K5823" s="101" t="str">
        <f>IFERROR(IF('[1]G_Fall-back'!K92 = "", "", '[1]G_Fall-back'!K92 ),"")</f>
        <v/>
      </c>
      <c r="L5823" s="101" t="str">
        <f>IFERROR(IF('[1]G_Fall-back'!L92 = "", "", '[1]G_Fall-back'!L92 ),"")</f>
        <v/>
      </c>
      <c r="M5823" s="101" t="str">
        <f>IFERROR(IF('[1]G_Fall-back'!M92 = "", "", '[1]G_Fall-back'!M92 ),"")</f>
        <v/>
      </c>
      <c r="N5823" s="101" t="str">
        <f>IFERROR(IF('[1]G_Fall-back'!N92 = "", "", '[1]G_Fall-back'!N92 ),"")</f>
        <v/>
      </c>
    </row>
    <row r="5824" spans="3:14">
      <c r="C5824" s="484"/>
      <c r="D5824" s="582">
        <v>6</v>
      </c>
      <c r="E5824" s="76" t="str">
        <f>IFERROR(IF('[1]G_Fall-back'!E93 = "", "", '[1]G_Fall-back'!E93 ),"")</f>
        <v/>
      </c>
      <c r="F5824" s="1038" t="s">
        <v>283</v>
      </c>
      <c r="G5824" s="361" t="str">
        <f>IFERROR(IF('[1]G_Fall-back'!G93 = "", "", '[1]G_Fall-back'!G93 ),"")</f>
        <v/>
      </c>
      <c r="H5824" s="362" t="str">
        <f>IFERROR(IF('[1]G_Fall-back'!H93 = "", "", '[1]G_Fall-back'!H93 ),"")</f>
        <v/>
      </c>
      <c r="I5824" s="361" t="str">
        <f>IFERROR(IF('[1]G_Fall-back'!I93 = "", "", '[1]G_Fall-back'!I93 ),"")</f>
        <v/>
      </c>
      <c r="J5824" s="362" t="str">
        <f>IFERROR(IF('[1]G_Fall-back'!J93 = "", "", '[1]G_Fall-back'!J93 ),"")</f>
        <v/>
      </c>
      <c r="K5824" s="101" t="str">
        <f>IFERROR(IF('[1]G_Fall-back'!K93 = "", "", '[1]G_Fall-back'!K93 ),"")</f>
        <v/>
      </c>
      <c r="L5824" s="101" t="str">
        <f>IFERROR(IF('[1]G_Fall-back'!L93 = "", "", '[1]G_Fall-back'!L93 ),"")</f>
        <v/>
      </c>
      <c r="M5824" s="101" t="str">
        <f>IFERROR(IF('[1]G_Fall-back'!M93 = "", "", '[1]G_Fall-back'!M93 ),"")</f>
        <v/>
      </c>
      <c r="N5824" s="101" t="str">
        <f>IFERROR(IF('[1]G_Fall-back'!N93 = "", "", '[1]G_Fall-back'!N93 ),"")</f>
        <v/>
      </c>
    </row>
    <row r="5825" spans="3:14">
      <c r="C5825" s="484"/>
      <c r="D5825" s="582">
        <v>7</v>
      </c>
      <c r="E5825" s="76" t="str">
        <f>IFERROR(IF('[1]G_Fall-back'!E94 = "", "", '[1]G_Fall-back'!E94 ),"")</f>
        <v/>
      </c>
      <c r="F5825" s="1038" t="s">
        <v>283</v>
      </c>
      <c r="G5825" s="361" t="str">
        <f>IFERROR(IF('[1]G_Fall-back'!G94 = "", "", '[1]G_Fall-back'!G94 ),"")</f>
        <v/>
      </c>
      <c r="H5825" s="362" t="str">
        <f>IFERROR(IF('[1]G_Fall-back'!H94 = "", "", '[1]G_Fall-back'!H94 ),"")</f>
        <v/>
      </c>
      <c r="I5825" s="361" t="str">
        <f>IFERROR(IF('[1]G_Fall-back'!I94 = "", "", '[1]G_Fall-back'!I94 ),"")</f>
        <v/>
      </c>
      <c r="J5825" s="362" t="str">
        <f>IFERROR(IF('[1]G_Fall-back'!J94 = "", "", '[1]G_Fall-back'!J94 ),"")</f>
        <v/>
      </c>
      <c r="K5825" s="101" t="str">
        <f>IFERROR(IF('[1]G_Fall-back'!K94 = "", "", '[1]G_Fall-back'!K94 ),"")</f>
        <v/>
      </c>
      <c r="L5825" s="101" t="str">
        <f>IFERROR(IF('[1]G_Fall-back'!L94 = "", "", '[1]G_Fall-back'!L94 ),"")</f>
        <v/>
      </c>
      <c r="M5825" s="101" t="str">
        <f>IFERROR(IF('[1]G_Fall-back'!M94 = "", "", '[1]G_Fall-back'!M94 ),"")</f>
        <v/>
      </c>
      <c r="N5825" s="101" t="str">
        <f>IFERROR(IF('[1]G_Fall-back'!N94 = "", "", '[1]G_Fall-back'!N94 ),"")</f>
        <v/>
      </c>
    </row>
    <row r="5826" spans="3:14">
      <c r="C5826" s="484"/>
      <c r="D5826" s="582">
        <v>8</v>
      </c>
      <c r="E5826" s="76" t="str">
        <f>IFERROR(IF('[1]G_Fall-back'!E95 = "", "", '[1]G_Fall-back'!E95 ),"")</f>
        <v/>
      </c>
      <c r="F5826" s="1038" t="s">
        <v>283</v>
      </c>
      <c r="G5826" s="361" t="str">
        <f>IFERROR(IF('[1]G_Fall-back'!G95 = "", "", '[1]G_Fall-back'!G95 ),"")</f>
        <v/>
      </c>
      <c r="H5826" s="362" t="str">
        <f>IFERROR(IF('[1]G_Fall-back'!H95 = "", "", '[1]G_Fall-back'!H95 ),"")</f>
        <v/>
      </c>
      <c r="I5826" s="361" t="str">
        <f>IFERROR(IF('[1]G_Fall-back'!I95 = "", "", '[1]G_Fall-back'!I95 ),"")</f>
        <v/>
      </c>
      <c r="J5826" s="362" t="str">
        <f>IFERROR(IF('[1]G_Fall-back'!J95 = "", "", '[1]G_Fall-back'!J95 ),"")</f>
        <v/>
      </c>
      <c r="K5826" s="101" t="str">
        <f>IFERROR(IF('[1]G_Fall-back'!K95 = "", "", '[1]G_Fall-back'!K95 ),"")</f>
        <v/>
      </c>
      <c r="L5826" s="101" t="str">
        <f>IFERROR(IF('[1]G_Fall-back'!L95 = "", "", '[1]G_Fall-back'!L95 ),"")</f>
        <v/>
      </c>
      <c r="M5826" s="101" t="str">
        <f>IFERROR(IF('[1]G_Fall-back'!M95 = "", "", '[1]G_Fall-back'!M95 ),"")</f>
        <v/>
      </c>
      <c r="N5826" s="101" t="str">
        <f>IFERROR(IF('[1]G_Fall-back'!N95 = "", "", '[1]G_Fall-back'!N95 ),"")</f>
        <v/>
      </c>
    </row>
    <row r="5827" spans="3:14">
      <c r="C5827" s="484"/>
      <c r="D5827" s="582">
        <v>9</v>
      </c>
      <c r="E5827" s="76" t="str">
        <f>IFERROR(IF('[1]G_Fall-back'!E96 = "", "", '[1]G_Fall-back'!E96 ),"")</f>
        <v/>
      </c>
      <c r="F5827" s="1038" t="s">
        <v>283</v>
      </c>
      <c r="G5827" s="361" t="str">
        <f>IFERROR(IF('[1]G_Fall-back'!G96 = "", "", '[1]G_Fall-back'!G96 ),"")</f>
        <v/>
      </c>
      <c r="H5827" s="362" t="str">
        <f>IFERROR(IF('[1]G_Fall-back'!H96 = "", "", '[1]G_Fall-back'!H96 ),"")</f>
        <v/>
      </c>
      <c r="I5827" s="361" t="str">
        <f>IFERROR(IF('[1]G_Fall-back'!I96 = "", "", '[1]G_Fall-back'!I96 ),"")</f>
        <v/>
      </c>
      <c r="J5827" s="362" t="str">
        <f>IFERROR(IF('[1]G_Fall-back'!J96 = "", "", '[1]G_Fall-back'!J96 ),"")</f>
        <v/>
      </c>
      <c r="K5827" s="101" t="str">
        <f>IFERROR(IF('[1]G_Fall-back'!K96 = "", "", '[1]G_Fall-back'!K96 ),"")</f>
        <v/>
      </c>
      <c r="L5827" s="101" t="str">
        <f>IFERROR(IF('[1]G_Fall-back'!L96 = "", "", '[1]G_Fall-back'!L96 ),"")</f>
        <v/>
      </c>
      <c r="M5827" s="101" t="str">
        <f>IFERROR(IF('[1]G_Fall-back'!M96 = "", "", '[1]G_Fall-back'!M96 ),"")</f>
        <v/>
      </c>
      <c r="N5827" s="101" t="str">
        <f>IFERROR(IF('[1]G_Fall-back'!N96 = "", "", '[1]G_Fall-back'!N96 ),"")</f>
        <v/>
      </c>
    </row>
    <row r="5828" spans="3:14">
      <c r="C5828" s="484"/>
      <c r="D5828" s="584">
        <v>10</v>
      </c>
      <c r="E5828" s="78" t="str">
        <f>IFERROR(IF('[1]G_Fall-back'!E97 = "", "", '[1]G_Fall-back'!E97 ),"")</f>
        <v/>
      </c>
      <c r="F5828" s="1039" t="s">
        <v>283</v>
      </c>
      <c r="G5828" s="113" t="str">
        <f>IFERROR(IF('[1]G_Fall-back'!G97 = "", "", '[1]G_Fall-back'!G97 ),"")</f>
        <v/>
      </c>
      <c r="H5828" s="114" t="str">
        <f>IFERROR(IF('[1]G_Fall-back'!H97 = "", "", '[1]G_Fall-back'!H97 ),"")</f>
        <v/>
      </c>
      <c r="I5828" s="113" t="str">
        <f>IFERROR(IF('[1]G_Fall-back'!I97 = "", "", '[1]G_Fall-back'!I97 ),"")</f>
        <v/>
      </c>
      <c r="J5828" s="114" t="str">
        <f>IFERROR(IF('[1]G_Fall-back'!J97 = "", "", '[1]G_Fall-back'!J97 ),"")</f>
        <v/>
      </c>
      <c r="K5828" s="95" t="str">
        <f>IFERROR(IF('[1]G_Fall-back'!K97 = "", "", '[1]G_Fall-back'!K97 ),"")</f>
        <v/>
      </c>
      <c r="L5828" s="95" t="str">
        <f>IFERROR(IF('[1]G_Fall-back'!L97 = "", "", '[1]G_Fall-back'!L97 ),"")</f>
        <v/>
      </c>
      <c r="M5828" s="95" t="str">
        <f>IFERROR(IF('[1]G_Fall-back'!M97 = "", "", '[1]G_Fall-back'!M97 ),"")</f>
        <v/>
      </c>
      <c r="N5828" s="95" t="str">
        <f>IFERROR(IF('[1]G_Fall-back'!N97 = "", "", '[1]G_Fall-back'!N97 ),"")</f>
        <v/>
      </c>
    </row>
    <row r="5829" spans="3:14">
      <c r="C5829" s="485"/>
      <c r="D5829" s="971"/>
      <c r="E5829" s="972" t="s">
        <v>1713</v>
      </c>
      <c r="F5829" s="1039" t="s">
        <v>283</v>
      </c>
      <c r="G5829" s="340" t="str">
        <f>IFERROR(IF('[1]G_Fall-back'!G98 = "", "", '[1]G_Fall-back'!G98 ),"")</f>
        <v/>
      </c>
      <c r="H5829" s="341" t="str">
        <f>IFERROR(IF('[1]G_Fall-back'!H98 = "", "", '[1]G_Fall-back'!H98 ),"")</f>
        <v/>
      </c>
      <c r="I5829" s="340" t="str">
        <f>IFERROR(IF('[1]G_Fall-back'!I98 = "", "", '[1]G_Fall-back'!I98 ),"")</f>
        <v/>
      </c>
      <c r="J5829" s="341" t="str">
        <f>IFERROR(IF('[1]G_Fall-back'!J98 = "", "", '[1]G_Fall-back'!J98 ),"")</f>
        <v/>
      </c>
      <c r="K5829" s="86" t="str">
        <f>IFERROR(IF('[1]G_Fall-back'!K98 = "", "", '[1]G_Fall-back'!K98 ),"")</f>
        <v/>
      </c>
      <c r="L5829" s="86" t="str">
        <f>IFERROR(IF('[1]G_Fall-back'!L98 = "", "", '[1]G_Fall-back'!L98 ),"")</f>
        <v/>
      </c>
      <c r="M5829" s="86" t="str">
        <f>IFERROR(IF('[1]G_Fall-back'!M98 = "", "", '[1]G_Fall-back'!M98 ),"")</f>
        <v/>
      </c>
      <c r="N5829" s="86" t="str">
        <f>IFERROR(IF('[1]G_Fall-back'!N98 = "", "", '[1]G_Fall-back'!N98 ),"")</f>
        <v/>
      </c>
    </row>
    <row r="5830" spans="3:14">
      <c r="C5830" s="485"/>
      <c r="D5830" s="698"/>
      <c r="E5830" s="948" t="s">
        <v>1723</v>
      </c>
      <c r="F5830" s="1040" t="s">
        <v>283</v>
      </c>
      <c r="G5830" s="394" t="str">
        <f>IFERROR(IF('[1]G_Fall-back'!G99 = "", "", '[1]G_Fall-back'!G99 ),"")</f>
        <v/>
      </c>
      <c r="H5830" s="395" t="str">
        <f>IFERROR(IF('[1]G_Fall-back'!H99 = "", "", '[1]G_Fall-back'!H99 ),"")</f>
        <v/>
      </c>
      <c r="I5830" s="396" t="str">
        <f>IFERROR(IF('[1]G_Fall-back'!I99 = "", "", '[1]G_Fall-back'!I99 ),"")</f>
        <v/>
      </c>
      <c r="J5830" s="395" t="str">
        <f>IFERROR(IF('[1]G_Fall-back'!J99 = "", "", '[1]G_Fall-back'!J99 ),"")</f>
        <v/>
      </c>
      <c r="K5830" s="397" t="str">
        <f>IFERROR(IF('[1]G_Fall-back'!K99 = "", "", '[1]G_Fall-back'!K99 ),"")</f>
        <v/>
      </c>
      <c r="L5830" s="397" t="str">
        <f>IFERROR(IF('[1]G_Fall-back'!L99 = "", "", '[1]G_Fall-back'!L99 ),"")</f>
        <v/>
      </c>
      <c r="M5830" s="397" t="str">
        <f>IFERROR(IF('[1]G_Fall-back'!M99 = "", "", '[1]G_Fall-back'!M99 ),"")</f>
        <v/>
      </c>
      <c r="N5830" s="397" t="str">
        <f>IFERROR(IF('[1]G_Fall-back'!N99 = "", "", '[1]G_Fall-back'!N99 ),"")</f>
        <v/>
      </c>
    </row>
    <row r="5831" spans="3:14">
      <c r="C5831" s="467"/>
      <c r="D5831" s="467"/>
      <c r="E5831" s="467"/>
      <c r="F5831" s="467"/>
      <c r="G5831" s="467"/>
      <c r="H5831" s="467"/>
      <c r="I5831" s="467"/>
      <c r="J5831" s="467"/>
      <c r="K5831" s="467"/>
      <c r="L5831" s="467"/>
      <c r="M5831" s="467"/>
      <c r="N5831" s="467"/>
    </row>
    <row r="5832" spans="3:14">
      <c r="C5832" s="482"/>
      <c r="D5832" s="482" t="s">
        <v>1716</v>
      </c>
      <c r="E5832" s="2373" t="s">
        <v>1819</v>
      </c>
      <c r="F5832" s="2400"/>
      <c r="G5832" s="2400"/>
      <c r="H5832" s="2400"/>
      <c r="I5832" s="2400"/>
      <c r="J5832" s="2400"/>
      <c r="K5832" s="2400"/>
      <c r="L5832" s="2400"/>
      <c r="M5832" s="2400"/>
      <c r="N5832" s="2400"/>
    </row>
    <row r="5833" spans="3:14">
      <c r="C5833" s="467"/>
      <c r="D5833" s="467"/>
      <c r="E5833" s="2465" t="s">
        <v>1934</v>
      </c>
      <c r="F5833" s="2400"/>
      <c r="G5833" s="2400"/>
      <c r="H5833" s="2400"/>
      <c r="I5833" s="2400"/>
      <c r="J5833" s="2400"/>
      <c r="K5833" s="2400"/>
      <c r="L5833" s="2400"/>
      <c r="M5833" s="2400"/>
      <c r="N5833" s="2400"/>
    </row>
    <row r="5834" spans="3:14">
      <c r="C5834" s="481"/>
      <c r="D5834" s="1028"/>
      <c r="E5834" s="871"/>
      <c r="F5834" s="1030" t="s">
        <v>884</v>
      </c>
      <c r="G5834" s="1031" t="s">
        <v>1710</v>
      </c>
      <c r="H5834" s="1033">
        <v>2019</v>
      </c>
      <c r="I5834" s="1031">
        <v>2020</v>
      </c>
      <c r="J5834" s="1032">
        <v>2021</v>
      </c>
      <c r="K5834" s="1033">
        <v>2022</v>
      </c>
      <c r="L5834" s="1033">
        <v>2023</v>
      </c>
      <c r="M5834" s="1033">
        <v>2024</v>
      </c>
      <c r="N5834" s="1033">
        <v>2025</v>
      </c>
    </row>
    <row r="5835" spans="3:14">
      <c r="C5835" s="485"/>
      <c r="D5835" s="561"/>
      <c r="E5835" s="948" t="s">
        <v>1819</v>
      </c>
      <c r="F5835" s="79" t="str">
        <f>IFERROR(IF('[1]G_Fall-back'!F104 = "", "", '[1]G_Fall-back'!F104 ),"")</f>
        <v>TJ / Unit</v>
      </c>
      <c r="G5835" s="398" t="str">
        <f>IFERROR(IF('[1]G_Fall-back'!G104 = "", "", '[1]G_Fall-back'!G104 ),"")</f>
        <v/>
      </c>
      <c r="H5835" s="399" t="str">
        <f>IFERROR(IF('[1]G_Fall-back'!H104 = "", "", '[1]G_Fall-back'!H104 ),"")</f>
        <v/>
      </c>
      <c r="I5835" s="400" t="str">
        <f>IFERROR(IF('[1]G_Fall-back'!I104 = "", "", '[1]G_Fall-back'!I104 ),"")</f>
        <v/>
      </c>
      <c r="J5835" s="401" t="str">
        <f>IFERROR(IF('[1]G_Fall-back'!J104 = "", "", '[1]G_Fall-back'!J104 ),"")</f>
        <v/>
      </c>
      <c r="K5835" s="399" t="str">
        <f>IFERROR(IF('[1]G_Fall-back'!K104 = "", "", '[1]G_Fall-back'!K104 ),"")</f>
        <v/>
      </c>
      <c r="L5835" s="399" t="str">
        <f>IFERROR(IF('[1]G_Fall-back'!L104 = "", "", '[1]G_Fall-back'!L104 ),"")</f>
        <v/>
      </c>
      <c r="M5835" s="399" t="str">
        <f>IFERROR(IF('[1]G_Fall-back'!M104 = "", "", '[1]G_Fall-back'!M104 ),"")</f>
        <v/>
      </c>
      <c r="N5835" s="399" t="str">
        <f>IFERROR(IF('[1]G_Fall-back'!N104 = "", "", '[1]G_Fall-back'!N104 ),"")</f>
        <v/>
      </c>
    </row>
    <row r="5836" spans="3:14" ht="13.5" thickBot="1">
      <c r="C5836" s="485"/>
      <c r="D5836" s="485"/>
      <c r="E5836" s="485"/>
      <c r="F5836" s="485"/>
      <c r="G5836" s="485"/>
      <c r="H5836" s="485"/>
      <c r="I5836" s="952"/>
      <c r="J5836" s="485"/>
      <c r="K5836" s="485"/>
      <c r="L5836" s="485"/>
      <c r="M5836" s="485"/>
      <c r="N5836" s="485"/>
    </row>
    <row r="5837" spans="3:14">
      <c r="C5837" s="485"/>
      <c r="D5837" s="902"/>
      <c r="E5837" s="942"/>
      <c r="F5837" s="942"/>
      <c r="G5837" s="942"/>
      <c r="H5837" s="942"/>
      <c r="I5837" s="1045"/>
      <c r="J5837" s="942"/>
      <c r="K5837" s="942"/>
      <c r="L5837" s="942"/>
      <c r="M5837" s="942"/>
      <c r="N5837" s="943"/>
    </row>
    <row r="5838" spans="3:14">
      <c r="C5838" s="485"/>
      <c r="D5838" s="918"/>
      <c r="E5838" s="908" t="s">
        <v>1777</v>
      </c>
      <c r="F5838" s="909"/>
      <c r="G5838" s="909"/>
      <c r="H5838" s="910" t="s">
        <v>884</v>
      </c>
      <c r="I5838" s="911" t="s">
        <v>1675</v>
      </c>
      <c r="J5838" s="912">
        <v>2021</v>
      </c>
      <c r="K5838" s="913">
        <v>2022</v>
      </c>
      <c r="L5838" s="913">
        <v>2023</v>
      </c>
      <c r="M5838" s="913">
        <v>2024</v>
      </c>
      <c r="N5838" s="1046">
        <v>2025</v>
      </c>
    </row>
    <row r="5839" spans="3:14">
      <c r="C5839" s="485"/>
      <c r="D5839" s="915" t="s">
        <v>7</v>
      </c>
      <c r="E5839" s="2735" t="s">
        <v>1818</v>
      </c>
      <c r="F5839" s="2735"/>
      <c r="G5839" s="2735"/>
      <c r="H5839" s="80" t="str">
        <f>IFERROR(IF('[1]G_Fall-back'!H108 = "", "", '[1]G_Fall-back'!H108 ),"")</f>
        <v>TJ / Unit</v>
      </c>
      <c r="I5839" s="402" t="str">
        <f>IFERROR(IF('[1]G_Fall-back'!I108 = "", "", '[1]G_Fall-back'!I108 ),"")</f>
        <v/>
      </c>
      <c r="J5839" s="316" t="str">
        <f>IFERROR(IF('[1]G_Fall-back'!J108 = "", "", '[1]G_Fall-back'!J108 ),"")</f>
        <v/>
      </c>
      <c r="K5839" s="317" t="str">
        <f>IFERROR(IF('[1]G_Fall-back'!K108 = "", "", '[1]G_Fall-back'!K108 ),"")</f>
        <v/>
      </c>
      <c r="L5839" s="317" t="str">
        <f>IFERROR(IF('[1]G_Fall-back'!L108 = "", "", '[1]G_Fall-back'!L108 ),"")</f>
        <v/>
      </c>
      <c r="M5839" s="317" t="str">
        <f>IFERROR(IF('[1]G_Fall-back'!M108 = "", "", '[1]G_Fall-back'!M108 ),"")</f>
        <v/>
      </c>
      <c r="N5839" s="318" t="str">
        <f>IFERROR(IF('[1]G_Fall-back'!N108 = "", "", '[1]G_Fall-back'!N108 ),"")</f>
        <v/>
      </c>
    </row>
    <row r="5840" spans="3:14">
      <c r="C5840" s="485"/>
      <c r="D5840" s="915" t="s">
        <v>8</v>
      </c>
      <c r="E5840" s="2735" t="s">
        <v>1928</v>
      </c>
      <c r="F5840" s="2736"/>
      <c r="G5840" s="2736"/>
      <c r="H5840" s="2736"/>
      <c r="I5840" s="2737"/>
      <c r="J5840" s="319" t="str">
        <f>IFERROR(IF('[1]G_Fall-back'!J109 = "", "", '[1]G_Fall-back'!J109 ),"")</f>
        <v/>
      </c>
      <c r="K5840" s="320" t="str">
        <f>IFERROR(IF('[1]G_Fall-back'!K109 = "", "", '[1]G_Fall-back'!K109 ),"")</f>
        <v/>
      </c>
      <c r="L5840" s="320" t="str">
        <f>IFERROR(IF('[1]G_Fall-back'!L109 = "", "", '[1]G_Fall-back'!L109 ),"")</f>
        <v/>
      </c>
      <c r="M5840" s="320" t="str">
        <f>IFERROR(IF('[1]G_Fall-back'!M109 = "", "", '[1]G_Fall-back'!M109 ),"")</f>
        <v/>
      </c>
      <c r="N5840" s="321" t="str">
        <f>IFERROR(IF('[1]G_Fall-back'!N109 = "", "", '[1]G_Fall-back'!N109 ),"")</f>
        <v/>
      </c>
    </row>
    <row r="5841" spans="3:14">
      <c r="C5841" s="485"/>
      <c r="D5841" s="918"/>
      <c r="E5841" s="909"/>
      <c r="F5841" s="909"/>
      <c r="G5841" s="909"/>
      <c r="H5841" s="909"/>
      <c r="I5841" s="909"/>
      <c r="J5841" s="909"/>
      <c r="K5841" s="909"/>
      <c r="L5841" s="909"/>
      <c r="M5841" s="909"/>
      <c r="N5841" s="922"/>
    </row>
    <row r="5842" spans="3:14">
      <c r="C5842" s="485"/>
      <c r="D5842" s="907" t="s">
        <v>1778</v>
      </c>
      <c r="E5842" s="2738" t="s">
        <v>1945</v>
      </c>
      <c r="F5842" s="2739"/>
      <c r="G5842" s="2739"/>
      <c r="H5842" s="2739"/>
      <c r="I5842" s="2739"/>
      <c r="J5842" s="2739"/>
      <c r="K5842" s="2739"/>
      <c r="L5842" s="2739"/>
      <c r="M5842" s="2739"/>
      <c r="N5842" s="2740"/>
    </row>
    <row r="5843" spans="3:14">
      <c r="C5843" s="485"/>
      <c r="D5843" s="918"/>
      <c r="E5843" s="923" t="s">
        <v>1946</v>
      </c>
      <c r="F5843" s="923"/>
      <c r="G5843" s="923"/>
      <c r="H5843" s="923"/>
      <c r="I5843" s="923"/>
      <c r="J5843" s="912">
        <v>2021</v>
      </c>
      <c r="K5843" s="913">
        <v>2022</v>
      </c>
      <c r="L5843" s="913">
        <v>2023</v>
      </c>
      <c r="M5843" s="913">
        <v>2024</v>
      </c>
      <c r="N5843" s="1046">
        <v>2025</v>
      </c>
    </row>
    <row r="5844" spans="3:14">
      <c r="C5844" s="485"/>
      <c r="D5844" s="918"/>
      <c r="E5844" s="2735" t="s">
        <v>2108</v>
      </c>
      <c r="F5844" s="2735"/>
      <c r="G5844" s="2735"/>
      <c r="H5844" s="2735"/>
      <c r="I5844" s="2741"/>
      <c r="J5844" s="69" t="str">
        <f>IFERROR(IF('[1]G_Fall-back'!J113 = "", "", '[1]G_Fall-back'!J113 ),"")</f>
        <v/>
      </c>
      <c r="K5844" s="62" t="str">
        <f>IFERROR(IF('[1]G_Fall-back'!K113 = "", "", '[1]G_Fall-back'!K113 ),"")</f>
        <v/>
      </c>
      <c r="L5844" s="62" t="str">
        <f>IFERROR(IF('[1]G_Fall-back'!L113 = "", "", '[1]G_Fall-back'!L113 ),"")</f>
        <v/>
      </c>
      <c r="M5844" s="62" t="str">
        <f>IFERROR(IF('[1]G_Fall-back'!M113 = "", "", '[1]G_Fall-back'!M113 ),"")</f>
        <v/>
      </c>
      <c r="N5844" s="70" t="str">
        <f>IFERROR(IF('[1]G_Fall-back'!N113 = "", "", '[1]G_Fall-back'!N113 ),"")</f>
        <v/>
      </c>
    </row>
    <row r="5845" spans="3:14">
      <c r="C5845" s="485"/>
      <c r="D5845" s="918"/>
      <c r="E5845" s="909"/>
      <c r="F5845" s="909"/>
      <c r="G5845" s="909"/>
      <c r="H5845" s="909"/>
      <c r="I5845" s="909"/>
      <c r="J5845" s="909"/>
      <c r="K5845" s="909"/>
      <c r="L5845" s="909"/>
      <c r="M5845" s="909"/>
      <c r="N5845" s="922"/>
    </row>
    <row r="5846" spans="3:14">
      <c r="C5846" s="485"/>
      <c r="D5846" s="907" t="s">
        <v>1779</v>
      </c>
      <c r="E5846" s="2738" t="s">
        <v>1660</v>
      </c>
      <c r="F5846" s="2739"/>
      <c r="G5846" s="2739"/>
      <c r="H5846" s="2739"/>
      <c r="I5846" s="2739"/>
      <c r="J5846" s="2739"/>
      <c r="K5846" s="2739"/>
      <c r="L5846" s="2739"/>
      <c r="M5846" s="2739"/>
      <c r="N5846" s="2740"/>
    </row>
    <row r="5847" spans="3:14">
      <c r="C5847" s="485"/>
      <c r="D5847" s="918"/>
      <c r="E5847" s="923" t="s">
        <v>1653</v>
      </c>
      <c r="F5847" s="923"/>
      <c r="G5847" s="923"/>
      <c r="H5847" s="923"/>
      <c r="I5847" s="923"/>
      <c r="J5847" s="912">
        <v>2021</v>
      </c>
      <c r="K5847" s="913">
        <v>2022</v>
      </c>
      <c r="L5847" s="913">
        <v>2023</v>
      </c>
      <c r="M5847" s="913">
        <v>2024</v>
      </c>
      <c r="N5847" s="1046">
        <v>2025</v>
      </c>
    </row>
    <row r="5848" spans="3:14">
      <c r="C5848" s="485"/>
      <c r="D5848" s="915" t="s">
        <v>6</v>
      </c>
      <c r="E5848" s="2735" t="s">
        <v>2243</v>
      </c>
      <c r="F5848" s="2735"/>
      <c r="G5848" s="2735"/>
      <c r="H5848" s="2735"/>
      <c r="I5848" s="2741"/>
      <c r="J5848" s="69" t="str">
        <f>IFERROR(IF('[1]G_Fall-back'!J117 = "", "", '[1]G_Fall-back'!J117 ),"")</f>
        <v/>
      </c>
      <c r="K5848" s="62" t="str">
        <f>IFERROR(IF('[1]G_Fall-back'!K117 = "", "", '[1]G_Fall-back'!K117 ),"")</f>
        <v/>
      </c>
      <c r="L5848" s="62" t="str">
        <f>IFERROR(IF('[1]G_Fall-back'!L117 = "", "", '[1]G_Fall-back'!L117 ),"")</f>
        <v/>
      </c>
      <c r="M5848" s="62" t="str">
        <f>IFERROR(IF('[1]G_Fall-back'!M117 = "", "", '[1]G_Fall-back'!M117 ),"")</f>
        <v/>
      </c>
      <c r="N5848" s="70" t="str">
        <f>IFERROR(IF('[1]G_Fall-back'!N117 = "", "", '[1]G_Fall-back'!N117 ),"")</f>
        <v/>
      </c>
    </row>
    <row r="5849" spans="3:14">
      <c r="C5849" s="485"/>
      <c r="D5849" s="1050"/>
      <c r="E5849" s="2742" t="s">
        <v>2244</v>
      </c>
      <c r="F5849" s="2739"/>
      <c r="G5849" s="2739"/>
      <c r="H5849" s="2739"/>
      <c r="I5849" s="2739"/>
      <c r="J5849" s="2739"/>
      <c r="K5849" s="2739"/>
      <c r="L5849" s="2739"/>
      <c r="M5849" s="2739"/>
      <c r="N5849" s="2740"/>
    </row>
    <row r="5850" spans="3:14">
      <c r="C5850" s="485"/>
      <c r="D5850" s="1050"/>
      <c r="E5850" s="2742" t="s">
        <v>1848</v>
      </c>
      <c r="F5850" s="2739"/>
      <c r="G5850" s="2739"/>
      <c r="H5850" s="2739"/>
      <c r="I5850" s="2739"/>
      <c r="J5850" s="2739"/>
      <c r="K5850" s="2739"/>
      <c r="L5850" s="2739"/>
      <c r="M5850" s="2739"/>
      <c r="N5850" s="2740"/>
    </row>
    <row r="5851" spans="3:14">
      <c r="C5851" s="485"/>
      <c r="D5851" s="915"/>
      <c r="E5851" s="909"/>
      <c r="F5851" s="909"/>
      <c r="G5851" s="909"/>
      <c r="H5851" s="909"/>
      <c r="I5851" s="909"/>
      <c r="J5851" s="909"/>
      <c r="K5851" s="909"/>
      <c r="L5851" s="909"/>
      <c r="M5851" s="909"/>
      <c r="N5851" s="922"/>
    </row>
    <row r="5852" spans="3:14">
      <c r="C5852" s="485"/>
      <c r="D5852" s="915" t="s">
        <v>7</v>
      </c>
      <c r="E5852" s="2735" t="s">
        <v>2245</v>
      </c>
      <c r="F5852" s="2736"/>
      <c r="G5852" s="2736"/>
      <c r="H5852" s="2736"/>
      <c r="I5852" s="2737"/>
      <c r="J5852" s="69" t="b">
        <f>IFERROR(IF('[1]G_Fall-back'!J121 = "", "", '[1]G_Fall-back'!J121 ),"")</f>
        <v>0</v>
      </c>
      <c r="K5852" s="69" t="b">
        <f>IFERROR(IF('[1]G_Fall-back'!K121 = "", "", '[1]G_Fall-back'!K121 ),"")</f>
        <v>0</v>
      </c>
      <c r="L5852" s="69" t="b">
        <f>IFERROR(IF('[1]G_Fall-back'!L121 = "", "", '[1]G_Fall-back'!L121 ),"")</f>
        <v>0</v>
      </c>
      <c r="M5852" s="69" t="b">
        <f>IFERROR(IF('[1]G_Fall-back'!M121 = "", "", '[1]G_Fall-back'!M121 ),"")</f>
        <v>0</v>
      </c>
      <c r="N5852" s="70" t="b">
        <f>IFERROR(IF('[1]G_Fall-back'!N121 = "", "", '[1]G_Fall-back'!N121 ),"")</f>
        <v>0</v>
      </c>
    </row>
    <row r="5853" spans="3:14">
      <c r="C5853" s="485"/>
      <c r="D5853" s="1050"/>
      <c r="E5853" s="2743" t="s">
        <v>2246</v>
      </c>
      <c r="F5853" s="2738"/>
      <c r="G5853" s="2738"/>
      <c r="H5853" s="2738"/>
      <c r="I5853" s="2738"/>
      <c r="J5853" s="2738"/>
      <c r="K5853" s="2738"/>
      <c r="L5853" s="2738"/>
      <c r="M5853" s="2738"/>
      <c r="N5853" s="2744"/>
    </row>
    <row r="5854" spans="3:14">
      <c r="C5854" s="485"/>
      <c r="D5854" s="1050"/>
      <c r="E5854" s="2742" t="s">
        <v>2247</v>
      </c>
      <c r="F5854" s="2739"/>
      <c r="G5854" s="2739"/>
      <c r="H5854" s="2739"/>
      <c r="I5854" s="2739"/>
      <c r="J5854" s="2739"/>
      <c r="K5854" s="2739"/>
      <c r="L5854" s="2739"/>
      <c r="M5854" s="2739"/>
      <c r="N5854" s="2740"/>
    </row>
    <row r="5855" spans="3:14">
      <c r="C5855" s="485"/>
      <c r="D5855" s="1050"/>
      <c r="E5855" s="2742" t="s">
        <v>2248</v>
      </c>
      <c r="F5855" s="2739"/>
      <c r="G5855" s="2739"/>
      <c r="H5855" s="2739"/>
      <c r="I5855" s="2739"/>
      <c r="J5855" s="2739"/>
      <c r="K5855" s="2739"/>
      <c r="L5855" s="2739"/>
      <c r="M5855" s="2739"/>
      <c r="N5855" s="2740"/>
    </row>
    <row r="5856" spans="3:14">
      <c r="C5856" s="485"/>
      <c r="D5856" s="918"/>
      <c r="E5856" s="909"/>
      <c r="F5856" s="909"/>
      <c r="G5856" s="909"/>
      <c r="H5856" s="909"/>
      <c r="I5856" s="909"/>
      <c r="J5856" s="909"/>
      <c r="K5856" s="909"/>
      <c r="L5856" s="909"/>
      <c r="M5856" s="909"/>
      <c r="N5856" s="922"/>
    </row>
    <row r="5857" spans="3:14">
      <c r="C5857" s="485"/>
      <c r="D5857" s="907" t="s">
        <v>1883</v>
      </c>
      <c r="E5857" s="2738" t="s">
        <v>1660</v>
      </c>
      <c r="F5857" s="2739"/>
      <c r="G5857" s="2739"/>
      <c r="H5857" s="2739"/>
      <c r="I5857" s="2739"/>
      <c r="J5857" s="2739"/>
      <c r="K5857" s="2739"/>
      <c r="L5857" s="2739"/>
      <c r="M5857" s="2739"/>
      <c r="N5857" s="2740"/>
    </row>
    <row r="5858" spans="3:14" ht="13.5" thickBot="1">
      <c r="C5858" s="485"/>
      <c r="D5858" s="1050"/>
      <c r="E5858" s="2742" t="s">
        <v>2249</v>
      </c>
      <c r="F5858" s="2739"/>
      <c r="G5858" s="2739"/>
      <c r="H5858" s="2739"/>
      <c r="I5858" s="2739"/>
      <c r="J5858" s="2739"/>
      <c r="K5858" s="2739"/>
      <c r="L5858" s="2739"/>
      <c r="M5858" s="2739"/>
      <c r="N5858" s="2740"/>
    </row>
    <row r="5859" spans="3:14" ht="13.5" thickBot="1">
      <c r="C5859" s="485"/>
      <c r="D5859" s="915"/>
      <c r="E5859" s="2735" t="s">
        <v>1657</v>
      </c>
      <c r="F5859" s="2735"/>
      <c r="G5859" s="2735"/>
      <c r="H5859" s="2735"/>
      <c r="I5859" s="1051"/>
      <c r="J5859" s="291" t="str">
        <f>IFERROR(IF('[1]G_Fall-back'!J128 = "", "", '[1]G_Fall-back'!J128 ),"")</f>
        <v/>
      </c>
      <c r="K5859" s="292" t="str">
        <f>IFERROR(IF('[1]G_Fall-back'!K128 = "", "", '[1]G_Fall-back'!K128 ),"")</f>
        <v/>
      </c>
      <c r="L5859" s="292" t="str">
        <f>IFERROR(IF('[1]G_Fall-back'!L128 = "", "", '[1]G_Fall-back'!L128 ),"")</f>
        <v/>
      </c>
      <c r="M5859" s="292" t="str">
        <f>IFERROR(IF('[1]G_Fall-back'!M128 = "", "", '[1]G_Fall-back'!M128 ),"")</f>
        <v/>
      </c>
      <c r="N5859" s="293" t="str">
        <f>IFERROR(IF('[1]G_Fall-back'!N128 = "", "", '[1]G_Fall-back'!N128 ),"")</f>
        <v/>
      </c>
    </row>
    <row r="5860" spans="3:14" ht="13.5" thickBot="1">
      <c r="C5860" s="485"/>
      <c r="D5860" s="918"/>
      <c r="E5860" s="2735" t="s">
        <v>1649</v>
      </c>
      <c r="F5860" s="2736"/>
      <c r="G5860" s="2736"/>
      <c r="H5860" s="63" t="str">
        <f>IFERROR(IF('[1]G_Fall-back'!H129 = "", "", '[1]G_Fall-back'!H129 ),"")</f>
        <v>TJ</v>
      </c>
      <c r="I5860" s="235" t="str">
        <f>IFERROR(IF('[1]G_Fall-back'!I129 = "", "", '[1]G_Fall-back'!I129 ),"")</f>
        <v/>
      </c>
      <c r="J5860" s="225" t="str">
        <f>IFERROR(IF('[1]G_Fall-back'!J129 = "", "", '[1]G_Fall-back'!J129 ),"")</f>
        <v/>
      </c>
      <c r="K5860" s="227" t="str">
        <f>IFERROR(IF('[1]G_Fall-back'!K129 = "", "", '[1]G_Fall-back'!K129 ),"")</f>
        <v/>
      </c>
      <c r="L5860" s="227" t="str">
        <f>IFERROR(IF('[1]G_Fall-back'!L129 = "", "", '[1]G_Fall-back'!L129 ),"")</f>
        <v/>
      </c>
      <c r="M5860" s="227" t="str">
        <f>IFERROR(IF('[1]G_Fall-back'!M129 = "", "", '[1]G_Fall-back'!M129 ),"")</f>
        <v/>
      </c>
      <c r="N5860" s="228" t="str">
        <f>IFERROR(IF('[1]G_Fall-back'!N129 = "", "", '[1]G_Fall-back'!N129 ),"")</f>
        <v/>
      </c>
    </row>
    <row r="5861" spans="3:14" ht="13.5" thickBot="1">
      <c r="C5861" s="485"/>
      <c r="D5861" s="924"/>
      <c r="E5861" s="925"/>
      <c r="F5861" s="925"/>
      <c r="G5861" s="925"/>
      <c r="H5861" s="925"/>
      <c r="I5861" s="925"/>
      <c r="J5861" s="925"/>
      <c r="K5861" s="925"/>
      <c r="L5861" s="925"/>
      <c r="M5861" s="925"/>
      <c r="N5861" s="926"/>
    </row>
    <row r="5862" spans="3:14" ht="13.5" thickBot="1">
      <c r="C5862" s="485"/>
      <c r="D5862" s="485"/>
      <c r="E5862" s="485"/>
      <c r="F5862" s="485"/>
      <c r="G5862" s="485"/>
      <c r="H5862" s="485"/>
      <c r="I5862" s="485"/>
      <c r="J5862" s="485"/>
      <c r="K5862" s="485"/>
      <c r="L5862" s="485"/>
      <c r="M5862" s="485"/>
      <c r="N5862" s="485"/>
    </row>
    <row r="5863" spans="3:14">
      <c r="C5863" s="1052"/>
      <c r="D5863" s="1053"/>
      <c r="E5863" s="1053"/>
      <c r="F5863" s="1053"/>
      <c r="G5863" s="1053"/>
      <c r="H5863" s="1053"/>
      <c r="I5863" s="1053"/>
      <c r="J5863" s="1053"/>
      <c r="K5863" s="1053"/>
      <c r="L5863" s="1053"/>
      <c r="M5863" s="1054"/>
      <c r="N5863" s="1055"/>
    </row>
    <row r="5864" spans="3:14">
      <c r="C5864" s="1056"/>
      <c r="D5864" s="2678" t="s">
        <v>2330</v>
      </c>
      <c r="E5864" s="2672"/>
      <c r="F5864" s="2672"/>
      <c r="G5864" s="2672"/>
      <c r="H5864" s="2672"/>
      <c r="I5864" s="2672"/>
      <c r="J5864" s="2672"/>
      <c r="K5864" s="2672"/>
      <c r="L5864" s="2672"/>
      <c r="M5864" s="2672"/>
      <c r="N5864" s="2673"/>
    </row>
    <row r="5865" spans="3:14">
      <c r="C5865" s="980"/>
      <c r="D5865" s="813"/>
      <c r="E5865" s="813"/>
      <c r="F5865" s="813"/>
      <c r="G5865" s="813"/>
      <c r="H5865" s="813"/>
      <c r="I5865" s="813"/>
      <c r="J5865" s="813"/>
      <c r="K5865" s="813"/>
      <c r="L5865" s="813"/>
      <c r="M5865" s="813"/>
      <c r="N5865" s="814"/>
    </row>
    <row r="5866" spans="3:14">
      <c r="C5866" s="980"/>
      <c r="D5866" s="2679" t="s">
        <v>2170</v>
      </c>
      <c r="E5866" s="2646"/>
      <c r="F5866" s="2646"/>
      <c r="G5866" s="2646"/>
      <c r="H5866" s="2680"/>
      <c r="I5866" s="2489" t="str">
        <f>IFERROR(IF('[1]G_Fall-back'!I135 = "", "", '[1]G_Fall-back'!I135 ),"")</f>
        <v>Heat benchmark sub-installation, CL</v>
      </c>
      <c r="J5866" s="2534"/>
      <c r="K5866" s="2534"/>
      <c r="L5866" s="2534"/>
      <c r="M5866" s="2534"/>
      <c r="N5866" s="2681"/>
    </row>
    <row r="5867" spans="3:14">
      <c r="C5867" s="980"/>
      <c r="D5867" s="813"/>
      <c r="E5867" s="813"/>
      <c r="F5867" s="813"/>
      <c r="G5867" s="813"/>
      <c r="H5867" s="813"/>
      <c r="I5867" s="813"/>
      <c r="J5867" s="813"/>
      <c r="K5867" s="813"/>
      <c r="L5867" s="813"/>
      <c r="M5867" s="813"/>
      <c r="N5867" s="814"/>
    </row>
    <row r="5868" spans="3:14">
      <c r="C5868" s="1056"/>
      <c r="D5868" s="1057"/>
      <c r="E5868" s="2745" t="s">
        <v>2154</v>
      </c>
      <c r="F5868" s="2745"/>
      <c r="G5868" s="2745"/>
      <c r="H5868" s="2745"/>
      <c r="I5868" s="2745"/>
      <c r="J5868" s="2745"/>
      <c r="K5868" s="2745"/>
      <c r="L5868" s="2745"/>
      <c r="M5868" s="2745"/>
      <c r="N5868" s="1058"/>
    </row>
    <row r="5869" spans="3:14">
      <c r="C5869" s="977"/>
      <c r="D5869" s="981"/>
      <c r="E5869" s="2691" t="s">
        <v>2176</v>
      </c>
      <c r="F5869" s="2691"/>
      <c r="G5869" s="2691"/>
      <c r="H5869" s="2691"/>
      <c r="I5869" s="2691"/>
      <c r="J5869" s="2691"/>
      <c r="K5869" s="2691"/>
      <c r="L5869" s="2691"/>
      <c r="M5869" s="2691"/>
      <c r="N5869" s="1015"/>
    </row>
    <row r="5870" spans="3:14">
      <c r="C5870" s="977"/>
      <c r="D5870" s="981"/>
      <c r="E5870" s="2691" t="s">
        <v>1549</v>
      </c>
      <c r="F5870" s="2391"/>
      <c r="G5870" s="2391"/>
      <c r="H5870" s="2391"/>
      <c r="I5870" s="2391"/>
      <c r="J5870" s="2391"/>
      <c r="K5870" s="2391"/>
      <c r="L5870" s="2391"/>
      <c r="M5870" s="2391"/>
      <c r="N5870" s="1015"/>
    </row>
    <row r="5871" spans="3:14">
      <c r="C5871" s="977"/>
      <c r="D5871" s="981"/>
      <c r="E5871" s="2693" t="s">
        <v>1935</v>
      </c>
      <c r="F5871" s="2693"/>
      <c r="G5871" s="2693"/>
      <c r="H5871" s="2693"/>
      <c r="I5871" s="2693"/>
      <c r="J5871" s="2693"/>
      <c r="K5871" s="2693"/>
      <c r="L5871" s="2693"/>
      <c r="M5871" s="2693"/>
      <c r="N5871" s="1015"/>
    </row>
    <row r="5872" spans="3:14">
      <c r="C5872" s="1056"/>
      <c r="D5872" s="1057"/>
      <c r="E5872" s="2695" t="s">
        <v>1475</v>
      </c>
      <c r="F5872" s="2695"/>
      <c r="G5872" s="2695"/>
      <c r="H5872" s="2695"/>
      <c r="I5872" s="2695"/>
      <c r="J5872" s="2695"/>
      <c r="K5872" s="2695"/>
      <c r="L5872" s="2695"/>
      <c r="M5872" s="2695"/>
      <c r="N5872" s="1058"/>
    </row>
    <row r="5873" spans="3:14">
      <c r="C5873" s="980"/>
      <c r="D5873" s="813"/>
      <c r="E5873" s="813"/>
      <c r="F5873" s="813"/>
      <c r="G5873" s="813"/>
      <c r="H5873" s="813"/>
      <c r="I5873" s="813"/>
      <c r="J5873" s="813"/>
      <c r="K5873" s="813"/>
      <c r="L5873" s="813"/>
      <c r="M5873" s="813"/>
      <c r="N5873" s="814"/>
    </row>
    <row r="5874" spans="3:14">
      <c r="C5874" s="1056"/>
      <c r="D5874" s="982" t="s">
        <v>48</v>
      </c>
      <c r="E5874" s="2671" t="s">
        <v>1611</v>
      </c>
      <c r="F5874" s="2672"/>
      <c r="G5874" s="2672"/>
      <c r="H5874" s="2672"/>
      <c r="I5874" s="2672"/>
      <c r="J5874" s="2672"/>
      <c r="K5874" s="2672"/>
      <c r="L5874" s="2672"/>
      <c r="M5874" s="2672"/>
      <c r="N5874" s="2673"/>
    </row>
    <row r="5875" spans="3:14">
      <c r="C5875" s="1056"/>
      <c r="D5875" s="982"/>
      <c r="E5875" s="2746" t="s">
        <v>2295</v>
      </c>
      <c r="F5875" s="2746"/>
      <c r="G5875" s="2746"/>
      <c r="H5875" s="2746"/>
      <c r="I5875" s="2746"/>
      <c r="J5875" s="2746"/>
      <c r="K5875" s="2746"/>
      <c r="L5875" s="2746"/>
      <c r="M5875" s="2746"/>
      <c r="N5875" s="2747"/>
    </row>
    <row r="5876" spans="3:14">
      <c r="C5876" s="1056"/>
      <c r="D5876" s="1057"/>
      <c r="E5876" s="2674" t="s">
        <v>1261</v>
      </c>
      <c r="F5876" s="2674"/>
      <c r="G5876" s="2674"/>
      <c r="H5876" s="2674"/>
      <c r="I5876" s="2674"/>
      <c r="J5876" s="2674"/>
      <c r="K5876" s="2674"/>
      <c r="L5876" s="2674"/>
      <c r="M5876" s="2674"/>
      <c r="N5876" s="2675"/>
    </row>
    <row r="5877" spans="3:14">
      <c r="C5877" s="1056"/>
      <c r="D5877" s="1057"/>
      <c r="E5877" s="985" t="s">
        <v>1021</v>
      </c>
      <c r="F5877" s="2645" t="s">
        <v>1262</v>
      </c>
      <c r="G5877" s="2645"/>
      <c r="H5877" s="2645"/>
      <c r="I5877" s="2645"/>
      <c r="J5877" s="2645"/>
      <c r="K5877" s="2645"/>
      <c r="L5877" s="2645"/>
      <c r="M5877" s="2645"/>
      <c r="N5877" s="2748"/>
    </row>
    <row r="5878" spans="3:14">
      <c r="C5878" s="977"/>
      <c r="D5878" s="981"/>
      <c r="E5878" s="985"/>
      <c r="F5878" s="2669" t="s">
        <v>1566</v>
      </c>
      <c r="G5878" s="2391"/>
      <c r="H5878" s="2391"/>
      <c r="I5878" s="2391"/>
      <c r="J5878" s="2391"/>
      <c r="K5878" s="2391"/>
      <c r="L5878" s="2391"/>
      <c r="M5878" s="2391"/>
      <c r="N5878" s="2650"/>
    </row>
    <row r="5879" spans="3:14">
      <c r="C5879" s="1056"/>
      <c r="D5879" s="1057"/>
      <c r="E5879" s="985" t="s">
        <v>1021</v>
      </c>
      <c r="F5879" s="2645" t="s">
        <v>1486</v>
      </c>
      <c r="G5879" s="2645"/>
      <c r="H5879" s="2645"/>
      <c r="I5879" s="2645"/>
      <c r="J5879" s="2645"/>
      <c r="K5879" s="2645"/>
      <c r="L5879" s="2645"/>
      <c r="M5879" s="2645"/>
      <c r="N5879" s="2748"/>
    </row>
    <row r="5880" spans="3:14">
      <c r="C5880" s="1056"/>
      <c r="D5880" s="1057"/>
      <c r="E5880" s="985"/>
      <c r="F5880" s="2645" t="s">
        <v>1568</v>
      </c>
      <c r="G5880" s="2645"/>
      <c r="H5880" s="2645"/>
      <c r="I5880" s="2645"/>
      <c r="J5880" s="2645"/>
      <c r="K5880" s="2645"/>
      <c r="L5880" s="2645"/>
      <c r="M5880" s="2645"/>
      <c r="N5880" s="2748"/>
    </row>
    <row r="5881" spans="3:14">
      <c r="C5881" s="1056"/>
      <c r="D5881" s="1057"/>
      <c r="E5881" s="985" t="s">
        <v>1021</v>
      </c>
      <c r="F5881" s="2645" t="s">
        <v>1570</v>
      </c>
      <c r="G5881" s="2646"/>
      <c r="H5881" s="2646"/>
      <c r="I5881" s="2646"/>
      <c r="J5881" s="2646"/>
      <c r="K5881" s="2646"/>
      <c r="L5881" s="2646"/>
      <c r="M5881" s="2646"/>
      <c r="N5881" s="2647"/>
    </row>
    <row r="5882" spans="3:14">
      <c r="C5882" s="1056"/>
      <c r="D5882" s="982"/>
      <c r="E5882" s="989" t="s">
        <v>915</v>
      </c>
      <c r="F5882" s="990"/>
      <c r="G5882" s="987" t="s">
        <v>884</v>
      </c>
      <c r="H5882" s="782">
        <v>2019</v>
      </c>
      <c r="I5882" s="782">
        <v>2020</v>
      </c>
      <c r="J5882" s="782">
        <v>2021</v>
      </c>
      <c r="K5882" s="782">
        <v>2022</v>
      </c>
      <c r="L5882" s="782">
        <v>2023</v>
      </c>
      <c r="M5882" s="782">
        <v>2024</v>
      </c>
      <c r="N5882" s="783">
        <v>2025</v>
      </c>
    </row>
    <row r="5883" spans="3:14">
      <c r="C5883" s="1056"/>
      <c r="D5883" s="1057"/>
      <c r="E5883" s="2487" t="str">
        <f>IFERROR(IF('[1]G_Fall-back'!E152 = "", "", '[1]G_Fall-back'!E152 ),"")</f>
        <v>Heat benchmark sub-installation, CL</v>
      </c>
      <c r="F5883" s="2487"/>
      <c r="G5883" s="815" t="s">
        <v>2016</v>
      </c>
      <c r="H5883" s="347" t="str">
        <f>IFERROR(IF('[1]G_Fall-back'!H152 = "", "", '[1]G_Fall-back'!H152 ),"")</f>
        <v/>
      </c>
      <c r="I5883" s="347" t="str">
        <f>IFERROR(IF('[1]G_Fall-back'!I152 = "", "", '[1]G_Fall-back'!I152 ),"")</f>
        <v/>
      </c>
      <c r="J5883" s="347" t="str">
        <f>IFERROR(IF('[1]G_Fall-back'!J152 = "", "", '[1]G_Fall-back'!J152 ),"")</f>
        <v/>
      </c>
      <c r="K5883" s="347" t="str">
        <f>IFERROR(IF('[1]G_Fall-back'!K152 = "", "", '[1]G_Fall-back'!K152 ),"")</f>
        <v/>
      </c>
      <c r="L5883" s="347" t="str">
        <f>IFERROR(IF('[1]G_Fall-back'!L152 = "", "", '[1]G_Fall-back'!L152 ),"")</f>
        <v/>
      </c>
      <c r="M5883" s="347" t="str">
        <f>IFERROR(IF('[1]G_Fall-back'!M152 = "", "", '[1]G_Fall-back'!M152 ),"")</f>
        <v/>
      </c>
      <c r="N5883" s="349" t="str">
        <f>IFERROR(IF('[1]G_Fall-back'!N152 = "", "", '[1]G_Fall-back'!N152 ),"")</f>
        <v/>
      </c>
    </row>
    <row r="5884" spans="3:14">
      <c r="C5884" s="1056"/>
      <c r="D5884" s="1057"/>
      <c r="E5884" s="1057"/>
      <c r="F5884" s="1057"/>
      <c r="G5884" s="1057"/>
      <c r="H5884" s="1057"/>
      <c r="I5884" s="1057"/>
      <c r="J5884" s="1057"/>
      <c r="K5884" s="1057"/>
      <c r="L5884" s="1057"/>
      <c r="M5884" s="1059"/>
      <c r="N5884" s="1060"/>
    </row>
    <row r="5885" spans="3:14">
      <c r="C5885" s="1056"/>
      <c r="D5885" s="982" t="s">
        <v>881</v>
      </c>
      <c r="E5885" s="2649" t="s">
        <v>1189</v>
      </c>
      <c r="F5885" s="2649"/>
      <c r="G5885" s="2649"/>
      <c r="H5885" s="2649"/>
      <c r="I5885" s="2649"/>
      <c r="J5885" s="2649"/>
      <c r="K5885" s="2649"/>
      <c r="L5885" s="2649"/>
      <c r="M5885" s="2649"/>
      <c r="N5885" s="2749"/>
    </row>
    <row r="5886" spans="3:14">
      <c r="C5886" s="1056"/>
      <c r="D5886" s="1057"/>
      <c r="E5886" s="2645" t="s">
        <v>1569</v>
      </c>
      <c r="F5886" s="2672"/>
      <c r="G5886" s="2672"/>
      <c r="H5886" s="2672"/>
      <c r="I5886" s="2672"/>
      <c r="J5886" s="2672"/>
      <c r="K5886" s="2672"/>
      <c r="L5886" s="2672"/>
      <c r="M5886" s="2672"/>
      <c r="N5886" s="2673"/>
    </row>
    <row r="5887" spans="3:14">
      <c r="C5887" s="1056"/>
      <c r="D5887" s="1057"/>
      <c r="E5887" s="2645" t="s">
        <v>1488</v>
      </c>
      <c r="F5887" s="2672"/>
      <c r="G5887" s="2672"/>
      <c r="H5887" s="2672"/>
      <c r="I5887" s="2672"/>
      <c r="J5887" s="2672"/>
      <c r="K5887" s="2672"/>
      <c r="L5887" s="2672"/>
      <c r="M5887" s="2672"/>
      <c r="N5887" s="2673"/>
    </row>
    <row r="5888" spans="3:14">
      <c r="C5888" s="1056"/>
      <c r="D5888" s="1057"/>
      <c r="E5888" s="2645" t="s">
        <v>1594</v>
      </c>
      <c r="F5888" s="2672"/>
      <c r="G5888" s="2672"/>
      <c r="H5888" s="2672"/>
      <c r="I5888" s="2672"/>
      <c r="J5888" s="2672"/>
      <c r="K5888" s="2672"/>
      <c r="L5888" s="2672"/>
      <c r="M5888" s="2672"/>
      <c r="N5888" s="2673"/>
    </row>
    <row r="5889" spans="3:14">
      <c r="C5889" s="1056"/>
      <c r="D5889" s="1057"/>
      <c r="E5889" s="2645" t="s">
        <v>1487</v>
      </c>
      <c r="F5889" s="2672"/>
      <c r="G5889" s="2672"/>
      <c r="H5889" s="2672"/>
      <c r="I5889" s="2672"/>
      <c r="J5889" s="2672"/>
      <c r="K5889" s="2672"/>
      <c r="L5889" s="2672"/>
      <c r="M5889" s="2672"/>
      <c r="N5889" s="2673"/>
    </row>
    <row r="5890" spans="3:14">
      <c r="C5890" s="1056"/>
      <c r="D5890" s="1057"/>
      <c r="E5890" s="2645" t="s">
        <v>1571</v>
      </c>
      <c r="F5890" s="2672"/>
      <c r="G5890" s="2672"/>
      <c r="H5890" s="2672"/>
      <c r="I5890" s="2672"/>
      <c r="J5890" s="2672"/>
      <c r="K5890" s="2672"/>
      <c r="L5890" s="2672"/>
      <c r="M5890" s="2672"/>
      <c r="N5890" s="2673"/>
    </row>
    <row r="5891" spans="3:14">
      <c r="C5891" s="1056"/>
      <c r="D5891" s="1057"/>
      <c r="E5891" s="2711" t="s">
        <v>1557</v>
      </c>
      <c r="F5891" s="2671"/>
      <c r="G5891" s="2671"/>
      <c r="H5891" s="2671"/>
      <c r="I5891" s="2671"/>
      <c r="J5891" s="2671"/>
      <c r="K5891" s="2671"/>
      <c r="L5891" s="2671"/>
      <c r="M5891" s="2671"/>
      <c r="N5891" s="2712"/>
    </row>
    <row r="5892" spans="3:14">
      <c r="C5892" s="1056"/>
      <c r="D5892" s="982"/>
      <c r="E5892" s="989"/>
      <c r="F5892" s="990"/>
      <c r="G5892" s="987" t="s">
        <v>884</v>
      </c>
      <c r="H5892" s="782">
        <v>2019</v>
      </c>
      <c r="I5892" s="782">
        <v>2020</v>
      </c>
      <c r="J5892" s="782">
        <v>2021</v>
      </c>
      <c r="K5892" s="782">
        <v>2022</v>
      </c>
      <c r="L5892" s="782">
        <v>2023</v>
      </c>
      <c r="M5892" s="782">
        <v>2024</v>
      </c>
      <c r="N5892" s="783">
        <v>2025</v>
      </c>
    </row>
    <row r="5893" spans="3:14">
      <c r="C5893" s="1056"/>
      <c r="D5893" s="1061" t="s">
        <v>6</v>
      </c>
      <c r="E5893" s="2475" t="s">
        <v>1483</v>
      </c>
      <c r="F5893" s="2410"/>
      <c r="G5893" s="815" t="s">
        <v>2017</v>
      </c>
      <c r="H5893" s="93" t="str">
        <f>IFERROR(IF('[1]G_Fall-back'!H162 = "", "", '[1]G_Fall-back'!H162 ),"")</f>
        <v/>
      </c>
      <c r="I5893" s="93" t="str">
        <f>IFERROR(IF('[1]G_Fall-back'!I162 = "", "", '[1]G_Fall-back'!I162 ),"")</f>
        <v/>
      </c>
      <c r="J5893" s="93" t="str">
        <f>IFERROR(IF('[1]G_Fall-back'!J162 = "", "", '[1]G_Fall-back'!J162 ),"")</f>
        <v/>
      </c>
      <c r="K5893" s="93" t="str">
        <f>IFERROR(IF('[1]G_Fall-back'!K162 = "", "", '[1]G_Fall-back'!K162 ),"")</f>
        <v/>
      </c>
      <c r="L5893" s="93" t="str">
        <f>IFERROR(IF('[1]G_Fall-back'!L162 = "", "", '[1]G_Fall-back'!L162 ),"")</f>
        <v/>
      </c>
      <c r="M5893" s="93" t="str">
        <f>IFERROR(IF('[1]G_Fall-back'!M162 = "", "", '[1]G_Fall-back'!M162 ),"")</f>
        <v/>
      </c>
      <c r="N5893" s="118" t="str">
        <f>IFERROR(IF('[1]G_Fall-back'!N162 = "", "", '[1]G_Fall-back'!N162 ),"")</f>
        <v/>
      </c>
    </row>
    <row r="5894" spans="3:14">
      <c r="C5894" s="1056"/>
      <c r="D5894" s="1061" t="s">
        <v>7</v>
      </c>
      <c r="E5894" s="2475" t="s">
        <v>1182</v>
      </c>
      <c r="F5894" s="2410"/>
      <c r="G5894" s="991" t="s">
        <v>2018</v>
      </c>
      <c r="H5894" s="109" t="str">
        <f>IFERROR(IF('[1]G_Fall-back'!H163 = "", "", '[1]G_Fall-back'!H163 ),"")</f>
        <v/>
      </c>
      <c r="I5894" s="109" t="str">
        <f>IFERROR(IF('[1]G_Fall-back'!I163 = "", "", '[1]G_Fall-back'!I163 ),"")</f>
        <v/>
      </c>
      <c r="J5894" s="109" t="str">
        <f>IFERROR(IF('[1]G_Fall-back'!J163 = "", "", '[1]G_Fall-back'!J163 ),"")</f>
        <v/>
      </c>
      <c r="K5894" s="109" t="str">
        <f>IFERROR(IF('[1]G_Fall-back'!K163 = "", "", '[1]G_Fall-back'!K163 ),"")</f>
        <v/>
      </c>
      <c r="L5894" s="109" t="str">
        <f>IFERROR(IF('[1]G_Fall-back'!L163 = "", "", '[1]G_Fall-back'!L163 ),"")</f>
        <v/>
      </c>
      <c r="M5894" s="109" t="str">
        <f>IFERROR(IF('[1]G_Fall-back'!M163 = "", "", '[1]G_Fall-back'!M163 ),"")</f>
        <v/>
      </c>
      <c r="N5894" s="357" t="str">
        <f>IFERROR(IF('[1]G_Fall-back'!N163 = "", "", '[1]G_Fall-back'!N163 ),"")</f>
        <v/>
      </c>
    </row>
    <row r="5895" spans="3:14">
      <c r="C5895" s="1056"/>
      <c r="D5895" s="1057"/>
      <c r="E5895" s="1057"/>
      <c r="F5895" s="1057"/>
      <c r="G5895" s="1057"/>
      <c r="H5895" s="1057"/>
      <c r="I5895" s="1057"/>
      <c r="J5895" s="1057"/>
      <c r="K5895" s="1057"/>
      <c r="L5895" s="1057"/>
      <c r="M5895" s="1057"/>
      <c r="N5895" s="1062"/>
    </row>
    <row r="5896" spans="3:14">
      <c r="C5896" s="1056"/>
      <c r="D5896" s="1061" t="s">
        <v>8</v>
      </c>
      <c r="E5896" s="2475" t="s">
        <v>1481</v>
      </c>
      <c r="F5896" s="2410"/>
      <c r="G5896" s="815" t="s">
        <v>2017</v>
      </c>
      <c r="H5896" s="93" t="str">
        <f>IFERROR(IF('[1]G_Fall-back'!H165 = "", "", '[1]G_Fall-back'!H165 ),"")</f>
        <v/>
      </c>
      <c r="I5896" s="93" t="str">
        <f>IFERROR(IF('[1]G_Fall-back'!I165 = "", "", '[1]G_Fall-back'!I165 ),"")</f>
        <v/>
      </c>
      <c r="J5896" s="93" t="str">
        <f>IFERROR(IF('[1]G_Fall-back'!J165 = "", "", '[1]G_Fall-back'!J165 ),"")</f>
        <v/>
      </c>
      <c r="K5896" s="93" t="str">
        <f>IFERROR(IF('[1]G_Fall-back'!K165 = "", "", '[1]G_Fall-back'!K165 ),"")</f>
        <v/>
      </c>
      <c r="L5896" s="93" t="str">
        <f>IFERROR(IF('[1]G_Fall-back'!L165 = "", "", '[1]G_Fall-back'!L165 ),"")</f>
        <v/>
      </c>
      <c r="M5896" s="93" t="str">
        <f>IFERROR(IF('[1]G_Fall-back'!M165 = "", "", '[1]G_Fall-back'!M165 ),"")</f>
        <v/>
      </c>
      <c r="N5896" s="118" t="str">
        <f>IFERROR(IF('[1]G_Fall-back'!N165 = "", "", '[1]G_Fall-back'!N165 ),"")</f>
        <v/>
      </c>
    </row>
    <row r="5897" spans="3:14">
      <c r="C5897" s="1056"/>
      <c r="D5897" s="1061" t="s">
        <v>18</v>
      </c>
      <c r="E5897" s="2475" t="s">
        <v>1482</v>
      </c>
      <c r="F5897" s="2410"/>
      <c r="G5897" s="991" t="s">
        <v>2018</v>
      </c>
      <c r="H5897" s="109" t="str">
        <f>IFERROR(IF('[1]G_Fall-back'!H166 = "", "", '[1]G_Fall-back'!H166 ),"")</f>
        <v/>
      </c>
      <c r="I5897" s="109" t="str">
        <f>IFERROR(IF('[1]G_Fall-back'!I166 = "", "", '[1]G_Fall-back'!I166 ),"")</f>
        <v/>
      </c>
      <c r="J5897" s="109" t="str">
        <f>IFERROR(IF('[1]G_Fall-back'!J166 = "", "", '[1]G_Fall-back'!J166 ),"")</f>
        <v/>
      </c>
      <c r="K5897" s="109" t="str">
        <f>IFERROR(IF('[1]G_Fall-back'!K166 = "", "", '[1]G_Fall-back'!K166 ),"")</f>
        <v/>
      </c>
      <c r="L5897" s="109" t="str">
        <f>IFERROR(IF('[1]G_Fall-back'!L166 = "", "", '[1]G_Fall-back'!L166 ),"")</f>
        <v/>
      </c>
      <c r="M5897" s="109" t="str">
        <f>IFERROR(IF('[1]G_Fall-back'!M166 = "", "", '[1]G_Fall-back'!M166 ),"")</f>
        <v/>
      </c>
      <c r="N5897" s="357" t="str">
        <f>IFERROR(IF('[1]G_Fall-back'!N166 = "", "", '[1]G_Fall-back'!N166 ),"")</f>
        <v/>
      </c>
    </row>
    <row r="5898" spans="3:14">
      <c r="C5898" s="980"/>
      <c r="D5898" s="813"/>
      <c r="E5898" s="813"/>
      <c r="F5898" s="813"/>
      <c r="G5898" s="813"/>
      <c r="H5898" s="813"/>
      <c r="I5898" s="813"/>
      <c r="J5898" s="813"/>
      <c r="K5898" s="813"/>
      <c r="L5898" s="813"/>
      <c r="M5898" s="813"/>
      <c r="N5898" s="814"/>
    </row>
    <row r="5899" spans="3:14">
      <c r="C5899" s="1056"/>
      <c r="D5899" s="982" t="s">
        <v>57</v>
      </c>
      <c r="E5899" s="2671" t="s">
        <v>52</v>
      </c>
      <c r="F5899" s="2672"/>
      <c r="G5899" s="2672"/>
      <c r="H5899" s="2672"/>
      <c r="I5899" s="2672"/>
      <c r="J5899" s="2672"/>
      <c r="K5899" s="2672"/>
      <c r="L5899" s="2672"/>
      <c r="M5899" s="2672"/>
      <c r="N5899" s="2673"/>
    </row>
    <row r="5900" spans="3:14">
      <c r="C5900" s="1056"/>
      <c r="D5900" s="1057"/>
      <c r="E5900" s="2674" t="s">
        <v>1525</v>
      </c>
      <c r="F5900" s="2674"/>
      <c r="G5900" s="2674"/>
      <c r="H5900" s="2674"/>
      <c r="I5900" s="2674"/>
      <c r="J5900" s="2674"/>
      <c r="K5900" s="2674"/>
      <c r="L5900" s="2674"/>
      <c r="M5900" s="2674"/>
      <c r="N5900" s="2675"/>
    </row>
    <row r="5901" spans="3:14">
      <c r="C5901" s="1056"/>
      <c r="D5901" s="1057"/>
      <c r="E5901" s="2674" t="s">
        <v>1572</v>
      </c>
      <c r="F5901" s="2674"/>
      <c r="G5901" s="2674"/>
      <c r="H5901" s="2674"/>
      <c r="I5901" s="2674"/>
      <c r="J5901" s="2674"/>
      <c r="K5901" s="2674"/>
      <c r="L5901" s="2674"/>
      <c r="M5901" s="2674"/>
      <c r="N5901" s="2675"/>
    </row>
    <row r="5902" spans="3:14">
      <c r="C5902" s="1056"/>
      <c r="D5902" s="982"/>
      <c r="E5902" s="2648" t="s">
        <v>52</v>
      </c>
      <c r="F5902" s="2648"/>
      <c r="G5902" s="987" t="s">
        <v>884</v>
      </c>
      <c r="H5902" s="782">
        <v>2019</v>
      </c>
      <c r="I5902" s="782">
        <v>2020</v>
      </c>
      <c r="J5902" s="782">
        <v>2021</v>
      </c>
      <c r="K5902" s="782">
        <v>2022</v>
      </c>
      <c r="L5902" s="782">
        <v>2023</v>
      </c>
      <c r="M5902" s="782">
        <v>2024</v>
      </c>
      <c r="N5902" s="783">
        <v>2025</v>
      </c>
    </row>
    <row r="5903" spans="3:14">
      <c r="C5903" s="1056"/>
      <c r="D5903" s="1057"/>
      <c r="E5903" s="2487" t="str">
        <f>IFERROR(IF('[1]G_Fall-back'!E172 = "", "", '[1]G_Fall-back'!E172 ),"")</f>
        <v>Heat benchmark sub-installation, CL</v>
      </c>
      <c r="F5903" s="2488"/>
      <c r="G5903" s="815" t="s">
        <v>2017</v>
      </c>
      <c r="H5903" s="347" t="str">
        <f>IFERROR(IF('[1]G_Fall-back'!H172 = "", "", '[1]G_Fall-back'!H172 ),"")</f>
        <v/>
      </c>
      <c r="I5903" s="347" t="str">
        <f>IFERROR(IF('[1]G_Fall-back'!I172 = "", "", '[1]G_Fall-back'!I172 ),"")</f>
        <v/>
      </c>
      <c r="J5903" s="347" t="str">
        <f>IFERROR(IF('[1]G_Fall-back'!J172 = "", "", '[1]G_Fall-back'!J172 ),"")</f>
        <v/>
      </c>
      <c r="K5903" s="347" t="str">
        <f>IFERROR(IF('[1]G_Fall-back'!K172 = "", "", '[1]G_Fall-back'!K172 ),"")</f>
        <v/>
      </c>
      <c r="L5903" s="347" t="str">
        <f>IFERROR(IF('[1]G_Fall-back'!L172 = "", "", '[1]G_Fall-back'!L172 ),"")</f>
        <v/>
      </c>
      <c r="M5903" s="347" t="str">
        <f>IFERROR(IF('[1]G_Fall-back'!M172 = "", "", '[1]G_Fall-back'!M172 ),"")</f>
        <v/>
      </c>
      <c r="N5903" s="349" t="str">
        <f>IFERROR(IF('[1]G_Fall-back'!N172 = "", "", '[1]G_Fall-back'!N172 ),"")</f>
        <v/>
      </c>
    </row>
    <row r="5904" spans="3:14">
      <c r="C5904" s="1056"/>
      <c r="D5904" s="1057"/>
      <c r="E5904" s="1057"/>
      <c r="F5904" s="1057"/>
      <c r="G5904" s="1057"/>
      <c r="H5904" s="1057"/>
      <c r="I5904" s="1057"/>
      <c r="J5904" s="1057"/>
      <c r="K5904" s="1057"/>
      <c r="L5904" s="1057"/>
      <c r="M5904" s="1059"/>
      <c r="N5904" s="1060"/>
    </row>
    <row r="5905" spans="3:14">
      <c r="C5905" s="1056"/>
      <c r="D5905" s="982" t="s">
        <v>58</v>
      </c>
      <c r="E5905" s="2671" t="s">
        <v>556</v>
      </c>
      <c r="F5905" s="2672"/>
      <c r="G5905" s="2672"/>
      <c r="H5905" s="2672"/>
      <c r="I5905" s="2672"/>
      <c r="J5905" s="2672"/>
      <c r="K5905" s="2672"/>
      <c r="L5905" s="2672"/>
      <c r="M5905" s="2672"/>
      <c r="N5905" s="2673"/>
    </row>
    <row r="5906" spans="3:14">
      <c r="C5906" s="1056"/>
      <c r="D5906" s="982"/>
      <c r="E5906" s="2711" t="s">
        <v>2297</v>
      </c>
      <c r="F5906" s="2671"/>
      <c r="G5906" s="2671"/>
      <c r="H5906" s="2671"/>
      <c r="I5906" s="2671"/>
      <c r="J5906" s="2671"/>
      <c r="K5906" s="2671"/>
      <c r="L5906" s="2671"/>
      <c r="M5906" s="2671"/>
      <c r="N5906" s="2712"/>
    </row>
    <row r="5907" spans="3:14">
      <c r="C5907" s="1056"/>
      <c r="D5907" s="1057"/>
      <c r="E5907" s="2645" t="s">
        <v>1322</v>
      </c>
      <c r="F5907" s="2672"/>
      <c r="G5907" s="2672"/>
      <c r="H5907" s="2672"/>
      <c r="I5907" s="2672"/>
      <c r="J5907" s="2672"/>
      <c r="K5907" s="2672"/>
      <c r="L5907" s="2672"/>
      <c r="M5907" s="2672"/>
      <c r="N5907" s="2673"/>
    </row>
    <row r="5908" spans="3:14">
      <c r="C5908" s="1056"/>
      <c r="D5908" s="1057"/>
      <c r="E5908" s="985" t="s">
        <v>1021</v>
      </c>
      <c r="F5908" s="2645" t="s">
        <v>1573</v>
      </c>
      <c r="G5908" s="2646"/>
      <c r="H5908" s="2646"/>
      <c r="I5908" s="2646"/>
      <c r="J5908" s="2646"/>
      <c r="K5908" s="2646"/>
      <c r="L5908" s="2646"/>
      <c r="M5908" s="2646"/>
      <c r="N5908" s="2647"/>
    </row>
    <row r="5909" spans="3:14">
      <c r="C5909" s="1056"/>
      <c r="D5909" s="1057"/>
      <c r="E5909" s="985" t="s">
        <v>1021</v>
      </c>
      <c r="F5909" s="2645" t="s">
        <v>1574</v>
      </c>
      <c r="G5909" s="2646"/>
      <c r="H5909" s="2646"/>
      <c r="I5909" s="2646"/>
      <c r="J5909" s="2646"/>
      <c r="K5909" s="2646"/>
      <c r="L5909" s="2646"/>
      <c r="M5909" s="2646"/>
      <c r="N5909" s="2647"/>
    </row>
    <row r="5910" spans="3:14">
      <c r="C5910" s="1056"/>
      <c r="D5910" s="1057"/>
      <c r="E5910" s="985" t="s">
        <v>1021</v>
      </c>
      <c r="F5910" s="2645" t="s">
        <v>1480</v>
      </c>
      <c r="G5910" s="2646"/>
      <c r="H5910" s="2646"/>
      <c r="I5910" s="2646"/>
      <c r="J5910" s="2646"/>
      <c r="K5910" s="2646"/>
      <c r="L5910" s="2646"/>
      <c r="M5910" s="2646"/>
      <c r="N5910" s="2647"/>
    </row>
    <row r="5911" spans="3:14">
      <c r="C5911" s="1056"/>
      <c r="D5911" s="1057"/>
      <c r="E5911" s="985" t="s">
        <v>1021</v>
      </c>
      <c r="F5911" s="2645" t="s">
        <v>1338</v>
      </c>
      <c r="G5911" s="2646"/>
      <c r="H5911" s="2646"/>
      <c r="I5911" s="2646"/>
      <c r="J5911" s="2646"/>
      <c r="K5911" s="2646"/>
      <c r="L5911" s="2646"/>
      <c r="M5911" s="2646"/>
      <c r="N5911" s="2647"/>
    </row>
    <row r="5912" spans="3:14">
      <c r="C5912" s="1056"/>
      <c r="D5912" s="1057"/>
      <c r="E5912" s="985" t="s">
        <v>1021</v>
      </c>
      <c r="F5912" s="2645" t="s">
        <v>1321</v>
      </c>
      <c r="G5912" s="2646"/>
      <c r="H5912" s="2646"/>
      <c r="I5912" s="2646"/>
      <c r="J5912" s="2646"/>
      <c r="K5912" s="2646"/>
      <c r="L5912" s="2646"/>
      <c r="M5912" s="2646"/>
      <c r="N5912" s="2647"/>
    </row>
    <row r="5913" spans="3:14">
      <c r="C5913" s="1056"/>
      <c r="D5913" s="1057"/>
      <c r="E5913" s="2674" t="s">
        <v>2716</v>
      </c>
      <c r="F5913" s="2391"/>
      <c r="G5913" s="2391"/>
      <c r="H5913" s="2391"/>
      <c r="I5913" s="2391"/>
      <c r="J5913" s="2391"/>
      <c r="K5913" s="2391"/>
      <c r="L5913" s="2391"/>
      <c r="M5913" s="2391"/>
      <c r="N5913" s="2650"/>
    </row>
    <row r="5914" spans="3:14">
      <c r="C5914" s="1056"/>
      <c r="D5914" s="1057"/>
      <c r="E5914" s="2645" t="s">
        <v>1554</v>
      </c>
      <c r="F5914" s="2672"/>
      <c r="G5914" s="2672"/>
      <c r="H5914" s="2672"/>
      <c r="I5914" s="2672"/>
      <c r="J5914" s="2672"/>
      <c r="K5914" s="2672"/>
      <c r="L5914" s="2672"/>
      <c r="M5914" s="2672"/>
      <c r="N5914" s="2673"/>
    </row>
    <row r="5915" spans="3:14">
      <c r="C5915" s="1056"/>
      <c r="D5915" s="1057"/>
      <c r="E5915" s="2697" t="s">
        <v>1510</v>
      </c>
      <c r="F5915" s="2697"/>
      <c r="G5915" s="2697"/>
      <c r="H5915" s="2697"/>
      <c r="I5915" s="2697"/>
      <c r="J5915" s="2697"/>
      <c r="K5915" s="2697"/>
      <c r="L5915" s="2697"/>
      <c r="M5915" s="2697"/>
      <c r="N5915" s="1007"/>
    </row>
    <row r="5916" spans="3:14">
      <c r="C5916" s="1056"/>
      <c r="D5916" s="1057"/>
      <c r="E5916" s="2648" t="s">
        <v>1323</v>
      </c>
      <c r="F5916" s="2493"/>
      <c r="G5916" s="987" t="s">
        <v>884</v>
      </c>
      <c r="H5916" s="782">
        <v>2019</v>
      </c>
      <c r="I5916" s="782">
        <v>2020</v>
      </c>
      <c r="J5916" s="782">
        <v>2021</v>
      </c>
      <c r="K5916" s="782">
        <v>2022</v>
      </c>
      <c r="L5916" s="782">
        <v>2023</v>
      </c>
      <c r="M5916" s="782">
        <v>2024</v>
      </c>
      <c r="N5916" s="783">
        <v>2025</v>
      </c>
    </row>
    <row r="5917" spans="3:14">
      <c r="C5917" s="1056"/>
      <c r="D5917" s="1061" t="s">
        <v>6</v>
      </c>
      <c r="E5917" s="2475" t="s">
        <v>1087</v>
      </c>
      <c r="F5917" s="2410"/>
      <c r="G5917" s="815" t="s">
        <v>2017</v>
      </c>
      <c r="H5917" s="93" t="str">
        <f>IFERROR(IF('[1]G_Fall-back'!H186 = "", "", '[1]G_Fall-back'!H186 ),"")</f>
        <v/>
      </c>
      <c r="I5917" s="93" t="str">
        <f>IFERROR(IF('[1]G_Fall-back'!I186 = "", "", '[1]G_Fall-back'!I186 ),"")</f>
        <v/>
      </c>
      <c r="J5917" s="93" t="str">
        <f>IFERROR(IF('[1]G_Fall-back'!J186 = "", "", '[1]G_Fall-back'!J186 ),"")</f>
        <v/>
      </c>
      <c r="K5917" s="93" t="str">
        <f>IFERROR(IF('[1]G_Fall-back'!K186 = "", "", '[1]G_Fall-back'!K186 ),"")</f>
        <v/>
      </c>
      <c r="L5917" s="93" t="str">
        <f>IFERROR(IF('[1]G_Fall-back'!L186 = "", "", '[1]G_Fall-back'!L186 ),"")</f>
        <v/>
      </c>
      <c r="M5917" s="93" t="str">
        <f>IFERROR(IF('[1]G_Fall-back'!M186 = "", "", '[1]G_Fall-back'!M186 ),"")</f>
        <v/>
      </c>
      <c r="N5917" s="118" t="str">
        <f>IFERROR(IF('[1]G_Fall-back'!N186 = "", "", '[1]G_Fall-back'!N186 ),"")</f>
        <v/>
      </c>
    </row>
    <row r="5918" spans="3:14">
      <c r="C5918" s="1056"/>
      <c r="D5918" s="1061" t="s">
        <v>7</v>
      </c>
      <c r="E5918" s="2475" t="s">
        <v>1103</v>
      </c>
      <c r="F5918" s="2410"/>
      <c r="G5918" s="815" t="s">
        <v>2018</v>
      </c>
      <c r="H5918" s="93" t="str">
        <f>IFERROR(IF('[1]G_Fall-back'!H187 = "", "", '[1]G_Fall-back'!H187 ),"")</f>
        <v/>
      </c>
      <c r="I5918" s="93" t="str">
        <f>IFERROR(IF('[1]G_Fall-back'!I187 = "", "", '[1]G_Fall-back'!I187 ),"")</f>
        <v/>
      </c>
      <c r="J5918" s="93" t="str">
        <f>IFERROR(IF('[1]G_Fall-back'!J187 = "", "", '[1]G_Fall-back'!J187 ),"")</f>
        <v/>
      </c>
      <c r="K5918" s="93" t="str">
        <f>IFERROR(IF('[1]G_Fall-back'!K187 = "", "", '[1]G_Fall-back'!K187 ),"")</f>
        <v/>
      </c>
      <c r="L5918" s="93" t="str">
        <f>IFERROR(IF('[1]G_Fall-back'!L187 = "", "", '[1]G_Fall-back'!L187 ),"")</f>
        <v/>
      </c>
      <c r="M5918" s="93" t="str">
        <f>IFERROR(IF('[1]G_Fall-back'!M187 = "", "", '[1]G_Fall-back'!M187 ),"")</f>
        <v/>
      </c>
      <c r="N5918" s="118" t="str">
        <f>IFERROR(IF('[1]G_Fall-back'!N187 = "", "", '[1]G_Fall-back'!N187 ),"")</f>
        <v/>
      </c>
    </row>
    <row r="5919" spans="3:14">
      <c r="C5919" s="1056"/>
      <c r="D5919" s="1057"/>
      <c r="E5919" s="1057"/>
      <c r="F5919" s="1057"/>
      <c r="G5919" s="1057"/>
      <c r="H5919" s="1057"/>
      <c r="I5919" s="1057"/>
      <c r="J5919" s="1057"/>
      <c r="K5919" s="1057"/>
      <c r="L5919" s="1057"/>
      <c r="M5919" s="1057"/>
      <c r="N5919" s="1060"/>
    </row>
    <row r="5920" spans="3:14">
      <c r="C5920" s="1056"/>
      <c r="D5920" s="1057"/>
      <c r="E5920" s="2648" t="s">
        <v>1324</v>
      </c>
      <c r="F5920" s="2493"/>
      <c r="G5920" s="987" t="s">
        <v>884</v>
      </c>
      <c r="H5920" s="782">
        <v>2019</v>
      </c>
      <c r="I5920" s="782">
        <v>2020</v>
      </c>
      <c r="J5920" s="782">
        <v>2021</v>
      </c>
      <c r="K5920" s="782">
        <v>2022</v>
      </c>
      <c r="L5920" s="782">
        <v>2023</v>
      </c>
      <c r="M5920" s="782">
        <v>2024</v>
      </c>
      <c r="N5920" s="783">
        <v>2025</v>
      </c>
    </row>
    <row r="5921" spans="3:14">
      <c r="C5921" s="1056"/>
      <c r="D5921" s="1061" t="s">
        <v>18</v>
      </c>
      <c r="E5921" s="2475" t="s">
        <v>1087</v>
      </c>
      <c r="F5921" s="2410"/>
      <c r="G5921" s="815" t="s">
        <v>2017</v>
      </c>
      <c r="H5921" s="93" t="str">
        <f>IFERROR(IF('[1]G_Fall-back'!H190 = "", "", '[1]G_Fall-back'!H190 ),"")</f>
        <v/>
      </c>
      <c r="I5921" s="93" t="str">
        <f>IFERROR(IF('[1]G_Fall-back'!I190 = "", "", '[1]G_Fall-back'!I190 ),"")</f>
        <v/>
      </c>
      <c r="J5921" s="93" t="str">
        <f>IFERROR(IF('[1]G_Fall-back'!J190 = "", "", '[1]G_Fall-back'!J190 ),"")</f>
        <v/>
      </c>
      <c r="K5921" s="93" t="str">
        <f>IFERROR(IF('[1]G_Fall-back'!K190 = "", "", '[1]G_Fall-back'!K190 ),"")</f>
        <v/>
      </c>
      <c r="L5921" s="93" t="str">
        <f>IFERROR(IF('[1]G_Fall-back'!L190 = "", "", '[1]G_Fall-back'!L190 ),"")</f>
        <v/>
      </c>
      <c r="M5921" s="93" t="str">
        <f>IFERROR(IF('[1]G_Fall-back'!M190 = "", "", '[1]G_Fall-back'!M190 ),"")</f>
        <v/>
      </c>
      <c r="N5921" s="118" t="str">
        <f>IFERROR(IF('[1]G_Fall-back'!N190 = "", "", '[1]G_Fall-back'!N190 ),"")</f>
        <v/>
      </c>
    </row>
    <row r="5922" spans="3:14">
      <c r="C5922" s="1056"/>
      <c r="D5922" s="1061" t="s">
        <v>787</v>
      </c>
      <c r="E5922" s="2475" t="s">
        <v>1490</v>
      </c>
      <c r="F5922" s="2410"/>
      <c r="G5922" s="815" t="s">
        <v>2018</v>
      </c>
      <c r="H5922" s="93" t="str">
        <f>IFERROR(IF('[1]G_Fall-back'!H191 = "", "", '[1]G_Fall-back'!H191 ),"")</f>
        <v/>
      </c>
      <c r="I5922" s="93" t="str">
        <f>IFERROR(IF('[1]G_Fall-back'!I191 = "", "", '[1]G_Fall-back'!I191 ),"")</f>
        <v/>
      </c>
      <c r="J5922" s="93" t="str">
        <f>IFERROR(IF('[1]G_Fall-back'!J191 = "", "", '[1]G_Fall-back'!J191 ),"")</f>
        <v/>
      </c>
      <c r="K5922" s="93" t="str">
        <f>IFERROR(IF('[1]G_Fall-back'!K191 = "", "", '[1]G_Fall-back'!K191 ),"")</f>
        <v/>
      </c>
      <c r="L5922" s="93" t="str">
        <f>IFERROR(IF('[1]G_Fall-back'!L191 = "", "", '[1]G_Fall-back'!L191 ),"")</f>
        <v/>
      </c>
      <c r="M5922" s="93" t="str">
        <f>IFERROR(IF('[1]G_Fall-back'!M191 = "", "", '[1]G_Fall-back'!M191 ),"")</f>
        <v/>
      </c>
      <c r="N5922" s="118" t="str">
        <f>IFERROR(IF('[1]G_Fall-back'!N191 = "", "", '[1]G_Fall-back'!N191 ),"")</f>
        <v/>
      </c>
    </row>
    <row r="5923" spans="3:14">
      <c r="C5923" s="1056"/>
      <c r="D5923" s="1057"/>
      <c r="E5923" s="1057"/>
      <c r="F5923" s="1057"/>
      <c r="G5923" s="1057"/>
      <c r="H5923" s="1057"/>
      <c r="I5923" s="1057"/>
      <c r="J5923" s="1057"/>
      <c r="K5923" s="1057"/>
      <c r="L5923" s="1057"/>
      <c r="M5923" s="1057"/>
      <c r="N5923" s="1060"/>
    </row>
    <row r="5924" spans="3:14">
      <c r="C5924" s="1056"/>
      <c r="D5924" s="1057"/>
      <c r="E5924" s="2648" t="s">
        <v>1325</v>
      </c>
      <c r="F5924" s="2493"/>
      <c r="G5924" s="987" t="s">
        <v>884</v>
      </c>
      <c r="H5924" s="782">
        <v>2019</v>
      </c>
      <c r="I5924" s="782">
        <v>2020</v>
      </c>
      <c r="J5924" s="782">
        <v>2021</v>
      </c>
      <c r="K5924" s="782">
        <v>2022</v>
      </c>
      <c r="L5924" s="782">
        <v>2023</v>
      </c>
      <c r="M5924" s="782">
        <v>2024</v>
      </c>
      <c r="N5924" s="783">
        <v>2025</v>
      </c>
    </row>
    <row r="5925" spans="3:14">
      <c r="C5925" s="1056"/>
      <c r="D5925" s="1061" t="s">
        <v>789</v>
      </c>
      <c r="E5925" s="2475" t="s">
        <v>1087</v>
      </c>
      <c r="F5925" s="2410"/>
      <c r="G5925" s="815" t="s">
        <v>2017</v>
      </c>
      <c r="H5925" s="93" t="str">
        <f>IFERROR(IF('[1]G_Fall-back'!H194 = "", "", '[1]G_Fall-back'!H194 ),"")</f>
        <v/>
      </c>
      <c r="I5925" s="93" t="str">
        <f>IFERROR(IF('[1]G_Fall-back'!I194 = "", "", '[1]G_Fall-back'!I194 ),"")</f>
        <v/>
      </c>
      <c r="J5925" s="93" t="str">
        <f>IFERROR(IF('[1]G_Fall-back'!J194 = "", "", '[1]G_Fall-back'!J194 ),"")</f>
        <v/>
      </c>
      <c r="K5925" s="93" t="str">
        <f>IFERROR(IF('[1]G_Fall-back'!K194 = "", "", '[1]G_Fall-back'!K194 ),"")</f>
        <v/>
      </c>
      <c r="L5925" s="93" t="str">
        <f>IFERROR(IF('[1]G_Fall-back'!L194 = "", "", '[1]G_Fall-back'!L194 ),"")</f>
        <v/>
      </c>
      <c r="M5925" s="93" t="str">
        <f>IFERROR(IF('[1]G_Fall-back'!M194 = "", "", '[1]G_Fall-back'!M194 ),"")</f>
        <v/>
      </c>
      <c r="N5925" s="118" t="str">
        <f>IFERROR(IF('[1]G_Fall-back'!N194 = "", "", '[1]G_Fall-back'!N194 ),"")</f>
        <v/>
      </c>
    </row>
    <row r="5926" spans="3:14">
      <c r="C5926" s="1056"/>
      <c r="D5926" s="1061" t="s">
        <v>790</v>
      </c>
      <c r="E5926" s="2475" t="s">
        <v>1489</v>
      </c>
      <c r="F5926" s="2410"/>
      <c r="G5926" s="815" t="s">
        <v>2018</v>
      </c>
      <c r="H5926" s="93" t="str">
        <f>IFERROR(IF('[1]G_Fall-back'!H195 = "", "", '[1]G_Fall-back'!H195 ),"")</f>
        <v/>
      </c>
      <c r="I5926" s="93" t="str">
        <f>IFERROR(IF('[1]G_Fall-back'!I195 = "", "", '[1]G_Fall-back'!I195 ),"")</f>
        <v/>
      </c>
      <c r="J5926" s="93" t="str">
        <f>IFERROR(IF('[1]G_Fall-back'!J195 = "", "", '[1]G_Fall-back'!J195 ),"")</f>
        <v/>
      </c>
      <c r="K5926" s="93" t="str">
        <f>IFERROR(IF('[1]G_Fall-back'!K195 = "", "", '[1]G_Fall-back'!K195 ),"")</f>
        <v/>
      </c>
      <c r="L5926" s="93" t="str">
        <f>IFERROR(IF('[1]G_Fall-back'!L195 = "", "", '[1]G_Fall-back'!L195 ),"")</f>
        <v/>
      </c>
      <c r="M5926" s="93" t="str">
        <f>IFERROR(IF('[1]G_Fall-back'!M195 = "", "", '[1]G_Fall-back'!M195 ),"")</f>
        <v/>
      </c>
      <c r="N5926" s="118" t="str">
        <f>IFERROR(IF('[1]G_Fall-back'!N195 = "", "", '[1]G_Fall-back'!N195 ),"")</f>
        <v/>
      </c>
    </row>
    <row r="5927" spans="3:14">
      <c r="C5927" s="1056"/>
      <c r="D5927" s="1057"/>
      <c r="E5927" s="1057"/>
      <c r="F5927" s="1057"/>
      <c r="G5927" s="1057"/>
      <c r="H5927" s="1057"/>
      <c r="I5927" s="1057"/>
      <c r="J5927" s="1057"/>
      <c r="K5927" s="1057"/>
      <c r="L5927" s="1057"/>
      <c r="M5927" s="1057"/>
      <c r="N5927" s="1060"/>
    </row>
    <row r="5928" spans="3:14">
      <c r="C5928" s="1056"/>
      <c r="D5928" s="1057"/>
      <c r="E5928" s="2648" t="s">
        <v>1326</v>
      </c>
      <c r="F5928" s="2493"/>
      <c r="G5928" s="987" t="s">
        <v>884</v>
      </c>
      <c r="H5928" s="782">
        <v>2019</v>
      </c>
      <c r="I5928" s="782">
        <v>2020</v>
      </c>
      <c r="J5928" s="782">
        <v>2021</v>
      </c>
      <c r="K5928" s="782">
        <v>2022</v>
      </c>
      <c r="L5928" s="782">
        <v>2023</v>
      </c>
      <c r="M5928" s="782">
        <v>2024</v>
      </c>
      <c r="N5928" s="783">
        <v>2025</v>
      </c>
    </row>
    <row r="5929" spans="3:14">
      <c r="C5929" s="1056"/>
      <c r="D5929" s="1061" t="s">
        <v>64</v>
      </c>
      <c r="E5929" s="2475" t="s">
        <v>1087</v>
      </c>
      <c r="F5929" s="2410"/>
      <c r="G5929" s="815" t="s">
        <v>2017</v>
      </c>
      <c r="H5929" s="93" t="str">
        <f>IFERROR(IF('[1]G_Fall-back'!H198 = "", "", '[1]G_Fall-back'!H198 ),"")</f>
        <v/>
      </c>
      <c r="I5929" s="93" t="str">
        <f>IFERROR(IF('[1]G_Fall-back'!I198 = "", "", '[1]G_Fall-back'!I198 ),"")</f>
        <v/>
      </c>
      <c r="J5929" s="93" t="str">
        <f>IFERROR(IF('[1]G_Fall-back'!J198 = "", "", '[1]G_Fall-back'!J198 ),"")</f>
        <v/>
      </c>
      <c r="K5929" s="93" t="str">
        <f>IFERROR(IF('[1]G_Fall-back'!K198 = "", "", '[1]G_Fall-back'!K198 ),"")</f>
        <v/>
      </c>
      <c r="L5929" s="93" t="str">
        <f>IFERROR(IF('[1]G_Fall-back'!L198 = "", "", '[1]G_Fall-back'!L198 ),"")</f>
        <v/>
      </c>
      <c r="M5929" s="93" t="str">
        <f>IFERROR(IF('[1]G_Fall-back'!M198 = "", "", '[1]G_Fall-back'!M198 ),"")</f>
        <v/>
      </c>
      <c r="N5929" s="118" t="str">
        <f>IFERROR(IF('[1]G_Fall-back'!N198 = "", "", '[1]G_Fall-back'!N198 ),"")</f>
        <v/>
      </c>
    </row>
    <row r="5930" spans="3:14">
      <c r="C5930" s="1056"/>
      <c r="D5930" s="1061" t="s">
        <v>65</v>
      </c>
      <c r="E5930" s="2475" t="s">
        <v>1491</v>
      </c>
      <c r="F5930" s="2410"/>
      <c r="G5930" s="815" t="s">
        <v>2018</v>
      </c>
      <c r="H5930" s="93" t="str">
        <f>IFERROR(IF('[1]G_Fall-back'!H199 = "", "", '[1]G_Fall-back'!H199 ),"")</f>
        <v/>
      </c>
      <c r="I5930" s="93" t="str">
        <f>IFERROR(IF('[1]G_Fall-back'!I199 = "", "", '[1]G_Fall-back'!I199 ),"")</f>
        <v/>
      </c>
      <c r="J5930" s="93" t="str">
        <f>IFERROR(IF('[1]G_Fall-back'!J199 = "", "", '[1]G_Fall-back'!J199 ),"")</f>
        <v/>
      </c>
      <c r="K5930" s="93" t="str">
        <f>IFERROR(IF('[1]G_Fall-back'!K199 = "", "", '[1]G_Fall-back'!K199 ),"")</f>
        <v/>
      </c>
      <c r="L5930" s="93" t="str">
        <f>IFERROR(IF('[1]G_Fall-back'!L199 = "", "", '[1]G_Fall-back'!L199 ),"")</f>
        <v/>
      </c>
      <c r="M5930" s="93" t="str">
        <f>IFERROR(IF('[1]G_Fall-back'!M199 = "", "", '[1]G_Fall-back'!M199 ),"")</f>
        <v/>
      </c>
      <c r="N5930" s="118" t="str">
        <f>IFERROR(IF('[1]G_Fall-back'!N199 = "", "", '[1]G_Fall-back'!N199 ),"")</f>
        <v/>
      </c>
    </row>
    <row r="5931" spans="3:14">
      <c r="C5931" s="1056"/>
      <c r="D5931" s="1057"/>
      <c r="E5931" s="1057"/>
      <c r="F5931" s="1057"/>
      <c r="G5931" s="1057"/>
      <c r="H5931" s="1057"/>
      <c r="I5931" s="1057"/>
      <c r="J5931" s="1057"/>
      <c r="K5931" s="1057"/>
      <c r="L5931" s="1057"/>
      <c r="M5931" s="1057"/>
      <c r="N5931" s="1060"/>
    </row>
    <row r="5932" spans="3:14">
      <c r="C5932" s="1056"/>
      <c r="D5932" s="1057"/>
      <c r="E5932" s="2648" t="s">
        <v>1327</v>
      </c>
      <c r="F5932" s="2493"/>
      <c r="G5932" s="987" t="s">
        <v>884</v>
      </c>
      <c r="H5932" s="782">
        <v>2019</v>
      </c>
      <c r="I5932" s="782">
        <v>2020</v>
      </c>
      <c r="J5932" s="782">
        <v>2021</v>
      </c>
      <c r="K5932" s="782">
        <v>2022</v>
      </c>
      <c r="L5932" s="782">
        <v>2023</v>
      </c>
      <c r="M5932" s="782">
        <v>2024</v>
      </c>
      <c r="N5932" s="783">
        <v>2025</v>
      </c>
    </row>
    <row r="5933" spans="3:14">
      <c r="C5933" s="1056"/>
      <c r="D5933" s="1061" t="s">
        <v>1105</v>
      </c>
      <c r="E5933" s="2475" t="s">
        <v>1087</v>
      </c>
      <c r="F5933" s="2410"/>
      <c r="G5933" s="815" t="s">
        <v>2017</v>
      </c>
      <c r="H5933" s="93" t="str">
        <f>IFERROR(IF('[1]G_Fall-back'!H202 = "", "", '[1]G_Fall-back'!H202 ),"")</f>
        <v/>
      </c>
      <c r="I5933" s="93" t="str">
        <f>IFERROR(IF('[1]G_Fall-back'!I202 = "", "", '[1]G_Fall-back'!I202 ),"")</f>
        <v/>
      </c>
      <c r="J5933" s="93" t="str">
        <f>IFERROR(IF('[1]G_Fall-back'!J202 = "", "", '[1]G_Fall-back'!J202 ),"")</f>
        <v/>
      </c>
      <c r="K5933" s="93" t="str">
        <f>IFERROR(IF('[1]G_Fall-back'!K202 = "", "", '[1]G_Fall-back'!K202 ),"")</f>
        <v/>
      </c>
      <c r="L5933" s="93" t="str">
        <f>IFERROR(IF('[1]G_Fall-back'!L202 = "", "", '[1]G_Fall-back'!L202 ),"")</f>
        <v/>
      </c>
      <c r="M5933" s="93" t="str">
        <f>IFERROR(IF('[1]G_Fall-back'!M202 = "", "", '[1]G_Fall-back'!M202 ),"")</f>
        <v/>
      </c>
      <c r="N5933" s="118" t="str">
        <f>IFERROR(IF('[1]G_Fall-back'!N202 = "", "", '[1]G_Fall-back'!N202 ),"")</f>
        <v/>
      </c>
    </row>
    <row r="5934" spans="3:14">
      <c r="C5934" s="1056"/>
      <c r="D5934" s="1061" t="s">
        <v>1106</v>
      </c>
      <c r="E5934" s="2475" t="s">
        <v>1492</v>
      </c>
      <c r="F5934" s="2410"/>
      <c r="G5934" s="815" t="s">
        <v>2018</v>
      </c>
      <c r="H5934" s="93" t="str">
        <f>IFERROR(IF('[1]G_Fall-back'!H203 = "", "", '[1]G_Fall-back'!H203 ),"")</f>
        <v/>
      </c>
      <c r="I5934" s="93" t="str">
        <f>IFERROR(IF('[1]G_Fall-back'!I203 = "", "", '[1]G_Fall-back'!I203 ),"")</f>
        <v/>
      </c>
      <c r="J5934" s="93" t="str">
        <f>IFERROR(IF('[1]G_Fall-back'!J203 = "", "", '[1]G_Fall-back'!J203 ),"")</f>
        <v/>
      </c>
      <c r="K5934" s="93" t="str">
        <f>IFERROR(IF('[1]G_Fall-back'!K203 = "", "", '[1]G_Fall-back'!K203 ),"")</f>
        <v/>
      </c>
      <c r="L5934" s="93" t="str">
        <f>IFERROR(IF('[1]G_Fall-back'!L203 = "", "", '[1]G_Fall-back'!L203 ),"")</f>
        <v/>
      </c>
      <c r="M5934" s="93" t="str">
        <f>IFERROR(IF('[1]G_Fall-back'!M203 = "", "", '[1]G_Fall-back'!M203 ),"")</f>
        <v/>
      </c>
      <c r="N5934" s="118" t="str">
        <f>IFERROR(IF('[1]G_Fall-back'!N203 = "", "", '[1]G_Fall-back'!N203 ),"")</f>
        <v/>
      </c>
    </row>
    <row r="5935" spans="3:14">
      <c r="C5935" s="1056"/>
      <c r="D5935" s="1057"/>
      <c r="E5935" s="1057"/>
      <c r="F5935" s="1057"/>
      <c r="G5935" s="1057"/>
      <c r="H5935" s="1057"/>
      <c r="I5935" s="1057"/>
      <c r="J5935" s="1057"/>
      <c r="K5935" s="1057"/>
      <c r="L5935" s="1057"/>
      <c r="M5935" s="1057"/>
      <c r="N5935" s="1060"/>
    </row>
    <row r="5936" spans="3:14">
      <c r="C5936" s="1056"/>
      <c r="D5936" s="1061" t="s">
        <v>1108</v>
      </c>
      <c r="E5936" s="2475" t="s">
        <v>1169</v>
      </c>
      <c r="F5936" s="2410"/>
      <c r="G5936" s="815" t="s">
        <v>2017</v>
      </c>
      <c r="H5936" s="93" t="str">
        <f>IFERROR(IF('[1]G_Fall-back'!H205 = "", "", '[1]G_Fall-back'!H205 ),"")</f>
        <v/>
      </c>
      <c r="I5936" s="93" t="str">
        <f>IFERROR(IF('[1]G_Fall-back'!I205 = "", "", '[1]G_Fall-back'!I205 ),"")</f>
        <v/>
      </c>
      <c r="J5936" s="93" t="str">
        <f>IFERROR(IF('[1]G_Fall-back'!J205 = "", "", '[1]G_Fall-back'!J205 ),"")</f>
        <v/>
      </c>
      <c r="K5936" s="93" t="str">
        <f>IFERROR(IF('[1]G_Fall-back'!K205 = "", "", '[1]G_Fall-back'!K205 ),"")</f>
        <v/>
      </c>
      <c r="L5936" s="93" t="str">
        <f>IFERROR(IF('[1]G_Fall-back'!L205 = "", "", '[1]G_Fall-back'!L205 ),"")</f>
        <v/>
      </c>
      <c r="M5936" s="93" t="str">
        <f>IFERROR(IF('[1]G_Fall-back'!M205 = "", "", '[1]G_Fall-back'!M205 ),"")</f>
        <v/>
      </c>
      <c r="N5936" s="118" t="str">
        <f>IFERROR(IF('[1]G_Fall-back'!N205 = "", "", '[1]G_Fall-back'!N205 ),"")</f>
        <v/>
      </c>
    </row>
    <row r="5937" spans="3:14" ht="13.5" thickBot="1">
      <c r="C5937" s="1063"/>
      <c r="D5937" s="1064"/>
      <c r="E5937" s="1064"/>
      <c r="F5937" s="1064"/>
      <c r="G5937" s="1064"/>
      <c r="H5937" s="1064"/>
      <c r="I5937" s="1064"/>
      <c r="J5937" s="1064"/>
      <c r="K5937" s="1064"/>
      <c r="L5937" s="1064"/>
      <c r="M5937" s="1065"/>
      <c r="N5937" s="1066"/>
    </row>
    <row r="5938" spans="3:14" ht="13.5" thickBot="1">
      <c r="C5938" s="485"/>
      <c r="D5938" s="485"/>
      <c r="E5938" s="485"/>
      <c r="F5938" s="485"/>
      <c r="G5938" s="485"/>
      <c r="H5938" s="485"/>
      <c r="I5938" s="485"/>
      <c r="J5938" s="485"/>
      <c r="K5938" s="485"/>
      <c r="L5938" s="485"/>
      <c r="M5938" s="485"/>
      <c r="N5938" s="485"/>
    </row>
    <row r="5939" spans="3:14" ht="13.5" thickBot="1">
      <c r="C5939" s="686"/>
      <c r="D5939" s="686"/>
      <c r="E5939" s="686"/>
      <c r="F5939" s="686"/>
      <c r="G5939" s="686"/>
      <c r="H5939" s="686"/>
      <c r="I5939" s="686"/>
      <c r="J5939" s="686"/>
      <c r="K5939" s="686"/>
      <c r="L5939" s="686"/>
      <c r="M5939" s="686"/>
      <c r="N5939" s="686"/>
    </row>
    <row r="5940" spans="3:14" ht="15.75" thickBot="1">
      <c r="C5940" s="559">
        <v>2</v>
      </c>
      <c r="D5940" s="2482" t="s">
        <v>2170</v>
      </c>
      <c r="E5940" s="2400"/>
      <c r="F5940" s="2400"/>
      <c r="G5940" s="2400"/>
      <c r="H5940" s="2585"/>
      <c r="I5940" s="2489" t="str">
        <f>IFERROR(IF('[1]G_Fall-back'!I209 = "", "", '[1]G_Fall-back'!I209 ),"")</f>
        <v>Heat benchmark sub-installation, non-CL</v>
      </c>
      <c r="J5940" s="2534"/>
      <c r="K5940" s="2534"/>
      <c r="L5940" s="2681"/>
      <c r="M5940" s="2476" t="str">
        <f>IFERROR(IF('[1]G_Fall-back'!M209 = "", "", '[1]G_Fall-back'!M209 ),"")</f>
        <v/>
      </c>
      <c r="N5940" s="2477"/>
    </row>
    <row r="5941" spans="3:14">
      <c r="C5941" s="485"/>
      <c r="D5941" s="485"/>
      <c r="E5941" s="485"/>
      <c r="F5941" s="485"/>
      <c r="G5941" s="485"/>
      <c r="H5941" s="484"/>
      <c r="I5941" s="2716" t="s">
        <v>111</v>
      </c>
      <c r="J5941" s="2717"/>
      <c r="K5941" s="2717"/>
      <c r="L5941" s="2717"/>
      <c r="M5941" s="2718"/>
      <c r="N5941" s="2719"/>
    </row>
    <row r="5942" spans="3:14">
      <c r="C5942" s="467"/>
      <c r="D5942" s="485"/>
      <c r="E5942" s="2465" t="s">
        <v>1197</v>
      </c>
      <c r="F5942" s="2400"/>
      <c r="G5942" s="2400"/>
      <c r="H5942" s="2400"/>
      <c r="I5942" s="2400"/>
      <c r="J5942" s="2400"/>
      <c r="K5942" s="2400"/>
      <c r="L5942" s="2400"/>
      <c r="M5942" s="2400"/>
      <c r="N5942" s="2400"/>
    </row>
    <row r="5943" spans="3:14">
      <c r="C5943" s="467"/>
      <c r="D5943" s="467"/>
      <c r="E5943" s="467"/>
      <c r="F5943" s="467"/>
      <c r="G5943" s="467"/>
      <c r="H5943" s="467"/>
      <c r="I5943" s="467"/>
      <c r="J5943" s="467"/>
      <c r="K5943" s="467"/>
      <c r="L5943" s="467"/>
      <c r="M5943" s="481"/>
      <c r="N5943" s="481"/>
    </row>
    <row r="5944" spans="3:14">
      <c r="C5944" s="482"/>
      <c r="D5944" s="482" t="s">
        <v>400</v>
      </c>
      <c r="E5944" s="2373" t="s">
        <v>1930</v>
      </c>
      <c r="F5944" s="2400"/>
      <c r="G5944" s="2400"/>
      <c r="H5944" s="2400"/>
      <c r="I5944" s="2400"/>
      <c r="J5944" s="2400"/>
      <c r="K5944" s="2400"/>
      <c r="L5944" s="2400"/>
      <c r="M5944" s="2400"/>
      <c r="N5944" s="2400"/>
    </row>
    <row r="5945" spans="3:14">
      <c r="C5945" s="485"/>
      <c r="D5945" s="485"/>
      <c r="E5945" s="2720" t="s">
        <v>1340</v>
      </c>
      <c r="F5945" s="2720"/>
      <c r="G5945" s="2720"/>
      <c r="H5945" s="2720"/>
      <c r="I5945" s="2720"/>
      <c r="J5945" s="2720"/>
      <c r="K5945" s="2720"/>
      <c r="L5945" s="2720"/>
      <c r="M5945" s="2720"/>
      <c r="N5945" s="2720"/>
    </row>
    <row r="5946" spans="3:14">
      <c r="C5946" s="467"/>
      <c r="D5946" s="485"/>
      <c r="E5946" s="2651" t="s">
        <v>1959</v>
      </c>
      <c r="F5946" s="2721"/>
      <c r="G5946" s="2721"/>
      <c r="H5946" s="2721"/>
      <c r="I5946" s="2721"/>
      <c r="J5946" s="2721"/>
      <c r="K5946" s="2721"/>
      <c r="L5946" s="2721"/>
      <c r="M5946" s="2721"/>
      <c r="N5946" s="2721"/>
    </row>
    <row r="5947" spans="3:14">
      <c r="C5947" s="482"/>
      <c r="D5947" s="482"/>
      <c r="E5947" s="707" t="s">
        <v>920</v>
      </c>
      <c r="F5947" s="518"/>
      <c r="G5947" s="663" t="s">
        <v>884</v>
      </c>
      <c r="H5947" s="578">
        <v>2019</v>
      </c>
      <c r="I5947" s="697">
        <v>2020</v>
      </c>
      <c r="J5947" s="696">
        <v>2021</v>
      </c>
      <c r="K5947" s="578">
        <v>2022</v>
      </c>
      <c r="L5947" s="578">
        <v>2023</v>
      </c>
      <c r="M5947" s="578">
        <v>2024</v>
      </c>
      <c r="N5947" s="671">
        <v>2025</v>
      </c>
    </row>
    <row r="5948" spans="3:14">
      <c r="C5948" s="485"/>
      <c r="D5948" s="561" t="s">
        <v>6</v>
      </c>
      <c r="E5948" s="2696" t="str">
        <f>IFERROR(IF('[1]G_Fall-back'!E217 = "", "", '[1]G_Fall-back'!E217 ),"")</f>
        <v>Heat benchmark sub-installation, non-CL</v>
      </c>
      <c r="F5948" s="2696"/>
      <c r="G5948" s="74" t="str">
        <f>IFERROR(IF('[1]G_Fall-back'!G217 = "", "", '[1]G_Fall-back'!G217 ),"")</f>
        <v>TJ</v>
      </c>
      <c r="H5948" s="102" t="str">
        <f>IFERROR(IF('[1]G_Fall-back'!H217 = "", "", '[1]G_Fall-back'!H217 ),"")</f>
        <v/>
      </c>
      <c r="I5948" s="386" t="str">
        <f>IFERROR(IF('[1]G_Fall-back'!I217 = "", "", '[1]G_Fall-back'!I217 ),"")</f>
        <v/>
      </c>
      <c r="J5948" s="387" t="str">
        <f>IFERROR(IF('[1]G_Fall-back'!J217 = "", "", '[1]G_Fall-back'!J217 ),"")</f>
        <v/>
      </c>
      <c r="K5948" s="102" t="str">
        <f>IFERROR(IF('[1]G_Fall-back'!K217 = "", "", '[1]G_Fall-back'!K217 ),"")</f>
        <v/>
      </c>
      <c r="L5948" s="102" t="str">
        <f>IFERROR(IF('[1]G_Fall-back'!L217 = "", "", '[1]G_Fall-back'!L217 ),"")</f>
        <v/>
      </c>
      <c r="M5948" s="102" t="str">
        <f>IFERROR(IF('[1]G_Fall-back'!M217 = "", "", '[1]G_Fall-back'!M217 ),"")</f>
        <v/>
      </c>
      <c r="N5948" s="102" t="str">
        <f>IFERROR(IF('[1]G_Fall-back'!N217 = "", "", '[1]G_Fall-back'!N217 ),"")</f>
        <v/>
      </c>
    </row>
    <row r="5949" spans="3:14">
      <c r="C5949" s="479"/>
      <c r="D5949" s="485"/>
      <c r="E5949" s="485"/>
      <c r="F5949" s="485"/>
      <c r="G5949" s="485"/>
      <c r="H5949" s="485"/>
      <c r="I5949" s="485"/>
      <c r="J5949" s="485"/>
      <c r="K5949" s="485"/>
      <c r="L5949" s="485"/>
      <c r="M5949" s="485"/>
      <c r="N5949" s="485"/>
    </row>
    <row r="5950" spans="3:14">
      <c r="C5950" s="479"/>
      <c r="D5950" s="485"/>
      <c r="E5950" s="2465" t="s">
        <v>1712</v>
      </c>
      <c r="F5950" s="2400"/>
      <c r="G5950" s="2400"/>
      <c r="H5950" s="2400"/>
      <c r="I5950" s="2400"/>
      <c r="J5950" s="2400"/>
      <c r="K5950" s="2400"/>
      <c r="L5950" s="2400"/>
      <c r="M5950" s="2400"/>
      <c r="N5950" s="2400"/>
    </row>
    <row r="5951" spans="3:14">
      <c r="C5951" s="479"/>
      <c r="D5951" s="485"/>
      <c r="E5951" s="901" t="s">
        <v>1021</v>
      </c>
      <c r="F5951" s="2651" t="s">
        <v>2711</v>
      </c>
      <c r="G5951" s="2584"/>
      <c r="H5951" s="2584"/>
      <c r="I5951" s="2584"/>
      <c r="J5951" s="2584"/>
      <c r="K5951" s="2584"/>
      <c r="L5951" s="2584"/>
      <c r="M5951" s="2584"/>
      <c r="N5951" s="2584"/>
    </row>
    <row r="5952" spans="3:14">
      <c r="C5952" s="479"/>
      <c r="D5952" s="485"/>
      <c r="E5952" s="901" t="s">
        <v>1021</v>
      </c>
      <c r="F5952" s="2651" t="s">
        <v>1985</v>
      </c>
      <c r="G5952" s="2584"/>
      <c r="H5952" s="2584"/>
      <c r="I5952" s="2584"/>
      <c r="J5952" s="2584"/>
      <c r="K5952" s="2584"/>
      <c r="L5952" s="2584"/>
      <c r="M5952" s="2584"/>
      <c r="N5952" s="2584"/>
    </row>
    <row r="5953" spans="3:14" ht="13.5" thickBot="1">
      <c r="C5953" s="479"/>
      <c r="D5953" s="485"/>
      <c r="E5953" s="901" t="s">
        <v>2239</v>
      </c>
      <c r="F5953" s="2651" t="s">
        <v>2717</v>
      </c>
      <c r="G5953" s="2584"/>
      <c r="H5953" s="2584"/>
      <c r="I5953" s="2584"/>
      <c r="J5953" s="2584"/>
      <c r="K5953" s="2584"/>
      <c r="L5953" s="2584"/>
      <c r="M5953" s="2584"/>
      <c r="N5953" s="2584"/>
    </row>
    <row r="5954" spans="3:14">
      <c r="C5954" s="479"/>
      <c r="D5954" s="902"/>
      <c r="E5954" s="903"/>
      <c r="F5954" s="904"/>
      <c r="G5954" s="905"/>
      <c r="H5954" s="905"/>
      <c r="I5954" s="905"/>
      <c r="J5954" s="905"/>
      <c r="K5954" s="905"/>
      <c r="L5954" s="905"/>
      <c r="M5954" s="905"/>
      <c r="N5954" s="906"/>
    </row>
    <row r="5955" spans="3:14">
      <c r="C5955" s="479"/>
      <c r="D5955" s="918"/>
      <c r="E5955" s="908" t="s">
        <v>1652</v>
      </c>
      <c r="F5955" s="909"/>
      <c r="G5955" s="909"/>
      <c r="H5955" s="910" t="s">
        <v>884</v>
      </c>
      <c r="I5955" s="911" t="s">
        <v>2212</v>
      </c>
      <c r="J5955" s="912">
        <v>2021</v>
      </c>
      <c r="K5955" s="913">
        <v>2022</v>
      </c>
      <c r="L5955" s="913">
        <v>2023</v>
      </c>
      <c r="M5955" s="913">
        <v>2024</v>
      </c>
      <c r="N5955" s="914">
        <v>2025</v>
      </c>
    </row>
    <row r="5956" spans="3:14">
      <c r="C5956" s="479"/>
      <c r="D5956" s="915" t="s">
        <v>7</v>
      </c>
      <c r="E5956" s="916" t="s">
        <v>1976</v>
      </c>
      <c r="F5956" s="916"/>
      <c r="G5956" s="916"/>
      <c r="H5956" s="944" t="s">
        <v>283</v>
      </c>
      <c r="I5956" s="235" t="str">
        <f>IFERROR(IF('[1]G_Fall-back'!I225 = "", "", '[1]G_Fall-back'!I225 ),"")</f>
        <v/>
      </c>
      <c r="J5956" s="388" t="str">
        <f>IFERROR(IF('[1]G_Fall-back'!J225 = "", "", '[1]G_Fall-back'!J225 ),"")</f>
        <v/>
      </c>
      <c r="K5956" s="389" t="str">
        <f>IFERROR(IF('[1]G_Fall-back'!K225 = "", "", '[1]G_Fall-back'!K225 ),"")</f>
        <v/>
      </c>
      <c r="L5956" s="389" t="str">
        <f>IFERROR(IF('[1]G_Fall-back'!L225 = "", "", '[1]G_Fall-back'!L225 ),"")</f>
        <v/>
      </c>
      <c r="M5956" s="389" t="str">
        <f>IFERROR(IF('[1]G_Fall-back'!M225 = "", "", '[1]G_Fall-back'!M225 ),"")</f>
        <v/>
      </c>
      <c r="N5956" s="390" t="str">
        <f>IFERROR(IF('[1]G_Fall-back'!N225 = "", "", '[1]G_Fall-back'!N225 ),"")</f>
        <v/>
      </c>
    </row>
    <row r="5957" spans="3:14">
      <c r="C5957" s="479"/>
      <c r="D5957" s="915"/>
      <c r="E5957" s="916" t="s">
        <v>1648</v>
      </c>
      <c r="F5957" s="916"/>
      <c r="G5957" s="916"/>
      <c r="H5957" s="921"/>
      <c r="I5957" s="916"/>
      <c r="J5957" s="319" t="str">
        <f>IFERROR(IF('[1]G_Fall-back'!J226 = "", "", '[1]G_Fall-back'!J226 ),"")</f>
        <v/>
      </c>
      <c r="K5957" s="320" t="str">
        <f>IFERROR(IF('[1]G_Fall-back'!K226 = "", "", '[1]G_Fall-back'!K226 ),"")</f>
        <v/>
      </c>
      <c r="L5957" s="320" t="str">
        <f>IFERROR(IF('[1]G_Fall-back'!L226 = "", "", '[1]G_Fall-back'!L226 ),"")</f>
        <v/>
      </c>
      <c r="M5957" s="320" t="str">
        <f>IFERROR(IF('[1]G_Fall-back'!M226 = "", "", '[1]G_Fall-back'!M226 ),"")</f>
        <v/>
      </c>
      <c r="N5957" s="321" t="str">
        <f>IFERROR(IF('[1]G_Fall-back'!N226 = "", "", '[1]G_Fall-back'!N226 ),"")</f>
        <v/>
      </c>
    </row>
    <row r="5958" spans="3:14">
      <c r="C5958" s="479"/>
      <c r="D5958" s="915" t="s">
        <v>8</v>
      </c>
      <c r="E5958" s="916" t="s">
        <v>1654</v>
      </c>
      <c r="F5958" s="916"/>
      <c r="G5958" s="916"/>
      <c r="H5958" s="921"/>
      <c r="I5958" s="916"/>
      <c r="J5958" s="288" t="str">
        <f>IFERROR(IF('[1]G_Fall-back'!J227 = "", "", '[1]G_Fall-back'!J227 ),"")</f>
        <v/>
      </c>
      <c r="K5958" s="289" t="str">
        <f>IFERROR(IF('[1]G_Fall-back'!K227 = "", "", '[1]G_Fall-back'!K227 ),"")</f>
        <v/>
      </c>
      <c r="L5958" s="289" t="str">
        <f>IFERROR(IF('[1]G_Fall-back'!L227 = "", "", '[1]G_Fall-back'!L227 ),"")</f>
        <v/>
      </c>
      <c r="M5958" s="289" t="str">
        <f>IFERROR(IF('[1]G_Fall-back'!M227 = "", "", '[1]G_Fall-back'!M227 ),"")</f>
        <v/>
      </c>
      <c r="N5958" s="290" t="str">
        <f>IFERROR(IF('[1]G_Fall-back'!N227 = "", "", '[1]G_Fall-back'!N227 ),"")</f>
        <v/>
      </c>
    </row>
    <row r="5959" spans="3:14">
      <c r="C5959" s="479"/>
      <c r="D5959" s="915" t="s">
        <v>18</v>
      </c>
      <c r="E5959" s="916" t="s">
        <v>1647</v>
      </c>
      <c r="F5959" s="916"/>
      <c r="G5959" s="916"/>
      <c r="H5959" s="944" t="s">
        <v>283</v>
      </c>
      <c r="I5959" s="235" t="str">
        <f>IFERROR(IF('[1]G_Fall-back'!I228 = "", "", '[1]G_Fall-back'!I228 ),"")</f>
        <v/>
      </c>
      <c r="J5959" s="388" t="str">
        <f>IFERROR(IF('[1]G_Fall-back'!J228 = "", "", '[1]G_Fall-back'!J228 ),"")</f>
        <v/>
      </c>
      <c r="K5959" s="389" t="str">
        <f>IFERROR(IF('[1]G_Fall-back'!K228 = "", "", '[1]G_Fall-back'!K228 ),"")</f>
        <v/>
      </c>
      <c r="L5959" s="389" t="str">
        <f>IFERROR(IF('[1]G_Fall-back'!L228 = "", "", '[1]G_Fall-back'!L228 ),"")</f>
        <v/>
      </c>
      <c r="M5959" s="389" t="str">
        <f>IFERROR(IF('[1]G_Fall-back'!M228 = "", "", '[1]G_Fall-back'!M228 ),"")</f>
        <v/>
      </c>
      <c r="N5959" s="390" t="str">
        <f>IFERROR(IF('[1]G_Fall-back'!N228 = "", "", '[1]G_Fall-back'!N228 ),"")</f>
        <v/>
      </c>
    </row>
    <row r="5960" spans="3:14" ht="13.5" thickBot="1">
      <c r="C5960" s="467"/>
      <c r="D5960" s="1022"/>
      <c r="E5960" s="1023"/>
      <c r="F5960" s="1023"/>
      <c r="G5960" s="1023"/>
      <c r="H5960" s="1023"/>
      <c r="I5960" s="1023"/>
      <c r="J5960" s="1023"/>
      <c r="K5960" s="1023"/>
      <c r="L5960" s="1023"/>
      <c r="M5960" s="1023"/>
      <c r="N5960" s="1024"/>
    </row>
    <row r="5961" spans="3:14">
      <c r="C5961" s="467"/>
      <c r="D5961" s="467"/>
      <c r="E5961" s="467"/>
      <c r="F5961" s="467"/>
      <c r="G5961" s="467"/>
      <c r="H5961" s="467"/>
      <c r="I5961" s="467"/>
      <c r="J5961" s="467"/>
      <c r="K5961" s="467"/>
      <c r="L5961" s="467"/>
      <c r="M5961" s="467"/>
      <c r="N5961" s="467"/>
    </row>
    <row r="5962" spans="3:14" ht="15">
      <c r="C5962" s="1025"/>
      <c r="D5962" s="2482" t="s">
        <v>103</v>
      </c>
      <c r="E5962" s="2400"/>
      <c r="F5962" s="2400"/>
      <c r="G5962" s="2400"/>
      <c r="H5962" s="2400"/>
      <c r="I5962" s="2400"/>
      <c r="J5962" s="2400"/>
      <c r="K5962" s="2400"/>
      <c r="L5962" s="2400"/>
      <c r="M5962" s="2400"/>
      <c r="N5962" s="2400"/>
    </row>
    <row r="5963" spans="3:14">
      <c r="C5963" s="467"/>
      <c r="D5963" s="467"/>
      <c r="E5963" s="467"/>
      <c r="F5963" s="467"/>
      <c r="G5963" s="467"/>
      <c r="H5963" s="467"/>
      <c r="I5963" s="467"/>
      <c r="J5963" s="467"/>
      <c r="K5963" s="467"/>
      <c r="L5963" s="467"/>
      <c r="M5963" s="467"/>
      <c r="N5963" s="467"/>
    </row>
    <row r="5964" spans="3:14">
      <c r="C5964" s="482"/>
      <c r="D5964" s="482" t="s">
        <v>876</v>
      </c>
      <c r="E5964" s="2373" t="s">
        <v>298</v>
      </c>
      <c r="F5964" s="2400"/>
      <c r="G5964" s="2400"/>
      <c r="H5964" s="2400"/>
      <c r="I5964" s="2400"/>
      <c r="J5964" s="2400"/>
      <c r="K5964" s="2400"/>
      <c r="L5964" s="2400"/>
      <c r="M5964" s="2400"/>
      <c r="N5964" s="2400"/>
    </row>
    <row r="5965" spans="3:14">
      <c r="C5965" s="485"/>
      <c r="D5965" s="485"/>
      <c r="E5965" s="2465" t="s">
        <v>925</v>
      </c>
      <c r="F5965" s="2400"/>
      <c r="G5965" s="2400"/>
      <c r="H5965" s="2400"/>
      <c r="I5965" s="2400"/>
      <c r="J5965" s="2400"/>
      <c r="K5965" s="2400"/>
      <c r="L5965" s="2400"/>
      <c r="M5965" s="2400"/>
      <c r="N5965" s="2400"/>
    </row>
    <row r="5966" spans="3:14">
      <c r="C5966" s="485"/>
      <c r="D5966" s="485"/>
      <c r="E5966" s="1026" t="s">
        <v>2177</v>
      </c>
      <c r="F5966" s="2465" t="s">
        <v>927</v>
      </c>
      <c r="G5966" s="2400"/>
      <c r="H5966" s="2400"/>
      <c r="I5966" s="2400"/>
      <c r="J5966" s="2400"/>
      <c r="K5966" s="2400"/>
      <c r="L5966" s="2400"/>
      <c r="M5966" s="2400"/>
      <c r="N5966" s="2400"/>
    </row>
    <row r="5967" spans="3:14">
      <c r="C5967" s="485"/>
      <c r="D5967" s="485"/>
      <c r="E5967" s="1026" t="s">
        <v>2177</v>
      </c>
      <c r="F5967" s="2465" t="s">
        <v>1005</v>
      </c>
      <c r="G5967" s="2400"/>
      <c r="H5967" s="2400"/>
      <c r="I5967" s="2400"/>
      <c r="J5967" s="2400"/>
      <c r="K5967" s="2400"/>
      <c r="L5967" s="2400"/>
      <c r="M5967" s="2400"/>
      <c r="N5967" s="2400"/>
    </row>
    <row r="5968" spans="3:14">
      <c r="C5968" s="485"/>
      <c r="D5968" s="485"/>
      <c r="E5968" s="1026" t="s">
        <v>2177</v>
      </c>
      <c r="F5968" s="2465" t="s">
        <v>1228</v>
      </c>
      <c r="G5968" s="2400"/>
      <c r="H5968" s="2400"/>
      <c r="I5968" s="2400"/>
      <c r="J5968" s="2400"/>
      <c r="K5968" s="2400"/>
      <c r="L5968" s="2400"/>
      <c r="M5968" s="2400"/>
      <c r="N5968" s="2400"/>
    </row>
    <row r="5969" spans="3:14">
      <c r="C5969" s="485"/>
      <c r="D5969" s="485"/>
      <c r="E5969" s="2465" t="s">
        <v>1636</v>
      </c>
      <c r="F5969" s="2400"/>
      <c r="G5969" s="2400"/>
      <c r="H5969" s="2400"/>
      <c r="I5969" s="2400"/>
      <c r="J5969" s="2400"/>
      <c r="K5969" s="2400"/>
      <c r="L5969" s="2400"/>
      <c r="M5969" s="2400"/>
      <c r="N5969" s="2400"/>
    </row>
    <row r="5970" spans="3:14">
      <c r="C5970" s="485"/>
      <c r="D5970" s="485"/>
      <c r="E5970" s="2465" t="s">
        <v>2119</v>
      </c>
      <c r="F5970" s="2400"/>
      <c r="G5970" s="2400"/>
      <c r="H5970" s="2400"/>
      <c r="I5970" s="2400"/>
      <c r="J5970" s="2400"/>
      <c r="K5970" s="2400"/>
      <c r="L5970" s="2400"/>
      <c r="M5970" s="2400"/>
      <c r="N5970" s="2400"/>
    </row>
    <row r="5971" spans="3:14">
      <c r="C5971" s="485"/>
      <c r="D5971" s="485"/>
      <c r="E5971" s="2677" t="s">
        <v>2120</v>
      </c>
      <c r="F5971" s="2722"/>
      <c r="G5971" s="2722"/>
      <c r="H5971" s="2722"/>
      <c r="I5971" s="2722"/>
      <c r="J5971" s="2722"/>
      <c r="K5971" s="2722"/>
      <c r="L5971" s="2722"/>
      <c r="M5971" s="2722"/>
      <c r="N5971" s="2722"/>
    </row>
    <row r="5972" spans="3:14">
      <c r="C5972" s="485"/>
      <c r="D5972" s="485"/>
      <c r="E5972" s="2465" t="s">
        <v>29</v>
      </c>
      <c r="F5972" s="2400"/>
      <c r="G5972" s="2400"/>
      <c r="H5972" s="2400"/>
      <c r="I5972" s="2400"/>
      <c r="J5972" s="2400"/>
      <c r="K5972" s="2400"/>
      <c r="L5972" s="2400"/>
      <c r="M5972" s="2400"/>
      <c r="N5972" s="2400"/>
    </row>
    <row r="5973" spans="3:14">
      <c r="C5973" s="485"/>
      <c r="D5973" s="485"/>
      <c r="E5973" s="2465" t="s">
        <v>1901</v>
      </c>
      <c r="F5973" s="2400"/>
      <c r="G5973" s="2400"/>
      <c r="H5973" s="2400"/>
      <c r="I5973" s="2400"/>
      <c r="J5973" s="2400"/>
      <c r="K5973" s="2400"/>
      <c r="L5973" s="2400"/>
      <c r="M5973" s="2400"/>
      <c r="N5973" s="2400"/>
    </row>
    <row r="5974" spans="3:14">
      <c r="C5974" s="485"/>
      <c r="D5974" s="485"/>
      <c r="E5974" s="617"/>
      <c r="F5974" s="617"/>
      <c r="G5974" s="617"/>
      <c r="H5974" s="617"/>
      <c r="I5974" s="617"/>
      <c r="J5974" s="468"/>
      <c r="K5974" s="468"/>
      <c r="L5974" s="468"/>
      <c r="M5974" s="481"/>
      <c r="N5974" s="481"/>
    </row>
    <row r="5975" spans="3:14" ht="25.5">
      <c r="C5975" s="482"/>
      <c r="D5975" s="956"/>
      <c r="E5975" s="2723" t="s">
        <v>485</v>
      </c>
      <c r="F5975" s="2724"/>
      <c r="G5975" s="2723" t="s">
        <v>488</v>
      </c>
      <c r="H5975" s="2724"/>
      <c r="I5975" s="2723" t="s">
        <v>1227</v>
      </c>
      <c r="J5975" s="2421"/>
      <c r="K5975" s="2421"/>
      <c r="L5975" s="2724"/>
      <c r="M5975" s="1027" t="s">
        <v>2112</v>
      </c>
      <c r="N5975" s="481"/>
    </row>
    <row r="5976" spans="3:14">
      <c r="C5976" s="484"/>
      <c r="D5976" s="579">
        <v>1</v>
      </c>
      <c r="E5976" s="2599" t="str">
        <f>IFERROR(IF('[1]G_Fall-back'!E245 = "", "", '[1]G_Fall-back'!E245 ),"")</f>
        <v/>
      </c>
      <c r="F5976" s="2617"/>
      <c r="G5976" s="2618" t="str">
        <f>IFERROR(IF('[1]G_Fall-back'!G245 = "", "", '[1]G_Fall-back'!G245 ),"")</f>
        <v/>
      </c>
      <c r="H5976" s="2725"/>
      <c r="I5976" s="2726" t="str">
        <f>IFERROR(IF('[1]G_Fall-back'!I245 = "", "", '[1]G_Fall-back'!I245 ),"")</f>
        <v/>
      </c>
      <c r="J5976" s="2727"/>
      <c r="K5976" s="2727"/>
      <c r="L5976" s="2728"/>
      <c r="M5976" s="403" t="str">
        <f>IFERROR(IF('[1]G_Fall-back'!M245 = "", "", '[1]G_Fall-back'!M245 ),"")</f>
        <v/>
      </c>
      <c r="N5976" s="481"/>
    </row>
    <row r="5977" spans="3:14">
      <c r="C5977" s="484"/>
      <c r="D5977" s="582">
        <v>2</v>
      </c>
      <c r="E5977" s="2603" t="str">
        <f>IFERROR(IF('[1]G_Fall-back'!E246 = "", "", '[1]G_Fall-back'!E246 ),"")</f>
        <v/>
      </c>
      <c r="F5977" s="2620"/>
      <c r="G5977" s="2621" t="str">
        <f>IFERROR(IF('[1]G_Fall-back'!G246 = "", "", '[1]G_Fall-back'!G246 ),"")</f>
        <v/>
      </c>
      <c r="H5977" s="2729"/>
      <c r="I5977" s="2730" t="str">
        <f>IFERROR(IF('[1]G_Fall-back'!I246 = "", "", '[1]G_Fall-back'!I246 ),"")</f>
        <v/>
      </c>
      <c r="J5977" s="2729"/>
      <c r="K5977" s="2729"/>
      <c r="L5977" s="2731"/>
      <c r="M5977" s="392" t="str">
        <f>IFERROR(IF('[1]G_Fall-back'!M246 = "", "", '[1]G_Fall-back'!M246 ),"")</f>
        <v/>
      </c>
      <c r="N5977" s="481"/>
    </row>
    <row r="5978" spans="3:14">
      <c r="C5978" s="484"/>
      <c r="D5978" s="582">
        <v>3</v>
      </c>
      <c r="E5978" s="2603" t="str">
        <f>IFERROR(IF('[1]G_Fall-back'!E247 = "", "", '[1]G_Fall-back'!E247 ),"")</f>
        <v/>
      </c>
      <c r="F5978" s="2620"/>
      <c r="G5978" s="2621" t="str">
        <f>IFERROR(IF('[1]G_Fall-back'!G247 = "", "", '[1]G_Fall-back'!G247 ),"")</f>
        <v/>
      </c>
      <c r="H5978" s="2729"/>
      <c r="I5978" s="2730" t="str">
        <f>IFERROR(IF('[1]G_Fall-back'!I247 = "", "", '[1]G_Fall-back'!I247 ),"")</f>
        <v/>
      </c>
      <c r="J5978" s="2729"/>
      <c r="K5978" s="2729"/>
      <c r="L5978" s="2731"/>
      <c r="M5978" s="392" t="str">
        <f>IFERROR(IF('[1]G_Fall-back'!M247 = "", "", '[1]G_Fall-back'!M247 ),"")</f>
        <v/>
      </c>
      <c r="N5978" s="481"/>
    </row>
    <row r="5979" spans="3:14">
      <c r="C5979" s="484"/>
      <c r="D5979" s="582">
        <v>4</v>
      </c>
      <c r="E5979" s="2603" t="str">
        <f>IFERROR(IF('[1]G_Fall-back'!E248 = "", "", '[1]G_Fall-back'!E248 ),"")</f>
        <v/>
      </c>
      <c r="F5979" s="2620"/>
      <c r="G5979" s="2621" t="str">
        <f>IFERROR(IF('[1]G_Fall-back'!G248 = "", "", '[1]G_Fall-back'!G248 ),"")</f>
        <v/>
      </c>
      <c r="H5979" s="2729"/>
      <c r="I5979" s="2730" t="str">
        <f>IFERROR(IF('[1]G_Fall-back'!I248 = "", "", '[1]G_Fall-back'!I248 ),"")</f>
        <v/>
      </c>
      <c r="J5979" s="2729"/>
      <c r="K5979" s="2729"/>
      <c r="L5979" s="2731"/>
      <c r="M5979" s="392" t="str">
        <f>IFERROR(IF('[1]G_Fall-back'!M248 = "", "", '[1]G_Fall-back'!M248 ),"")</f>
        <v/>
      </c>
      <c r="N5979" s="481"/>
    </row>
    <row r="5980" spans="3:14">
      <c r="C5980" s="484"/>
      <c r="D5980" s="582">
        <v>5</v>
      </c>
      <c r="E5980" s="2603" t="str">
        <f>IFERROR(IF('[1]G_Fall-back'!E249 = "", "", '[1]G_Fall-back'!E249 ),"")</f>
        <v/>
      </c>
      <c r="F5980" s="2620"/>
      <c r="G5980" s="2621" t="str">
        <f>IFERROR(IF('[1]G_Fall-back'!G249 = "", "", '[1]G_Fall-back'!G249 ),"")</f>
        <v/>
      </c>
      <c r="H5980" s="2729"/>
      <c r="I5980" s="2730" t="str">
        <f>IFERROR(IF('[1]G_Fall-back'!I249 = "", "", '[1]G_Fall-back'!I249 ),"")</f>
        <v/>
      </c>
      <c r="J5980" s="2729"/>
      <c r="K5980" s="2729"/>
      <c r="L5980" s="2731"/>
      <c r="M5980" s="392" t="str">
        <f>IFERROR(IF('[1]G_Fall-back'!M249 = "", "", '[1]G_Fall-back'!M249 ),"")</f>
        <v/>
      </c>
      <c r="N5980" s="481"/>
    </row>
    <row r="5981" spans="3:14">
      <c r="C5981" s="484"/>
      <c r="D5981" s="582">
        <v>6</v>
      </c>
      <c r="E5981" s="2603" t="str">
        <f>IFERROR(IF('[1]G_Fall-back'!E250 = "", "", '[1]G_Fall-back'!E250 ),"")</f>
        <v/>
      </c>
      <c r="F5981" s="2620"/>
      <c r="G5981" s="2621" t="str">
        <f>IFERROR(IF('[1]G_Fall-back'!G250 = "", "", '[1]G_Fall-back'!G250 ),"")</f>
        <v/>
      </c>
      <c r="H5981" s="2729"/>
      <c r="I5981" s="2730" t="str">
        <f>IFERROR(IF('[1]G_Fall-back'!I250 = "", "", '[1]G_Fall-back'!I250 ),"")</f>
        <v/>
      </c>
      <c r="J5981" s="2729"/>
      <c r="K5981" s="2729"/>
      <c r="L5981" s="2731"/>
      <c r="M5981" s="392" t="str">
        <f>IFERROR(IF('[1]G_Fall-back'!M250 = "", "", '[1]G_Fall-back'!M250 ),"")</f>
        <v/>
      </c>
      <c r="N5981" s="481"/>
    </row>
    <row r="5982" spans="3:14">
      <c r="C5982" s="484"/>
      <c r="D5982" s="582">
        <v>7</v>
      </c>
      <c r="E5982" s="2603" t="str">
        <f>IFERROR(IF('[1]G_Fall-back'!E251 = "", "", '[1]G_Fall-back'!E251 ),"")</f>
        <v/>
      </c>
      <c r="F5982" s="2620"/>
      <c r="G5982" s="2621" t="str">
        <f>IFERROR(IF('[1]G_Fall-back'!G251 = "", "", '[1]G_Fall-back'!G251 ),"")</f>
        <v/>
      </c>
      <c r="H5982" s="2729"/>
      <c r="I5982" s="2730" t="str">
        <f>IFERROR(IF('[1]G_Fall-back'!I251 = "", "", '[1]G_Fall-back'!I251 ),"")</f>
        <v/>
      </c>
      <c r="J5982" s="2729"/>
      <c r="K5982" s="2729"/>
      <c r="L5982" s="2731"/>
      <c r="M5982" s="392" t="str">
        <f>IFERROR(IF('[1]G_Fall-back'!M251 = "", "", '[1]G_Fall-back'!M251 ),"")</f>
        <v/>
      </c>
      <c r="N5982" s="481"/>
    </row>
    <row r="5983" spans="3:14">
      <c r="C5983" s="484"/>
      <c r="D5983" s="582">
        <v>8</v>
      </c>
      <c r="E5983" s="2603" t="str">
        <f>IFERROR(IF('[1]G_Fall-back'!E252 = "", "", '[1]G_Fall-back'!E252 ),"")</f>
        <v/>
      </c>
      <c r="F5983" s="2620"/>
      <c r="G5983" s="2621" t="str">
        <f>IFERROR(IF('[1]G_Fall-back'!G252 = "", "", '[1]G_Fall-back'!G252 ),"")</f>
        <v/>
      </c>
      <c r="H5983" s="2729"/>
      <c r="I5983" s="2730" t="str">
        <f>IFERROR(IF('[1]G_Fall-back'!I252 = "", "", '[1]G_Fall-back'!I252 ),"")</f>
        <v/>
      </c>
      <c r="J5983" s="2729"/>
      <c r="K5983" s="2729"/>
      <c r="L5983" s="2731"/>
      <c r="M5983" s="392" t="str">
        <f>IFERROR(IF('[1]G_Fall-back'!M252 = "", "", '[1]G_Fall-back'!M252 ),"")</f>
        <v/>
      </c>
      <c r="N5983" s="481"/>
    </row>
    <row r="5984" spans="3:14">
      <c r="C5984" s="484"/>
      <c r="D5984" s="582">
        <v>9</v>
      </c>
      <c r="E5984" s="2603" t="str">
        <f>IFERROR(IF('[1]G_Fall-back'!E253 = "", "", '[1]G_Fall-back'!E253 ),"")</f>
        <v/>
      </c>
      <c r="F5984" s="2620"/>
      <c r="G5984" s="2621" t="str">
        <f>IFERROR(IF('[1]G_Fall-back'!G253 = "", "", '[1]G_Fall-back'!G253 ),"")</f>
        <v/>
      </c>
      <c r="H5984" s="2729"/>
      <c r="I5984" s="2730" t="str">
        <f>IFERROR(IF('[1]G_Fall-back'!I253 = "", "", '[1]G_Fall-back'!I253 ),"")</f>
        <v/>
      </c>
      <c r="J5984" s="2729"/>
      <c r="K5984" s="2729"/>
      <c r="L5984" s="2731"/>
      <c r="M5984" s="392" t="str">
        <f>IFERROR(IF('[1]G_Fall-back'!M253 = "", "", '[1]G_Fall-back'!M253 ),"")</f>
        <v/>
      </c>
      <c r="N5984" s="481"/>
    </row>
    <row r="5985" spans="3:14">
      <c r="C5985" s="484"/>
      <c r="D5985" s="584">
        <v>10</v>
      </c>
      <c r="E5985" s="2613" t="str">
        <f>IFERROR(IF('[1]G_Fall-back'!E254 = "", "", '[1]G_Fall-back'!E254 ),"")</f>
        <v/>
      </c>
      <c r="F5985" s="2627"/>
      <c r="G5985" s="2628" t="str">
        <f>IFERROR(IF('[1]G_Fall-back'!G254 = "", "", '[1]G_Fall-back'!G254 ),"")</f>
        <v/>
      </c>
      <c r="H5985" s="2732"/>
      <c r="I5985" s="2733" t="str">
        <f>IFERROR(IF('[1]G_Fall-back'!I254 = "", "", '[1]G_Fall-back'!I254 ),"")</f>
        <v/>
      </c>
      <c r="J5985" s="2732"/>
      <c r="K5985" s="2732"/>
      <c r="L5985" s="2734"/>
      <c r="M5985" s="393" t="str">
        <f>IFERROR(IF('[1]G_Fall-back'!M254 = "", "", '[1]G_Fall-back'!M254 ),"")</f>
        <v/>
      </c>
      <c r="N5985" s="481"/>
    </row>
    <row r="5986" spans="3:14">
      <c r="C5986" s="467"/>
      <c r="D5986" s="467"/>
      <c r="E5986" s="467"/>
      <c r="F5986" s="467"/>
      <c r="G5986" s="467"/>
      <c r="H5986" s="467"/>
      <c r="I5986" s="467"/>
      <c r="J5986" s="467"/>
      <c r="K5986" s="467"/>
      <c r="L5986" s="467"/>
      <c r="M5986" s="467"/>
      <c r="N5986" s="467"/>
    </row>
    <row r="5987" spans="3:14">
      <c r="C5987" s="482"/>
      <c r="D5987" s="482"/>
      <c r="E5987" s="2373" t="s">
        <v>1477</v>
      </c>
      <c r="F5987" s="2400"/>
      <c r="G5987" s="2400"/>
      <c r="H5987" s="2400"/>
      <c r="I5987" s="2400"/>
      <c r="J5987" s="2400"/>
      <c r="K5987" s="2400"/>
      <c r="L5987" s="2400"/>
      <c r="M5987" s="2400"/>
      <c r="N5987" s="2400"/>
    </row>
    <row r="5988" spans="3:14">
      <c r="C5988" s="482"/>
      <c r="D5988" s="482"/>
      <c r="E5988" s="2465" t="s">
        <v>1929</v>
      </c>
      <c r="F5988" s="2400"/>
      <c r="G5988" s="2400"/>
      <c r="H5988" s="2400"/>
      <c r="I5988" s="2400"/>
      <c r="J5988" s="2400"/>
      <c r="K5988" s="2400"/>
      <c r="L5988" s="2400"/>
      <c r="M5988" s="2400"/>
      <c r="N5988" s="2400"/>
    </row>
    <row r="5989" spans="3:14">
      <c r="C5989" s="482"/>
      <c r="D5989" s="482"/>
      <c r="E5989" s="2465" t="s">
        <v>1878</v>
      </c>
      <c r="F5989" s="2400"/>
      <c r="G5989" s="2400"/>
      <c r="H5989" s="2400"/>
      <c r="I5989" s="2400"/>
      <c r="J5989" s="2400"/>
      <c r="K5989" s="2400"/>
      <c r="L5989" s="2400"/>
      <c r="M5989" s="2400"/>
      <c r="N5989" s="2400"/>
    </row>
    <row r="5990" spans="3:14">
      <c r="C5990" s="482"/>
      <c r="D5990" s="482"/>
      <c r="E5990" s="2465" t="s">
        <v>1947</v>
      </c>
      <c r="F5990" s="2400"/>
      <c r="G5990" s="2400"/>
      <c r="H5990" s="2400"/>
      <c r="I5990" s="2400"/>
      <c r="J5990" s="2400"/>
      <c r="K5990" s="2400"/>
      <c r="L5990" s="2400"/>
      <c r="M5990" s="2400"/>
      <c r="N5990" s="2400"/>
    </row>
    <row r="5991" spans="3:14">
      <c r="C5991" s="485"/>
      <c r="D5991" s="485"/>
      <c r="E5991" s="617"/>
      <c r="F5991" s="617"/>
      <c r="G5991" s="617"/>
      <c r="H5991" s="617"/>
      <c r="I5991" s="617"/>
      <c r="J5991" s="468"/>
      <c r="K5991" s="468"/>
      <c r="L5991" s="468"/>
      <c r="M5991" s="481"/>
      <c r="N5991" s="481"/>
    </row>
    <row r="5992" spans="3:14" ht="25.5">
      <c r="C5992" s="1028"/>
      <c r="D5992" s="1029"/>
      <c r="E5992" s="870" t="s">
        <v>1227</v>
      </c>
      <c r="F5992" s="1030" t="s">
        <v>884</v>
      </c>
      <c r="G5992" s="1031" t="s">
        <v>2213</v>
      </c>
      <c r="H5992" s="1032">
        <v>2019</v>
      </c>
      <c r="I5992" s="1031">
        <v>2020</v>
      </c>
      <c r="J5992" s="1032">
        <v>2021</v>
      </c>
      <c r="K5992" s="1033">
        <v>2022</v>
      </c>
      <c r="L5992" s="1033">
        <v>2023</v>
      </c>
      <c r="M5992" s="1033">
        <v>2024</v>
      </c>
      <c r="N5992" s="1033">
        <v>2025</v>
      </c>
    </row>
    <row r="5993" spans="3:14">
      <c r="C5993" s="484"/>
      <c r="D5993" s="579">
        <v>1</v>
      </c>
      <c r="E5993" s="75" t="str">
        <f>IFERROR(IF('[1]G_Fall-back'!E262 = "", "", '[1]G_Fall-back'!E262 ),"")</f>
        <v/>
      </c>
      <c r="F5993" s="67" t="str">
        <f>IFERROR(IF('[1]G_Fall-back'!F262 = "", "", '[1]G_Fall-back'!F262 ),"")</f>
        <v/>
      </c>
      <c r="G5993" s="110" t="str">
        <f>IFERROR(IF('[1]G_Fall-back'!G262 = "", "", '[1]G_Fall-back'!G262 ),"")</f>
        <v/>
      </c>
      <c r="H5993" s="111" t="str">
        <f>IFERROR(IF('[1]G_Fall-back'!H262 = "", "", '[1]G_Fall-back'!H262 ),"")</f>
        <v/>
      </c>
      <c r="I5993" s="110" t="str">
        <f>IFERROR(IF('[1]G_Fall-back'!I262 = "", "", '[1]G_Fall-back'!I262 ),"")</f>
        <v/>
      </c>
      <c r="J5993" s="111" t="str">
        <f>IFERROR(IF('[1]G_Fall-back'!J262 = "", "", '[1]G_Fall-back'!J262 ),"")</f>
        <v/>
      </c>
      <c r="K5993" s="94" t="str">
        <f>IFERROR(IF('[1]G_Fall-back'!K262 = "", "", '[1]G_Fall-back'!K262 ),"")</f>
        <v/>
      </c>
      <c r="L5993" s="94" t="str">
        <f>IFERROR(IF('[1]G_Fall-back'!L262 = "", "", '[1]G_Fall-back'!L262 ),"")</f>
        <v/>
      </c>
      <c r="M5993" s="94" t="str">
        <f>IFERROR(IF('[1]G_Fall-back'!M262 = "", "", '[1]G_Fall-back'!M262 ),"")</f>
        <v/>
      </c>
      <c r="N5993" s="94" t="str">
        <f>IFERROR(IF('[1]G_Fall-back'!N262 = "", "", '[1]G_Fall-back'!N262 ),"")</f>
        <v/>
      </c>
    </row>
    <row r="5994" spans="3:14">
      <c r="C5994" s="484"/>
      <c r="D5994" s="582">
        <v>2</v>
      </c>
      <c r="E5994" s="76" t="str">
        <f>IFERROR(IF('[1]G_Fall-back'!E263 = "", "", '[1]G_Fall-back'!E263 ),"")</f>
        <v/>
      </c>
      <c r="F5994" s="77" t="str">
        <f>IFERROR(IF('[1]G_Fall-back'!F263 = "", "", '[1]G_Fall-back'!F263 ),"")</f>
        <v/>
      </c>
      <c r="G5994" s="361" t="str">
        <f>IFERROR(IF('[1]G_Fall-back'!G263 = "", "", '[1]G_Fall-back'!G263 ),"")</f>
        <v/>
      </c>
      <c r="H5994" s="362" t="str">
        <f>IFERROR(IF('[1]G_Fall-back'!H263 = "", "", '[1]G_Fall-back'!H263 ),"")</f>
        <v/>
      </c>
      <c r="I5994" s="361" t="str">
        <f>IFERROR(IF('[1]G_Fall-back'!I263 = "", "", '[1]G_Fall-back'!I263 ),"")</f>
        <v/>
      </c>
      <c r="J5994" s="362" t="str">
        <f>IFERROR(IF('[1]G_Fall-back'!J263 = "", "", '[1]G_Fall-back'!J263 ),"")</f>
        <v/>
      </c>
      <c r="K5994" s="101" t="str">
        <f>IFERROR(IF('[1]G_Fall-back'!K263 = "", "", '[1]G_Fall-back'!K263 ),"")</f>
        <v/>
      </c>
      <c r="L5994" s="101" t="str">
        <f>IFERROR(IF('[1]G_Fall-back'!L263 = "", "", '[1]G_Fall-back'!L263 ),"")</f>
        <v/>
      </c>
      <c r="M5994" s="101" t="str">
        <f>IFERROR(IF('[1]G_Fall-back'!M263 = "", "", '[1]G_Fall-back'!M263 ),"")</f>
        <v/>
      </c>
      <c r="N5994" s="101" t="str">
        <f>IFERROR(IF('[1]G_Fall-back'!N263 = "", "", '[1]G_Fall-back'!N263 ),"")</f>
        <v/>
      </c>
    </row>
    <row r="5995" spans="3:14">
      <c r="C5995" s="484"/>
      <c r="D5995" s="582">
        <v>3</v>
      </c>
      <c r="E5995" s="76" t="str">
        <f>IFERROR(IF('[1]G_Fall-back'!E264 = "", "", '[1]G_Fall-back'!E264 ),"")</f>
        <v/>
      </c>
      <c r="F5995" s="77" t="str">
        <f>IFERROR(IF('[1]G_Fall-back'!F264 = "", "", '[1]G_Fall-back'!F264 ),"")</f>
        <v/>
      </c>
      <c r="G5995" s="361" t="str">
        <f>IFERROR(IF('[1]G_Fall-back'!G264 = "", "", '[1]G_Fall-back'!G264 ),"")</f>
        <v/>
      </c>
      <c r="H5995" s="362" t="str">
        <f>IFERROR(IF('[1]G_Fall-back'!H264 = "", "", '[1]G_Fall-back'!H264 ),"")</f>
        <v/>
      </c>
      <c r="I5995" s="361" t="str">
        <f>IFERROR(IF('[1]G_Fall-back'!I264 = "", "", '[1]G_Fall-back'!I264 ),"")</f>
        <v/>
      </c>
      <c r="J5995" s="362" t="str">
        <f>IFERROR(IF('[1]G_Fall-back'!J264 = "", "", '[1]G_Fall-back'!J264 ),"")</f>
        <v/>
      </c>
      <c r="K5995" s="101" t="str">
        <f>IFERROR(IF('[1]G_Fall-back'!K264 = "", "", '[1]G_Fall-back'!K264 ),"")</f>
        <v/>
      </c>
      <c r="L5995" s="101" t="str">
        <f>IFERROR(IF('[1]G_Fall-back'!L264 = "", "", '[1]G_Fall-back'!L264 ),"")</f>
        <v/>
      </c>
      <c r="M5995" s="101" t="str">
        <f>IFERROR(IF('[1]G_Fall-back'!M264 = "", "", '[1]G_Fall-back'!M264 ),"")</f>
        <v/>
      </c>
      <c r="N5995" s="101" t="str">
        <f>IFERROR(IF('[1]G_Fall-back'!N264 = "", "", '[1]G_Fall-back'!N264 ),"")</f>
        <v/>
      </c>
    </row>
    <row r="5996" spans="3:14">
      <c r="C5996" s="484"/>
      <c r="D5996" s="582">
        <v>4</v>
      </c>
      <c r="E5996" s="76" t="str">
        <f>IFERROR(IF('[1]G_Fall-back'!E265 = "", "", '[1]G_Fall-back'!E265 ),"")</f>
        <v/>
      </c>
      <c r="F5996" s="77" t="str">
        <f>IFERROR(IF('[1]G_Fall-back'!F265 = "", "", '[1]G_Fall-back'!F265 ),"")</f>
        <v/>
      </c>
      <c r="G5996" s="361" t="str">
        <f>IFERROR(IF('[1]G_Fall-back'!G265 = "", "", '[1]G_Fall-back'!G265 ),"")</f>
        <v/>
      </c>
      <c r="H5996" s="362" t="str">
        <f>IFERROR(IF('[1]G_Fall-back'!H265 = "", "", '[1]G_Fall-back'!H265 ),"")</f>
        <v/>
      </c>
      <c r="I5996" s="361" t="str">
        <f>IFERROR(IF('[1]G_Fall-back'!I265 = "", "", '[1]G_Fall-back'!I265 ),"")</f>
        <v/>
      </c>
      <c r="J5996" s="362" t="str">
        <f>IFERROR(IF('[1]G_Fall-back'!J265 = "", "", '[1]G_Fall-back'!J265 ),"")</f>
        <v/>
      </c>
      <c r="K5996" s="101" t="str">
        <f>IFERROR(IF('[1]G_Fall-back'!K265 = "", "", '[1]G_Fall-back'!K265 ),"")</f>
        <v/>
      </c>
      <c r="L5996" s="101" t="str">
        <f>IFERROR(IF('[1]G_Fall-back'!L265 = "", "", '[1]G_Fall-back'!L265 ),"")</f>
        <v/>
      </c>
      <c r="M5996" s="101" t="str">
        <f>IFERROR(IF('[1]G_Fall-back'!M265 = "", "", '[1]G_Fall-back'!M265 ),"")</f>
        <v/>
      </c>
      <c r="N5996" s="101" t="str">
        <f>IFERROR(IF('[1]G_Fall-back'!N265 = "", "", '[1]G_Fall-back'!N265 ),"")</f>
        <v/>
      </c>
    </row>
    <row r="5997" spans="3:14">
      <c r="C5997" s="484"/>
      <c r="D5997" s="582">
        <v>5</v>
      </c>
      <c r="E5997" s="76" t="str">
        <f>IFERROR(IF('[1]G_Fall-back'!E266 = "", "", '[1]G_Fall-back'!E266 ),"")</f>
        <v/>
      </c>
      <c r="F5997" s="77" t="str">
        <f>IFERROR(IF('[1]G_Fall-back'!F266 = "", "", '[1]G_Fall-back'!F266 ),"")</f>
        <v/>
      </c>
      <c r="G5997" s="361" t="str">
        <f>IFERROR(IF('[1]G_Fall-back'!G266 = "", "", '[1]G_Fall-back'!G266 ),"")</f>
        <v/>
      </c>
      <c r="H5997" s="362" t="str">
        <f>IFERROR(IF('[1]G_Fall-back'!H266 = "", "", '[1]G_Fall-back'!H266 ),"")</f>
        <v/>
      </c>
      <c r="I5997" s="361" t="str">
        <f>IFERROR(IF('[1]G_Fall-back'!I266 = "", "", '[1]G_Fall-back'!I266 ),"")</f>
        <v/>
      </c>
      <c r="J5997" s="362" t="str">
        <f>IFERROR(IF('[1]G_Fall-back'!J266 = "", "", '[1]G_Fall-back'!J266 ),"")</f>
        <v/>
      </c>
      <c r="K5997" s="101" t="str">
        <f>IFERROR(IF('[1]G_Fall-back'!K266 = "", "", '[1]G_Fall-back'!K266 ),"")</f>
        <v/>
      </c>
      <c r="L5997" s="101" t="str">
        <f>IFERROR(IF('[1]G_Fall-back'!L266 = "", "", '[1]G_Fall-back'!L266 ),"")</f>
        <v/>
      </c>
      <c r="M5997" s="101" t="str">
        <f>IFERROR(IF('[1]G_Fall-back'!M266 = "", "", '[1]G_Fall-back'!M266 ),"")</f>
        <v/>
      </c>
      <c r="N5997" s="101" t="str">
        <f>IFERROR(IF('[1]G_Fall-back'!N266 = "", "", '[1]G_Fall-back'!N266 ),"")</f>
        <v/>
      </c>
    </row>
    <row r="5998" spans="3:14">
      <c r="C5998" s="484"/>
      <c r="D5998" s="582">
        <v>6</v>
      </c>
      <c r="E5998" s="76" t="str">
        <f>IFERROR(IF('[1]G_Fall-back'!E267 = "", "", '[1]G_Fall-back'!E267 ),"")</f>
        <v/>
      </c>
      <c r="F5998" s="77" t="str">
        <f>IFERROR(IF('[1]G_Fall-back'!F267 = "", "", '[1]G_Fall-back'!F267 ),"")</f>
        <v/>
      </c>
      <c r="G5998" s="361" t="str">
        <f>IFERROR(IF('[1]G_Fall-back'!G267 = "", "", '[1]G_Fall-back'!G267 ),"")</f>
        <v/>
      </c>
      <c r="H5998" s="362" t="str">
        <f>IFERROR(IF('[1]G_Fall-back'!H267 = "", "", '[1]G_Fall-back'!H267 ),"")</f>
        <v/>
      </c>
      <c r="I5998" s="361" t="str">
        <f>IFERROR(IF('[1]G_Fall-back'!I267 = "", "", '[1]G_Fall-back'!I267 ),"")</f>
        <v/>
      </c>
      <c r="J5998" s="362" t="str">
        <f>IFERROR(IF('[1]G_Fall-back'!J267 = "", "", '[1]G_Fall-back'!J267 ),"")</f>
        <v/>
      </c>
      <c r="K5998" s="101" t="str">
        <f>IFERROR(IF('[1]G_Fall-back'!K267 = "", "", '[1]G_Fall-back'!K267 ),"")</f>
        <v/>
      </c>
      <c r="L5998" s="101" t="str">
        <f>IFERROR(IF('[1]G_Fall-back'!L267 = "", "", '[1]G_Fall-back'!L267 ),"")</f>
        <v/>
      </c>
      <c r="M5998" s="101" t="str">
        <f>IFERROR(IF('[1]G_Fall-back'!M267 = "", "", '[1]G_Fall-back'!M267 ),"")</f>
        <v/>
      </c>
      <c r="N5998" s="101" t="str">
        <f>IFERROR(IF('[1]G_Fall-back'!N267 = "", "", '[1]G_Fall-back'!N267 ),"")</f>
        <v/>
      </c>
    </row>
    <row r="5999" spans="3:14">
      <c r="C5999" s="484"/>
      <c r="D5999" s="582">
        <v>7</v>
      </c>
      <c r="E5999" s="76" t="str">
        <f>IFERROR(IF('[1]G_Fall-back'!E268 = "", "", '[1]G_Fall-back'!E268 ),"")</f>
        <v/>
      </c>
      <c r="F5999" s="77" t="str">
        <f>IFERROR(IF('[1]G_Fall-back'!F268 = "", "", '[1]G_Fall-back'!F268 ),"")</f>
        <v/>
      </c>
      <c r="G5999" s="361" t="str">
        <f>IFERROR(IF('[1]G_Fall-back'!G268 = "", "", '[1]G_Fall-back'!G268 ),"")</f>
        <v/>
      </c>
      <c r="H5999" s="362" t="str">
        <f>IFERROR(IF('[1]G_Fall-back'!H268 = "", "", '[1]G_Fall-back'!H268 ),"")</f>
        <v/>
      </c>
      <c r="I5999" s="361" t="str">
        <f>IFERROR(IF('[1]G_Fall-back'!I268 = "", "", '[1]G_Fall-back'!I268 ),"")</f>
        <v/>
      </c>
      <c r="J5999" s="362" t="str">
        <f>IFERROR(IF('[1]G_Fall-back'!J268 = "", "", '[1]G_Fall-back'!J268 ),"")</f>
        <v/>
      </c>
      <c r="K5999" s="101" t="str">
        <f>IFERROR(IF('[1]G_Fall-back'!K268 = "", "", '[1]G_Fall-back'!K268 ),"")</f>
        <v/>
      </c>
      <c r="L5999" s="101" t="str">
        <f>IFERROR(IF('[1]G_Fall-back'!L268 = "", "", '[1]G_Fall-back'!L268 ),"")</f>
        <v/>
      </c>
      <c r="M5999" s="101" t="str">
        <f>IFERROR(IF('[1]G_Fall-back'!M268 = "", "", '[1]G_Fall-back'!M268 ),"")</f>
        <v/>
      </c>
      <c r="N5999" s="101" t="str">
        <f>IFERROR(IF('[1]G_Fall-back'!N268 = "", "", '[1]G_Fall-back'!N268 ),"")</f>
        <v/>
      </c>
    </row>
    <row r="6000" spans="3:14">
      <c r="C6000" s="484"/>
      <c r="D6000" s="582">
        <v>8</v>
      </c>
      <c r="E6000" s="76" t="str">
        <f>IFERROR(IF('[1]G_Fall-back'!E269 = "", "", '[1]G_Fall-back'!E269 ),"")</f>
        <v/>
      </c>
      <c r="F6000" s="77" t="str">
        <f>IFERROR(IF('[1]G_Fall-back'!F269 = "", "", '[1]G_Fall-back'!F269 ),"")</f>
        <v/>
      </c>
      <c r="G6000" s="361" t="str">
        <f>IFERROR(IF('[1]G_Fall-back'!G269 = "", "", '[1]G_Fall-back'!G269 ),"")</f>
        <v/>
      </c>
      <c r="H6000" s="362" t="str">
        <f>IFERROR(IF('[1]G_Fall-back'!H269 = "", "", '[1]G_Fall-back'!H269 ),"")</f>
        <v/>
      </c>
      <c r="I6000" s="361" t="str">
        <f>IFERROR(IF('[1]G_Fall-back'!I269 = "", "", '[1]G_Fall-back'!I269 ),"")</f>
        <v/>
      </c>
      <c r="J6000" s="362" t="str">
        <f>IFERROR(IF('[1]G_Fall-back'!J269 = "", "", '[1]G_Fall-back'!J269 ),"")</f>
        <v/>
      </c>
      <c r="K6000" s="101" t="str">
        <f>IFERROR(IF('[1]G_Fall-back'!K269 = "", "", '[1]G_Fall-back'!K269 ),"")</f>
        <v/>
      </c>
      <c r="L6000" s="101" t="str">
        <f>IFERROR(IF('[1]G_Fall-back'!L269 = "", "", '[1]G_Fall-back'!L269 ),"")</f>
        <v/>
      </c>
      <c r="M6000" s="101" t="str">
        <f>IFERROR(IF('[1]G_Fall-back'!M269 = "", "", '[1]G_Fall-back'!M269 ),"")</f>
        <v/>
      </c>
      <c r="N6000" s="101" t="str">
        <f>IFERROR(IF('[1]G_Fall-back'!N269 = "", "", '[1]G_Fall-back'!N269 ),"")</f>
        <v/>
      </c>
    </row>
    <row r="6001" spans="3:14">
      <c r="C6001" s="484"/>
      <c r="D6001" s="582">
        <v>9</v>
      </c>
      <c r="E6001" s="76" t="str">
        <f>IFERROR(IF('[1]G_Fall-back'!E270 = "", "", '[1]G_Fall-back'!E270 ),"")</f>
        <v/>
      </c>
      <c r="F6001" s="77" t="str">
        <f>IFERROR(IF('[1]G_Fall-back'!F270 = "", "", '[1]G_Fall-back'!F270 ),"")</f>
        <v/>
      </c>
      <c r="G6001" s="361" t="str">
        <f>IFERROR(IF('[1]G_Fall-back'!G270 = "", "", '[1]G_Fall-back'!G270 ),"")</f>
        <v/>
      </c>
      <c r="H6001" s="362" t="str">
        <f>IFERROR(IF('[1]G_Fall-back'!H270 = "", "", '[1]G_Fall-back'!H270 ),"")</f>
        <v/>
      </c>
      <c r="I6001" s="361" t="str">
        <f>IFERROR(IF('[1]G_Fall-back'!I270 = "", "", '[1]G_Fall-back'!I270 ),"")</f>
        <v/>
      </c>
      <c r="J6001" s="362" t="str">
        <f>IFERROR(IF('[1]G_Fall-back'!J270 = "", "", '[1]G_Fall-back'!J270 ),"")</f>
        <v/>
      </c>
      <c r="K6001" s="101" t="str">
        <f>IFERROR(IF('[1]G_Fall-back'!K270 = "", "", '[1]G_Fall-back'!K270 ),"")</f>
        <v/>
      </c>
      <c r="L6001" s="101" t="str">
        <f>IFERROR(IF('[1]G_Fall-back'!L270 = "", "", '[1]G_Fall-back'!L270 ),"")</f>
        <v/>
      </c>
      <c r="M6001" s="101" t="str">
        <f>IFERROR(IF('[1]G_Fall-back'!M270 = "", "", '[1]G_Fall-back'!M270 ),"")</f>
        <v/>
      </c>
      <c r="N6001" s="101" t="str">
        <f>IFERROR(IF('[1]G_Fall-back'!N270 = "", "", '[1]G_Fall-back'!N270 ),"")</f>
        <v/>
      </c>
    </row>
    <row r="6002" spans="3:14">
      <c r="C6002" s="484"/>
      <c r="D6002" s="584">
        <v>10</v>
      </c>
      <c r="E6002" s="78" t="str">
        <f>IFERROR(IF('[1]G_Fall-back'!E271 = "", "", '[1]G_Fall-back'!E271 ),"")</f>
        <v/>
      </c>
      <c r="F6002" s="68" t="str">
        <f>IFERROR(IF('[1]G_Fall-back'!F271 = "", "", '[1]G_Fall-back'!F271 ),"")</f>
        <v/>
      </c>
      <c r="G6002" s="113" t="str">
        <f>IFERROR(IF('[1]G_Fall-back'!G271 = "", "", '[1]G_Fall-back'!G271 ),"")</f>
        <v/>
      </c>
      <c r="H6002" s="114" t="str">
        <f>IFERROR(IF('[1]G_Fall-back'!H271 = "", "", '[1]G_Fall-back'!H271 ),"")</f>
        <v/>
      </c>
      <c r="I6002" s="113" t="str">
        <f>IFERROR(IF('[1]G_Fall-back'!I271 = "", "", '[1]G_Fall-back'!I271 ),"")</f>
        <v/>
      </c>
      <c r="J6002" s="114" t="str">
        <f>IFERROR(IF('[1]G_Fall-back'!J271 = "", "", '[1]G_Fall-back'!J271 ),"")</f>
        <v/>
      </c>
      <c r="K6002" s="95" t="str">
        <f>IFERROR(IF('[1]G_Fall-back'!K271 = "", "", '[1]G_Fall-back'!K271 ),"")</f>
        <v/>
      </c>
      <c r="L6002" s="95" t="str">
        <f>IFERROR(IF('[1]G_Fall-back'!L271 = "", "", '[1]G_Fall-back'!L271 ),"")</f>
        <v/>
      </c>
      <c r="M6002" s="95" t="str">
        <f>IFERROR(IF('[1]G_Fall-back'!M271 = "", "", '[1]G_Fall-back'!M271 ),"")</f>
        <v/>
      </c>
      <c r="N6002" s="95" t="str">
        <f>IFERROR(IF('[1]G_Fall-back'!N271 = "", "", '[1]G_Fall-back'!N271 ),"")</f>
        <v/>
      </c>
    </row>
    <row r="6003" spans="3:14">
      <c r="C6003" s="485"/>
      <c r="D6003" s="971"/>
      <c r="E6003" s="972" t="s">
        <v>921</v>
      </c>
      <c r="F6003" s="68" t="str">
        <f>IFERROR(IF('[1]G_Fall-back'!F272 = "", "", '[1]G_Fall-back'!F272 ),"")</f>
        <v/>
      </c>
      <c r="G6003" s="340" t="str">
        <f>IFERROR(IF('[1]G_Fall-back'!G272 = "", "", '[1]G_Fall-back'!G272 ),"")</f>
        <v/>
      </c>
      <c r="H6003" s="341" t="str">
        <f>IFERROR(IF('[1]G_Fall-back'!H272 = "", "", '[1]G_Fall-back'!H272 ),"")</f>
        <v/>
      </c>
      <c r="I6003" s="340" t="str">
        <f>IFERROR(IF('[1]G_Fall-back'!I272 = "", "", '[1]G_Fall-back'!I272 ),"")</f>
        <v/>
      </c>
      <c r="J6003" s="341" t="str">
        <f>IFERROR(IF('[1]G_Fall-back'!J272 = "", "", '[1]G_Fall-back'!J272 ),"")</f>
        <v/>
      </c>
      <c r="K6003" s="86" t="str">
        <f>IFERROR(IF('[1]G_Fall-back'!K272 = "", "", '[1]G_Fall-back'!K272 ),"")</f>
        <v/>
      </c>
      <c r="L6003" s="86" t="str">
        <f>IFERROR(IF('[1]G_Fall-back'!L272 = "", "", '[1]G_Fall-back'!L272 ),"")</f>
        <v/>
      </c>
      <c r="M6003" s="86" t="str">
        <f>IFERROR(IF('[1]G_Fall-back'!M272 = "", "", '[1]G_Fall-back'!M272 ),"")</f>
        <v/>
      </c>
      <c r="N6003" s="86" t="str">
        <f>IFERROR(IF('[1]G_Fall-back'!N272 = "", "", '[1]G_Fall-back'!N272 ),"")</f>
        <v/>
      </c>
    </row>
    <row r="6004" spans="3:14">
      <c r="C6004" s="467"/>
      <c r="D6004" s="467"/>
      <c r="E6004" s="467"/>
      <c r="F6004" s="467"/>
      <c r="G6004" s="467"/>
      <c r="H6004" s="467"/>
      <c r="I6004" s="467"/>
      <c r="J6004" s="467"/>
      <c r="K6004" s="467"/>
      <c r="L6004" s="467"/>
      <c r="M6004" s="467"/>
      <c r="N6004" s="467"/>
    </row>
    <row r="6005" spans="3:14">
      <c r="C6005" s="467"/>
      <c r="D6005" s="482" t="s">
        <v>1711</v>
      </c>
      <c r="E6005" s="2373" t="s">
        <v>1926</v>
      </c>
      <c r="F6005" s="2400"/>
      <c r="G6005" s="2400"/>
      <c r="H6005" s="2400"/>
      <c r="I6005" s="2400"/>
      <c r="J6005" s="2400"/>
      <c r="K6005" s="2400"/>
      <c r="L6005" s="2400"/>
      <c r="M6005" s="2400"/>
      <c r="N6005" s="2400"/>
    </row>
    <row r="6006" spans="3:14">
      <c r="C6006" s="485"/>
      <c r="D6006" s="485"/>
      <c r="E6006" s="2465" t="s">
        <v>1877</v>
      </c>
      <c r="F6006" s="2400"/>
      <c r="G6006" s="2400"/>
      <c r="H6006" s="2400"/>
      <c r="I6006" s="2400"/>
      <c r="J6006" s="2400"/>
      <c r="K6006" s="2400"/>
      <c r="L6006" s="2400"/>
      <c r="M6006" s="2400"/>
      <c r="N6006" s="2400"/>
    </row>
    <row r="6007" spans="3:14">
      <c r="C6007" s="467"/>
      <c r="D6007" s="467"/>
      <c r="E6007" s="2466" t="s">
        <v>1957</v>
      </c>
      <c r="F6007" s="2467"/>
      <c r="G6007" s="2467"/>
      <c r="H6007" s="2467"/>
      <c r="I6007" s="2467"/>
      <c r="J6007" s="2467"/>
      <c r="K6007" s="2467"/>
      <c r="L6007" s="2467"/>
      <c r="M6007" s="2467"/>
      <c r="N6007" s="2467"/>
    </row>
    <row r="6008" spans="3:14">
      <c r="C6008" s="467"/>
      <c r="D6008" s="467"/>
      <c r="E6008" s="2466" t="s">
        <v>2529</v>
      </c>
      <c r="F6008" s="2467"/>
      <c r="G6008" s="2467"/>
      <c r="H6008" s="2467"/>
      <c r="I6008" s="2467"/>
      <c r="J6008" s="2467"/>
      <c r="K6008" s="2467"/>
      <c r="L6008" s="2467"/>
      <c r="M6008" s="2467"/>
      <c r="N6008" s="2467"/>
    </row>
    <row r="6009" spans="3:14">
      <c r="C6009" s="467"/>
      <c r="D6009" s="467"/>
      <c r="E6009" s="540" t="s">
        <v>1021</v>
      </c>
      <c r="F6009" s="2466" t="s">
        <v>1921</v>
      </c>
      <c r="G6009" s="2467"/>
      <c r="H6009" s="2467"/>
      <c r="I6009" s="2467"/>
      <c r="J6009" s="2467"/>
      <c r="K6009" s="2467"/>
      <c r="L6009" s="2467"/>
      <c r="M6009" s="2467"/>
      <c r="N6009" s="2467"/>
    </row>
    <row r="6010" spans="3:14">
      <c r="C6010" s="467"/>
      <c r="D6010" s="467"/>
      <c r="E6010" s="540" t="s">
        <v>1021</v>
      </c>
      <c r="F6010" s="2466" t="s">
        <v>1922</v>
      </c>
      <c r="G6010" s="2467"/>
      <c r="H6010" s="2467"/>
      <c r="I6010" s="2467"/>
      <c r="J6010" s="2467"/>
      <c r="K6010" s="2467"/>
      <c r="L6010" s="2467"/>
      <c r="M6010" s="2467"/>
      <c r="N6010" s="2467"/>
    </row>
    <row r="6011" spans="3:14">
      <c r="C6011" s="467"/>
      <c r="D6011" s="467"/>
      <c r="E6011" s="540" t="s">
        <v>1021</v>
      </c>
      <c r="F6011" s="2466" t="s">
        <v>2303</v>
      </c>
      <c r="G6011" s="2467"/>
      <c r="H6011" s="2467"/>
      <c r="I6011" s="2467"/>
      <c r="J6011" s="2467"/>
      <c r="K6011" s="2467"/>
      <c r="L6011" s="2467"/>
      <c r="M6011" s="2467"/>
      <c r="N6011" s="2467"/>
    </row>
    <row r="6012" spans="3:14">
      <c r="C6012" s="467"/>
      <c r="D6012" s="467"/>
      <c r="E6012" s="2465" t="s">
        <v>1931</v>
      </c>
      <c r="F6012" s="2400"/>
      <c r="G6012" s="2400"/>
      <c r="H6012" s="2400"/>
      <c r="I6012" s="2400"/>
      <c r="J6012" s="2400"/>
      <c r="K6012" s="2400"/>
      <c r="L6012" s="2400"/>
      <c r="M6012" s="2400"/>
      <c r="N6012" s="2400"/>
    </row>
    <row r="6013" spans="3:14">
      <c r="C6013" s="467"/>
      <c r="D6013" s="467"/>
      <c r="E6013" s="2465" t="s">
        <v>1903</v>
      </c>
      <c r="F6013" s="2400"/>
      <c r="G6013" s="2400"/>
      <c r="H6013" s="2400"/>
      <c r="I6013" s="2400"/>
      <c r="J6013" s="2400"/>
      <c r="K6013" s="2400"/>
      <c r="L6013" s="2400"/>
      <c r="M6013" s="2400"/>
      <c r="N6013" s="2400"/>
    </row>
    <row r="6014" spans="3:14">
      <c r="C6014" s="467"/>
      <c r="D6014" s="467"/>
      <c r="E6014" s="2465"/>
      <c r="F6014" s="2400"/>
      <c r="G6014" s="2400"/>
      <c r="H6014" s="2400"/>
      <c r="I6014" s="2400"/>
      <c r="J6014" s="2400"/>
      <c r="K6014" s="2400"/>
      <c r="L6014" s="2400"/>
      <c r="M6014" s="2400"/>
      <c r="N6014" s="2400"/>
    </row>
    <row r="6015" spans="3:14" ht="25.5">
      <c r="C6015" s="1028"/>
      <c r="D6015" s="1029"/>
      <c r="E6015" s="870" t="s">
        <v>1227</v>
      </c>
      <c r="F6015" s="1030" t="s">
        <v>884</v>
      </c>
      <c r="G6015" s="1031" t="s">
        <v>1710</v>
      </c>
      <c r="H6015" s="1032">
        <v>2019</v>
      </c>
      <c r="I6015" s="1031">
        <v>2020</v>
      </c>
      <c r="J6015" s="1032">
        <v>2021</v>
      </c>
      <c r="K6015" s="1033">
        <v>2022</v>
      </c>
      <c r="L6015" s="1033">
        <v>2023</v>
      </c>
      <c r="M6015" s="1033">
        <v>2024</v>
      </c>
      <c r="N6015" s="1033">
        <v>2025</v>
      </c>
    </row>
    <row r="6016" spans="3:14">
      <c r="C6016" s="484"/>
      <c r="D6016" s="579">
        <v>1</v>
      </c>
      <c r="E6016" s="75" t="str">
        <f>IFERROR(IF('[1]G_Fall-back'!E285 = "", "", '[1]G_Fall-back'!E285 ),"")</f>
        <v/>
      </c>
      <c r="F6016" s="950" t="s">
        <v>283</v>
      </c>
      <c r="G6016" s="110" t="str">
        <f>IFERROR(IF('[1]G_Fall-back'!G285 = "", "", '[1]G_Fall-back'!G285 ),"")</f>
        <v/>
      </c>
      <c r="H6016" s="111" t="str">
        <f>IFERROR(IF('[1]G_Fall-back'!H285 = "", "", '[1]G_Fall-back'!H285 ),"")</f>
        <v/>
      </c>
      <c r="I6016" s="110" t="str">
        <f>IFERROR(IF('[1]G_Fall-back'!I285 = "", "", '[1]G_Fall-back'!I285 ),"")</f>
        <v/>
      </c>
      <c r="J6016" s="111" t="str">
        <f>IFERROR(IF('[1]G_Fall-back'!J285 = "", "", '[1]G_Fall-back'!J285 ),"")</f>
        <v/>
      </c>
      <c r="K6016" s="94" t="str">
        <f>IFERROR(IF('[1]G_Fall-back'!K285 = "", "", '[1]G_Fall-back'!K285 ),"")</f>
        <v/>
      </c>
      <c r="L6016" s="94" t="str">
        <f>IFERROR(IF('[1]G_Fall-back'!L285 = "", "", '[1]G_Fall-back'!L285 ),"")</f>
        <v/>
      </c>
      <c r="M6016" s="94" t="str">
        <f>IFERROR(IF('[1]G_Fall-back'!M285 = "", "", '[1]G_Fall-back'!M285 ),"")</f>
        <v/>
      </c>
      <c r="N6016" s="94" t="str">
        <f>IFERROR(IF('[1]G_Fall-back'!N285 = "", "", '[1]G_Fall-back'!N285 ),"")</f>
        <v/>
      </c>
    </row>
    <row r="6017" spans="3:14">
      <c r="C6017" s="484"/>
      <c r="D6017" s="582">
        <v>2</v>
      </c>
      <c r="E6017" s="76" t="str">
        <f>IFERROR(IF('[1]G_Fall-back'!E286 = "", "", '[1]G_Fall-back'!E286 ),"")</f>
        <v/>
      </c>
      <c r="F6017" s="1038" t="s">
        <v>283</v>
      </c>
      <c r="G6017" s="361" t="str">
        <f>IFERROR(IF('[1]G_Fall-back'!G286 = "", "", '[1]G_Fall-back'!G286 ),"")</f>
        <v/>
      </c>
      <c r="H6017" s="362" t="str">
        <f>IFERROR(IF('[1]G_Fall-back'!H286 = "", "", '[1]G_Fall-back'!H286 ),"")</f>
        <v/>
      </c>
      <c r="I6017" s="361" t="str">
        <f>IFERROR(IF('[1]G_Fall-back'!I286 = "", "", '[1]G_Fall-back'!I286 ),"")</f>
        <v/>
      </c>
      <c r="J6017" s="362" t="str">
        <f>IFERROR(IF('[1]G_Fall-back'!J286 = "", "", '[1]G_Fall-back'!J286 ),"")</f>
        <v/>
      </c>
      <c r="K6017" s="101" t="str">
        <f>IFERROR(IF('[1]G_Fall-back'!K286 = "", "", '[1]G_Fall-back'!K286 ),"")</f>
        <v/>
      </c>
      <c r="L6017" s="101" t="str">
        <f>IFERROR(IF('[1]G_Fall-back'!L286 = "", "", '[1]G_Fall-back'!L286 ),"")</f>
        <v/>
      </c>
      <c r="M6017" s="101" t="str">
        <f>IFERROR(IF('[1]G_Fall-back'!M286 = "", "", '[1]G_Fall-back'!M286 ),"")</f>
        <v/>
      </c>
      <c r="N6017" s="101" t="str">
        <f>IFERROR(IF('[1]G_Fall-back'!N286 = "", "", '[1]G_Fall-back'!N286 ),"")</f>
        <v/>
      </c>
    </row>
    <row r="6018" spans="3:14">
      <c r="C6018" s="484"/>
      <c r="D6018" s="582">
        <v>3</v>
      </c>
      <c r="E6018" s="76" t="str">
        <f>IFERROR(IF('[1]G_Fall-back'!E287 = "", "", '[1]G_Fall-back'!E287 ),"")</f>
        <v/>
      </c>
      <c r="F6018" s="1038" t="s">
        <v>283</v>
      </c>
      <c r="G6018" s="361" t="str">
        <f>IFERROR(IF('[1]G_Fall-back'!G287 = "", "", '[1]G_Fall-back'!G287 ),"")</f>
        <v/>
      </c>
      <c r="H6018" s="362" t="str">
        <f>IFERROR(IF('[1]G_Fall-back'!H287 = "", "", '[1]G_Fall-back'!H287 ),"")</f>
        <v/>
      </c>
      <c r="I6018" s="361" t="str">
        <f>IFERROR(IF('[1]G_Fall-back'!I287 = "", "", '[1]G_Fall-back'!I287 ),"")</f>
        <v/>
      </c>
      <c r="J6018" s="362" t="str">
        <f>IFERROR(IF('[1]G_Fall-back'!J287 = "", "", '[1]G_Fall-back'!J287 ),"")</f>
        <v/>
      </c>
      <c r="K6018" s="101" t="str">
        <f>IFERROR(IF('[1]G_Fall-back'!K287 = "", "", '[1]G_Fall-back'!K287 ),"")</f>
        <v/>
      </c>
      <c r="L6018" s="101" t="str">
        <f>IFERROR(IF('[1]G_Fall-back'!L287 = "", "", '[1]G_Fall-back'!L287 ),"")</f>
        <v/>
      </c>
      <c r="M6018" s="101" t="str">
        <f>IFERROR(IF('[1]G_Fall-back'!M287 = "", "", '[1]G_Fall-back'!M287 ),"")</f>
        <v/>
      </c>
      <c r="N6018" s="101" t="str">
        <f>IFERROR(IF('[1]G_Fall-back'!N287 = "", "", '[1]G_Fall-back'!N287 ),"")</f>
        <v/>
      </c>
    </row>
    <row r="6019" spans="3:14">
      <c r="C6019" s="484"/>
      <c r="D6019" s="582">
        <v>4</v>
      </c>
      <c r="E6019" s="76" t="str">
        <f>IFERROR(IF('[1]G_Fall-back'!E288 = "", "", '[1]G_Fall-back'!E288 ),"")</f>
        <v/>
      </c>
      <c r="F6019" s="1038" t="s">
        <v>283</v>
      </c>
      <c r="G6019" s="361" t="str">
        <f>IFERROR(IF('[1]G_Fall-back'!G288 = "", "", '[1]G_Fall-back'!G288 ),"")</f>
        <v/>
      </c>
      <c r="H6019" s="362" t="str">
        <f>IFERROR(IF('[1]G_Fall-back'!H288 = "", "", '[1]G_Fall-back'!H288 ),"")</f>
        <v/>
      </c>
      <c r="I6019" s="361" t="str">
        <f>IFERROR(IF('[1]G_Fall-back'!I288 = "", "", '[1]G_Fall-back'!I288 ),"")</f>
        <v/>
      </c>
      <c r="J6019" s="362" t="str">
        <f>IFERROR(IF('[1]G_Fall-back'!J288 = "", "", '[1]G_Fall-back'!J288 ),"")</f>
        <v/>
      </c>
      <c r="K6019" s="101" t="str">
        <f>IFERROR(IF('[1]G_Fall-back'!K288 = "", "", '[1]G_Fall-back'!K288 ),"")</f>
        <v/>
      </c>
      <c r="L6019" s="101" t="str">
        <f>IFERROR(IF('[1]G_Fall-back'!L288 = "", "", '[1]G_Fall-back'!L288 ),"")</f>
        <v/>
      </c>
      <c r="M6019" s="101" t="str">
        <f>IFERROR(IF('[1]G_Fall-back'!M288 = "", "", '[1]G_Fall-back'!M288 ),"")</f>
        <v/>
      </c>
      <c r="N6019" s="101" t="str">
        <f>IFERROR(IF('[1]G_Fall-back'!N288 = "", "", '[1]G_Fall-back'!N288 ),"")</f>
        <v/>
      </c>
    </row>
    <row r="6020" spans="3:14">
      <c r="C6020" s="484"/>
      <c r="D6020" s="582">
        <v>5</v>
      </c>
      <c r="E6020" s="76" t="str">
        <f>IFERROR(IF('[1]G_Fall-back'!E289 = "", "", '[1]G_Fall-back'!E289 ),"")</f>
        <v/>
      </c>
      <c r="F6020" s="1038" t="s">
        <v>283</v>
      </c>
      <c r="G6020" s="361" t="str">
        <f>IFERROR(IF('[1]G_Fall-back'!G289 = "", "", '[1]G_Fall-back'!G289 ),"")</f>
        <v/>
      </c>
      <c r="H6020" s="362" t="str">
        <f>IFERROR(IF('[1]G_Fall-back'!H289 = "", "", '[1]G_Fall-back'!H289 ),"")</f>
        <v/>
      </c>
      <c r="I6020" s="361" t="str">
        <f>IFERROR(IF('[1]G_Fall-back'!I289 = "", "", '[1]G_Fall-back'!I289 ),"")</f>
        <v/>
      </c>
      <c r="J6020" s="362" t="str">
        <f>IFERROR(IF('[1]G_Fall-back'!J289 = "", "", '[1]G_Fall-back'!J289 ),"")</f>
        <v/>
      </c>
      <c r="K6020" s="101" t="str">
        <f>IFERROR(IF('[1]G_Fall-back'!K289 = "", "", '[1]G_Fall-back'!K289 ),"")</f>
        <v/>
      </c>
      <c r="L6020" s="101" t="str">
        <f>IFERROR(IF('[1]G_Fall-back'!L289 = "", "", '[1]G_Fall-back'!L289 ),"")</f>
        <v/>
      </c>
      <c r="M6020" s="101" t="str">
        <f>IFERROR(IF('[1]G_Fall-back'!M289 = "", "", '[1]G_Fall-back'!M289 ),"")</f>
        <v/>
      </c>
      <c r="N6020" s="101" t="str">
        <f>IFERROR(IF('[1]G_Fall-back'!N289 = "", "", '[1]G_Fall-back'!N289 ),"")</f>
        <v/>
      </c>
    </row>
    <row r="6021" spans="3:14">
      <c r="C6021" s="484"/>
      <c r="D6021" s="582">
        <v>6</v>
      </c>
      <c r="E6021" s="76" t="str">
        <f>IFERROR(IF('[1]G_Fall-back'!E290 = "", "", '[1]G_Fall-back'!E290 ),"")</f>
        <v/>
      </c>
      <c r="F6021" s="1038" t="s">
        <v>283</v>
      </c>
      <c r="G6021" s="361" t="str">
        <f>IFERROR(IF('[1]G_Fall-back'!G290 = "", "", '[1]G_Fall-back'!G290 ),"")</f>
        <v/>
      </c>
      <c r="H6021" s="362" t="str">
        <f>IFERROR(IF('[1]G_Fall-back'!H290 = "", "", '[1]G_Fall-back'!H290 ),"")</f>
        <v/>
      </c>
      <c r="I6021" s="361" t="str">
        <f>IFERROR(IF('[1]G_Fall-back'!I290 = "", "", '[1]G_Fall-back'!I290 ),"")</f>
        <v/>
      </c>
      <c r="J6021" s="362" t="str">
        <f>IFERROR(IF('[1]G_Fall-back'!J290 = "", "", '[1]G_Fall-back'!J290 ),"")</f>
        <v/>
      </c>
      <c r="K6021" s="101" t="str">
        <f>IFERROR(IF('[1]G_Fall-back'!K290 = "", "", '[1]G_Fall-back'!K290 ),"")</f>
        <v/>
      </c>
      <c r="L6021" s="101" t="str">
        <f>IFERROR(IF('[1]G_Fall-back'!L290 = "", "", '[1]G_Fall-back'!L290 ),"")</f>
        <v/>
      </c>
      <c r="M6021" s="101" t="str">
        <f>IFERROR(IF('[1]G_Fall-back'!M290 = "", "", '[1]G_Fall-back'!M290 ),"")</f>
        <v/>
      </c>
      <c r="N6021" s="101" t="str">
        <f>IFERROR(IF('[1]G_Fall-back'!N290 = "", "", '[1]G_Fall-back'!N290 ),"")</f>
        <v/>
      </c>
    </row>
    <row r="6022" spans="3:14">
      <c r="C6022" s="484"/>
      <c r="D6022" s="582">
        <v>7</v>
      </c>
      <c r="E6022" s="76" t="str">
        <f>IFERROR(IF('[1]G_Fall-back'!E291 = "", "", '[1]G_Fall-back'!E291 ),"")</f>
        <v/>
      </c>
      <c r="F6022" s="1038" t="s">
        <v>283</v>
      </c>
      <c r="G6022" s="361" t="str">
        <f>IFERROR(IF('[1]G_Fall-back'!G291 = "", "", '[1]G_Fall-back'!G291 ),"")</f>
        <v/>
      </c>
      <c r="H6022" s="362" t="str">
        <f>IFERROR(IF('[1]G_Fall-back'!H291 = "", "", '[1]G_Fall-back'!H291 ),"")</f>
        <v/>
      </c>
      <c r="I6022" s="361" t="str">
        <f>IFERROR(IF('[1]G_Fall-back'!I291 = "", "", '[1]G_Fall-back'!I291 ),"")</f>
        <v/>
      </c>
      <c r="J6022" s="362" t="str">
        <f>IFERROR(IF('[1]G_Fall-back'!J291 = "", "", '[1]G_Fall-back'!J291 ),"")</f>
        <v/>
      </c>
      <c r="K6022" s="101" t="str">
        <f>IFERROR(IF('[1]G_Fall-back'!K291 = "", "", '[1]G_Fall-back'!K291 ),"")</f>
        <v/>
      </c>
      <c r="L6022" s="101" t="str">
        <f>IFERROR(IF('[1]G_Fall-back'!L291 = "", "", '[1]G_Fall-back'!L291 ),"")</f>
        <v/>
      </c>
      <c r="M6022" s="101" t="str">
        <f>IFERROR(IF('[1]G_Fall-back'!M291 = "", "", '[1]G_Fall-back'!M291 ),"")</f>
        <v/>
      </c>
      <c r="N6022" s="101" t="str">
        <f>IFERROR(IF('[1]G_Fall-back'!N291 = "", "", '[1]G_Fall-back'!N291 ),"")</f>
        <v/>
      </c>
    </row>
    <row r="6023" spans="3:14">
      <c r="C6023" s="484"/>
      <c r="D6023" s="582">
        <v>8</v>
      </c>
      <c r="E6023" s="76" t="str">
        <f>IFERROR(IF('[1]G_Fall-back'!E292 = "", "", '[1]G_Fall-back'!E292 ),"")</f>
        <v/>
      </c>
      <c r="F6023" s="1038" t="s">
        <v>283</v>
      </c>
      <c r="G6023" s="361" t="str">
        <f>IFERROR(IF('[1]G_Fall-back'!G292 = "", "", '[1]G_Fall-back'!G292 ),"")</f>
        <v/>
      </c>
      <c r="H6023" s="362" t="str">
        <f>IFERROR(IF('[1]G_Fall-back'!H292 = "", "", '[1]G_Fall-back'!H292 ),"")</f>
        <v/>
      </c>
      <c r="I6023" s="361" t="str">
        <f>IFERROR(IF('[1]G_Fall-back'!I292 = "", "", '[1]G_Fall-back'!I292 ),"")</f>
        <v/>
      </c>
      <c r="J6023" s="362" t="str">
        <f>IFERROR(IF('[1]G_Fall-back'!J292 = "", "", '[1]G_Fall-back'!J292 ),"")</f>
        <v/>
      </c>
      <c r="K6023" s="101" t="str">
        <f>IFERROR(IF('[1]G_Fall-back'!K292 = "", "", '[1]G_Fall-back'!K292 ),"")</f>
        <v/>
      </c>
      <c r="L6023" s="101" t="str">
        <f>IFERROR(IF('[1]G_Fall-back'!L292 = "", "", '[1]G_Fall-back'!L292 ),"")</f>
        <v/>
      </c>
      <c r="M6023" s="101" t="str">
        <f>IFERROR(IF('[1]G_Fall-back'!M292 = "", "", '[1]G_Fall-back'!M292 ),"")</f>
        <v/>
      </c>
      <c r="N6023" s="101" t="str">
        <f>IFERROR(IF('[1]G_Fall-back'!N292 = "", "", '[1]G_Fall-back'!N292 ),"")</f>
        <v/>
      </c>
    </row>
    <row r="6024" spans="3:14">
      <c r="C6024" s="484"/>
      <c r="D6024" s="582">
        <v>9</v>
      </c>
      <c r="E6024" s="76" t="str">
        <f>IFERROR(IF('[1]G_Fall-back'!E293 = "", "", '[1]G_Fall-back'!E293 ),"")</f>
        <v/>
      </c>
      <c r="F6024" s="1038" t="s">
        <v>283</v>
      </c>
      <c r="G6024" s="361" t="str">
        <f>IFERROR(IF('[1]G_Fall-back'!G293 = "", "", '[1]G_Fall-back'!G293 ),"")</f>
        <v/>
      </c>
      <c r="H6024" s="362" t="str">
        <f>IFERROR(IF('[1]G_Fall-back'!H293 = "", "", '[1]G_Fall-back'!H293 ),"")</f>
        <v/>
      </c>
      <c r="I6024" s="361" t="str">
        <f>IFERROR(IF('[1]G_Fall-back'!I293 = "", "", '[1]G_Fall-back'!I293 ),"")</f>
        <v/>
      </c>
      <c r="J6024" s="362" t="str">
        <f>IFERROR(IF('[1]G_Fall-back'!J293 = "", "", '[1]G_Fall-back'!J293 ),"")</f>
        <v/>
      </c>
      <c r="K6024" s="101" t="str">
        <f>IFERROR(IF('[1]G_Fall-back'!K293 = "", "", '[1]G_Fall-back'!K293 ),"")</f>
        <v/>
      </c>
      <c r="L6024" s="101" t="str">
        <f>IFERROR(IF('[1]G_Fall-back'!L293 = "", "", '[1]G_Fall-back'!L293 ),"")</f>
        <v/>
      </c>
      <c r="M6024" s="101" t="str">
        <f>IFERROR(IF('[1]G_Fall-back'!M293 = "", "", '[1]G_Fall-back'!M293 ),"")</f>
        <v/>
      </c>
      <c r="N6024" s="101" t="str">
        <f>IFERROR(IF('[1]G_Fall-back'!N293 = "", "", '[1]G_Fall-back'!N293 ),"")</f>
        <v/>
      </c>
    </row>
    <row r="6025" spans="3:14">
      <c r="C6025" s="484"/>
      <c r="D6025" s="584">
        <v>10</v>
      </c>
      <c r="E6025" s="78" t="str">
        <f>IFERROR(IF('[1]G_Fall-back'!E294 = "", "", '[1]G_Fall-back'!E294 ),"")</f>
        <v/>
      </c>
      <c r="F6025" s="1039" t="s">
        <v>283</v>
      </c>
      <c r="G6025" s="113" t="str">
        <f>IFERROR(IF('[1]G_Fall-back'!G294 = "", "", '[1]G_Fall-back'!G294 ),"")</f>
        <v/>
      </c>
      <c r="H6025" s="114" t="str">
        <f>IFERROR(IF('[1]G_Fall-back'!H294 = "", "", '[1]G_Fall-back'!H294 ),"")</f>
        <v/>
      </c>
      <c r="I6025" s="113" t="str">
        <f>IFERROR(IF('[1]G_Fall-back'!I294 = "", "", '[1]G_Fall-back'!I294 ),"")</f>
        <v/>
      </c>
      <c r="J6025" s="114" t="str">
        <f>IFERROR(IF('[1]G_Fall-back'!J294 = "", "", '[1]G_Fall-back'!J294 ),"")</f>
        <v/>
      </c>
      <c r="K6025" s="95" t="str">
        <f>IFERROR(IF('[1]G_Fall-back'!K294 = "", "", '[1]G_Fall-back'!K294 ),"")</f>
        <v/>
      </c>
      <c r="L6025" s="95" t="str">
        <f>IFERROR(IF('[1]G_Fall-back'!L294 = "", "", '[1]G_Fall-back'!L294 ),"")</f>
        <v/>
      </c>
      <c r="M6025" s="95" t="str">
        <f>IFERROR(IF('[1]G_Fall-back'!M294 = "", "", '[1]G_Fall-back'!M294 ),"")</f>
        <v/>
      </c>
      <c r="N6025" s="95" t="str">
        <f>IFERROR(IF('[1]G_Fall-back'!N294 = "", "", '[1]G_Fall-back'!N294 ),"")</f>
        <v/>
      </c>
    </row>
    <row r="6026" spans="3:14">
      <c r="C6026" s="485"/>
      <c r="D6026" s="971"/>
      <c r="E6026" s="972" t="s">
        <v>1713</v>
      </c>
      <c r="F6026" s="1039" t="s">
        <v>283</v>
      </c>
      <c r="G6026" s="340" t="str">
        <f>IFERROR(IF('[1]G_Fall-back'!G295 = "", "", '[1]G_Fall-back'!G295 ),"")</f>
        <v/>
      </c>
      <c r="H6026" s="341" t="str">
        <f>IFERROR(IF('[1]G_Fall-back'!H295 = "", "", '[1]G_Fall-back'!H295 ),"")</f>
        <v/>
      </c>
      <c r="I6026" s="340" t="str">
        <f>IFERROR(IF('[1]G_Fall-back'!I295 = "", "", '[1]G_Fall-back'!I295 ),"")</f>
        <v/>
      </c>
      <c r="J6026" s="341" t="str">
        <f>IFERROR(IF('[1]G_Fall-back'!J295 = "", "", '[1]G_Fall-back'!J295 ),"")</f>
        <v/>
      </c>
      <c r="K6026" s="86" t="str">
        <f>IFERROR(IF('[1]G_Fall-back'!K295 = "", "", '[1]G_Fall-back'!K295 ),"")</f>
        <v/>
      </c>
      <c r="L6026" s="86" t="str">
        <f>IFERROR(IF('[1]G_Fall-back'!L295 = "", "", '[1]G_Fall-back'!L295 ),"")</f>
        <v/>
      </c>
      <c r="M6026" s="86" t="str">
        <f>IFERROR(IF('[1]G_Fall-back'!M295 = "", "", '[1]G_Fall-back'!M295 ),"")</f>
        <v/>
      </c>
      <c r="N6026" s="86" t="str">
        <f>IFERROR(IF('[1]G_Fall-back'!N295 = "", "", '[1]G_Fall-back'!N295 ),"")</f>
        <v/>
      </c>
    </row>
    <row r="6027" spans="3:14">
      <c r="C6027" s="485"/>
      <c r="D6027" s="698"/>
      <c r="E6027" s="948" t="s">
        <v>1723</v>
      </c>
      <c r="F6027" s="1040" t="s">
        <v>283</v>
      </c>
      <c r="G6027" s="394" t="str">
        <f>IFERROR(IF('[1]G_Fall-back'!G296 = "", "", '[1]G_Fall-back'!G296 ),"")</f>
        <v/>
      </c>
      <c r="H6027" s="395" t="str">
        <f>IFERROR(IF('[1]G_Fall-back'!H296 = "", "", '[1]G_Fall-back'!H296 ),"")</f>
        <v/>
      </c>
      <c r="I6027" s="396" t="str">
        <f>IFERROR(IF('[1]G_Fall-back'!I296 = "", "", '[1]G_Fall-back'!I296 ),"")</f>
        <v/>
      </c>
      <c r="J6027" s="395" t="str">
        <f>IFERROR(IF('[1]G_Fall-back'!J296 = "", "", '[1]G_Fall-back'!J296 ),"")</f>
        <v/>
      </c>
      <c r="K6027" s="397" t="str">
        <f>IFERROR(IF('[1]G_Fall-back'!K296 = "", "", '[1]G_Fall-back'!K296 ),"")</f>
        <v/>
      </c>
      <c r="L6027" s="397" t="str">
        <f>IFERROR(IF('[1]G_Fall-back'!L296 = "", "", '[1]G_Fall-back'!L296 ),"")</f>
        <v/>
      </c>
      <c r="M6027" s="397" t="str">
        <f>IFERROR(IF('[1]G_Fall-back'!M296 = "", "", '[1]G_Fall-back'!M296 ),"")</f>
        <v/>
      </c>
      <c r="N6027" s="397" t="str">
        <f>IFERROR(IF('[1]G_Fall-back'!N296 = "", "", '[1]G_Fall-back'!N296 ),"")</f>
        <v/>
      </c>
    </row>
    <row r="6028" spans="3:14">
      <c r="C6028" s="467"/>
      <c r="D6028" s="467"/>
      <c r="E6028" s="467"/>
      <c r="F6028" s="467"/>
      <c r="G6028" s="467"/>
      <c r="H6028" s="467"/>
      <c r="I6028" s="467"/>
      <c r="J6028" s="467"/>
      <c r="K6028" s="467"/>
      <c r="L6028" s="467"/>
      <c r="M6028" s="467"/>
      <c r="N6028" s="467"/>
    </row>
    <row r="6029" spans="3:14">
      <c r="C6029" s="482"/>
      <c r="D6029" s="482" t="s">
        <v>1716</v>
      </c>
      <c r="E6029" s="2373" t="s">
        <v>1819</v>
      </c>
      <c r="F6029" s="2400"/>
      <c r="G6029" s="2400"/>
      <c r="H6029" s="2400"/>
      <c r="I6029" s="2400"/>
      <c r="J6029" s="2400"/>
      <c r="K6029" s="2400"/>
      <c r="L6029" s="2400"/>
      <c r="M6029" s="2400"/>
      <c r="N6029" s="2400"/>
    </row>
    <row r="6030" spans="3:14">
      <c r="C6030" s="467"/>
      <c r="D6030" s="467"/>
      <c r="E6030" s="2465" t="s">
        <v>1934</v>
      </c>
      <c r="F6030" s="2400"/>
      <c r="G6030" s="2400"/>
      <c r="H6030" s="2400"/>
      <c r="I6030" s="2400"/>
      <c r="J6030" s="2400"/>
      <c r="K6030" s="2400"/>
      <c r="L6030" s="2400"/>
      <c r="M6030" s="2400"/>
      <c r="N6030" s="2400"/>
    </row>
    <row r="6031" spans="3:14">
      <c r="C6031" s="481"/>
      <c r="D6031" s="1028"/>
      <c r="E6031" s="871"/>
      <c r="F6031" s="1030" t="s">
        <v>884</v>
      </c>
      <c r="G6031" s="1031" t="s">
        <v>1710</v>
      </c>
      <c r="H6031" s="1033">
        <v>2019</v>
      </c>
      <c r="I6031" s="1031">
        <v>2020</v>
      </c>
      <c r="J6031" s="1032">
        <v>2021</v>
      </c>
      <c r="K6031" s="1033">
        <v>2022</v>
      </c>
      <c r="L6031" s="1033">
        <v>2023</v>
      </c>
      <c r="M6031" s="1033">
        <v>2024</v>
      </c>
      <c r="N6031" s="1033">
        <v>2025</v>
      </c>
    </row>
    <row r="6032" spans="3:14">
      <c r="C6032" s="485"/>
      <c r="D6032" s="561"/>
      <c r="E6032" s="948" t="s">
        <v>1819</v>
      </c>
      <c r="F6032" s="79" t="str">
        <f>IFERROR(IF('[1]G_Fall-back'!F301 = "", "", '[1]G_Fall-back'!F301 ),"")</f>
        <v>TJ / Unit</v>
      </c>
      <c r="G6032" s="398" t="str">
        <f>IFERROR(IF('[1]G_Fall-back'!G301 = "", "", '[1]G_Fall-back'!G301 ),"")</f>
        <v/>
      </c>
      <c r="H6032" s="399" t="str">
        <f>IFERROR(IF('[1]G_Fall-back'!H301 = "", "", '[1]G_Fall-back'!H301 ),"")</f>
        <v/>
      </c>
      <c r="I6032" s="400" t="str">
        <f>IFERROR(IF('[1]G_Fall-back'!I301 = "", "", '[1]G_Fall-back'!I301 ),"")</f>
        <v/>
      </c>
      <c r="J6032" s="401" t="str">
        <f>IFERROR(IF('[1]G_Fall-back'!J301 = "", "", '[1]G_Fall-back'!J301 ),"")</f>
        <v/>
      </c>
      <c r="K6032" s="399" t="str">
        <f>IFERROR(IF('[1]G_Fall-back'!K301 = "", "", '[1]G_Fall-back'!K301 ),"")</f>
        <v/>
      </c>
      <c r="L6032" s="399" t="str">
        <f>IFERROR(IF('[1]G_Fall-back'!L301 = "", "", '[1]G_Fall-back'!L301 ),"")</f>
        <v/>
      </c>
      <c r="M6032" s="399" t="str">
        <f>IFERROR(IF('[1]G_Fall-back'!M301 = "", "", '[1]G_Fall-back'!M301 ),"")</f>
        <v/>
      </c>
      <c r="N6032" s="399" t="str">
        <f>IFERROR(IF('[1]G_Fall-back'!N301 = "", "", '[1]G_Fall-back'!N301 ),"")</f>
        <v/>
      </c>
    </row>
    <row r="6033" spans="3:14" ht="13.5" thickBot="1">
      <c r="C6033" s="485"/>
      <c r="D6033" s="485"/>
      <c r="E6033" s="485"/>
      <c r="F6033" s="485"/>
      <c r="G6033" s="485"/>
      <c r="H6033" s="485"/>
      <c r="I6033" s="952"/>
      <c r="J6033" s="485"/>
      <c r="K6033" s="485"/>
      <c r="L6033" s="485"/>
      <c r="M6033" s="485"/>
      <c r="N6033" s="485"/>
    </row>
    <row r="6034" spans="3:14">
      <c r="C6034" s="485"/>
      <c r="D6034" s="902"/>
      <c r="E6034" s="942"/>
      <c r="F6034" s="942"/>
      <c r="G6034" s="942"/>
      <c r="H6034" s="942"/>
      <c r="I6034" s="1045"/>
      <c r="J6034" s="942"/>
      <c r="K6034" s="942"/>
      <c r="L6034" s="942"/>
      <c r="M6034" s="942"/>
      <c r="N6034" s="943"/>
    </row>
    <row r="6035" spans="3:14">
      <c r="C6035" s="485"/>
      <c r="D6035" s="918"/>
      <c r="E6035" s="908" t="s">
        <v>1777</v>
      </c>
      <c r="F6035" s="909"/>
      <c r="G6035" s="909"/>
      <c r="H6035" s="910" t="s">
        <v>884</v>
      </c>
      <c r="I6035" s="911" t="s">
        <v>1675</v>
      </c>
      <c r="J6035" s="912">
        <v>2021</v>
      </c>
      <c r="K6035" s="913">
        <v>2022</v>
      </c>
      <c r="L6035" s="913">
        <v>2023</v>
      </c>
      <c r="M6035" s="913">
        <v>2024</v>
      </c>
      <c r="N6035" s="1046">
        <v>2025</v>
      </c>
    </row>
    <row r="6036" spans="3:14">
      <c r="C6036" s="485"/>
      <c r="D6036" s="915" t="s">
        <v>7</v>
      </c>
      <c r="E6036" s="2735" t="s">
        <v>1818</v>
      </c>
      <c r="F6036" s="2735"/>
      <c r="G6036" s="2735"/>
      <c r="H6036" s="80" t="str">
        <f>IFERROR(IF('[1]G_Fall-back'!H305 = "", "", '[1]G_Fall-back'!H305 ),"")</f>
        <v>TJ / Unit</v>
      </c>
      <c r="I6036" s="402" t="str">
        <f>IFERROR(IF('[1]G_Fall-back'!I305 = "", "", '[1]G_Fall-back'!I305 ),"")</f>
        <v/>
      </c>
      <c r="J6036" s="316" t="str">
        <f>IFERROR(IF('[1]G_Fall-back'!J305 = "", "", '[1]G_Fall-back'!J305 ),"")</f>
        <v/>
      </c>
      <c r="K6036" s="317" t="str">
        <f>IFERROR(IF('[1]G_Fall-back'!K305 = "", "", '[1]G_Fall-back'!K305 ),"")</f>
        <v/>
      </c>
      <c r="L6036" s="317" t="str">
        <f>IFERROR(IF('[1]G_Fall-back'!L305 = "", "", '[1]G_Fall-back'!L305 ),"")</f>
        <v/>
      </c>
      <c r="M6036" s="317" t="str">
        <f>IFERROR(IF('[1]G_Fall-back'!M305 = "", "", '[1]G_Fall-back'!M305 ),"")</f>
        <v/>
      </c>
      <c r="N6036" s="318" t="str">
        <f>IFERROR(IF('[1]G_Fall-back'!N305 = "", "", '[1]G_Fall-back'!N305 ),"")</f>
        <v/>
      </c>
    </row>
    <row r="6037" spans="3:14">
      <c r="C6037" s="485"/>
      <c r="D6037" s="915" t="s">
        <v>8</v>
      </c>
      <c r="E6037" s="2735" t="s">
        <v>1928</v>
      </c>
      <c r="F6037" s="2736"/>
      <c r="G6037" s="2736"/>
      <c r="H6037" s="2736"/>
      <c r="I6037" s="2737"/>
      <c r="J6037" s="319" t="str">
        <f>IFERROR(IF('[1]G_Fall-back'!J306 = "", "", '[1]G_Fall-back'!J306 ),"")</f>
        <v/>
      </c>
      <c r="K6037" s="320" t="str">
        <f>IFERROR(IF('[1]G_Fall-back'!K306 = "", "", '[1]G_Fall-back'!K306 ),"")</f>
        <v/>
      </c>
      <c r="L6037" s="320" t="str">
        <f>IFERROR(IF('[1]G_Fall-back'!L306 = "", "", '[1]G_Fall-back'!L306 ),"")</f>
        <v/>
      </c>
      <c r="M6037" s="320" t="str">
        <f>IFERROR(IF('[1]G_Fall-back'!M306 = "", "", '[1]G_Fall-back'!M306 ),"")</f>
        <v/>
      </c>
      <c r="N6037" s="321" t="str">
        <f>IFERROR(IF('[1]G_Fall-back'!N306 = "", "", '[1]G_Fall-back'!N306 ),"")</f>
        <v/>
      </c>
    </row>
    <row r="6038" spans="3:14">
      <c r="C6038" s="485"/>
      <c r="D6038" s="918"/>
      <c r="E6038" s="909"/>
      <c r="F6038" s="909"/>
      <c r="G6038" s="909"/>
      <c r="H6038" s="909"/>
      <c r="I6038" s="909"/>
      <c r="J6038" s="909"/>
      <c r="K6038" s="909"/>
      <c r="L6038" s="909"/>
      <c r="M6038" s="909"/>
      <c r="N6038" s="922"/>
    </row>
    <row r="6039" spans="3:14">
      <c r="C6039" s="485"/>
      <c r="D6039" s="907" t="s">
        <v>1778</v>
      </c>
      <c r="E6039" s="2738" t="s">
        <v>1945</v>
      </c>
      <c r="F6039" s="2739"/>
      <c r="G6039" s="2739"/>
      <c r="H6039" s="2739"/>
      <c r="I6039" s="2739"/>
      <c r="J6039" s="2739"/>
      <c r="K6039" s="2739"/>
      <c r="L6039" s="2739"/>
      <c r="M6039" s="2739"/>
      <c r="N6039" s="2740"/>
    </row>
    <row r="6040" spans="3:14">
      <c r="C6040" s="485"/>
      <c r="D6040" s="918"/>
      <c r="E6040" s="923" t="s">
        <v>1946</v>
      </c>
      <c r="F6040" s="923"/>
      <c r="G6040" s="923"/>
      <c r="H6040" s="923"/>
      <c r="I6040" s="923"/>
      <c r="J6040" s="912">
        <v>2021</v>
      </c>
      <c r="K6040" s="913">
        <v>2022</v>
      </c>
      <c r="L6040" s="913">
        <v>2023</v>
      </c>
      <c r="M6040" s="913">
        <v>2024</v>
      </c>
      <c r="N6040" s="1046">
        <v>2025</v>
      </c>
    </row>
    <row r="6041" spans="3:14">
      <c r="C6041" s="485"/>
      <c r="D6041" s="918"/>
      <c r="E6041" s="2735" t="s">
        <v>2108</v>
      </c>
      <c r="F6041" s="2735"/>
      <c r="G6041" s="2735"/>
      <c r="H6041" s="2735"/>
      <c r="I6041" s="2741"/>
      <c r="J6041" s="69" t="str">
        <f>IFERROR(IF('[1]G_Fall-back'!J310 = "", "", '[1]G_Fall-back'!J310 ),"")</f>
        <v/>
      </c>
      <c r="K6041" s="62" t="str">
        <f>IFERROR(IF('[1]G_Fall-back'!K310 = "", "", '[1]G_Fall-back'!K310 ),"")</f>
        <v/>
      </c>
      <c r="L6041" s="62" t="str">
        <f>IFERROR(IF('[1]G_Fall-back'!L310 = "", "", '[1]G_Fall-back'!L310 ),"")</f>
        <v/>
      </c>
      <c r="M6041" s="62" t="str">
        <f>IFERROR(IF('[1]G_Fall-back'!M310 = "", "", '[1]G_Fall-back'!M310 ),"")</f>
        <v/>
      </c>
      <c r="N6041" s="70" t="str">
        <f>IFERROR(IF('[1]G_Fall-back'!N310 = "", "", '[1]G_Fall-back'!N310 ),"")</f>
        <v/>
      </c>
    </row>
    <row r="6042" spans="3:14">
      <c r="C6042" s="485"/>
      <c r="D6042" s="918"/>
      <c r="E6042" s="909"/>
      <c r="F6042" s="909"/>
      <c r="G6042" s="909"/>
      <c r="H6042" s="909"/>
      <c r="I6042" s="909"/>
      <c r="J6042" s="909"/>
      <c r="K6042" s="909"/>
      <c r="L6042" s="909"/>
      <c r="M6042" s="909"/>
      <c r="N6042" s="922"/>
    </row>
    <row r="6043" spans="3:14">
      <c r="C6043" s="485"/>
      <c r="D6043" s="907" t="s">
        <v>1779</v>
      </c>
      <c r="E6043" s="2738" t="s">
        <v>1660</v>
      </c>
      <c r="F6043" s="2739"/>
      <c r="G6043" s="2739"/>
      <c r="H6043" s="2739"/>
      <c r="I6043" s="2739"/>
      <c r="J6043" s="2739"/>
      <c r="K6043" s="2739"/>
      <c r="L6043" s="2739"/>
      <c r="M6043" s="2739"/>
      <c r="N6043" s="2740"/>
    </row>
    <row r="6044" spans="3:14">
      <c r="C6044" s="485"/>
      <c r="D6044" s="918"/>
      <c r="E6044" s="923" t="s">
        <v>1653</v>
      </c>
      <c r="F6044" s="923"/>
      <c r="G6044" s="923"/>
      <c r="H6044" s="923"/>
      <c r="I6044" s="923"/>
      <c r="J6044" s="912">
        <v>2021</v>
      </c>
      <c r="K6044" s="913">
        <v>2022</v>
      </c>
      <c r="L6044" s="913">
        <v>2023</v>
      </c>
      <c r="M6044" s="913">
        <v>2024</v>
      </c>
      <c r="N6044" s="1046">
        <v>2025</v>
      </c>
    </row>
    <row r="6045" spans="3:14">
      <c r="C6045" s="485"/>
      <c r="D6045" s="915" t="s">
        <v>6</v>
      </c>
      <c r="E6045" s="2735" t="s">
        <v>2243</v>
      </c>
      <c r="F6045" s="2735"/>
      <c r="G6045" s="2735"/>
      <c r="H6045" s="2735"/>
      <c r="I6045" s="2741"/>
      <c r="J6045" s="69" t="str">
        <f>IFERROR(IF('[1]G_Fall-back'!J314 = "", "", '[1]G_Fall-back'!J314 ),"")</f>
        <v/>
      </c>
      <c r="K6045" s="62" t="str">
        <f>IFERROR(IF('[1]G_Fall-back'!K314 = "", "", '[1]G_Fall-back'!K314 ),"")</f>
        <v/>
      </c>
      <c r="L6045" s="62" t="str">
        <f>IFERROR(IF('[1]G_Fall-back'!L314 = "", "", '[1]G_Fall-back'!L314 ),"")</f>
        <v/>
      </c>
      <c r="M6045" s="62" t="str">
        <f>IFERROR(IF('[1]G_Fall-back'!M314 = "", "", '[1]G_Fall-back'!M314 ),"")</f>
        <v/>
      </c>
      <c r="N6045" s="70" t="str">
        <f>IFERROR(IF('[1]G_Fall-back'!N314 = "", "", '[1]G_Fall-back'!N314 ),"")</f>
        <v/>
      </c>
    </row>
    <row r="6046" spans="3:14">
      <c r="C6046" s="485"/>
      <c r="D6046" s="1050"/>
      <c r="E6046" s="2742" t="s">
        <v>2244</v>
      </c>
      <c r="F6046" s="2739"/>
      <c r="G6046" s="2739"/>
      <c r="H6046" s="2739"/>
      <c r="I6046" s="2739"/>
      <c r="J6046" s="2739"/>
      <c r="K6046" s="2739"/>
      <c r="L6046" s="2739"/>
      <c r="M6046" s="2739"/>
      <c r="N6046" s="2740"/>
    </row>
    <row r="6047" spans="3:14">
      <c r="C6047" s="485"/>
      <c r="D6047" s="1050"/>
      <c r="E6047" s="2742" t="s">
        <v>1848</v>
      </c>
      <c r="F6047" s="2739"/>
      <c r="G6047" s="2739"/>
      <c r="H6047" s="2739"/>
      <c r="I6047" s="2739"/>
      <c r="J6047" s="2739"/>
      <c r="K6047" s="2739"/>
      <c r="L6047" s="2739"/>
      <c r="M6047" s="2739"/>
      <c r="N6047" s="2740"/>
    </row>
    <row r="6048" spans="3:14">
      <c r="C6048" s="485"/>
      <c r="D6048" s="915"/>
      <c r="E6048" s="909"/>
      <c r="F6048" s="909"/>
      <c r="G6048" s="909"/>
      <c r="H6048" s="909"/>
      <c r="I6048" s="909"/>
      <c r="J6048" s="909"/>
      <c r="K6048" s="909"/>
      <c r="L6048" s="909"/>
      <c r="M6048" s="909"/>
      <c r="N6048" s="922"/>
    </row>
    <row r="6049" spans="3:14">
      <c r="C6049" s="485"/>
      <c r="D6049" s="915" t="s">
        <v>7</v>
      </c>
      <c r="E6049" s="2735" t="s">
        <v>2245</v>
      </c>
      <c r="F6049" s="2736"/>
      <c r="G6049" s="2736"/>
      <c r="H6049" s="2736"/>
      <c r="I6049" s="2737"/>
      <c r="J6049" s="70" t="b">
        <f>IFERROR(IF('[1]G_Fall-back'!J318 = "", "", '[1]G_Fall-back'!J318 ),"")</f>
        <v>0</v>
      </c>
      <c r="K6049" s="70" t="b">
        <f>IFERROR(IF('[1]G_Fall-back'!K318 = "", "", '[1]G_Fall-back'!K318 ),"")</f>
        <v>0</v>
      </c>
      <c r="L6049" s="70" t="b">
        <f>IFERROR(IF('[1]G_Fall-back'!L318 = "", "", '[1]G_Fall-back'!L318 ),"")</f>
        <v>0</v>
      </c>
      <c r="M6049" s="70" t="b">
        <f>IFERROR(IF('[1]G_Fall-back'!M318 = "", "", '[1]G_Fall-back'!M318 ),"")</f>
        <v>0</v>
      </c>
      <c r="N6049" s="70" t="b">
        <f>IFERROR(IF('[1]G_Fall-back'!N318 = "", "", '[1]G_Fall-back'!N318 ),"")</f>
        <v>0</v>
      </c>
    </row>
    <row r="6050" spans="3:14">
      <c r="C6050" s="485"/>
      <c r="D6050" s="1050"/>
      <c r="E6050" s="2743" t="s">
        <v>2246</v>
      </c>
      <c r="F6050" s="2738"/>
      <c r="G6050" s="2738"/>
      <c r="H6050" s="2738"/>
      <c r="I6050" s="2738"/>
      <c r="J6050" s="2738"/>
      <c r="K6050" s="2738"/>
      <c r="L6050" s="2738"/>
      <c r="M6050" s="2738"/>
      <c r="N6050" s="2744"/>
    </row>
    <row r="6051" spans="3:14">
      <c r="C6051" s="485"/>
      <c r="D6051" s="1050"/>
      <c r="E6051" s="2742" t="s">
        <v>2247</v>
      </c>
      <c r="F6051" s="2739"/>
      <c r="G6051" s="2739"/>
      <c r="H6051" s="2739"/>
      <c r="I6051" s="2739"/>
      <c r="J6051" s="2739"/>
      <c r="K6051" s="2739"/>
      <c r="L6051" s="2739"/>
      <c r="M6051" s="2739"/>
      <c r="N6051" s="2740"/>
    </row>
    <row r="6052" spans="3:14">
      <c r="C6052" s="485"/>
      <c r="D6052" s="1050"/>
      <c r="E6052" s="2742" t="s">
        <v>2248</v>
      </c>
      <c r="F6052" s="2739"/>
      <c r="G6052" s="2739"/>
      <c r="H6052" s="2739"/>
      <c r="I6052" s="2739"/>
      <c r="J6052" s="2739"/>
      <c r="K6052" s="2739"/>
      <c r="L6052" s="2739"/>
      <c r="M6052" s="2739"/>
      <c r="N6052" s="2740"/>
    </row>
    <row r="6053" spans="3:14">
      <c r="C6053" s="485"/>
      <c r="D6053" s="918"/>
      <c r="E6053" s="909"/>
      <c r="F6053" s="909"/>
      <c r="G6053" s="909"/>
      <c r="H6053" s="909"/>
      <c r="I6053" s="909"/>
      <c r="J6053" s="909"/>
      <c r="K6053" s="909"/>
      <c r="L6053" s="909"/>
      <c r="M6053" s="909"/>
      <c r="N6053" s="922"/>
    </row>
    <row r="6054" spans="3:14">
      <c r="C6054" s="485"/>
      <c r="D6054" s="907" t="s">
        <v>1883</v>
      </c>
      <c r="E6054" s="2738" t="s">
        <v>1660</v>
      </c>
      <c r="F6054" s="2739"/>
      <c r="G6054" s="2739"/>
      <c r="H6054" s="2739"/>
      <c r="I6054" s="2739"/>
      <c r="J6054" s="2739"/>
      <c r="K6054" s="2739"/>
      <c r="L6054" s="2739"/>
      <c r="M6054" s="2739"/>
      <c r="N6054" s="2740"/>
    </row>
    <row r="6055" spans="3:14" ht="13.5" thickBot="1">
      <c r="C6055" s="485"/>
      <c r="D6055" s="1050"/>
      <c r="E6055" s="2742" t="s">
        <v>2249</v>
      </c>
      <c r="F6055" s="2739"/>
      <c r="G6055" s="2739"/>
      <c r="H6055" s="2739"/>
      <c r="I6055" s="2739"/>
      <c r="J6055" s="2739"/>
      <c r="K6055" s="2739"/>
      <c r="L6055" s="2739"/>
      <c r="M6055" s="2739"/>
      <c r="N6055" s="2740"/>
    </row>
    <row r="6056" spans="3:14" ht="13.5" thickBot="1">
      <c r="C6056" s="485"/>
      <c r="D6056" s="915"/>
      <c r="E6056" s="2735" t="s">
        <v>1657</v>
      </c>
      <c r="F6056" s="2735"/>
      <c r="G6056" s="2735"/>
      <c r="H6056" s="2735"/>
      <c r="I6056" s="1051"/>
      <c r="J6056" s="291" t="str">
        <f>IFERROR(IF('[1]G_Fall-back'!J325 = "", "", '[1]G_Fall-back'!J325 ),"")</f>
        <v/>
      </c>
      <c r="K6056" s="292" t="str">
        <f>IFERROR(IF('[1]G_Fall-back'!K325 = "", "", '[1]G_Fall-back'!K325 ),"")</f>
        <v/>
      </c>
      <c r="L6056" s="292" t="str">
        <f>IFERROR(IF('[1]G_Fall-back'!L325 = "", "", '[1]G_Fall-back'!L325 ),"")</f>
        <v/>
      </c>
      <c r="M6056" s="292" t="str">
        <f>IFERROR(IF('[1]G_Fall-back'!M325 = "", "", '[1]G_Fall-back'!M325 ),"")</f>
        <v/>
      </c>
      <c r="N6056" s="293" t="str">
        <f>IFERROR(IF('[1]G_Fall-back'!N325 = "", "", '[1]G_Fall-back'!N325 ),"")</f>
        <v/>
      </c>
    </row>
    <row r="6057" spans="3:14" ht="13.5" thickBot="1">
      <c r="C6057" s="485"/>
      <c r="D6057" s="918"/>
      <c r="E6057" s="2735" t="s">
        <v>1649</v>
      </c>
      <c r="F6057" s="2736"/>
      <c r="G6057" s="2736"/>
      <c r="H6057" s="63" t="str">
        <f>IFERROR(IF('[1]G_Fall-back'!H326 = "", "", '[1]G_Fall-back'!H326 ),"")</f>
        <v>TJ</v>
      </c>
      <c r="I6057" s="235" t="str">
        <f>IFERROR(IF('[1]G_Fall-back'!I326 = "", "", '[1]G_Fall-back'!I326 ),"")</f>
        <v/>
      </c>
      <c r="J6057" s="225" t="str">
        <f>IFERROR(IF('[1]G_Fall-back'!J326 = "", "", '[1]G_Fall-back'!J326 ),"")</f>
        <v/>
      </c>
      <c r="K6057" s="227" t="str">
        <f>IFERROR(IF('[1]G_Fall-back'!K326 = "", "", '[1]G_Fall-back'!K326 ),"")</f>
        <v/>
      </c>
      <c r="L6057" s="227" t="str">
        <f>IFERROR(IF('[1]G_Fall-back'!L326 = "", "", '[1]G_Fall-back'!L326 ),"")</f>
        <v/>
      </c>
      <c r="M6057" s="227" t="str">
        <f>IFERROR(IF('[1]G_Fall-back'!M326 = "", "", '[1]G_Fall-back'!M326 ),"")</f>
        <v/>
      </c>
      <c r="N6057" s="228" t="str">
        <f>IFERROR(IF('[1]G_Fall-back'!N326 = "", "", '[1]G_Fall-back'!N326 ),"")</f>
        <v/>
      </c>
    </row>
    <row r="6058" spans="3:14" ht="13.5" thickBot="1">
      <c r="C6058" s="485"/>
      <c r="D6058" s="924"/>
      <c r="E6058" s="925"/>
      <c r="F6058" s="925"/>
      <c r="G6058" s="925"/>
      <c r="H6058" s="925"/>
      <c r="I6058" s="925"/>
      <c r="J6058" s="925"/>
      <c r="K6058" s="925"/>
      <c r="L6058" s="925"/>
      <c r="M6058" s="925"/>
      <c r="N6058" s="926"/>
    </row>
    <row r="6059" spans="3:14" ht="13.5" thickBot="1">
      <c r="C6059" s="485"/>
      <c r="D6059" s="485"/>
      <c r="E6059" s="485"/>
      <c r="F6059" s="485"/>
      <c r="G6059" s="485"/>
      <c r="H6059" s="485"/>
      <c r="I6059" s="485"/>
      <c r="J6059" s="485"/>
      <c r="K6059" s="485"/>
      <c r="L6059" s="485"/>
      <c r="M6059" s="485"/>
      <c r="N6059" s="485"/>
    </row>
    <row r="6060" spans="3:14">
      <c r="C6060" s="1052"/>
      <c r="D6060" s="1053"/>
      <c r="E6060" s="1053"/>
      <c r="F6060" s="1053"/>
      <c r="G6060" s="1053"/>
      <c r="H6060" s="1053"/>
      <c r="I6060" s="1053"/>
      <c r="J6060" s="1053"/>
      <c r="K6060" s="1053"/>
      <c r="L6060" s="1053"/>
      <c r="M6060" s="1054"/>
      <c r="N6060" s="1055"/>
    </row>
    <row r="6061" spans="3:14">
      <c r="C6061" s="1056"/>
      <c r="D6061" s="2678" t="s">
        <v>2718</v>
      </c>
      <c r="E6061" s="2672"/>
      <c r="F6061" s="2672"/>
      <c r="G6061" s="2672"/>
      <c r="H6061" s="2672"/>
      <c r="I6061" s="2672"/>
      <c r="J6061" s="2672"/>
      <c r="K6061" s="2672"/>
      <c r="L6061" s="2672"/>
      <c r="M6061" s="2672"/>
      <c r="N6061" s="2673"/>
    </row>
    <row r="6062" spans="3:14">
      <c r="C6062" s="980"/>
      <c r="D6062" s="813"/>
      <c r="E6062" s="813"/>
      <c r="F6062" s="813"/>
      <c r="G6062" s="813"/>
      <c r="H6062" s="813"/>
      <c r="I6062" s="813"/>
      <c r="J6062" s="813"/>
      <c r="K6062" s="813"/>
      <c r="L6062" s="813"/>
      <c r="M6062" s="813"/>
      <c r="N6062" s="814"/>
    </row>
    <row r="6063" spans="3:14">
      <c r="C6063" s="980"/>
      <c r="D6063" s="2679" t="s">
        <v>2170</v>
      </c>
      <c r="E6063" s="2646"/>
      <c r="F6063" s="2646"/>
      <c r="G6063" s="2646"/>
      <c r="H6063" s="2680"/>
      <c r="I6063" s="2489" t="str">
        <f>IFERROR(IF('[1]G_Fall-back'!I332 = "", "", '[1]G_Fall-back'!I332 ),"")</f>
        <v>Heat benchmark sub-installation, non-CL</v>
      </c>
      <c r="J6063" s="2534"/>
      <c r="K6063" s="2534"/>
      <c r="L6063" s="2534"/>
      <c r="M6063" s="2534"/>
      <c r="N6063" s="2681"/>
    </row>
    <row r="6064" spans="3:14">
      <c r="C6064" s="980"/>
      <c r="D6064" s="813"/>
      <c r="E6064" s="813"/>
      <c r="F6064" s="813"/>
      <c r="G6064" s="813"/>
      <c r="H6064" s="813"/>
      <c r="I6064" s="813"/>
      <c r="J6064" s="813"/>
      <c r="K6064" s="813"/>
      <c r="L6064" s="813"/>
      <c r="M6064" s="813"/>
      <c r="N6064" s="814"/>
    </row>
    <row r="6065" spans="3:14">
      <c r="C6065" s="1056"/>
      <c r="D6065" s="1057"/>
      <c r="E6065" s="2745" t="s">
        <v>2154</v>
      </c>
      <c r="F6065" s="2745"/>
      <c r="G6065" s="2745"/>
      <c r="H6065" s="2745"/>
      <c r="I6065" s="2745"/>
      <c r="J6065" s="2745"/>
      <c r="K6065" s="2745"/>
      <c r="L6065" s="2745"/>
      <c r="M6065" s="2745"/>
      <c r="N6065" s="1058"/>
    </row>
    <row r="6066" spans="3:14">
      <c r="C6066" s="977"/>
      <c r="D6066" s="981"/>
      <c r="E6066" s="2691" t="s">
        <v>2176</v>
      </c>
      <c r="F6066" s="2691"/>
      <c r="G6066" s="2691"/>
      <c r="H6066" s="2691"/>
      <c r="I6066" s="2691"/>
      <c r="J6066" s="2691"/>
      <c r="K6066" s="2691"/>
      <c r="L6066" s="2691"/>
      <c r="M6066" s="2691"/>
      <c r="N6066" s="1015"/>
    </row>
    <row r="6067" spans="3:14">
      <c r="C6067" s="977"/>
      <c r="D6067" s="981"/>
      <c r="E6067" s="2691" t="s">
        <v>1549</v>
      </c>
      <c r="F6067" s="2391"/>
      <c r="G6067" s="2391"/>
      <c r="H6067" s="2391"/>
      <c r="I6067" s="2391"/>
      <c r="J6067" s="2391"/>
      <c r="K6067" s="2391"/>
      <c r="L6067" s="2391"/>
      <c r="M6067" s="2391"/>
      <c r="N6067" s="1015"/>
    </row>
    <row r="6068" spans="3:14">
      <c r="C6068" s="977"/>
      <c r="D6068" s="981"/>
      <c r="E6068" s="2693" t="s">
        <v>1643</v>
      </c>
      <c r="F6068" s="2693"/>
      <c r="G6068" s="2693"/>
      <c r="H6068" s="2693"/>
      <c r="I6068" s="2693"/>
      <c r="J6068" s="2693"/>
      <c r="K6068" s="2693"/>
      <c r="L6068" s="2693"/>
      <c r="M6068" s="2693"/>
      <c r="N6068" s="1015"/>
    </row>
    <row r="6069" spans="3:14">
      <c r="C6069" s="1056"/>
      <c r="D6069" s="1057"/>
      <c r="E6069" s="2695" t="s">
        <v>1475</v>
      </c>
      <c r="F6069" s="2695"/>
      <c r="G6069" s="2695"/>
      <c r="H6069" s="2695"/>
      <c r="I6069" s="2695"/>
      <c r="J6069" s="2695"/>
      <c r="K6069" s="2695"/>
      <c r="L6069" s="2695"/>
      <c r="M6069" s="2695"/>
      <c r="N6069" s="1058"/>
    </row>
    <row r="6070" spans="3:14">
      <c r="C6070" s="980"/>
      <c r="D6070" s="813"/>
      <c r="E6070" s="813"/>
      <c r="F6070" s="813"/>
      <c r="G6070" s="813"/>
      <c r="H6070" s="813"/>
      <c r="I6070" s="813"/>
      <c r="J6070" s="813"/>
      <c r="K6070" s="813"/>
      <c r="L6070" s="813"/>
      <c r="M6070" s="813"/>
      <c r="N6070" s="814"/>
    </row>
    <row r="6071" spans="3:14">
      <c r="C6071" s="1056"/>
      <c r="D6071" s="982" t="s">
        <v>48</v>
      </c>
      <c r="E6071" s="2671" t="s">
        <v>1611</v>
      </c>
      <c r="F6071" s="2672"/>
      <c r="G6071" s="2672"/>
      <c r="H6071" s="2672"/>
      <c r="I6071" s="2672"/>
      <c r="J6071" s="2672"/>
      <c r="K6071" s="2672"/>
      <c r="L6071" s="2672"/>
      <c r="M6071" s="2672"/>
      <c r="N6071" s="2673"/>
    </row>
    <row r="6072" spans="3:14">
      <c r="C6072" s="1056"/>
      <c r="D6072" s="982"/>
      <c r="E6072" s="2746" t="s">
        <v>2295</v>
      </c>
      <c r="F6072" s="2746"/>
      <c r="G6072" s="2746"/>
      <c r="H6072" s="2746"/>
      <c r="I6072" s="2746"/>
      <c r="J6072" s="2746"/>
      <c r="K6072" s="2746"/>
      <c r="L6072" s="2746"/>
      <c r="M6072" s="2746"/>
      <c r="N6072" s="2747"/>
    </row>
    <row r="6073" spans="3:14">
      <c r="C6073" s="1056"/>
      <c r="D6073" s="1057"/>
      <c r="E6073" s="2674" t="s">
        <v>1261</v>
      </c>
      <c r="F6073" s="2674"/>
      <c r="G6073" s="2674"/>
      <c r="H6073" s="2674"/>
      <c r="I6073" s="2674"/>
      <c r="J6073" s="2674"/>
      <c r="K6073" s="2674"/>
      <c r="L6073" s="2674"/>
      <c r="M6073" s="2674"/>
      <c r="N6073" s="2675"/>
    </row>
    <row r="6074" spans="3:14">
      <c r="C6074" s="1056"/>
      <c r="D6074" s="1057"/>
      <c r="E6074" s="985" t="s">
        <v>1021</v>
      </c>
      <c r="F6074" s="2645" t="s">
        <v>1262</v>
      </c>
      <c r="G6074" s="2645"/>
      <c r="H6074" s="2645"/>
      <c r="I6074" s="2645"/>
      <c r="J6074" s="2645"/>
      <c r="K6074" s="2645"/>
      <c r="L6074" s="2645"/>
      <c r="M6074" s="2645"/>
      <c r="N6074" s="2748"/>
    </row>
    <row r="6075" spans="3:14">
      <c r="C6075" s="977"/>
      <c r="D6075" s="981"/>
      <c r="E6075" s="985"/>
      <c r="F6075" s="2669" t="s">
        <v>1566</v>
      </c>
      <c r="G6075" s="2391"/>
      <c r="H6075" s="2391"/>
      <c r="I6075" s="2391"/>
      <c r="J6075" s="2391"/>
      <c r="K6075" s="2391"/>
      <c r="L6075" s="2391"/>
      <c r="M6075" s="2391"/>
      <c r="N6075" s="2650"/>
    </row>
    <row r="6076" spans="3:14">
      <c r="C6076" s="1056"/>
      <c r="D6076" s="1057"/>
      <c r="E6076" s="985" t="s">
        <v>1021</v>
      </c>
      <c r="F6076" s="2645" t="s">
        <v>1486</v>
      </c>
      <c r="G6076" s="2645"/>
      <c r="H6076" s="2645"/>
      <c r="I6076" s="2645"/>
      <c r="J6076" s="2645"/>
      <c r="K6076" s="2645"/>
      <c r="L6076" s="2645"/>
      <c r="M6076" s="2645"/>
      <c r="N6076" s="2748"/>
    </row>
    <row r="6077" spans="3:14">
      <c r="C6077" s="1056"/>
      <c r="D6077" s="1057"/>
      <c r="E6077" s="985"/>
      <c r="F6077" s="2645" t="s">
        <v>1568</v>
      </c>
      <c r="G6077" s="2645"/>
      <c r="H6077" s="2645"/>
      <c r="I6077" s="2645"/>
      <c r="J6077" s="2645"/>
      <c r="K6077" s="2645"/>
      <c r="L6077" s="2645"/>
      <c r="M6077" s="2645"/>
      <c r="N6077" s="2748"/>
    </row>
    <row r="6078" spans="3:14">
      <c r="C6078" s="1056"/>
      <c r="D6078" s="1057"/>
      <c r="E6078" s="985" t="s">
        <v>1021</v>
      </c>
      <c r="F6078" s="2645" t="s">
        <v>1570</v>
      </c>
      <c r="G6078" s="2646"/>
      <c r="H6078" s="2646"/>
      <c r="I6078" s="2646"/>
      <c r="J6078" s="2646"/>
      <c r="K6078" s="2646"/>
      <c r="L6078" s="2646"/>
      <c r="M6078" s="2646"/>
      <c r="N6078" s="2647"/>
    </row>
    <row r="6079" spans="3:14">
      <c r="C6079" s="1056"/>
      <c r="D6079" s="982"/>
      <c r="E6079" s="989" t="s">
        <v>915</v>
      </c>
      <c r="F6079" s="990"/>
      <c r="G6079" s="987" t="s">
        <v>884</v>
      </c>
      <c r="H6079" s="782">
        <v>2019</v>
      </c>
      <c r="I6079" s="782">
        <v>2020</v>
      </c>
      <c r="J6079" s="782">
        <v>2021</v>
      </c>
      <c r="K6079" s="782">
        <v>2022</v>
      </c>
      <c r="L6079" s="782">
        <v>2023</v>
      </c>
      <c r="M6079" s="782">
        <v>2024</v>
      </c>
      <c r="N6079" s="783">
        <v>2025</v>
      </c>
    </row>
    <row r="6080" spans="3:14">
      <c r="C6080" s="1056"/>
      <c r="D6080" s="1057"/>
      <c r="E6080" s="2487" t="str">
        <f>IFERROR(IF('[1]G_Fall-back'!E349 = "", "", '[1]G_Fall-back'!E349 ),"")</f>
        <v>Heat benchmark sub-installation, non-CL</v>
      </c>
      <c r="F6080" s="2488"/>
      <c r="G6080" s="815" t="s">
        <v>2016</v>
      </c>
      <c r="H6080" s="347" t="str">
        <f>IFERROR(IF('[1]G_Fall-back'!H349 = "", "", '[1]G_Fall-back'!H349 ),"")</f>
        <v/>
      </c>
      <c r="I6080" s="347" t="str">
        <f>IFERROR(IF('[1]G_Fall-back'!I349 = "", "", '[1]G_Fall-back'!I349 ),"")</f>
        <v/>
      </c>
      <c r="J6080" s="347" t="str">
        <f>IFERROR(IF('[1]G_Fall-back'!J349 = "", "", '[1]G_Fall-back'!J349 ),"")</f>
        <v/>
      </c>
      <c r="K6080" s="347" t="str">
        <f>IFERROR(IF('[1]G_Fall-back'!K349 = "", "", '[1]G_Fall-back'!K349 ),"")</f>
        <v/>
      </c>
      <c r="L6080" s="347" t="str">
        <f>IFERROR(IF('[1]G_Fall-back'!L349 = "", "", '[1]G_Fall-back'!L349 ),"")</f>
        <v/>
      </c>
      <c r="M6080" s="347" t="str">
        <f>IFERROR(IF('[1]G_Fall-back'!M349 = "", "", '[1]G_Fall-back'!M349 ),"")</f>
        <v/>
      </c>
      <c r="N6080" s="349" t="str">
        <f>IFERROR(IF('[1]G_Fall-back'!N349 = "", "", '[1]G_Fall-back'!N349 ),"")</f>
        <v/>
      </c>
    </row>
    <row r="6081" spans="3:14">
      <c r="C6081" s="1056"/>
      <c r="D6081" s="1057"/>
      <c r="E6081" s="1057"/>
      <c r="F6081" s="1057"/>
      <c r="G6081" s="1057"/>
      <c r="H6081" s="1057"/>
      <c r="I6081" s="1057"/>
      <c r="J6081" s="1057"/>
      <c r="K6081" s="1057"/>
      <c r="L6081" s="1057"/>
      <c r="M6081" s="1059"/>
      <c r="N6081" s="1060"/>
    </row>
    <row r="6082" spans="3:14">
      <c r="C6082" s="1056"/>
      <c r="D6082" s="982" t="s">
        <v>881</v>
      </c>
      <c r="E6082" s="2649" t="s">
        <v>1189</v>
      </c>
      <c r="F6082" s="2649"/>
      <c r="G6082" s="2649"/>
      <c r="H6082" s="2649"/>
      <c r="I6082" s="2649"/>
      <c r="J6082" s="2649"/>
      <c r="K6082" s="2649"/>
      <c r="L6082" s="2649"/>
      <c r="M6082" s="2649"/>
      <c r="N6082" s="2749"/>
    </row>
    <row r="6083" spans="3:14">
      <c r="C6083" s="1056"/>
      <c r="D6083" s="1057"/>
      <c r="E6083" s="2645" t="s">
        <v>1569</v>
      </c>
      <c r="F6083" s="2672"/>
      <c r="G6083" s="2672"/>
      <c r="H6083" s="2672"/>
      <c r="I6083" s="2672"/>
      <c r="J6083" s="2672"/>
      <c r="K6083" s="2672"/>
      <c r="L6083" s="2672"/>
      <c r="M6083" s="2672"/>
      <c r="N6083" s="2673"/>
    </row>
    <row r="6084" spans="3:14">
      <c r="C6084" s="1056"/>
      <c r="D6084" s="1057"/>
      <c r="E6084" s="2645" t="s">
        <v>1488</v>
      </c>
      <c r="F6084" s="2672"/>
      <c r="G6084" s="2672"/>
      <c r="H6084" s="2672"/>
      <c r="I6084" s="2672"/>
      <c r="J6084" s="2672"/>
      <c r="K6084" s="2672"/>
      <c r="L6084" s="2672"/>
      <c r="M6084" s="2672"/>
      <c r="N6084" s="2673"/>
    </row>
    <row r="6085" spans="3:14">
      <c r="C6085" s="1056"/>
      <c r="D6085" s="1057"/>
      <c r="E6085" s="2645" t="s">
        <v>1594</v>
      </c>
      <c r="F6085" s="2672"/>
      <c r="G6085" s="2672"/>
      <c r="H6085" s="2672"/>
      <c r="I6085" s="2672"/>
      <c r="J6085" s="2672"/>
      <c r="K6085" s="2672"/>
      <c r="L6085" s="2672"/>
      <c r="M6085" s="2672"/>
      <c r="N6085" s="2673"/>
    </row>
    <row r="6086" spans="3:14">
      <c r="C6086" s="1056"/>
      <c r="D6086" s="1057"/>
      <c r="E6086" s="2645" t="s">
        <v>1487</v>
      </c>
      <c r="F6086" s="2672"/>
      <c r="G6086" s="2672"/>
      <c r="H6086" s="2672"/>
      <c r="I6086" s="2672"/>
      <c r="J6086" s="2672"/>
      <c r="K6086" s="2672"/>
      <c r="L6086" s="2672"/>
      <c r="M6086" s="2672"/>
      <c r="N6086" s="2673"/>
    </row>
    <row r="6087" spans="3:14">
      <c r="C6087" s="1056"/>
      <c r="D6087" s="1057"/>
      <c r="E6087" s="2645" t="s">
        <v>1571</v>
      </c>
      <c r="F6087" s="2672"/>
      <c r="G6087" s="2672"/>
      <c r="H6087" s="2672"/>
      <c r="I6087" s="2672"/>
      <c r="J6087" s="2672"/>
      <c r="K6087" s="2672"/>
      <c r="L6087" s="2672"/>
      <c r="M6087" s="2672"/>
      <c r="N6087" s="2673"/>
    </row>
    <row r="6088" spans="3:14">
      <c r="C6088" s="1056"/>
      <c r="D6088" s="1057"/>
      <c r="E6088" s="2711" t="s">
        <v>1557</v>
      </c>
      <c r="F6088" s="2671"/>
      <c r="G6088" s="2671"/>
      <c r="H6088" s="2671"/>
      <c r="I6088" s="2671"/>
      <c r="J6088" s="2671"/>
      <c r="K6088" s="2671"/>
      <c r="L6088" s="2671"/>
      <c r="M6088" s="2671"/>
      <c r="N6088" s="2712"/>
    </row>
    <row r="6089" spans="3:14">
      <c r="C6089" s="1056"/>
      <c r="D6089" s="982"/>
      <c r="E6089" s="989"/>
      <c r="F6089" s="990"/>
      <c r="G6089" s="987" t="s">
        <v>884</v>
      </c>
      <c r="H6089" s="782">
        <v>2019</v>
      </c>
      <c r="I6089" s="782">
        <v>2020</v>
      </c>
      <c r="J6089" s="782">
        <v>2021</v>
      </c>
      <c r="K6089" s="782">
        <v>2022</v>
      </c>
      <c r="L6089" s="782">
        <v>2023</v>
      </c>
      <c r="M6089" s="782">
        <v>2024</v>
      </c>
      <c r="N6089" s="783">
        <v>2025</v>
      </c>
    </row>
    <row r="6090" spans="3:14">
      <c r="C6090" s="1056"/>
      <c r="D6090" s="1061" t="s">
        <v>6</v>
      </c>
      <c r="E6090" s="2475" t="s">
        <v>1483</v>
      </c>
      <c r="F6090" s="2410"/>
      <c r="G6090" s="815" t="s">
        <v>2017</v>
      </c>
      <c r="H6090" s="93" t="str">
        <f>IFERROR(IF('[1]G_Fall-back'!H359 = "", "", '[1]G_Fall-back'!H359 ),"")</f>
        <v/>
      </c>
      <c r="I6090" s="93" t="str">
        <f>IFERROR(IF('[1]G_Fall-back'!I359 = "", "", '[1]G_Fall-back'!I359 ),"")</f>
        <v/>
      </c>
      <c r="J6090" s="93" t="str">
        <f>IFERROR(IF('[1]G_Fall-back'!J359 = "", "", '[1]G_Fall-back'!J359 ),"")</f>
        <v/>
      </c>
      <c r="K6090" s="93" t="str">
        <f>IFERROR(IF('[1]G_Fall-back'!K359 = "", "", '[1]G_Fall-back'!K359 ),"")</f>
        <v/>
      </c>
      <c r="L6090" s="93" t="str">
        <f>IFERROR(IF('[1]G_Fall-back'!L359 = "", "", '[1]G_Fall-back'!L359 ),"")</f>
        <v/>
      </c>
      <c r="M6090" s="93" t="str">
        <f>IFERROR(IF('[1]G_Fall-back'!M359 = "", "", '[1]G_Fall-back'!M359 ),"")</f>
        <v/>
      </c>
      <c r="N6090" s="118" t="str">
        <f>IFERROR(IF('[1]G_Fall-back'!N359 = "", "", '[1]G_Fall-back'!N359 ),"")</f>
        <v/>
      </c>
    </row>
    <row r="6091" spans="3:14">
      <c r="C6091" s="1056"/>
      <c r="D6091" s="1061" t="s">
        <v>7</v>
      </c>
      <c r="E6091" s="2475" t="s">
        <v>1182</v>
      </c>
      <c r="F6091" s="2410"/>
      <c r="G6091" s="991" t="s">
        <v>2018</v>
      </c>
      <c r="H6091" s="109" t="str">
        <f>IFERROR(IF('[1]G_Fall-back'!H360 = "", "", '[1]G_Fall-back'!H360 ),"")</f>
        <v/>
      </c>
      <c r="I6091" s="109" t="str">
        <f>IFERROR(IF('[1]G_Fall-back'!I360 = "", "", '[1]G_Fall-back'!I360 ),"")</f>
        <v/>
      </c>
      <c r="J6091" s="109" t="str">
        <f>IFERROR(IF('[1]G_Fall-back'!J360 = "", "", '[1]G_Fall-back'!J360 ),"")</f>
        <v/>
      </c>
      <c r="K6091" s="109" t="str">
        <f>IFERROR(IF('[1]G_Fall-back'!K360 = "", "", '[1]G_Fall-back'!K360 ),"")</f>
        <v/>
      </c>
      <c r="L6091" s="109" t="str">
        <f>IFERROR(IF('[1]G_Fall-back'!L360 = "", "", '[1]G_Fall-back'!L360 ),"")</f>
        <v/>
      </c>
      <c r="M6091" s="109" t="str">
        <f>IFERROR(IF('[1]G_Fall-back'!M360 = "", "", '[1]G_Fall-back'!M360 ),"")</f>
        <v/>
      </c>
      <c r="N6091" s="357" t="str">
        <f>IFERROR(IF('[1]G_Fall-back'!N360 = "", "", '[1]G_Fall-back'!N360 ),"")</f>
        <v/>
      </c>
    </row>
    <row r="6092" spans="3:14">
      <c r="C6092" s="1056"/>
      <c r="D6092" s="1057"/>
      <c r="E6092" s="1057"/>
      <c r="F6092" s="1057"/>
      <c r="G6092" s="1057"/>
      <c r="H6092" s="1057"/>
      <c r="I6092" s="1057"/>
      <c r="J6092" s="1057"/>
      <c r="K6092" s="1057"/>
      <c r="L6092" s="1057"/>
      <c r="M6092" s="1057"/>
      <c r="N6092" s="1062"/>
    </row>
    <row r="6093" spans="3:14">
      <c r="C6093" s="1056"/>
      <c r="D6093" s="1061" t="s">
        <v>8</v>
      </c>
      <c r="E6093" s="2475" t="s">
        <v>1481</v>
      </c>
      <c r="F6093" s="2410"/>
      <c r="G6093" s="815" t="s">
        <v>2017</v>
      </c>
      <c r="H6093" s="93" t="str">
        <f>IFERROR(IF('[1]G_Fall-back'!H362 = "", "", '[1]G_Fall-back'!H362 ),"")</f>
        <v/>
      </c>
      <c r="I6093" s="93" t="str">
        <f>IFERROR(IF('[1]G_Fall-back'!I362 = "", "", '[1]G_Fall-back'!I362 ),"")</f>
        <v/>
      </c>
      <c r="J6093" s="93" t="str">
        <f>IFERROR(IF('[1]G_Fall-back'!J362 = "", "", '[1]G_Fall-back'!J362 ),"")</f>
        <v/>
      </c>
      <c r="K6093" s="93" t="str">
        <f>IFERROR(IF('[1]G_Fall-back'!K362 = "", "", '[1]G_Fall-back'!K362 ),"")</f>
        <v/>
      </c>
      <c r="L6093" s="93" t="str">
        <f>IFERROR(IF('[1]G_Fall-back'!L362 = "", "", '[1]G_Fall-back'!L362 ),"")</f>
        <v/>
      </c>
      <c r="M6093" s="93" t="str">
        <f>IFERROR(IF('[1]G_Fall-back'!M362 = "", "", '[1]G_Fall-back'!M362 ),"")</f>
        <v/>
      </c>
      <c r="N6093" s="118" t="str">
        <f>IFERROR(IF('[1]G_Fall-back'!N362 = "", "", '[1]G_Fall-back'!N362 ),"")</f>
        <v/>
      </c>
    </row>
    <row r="6094" spans="3:14">
      <c r="C6094" s="1056"/>
      <c r="D6094" s="1061" t="s">
        <v>18</v>
      </c>
      <c r="E6094" s="2475" t="s">
        <v>1482</v>
      </c>
      <c r="F6094" s="2410"/>
      <c r="G6094" s="991" t="s">
        <v>2018</v>
      </c>
      <c r="H6094" s="109" t="str">
        <f>IFERROR(IF('[1]G_Fall-back'!H363 = "", "", '[1]G_Fall-back'!H363 ),"")</f>
        <v/>
      </c>
      <c r="I6094" s="109" t="str">
        <f>IFERROR(IF('[1]G_Fall-back'!I363 = "", "", '[1]G_Fall-back'!I363 ),"")</f>
        <v/>
      </c>
      <c r="J6094" s="109" t="str">
        <f>IFERROR(IF('[1]G_Fall-back'!J363 = "", "", '[1]G_Fall-back'!J363 ),"")</f>
        <v/>
      </c>
      <c r="K6094" s="109" t="str">
        <f>IFERROR(IF('[1]G_Fall-back'!K363 = "", "", '[1]G_Fall-back'!K363 ),"")</f>
        <v/>
      </c>
      <c r="L6094" s="109" t="str">
        <f>IFERROR(IF('[1]G_Fall-back'!L363 = "", "", '[1]G_Fall-back'!L363 ),"")</f>
        <v/>
      </c>
      <c r="M6094" s="109" t="str">
        <f>IFERROR(IF('[1]G_Fall-back'!M363 = "", "", '[1]G_Fall-back'!M363 ),"")</f>
        <v/>
      </c>
      <c r="N6094" s="357" t="str">
        <f>IFERROR(IF('[1]G_Fall-back'!N363 = "", "", '[1]G_Fall-back'!N363 ),"")</f>
        <v/>
      </c>
    </row>
    <row r="6095" spans="3:14">
      <c r="C6095" s="980"/>
      <c r="D6095" s="813"/>
      <c r="E6095" s="813"/>
      <c r="F6095" s="813"/>
      <c r="G6095" s="813"/>
      <c r="H6095" s="813"/>
      <c r="I6095" s="813"/>
      <c r="J6095" s="813"/>
      <c r="K6095" s="813"/>
      <c r="L6095" s="813"/>
      <c r="M6095" s="813"/>
      <c r="N6095" s="814"/>
    </row>
    <row r="6096" spans="3:14">
      <c r="C6096" s="1056"/>
      <c r="D6096" s="982" t="s">
        <v>57</v>
      </c>
      <c r="E6096" s="2671" t="s">
        <v>52</v>
      </c>
      <c r="F6096" s="2672"/>
      <c r="G6096" s="2672"/>
      <c r="H6096" s="2672"/>
      <c r="I6096" s="2672"/>
      <c r="J6096" s="2672"/>
      <c r="K6096" s="2672"/>
      <c r="L6096" s="2672"/>
      <c r="M6096" s="2672"/>
      <c r="N6096" s="2673"/>
    </row>
    <row r="6097" spans="3:14">
      <c r="C6097" s="1056"/>
      <c r="D6097" s="1057"/>
      <c r="E6097" s="2674" t="s">
        <v>2719</v>
      </c>
      <c r="F6097" s="2674"/>
      <c r="G6097" s="2674"/>
      <c r="H6097" s="2674"/>
      <c r="I6097" s="2674"/>
      <c r="J6097" s="2674"/>
      <c r="K6097" s="2674"/>
      <c r="L6097" s="2674"/>
      <c r="M6097" s="2674"/>
      <c r="N6097" s="2675"/>
    </row>
    <row r="6098" spans="3:14">
      <c r="C6098" s="1056"/>
      <c r="D6098" s="1057"/>
      <c r="E6098" s="2674" t="s">
        <v>1572</v>
      </c>
      <c r="F6098" s="2674"/>
      <c r="G6098" s="2674"/>
      <c r="H6098" s="2674"/>
      <c r="I6098" s="2674"/>
      <c r="J6098" s="2674"/>
      <c r="K6098" s="2674"/>
      <c r="L6098" s="2674"/>
      <c r="M6098" s="2674"/>
      <c r="N6098" s="2675"/>
    </row>
    <row r="6099" spans="3:14">
      <c r="C6099" s="1056"/>
      <c r="D6099" s="982"/>
      <c r="E6099" s="2648" t="s">
        <v>52</v>
      </c>
      <c r="F6099" s="2648"/>
      <c r="G6099" s="987" t="s">
        <v>884</v>
      </c>
      <c r="H6099" s="782">
        <v>2019</v>
      </c>
      <c r="I6099" s="782">
        <v>2020</v>
      </c>
      <c r="J6099" s="782">
        <v>2021</v>
      </c>
      <c r="K6099" s="782">
        <v>2022</v>
      </c>
      <c r="L6099" s="782">
        <v>2023</v>
      </c>
      <c r="M6099" s="782">
        <v>2024</v>
      </c>
      <c r="N6099" s="783">
        <v>2025</v>
      </c>
    </row>
    <row r="6100" spans="3:14">
      <c r="C6100" s="1056"/>
      <c r="D6100" s="1057"/>
      <c r="E6100" s="2487" t="str">
        <f>IFERROR(IF('[1]G_Fall-back'!E369 = "", "", '[1]G_Fall-back'!E369 ),"")</f>
        <v>Heat benchmark sub-installation, non-CL</v>
      </c>
      <c r="F6100" s="2488"/>
      <c r="G6100" s="815" t="s">
        <v>2017</v>
      </c>
      <c r="H6100" s="347" t="str">
        <f>IFERROR(IF('[1]G_Fall-back'!H369 = "", "", '[1]G_Fall-back'!H369 ),"")</f>
        <v/>
      </c>
      <c r="I6100" s="347" t="str">
        <f>IFERROR(IF('[1]G_Fall-back'!I369 = "", "", '[1]G_Fall-back'!I369 ),"")</f>
        <v/>
      </c>
      <c r="J6100" s="347" t="str">
        <f>IFERROR(IF('[1]G_Fall-back'!J369 = "", "", '[1]G_Fall-back'!J369 ),"")</f>
        <v/>
      </c>
      <c r="K6100" s="347" t="str">
        <f>IFERROR(IF('[1]G_Fall-back'!K369 = "", "", '[1]G_Fall-back'!K369 ),"")</f>
        <v/>
      </c>
      <c r="L6100" s="347" t="str">
        <f>IFERROR(IF('[1]G_Fall-back'!L369 = "", "", '[1]G_Fall-back'!L369 ),"")</f>
        <v/>
      </c>
      <c r="M6100" s="347" t="str">
        <f>IFERROR(IF('[1]G_Fall-back'!M369 = "", "", '[1]G_Fall-back'!M369 ),"")</f>
        <v/>
      </c>
      <c r="N6100" s="349" t="str">
        <f>IFERROR(IF('[1]G_Fall-back'!N369 = "", "", '[1]G_Fall-back'!N369 ),"")</f>
        <v/>
      </c>
    </row>
    <row r="6101" spans="3:14">
      <c r="C6101" s="1056"/>
      <c r="D6101" s="1057"/>
      <c r="E6101" s="1057"/>
      <c r="F6101" s="1057"/>
      <c r="G6101" s="1057"/>
      <c r="H6101" s="1057"/>
      <c r="I6101" s="1057"/>
      <c r="J6101" s="1057"/>
      <c r="K6101" s="1057"/>
      <c r="L6101" s="1057"/>
      <c r="M6101" s="1059"/>
      <c r="N6101" s="1060"/>
    </row>
    <row r="6102" spans="3:14">
      <c r="C6102" s="1056"/>
      <c r="D6102" s="982" t="s">
        <v>58</v>
      </c>
      <c r="E6102" s="2671" t="s">
        <v>556</v>
      </c>
      <c r="F6102" s="2672"/>
      <c r="G6102" s="2672"/>
      <c r="H6102" s="2672"/>
      <c r="I6102" s="2672"/>
      <c r="J6102" s="2672"/>
      <c r="K6102" s="2672"/>
      <c r="L6102" s="2672"/>
      <c r="M6102" s="2672"/>
      <c r="N6102" s="2673"/>
    </row>
    <row r="6103" spans="3:14">
      <c r="C6103" s="1056"/>
      <c r="D6103" s="982"/>
      <c r="E6103" s="2711" t="s">
        <v>2297</v>
      </c>
      <c r="F6103" s="2671"/>
      <c r="G6103" s="2671"/>
      <c r="H6103" s="2671"/>
      <c r="I6103" s="2671"/>
      <c r="J6103" s="2671"/>
      <c r="K6103" s="2671"/>
      <c r="L6103" s="2671"/>
      <c r="M6103" s="2671"/>
      <c r="N6103" s="2712"/>
    </row>
    <row r="6104" spans="3:14">
      <c r="C6104" s="1056"/>
      <c r="D6104" s="1057"/>
      <c r="E6104" s="2645" t="s">
        <v>1322</v>
      </c>
      <c r="F6104" s="2672"/>
      <c r="G6104" s="2672"/>
      <c r="H6104" s="2672"/>
      <c r="I6104" s="2672"/>
      <c r="J6104" s="2672"/>
      <c r="K6104" s="2672"/>
      <c r="L6104" s="2672"/>
      <c r="M6104" s="2672"/>
      <c r="N6104" s="2673"/>
    </row>
    <row r="6105" spans="3:14">
      <c r="C6105" s="1056"/>
      <c r="D6105" s="1057"/>
      <c r="E6105" s="985" t="s">
        <v>1021</v>
      </c>
      <c r="F6105" s="2645" t="s">
        <v>1573</v>
      </c>
      <c r="G6105" s="2646"/>
      <c r="H6105" s="2646"/>
      <c r="I6105" s="2646"/>
      <c r="J6105" s="2646"/>
      <c r="K6105" s="2646"/>
      <c r="L6105" s="2646"/>
      <c r="M6105" s="2646"/>
      <c r="N6105" s="2647"/>
    </row>
    <row r="6106" spans="3:14">
      <c r="C6106" s="1056"/>
      <c r="D6106" s="1057"/>
      <c r="E6106" s="985" t="s">
        <v>1021</v>
      </c>
      <c r="F6106" s="2645" t="s">
        <v>1574</v>
      </c>
      <c r="G6106" s="2646"/>
      <c r="H6106" s="2646"/>
      <c r="I6106" s="2646"/>
      <c r="J6106" s="2646"/>
      <c r="K6106" s="2646"/>
      <c r="L6106" s="2646"/>
      <c r="M6106" s="2646"/>
      <c r="N6106" s="2647"/>
    </row>
    <row r="6107" spans="3:14">
      <c r="C6107" s="1056"/>
      <c r="D6107" s="1057"/>
      <c r="E6107" s="985" t="s">
        <v>1021</v>
      </c>
      <c r="F6107" s="2645" t="s">
        <v>1480</v>
      </c>
      <c r="G6107" s="2646"/>
      <c r="H6107" s="2646"/>
      <c r="I6107" s="2646"/>
      <c r="J6107" s="2646"/>
      <c r="K6107" s="2646"/>
      <c r="L6107" s="2646"/>
      <c r="M6107" s="2646"/>
      <c r="N6107" s="2647"/>
    </row>
    <row r="6108" spans="3:14">
      <c r="C6108" s="1056"/>
      <c r="D6108" s="1057"/>
      <c r="E6108" s="985" t="s">
        <v>1021</v>
      </c>
      <c r="F6108" s="2645" t="s">
        <v>1338</v>
      </c>
      <c r="G6108" s="2646"/>
      <c r="H6108" s="2646"/>
      <c r="I6108" s="2646"/>
      <c r="J6108" s="2646"/>
      <c r="K6108" s="2646"/>
      <c r="L6108" s="2646"/>
      <c r="M6108" s="2646"/>
      <c r="N6108" s="2647"/>
    </row>
    <row r="6109" spans="3:14">
      <c r="C6109" s="1056"/>
      <c r="D6109" s="1057"/>
      <c r="E6109" s="985" t="s">
        <v>1021</v>
      </c>
      <c r="F6109" s="2645" t="s">
        <v>1321</v>
      </c>
      <c r="G6109" s="2646"/>
      <c r="H6109" s="2646"/>
      <c r="I6109" s="2646"/>
      <c r="J6109" s="2646"/>
      <c r="K6109" s="2646"/>
      <c r="L6109" s="2646"/>
      <c r="M6109" s="2646"/>
      <c r="N6109" s="2647"/>
    </row>
    <row r="6110" spans="3:14">
      <c r="C6110" s="1056"/>
      <c r="D6110" s="1057"/>
      <c r="E6110" s="2674" t="s">
        <v>2171</v>
      </c>
      <c r="F6110" s="2391"/>
      <c r="G6110" s="2391"/>
      <c r="H6110" s="2391"/>
      <c r="I6110" s="2391"/>
      <c r="J6110" s="2391"/>
      <c r="K6110" s="2391"/>
      <c r="L6110" s="2391"/>
      <c r="M6110" s="2391"/>
      <c r="N6110" s="2650"/>
    </row>
    <row r="6111" spans="3:14">
      <c r="C6111" s="1056"/>
      <c r="D6111" s="1057"/>
      <c r="E6111" s="2645" t="s">
        <v>1554</v>
      </c>
      <c r="F6111" s="2672"/>
      <c r="G6111" s="2672"/>
      <c r="H6111" s="2672"/>
      <c r="I6111" s="2672"/>
      <c r="J6111" s="2672"/>
      <c r="K6111" s="2672"/>
      <c r="L6111" s="2672"/>
      <c r="M6111" s="2672"/>
      <c r="N6111" s="2673"/>
    </row>
    <row r="6112" spans="3:14">
      <c r="C6112" s="1056"/>
      <c r="D6112" s="1057"/>
      <c r="E6112" s="2697" t="s">
        <v>1510</v>
      </c>
      <c r="F6112" s="2697"/>
      <c r="G6112" s="2697"/>
      <c r="H6112" s="2697"/>
      <c r="I6112" s="2697"/>
      <c r="J6112" s="2697"/>
      <c r="K6112" s="2697"/>
      <c r="L6112" s="2697"/>
      <c r="M6112" s="2697"/>
      <c r="N6112" s="1007"/>
    </row>
    <row r="6113" spans="3:14">
      <c r="C6113" s="1056"/>
      <c r="D6113" s="1057"/>
      <c r="E6113" s="2648" t="s">
        <v>1323</v>
      </c>
      <c r="F6113" s="2493"/>
      <c r="G6113" s="987" t="s">
        <v>884</v>
      </c>
      <c r="H6113" s="782">
        <v>2019</v>
      </c>
      <c r="I6113" s="782">
        <v>2020</v>
      </c>
      <c r="J6113" s="782">
        <v>2021</v>
      </c>
      <c r="K6113" s="782">
        <v>2022</v>
      </c>
      <c r="L6113" s="782">
        <v>2023</v>
      </c>
      <c r="M6113" s="782">
        <v>2024</v>
      </c>
      <c r="N6113" s="783">
        <v>2025</v>
      </c>
    </row>
    <row r="6114" spans="3:14">
      <c r="C6114" s="1056"/>
      <c r="D6114" s="1061" t="s">
        <v>6</v>
      </c>
      <c r="E6114" s="2475" t="s">
        <v>1087</v>
      </c>
      <c r="F6114" s="2410"/>
      <c r="G6114" s="815" t="s">
        <v>2017</v>
      </c>
      <c r="H6114" s="93" t="str">
        <f>IFERROR(IF('[1]G_Fall-back'!H383 = "", "", '[1]G_Fall-back'!H383 ),"")</f>
        <v/>
      </c>
      <c r="I6114" s="93" t="str">
        <f>IFERROR(IF('[1]G_Fall-back'!I383 = "", "", '[1]G_Fall-back'!I383 ),"")</f>
        <v/>
      </c>
      <c r="J6114" s="93" t="str">
        <f>IFERROR(IF('[1]G_Fall-back'!J383 = "", "", '[1]G_Fall-back'!J383 ),"")</f>
        <v/>
      </c>
      <c r="K6114" s="93" t="str">
        <f>IFERROR(IF('[1]G_Fall-back'!K383 = "", "", '[1]G_Fall-back'!K383 ),"")</f>
        <v/>
      </c>
      <c r="L6114" s="93" t="str">
        <f>IFERROR(IF('[1]G_Fall-back'!L383 = "", "", '[1]G_Fall-back'!L383 ),"")</f>
        <v/>
      </c>
      <c r="M6114" s="93" t="str">
        <f>IFERROR(IF('[1]G_Fall-back'!M383 = "", "", '[1]G_Fall-back'!M383 ),"")</f>
        <v/>
      </c>
      <c r="N6114" s="118" t="str">
        <f>IFERROR(IF('[1]G_Fall-back'!N383 = "", "", '[1]G_Fall-back'!N383 ),"")</f>
        <v/>
      </c>
    </row>
    <row r="6115" spans="3:14">
      <c r="C6115" s="1056"/>
      <c r="D6115" s="1061" t="s">
        <v>7</v>
      </c>
      <c r="E6115" s="2475" t="s">
        <v>1103</v>
      </c>
      <c r="F6115" s="2410"/>
      <c r="G6115" s="815" t="s">
        <v>2018</v>
      </c>
      <c r="H6115" s="93" t="str">
        <f>IFERROR(IF('[1]G_Fall-back'!H384 = "", "", '[1]G_Fall-back'!H384 ),"")</f>
        <v/>
      </c>
      <c r="I6115" s="93" t="str">
        <f>IFERROR(IF('[1]G_Fall-back'!I384 = "", "", '[1]G_Fall-back'!I384 ),"")</f>
        <v/>
      </c>
      <c r="J6115" s="93" t="str">
        <f>IFERROR(IF('[1]G_Fall-back'!J384 = "", "", '[1]G_Fall-back'!J384 ),"")</f>
        <v/>
      </c>
      <c r="K6115" s="93" t="str">
        <f>IFERROR(IF('[1]G_Fall-back'!K384 = "", "", '[1]G_Fall-back'!K384 ),"")</f>
        <v/>
      </c>
      <c r="L6115" s="93" t="str">
        <f>IFERROR(IF('[1]G_Fall-back'!L384 = "", "", '[1]G_Fall-back'!L384 ),"")</f>
        <v/>
      </c>
      <c r="M6115" s="93" t="str">
        <f>IFERROR(IF('[1]G_Fall-back'!M384 = "", "", '[1]G_Fall-back'!M384 ),"")</f>
        <v/>
      </c>
      <c r="N6115" s="118" t="str">
        <f>IFERROR(IF('[1]G_Fall-back'!N384 = "", "", '[1]G_Fall-back'!N384 ),"")</f>
        <v/>
      </c>
    </row>
    <row r="6116" spans="3:14">
      <c r="C6116" s="1056"/>
      <c r="D6116" s="1057"/>
      <c r="E6116" s="1057"/>
      <c r="F6116" s="1057"/>
      <c r="G6116" s="1057"/>
      <c r="H6116" s="1057"/>
      <c r="I6116" s="1057"/>
      <c r="J6116" s="1057"/>
      <c r="K6116" s="1057"/>
      <c r="L6116" s="1057"/>
      <c r="M6116" s="1057"/>
      <c r="N6116" s="1060"/>
    </row>
    <row r="6117" spans="3:14">
      <c r="C6117" s="1056"/>
      <c r="D6117" s="1057"/>
      <c r="E6117" s="2648" t="s">
        <v>1324</v>
      </c>
      <c r="F6117" s="2493"/>
      <c r="G6117" s="987" t="s">
        <v>884</v>
      </c>
      <c r="H6117" s="782">
        <v>2019</v>
      </c>
      <c r="I6117" s="782">
        <v>2020</v>
      </c>
      <c r="J6117" s="782">
        <v>2021</v>
      </c>
      <c r="K6117" s="782">
        <v>2022</v>
      </c>
      <c r="L6117" s="782">
        <v>2023</v>
      </c>
      <c r="M6117" s="782">
        <v>2024</v>
      </c>
      <c r="N6117" s="783">
        <v>2025</v>
      </c>
    </row>
    <row r="6118" spans="3:14">
      <c r="C6118" s="1056"/>
      <c r="D6118" s="1061" t="s">
        <v>18</v>
      </c>
      <c r="E6118" s="2475" t="s">
        <v>1087</v>
      </c>
      <c r="F6118" s="2410"/>
      <c r="G6118" s="815" t="s">
        <v>2017</v>
      </c>
      <c r="H6118" s="93" t="str">
        <f>IFERROR(IF('[1]G_Fall-back'!H387 = "", "", '[1]G_Fall-back'!H387 ),"")</f>
        <v/>
      </c>
      <c r="I6118" s="93" t="str">
        <f>IFERROR(IF('[1]G_Fall-back'!I387 = "", "", '[1]G_Fall-back'!I387 ),"")</f>
        <v/>
      </c>
      <c r="J6118" s="93" t="str">
        <f>IFERROR(IF('[1]G_Fall-back'!J387 = "", "", '[1]G_Fall-back'!J387 ),"")</f>
        <v/>
      </c>
      <c r="K6118" s="93" t="str">
        <f>IFERROR(IF('[1]G_Fall-back'!K387 = "", "", '[1]G_Fall-back'!K387 ),"")</f>
        <v/>
      </c>
      <c r="L6118" s="93" t="str">
        <f>IFERROR(IF('[1]G_Fall-back'!L387 = "", "", '[1]G_Fall-back'!L387 ),"")</f>
        <v/>
      </c>
      <c r="M6118" s="93" t="str">
        <f>IFERROR(IF('[1]G_Fall-back'!M387 = "", "", '[1]G_Fall-back'!M387 ),"")</f>
        <v/>
      </c>
      <c r="N6118" s="118" t="str">
        <f>IFERROR(IF('[1]G_Fall-back'!N387 = "", "", '[1]G_Fall-back'!N387 ),"")</f>
        <v/>
      </c>
    </row>
    <row r="6119" spans="3:14">
      <c r="C6119" s="1056"/>
      <c r="D6119" s="1061" t="s">
        <v>787</v>
      </c>
      <c r="E6119" s="2475" t="s">
        <v>1490</v>
      </c>
      <c r="F6119" s="2410"/>
      <c r="G6119" s="815" t="s">
        <v>2018</v>
      </c>
      <c r="H6119" s="93" t="str">
        <f>IFERROR(IF('[1]G_Fall-back'!H388 = "", "", '[1]G_Fall-back'!H388 ),"")</f>
        <v/>
      </c>
      <c r="I6119" s="93" t="str">
        <f>IFERROR(IF('[1]G_Fall-back'!I388 = "", "", '[1]G_Fall-back'!I388 ),"")</f>
        <v/>
      </c>
      <c r="J6119" s="93" t="str">
        <f>IFERROR(IF('[1]G_Fall-back'!J388 = "", "", '[1]G_Fall-back'!J388 ),"")</f>
        <v/>
      </c>
      <c r="K6119" s="93" t="str">
        <f>IFERROR(IF('[1]G_Fall-back'!K388 = "", "", '[1]G_Fall-back'!K388 ),"")</f>
        <v/>
      </c>
      <c r="L6119" s="93" t="str">
        <f>IFERROR(IF('[1]G_Fall-back'!L388 = "", "", '[1]G_Fall-back'!L388 ),"")</f>
        <v/>
      </c>
      <c r="M6119" s="93" t="str">
        <f>IFERROR(IF('[1]G_Fall-back'!M388 = "", "", '[1]G_Fall-back'!M388 ),"")</f>
        <v/>
      </c>
      <c r="N6119" s="118" t="str">
        <f>IFERROR(IF('[1]G_Fall-back'!N388 = "", "", '[1]G_Fall-back'!N388 ),"")</f>
        <v/>
      </c>
    </row>
    <row r="6120" spans="3:14">
      <c r="C6120" s="1056"/>
      <c r="D6120" s="1057"/>
      <c r="E6120" s="1057"/>
      <c r="F6120" s="1057"/>
      <c r="G6120" s="1057"/>
      <c r="H6120" s="1057"/>
      <c r="I6120" s="1057"/>
      <c r="J6120" s="1057"/>
      <c r="K6120" s="1057"/>
      <c r="L6120" s="1057"/>
      <c r="M6120" s="1057"/>
      <c r="N6120" s="1060"/>
    </row>
    <row r="6121" spans="3:14">
      <c r="C6121" s="1056"/>
      <c r="D6121" s="1057"/>
      <c r="E6121" s="2648" t="s">
        <v>1325</v>
      </c>
      <c r="F6121" s="2493"/>
      <c r="G6121" s="987" t="s">
        <v>884</v>
      </c>
      <c r="H6121" s="782">
        <v>2019</v>
      </c>
      <c r="I6121" s="782">
        <v>2020</v>
      </c>
      <c r="J6121" s="782">
        <v>2021</v>
      </c>
      <c r="K6121" s="782">
        <v>2022</v>
      </c>
      <c r="L6121" s="782">
        <v>2023</v>
      </c>
      <c r="M6121" s="782">
        <v>2024</v>
      </c>
      <c r="N6121" s="783">
        <v>2025</v>
      </c>
    </row>
    <row r="6122" spans="3:14">
      <c r="C6122" s="1056"/>
      <c r="D6122" s="1061" t="s">
        <v>789</v>
      </c>
      <c r="E6122" s="2475" t="s">
        <v>1087</v>
      </c>
      <c r="F6122" s="2410"/>
      <c r="G6122" s="815" t="s">
        <v>2017</v>
      </c>
      <c r="H6122" s="93" t="str">
        <f>IFERROR(IF('[1]G_Fall-back'!H391 = "", "", '[1]G_Fall-back'!H391 ),"")</f>
        <v/>
      </c>
      <c r="I6122" s="93" t="str">
        <f>IFERROR(IF('[1]G_Fall-back'!I391 = "", "", '[1]G_Fall-back'!I391 ),"")</f>
        <v/>
      </c>
      <c r="J6122" s="93" t="str">
        <f>IFERROR(IF('[1]G_Fall-back'!J391 = "", "", '[1]G_Fall-back'!J391 ),"")</f>
        <v/>
      </c>
      <c r="K6122" s="93" t="str">
        <f>IFERROR(IF('[1]G_Fall-back'!K391 = "", "", '[1]G_Fall-back'!K391 ),"")</f>
        <v/>
      </c>
      <c r="L6122" s="93" t="str">
        <f>IFERROR(IF('[1]G_Fall-back'!L391 = "", "", '[1]G_Fall-back'!L391 ),"")</f>
        <v/>
      </c>
      <c r="M6122" s="93" t="str">
        <f>IFERROR(IF('[1]G_Fall-back'!M391 = "", "", '[1]G_Fall-back'!M391 ),"")</f>
        <v/>
      </c>
      <c r="N6122" s="118" t="str">
        <f>IFERROR(IF('[1]G_Fall-back'!N391 = "", "", '[1]G_Fall-back'!N391 ),"")</f>
        <v/>
      </c>
    </row>
    <row r="6123" spans="3:14">
      <c r="C6123" s="1056"/>
      <c r="D6123" s="1061" t="s">
        <v>790</v>
      </c>
      <c r="E6123" s="2475" t="s">
        <v>1489</v>
      </c>
      <c r="F6123" s="2410"/>
      <c r="G6123" s="815" t="s">
        <v>2018</v>
      </c>
      <c r="H6123" s="93" t="str">
        <f>IFERROR(IF('[1]G_Fall-back'!H392 = "", "", '[1]G_Fall-back'!H392 ),"")</f>
        <v/>
      </c>
      <c r="I6123" s="93" t="str">
        <f>IFERROR(IF('[1]G_Fall-back'!I392 = "", "", '[1]G_Fall-back'!I392 ),"")</f>
        <v/>
      </c>
      <c r="J6123" s="93" t="str">
        <f>IFERROR(IF('[1]G_Fall-back'!J392 = "", "", '[1]G_Fall-back'!J392 ),"")</f>
        <v/>
      </c>
      <c r="K6123" s="93" t="str">
        <f>IFERROR(IF('[1]G_Fall-back'!K392 = "", "", '[1]G_Fall-back'!K392 ),"")</f>
        <v/>
      </c>
      <c r="L6123" s="93" t="str">
        <f>IFERROR(IF('[1]G_Fall-back'!L392 = "", "", '[1]G_Fall-back'!L392 ),"")</f>
        <v/>
      </c>
      <c r="M6123" s="93" t="str">
        <f>IFERROR(IF('[1]G_Fall-back'!M392 = "", "", '[1]G_Fall-back'!M392 ),"")</f>
        <v/>
      </c>
      <c r="N6123" s="118" t="str">
        <f>IFERROR(IF('[1]G_Fall-back'!N392 = "", "", '[1]G_Fall-back'!N392 ),"")</f>
        <v/>
      </c>
    </row>
    <row r="6124" spans="3:14">
      <c r="C6124" s="1056"/>
      <c r="D6124" s="1057"/>
      <c r="E6124" s="1057"/>
      <c r="F6124" s="1057"/>
      <c r="G6124" s="1057"/>
      <c r="H6124" s="1057"/>
      <c r="I6124" s="1057"/>
      <c r="J6124" s="1057"/>
      <c r="K6124" s="1057"/>
      <c r="L6124" s="1057"/>
      <c r="M6124" s="1057"/>
      <c r="N6124" s="1060"/>
    </row>
    <row r="6125" spans="3:14">
      <c r="C6125" s="1056"/>
      <c r="D6125" s="1057"/>
      <c r="E6125" s="2648" t="s">
        <v>1326</v>
      </c>
      <c r="F6125" s="2493"/>
      <c r="G6125" s="987" t="s">
        <v>884</v>
      </c>
      <c r="H6125" s="782">
        <v>2019</v>
      </c>
      <c r="I6125" s="782">
        <v>2020</v>
      </c>
      <c r="J6125" s="782">
        <v>2021</v>
      </c>
      <c r="K6125" s="782">
        <v>2022</v>
      </c>
      <c r="L6125" s="782">
        <v>2023</v>
      </c>
      <c r="M6125" s="782">
        <v>2024</v>
      </c>
      <c r="N6125" s="783">
        <v>2025</v>
      </c>
    </row>
    <row r="6126" spans="3:14">
      <c r="C6126" s="1056"/>
      <c r="D6126" s="1061" t="s">
        <v>64</v>
      </c>
      <c r="E6126" s="2475" t="s">
        <v>1087</v>
      </c>
      <c r="F6126" s="2410"/>
      <c r="G6126" s="815" t="s">
        <v>2017</v>
      </c>
      <c r="H6126" s="93" t="str">
        <f>IFERROR(IF('[1]G_Fall-back'!H395 = "", "", '[1]G_Fall-back'!H395 ),"")</f>
        <v/>
      </c>
      <c r="I6126" s="93" t="str">
        <f>IFERROR(IF('[1]G_Fall-back'!I395 = "", "", '[1]G_Fall-back'!I395 ),"")</f>
        <v/>
      </c>
      <c r="J6126" s="93" t="str">
        <f>IFERROR(IF('[1]G_Fall-back'!J395 = "", "", '[1]G_Fall-back'!J395 ),"")</f>
        <v/>
      </c>
      <c r="K6126" s="93" t="str">
        <f>IFERROR(IF('[1]G_Fall-back'!K395 = "", "", '[1]G_Fall-back'!K395 ),"")</f>
        <v/>
      </c>
      <c r="L6126" s="93" t="str">
        <f>IFERROR(IF('[1]G_Fall-back'!L395 = "", "", '[1]G_Fall-back'!L395 ),"")</f>
        <v/>
      </c>
      <c r="M6126" s="93" t="str">
        <f>IFERROR(IF('[1]G_Fall-back'!M395 = "", "", '[1]G_Fall-back'!M395 ),"")</f>
        <v/>
      </c>
      <c r="N6126" s="118" t="str">
        <f>IFERROR(IF('[1]G_Fall-back'!N395 = "", "", '[1]G_Fall-back'!N395 ),"")</f>
        <v/>
      </c>
    </row>
    <row r="6127" spans="3:14">
      <c r="C6127" s="1056"/>
      <c r="D6127" s="1061" t="s">
        <v>65</v>
      </c>
      <c r="E6127" s="2475" t="s">
        <v>1491</v>
      </c>
      <c r="F6127" s="2410"/>
      <c r="G6127" s="815" t="s">
        <v>2018</v>
      </c>
      <c r="H6127" s="93" t="str">
        <f>IFERROR(IF('[1]G_Fall-back'!H396 = "", "", '[1]G_Fall-back'!H396 ),"")</f>
        <v/>
      </c>
      <c r="I6127" s="93" t="str">
        <f>IFERROR(IF('[1]G_Fall-back'!I396 = "", "", '[1]G_Fall-back'!I396 ),"")</f>
        <v/>
      </c>
      <c r="J6127" s="93" t="str">
        <f>IFERROR(IF('[1]G_Fall-back'!J396 = "", "", '[1]G_Fall-back'!J396 ),"")</f>
        <v/>
      </c>
      <c r="K6127" s="93" t="str">
        <f>IFERROR(IF('[1]G_Fall-back'!K396 = "", "", '[1]G_Fall-back'!K396 ),"")</f>
        <v/>
      </c>
      <c r="L6127" s="93" t="str">
        <f>IFERROR(IF('[1]G_Fall-back'!L396 = "", "", '[1]G_Fall-back'!L396 ),"")</f>
        <v/>
      </c>
      <c r="M6127" s="93" t="str">
        <f>IFERROR(IF('[1]G_Fall-back'!M396 = "", "", '[1]G_Fall-back'!M396 ),"")</f>
        <v/>
      </c>
      <c r="N6127" s="118" t="str">
        <f>IFERROR(IF('[1]G_Fall-back'!N396 = "", "", '[1]G_Fall-back'!N396 ),"")</f>
        <v/>
      </c>
    </row>
    <row r="6128" spans="3:14">
      <c r="C6128" s="1056"/>
      <c r="D6128" s="1057"/>
      <c r="E6128" s="1057"/>
      <c r="F6128" s="1057"/>
      <c r="G6128" s="1057"/>
      <c r="H6128" s="1057"/>
      <c r="I6128" s="1057"/>
      <c r="J6128" s="1057"/>
      <c r="K6128" s="1057"/>
      <c r="L6128" s="1057"/>
      <c r="M6128" s="1057"/>
      <c r="N6128" s="1060"/>
    </row>
    <row r="6129" spans="3:14">
      <c r="C6129" s="1056"/>
      <c r="D6129" s="1057"/>
      <c r="E6129" s="2648" t="s">
        <v>1327</v>
      </c>
      <c r="F6129" s="2493"/>
      <c r="G6129" s="987" t="s">
        <v>884</v>
      </c>
      <c r="H6129" s="782">
        <v>2019</v>
      </c>
      <c r="I6129" s="782">
        <v>2020</v>
      </c>
      <c r="J6129" s="782">
        <v>2021</v>
      </c>
      <c r="K6129" s="782">
        <v>2022</v>
      </c>
      <c r="L6129" s="782">
        <v>2023</v>
      </c>
      <c r="M6129" s="782">
        <v>2024</v>
      </c>
      <c r="N6129" s="783">
        <v>2025</v>
      </c>
    </row>
    <row r="6130" spans="3:14">
      <c r="C6130" s="1056"/>
      <c r="D6130" s="1061" t="s">
        <v>1105</v>
      </c>
      <c r="E6130" s="2475" t="s">
        <v>1087</v>
      </c>
      <c r="F6130" s="2410"/>
      <c r="G6130" s="815" t="s">
        <v>2017</v>
      </c>
      <c r="H6130" s="93" t="str">
        <f>IFERROR(IF('[1]G_Fall-back'!H399 = "", "", '[1]G_Fall-back'!H399 ),"")</f>
        <v/>
      </c>
      <c r="I6130" s="93" t="str">
        <f>IFERROR(IF('[1]G_Fall-back'!I399 = "", "", '[1]G_Fall-back'!I399 ),"")</f>
        <v/>
      </c>
      <c r="J6130" s="93" t="str">
        <f>IFERROR(IF('[1]G_Fall-back'!J399 = "", "", '[1]G_Fall-back'!J399 ),"")</f>
        <v/>
      </c>
      <c r="K6130" s="93" t="str">
        <f>IFERROR(IF('[1]G_Fall-back'!K399 = "", "", '[1]G_Fall-back'!K399 ),"")</f>
        <v/>
      </c>
      <c r="L6130" s="93" t="str">
        <f>IFERROR(IF('[1]G_Fall-back'!L399 = "", "", '[1]G_Fall-back'!L399 ),"")</f>
        <v/>
      </c>
      <c r="M6130" s="93" t="str">
        <f>IFERROR(IF('[1]G_Fall-back'!M399 = "", "", '[1]G_Fall-back'!M399 ),"")</f>
        <v/>
      </c>
      <c r="N6130" s="118" t="str">
        <f>IFERROR(IF('[1]G_Fall-back'!N399 = "", "", '[1]G_Fall-back'!N399 ),"")</f>
        <v/>
      </c>
    </row>
    <row r="6131" spans="3:14">
      <c r="C6131" s="1056"/>
      <c r="D6131" s="1061" t="s">
        <v>1106</v>
      </c>
      <c r="E6131" s="2475" t="s">
        <v>1492</v>
      </c>
      <c r="F6131" s="2410"/>
      <c r="G6131" s="815" t="s">
        <v>2018</v>
      </c>
      <c r="H6131" s="93" t="str">
        <f>IFERROR(IF('[1]G_Fall-back'!H400 = "", "", '[1]G_Fall-back'!H400 ),"")</f>
        <v/>
      </c>
      <c r="I6131" s="93" t="str">
        <f>IFERROR(IF('[1]G_Fall-back'!I400 = "", "", '[1]G_Fall-back'!I400 ),"")</f>
        <v/>
      </c>
      <c r="J6131" s="93" t="str">
        <f>IFERROR(IF('[1]G_Fall-back'!J400 = "", "", '[1]G_Fall-back'!J400 ),"")</f>
        <v/>
      </c>
      <c r="K6131" s="93" t="str">
        <f>IFERROR(IF('[1]G_Fall-back'!K400 = "", "", '[1]G_Fall-back'!K400 ),"")</f>
        <v/>
      </c>
      <c r="L6131" s="93" t="str">
        <f>IFERROR(IF('[1]G_Fall-back'!L400 = "", "", '[1]G_Fall-back'!L400 ),"")</f>
        <v/>
      </c>
      <c r="M6131" s="93" t="str">
        <f>IFERROR(IF('[1]G_Fall-back'!M400 = "", "", '[1]G_Fall-back'!M400 ),"")</f>
        <v/>
      </c>
      <c r="N6131" s="118" t="str">
        <f>IFERROR(IF('[1]G_Fall-back'!N400 = "", "", '[1]G_Fall-back'!N400 ),"")</f>
        <v/>
      </c>
    </row>
    <row r="6132" spans="3:14">
      <c r="C6132" s="1056"/>
      <c r="D6132" s="1057"/>
      <c r="E6132" s="1057"/>
      <c r="F6132" s="1057"/>
      <c r="G6132" s="1057"/>
      <c r="H6132" s="1057"/>
      <c r="I6132" s="1057"/>
      <c r="J6132" s="1057"/>
      <c r="K6132" s="1057"/>
      <c r="L6132" s="1057"/>
      <c r="M6132" s="1057"/>
      <c r="N6132" s="1060"/>
    </row>
    <row r="6133" spans="3:14">
      <c r="C6133" s="1056"/>
      <c r="D6133" s="1061" t="s">
        <v>1108</v>
      </c>
      <c r="E6133" s="2475" t="s">
        <v>1169</v>
      </c>
      <c r="F6133" s="2410"/>
      <c r="G6133" s="815" t="s">
        <v>2017</v>
      </c>
      <c r="H6133" s="93" t="str">
        <f>IFERROR(IF('[1]G_Fall-back'!H402 = "", "", '[1]G_Fall-back'!H402 ),"")</f>
        <v/>
      </c>
      <c r="I6133" s="93" t="str">
        <f>IFERROR(IF('[1]G_Fall-back'!I402 = "", "", '[1]G_Fall-back'!I402 ),"")</f>
        <v/>
      </c>
      <c r="J6133" s="93" t="str">
        <f>IFERROR(IF('[1]G_Fall-back'!J402 = "", "", '[1]G_Fall-back'!J402 ),"")</f>
        <v/>
      </c>
      <c r="K6133" s="93" t="str">
        <f>IFERROR(IF('[1]G_Fall-back'!K402 = "", "", '[1]G_Fall-back'!K402 ),"")</f>
        <v/>
      </c>
      <c r="L6133" s="93" t="str">
        <f>IFERROR(IF('[1]G_Fall-back'!L402 = "", "", '[1]G_Fall-back'!L402 ),"")</f>
        <v/>
      </c>
      <c r="M6133" s="93" t="str">
        <f>IFERROR(IF('[1]G_Fall-back'!M402 = "", "", '[1]G_Fall-back'!M402 ),"")</f>
        <v/>
      </c>
      <c r="N6133" s="118" t="str">
        <f>IFERROR(IF('[1]G_Fall-back'!N402 = "", "", '[1]G_Fall-back'!N402 ),"")</f>
        <v/>
      </c>
    </row>
    <row r="6134" spans="3:14" ht="13.5" thickBot="1">
      <c r="C6134" s="1063"/>
      <c r="D6134" s="1064"/>
      <c r="E6134" s="1064"/>
      <c r="F6134" s="1064"/>
      <c r="G6134" s="1064"/>
      <c r="H6134" s="1064"/>
      <c r="I6134" s="1064"/>
      <c r="J6134" s="1064"/>
      <c r="K6134" s="1064"/>
      <c r="L6134" s="1064"/>
      <c r="M6134" s="1065"/>
      <c r="N6134" s="1066"/>
    </row>
    <row r="6135" spans="3:14" ht="13.5" thickBot="1">
      <c r="C6135" s="485"/>
      <c r="D6135" s="485"/>
      <c r="E6135" s="485"/>
      <c r="F6135" s="485"/>
      <c r="G6135" s="485"/>
      <c r="H6135" s="485"/>
      <c r="I6135" s="485"/>
      <c r="J6135" s="485"/>
      <c r="K6135" s="485"/>
      <c r="L6135" s="485"/>
      <c r="M6135" s="485"/>
      <c r="N6135" s="485"/>
    </row>
    <row r="6136" spans="3:14" ht="13.5" thickBot="1">
      <c r="C6136" s="686"/>
      <c r="D6136" s="686"/>
      <c r="E6136" s="686"/>
      <c r="F6136" s="686"/>
      <c r="G6136" s="686"/>
      <c r="H6136" s="686"/>
      <c r="I6136" s="686"/>
      <c r="J6136" s="686"/>
      <c r="K6136" s="686"/>
      <c r="L6136" s="686"/>
      <c r="M6136" s="686"/>
      <c r="N6136" s="686"/>
    </row>
    <row r="6137" spans="3:14" ht="15.75" thickBot="1">
      <c r="C6137" s="559">
        <v>3</v>
      </c>
      <c r="D6137" s="2482" t="s">
        <v>2170</v>
      </c>
      <c r="E6137" s="2400"/>
      <c r="F6137" s="2400"/>
      <c r="G6137" s="2400"/>
      <c r="H6137" s="2585"/>
      <c r="I6137" s="2489" t="str">
        <f>IFERROR(IF('[1]G_Fall-back'!I406 = "", "", '[1]G_Fall-back'!I406 ),"")</f>
        <v>District heating sub-installation</v>
      </c>
      <c r="J6137" s="2534"/>
      <c r="K6137" s="2534"/>
      <c r="L6137" s="2681"/>
      <c r="M6137" s="2476" t="str">
        <f>IFERROR(IF('[1]G_Fall-back'!M406 = "", "", '[1]G_Fall-back'!M406 ),"")</f>
        <v/>
      </c>
      <c r="N6137" s="2477"/>
    </row>
    <row r="6138" spans="3:14">
      <c r="C6138" s="485"/>
      <c r="D6138" s="485"/>
      <c r="E6138" s="485"/>
      <c r="F6138" s="485"/>
      <c r="G6138" s="485"/>
      <c r="H6138" s="484"/>
      <c r="I6138" s="2716" t="s">
        <v>1857</v>
      </c>
      <c r="J6138" s="2717"/>
      <c r="K6138" s="2717"/>
      <c r="L6138" s="2717"/>
      <c r="M6138" s="2718"/>
      <c r="N6138" s="2719"/>
    </row>
    <row r="6139" spans="3:14">
      <c r="C6139" s="467"/>
      <c r="D6139" s="485"/>
      <c r="E6139" s="2465" t="s">
        <v>1197</v>
      </c>
      <c r="F6139" s="2400"/>
      <c r="G6139" s="2400"/>
      <c r="H6139" s="2400"/>
      <c r="I6139" s="2400"/>
      <c r="J6139" s="2400"/>
      <c r="K6139" s="2400"/>
      <c r="L6139" s="2400"/>
      <c r="M6139" s="2400"/>
      <c r="N6139" s="2400"/>
    </row>
    <row r="6140" spans="3:14">
      <c r="C6140" s="467"/>
      <c r="D6140" s="467"/>
      <c r="E6140" s="467"/>
      <c r="F6140" s="467"/>
      <c r="G6140" s="467"/>
      <c r="H6140" s="467"/>
      <c r="I6140" s="467"/>
      <c r="J6140" s="467"/>
      <c r="K6140" s="467"/>
      <c r="L6140" s="467"/>
      <c r="M6140" s="481"/>
      <c r="N6140" s="481"/>
    </row>
    <row r="6141" spans="3:14">
      <c r="C6141" s="482"/>
      <c r="D6141" s="482" t="s">
        <v>400</v>
      </c>
      <c r="E6141" s="2373" t="s">
        <v>1930</v>
      </c>
      <c r="F6141" s="2400"/>
      <c r="G6141" s="2400"/>
      <c r="H6141" s="2400"/>
      <c r="I6141" s="2400"/>
      <c r="J6141" s="2400"/>
      <c r="K6141" s="2400"/>
      <c r="L6141" s="2400"/>
      <c r="M6141" s="2400"/>
      <c r="N6141" s="2400"/>
    </row>
    <row r="6142" spans="3:14">
      <c r="C6142" s="485"/>
      <c r="D6142" s="485"/>
      <c r="E6142" s="2720" t="s">
        <v>1340</v>
      </c>
      <c r="F6142" s="2720"/>
      <c r="G6142" s="2720"/>
      <c r="H6142" s="2720"/>
      <c r="I6142" s="2720"/>
      <c r="J6142" s="2720"/>
      <c r="K6142" s="2720"/>
      <c r="L6142" s="2720"/>
      <c r="M6142" s="2720"/>
      <c r="N6142" s="2720"/>
    </row>
    <row r="6143" spans="3:14">
      <c r="C6143" s="467"/>
      <c r="D6143" s="485"/>
      <c r="E6143" s="2651" t="s">
        <v>1959</v>
      </c>
      <c r="F6143" s="2721"/>
      <c r="G6143" s="2721"/>
      <c r="H6143" s="2721"/>
      <c r="I6143" s="2721"/>
      <c r="J6143" s="2721"/>
      <c r="K6143" s="2721"/>
      <c r="L6143" s="2721"/>
      <c r="M6143" s="2721"/>
      <c r="N6143" s="2721"/>
    </row>
    <row r="6144" spans="3:14">
      <c r="C6144" s="482"/>
      <c r="D6144" s="482"/>
      <c r="E6144" s="707" t="s">
        <v>920</v>
      </c>
      <c r="F6144" s="518"/>
      <c r="G6144" s="663" t="s">
        <v>884</v>
      </c>
      <c r="H6144" s="578">
        <v>2019</v>
      </c>
      <c r="I6144" s="697">
        <v>2020</v>
      </c>
      <c r="J6144" s="696">
        <v>2021</v>
      </c>
      <c r="K6144" s="578">
        <v>2022</v>
      </c>
      <c r="L6144" s="578">
        <v>2023</v>
      </c>
      <c r="M6144" s="578">
        <v>2024</v>
      </c>
      <c r="N6144" s="671">
        <v>2025</v>
      </c>
    </row>
    <row r="6145" spans="3:14">
      <c r="C6145" s="485"/>
      <c r="D6145" s="561" t="s">
        <v>6</v>
      </c>
      <c r="E6145" s="2696" t="str">
        <f>IFERROR(IF('[1]G_Fall-back'!E414 = "", "", '[1]G_Fall-back'!E414 ),"")</f>
        <v>District heating sub-installation</v>
      </c>
      <c r="F6145" s="2696"/>
      <c r="G6145" s="74" t="str">
        <f>IFERROR(IF('[1]G_Fall-back'!G414 = "", "", '[1]G_Fall-back'!G414 ),"")</f>
        <v>TJ</v>
      </c>
      <c r="H6145" s="102" t="str">
        <f>IFERROR(IF('[1]G_Fall-back'!H414 = "", "", '[1]G_Fall-back'!H414 ),"")</f>
        <v/>
      </c>
      <c r="I6145" s="386" t="str">
        <f>IFERROR(IF('[1]G_Fall-back'!I414 = "", "", '[1]G_Fall-back'!I414 ),"")</f>
        <v/>
      </c>
      <c r="J6145" s="387" t="str">
        <f>IFERROR(IF('[1]G_Fall-back'!J414 = "", "", '[1]G_Fall-back'!J414 ),"")</f>
        <v/>
      </c>
      <c r="K6145" s="102" t="str">
        <f>IFERROR(IF('[1]G_Fall-back'!K414 = "", "", '[1]G_Fall-back'!K414 ),"")</f>
        <v/>
      </c>
      <c r="L6145" s="102" t="str">
        <f>IFERROR(IF('[1]G_Fall-back'!L414 = "", "", '[1]G_Fall-back'!L414 ),"")</f>
        <v/>
      </c>
      <c r="M6145" s="102" t="str">
        <f>IFERROR(IF('[1]G_Fall-back'!M414 = "", "", '[1]G_Fall-back'!M414 ),"")</f>
        <v/>
      </c>
      <c r="N6145" s="102" t="str">
        <f>IFERROR(IF('[1]G_Fall-back'!N414 = "", "", '[1]G_Fall-back'!N414 ),"")</f>
        <v/>
      </c>
    </row>
    <row r="6146" spans="3:14">
      <c r="C6146" s="479"/>
      <c r="D6146" s="485"/>
      <c r="E6146" s="485"/>
      <c r="F6146" s="485"/>
      <c r="G6146" s="485"/>
      <c r="H6146" s="485"/>
      <c r="I6146" s="485"/>
      <c r="J6146" s="485"/>
      <c r="K6146" s="485"/>
      <c r="L6146" s="485"/>
      <c r="M6146" s="485"/>
      <c r="N6146" s="485"/>
    </row>
    <row r="6147" spans="3:14">
      <c r="C6147" s="479"/>
      <c r="D6147" s="485"/>
      <c r="E6147" s="2465" t="s">
        <v>1712</v>
      </c>
      <c r="F6147" s="2400"/>
      <c r="G6147" s="2400"/>
      <c r="H6147" s="2400"/>
      <c r="I6147" s="2400"/>
      <c r="J6147" s="2400"/>
      <c r="K6147" s="2400"/>
      <c r="L6147" s="2400"/>
      <c r="M6147" s="2400"/>
      <c r="N6147" s="2400"/>
    </row>
    <row r="6148" spans="3:14">
      <c r="C6148" s="479"/>
      <c r="D6148" s="485"/>
      <c r="E6148" s="901" t="s">
        <v>1021</v>
      </c>
      <c r="F6148" s="2651" t="s">
        <v>2711</v>
      </c>
      <c r="G6148" s="2584"/>
      <c r="H6148" s="2584"/>
      <c r="I6148" s="2584"/>
      <c r="J6148" s="2584"/>
      <c r="K6148" s="2584"/>
      <c r="L6148" s="2584"/>
      <c r="M6148" s="2584"/>
      <c r="N6148" s="2584"/>
    </row>
    <row r="6149" spans="3:14">
      <c r="C6149" s="479"/>
      <c r="D6149" s="485"/>
      <c r="E6149" s="901" t="s">
        <v>1021</v>
      </c>
      <c r="F6149" s="2651" t="s">
        <v>1985</v>
      </c>
      <c r="G6149" s="2584"/>
      <c r="H6149" s="2584"/>
      <c r="I6149" s="2584"/>
      <c r="J6149" s="2584"/>
      <c r="K6149" s="2584"/>
      <c r="L6149" s="2584"/>
      <c r="M6149" s="2584"/>
      <c r="N6149" s="2584"/>
    </row>
    <row r="6150" spans="3:14" ht="13.5" thickBot="1">
      <c r="C6150" s="479"/>
      <c r="D6150" s="485"/>
      <c r="E6150" s="901" t="s">
        <v>2720</v>
      </c>
      <c r="F6150" s="2651" t="s">
        <v>2721</v>
      </c>
      <c r="G6150" s="2584"/>
      <c r="H6150" s="2584"/>
      <c r="I6150" s="2584"/>
      <c r="J6150" s="2584"/>
      <c r="K6150" s="2584"/>
      <c r="L6150" s="2584"/>
      <c r="M6150" s="2584"/>
      <c r="N6150" s="2584"/>
    </row>
    <row r="6151" spans="3:14">
      <c r="C6151" s="479"/>
      <c r="D6151" s="902"/>
      <c r="E6151" s="903"/>
      <c r="F6151" s="904"/>
      <c r="G6151" s="905"/>
      <c r="H6151" s="905"/>
      <c r="I6151" s="905"/>
      <c r="J6151" s="905"/>
      <c r="K6151" s="905"/>
      <c r="L6151" s="905"/>
      <c r="M6151" s="905"/>
      <c r="N6151" s="906"/>
    </row>
    <row r="6152" spans="3:14">
      <c r="C6152" s="479"/>
      <c r="D6152" s="918"/>
      <c r="E6152" s="908" t="s">
        <v>1652</v>
      </c>
      <c r="F6152" s="909"/>
      <c r="G6152" s="909"/>
      <c r="H6152" s="910" t="s">
        <v>884</v>
      </c>
      <c r="I6152" s="911" t="s">
        <v>2212</v>
      </c>
      <c r="J6152" s="912">
        <v>2021</v>
      </c>
      <c r="K6152" s="913">
        <v>2022</v>
      </c>
      <c r="L6152" s="913">
        <v>2023</v>
      </c>
      <c r="M6152" s="913">
        <v>2024</v>
      </c>
      <c r="N6152" s="914">
        <v>2025</v>
      </c>
    </row>
    <row r="6153" spans="3:14">
      <c r="C6153" s="479"/>
      <c r="D6153" s="915" t="s">
        <v>7</v>
      </c>
      <c r="E6153" s="916" t="s">
        <v>1976</v>
      </c>
      <c r="F6153" s="916"/>
      <c r="G6153" s="916"/>
      <c r="H6153" s="944" t="s">
        <v>283</v>
      </c>
      <c r="I6153" s="235" t="str">
        <f>IFERROR(IF('[1]G_Fall-back'!I422 = "", "", '[1]G_Fall-back'!I422 ),"")</f>
        <v/>
      </c>
      <c r="J6153" s="388" t="str">
        <f>IFERROR(IF('[1]G_Fall-back'!J422 = "", "", '[1]G_Fall-back'!J422 ),"")</f>
        <v/>
      </c>
      <c r="K6153" s="389" t="str">
        <f>IFERROR(IF('[1]G_Fall-back'!K422 = "", "", '[1]G_Fall-back'!K422 ),"")</f>
        <v/>
      </c>
      <c r="L6153" s="389" t="str">
        <f>IFERROR(IF('[1]G_Fall-back'!L422 = "", "", '[1]G_Fall-back'!L422 ),"")</f>
        <v/>
      </c>
      <c r="M6153" s="389" t="str">
        <f>IFERROR(IF('[1]G_Fall-back'!M422 = "", "", '[1]G_Fall-back'!M422 ),"")</f>
        <v/>
      </c>
      <c r="N6153" s="390" t="str">
        <f>IFERROR(IF('[1]G_Fall-back'!N422 = "", "", '[1]G_Fall-back'!N422 ),"")</f>
        <v/>
      </c>
    </row>
    <row r="6154" spans="3:14">
      <c r="C6154" s="479"/>
      <c r="D6154" s="915"/>
      <c r="E6154" s="916" t="s">
        <v>1648</v>
      </c>
      <c r="F6154" s="916"/>
      <c r="G6154" s="916"/>
      <c r="H6154" s="921"/>
      <c r="I6154" s="916"/>
      <c r="J6154" s="319" t="str">
        <f>IFERROR(IF('[1]G_Fall-back'!J423 = "", "", '[1]G_Fall-back'!J423 ),"")</f>
        <v/>
      </c>
      <c r="K6154" s="320" t="str">
        <f>IFERROR(IF('[1]G_Fall-back'!K423 = "", "", '[1]G_Fall-back'!K423 ),"")</f>
        <v/>
      </c>
      <c r="L6154" s="320" t="str">
        <f>IFERROR(IF('[1]G_Fall-back'!L423 = "", "", '[1]G_Fall-back'!L423 ),"")</f>
        <v/>
      </c>
      <c r="M6154" s="320" t="str">
        <f>IFERROR(IF('[1]G_Fall-back'!M423 = "", "", '[1]G_Fall-back'!M423 ),"")</f>
        <v/>
      </c>
      <c r="N6154" s="321" t="str">
        <f>IFERROR(IF('[1]G_Fall-back'!N423 = "", "", '[1]G_Fall-back'!N423 ),"")</f>
        <v/>
      </c>
    </row>
    <row r="6155" spans="3:14">
      <c r="C6155" s="479"/>
      <c r="D6155" s="915" t="s">
        <v>8</v>
      </c>
      <c r="E6155" s="916" t="s">
        <v>1654</v>
      </c>
      <c r="F6155" s="916"/>
      <c r="G6155" s="916"/>
      <c r="H6155" s="921"/>
      <c r="I6155" s="916"/>
      <c r="J6155" s="288" t="str">
        <f>IFERROR(IF('[1]G_Fall-back'!J424 = "", "", '[1]G_Fall-back'!J424 ),"")</f>
        <v/>
      </c>
      <c r="K6155" s="289" t="str">
        <f>IFERROR(IF('[1]G_Fall-back'!K424 = "", "", '[1]G_Fall-back'!K424 ),"")</f>
        <v/>
      </c>
      <c r="L6155" s="289" t="str">
        <f>IFERROR(IF('[1]G_Fall-back'!L424 = "", "", '[1]G_Fall-back'!L424 ),"")</f>
        <v/>
      </c>
      <c r="M6155" s="289" t="str">
        <f>IFERROR(IF('[1]G_Fall-back'!M424 = "", "", '[1]G_Fall-back'!M424 ),"")</f>
        <v/>
      </c>
      <c r="N6155" s="290" t="str">
        <f>IFERROR(IF('[1]G_Fall-back'!N424 = "", "", '[1]G_Fall-back'!N424 ),"")</f>
        <v/>
      </c>
    </row>
    <row r="6156" spans="3:14">
      <c r="C6156" s="479"/>
      <c r="D6156" s="915" t="s">
        <v>18</v>
      </c>
      <c r="E6156" s="916" t="s">
        <v>1647</v>
      </c>
      <c r="F6156" s="916"/>
      <c r="G6156" s="916"/>
      <c r="H6156" s="944" t="s">
        <v>283</v>
      </c>
      <c r="I6156" s="235" t="str">
        <f>IFERROR(IF('[1]G_Fall-back'!I425 = "", "", '[1]G_Fall-back'!I425 ),"")</f>
        <v/>
      </c>
      <c r="J6156" s="388" t="str">
        <f>IFERROR(IF('[1]G_Fall-back'!J425 = "", "", '[1]G_Fall-back'!J425 ),"")</f>
        <v/>
      </c>
      <c r="K6156" s="389" t="str">
        <f>IFERROR(IF('[1]G_Fall-back'!K425 = "", "", '[1]G_Fall-back'!K425 ),"")</f>
        <v/>
      </c>
      <c r="L6156" s="389" t="str">
        <f>IFERROR(IF('[1]G_Fall-back'!L425 = "", "", '[1]G_Fall-back'!L425 ),"")</f>
        <v/>
      </c>
      <c r="M6156" s="389" t="str">
        <f>IFERROR(IF('[1]G_Fall-back'!M425 = "", "", '[1]G_Fall-back'!M425 ),"")</f>
        <v/>
      </c>
      <c r="N6156" s="390" t="str">
        <f>IFERROR(IF('[1]G_Fall-back'!N425 = "", "", '[1]G_Fall-back'!N425 ),"")</f>
        <v/>
      </c>
    </row>
    <row r="6157" spans="3:14">
      <c r="C6157" s="479"/>
      <c r="D6157" s="918"/>
      <c r="E6157" s="909"/>
      <c r="F6157" s="909"/>
      <c r="G6157" s="909"/>
      <c r="H6157" s="909"/>
      <c r="I6157" s="909"/>
      <c r="J6157" s="909"/>
      <c r="K6157" s="909"/>
      <c r="L6157" s="909"/>
      <c r="M6157" s="909"/>
      <c r="N6157" s="922"/>
    </row>
    <row r="6158" spans="3:14">
      <c r="C6158" s="479"/>
      <c r="D6158" s="918"/>
      <c r="E6158" s="923" t="s">
        <v>1653</v>
      </c>
      <c r="F6158" s="923"/>
      <c r="G6158" s="923"/>
      <c r="H6158" s="923"/>
      <c r="I6158" s="923"/>
      <c r="J6158" s="912">
        <v>2021</v>
      </c>
      <c r="K6158" s="913">
        <v>2022</v>
      </c>
      <c r="L6158" s="913">
        <v>2023</v>
      </c>
      <c r="M6158" s="913">
        <v>2024</v>
      </c>
      <c r="N6158" s="914">
        <v>2025</v>
      </c>
    </row>
    <row r="6159" spans="3:14">
      <c r="C6159" s="479"/>
      <c r="D6159" s="915" t="s">
        <v>787</v>
      </c>
      <c r="E6159" s="916" t="s">
        <v>2108</v>
      </c>
      <c r="F6159" s="916"/>
      <c r="G6159" s="916"/>
      <c r="H6159" s="916"/>
      <c r="I6159" s="916"/>
      <c r="J6159" s="69" t="str">
        <f>IFERROR(IF('[1]G_Fall-back'!J428 = "", "", '[1]G_Fall-back'!J428 ),"")</f>
        <v/>
      </c>
      <c r="K6159" s="62" t="str">
        <f>IFERROR(IF('[1]G_Fall-back'!K428 = "", "", '[1]G_Fall-back'!K428 ),"")</f>
        <v/>
      </c>
      <c r="L6159" s="62" t="str">
        <f>IFERROR(IF('[1]G_Fall-back'!L428 = "", "", '[1]G_Fall-back'!L428 ),"")</f>
        <v/>
      </c>
      <c r="M6159" s="62" t="str">
        <f>IFERROR(IF('[1]G_Fall-back'!M428 = "", "", '[1]G_Fall-back'!M428 ),"")</f>
        <v/>
      </c>
      <c r="N6159" s="70" t="str">
        <f>IFERROR(IF('[1]G_Fall-back'!N428 = "", "", '[1]G_Fall-back'!N428 ),"")</f>
        <v/>
      </c>
    </row>
    <row r="6160" spans="3:14" ht="13.5" thickBot="1">
      <c r="C6160" s="479"/>
      <c r="D6160" s="918"/>
      <c r="E6160" s="909"/>
      <c r="F6160" s="909"/>
      <c r="G6160" s="909"/>
      <c r="H6160" s="909"/>
      <c r="I6160" s="909"/>
      <c r="J6160" s="909"/>
      <c r="K6160" s="909"/>
      <c r="L6160" s="909"/>
      <c r="M6160" s="909"/>
      <c r="N6160" s="922"/>
    </row>
    <row r="6161" spans="3:14" ht="13.5" thickBot="1">
      <c r="C6161" s="479"/>
      <c r="D6161" s="915" t="s">
        <v>788</v>
      </c>
      <c r="E6161" s="916" t="s">
        <v>1657</v>
      </c>
      <c r="F6161" s="916"/>
      <c r="G6161" s="916"/>
      <c r="H6161" s="921"/>
      <c r="I6161" s="916"/>
      <c r="J6161" s="291" t="str">
        <f>IFERROR(IF('[1]G_Fall-back'!J430 = "", "", '[1]G_Fall-back'!J430 ),"")</f>
        <v/>
      </c>
      <c r="K6161" s="292" t="str">
        <f>IFERROR(IF('[1]G_Fall-back'!K430 = "", "", '[1]G_Fall-back'!K430 ),"")</f>
        <v/>
      </c>
      <c r="L6161" s="292" t="str">
        <f>IFERROR(IF('[1]G_Fall-back'!L430 = "", "", '[1]G_Fall-back'!L430 ),"")</f>
        <v/>
      </c>
      <c r="M6161" s="292" t="str">
        <f>IFERROR(IF('[1]G_Fall-back'!M430 = "", "", '[1]G_Fall-back'!M430 ),"")</f>
        <v/>
      </c>
      <c r="N6161" s="293" t="str">
        <f>IFERROR(IF('[1]G_Fall-back'!N430 = "", "", '[1]G_Fall-back'!N430 ),"")</f>
        <v/>
      </c>
    </row>
    <row r="6162" spans="3:14" ht="13.5" thickBot="1">
      <c r="C6162" s="479"/>
      <c r="D6162" s="915" t="s">
        <v>789</v>
      </c>
      <c r="E6162" s="916" t="s">
        <v>1659</v>
      </c>
      <c r="F6162" s="916"/>
      <c r="G6162" s="916"/>
      <c r="H6162" s="63" t="str">
        <f>IFERROR(IF('[1]G_Fall-back'!H431 = "", "", '[1]G_Fall-back'!H431 ),"")</f>
        <v>TJ</v>
      </c>
      <c r="I6162" s="281" t="str">
        <f>IFERROR(IF('[1]G_Fall-back'!I431 = "", "", '[1]G_Fall-back'!I431 ),"")</f>
        <v/>
      </c>
      <c r="J6162" s="294" t="str">
        <f>IFERROR(IF('[1]G_Fall-back'!J431 = "", "", '[1]G_Fall-back'!J431 ),"")</f>
        <v/>
      </c>
      <c r="K6162" s="295" t="str">
        <f>IFERROR(IF('[1]G_Fall-back'!K431 = "", "", '[1]G_Fall-back'!K431 ),"")</f>
        <v/>
      </c>
      <c r="L6162" s="295" t="str">
        <f>IFERROR(IF('[1]G_Fall-back'!L431 = "", "", '[1]G_Fall-back'!L431 ),"")</f>
        <v/>
      </c>
      <c r="M6162" s="295" t="str">
        <f>IFERROR(IF('[1]G_Fall-back'!M431 = "", "", '[1]G_Fall-back'!M431 ),"")</f>
        <v/>
      </c>
      <c r="N6162" s="296" t="str">
        <f>IFERROR(IF('[1]G_Fall-back'!N431 = "", "", '[1]G_Fall-back'!N431 ),"")</f>
        <v/>
      </c>
    </row>
    <row r="6163" spans="3:14" ht="13.5" thickBot="1">
      <c r="C6163" s="479"/>
      <c r="D6163" s="924"/>
      <c r="E6163" s="925"/>
      <c r="F6163" s="925"/>
      <c r="G6163" s="925"/>
      <c r="H6163" s="925"/>
      <c r="I6163" s="925"/>
      <c r="J6163" s="925"/>
      <c r="K6163" s="925"/>
      <c r="L6163" s="925"/>
      <c r="M6163" s="925"/>
      <c r="N6163" s="926"/>
    </row>
    <row r="6164" spans="3:14">
      <c r="C6164" s="467"/>
      <c r="D6164" s="467"/>
      <c r="E6164" s="467"/>
      <c r="F6164" s="467"/>
      <c r="G6164" s="467"/>
      <c r="H6164" s="467"/>
      <c r="I6164" s="467"/>
      <c r="J6164" s="467"/>
      <c r="K6164" s="467"/>
      <c r="L6164" s="467"/>
      <c r="M6164" s="467"/>
      <c r="N6164" s="467"/>
    </row>
    <row r="6165" spans="3:14" ht="15">
      <c r="C6165" s="1025"/>
      <c r="D6165" s="2482" t="s">
        <v>103</v>
      </c>
      <c r="E6165" s="2400"/>
      <c r="F6165" s="2400"/>
      <c r="G6165" s="2400"/>
      <c r="H6165" s="2400"/>
      <c r="I6165" s="2400"/>
      <c r="J6165" s="2400"/>
      <c r="K6165" s="2400"/>
      <c r="L6165" s="2400"/>
      <c r="M6165" s="2400"/>
      <c r="N6165" s="2400"/>
    </row>
    <row r="6166" spans="3:14">
      <c r="C6166" s="467"/>
      <c r="D6166" s="467"/>
      <c r="E6166" s="467"/>
      <c r="F6166" s="467"/>
      <c r="G6166" s="467"/>
      <c r="H6166" s="467"/>
      <c r="I6166" s="467"/>
      <c r="J6166" s="467"/>
      <c r="K6166" s="467"/>
      <c r="L6166" s="467"/>
      <c r="M6166" s="467"/>
      <c r="N6166" s="467"/>
    </row>
    <row r="6167" spans="3:14">
      <c r="C6167" s="482"/>
      <c r="D6167" s="482" t="s">
        <v>876</v>
      </c>
      <c r="E6167" s="2373" t="s">
        <v>298</v>
      </c>
      <c r="F6167" s="2400"/>
      <c r="G6167" s="2400"/>
      <c r="H6167" s="2400"/>
      <c r="I6167" s="2400"/>
      <c r="J6167" s="2400"/>
      <c r="K6167" s="2400"/>
      <c r="L6167" s="2400"/>
      <c r="M6167" s="2400"/>
      <c r="N6167" s="2400"/>
    </row>
    <row r="6168" spans="3:14">
      <c r="C6168" s="485"/>
      <c r="D6168" s="485"/>
      <c r="E6168" s="2465" t="s">
        <v>1933</v>
      </c>
      <c r="F6168" s="2400"/>
      <c r="G6168" s="2400"/>
      <c r="H6168" s="2400"/>
      <c r="I6168" s="2400"/>
      <c r="J6168" s="2400"/>
      <c r="K6168" s="2400"/>
      <c r="L6168" s="2400"/>
      <c r="M6168" s="2400"/>
      <c r="N6168" s="2400"/>
    </row>
    <row r="6169" spans="3:14">
      <c r="C6169" s="485"/>
      <c r="D6169" s="485"/>
      <c r="E6169" s="617"/>
      <c r="F6169" s="617"/>
      <c r="G6169" s="617"/>
      <c r="H6169" s="617"/>
      <c r="I6169" s="617"/>
      <c r="J6169" s="468"/>
      <c r="K6169" s="468"/>
      <c r="L6169" s="468"/>
      <c r="M6169" s="481"/>
      <c r="N6169" s="481"/>
    </row>
    <row r="6170" spans="3:14">
      <c r="C6170" s="482"/>
      <c r="D6170" s="956"/>
      <c r="E6170" s="2723" t="s">
        <v>485</v>
      </c>
      <c r="F6170" s="2724"/>
      <c r="G6170" s="2750" t="s">
        <v>1932</v>
      </c>
      <c r="H6170" s="2509"/>
      <c r="I6170" s="2509"/>
      <c r="J6170" s="2509"/>
      <c r="K6170" s="2509"/>
      <c r="L6170" s="2751"/>
      <c r="M6170" s="481"/>
      <c r="N6170" s="481"/>
    </row>
    <row r="6171" spans="3:14">
      <c r="C6171" s="484"/>
      <c r="D6171" s="579">
        <v>1</v>
      </c>
      <c r="E6171" s="2752" t="s">
        <v>1339</v>
      </c>
      <c r="F6171" s="2753"/>
      <c r="G6171" s="2598" t="str">
        <f>IFERROR(IF('[1]G_Fall-back'!G440 = "", "", '[1]G_Fall-back'!G440 ),"")</f>
        <v/>
      </c>
      <c r="H6171" s="2599"/>
      <c r="I6171" s="2599"/>
      <c r="J6171" s="2599"/>
      <c r="K6171" s="2599"/>
      <c r="L6171" s="2617"/>
      <c r="M6171" s="481"/>
      <c r="N6171" s="481"/>
    </row>
    <row r="6172" spans="3:14">
      <c r="C6172" s="484"/>
      <c r="D6172" s="582">
        <v>2</v>
      </c>
      <c r="E6172" s="2754" t="s">
        <v>1339</v>
      </c>
      <c r="F6172" s="2755"/>
      <c r="G6172" s="2602" t="str">
        <f>IFERROR(IF('[1]G_Fall-back'!G441 = "", "", '[1]G_Fall-back'!G441 ),"")</f>
        <v/>
      </c>
      <c r="H6172" s="2603"/>
      <c r="I6172" s="2603"/>
      <c r="J6172" s="2603"/>
      <c r="K6172" s="2603"/>
      <c r="L6172" s="2620"/>
      <c r="M6172" s="481"/>
      <c r="N6172" s="481"/>
    </row>
    <row r="6173" spans="3:14">
      <c r="C6173" s="484"/>
      <c r="D6173" s="582">
        <v>3</v>
      </c>
      <c r="E6173" s="2754" t="s">
        <v>1339</v>
      </c>
      <c r="F6173" s="2755"/>
      <c r="G6173" s="2602" t="str">
        <f>IFERROR(IF('[1]G_Fall-back'!G442 = "", "", '[1]G_Fall-back'!G442 ),"")</f>
        <v/>
      </c>
      <c r="H6173" s="2603"/>
      <c r="I6173" s="2603"/>
      <c r="J6173" s="2603"/>
      <c r="K6173" s="2603"/>
      <c r="L6173" s="2620"/>
      <c r="M6173" s="481"/>
      <c r="N6173" s="481"/>
    </row>
    <row r="6174" spans="3:14">
      <c r="C6174" s="484"/>
      <c r="D6174" s="582">
        <v>4</v>
      </c>
      <c r="E6174" s="2754" t="s">
        <v>1339</v>
      </c>
      <c r="F6174" s="2755"/>
      <c r="G6174" s="2602" t="str">
        <f>IFERROR(IF('[1]G_Fall-back'!G443 = "", "", '[1]G_Fall-back'!G443 ),"")</f>
        <v/>
      </c>
      <c r="H6174" s="2603"/>
      <c r="I6174" s="2603"/>
      <c r="J6174" s="2603"/>
      <c r="K6174" s="2603"/>
      <c r="L6174" s="2620"/>
      <c r="M6174" s="481"/>
      <c r="N6174" s="481"/>
    </row>
    <row r="6175" spans="3:14">
      <c r="C6175" s="484"/>
      <c r="D6175" s="582">
        <v>5</v>
      </c>
      <c r="E6175" s="2754" t="s">
        <v>1339</v>
      </c>
      <c r="F6175" s="2755"/>
      <c r="G6175" s="2602" t="str">
        <f>IFERROR(IF('[1]G_Fall-back'!G444 = "", "", '[1]G_Fall-back'!G444 ),"")</f>
        <v/>
      </c>
      <c r="H6175" s="2603"/>
      <c r="I6175" s="2603"/>
      <c r="J6175" s="2603"/>
      <c r="K6175" s="2603"/>
      <c r="L6175" s="2620"/>
      <c r="M6175" s="481"/>
      <c r="N6175" s="481"/>
    </row>
    <row r="6176" spans="3:14">
      <c r="C6176" s="484"/>
      <c r="D6176" s="582">
        <v>6</v>
      </c>
      <c r="E6176" s="2754" t="s">
        <v>1339</v>
      </c>
      <c r="F6176" s="2755"/>
      <c r="G6176" s="2602" t="str">
        <f>IFERROR(IF('[1]G_Fall-back'!G445 = "", "", '[1]G_Fall-back'!G445 ),"")</f>
        <v/>
      </c>
      <c r="H6176" s="2603"/>
      <c r="I6176" s="2603"/>
      <c r="J6176" s="2603"/>
      <c r="K6176" s="2603"/>
      <c r="L6176" s="2620"/>
      <c r="M6176" s="481"/>
      <c r="N6176" s="481"/>
    </row>
    <row r="6177" spans="3:14">
      <c r="C6177" s="484"/>
      <c r="D6177" s="582">
        <v>7</v>
      </c>
      <c r="E6177" s="2754" t="s">
        <v>1339</v>
      </c>
      <c r="F6177" s="2755"/>
      <c r="G6177" s="2602" t="str">
        <f>IFERROR(IF('[1]G_Fall-back'!G446 = "", "", '[1]G_Fall-back'!G446 ),"")</f>
        <v/>
      </c>
      <c r="H6177" s="2603"/>
      <c r="I6177" s="2603"/>
      <c r="J6177" s="2603"/>
      <c r="K6177" s="2603"/>
      <c r="L6177" s="2620"/>
      <c r="M6177" s="481"/>
      <c r="N6177" s="481"/>
    </row>
    <row r="6178" spans="3:14">
      <c r="C6178" s="484"/>
      <c r="D6178" s="582">
        <v>8</v>
      </c>
      <c r="E6178" s="2754" t="s">
        <v>1339</v>
      </c>
      <c r="F6178" s="2755"/>
      <c r="G6178" s="2602" t="str">
        <f>IFERROR(IF('[1]G_Fall-back'!G447 = "", "", '[1]G_Fall-back'!G447 ),"")</f>
        <v/>
      </c>
      <c r="H6178" s="2603"/>
      <c r="I6178" s="2603"/>
      <c r="J6178" s="2603"/>
      <c r="K6178" s="2603"/>
      <c r="L6178" s="2620"/>
      <c r="M6178" s="481"/>
      <c r="N6178" s="481"/>
    </row>
    <row r="6179" spans="3:14">
      <c r="C6179" s="484"/>
      <c r="D6179" s="582">
        <v>9</v>
      </c>
      <c r="E6179" s="2754" t="s">
        <v>1339</v>
      </c>
      <c r="F6179" s="2755"/>
      <c r="G6179" s="2602" t="str">
        <f>IFERROR(IF('[1]G_Fall-back'!G448 = "", "", '[1]G_Fall-back'!G448 ),"")</f>
        <v/>
      </c>
      <c r="H6179" s="2603"/>
      <c r="I6179" s="2603"/>
      <c r="J6179" s="2603"/>
      <c r="K6179" s="2603"/>
      <c r="L6179" s="2620"/>
      <c r="M6179" s="481"/>
      <c r="N6179" s="481"/>
    </row>
    <row r="6180" spans="3:14">
      <c r="C6180" s="484"/>
      <c r="D6180" s="584">
        <v>10</v>
      </c>
      <c r="E6180" s="2756" t="s">
        <v>1339</v>
      </c>
      <c r="F6180" s="2757"/>
      <c r="G6180" s="2612" t="str">
        <f>IFERROR(IF('[1]G_Fall-back'!G449 = "", "", '[1]G_Fall-back'!G449 ),"")</f>
        <v/>
      </c>
      <c r="H6180" s="2613"/>
      <c r="I6180" s="2613"/>
      <c r="J6180" s="2613"/>
      <c r="K6180" s="2613"/>
      <c r="L6180" s="2627"/>
      <c r="M6180" s="481"/>
      <c r="N6180" s="481"/>
    </row>
    <row r="6181" spans="3:14">
      <c r="C6181" s="467"/>
      <c r="D6181" s="467"/>
      <c r="E6181" s="467"/>
      <c r="F6181" s="467"/>
      <c r="G6181" s="467"/>
      <c r="H6181" s="467"/>
      <c r="I6181" s="467"/>
      <c r="J6181" s="467"/>
      <c r="K6181" s="467"/>
      <c r="L6181" s="467"/>
      <c r="M6181" s="467"/>
      <c r="N6181" s="467"/>
    </row>
    <row r="6182" spans="3:14" ht="13.5" thickBot="1">
      <c r="C6182" s="467"/>
      <c r="D6182" s="467"/>
      <c r="E6182" s="467"/>
      <c r="F6182" s="467"/>
      <c r="G6182" s="467"/>
      <c r="H6182" s="467"/>
      <c r="I6182" s="467"/>
      <c r="J6182" s="467"/>
      <c r="K6182" s="467"/>
      <c r="L6182" s="467"/>
      <c r="M6182" s="467"/>
      <c r="N6182" s="467"/>
    </row>
    <row r="6183" spans="3:14">
      <c r="C6183" s="1052"/>
      <c r="D6183" s="1053"/>
      <c r="E6183" s="1053"/>
      <c r="F6183" s="1053"/>
      <c r="G6183" s="1053"/>
      <c r="H6183" s="1053"/>
      <c r="I6183" s="1053"/>
      <c r="J6183" s="1053"/>
      <c r="K6183" s="1053"/>
      <c r="L6183" s="1053"/>
      <c r="M6183" s="1054"/>
      <c r="N6183" s="1055"/>
    </row>
    <row r="6184" spans="3:14">
      <c r="C6184" s="1056"/>
      <c r="D6184" s="2678" t="s">
        <v>2330</v>
      </c>
      <c r="E6184" s="2672"/>
      <c r="F6184" s="2672"/>
      <c r="G6184" s="2672"/>
      <c r="H6184" s="2672"/>
      <c r="I6184" s="2672"/>
      <c r="J6184" s="2672"/>
      <c r="K6184" s="2672"/>
      <c r="L6184" s="2672"/>
      <c r="M6184" s="2672"/>
      <c r="N6184" s="2673"/>
    </row>
    <row r="6185" spans="3:14">
      <c r="C6185" s="980"/>
      <c r="D6185" s="813"/>
      <c r="E6185" s="813"/>
      <c r="F6185" s="813"/>
      <c r="G6185" s="813"/>
      <c r="H6185" s="813"/>
      <c r="I6185" s="813"/>
      <c r="J6185" s="813"/>
      <c r="K6185" s="813"/>
      <c r="L6185" s="813"/>
      <c r="M6185" s="813"/>
      <c r="N6185" s="814"/>
    </row>
    <row r="6186" spans="3:14">
      <c r="C6186" s="980"/>
      <c r="D6186" s="2679" t="s">
        <v>2170</v>
      </c>
      <c r="E6186" s="2646"/>
      <c r="F6186" s="2646"/>
      <c r="G6186" s="2646"/>
      <c r="H6186" s="2680"/>
      <c r="I6186" s="2489" t="str">
        <f>IFERROR(IF('[1]G_Fall-back'!I455 = "", "", '[1]G_Fall-back'!I455 ),"")</f>
        <v>District heating sub-installation</v>
      </c>
      <c r="J6186" s="2534"/>
      <c r="K6186" s="2534"/>
      <c r="L6186" s="2534"/>
      <c r="M6186" s="2534"/>
      <c r="N6186" s="2681"/>
    </row>
    <row r="6187" spans="3:14">
      <c r="C6187" s="980"/>
      <c r="D6187" s="813"/>
      <c r="E6187" s="813"/>
      <c r="F6187" s="813"/>
      <c r="G6187" s="813"/>
      <c r="H6187" s="813"/>
      <c r="I6187" s="813"/>
      <c r="J6187" s="813"/>
      <c r="K6187" s="813"/>
      <c r="L6187" s="813"/>
      <c r="M6187" s="813"/>
      <c r="N6187" s="814"/>
    </row>
    <row r="6188" spans="3:14">
      <c r="C6188" s="1056"/>
      <c r="D6188" s="1057"/>
      <c r="E6188" s="2745" t="s">
        <v>2154</v>
      </c>
      <c r="F6188" s="2745"/>
      <c r="G6188" s="2745"/>
      <c r="H6188" s="2745"/>
      <c r="I6188" s="2745"/>
      <c r="J6188" s="2745"/>
      <c r="K6188" s="2745"/>
      <c r="L6188" s="2745"/>
      <c r="M6188" s="2745"/>
      <c r="N6188" s="1058"/>
    </row>
    <row r="6189" spans="3:14">
      <c r="C6189" s="977"/>
      <c r="D6189" s="981"/>
      <c r="E6189" s="2691" t="s">
        <v>2176</v>
      </c>
      <c r="F6189" s="2691"/>
      <c r="G6189" s="2691"/>
      <c r="H6189" s="2691"/>
      <c r="I6189" s="2691"/>
      <c r="J6189" s="2691"/>
      <c r="K6189" s="2691"/>
      <c r="L6189" s="2691"/>
      <c r="M6189" s="2691"/>
      <c r="N6189" s="1015"/>
    </row>
    <row r="6190" spans="3:14">
      <c r="C6190" s="977"/>
      <c r="D6190" s="981"/>
      <c r="E6190" s="2691" t="s">
        <v>1549</v>
      </c>
      <c r="F6190" s="2391"/>
      <c r="G6190" s="2391"/>
      <c r="H6190" s="2391"/>
      <c r="I6190" s="2391"/>
      <c r="J6190" s="2391"/>
      <c r="K6190" s="2391"/>
      <c r="L6190" s="2391"/>
      <c r="M6190" s="2391"/>
      <c r="N6190" s="1015"/>
    </row>
    <row r="6191" spans="3:14">
      <c r="C6191" s="977"/>
      <c r="D6191" s="981"/>
      <c r="E6191" s="2693" t="s">
        <v>1643</v>
      </c>
      <c r="F6191" s="2693"/>
      <c r="G6191" s="2693"/>
      <c r="H6191" s="2693"/>
      <c r="I6191" s="2693"/>
      <c r="J6191" s="2693"/>
      <c r="K6191" s="2693"/>
      <c r="L6191" s="2693"/>
      <c r="M6191" s="2693"/>
      <c r="N6191" s="1015"/>
    </row>
    <row r="6192" spans="3:14">
      <c r="C6192" s="1056"/>
      <c r="D6192" s="1057"/>
      <c r="E6192" s="2695" t="s">
        <v>1475</v>
      </c>
      <c r="F6192" s="2695"/>
      <c r="G6192" s="2695"/>
      <c r="H6192" s="2695"/>
      <c r="I6192" s="2695"/>
      <c r="J6192" s="2695"/>
      <c r="K6192" s="2695"/>
      <c r="L6192" s="2695"/>
      <c r="M6192" s="2695"/>
      <c r="N6192" s="1058"/>
    </row>
    <row r="6193" spans="3:14">
      <c r="C6193" s="980"/>
      <c r="D6193" s="813"/>
      <c r="E6193" s="813"/>
      <c r="F6193" s="813"/>
      <c r="G6193" s="813"/>
      <c r="H6193" s="813"/>
      <c r="I6193" s="813"/>
      <c r="J6193" s="813"/>
      <c r="K6193" s="813"/>
      <c r="L6193" s="813"/>
      <c r="M6193" s="813"/>
      <c r="N6193" s="814"/>
    </row>
    <row r="6194" spans="3:14">
      <c r="C6194" s="1056"/>
      <c r="D6194" s="982" t="s">
        <v>48</v>
      </c>
      <c r="E6194" s="2671" t="s">
        <v>1611</v>
      </c>
      <c r="F6194" s="2672"/>
      <c r="G6194" s="2672"/>
      <c r="H6194" s="2672"/>
      <c r="I6194" s="2672"/>
      <c r="J6194" s="2672"/>
      <c r="K6194" s="2672"/>
      <c r="L6194" s="2672"/>
      <c r="M6194" s="2672"/>
      <c r="N6194" s="2673"/>
    </row>
    <row r="6195" spans="3:14">
      <c r="C6195" s="1056"/>
      <c r="D6195" s="982"/>
      <c r="E6195" s="2746" t="s">
        <v>2295</v>
      </c>
      <c r="F6195" s="2746"/>
      <c r="G6195" s="2746"/>
      <c r="H6195" s="2746"/>
      <c r="I6195" s="2746"/>
      <c r="J6195" s="2746"/>
      <c r="K6195" s="2746"/>
      <c r="L6195" s="2746"/>
      <c r="M6195" s="2746"/>
      <c r="N6195" s="2747"/>
    </row>
    <row r="6196" spans="3:14">
      <c r="C6196" s="1056"/>
      <c r="D6196" s="1057"/>
      <c r="E6196" s="2674" t="s">
        <v>1261</v>
      </c>
      <c r="F6196" s="2674"/>
      <c r="G6196" s="2674"/>
      <c r="H6196" s="2674"/>
      <c r="I6196" s="2674"/>
      <c r="J6196" s="2674"/>
      <c r="K6196" s="2674"/>
      <c r="L6196" s="2674"/>
      <c r="M6196" s="2674"/>
      <c r="N6196" s="2675"/>
    </row>
    <row r="6197" spans="3:14">
      <c r="C6197" s="1056"/>
      <c r="D6197" s="1057"/>
      <c r="E6197" s="985" t="s">
        <v>1021</v>
      </c>
      <c r="F6197" s="2645" t="s">
        <v>1262</v>
      </c>
      <c r="G6197" s="2645"/>
      <c r="H6197" s="2645"/>
      <c r="I6197" s="2645"/>
      <c r="J6197" s="2645"/>
      <c r="K6197" s="2645"/>
      <c r="L6197" s="2645"/>
      <c r="M6197" s="2645"/>
      <c r="N6197" s="2748"/>
    </row>
    <row r="6198" spans="3:14">
      <c r="C6198" s="977"/>
      <c r="D6198" s="981"/>
      <c r="E6198" s="985"/>
      <c r="F6198" s="2669" t="s">
        <v>1566</v>
      </c>
      <c r="G6198" s="2391"/>
      <c r="H6198" s="2391"/>
      <c r="I6198" s="2391"/>
      <c r="J6198" s="2391"/>
      <c r="K6198" s="2391"/>
      <c r="L6198" s="2391"/>
      <c r="M6198" s="2391"/>
      <c r="N6198" s="2650"/>
    </row>
    <row r="6199" spans="3:14">
      <c r="C6199" s="1056"/>
      <c r="D6199" s="1057"/>
      <c r="E6199" s="985" t="s">
        <v>1021</v>
      </c>
      <c r="F6199" s="2645" t="s">
        <v>1486</v>
      </c>
      <c r="G6199" s="2645"/>
      <c r="H6199" s="2645"/>
      <c r="I6199" s="2645"/>
      <c r="J6199" s="2645"/>
      <c r="K6199" s="2645"/>
      <c r="L6199" s="2645"/>
      <c r="M6199" s="2645"/>
      <c r="N6199" s="2748"/>
    </row>
    <row r="6200" spans="3:14">
      <c r="C6200" s="1056"/>
      <c r="D6200" s="1057"/>
      <c r="E6200" s="985"/>
      <c r="F6200" s="2645" t="s">
        <v>1568</v>
      </c>
      <c r="G6200" s="2645"/>
      <c r="H6200" s="2645"/>
      <c r="I6200" s="2645"/>
      <c r="J6200" s="2645"/>
      <c r="K6200" s="2645"/>
      <c r="L6200" s="2645"/>
      <c r="M6200" s="2645"/>
      <c r="N6200" s="2748"/>
    </row>
    <row r="6201" spans="3:14">
      <c r="C6201" s="1056"/>
      <c r="D6201" s="1057"/>
      <c r="E6201" s="985" t="s">
        <v>1021</v>
      </c>
      <c r="F6201" s="2645" t="s">
        <v>1570</v>
      </c>
      <c r="G6201" s="2646"/>
      <c r="H6201" s="2646"/>
      <c r="I6201" s="2646"/>
      <c r="J6201" s="2646"/>
      <c r="K6201" s="2646"/>
      <c r="L6201" s="2646"/>
      <c r="M6201" s="2646"/>
      <c r="N6201" s="2647"/>
    </row>
    <row r="6202" spans="3:14">
      <c r="C6202" s="1056"/>
      <c r="D6202" s="982"/>
      <c r="E6202" s="989" t="s">
        <v>915</v>
      </c>
      <c r="F6202" s="990"/>
      <c r="G6202" s="987" t="s">
        <v>884</v>
      </c>
      <c r="H6202" s="782">
        <v>2019</v>
      </c>
      <c r="I6202" s="782">
        <v>2020</v>
      </c>
      <c r="J6202" s="782">
        <v>2021</v>
      </c>
      <c r="K6202" s="782">
        <v>2022</v>
      </c>
      <c r="L6202" s="782">
        <v>2023</v>
      </c>
      <c r="M6202" s="782">
        <v>2024</v>
      </c>
      <c r="N6202" s="783">
        <v>2025</v>
      </c>
    </row>
    <row r="6203" spans="3:14">
      <c r="C6203" s="1056"/>
      <c r="D6203" s="1057"/>
      <c r="E6203" s="2487" t="str">
        <f>IFERROR(IF('[1]G_Fall-back'!E472 = "", "", '[1]G_Fall-back'!E472 ),"")</f>
        <v>District heating sub-installation</v>
      </c>
      <c r="F6203" s="2488"/>
      <c r="G6203" s="815" t="s">
        <v>2016</v>
      </c>
      <c r="H6203" s="347" t="str">
        <f>IFERROR(IF('[1]G_Fall-back'!H472 = "", "", '[1]G_Fall-back'!H472 ),"")</f>
        <v/>
      </c>
      <c r="I6203" s="347" t="str">
        <f>IFERROR(IF('[1]G_Fall-back'!I472 = "", "", '[1]G_Fall-back'!I472 ),"")</f>
        <v/>
      </c>
      <c r="J6203" s="347" t="str">
        <f>IFERROR(IF('[1]G_Fall-back'!J472 = "", "", '[1]G_Fall-back'!J472 ),"")</f>
        <v/>
      </c>
      <c r="K6203" s="347" t="str">
        <f>IFERROR(IF('[1]G_Fall-back'!K472 = "", "", '[1]G_Fall-back'!K472 ),"")</f>
        <v/>
      </c>
      <c r="L6203" s="347" t="str">
        <f>IFERROR(IF('[1]G_Fall-back'!L472 = "", "", '[1]G_Fall-back'!L472 ),"")</f>
        <v/>
      </c>
      <c r="M6203" s="347" t="str">
        <f>IFERROR(IF('[1]G_Fall-back'!M472 = "", "", '[1]G_Fall-back'!M472 ),"")</f>
        <v/>
      </c>
      <c r="N6203" s="349" t="str">
        <f>IFERROR(IF('[1]G_Fall-back'!N472 = "", "", '[1]G_Fall-back'!N472 ),"")</f>
        <v/>
      </c>
    </row>
    <row r="6204" spans="3:14">
      <c r="C6204" s="1056"/>
      <c r="D6204" s="1057"/>
      <c r="E6204" s="1057"/>
      <c r="F6204" s="1057"/>
      <c r="G6204" s="1057"/>
      <c r="H6204" s="1057"/>
      <c r="I6204" s="1057"/>
      <c r="J6204" s="1057"/>
      <c r="K6204" s="1057"/>
      <c r="L6204" s="1057"/>
      <c r="M6204" s="1059"/>
      <c r="N6204" s="1060"/>
    </row>
    <row r="6205" spans="3:14">
      <c r="C6205" s="1056"/>
      <c r="D6205" s="982" t="s">
        <v>881</v>
      </c>
      <c r="E6205" s="2649" t="s">
        <v>1189</v>
      </c>
      <c r="F6205" s="2649"/>
      <c r="G6205" s="2649"/>
      <c r="H6205" s="2649"/>
      <c r="I6205" s="2649"/>
      <c r="J6205" s="2649"/>
      <c r="K6205" s="2649"/>
      <c r="L6205" s="2649"/>
      <c r="M6205" s="2649"/>
      <c r="N6205" s="2749"/>
    </row>
    <row r="6206" spans="3:14">
      <c r="C6206" s="1056"/>
      <c r="D6206" s="1057"/>
      <c r="E6206" s="2645" t="s">
        <v>1569</v>
      </c>
      <c r="F6206" s="2672"/>
      <c r="G6206" s="2672"/>
      <c r="H6206" s="2672"/>
      <c r="I6206" s="2672"/>
      <c r="J6206" s="2672"/>
      <c r="K6206" s="2672"/>
      <c r="L6206" s="2672"/>
      <c r="M6206" s="2672"/>
      <c r="N6206" s="2673"/>
    </row>
    <row r="6207" spans="3:14">
      <c r="C6207" s="1056"/>
      <c r="D6207" s="1057"/>
      <c r="E6207" s="2645" t="s">
        <v>1488</v>
      </c>
      <c r="F6207" s="2672"/>
      <c r="G6207" s="2672"/>
      <c r="H6207" s="2672"/>
      <c r="I6207" s="2672"/>
      <c r="J6207" s="2672"/>
      <c r="K6207" s="2672"/>
      <c r="L6207" s="2672"/>
      <c r="M6207" s="2672"/>
      <c r="N6207" s="2673"/>
    </row>
    <row r="6208" spans="3:14">
      <c r="C6208" s="1056"/>
      <c r="D6208" s="1057"/>
      <c r="E6208" s="2645" t="s">
        <v>1594</v>
      </c>
      <c r="F6208" s="2672"/>
      <c r="G6208" s="2672"/>
      <c r="H6208" s="2672"/>
      <c r="I6208" s="2672"/>
      <c r="J6208" s="2672"/>
      <c r="K6208" s="2672"/>
      <c r="L6208" s="2672"/>
      <c r="M6208" s="2672"/>
      <c r="N6208" s="2673"/>
    </row>
    <row r="6209" spans="3:14">
      <c r="C6209" s="1056"/>
      <c r="D6209" s="1057"/>
      <c r="E6209" s="2645" t="s">
        <v>1487</v>
      </c>
      <c r="F6209" s="2672"/>
      <c r="G6209" s="2672"/>
      <c r="H6209" s="2672"/>
      <c r="I6209" s="2672"/>
      <c r="J6209" s="2672"/>
      <c r="K6209" s="2672"/>
      <c r="L6209" s="2672"/>
      <c r="M6209" s="2672"/>
      <c r="N6209" s="2673"/>
    </row>
    <row r="6210" spans="3:14">
      <c r="C6210" s="1056"/>
      <c r="D6210" s="1057"/>
      <c r="E6210" s="2645" t="s">
        <v>1571</v>
      </c>
      <c r="F6210" s="2672"/>
      <c r="G6210" s="2672"/>
      <c r="H6210" s="2672"/>
      <c r="I6210" s="2672"/>
      <c r="J6210" s="2672"/>
      <c r="K6210" s="2672"/>
      <c r="L6210" s="2672"/>
      <c r="M6210" s="2672"/>
      <c r="N6210" s="2673"/>
    </row>
    <row r="6211" spans="3:14">
      <c r="C6211" s="1056"/>
      <c r="D6211" s="1057"/>
      <c r="E6211" s="2711" t="s">
        <v>1557</v>
      </c>
      <c r="F6211" s="2671"/>
      <c r="G6211" s="2671"/>
      <c r="H6211" s="2671"/>
      <c r="I6211" s="2671"/>
      <c r="J6211" s="2671"/>
      <c r="K6211" s="2671"/>
      <c r="L6211" s="2671"/>
      <c r="M6211" s="2671"/>
      <c r="N6211" s="2712"/>
    </row>
    <row r="6212" spans="3:14">
      <c r="C6212" s="1056"/>
      <c r="D6212" s="982"/>
      <c r="E6212" s="989"/>
      <c r="F6212" s="990"/>
      <c r="G6212" s="987" t="s">
        <v>884</v>
      </c>
      <c r="H6212" s="782">
        <v>2019</v>
      </c>
      <c r="I6212" s="782">
        <v>2020</v>
      </c>
      <c r="J6212" s="782">
        <v>2021</v>
      </c>
      <c r="K6212" s="782">
        <v>2022</v>
      </c>
      <c r="L6212" s="782">
        <v>2023</v>
      </c>
      <c r="M6212" s="782">
        <v>2024</v>
      </c>
      <c r="N6212" s="783">
        <v>2025</v>
      </c>
    </row>
    <row r="6213" spans="3:14">
      <c r="C6213" s="1056"/>
      <c r="D6213" s="1061" t="s">
        <v>6</v>
      </c>
      <c r="E6213" s="2475" t="s">
        <v>1483</v>
      </c>
      <c r="F6213" s="2410"/>
      <c r="G6213" s="815" t="s">
        <v>2017</v>
      </c>
      <c r="H6213" s="93" t="str">
        <f>IFERROR(IF('[1]G_Fall-back'!H482 = "", "", '[1]G_Fall-back'!H482 ),"")</f>
        <v/>
      </c>
      <c r="I6213" s="93" t="str">
        <f>IFERROR(IF('[1]G_Fall-back'!I482 = "", "", '[1]G_Fall-back'!I482 ),"")</f>
        <v/>
      </c>
      <c r="J6213" s="93" t="str">
        <f>IFERROR(IF('[1]G_Fall-back'!J482 = "", "", '[1]G_Fall-back'!J482 ),"")</f>
        <v/>
      </c>
      <c r="K6213" s="93" t="str">
        <f>IFERROR(IF('[1]G_Fall-back'!K482 = "", "", '[1]G_Fall-back'!K482 ),"")</f>
        <v/>
      </c>
      <c r="L6213" s="93" t="str">
        <f>IFERROR(IF('[1]G_Fall-back'!L482 = "", "", '[1]G_Fall-back'!L482 ),"")</f>
        <v/>
      </c>
      <c r="M6213" s="93" t="str">
        <f>IFERROR(IF('[1]G_Fall-back'!M482 = "", "", '[1]G_Fall-back'!M482 ),"")</f>
        <v/>
      </c>
      <c r="N6213" s="118" t="str">
        <f>IFERROR(IF('[1]G_Fall-back'!N482 = "", "", '[1]G_Fall-back'!N482 ),"")</f>
        <v/>
      </c>
    </row>
    <row r="6214" spans="3:14">
      <c r="C6214" s="1056"/>
      <c r="D6214" s="1061" t="s">
        <v>7</v>
      </c>
      <c r="E6214" s="2475" t="s">
        <v>1182</v>
      </c>
      <c r="F6214" s="2410"/>
      <c r="G6214" s="991" t="s">
        <v>2018</v>
      </c>
      <c r="H6214" s="109" t="str">
        <f>IFERROR(IF('[1]G_Fall-back'!H483 = "", "", '[1]G_Fall-back'!H483 ),"")</f>
        <v/>
      </c>
      <c r="I6214" s="109" t="str">
        <f>IFERROR(IF('[1]G_Fall-back'!I483 = "", "", '[1]G_Fall-back'!I483 ),"")</f>
        <v/>
      </c>
      <c r="J6214" s="109" t="str">
        <f>IFERROR(IF('[1]G_Fall-back'!J483 = "", "", '[1]G_Fall-back'!J483 ),"")</f>
        <v/>
      </c>
      <c r="K6214" s="109" t="str">
        <f>IFERROR(IF('[1]G_Fall-back'!K483 = "", "", '[1]G_Fall-back'!K483 ),"")</f>
        <v/>
      </c>
      <c r="L6214" s="109" t="str">
        <f>IFERROR(IF('[1]G_Fall-back'!L483 = "", "", '[1]G_Fall-back'!L483 ),"")</f>
        <v/>
      </c>
      <c r="M6214" s="109" t="str">
        <f>IFERROR(IF('[1]G_Fall-back'!M483 = "", "", '[1]G_Fall-back'!M483 ),"")</f>
        <v/>
      </c>
      <c r="N6214" s="357" t="str">
        <f>IFERROR(IF('[1]G_Fall-back'!N483 = "", "", '[1]G_Fall-back'!N483 ),"")</f>
        <v/>
      </c>
    </row>
    <row r="6215" spans="3:14">
      <c r="C6215" s="1056"/>
      <c r="D6215" s="1057"/>
      <c r="E6215" s="1057"/>
      <c r="F6215" s="1057"/>
      <c r="G6215" s="1057"/>
      <c r="H6215" s="1057"/>
      <c r="I6215" s="1057"/>
      <c r="J6215" s="1057"/>
      <c r="K6215" s="1057"/>
      <c r="L6215" s="1057"/>
      <c r="M6215" s="1057"/>
      <c r="N6215" s="1062"/>
    </row>
    <row r="6216" spans="3:14">
      <c r="C6216" s="1056"/>
      <c r="D6216" s="1061" t="s">
        <v>8</v>
      </c>
      <c r="E6216" s="2475" t="s">
        <v>1481</v>
      </c>
      <c r="F6216" s="2410"/>
      <c r="G6216" s="815" t="s">
        <v>2017</v>
      </c>
      <c r="H6216" s="93" t="str">
        <f>IFERROR(IF('[1]G_Fall-back'!H485 = "", "", '[1]G_Fall-back'!H485 ),"")</f>
        <v/>
      </c>
      <c r="I6216" s="93" t="str">
        <f>IFERROR(IF('[1]G_Fall-back'!I485 = "", "", '[1]G_Fall-back'!I485 ),"")</f>
        <v/>
      </c>
      <c r="J6216" s="93" t="str">
        <f>IFERROR(IF('[1]G_Fall-back'!J485 = "", "", '[1]G_Fall-back'!J485 ),"")</f>
        <v/>
      </c>
      <c r="K6216" s="93" t="str">
        <f>IFERROR(IF('[1]G_Fall-back'!K485 = "", "", '[1]G_Fall-back'!K485 ),"")</f>
        <v/>
      </c>
      <c r="L6216" s="93" t="str">
        <f>IFERROR(IF('[1]G_Fall-back'!L485 = "", "", '[1]G_Fall-back'!L485 ),"")</f>
        <v/>
      </c>
      <c r="M6216" s="93" t="str">
        <f>IFERROR(IF('[1]G_Fall-back'!M485 = "", "", '[1]G_Fall-back'!M485 ),"")</f>
        <v/>
      </c>
      <c r="N6216" s="118" t="str">
        <f>IFERROR(IF('[1]G_Fall-back'!N485 = "", "", '[1]G_Fall-back'!N485 ),"")</f>
        <v/>
      </c>
    </row>
    <row r="6217" spans="3:14">
      <c r="C6217" s="1056"/>
      <c r="D6217" s="1061" t="s">
        <v>18</v>
      </c>
      <c r="E6217" s="2475" t="s">
        <v>1482</v>
      </c>
      <c r="F6217" s="2410"/>
      <c r="G6217" s="991" t="s">
        <v>2018</v>
      </c>
      <c r="H6217" s="109" t="str">
        <f>IFERROR(IF('[1]G_Fall-back'!H486 = "", "", '[1]G_Fall-back'!H486 ),"")</f>
        <v/>
      </c>
      <c r="I6217" s="109" t="str">
        <f>IFERROR(IF('[1]G_Fall-back'!I486 = "", "", '[1]G_Fall-back'!I486 ),"")</f>
        <v/>
      </c>
      <c r="J6217" s="109" t="str">
        <f>IFERROR(IF('[1]G_Fall-back'!J486 = "", "", '[1]G_Fall-back'!J486 ),"")</f>
        <v/>
      </c>
      <c r="K6217" s="109" t="str">
        <f>IFERROR(IF('[1]G_Fall-back'!K486 = "", "", '[1]G_Fall-back'!K486 ),"")</f>
        <v/>
      </c>
      <c r="L6217" s="109" t="str">
        <f>IFERROR(IF('[1]G_Fall-back'!L486 = "", "", '[1]G_Fall-back'!L486 ),"")</f>
        <v/>
      </c>
      <c r="M6217" s="109" t="str">
        <f>IFERROR(IF('[1]G_Fall-back'!M486 = "", "", '[1]G_Fall-back'!M486 ),"")</f>
        <v/>
      </c>
      <c r="N6217" s="357" t="str">
        <f>IFERROR(IF('[1]G_Fall-back'!N486 = "", "", '[1]G_Fall-back'!N486 ),"")</f>
        <v/>
      </c>
    </row>
    <row r="6218" spans="3:14">
      <c r="C6218" s="980"/>
      <c r="D6218" s="813"/>
      <c r="E6218" s="813"/>
      <c r="F6218" s="813"/>
      <c r="G6218" s="813"/>
      <c r="H6218" s="813"/>
      <c r="I6218" s="813"/>
      <c r="J6218" s="813"/>
      <c r="K6218" s="813"/>
      <c r="L6218" s="813"/>
      <c r="M6218" s="813"/>
      <c r="N6218" s="814"/>
    </row>
    <row r="6219" spans="3:14">
      <c r="C6219" s="1056"/>
      <c r="D6219" s="982" t="s">
        <v>57</v>
      </c>
      <c r="E6219" s="2671" t="s">
        <v>52</v>
      </c>
      <c r="F6219" s="2672"/>
      <c r="G6219" s="2672"/>
      <c r="H6219" s="2672"/>
      <c r="I6219" s="2672"/>
      <c r="J6219" s="2672"/>
      <c r="K6219" s="2672"/>
      <c r="L6219" s="2672"/>
      <c r="M6219" s="2672"/>
      <c r="N6219" s="2673"/>
    </row>
    <row r="6220" spans="3:14">
      <c r="C6220" s="1056"/>
      <c r="D6220" s="1057"/>
      <c r="E6220" s="2674" t="s">
        <v>2719</v>
      </c>
      <c r="F6220" s="2674"/>
      <c r="G6220" s="2674"/>
      <c r="H6220" s="2674"/>
      <c r="I6220" s="2674"/>
      <c r="J6220" s="2674"/>
      <c r="K6220" s="2674"/>
      <c r="L6220" s="2674"/>
      <c r="M6220" s="2674"/>
      <c r="N6220" s="2675"/>
    </row>
    <row r="6221" spans="3:14">
      <c r="C6221" s="1056"/>
      <c r="D6221" s="1057"/>
      <c r="E6221" s="2674" t="s">
        <v>1572</v>
      </c>
      <c r="F6221" s="2674"/>
      <c r="G6221" s="2674"/>
      <c r="H6221" s="2674"/>
      <c r="I6221" s="2674"/>
      <c r="J6221" s="2674"/>
      <c r="K6221" s="2674"/>
      <c r="L6221" s="2674"/>
      <c r="M6221" s="2674"/>
      <c r="N6221" s="2675"/>
    </row>
    <row r="6222" spans="3:14">
      <c r="C6222" s="1056"/>
      <c r="D6222" s="982"/>
      <c r="E6222" s="2648" t="s">
        <v>52</v>
      </c>
      <c r="F6222" s="2648"/>
      <c r="G6222" s="987" t="s">
        <v>884</v>
      </c>
      <c r="H6222" s="782">
        <v>2019</v>
      </c>
      <c r="I6222" s="782">
        <v>2020</v>
      </c>
      <c r="J6222" s="782">
        <v>2021</v>
      </c>
      <c r="K6222" s="782">
        <v>2022</v>
      </c>
      <c r="L6222" s="782">
        <v>2023</v>
      </c>
      <c r="M6222" s="782">
        <v>2024</v>
      </c>
      <c r="N6222" s="783">
        <v>2025</v>
      </c>
    </row>
    <row r="6223" spans="3:14">
      <c r="C6223" s="1056"/>
      <c r="D6223" s="1057"/>
      <c r="E6223" s="2487" t="str">
        <f>IFERROR(IF('[1]G_Fall-back'!E492 = "", "", '[1]G_Fall-back'!E492 ),"")</f>
        <v>District heating sub-installation</v>
      </c>
      <c r="F6223" s="2488"/>
      <c r="G6223" s="815" t="s">
        <v>2017</v>
      </c>
      <c r="H6223" s="347" t="str">
        <f>IFERROR(IF('[1]G_Fall-back'!H492 = "", "", '[1]G_Fall-back'!H492 ),"")</f>
        <v/>
      </c>
      <c r="I6223" s="347" t="str">
        <f>IFERROR(IF('[1]G_Fall-back'!I492 = "", "", '[1]G_Fall-back'!I492 ),"")</f>
        <v/>
      </c>
      <c r="J6223" s="347" t="str">
        <f>IFERROR(IF('[1]G_Fall-back'!J492 = "", "", '[1]G_Fall-back'!J492 ),"")</f>
        <v/>
      </c>
      <c r="K6223" s="347" t="str">
        <f>IFERROR(IF('[1]G_Fall-back'!K492 = "", "", '[1]G_Fall-back'!K492 ),"")</f>
        <v/>
      </c>
      <c r="L6223" s="347" t="str">
        <f>IFERROR(IF('[1]G_Fall-back'!L492 = "", "", '[1]G_Fall-back'!L492 ),"")</f>
        <v/>
      </c>
      <c r="M6223" s="347" t="str">
        <f>IFERROR(IF('[1]G_Fall-back'!M492 = "", "", '[1]G_Fall-back'!M492 ),"")</f>
        <v/>
      </c>
      <c r="N6223" s="349" t="str">
        <f>IFERROR(IF('[1]G_Fall-back'!N492 = "", "", '[1]G_Fall-back'!N492 ),"")</f>
        <v/>
      </c>
    </row>
    <row r="6224" spans="3:14">
      <c r="C6224" s="1056"/>
      <c r="D6224" s="1057"/>
      <c r="E6224" s="1057"/>
      <c r="F6224" s="1057"/>
      <c r="G6224" s="1057"/>
      <c r="H6224" s="1057"/>
      <c r="I6224" s="1057"/>
      <c r="J6224" s="1057"/>
      <c r="K6224" s="1057"/>
      <c r="L6224" s="1057"/>
      <c r="M6224" s="1059"/>
      <c r="N6224" s="1060"/>
    </row>
    <row r="6225" spans="3:14">
      <c r="C6225" s="1056"/>
      <c r="D6225" s="982" t="s">
        <v>58</v>
      </c>
      <c r="E6225" s="2671" t="s">
        <v>556</v>
      </c>
      <c r="F6225" s="2672"/>
      <c r="G6225" s="2672"/>
      <c r="H6225" s="2672"/>
      <c r="I6225" s="2672"/>
      <c r="J6225" s="2672"/>
      <c r="K6225" s="2672"/>
      <c r="L6225" s="2672"/>
      <c r="M6225" s="2672"/>
      <c r="N6225" s="2673"/>
    </row>
    <row r="6226" spans="3:14">
      <c r="C6226" s="1056"/>
      <c r="D6226" s="982"/>
      <c r="E6226" s="2711" t="s">
        <v>2297</v>
      </c>
      <c r="F6226" s="2671"/>
      <c r="G6226" s="2671"/>
      <c r="H6226" s="2671"/>
      <c r="I6226" s="2671"/>
      <c r="J6226" s="2671"/>
      <c r="K6226" s="2671"/>
      <c r="L6226" s="2671"/>
      <c r="M6226" s="2671"/>
      <c r="N6226" s="2712"/>
    </row>
    <row r="6227" spans="3:14">
      <c r="C6227" s="1056"/>
      <c r="D6227" s="1057"/>
      <c r="E6227" s="2645" t="s">
        <v>1322</v>
      </c>
      <c r="F6227" s="2672"/>
      <c r="G6227" s="2672"/>
      <c r="H6227" s="2672"/>
      <c r="I6227" s="2672"/>
      <c r="J6227" s="2672"/>
      <c r="K6227" s="2672"/>
      <c r="L6227" s="2672"/>
      <c r="M6227" s="2672"/>
      <c r="N6227" s="2673"/>
    </row>
    <row r="6228" spans="3:14">
      <c r="C6228" s="1056"/>
      <c r="D6228" s="1057"/>
      <c r="E6228" s="985" t="s">
        <v>1021</v>
      </c>
      <c r="F6228" s="2645" t="s">
        <v>1573</v>
      </c>
      <c r="G6228" s="2646"/>
      <c r="H6228" s="2646"/>
      <c r="I6228" s="2646"/>
      <c r="J6228" s="2646"/>
      <c r="K6228" s="2646"/>
      <c r="L6228" s="2646"/>
      <c r="M6228" s="2646"/>
      <c r="N6228" s="2647"/>
    </row>
    <row r="6229" spans="3:14">
      <c r="C6229" s="1056"/>
      <c r="D6229" s="1057"/>
      <c r="E6229" s="985" t="s">
        <v>1021</v>
      </c>
      <c r="F6229" s="2645" t="s">
        <v>1574</v>
      </c>
      <c r="G6229" s="2646"/>
      <c r="H6229" s="2646"/>
      <c r="I6229" s="2646"/>
      <c r="J6229" s="2646"/>
      <c r="K6229" s="2646"/>
      <c r="L6229" s="2646"/>
      <c r="M6229" s="2646"/>
      <c r="N6229" s="2647"/>
    </row>
    <row r="6230" spans="3:14">
      <c r="C6230" s="1056"/>
      <c r="D6230" s="1057"/>
      <c r="E6230" s="985" t="s">
        <v>1021</v>
      </c>
      <c r="F6230" s="2645" t="s">
        <v>1480</v>
      </c>
      <c r="G6230" s="2646"/>
      <c r="H6230" s="2646"/>
      <c r="I6230" s="2646"/>
      <c r="J6230" s="2646"/>
      <c r="K6230" s="2646"/>
      <c r="L6230" s="2646"/>
      <c r="M6230" s="2646"/>
      <c r="N6230" s="2647"/>
    </row>
    <row r="6231" spans="3:14">
      <c r="C6231" s="1056"/>
      <c r="D6231" s="1057"/>
      <c r="E6231" s="985" t="s">
        <v>1021</v>
      </c>
      <c r="F6231" s="2645" t="s">
        <v>1338</v>
      </c>
      <c r="G6231" s="2646"/>
      <c r="H6231" s="2646"/>
      <c r="I6231" s="2646"/>
      <c r="J6231" s="2646"/>
      <c r="K6231" s="2646"/>
      <c r="L6231" s="2646"/>
      <c r="M6231" s="2646"/>
      <c r="N6231" s="2647"/>
    </row>
    <row r="6232" spans="3:14">
      <c r="C6232" s="1056"/>
      <c r="D6232" s="1057"/>
      <c r="E6232" s="985" t="s">
        <v>1021</v>
      </c>
      <c r="F6232" s="2645" t="s">
        <v>1321</v>
      </c>
      <c r="G6232" s="2646"/>
      <c r="H6232" s="2646"/>
      <c r="I6232" s="2646"/>
      <c r="J6232" s="2646"/>
      <c r="K6232" s="2646"/>
      <c r="L6232" s="2646"/>
      <c r="M6232" s="2646"/>
      <c r="N6232" s="2647"/>
    </row>
    <row r="6233" spans="3:14">
      <c r="C6233" s="1056"/>
      <c r="D6233" s="1057"/>
      <c r="E6233" s="2674" t="s">
        <v>2171</v>
      </c>
      <c r="F6233" s="2391"/>
      <c r="G6233" s="2391"/>
      <c r="H6233" s="2391"/>
      <c r="I6233" s="2391"/>
      <c r="J6233" s="2391"/>
      <c r="K6233" s="2391"/>
      <c r="L6233" s="2391"/>
      <c r="M6233" s="2391"/>
      <c r="N6233" s="2650"/>
    </row>
    <row r="6234" spans="3:14">
      <c r="C6234" s="1056"/>
      <c r="D6234" s="1057"/>
      <c r="E6234" s="2645" t="s">
        <v>1554</v>
      </c>
      <c r="F6234" s="2672"/>
      <c r="G6234" s="2672"/>
      <c r="H6234" s="2672"/>
      <c r="I6234" s="2672"/>
      <c r="J6234" s="2672"/>
      <c r="K6234" s="2672"/>
      <c r="L6234" s="2672"/>
      <c r="M6234" s="2672"/>
      <c r="N6234" s="2673"/>
    </row>
    <row r="6235" spans="3:14">
      <c r="C6235" s="1056"/>
      <c r="D6235" s="1057"/>
      <c r="E6235" s="2697" t="s">
        <v>1510</v>
      </c>
      <c r="F6235" s="2697"/>
      <c r="G6235" s="2697"/>
      <c r="H6235" s="2697"/>
      <c r="I6235" s="2697"/>
      <c r="J6235" s="2697"/>
      <c r="K6235" s="2697"/>
      <c r="L6235" s="2697"/>
      <c r="M6235" s="2697"/>
      <c r="N6235" s="1007"/>
    </row>
    <row r="6236" spans="3:14">
      <c r="C6236" s="1056"/>
      <c r="D6236" s="1057"/>
      <c r="E6236" s="2648" t="s">
        <v>1323</v>
      </c>
      <c r="F6236" s="2493"/>
      <c r="G6236" s="987" t="s">
        <v>884</v>
      </c>
      <c r="H6236" s="782">
        <v>2019</v>
      </c>
      <c r="I6236" s="782">
        <v>2020</v>
      </c>
      <c r="J6236" s="782">
        <v>2021</v>
      </c>
      <c r="K6236" s="782">
        <v>2022</v>
      </c>
      <c r="L6236" s="782">
        <v>2023</v>
      </c>
      <c r="M6236" s="782">
        <v>2024</v>
      </c>
      <c r="N6236" s="783">
        <v>2025</v>
      </c>
    </row>
    <row r="6237" spans="3:14">
      <c r="C6237" s="1056"/>
      <c r="D6237" s="1061" t="s">
        <v>6</v>
      </c>
      <c r="E6237" s="2475" t="s">
        <v>1087</v>
      </c>
      <c r="F6237" s="2410"/>
      <c r="G6237" s="815" t="s">
        <v>2017</v>
      </c>
      <c r="H6237" s="93" t="str">
        <f>IFERROR(IF('[1]G_Fall-back'!H506 = "", "", '[1]G_Fall-back'!H506 ),"")</f>
        <v/>
      </c>
      <c r="I6237" s="93" t="str">
        <f>IFERROR(IF('[1]G_Fall-back'!I506 = "", "", '[1]G_Fall-back'!I506 ),"")</f>
        <v/>
      </c>
      <c r="J6237" s="93" t="str">
        <f>IFERROR(IF('[1]G_Fall-back'!J506 = "", "", '[1]G_Fall-back'!J506 ),"")</f>
        <v/>
      </c>
      <c r="K6237" s="93" t="str">
        <f>IFERROR(IF('[1]G_Fall-back'!K506 = "", "", '[1]G_Fall-back'!K506 ),"")</f>
        <v/>
      </c>
      <c r="L6237" s="93" t="str">
        <f>IFERROR(IF('[1]G_Fall-back'!L506 = "", "", '[1]G_Fall-back'!L506 ),"")</f>
        <v/>
      </c>
      <c r="M6237" s="93" t="str">
        <f>IFERROR(IF('[1]G_Fall-back'!M506 = "", "", '[1]G_Fall-back'!M506 ),"")</f>
        <v/>
      </c>
      <c r="N6237" s="118" t="str">
        <f>IFERROR(IF('[1]G_Fall-back'!N506 = "", "", '[1]G_Fall-back'!N506 ),"")</f>
        <v/>
      </c>
    </row>
    <row r="6238" spans="3:14">
      <c r="C6238" s="1056"/>
      <c r="D6238" s="1061" t="s">
        <v>7</v>
      </c>
      <c r="E6238" s="2475" t="s">
        <v>1103</v>
      </c>
      <c r="F6238" s="2410"/>
      <c r="G6238" s="815" t="s">
        <v>2018</v>
      </c>
      <c r="H6238" s="93" t="str">
        <f>IFERROR(IF('[1]G_Fall-back'!H507 = "", "", '[1]G_Fall-back'!H507 ),"")</f>
        <v/>
      </c>
      <c r="I6238" s="93" t="str">
        <f>IFERROR(IF('[1]G_Fall-back'!I507 = "", "", '[1]G_Fall-back'!I507 ),"")</f>
        <v/>
      </c>
      <c r="J6238" s="93" t="str">
        <f>IFERROR(IF('[1]G_Fall-back'!J507 = "", "", '[1]G_Fall-back'!J507 ),"")</f>
        <v/>
      </c>
      <c r="K6238" s="93" t="str">
        <f>IFERROR(IF('[1]G_Fall-back'!K507 = "", "", '[1]G_Fall-back'!K507 ),"")</f>
        <v/>
      </c>
      <c r="L6238" s="93" t="str">
        <f>IFERROR(IF('[1]G_Fall-back'!L507 = "", "", '[1]G_Fall-back'!L507 ),"")</f>
        <v/>
      </c>
      <c r="M6238" s="93" t="str">
        <f>IFERROR(IF('[1]G_Fall-back'!M507 = "", "", '[1]G_Fall-back'!M507 ),"")</f>
        <v/>
      </c>
      <c r="N6238" s="118" t="str">
        <f>IFERROR(IF('[1]G_Fall-back'!N507 = "", "", '[1]G_Fall-back'!N507 ),"")</f>
        <v/>
      </c>
    </row>
    <row r="6239" spans="3:14">
      <c r="C6239" s="1056"/>
      <c r="D6239" s="1057"/>
      <c r="E6239" s="1057"/>
      <c r="F6239" s="1057"/>
      <c r="G6239" s="1057"/>
      <c r="H6239" s="1057"/>
      <c r="I6239" s="1057"/>
      <c r="J6239" s="1057"/>
      <c r="K6239" s="1057"/>
      <c r="L6239" s="1057"/>
      <c r="M6239" s="1057"/>
      <c r="N6239" s="1060"/>
    </row>
    <row r="6240" spans="3:14">
      <c r="C6240" s="1056"/>
      <c r="D6240" s="1057"/>
      <c r="E6240" s="2648" t="s">
        <v>1324</v>
      </c>
      <c r="F6240" s="2493"/>
      <c r="G6240" s="987" t="s">
        <v>884</v>
      </c>
      <c r="H6240" s="782">
        <v>2019</v>
      </c>
      <c r="I6240" s="782">
        <v>2020</v>
      </c>
      <c r="J6240" s="782">
        <v>2021</v>
      </c>
      <c r="K6240" s="782">
        <v>2022</v>
      </c>
      <c r="L6240" s="782">
        <v>2023</v>
      </c>
      <c r="M6240" s="782">
        <v>2024</v>
      </c>
      <c r="N6240" s="783">
        <v>2025</v>
      </c>
    </row>
    <row r="6241" spans="3:14">
      <c r="C6241" s="1056"/>
      <c r="D6241" s="1061" t="s">
        <v>18</v>
      </c>
      <c r="E6241" s="2475" t="s">
        <v>1087</v>
      </c>
      <c r="F6241" s="2410"/>
      <c r="G6241" s="815" t="s">
        <v>2017</v>
      </c>
      <c r="H6241" s="93" t="str">
        <f>IFERROR(IF('[1]G_Fall-back'!H510 = "", "", '[1]G_Fall-back'!H510 ),"")</f>
        <v/>
      </c>
      <c r="I6241" s="93" t="str">
        <f>IFERROR(IF('[1]G_Fall-back'!I510 = "", "", '[1]G_Fall-back'!I510 ),"")</f>
        <v/>
      </c>
      <c r="J6241" s="93" t="str">
        <f>IFERROR(IF('[1]G_Fall-back'!J510 = "", "", '[1]G_Fall-back'!J510 ),"")</f>
        <v/>
      </c>
      <c r="K6241" s="93" t="str">
        <f>IFERROR(IF('[1]G_Fall-back'!K510 = "", "", '[1]G_Fall-back'!K510 ),"")</f>
        <v/>
      </c>
      <c r="L6241" s="93" t="str">
        <f>IFERROR(IF('[1]G_Fall-back'!L510 = "", "", '[1]G_Fall-back'!L510 ),"")</f>
        <v/>
      </c>
      <c r="M6241" s="93" t="str">
        <f>IFERROR(IF('[1]G_Fall-back'!M510 = "", "", '[1]G_Fall-back'!M510 ),"")</f>
        <v/>
      </c>
      <c r="N6241" s="118" t="str">
        <f>IFERROR(IF('[1]G_Fall-back'!N510 = "", "", '[1]G_Fall-back'!N510 ),"")</f>
        <v/>
      </c>
    </row>
    <row r="6242" spans="3:14">
      <c r="C6242" s="1056"/>
      <c r="D6242" s="1061" t="s">
        <v>787</v>
      </c>
      <c r="E6242" s="2475" t="s">
        <v>1490</v>
      </c>
      <c r="F6242" s="2410"/>
      <c r="G6242" s="815" t="s">
        <v>2018</v>
      </c>
      <c r="H6242" s="93" t="str">
        <f>IFERROR(IF('[1]G_Fall-back'!H511 = "", "", '[1]G_Fall-back'!H511 ),"")</f>
        <v/>
      </c>
      <c r="I6242" s="93" t="str">
        <f>IFERROR(IF('[1]G_Fall-back'!I511 = "", "", '[1]G_Fall-back'!I511 ),"")</f>
        <v/>
      </c>
      <c r="J6242" s="93" t="str">
        <f>IFERROR(IF('[1]G_Fall-back'!J511 = "", "", '[1]G_Fall-back'!J511 ),"")</f>
        <v/>
      </c>
      <c r="K6242" s="93" t="str">
        <f>IFERROR(IF('[1]G_Fall-back'!K511 = "", "", '[1]G_Fall-back'!K511 ),"")</f>
        <v/>
      </c>
      <c r="L6242" s="93" t="str">
        <f>IFERROR(IF('[1]G_Fall-back'!L511 = "", "", '[1]G_Fall-back'!L511 ),"")</f>
        <v/>
      </c>
      <c r="M6242" s="93" t="str">
        <f>IFERROR(IF('[1]G_Fall-back'!M511 = "", "", '[1]G_Fall-back'!M511 ),"")</f>
        <v/>
      </c>
      <c r="N6242" s="118" t="str">
        <f>IFERROR(IF('[1]G_Fall-back'!N511 = "", "", '[1]G_Fall-back'!N511 ),"")</f>
        <v/>
      </c>
    </row>
    <row r="6243" spans="3:14">
      <c r="C6243" s="1056"/>
      <c r="D6243" s="1057"/>
      <c r="E6243" s="1057"/>
      <c r="F6243" s="1057"/>
      <c r="G6243" s="1057"/>
      <c r="H6243" s="1057"/>
      <c r="I6243" s="1057"/>
      <c r="J6243" s="1057"/>
      <c r="K6243" s="1057"/>
      <c r="L6243" s="1057"/>
      <c r="M6243" s="1057"/>
      <c r="N6243" s="1060"/>
    </row>
    <row r="6244" spans="3:14">
      <c r="C6244" s="1056"/>
      <c r="D6244" s="1057"/>
      <c r="E6244" s="2648" t="s">
        <v>1325</v>
      </c>
      <c r="F6244" s="2493"/>
      <c r="G6244" s="987" t="s">
        <v>884</v>
      </c>
      <c r="H6244" s="782">
        <v>2019</v>
      </c>
      <c r="I6244" s="782">
        <v>2020</v>
      </c>
      <c r="J6244" s="782">
        <v>2021</v>
      </c>
      <c r="K6244" s="782">
        <v>2022</v>
      </c>
      <c r="L6244" s="782">
        <v>2023</v>
      </c>
      <c r="M6244" s="782">
        <v>2024</v>
      </c>
      <c r="N6244" s="783">
        <v>2025</v>
      </c>
    </row>
    <row r="6245" spans="3:14">
      <c r="C6245" s="1056"/>
      <c r="D6245" s="1061" t="s">
        <v>789</v>
      </c>
      <c r="E6245" s="2475" t="s">
        <v>1087</v>
      </c>
      <c r="F6245" s="2410"/>
      <c r="G6245" s="815" t="s">
        <v>2017</v>
      </c>
      <c r="H6245" s="93" t="str">
        <f>IFERROR(IF('[1]G_Fall-back'!H514 = "", "", '[1]G_Fall-back'!H514 ),"")</f>
        <v/>
      </c>
      <c r="I6245" s="93" t="str">
        <f>IFERROR(IF('[1]G_Fall-back'!I514 = "", "", '[1]G_Fall-back'!I514 ),"")</f>
        <v/>
      </c>
      <c r="J6245" s="93" t="str">
        <f>IFERROR(IF('[1]G_Fall-back'!J514 = "", "", '[1]G_Fall-back'!J514 ),"")</f>
        <v/>
      </c>
      <c r="K6245" s="93" t="str">
        <f>IFERROR(IF('[1]G_Fall-back'!K514 = "", "", '[1]G_Fall-back'!K514 ),"")</f>
        <v/>
      </c>
      <c r="L6245" s="93" t="str">
        <f>IFERROR(IF('[1]G_Fall-back'!L514 = "", "", '[1]G_Fall-back'!L514 ),"")</f>
        <v/>
      </c>
      <c r="M6245" s="93" t="str">
        <f>IFERROR(IF('[1]G_Fall-back'!M514 = "", "", '[1]G_Fall-back'!M514 ),"")</f>
        <v/>
      </c>
      <c r="N6245" s="118" t="str">
        <f>IFERROR(IF('[1]G_Fall-back'!N514 = "", "", '[1]G_Fall-back'!N514 ),"")</f>
        <v/>
      </c>
    </row>
    <row r="6246" spans="3:14">
      <c r="C6246" s="1056"/>
      <c r="D6246" s="1061" t="s">
        <v>790</v>
      </c>
      <c r="E6246" s="2475" t="s">
        <v>1489</v>
      </c>
      <c r="F6246" s="2410"/>
      <c r="G6246" s="815" t="s">
        <v>2018</v>
      </c>
      <c r="H6246" s="93" t="str">
        <f>IFERROR(IF('[1]G_Fall-back'!H515 = "", "", '[1]G_Fall-back'!H515 ),"")</f>
        <v/>
      </c>
      <c r="I6246" s="93" t="str">
        <f>IFERROR(IF('[1]G_Fall-back'!I515 = "", "", '[1]G_Fall-back'!I515 ),"")</f>
        <v/>
      </c>
      <c r="J6246" s="93" t="str">
        <f>IFERROR(IF('[1]G_Fall-back'!J515 = "", "", '[1]G_Fall-back'!J515 ),"")</f>
        <v/>
      </c>
      <c r="K6246" s="93" t="str">
        <f>IFERROR(IF('[1]G_Fall-back'!K515 = "", "", '[1]G_Fall-back'!K515 ),"")</f>
        <v/>
      </c>
      <c r="L6246" s="93" t="str">
        <f>IFERROR(IF('[1]G_Fall-back'!L515 = "", "", '[1]G_Fall-back'!L515 ),"")</f>
        <v/>
      </c>
      <c r="M6246" s="93" t="str">
        <f>IFERROR(IF('[1]G_Fall-back'!M515 = "", "", '[1]G_Fall-back'!M515 ),"")</f>
        <v/>
      </c>
      <c r="N6246" s="118" t="str">
        <f>IFERROR(IF('[1]G_Fall-back'!N515 = "", "", '[1]G_Fall-back'!N515 ),"")</f>
        <v/>
      </c>
    </row>
    <row r="6247" spans="3:14">
      <c r="C6247" s="1056"/>
      <c r="D6247" s="1057"/>
      <c r="E6247" s="1057"/>
      <c r="F6247" s="1057"/>
      <c r="G6247" s="1057"/>
      <c r="H6247" s="1057"/>
      <c r="I6247" s="1057"/>
      <c r="J6247" s="1057"/>
      <c r="K6247" s="1057"/>
      <c r="L6247" s="1057"/>
      <c r="M6247" s="1057"/>
      <c r="N6247" s="1060"/>
    </row>
    <row r="6248" spans="3:14">
      <c r="C6248" s="1056"/>
      <c r="D6248" s="1057"/>
      <c r="E6248" s="2648" t="s">
        <v>1326</v>
      </c>
      <c r="F6248" s="2493"/>
      <c r="G6248" s="987" t="s">
        <v>884</v>
      </c>
      <c r="H6248" s="782">
        <v>2019</v>
      </c>
      <c r="I6248" s="782">
        <v>2020</v>
      </c>
      <c r="J6248" s="782">
        <v>2021</v>
      </c>
      <c r="K6248" s="782">
        <v>2022</v>
      </c>
      <c r="L6248" s="782">
        <v>2023</v>
      </c>
      <c r="M6248" s="782">
        <v>2024</v>
      </c>
      <c r="N6248" s="783">
        <v>2025</v>
      </c>
    </row>
    <row r="6249" spans="3:14">
      <c r="C6249" s="1056"/>
      <c r="D6249" s="1061" t="s">
        <v>64</v>
      </c>
      <c r="E6249" s="2475" t="s">
        <v>1087</v>
      </c>
      <c r="F6249" s="2410"/>
      <c r="G6249" s="815" t="s">
        <v>2017</v>
      </c>
      <c r="H6249" s="93" t="str">
        <f>IFERROR(IF('[1]G_Fall-back'!H518 = "", "", '[1]G_Fall-back'!H518 ),"")</f>
        <v/>
      </c>
      <c r="I6249" s="93" t="str">
        <f>IFERROR(IF('[1]G_Fall-back'!I518 = "", "", '[1]G_Fall-back'!I518 ),"")</f>
        <v/>
      </c>
      <c r="J6249" s="93" t="str">
        <f>IFERROR(IF('[1]G_Fall-back'!J518 = "", "", '[1]G_Fall-back'!J518 ),"")</f>
        <v/>
      </c>
      <c r="K6249" s="93" t="str">
        <f>IFERROR(IF('[1]G_Fall-back'!K518 = "", "", '[1]G_Fall-back'!K518 ),"")</f>
        <v/>
      </c>
      <c r="L6249" s="93" t="str">
        <f>IFERROR(IF('[1]G_Fall-back'!L518 = "", "", '[1]G_Fall-back'!L518 ),"")</f>
        <v/>
      </c>
      <c r="M6249" s="93" t="str">
        <f>IFERROR(IF('[1]G_Fall-back'!M518 = "", "", '[1]G_Fall-back'!M518 ),"")</f>
        <v/>
      </c>
      <c r="N6249" s="118" t="str">
        <f>IFERROR(IF('[1]G_Fall-back'!N518 = "", "", '[1]G_Fall-back'!N518 ),"")</f>
        <v/>
      </c>
    </row>
    <row r="6250" spans="3:14">
      <c r="C6250" s="1056"/>
      <c r="D6250" s="1061" t="s">
        <v>65</v>
      </c>
      <c r="E6250" s="2475" t="s">
        <v>1491</v>
      </c>
      <c r="F6250" s="2410"/>
      <c r="G6250" s="815" t="s">
        <v>2018</v>
      </c>
      <c r="H6250" s="93" t="str">
        <f>IFERROR(IF('[1]G_Fall-back'!H519 = "", "", '[1]G_Fall-back'!H519 ),"")</f>
        <v/>
      </c>
      <c r="I6250" s="93" t="str">
        <f>IFERROR(IF('[1]G_Fall-back'!I519 = "", "", '[1]G_Fall-back'!I519 ),"")</f>
        <v/>
      </c>
      <c r="J6250" s="93" t="str">
        <f>IFERROR(IF('[1]G_Fall-back'!J519 = "", "", '[1]G_Fall-back'!J519 ),"")</f>
        <v/>
      </c>
      <c r="K6250" s="93" t="str">
        <f>IFERROR(IF('[1]G_Fall-back'!K519 = "", "", '[1]G_Fall-back'!K519 ),"")</f>
        <v/>
      </c>
      <c r="L6250" s="93" t="str">
        <f>IFERROR(IF('[1]G_Fall-back'!L519 = "", "", '[1]G_Fall-back'!L519 ),"")</f>
        <v/>
      </c>
      <c r="M6250" s="93" t="str">
        <f>IFERROR(IF('[1]G_Fall-back'!M519 = "", "", '[1]G_Fall-back'!M519 ),"")</f>
        <v/>
      </c>
      <c r="N6250" s="118" t="str">
        <f>IFERROR(IF('[1]G_Fall-back'!N519 = "", "", '[1]G_Fall-back'!N519 ),"")</f>
        <v/>
      </c>
    </row>
    <row r="6251" spans="3:14">
      <c r="C6251" s="1056"/>
      <c r="D6251" s="1057"/>
      <c r="E6251" s="1057"/>
      <c r="F6251" s="1057"/>
      <c r="G6251" s="1057"/>
      <c r="H6251" s="1057"/>
      <c r="I6251" s="1057"/>
      <c r="J6251" s="1057"/>
      <c r="K6251" s="1057"/>
      <c r="L6251" s="1057"/>
      <c r="M6251" s="1057"/>
      <c r="N6251" s="1060"/>
    </row>
    <row r="6252" spans="3:14">
      <c r="C6252" s="1056"/>
      <c r="D6252" s="1057"/>
      <c r="E6252" s="2648" t="s">
        <v>1327</v>
      </c>
      <c r="F6252" s="2493"/>
      <c r="G6252" s="987" t="s">
        <v>884</v>
      </c>
      <c r="H6252" s="782">
        <v>2019</v>
      </c>
      <c r="I6252" s="782">
        <v>2020</v>
      </c>
      <c r="J6252" s="782">
        <v>2021</v>
      </c>
      <c r="K6252" s="782">
        <v>2022</v>
      </c>
      <c r="L6252" s="782">
        <v>2023</v>
      </c>
      <c r="M6252" s="782">
        <v>2024</v>
      </c>
      <c r="N6252" s="783">
        <v>2025</v>
      </c>
    </row>
    <row r="6253" spans="3:14">
      <c r="C6253" s="1056"/>
      <c r="D6253" s="1061" t="s">
        <v>1105</v>
      </c>
      <c r="E6253" s="2475" t="s">
        <v>1087</v>
      </c>
      <c r="F6253" s="2410"/>
      <c r="G6253" s="815" t="s">
        <v>2017</v>
      </c>
      <c r="H6253" s="93" t="str">
        <f>IFERROR(IF('[1]G_Fall-back'!H522 = "", "", '[1]G_Fall-back'!H522 ),"")</f>
        <v/>
      </c>
      <c r="I6253" s="93" t="str">
        <f>IFERROR(IF('[1]G_Fall-back'!I522 = "", "", '[1]G_Fall-back'!I522 ),"")</f>
        <v/>
      </c>
      <c r="J6253" s="93" t="str">
        <f>IFERROR(IF('[1]G_Fall-back'!J522 = "", "", '[1]G_Fall-back'!J522 ),"")</f>
        <v/>
      </c>
      <c r="K6253" s="93" t="str">
        <f>IFERROR(IF('[1]G_Fall-back'!K522 = "", "", '[1]G_Fall-back'!K522 ),"")</f>
        <v/>
      </c>
      <c r="L6253" s="93" t="str">
        <f>IFERROR(IF('[1]G_Fall-back'!L522 = "", "", '[1]G_Fall-back'!L522 ),"")</f>
        <v/>
      </c>
      <c r="M6253" s="93" t="str">
        <f>IFERROR(IF('[1]G_Fall-back'!M522 = "", "", '[1]G_Fall-back'!M522 ),"")</f>
        <v/>
      </c>
      <c r="N6253" s="118" t="str">
        <f>IFERROR(IF('[1]G_Fall-back'!N522 = "", "", '[1]G_Fall-back'!N522 ),"")</f>
        <v/>
      </c>
    </row>
    <row r="6254" spans="3:14">
      <c r="C6254" s="1056"/>
      <c r="D6254" s="1061" t="s">
        <v>1106</v>
      </c>
      <c r="E6254" s="2475" t="s">
        <v>1492</v>
      </c>
      <c r="F6254" s="2410"/>
      <c r="G6254" s="815" t="s">
        <v>2018</v>
      </c>
      <c r="H6254" s="93" t="str">
        <f>IFERROR(IF('[1]G_Fall-back'!H523 = "", "", '[1]G_Fall-back'!H523 ),"")</f>
        <v/>
      </c>
      <c r="I6254" s="93" t="str">
        <f>IFERROR(IF('[1]G_Fall-back'!I523 = "", "", '[1]G_Fall-back'!I523 ),"")</f>
        <v/>
      </c>
      <c r="J6254" s="93" t="str">
        <f>IFERROR(IF('[1]G_Fall-back'!J523 = "", "", '[1]G_Fall-back'!J523 ),"")</f>
        <v/>
      </c>
      <c r="K6254" s="93" t="str">
        <f>IFERROR(IF('[1]G_Fall-back'!K523 = "", "", '[1]G_Fall-back'!K523 ),"")</f>
        <v/>
      </c>
      <c r="L6254" s="93" t="str">
        <f>IFERROR(IF('[1]G_Fall-back'!L523 = "", "", '[1]G_Fall-back'!L523 ),"")</f>
        <v/>
      </c>
      <c r="M6254" s="93" t="str">
        <f>IFERROR(IF('[1]G_Fall-back'!M523 = "", "", '[1]G_Fall-back'!M523 ),"")</f>
        <v/>
      </c>
      <c r="N6254" s="118" t="str">
        <f>IFERROR(IF('[1]G_Fall-back'!N523 = "", "", '[1]G_Fall-back'!N523 ),"")</f>
        <v/>
      </c>
    </row>
    <row r="6255" spans="3:14">
      <c r="C6255" s="1056"/>
      <c r="D6255" s="1057"/>
      <c r="E6255" s="1057"/>
      <c r="F6255" s="1057"/>
      <c r="G6255" s="1057"/>
      <c r="H6255" s="1057"/>
      <c r="I6255" s="1057"/>
      <c r="J6255" s="1057"/>
      <c r="K6255" s="1057"/>
      <c r="L6255" s="1057"/>
      <c r="M6255" s="1057"/>
      <c r="N6255" s="1060"/>
    </row>
    <row r="6256" spans="3:14">
      <c r="C6256" s="1056"/>
      <c r="D6256" s="1061" t="s">
        <v>1108</v>
      </c>
      <c r="E6256" s="2475" t="s">
        <v>1169</v>
      </c>
      <c r="F6256" s="2410"/>
      <c r="G6256" s="815" t="s">
        <v>2017</v>
      </c>
      <c r="H6256" s="93" t="str">
        <f>IFERROR(IF('[1]G_Fall-back'!H525 = "", "", '[1]G_Fall-back'!H525 ),"")</f>
        <v/>
      </c>
      <c r="I6256" s="93" t="str">
        <f>IFERROR(IF('[1]G_Fall-back'!I525 = "", "", '[1]G_Fall-back'!I525 ),"")</f>
        <v/>
      </c>
      <c r="J6256" s="93" t="str">
        <f>IFERROR(IF('[1]G_Fall-back'!J525 = "", "", '[1]G_Fall-back'!J525 ),"")</f>
        <v/>
      </c>
      <c r="K6256" s="93" t="str">
        <f>IFERROR(IF('[1]G_Fall-back'!K525 = "", "", '[1]G_Fall-back'!K525 ),"")</f>
        <v/>
      </c>
      <c r="L6256" s="93" t="str">
        <f>IFERROR(IF('[1]G_Fall-back'!L525 = "", "", '[1]G_Fall-back'!L525 ),"")</f>
        <v/>
      </c>
      <c r="M6256" s="93" t="str">
        <f>IFERROR(IF('[1]G_Fall-back'!M525 = "", "", '[1]G_Fall-back'!M525 ),"")</f>
        <v/>
      </c>
      <c r="N6256" s="118" t="str">
        <f>IFERROR(IF('[1]G_Fall-back'!N525 = "", "", '[1]G_Fall-back'!N525 ),"")</f>
        <v/>
      </c>
    </row>
    <row r="6257" spans="3:14" ht="13.5" thickBot="1">
      <c r="C6257" s="1063"/>
      <c r="D6257" s="1064"/>
      <c r="E6257" s="1064"/>
      <c r="F6257" s="1064"/>
      <c r="G6257" s="1064"/>
      <c r="H6257" s="1064"/>
      <c r="I6257" s="1064"/>
      <c r="J6257" s="1064"/>
      <c r="K6257" s="1064"/>
      <c r="L6257" s="1064"/>
      <c r="M6257" s="1065"/>
      <c r="N6257" s="1066"/>
    </row>
    <row r="6258" spans="3:14" ht="13.5" thickBot="1">
      <c r="C6258" s="485"/>
      <c r="D6258" s="485"/>
      <c r="E6258" s="485"/>
      <c r="F6258" s="485"/>
      <c r="G6258" s="485"/>
      <c r="H6258" s="485"/>
      <c r="I6258" s="485"/>
      <c r="J6258" s="485"/>
      <c r="K6258" s="485"/>
      <c r="L6258" s="485"/>
      <c r="M6258" s="485"/>
      <c r="N6258" s="485"/>
    </row>
    <row r="6259" spans="3:14" ht="13.5" thickBot="1">
      <c r="C6259" s="686"/>
      <c r="D6259" s="686"/>
      <c r="E6259" s="686"/>
      <c r="F6259" s="686"/>
      <c r="G6259" s="686"/>
      <c r="H6259" s="686"/>
      <c r="I6259" s="686"/>
      <c r="J6259" s="686"/>
      <c r="K6259" s="686"/>
      <c r="L6259" s="686"/>
      <c r="M6259" s="686"/>
      <c r="N6259" s="686"/>
    </row>
    <row r="6260" spans="3:14" ht="15.75" thickBot="1">
      <c r="C6260" s="559">
        <v>4</v>
      </c>
      <c r="D6260" s="2482" t="s">
        <v>2170</v>
      </c>
      <c r="E6260" s="2400"/>
      <c r="F6260" s="2400"/>
      <c r="G6260" s="2400"/>
      <c r="H6260" s="2585"/>
      <c r="I6260" s="2489" t="str">
        <f>IFERROR(IF('[1]G_Fall-back'!I529 = "", "", '[1]G_Fall-back'!I529 ),"")</f>
        <v>Fuel benchmark sub-installation, CL</v>
      </c>
      <c r="J6260" s="2534"/>
      <c r="K6260" s="2534"/>
      <c r="L6260" s="2681"/>
      <c r="M6260" s="2476" t="str">
        <f>IFERROR(IF('[1]G_Fall-back'!M529 = "", "", '[1]G_Fall-back'!M529 ),"")</f>
        <v/>
      </c>
      <c r="N6260" s="2477"/>
    </row>
    <row r="6261" spans="3:14">
      <c r="C6261" s="485"/>
      <c r="D6261" s="485"/>
      <c r="E6261" s="485"/>
      <c r="F6261" s="485"/>
      <c r="G6261" s="485"/>
      <c r="H6261" s="484"/>
      <c r="I6261" s="2716" t="s">
        <v>111</v>
      </c>
      <c r="J6261" s="2717"/>
      <c r="K6261" s="2717"/>
      <c r="L6261" s="2717"/>
      <c r="M6261" s="2718"/>
      <c r="N6261" s="2719"/>
    </row>
    <row r="6262" spans="3:14">
      <c r="C6262" s="467"/>
      <c r="D6262" s="485"/>
      <c r="E6262" s="2465" t="s">
        <v>1197</v>
      </c>
      <c r="F6262" s="2400"/>
      <c r="G6262" s="2400"/>
      <c r="H6262" s="2400"/>
      <c r="I6262" s="2400"/>
      <c r="J6262" s="2400"/>
      <c r="K6262" s="2400"/>
      <c r="L6262" s="2400"/>
      <c r="M6262" s="2400"/>
      <c r="N6262" s="2400"/>
    </row>
    <row r="6263" spans="3:14">
      <c r="C6263" s="467"/>
      <c r="D6263" s="467"/>
      <c r="E6263" s="467"/>
      <c r="F6263" s="467"/>
      <c r="G6263" s="467"/>
      <c r="H6263" s="467"/>
      <c r="I6263" s="467"/>
      <c r="J6263" s="467"/>
      <c r="K6263" s="467"/>
      <c r="L6263" s="467"/>
      <c r="M6263" s="481"/>
      <c r="N6263" s="481"/>
    </row>
    <row r="6264" spans="3:14">
      <c r="C6264" s="482"/>
      <c r="D6264" s="482" t="s">
        <v>400</v>
      </c>
      <c r="E6264" s="2373" t="s">
        <v>1930</v>
      </c>
      <c r="F6264" s="2400"/>
      <c r="G6264" s="2400"/>
      <c r="H6264" s="2400"/>
      <c r="I6264" s="2400"/>
      <c r="J6264" s="2400"/>
      <c r="K6264" s="2400"/>
      <c r="L6264" s="2400"/>
      <c r="M6264" s="2400"/>
      <c r="N6264" s="2400"/>
    </row>
    <row r="6265" spans="3:14">
      <c r="C6265" s="485"/>
      <c r="D6265" s="485"/>
      <c r="E6265" s="2720" t="s">
        <v>1960</v>
      </c>
      <c r="F6265" s="2720"/>
      <c r="G6265" s="2720"/>
      <c r="H6265" s="2720"/>
      <c r="I6265" s="2720"/>
      <c r="J6265" s="2720"/>
      <c r="K6265" s="2720"/>
      <c r="L6265" s="2720"/>
      <c r="M6265" s="2720"/>
      <c r="N6265" s="2720"/>
    </row>
    <row r="6266" spans="3:14">
      <c r="C6266" s="467"/>
      <c r="D6266" s="485"/>
      <c r="E6266" s="2651" t="s">
        <v>1959</v>
      </c>
      <c r="F6266" s="2721"/>
      <c r="G6266" s="2721"/>
      <c r="H6266" s="2721"/>
      <c r="I6266" s="2721"/>
      <c r="J6266" s="2721"/>
      <c r="K6266" s="2721"/>
      <c r="L6266" s="2721"/>
      <c r="M6266" s="2721"/>
      <c r="N6266" s="2721"/>
    </row>
    <row r="6267" spans="3:14">
      <c r="C6267" s="482"/>
      <c r="D6267" s="482"/>
      <c r="E6267" s="707" t="s">
        <v>920</v>
      </c>
      <c r="F6267" s="518"/>
      <c r="G6267" s="663" t="s">
        <v>884</v>
      </c>
      <c r="H6267" s="578">
        <v>2019</v>
      </c>
      <c r="I6267" s="697">
        <v>2020</v>
      </c>
      <c r="J6267" s="696">
        <v>2021</v>
      </c>
      <c r="K6267" s="578">
        <v>2022</v>
      </c>
      <c r="L6267" s="578">
        <v>2023</v>
      </c>
      <c r="M6267" s="578">
        <v>2024</v>
      </c>
      <c r="N6267" s="671">
        <v>2025</v>
      </c>
    </row>
    <row r="6268" spans="3:14">
      <c r="C6268" s="485"/>
      <c r="D6268" s="561" t="s">
        <v>6</v>
      </c>
      <c r="E6268" s="2696" t="str">
        <f>IFERROR(IF('[1]G_Fall-back'!E537 = "", "", '[1]G_Fall-back'!E537 ),"")</f>
        <v>Fuel benchmark sub-installation, CL</v>
      </c>
      <c r="F6268" s="2696"/>
      <c r="G6268" s="74" t="str">
        <f>IFERROR(IF('[1]G_Fall-back'!G537 = "", "", '[1]G_Fall-back'!G537 ),"")</f>
        <v>TJ</v>
      </c>
      <c r="H6268" s="102" t="str">
        <f>IFERROR(IF('[1]G_Fall-back'!H537 = "", "", '[1]G_Fall-back'!H537 ),"")</f>
        <v/>
      </c>
      <c r="I6268" s="386" t="str">
        <f>IFERROR(IF('[1]G_Fall-back'!I537 = "", "", '[1]G_Fall-back'!I537 ),"")</f>
        <v/>
      </c>
      <c r="J6268" s="387" t="str">
        <f>IFERROR(IF('[1]G_Fall-back'!J537 = "", "", '[1]G_Fall-back'!J537 ),"")</f>
        <v/>
      </c>
      <c r="K6268" s="102" t="str">
        <f>IFERROR(IF('[1]G_Fall-back'!K537 = "", "", '[1]G_Fall-back'!K537 ),"")</f>
        <v/>
      </c>
      <c r="L6268" s="102" t="str">
        <f>IFERROR(IF('[1]G_Fall-back'!L537 = "", "", '[1]G_Fall-back'!L537 ),"")</f>
        <v/>
      </c>
      <c r="M6268" s="102" t="str">
        <f>IFERROR(IF('[1]G_Fall-back'!M537 = "", "", '[1]G_Fall-back'!M537 ),"")</f>
        <v/>
      </c>
      <c r="N6268" s="102" t="str">
        <f>IFERROR(IF('[1]G_Fall-back'!N537 = "", "", '[1]G_Fall-back'!N537 ),"")</f>
        <v/>
      </c>
    </row>
    <row r="6269" spans="3:14">
      <c r="C6269" s="479"/>
      <c r="D6269" s="485"/>
      <c r="E6269" s="485"/>
      <c r="F6269" s="485"/>
      <c r="G6269" s="485"/>
      <c r="H6269" s="485"/>
      <c r="I6269" s="485"/>
      <c r="J6269" s="485"/>
      <c r="K6269" s="485"/>
      <c r="L6269" s="485"/>
      <c r="M6269" s="485"/>
      <c r="N6269" s="485"/>
    </row>
    <row r="6270" spans="3:14">
      <c r="C6270" s="479"/>
      <c r="D6270" s="485"/>
      <c r="E6270" s="2465" t="s">
        <v>1712</v>
      </c>
      <c r="F6270" s="2400"/>
      <c r="G6270" s="2400"/>
      <c r="H6270" s="2400"/>
      <c r="I6270" s="2400"/>
      <c r="J6270" s="2400"/>
      <c r="K6270" s="2400"/>
      <c r="L6270" s="2400"/>
      <c r="M6270" s="2400"/>
      <c r="N6270" s="2400"/>
    </row>
    <row r="6271" spans="3:14">
      <c r="C6271" s="479"/>
      <c r="D6271" s="485"/>
      <c r="E6271" s="901" t="s">
        <v>1021</v>
      </c>
      <c r="F6271" s="2651" t="s">
        <v>2711</v>
      </c>
      <c r="G6271" s="2584"/>
      <c r="H6271" s="2584"/>
      <c r="I6271" s="2584"/>
      <c r="J6271" s="2584"/>
      <c r="K6271" s="2584"/>
      <c r="L6271" s="2584"/>
      <c r="M6271" s="2584"/>
      <c r="N6271" s="2584"/>
    </row>
    <row r="6272" spans="3:14">
      <c r="C6272" s="479"/>
      <c r="D6272" s="485"/>
      <c r="E6272" s="901" t="s">
        <v>1021</v>
      </c>
      <c r="F6272" s="2651" t="s">
        <v>1985</v>
      </c>
      <c r="G6272" s="2584"/>
      <c r="H6272" s="2584"/>
      <c r="I6272" s="2584"/>
      <c r="J6272" s="2584"/>
      <c r="K6272" s="2584"/>
      <c r="L6272" s="2584"/>
      <c r="M6272" s="2584"/>
      <c r="N6272" s="2584"/>
    </row>
    <row r="6273" spans="3:14" ht="13.5" thickBot="1">
      <c r="C6273" s="479"/>
      <c r="D6273" s="485"/>
      <c r="E6273" s="901" t="s">
        <v>2251</v>
      </c>
      <c r="F6273" s="2651" t="s">
        <v>2722</v>
      </c>
      <c r="G6273" s="2584"/>
      <c r="H6273" s="2584"/>
      <c r="I6273" s="2584"/>
      <c r="J6273" s="2584"/>
      <c r="K6273" s="2584"/>
      <c r="L6273" s="2584"/>
      <c r="M6273" s="2584"/>
      <c r="N6273" s="2584"/>
    </row>
    <row r="6274" spans="3:14">
      <c r="C6274" s="479"/>
      <c r="D6274" s="902"/>
      <c r="E6274" s="903"/>
      <c r="F6274" s="904"/>
      <c r="G6274" s="905"/>
      <c r="H6274" s="905"/>
      <c r="I6274" s="905"/>
      <c r="J6274" s="905"/>
      <c r="K6274" s="905"/>
      <c r="L6274" s="905"/>
      <c r="M6274" s="905"/>
      <c r="N6274" s="906"/>
    </row>
    <row r="6275" spans="3:14">
      <c r="C6275" s="479"/>
      <c r="D6275" s="918"/>
      <c r="E6275" s="908" t="s">
        <v>1652</v>
      </c>
      <c r="F6275" s="909"/>
      <c r="G6275" s="909"/>
      <c r="H6275" s="910" t="s">
        <v>884</v>
      </c>
      <c r="I6275" s="911" t="s">
        <v>1646</v>
      </c>
      <c r="J6275" s="912">
        <v>2021</v>
      </c>
      <c r="K6275" s="913">
        <v>2022</v>
      </c>
      <c r="L6275" s="913">
        <v>2023</v>
      </c>
      <c r="M6275" s="913">
        <v>2024</v>
      </c>
      <c r="N6275" s="914">
        <v>2025</v>
      </c>
    </row>
    <row r="6276" spans="3:14">
      <c r="C6276" s="479"/>
      <c r="D6276" s="915" t="s">
        <v>7</v>
      </c>
      <c r="E6276" s="916" t="s">
        <v>1976</v>
      </c>
      <c r="F6276" s="916"/>
      <c r="G6276" s="916"/>
      <c r="H6276" s="944" t="s">
        <v>283</v>
      </c>
      <c r="I6276" s="235" t="str">
        <f>IFERROR(IF('[1]G_Fall-back'!I545 = "", "", '[1]G_Fall-back'!I545 ),"")</f>
        <v/>
      </c>
      <c r="J6276" s="388" t="str">
        <f>IFERROR(IF('[1]G_Fall-back'!J545 = "", "", '[1]G_Fall-back'!J545 ),"")</f>
        <v/>
      </c>
      <c r="K6276" s="389" t="str">
        <f>IFERROR(IF('[1]G_Fall-back'!K545 = "", "", '[1]G_Fall-back'!K545 ),"")</f>
        <v/>
      </c>
      <c r="L6276" s="389" t="str">
        <f>IFERROR(IF('[1]G_Fall-back'!L545 = "", "", '[1]G_Fall-back'!L545 ),"")</f>
        <v/>
      </c>
      <c r="M6276" s="389" t="str">
        <f>IFERROR(IF('[1]G_Fall-back'!M545 = "", "", '[1]G_Fall-back'!M545 ),"")</f>
        <v/>
      </c>
      <c r="N6276" s="390" t="str">
        <f>IFERROR(IF('[1]G_Fall-back'!N545 = "", "", '[1]G_Fall-back'!N545 ),"")</f>
        <v/>
      </c>
    </row>
    <row r="6277" spans="3:14">
      <c r="C6277" s="479"/>
      <c r="D6277" s="915"/>
      <c r="E6277" s="916" t="s">
        <v>1648</v>
      </c>
      <c r="F6277" s="916"/>
      <c r="G6277" s="916"/>
      <c r="H6277" s="921"/>
      <c r="I6277" s="916"/>
      <c r="J6277" s="319" t="str">
        <f>IFERROR(IF('[1]G_Fall-back'!J546 = "", "", '[1]G_Fall-back'!J546 ),"")</f>
        <v/>
      </c>
      <c r="K6277" s="320" t="str">
        <f>IFERROR(IF('[1]G_Fall-back'!K546 = "", "", '[1]G_Fall-back'!K546 ),"")</f>
        <v/>
      </c>
      <c r="L6277" s="320" t="str">
        <f>IFERROR(IF('[1]G_Fall-back'!L546 = "", "", '[1]G_Fall-back'!L546 ),"")</f>
        <v/>
      </c>
      <c r="M6277" s="320" t="str">
        <f>IFERROR(IF('[1]G_Fall-back'!M546 = "", "", '[1]G_Fall-back'!M546 ),"")</f>
        <v/>
      </c>
      <c r="N6277" s="321" t="str">
        <f>IFERROR(IF('[1]G_Fall-back'!N546 = "", "", '[1]G_Fall-back'!N546 ),"")</f>
        <v/>
      </c>
    </row>
    <row r="6278" spans="3:14">
      <c r="C6278" s="479"/>
      <c r="D6278" s="915" t="s">
        <v>8</v>
      </c>
      <c r="E6278" s="916" t="s">
        <v>1654</v>
      </c>
      <c r="F6278" s="916"/>
      <c r="G6278" s="916"/>
      <c r="H6278" s="921"/>
      <c r="I6278" s="916"/>
      <c r="J6278" s="288" t="str">
        <f>IFERROR(IF('[1]G_Fall-back'!J547 = "", "", '[1]G_Fall-back'!J547 ),"")</f>
        <v/>
      </c>
      <c r="K6278" s="289" t="str">
        <f>IFERROR(IF('[1]G_Fall-back'!K547 = "", "", '[1]G_Fall-back'!K547 ),"")</f>
        <v/>
      </c>
      <c r="L6278" s="289" t="str">
        <f>IFERROR(IF('[1]G_Fall-back'!L547 = "", "", '[1]G_Fall-back'!L547 ),"")</f>
        <v/>
      </c>
      <c r="M6278" s="289" t="str">
        <f>IFERROR(IF('[1]G_Fall-back'!M547 = "", "", '[1]G_Fall-back'!M547 ),"")</f>
        <v/>
      </c>
      <c r="N6278" s="290" t="str">
        <f>IFERROR(IF('[1]G_Fall-back'!N547 = "", "", '[1]G_Fall-back'!N547 ),"")</f>
        <v/>
      </c>
    </row>
    <row r="6279" spans="3:14">
      <c r="C6279" s="479"/>
      <c r="D6279" s="915" t="s">
        <v>18</v>
      </c>
      <c r="E6279" s="916" t="s">
        <v>1647</v>
      </c>
      <c r="F6279" s="916"/>
      <c r="G6279" s="916"/>
      <c r="H6279" s="944" t="s">
        <v>283</v>
      </c>
      <c r="I6279" s="235" t="str">
        <f>IFERROR(IF('[1]G_Fall-back'!I548 = "", "", '[1]G_Fall-back'!I548 ),"")</f>
        <v/>
      </c>
      <c r="J6279" s="388" t="str">
        <f>IFERROR(IF('[1]G_Fall-back'!J548 = "", "", '[1]G_Fall-back'!J548 ),"")</f>
        <v/>
      </c>
      <c r="K6279" s="389" t="str">
        <f>IFERROR(IF('[1]G_Fall-back'!K548 = "", "", '[1]G_Fall-back'!K548 ),"")</f>
        <v/>
      </c>
      <c r="L6279" s="389" t="str">
        <f>IFERROR(IF('[1]G_Fall-back'!L548 = "", "", '[1]G_Fall-back'!L548 ),"")</f>
        <v/>
      </c>
      <c r="M6279" s="389" t="str">
        <f>IFERROR(IF('[1]G_Fall-back'!M548 = "", "", '[1]G_Fall-back'!M548 ),"")</f>
        <v/>
      </c>
      <c r="N6279" s="390" t="str">
        <f>IFERROR(IF('[1]G_Fall-back'!N548 = "", "", '[1]G_Fall-back'!N548 ),"")</f>
        <v/>
      </c>
    </row>
    <row r="6280" spans="3:14" ht="13.5" thickBot="1">
      <c r="C6280" s="467"/>
      <c r="D6280" s="1022"/>
      <c r="E6280" s="1023"/>
      <c r="F6280" s="1023"/>
      <c r="G6280" s="1023"/>
      <c r="H6280" s="1023"/>
      <c r="I6280" s="1023"/>
      <c r="J6280" s="1023"/>
      <c r="K6280" s="1023"/>
      <c r="L6280" s="1023"/>
      <c r="M6280" s="1023"/>
      <c r="N6280" s="1024"/>
    </row>
    <row r="6281" spans="3:14">
      <c r="C6281" s="467"/>
      <c r="D6281" s="467"/>
      <c r="E6281" s="467"/>
      <c r="F6281" s="467"/>
      <c r="G6281" s="467"/>
      <c r="H6281" s="467"/>
      <c r="I6281" s="467"/>
      <c r="J6281" s="467"/>
      <c r="K6281" s="467"/>
      <c r="L6281" s="467"/>
      <c r="M6281" s="467"/>
      <c r="N6281" s="467"/>
    </row>
    <row r="6282" spans="3:14" ht="15">
      <c r="C6282" s="1025"/>
      <c r="D6282" s="2482" t="s">
        <v>103</v>
      </c>
      <c r="E6282" s="2400"/>
      <c r="F6282" s="2400"/>
      <c r="G6282" s="2400"/>
      <c r="H6282" s="2400"/>
      <c r="I6282" s="2400"/>
      <c r="J6282" s="2400"/>
      <c r="K6282" s="2400"/>
      <c r="L6282" s="2400"/>
      <c r="M6282" s="2400"/>
      <c r="N6282" s="2400"/>
    </row>
    <row r="6283" spans="3:14">
      <c r="C6283" s="467"/>
      <c r="D6283" s="467"/>
      <c r="E6283" s="467"/>
      <c r="F6283" s="467"/>
      <c r="G6283" s="467"/>
      <c r="H6283" s="467"/>
      <c r="I6283" s="467"/>
      <c r="J6283" s="467"/>
      <c r="K6283" s="467"/>
      <c r="L6283" s="467"/>
      <c r="M6283" s="467"/>
      <c r="N6283" s="467"/>
    </row>
    <row r="6284" spans="3:14">
      <c r="C6284" s="482"/>
      <c r="D6284" s="482" t="s">
        <v>876</v>
      </c>
      <c r="E6284" s="2373" t="s">
        <v>298</v>
      </c>
      <c r="F6284" s="2400"/>
      <c r="G6284" s="2400"/>
      <c r="H6284" s="2400"/>
      <c r="I6284" s="2400"/>
      <c r="J6284" s="2400"/>
      <c r="K6284" s="2400"/>
      <c r="L6284" s="2400"/>
      <c r="M6284" s="2400"/>
      <c r="N6284" s="2400"/>
    </row>
    <row r="6285" spans="3:14">
      <c r="C6285" s="485"/>
      <c r="D6285" s="485"/>
      <c r="E6285" s="2465" t="s">
        <v>925</v>
      </c>
      <c r="F6285" s="2400"/>
      <c r="G6285" s="2400"/>
      <c r="H6285" s="2400"/>
      <c r="I6285" s="2400"/>
      <c r="J6285" s="2400"/>
      <c r="K6285" s="2400"/>
      <c r="L6285" s="2400"/>
      <c r="M6285" s="2400"/>
      <c r="N6285" s="2400"/>
    </row>
    <row r="6286" spans="3:14">
      <c r="C6286" s="485"/>
      <c r="D6286" s="485"/>
      <c r="E6286" s="1026" t="s">
        <v>2177</v>
      </c>
      <c r="F6286" s="2465" t="s">
        <v>927</v>
      </c>
      <c r="G6286" s="2400"/>
      <c r="H6286" s="2400"/>
      <c r="I6286" s="2400"/>
      <c r="J6286" s="2400"/>
      <c r="K6286" s="2400"/>
      <c r="L6286" s="2400"/>
      <c r="M6286" s="2400"/>
      <c r="N6286" s="2400"/>
    </row>
    <row r="6287" spans="3:14">
      <c r="C6287" s="485"/>
      <c r="D6287" s="485"/>
      <c r="E6287" s="1026" t="s">
        <v>2177</v>
      </c>
      <c r="F6287" s="2465" t="s">
        <v>1006</v>
      </c>
      <c r="G6287" s="2400"/>
      <c r="H6287" s="2400"/>
      <c r="I6287" s="2400"/>
      <c r="J6287" s="2400"/>
      <c r="K6287" s="2400"/>
      <c r="L6287" s="2400"/>
      <c r="M6287" s="2400"/>
      <c r="N6287" s="2400"/>
    </row>
    <row r="6288" spans="3:14">
      <c r="C6288" s="485"/>
      <c r="D6288" s="485"/>
      <c r="E6288" s="2465" t="s">
        <v>1636</v>
      </c>
      <c r="F6288" s="2400"/>
      <c r="G6288" s="2400"/>
      <c r="H6288" s="2400"/>
      <c r="I6288" s="2400"/>
      <c r="J6288" s="2400"/>
      <c r="K6288" s="2400"/>
      <c r="L6288" s="2400"/>
      <c r="M6288" s="2400"/>
      <c r="N6288" s="2400"/>
    </row>
    <row r="6289" spans="3:14">
      <c r="C6289" s="485"/>
      <c r="D6289" s="485"/>
      <c r="E6289" s="2465" t="s">
        <v>2119</v>
      </c>
      <c r="F6289" s="2400"/>
      <c r="G6289" s="2400"/>
      <c r="H6289" s="2400"/>
      <c r="I6289" s="2400"/>
      <c r="J6289" s="2400"/>
      <c r="K6289" s="2400"/>
      <c r="L6289" s="2400"/>
      <c r="M6289" s="2400"/>
      <c r="N6289" s="2400"/>
    </row>
    <row r="6290" spans="3:14">
      <c r="C6290" s="485"/>
      <c r="D6290" s="485"/>
      <c r="E6290" s="2677" t="s">
        <v>2120</v>
      </c>
      <c r="F6290" s="2722"/>
      <c r="G6290" s="2722"/>
      <c r="H6290" s="2722"/>
      <c r="I6290" s="2722"/>
      <c r="J6290" s="2722"/>
      <c r="K6290" s="2722"/>
      <c r="L6290" s="2722"/>
      <c r="M6290" s="2722"/>
      <c r="N6290" s="2722"/>
    </row>
    <row r="6291" spans="3:14">
      <c r="C6291" s="485"/>
      <c r="D6291" s="485"/>
      <c r="E6291" s="2465" t="s">
        <v>29</v>
      </c>
      <c r="F6291" s="2400"/>
      <c r="G6291" s="2400"/>
      <c r="H6291" s="2400"/>
      <c r="I6291" s="2400"/>
      <c r="J6291" s="2400"/>
      <c r="K6291" s="2400"/>
      <c r="L6291" s="2400"/>
      <c r="M6291" s="2400"/>
      <c r="N6291" s="2400"/>
    </row>
    <row r="6292" spans="3:14">
      <c r="C6292" s="485"/>
      <c r="D6292" s="485"/>
      <c r="E6292" s="617"/>
      <c r="F6292" s="617"/>
      <c r="G6292" s="617"/>
      <c r="H6292" s="617"/>
      <c r="I6292" s="617"/>
      <c r="J6292" s="468"/>
      <c r="K6292" s="468"/>
      <c r="L6292" s="468"/>
      <c r="M6292" s="481"/>
      <c r="N6292" s="481"/>
    </row>
    <row r="6293" spans="3:14" ht="25.5">
      <c r="C6293" s="482"/>
      <c r="D6293" s="956"/>
      <c r="E6293" s="2723" t="s">
        <v>485</v>
      </c>
      <c r="F6293" s="2724"/>
      <c r="G6293" s="2758" t="s">
        <v>28</v>
      </c>
      <c r="H6293" s="2508"/>
      <c r="I6293" s="2508"/>
      <c r="J6293" s="2508"/>
      <c r="K6293" s="2508"/>
      <c r="L6293" s="2580"/>
      <c r="M6293" s="1069" t="s">
        <v>2112</v>
      </c>
      <c r="N6293" s="481"/>
    </row>
    <row r="6294" spans="3:14">
      <c r="C6294" s="484"/>
      <c r="D6294" s="579">
        <v>1</v>
      </c>
      <c r="E6294" s="2599" t="str">
        <f>IFERROR(IF('[1]G_Fall-back'!E563 = "", "", '[1]G_Fall-back'!E563 ),"")</f>
        <v/>
      </c>
      <c r="F6294" s="2617"/>
      <c r="G6294" s="2759" t="str">
        <f>IFERROR(IF('[1]G_Fall-back'!G563 = "", "", '[1]G_Fall-back'!G563 ),"")</f>
        <v/>
      </c>
      <c r="H6294" s="2599"/>
      <c r="I6294" s="2599"/>
      <c r="J6294" s="2599"/>
      <c r="K6294" s="2599"/>
      <c r="L6294" s="2617"/>
      <c r="M6294" s="391" t="str">
        <f>IFERROR(IF('[1]G_Fall-back'!M563 = "", "", '[1]G_Fall-back'!M563 ),"")</f>
        <v/>
      </c>
      <c r="N6294" s="481"/>
    </row>
    <row r="6295" spans="3:14">
      <c r="C6295" s="484"/>
      <c r="D6295" s="582">
        <v>2</v>
      </c>
      <c r="E6295" s="2603" t="str">
        <f>IFERROR(IF('[1]G_Fall-back'!E564 = "", "", '[1]G_Fall-back'!E564 ),"")</f>
        <v/>
      </c>
      <c r="F6295" s="2620"/>
      <c r="G6295" s="2730" t="str">
        <f>IFERROR(IF('[1]G_Fall-back'!G564 = "", "", '[1]G_Fall-back'!G564 ),"")</f>
        <v/>
      </c>
      <c r="H6295" s="2760"/>
      <c r="I6295" s="2760"/>
      <c r="J6295" s="2760"/>
      <c r="K6295" s="2760"/>
      <c r="L6295" s="2761"/>
      <c r="M6295" s="392" t="str">
        <f>IFERROR(IF('[1]G_Fall-back'!M564 = "", "", '[1]G_Fall-back'!M564 ),"")</f>
        <v/>
      </c>
      <c r="N6295" s="481"/>
    </row>
    <row r="6296" spans="3:14">
      <c r="C6296" s="484"/>
      <c r="D6296" s="582">
        <v>3</v>
      </c>
      <c r="E6296" s="2603" t="str">
        <f>IFERROR(IF('[1]G_Fall-back'!E565 = "", "", '[1]G_Fall-back'!E565 ),"")</f>
        <v/>
      </c>
      <c r="F6296" s="2620"/>
      <c r="G6296" s="2730" t="str">
        <f>IFERROR(IF('[1]G_Fall-back'!G565 = "", "", '[1]G_Fall-back'!G565 ),"")</f>
        <v/>
      </c>
      <c r="H6296" s="2760"/>
      <c r="I6296" s="2760"/>
      <c r="J6296" s="2760"/>
      <c r="K6296" s="2760"/>
      <c r="L6296" s="2761"/>
      <c r="M6296" s="392" t="str">
        <f>IFERROR(IF('[1]G_Fall-back'!M565 = "", "", '[1]G_Fall-back'!M565 ),"")</f>
        <v/>
      </c>
      <c r="N6296" s="481"/>
    </row>
    <row r="6297" spans="3:14">
      <c r="C6297" s="484"/>
      <c r="D6297" s="582">
        <v>4</v>
      </c>
      <c r="E6297" s="2603" t="str">
        <f>IFERROR(IF('[1]G_Fall-back'!E566 = "", "", '[1]G_Fall-back'!E566 ),"")</f>
        <v/>
      </c>
      <c r="F6297" s="2620"/>
      <c r="G6297" s="2730" t="str">
        <f>IFERROR(IF('[1]G_Fall-back'!G566 = "", "", '[1]G_Fall-back'!G566 ),"")</f>
        <v/>
      </c>
      <c r="H6297" s="2760"/>
      <c r="I6297" s="2760"/>
      <c r="J6297" s="2760"/>
      <c r="K6297" s="2760"/>
      <c r="L6297" s="2761"/>
      <c r="M6297" s="392" t="str">
        <f>IFERROR(IF('[1]G_Fall-back'!M566 = "", "", '[1]G_Fall-back'!M566 ),"")</f>
        <v/>
      </c>
      <c r="N6297" s="481"/>
    </row>
    <row r="6298" spans="3:14">
      <c r="C6298" s="484"/>
      <c r="D6298" s="582">
        <v>5</v>
      </c>
      <c r="E6298" s="2603" t="str">
        <f>IFERROR(IF('[1]G_Fall-back'!E567 = "", "", '[1]G_Fall-back'!E567 ),"")</f>
        <v/>
      </c>
      <c r="F6298" s="2620"/>
      <c r="G6298" s="2730" t="str">
        <f>IFERROR(IF('[1]G_Fall-back'!G567 = "", "", '[1]G_Fall-back'!G567 ),"")</f>
        <v/>
      </c>
      <c r="H6298" s="2760"/>
      <c r="I6298" s="2760"/>
      <c r="J6298" s="2760"/>
      <c r="K6298" s="2760"/>
      <c r="L6298" s="2761"/>
      <c r="M6298" s="392" t="str">
        <f>IFERROR(IF('[1]G_Fall-back'!M567 = "", "", '[1]G_Fall-back'!M567 ),"")</f>
        <v/>
      </c>
      <c r="N6298" s="481"/>
    </row>
    <row r="6299" spans="3:14">
      <c r="C6299" s="484"/>
      <c r="D6299" s="582">
        <v>6</v>
      </c>
      <c r="E6299" s="2603" t="str">
        <f>IFERROR(IF('[1]G_Fall-back'!E568 = "", "", '[1]G_Fall-back'!E568 ),"")</f>
        <v/>
      </c>
      <c r="F6299" s="2620"/>
      <c r="G6299" s="2730" t="str">
        <f>IFERROR(IF('[1]G_Fall-back'!G568 = "", "", '[1]G_Fall-back'!G568 ),"")</f>
        <v/>
      </c>
      <c r="H6299" s="2760"/>
      <c r="I6299" s="2760"/>
      <c r="J6299" s="2760"/>
      <c r="K6299" s="2760"/>
      <c r="L6299" s="2761"/>
      <c r="M6299" s="392" t="str">
        <f>IFERROR(IF('[1]G_Fall-back'!M568 = "", "", '[1]G_Fall-back'!M568 ),"")</f>
        <v/>
      </c>
      <c r="N6299" s="481"/>
    </row>
    <row r="6300" spans="3:14">
      <c r="C6300" s="484"/>
      <c r="D6300" s="582">
        <v>7</v>
      </c>
      <c r="E6300" s="2603" t="str">
        <f>IFERROR(IF('[1]G_Fall-back'!E569 = "", "", '[1]G_Fall-back'!E569 ),"")</f>
        <v/>
      </c>
      <c r="F6300" s="2620"/>
      <c r="G6300" s="2730" t="str">
        <f>IFERROR(IF('[1]G_Fall-back'!G569 = "", "", '[1]G_Fall-back'!G569 ),"")</f>
        <v/>
      </c>
      <c r="H6300" s="2760"/>
      <c r="I6300" s="2760"/>
      <c r="J6300" s="2760"/>
      <c r="K6300" s="2760"/>
      <c r="L6300" s="2761"/>
      <c r="M6300" s="392" t="str">
        <f>IFERROR(IF('[1]G_Fall-back'!M569 = "", "", '[1]G_Fall-back'!M569 ),"")</f>
        <v/>
      </c>
      <c r="N6300" s="481"/>
    </row>
    <row r="6301" spans="3:14">
      <c r="C6301" s="484"/>
      <c r="D6301" s="582">
        <v>8</v>
      </c>
      <c r="E6301" s="2603" t="str">
        <f>IFERROR(IF('[1]G_Fall-back'!E570 = "", "", '[1]G_Fall-back'!E570 ),"")</f>
        <v/>
      </c>
      <c r="F6301" s="2620"/>
      <c r="G6301" s="2730" t="str">
        <f>IFERROR(IF('[1]G_Fall-back'!G570 = "", "", '[1]G_Fall-back'!G570 ),"")</f>
        <v/>
      </c>
      <c r="H6301" s="2760"/>
      <c r="I6301" s="2760"/>
      <c r="J6301" s="2760"/>
      <c r="K6301" s="2760"/>
      <c r="L6301" s="2761"/>
      <c r="M6301" s="392" t="str">
        <f>IFERROR(IF('[1]G_Fall-back'!M570 = "", "", '[1]G_Fall-back'!M570 ),"")</f>
        <v/>
      </c>
      <c r="N6301" s="481"/>
    </row>
    <row r="6302" spans="3:14">
      <c r="C6302" s="484"/>
      <c r="D6302" s="582">
        <v>9</v>
      </c>
      <c r="E6302" s="2603" t="str">
        <f>IFERROR(IF('[1]G_Fall-back'!E571 = "", "", '[1]G_Fall-back'!E571 ),"")</f>
        <v/>
      </c>
      <c r="F6302" s="2620"/>
      <c r="G6302" s="2730" t="str">
        <f>IFERROR(IF('[1]G_Fall-back'!G571 = "", "", '[1]G_Fall-back'!G571 ),"")</f>
        <v/>
      </c>
      <c r="H6302" s="2760"/>
      <c r="I6302" s="2760"/>
      <c r="J6302" s="2760"/>
      <c r="K6302" s="2760"/>
      <c r="L6302" s="2761"/>
      <c r="M6302" s="392" t="str">
        <f>IFERROR(IF('[1]G_Fall-back'!M571 = "", "", '[1]G_Fall-back'!M571 ),"")</f>
        <v/>
      </c>
      <c r="N6302" s="481"/>
    </row>
    <row r="6303" spans="3:14">
      <c r="C6303" s="484"/>
      <c r="D6303" s="584">
        <v>10</v>
      </c>
      <c r="E6303" s="2613" t="str">
        <f>IFERROR(IF('[1]G_Fall-back'!E572 = "", "", '[1]G_Fall-back'!E572 ),"")</f>
        <v/>
      </c>
      <c r="F6303" s="2627"/>
      <c r="G6303" s="2733" t="str">
        <f>IFERROR(IF('[1]G_Fall-back'!G572 = "", "", '[1]G_Fall-back'!G572 ),"")</f>
        <v/>
      </c>
      <c r="H6303" s="2762"/>
      <c r="I6303" s="2762"/>
      <c r="J6303" s="2762"/>
      <c r="K6303" s="2762"/>
      <c r="L6303" s="2763"/>
      <c r="M6303" s="393" t="str">
        <f>IFERROR(IF('[1]G_Fall-back'!M572 = "", "", '[1]G_Fall-back'!M572 ),"")</f>
        <v/>
      </c>
      <c r="N6303" s="481"/>
    </row>
    <row r="6304" spans="3:14">
      <c r="C6304" s="467"/>
      <c r="D6304" s="467"/>
      <c r="E6304" s="467"/>
      <c r="F6304" s="467"/>
      <c r="G6304" s="467"/>
      <c r="H6304" s="467"/>
      <c r="I6304" s="467"/>
      <c r="J6304" s="467"/>
      <c r="K6304" s="467"/>
      <c r="L6304" s="467"/>
      <c r="M6304" s="467"/>
      <c r="N6304" s="467"/>
    </row>
    <row r="6305" spans="3:14">
      <c r="C6305" s="482"/>
      <c r="D6305" s="482"/>
      <c r="E6305" s="2373" t="s">
        <v>1477</v>
      </c>
      <c r="F6305" s="2400"/>
      <c r="G6305" s="2400"/>
      <c r="H6305" s="2400"/>
      <c r="I6305" s="2400"/>
      <c r="J6305" s="2400"/>
      <c r="K6305" s="2400"/>
      <c r="L6305" s="2400"/>
      <c r="M6305" s="2400"/>
      <c r="N6305" s="2400"/>
    </row>
    <row r="6306" spans="3:14">
      <c r="C6306" s="482"/>
      <c r="D6306" s="482"/>
      <c r="E6306" s="2465" t="s">
        <v>1929</v>
      </c>
      <c r="F6306" s="2400"/>
      <c r="G6306" s="2400"/>
      <c r="H6306" s="2400"/>
      <c r="I6306" s="2400"/>
      <c r="J6306" s="2400"/>
      <c r="K6306" s="2400"/>
      <c r="L6306" s="2400"/>
      <c r="M6306" s="2400"/>
      <c r="N6306" s="2400"/>
    </row>
    <row r="6307" spans="3:14">
      <c r="C6307" s="482"/>
      <c r="D6307" s="482"/>
      <c r="E6307" s="2465" t="s">
        <v>1878</v>
      </c>
      <c r="F6307" s="2400"/>
      <c r="G6307" s="2400"/>
      <c r="H6307" s="2400"/>
      <c r="I6307" s="2400"/>
      <c r="J6307" s="2400"/>
      <c r="K6307" s="2400"/>
      <c r="L6307" s="2400"/>
      <c r="M6307" s="2400"/>
      <c r="N6307" s="2400"/>
    </row>
    <row r="6308" spans="3:14">
      <c r="C6308" s="482"/>
      <c r="D6308" s="482"/>
      <c r="E6308" s="2465" t="s">
        <v>1947</v>
      </c>
      <c r="F6308" s="2400"/>
      <c r="G6308" s="2400"/>
      <c r="H6308" s="2400"/>
      <c r="I6308" s="2400"/>
      <c r="J6308" s="2400"/>
      <c r="K6308" s="2400"/>
      <c r="L6308" s="2400"/>
      <c r="M6308" s="2400"/>
      <c r="N6308" s="2400"/>
    </row>
    <row r="6309" spans="3:14">
      <c r="C6309" s="485"/>
      <c r="D6309" s="485"/>
      <c r="E6309" s="617"/>
      <c r="F6309" s="617"/>
      <c r="G6309" s="617"/>
      <c r="H6309" s="617"/>
      <c r="I6309" s="617"/>
      <c r="J6309" s="468"/>
      <c r="K6309" s="468"/>
      <c r="L6309" s="468"/>
      <c r="M6309" s="481"/>
      <c r="N6309" s="481"/>
    </row>
    <row r="6310" spans="3:14">
      <c r="C6310" s="1028"/>
      <c r="D6310" s="1029"/>
      <c r="E6310" s="870" t="s">
        <v>28</v>
      </c>
      <c r="F6310" s="1030" t="s">
        <v>884</v>
      </c>
      <c r="G6310" s="1031" t="s">
        <v>2213</v>
      </c>
      <c r="H6310" s="1032">
        <v>2019</v>
      </c>
      <c r="I6310" s="1031">
        <v>2020</v>
      </c>
      <c r="J6310" s="1032">
        <v>2021</v>
      </c>
      <c r="K6310" s="1033">
        <v>2022</v>
      </c>
      <c r="L6310" s="1033">
        <v>2023</v>
      </c>
      <c r="M6310" s="1033">
        <v>2024</v>
      </c>
      <c r="N6310" s="1033">
        <v>2025</v>
      </c>
    </row>
    <row r="6311" spans="3:14">
      <c r="C6311" s="484"/>
      <c r="D6311" s="579">
        <v>1</v>
      </c>
      <c r="E6311" s="75" t="str">
        <f>IFERROR(IF('[1]G_Fall-back'!E580 = "", "", '[1]G_Fall-back'!E580 ),"")</f>
        <v/>
      </c>
      <c r="F6311" s="67" t="str">
        <f>IFERROR(IF('[1]G_Fall-back'!F580 = "", "", '[1]G_Fall-back'!F580 ),"")</f>
        <v/>
      </c>
      <c r="G6311" s="110" t="str">
        <f>IFERROR(IF('[1]G_Fall-back'!G580 = "", "", '[1]G_Fall-back'!G580 ),"")</f>
        <v/>
      </c>
      <c r="H6311" s="111" t="str">
        <f>IFERROR(IF('[1]G_Fall-back'!H580 = "", "", '[1]G_Fall-back'!H580 ),"")</f>
        <v/>
      </c>
      <c r="I6311" s="110" t="str">
        <f>IFERROR(IF('[1]G_Fall-back'!I580 = "", "", '[1]G_Fall-back'!I580 ),"")</f>
        <v/>
      </c>
      <c r="J6311" s="111" t="str">
        <f>IFERROR(IF('[1]G_Fall-back'!J580 = "", "", '[1]G_Fall-back'!J580 ),"")</f>
        <v/>
      </c>
      <c r="K6311" s="94" t="str">
        <f>IFERROR(IF('[1]G_Fall-back'!K580 = "", "", '[1]G_Fall-back'!K580 ),"")</f>
        <v/>
      </c>
      <c r="L6311" s="94" t="str">
        <f>IFERROR(IF('[1]G_Fall-back'!L580 = "", "", '[1]G_Fall-back'!L580 ),"")</f>
        <v/>
      </c>
      <c r="M6311" s="94" t="str">
        <f>IFERROR(IF('[1]G_Fall-back'!M580 = "", "", '[1]G_Fall-back'!M580 ),"")</f>
        <v/>
      </c>
      <c r="N6311" s="94" t="str">
        <f>IFERROR(IF('[1]G_Fall-back'!N580 = "", "", '[1]G_Fall-back'!N580 ),"")</f>
        <v/>
      </c>
    </row>
    <row r="6312" spans="3:14">
      <c r="C6312" s="484"/>
      <c r="D6312" s="582">
        <v>2</v>
      </c>
      <c r="E6312" s="76" t="str">
        <f>IFERROR(IF('[1]G_Fall-back'!E581 = "", "", '[1]G_Fall-back'!E581 ),"")</f>
        <v/>
      </c>
      <c r="F6312" s="77" t="str">
        <f>IFERROR(IF('[1]G_Fall-back'!F581 = "", "", '[1]G_Fall-back'!F581 ),"")</f>
        <v/>
      </c>
      <c r="G6312" s="361" t="str">
        <f>IFERROR(IF('[1]G_Fall-back'!G581 = "", "", '[1]G_Fall-back'!G581 ),"")</f>
        <v/>
      </c>
      <c r="H6312" s="362" t="str">
        <f>IFERROR(IF('[1]G_Fall-back'!H581 = "", "", '[1]G_Fall-back'!H581 ),"")</f>
        <v/>
      </c>
      <c r="I6312" s="361" t="str">
        <f>IFERROR(IF('[1]G_Fall-back'!I581 = "", "", '[1]G_Fall-back'!I581 ),"")</f>
        <v/>
      </c>
      <c r="J6312" s="362" t="str">
        <f>IFERROR(IF('[1]G_Fall-back'!J581 = "", "", '[1]G_Fall-back'!J581 ),"")</f>
        <v/>
      </c>
      <c r="K6312" s="101" t="str">
        <f>IFERROR(IF('[1]G_Fall-back'!K581 = "", "", '[1]G_Fall-back'!K581 ),"")</f>
        <v/>
      </c>
      <c r="L6312" s="101" t="str">
        <f>IFERROR(IF('[1]G_Fall-back'!L581 = "", "", '[1]G_Fall-back'!L581 ),"")</f>
        <v/>
      </c>
      <c r="M6312" s="101" t="str">
        <f>IFERROR(IF('[1]G_Fall-back'!M581 = "", "", '[1]G_Fall-back'!M581 ),"")</f>
        <v/>
      </c>
      <c r="N6312" s="101" t="str">
        <f>IFERROR(IF('[1]G_Fall-back'!N581 = "", "", '[1]G_Fall-back'!N581 ),"")</f>
        <v/>
      </c>
    </row>
    <row r="6313" spans="3:14">
      <c r="C6313" s="484"/>
      <c r="D6313" s="582">
        <v>3</v>
      </c>
      <c r="E6313" s="76" t="str">
        <f>IFERROR(IF('[1]G_Fall-back'!E582 = "", "", '[1]G_Fall-back'!E582 ),"")</f>
        <v/>
      </c>
      <c r="F6313" s="77" t="str">
        <f>IFERROR(IF('[1]G_Fall-back'!F582 = "", "", '[1]G_Fall-back'!F582 ),"")</f>
        <v/>
      </c>
      <c r="G6313" s="361" t="str">
        <f>IFERROR(IF('[1]G_Fall-back'!G582 = "", "", '[1]G_Fall-back'!G582 ),"")</f>
        <v/>
      </c>
      <c r="H6313" s="362" t="str">
        <f>IFERROR(IF('[1]G_Fall-back'!H582 = "", "", '[1]G_Fall-back'!H582 ),"")</f>
        <v/>
      </c>
      <c r="I6313" s="361" t="str">
        <f>IFERROR(IF('[1]G_Fall-back'!I582 = "", "", '[1]G_Fall-back'!I582 ),"")</f>
        <v/>
      </c>
      <c r="J6313" s="362" t="str">
        <f>IFERROR(IF('[1]G_Fall-back'!J582 = "", "", '[1]G_Fall-back'!J582 ),"")</f>
        <v/>
      </c>
      <c r="K6313" s="101" t="str">
        <f>IFERROR(IF('[1]G_Fall-back'!K582 = "", "", '[1]G_Fall-back'!K582 ),"")</f>
        <v/>
      </c>
      <c r="L6313" s="101" t="str">
        <f>IFERROR(IF('[1]G_Fall-back'!L582 = "", "", '[1]G_Fall-back'!L582 ),"")</f>
        <v/>
      </c>
      <c r="M6313" s="101" t="str">
        <f>IFERROR(IF('[1]G_Fall-back'!M582 = "", "", '[1]G_Fall-back'!M582 ),"")</f>
        <v/>
      </c>
      <c r="N6313" s="101" t="str">
        <f>IFERROR(IF('[1]G_Fall-back'!N582 = "", "", '[1]G_Fall-back'!N582 ),"")</f>
        <v/>
      </c>
    </row>
    <row r="6314" spans="3:14">
      <c r="C6314" s="484"/>
      <c r="D6314" s="582">
        <v>4</v>
      </c>
      <c r="E6314" s="76" t="str">
        <f>IFERROR(IF('[1]G_Fall-back'!E583 = "", "", '[1]G_Fall-back'!E583 ),"")</f>
        <v/>
      </c>
      <c r="F6314" s="77" t="str">
        <f>IFERROR(IF('[1]G_Fall-back'!F583 = "", "", '[1]G_Fall-back'!F583 ),"")</f>
        <v/>
      </c>
      <c r="G6314" s="361" t="str">
        <f>IFERROR(IF('[1]G_Fall-back'!G583 = "", "", '[1]G_Fall-back'!G583 ),"")</f>
        <v/>
      </c>
      <c r="H6314" s="362" t="str">
        <f>IFERROR(IF('[1]G_Fall-back'!H583 = "", "", '[1]G_Fall-back'!H583 ),"")</f>
        <v/>
      </c>
      <c r="I6314" s="361" t="str">
        <f>IFERROR(IF('[1]G_Fall-back'!I583 = "", "", '[1]G_Fall-back'!I583 ),"")</f>
        <v/>
      </c>
      <c r="J6314" s="362" t="str">
        <f>IFERROR(IF('[1]G_Fall-back'!J583 = "", "", '[1]G_Fall-back'!J583 ),"")</f>
        <v/>
      </c>
      <c r="K6314" s="101" t="str">
        <f>IFERROR(IF('[1]G_Fall-back'!K583 = "", "", '[1]G_Fall-back'!K583 ),"")</f>
        <v/>
      </c>
      <c r="L6314" s="101" t="str">
        <f>IFERROR(IF('[1]G_Fall-back'!L583 = "", "", '[1]G_Fall-back'!L583 ),"")</f>
        <v/>
      </c>
      <c r="M6314" s="101" t="str">
        <f>IFERROR(IF('[1]G_Fall-back'!M583 = "", "", '[1]G_Fall-back'!M583 ),"")</f>
        <v/>
      </c>
      <c r="N6314" s="101" t="str">
        <f>IFERROR(IF('[1]G_Fall-back'!N583 = "", "", '[1]G_Fall-back'!N583 ),"")</f>
        <v/>
      </c>
    </row>
    <row r="6315" spans="3:14">
      <c r="C6315" s="484"/>
      <c r="D6315" s="582">
        <v>5</v>
      </c>
      <c r="E6315" s="76" t="str">
        <f>IFERROR(IF('[1]G_Fall-back'!E584 = "", "", '[1]G_Fall-back'!E584 ),"")</f>
        <v/>
      </c>
      <c r="F6315" s="77" t="str">
        <f>IFERROR(IF('[1]G_Fall-back'!F584 = "", "", '[1]G_Fall-back'!F584 ),"")</f>
        <v/>
      </c>
      <c r="G6315" s="361" t="str">
        <f>IFERROR(IF('[1]G_Fall-back'!G584 = "", "", '[1]G_Fall-back'!G584 ),"")</f>
        <v/>
      </c>
      <c r="H6315" s="362" t="str">
        <f>IFERROR(IF('[1]G_Fall-back'!H584 = "", "", '[1]G_Fall-back'!H584 ),"")</f>
        <v/>
      </c>
      <c r="I6315" s="361" t="str">
        <f>IFERROR(IF('[1]G_Fall-back'!I584 = "", "", '[1]G_Fall-back'!I584 ),"")</f>
        <v/>
      </c>
      <c r="J6315" s="362" t="str">
        <f>IFERROR(IF('[1]G_Fall-back'!J584 = "", "", '[1]G_Fall-back'!J584 ),"")</f>
        <v/>
      </c>
      <c r="K6315" s="101" t="str">
        <f>IFERROR(IF('[1]G_Fall-back'!K584 = "", "", '[1]G_Fall-back'!K584 ),"")</f>
        <v/>
      </c>
      <c r="L6315" s="101" t="str">
        <f>IFERROR(IF('[1]G_Fall-back'!L584 = "", "", '[1]G_Fall-back'!L584 ),"")</f>
        <v/>
      </c>
      <c r="M6315" s="101" t="str">
        <f>IFERROR(IF('[1]G_Fall-back'!M584 = "", "", '[1]G_Fall-back'!M584 ),"")</f>
        <v/>
      </c>
      <c r="N6315" s="101" t="str">
        <f>IFERROR(IF('[1]G_Fall-back'!N584 = "", "", '[1]G_Fall-back'!N584 ),"")</f>
        <v/>
      </c>
    </row>
    <row r="6316" spans="3:14">
      <c r="C6316" s="484"/>
      <c r="D6316" s="582">
        <v>6</v>
      </c>
      <c r="E6316" s="76" t="str">
        <f>IFERROR(IF('[1]G_Fall-back'!E585 = "", "", '[1]G_Fall-back'!E585 ),"")</f>
        <v/>
      </c>
      <c r="F6316" s="77" t="str">
        <f>IFERROR(IF('[1]G_Fall-back'!F585 = "", "", '[1]G_Fall-back'!F585 ),"")</f>
        <v/>
      </c>
      <c r="G6316" s="361" t="str">
        <f>IFERROR(IF('[1]G_Fall-back'!G585 = "", "", '[1]G_Fall-back'!G585 ),"")</f>
        <v/>
      </c>
      <c r="H6316" s="362" t="str">
        <f>IFERROR(IF('[1]G_Fall-back'!H585 = "", "", '[1]G_Fall-back'!H585 ),"")</f>
        <v/>
      </c>
      <c r="I6316" s="361" t="str">
        <f>IFERROR(IF('[1]G_Fall-back'!I585 = "", "", '[1]G_Fall-back'!I585 ),"")</f>
        <v/>
      </c>
      <c r="J6316" s="362" t="str">
        <f>IFERROR(IF('[1]G_Fall-back'!J585 = "", "", '[1]G_Fall-back'!J585 ),"")</f>
        <v/>
      </c>
      <c r="K6316" s="101" t="str">
        <f>IFERROR(IF('[1]G_Fall-back'!K585 = "", "", '[1]G_Fall-back'!K585 ),"")</f>
        <v/>
      </c>
      <c r="L6316" s="101" t="str">
        <f>IFERROR(IF('[1]G_Fall-back'!L585 = "", "", '[1]G_Fall-back'!L585 ),"")</f>
        <v/>
      </c>
      <c r="M6316" s="101" t="str">
        <f>IFERROR(IF('[1]G_Fall-back'!M585 = "", "", '[1]G_Fall-back'!M585 ),"")</f>
        <v/>
      </c>
      <c r="N6316" s="101" t="str">
        <f>IFERROR(IF('[1]G_Fall-back'!N585 = "", "", '[1]G_Fall-back'!N585 ),"")</f>
        <v/>
      </c>
    </row>
    <row r="6317" spans="3:14">
      <c r="C6317" s="484"/>
      <c r="D6317" s="582">
        <v>7</v>
      </c>
      <c r="E6317" s="76" t="str">
        <f>IFERROR(IF('[1]G_Fall-back'!E586 = "", "", '[1]G_Fall-back'!E586 ),"")</f>
        <v/>
      </c>
      <c r="F6317" s="77" t="str">
        <f>IFERROR(IF('[1]G_Fall-back'!F586 = "", "", '[1]G_Fall-back'!F586 ),"")</f>
        <v/>
      </c>
      <c r="G6317" s="361" t="str">
        <f>IFERROR(IF('[1]G_Fall-back'!G586 = "", "", '[1]G_Fall-back'!G586 ),"")</f>
        <v/>
      </c>
      <c r="H6317" s="362" t="str">
        <f>IFERROR(IF('[1]G_Fall-back'!H586 = "", "", '[1]G_Fall-back'!H586 ),"")</f>
        <v/>
      </c>
      <c r="I6317" s="361" t="str">
        <f>IFERROR(IF('[1]G_Fall-back'!I586 = "", "", '[1]G_Fall-back'!I586 ),"")</f>
        <v/>
      </c>
      <c r="J6317" s="362" t="str">
        <f>IFERROR(IF('[1]G_Fall-back'!J586 = "", "", '[1]G_Fall-back'!J586 ),"")</f>
        <v/>
      </c>
      <c r="K6317" s="101" t="str">
        <f>IFERROR(IF('[1]G_Fall-back'!K586 = "", "", '[1]G_Fall-back'!K586 ),"")</f>
        <v/>
      </c>
      <c r="L6317" s="101" t="str">
        <f>IFERROR(IF('[1]G_Fall-back'!L586 = "", "", '[1]G_Fall-back'!L586 ),"")</f>
        <v/>
      </c>
      <c r="M6317" s="101" t="str">
        <f>IFERROR(IF('[1]G_Fall-back'!M586 = "", "", '[1]G_Fall-back'!M586 ),"")</f>
        <v/>
      </c>
      <c r="N6317" s="101" t="str">
        <f>IFERROR(IF('[1]G_Fall-back'!N586 = "", "", '[1]G_Fall-back'!N586 ),"")</f>
        <v/>
      </c>
    </row>
    <row r="6318" spans="3:14">
      <c r="C6318" s="484"/>
      <c r="D6318" s="582">
        <v>8</v>
      </c>
      <c r="E6318" s="76" t="str">
        <f>IFERROR(IF('[1]G_Fall-back'!E587 = "", "", '[1]G_Fall-back'!E587 ),"")</f>
        <v/>
      </c>
      <c r="F6318" s="77" t="str">
        <f>IFERROR(IF('[1]G_Fall-back'!F587 = "", "", '[1]G_Fall-back'!F587 ),"")</f>
        <v/>
      </c>
      <c r="G6318" s="361" t="str">
        <f>IFERROR(IF('[1]G_Fall-back'!G587 = "", "", '[1]G_Fall-back'!G587 ),"")</f>
        <v/>
      </c>
      <c r="H6318" s="362" t="str">
        <f>IFERROR(IF('[1]G_Fall-back'!H587 = "", "", '[1]G_Fall-back'!H587 ),"")</f>
        <v/>
      </c>
      <c r="I6318" s="361" t="str">
        <f>IFERROR(IF('[1]G_Fall-back'!I587 = "", "", '[1]G_Fall-back'!I587 ),"")</f>
        <v/>
      </c>
      <c r="J6318" s="362" t="str">
        <f>IFERROR(IF('[1]G_Fall-back'!J587 = "", "", '[1]G_Fall-back'!J587 ),"")</f>
        <v/>
      </c>
      <c r="K6318" s="101" t="str">
        <f>IFERROR(IF('[1]G_Fall-back'!K587 = "", "", '[1]G_Fall-back'!K587 ),"")</f>
        <v/>
      </c>
      <c r="L6318" s="101" t="str">
        <f>IFERROR(IF('[1]G_Fall-back'!L587 = "", "", '[1]G_Fall-back'!L587 ),"")</f>
        <v/>
      </c>
      <c r="M6318" s="101" t="str">
        <f>IFERROR(IF('[1]G_Fall-back'!M587 = "", "", '[1]G_Fall-back'!M587 ),"")</f>
        <v/>
      </c>
      <c r="N6318" s="101" t="str">
        <f>IFERROR(IF('[1]G_Fall-back'!N587 = "", "", '[1]G_Fall-back'!N587 ),"")</f>
        <v/>
      </c>
    </row>
    <row r="6319" spans="3:14">
      <c r="C6319" s="484"/>
      <c r="D6319" s="582">
        <v>9</v>
      </c>
      <c r="E6319" s="76" t="str">
        <f>IFERROR(IF('[1]G_Fall-back'!E588 = "", "", '[1]G_Fall-back'!E588 ),"")</f>
        <v/>
      </c>
      <c r="F6319" s="77" t="str">
        <f>IFERROR(IF('[1]G_Fall-back'!F588 = "", "", '[1]G_Fall-back'!F588 ),"")</f>
        <v/>
      </c>
      <c r="G6319" s="361" t="str">
        <f>IFERROR(IF('[1]G_Fall-back'!G588 = "", "", '[1]G_Fall-back'!G588 ),"")</f>
        <v/>
      </c>
      <c r="H6319" s="362" t="str">
        <f>IFERROR(IF('[1]G_Fall-back'!H588 = "", "", '[1]G_Fall-back'!H588 ),"")</f>
        <v/>
      </c>
      <c r="I6319" s="361" t="str">
        <f>IFERROR(IF('[1]G_Fall-back'!I588 = "", "", '[1]G_Fall-back'!I588 ),"")</f>
        <v/>
      </c>
      <c r="J6319" s="362" t="str">
        <f>IFERROR(IF('[1]G_Fall-back'!J588 = "", "", '[1]G_Fall-back'!J588 ),"")</f>
        <v/>
      </c>
      <c r="K6319" s="101" t="str">
        <f>IFERROR(IF('[1]G_Fall-back'!K588 = "", "", '[1]G_Fall-back'!K588 ),"")</f>
        <v/>
      </c>
      <c r="L6319" s="101" t="str">
        <f>IFERROR(IF('[1]G_Fall-back'!L588 = "", "", '[1]G_Fall-back'!L588 ),"")</f>
        <v/>
      </c>
      <c r="M6319" s="101" t="str">
        <f>IFERROR(IF('[1]G_Fall-back'!M588 = "", "", '[1]G_Fall-back'!M588 ),"")</f>
        <v/>
      </c>
      <c r="N6319" s="101" t="str">
        <f>IFERROR(IF('[1]G_Fall-back'!N588 = "", "", '[1]G_Fall-back'!N588 ),"")</f>
        <v/>
      </c>
    </row>
    <row r="6320" spans="3:14">
      <c r="C6320" s="484"/>
      <c r="D6320" s="584">
        <v>10</v>
      </c>
      <c r="E6320" s="78" t="str">
        <f>IFERROR(IF('[1]G_Fall-back'!E589 = "", "", '[1]G_Fall-back'!E589 ),"")</f>
        <v/>
      </c>
      <c r="F6320" s="68" t="str">
        <f>IFERROR(IF('[1]G_Fall-back'!F589 = "", "", '[1]G_Fall-back'!F589 ),"")</f>
        <v/>
      </c>
      <c r="G6320" s="113" t="str">
        <f>IFERROR(IF('[1]G_Fall-back'!G589 = "", "", '[1]G_Fall-back'!G589 ),"")</f>
        <v/>
      </c>
      <c r="H6320" s="114" t="str">
        <f>IFERROR(IF('[1]G_Fall-back'!H589 = "", "", '[1]G_Fall-back'!H589 ),"")</f>
        <v/>
      </c>
      <c r="I6320" s="113" t="str">
        <f>IFERROR(IF('[1]G_Fall-back'!I589 = "", "", '[1]G_Fall-back'!I589 ),"")</f>
        <v/>
      </c>
      <c r="J6320" s="114" t="str">
        <f>IFERROR(IF('[1]G_Fall-back'!J589 = "", "", '[1]G_Fall-back'!J589 ),"")</f>
        <v/>
      </c>
      <c r="K6320" s="95" t="str">
        <f>IFERROR(IF('[1]G_Fall-back'!K589 = "", "", '[1]G_Fall-back'!K589 ),"")</f>
        <v/>
      </c>
      <c r="L6320" s="95" t="str">
        <f>IFERROR(IF('[1]G_Fall-back'!L589 = "", "", '[1]G_Fall-back'!L589 ),"")</f>
        <v/>
      </c>
      <c r="M6320" s="95" t="str">
        <f>IFERROR(IF('[1]G_Fall-back'!M589 = "", "", '[1]G_Fall-back'!M589 ),"")</f>
        <v/>
      </c>
      <c r="N6320" s="95" t="str">
        <f>IFERROR(IF('[1]G_Fall-back'!N589 = "", "", '[1]G_Fall-back'!N589 ),"")</f>
        <v/>
      </c>
    </row>
    <row r="6321" spans="3:14">
      <c r="C6321" s="485"/>
      <c r="D6321" s="971"/>
      <c r="E6321" s="972" t="s">
        <v>921</v>
      </c>
      <c r="F6321" s="68" t="str">
        <f>IFERROR(IF('[1]G_Fall-back'!F590 = "", "", '[1]G_Fall-back'!F590 ),"")</f>
        <v/>
      </c>
      <c r="G6321" s="340" t="str">
        <f>IFERROR(IF('[1]G_Fall-back'!G590 = "", "", '[1]G_Fall-back'!G590 ),"")</f>
        <v/>
      </c>
      <c r="H6321" s="341" t="str">
        <f>IFERROR(IF('[1]G_Fall-back'!H590 = "", "", '[1]G_Fall-back'!H590 ),"")</f>
        <v/>
      </c>
      <c r="I6321" s="340" t="str">
        <f>IFERROR(IF('[1]G_Fall-back'!I590 = "", "", '[1]G_Fall-back'!I590 ),"")</f>
        <v/>
      </c>
      <c r="J6321" s="341" t="str">
        <f>IFERROR(IF('[1]G_Fall-back'!J590 = "", "", '[1]G_Fall-back'!J590 ),"")</f>
        <v/>
      </c>
      <c r="K6321" s="86" t="str">
        <f>IFERROR(IF('[1]G_Fall-back'!K590 = "", "", '[1]G_Fall-back'!K590 ),"")</f>
        <v/>
      </c>
      <c r="L6321" s="86" t="str">
        <f>IFERROR(IF('[1]G_Fall-back'!L590 = "", "", '[1]G_Fall-back'!L590 ),"")</f>
        <v/>
      </c>
      <c r="M6321" s="86" t="str">
        <f>IFERROR(IF('[1]G_Fall-back'!M590 = "", "", '[1]G_Fall-back'!M590 ),"")</f>
        <v/>
      </c>
      <c r="N6321" s="86" t="str">
        <f>IFERROR(IF('[1]G_Fall-back'!N590 = "", "", '[1]G_Fall-back'!N590 ),"")</f>
        <v/>
      </c>
    </row>
    <row r="6322" spans="3:14">
      <c r="C6322" s="467"/>
      <c r="D6322" s="467"/>
      <c r="E6322" s="467"/>
      <c r="F6322" s="467"/>
      <c r="G6322" s="467"/>
      <c r="H6322" s="467"/>
      <c r="I6322" s="467"/>
      <c r="J6322" s="467"/>
      <c r="K6322" s="467"/>
      <c r="L6322" s="467"/>
      <c r="M6322" s="467"/>
      <c r="N6322" s="467"/>
    </row>
    <row r="6323" spans="3:14">
      <c r="C6323" s="467"/>
      <c r="D6323" s="482" t="s">
        <v>1711</v>
      </c>
      <c r="E6323" s="2373" t="s">
        <v>1926</v>
      </c>
      <c r="F6323" s="2400"/>
      <c r="G6323" s="2400"/>
      <c r="H6323" s="2400"/>
      <c r="I6323" s="2400"/>
      <c r="J6323" s="2400"/>
      <c r="K6323" s="2400"/>
      <c r="L6323" s="2400"/>
      <c r="M6323" s="2400"/>
      <c r="N6323" s="2400"/>
    </row>
    <row r="6324" spans="3:14">
      <c r="C6324" s="485"/>
      <c r="D6324" s="485"/>
      <c r="E6324" s="2465" t="s">
        <v>1877</v>
      </c>
      <c r="F6324" s="2400"/>
      <c r="G6324" s="2400"/>
      <c r="H6324" s="2400"/>
      <c r="I6324" s="2400"/>
      <c r="J6324" s="2400"/>
      <c r="K6324" s="2400"/>
      <c r="L6324" s="2400"/>
      <c r="M6324" s="2400"/>
      <c r="N6324" s="2400"/>
    </row>
    <row r="6325" spans="3:14">
      <c r="C6325" s="467"/>
      <c r="D6325" s="467"/>
      <c r="E6325" s="2466" t="s">
        <v>1957</v>
      </c>
      <c r="F6325" s="2467"/>
      <c r="G6325" s="2467"/>
      <c r="H6325" s="2467"/>
      <c r="I6325" s="2467"/>
      <c r="J6325" s="2467"/>
      <c r="K6325" s="2467"/>
      <c r="L6325" s="2467"/>
      <c r="M6325" s="2467"/>
      <c r="N6325" s="2467"/>
    </row>
    <row r="6326" spans="3:14">
      <c r="C6326" s="467"/>
      <c r="D6326" s="467"/>
      <c r="E6326" s="2466" t="s">
        <v>2529</v>
      </c>
      <c r="F6326" s="2467"/>
      <c r="G6326" s="2467"/>
      <c r="H6326" s="2467"/>
      <c r="I6326" s="2467"/>
      <c r="J6326" s="2467"/>
      <c r="K6326" s="2467"/>
      <c r="L6326" s="2467"/>
      <c r="M6326" s="2467"/>
      <c r="N6326" s="2467"/>
    </row>
    <row r="6327" spans="3:14">
      <c r="C6327" s="467"/>
      <c r="D6327" s="467"/>
      <c r="E6327" s="540" t="s">
        <v>1021</v>
      </c>
      <c r="F6327" s="2466" t="s">
        <v>1921</v>
      </c>
      <c r="G6327" s="2467"/>
      <c r="H6327" s="2467"/>
      <c r="I6327" s="2467"/>
      <c r="J6327" s="2467"/>
      <c r="K6327" s="2467"/>
      <c r="L6327" s="2467"/>
      <c r="M6327" s="2467"/>
      <c r="N6327" s="2467"/>
    </row>
    <row r="6328" spans="3:14">
      <c r="C6328" s="467"/>
      <c r="D6328" s="467"/>
      <c r="E6328" s="540" t="s">
        <v>1021</v>
      </c>
      <c r="F6328" s="2466" t="s">
        <v>1936</v>
      </c>
      <c r="G6328" s="2467"/>
      <c r="H6328" s="2467"/>
      <c r="I6328" s="2467"/>
      <c r="J6328" s="2467"/>
      <c r="K6328" s="2467"/>
      <c r="L6328" s="2467"/>
      <c r="M6328" s="2467"/>
      <c r="N6328" s="2467"/>
    </row>
    <row r="6329" spans="3:14">
      <c r="C6329" s="467"/>
      <c r="D6329" s="467"/>
      <c r="E6329" s="540" t="s">
        <v>2258</v>
      </c>
      <c r="F6329" s="2466" t="s">
        <v>2723</v>
      </c>
      <c r="G6329" s="2467"/>
      <c r="H6329" s="2467"/>
      <c r="I6329" s="2467"/>
      <c r="J6329" s="2467"/>
      <c r="K6329" s="2467"/>
      <c r="L6329" s="2467"/>
      <c r="M6329" s="2467"/>
      <c r="N6329" s="2467"/>
    </row>
    <row r="6330" spans="3:14">
      <c r="C6330" s="467"/>
      <c r="D6330" s="467"/>
      <c r="E6330" s="2465" t="s">
        <v>1931</v>
      </c>
      <c r="F6330" s="2400"/>
      <c r="G6330" s="2400"/>
      <c r="H6330" s="2400"/>
      <c r="I6330" s="2400"/>
      <c r="J6330" s="2400"/>
      <c r="K6330" s="2400"/>
      <c r="L6330" s="2400"/>
      <c r="M6330" s="2400"/>
      <c r="N6330" s="2400"/>
    </row>
    <row r="6331" spans="3:14">
      <c r="C6331" s="467"/>
      <c r="D6331" s="467"/>
      <c r="E6331" s="2465" t="s">
        <v>1903</v>
      </c>
      <c r="F6331" s="2400"/>
      <c r="G6331" s="2400"/>
      <c r="H6331" s="2400"/>
      <c r="I6331" s="2400"/>
      <c r="J6331" s="2400"/>
      <c r="K6331" s="2400"/>
      <c r="L6331" s="2400"/>
      <c r="M6331" s="2400"/>
      <c r="N6331" s="2400"/>
    </row>
    <row r="6332" spans="3:14">
      <c r="C6332" s="467"/>
      <c r="D6332" s="467"/>
      <c r="E6332" s="2465"/>
      <c r="F6332" s="2400"/>
      <c r="G6332" s="2400"/>
      <c r="H6332" s="2400"/>
      <c r="I6332" s="2400"/>
      <c r="J6332" s="2400"/>
      <c r="K6332" s="2400"/>
      <c r="L6332" s="2400"/>
      <c r="M6332" s="2400"/>
      <c r="N6332" s="2400"/>
    </row>
    <row r="6333" spans="3:14">
      <c r="C6333" s="1028"/>
      <c r="D6333" s="1029"/>
      <c r="E6333" s="870" t="s">
        <v>28</v>
      </c>
      <c r="F6333" s="1030" t="s">
        <v>884</v>
      </c>
      <c r="G6333" s="1031" t="s">
        <v>1710</v>
      </c>
      <c r="H6333" s="1032">
        <v>2019</v>
      </c>
      <c r="I6333" s="1031">
        <v>2020</v>
      </c>
      <c r="J6333" s="1032">
        <v>2021</v>
      </c>
      <c r="K6333" s="1033">
        <v>2022</v>
      </c>
      <c r="L6333" s="1033">
        <v>2023</v>
      </c>
      <c r="M6333" s="1033">
        <v>2024</v>
      </c>
      <c r="N6333" s="1033">
        <v>2025</v>
      </c>
    </row>
    <row r="6334" spans="3:14">
      <c r="C6334" s="484"/>
      <c r="D6334" s="579">
        <v>1</v>
      </c>
      <c r="E6334" s="75" t="str">
        <f>IFERROR(IF('[1]G_Fall-back'!E603 = "", "", '[1]G_Fall-back'!E603 ),"")</f>
        <v/>
      </c>
      <c r="F6334" s="950" t="s">
        <v>283</v>
      </c>
      <c r="G6334" s="110" t="str">
        <f>IFERROR(IF('[1]G_Fall-back'!G603 = "", "", '[1]G_Fall-back'!G603 ),"")</f>
        <v/>
      </c>
      <c r="H6334" s="111" t="str">
        <f>IFERROR(IF('[1]G_Fall-back'!H603 = "", "", '[1]G_Fall-back'!H603 ),"")</f>
        <v/>
      </c>
      <c r="I6334" s="110" t="str">
        <f>IFERROR(IF('[1]G_Fall-back'!I603 = "", "", '[1]G_Fall-back'!I603 ),"")</f>
        <v/>
      </c>
      <c r="J6334" s="111" t="str">
        <f>IFERROR(IF('[1]G_Fall-back'!J603 = "", "", '[1]G_Fall-back'!J603 ),"")</f>
        <v/>
      </c>
      <c r="K6334" s="94" t="str">
        <f>IFERROR(IF('[1]G_Fall-back'!K603 = "", "", '[1]G_Fall-back'!K603 ),"")</f>
        <v/>
      </c>
      <c r="L6334" s="94" t="str">
        <f>IFERROR(IF('[1]G_Fall-back'!L603 = "", "", '[1]G_Fall-back'!L603 ),"")</f>
        <v/>
      </c>
      <c r="M6334" s="94" t="str">
        <f>IFERROR(IF('[1]G_Fall-back'!M603 = "", "", '[1]G_Fall-back'!M603 ),"")</f>
        <v/>
      </c>
      <c r="N6334" s="94" t="str">
        <f>IFERROR(IF('[1]G_Fall-back'!N603 = "", "", '[1]G_Fall-back'!N603 ),"")</f>
        <v/>
      </c>
    </row>
    <row r="6335" spans="3:14">
      <c r="C6335" s="484"/>
      <c r="D6335" s="582">
        <v>2</v>
      </c>
      <c r="E6335" s="76" t="str">
        <f>IFERROR(IF('[1]G_Fall-back'!E604 = "", "", '[1]G_Fall-back'!E604 ),"")</f>
        <v/>
      </c>
      <c r="F6335" s="1038" t="s">
        <v>283</v>
      </c>
      <c r="G6335" s="361" t="str">
        <f>IFERROR(IF('[1]G_Fall-back'!G604 = "", "", '[1]G_Fall-back'!G604 ),"")</f>
        <v/>
      </c>
      <c r="H6335" s="362" t="str">
        <f>IFERROR(IF('[1]G_Fall-back'!H604 = "", "", '[1]G_Fall-back'!H604 ),"")</f>
        <v/>
      </c>
      <c r="I6335" s="361" t="str">
        <f>IFERROR(IF('[1]G_Fall-back'!I604 = "", "", '[1]G_Fall-back'!I604 ),"")</f>
        <v/>
      </c>
      <c r="J6335" s="362" t="str">
        <f>IFERROR(IF('[1]G_Fall-back'!J604 = "", "", '[1]G_Fall-back'!J604 ),"")</f>
        <v/>
      </c>
      <c r="K6335" s="101" t="str">
        <f>IFERROR(IF('[1]G_Fall-back'!K604 = "", "", '[1]G_Fall-back'!K604 ),"")</f>
        <v/>
      </c>
      <c r="L6335" s="101" t="str">
        <f>IFERROR(IF('[1]G_Fall-back'!L604 = "", "", '[1]G_Fall-back'!L604 ),"")</f>
        <v/>
      </c>
      <c r="M6335" s="101" t="str">
        <f>IFERROR(IF('[1]G_Fall-back'!M604 = "", "", '[1]G_Fall-back'!M604 ),"")</f>
        <v/>
      </c>
      <c r="N6335" s="101" t="str">
        <f>IFERROR(IF('[1]G_Fall-back'!N604 = "", "", '[1]G_Fall-back'!N604 ),"")</f>
        <v/>
      </c>
    </row>
    <row r="6336" spans="3:14">
      <c r="C6336" s="484"/>
      <c r="D6336" s="582">
        <v>3</v>
      </c>
      <c r="E6336" s="76" t="str">
        <f>IFERROR(IF('[1]G_Fall-back'!E605 = "", "", '[1]G_Fall-back'!E605 ),"")</f>
        <v/>
      </c>
      <c r="F6336" s="1038" t="s">
        <v>283</v>
      </c>
      <c r="G6336" s="361" t="str">
        <f>IFERROR(IF('[1]G_Fall-back'!G605 = "", "", '[1]G_Fall-back'!G605 ),"")</f>
        <v/>
      </c>
      <c r="H6336" s="362" t="str">
        <f>IFERROR(IF('[1]G_Fall-back'!H605 = "", "", '[1]G_Fall-back'!H605 ),"")</f>
        <v/>
      </c>
      <c r="I6336" s="361" t="str">
        <f>IFERROR(IF('[1]G_Fall-back'!I605 = "", "", '[1]G_Fall-back'!I605 ),"")</f>
        <v/>
      </c>
      <c r="J6336" s="362" t="str">
        <f>IFERROR(IF('[1]G_Fall-back'!J605 = "", "", '[1]G_Fall-back'!J605 ),"")</f>
        <v/>
      </c>
      <c r="K6336" s="101" t="str">
        <f>IFERROR(IF('[1]G_Fall-back'!K605 = "", "", '[1]G_Fall-back'!K605 ),"")</f>
        <v/>
      </c>
      <c r="L6336" s="101" t="str">
        <f>IFERROR(IF('[1]G_Fall-back'!L605 = "", "", '[1]G_Fall-back'!L605 ),"")</f>
        <v/>
      </c>
      <c r="M6336" s="101" t="str">
        <f>IFERROR(IF('[1]G_Fall-back'!M605 = "", "", '[1]G_Fall-back'!M605 ),"")</f>
        <v/>
      </c>
      <c r="N6336" s="101" t="str">
        <f>IFERROR(IF('[1]G_Fall-back'!N605 = "", "", '[1]G_Fall-back'!N605 ),"")</f>
        <v/>
      </c>
    </row>
    <row r="6337" spans="3:14">
      <c r="C6337" s="484"/>
      <c r="D6337" s="582">
        <v>4</v>
      </c>
      <c r="E6337" s="76" t="str">
        <f>IFERROR(IF('[1]G_Fall-back'!E606 = "", "", '[1]G_Fall-back'!E606 ),"")</f>
        <v/>
      </c>
      <c r="F6337" s="1038" t="s">
        <v>283</v>
      </c>
      <c r="G6337" s="361" t="str">
        <f>IFERROR(IF('[1]G_Fall-back'!G606 = "", "", '[1]G_Fall-back'!G606 ),"")</f>
        <v/>
      </c>
      <c r="H6337" s="362" t="str">
        <f>IFERROR(IF('[1]G_Fall-back'!H606 = "", "", '[1]G_Fall-back'!H606 ),"")</f>
        <v/>
      </c>
      <c r="I6337" s="361" t="str">
        <f>IFERROR(IF('[1]G_Fall-back'!I606 = "", "", '[1]G_Fall-back'!I606 ),"")</f>
        <v/>
      </c>
      <c r="J6337" s="362" t="str">
        <f>IFERROR(IF('[1]G_Fall-back'!J606 = "", "", '[1]G_Fall-back'!J606 ),"")</f>
        <v/>
      </c>
      <c r="K6337" s="101" t="str">
        <f>IFERROR(IF('[1]G_Fall-back'!K606 = "", "", '[1]G_Fall-back'!K606 ),"")</f>
        <v/>
      </c>
      <c r="L6337" s="101" t="str">
        <f>IFERROR(IF('[1]G_Fall-back'!L606 = "", "", '[1]G_Fall-back'!L606 ),"")</f>
        <v/>
      </c>
      <c r="M6337" s="101" t="str">
        <f>IFERROR(IF('[1]G_Fall-back'!M606 = "", "", '[1]G_Fall-back'!M606 ),"")</f>
        <v/>
      </c>
      <c r="N6337" s="101" t="str">
        <f>IFERROR(IF('[1]G_Fall-back'!N606 = "", "", '[1]G_Fall-back'!N606 ),"")</f>
        <v/>
      </c>
    </row>
    <row r="6338" spans="3:14">
      <c r="C6338" s="484"/>
      <c r="D6338" s="582">
        <v>5</v>
      </c>
      <c r="E6338" s="76" t="str">
        <f>IFERROR(IF('[1]G_Fall-back'!E607 = "", "", '[1]G_Fall-back'!E607 ),"")</f>
        <v/>
      </c>
      <c r="F6338" s="1038" t="s">
        <v>283</v>
      </c>
      <c r="G6338" s="361" t="str">
        <f>IFERROR(IF('[1]G_Fall-back'!G607 = "", "", '[1]G_Fall-back'!G607 ),"")</f>
        <v/>
      </c>
      <c r="H6338" s="362" t="str">
        <f>IFERROR(IF('[1]G_Fall-back'!H607 = "", "", '[1]G_Fall-back'!H607 ),"")</f>
        <v/>
      </c>
      <c r="I6338" s="361" t="str">
        <f>IFERROR(IF('[1]G_Fall-back'!I607 = "", "", '[1]G_Fall-back'!I607 ),"")</f>
        <v/>
      </c>
      <c r="J6338" s="362" t="str">
        <f>IFERROR(IF('[1]G_Fall-back'!J607 = "", "", '[1]G_Fall-back'!J607 ),"")</f>
        <v/>
      </c>
      <c r="K6338" s="101" t="str">
        <f>IFERROR(IF('[1]G_Fall-back'!K607 = "", "", '[1]G_Fall-back'!K607 ),"")</f>
        <v/>
      </c>
      <c r="L6338" s="101" t="str">
        <f>IFERROR(IF('[1]G_Fall-back'!L607 = "", "", '[1]G_Fall-back'!L607 ),"")</f>
        <v/>
      </c>
      <c r="M6338" s="101" t="str">
        <f>IFERROR(IF('[1]G_Fall-back'!M607 = "", "", '[1]G_Fall-back'!M607 ),"")</f>
        <v/>
      </c>
      <c r="N6338" s="101" t="str">
        <f>IFERROR(IF('[1]G_Fall-back'!N607 = "", "", '[1]G_Fall-back'!N607 ),"")</f>
        <v/>
      </c>
    </row>
    <row r="6339" spans="3:14">
      <c r="C6339" s="484"/>
      <c r="D6339" s="582">
        <v>6</v>
      </c>
      <c r="E6339" s="76" t="str">
        <f>IFERROR(IF('[1]G_Fall-back'!E608 = "", "", '[1]G_Fall-back'!E608 ),"")</f>
        <v/>
      </c>
      <c r="F6339" s="1038" t="s">
        <v>283</v>
      </c>
      <c r="G6339" s="361" t="str">
        <f>IFERROR(IF('[1]G_Fall-back'!G608 = "", "", '[1]G_Fall-back'!G608 ),"")</f>
        <v/>
      </c>
      <c r="H6339" s="362" t="str">
        <f>IFERROR(IF('[1]G_Fall-back'!H608 = "", "", '[1]G_Fall-back'!H608 ),"")</f>
        <v/>
      </c>
      <c r="I6339" s="361" t="str">
        <f>IFERROR(IF('[1]G_Fall-back'!I608 = "", "", '[1]G_Fall-back'!I608 ),"")</f>
        <v/>
      </c>
      <c r="J6339" s="362" t="str">
        <f>IFERROR(IF('[1]G_Fall-back'!J608 = "", "", '[1]G_Fall-back'!J608 ),"")</f>
        <v/>
      </c>
      <c r="K6339" s="101" t="str">
        <f>IFERROR(IF('[1]G_Fall-back'!K608 = "", "", '[1]G_Fall-back'!K608 ),"")</f>
        <v/>
      </c>
      <c r="L6339" s="101" t="str">
        <f>IFERROR(IF('[1]G_Fall-back'!L608 = "", "", '[1]G_Fall-back'!L608 ),"")</f>
        <v/>
      </c>
      <c r="M6339" s="101" t="str">
        <f>IFERROR(IF('[1]G_Fall-back'!M608 = "", "", '[1]G_Fall-back'!M608 ),"")</f>
        <v/>
      </c>
      <c r="N6339" s="101" t="str">
        <f>IFERROR(IF('[1]G_Fall-back'!N608 = "", "", '[1]G_Fall-back'!N608 ),"")</f>
        <v/>
      </c>
    </row>
    <row r="6340" spans="3:14">
      <c r="C6340" s="484"/>
      <c r="D6340" s="582">
        <v>7</v>
      </c>
      <c r="E6340" s="76" t="str">
        <f>IFERROR(IF('[1]G_Fall-back'!E609 = "", "", '[1]G_Fall-back'!E609 ),"")</f>
        <v/>
      </c>
      <c r="F6340" s="1038" t="s">
        <v>283</v>
      </c>
      <c r="G6340" s="361" t="str">
        <f>IFERROR(IF('[1]G_Fall-back'!G609 = "", "", '[1]G_Fall-back'!G609 ),"")</f>
        <v/>
      </c>
      <c r="H6340" s="362" t="str">
        <f>IFERROR(IF('[1]G_Fall-back'!H609 = "", "", '[1]G_Fall-back'!H609 ),"")</f>
        <v/>
      </c>
      <c r="I6340" s="361" t="str">
        <f>IFERROR(IF('[1]G_Fall-back'!I609 = "", "", '[1]G_Fall-back'!I609 ),"")</f>
        <v/>
      </c>
      <c r="J6340" s="362" t="str">
        <f>IFERROR(IF('[1]G_Fall-back'!J609 = "", "", '[1]G_Fall-back'!J609 ),"")</f>
        <v/>
      </c>
      <c r="K6340" s="101" t="str">
        <f>IFERROR(IF('[1]G_Fall-back'!K609 = "", "", '[1]G_Fall-back'!K609 ),"")</f>
        <v/>
      </c>
      <c r="L6340" s="101" t="str">
        <f>IFERROR(IF('[1]G_Fall-back'!L609 = "", "", '[1]G_Fall-back'!L609 ),"")</f>
        <v/>
      </c>
      <c r="M6340" s="101" t="str">
        <f>IFERROR(IF('[1]G_Fall-back'!M609 = "", "", '[1]G_Fall-back'!M609 ),"")</f>
        <v/>
      </c>
      <c r="N6340" s="101" t="str">
        <f>IFERROR(IF('[1]G_Fall-back'!N609 = "", "", '[1]G_Fall-back'!N609 ),"")</f>
        <v/>
      </c>
    </row>
    <row r="6341" spans="3:14">
      <c r="C6341" s="484"/>
      <c r="D6341" s="582">
        <v>8</v>
      </c>
      <c r="E6341" s="76" t="str">
        <f>IFERROR(IF('[1]G_Fall-back'!E610 = "", "", '[1]G_Fall-back'!E610 ),"")</f>
        <v/>
      </c>
      <c r="F6341" s="1038" t="s">
        <v>283</v>
      </c>
      <c r="G6341" s="361" t="str">
        <f>IFERROR(IF('[1]G_Fall-back'!G610 = "", "", '[1]G_Fall-back'!G610 ),"")</f>
        <v/>
      </c>
      <c r="H6341" s="362" t="str">
        <f>IFERROR(IF('[1]G_Fall-back'!H610 = "", "", '[1]G_Fall-back'!H610 ),"")</f>
        <v/>
      </c>
      <c r="I6341" s="361" t="str">
        <f>IFERROR(IF('[1]G_Fall-back'!I610 = "", "", '[1]G_Fall-back'!I610 ),"")</f>
        <v/>
      </c>
      <c r="J6341" s="362" t="str">
        <f>IFERROR(IF('[1]G_Fall-back'!J610 = "", "", '[1]G_Fall-back'!J610 ),"")</f>
        <v/>
      </c>
      <c r="K6341" s="101" t="str">
        <f>IFERROR(IF('[1]G_Fall-back'!K610 = "", "", '[1]G_Fall-back'!K610 ),"")</f>
        <v/>
      </c>
      <c r="L6341" s="101" t="str">
        <f>IFERROR(IF('[1]G_Fall-back'!L610 = "", "", '[1]G_Fall-back'!L610 ),"")</f>
        <v/>
      </c>
      <c r="M6341" s="101" t="str">
        <f>IFERROR(IF('[1]G_Fall-back'!M610 = "", "", '[1]G_Fall-back'!M610 ),"")</f>
        <v/>
      </c>
      <c r="N6341" s="101" t="str">
        <f>IFERROR(IF('[1]G_Fall-back'!N610 = "", "", '[1]G_Fall-back'!N610 ),"")</f>
        <v/>
      </c>
    </row>
    <row r="6342" spans="3:14">
      <c r="C6342" s="484"/>
      <c r="D6342" s="582">
        <v>9</v>
      </c>
      <c r="E6342" s="76" t="str">
        <f>IFERROR(IF('[1]G_Fall-back'!E611 = "", "", '[1]G_Fall-back'!E611 ),"")</f>
        <v/>
      </c>
      <c r="F6342" s="1038" t="s">
        <v>283</v>
      </c>
      <c r="G6342" s="361" t="str">
        <f>IFERROR(IF('[1]G_Fall-back'!G611 = "", "", '[1]G_Fall-back'!G611 ),"")</f>
        <v/>
      </c>
      <c r="H6342" s="362" t="str">
        <f>IFERROR(IF('[1]G_Fall-back'!H611 = "", "", '[1]G_Fall-back'!H611 ),"")</f>
        <v/>
      </c>
      <c r="I6342" s="361" t="str">
        <f>IFERROR(IF('[1]G_Fall-back'!I611 = "", "", '[1]G_Fall-back'!I611 ),"")</f>
        <v/>
      </c>
      <c r="J6342" s="362" t="str">
        <f>IFERROR(IF('[1]G_Fall-back'!J611 = "", "", '[1]G_Fall-back'!J611 ),"")</f>
        <v/>
      </c>
      <c r="K6342" s="101" t="str">
        <f>IFERROR(IF('[1]G_Fall-back'!K611 = "", "", '[1]G_Fall-back'!K611 ),"")</f>
        <v/>
      </c>
      <c r="L6342" s="101" t="str">
        <f>IFERROR(IF('[1]G_Fall-back'!L611 = "", "", '[1]G_Fall-back'!L611 ),"")</f>
        <v/>
      </c>
      <c r="M6342" s="101" t="str">
        <f>IFERROR(IF('[1]G_Fall-back'!M611 = "", "", '[1]G_Fall-back'!M611 ),"")</f>
        <v/>
      </c>
      <c r="N6342" s="101" t="str">
        <f>IFERROR(IF('[1]G_Fall-back'!N611 = "", "", '[1]G_Fall-back'!N611 ),"")</f>
        <v/>
      </c>
    </row>
    <row r="6343" spans="3:14">
      <c r="C6343" s="484"/>
      <c r="D6343" s="584">
        <v>10</v>
      </c>
      <c r="E6343" s="78" t="str">
        <f>IFERROR(IF('[1]G_Fall-back'!E612 = "", "", '[1]G_Fall-back'!E612 ),"")</f>
        <v/>
      </c>
      <c r="F6343" s="1039" t="s">
        <v>283</v>
      </c>
      <c r="G6343" s="113" t="str">
        <f>IFERROR(IF('[1]G_Fall-back'!G612 = "", "", '[1]G_Fall-back'!G612 ),"")</f>
        <v/>
      </c>
      <c r="H6343" s="114" t="str">
        <f>IFERROR(IF('[1]G_Fall-back'!H612 = "", "", '[1]G_Fall-back'!H612 ),"")</f>
        <v/>
      </c>
      <c r="I6343" s="113" t="str">
        <f>IFERROR(IF('[1]G_Fall-back'!I612 = "", "", '[1]G_Fall-back'!I612 ),"")</f>
        <v/>
      </c>
      <c r="J6343" s="114" t="str">
        <f>IFERROR(IF('[1]G_Fall-back'!J612 = "", "", '[1]G_Fall-back'!J612 ),"")</f>
        <v/>
      </c>
      <c r="K6343" s="95" t="str">
        <f>IFERROR(IF('[1]G_Fall-back'!K612 = "", "", '[1]G_Fall-back'!K612 ),"")</f>
        <v/>
      </c>
      <c r="L6343" s="95" t="str">
        <f>IFERROR(IF('[1]G_Fall-back'!L612 = "", "", '[1]G_Fall-back'!L612 ),"")</f>
        <v/>
      </c>
      <c r="M6343" s="95" t="str">
        <f>IFERROR(IF('[1]G_Fall-back'!M612 = "", "", '[1]G_Fall-back'!M612 ),"")</f>
        <v/>
      </c>
      <c r="N6343" s="95" t="str">
        <f>IFERROR(IF('[1]G_Fall-back'!N612 = "", "", '[1]G_Fall-back'!N612 ),"")</f>
        <v/>
      </c>
    </row>
    <row r="6344" spans="3:14">
      <c r="C6344" s="485"/>
      <c r="D6344" s="971"/>
      <c r="E6344" s="972" t="s">
        <v>1713</v>
      </c>
      <c r="F6344" s="1039" t="s">
        <v>283</v>
      </c>
      <c r="G6344" s="340" t="str">
        <f>IFERROR(IF('[1]G_Fall-back'!G613 = "", "", '[1]G_Fall-back'!G613 ),"")</f>
        <v/>
      </c>
      <c r="H6344" s="341" t="str">
        <f>IFERROR(IF('[1]G_Fall-back'!H613 = "", "", '[1]G_Fall-back'!H613 ),"")</f>
        <v/>
      </c>
      <c r="I6344" s="340" t="str">
        <f>IFERROR(IF('[1]G_Fall-back'!I613 = "", "", '[1]G_Fall-back'!I613 ),"")</f>
        <v/>
      </c>
      <c r="J6344" s="341" t="str">
        <f>IFERROR(IF('[1]G_Fall-back'!J613 = "", "", '[1]G_Fall-back'!J613 ),"")</f>
        <v/>
      </c>
      <c r="K6344" s="86" t="str">
        <f>IFERROR(IF('[1]G_Fall-back'!K613 = "", "", '[1]G_Fall-back'!K613 ),"")</f>
        <v/>
      </c>
      <c r="L6344" s="86" t="str">
        <f>IFERROR(IF('[1]G_Fall-back'!L613 = "", "", '[1]G_Fall-back'!L613 ),"")</f>
        <v/>
      </c>
      <c r="M6344" s="86" t="str">
        <f>IFERROR(IF('[1]G_Fall-back'!M613 = "", "", '[1]G_Fall-back'!M613 ),"")</f>
        <v/>
      </c>
      <c r="N6344" s="86" t="str">
        <f>IFERROR(IF('[1]G_Fall-back'!N613 = "", "", '[1]G_Fall-back'!N613 ),"")</f>
        <v/>
      </c>
    </row>
    <row r="6345" spans="3:14">
      <c r="C6345" s="485"/>
      <c r="D6345" s="698"/>
      <c r="E6345" s="948" t="s">
        <v>1723</v>
      </c>
      <c r="F6345" s="1040" t="s">
        <v>283</v>
      </c>
      <c r="G6345" s="394" t="str">
        <f>IFERROR(IF('[1]G_Fall-back'!G614 = "", "", '[1]G_Fall-back'!G614 ),"")</f>
        <v/>
      </c>
      <c r="H6345" s="395" t="str">
        <f>IFERROR(IF('[1]G_Fall-back'!H614 = "", "", '[1]G_Fall-back'!H614 ),"")</f>
        <v/>
      </c>
      <c r="I6345" s="396" t="str">
        <f>IFERROR(IF('[1]G_Fall-back'!I614 = "", "", '[1]G_Fall-back'!I614 ),"")</f>
        <v/>
      </c>
      <c r="J6345" s="395" t="str">
        <f>IFERROR(IF('[1]G_Fall-back'!J614 = "", "", '[1]G_Fall-back'!J614 ),"")</f>
        <v/>
      </c>
      <c r="K6345" s="397" t="str">
        <f>IFERROR(IF('[1]G_Fall-back'!K614 = "", "", '[1]G_Fall-back'!K614 ),"")</f>
        <v/>
      </c>
      <c r="L6345" s="397" t="str">
        <f>IFERROR(IF('[1]G_Fall-back'!L614 = "", "", '[1]G_Fall-back'!L614 ),"")</f>
        <v/>
      </c>
      <c r="M6345" s="397" t="str">
        <f>IFERROR(IF('[1]G_Fall-back'!M614 = "", "", '[1]G_Fall-back'!M614 ),"")</f>
        <v/>
      </c>
      <c r="N6345" s="397" t="str">
        <f>IFERROR(IF('[1]G_Fall-back'!N614 = "", "", '[1]G_Fall-back'!N614 ),"")</f>
        <v/>
      </c>
    </row>
    <row r="6346" spans="3:14">
      <c r="C6346" s="467"/>
      <c r="D6346" s="467"/>
      <c r="E6346" s="467"/>
      <c r="F6346" s="467"/>
      <c r="G6346" s="467"/>
      <c r="H6346" s="467"/>
      <c r="I6346" s="467"/>
      <c r="J6346" s="467"/>
      <c r="K6346" s="467"/>
      <c r="L6346" s="467"/>
      <c r="M6346" s="467"/>
      <c r="N6346" s="467"/>
    </row>
    <row r="6347" spans="3:14">
      <c r="C6347" s="482"/>
      <c r="D6347" s="482" t="s">
        <v>1716</v>
      </c>
      <c r="E6347" s="2373" t="s">
        <v>1819</v>
      </c>
      <c r="F6347" s="2400"/>
      <c r="G6347" s="2400"/>
      <c r="H6347" s="2400"/>
      <c r="I6347" s="2400"/>
      <c r="J6347" s="2400"/>
      <c r="K6347" s="2400"/>
      <c r="L6347" s="2400"/>
      <c r="M6347" s="2400"/>
      <c r="N6347" s="2400"/>
    </row>
    <row r="6348" spans="3:14">
      <c r="C6348" s="467"/>
      <c r="D6348" s="467"/>
      <c r="E6348" s="2465" t="s">
        <v>1934</v>
      </c>
      <c r="F6348" s="2400"/>
      <c r="G6348" s="2400"/>
      <c r="H6348" s="2400"/>
      <c r="I6348" s="2400"/>
      <c r="J6348" s="2400"/>
      <c r="K6348" s="2400"/>
      <c r="L6348" s="2400"/>
      <c r="M6348" s="2400"/>
      <c r="N6348" s="2400"/>
    </row>
    <row r="6349" spans="3:14">
      <c r="C6349" s="481"/>
      <c r="D6349" s="1028"/>
      <c r="E6349" s="871"/>
      <c r="F6349" s="1030" t="s">
        <v>884</v>
      </c>
      <c r="G6349" s="1031" t="s">
        <v>2213</v>
      </c>
      <c r="H6349" s="1033">
        <v>2019</v>
      </c>
      <c r="I6349" s="1031">
        <v>2020</v>
      </c>
      <c r="J6349" s="1032">
        <v>2021</v>
      </c>
      <c r="K6349" s="1033">
        <v>2022</v>
      </c>
      <c r="L6349" s="1033">
        <v>2023</v>
      </c>
      <c r="M6349" s="1033">
        <v>2024</v>
      </c>
      <c r="N6349" s="1033">
        <v>2025</v>
      </c>
    </row>
    <row r="6350" spans="3:14">
      <c r="C6350" s="485"/>
      <c r="D6350" s="561"/>
      <c r="E6350" s="948" t="s">
        <v>1819</v>
      </c>
      <c r="F6350" s="79" t="str">
        <f>IFERROR(IF('[1]G_Fall-back'!F619 = "", "", '[1]G_Fall-back'!F619 ),"")</f>
        <v>TJ / Unit</v>
      </c>
      <c r="G6350" s="398" t="str">
        <f>IFERROR(IF('[1]G_Fall-back'!G619 = "", "", '[1]G_Fall-back'!G619 ),"")</f>
        <v/>
      </c>
      <c r="H6350" s="399" t="str">
        <f>IFERROR(IF('[1]G_Fall-back'!H619 = "", "", '[1]G_Fall-back'!H619 ),"")</f>
        <v/>
      </c>
      <c r="I6350" s="400" t="str">
        <f>IFERROR(IF('[1]G_Fall-back'!I619 = "", "", '[1]G_Fall-back'!I619 ),"")</f>
        <v/>
      </c>
      <c r="J6350" s="401" t="str">
        <f>IFERROR(IF('[1]G_Fall-back'!J619 = "", "", '[1]G_Fall-back'!J619 ),"")</f>
        <v/>
      </c>
      <c r="K6350" s="399" t="str">
        <f>IFERROR(IF('[1]G_Fall-back'!K619 = "", "", '[1]G_Fall-back'!K619 ),"")</f>
        <v/>
      </c>
      <c r="L6350" s="399" t="str">
        <f>IFERROR(IF('[1]G_Fall-back'!L619 = "", "", '[1]G_Fall-back'!L619 ),"")</f>
        <v/>
      </c>
      <c r="M6350" s="399" t="str">
        <f>IFERROR(IF('[1]G_Fall-back'!M619 = "", "", '[1]G_Fall-back'!M619 ),"")</f>
        <v/>
      </c>
      <c r="N6350" s="399" t="str">
        <f>IFERROR(IF('[1]G_Fall-back'!N619 = "", "", '[1]G_Fall-back'!N619 ),"")</f>
        <v/>
      </c>
    </row>
    <row r="6351" spans="3:14" ht="13.5" thickBot="1">
      <c r="C6351" s="485"/>
      <c r="D6351" s="485"/>
      <c r="E6351" s="485"/>
      <c r="F6351" s="485"/>
      <c r="G6351" s="485"/>
      <c r="H6351" s="485"/>
      <c r="I6351" s="952"/>
      <c r="J6351" s="485"/>
      <c r="K6351" s="485"/>
      <c r="L6351" s="485"/>
      <c r="M6351" s="485"/>
      <c r="N6351" s="485"/>
    </row>
    <row r="6352" spans="3:14">
      <c r="C6352" s="485"/>
      <c r="D6352" s="902"/>
      <c r="E6352" s="942"/>
      <c r="F6352" s="942"/>
      <c r="G6352" s="942"/>
      <c r="H6352" s="942"/>
      <c r="I6352" s="1045"/>
      <c r="J6352" s="942"/>
      <c r="K6352" s="942"/>
      <c r="L6352" s="942"/>
      <c r="M6352" s="942"/>
      <c r="N6352" s="943"/>
    </row>
    <row r="6353" spans="3:14">
      <c r="C6353" s="485"/>
      <c r="D6353" s="918"/>
      <c r="E6353" s="908" t="s">
        <v>1777</v>
      </c>
      <c r="F6353" s="909"/>
      <c r="G6353" s="909"/>
      <c r="H6353" s="910" t="s">
        <v>884</v>
      </c>
      <c r="I6353" s="911" t="s">
        <v>1675</v>
      </c>
      <c r="J6353" s="912">
        <v>2021</v>
      </c>
      <c r="K6353" s="913">
        <v>2022</v>
      </c>
      <c r="L6353" s="913">
        <v>2023</v>
      </c>
      <c r="M6353" s="913">
        <v>2024</v>
      </c>
      <c r="N6353" s="1046">
        <v>2025</v>
      </c>
    </row>
    <row r="6354" spans="3:14">
      <c r="C6354" s="485"/>
      <c r="D6354" s="915" t="s">
        <v>7</v>
      </c>
      <c r="E6354" s="2735" t="s">
        <v>1818</v>
      </c>
      <c r="F6354" s="2735"/>
      <c r="G6354" s="2735"/>
      <c r="H6354" s="80" t="str">
        <f>IFERROR(IF('[1]G_Fall-back'!H623 = "", "", '[1]G_Fall-back'!H623 ),"")</f>
        <v>TJ / Unit</v>
      </c>
      <c r="I6354" s="402" t="str">
        <f>IFERROR(IF('[1]G_Fall-back'!I623 = "", "", '[1]G_Fall-back'!I623 ),"")</f>
        <v/>
      </c>
      <c r="J6354" s="316" t="str">
        <f>IFERROR(IF('[1]G_Fall-back'!J623 = "", "", '[1]G_Fall-back'!J623 ),"")</f>
        <v/>
      </c>
      <c r="K6354" s="317" t="str">
        <f>IFERROR(IF('[1]G_Fall-back'!K623 = "", "", '[1]G_Fall-back'!K623 ),"")</f>
        <v/>
      </c>
      <c r="L6354" s="317" t="str">
        <f>IFERROR(IF('[1]G_Fall-back'!L623 = "", "", '[1]G_Fall-back'!L623 ),"")</f>
        <v/>
      </c>
      <c r="M6354" s="317" t="str">
        <f>IFERROR(IF('[1]G_Fall-back'!M623 = "", "", '[1]G_Fall-back'!M623 ),"")</f>
        <v/>
      </c>
      <c r="N6354" s="318" t="str">
        <f>IFERROR(IF('[1]G_Fall-back'!N623 = "", "", '[1]G_Fall-back'!N623 ),"")</f>
        <v/>
      </c>
    </row>
    <row r="6355" spans="3:14">
      <c r="C6355" s="485"/>
      <c r="D6355" s="915" t="s">
        <v>8</v>
      </c>
      <c r="E6355" s="2735" t="s">
        <v>1928</v>
      </c>
      <c r="F6355" s="2736"/>
      <c r="G6355" s="2736"/>
      <c r="H6355" s="2736"/>
      <c r="I6355" s="2737"/>
      <c r="J6355" s="319" t="str">
        <f>IFERROR(IF('[1]G_Fall-back'!J624 = "", "", '[1]G_Fall-back'!J624 ),"")</f>
        <v/>
      </c>
      <c r="K6355" s="320" t="str">
        <f>IFERROR(IF('[1]G_Fall-back'!K624 = "", "", '[1]G_Fall-back'!K624 ),"")</f>
        <v/>
      </c>
      <c r="L6355" s="320" t="str">
        <f>IFERROR(IF('[1]G_Fall-back'!L624 = "", "", '[1]G_Fall-back'!L624 ),"")</f>
        <v/>
      </c>
      <c r="M6355" s="320" t="str">
        <f>IFERROR(IF('[1]G_Fall-back'!M624 = "", "", '[1]G_Fall-back'!M624 ),"")</f>
        <v/>
      </c>
      <c r="N6355" s="321" t="str">
        <f>IFERROR(IF('[1]G_Fall-back'!N624 = "", "", '[1]G_Fall-back'!N624 ),"")</f>
        <v/>
      </c>
    </row>
    <row r="6356" spans="3:14">
      <c r="C6356" s="485"/>
      <c r="D6356" s="918"/>
      <c r="E6356" s="909"/>
      <c r="F6356" s="909"/>
      <c r="G6356" s="909"/>
      <c r="H6356" s="909"/>
      <c r="I6356" s="909"/>
      <c r="J6356" s="909"/>
      <c r="K6356" s="909"/>
      <c r="L6356" s="909"/>
      <c r="M6356" s="909"/>
      <c r="N6356" s="922"/>
    </row>
    <row r="6357" spans="3:14">
      <c r="C6357" s="485"/>
      <c r="D6357" s="907" t="s">
        <v>1778</v>
      </c>
      <c r="E6357" s="2738" t="s">
        <v>1945</v>
      </c>
      <c r="F6357" s="2739"/>
      <c r="G6357" s="2739"/>
      <c r="H6357" s="2739"/>
      <c r="I6357" s="2739"/>
      <c r="J6357" s="2739"/>
      <c r="K6357" s="2739"/>
      <c r="L6357" s="2739"/>
      <c r="M6357" s="2739"/>
      <c r="N6357" s="2740"/>
    </row>
    <row r="6358" spans="3:14">
      <c r="C6358" s="485"/>
      <c r="D6358" s="918"/>
      <c r="E6358" s="923" t="s">
        <v>1946</v>
      </c>
      <c r="F6358" s="923"/>
      <c r="G6358" s="923"/>
      <c r="H6358" s="923"/>
      <c r="I6358" s="923"/>
      <c r="J6358" s="912">
        <v>2021</v>
      </c>
      <c r="K6358" s="913">
        <v>2022</v>
      </c>
      <c r="L6358" s="913">
        <v>2023</v>
      </c>
      <c r="M6358" s="913">
        <v>2024</v>
      </c>
      <c r="N6358" s="1046">
        <v>2025</v>
      </c>
    </row>
    <row r="6359" spans="3:14">
      <c r="C6359" s="485"/>
      <c r="D6359" s="918"/>
      <c r="E6359" s="2735" t="s">
        <v>2108</v>
      </c>
      <c r="F6359" s="2735"/>
      <c r="G6359" s="2735"/>
      <c r="H6359" s="2735"/>
      <c r="I6359" s="2741"/>
      <c r="J6359" s="69" t="str">
        <f>IFERROR(IF('[1]G_Fall-back'!J628 = "", "", '[1]G_Fall-back'!J628 ),"")</f>
        <v/>
      </c>
      <c r="K6359" s="62" t="str">
        <f>IFERROR(IF('[1]G_Fall-back'!K628 = "", "", '[1]G_Fall-back'!K628 ),"")</f>
        <v/>
      </c>
      <c r="L6359" s="62" t="str">
        <f>IFERROR(IF('[1]G_Fall-back'!L628 = "", "", '[1]G_Fall-back'!L628 ),"")</f>
        <v/>
      </c>
      <c r="M6359" s="62" t="str">
        <f>IFERROR(IF('[1]G_Fall-back'!M628 = "", "", '[1]G_Fall-back'!M628 ),"")</f>
        <v/>
      </c>
      <c r="N6359" s="70" t="str">
        <f>IFERROR(IF('[1]G_Fall-back'!N628 = "", "", '[1]G_Fall-back'!N628 ),"")</f>
        <v/>
      </c>
    </row>
    <row r="6360" spans="3:14">
      <c r="C6360" s="485"/>
      <c r="D6360" s="918"/>
      <c r="E6360" s="909"/>
      <c r="F6360" s="909"/>
      <c r="G6360" s="909"/>
      <c r="H6360" s="909"/>
      <c r="I6360" s="909"/>
      <c r="J6360" s="909"/>
      <c r="K6360" s="909"/>
      <c r="L6360" s="909"/>
      <c r="M6360" s="909"/>
      <c r="N6360" s="922"/>
    </row>
    <row r="6361" spans="3:14">
      <c r="C6361" s="485"/>
      <c r="D6361" s="907" t="s">
        <v>1779</v>
      </c>
      <c r="E6361" s="2738" t="s">
        <v>1660</v>
      </c>
      <c r="F6361" s="2739"/>
      <c r="G6361" s="2739"/>
      <c r="H6361" s="2739"/>
      <c r="I6361" s="2739"/>
      <c r="J6361" s="2739"/>
      <c r="K6361" s="2739"/>
      <c r="L6361" s="2739"/>
      <c r="M6361" s="2739"/>
      <c r="N6361" s="2740"/>
    </row>
    <row r="6362" spans="3:14">
      <c r="C6362" s="485"/>
      <c r="D6362" s="918"/>
      <c r="E6362" s="923" t="s">
        <v>1653</v>
      </c>
      <c r="F6362" s="923"/>
      <c r="G6362" s="923"/>
      <c r="H6362" s="923"/>
      <c r="I6362" s="923"/>
      <c r="J6362" s="912">
        <v>2021</v>
      </c>
      <c r="K6362" s="913">
        <v>2022</v>
      </c>
      <c r="L6362" s="913">
        <v>2023</v>
      </c>
      <c r="M6362" s="913">
        <v>2024</v>
      </c>
      <c r="N6362" s="1046">
        <v>2025</v>
      </c>
    </row>
    <row r="6363" spans="3:14">
      <c r="C6363" s="485"/>
      <c r="D6363" s="915" t="s">
        <v>6</v>
      </c>
      <c r="E6363" s="2735" t="s">
        <v>2243</v>
      </c>
      <c r="F6363" s="2735"/>
      <c r="G6363" s="2735"/>
      <c r="H6363" s="2735"/>
      <c r="I6363" s="2741"/>
      <c r="J6363" s="69" t="str">
        <f>IFERROR(IF('[1]G_Fall-back'!J632 = "", "", '[1]G_Fall-back'!J632 ),"")</f>
        <v/>
      </c>
      <c r="K6363" s="62" t="str">
        <f>IFERROR(IF('[1]G_Fall-back'!K632 = "", "", '[1]G_Fall-back'!K632 ),"")</f>
        <v/>
      </c>
      <c r="L6363" s="62" t="str">
        <f>IFERROR(IF('[1]G_Fall-back'!L632 = "", "", '[1]G_Fall-back'!L632 ),"")</f>
        <v/>
      </c>
      <c r="M6363" s="62" t="str">
        <f>IFERROR(IF('[1]G_Fall-back'!M632 = "", "", '[1]G_Fall-back'!M632 ),"")</f>
        <v/>
      </c>
      <c r="N6363" s="70" t="str">
        <f>IFERROR(IF('[1]G_Fall-back'!N632 = "", "", '[1]G_Fall-back'!N632 ),"")</f>
        <v/>
      </c>
    </row>
    <row r="6364" spans="3:14">
      <c r="C6364" s="485"/>
      <c r="D6364" s="1050"/>
      <c r="E6364" s="2742" t="s">
        <v>2244</v>
      </c>
      <c r="F6364" s="2739"/>
      <c r="G6364" s="2739"/>
      <c r="H6364" s="2739"/>
      <c r="I6364" s="2739"/>
      <c r="J6364" s="2739"/>
      <c r="K6364" s="2739"/>
      <c r="L6364" s="2739"/>
      <c r="M6364" s="2739"/>
      <c r="N6364" s="2740"/>
    </row>
    <row r="6365" spans="3:14">
      <c r="C6365" s="485"/>
      <c r="D6365" s="1050"/>
      <c r="E6365" s="2742" t="s">
        <v>1848</v>
      </c>
      <c r="F6365" s="2739"/>
      <c r="G6365" s="2739"/>
      <c r="H6365" s="2739"/>
      <c r="I6365" s="2739"/>
      <c r="J6365" s="2739"/>
      <c r="K6365" s="2739"/>
      <c r="L6365" s="2739"/>
      <c r="M6365" s="2739"/>
      <c r="N6365" s="2740"/>
    </row>
    <row r="6366" spans="3:14">
      <c r="C6366" s="485"/>
      <c r="D6366" s="915"/>
      <c r="E6366" s="909"/>
      <c r="F6366" s="909"/>
      <c r="G6366" s="909"/>
      <c r="H6366" s="909"/>
      <c r="I6366" s="909"/>
      <c r="J6366" s="909"/>
      <c r="K6366" s="909"/>
      <c r="L6366" s="909"/>
      <c r="M6366" s="909"/>
      <c r="N6366" s="922"/>
    </row>
    <row r="6367" spans="3:14">
      <c r="C6367" s="485"/>
      <c r="D6367" s="915" t="s">
        <v>7</v>
      </c>
      <c r="E6367" s="2735" t="s">
        <v>2245</v>
      </c>
      <c r="F6367" s="2736"/>
      <c r="G6367" s="2736"/>
      <c r="H6367" s="2736"/>
      <c r="I6367" s="2737"/>
      <c r="J6367" s="69" t="b">
        <f>IFERROR(IF('[1]G_Fall-back'!J636 = "", "", '[1]G_Fall-back'!J636 ),"")</f>
        <v>0</v>
      </c>
      <c r="K6367" s="62" t="b">
        <f>IFERROR(IF('[1]G_Fall-back'!K636 = "", "", '[1]G_Fall-back'!K636 ),"")</f>
        <v>0</v>
      </c>
      <c r="L6367" s="62" t="b">
        <f>IFERROR(IF('[1]G_Fall-back'!L636 = "", "", '[1]G_Fall-back'!L636 ),"")</f>
        <v>0</v>
      </c>
      <c r="M6367" s="62" t="b">
        <f>IFERROR(IF('[1]G_Fall-back'!M636 = "", "", '[1]G_Fall-back'!M636 ),"")</f>
        <v>0</v>
      </c>
      <c r="N6367" s="70" t="b">
        <f>IFERROR(IF('[1]G_Fall-back'!N636 = "", "", '[1]G_Fall-back'!N636 ),"")</f>
        <v>0</v>
      </c>
    </row>
    <row r="6368" spans="3:14">
      <c r="C6368" s="485"/>
      <c r="D6368" s="1050"/>
      <c r="E6368" s="2743" t="s">
        <v>2246</v>
      </c>
      <c r="F6368" s="2738"/>
      <c r="G6368" s="2738"/>
      <c r="H6368" s="2738"/>
      <c r="I6368" s="2738"/>
      <c r="J6368" s="2738"/>
      <c r="K6368" s="2738"/>
      <c r="L6368" s="2738"/>
      <c r="M6368" s="2738"/>
      <c r="N6368" s="2744"/>
    </row>
    <row r="6369" spans="3:14">
      <c r="C6369" s="485"/>
      <c r="D6369" s="1050"/>
      <c r="E6369" s="2742" t="s">
        <v>2247</v>
      </c>
      <c r="F6369" s="2739"/>
      <c r="G6369" s="2739"/>
      <c r="H6369" s="2739"/>
      <c r="I6369" s="2739"/>
      <c r="J6369" s="2739"/>
      <c r="K6369" s="2739"/>
      <c r="L6369" s="2739"/>
      <c r="M6369" s="2739"/>
      <c r="N6369" s="2740"/>
    </row>
    <row r="6370" spans="3:14">
      <c r="C6370" s="485"/>
      <c r="D6370" s="1050"/>
      <c r="E6370" s="2742" t="s">
        <v>1900</v>
      </c>
      <c r="F6370" s="2739"/>
      <c r="G6370" s="2739"/>
      <c r="H6370" s="2739"/>
      <c r="I6370" s="2739"/>
      <c r="J6370" s="2739"/>
      <c r="K6370" s="2739"/>
      <c r="L6370" s="2739"/>
      <c r="M6370" s="2739"/>
      <c r="N6370" s="2740"/>
    </row>
    <row r="6371" spans="3:14">
      <c r="C6371" s="485"/>
      <c r="D6371" s="918"/>
      <c r="E6371" s="909"/>
      <c r="F6371" s="909"/>
      <c r="G6371" s="909"/>
      <c r="H6371" s="909"/>
      <c r="I6371" s="909"/>
      <c r="J6371" s="909"/>
      <c r="K6371" s="909"/>
      <c r="L6371" s="909"/>
      <c r="M6371" s="909"/>
      <c r="N6371" s="922"/>
    </row>
    <row r="6372" spans="3:14">
      <c r="C6372" s="485"/>
      <c r="D6372" s="907" t="s">
        <v>1883</v>
      </c>
      <c r="E6372" s="2738" t="s">
        <v>1660</v>
      </c>
      <c r="F6372" s="2739"/>
      <c r="G6372" s="2739"/>
      <c r="H6372" s="2739"/>
      <c r="I6372" s="2739"/>
      <c r="J6372" s="2739"/>
      <c r="K6372" s="2739"/>
      <c r="L6372" s="2739"/>
      <c r="M6372" s="2739"/>
      <c r="N6372" s="2740"/>
    </row>
    <row r="6373" spans="3:14" ht="13.5" thickBot="1">
      <c r="C6373" s="485"/>
      <c r="D6373" s="1050"/>
      <c r="E6373" s="2742" t="s">
        <v>2249</v>
      </c>
      <c r="F6373" s="2739"/>
      <c r="G6373" s="2739"/>
      <c r="H6373" s="2739"/>
      <c r="I6373" s="2739"/>
      <c r="J6373" s="2739"/>
      <c r="K6373" s="2739"/>
      <c r="L6373" s="2739"/>
      <c r="M6373" s="2739"/>
      <c r="N6373" s="2740"/>
    </row>
    <row r="6374" spans="3:14" ht="13.5" thickBot="1">
      <c r="C6374" s="485"/>
      <c r="D6374" s="915"/>
      <c r="E6374" s="2735" t="s">
        <v>1657</v>
      </c>
      <c r="F6374" s="2735"/>
      <c r="G6374" s="2735"/>
      <c r="H6374" s="2735"/>
      <c r="I6374" s="1051"/>
      <c r="J6374" s="291" t="str">
        <f>IFERROR(IF('[1]G_Fall-back'!J643 = "", "", '[1]G_Fall-back'!J643 ),"")</f>
        <v/>
      </c>
      <c r="K6374" s="292" t="str">
        <f>IFERROR(IF('[1]G_Fall-back'!K643 = "", "", '[1]G_Fall-back'!K643 ),"")</f>
        <v/>
      </c>
      <c r="L6374" s="292" t="str">
        <f>IFERROR(IF('[1]G_Fall-back'!L643 = "", "", '[1]G_Fall-back'!L643 ),"")</f>
        <v/>
      </c>
      <c r="M6374" s="292" t="str">
        <f>IFERROR(IF('[1]G_Fall-back'!M643 = "", "", '[1]G_Fall-back'!M643 ),"")</f>
        <v/>
      </c>
      <c r="N6374" s="293" t="str">
        <f>IFERROR(IF('[1]G_Fall-back'!N643 = "", "", '[1]G_Fall-back'!N643 ),"")</f>
        <v/>
      </c>
    </row>
    <row r="6375" spans="3:14" ht="13.5" thickBot="1">
      <c r="C6375" s="485"/>
      <c r="D6375" s="918"/>
      <c r="E6375" s="2735" t="s">
        <v>1649</v>
      </c>
      <c r="F6375" s="2736"/>
      <c r="G6375" s="2736"/>
      <c r="H6375" s="63" t="str">
        <f>IFERROR(IF('[1]G_Fall-back'!H644 = "", "", '[1]G_Fall-back'!H644 ),"")</f>
        <v>TJ</v>
      </c>
      <c r="I6375" s="235" t="str">
        <f>IFERROR(IF('[1]G_Fall-back'!I644 = "", "", '[1]G_Fall-back'!I644 ),"")</f>
        <v/>
      </c>
      <c r="J6375" s="225" t="str">
        <f>IFERROR(IF('[1]G_Fall-back'!J644 = "", "", '[1]G_Fall-back'!J644 ),"")</f>
        <v/>
      </c>
      <c r="K6375" s="227" t="str">
        <f>IFERROR(IF('[1]G_Fall-back'!K644 = "", "", '[1]G_Fall-back'!K644 ),"")</f>
        <v/>
      </c>
      <c r="L6375" s="227" t="str">
        <f>IFERROR(IF('[1]G_Fall-back'!L644 = "", "", '[1]G_Fall-back'!L644 ),"")</f>
        <v/>
      </c>
      <c r="M6375" s="227" t="str">
        <f>IFERROR(IF('[1]G_Fall-back'!M644 = "", "", '[1]G_Fall-back'!M644 ),"")</f>
        <v/>
      </c>
      <c r="N6375" s="228" t="str">
        <f>IFERROR(IF('[1]G_Fall-back'!N644 = "", "", '[1]G_Fall-back'!N644 ),"")</f>
        <v/>
      </c>
    </row>
    <row r="6376" spans="3:14" ht="13.5" thickBot="1">
      <c r="C6376" s="485"/>
      <c r="D6376" s="924"/>
      <c r="E6376" s="925"/>
      <c r="F6376" s="925"/>
      <c r="G6376" s="925"/>
      <c r="H6376" s="925"/>
      <c r="I6376" s="925"/>
      <c r="J6376" s="925"/>
      <c r="K6376" s="925"/>
      <c r="L6376" s="925"/>
      <c r="M6376" s="925"/>
      <c r="N6376" s="926"/>
    </row>
    <row r="6377" spans="3:14" ht="13.5" thickBot="1">
      <c r="C6377" s="485"/>
      <c r="D6377" s="485"/>
      <c r="E6377" s="485"/>
      <c r="F6377" s="485"/>
      <c r="G6377" s="485"/>
      <c r="H6377" s="485"/>
      <c r="I6377" s="485"/>
      <c r="J6377" s="485"/>
      <c r="K6377" s="485"/>
      <c r="L6377" s="485"/>
      <c r="M6377" s="485"/>
      <c r="N6377" s="485"/>
    </row>
    <row r="6378" spans="3:14">
      <c r="C6378" s="1052"/>
      <c r="D6378" s="1053"/>
      <c r="E6378" s="1053"/>
      <c r="F6378" s="1053"/>
      <c r="G6378" s="1053"/>
      <c r="H6378" s="1053"/>
      <c r="I6378" s="1053"/>
      <c r="J6378" s="1053"/>
      <c r="K6378" s="1053"/>
      <c r="L6378" s="1053"/>
      <c r="M6378" s="1054"/>
      <c r="N6378" s="1055"/>
    </row>
    <row r="6379" spans="3:14">
      <c r="C6379" s="1056"/>
      <c r="D6379" s="2678" t="s">
        <v>2330</v>
      </c>
      <c r="E6379" s="2672"/>
      <c r="F6379" s="2672"/>
      <c r="G6379" s="2672"/>
      <c r="H6379" s="2672"/>
      <c r="I6379" s="2672"/>
      <c r="J6379" s="2672"/>
      <c r="K6379" s="2672"/>
      <c r="L6379" s="2672"/>
      <c r="M6379" s="2672"/>
      <c r="N6379" s="2673"/>
    </row>
    <row r="6380" spans="3:14">
      <c r="C6380" s="980"/>
      <c r="D6380" s="813"/>
      <c r="E6380" s="813"/>
      <c r="F6380" s="813"/>
      <c r="G6380" s="813"/>
      <c r="H6380" s="813"/>
      <c r="I6380" s="813"/>
      <c r="J6380" s="813"/>
      <c r="K6380" s="813"/>
      <c r="L6380" s="813"/>
      <c r="M6380" s="813"/>
      <c r="N6380" s="814"/>
    </row>
    <row r="6381" spans="3:14">
      <c r="C6381" s="980"/>
      <c r="D6381" s="2679" t="s">
        <v>2170</v>
      </c>
      <c r="E6381" s="2646"/>
      <c r="F6381" s="2646"/>
      <c r="G6381" s="2646"/>
      <c r="H6381" s="2680"/>
      <c r="I6381" s="2489" t="str">
        <f>IFERROR(IF('[1]G_Fall-back'!I650 = "", "", '[1]G_Fall-back'!I650 ),"")</f>
        <v>Fuel benchmark sub-installation, CL</v>
      </c>
      <c r="J6381" s="2534"/>
      <c r="K6381" s="2534"/>
      <c r="L6381" s="2534"/>
      <c r="M6381" s="2534"/>
      <c r="N6381" s="2681"/>
    </row>
    <row r="6382" spans="3:14">
      <c r="C6382" s="980"/>
      <c r="D6382" s="813"/>
      <c r="E6382" s="813"/>
      <c r="F6382" s="813"/>
      <c r="G6382" s="813"/>
      <c r="H6382" s="813"/>
      <c r="I6382" s="813"/>
      <c r="J6382" s="813"/>
      <c r="K6382" s="813"/>
      <c r="L6382" s="813"/>
      <c r="M6382" s="813"/>
      <c r="N6382" s="814"/>
    </row>
    <row r="6383" spans="3:14">
      <c r="C6383" s="1056"/>
      <c r="D6383" s="982" t="s">
        <v>48</v>
      </c>
      <c r="E6383" s="2671" t="s">
        <v>1611</v>
      </c>
      <c r="F6383" s="2672"/>
      <c r="G6383" s="2672"/>
      <c r="H6383" s="2672"/>
      <c r="I6383" s="2672"/>
      <c r="J6383" s="2672"/>
      <c r="K6383" s="2672"/>
      <c r="L6383" s="2672"/>
      <c r="M6383" s="2672"/>
      <c r="N6383" s="2673"/>
    </row>
    <row r="6384" spans="3:14">
      <c r="C6384" s="1056"/>
      <c r="D6384" s="982"/>
      <c r="E6384" s="2746" t="s">
        <v>2295</v>
      </c>
      <c r="F6384" s="2746"/>
      <c r="G6384" s="2746"/>
      <c r="H6384" s="2746"/>
      <c r="I6384" s="2746"/>
      <c r="J6384" s="2746"/>
      <c r="K6384" s="2746"/>
      <c r="L6384" s="2746"/>
      <c r="M6384" s="2746"/>
      <c r="N6384" s="2747"/>
    </row>
    <row r="6385" spans="3:14">
      <c r="C6385" s="1056"/>
      <c r="D6385" s="1057"/>
      <c r="E6385" s="2674" t="s">
        <v>1342</v>
      </c>
      <c r="F6385" s="2674"/>
      <c r="G6385" s="2674"/>
      <c r="H6385" s="2674"/>
      <c r="I6385" s="2674"/>
      <c r="J6385" s="2674"/>
      <c r="K6385" s="2674"/>
      <c r="L6385" s="2674"/>
      <c r="M6385" s="2674"/>
      <c r="N6385" s="2675"/>
    </row>
    <row r="6386" spans="3:14">
      <c r="C6386" s="1056"/>
      <c r="D6386" s="1057"/>
      <c r="E6386" s="2674" t="s">
        <v>1575</v>
      </c>
      <c r="F6386" s="2674"/>
      <c r="G6386" s="2674"/>
      <c r="H6386" s="2674"/>
      <c r="I6386" s="2674"/>
      <c r="J6386" s="2674"/>
      <c r="K6386" s="2674"/>
      <c r="L6386" s="2674"/>
      <c r="M6386" s="2674"/>
      <c r="N6386" s="2675"/>
    </row>
    <row r="6387" spans="3:14">
      <c r="C6387" s="1056"/>
      <c r="D6387" s="982"/>
      <c r="E6387" s="989" t="s">
        <v>915</v>
      </c>
      <c r="F6387" s="990"/>
      <c r="G6387" s="987" t="s">
        <v>884</v>
      </c>
      <c r="H6387" s="782">
        <v>2019</v>
      </c>
      <c r="I6387" s="782">
        <v>2020</v>
      </c>
      <c r="J6387" s="782">
        <v>2021</v>
      </c>
      <c r="K6387" s="782">
        <v>2022</v>
      </c>
      <c r="L6387" s="782">
        <v>2023</v>
      </c>
      <c r="M6387" s="782">
        <v>2024</v>
      </c>
      <c r="N6387" s="783">
        <v>2025</v>
      </c>
    </row>
    <row r="6388" spans="3:14">
      <c r="C6388" s="1056"/>
      <c r="D6388" s="1057"/>
      <c r="E6388" s="2487" t="str">
        <f>IFERROR(IF('[1]G_Fall-back'!E657 = "", "", '[1]G_Fall-back'!E657 ),"")</f>
        <v>Fuel benchmark sub-installation, CL</v>
      </c>
      <c r="F6388" s="2488"/>
      <c r="G6388" s="815" t="s">
        <v>2016</v>
      </c>
      <c r="H6388" s="347" t="str">
        <f>IFERROR(IF('[1]G_Fall-back'!H657 = "", "", '[1]G_Fall-back'!H657 ),"")</f>
        <v/>
      </c>
      <c r="I6388" s="347" t="str">
        <f>IFERROR(IF('[1]G_Fall-back'!I657 = "", "", '[1]G_Fall-back'!I657 ),"")</f>
        <v/>
      </c>
      <c r="J6388" s="347" t="str">
        <f>IFERROR(IF('[1]G_Fall-back'!J657 = "", "", '[1]G_Fall-back'!J657 ),"")</f>
        <v/>
      </c>
      <c r="K6388" s="347" t="str">
        <f>IFERROR(IF('[1]G_Fall-back'!K657 = "", "", '[1]G_Fall-back'!K657 ),"")</f>
        <v/>
      </c>
      <c r="L6388" s="347" t="str">
        <f>IFERROR(IF('[1]G_Fall-back'!L657 = "", "", '[1]G_Fall-back'!L657 ),"")</f>
        <v/>
      </c>
      <c r="M6388" s="347" t="str">
        <f>IFERROR(IF('[1]G_Fall-back'!M657 = "", "", '[1]G_Fall-back'!M657 ),"")</f>
        <v/>
      </c>
      <c r="N6388" s="349" t="str">
        <f>IFERROR(IF('[1]G_Fall-back'!N657 = "", "", '[1]G_Fall-back'!N657 ),"")</f>
        <v/>
      </c>
    </row>
    <row r="6389" spans="3:14">
      <c r="C6389" s="1056"/>
      <c r="D6389" s="1057"/>
      <c r="E6389" s="1057"/>
      <c r="F6389" s="1057"/>
      <c r="G6389" s="1057"/>
      <c r="H6389" s="1057"/>
      <c r="I6389" s="1057"/>
      <c r="J6389" s="1057"/>
      <c r="K6389" s="1057"/>
      <c r="L6389" s="1057"/>
      <c r="M6389" s="1057"/>
      <c r="N6389" s="1060"/>
    </row>
    <row r="6390" spans="3:14" ht="38.25">
      <c r="C6390" s="1056"/>
      <c r="D6390" s="982" t="s">
        <v>881</v>
      </c>
      <c r="E6390" s="983" t="s">
        <v>1189</v>
      </c>
      <c r="F6390" s="983"/>
      <c r="G6390" s="983"/>
      <c r="H6390" s="983"/>
      <c r="I6390" s="983"/>
      <c r="J6390" s="983"/>
      <c r="K6390" s="983"/>
      <c r="L6390" s="983"/>
      <c r="M6390" s="983"/>
      <c r="N6390" s="984"/>
    </row>
    <row r="6391" spans="3:14">
      <c r="C6391" s="1056"/>
      <c r="D6391" s="1057"/>
      <c r="E6391" s="2669" t="s">
        <v>1576</v>
      </c>
      <c r="F6391" s="2391"/>
      <c r="G6391" s="2391"/>
      <c r="H6391" s="2391"/>
      <c r="I6391" s="2391"/>
      <c r="J6391" s="2391"/>
      <c r="K6391" s="2391"/>
      <c r="L6391" s="2391"/>
      <c r="M6391" s="2391"/>
      <c r="N6391" s="2650"/>
    </row>
    <row r="6392" spans="3:14">
      <c r="C6392" s="1056"/>
      <c r="D6392" s="1057"/>
      <c r="E6392" s="2669" t="s">
        <v>1493</v>
      </c>
      <c r="F6392" s="2391"/>
      <c r="G6392" s="2391"/>
      <c r="H6392" s="2391"/>
      <c r="I6392" s="2391"/>
      <c r="J6392" s="2391"/>
      <c r="K6392" s="2391"/>
      <c r="L6392" s="2391"/>
      <c r="M6392" s="2391"/>
      <c r="N6392" s="2650"/>
    </row>
    <row r="6393" spans="3:14">
      <c r="C6393" s="1056"/>
      <c r="D6393" s="982"/>
      <c r="E6393" s="989"/>
      <c r="F6393" s="990"/>
      <c r="G6393" s="987" t="s">
        <v>884</v>
      </c>
      <c r="H6393" s="782">
        <v>2019</v>
      </c>
      <c r="I6393" s="782">
        <v>2020</v>
      </c>
      <c r="J6393" s="782">
        <v>2021</v>
      </c>
      <c r="K6393" s="782">
        <v>2022</v>
      </c>
      <c r="L6393" s="782">
        <v>2023</v>
      </c>
      <c r="M6393" s="782">
        <v>2024</v>
      </c>
      <c r="N6393" s="783">
        <v>2025</v>
      </c>
    </row>
    <row r="6394" spans="3:14">
      <c r="C6394" s="1056"/>
      <c r="D6394" s="1061" t="s">
        <v>6</v>
      </c>
      <c r="E6394" s="2475" t="s">
        <v>1577</v>
      </c>
      <c r="F6394" s="2410"/>
      <c r="G6394" s="815" t="s">
        <v>2017</v>
      </c>
      <c r="H6394" s="93" t="str">
        <f>IFERROR(IF('[1]G_Fall-back'!H663 = "", "", '[1]G_Fall-back'!H663 ),"")</f>
        <v/>
      </c>
      <c r="I6394" s="93" t="str">
        <f>IFERROR(IF('[1]G_Fall-back'!I663 = "", "", '[1]G_Fall-back'!I663 ),"")</f>
        <v/>
      </c>
      <c r="J6394" s="93" t="str">
        <f>IFERROR(IF('[1]G_Fall-back'!J663 = "", "", '[1]G_Fall-back'!J663 ),"")</f>
        <v/>
      </c>
      <c r="K6394" s="93" t="str">
        <f>IFERROR(IF('[1]G_Fall-back'!K663 = "", "", '[1]G_Fall-back'!K663 ),"")</f>
        <v/>
      </c>
      <c r="L6394" s="93" t="str">
        <f>IFERROR(IF('[1]G_Fall-back'!L663 = "", "", '[1]G_Fall-back'!L663 ),"")</f>
        <v/>
      </c>
      <c r="M6394" s="93" t="str">
        <f>IFERROR(IF('[1]G_Fall-back'!M663 = "", "", '[1]G_Fall-back'!M663 ),"")</f>
        <v/>
      </c>
      <c r="N6394" s="118" t="str">
        <f>IFERROR(IF('[1]G_Fall-back'!N663 = "", "", '[1]G_Fall-back'!N663 ),"")</f>
        <v/>
      </c>
    </row>
    <row r="6395" spans="3:14">
      <c r="C6395" s="1056"/>
      <c r="D6395" s="1061" t="s">
        <v>7</v>
      </c>
      <c r="E6395" s="2475" t="s">
        <v>1597</v>
      </c>
      <c r="F6395" s="2410"/>
      <c r="G6395" s="991" t="s">
        <v>2018</v>
      </c>
      <c r="H6395" s="93" t="str">
        <f>IFERROR(IF('[1]G_Fall-back'!H664 = "", "", '[1]G_Fall-back'!H664 ),"")</f>
        <v/>
      </c>
      <c r="I6395" s="93" t="str">
        <f>IFERROR(IF('[1]G_Fall-back'!I664 = "", "", '[1]G_Fall-back'!I664 ),"")</f>
        <v/>
      </c>
      <c r="J6395" s="93" t="str">
        <f>IFERROR(IF('[1]G_Fall-back'!J664 = "", "", '[1]G_Fall-back'!J664 ),"")</f>
        <v/>
      </c>
      <c r="K6395" s="93" t="str">
        <f>IFERROR(IF('[1]G_Fall-back'!K664 = "", "", '[1]G_Fall-back'!K664 ),"")</f>
        <v/>
      </c>
      <c r="L6395" s="93" t="str">
        <f>IFERROR(IF('[1]G_Fall-back'!L664 = "", "", '[1]G_Fall-back'!L664 ),"")</f>
        <v/>
      </c>
      <c r="M6395" s="93" t="str">
        <f>IFERROR(IF('[1]G_Fall-back'!M664 = "", "", '[1]G_Fall-back'!M664 ),"")</f>
        <v/>
      </c>
      <c r="N6395" s="118" t="str">
        <f>IFERROR(IF('[1]G_Fall-back'!N664 = "", "", '[1]G_Fall-back'!N664 ),"")</f>
        <v/>
      </c>
    </row>
    <row r="6396" spans="3:14">
      <c r="C6396" s="1056"/>
      <c r="D6396" s="1057"/>
      <c r="E6396" s="1057"/>
      <c r="F6396" s="1057"/>
      <c r="G6396" s="1057"/>
      <c r="H6396" s="1057"/>
      <c r="I6396" s="1057"/>
      <c r="J6396" s="1057"/>
      <c r="K6396" s="1057"/>
      <c r="L6396" s="1057"/>
      <c r="M6396" s="1057"/>
      <c r="N6396" s="1062"/>
    </row>
    <row r="6397" spans="3:14">
      <c r="C6397" s="1056"/>
      <c r="D6397" s="1061" t="s">
        <v>8</v>
      </c>
      <c r="E6397" s="2475" t="s">
        <v>1481</v>
      </c>
      <c r="F6397" s="2410"/>
      <c r="G6397" s="815" t="s">
        <v>2017</v>
      </c>
      <c r="H6397" s="93" t="str">
        <f>IFERROR(IF('[1]G_Fall-back'!H666 = "", "", '[1]G_Fall-back'!H666 ),"")</f>
        <v/>
      </c>
      <c r="I6397" s="93" t="str">
        <f>IFERROR(IF('[1]G_Fall-back'!I666 = "", "", '[1]G_Fall-back'!I666 ),"")</f>
        <v/>
      </c>
      <c r="J6397" s="93" t="str">
        <f>IFERROR(IF('[1]G_Fall-back'!J666 = "", "", '[1]G_Fall-back'!J666 ),"")</f>
        <v/>
      </c>
      <c r="K6397" s="93" t="str">
        <f>IFERROR(IF('[1]G_Fall-back'!K666 = "", "", '[1]G_Fall-back'!K666 ),"")</f>
        <v/>
      </c>
      <c r="L6397" s="93" t="str">
        <f>IFERROR(IF('[1]G_Fall-back'!L666 = "", "", '[1]G_Fall-back'!L666 ),"")</f>
        <v/>
      </c>
      <c r="M6397" s="93" t="str">
        <f>IFERROR(IF('[1]G_Fall-back'!M666 = "", "", '[1]G_Fall-back'!M666 ),"")</f>
        <v/>
      </c>
      <c r="N6397" s="118" t="str">
        <f>IFERROR(IF('[1]G_Fall-back'!N666 = "", "", '[1]G_Fall-back'!N666 ),"")</f>
        <v/>
      </c>
    </row>
    <row r="6398" spans="3:14">
      <c r="C6398" s="1056"/>
      <c r="D6398" s="1061" t="s">
        <v>18</v>
      </c>
      <c r="E6398" s="2475" t="s">
        <v>1482</v>
      </c>
      <c r="F6398" s="2410"/>
      <c r="G6398" s="991" t="s">
        <v>2018</v>
      </c>
      <c r="H6398" s="109" t="str">
        <f>IFERROR(IF('[1]G_Fall-back'!H667 = "", "", '[1]G_Fall-back'!H667 ),"")</f>
        <v/>
      </c>
      <c r="I6398" s="109" t="str">
        <f>IFERROR(IF('[1]G_Fall-back'!I667 = "", "", '[1]G_Fall-back'!I667 ),"")</f>
        <v/>
      </c>
      <c r="J6398" s="109" t="str">
        <f>IFERROR(IF('[1]G_Fall-back'!J667 = "", "", '[1]G_Fall-back'!J667 ),"")</f>
        <v/>
      </c>
      <c r="K6398" s="109" t="str">
        <f>IFERROR(IF('[1]G_Fall-back'!K667 = "", "", '[1]G_Fall-back'!K667 ),"")</f>
        <v/>
      </c>
      <c r="L6398" s="109" t="str">
        <f>IFERROR(IF('[1]G_Fall-back'!L667 = "", "", '[1]G_Fall-back'!L667 ),"")</f>
        <v/>
      </c>
      <c r="M6398" s="109" t="str">
        <f>IFERROR(IF('[1]G_Fall-back'!M667 = "", "", '[1]G_Fall-back'!M667 ),"")</f>
        <v/>
      </c>
      <c r="N6398" s="357" t="str">
        <f>IFERROR(IF('[1]G_Fall-back'!N667 = "", "", '[1]G_Fall-back'!N667 ),"")</f>
        <v/>
      </c>
    </row>
    <row r="6399" spans="3:14">
      <c r="C6399" s="1056"/>
      <c r="D6399" s="1057"/>
      <c r="E6399" s="1057"/>
      <c r="F6399" s="1057"/>
      <c r="G6399" s="1057"/>
      <c r="H6399" s="1057"/>
      <c r="I6399" s="1057"/>
      <c r="J6399" s="1057"/>
      <c r="K6399" s="1057"/>
      <c r="L6399" s="1057"/>
      <c r="M6399" s="1057"/>
      <c r="N6399" s="1060"/>
    </row>
    <row r="6400" spans="3:14">
      <c r="C6400" s="1056"/>
      <c r="D6400" s="982" t="s">
        <v>57</v>
      </c>
      <c r="E6400" s="2470" t="s">
        <v>1079</v>
      </c>
      <c r="F6400" s="2410"/>
      <c r="G6400" s="815" t="s">
        <v>2017</v>
      </c>
      <c r="H6400" s="93" t="str">
        <f>IFERROR(IF('[1]G_Fall-back'!H669 = "", "", '[1]G_Fall-back'!H669 ),"")</f>
        <v/>
      </c>
      <c r="I6400" s="93" t="str">
        <f>IFERROR(IF('[1]G_Fall-back'!I669 = "", "", '[1]G_Fall-back'!I669 ),"")</f>
        <v/>
      </c>
      <c r="J6400" s="93" t="str">
        <f>IFERROR(IF('[1]G_Fall-back'!J669 = "", "", '[1]G_Fall-back'!J669 ),"")</f>
        <v/>
      </c>
      <c r="K6400" s="93" t="str">
        <f>IFERROR(IF('[1]G_Fall-back'!K669 = "", "", '[1]G_Fall-back'!K669 ),"")</f>
        <v/>
      </c>
      <c r="L6400" s="93" t="str">
        <f>IFERROR(IF('[1]G_Fall-back'!L669 = "", "", '[1]G_Fall-back'!L669 ),"")</f>
        <v/>
      </c>
      <c r="M6400" s="93" t="str">
        <f>IFERROR(IF('[1]G_Fall-back'!M669 = "", "", '[1]G_Fall-back'!M669 ),"")</f>
        <v/>
      </c>
      <c r="N6400" s="118" t="str">
        <f>IFERROR(IF('[1]G_Fall-back'!N669 = "", "", '[1]G_Fall-back'!N669 ),"")</f>
        <v/>
      </c>
    </row>
    <row r="6401" spans="3:14">
      <c r="C6401" s="1056"/>
      <c r="D6401" s="982"/>
      <c r="E6401" s="2475" t="s">
        <v>1541</v>
      </c>
      <c r="F6401" s="2410"/>
      <c r="G6401" s="991" t="s">
        <v>2018</v>
      </c>
      <c r="H6401" s="109" t="str">
        <f>IFERROR(IF('[1]G_Fall-back'!H670 = "", "", '[1]G_Fall-back'!H670 ),"")</f>
        <v/>
      </c>
      <c r="I6401" s="109" t="str">
        <f>IFERROR(IF('[1]G_Fall-back'!I670 = "", "", '[1]G_Fall-back'!I670 ),"")</f>
        <v/>
      </c>
      <c r="J6401" s="109" t="str">
        <f>IFERROR(IF('[1]G_Fall-back'!J670 = "", "", '[1]G_Fall-back'!J670 ),"")</f>
        <v/>
      </c>
      <c r="K6401" s="109" t="str">
        <f>IFERROR(IF('[1]G_Fall-back'!K670 = "", "", '[1]G_Fall-back'!K670 ),"")</f>
        <v/>
      </c>
      <c r="L6401" s="109" t="str">
        <f>IFERROR(IF('[1]G_Fall-back'!L670 = "", "", '[1]G_Fall-back'!L670 ),"")</f>
        <v/>
      </c>
      <c r="M6401" s="109" t="str">
        <f>IFERROR(IF('[1]G_Fall-back'!M670 = "", "", '[1]G_Fall-back'!M670 ),"")</f>
        <v/>
      </c>
      <c r="N6401" s="357" t="str">
        <f>IFERROR(IF('[1]G_Fall-back'!N670 = "", "", '[1]G_Fall-back'!N670 ),"")</f>
        <v/>
      </c>
    </row>
    <row r="6402" spans="3:14">
      <c r="C6402" s="1056"/>
      <c r="D6402" s="982"/>
      <c r="E6402" s="2711" t="s">
        <v>2297</v>
      </c>
      <c r="F6402" s="2671"/>
      <c r="G6402" s="2671"/>
      <c r="H6402" s="2671"/>
      <c r="I6402" s="2671"/>
      <c r="J6402" s="2671"/>
      <c r="K6402" s="2671"/>
      <c r="L6402" s="2671"/>
      <c r="M6402" s="2671"/>
      <c r="N6402" s="2712"/>
    </row>
    <row r="6403" spans="3:14">
      <c r="C6403" s="1056"/>
      <c r="D6403" s="1057"/>
      <c r="E6403" s="2645" t="s">
        <v>1353</v>
      </c>
      <c r="F6403" s="2672"/>
      <c r="G6403" s="2672"/>
      <c r="H6403" s="2672"/>
      <c r="I6403" s="2672"/>
      <c r="J6403" s="2672"/>
      <c r="K6403" s="2672"/>
      <c r="L6403" s="2672"/>
      <c r="M6403" s="2672"/>
      <c r="N6403" s="2673"/>
    </row>
    <row r="6404" spans="3:14" ht="13.5" thickBot="1">
      <c r="C6404" s="1063"/>
      <c r="D6404" s="1064"/>
      <c r="E6404" s="1064"/>
      <c r="F6404" s="1064"/>
      <c r="G6404" s="1064"/>
      <c r="H6404" s="1064"/>
      <c r="I6404" s="1064"/>
      <c r="J6404" s="1064"/>
      <c r="K6404" s="1064"/>
      <c r="L6404" s="1064"/>
      <c r="M6404" s="1065"/>
      <c r="N6404" s="1066"/>
    </row>
    <row r="6405" spans="3:14" ht="13.5" thickBot="1">
      <c r="C6405" s="485"/>
      <c r="D6405" s="485"/>
      <c r="E6405" s="485"/>
      <c r="F6405" s="485"/>
      <c r="G6405" s="485"/>
      <c r="H6405" s="485"/>
      <c r="I6405" s="485"/>
      <c r="J6405" s="485"/>
      <c r="K6405" s="485"/>
      <c r="L6405" s="485"/>
      <c r="M6405" s="485"/>
      <c r="N6405" s="485"/>
    </row>
    <row r="6406" spans="3:14" ht="13.5" thickBot="1">
      <c r="C6406" s="686"/>
      <c r="D6406" s="686"/>
      <c r="E6406" s="686"/>
      <c r="F6406" s="686"/>
      <c r="G6406" s="686"/>
      <c r="H6406" s="686"/>
      <c r="I6406" s="686"/>
      <c r="J6406" s="686"/>
      <c r="K6406" s="686"/>
      <c r="L6406" s="686"/>
      <c r="M6406" s="686"/>
      <c r="N6406" s="686"/>
    </row>
    <row r="6407" spans="3:14" ht="15.75" thickBot="1">
      <c r="C6407" s="559">
        <v>5</v>
      </c>
      <c r="D6407" s="2482" t="s">
        <v>2170</v>
      </c>
      <c r="E6407" s="2400"/>
      <c r="F6407" s="2400"/>
      <c r="G6407" s="2400"/>
      <c r="H6407" s="2585"/>
      <c r="I6407" s="2489" t="str">
        <f>IFERROR(IF('[1]G_Fall-back'!I676 = "", "", '[1]G_Fall-back'!I676 ),"")</f>
        <v>Fuel benchmark sub-installation, non-CL</v>
      </c>
      <c r="J6407" s="2534"/>
      <c r="K6407" s="2534"/>
      <c r="L6407" s="2681"/>
      <c r="M6407" s="2476" t="str">
        <f>IFERROR(IF('[1]G_Fall-back'!M676 = "", "", '[1]G_Fall-back'!M676 ),"")</f>
        <v/>
      </c>
      <c r="N6407" s="2477"/>
    </row>
    <row r="6408" spans="3:14">
      <c r="C6408" s="485"/>
      <c r="D6408" s="485"/>
      <c r="E6408" s="485"/>
      <c r="F6408" s="485"/>
      <c r="G6408" s="485"/>
      <c r="H6408" s="484"/>
      <c r="I6408" s="2716" t="s">
        <v>111</v>
      </c>
      <c r="J6408" s="2717"/>
      <c r="K6408" s="2717"/>
      <c r="L6408" s="2717"/>
      <c r="M6408" s="2718"/>
      <c r="N6408" s="2719"/>
    </row>
    <row r="6409" spans="3:14">
      <c r="C6409" s="467"/>
      <c r="D6409" s="485"/>
      <c r="E6409" s="2465" t="s">
        <v>1197</v>
      </c>
      <c r="F6409" s="2400"/>
      <c r="G6409" s="2400"/>
      <c r="H6409" s="2400"/>
      <c r="I6409" s="2400"/>
      <c r="J6409" s="2400"/>
      <c r="K6409" s="2400"/>
      <c r="L6409" s="2400"/>
      <c r="M6409" s="2400"/>
      <c r="N6409" s="2400"/>
    </row>
    <row r="6410" spans="3:14">
      <c r="C6410" s="467"/>
      <c r="D6410" s="467"/>
      <c r="E6410" s="467"/>
      <c r="F6410" s="467"/>
      <c r="G6410" s="467"/>
      <c r="H6410" s="467"/>
      <c r="I6410" s="467"/>
      <c r="J6410" s="467"/>
      <c r="K6410" s="467"/>
      <c r="L6410" s="467"/>
      <c r="M6410" s="481"/>
      <c r="N6410" s="481"/>
    </row>
    <row r="6411" spans="3:14">
      <c r="C6411" s="482"/>
      <c r="D6411" s="482" t="s">
        <v>400</v>
      </c>
      <c r="E6411" s="2373" t="s">
        <v>1930</v>
      </c>
      <c r="F6411" s="2400"/>
      <c r="G6411" s="2400"/>
      <c r="H6411" s="2400"/>
      <c r="I6411" s="2400"/>
      <c r="J6411" s="2400"/>
      <c r="K6411" s="2400"/>
      <c r="L6411" s="2400"/>
      <c r="M6411" s="2400"/>
      <c r="N6411" s="2400"/>
    </row>
    <row r="6412" spans="3:14">
      <c r="C6412" s="485"/>
      <c r="D6412" s="485"/>
      <c r="E6412" s="2720" t="s">
        <v>1960</v>
      </c>
      <c r="F6412" s="2720"/>
      <c r="G6412" s="2720"/>
      <c r="H6412" s="2720"/>
      <c r="I6412" s="2720"/>
      <c r="J6412" s="2720"/>
      <c r="K6412" s="2720"/>
      <c r="L6412" s="2720"/>
      <c r="M6412" s="2720"/>
      <c r="N6412" s="2720"/>
    </row>
    <row r="6413" spans="3:14">
      <c r="C6413" s="467"/>
      <c r="D6413" s="485"/>
      <c r="E6413" s="2651" t="s">
        <v>1959</v>
      </c>
      <c r="F6413" s="2721"/>
      <c r="G6413" s="2721"/>
      <c r="H6413" s="2721"/>
      <c r="I6413" s="2721"/>
      <c r="J6413" s="2721"/>
      <c r="K6413" s="2721"/>
      <c r="L6413" s="2721"/>
      <c r="M6413" s="2721"/>
      <c r="N6413" s="2721"/>
    </row>
    <row r="6414" spans="3:14">
      <c r="C6414" s="482"/>
      <c r="D6414" s="482"/>
      <c r="E6414" s="707" t="s">
        <v>920</v>
      </c>
      <c r="F6414" s="518"/>
      <c r="G6414" s="663" t="s">
        <v>884</v>
      </c>
      <c r="H6414" s="578">
        <v>2019</v>
      </c>
      <c r="I6414" s="697">
        <v>2020</v>
      </c>
      <c r="J6414" s="696">
        <v>2021</v>
      </c>
      <c r="K6414" s="578">
        <v>2022</v>
      </c>
      <c r="L6414" s="578">
        <v>2023</v>
      </c>
      <c r="M6414" s="578">
        <v>2024</v>
      </c>
      <c r="N6414" s="671">
        <v>2025</v>
      </c>
    </row>
    <row r="6415" spans="3:14">
      <c r="C6415" s="485"/>
      <c r="D6415" s="561" t="s">
        <v>6</v>
      </c>
      <c r="E6415" s="2696" t="str">
        <f>IFERROR(IF('[1]G_Fall-back'!E684 = "", "", '[1]G_Fall-back'!E684 ),"")</f>
        <v>Fuel benchmark sub-installation, non-CL</v>
      </c>
      <c r="F6415" s="2696"/>
      <c r="G6415" s="74" t="str">
        <f>IFERROR(IF('[1]G_Fall-back'!G684 = "", "", '[1]G_Fall-back'!G684 ),"")</f>
        <v>TJ</v>
      </c>
      <c r="H6415" s="102" t="str">
        <f>IFERROR(IF('[1]G_Fall-back'!H684 = "", "", '[1]G_Fall-back'!H684 ),"")</f>
        <v/>
      </c>
      <c r="I6415" s="386" t="str">
        <f>IFERROR(IF('[1]G_Fall-back'!I684 = "", "", '[1]G_Fall-back'!I684 ),"")</f>
        <v/>
      </c>
      <c r="J6415" s="387" t="str">
        <f>IFERROR(IF('[1]G_Fall-back'!J684 = "", "", '[1]G_Fall-back'!J684 ),"")</f>
        <v/>
      </c>
      <c r="K6415" s="102" t="str">
        <f>IFERROR(IF('[1]G_Fall-back'!K684 = "", "", '[1]G_Fall-back'!K684 ),"")</f>
        <v/>
      </c>
      <c r="L6415" s="102" t="str">
        <f>IFERROR(IF('[1]G_Fall-back'!L684 = "", "", '[1]G_Fall-back'!L684 ),"")</f>
        <v/>
      </c>
      <c r="M6415" s="102" t="str">
        <f>IFERROR(IF('[1]G_Fall-back'!M684 = "", "", '[1]G_Fall-back'!M684 ),"")</f>
        <v/>
      </c>
      <c r="N6415" s="102" t="str">
        <f>IFERROR(IF('[1]G_Fall-back'!N684 = "", "", '[1]G_Fall-back'!N684 ),"")</f>
        <v/>
      </c>
    </row>
    <row r="6416" spans="3:14">
      <c r="C6416" s="479"/>
      <c r="D6416" s="485"/>
      <c r="E6416" s="485"/>
      <c r="F6416" s="485"/>
      <c r="G6416" s="485"/>
      <c r="H6416" s="485"/>
      <c r="I6416" s="485"/>
      <c r="J6416" s="485"/>
      <c r="K6416" s="485"/>
      <c r="L6416" s="485"/>
      <c r="M6416" s="485"/>
      <c r="N6416" s="485"/>
    </row>
    <row r="6417" spans="3:14">
      <c r="C6417" s="479"/>
      <c r="D6417" s="485"/>
      <c r="E6417" s="2465" t="s">
        <v>1712</v>
      </c>
      <c r="F6417" s="2400"/>
      <c r="G6417" s="2400"/>
      <c r="H6417" s="2400"/>
      <c r="I6417" s="2400"/>
      <c r="J6417" s="2400"/>
      <c r="K6417" s="2400"/>
      <c r="L6417" s="2400"/>
      <c r="M6417" s="2400"/>
      <c r="N6417" s="2400"/>
    </row>
    <row r="6418" spans="3:14">
      <c r="C6418" s="479"/>
      <c r="D6418" s="485"/>
      <c r="E6418" s="901" t="s">
        <v>1021</v>
      </c>
      <c r="F6418" s="2651" t="s">
        <v>2711</v>
      </c>
      <c r="G6418" s="2584"/>
      <c r="H6418" s="2584"/>
      <c r="I6418" s="2584"/>
      <c r="J6418" s="2584"/>
      <c r="K6418" s="2584"/>
      <c r="L6418" s="2584"/>
      <c r="M6418" s="2584"/>
      <c r="N6418" s="2584"/>
    </row>
    <row r="6419" spans="3:14">
      <c r="C6419" s="479"/>
      <c r="D6419" s="485"/>
      <c r="E6419" s="901" t="s">
        <v>1021</v>
      </c>
      <c r="F6419" s="2651" t="s">
        <v>1985</v>
      </c>
      <c r="G6419" s="2584"/>
      <c r="H6419" s="2584"/>
      <c r="I6419" s="2584"/>
      <c r="J6419" s="2584"/>
      <c r="K6419" s="2584"/>
      <c r="L6419" s="2584"/>
      <c r="M6419" s="2584"/>
      <c r="N6419" s="2584"/>
    </row>
    <row r="6420" spans="3:14" ht="13.5" thickBot="1">
      <c r="C6420" s="479"/>
      <c r="D6420" s="485"/>
      <c r="E6420" s="901" t="s">
        <v>2251</v>
      </c>
      <c r="F6420" s="2651" t="s">
        <v>2239</v>
      </c>
      <c r="G6420" s="2584"/>
      <c r="H6420" s="2584"/>
      <c r="I6420" s="2584"/>
      <c r="J6420" s="2584"/>
      <c r="K6420" s="2584"/>
      <c r="L6420" s="2584"/>
      <c r="M6420" s="2584"/>
      <c r="N6420" s="2584"/>
    </row>
    <row r="6421" spans="3:14">
      <c r="C6421" s="479"/>
      <c r="D6421" s="902"/>
      <c r="E6421" s="903"/>
      <c r="F6421" s="904"/>
      <c r="G6421" s="905"/>
      <c r="H6421" s="905"/>
      <c r="I6421" s="905"/>
      <c r="J6421" s="905"/>
      <c r="K6421" s="905"/>
      <c r="L6421" s="905"/>
      <c r="M6421" s="905"/>
      <c r="N6421" s="906"/>
    </row>
    <row r="6422" spans="3:14">
      <c r="C6422" s="479"/>
      <c r="D6422" s="918"/>
      <c r="E6422" s="908" t="s">
        <v>1652</v>
      </c>
      <c r="F6422" s="909"/>
      <c r="G6422" s="909"/>
      <c r="H6422" s="910" t="s">
        <v>884</v>
      </c>
      <c r="I6422" s="911" t="s">
        <v>2212</v>
      </c>
      <c r="J6422" s="912">
        <v>2021</v>
      </c>
      <c r="K6422" s="913">
        <v>2022</v>
      </c>
      <c r="L6422" s="913">
        <v>2023</v>
      </c>
      <c r="M6422" s="913">
        <v>2024</v>
      </c>
      <c r="N6422" s="914">
        <v>2025</v>
      </c>
    </row>
    <row r="6423" spans="3:14">
      <c r="C6423" s="479"/>
      <c r="D6423" s="915" t="s">
        <v>7</v>
      </c>
      <c r="E6423" s="916" t="s">
        <v>1976</v>
      </c>
      <c r="F6423" s="916"/>
      <c r="G6423" s="916"/>
      <c r="H6423" s="944" t="s">
        <v>283</v>
      </c>
      <c r="I6423" s="235" t="str">
        <f>IFERROR(IF('[1]G_Fall-back'!I692 = "", "", '[1]G_Fall-back'!I692 ),"")</f>
        <v/>
      </c>
      <c r="J6423" s="388" t="str">
        <f>IFERROR(IF('[1]G_Fall-back'!J692 = "", "", '[1]G_Fall-back'!J692 ),"")</f>
        <v/>
      </c>
      <c r="K6423" s="389" t="str">
        <f>IFERROR(IF('[1]G_Fall-back'!K692 = "", "", '[1]G_Fall-back'!K692 ),"")</f>
        <v/>
      </c>
      <c r="L6423" s="389" t="str">
        <f>IFERROR(IF('[1]G_Fall-back'!L692 = "", "", '[1]G_Fall-back'!L692 ),"")</f>
        <v/>
      </c>
      <c r="M6423" s="389" t="str">
        <f>IFERROR(IF('[1]G_Fall-back'!M692 = "", "", '[1]G_Fall-back'!M692 ),"")</f>
        <v/>
      </c>
      <c r="N6423" s="390" t="str">
        <f>IFERROR(IF('[1]G_Fall-back'!N692 = "", "", '[1]G_Fall-back'!N692 ),"")</f>
        <v/>
      </c>
    </row>
    <row r="6424" spans="3:14">
      <c r="C6424" s="479"/>
      <c r="D6424" s="915"/>
      <c r="E6424" s="916" t="s">
        <v>1648</v>
      </c>
      <c r="F6424" s="916"/>
      <c r="G6424" s="916"/>
      <c r="H6424" s="921"/>
      <c r="I6424" s="916"/>
      <c r="J6424" s="319" t="str">
        <f>IFERROR(IF('[1]G_Fall-back'!J693 = "", "", '[1]G_Fall-back'!J693 ),"")</f>
        <v/>
      </c>
      <c r="K6424" s="320" t="str">
        <f>IFERROR(IF('[1]G_Fall-back'!K693 = "", "", '[1]G_Fall-back'!K693 ),"")</f>
        <v/>
      </c>
      <c r="L6424" s="320" t="str">
        <f>IFERROR(IF('[1]G_Fall-back'!L693 = "", "", '[1]G_Fall-back'!L693 ),"")</f>
        <v/>
      </c>
      <c r="M6424" s="320" t="str">
        <f>IFERROR(IF('[1]G_Fall-back'!M693 = "", "", '[1]G_Fall-back'!M693 ),"")</f>
        <v/>
      </c>
      <c r="N6424" s="321" t="str">
        <f>IFERROR(IF('[1]G_Fall-back'!N693 = "", "", '[1]G_Fall-back'!N693 ),"")</f>
        <v/>
      </c>
    </row>
    <row r="6425" spans="3:14">
      <c r="C6425" s="479"/>
      <c r="D6425" s="915" t="s">
        <v>8</v>
      </c>
      <c r="E6425" s="916" t="s">
        <v>1654</v>
      </c>
      <c r="F6425" s="916"/>
      <c r="G6425" s="916"/>
      <c r="H6425" s="921"/>
      <c r="I6425" s="916"/>
      <c r="J6425" s="288" t="str">
        <f>IFERROR(IF('[1]G_Fall-back'!J694 = "", "", '[1]G_Fall-back'!J694 ),"")</f>
        <v/>
      </c>
      <c r="K6425" s="289" t="str">
        <f>IFERROR(IF('[1]G_Fall-back'!K694 = "", "", '[1]G_Fall-back'!K694 ),"")</f>
        <v/>
      </c>
      <c r="L6425" s="289" t="str">
        <f>IFERROR(IF('[1]G_Fall-back'!L694 = "", "", '[1]G_Fall-back'!L694 ),"")</f>
        <v/>
      </c>
      <c r="M6425" s="289" t="str">
        <f>IFERROR(IF('[1]G_Fall-back'!M694 = "", "", '[1]G_Fall-back'!M694 ),"")</f>
        <v/>
      </c>
      <c r="N6425" s="290" t="str">
        <f>IFERROR(IF('[1]G_Fall-back'!N694 = "", "", '[1]G_Fall-back'!N694 ),"")</f>
        <v/>
      </c>
    </row>
    <row r="6426" spans="3:14">
      <c r="C6426" s="479"/>
      <c r="D6426" s="915" t="s">
        <v>18</v>
      </c>
      <c r="E6426" s="916" t="s">
        <v>1647</v>
      </c>
      <c r="F6426" s="916"/>
      <c r="G6426" s="916"/>
      <c r="H6426" s="944" t="s">
        <v>283</v>
      </c>
      <c r="I6426" s="235" t="str">
        <f>IFERROR(IF('[1]G_Fall-back'!I695 = "", "", '[1]G_Fall-back'!I695 ),"")</f>
        <v/>
      </c>
      <c r="J6426" s="388" t="str">
        <f>IFERROR(IF('[1]G_Fall-back'!J695 = "", "", '[1]G_Fall-back'!J695 ),"")</f>
        <v/>
      </c>
      <c r="K6426" s="389" t="str">
        <f>IFERROR(IF('[1]G_Fall-back'!K695 = "", "", '[1]G_Fall-back'!K695 ),"")</f>
        <v/>
      </c>
      <c r="L6426" s="389" t="str">
        <f>IFERROR(IF('[1]G_Fall-back'!L695 = "", "", '[1]G_Fall-back'!L695 ),"")</f>
        <v/>
      </c>
      <c r="M6426" s="389" t="str">
        <f>IFERROR(IF('[1]G_Fall-back'!M695 = "", "", '[1]G_Fall-back'!M695 ),"")</f>
        <v/>
      </c>
      <c r="N6426" s="390" t="str">
        <f>IFERROR(IF('[1]G_Fall-back'!N695 = "", "", '[1]G_Fall-back'!N695 ),"")</f>
        <v/>
      </c>
    </row>
    <row r="6427" spans="3:14" ht="13.5" thickBot="1">
      <c r="C6427" s="467"/>
      <c r="D6427" s="1022"/>
      <c r="E6427" s="1023"/>
      <c r="F6427" s="1023"/>
      <c r="G6427" s="1023"/>
      <c r="H6427" s="1023"/>
      <c r="I6427" s="1023"/>
      <c r="J6427" s="1023"/>
      <c r="K6427" s="1023"/>
      <c r="L6427" s="1023"/>
      <c r="M6427" s="1023"/>
      <c r="N6427" s="1024"/>
    </row>
    <row r="6428" spans="3:14">
      <c r="C6428" s="467"/>
      <c r="D6428" s="467"/>
      <c r="E6428" s="467"/>
      <c r="F6428" s="467"/>
      <c r="G6428" s="467"/>
      <c r="H6428" s="467"/>
      <c r="I6428" s="467"/>
      <c r="J6428" s="467"/>
      <c r="K6428" s="467"/>
      <c r="L6428" s="467"/>
      <c r="M6428" s="467"/>
      <c r="N6428" s="467"/>
    </row>
    <row r="6429" spans="3:14" ht="15">
      <c r="C6429" s="1025"/>
      <c r="D6429" s="2482" t="s">
        <v>103</v>
      </c>
      <c r="E6429" s="2400"/>
      <c r="F6429" s="2400"/>
      <c r="G6429" s="2400"/>
      <c r="H6429" s="2400"/>
      <c r="I6429" s="2400"/>
      <c r="J6429" s="2400"/>
      <c r="K6429" s="2400"/>
      <c r="L6429" s="2400"/>
      <c r="M6429" s="2400"/>
      <c r="N6429" s="2400"/>
    </row>
    <row r="6430" spans="3:14">
      <c r="C6430" s="467"/>
      <c r="D6430" s="467"/>
      <c r="E6430" s="467"/>
      <c r="F6430" s="467"/>
      <c r="G6430" s="467"/>
      <c r="H6430" s="467"/>
      <c r="I6430" s="467"/>
      <c r="J6430" s="467"/>
      <c r="K6430" s="467"/>
      <c r="L6430" s="467"/>
      <c r="M6430" s="467"/>
      <c r="N6430" s="467"/>
    </row>
    <row r="6431" spans="3:14">
      <c r="C6431" s="482"/>
      <c r="D6431" s="482" t="s">
        <v>876</v>
      </c>
      <c r="E6431" s="2373" t="s">
        <v>298</v>
      </c>
      <c r="F6431" s="2400"/>
      <c r="G6431" s="2400"/>
      <c r="H6431" s="2400"/>
      <c r="I6431" s="2400"/>
      <c r="J6431" s="2400"/>
      <c r="K6431" s="2400"/>
      <c r="L6431" s="2400"/>
      <c r="M6431" s="2400"/>
      <c r="N6431" s="2400"/>
    </row>
    <row r="6432" spans="3:14">
      <c r="C6432" s="485"/>
      <c r="D6432" s="485"/>
      <c r="E6432" s="2465" t="s">
        <v>925</v>
      </c>
      <c r="F6432" s="2400"/>
      <c r="G6432" s="2400"/>
      <c r="H6432" s="2400"/>
      <c r="I6432" s="2400"/>
      <c r="J6432" s="2400"/>
      <c r="K6432" s="2400"/>
      <c r="L6432" s="2400"/>
      <c r="M6432" s="2400"/>
      <c r="N6432" s="2400"/>
    </row>
    <row r="6433" spans="3:14">
      <c r="C6433" s="485"/>
      <c r="D6433" s="485"/>
      <c r="E6433" s="1026" t="s">
        <v>2177</v>
      </c>
      <c r="F6433" s="2465" t="s">
        <v>927</v>
      </c>
      <c r="G6433" s="2400"/>
      <c r="H6433" s="2400"/>
      <c r="I6433" s="2400"/>
      <c r="J6433" s="2400"/>
      <c r="K6433" s="2400"/>
      <c r="L6433" s="2400"/>
      <c r="M6433" s="2400"/>
      <c r="N6433" s="2400"/>
    </row>
    <row r="6434" spans="3:14">
      <c r="C6434" s="485"/>
      <c r="D6434" s="485"/>
      <c r="E6434" s="1026" t="s">
        <v>2177</v>
      </c>
      <c r="F6434" s="2465" t="s">
        <v>1006</v>
      </c>
      <c r="G6434" s="2400"/>
      <c r="H6434" s="2400"/>
      <c r="I6434" s="2400"/>
      <c r="J6434" s="2400"/>
      <c r="K6434" s="2400"/>
      <c r="L6434" s="2400"/>
      <c r="M6434" s="2400"/>
      <c r="N6434" s="2400"/>
    </row>
    <row r="6435" spans="3:14">
      <c r="C6435" s="485"/>
      <c r="D6435" s="485"/>
      <c r="E6435" s="2465" t="s">
        <v>1636</v>
      </c>
      <c r="F6435" s="2400"/>
      <c r="G6435" s="2400"/>
      <c r="H6435" s="2400"/>
      <c r="I6435" s="2400"/>
      <c r="J6435" s="2400"/>
      <c r="K6435" s="2400"/>
      <c r="L6435" s="2400"/>
      <c r="M6435" s="2400"/>
      <c r="N6435" s="2400"/>
    </row>
    <row r="6436" spans="3:14">
      <c r="C6436" s="485"/>
      <c r="D6436" s="485"/>
      <c r="E6436" s="2465" t="s">
        <v>2119</v>
      </c>
      <c r="F6436" s="2400"/>
      <c r="G6436" s="2400"/>
      <c r="H6436" s="2400"/>
      <c r="I6436" s="2400"/>
      <c r="J6436" s="2400"/>
      <c r="K6436" s="2400"/>
      <c r="L6436" s="2400"/>
      <c r="M6436" s="2400"/>
      <c r="N6436" s="2400"/>
    </row>
    <row r="6437" spans="3:14">
      <c r="C6437" s="485"/>
      <c r="D6437" s="485"/>
      <c r="E6437" s="2677" t="s">
        <v>2120</v>
      </c>
      <c r="F6437" s="2722"/>
      <c r="G6437" s="2722"/>
      <c r="H6437" s="2722"/>
      <c r="I6437" s="2722"/>
      <c r="J6437" s="2722"/>
      <c r="K6437" s="2722"/>
      <c r="L6437" s="2722"/>
      <c r="M6437" s="2722"/>
      <c r="N6437" s="2722"/>
    </row>
    <row r="6438" spans="3:14">
      <c r="C6438" s="485"/>
      <c r="D6438" s="485"/>
      <c r="E6438" s="2465" t="s">
        <v>29</v>
      </c>
      <c r="F6438" s="2400"/>
      <c r="G6438" s="2400"/>
      <c r="H6438" s="2400"/>
      <c r="I6438" s="2400"/>
      <c r="J6438" s="2400"/>
      <c r="K6438" s="2400"/>
      <c r="L6438" s="2400"/>
      <c r="M6438" s="2400"/>
      <c r="N6438" s="2400"/>
    </row>
    <row r="6439" spans="3:14">
      <c r="C6439" s="485"/>
      <c r="D6439" s="485"/>
      <c r="E6439" s="617"/>
      <c r="F6439" s="617"/>
      <c r="G6439" s="617"/>
      <c r="H6439" s="617"/>
      <c r="I6439" s="617"/>
      <c r="J6439" s="468"/>
      <c r="K6439" s="468"/>
      <c r="L6439" s="468"/>
      <c r="M6439" s="481"/>
      <c r="N6439" s="481"/>
    </row>
    <row r="6440" spans="3:14" ht="25.5">
      <c r="C6440" s="482"/>
      <c r="D6440" s="956"/>
      <c r="E6440" s="2723" t="s">
        <v>485</v>
      </c>
      <c r="F6440" s="2724"/>
      <c r="G6440" s="2758" t="s">
        <v>28</v>
      </c>
      <c r="H6440" s="2508"/>
      <c r="I6440" s="2508"/>
      <c r="J6440" s="2508"/>
      <c r="K6440" s="2508"/>
      <c r="L6440" s="2580"/>
      <c r="M6440" s="1069" t="s">
        <v>2112</v>
      </c>
      <c r="N6440" s="481"/>
    </row>
    <row r="6441" spans="3:14">
      <c r="C6441" s="484"/>
      <c r="D6441" s="579">
        <v>1</v>
      </c>
      <c r="E6441" s="2599" t="str">
        <f>IFERROR(IF('[1]G_Fall-back'!E710 = "", "", '[1]G_Fall-back'!E710 ),"")</f>
        <v/>
      </c>
      <c r="F6441" s="2617"/>
      <c r="G6441" s="2759" t="str">
        <f>IFERROR(IF('[1]G_Fall-back'!G710 = "", "", '[1]G_Fall-back'!G710 ),"")</f>
        <v/>
      </c>
      <c r="H6441" s="2599"/>
      <c r="I6441" s="2599"/>
      <c r="J6441" s="2599"/>
      <c r="K6441" s="2599"/>
      <c r="L6441" s="2617"/>
      <c r="M6441" s="391" t="str">
        <f>IFERROR(IF('[1]G_Fall-back'!M710 = "", "", '[1]G_Fall-back'!M710 ),"")</f>
        <v/>
      </c>
      <c r="N6441" s="481"/>
    </row>
    <row r="6442" spans="3:14">
      <c r="C6442" s="484"/>
      <c r="D6442" s="582">
        <v>2</v>
      </c>
      <c r="E6442" s="2603" t="str">
        <f>IFERROR(IF('[1]G_Fall-back'!E711 = "", "", '[1]G_Fall-back'!E711 ),"")</f>
        <v/>
      </c>
      <c r="F6442" s="2620"/>
      <c r="G6442" s="2730" t="str">
        <f>IFERROR(IF('[1]G_Fall-back'!G711 = "", "", '[1]G_Fall-back'!G711 ),"")</f>
        <v/>
      </c>
      <c r="H6442" s="2760"/>
      <c r="I6442" s="2760"/>
      <c r="J6442" s="2760"/>
      <c r="K6442" s="2760"/>
      <c r="L6442" s="2761"/>
      <c r="M6442" s="392" t="str">
        <f>IFERROR(IF('[1]G_Fall-back'!M711 = "", "", '[1]G_Fall-back'!M711 ),"")</f>
        <v/>
      </c>
      <c r="N6442" s="481"/>
    </row>
    <row r="6443" spans="3:14">
      <c r="C6443" s="484"/>
      <c r="D6443" s="582">
        <v>3</v>
      </c>
      <c r="E6443" s="2603" t="str">
        <f>IFERROR(IF('[1]G_Fall-back'!E712 = "", "", '[1]G_Fall-back'!E712 ),"")</f>
        <v/>
      </c>
      <c r="F6443" s="2620"/>
      <c r="G6443" s="2730" t="str">
        <f>IFERROR(IF('[1]G_Fall-back'!G712 = "", "", '[1]G_Fall-back'!G712 ),"")</f>
        <v/>
      </c>
      <c r="H6443" s="2760"/>
      <c r="I6443" s="2760"/>
      <c r="J6443" s="2760"/>
      <c r="K6443" s="2760"/>
      <c r="L6443" s="2761"/>
      <c r="M6443" s="392" t="str">
        <f>IFERROR(IF('[1]G_Fall-back'!M712 = "", "", '[1]G_Fall-back'!M712 ),"")</f>
        <v/>
      </c>
      <c r="N6443" s="481"/>
    </row>
    <row r="6444" spans="3:14">
      <c r="C6444" s="484"/>
      <c r="D6444" s="582">
        <v>4</v>
      </c>
      <c r="E6444" s="2603" t="str">
        <f>IFERROR(IF('[1]G_Fall-back'!E713 = "", "", '[1]G_Fall-back'!E713 ),"")</f>
        <v/>
      </c>
      <c r="F6444" s="2620"/>
      <c r="G6444" s="2730" t="str">
        <f>IFERROR(IF('[1]G_Fall-back'!G713 = "", "", '[1]G_Fall-back'!G713 ),"")</f>
        <v/>
      </c>
      <c r="H6444" s="2760"/>
      <c r="I6444" s="2760"/>
      <c r="J6444" s="2760"/>
      <c r="K6444" s="2760"/>
      <c r="L6444" s="2761"/>
      <c r="M6444" s="392" t="str">
        <f>IFERROR(IF('[1]G_Fall-back'!M713 = "", "", '[1]G_Fall-back'!M713 ),"")</f>
        <v/>
      </c>
      <c r="N6444" s="481"/>
    </row>
    <row r="6445" spans="3:14">
      <c r="C6445" s="484"/>
      <c r="D6445" s="582">
        <v>5</v>
      </c>
      <c r="E6445" s="2603" t="str">
        <f>IFERROR(IF('[1]G_Fall-back'!E714 = "", "", '[1]G_Fall-back'!E714 ),"")</f>
        <v/>
      </c>
      <c r="F6445" s="2620"/>
      <c r="G6445" s="2730" t="str">
        <f>IFERROR(IF('[1]G_Fall-back'!G714 = "", "", '[1]G_Fall-back'!G714 ),"")</f>
        <v/>
      </c>
      <c r="H6445" s="2760"/>
      <c r="I6445" s="2760"/>
      <c r="J6445" s="2760"/>
      <c r="K6445" s="2760"/>
      <c r="L6445" s="2761"/>
      <c r="M6445" s="392" t="str">
        <f>IFERROR(IF('[1]G_Fall-back'!M714 = "", "", '[1]G_Fall-back'!M714 ),"")</f>
        <v/>
      </c>
      <c r="N6445" s="481"/>
    </row>
    <row r="6446" spans="3:14">
      <c r="C6446" s="484"/>
      <c r="D6446" s="582">
        <v>6</v>
      </c>
      <c r="E6446" s="2603" t="str">
        <f>IFERROR(IF('[1]G_Fall-back'!E715 = "", "", '[1]G_Fall-back'!E715 ),"")</f>
        <v/>
      </c>
      <c r="F6446" s="2620"/>
      <c r="G6446" s="2730" t="str">
        <f>IFERROR(IF('[1]G_Fall-back'!G715 = "", "", '[1]G_Fall-back'!G715 ),"")</f>
        <v/>
      </c>
      <c r="H6446" s="2760"/>
      <c r="I6446" s="2760"/>
      <c r="J6446" s="2760"/>
      <c r="K6446" s="2760"/>
      <c r="L6446" s="2761"/>
      <c r="M6446" s="392" t="str">
        <f>IFERROR(IF('[1]G_Fall-back'!M715 = "", "", '[1]G_Fall-back'!M715 ),"")</f>
        <v/>
      </c>
      <c r="N6446" s="481"/>
    </row>
    <row r="6447" spans="3:14">
      <c r="C6447" s="484"/>
      <c r="D6447" s="582">
        <v>7</v>
      </c>
      <c r="E6447" s="2603" t="str">
        <f>IFERROR(IF('[1]G_Fall-back'!E716 = "", "", '[1]G_Fall-back'!E716 ),"")</f>
        <v/>
      </c>
      <c r="F6447" s="2620"/>
      <c r="G6447" s="2730" t="str">
        <f>IFERROR(IF('[1]G_Fall-back'!G716 = "", "", '[1]G_Fall-back'!G716 ),"")</f>
        <v/>
      </c>
      <c r="H6447" s="2760"/>
      <c r="I6447" s="2760"/>
      <c r="J6447" s="2760"/>
      <c r="K6447" s="2760"/>
      <c r="L6447" s="2761"/>
      <c r="M6447" s="392" t="str">
        <f>IFERROR(IF('[1]G_Fall-back'!M716 = "", "", '[1]G_Fall-back'!M716 ),"")</f>
        <v/>
      </c>
      <c r="N6447" s="481"/>
    </row>
    <row r="6448" spans="3:14">
      <c r="C6448" s="484"/>
      <c r="D6448" s="582">
        <v>8</v>
      </c>
      <c r="E6448" s="2603" t="str">
        <f>IFERROR(IF('[1]G_Fall-back'!E717 = "", "", '[1]G_Fall-back'!E717 ),"")</f>
        <v/>
      </c>
      <c r="F6448" s="2620"/>
      <c r="G6448" s="2730" t="str">
        <f>IFERROR(IF('[1]G_Fall-back'!G717 = "", "", '[1]G_Fall-back'!G717 ),"")</f>
        <v/>
      </c>
      <c r="H6448" s="2760"/>
      <c r="I6448" s="2760"/>
      <c r="J6448" s="2760"/>
      <c r="K6448" s="2760"/>
      <c r="L6448" s="2761"/>
      <c r="M6448" s="392" t="str">
        <f>IFERROR(IF('[1]G_Fall-back'!M717 = "", "", '[1]G_Fall-back'!M717 ),"")</f>
        <v/>
      </c>
      <c r="N6448" s="481"/>
    </row>
    <row r="6449" spans="3:14">
      <c r="C6449" s="484"/>
      <c r="D6449" s="582">
        <v>9</v>
      </c>
      <c r="E6449" s="2603" t="str">
        <f>IFERROR(IF('[1]G_Fall-back'!E718 = "", "", '[1]G_Fall-back'!E718 ),"")</f>
        <v/>
      </c>
      <c r="F6449" s="2620"/>
      <c r="G6449" s="2730" t="str">
        <f>IFERROR(IF('[1]G_Fall-back'!G718 = "", "", '[1]G_Fall-back'!G718 ),"")</f>
        <v/>
      </c>
      <c r="H6449" s="2760"/>
      <c r="I6449" s="2760"/>
      <c r="J6449" s="2760"/>
      <c r="K6449" s="2760"/>
      <c r="L6449" s="2761"/>
      <c r="M6449" s="392" t="str">
        <f>IFERROR(IF('[1]G_Fall-back'!M718 = "", "", '[1]G_Fall-back'!M718 ),"")</f>
        <v/>
      </c>
      <c r="N6449" s="481"/>
    </row>
    <row r="6450" spans="3:14">
      <c r="C6450" s="484"/>
      <c r="D6450" s="584">
        <v>10</v>
      </c>
      <c r="E6450" s="2613" t="str">
        <f>IFERROR(IF('[1]G_Fall-back'!E719 = "", "", '[1]G_Fall-back'!E719 ),"")</f>
        <v/>
      </c>
      <c r="F6450" s="2627"/>
      <c r="G6450" s="2733" t="str">
        <f>IFERROR(IF('[1]G_Fall-back'!G719 = "", "", '[1]G_Fall-back'!G719 ),"")</f>
        <v/>
      </c>
      <c r="H6450" s="2762"/>
      <c r="I6450" s="2762"/>
      <c r="J6450" s="2762"/>
      <c r="K6450" s="2762"/>
      <c r="L6450" s="2763"/>
      <c r="M6450" s="393" t="str">
        <f>IFERROR(IF('[1]G_Fall-back'!M719 = "", "", '[1]G_Fall-back'!M719 ),"")</f>
        <v/>
      </c>
      <c r="N6450" s="481"/>
    </row>
    <row r="6451" spans="3:14">
      <c r="C6451" s="467"/>
      <c r="D6451" s="467"/>
      <c r="E6451" s="467"/>
      <c r="F6451" s="467"/>
      <c r="G6451" s="467"/>
      <c r="H6451" s="467"/>
      <c r="I6451" s="467"/>
      <c r="J6451" s="467"/>
      <c r="K6451" s="467"/>
      <c r="L6451" s="467"/>
      <c r="M6451" s="467"/>
      <c r="N6451" s="467"/>
    </row>
    <row r="6452" spans="3:14">
      <c r="C6452" s="482"/>
      <c r="D6452" s="482"/>
      <c r="E6452" s="2373" t="s">
        <v>1477</v>
      </c>
      <c r="F6452" s="2400"/>
      <c r="G6452" s="2400"/>
      <c r="H6452" s="2400"/>
      <c r="I6452" s="2400"/>
      <c r="J6452" s="2400"/>
      <c r="K6452" s="2400"/>
      <c r="L6452" s="2400"/>
      <c r="M6452" s="2400"/>
      <c r="N6452" s="2400"/>
    </row>
    <row r="6453" spans="3:14">
      <c r="C6453" s="482"/>
      <c r="D6453" s="482"/>
      <c r="E6453" s="2465" t="s">
        <v>1929</v>
      </c>
      <c r="F6453" s="2400"/>
      <c r="G6453" s="2400"/>
      <c r="H6453" s="2400"/>
      <c r="I6453" s="2400"/>
      <c r="J6453" s="2400"/>
      <c r="K6453" s="2400"/>
      <c r="L6453" s="2400"/>
      <c r="M6453" s="2400"/>
      <c r="N6453" s="2400"/>
    </row>
    <row r="6454" spans="3:14">
      <c r="C6454" s="482"/>
      <c r="D6454" s="482"/>
      <c r="E6454" s="2465" t="s">
        <v>1878</v>
      </c>
      <c r="F6454" s="2400"/>
      <c r="G6454" s="2400"/>
      <c r="H6454" s="2400"/>
      <c r="I6454" s="2400"/>
      <c r="J6454" s="2400"/>
      <c r="K6454" s="2400"/>
      <c r="L6454" s="2400"/>
      <c r="M6454" s="2400"/>
      <c r="N6454" s="2400"/>
    </row>
    <row r="6455" spans="3:14">
      <c r="C6455" s="482"/>
      <c r="D6455" s="482"/>
      <c r="E6455" s="2465" t="s">
        <v>1947</v>
      </c>
      <c r="F6455" s="2400"/>
      <c r="G6455" s="2400"/>
      <c r="H6455" s="2400"/>
      <c r="I6455" s="2400"/>
      <c r="J6455" s="2400"/>
      <c r="K6455" s="2400"/>
      <c r="L6455" s="2400"/>
      <c r="M6455" s="2400"/>
      <c r="N6455" s="2400"/>
    </row>
    <row r="6456" spans="3:14">
      <c r="C6456" s="485"/>
      <c r="D6456" s="485"/>
      <c r="E6456" s="617"/>
      <c r="F6456" s="617"/>
      <c r="G6456" s="617"/>
      <c r="H6456" s="617"/>
      <c r="I6456" s="617"/>
      <c r="J6456" s="468"/>
      <c r="K6456" s="468"/>
      <c r="L6456" s="468"/>
      <c r="M6456" s="481"/>
      <c r="N6456" s="481"/>
    </row>
    <row r="6457" spans="3:14">
      <c r="C6457" s="1028"/>
      <c r="D6457" s="1029"/>
      <c r="E6457" s="870" t="s">
        <v>28</v>
      </c>
      <c r="F6457" s="1030" t="s">
        <v>884</v>
      </c>
      <c r="G6457" s="1031" t="s">
        <v>2213</v>
      </c>
      <c r="H6457" s="1032">
        <v>2019</v>
      </c>
      <c r="I6457" s="1031">
        <v>2020</v>
      </c>
      <c r="J6457" s="1032">
        <v>2021</v>
      </c>
      <c r="K6457" s="1033">
        <v>2022</v>
      </c>
      <c r="L6457" s="1033">
        <v>2023</v>
      </c>
      <c r="M6457" s="1033">
        <v>2024</v>
      </c>
      <c r="N6457" s="1033">
        <v>2025</v>
      </c>
    </row>
    <row r="6458" spans="3:14">
      <c r="C6458" s="484"/>
      <c r="D6458" s="579">
        <v>1</v>
      </c>
      <c r="E6458" s="75" t="str">
        <f>IFERROR(IF('[1]G_Fall-back'!E727 = "", "", '[1]G_Fall-back'!E727 ),"")</f>
        <v/>
      </c>
      <c r="F6458" s="67" t="str">
        <f>IFERROR(IF('[1]G_Fall-back'!F727 = "", "", '[1]G_Fall-back'!F727 ),"")</f>
        <v/>
      </c>
      <c r="G6458" s="110" t="str">
        <f>IFERROR(IF('[1]G_Fall-back'!G727 = "", "", '[1]G_Fall-back'!G727 ),"")</f>
        <v/>
      </c>
      <c r="H6458" s="111" t="str">
        <f>IFERROR(IF('[1]G_Fall-back'!H727 = "", "", '[1]G_Fall-back'!H727 ),"")</f>
        <v/>
      </c>
      <c r="I6458" s="110" t="str">
        <f>IFERROR(IF('[1]G_Fall-back'!I727 = "", "", '[1]G_Fall-back'!I727 ),"")</f>
        <v/>
      </c>
      <c r="J6458" s="111" t="str">
        <f>IFERROR(IF('[1]G_Fall-back'!J727 = "", "", '[1]G_Fall-back'!J727 ),"")</f>
        <v/>
      </c>
      <c r="K6458" s="94" t="str">
        <f>IFERROR(IF('[1]G_Fall-back'!K727 = "", "", '[1]G_Fall-back'!K727 ),"")</f>
        <v/>
      </c>
      <c r="L6458" s="94" t="str">
        <f>IFERROR(IF('[1]G_Fall-back'!L727 = "", "", '[1]G_Fall-back'!L727 ),"")</f>
        <v/>
      </c>
      <c r="M6458" s="94" t="str">
        <f>IFERROR(IF('[1]G_Fall-back'!M727 = "", "", '[1]G_Fall-back'!M727 ),"")</f>
        <v/>
      </c>
      <c r="N6458" s="94" t="str">
        <f>IFERROR(IF('[1]G_Fall-back'!N727 = "", "", '[1]G_Fall-back'!N727 ),"")</f>
        <v/>
      </c>
    </row>
    <row r="6459" spans="3:14">
      <c r="C6459" s="484"/>
      <c r="D6459" s="582">
        <v>2</v>
      </c>
      <c r="E6459" s="76" t="str">
        <f>IFERROR(IF('[1]G_Fall-back'!E728 = "", "", '[1]G_Fall-back'!E728 ),"")</f>
        <v/>
      </c>
      <c r="F6459" s="77" t="str">
        <f>IFERROR(IF('[1]G_Fall-back'!F728 = "", "", '[1]G_Fall-back'!F728 ),"")</f>
        <v/>
      </c>
      <c r="G6459" s="361" t="str">
        <f>IFERROR(IF('[1]G_Fall-back'!G728 = "", "", '[1]G_Fall-back'!G728 ),"")</f>
        <v/>
      </c>
      <c r="H6459" s="362" t="str">
        <f>IFERROR(IF('[1]G_Fall-back'!H728 = "", "", '[1]G_Fall-back'!H728 ),"")</f>
        <v/>
      </c>
      <c r="I6459" s="361" t="str">
        <f>IFERROR(IF('[1]G_Fall-back'!I728 = "", "", '[1]G_Fall-back'!I728 ),"")</f>
        <v/>
      </c>
      <c r="J6459" s="362" t="str">
        <f>IFERROR(IF('[1]G_Fall-back'!J728 = "", "", '[1]G_Fall-back'!J728 ),"")</f>
        <v/>
      </c>
      <c r="K6459" s="101" t="str">
        <f>IFERROR(IF('[1]G_Fall-back'!K728 = "", "", '[1]G_Fall-back'!K728 ),"")</f>
        <v/>
      </c>
      <c r="L6459" s="101" t="str">
        <f>IFERROR(IF('[1]G_Fall-back'!L728 = "", "", '[1]G_Fall-back'!L728 ),"")</f>
        <v/>
      </c>
      <c r="M6459" s="101" t="str">
        <f>IFERROR(IF('[1]G_Fall-back'!M728 = "", "", '[1]G_Fall-back'!M728 ),"")</f>
        <v/>
      </c>
      <c r="N6459" s="101" t="str">
        <f>IFERROR(IF('[1]G_Fall-back'!N728 = "", "", '[1]G_Fall-back'!N728 ),"")</f>
        <v/>
      </c>
    </row>
    <row r="6460" spans="3:14">
      <c r="C6460" s="484"/>
      <c r="D6460" s="582">
        <v>3</v>
      </c>
      <c r="E6460" s="76" t="str">
        <f>IFERROR(IF('[1]G_Fall-back'!E729 = "", "", '[1]G_Fall-back'!E729 ),"")</f>
        <v/>
      </c>
      <c r="F6460" s="77" t="str">
        <f>IFERROR(IF('[1]G_Fall-back'!F729 = "", "", '[1]G_Fall-back'!F729 ),"")</f>
        <v/>
      </c>
      <c r="G6460" s="361" t="str">
        <f>IFERROR(IF('[1]G_Fall-back'!G729 = "", "", '[1]G_Fall-back'!G729 ),"")</f>
        <v/>
      </c>
      <c r="H6460" s="362" t="str">
        <f>IFERROR(IF('[1]G_Fall-back'!H729 = "", "", '[1]G_Fall-back'!H729 ),"")</f>
        <v/>
      </c>
      <c r="I6460" s="361" t="str">
        <f>IFERROR(IF('[1]G_Fall-back'!I729 = "", "", '[1]G_Fall-back'!I729 ),"")</f>
        <v/>
      </c>
      <c r="J6460" s="362" t="str">
        <f>IFERROR(IF('[1]G_Fall-back'!J729 = "", "", '[1]G_Fall-back'!J729 ),"")</f>
        <v/>
      </c>
      <c r="K6460" s="101" t="str">
        <f>IFERROR(IF('[1]G_Fall-back'!K729 = "", "", '[1]G_Fall-back'!K729 ),"")</f>
        <v/>
      </c>
      <c r="L6460" s="101" t="str">
        <f>IFERROR(IF('[1]G_Fall-back'!L729 = "", "", '[1]G_Fall-back'!L729 ),"")</f>
        <v/>
      </c>
      <c r="M6460" s="101" t="str">
        <f>IFERROR(IF('[1]G_Fall-back'!M729 = "", "", '[1]G_Fall-back'!M729 ),"")</f>
        <v/>
      </c>
      <c r="N6460" s="101" t="str">
        <f>IFERROR(IF('[1]G_Fall-back'!N729 = "", "", '[1]G_Fall-back'!N729 ),"")</f>
        <v/>
      </c>
    </row>
    <row r="6461" spans="3:14">
      <c r="C6461" s="484"/>
      <c r="D6461" s="582">
        <v>4</v>
      </c>
      <c r="E6461" s="76" t="str">
        <f>IFERROR(IF('[1]G_Fall-back'!E730 = "", "", '[1]G_Fall-back'!E730 ),"")</f>
        <v/>
      </c>
      <c r="F6461" s="77" t="str">
        <f>IFERROR(IF('[1]G_Fall-back'!F730 = "", "", '[1]G_Fall-back'!F730 ),"")</f>
        <v/>
      </c>
      <c r="G6461" s="361" t="str">
        <f>IFERROR(IF('[1]G_Fall-back'!G730 = "", "", '[1]G_Fall-back'!G730 ),"")</f>
        <v/>
      </c>
      <c r="H6461" s="362" t="str">
        <f>IFERROR(IF('[1]G_Fall-back'!H730 = "", "", '[1]G_Fall-back'!H730 ),"")</f>
        <v/>
      </c>
      <c r="I6461" s="361" t="str">
        <f>IFERROR(IF('[1]G_Fall-back'!I730 = "", "", '[1]G_Fall-back'!I730 ),"")</f>
        <v/>
      </c>
      <c r="J6461" s="362" t="str">
        <f>IFERROR(IF('[1]G_Fall-back'!J730 = "", "", '[1]G_Fall-back'!J730 ),"")</f>
        <v/>
      </c>
      <c r="K6461" s="101" t="str">
        <f>IFERROR(IF('[1]G_Fall-back'!K730 = "", "", '[1]G_Fall-back'!K730 ),"")</f>
        <v/>
      </c>
      <c r="L6461" s="101" t="str">
        <f>IFERROR(IF('[1]G_Fall-back'!L730 = "", "", '[1]G_Fall-back'!L730 ),"")</f>
        <v/>
      </c>
      <c r="M6461" s="101" t="str">
        <f>IFERROR(IF('[1]G_Fall-back'!M730 = "", "", '[1]G_Fall-back'!M730 ),"")</f>
        <v/>
      </c>
      <c r="N6461" s="101" t="str">
        <f>IFERROR(IF('[1]G_Fall-back'!N730 = "", "", '[1]G_Fall-back'!N730 ),"")</f>
        <v/>
      </c>
    </row>
    <row r="6462" spans="3:14">
      <c r="C6462" s="484"/>
      <c r="D6462" s="582">
        <v>5</v>
      </c>
      <c r="E6462" s="76" t="str">
        <f>IFERROR(IF('[1]G_Fall-back'!E731 = "", "", '[1]G_Fall-back'!E731 ),"")</f>
        <v/>
      </c>
      <c r="F6462" s="77" t="str">
        <f>IFERROR(IF('[1]G_Fall-back'!F731 = "", "", '[1]G_Fall-back'!F731 ),"")</f>
        <v/>
      </c>
      <c r="G6462" s="361" t="str">
        <f>IFERROR(IF('[1]G_Fall-back'!G731 = "", "", '[1]G_Fall-back'!G731 ),"")</f>
        <v/>
      </c>
      <c r="H6462" s="362" t="str">
        <f>IFERROR(IF('[1]G_Fall-back'!H731 = "", "", '[1]G_Fall-back'!H731 ),"")</f>
        <v/>
      </c>
      <c r="I6462" s="361" t="str">
        <f>IFERROR(IF('[1]G_Fall-back'!I731 = "", "", '[1]G_Fall-back'!I731 ),"")</f>
        <v/>
      </c>
      <c r="J6462" s="362" t="str">
        <f>IFERROR(IF('[1]G_Fall-back'!J731 = "", "", '[1]G_Fall-back'!J731 ),"")</f>
        <v/>
      </c>
      <c r="K6462" s="101" t="str">
        <f>IFERROR(IF('[1]G_Fall-back'!K731 = "", "", '[1]G_Fall-back'!K731 ),"")</f>
        <v/>
      </c>
      <c r="L6462" s="101" t="str">
        <f>IFERROR(IF('[1]G_Fall-back'!L731 = "", "", '[1]G_Fall-back'!L731 ),"")</f>
        <v/>
      </c>
      <c r="M6462" s="101" t="str">
        <f>IFERROR(IF('[1]G_Fall-back'!M731 = "", "", '[1]G_Fall-back'!M731 ),"")</f>
        <v/>
      </c>
      <c r="N6462" s="101" t="str">
        <f>IFERROR(IF('[1]G_Fall-back'!N731 = "", "", '[1]G_Fall-back'!N731 ),"")</f>
        <v/>
      </c>
    </row>
    <row r="6463" spans="3:14">
      <c r="C6463" s="484"/>
      <c r="D6463" s="582">
        <v>6</v>
      </c>
      <c r="E6463" s="76" t="str">
        <f>IFERROR(IF('[1]G_Fall-back'!E732 = "", "", '[1]G_Fall-back'!E732 ),"")</f>
        <v/>
      </c>
      <c r="F6463" s="77" t="str">
        <f>IFERROR(IF('[1]G_Fall-back'!F732 = "", "", '[1]G_Fall-back'!F732 ),"")</f>
        <v/>
      </c>
      <c r="G6463" s="361" t="str">
        <f>IFERROR(IF('[1]G_Fall-back'!G732 = "", "", '[1]G_Fall-back'!G732 ),"")</f>
        <v/>
      </c>
      <c r="H6463" s="362" t="str">
        <f>IFERROR(IF('[1]G_Fall-back'!H732 = "", "", '[1]G_Fall-back'!H732 ),"")</f>
        <v/>
      </c>
      <c r="I6463" s="361" t="str">
        <f>IFERROR(IF('[1]G_Fall-back'!I732 = "", "", '[1]G_Fall-back'!I732 ),"")</f>
        <v/>
      </c>
      <c r="J6463" s="362" t="str">
        <f>IFERROR(IF('[1]G_Fall-back'!J732 = "", "", '[1]G_Fall-back'!J732 ),"")</f>
        <v/>
      </c>
      <c r="K6463" s="101" t="str">
        <f>IFERROR(IF('[1]G_Fall-back'!K732 = "", "", '[1]G_Fall-back'!K732 ),"")</f>
        <v/>
      </c>
      <c r="L6463" s="101" t="str">
        <f>IFERROR(IF('[1]G_Fall-back'!L732 = "", "", '[1]G_Fall-back'!L732 ),"")</f>
        <v/>
      </c>
      <c r="M6463" s="101" t="str">
        <f>IFERROR(IF('[1]G_Fall-back'!M732 = "", "", '[1]G_Fall-back'!M732 ),"")</f>
        <v/>
      </c>
      <c r="N6463" s="101" t="str">
        <f>IFERROR(IF('[1]G_Fall-back'!N732 = "", "", '[1]G_Fall-back'!N732 ),"")</f>
        <v/>
      </c>
    </row>
    <row r="6464" spans="3:14">
      <c r="C6464" s="484"/>
      <c r="D6464" s="582">
        <v>7</v>
      </c>
      <c r="E6464" s="76" t="str">
        <f>IFERROR(IF('[1]G_Fall-back'!E733 = "", "", '[1]G_Fall-back'!E733 ),"")</f>
        <v/>
      </c>
      <c r="F6464" s="77" t="str">
        <f>IFERROR(IF('[1]G_Fall-back'!F733 = "", "", '[1]G_Fall-back'!F733 ),"")</f>
        <v/>
      </c>
      <c r="G6464" s="361" t="str">
        <f>IFERROR(IF('[1]G_Fall-back'!G733 = "", "", '[1]G_Fall-back'!G733 ),"")</f>
        <v/>
      </c>
      <c r="H6464" s="362" t="str">
        <f>IFERROR(IF('[1]G_Fall-back'!H733 = "", "", '[1]G_Fall-back'!H733 ),"")</f>
        <v/>
      </c>
      <c r="I6464" s="361" t="str">
        <f>IFERROR(IF('[1]G_Fall-back'!I733 = "", "", '[1]G_Fall-back'!I733 ),"")</f>
        <v/>
      </c>
      <c r="J6464" s="362" t="str">
        <f>IFERROR(IF('[1]G_Fall-back'!J733 = "", "", '[1]G_Fall-back'!J733 ),"")</f>
        <v/>
      </c>
      <c r="K6464" s="101" t="str">
        <f>IFERROR(IF('[1]G_Fall-back'!K733 = "", "", '[1]G_Fall-back'!K733 ),"")</f>
        <v/>
      </c>
      <c r="L6464" s="101" t="str">
        <f>IFERROR(IF('[1]G_Fall-back'!L733 = "", "", '[1]G_Fall-back'!L733 ),"")</f>
        <v/>
      </c>
      <c r="M6464" s="101" t="str">
        <f>IFERROR(IF('[1]G_Fall-back'!M733 = "", "", '[1]G_Fall-back'!M733 ),"")</f>
        <v/>
      </c>
      <c r="N6464" s="101" t="str">
        <f>IFERROR(IF('[1]G_Fall-back'!N733 = "", "", '[1]G_Fall-back'!N733 ),"")</f>
        <v/>
      </c>
    </row>
    <row r="6465" spans="3:14">
      <c r="C6465" s="484"/>
      <c r="D6465" s="582">
        <v>8</v>
      </c>
      <c r="E6465" s="76" t="str">
        <f>IFERROR(IF('[1]G_Fall-back'!E734 = "", "", '[1]G_Fall-back'!E734 ),"")</f>
        <v/>
      </c>
      <c r="F6465" s="77" t="str">
        <f>IFERROR(IF('[1]G_Fall-back'!F734 = "", "", '[1]G_Fall-back'!F734 ),"")</f>
        <v/>
      </c>
      <c r="G6465" s="361" t="str">
        <f>IFERROR(IF('[1]G_Fall-back'!G734 = "", "", '[1]G_Fall-back'!G734 ),"")</f>
        <v/>
      </c>
      <c r="H6465" s="362" t="str">
        <f>IFERROR(IF('[1]G_Fall-back'!H734 = "", "", '[1]G_Fall-back'!H734 ),"")</f>
        <v/>
      </c>
      <c r="I6465" s="361" t="str">
        <f>IFERROR(IF('[1]G_Fall-back'!I734 = "", "", '[1]G_Fall-back'!I734 ),"")</f>
        <v/>
      </c>
      <c r="J6465" s="362" t="str">
        <f>IFERROR(IF('[1]G_Fall-back'!J734 = "", "", '[1]G_Fall-back'!J734 ),"")</f>
        <v/>
      </c>
      <c r="K6465" s="101" t="str">
        <f>IFERROR(IF('[1]G_Fall-back'!K734 = "", "", '[1]G_Fall-back'!K734 ),"")</f>
        <v/>
      </c>
      <c r="L6465" s="101" t="str">
        <f>IFERROR(IF('[1]G_Fall-back'!L734 = "", "", '[1]G_Fall-back'!L734 ),"")</f>
        <v/>
      </c>
      <c r="M6465" s="101" t="str">
        <f>IFERROR(IF('[1]G_Fall-back'!M734 = "", "", '[1]G_Fall-back'!M734 ),"")</f>
        <v/>
      </c>
      <c r="N6465" s="101" t="str">
        <f>IFERROR(IF('[1]G_Fall-back'!N734 = "", "", '[1]G_Fall-back'!N734 ),"")</f>
        <v/>
      </c>
    </row>
    <row r="6466" spans="3:14">
      <c r="C6466" s="484"/>
      <c r="D6466" s="582">
        <v>9</v>
      </c>
      <c r="E6466" s="76" t="str">
        <f>IFERROR(IF('[1]G_Fall-back'!E735 = "", "", '[1]G_Fall-back'!E735 ),"")</f>
        <v/>
      </c>
      <c r="F6466" s="77" t="str">
        <f>IFERROR(IF('[1]G_Fall-back'!F735 = "", "", '[1]G_Fall-back'!F735 ),"")</f>
        <v/>
      </c>
      <c r="G6466" s="361" t="str">
        <f>IFERROR(IF('[1]G_Fall-back'!G735 = "", "", '[1]G_Fall-back'!G735 ),"")</f>
        <v/>
      </c>
      <c r="H6466" s="362" t="str">
        <f>IFERROR(IF('[1]G_Fall-back'!H735 = "", "", '[1]G_Fall-back'!H735 ),"")</f>
        <v/>
      </c>
      <c r="I6466" s="361" t="str">
        <f>IFERROR(IF('[1]G_Fall-back'!I735 = "", "", '[1]G_Fall-back'!I735 ),"")</f>
        <v/>
      </c>
      <c r="J6466" s="362" t="str">
        <f>IFERROR(IF('[1]G_Fall-back'!J735 = "", "", '[1]G_Fall-back'!J735 ),"")</f>
        <v/>
      </c>
      <c r="K6466" s="101" t="str">
        <f>IFERROR(IF('[1]G_Fall-back'!K735 = "", "", '[1]G_Fall-back'!K735 ),"")</f>
        <v/>
      </c>
      <c r="L6466" s="101" t="str">
        <f>IFERROR(IF('[1]G_Fall-back'!L735 = "", "", '[1]G_Fall-back'!L735 ),"")</f>
        <v/>
      </c>
      <c r="M6466" s="101" t="str">
        <f>IFERROR(IF('[1]G_Fall-back'!M735 = "", "", '[1]G_Fall-back'!M735 ),"")</f>
        <v/>
      </c>
      <c r="N6466" s="101" t="str">
        <f>IFERROR(IF('[1]G_Fall-back'!N735 = "", "", '[1]G_Fall-back'!N735 ),"")</f>
        <v/>
      </c>
    </row>
    <row r="6467" spans="3:14">
      <c r="C6467" s="484"/>
      <c r="D6467" s="584">
        <v>10</v>
      </c>
      <c r="E6467" s="78" t="str">
        <f>IFERROR(IF('[1]G_Fall-back'!E736 = "", "", '[1]G_Fall-back'!E736 ),"")</f>
        <v/>
      </c>
      <c r="F6467" s="68" t="str">
        <f>IFERROR(IF('[1]G_Fall-back'!F736 = "", "", '[1]G_Fall-back'!F736 ),"")</f>
        <v/>
      </c>
      <c r="G6467" s="113" t="str">
        <f>IFERROR(IF('[1]G_Fall-back'!G736 = "", "", '[1]G_Fall-back'!G736 ),"")</f>
        <v/>
      </c>
      <c r="H6467" s="114" t="str">
        <f>IFERROR(IF('[1]G_Fall-back'!H736 = "", "", '[1]G_Fall-back'!H736 ),"")</f>
        <v/>
      </c>
      <c r="I6467" s="113" t="str">
        <f>IFERROR(IF('[1]G_Fall-back'!I736 = "", "", '[1]G_Fall-back'!I736 ),"")</f>
        <v/>
      </c>
      <c r="J6467" s="114" t="str">
        <f>IFERROR(IF('[1]G_Fall-back'!J736 = "", "", '[1]G_Fall-back'!J736 ),"")</f>
        <v/>
      </c>
      <c r="K6467" s="95" t="str">
        <f>IFERROR(IF('[1]G_Fall-back'!K736 = "", "", '[1]G_Fall-back'!K736 ),"")</f>
        <v/>
      </c>
      <c r="L6467" s="95" t="str">
        <f>IFERROR(IF('[1]G_Fall-back'!L736 = "", "", '[1]G_Fall-back'!L736 ),"")</f>
        <v/>
      </c>
      <c r="M6467" s="95" t="str">
        <f>IFERROR(IF('[1]G_Fall-back'!M736 = "", "", '[1]G_Fall-back'!M736 ),"")</f>
        <v/>
      </c>
      <c r="N6467" s="95" t="str">
        <f>IFERROR(IF('[1]G_Fall-back'!N736 = "", "", '[1]G_Fall-back'!N736 ),"")</f>
        <v/>
      </c>
    </row>
    <row r="6468" spans="3:14">
      <c r="C6468" s="485"/>
      <c r="D6468" s="971"/>
      <c r="E6468" s="972" t="s">
        <v>921</v>
      </c>
      <c r="F6468" s="68" t="str">
        <f>IFERROR(IF('[1]G_Fall-back'!F737 = "", "", '[1]G_Fall-back'!F737 ),"")</f>
        <v/>
      </c>
      <c r="G6468" s="340" t="str">
        <f>IFERROR(IF('[1]G_Fall-back'!G737 = "", "", '[1]G_Fall-back'!G737 ),"")</f>
        <v/>
      </c>
      <c r="H6468" s="341" t="str">
        <f>IFERROR(IF('[1]G_Fall-back'!H737 = "", "", '[1]G_Fall-back'!H737 ),"")</f>
        <v/>
      </c>
      <c r="I6468" s="340" t="str">
        <f>IFERROR(IF('[1]G_Fall-back'!I737 = "", "", '[1]G_Fall-back'!I737 ),"")</f>
        <v/>
      </c>
      <c r="J6468" s="341" t="str">
        <f>IFERROR(IF('[1]G_Fall-back'!J737 = "", "", '[1]G_Fall-back'!J737 ),"")</f>
        <v/>
      </c>
      <c r="K6468" s="86" t="str">
        <f>IFERROR(IF('[1]G_Fall-back'!K737 = "", "", '[1]G_Fall-back'!K737 ),"")</f>
        <v/>
      </c>
      <c r="L6468" s="86" t="str">
        <f>IFERROR(IF('[1]G_Fall-back'!L737 = "", "", '[1]G_Fall-back'!L737 ),"")</f>
        <v/>
      </c>
      <c r="M6468" s="86" t="str">
        <f>IFERROR(IF('[1]G_Fall-back'!M737 = "", "", '[1]G_Fall-back'!M737 ),"")</f>
        <v/>
      </c>
      <c r="N6468" s="86" t="str">
        <f>IFERROR(IF('[1]G_Fall-back'!N737 = "", "", '[1]G_Fall-back'!N737 ),"")</f>
        <v/>
      </c>
    </row>
    <row r="6469" spans="3:14">
      <c r="C6469" s="467"/>
      <c r="D6469" s="467"/>
      <c r="E6469" s="467"/>
      <c r="F6469" s="467"/>
      <c r="G6469" s="467"/>
      <c r="H6469" s="467"/>
      <c r="I6469" s="467"/>
      <c r="J6469" s="467"/>
      <c r="K6469" s="467"/>
      <c r="L6469" s="467"/>
      <c r="M6469" s="467"/>
      <c r="N6469" s="467"/>
    </row>
    <row r="6470" spans="3:14">
      <c r="C6470" s="467"/>
      <c r="D6470" s="482" t="s">
        <v>1711</v>
      </c>
      <c r="E6470" s="2373" t="s">
        <v>1926</v>
      </c>
      <c r="F6470" s="2400"/>
      <c r="G6470" s="2400"/>
      <c r="H6470" s="2400"/>
      <c r="I6470" s="2400"/>
      <c r="J6470" s="2400"/>
      <c r="K6470" s="2400"/>
      <c r="L6470" s="2400"/>
      <c r="M6470" s="2400"/>
      <c r="N6470" s="2400"/>
    </row>
    <row r="6471" spans="3:14">
      <c r="C6471" s="485"/>
      <c r="D6471" s="485"/>
      <c r="E6471" s="2465" t="s">
        <v>1877</v>
      </c>
      <c r="F6471" s="2400"/>
      <c r="G6471" s="2400"/>
      <c r="H6471" s="2400"/>
      <c r="I6471" s="2400"/>
      <c r="J6471" s="2400"/>
      <c r="K6471" s="2400"/>
      <c r="L6471" s="2400"/>
      <c r="M6471" s="2400"/>
      <c r="N6471" s="2400"/>
    </row>
    <row r="6472" spans="3:14">
      <c r="C6472" s="467"/>
      <c r="D6472" s="467"/>
      <c r="E6472" s="2466" t="s">
        <v>1957</v>
      </c>
      <c r="F6472" s="2467"/>
      <c r="G6472" s="2467"/>
      <c r="H6472" s="2467"/>
      <c r="I6472" s="2467"/>
      <c r="J6472" s="2467"/>
      <c r="K6472" s="2467"/>
      <c r="L6472" s="2467"/>
      <c r="M6472" s="2467"/>
      <c r="N6472" s="2467"/>
    </row>
    <row r="6473" spans="3:14">
      <c r="C6473" s="467"/>
      <c r="D6473" s="467"/>
      <c r="E6473" s="2466" t="s">
        <v>2529</v>
      </c>
      <c r="F6473" s="2467"/>
      <c r="G6473" s="2467"/>
      <c r="H6473" s="2467"/>
      <c r="I6473" s="2467"/>
      <c r="J6473" s="2467"/>
      <c r="K6473" s="2467"/>
      <c r="L6473" s="2467"/>
      <c r="M6473" s="2467"/>
      <c r="N6473" s="2467"/>
    </row>
    <row r="6474" spans="3:14">
      <c r="C6474" s="467"/>
      <c r="D6474" s="467"/>
      <c r="E6474" s="540" t="s">
        <v>1021</v>
      </c>
      <c r="F6474" s="2466" t="s">
        <v>1921</v>
      </c>
      <c r="G6474" s="2467"/>
      <c r="H6474" s="2467"/>
      <c r="I6474" s="2467"/>
      <c r="J6474" s="2467"/>
      <c r="K6474" s="2467"/>
      <c r="L6474" s="2467"/>
      <c r="M6474" s="2467"/>
      <c r="N6474" s="2467"/>
    </row>
    <row r="6475" spans="3:14">
      <c r="C6475" s="467"/>
      <c r="D6475" s="467"/>
      <c r="E6475" s="540" t="s">
        <v>1021</v>
      </c>
      <c r="F6475" s="2466" t="s">
        <v>1936</v>
      </c>
      <c r="G6475" s="2467"/>
      <c r="H6475" s="2467"/>
      <c r="I6475" s="2467"/>
      <c r="J6475" s="2467"/>
      <c r="K6475" s="2467"/>
      <c r="L6475" s="2467"/>
      <c r="M6475" s="2467"/>
      <c r="N6475" s="2467"/>
    </row>
    <row r="6476" spans="3:14">
      <c r="C6476" s="467"/>
      <c r="D6476" s="467"/>
      <c r="E6476" s="540" t="s">
        <v>1021</v>
      </c>
      <c r="F6476" s="2466" t="s">
        <v>2528</v>
      </c>
      <c r="G6476" s="2467"/>
      <c r="H6476" s="2467"/>
      <c r="I6476" s="2467"/>
      <c r="J6476" s="2467"/>
      <c r="K6476" s="2467"/>
      <c r="L6476" s="2467"/>
      <c r="M6476" s="2467"/>
      <c r="N6476" s="2467"/>
    </row>
    <row r="6477" spans="3:14">
      <c r="C6477" s="467"/>
      <c r="D6477" s="467"/>
      <c r="E6477" s="2465" t="s">
        <v>1931</v>
      </c>
      <c r="F6477" s="2400"/>
      <c r="G6477" s="2400"/>
      <c r="H6477" s="2400"/>
      <c r="I6477" s="2400"/>
      <c r="J6477" s="2400"/>
      <c r="K6477" s="2400"/>
      <c r="L6477" s="2400"/>
      <c r="M6477" s="2400"/>
      <c r="N6477" s="2400"/>
    </row>
    <row r="6478" spans="3:14">
      <c r="C6478" s="467"/>
      <c r="D6478" s="467"/>
      <c r="E6478" s="2465" t="s">
        <v>1903</v>
      </c>
      <c r="F6478" s="2400"/>
      <c r="G6478" s="2400"/>
      <c r="H6478" s="2400"/>
      <c r="I6478" s="2400"/>
      <c r="J6478" s="2400"/>
      <c r="K6478" s="2400"/>
      <c r="L6478" s="2400"/>
      <c r="M6478" s="2400"/>
      <c r="N6478" s="2400"/>
    </row>
    <row r="6479" spans="3:14">
      <c r="C6479" s="467"/>
      <c r="D6479" s="467"/>
      <c r="E6479" s="2465"/>
      <c r="F6479" s="2400"/>
      <c r="G6479" s="2400"/>
      <c r="H6479" s="2400"/>
      <c r="I6479" s="2400"/>
      <c r="J6479" s="2400"/>
      <c r="K6479" s="2400"/>
      <c r="L6479" s="2400"/>
      <c r="M6479" s="2400"/>
      <c r="N6479" s="2400"/>
    </row>
    <row r="6480" spans="3:14">
      <c r="C6480" s="1028"/>
      <c r="D6480" s="1029"/>
      <c r="E6480" s="870" t="s">
        <v>28</v>
      </c>
      <c r="F6480" s="1030" t="s">
        <v>884</v>
      </c>
      <c r="G6480" s="1031" t="s">
        <v>2213</v>
      </c>
      <c r="H6480" s="1032">
        <v>2019</v>
      </c>
      <c r="I6480" s="1031">
        <v>2020</v>
      </c>
      <c r="J6480" s="1032">
        <v>2021</v>
      </c>
      <c r="K6480" s="1033">
        <v>2022</v>
      </c>
      <c r="L6480" s="1033">
        <v>2023</v>
      </c>
      <c r="M6480" s="1033">
        <v>2024</v>
      </c>
      <c r="N6480" s="1033">
        <v>2025</v>
      </c>
    </row>
    <row r="6481" spans="3:14">
      <c r="C6481" s="484"/>
      <c r="D6481" s="579">
        <v>1</v>
      </c>
      <c r="E6481" s="75" t="str">
        <f>IFERROR(IF('[1]G_Fall-back'!E750 = "", "", '[1]G_Fall-back'!E750 ),"")</f>
        <v/>
      </c>
      <c r="F6481" s="950" t="s">
        <v>283</v>
      </c>
      <c r="G6481" s="110" t="str">
        <f>IFERROR(IF('[1]G_Fall-back'!G750 = "", "", '[1]G_Fall-back'!G750 ),"")</f>
        <v/>
      </c>
      <c r="H6481" s="111" t="str">
        <f>IFERROR(IF('[1]G_Fall-back'!H750 = "", "", '[1]G_Fall-back'!H750 ),"")</f>
        <v/>
      </c>
      <c r="I6481" s="110" t="str">
        <f>IFERROR(IF('[1]G_Fall-back'!I750 = "", "", '[1]G_Fall-back'!I750 ),"")</f>
        <v/>
      </c>
      <c r="J6481" s="111" t="str">
        <f>IFERROR(IF('[1]G_Fall-back'!J750 = "", "", '[1]G_Fall-back'!J750 ),"")</f>
        <v/>
      </c>
      <c r="K6481" s="94" t="str">
        <f>IFERROR(IF('[1]G_Fall-back'!K750 = "", "", '[1]G_Fall-back'!K750 ),"")</f>
        <v/>
      </c>
      <c r="L6481" s="94" t="str">
        <f>IFERROR(IF('[1]G_Fall-back'!L750 = "", "", '[1]G_Fall-back'!L750 ),"")</f>
        <v/>
      </c>
      <c r="M6481" s="94" t="str">
        <f>IFERROR(IF('[1]G_Fall-back'!M750 = "", "", '[1]G_Fall-back'!M750 ),"")</f>
        <v/>
      </c>
      <c r="N6481" s="94" t="str">
        <f>IFERROR(IF('[1]G_Fall-back'!N750 = "", "", '[1]G_Fall-back'!N750 ),"")</f>
        <v/>
      </c>
    </row>
    <row r="6482" spans="3:14">
      <c r="C6482" s="484"/>
      <c r="D6482" s="582">
        <v>2</v>
      </c>
      <c r="E6482" s="76" t="str">
        <f>IFERROR(IF('[1]G_Fall-back'!E751 = "", "", '[1]G_Fall-back'!E751 ),"")</f>
        <v/>
      </c>
      <c r="F6482" s="1038" t="s">
        <v>283</v>
      </c>
      <c r="G6482" s="361" t="str">
        <f>IFERROR(IF('[1]G_Fall-back'!G751 = "", "", '[1]G_Fall-back'!G751 ),"")</f>
        <v/>
      </c>
      <c r="H6482" s="362" t="str">
        <f>IFERROR(IF('[1]G_Fall-back'!H751 = "", "", '[1]G_Fall-back'!H751 ),"")</f>
        <v/>
      </c>
      <c r="I6482" s="361" t="str">
        <f>IFERROR(IF('[1]G_Fall-back'!I751 = "", "", '[1]G_Fall-back'!I751 ),"")</f>
        <v/>
      </c>
      <c r="J6482" s="362" t="str">
        <f>IFERROR(IF('[1]G_Fall-back'!J751 = "", "", '[1]G_Fall-back'!J751 ),"")</f>
        <v/>
      </c>
      <c r="K6482" s="101" t="str">
        <f>IFERROR(IF('[1]G_Fall-back'!K751 = "", "", '[1]G_Fall-back'!K751 ),"")</f>
        <v/>
      </c>
      <c r="L6482" s="101" t="str">
        <f>IFERROR(IF('[1]G_Fall-back'!L751 = "", "", '[1]G_Fall-back'!L751 ),"")</f>
        <v/>
      </c>
      <c r="M6482" s="101" t="str">
        <f>IFERROR(IF('[1]G_Fall-back'!M751 = "", "", '[1]G_Fall-back'!M751 ),"")</f>
        <v/>
      </c>
      <c r="N6482" s="101" t="str">
        <f>IFERROR(IF('[1]G_Fall-back'!N751 = "", "", '[1]G_Fall-back'!N751 ),"")</f>
        <v/>
      </c>
    </row>
    <row r="6483" spans="3:14">
      <c r="C6483" s="484"/>
      <c r="D6483" s="582">
        <v>3</v>
      </c>
      <c r="E6483" s="76" t="str">
        <f>IFERROR(IF('[1]G_Fall-back'!E752 = "", "", '[1]G_Fall-back'!E752 ),"")</f>
        <v/>
      </c>
      <c r="F6483" s="1038" t="s">
        <v>283</v>
      </c>
      <c r="G6483" s="361" t="str">
        <f>IFERROR(IF('[1]G_Fall-back'!G752 = "", "", '[1]G_Fall-back'!G752 ),"")</f>
        <v/>
      </c>
      <c r="H6483" s="362" t="str">
        <f>IFERROR(IF('[1]G_Fall-back'!H752 = "", "", '[1]G_Fall-back'!H752 ),"")</f>
        <v/>
      </c>
      <c r="I6483" s="361" t="str">
        <f>IFERROR(IF('[1]G_Fall-back'!I752 = "", "", '[1]G_Fall-back'!I752 ),"")</f>
        <v/>
      </c>
      <c r="J6483" s="362" t="str">
        <f>IFERROR(IF('[1]G_Fall-back'!J752 = "", "", '[1]G_Fall-back'!J752 ),"")</f>
        <v/>
      </c>
      <c r="K6483" s="101" t="str">
        <f>IFERROR(IF('[1]G_Fall-back'!K752 = "", "", '[1]G_Fall-back'!K752 ),"")</f>
        <v/>
      </c>
      <c r="L6483" s="101" t="str">
        <f>IFERROR(IF('[1]G_Fall-back'!L752 = "", "", '[1]G_Fall-back'!L752 ),"")</f>
        <v/>
      </c>
      <c r="M6483" s="101" t="str">
        <f>IFERROR(IF('[1]G_Fall-back'!M752 = "", "", '[1]G_Fall-back'!M752 ),"")</f>
        <v/>
      </c>
      <c r="N6483" s="101" t="str">
        <f>IFERROR(IF('[1]G_Fall-back'!N752 = "", "", '[1]G_Fall-back'!N752 ),"")</f>
        <v/>
      </c>
    </row>
    <row r="6484" spans="3:14">
      <c r="C6484" s="484"/>
      <c r="D6484" s="582">
        <v>4</v>
      </c>
      <c r="E6484" s="76" t="str">
        <f>IFERROR(IF('[1]G_Fall-back'!E753 = "", "", '[1]G_Fall-back'!E753 ),"")</f>
        <v/>
      </c>
      <c r="F6484" s="1038" t="s">
        <v>283</v>
      </c>
      <c r="G6484" s="361" t="str">
        <f>IFERROR(IF('[1]G_Fall-back'!G753 = "", "", '[1]G_Fall-back'!G753 ),"")</f>
        <v/>
      </c>
      <c r="H6484" s="362" t="str">
        <f>IFERROR(IF('[1]G_Fall-back'!H753 = "", "", '[1]G_Fall-back'!H753 ),"")</f>
        <v/>
      </c>
      <c r="I6484" s="361" t="str">
        <f>IFERROR(IF('[1]G_Fall-back'!I753 = "", "", '[1]G_Fall-back'!I753 ),"")</f>
        <v/>
      </c>
      <c r="J6484" s="362" t="str">
        <f>IFERROR(IF('[1]G_Fall-back'!J753 = "", "", '[1]G_Fall-back'!J753 ),"")</f>
        <v/>
      </c>
      <c r="K6484" s="101" t="str">
        <f>IFERROR(IF('[1]G_Fall-back'!K753 = "", "", '[1]G_Fall-back'!K753 ),"")</f>
        <v/>
      </c>
      <c r="L6484" s="101" t="str">
        <f>IFERROR(IF('[1]G_Fall-back'!L753 = "", "", '[1]G_Fall-back'!L753 ),"")</f>
        <v/>
      </c>
      <c r="M6484" s="101" t="str">
        <f>IFERROR(IF('[1]G_Fall-back'!M753 = "", "", '[1]G_Fall-back'!M753 ),"")</f>
        <v/>
      </c>
      <c r="N6484" s="101" t="str">
        <f>IFERROR(IF('[1]G_Fall-back'!N753 = "", "", '[1]G_Fall-back'!N753 ),"")</f>
        <v/>
      </c>
    </row>
    <row r="6485" spans="3:14">
      <c r="C6485" s="484"/>
      <c r="D6485" s="582">
        <v>5</v>
      </c>
      <c r="E6485" s="76" t="str">
        <f>IFERROR(IF('[1]G_Fall-back'!E754 = "", "", '[1]G_Fall-back'!E754 ),"")</f>
        <v/>
      </c>
      <c r="F6485" s="1038" t="s">
        <v>283</v>
      </c>
      <c r="G6485" s="361" t="str">
        <f>IFERROR(IF('[1]G_Fall-back'!G754 = "", "", '[1]G_Fall-back'!G754 ),"")</f>
        <v/>
      </c>
      <c r="H6485" s="362" t="str">
        <f>IFERROR(IF('[1]G_Fall-back'!H754 = "", "", '[1]G_Fall-back'!H754 ),"")</f>
        <v/>
      </c>
      <c r="I6485" s="361" t="str">
        <f>IFERROR(IF('[1]G_Fall-back'!I754 = "", "", '[1]G_Fall-back'!I754 ),"")</f>
        <v/>
      </c>
      <c r="J6485" s="362" t="str">
        <f>IFERROR(IF('[1]G_Fall-back'!J754 = "", "", '[1]G_Fall-back'!J754 ),"")</f>
        <v/>
      </c>
      <c r="K6485" s="101" t="str">
        <f>IFERROR(IF('[1]G_Fall-back'!K754 = "", "", '[1]G_Fall-back'!K754 ),"")</f>
        <v/>
      </c>
      <c r="L6485" s="101" t="str">
        <f>IFERROR(IF('[1]G_Fall-back'!L754 = "", "", '[1]G_Fall-back'!L754 ),"")</f>
        <v/>
      </c>
      <c r="M6485" s="101" t="str">
        <f>IFERROR(IF('[1]G_Fall-back'!M754 = "", "", '[1]G_Fall-back'!M754 ),"")</f>
        <v/>
      </c>
      <c r="N6485" s="101" t="str">
        <f>IFERROR(IF('[1]G_Fall-back'!N754 = "", "", '[1]G_Fall-back'!N754 ),"")</f>
        <v/>
      </c>
    </row>
    <row r="6486" spans="3:14">
      <c r="C6486" s="484"/>
      <c r="D6486" s="582">
        <v>6</v>
      </c>
      <c r="E6486" s="76" t="str">
        <f>IFERROR(IF('[1]G_Fall-back'!E755 = "", "", '[1]G_Fall-back'!E755 ),"")</f>
        <v/>
      </c>
      <c r="F6486" s="1038" t="s">
        <v>283</v>
      </c>
      <c r="G6486" s="361" t="str">
        <f>IFERROR(IF('[1]G_Fall-back'!G755 = "", "", '[1]G_Fall-back'!G755 ),"")</f>
        <v/>
      </c>
      <c r="H6486" s="362" t="str">
        <f>IFERROR(IF('[1]G_Fall-back'!H755 = "", "", '[1]G_Fall-back'!H755 ),"")</f>
        <v/>
      </c>
      <c r="I6486" s="361" t="str">
        <f>IFERROR(IF('[1]G_Fall-back'!I755 = "", "", '[1]G_Fall-back'!I755 ),"")</f>
        <v/>
      </c>
      <c r="J6486" s="362" t="str">
        <f>IFERROR(IF('[1]G_Fall-back'!J755 = "", "", '[1]G_Fall-back'!J755 ),"")</f>
        <v/>
      </c>
      <c r="K6486" s="101" t="str">
        <f>IFERROR(IF('[1]G_Fall-back'!K755 = "", "", '[1]G_Fall-back'!K755 ),"")</f>
        <v/>
      </c>
      <c r="L6486" s="101" t="str">
        <f>IFERROR(IF('[1]G_Fall-back'!L755 = "", "", '[1]G_Fall-back'!L755 ),"")</f>
        <v/>
      </c>
      <c r="M6486" s="101" t="str">
        <f>IFERROR(IF('[1]G_Fall-back'!M755 = "", "", '[1]G_Fall-back'!M755 ),"")</f>
        <v/>
      </c>
      <c r="N6486" s="101" t="str">
        <f>IFERROR(IF('[1]G_Fall-back'!N755 = "", "", '[1]G_Fall-back'!N755 ),"")</f>
        <v/>
      </c>
    </row>
    <row r="6487" spans="3:14">
      <c r="C6487" s="484"/>
      <c r="D6487" s="582">
        <v>7</v>
      </c>
      <c r="E6487" s="76" t="str">
        <f>IFERROR(IF('[1]G_Fall-back'!E756 = "", "", '[1]G_Fall-back'!E756 ),"")</f>
        <v/>
      </c>
      <c r="F6487" s="1038" t="s">
        <v>283</v>
      </c>
      <c r="G6487" s="361" t="str">
        <f>IFERROR(IF('[1]G_Fall-back'!G756 = "", "", '[1]G_Fall-back'!G756 ),"")</f>
        <v/>
      </c>
      <c r="H6487" s="362" t="str">
        <f>IFERROR(IF('[1]G_Fall-back'!H756 = "", "", '[1]G_Fall-back'!H756 ),"")</f>
        <v/>
      </c>
      <c r="I6487" s="361" t="str">
        <f>IFERROR(IF('[1]G_Fall-back'!I756 = "", "", '[1]G_Fall-back'!I756 ),"")</f>
        <v/>
      </c>
      <c r="J6487" s="362" t="str">
        <f>IFERROR(IF('[1]G_Fall-back'!J756 = "", "", '[1]G_Fall-back'!J756 ),"")</f>
        <v/>
      </c>
      <c r="K6487" s="101" t="str">
        <f>IFERROR(IF('[1]G_Fall-back'!K756 = "", "", '[1]G_Fall-back'!K756 ),"")</f>
        <v/>
      </c>
      <c r="L6487" s="101" t="str">
        <f>IFERROR(IF('[1]G_Fall-back'!L756 = "", "", '[1]G_Fall-back'!L756 ),"")</f>
        <v/>
      </c>
      <c r="M6487" s="101" t="str">
        <f>IFERROR(IF('[1]G_Fall-back'!M756 = "", "", '[1]G_Fall-back'!M756 ),"")</f>
        <v/>
      </c>
      <c r="N6487" s="101" t="str">
        <f>IFERROR(IF('[1]G_Fall-back'!N756 = "", "", '[1]G_Fall-back'!N756 ),"")</f>
        <v/>
      </c>
    </row>
    <row r="6488" spans="3:14">
      <c r="C6488" s="484"/>
      <c r="D6488" s="582">
        <v>8</v>
      </c>
      <c r="E6488" s="76" t="str">
        <f>IFERROR(IF('[1]G_Fall-back'!E757 = "", "", '[1]G_Fall-back'!E757 ),"")</f>
        <v/>
      </c>
      <c r="F6488" s="1038" t="s">
        <v>283</v>
      </c>
      <c r="G6488" s="361" t="str">
        <f>IFERROR(IF('[1]G_Fall-back'!G757 = "", "", '[1]G_Fall-back'!G757 ),"")</f>
        <v/>
      </c>
      <c r="H6488" s="362" t="str">
        <f>IFERROR(IF('[1]G_Fall-back'!H757 = "", "", '[1]G_Fall-back'!H757 ),"")</f>
        <v/>
      </c>
      <c r="I6488" s="361" t="str">
        <f>IFERROR(IF('[1]G_Fall-back'!I757 = "", "", '[1]G_Fall-back'!I757 ),"")</f>
        <v/>
      </c>
      <c r="J6488" s="362" t="str">
        <f>IFERROR(IF('[1]G_Fall-back'!J757 = "", "", '[1]G_Fall-back'!J757 ),"")</f>
        <v/>
      </c>
      <c r="K6488" s="101" t="str">
        <f>IFERROR(IF('[1]G_Fall-back'!K757 = "", "", '[1]G_Fall-back'!K757 ),"")</f>
        <v/>
      </c>
      <c r="L6488" s="101" t="str">
        <f>IFERROR(IF('[1]G_Fall-back'!L757 = "", "", '[1]G_Fall-back'!L757 ),"")</f>
        <v/>
      </c>
      <c r="M6488" s="101" t="str">
        <f>IFERROR(IF('[1]G_Fall-back'!M757 = "", "", '[1]G_Fall-back'!M757 ),"")</f>
        <v/>
      </c>
      <c r="N6488" s="101" t="str">
        <f>IFERROR(IF('[1]G_Fall-back'!N757 = "", "", '[1]G_Fall-back'!N757 ),"")</f>
        <v/>
      </c>
    </row>
    <row r="6489" spans="3:14">
      <c r="C6489" s="484"/>
      <c r="D6489" s="582">
        <v>9</v>
      </c>
      <c r="E6489" s="76" t="str">
        <f>IFERROR(IF('[1]G_Fall-back'!E758 = "", "", '[1]G_Fall-back'!E758 ),"")</f>
        <v/>
      </c>
      <c r="F6489" s="1038" t="s">
        <v>283</v>
      </c>
      <c r="G6489" s="361" t="str">
        <f>IFERROR(IF('[1]G_Fall-back'!G758 = "", "", '[1]G_Fall-back'!G758 ),"")</f>
        <v/>
      </c>
      <c r="H6489" s="362" t="str">
        <f>IFERROR(IF('[1]G_Fall-back'!H758 = "", "", '[1]G_Fall-back'!H758 ),"")</f>
        <v/>
      </c>
      <c r="I6489" s="361" t="str">
        <f>IFERROR(IF('[1]G_Fall-back'!I758 = "", "", '[1]G_Fall-back'!I758 ),"")</f>
        <v/>
      </c>
      <c r="J6489" s="362" t="str">
        <f>IFERROR(IF('[1]G_Fall-back'!J758 = "", "", '[1]G_Fall-back'!J758 ),"")</f>
        <v/>
      </c>
      <c r="K6489" s="101" t="str">
        <f>IFERROR(IF('[1]G_Fall-back'!K758 = "", "", '[1]G_Fall-back'!K758 ),"")</f>
        <v/>
      </c>
      <c r="L6489" s="101" t="str">
        <f>IFERROR(IF('[1]G_Fall-back'!L758 = "", "", '[1]G_Fall-back'!L758 ),"")</f>
        <v/>
      </c>
      <c r="M6489" s="101" t="str">
        <f>IFERROR(IF('[1]G_Fall-back'!M758 = "", "", '[1]G_Fall-back'!M758 ),"")</f>
        <v/>
      </c>
      <c r="N6489" s="101" t="str">
        <f>IFERROR(IF('[1]G_Fall-back'!N758 = "", "", '[1]G_Fall-back'!N758 ),"")</f>
        <v/>
      </c>
    </row>
    <row r="6490" spans="3:14">
      <c r="C6490" s="484"/>
      <c r="D6490" s="584">
        <v>10</v>
      </c>
      <c r="E6490" s="78" t="str">
        <f>IFERROR(IF('[1]G_Fall-back'!E759 = "", "", '[1]G_Fall-back'!E759 ),"")</f>
        <v/>
      </c>
      <c r="F6490" s="1039" t="s">
        <v>283</v>
      </c>
      <c r="G6490" s="113" t="str">
        <f>IFERROR(IF('[1]G_Fall-back'!G759 = "", "", '[1]G_Fall-back'!G759 ),"")</f>
        <v/>
      </c>
      <c r="H6490" s="114" t="str">
        <f>IFERROR(IF('[1]G_Fall-back'!H759 = "", "", '[1]G_Fall-back'!H759 ),"")</f>
        <v/>
      </c>
      <c r="I6490" s="113" t="str">
        <f>IFERROR(IF('[1]G_Fall-back'!I759 = "", "", '[1]G_Fall-back'!I759 ),"")</f>
        <v/>
      </c>
      <c r="J6490" s="114" t="str">
        <f>IFERROR(IF('[1]G_Fall-back'!J759 = "", "", '[1]G_Fall-back'!J759 ),"")</f>
        <v/>
      </c>
      <c r="K6490" s="95" t="str">
        <f>IFERROR(IF('[1]G_Fall-back'!K759 = "", "", '[1]G_Fall-back'!K759 ),"")</f>
        <v/>
      </c>
      <c r="L6490" s="95" t="str">
        <f>IFERROR(IF('[1]G_Fall-back'!L759 = "", "", '[1]G_Fall-back'!L759 ),"")</f>
        <v/>
      </c>
      <c r="M6490" s="95" t="str">
        <f>IFERROR(IF('[1]G_Fall-back'!M759 = "", "", '[1]G_Fall-back'!M759 ),"")</f>
        <v/>
      </c>
      <c r="N6490" s="95" t="str">
        <f>IFERROR(IF('[1]G_Fall-back'!N759 = "", "", '[1]G_Fall-back'!N759 ),"")</f>
        <v/>
      </c>
    </row>
    <row r="6491" spans="3:14">
      <c r="C6491" s="485"/>
      <c r="D6491" s="971"/>
      <c r="E6491" s="972" t="s">
        <v>1713</v>
      </c>
      <c r="F6491" s="1039" t="s">
        <v>283</v>
      </c>
      <c r="G6491" s="340" t="str">
        <f>IFERROR(IF('[1]G_Fall-back'!G760 = "", "", '[1]G_Fall-back'!G760 ),"")</f>
        <v/>
      </c>
      <c r="H6491" s="341" t="str">
        <f>IFERROR(IF('[1]G_Fall-back'!H760 = "", "", '[1]G_Fall-back'!H760 ),"")</f>
        <v/>
      </c>
      <c r="I6491" s="340" t="str">
        <f>IFERROR(IF('[1]G_Fall-back'!I760 = "", "", '[1]G_Fall-back'!I760 ),"")</f>
        <v/>
      </c>
      <c r="J6491" s="341" t="str">
        <f>IFERROR(IF('[1]G_Fall-back'!J760 = "", "", '[1]G_Fall-back'!J760 ),"")</f>
        <v/>
      </c>
      <c r="K6491" s="86" t="str">
        <f>IFERROR(IF('[1]G_Fall-back'!K760 = "", "", '[1]G_Fall-back'!K760 ),"")</f>
        <v/>
      </c>
      <c r="L6491" s="86" t="str">
        <f>IFERROR(IF('[1]G_Fall-back'!L760 = "", "", '[1]G_Fall-back'!L760 ),"")</f>
        <v/>
      </c>
      <c r="M6491" s="86" t="str">
        <f>IFERROR(IF('[1]G_Fall-back'!M760 = "", "", '[1]G_Fall-back'!M760 ),"")</f>
        <v/>
      </c>
      <c r="N6491" s="86" t="str">
        <f>IFERROR(IF('[1]G_Fall-back'!N760 = "", "", '[1]G_Fall-back'!N760 ),"")</f>
        <v/>
      </c>
    </row>
    <row r="6492" spans="3:14">
      <c r="C6492" s="485"/>
      <c r="D6492" s="698"/>
      <c r="E6492" s="948" t="s">
        <v>1723</v>
      </c>
      <c r="F6492" s="1040" t="s">
        <v>283</v>
      </c>
      <c r="G6492" s="394" t="str">
        <f>IFERROR(IF('[1]G_Fall-back'!G761 = "", "", '[1]G_Fall-back'!G761 ),"")</f>
        <v/>
      </c>
      <c r="H6492" s="395" t="str">
        <f>IFERROR(IF('[1]G_Fall-back'!H761 = "", "", '[1]G_Fall-back'!H761 ),"")</f>
        <v/>
      </c>
      <c r="I6492" s="396" t="str">
        <f>IFERROR(IF('[1]G_Fall-back'!I761 = "", "", '[1]G_Fall-back'!I761 ),"")</f>
        <v/>
      </c>
      <c r="J6492" s="395" t="str">
        <f>IFERROR(IF('[1]G_Fall-back'!J761 = "", "", '[1]G_Fall-back'!J761 ),"")</f>
        <v/>
      </c>
      <c r="K6492" s="397" t="str">
        <f>IFERROR(IF('[1]G_Fall-back'!K761 = "", "", '[1]G_Fall-back'!K761 ),"")</f>
        <v/>
      </c>
      <c r="L6492" s="397" t="str">
        <f>IFERROR(IF('[1]G_Fall-back'!L761 = "", "", '[1]G_Fall-back'!L761 ),"")</f>
        <v/>
      </c>
      <c r="M6492" s="397" t="str">
        <f>IFERROR(IF('[1]G_Fall-back'!M761 = "", "", '[1]G_Fall-back'!M761 ),"")</f>
        <v/>
      </c>
      <c r="N6492" s="397" t="str">
        <f>IFERROR(IF('[1]G_Fall-back'!N761 = "", "", '[1]G_Fall-back'!N761 ),"")</f>
        <v/>
      </c>
    </row>
    <row r="6493" spans="3:14">
      <c r="C6493" s="467"/>
      <c r="D6493" s="467"/>
      <c r="E6493" s="467"/>
      <c r="F6493" s="467"/>
      <c r="G6493" s="467"/>
      <c r="H6493" s="467"/>
      <c r="I6493" s="467"/>
      <c r="J6493" s="467"/>
      <c r="K6493" s="467"/>
      <c r="L6493" s="467"/>
      <c r="M6493" s="467"/>
      <c r="N6493" s="467"/>
    </row>
    <row r="6494" spans="3:14">
      <c r="C6494" s="482"/>
      <c r="D6494" s="482" t="s">
        <v>1716</v>
      </c>
      <c r="E6494" s="2373" t="s">
        <v>1819</v>
      </c>
      <c r="F6494" s="2400"/>
      <c r="G6494" s="2400"/>
      <c r="H6494" s="2400"/>
      <c r="I6494" s="2400"/>
      <c r="J6494" s="2400"/>
      <c r="K6494" s="2400"/>
      <c r="L6494" s="2400"/>
      <c r="M6494" s="2400"/>
      <c r="N6494" s="2400"/>
    </row>
    <row r="6495" spans="3:14">
      <c r="C6495" s="467"/>
      <c r="D6495" s="467"/>
      <c r="E6495" s="2465" t="s">
        <v>1934</v>
      </c>
      <c r="F6495" s="2400"/>
      <c r="G6495" s="2400"/>
      <c r="H6495" s="2400"/>
      <c r="I6495" s="2400"/>
      <c r="J6495" s="2400"/>
      <c r="K6495" s="2400"/>
      <c r="L6495" s="2400"/>
      <c r="M6495" s="2400"/>
      <c r="N6495" s="2400"/>
    </row>
    <row r="6496" spans="3:14">
      <c r="C6496" s="481"/>
      <c r="D6496" s="1028"/>
      <c r="E6496" s="871"/>
      <c r="F6496" s="1030" t="s">
        <v>884</v>
      </c>
      <c r="G6496" s="1031" t="s">
        <v>2213</v>
      </c>
      <c r="H6496" s="1033">
        <v>2019</v>
      </c>
      <c r="I6496" s="1031">
        <v>2020</v>
      </c>
      <c r="J6496" s="1032">
        <v>2021</v>
      </c>
      <c r="K6496" s="1033">
        <v>2022</v>
      </c>
      <c r="L6496" s="1033">
        <v>2023</v>
      </c>
      <c r="M6496" s="1033">
        <v>2024</v>
      </c>
      <c r="N6496" s="1033">
        <v>2025</v>
      </c>
    </row>
    <row r="6497" spans="3:14">
      <c r="C6497" s="485"/>
      <c r="D6497" s="561"/>
      <c r="E6497" s="948" t="s">
        <v>1819</v>
      </c>
      <c r="F6497" s="79" t="str">
        <f>IFERROR(IF('[1]G_Fall-back'!F766 = "", "", '[1]G_Fall-back'!F766 ),"")</f>
        <v>TJ / Unit</v>
      </c>
      <c r="G6497" s="398" t="str">
        <f>IFERROR(IF('[1]G_Fall-back'!G766 = "", "", '[1]G_Fall-back'!G766 ),"")</f>
        <v/>
      </c>
      <c r="H6497" s="399" t="str">
        <f>IFERROR(IF('[1]G_Fall-back'!H766 = "", "", '[1]G_Fall-back'!H766 ),"")</f>
        <v/>
      </c>
      <c r="I6497" s="400" t="str">
        <f>IFERROR(IF('[1]G_Fall-back'!I766 = "", "", '[1]G_Fall-back'!I766 ),"")</f>
        <v/>
      </c>
      <c r="J6497" s="401" t="str">
        <f>IFERROR(IF('[1]G_Fall-back'!J766 = "", "", '[1]G_Fall-back'!J766 ),"")</f>
        <v/>
      </c>
      <c r="K6497" s="399" t="str">
        <f>IFERROR(IF('[1]G_Fall-back'!K766 = "", "", '[1]G_Fall-back'!K766 ),"")</f>
        <v/>
      </c>
      <c r="L6497" s="399" t="str">
        <f>IFERROR(IF('[1]G_Fall-back'!L766 = "", "", '[1]G_Fall-back'!L766 ),"")</f>
        <v/>
      </c>
      <c r="M6497" s="399" t="str">
        <f>IFERROR(IF('[1]G_Fall-back'!M766 = "", "", '[1]G_Fall-back'!M766 ),"")</f>
        <v/>
      </c>
      <c r="N6497" s="399" t="str">
        <f>IFERROR(IF('[1]G_Fall-back'!N766 = "", "", '[1]G_Fall-back'!N766 ),"")</f>
        <v/>
      </c>
    </row>
    <row r="6498" spans="3:14" ht="13.5" thickBot="1">
      <c r="C6498" s="485"/>
      <c r="D6498" s="485"/>
      <c r="E6498" s="485"/>
      <c r="F6498" s="485"/>
      <c r="G6498" s="485"/>
      <c r="H6498" s="485"/>
      <c r="I6498" s="952"/>
      <c r="J6498" s="485"/>
      <c r="K6498" s="485"/>
      <c r="L6498" s="485"/>
      <c r="M6498" s="485"/>
      <c r="N6498" s="485"/>
    </row>
    <row r="6499" spans="3:14">
      <c r="C6499" s="485"/>
      <c r="D6499" s="902"/>
      <c r="E6499" s="942"/>
      <c r="F6499" s="942"/>
      <c r="G6499" s="942"/>
      <c r="H6499" s="942"/>
      <c r="I6499" s="1045"/>
      <c r="J6499" s="942"/>
      <c r="K6499" s="942"/>
      <c r="L6499" s="942"/>
      <c r="M6499" s="942"/>
      <c r="N6499" s="943"/>
    </row>
    <row r="6500" spans="3:14">
      <c r="C6500" s="485"/>
      <c r="D6500" s="918"/>
      <c r="E6500" s="908" t="s">
        <v>1777</v>
      </c>
      <c r="F6500" s="909"/>
      <c r="G6500" s="909"/>
      <c r="H6500" s="910" t="s">
        <v>884</v>
      </c>
      <c r="I6500" s="911" t="s">
        <v>1675</v>
      </c>
      <c r="J6500" s="912">
        <v>2021</v>
      </c>
      <c r="K6500" s="913">
        <v>2022</v>
      </c>
      <c r="L6500" s="913">
        <v>2023</v>
      </c>
      <c r="M6500" s="913">
        <v>2024</v>
      </c>
      <c r="N6500" s="1046">
        <v>2025</v>
      </c>
    </row>
    <row r="6501" spans="3:14">
      <c r="C6501" s="485"/>
      <c r="D6501" s="915" t="s">
        <v>7</v>
      </c>
      <c r="E6501" s="2735" t="s">
        <v>1818</v>
      </c>
      <c r="F6501" s="2735"/>
      <c r="G6501" s="2735"/>
      <c r="H6501" s="80" t="str">
        <f>IFERROR(IF('[1]G_Fall-back'!H770 = "", "", '[1]G_Fall-back'!H770 ),"")</f>
        <v>TJ / Unit</v>
      </c>
      <c r="I6501" s="402" t="str">
        <f>IFERROR(IF('[1]G_Fall-back'!I770 = "", "", '[1]G_Fall-back'!I770 ),"")</f>
        <v/>
      </c>
      <c r="J6501" s="316" t="str">
        <f>IFERROR(IF('[1]G_Fall-back'!J770 = "", "", '[1]G_Fall-back'!J770 ),"")</f>
        <v/>
      </c>
      <c r="K6501" s="317" t="str">
        <f>IFERROR(IF('[1]G_Fall-back'!K770 = "", "", '[1]G_Fall-back'!K770 ),"")</f>
        <v/>
      </c>
      <c r="L6501" s="317" t="str">
        <f>IFERROR(IF('[1]G_Fall-back'!L770 = "", "", '[1]G_Fall-back'!L770 ),"")</f>
        <v/>
      </c>
      <c r="M6501" s="317" t="str">
        <f>IFERROR(IF('[1]G_Fall-back'!M770 = "", "", '[1]G_Fall-back'!M770 ),"")</f>
        <v/>
      </c>
      <c r="N6501" s="318" t="str">
        <f>IFERROR(IF('[1]G_Fall-back'!N770 = "", "", '[1]G_Fall-back'!N770 ),"")</f>
        <v/>
      </c>
    </row>
    <row r="6502" spans="3:14">
      <c r="C6502" s="485"/>
      <c r="D6502" s="915" t="s">
        <v>8</v>
      </c>
      <c r="E6502" s="2735" t="s">
        <v>1928</v>
      </c>
      <c r="F6502" s="2736"/>
      <c r="G6502" s="2736"/>
      <c r="H6502" s="2736"/>
      <c r="I6502" s="2737"/>
      <c r="J6502" s="319" t="str">
        <f>IFERROR(IF('[1]G_Fall-back'!J771 = "", "", '[1]G_Fall-back'!J771 ),"")</f>
        <v/>
      </c>
      <c r="K6502" s="320" t="str">
        <f>IFERROR(IF('[1]G_Fall-back'!K771 = "", "", '[1]G_Fall-back'!K771 ),"")</f>
        <v/>
      </c>
      <c r="L6502" s="320" t="str">
        <f>IFERROR(IF('[1]G_Fall-back'!L771 = "", "", '[1]G_Fall-back'!L771 ),"")</f>
        <v/>
      </c>
      <c r="M6502" s="320" t="str">
        <f>IFERROR(IF('[1]G_Fall-back'!M771 = "", "", '[1]G_Fall-back'!M771 ),"")</f>
        <v/>
      </c>
      <c r="N6502" s="321" t="str">
        <f>IFERROR(IF('[1]G_Fall-back'!N771 = "", "", '[1]G_Fall-back'!N771 ),"")</f>
        <v/>
      </c>
    </row>
    <row r="6503" spans="3:14">
      <c r="C6503" s="485"/>
      <c r="D6503" s="918"/>
      <c r="E6503" s="909"/>
      <c r="F6503" s="909"/>
      <c r="G6503" s="909"/>
      <c r="H6503" s="909"/>
      <c r="I6503" s="909"/>
      <c r="J6503" s="909"/>
      <c r="K6503" s="909"/>
      <c r="L6503" s="909"/>
      <c r="M6503" s="909"/>
      <c r="N6503" s="922"/>
    </row>
    <row r="6504" spans="3:14">
      <c r="C6504" s="485"/>
      <c r="D6504" s="907" t="s">
        <v>1778</v>
      </c>
      <c r="E6504" s="2738" t="s">
        <v>1945</v>
      </c>
      <c r="F6504" s="2739"/>
      <c r="G6504" s="2739"/>
      <c r="H6504" s="2739"/>
      <c r="I6504" s="2739"/>
      <c r="J6504" s="2739"/>
      <c r="K6504" s="2739"/>
      <c r="L6504" s="2739"/>
      <c r="M6504" s="2739"/>
      <c r="N6504" s="2740"/>
    </row>
    <row r="6505" spans="3:14">
      <c r="C6505" s="485"/>
      <c r="D6505" s="918"/>
      <c r="E6505" s="923" t="s">
        <v>1946</v>
      </c>
      <c r="F6505" s="923"/>
      <c r="G6505" s="923"/>
      <c r="H6505" s="923"/>
      <c r="I6505" s="923"/>
      <c r="J6505" s="912">
        <v>2021</v>
      </c>
      <c r="K6505" s="913">
        <v>2022</v>
      </c>
      <c r="L6505" s="913">
        <v>2023</v>
      </c>
      <c r="M6505" s="913">
        <v>2024</v>
      </c>
      <c r="N6505" s="1046">
        <v>2025</v>
      </c>
    </row>
    <row r="6506" spans="3:14">
      <c r="C6506" s="485"/>
      <c r="D6506" s="918"/>
      <c r="E6506" s="2735" t="s">
        <v>2108</v>
      </c>
      <c r="F6506" s="2735"/>
      <c r="G6506" s="2735"/>
      <c r="H6506" s="2735"/>
      <c r="I6506" s="2741"/>
      <c r="J6506" s="69" t="str">
        <f>IFERROR(IF('[1]G_Fall-back'!J775 = "", "", '[1]G_Fall-back'!J775 ),"")</f>
        <v/>
      </c>
      <c r="K6506" s="62" t="str">
        <f>IFERROR(IF('[1]G_Fall-back'!K775 = "", "", '[1]G_Fall-back'!K775 ),"")</f>
        <v/>
      </c>
      <c r="L6506" s="62" t="str">
        <f>IFERROR(IF('[1]G_Fall-back'!L775 = "", "", '[1]G_Fall-back'!L775 ),"")</f>
        <v/>
      </c>
      <c r="M6506" s="62" t="str">
        <f>IFERROR(IF('[1]G_Fall-back'!M775 = "", "", '[1]G_Fall-back'!M775 ),"")</f>
        <v/>
      </c>
      <c r="N6506" s="70" t="str">
        <f>IFERROR(IF('[1]G_Fall-back'!N775 = "", "", '[1]G_Fall-back'!N775 ),"")</f>
        <v/>
      </c>
    </row>
    <row r="6507" spans="3:14">
      <c r="C6507" s="485"/>
      <c r="D6507" s="918"/>
      <c r="E6507" s="909"/>
      <c r="F6507" s="909"/>
      <c r="G6507" s="909"/>
      <c r="H6507" s="909"/>
      <c r="I6507" s="909"/>
      <c r="J6507" s="909"/>
      <c r="K6507" s="909"/>
      <c r="L6507" s="909"/>
      <c r="M6507" s="909"/>
      <c r="N6507" s="922"/>
    </row>
    <row r="6508" spans="3:14">
      <c r="C6508" s="485"/>
      <c r="D6508" s="907" t="s">
        <v>1779</v>
      </c>
      <c r="E6508" s="2738" t="s">
        <v>1660</v>
      </c>
      <c r="F6508" s="2739"/>
      <c r="G6508" s="2739"/>
      <c r="H6508" s="2739"/>
      <c r="I6508" s="2739"/>
      <c r="J6508" s="2739"/>
      <c r="K6508" s="2739"/>
      <c r="L6508" s="2739"/>
      <c r="M6508" s="2739"/>
      <c r="N6508" s="2740"/>
    </row>
    <row r="6509" spans="3:14">
      <c r="C6509" s="485"/>
      <c r="D6509" s="918"/>
      <c r="E6509" s="923" t="s">
        <v>1653</v>
      </c>
      <c r="F6509" s="923"/>
      <c r="G6509" s="923"/>
      <c r="H6509" s="923"/>
      <c r="I6509" s="923"/>
      <c r="J6509" s="912">
        <v>2021</v>
      </c>
      <c r="K6509" s="913">
        <v>2022</v>
      </c>
      <c r="L6509" s="913">
        <v>2023</v>
      </c>
      <c r="M6509" s="913">
        <v>2024</v>
      </c>
      <c r="N6509" s="1046">
        <v>2025</v>
      </c>
    </row>
    <row r="6510" spans="3:14">
      <c r="C6510" s="485"/>
      <c r="D6510" s="915" t="s">
        <v>6</v>
      </c>
      <c r="E6510" s="2735" t="s">
        <v>2243</v>
      </c>
      <c r="F6510" s="2735"/>
      <c r="G6510" s="2735"/>
      <c r="H6510" s="2735"/>
      <c r="I6510" s="2741"/>
      <c r="J6510" s="69" t="str">
        <f>IFERROR(IF('[1]G_Fall-back'!J779 = "", "", '[1]G_Fall-back'!J779 ),"")</f>
        <v/>
      </c>
      <c r="K6510" s="62" t="str">
        <f>IFERROR(IF('[1]G_Fall-back'!K779 = "", "", '[1]G_Fall-back'!K779 ),"")</f>
        <v/>
      </c>
      <c r="L6510" s="62" t="str">
        <f>IFERROR(IF('[1]G_Fall-back'!L779 = "", "", '[1]G_Fall-back'!L779 ),"")</f>
        <v/>
      </c>
      <c r="M6510" s="62" t="str">
        <f>IFERROR(IF('[1]G_Fall-back'!M779 = "", "", '[1]G_Fall-back'!M779 ),"")</f>
        <v/>
      </c>
      <c r="N6510" s="70" t="str">
        <f>IFERROR(IF('[1]G_Fall-back'!N779 = "", "", '[1]G_Fall-back'!N779 ),"")</f>
        <v/>
      </c>
    </row>
    <row r="6511" spans="3:14">
      <c r="C6511" s="485"/>
      <c r="D6511" s="1050"/>
      <c r="E6511" s="2742" t="s">
        <v>2244</v>
      </c>
      <c r="F6511" s="2739"/>
      <c r="G6511" s="2739"/>
      <c r="H6511" s="2739"/>
      <c r="I6511" s="2739"/>
      <c r="J6511" s="2739"/>
      <c r="K6511" s="2739"/>
      <c r="L6511" s="2739"/>
      <c r="M6511" s="2739"/>
      <c r="N6511" s="2740"/>
    </row>
    <row r="6512" spans="3:14">
      <c r="C6512" s="485"/>
      <c r="D6512" s="1050"/>
      <c r="E6512" s="2742" t="s">
        <v>1848</v>
      </c>
      <c r="F6512" s="2739"/>
      <c r="G6512" s="2739"/>
      <c r="H6512" s="2739"/>
      <c r="I6512" s="2739"/>
      <c r="J6512" s="2739"/>
      <c r="K6512" s="2739"/>
      <c r="L6512" s="2739"/>
      <c r="M6512" s="2739"/>
      <c r="N6512" s="2740"/>
    </row>
    <row r="6513" spans="3:14">
      <c r="C6513" s="485"/>
      <c r="D6513" s="915"/>
      <c r="E6513" s="909"/>
      <c r="F6513" s="909"/>
      <c r="G6513" s="909"/>
      <c r="H6513" s="909"/>
      <c r="I6513" s="909"/>
      <c r="J6513" s="909"/>
      <c r="K6513" s="909"/>
      <c r="L6513" s="909"/>
      <c r="M6513" s="909"/>
      <c r="N6513" s="922"/>
    </row>
    <row r="6514" spans="3:14">
      <c r="C6514" s="485"/>
      <c r="D6514" s="915" t="s">
        <v>7</v>
      </c>
      <c r="E6514" s="2735" t="s">
        <v>2245</v>
      </c>
      <c r="F6514" s="2736"/>
      <c r="G6514" s="2736"/>
      <c r="H6514" s="2736"/>
      <c r="I6514" s="2737"/>
      <c r="J6514" s="62" t="b">
        <f>IFERROR(IF('[1]G_Fall-back'!J783 = "", "", '[1]G_Fall-back'!J783 ),"")</f>
        <v>0</v>
      </c>
      <c r="K6514" s="62" t="b">
        <f>IFERROR(IF('[1]G_Fall-back'!K783 = "", "", '[1]G_Fall-back'!K783 ),"")</f>
        <v>0</v>
      </c>
      <c r="L6514" s="62" t="b">
        <f>IFERROR(IF('[1]G_Fall-back'!L783 = "", "", '[1]G_Fall-back'!L783 ),"")</f>
        <v>0</v>
      </c>
      <c r="M6514" s="62" t="b">
        <f>IFERROR(IF('[1]G_Fall-back'!M783 = "", "", '[1]G_Fall-back'!M783 ),"")</f>
        <v>0</v>
      </c>
      <c r="N6514" s="70" t="b">
        <f>IFERROR(IF('[1]G_Fall-back'!N783 = "", "", '[1]G_Fall-back'!N783 ),"")</f>
        <v>0</v>
      </c>
    </row>
    <row r="6515" spans="3:14">
      <c r="C6515" s="485"/>
      <c r="D6515" s="1050"/>
      <c r="E6515" s="2743" t="s">
        <v>2246</v>
      </c>
      <c r="F6515" s="2738"/>
      <c r="G6515" s="2738"/>
      <c r="H6515" s="2738"/>
      <c r="I6515" s="2738"/>
      <c r="J6515" s="2738"/>
      <c r="K6515" s="2738"/>
      <c r="L6515" s="2738"/>
      <c r="M6515" s="2738"/>
      <c r="N6515" s="2744"/>
    </row>
    <row r="6516" spans="3:14">
      <c r="C6516" s="485"/>
      <c r="D6516" s="1050"/>
      <c r="E6516" s="2742" t="s">
        <v>2247</v>
      </c>
      <c r="F6516" s="2739"/>
      <c r="G6516" s="2739"/>
      <c r="H6516" s="2739"/>
      <c r="I6516" s="2739"/>
      <c r="J6516" s="2739"/>
      <c r="K6516" s="2739"/>
      <c r="L6516" s="2739"/>
      <c r="M6516" s="2739"/>
      <c r="N6516" s="2740"/>
    </row>
    <row r="6517" spans="3:14">
      <c r="C6517" s="485"/>
      <c r="D6517" s="1050"/>
      <c r="E6517" s="2742" t="s">
        <v>2248</v>
      </c>
      <c r="F6517" s="2739"/>
      <c r="G6517" s="2739"/>
      <c r="H6517" s="2739"/>
      <c r="I6517" s="2739"/>
      <c r="J6517" s="2739"/>
      <c r="K6517" s="2739"/>
      <c r="L6517" s="2739"/>
      <c r="M6517" s="2739"/>
      <c r="N6517" s="2740"/>
    </row>
    <row r="6518" spans="3:14">
      <c r="C6518" s="485"/>
      <c r="D6518" s="918"/>
      <c r="E6518" s="909"/>
      <c r="F6518" s="909"/>
      <c r="G6518" s="909"/>
      <c r="H6518" s="909"/>
      <c r="I6518" s="909"/>
      <c r="J6518" s="909"/>
      <c r="K6518" s="909"/>
      <c r="L6518" s="909"/>
      <c r="M6518" s="909"/>
      <c r="N6518" s="922"/>
    </row>
    <row r="6519" spans="3:14">
      <c r="C6519" s="485"/>
      <c r="D6519" s="907" t="s">
        <v>1883</v>
      </c>
      <c r="E6519" s="2738" t="s">
        <v>1660</v>
      </c>
      <c r="F6519" s="2739"/>
      <c r="G6519" s="2739"/>
      <c r="H6519" s="2739"/>
      <c r="I6519" s="2739"/>
      <c r="J6519" s="2739"/>
      <c r="K6519" s="2739"/>
      <c r="L6519" s="2739"/>
      <c r="M6519" s="2739"/>
      <c r="N6519" s="2740"/>
    </row>
    <row r="6520" spans="3:14" ht="13.5" thickBot="1">
      <c r="C6520" s="485"/>
      <c r="D6520" s="1050"/>
      <c r="E6520" s="2742" t="s">
        <v>2249</v>
      </c>
      <c r="F6520" s="2739"/>
      <c r="G6520" s="2739"/>
      <c r="H6520" s="2739"/>
      <c r="I6520" s="2739"/>
      <c r="J6520" s="2739"/>
      <c r="K6520" s="2739"/>
      <c r="L6520" s="2739"/>
      <c r="M6520" s="2739"/>
      <c r="N6520" s="2740"/>
    </row>
    <row r="6521" spans="3:14" ht="13.5" thickBot="1">
      <c r="C6521" s="485"/>
      <c r="D6521" s="915"/>
      <c r="E6521" s="2735" t="s">
        <v>1657</v>
      </c>
      <c r="F6521" s="2735"/>
      <c r="G6521" s="2735"/>
      <c r="H6521" s="2735"/>
      <c r="I6521" s="1051"/>
      <c r="J6521" s="291" t="str">
        <f>IFERROR(IF('[1]G_Fall-back'!J790 = "", "", '[1]G_Fall-back'!J790 ),"")</f>
        <v/>
      </c>
      <c r="K6521" s="292" t="str">
        <f>IFERROR(IF('[1]G_Fall-back'!K790 = "", "", '[1]G_Fall-back'!K790 ),"")</f>
        <v/>
      </c>
      <c r="L6521" s="292" t="str">
        <f>IFERROR(IF('[1]G_Fall-back'!L790 = "", "", '[1]G_Fall-back'!L790 ),"")</f>
        <v/>
      </c>
      <c r="M6521" s="292" t="str">
        <f>IFERROR(IF('[1]G_Fall-back'!M790 = "", "", '[1]G_Fall-back'!M790 ),"")</f>
        <v/>
      </c>
      <c r="N6521" s="293" t="str">
        <f>IFERROR(IF('[1]G_Fall-back'!N790 = "", "", '[1]G_Fall-back'!N790 ),"")</f>
        <v/>
      </c>
    </row>
    <row r="6522" spans="3:14" ht="13.5" thickBot="1">
      <c r="C6522" s="485"/>
      <c r="D6522" s="918"/>
      <c r="E6522" s="2735" t="s">
        <v>1649</v>
      </c>
      <c r="F6522" s="2736"/>
      <c r="G6522" s="2736"/>
      <c r="H6522" s="63" t="str">
        <f>IFERROR(IF('[1]G_Fall-back'!H791 = "", "", '[1]G_Fall-back'!H791 ),"")</f>
        <v>TJ</v>
      </c>
      <c r="I6522" s="235" t="str">
        <f>IFERROR(IF('[1]G_Fall-back'!I791 = "", "", '[1]G_Fall-back'!I791 ),"")</f>
        <v/>
      </c>
      <c r="J6522" s="225" t="str">
        <f>IFERROR(IF('[1]G_Fall-back'!J791 = "", "", '[1]G_Fall-back'!J791 ),"")</f>
        <v/>
      </c>
      <c r="K6522" s="227" t="str">
        <f>IFERROR(IF('[1]G_Fall-back'!K791 = "", "", '[1]G_Fall-back'!K791 ),"")</f>
        <v/>
      </c>
      <c r="L6522" s="227" t="str">
        <f>IFERROR(IF('[1]G_Fall-back'!L791 = "", "", '[1]G_Fall-back'!L791 ),"")</f>
        <v/>
      </c>
      <c r="M6522" s="227" t="str">
        <f>IFERROR(IF('[1]G_Fall-back'!M791 = "", "", '[1]G_Fall-back'!M791 ),"")</f>
        <v/>
      </c>
      <c r="N6522" s="228" t="str">
        <f>IFERROR(IF('[1]G_Fall-back'!N791 = "", "", '[1]G_Fall-back'!N791 ),"")</f>
        <v/>
      </c>
    </row>
    <row r="6523" spans="3:14" ht="13.5" thickBot="1">
      <c r="C6523" s="485"/>
      <c r="D6523" s="924"/>
      <c r="E6523" s="925"/>
      <c r="F6523" s="925"/>
      <c r="G6523" s="925"/>
      <c r="H6523" s="925"/>
      <c r="I6523" s="925"/>
      <c r="J6523" s="925"/>
      <c r="K6523" s="925"/>
      <c r="L6523" s="925"/>
      <c r="M6523" s="925"/>
      <c r="N6523" s="926"/>
    </row>
    <row r="6524" spans="3:14" ht="13.5" thickBot="1">
      <c r="C6524" s="485"/>
      <c r="D6524" s="485"/>
      <c r="E6524" s="485"/>
      <c r="F6524" s="485"/>
      <c r="G6524" s="485"/>
      <c r="H6524" s="485"/>
      <c r="I6524" s="485"/>
      <c r="J6524" s="485"/>
      <c r="K6524" s="485"/>
      <c r="L6524" s="485"/>
      <c r="M6524" s="485"/>
      <c r="N6524" s="485"/>
    </row>
    <row r="6525" spans="3:14">
      <c r="C6525" s="1052"/>
      <c r="D6525" s="1053"/>
      <c r="E6525" s="1053"/>
      <c r="F6525" s="1053"/>
      <c r="G6525" s="1053"/>
      <c r="H6525" s="1053"/>
      <c r="I6525" s="1053"/>
      <c r="J6525" s="1053"/>
      <c r="K6525" s="1053"/>
      <c r="L6525" s="1053"/>
      <c r="M6525" s="1054"/>
      <c r="N6525" s="1055"/>
    </row>
    <row r="6526" spans="3:14">
      <c r="C6526" s="1056"/>
      <c r="D6526" s="2678" t="s">
        <v>2330</v>
      </c>
      <c r="E6526" s="2672"/>
      <c r="F6526" s="2672"/>
      <c r="G6526" s="2672"/>
      <c r="H6526" s="2672"/>
      <c r="I6526" s="2672"/>
      <c r="J6526" s="2672"/>
      <c r="K6526" s="2672"/>
      <c r="L6526" s="2672"/>
      <c r="M6526" s="2672"/>
      <c r="N6526" s="2673"/>
    </row>
    <row r="6527" spans="3:14">
      <c r="C6527" s="980"/>
      <c r="D6527" s="813"/>
      <c r="E6527" s="813"/>
      <c r="F6527" s="813"/>
      <c r="G6527" s="813"/>
      <c r="H6527" s="813"/>
      <c r="I6527" s="813"/>
      <c r="J6527" s="813"/>
      <c r="K6527" s="813"/>
      <c r="L6527" s="813"/>
      <c r="M6527" s="813"/>
      <c r="N6527" s="814"/>
    </row>
    <row r="6528" spans="3:14">
      <c r="C6528" s="980"/>
      <c r="D6528" s="2679" t="s">
        <v>2170</v>
      </c>
      <c r="E6528" s="2646"/>
      <c r="F6528" s="2646"/>
      <c r="G6528" s="2646"/>
      <c r="H6528" s="2680"/>
      <c r="I6528" s="2489" t="str">
        <f>IFERROR(IF('[1]G_Fall-back'!I797 = "", "", '[1]G_Fall-back'!I797 ),"")</f>
        <v>Fuel benchmark sub-installation, non-CL</v>
      </c>
      <c r="J6528" s="2534"/>
      <c r="K6528" s="2534"/>
      <c r="L6528" s="2534"/>
      <c r="M6528" s="2534"/>
      <c r="N6528" s="2681"/>
    </row>
    <row r="6529" spans="3:14">
      <c r="C6529" s="980"/>
      <c r="D6529" s="813"/>
      <c r="E6529" s="813"/>
      <c r="F6529" s="813"/>
      <c r="G6529" s="813"/>
      <c r="H6529" s="813"/>
      <c r="I6529" s="813"/>
      <c r="J6529" s="813"/>
      <c r="K6529" s="813"/>
      <c r="L6529" s="813"/>
      <c r="M6529" s="813"/>
      <c r="N6529" s="814"/>
    </row>
    <row r="6530" spans="3:14">
      <c r="C6530" s="1056"/>
      <c r="D6530" s="982" t="s">
        <v>48</v>
      </c>
      <c r="E6530" s="2671" t="s">
        <v>1611</v>
      </c>
      <c r="F6530" s="2672"/>
      <c r="G6530" s="2672"/>
      <c r="H6530" s="2672"/>
      <c r="I6530" s="2672"/>
      <c r="J6530" s="2672"/>
      <c r="K6530" s="2672"/>
      <c r="L6530" s="2672"/>
      <c r="M6530" s="2672"/>
      <c r="N6530" s="2673"/>
    </row>
    <row r="6531" spans="3:14">
      <c r="C6531" s="1056"/>
      <c r="D6531" s="982"/>
      <c r="E6531" s="2746" t="s">
        <v>2295</v>
      </c>
      <c r="F6531" s="2746"/>
      <c r="G6531" s="2746"/>
      <c r="H6531" s="2746"/>
      <c r="I6531" s="2746"/>
      <c r="J6531" s="2746"/>
      <c r="K6531" s="2746"/>
      <c r="L6531" s="2746"/>
      <c r="M6531" s="2746"/>
      <c r="N6531" s="2747"/>
    </row>
    <row r="6532" spans="3:14">
      <c r="C6532" s="1056"/>
      <c r="D6532" s="1057"/>
      <c r="E6532" s="2674" t="s">
        <v>1342</v>
      </c>
      <c r="F6532" s="2674"/>
      <c r="G6532" s="2674"/>
      <c r="H6532" s="2674"/>
      <c r="I6532" s="2674"/>
      <c r="J6532" s="2674"/>
      <c r="K6532" s="2674"/>
      <c r="L6532" s="2674"/>
      <c r="M6532" s="2674"/>
      <c r="N6532" s="2675"/>
    </row>
    <row r="6533" spans="3:14">
      <c r="C6533" s="1056"/>
      <c r="D6533" s="1057"/>
      <c r="E6533" s="2674" t="s">
        <v>1575</v>
      </c>
      <c r="F6533" s="2674"/>
      <c r="G6533" s="2674"/>
      <c r="H6533" s="2674"/>
      <c r="I6533" s="2674"/>
      <c r="J6533" s="2674"/>
      <c r="K6533" s="2674"/>
      <c r="L6533" s="2674"/>
      <c r="M6533" s="2674"/>
      <c r="N6533" s="2675"/>
    </row>
    <row r="6534" spans="3:14">
      <c r="C6534" s="1056"/>
      <c r="D6534" s="982"/>
      <c r="E6534" s="989" t="s">
        <v>915</v>
      </c>
      <c r="F6534" s="990"/>
      <c r="G6534" s="987" t="s">
        <v>884</v>
      </c>
      <c r="H6534" s="782">
        <v>2019</v>
      </c>
      <c r="I6534" s="782">
        <v>2020</v>
      </c>
      <c r="J6534" s="782">
        <v>2021</v>
      </c>
      <c r="K6534" s="782">
        <v>2022</v>
      </c>
      <c r="L6534" s="782">
        <v>2023</v>
      </c>
      <c r="M6534" s="782">
        <v>2024</v>
      </c>
      <c r="N6534" s="783">
        <v>2025</v>
      </c>
    </row>
    <row r="6535" spans="3:14">
      <c r="C6535" s="1056"/>
      <c r="D6535" s="1057"/>
      <c r="E6535" s="2487" t="str">
        <f>IFERROR(IF('[1]G_Fall-back'!E804 = "", "", '[1]G_Fall-back'!E804 ),"")</f>
        <v>Fuel benchmark sub-installation, non-CL</v>
      </c>
      <c r="F6535" s="2488"/>
      <c r="G6535" s="815" t="s">
        <v>2016</v>
      </c>
      <c r="H6535" s="347" t="str">
        <f>IFERROR(IF('[1]G_Fall-back'!H804 = "", "", '[1]G_Fall-back'!H804 ),"")</f>
        <v/>
      </c>
      <c r="I6535" s="347" t="str">
        <f>IFERROR(IF('[1]G_Fall-back'!I804 = "", "", '[1]G_Fall-back'!I804 ),"")</f>
        <v/>
      </c>
      <c r="J6535" s="347" t="str">
        <f>IFERROR(IF('[1]G_Fall-back'!J804 = "", "", '[1]G_Fall-back'!J804 ),"")</f>
        <v/>
      </c>
      <c r="K6535" s="347" t="str">
        <f>IFERROR(IF('[1]G_Fall-back'!K804 = "", "", '[1]G_Fall-back'!K804 ),"")</f>
        <v/>
      </c>
      <c r="L6535" s="347" t="str">
        <f>IFERROR(IF('[1]G_Fall-back'!L804 = "", "", '[1]G_Fall-back'!L804 ),"")</f>
        <v/>
      </c>
      <c r="M6535" s="347" t="str">
        <f>IFERROR(IF('[1]G_Fall-back'!M804 = "", "", '[1]G_Fall-back'!M804 ),"")</f>
        <v/>
      </c>
      <c r="N6535" s="349" t="str">
        <f>IFERROR(IF('[1]G_Fall-back'!N804 = "", "", '[1]G_Fall-back'!N804 ),"")</f>
        <v/>
      </c>
    </row>
    <row r="6536" spans="3:14">
      <c r="C6536" s="1056"/>
      <c r="D6536" s="1057"/>
      <c r="E6536" s="1057"/>
      <c r="F6536" s="1057"/>
      <c r="G6536" s="1057"/>
      <c r="H6536" s="1057"/>
      <c r="I6536" s="1057"/>
      <c r="J6536" s="1057"/>
      <c r="K6536" s="1057"/>
      <c r="L6536" s="1057"/>
      <c r="M6536" s="1057"/>
      <c r="N6536" s="1060"/>
    </row>
    <row r="6537" spans="3:14">
      <c r="C6537" s="1056"/>
      <c r="D6537" s="982" t="s">
        <v>881</v>
      </c>
      <c r="E6537" s="2649" t="s">
        <v>1189</v>
      </c>
      <c r="F6537" s="2391"/>
      <c r="G6537" s="2391"/>
      <c r="H6537" s="2391"/>
      <c r="I6537" s="2391"/>
      <c r="J6537" s="2391"/>
      <c r="K6537" s="2391"/>
      <c r="L6537" s="2391"/>
      <c r="M6537" s="2391"/>
      <c r="N6537" s="2650"/>
    </row>
    <row r="6538" spans="3:14">
      <c r="C6538" s="1056"/>
      <c r="D6538" s="1057"/>
      <c r="E6538" s="2669" t="s">
        <v>1576</v>
      </c>
      <c r="F6538" s="2391"/>
      <c r="G6538" s="2391"/>
      <c r="H6538" s="2391"/>
      <c r="I6538" s="2391"/>
      <c r="J6538" s="2391"/>
      <c r="K6538" s="2391"/>
      <c r="L6538" s="2391"/>
      <c r="M6538" s="2391"/>
      <c r="N6538" s="2650"/>
    </row>
    <row r="6539" spans="3:14">
      <c r="C6539" s="1056"/>
      <c r="D6539" s="1057"/>
      <c r="E6539" s="2669" t="s">
        <v>1493</v>
      </c>
      <c r="F6539" s="2391"/>
      <c r="G6539" s="2391"/>
      <c r="H6539" s="2391"/>
      <c r="I6539" s="2391"/>
      <c r="J6539" s="2391"/>
      <c r="K6539" s="2391"/>
      <c r="L6539" s="2391"/>
      <c r="M6539" s="2391"/>
      <c r="N6539" s="2650"/>
    </row>
    <row r="6540" spans="3:14">
      <c r="C6540" s="1056"/>
      <c r="D6540" s="982"/>
      <c r="E6540" s="989"/>
      <c r="F6540" s="990"/>
      <c r="G6540" s="987" t="s">
        <v>884</v>
      </c>
      <c r="H6540" s="782">
        <v>2019</v>
      </c>
      <c r="I6540" s="782">
        <v>2020</v>
      </c>
      <c r="J6540" s="782">
        <v>2021</v>
      </c>
      <c r="K6540" s="782">
        <v>2022</v>
      </c>
      <c r="L6540" s="782">
        <v>2023</v>
      </c>
      <c r="M6540" s="782">
        <v>2024</v>
      </c>
      <c r="N6540" s="783">
        <v>2025</v>
      </c>
    </row>
    <row r="6541" spans="3:14">
      <c r="C6541" s="1056"/>
      <c r="D6541" s="1061" t="s">
        <v>6</v>
      </c>
      <c r="E6541" s="2475" t="s">
        <v>1577</v>
      </c>
      <c r="F6541" s="2410"/>
      <c r="G6541" s="815" t="s">
        <v>2017</v>
      </c>
      <c r="H6541" s="93" t="str">
        <f>IFERROR(IF('[1]G_Fall-back'!H810 = "", "", '[1]G_Fall-back'!H810 ),"")</f>
        <v/>
      </c>
      <c r="I6541" s="93" t="str">
        <f>IFERROR(IF('[1]G_Fall-back'!I810 = "", "", '[1]G_Fall-back'!I810 ),"")</f>
        <v/>
      </c>
      <c r="J6541" s="93" t="str">
        <f>IFERROR(IF('[1]G_Fall-back'!J810 = "", "", '[1]G_Fall-back'!J810 ),"")</f>
        <v/>
      </c>
      <c r="K6541" s="93" t="str">
        <f>IFERROR(IF('[1]G_Fall-back'!K810 = "", "", '[1]G_Fall-back'!K810 ),"")</f>
        <v/>
      </c>
      <c r="L6541" s="93" t="str">
        <f>IFERROR(IF('[1]G_Fall-back'!L810 = "", "", '[1]G_Fall-back'!L810 ),"")</f>
        <v/>
      </c>
      <c r="M6541" s="93" t="str">
        <f>IFERROR(IF('[1]G_Fall-back'!M810 = "", "", '[1]G_Fall-back'!M810 ),"")</f>
        <v/>
      </c>
      <c r="N6541" s="118" t="str">
        <f>IFERROR(IF('[1]G_Fall-back'!N810 = "", "", '[1]G_Fall-back'!N810 ),"")</f>
        <v/>
      </c>
    </row>
    <row r="6542" spans="3:14">
      <c r="C6542" s="1056"/>
      <c r="D6542" s="1061" t="s">
        <v>7</v>
      </c>
      <c r="E6542" s="2475" t="s">
        <v>1597</v>
      </c>
      <c r="F6542" s="2410"/>
      <c r="G6542" s="991" t="s">
        <v>2018</v>
      </c>
      <c r="H6542" s="93" t="str">
        <f>IFERROR(IF('[1]G_Fall-back'!H811 = "", "", '[1]G_Fall-back'!H811 ),"")</f>
        <v/>
      </c>
      <c r="I6542" s="93" t="str">
        <f>IFERROR(IF('[1]G_Fall-back'!I811 = "", "", '[1]G_Fall-back'!I811 ),"")</f>
        <v/>
      </c>
      <c r="J6542" s="93" t="str">
        <f>IFERROR(IF('[1]G_Fall-back'!J811 = "", "", '[1]G_Fall-back'!J811 ),"")</f>
        <v/>
      </c>
      <c r="K6542" s="93" t="str">
        <f>IFERROR(IF('[1]G_Fall-back'!K811 = "", "", '[1]G_Fall-back'!K811 ),"")</f>
        <v/>
      </c>
      <c r="L6542" s="93" t="str">
        <f>IFERROR(IF('[1]G_Fall-back'!L811 = "", "", '[1]G_Fall-back'!L811 ),"")</f>
        <v/>
      </c>
      <c r="M6542" s="93" t="str">
        <f>IFERROR(IF('[1]G_Fall-back'!M811 = "", "", '[1]G_Fall-back'!M811 ),"")</f>
        <v/>
      </c>
      <c r="N6542" s="118" t="str">
        <f>IFERROR(IF('[1]G_Fall-back'!N811 = "", "", '[1]G_Fall-back'!N811 ),"")</f>
        <v/>
      </c>
    </row>
    <row r="6543" spans="3:14">
      <c r="C6543" s="1056"/>
      <c r="D6543" s="1057"/>
      <c r="E6543" s="1057"/>
      <c r="F6543" s="1057"/>
      <c r="G6543" s="1057"/>
      <c r="H6543" s="1057"/>
      <c r="I6543" s="1057"/>
      <c r="J6543" s="1057"/>
      <c r="K6543" s="1057"/>
      <c r="L6543" s="1057"/>
      <c r="M6543" s="1057"/>
      <c r="N6543" s="1062"/>
    </row>
    <row r="6544" spans="3:14">
      <c r="C6544" s="1056"/>
      <c r="D6544" s="1061" t="s">
        <v>8</v>
      </c>
      <c r="E6544" s="2475" t="s">
        <v>1481</v>
      </c>
      <c r="F6544" s="2410"/>
      <c r="G6544" s="815" t="s">
        <v>2017</v>
      </c>
      <c r="H6544" s="93" t="str">
        <f>IFERROR(IF('[1]G_Fall-back'!H813 = "", "", '[1]G_Fall-back'!H813 ),"")</f>
        <v/>
      </c>
      <c r="I6544" s="93" t="str">
        <f>IFERROR(IF('[1]G_Fall-back'!I813 = "", "", '[1]G_Fall-back'!I813 ),"")</f>
        <v/>
      </c>
      <c r="J6544" s="93" t="str">
        <f>IFERROR(IF('[1]G_Fall-back'!J813 = "", "", '[1]G_Fall-back'!J813 ),"")</f>
        <v/>
      </c>
      <c r="K6544" s="93" t="str">
        <f>IFERROR(IF('[1]G_Fall-back'!K813 = "", "", '[1]G_Fall-back'!K813 ),"")</f>
        <v/>
      </c>
      <c r="L6544" s="93" t="str">
        <f>IFERROR(IF('[1]G_Fall-back'!L813 = "", "", '[1]G_Fall-back'!L813 ),"")</f>
        <v/>
      </c>
      <c r="M6544" s="93" t="str">
        <f>IFERROR(IF('[1]G_Fall-back'!M813 = "", "", '[1]G_Fall-back'!M813 ),"")</f>
        <v/>
      </c>
      <c r="N6544" s="118" t="str">
        <f>IFERROR(IF('[1]G_Fall-back'!N813 = "", "", '[1]G_Fall-back'!N813 ),"")</f>
        <v/>
      </c>
    </row>
    <row r="6545" spans="3:14">
      <c r="C6545" s="1056"/>
      <c r="D6545" s="1061" t="s">
        <v>18</v>
      </c>
      <c r="E6545" s="2475" t="s">
        <v>1482</v>
      </c>
      <c r="F6545" s="2410"/>
      <c r="G6545" s="991" t="s">
        <v>2018</v>
      </c>
      <c r="H6545" s="109" t="str">
        <f>IFERROR(IF('[1]G_Fall-back'!H814 = "", "", '[1]G_Fall-back'!H814 ),"")</f>
        <v/>
      </c>
      <c r="I6545" s="109" t="str">
        <f>IFERROR(IF('[1]G_Fall-back'!I814 = "", "", '[1]G_Fall-back'!I814 ),"")</f>
        <v/>
      </c>
      <c r="J6545" s="109" t="str">
        <f>IFERROR(IF('[1]G_Fall-back'!J814 = "", "", '[1]G_Fall-back'!J814 ),"")</f>
        <v/>
      </c>
      <c r="K6545" s="109" t="str">
        <f>IFERROR(IF('[1]G_Fall-back'!K814 = "", "", '[1]G_Fall-back'!K814 ),"")</f>
        <v/>
      </c>
      <c r="L6545" s="109" t="str">
        <f>IFERROR(IF('[1]G_Fall-back'!L814 = "", "", '[1]G_Fall-back'!L814 ),"")</f>
        <v/>
      </c>
      <c r="M6545" s="109" t="str">
        <f>IFERROR(IF('[1]G_Fall-back'!M814 = "", "", '[1]G_Fall-back'!M814 ),"")</f>
        <v/>
      </c>
      <c r="N6545" s="357" t="str">
        <f>IFERROR(IF('[1]G_Fall-back'!N814 = "", "", '[1]G_Fall-back'!N814 ),"")</f>
        <v/>
      </c>
    </row>
    <row r="6546" spans="3:14">
      <c r="C6546" s="1056"/>
      <c r="D6546" s="1057"/>
      <c r="E6546" s="1057"/>
      <c r="F6546" s="1057"/>
      <c r="G6546" s="1057"/>
      <c r="H6546" s="1057"/>
      <c r="I6546" s="1057"/>
      <c r="J6546" s="1057"/>
      <c r="K6546" s="1057"/>
      <c r="L6546" s="1057"/>
      <c r="M6546" s="1057"/>
      <c r="N6546" s="1060"/>
    </row>
    <row r="6547" spans="3:14">
      <c r="C6547" s="1056"/>
      <c r="D6547" s="982" t="s">
        <v>57</v>
      </c>
      <c r="E6547" s="2470" t="s">
        <v>1079</v>
      </c>
      <c r="F6547" s="2410"/>
      <c r="G6547" s="815" t="s">
        <v>2017</v>
      </c>
      <c r="H6547" s="93" t="str">
        <f>IFERROR(IF('[1]G_Fall-back'!H816 = "", "", '[1]G_Fall-back'!H816 ),"")</f>
        <v/>
      </c>
      <c r="I6547" s="93" t="str">
        <f>IFERROR(IF('[1]G_Fall-back'!I816 = "", "", '[1]G_Fall-back'!I816 ),"")</f>
        <v/>
      </c>
      <c r="J6547" s="93" t="str">
        <f>IFERROR(IF('[1]G_Fall-back'!J816 = "", "", '[1]G_Fall-back'!J816 ),"")</f>
        <v/>
      </c>
      <c r="K6547" s="93" t="str">
        <f>IFERROR(IF('[1]G_Fall-back'!K816 = "", "", '[1]G_Fall-back'!K816 ),"")</f>
        <v/>
      </c>
      <c r="L6547" s="93" t="str">
        <f>IFERROR(IF('[1]G_Fall-back'!L816 = "", "", '[1]G_Fall-back'!L816 ),"")</f>
        <v/>
      </c>
      <c r="M6547" s="93" t="str">
        <f>IFERROR(IF('[1]G_Fall-back'!M816 = "", "", '[1]G_Fall-back'!M816 ),"")</f>
        <v/>
      </c>
      <c r="N6547" s="118" t="str">
        <f>IFERROR(IF('[1]G_Fall-back'!N816 = "", "", '[1]G_Fall-back'!N816 ),"")</f>
        <v/>
      </c>
    </row>
    <row r="6548" spans="3:14">
      <c r="C6548" s="1056"/>
      <c r="D6548" s="982"/>
      <c r="E6548" s="2475" t="s">
        <v>1541</v>
      </c>
      <c r="F6548" s="2410"/>
      <c r="G6548" s="991" t="s">
        <v>2018</v>
      </c>
      <c r="H6548" s="109" t="str">
        <f>IFERROR(IF('[1]G_Fall-back'!H817 = "", "", '[1]G_Fall-back'!H817 ),"")</f>
        <v/>
      </c>
      <c r="I6548" s="109" t="str">
        <f>IFERROR(IF('[1]G_Fall-back'!I817 = "", "", '[1]G_Fall-back'!I817 ),"")</f>
        <v/>
      </c>
      <c r="J6548" s="109" t="str">
        <f>IFERROR(IF('[1]G_Fall-back'!J817 = "", "", '[1]G_Fall-back'!J817 ),"")</f>
        <v/>
      </c>
      <c r="K6548" s="109" t="str">
        <f>IFERROR(IF('[1]G_Fall-back'!K817 = "", "", '[1]G_Fall-back'!K817 ),"")</f>
        <v/>
      </c>
      <c r="L6548" s="109" t="str">
        <f>IFERROR(IF('[1]G_Fall-back'!L817 = "", "", '[1]G_Fall-back'!L817 ),"")</f>
        <v/>
      </c>
      <c r="M6548" s="109" t="str">
        <f>IFERROR(IF('[1]G_Fall-back'!M817 = "", "", '[1]G_Fall-back'!M817 ),"")</f>
        <v/>
      </c>
      <c r="N6548" s="357" t="str">
        <f>IFERROR(IF('[1]G_Fall-back'!N817 = "", "", '[1]G_Fall-back'!N817 ),"")</f>
        <v/>
      </c>
    </row>
    <row r="6549" spans="3:14">
      <c r="C6549" s="1056"/>
      <c r="D6549" s="982"/>
      <c r="E6549" s="2711" t="s">
        <v>2297</v>
      </c>
      <c r="F6549" s="2671"/>
      <c r="G6549" s="2671"/>
      <c r="H6549" s="2671"/>
      <c r="I6549" s="2671"/>
      <c r="J6549" s="2671"/>
      <c r="K6549" s="2671"/>
      <c r="L6549" s="2671"/>
      <c r="M6549" s="2671"/>
      <c r="N6549" s="2712"/>
    </row>
    <row r="6550" spans="3:14">
      <c r="C6550" s="1056"/>
      <c r="D6550" s="1057"/>
      <c r="E6550" s="2645" t="s">
        <v>1353</v>
      </c>
      <c r="F6550" s="2672"/>
      <c r="G6550" s="2672"/>
      <c r="H6550" s="2672"/>
      <c r="I6550" s="2672"/>
      <c r="J6550" s="2672"/>
      <c r="K6550" s="2672"/>
      <c r="L6550" s="2672"/>
      <c r="M6550" s="2672"/>
      <c r="N6550" s="2673"/>
    </row>
    <row r="6551" spans="3:14" ht="13.5" thickBot="1">
      <c r="C6551" s="1063"/>
      <c r="D6551" s="1064"/>
      <c r="E6551" s="1064"/>
      <c r="F6551" s="1064"/>
      <c r="G6551" s="1064"/>
      <c r="H6551" s="1064"/>
      <c r="I6551" s="1064"/>
      <c r="J6551" s="1064"/>
      <c r="K6551" s="1064"/>
      <c r="L6551" s="1064"/>
      <c r="M6551" s="1065"/>
      <c r="N6551" s="1066"/>
    </row>
    <row r="6552" spans="3:14" ht="13.5" thickBot="1">
      <c r="C6552" s="485"/>
      <c r="D6552" s="485"/>
      <c r="E6552" s="485"/>
      <c r="F6552" s="485"/>
      <c r="G6552" s="485"/>
      <c r="H6552" s="485"/>
      <c r="I6552" s="485"/>
      <c r="J6552" s="485"/>
      <c r="K6552" s="485"/>
      <c r="L6552" s="485"/>
      <c r="M6552" s="485"/>
      <c r="N6552" s="485"/>
    </row>
    <row r="6553" spans="3:14" ht="13.5" thickBot="1">
      <c r="C6553" s="686"/>
      <c r="D6553" s="686"/>
      <c r="E6553" s="686"/>
      <c r="F6553" s="686"/>
      <c r="G6553" s="686"/>
      <c r="H6553" s="686"/>
      <c r="I6553" s="686"/>
      <c r="J6553" s="686"/>
      <c r="K6553" s="686"/>
      <c r="L6553" s="686"/>
      <c r="M6553" s="686"/>
      <c r="N6553" s="686"/>
    </row>
    <row r="6554" spans="3:14" ht="15.75" thickBot="1">
      <c r="C6554" s="559">
        <v>6</v>
      </c>
      <c r="D6554" s="2482" t="s">
        <v>2170</v>
      </c>
      <c r="E6554" s="2400"/>
      <c r="F6554" s="2400"/>
      <c r="G6554" s="2400"/>
      <c r="H6554" s="2585"/>
      <c r="I6554" s="2489" t="str">
        <f>IFERROR(IF('[1]G_Fall-back'!I823 = "", "", '[1]G_Fall-back'!I823 ),"")</f>
        <v>Process emissions sub-installation, CL</v>
      </c>
      <c r="J6554" s="2534"/>
      <c r="K6554" s="2534"/>
      <c r="L6554" s="2681"/>
      <c r="M6554" s="2476" t="str">
        <f>IFERROR(IF('[1]G_Fall-back'!M823 = "", "", '[1]G_Fall-back'!M823 ),"")</f>
        <v/>
      </c>
      <c r="N6554" s="2477"/>
    </row>
    <row r="6555" spans="3:14">
      <c r="C6555" s="485"/>
      <c r="D6555" s="485"/>
      <c r="E6555" s="485"/>
      <c r="F6555" s="485"/>
      <c r="G6555" s="485"/>
      <c r="H6555" s="484"/>
      <c r="I6555" s="2716" t="s">
        <v>1857</v>
      </c>
      <c r="J6555" s="2717"/>
      <c r="K6555" s="2717"/>
      <c r="L6555" s="2717"/>
      <c r="M6555" s="2718"/>
      <c r="N6555" s="2719"/>
    </row>
    <row r="6556" spans="3:14">
      <c r="C6556" s="467"/>
      <c r="D6556" s="485"/>
      <c r="E6556" s="2465" t="s">
        <v>1197</v>
      </c>
      <c r="F6556" s="2400"/>
      <c r="G6556" s="2400"/>
      <c r="H6556" s="2400"/>
      <c r="I6556" s="2400"/>
      <c r="J6556" s="2400"/>
      <c r="K6556" s="2400"/>
      <c r="L6556" s="2400"/>
      <c r="M6556" s="2400"/>
      <c r="N6556" s="2400"/>
    </row>
    <row r="6557" spans="3:14">
      <c r="C6557" s="467"/>
      <c r="D6557" s="467"/>
      <c r="E6557" s="467"/>
      <c r="F6557" s="467"/>
      <c r="G6557" s="467"/>
      <c r="H6557" s="467"/>
      <c r="I6557" s="467"/>
      <c r="J6557" s="467"/>
      <c r="K6557" s="467"/>
      <c r="L6557" s="467"/>
      <c r="M6557" s="481"/>
      <c r="N6557" s="481"/>
    </row>
    <row r="6558" spans="3:14">
      <c r="C6558" s="482"/>
      <c r="D6558" s="482" t="s">
        <v>400</v>
      </c>
      <c r="E6558" s="2373" t="s">
        <v>1930</v>
      </c>
      <c r="F6558" s="2400"/>
      <c r="G6558" s="2400"/>
      <c r="H6558" s="2400"/>
      <c r="I6558" s="2400"/>
      <c r="J6558" s="2400"/>
      <c r="K6558" s="2400"/>
      <c r="L6558" s="2400"/>
      <c r="M6558" s="2400"/>
      <c r="N6558" s="2400"/>
    </row>
    <row r="6559" spans="3:14">
      <c r="C6559" s="485"/>
      <c r="D6559" s="485"/>
      <c r="E6559" s="2764" t="s">
        <v>1484</v>
      </c>
      <c r="F6559" s="2764"/>
      <c r="G6559" s="2764"/>
      <c r="H6559" s="2764"/>
      <c r="I6559" s="2764"/>
      <c r="J6559" s="2764"/>
      <c r="K6559" s="2764"/>
      <c r="L6559" s="2764"/>
      <c r="M6559" s="2764"/>
      <c r="N6559" s="2764"/>
    </row>
    <row r="6560" spans="3:14">
      <c r="C6560" s="482"/>
      <c r="D6560" s="482"/>
      <c r="E6560" s="1070" t="s">
        <v>920</v>
      </c>
      <c r="F6560" s="1071"/>
      <c r="G6560" s="1072" t="s">
        <v>884</v>
      </c>
      <c r="H6560" s="1073">
        <v>2019</v>
      </c>
      <c r="I6560" s="1074">
        <v>2020</v>
      </c>
      <c r="J6560" s="1075">
        <v>2021</v>
      </c>
      <c r="K6560" s="1073">
        <v>2022</v>
      </c>
      <c r="L6560" s="1073">
        <v>2023</v>
      </c>
      <c r="M6560" s="1073">
        <v>2024</v>
      </c>
      <c r="N6560" s="1076">
        <v>2025</v>
      </c>
    </row>
    <row r="6561" spans="3:14">
      <c r="C6561" s="485"/>
      <c r="D6561" s="561" t="s">
        <v>6</v>
      </c>
      <c r="E6561" s="2696" t="str">
        <f>IFERROR(IF('[1]G_Fall-back'!E830 = "", "", '[1]G_Fall-back'!E830 ),"")</f>
        <v>Process emissions sub-installation, CL</v>
      </c>
      <c r="F6561" s="2696"/>
      <c r="G6561" s="74" t="str">
        <f>IFERROR(IF('[1]G_Fall-back'!G830 = "", "", '[1]G_Fall-back'!G830 ),"")</f>
        <v>t CO2e</v>
      </c>
      <c r="H6561" s="93" t="str">
        <f>IFERROR(IF('[1]G_Fall-back'!H830 = "", "", '[1]G_Fall-back'!H830 ),"")</f>
        <v/>
      </c>
      <c r="I6561" s="116" t="str">
        <f>IFERROR(IF('[1]G_Fall-back'!I830 = "", "", '[1]G_Fall-back'!I830 ),"")</f>
        <v/>
      </c>
      <c r="J6561" s="117" t="str">
        <f>IFERROR(IF('[1]G_Fall-back'!J830 = "", "", '[1]G_Fall-back'!J830 ),"")</f>
        <v/>
      </c>
      <c r="K6561" s="93" t="str">
        <f>IFERROR(IF('[1]G_Fall-back'!K830 = "", "", '[1]G_Fall-back'!K830 ),"")</f>
        <v/>
      </c>
      <c r="L6561" s="93" t="str">
        <f>IFERROR(IF('[1]G_Fall-back'!L830 = "", "", '[1]G_Fall-back'!L830 ),"")</f>
        <v/>
      </c>
      <c r="M6561" s="93" t="str">
        <f>IFERROR(IF('[1]G_Fall-back'!M830 = "", "", '[1]G_Fall-back'!M830 ),"")</f>
        <v/>
      </c>
      <c r="N6561" s="93" t="str">
        <f>IFERROR(IF('[1]G_Fall-back'!N830 = "", "", '[1]G_Fall-back'!N830 ),"")</f>
        <v/>
      </c>
    </row>
    <row r="6562" spans="3:14">
      <c r="C6562" s="479"/>
      <c r="D6562" s="485"/>
      <c r="E6562" s="485"/>
      <c r="F6562" s="485"/>
      <c r="G6562" s="485"/>
      <c r="H6562" s="485"/>
      <c r="I6562" s="485"/>
      <c r="J6562" s="485"/>
      <c r="K6562" s="485"/>
      <c r="L6562" s="485"/>
      <c r="M6562" s="485"/>
      <c r="N6562" s="485"/>
    </row>
    <row r="6563" spans="3:14">
      <c r="C6563" s="479"/>
      <c r="D6563" s="485"/>
      <c r="E6563" s="2465" t="s">
        <v>1712</v>
      </c>
      <c r="F6563" s="2400"/>
      <c r="G6563" s="2400"/>
      <c r="H6563" s="2400"/>
      <c r="I6563" s="2400"/>
      <c r="J6563" s="2400"/>
      <c r="K6563" s="2400"/>
      <c r="L6563" s="2400"/>
      <c r="M6563" s="2400"/>
      <c r="N6563" s="2400"/>
    </row>
    <row r="6564" spans="3:14">
      <c r="C6564" s="479"/>
      <c r="D6564" s="485"/>
      <c r="E6564" s="901" t="s">
        <v>1021</v>
      </c>
      <c r="F6564" s="2651" t="s">
        <v>2711</v>
      </c>
      <c r="G6564" s="2584"/>
      <c r="H6564" s="2584"/>
      <c r="I6564" s="2584"/>
      <c r="J6564" s="2584"/>
      <c r="K6564" s="2584"/>
      <c r="L6564" s="2584"/>
      <c r="M6564" s="2584"/>
      <c r="N6564" s="2584"/>
    </row>
    <row r="6565" spans="3:14">
      <c r="C6565" s="479"/>
      <c r="D6565" s="485"/>
      <c r="E6565" s="901" t="s">
        <v>1021</v>
      </c>
      <c r="F6565" s="2651" t="s">
        <v>1985</v>
      </c>
      <c r="G6565" s="2584"/>
      <c r="H6565" s="2584"/>
      <c r="I6565" s="2584"/>
      <c r="J6565" s="2584"/>
      <c r="K6565" s="2584"/>
      <c r="L6565" s="2584"/>
      <c r="M6565" s="2584"/>
      <c r="N6565" s="2584"/>
    </row>
    <row r="6566" spans="3:14" ht="13.5" thickBot="1">
      <c r="C6566" s="479"/>
      <c r="D6566" s="485"/>
      <c r="E6566" s="901" t="s">
        <v>1021</v>
      </c>
      <c r="F6566" s="2651" t="s">
        <v>2252</v>
      </c>
      <c r="G6566" s="2584"/>
      <c r="H6566" s="2584"/>
      <c r="I6566" s="2584"/>
      <c r="J6566" s="2584"/>
      <c r="K6566" s="2584"/>
      <c r="L6566" s="2584"/>
      <c r="M6566" s="2584"/>
      <c r="N6566" s="2584"/>
    </row>
    <row r="6567" spans="3:14">
      <c r="C6567" s="479"/>
      <c r="D6567" s="902"/>
      <c r="E6567" s="903"/>
      <c r="F6567" s="904"/>
      <c r="G6567" s="905"/>
      <c r="H6567" s="905"/>
      <c r="I6567" s="905"/>
      <c r="J6567" s="905"/>
      <c r="K6567" s="905"/>
      <c r="L6567" s="905"/>
      <c r="M6567" s="905"/>
      <c r="N6567" s="906"/>
    </row>
    <row r="6568" spans="3:14">
      <c r="C6568" s="479"/>
      <c r="D6568" s="918"/>
      <c r="E6568" s="908" t="s">
        <v>1652</v>
      </c>
      <c r="F6568" s="909"/>
      <c r="G6568" s="909"/>
      <c r="H6568" s="910" t="s">
        <v>884</v>
      </c>
      <c r="I6568" s="911" t="s">
        <v>2212</v>
      </c>
      <c r="J6568" s="912">
        <v>2021</v>
      </c>
      <c r="K6568" s="913">
        <v>2022</v>
      </c>
      <c r="L6568" s="913">
        <v>2023</v>
      </c>
      <c r="M6568" s="913">
        <v>2024</v>
      </c>
      <c r="N6568" s="914">
        <v>2025</v>
      </c>
    </row>
    <row r="6569" spans="3:14">
      <c r="C6569" s="479"/>
      <c r="D6569" s="915" t="s">
        <v>7</v>
      </c>
      <c r="E6569" s="916" t="s">
        <v>1976</v>
      </c>
      <c r="F6569" s="916"/>
      <c r="G6569" s="916"/>
      <c r="H6569" s="944" t="s">
        <v>284</v>
      </c>
      <c r="I6569" s="235" t="str">
        <f>IFERROR(IF('[1]G_Fall-back'!I838 = "", "", '[1]G_Fall-back'!I838 ),"")</f>
        <v/>
      </c>
      <c r="J6569" s="388" t="str">
        <f>IFERROR(IF('[1]G_Fall-back'!J838 = "", "", '[1]G_Fall-back'!J838 ),"")</f>
        <v/>
      </c>
      <c r="K6569" s="389" t="str">
        <f>IFERROR(IF('[1]G_Fall-back'!K838 = "", "", '[1]G_Fall-back'!K838 ),"")</f>
        <v/>
      </c>
      <c r="L6569" s="389" t="str">
        <f>IFERROR(IF('[1]G_Fall-back'!L838 = "", "", '[1]G_Fall-back'!L838 ),"")</f>
        <v/>
      </c>
      <c r="M6569" s="389" t="str">
        <f>IFERROR(IF('[1]G_Fall-back'!M838 = "", "", '[1]G_Fall-back'!M838 ),"")</f>
        <v/>
      </c>
      <c r="N6569" s="390" t="str">
        <f>IFERROR(IF('[1]G_Fall-back'!N838 = "", "", '[1]G_Fall-back'!N838 ),"")</f>
        <v/>
      </c>
    </row>
    <row r="6570" spans="3:14">
      <c r="C6570" s="479"/>
      <c r="D6570" s="915"/>
      <c r="E6570" s="916" t="s">
        <v>1648</v>
      </c>
      <c r="F6570" s="916"/>
      <c r="G6570" s="916"/>
      <c r="H6570" s="921"/>
      <c r="I6570" s="916"/>
      <c r="J6570" s="319" t="str">
        <f>IFERROR(IF('[1]G_Fall-back'!J839 = "", "", '[1]G_Fall-back'!J839 ),"")</f>
        <v/>
      </c>
      <c r="K6570" s="320" t="str">
        <f>IFERROR(IF('[1]G_Fall-back'!K839 = "", "", '[1]G_Fall-back'!K839 ),"")</f>
        <v/>
      </c>
      <c r="L6570" s="320" t="str">
        <f>IFERROR(IF('[1]G_Fall-back'!L839 = "", "", '[1]G_Fall-back'!L839 ),"")</f>
        <v/>
      </c>
      <c r="M6570" s="320" t="str">
        <f>IFERROR(IF('[1]G_Fall-back'!M839 = "", "", '[1]G_Fall-back'!M839 ),"")</f>
        <v/>
      </c>
      <c r="N6570" s="321" t="str">
        <f>IFERROR(IF('[1]G_Fall-back'!N839 = "", "", '[1]G_Fall-back'!N839 ),"")</f>
        <v/>
      </c>
    </row>
    <row r="6571" spans="3:14">
      <c r="C6571" s="479"/>
      <c r="D6571" s="915" t="s">
        <v>8</v>
      </c>
      <c r="E6571" s="916" t="s">
        <v>1654</v>
      </c>
      <c r="F6571" s="916"/>
      <c r="G6571" s="916"/>
      <c r="H6571" s="921"/>
      <c r="I6571" s="916"/>
      <c r="J6571" s="288" t="str">
        <f>IFERROR(IF('[1]G_Fall-back'!J840 = "", "", '[1]G_Fall-back'!J840 ),"")</f>
        <v/>
      </c>
      <c r="K6571" s="289" t="str">
        <f>IFERROR(IF('[1]G_Fall-back'!K840 = "", "", '[1]G_Fall-back'!K840 ),"")</f>
        <v/>
      </c>
      <c r="L6571" s="289" t="str">
        <f>IFERROR(IF('[1]G_Fall-back'!L840 = "", "", '[1]G_Fall-back'!L840 ),"")</f>
        <v/>
      </c>
      <c r="M6571" s="289" t="str">
        <f>IFERROR(IF('[1]G_Fall-back'!M840 = "", "", '[1]G_Fall-back'!M840 ),"")</f>
        <v/>
      </c>
      <c r="N6571" s="290" t="str">
        <f>IFERROR(IF('[1]G_Fall-back'!N840 = "", "", '[1]G_Fall-back'!N840 ),"")</f>
        <v/>
      </c>
    </row>
    <row r="6572" spans="3:14">
      <c r="C6572" s="479"/>
      <c r="D6572" s="915" t="s">
        <v>18</v>
      </c>
      <c r="E6572" s="916" t="s">
        <v>1647</v>
      </c>
      <c r="F6572" s="916"/>
      <c r="G6572" s="916"/>
      <c r="H6572" s="944" t="s">
        <v>284</v>
      </c>
      <c r="I6572" s="235" t="str">
        <f>IFERROR(IF('[1]G_Fall-back'!I841 = "", "", '[1]G_Fall-back'!I841 ),"")</f>
        <v/>
      </c>
      <c r="J6572" s="388" t="str">
        <f>IFERROR(IF('[1]G_Fall-back'!J841 = "", "", '[1]G_Fall-back'!J841 ),"")</f>
        <v/>
      </c>
      <c r="K6572" s="389" t="str">
        <f>IFERROR(IF('[1]G_Fall-back'!K841 = "", "", '[1]G_Fall-back'!K841 ),"")</f>
        <v/>
      </c>
      <c r="L6572" s="389" t="str">
        <f>IFERROR(IF('[1]G_Fall-back'!L841 = "", "", '[1]G_Fall-back'!L841 ),"")</f>
        <v/>
      </c>
      <c r="M6572" s="389" t="str">
        <f>IFERROR(IF('[1]G_Fall-back'!M841 = "", "", '[1]G_Fall-back'!M841 ),"")</f>
        <v/>
      </c>
      <c r="N6572" s="390" t="str">
        <f>IFERROR(IF('[1]G_Fall-back'!N841 = "", "", '[1]G_Fall-back'!N841 ),"")</f>
        <v/>
      </c>
    </row>
    <row r="6573" spans="3:14">
      <c r="C6573" s="479"/>
      <c r="D6573" s="918"/>
      <c r="E6573" s="909"/>
      <c r="F6573" s="909"/>
      <c r="G6573" s="909"/>
      <c r="H6573" s="909"/>
      <c r="I6573" s="909"/>
      <c r="J6573" s="909"/>
      <c r="K6573" s="909"/>
      <c r="L6573" s="909"/>
      <c r="M6573" s="909"/>
      <c r="N6573" s="922"/>
    </row>
    <row r="6574" spans="3:14">
      <c r="C6574" s="479"/>
      <c r="D6574" s="918"/>
      <c r="E6574" s="923" t="s">
        <v>1653</v>
      </c>
      <c r="F6574" s="923"/>
      <c r="G6574" s="923"/>
      <c r="H6574" s="923"/>
      <c r="I6574" s="923"/>
      <c r="J6574" s="912">
        <v>2021</v>
      </c>
      <c r="K6574" s="913">
        <v>2022</v>
      </c>
      <c r="L6574" s="913">
        <v>2023</v>
      </c>
      <c r="M6574" s="913">
        <v>2024</v>
      </c>
      <c r="N6574" s="914">
        <v>2025</v>
      </c>
    </row>
    <row r="6575" spans="3:14">
      <c r="C6575" s="479"/>
      <c r="D6575" s="915" t="s">
        <v>8</v>
      </c>
      <c r="E6575" s="916" t="s">
        <v>2108</v>
      </c>
      <c r="F6575" s="916"/>
      <c r="G6575" s="916"/>
      <c r="H6575" s="916"/>
      <c r="I6575" s="916"/>
      <c r="J6575" s="69" t="str">
        <f>IFERROR(IF('[1]G_Fall-back'!J844 = "", "", '[1]G_Fall-back'!J844 ),"")</f>
        <v/>
      </c>
      <c r="K6575" s="62" t="str">
        <f>IFERROR(IF('[1]G_Fall-back'!K844 = "", "", '[1]G_Fall-back'!K844 ),"")</f>
        <v/>
      </c>
      <c r="L6575" s="62" t="str">
        <f>IFERROR(IF('[1]G_Fall-back'!L844 = "", "", '[1]G_Fall-back'!L844 ),"")</f>
        <v/>
      </c>
      <c r="M6575" s="62" t="str">
        <f>IFERROR(IF('[1]G_Fall-back'!M844 = "", "", '[1]G_Fall-back'!M844 ),"")</f>
        <v/>
      </c>
      <c r="N6575" s="70" t="str">
        <f>IFERROR(IF('[1]G_Fall-back'!N844 = "", "", '[1]G_Fall-back'!N844 ),"")</f>
        <v/>
      </c>
    </row>
    <row r="6576" spans="3:14" ht="13.5" thickBot="1">
      <c r="C6576" s="479"/>
      <c r="D6576" s="918"/>
      <c r="E6576" s="909"/>
      <c r="F6576" s="909"/>
      <c r="G6576" s="909"/>
      <c r="H6576" s="909"/>
      <c r="I6576" s="909"/>
      <c r="J6576" s="909"/>
      <c r="K6576" s="909"/>
      <c r="L6576" s="909"/>
      <c r="M6576" s="909"/>
      <c r="N6576" s="922"/>
    </row>
    <row r="6577" spans="3:14" ht="13.5" thickBot="1">
      <c r="C6577" s="479"/>
      <c r="D6577" s="915" t="s">
        <v>18</v>
      </c>
      <c r="E6577" s="916" t="s">
        <v>1657</v>
      </c>
      <c r="F6577" s="916"/>
      <c r="G6577" s="916"/>
      <c r="H6577" s="921"/>
      <c r="I6577" s="916"/>
      <c r="J6577" s="291" t="str">
        <f>IFERROR(IF('[1]G_Fall-back'!J846 = "", "", '[1]G_Fall-back'!J846 ),"")</f>
        <v/>
      </c>
      <c r="K6577" s="292" t="str">
        <f>IFERROR(IF('[1]G_Fall-back'!K846 = "", "", '[1]G_Fall-back'!K846 ),"")</f>
        <v/>
      </c>
      <c r="L6577" s="292" t="str">
        <f>IFERROR(IF('[1]G_Fall-back'!L846 = "", "", '[1]G_Fall-back'!L846 ),"")</f>
        <v/>
      </c>
      <c r="M6577" s="292" t="str">
        <f>IFERROR(IF('[1]G_Fall-back'!M846 = "", "", '[1]G_Fall-back'!M846 ),"")</f>
        <v/>
      </c>
      <c r="N6577" s="293" t="str">
        <f>IFERROR(IF('[1]G_Fall-back'!N846 = "", "", '[1]G_Fall-back'!N846 ),"")</f>
        <v/>
      </c>
    </row>
    <row r="6578" spans="3:14" ht="13.5" thickBot="1">
      <c r="C6578" s="479"/>
      <c r="D6578" s="915" t="s">
        <v>787</v>
      </c>
      <c r="E6578" s="916" t="s">
        <v>1659</v>
      </c>
      <c r="F6578" s="916"/>
      <c r="G6578" s="916"/>
      <c r="H6578" s="63" t="str">
        <f>IFERROR(IF('[1]G_Fall-back'!H847 = "", "", '[1]G_Fall-back'!H847 ),"")</f>
        <v>t CO2e</v>
      </c>
      <c r="I6578" s="281" t="str">
        <f>IFERROR(IF('[1]G_Fall-back'!I847 = "", "", '[1]G_Fall-back'!I847 ),"")</f>
        <v/>
      </c>
      <c r="J6578" s="294" t="str">
        <f>IFERROR(IF('[1]G_Fall-back'!J847 = "", "", '[1]G_Fall-back'!J847 ),"")</f>
        <v/>
      </c>
      <c r="K6578" s="295" t="str">
        <f>IFERROR(IF('[1]G_Fall-back'!K847 = "", "", '[1]G_Fall-back'!K847 ),"")</f>
        <v/>
      </c>
      <c r="L6578" s="295" t="str">
        <f>IFERROR(IF('[1]G_Fall-back'!L847 = "", "", '[1]G_Fall-back'!L847 ),"")</f>
        <v/>
      </c>
      <c r="M6578" s="295" t="str">
        <f>IFERROR(IF('[1]G_Fall-back'!M847 = "", "", '[1]G_Fall-back'!M847 ),"")</f>
        <v/>
      </c>
      <c r="N6578" s="296" t="str">
        <f>IFERROR(IF('[1]G_Fall-back'!N847 = "", "", '[1]G_Fall-back'!N847 ),"")</f>
        <v/>
      </c>
    </row>
    <row r="6579" spans="3:14" ht="13.5" thickBot="1">
      <c r="C6579" s="479"/>
      <c r="D6579" s="924"/>
      <c r="E6579" s="925"/>
      <c r="F6579" s="925"/>
      <c r="G6579" s="925"/>
      <c r="H6579" s="925"/>
      <c r="I6579" s="925"/>
      <c r="J6579" s="925"/>
      <c r="K6579" s="925"/>
      <c r="L6579" s="925"/>
      <c r="M6579" s="925"/>
      <c r="N6579" s="926"/>
    </row>
    <row r="6580" spans="3:14">
      <c r="C6580" s="467"/>
      <c r="D6580" s="467"/>
      <c r="E6580" s="467"/>
      <c r="F6580" s="467"/>
      <c r="G6580" s="467"/>
      <c r="H6580" s="467"/>
      <c r="I6580" s="467"/>
      <c r="J6580" s="467"/>
      <c r="K6580" s="467"/>
      <c r="L6580" s="467"/>
      <c r="M6580" s="467"/>
      <c r="N6580" s="467"/>
    </row>
    <row r="6581" spans="3:14" ht="15">
      <c r="C6581" s="1025"/>
      <c r="D6581" s="2482" t="s">
        <v>103</v>
      </c>
      <c r="E6581" s="2400"/>
      <c r="F6581" s="2400"/>
      <c r="G6581" s="2400"/>
      <c r="H6581" s="2400"/>
      <c r="I6581" s="2400"/>
      <c r="J6581" s="2400"/>
      <c r="K6581" s="2400"/>
      <c r="L6581" s="2400"/>
      <c r="M6581" s="2400"/>
      <c r="N6581" s="2400"/>
    </row>
    <row r="6582" spans="3:14">
      <c r="C6582" s="467"/>
      <c r="D6582" s="467"/>
      <c r="E6582" s="467"/>
      <c r="F6582" s="467"/>
      <c r="G6582" s="467"/>
      <c r="H6582" s="467"/>
      <c r="I6582" s="467"/>
      <c r="J6582" s="467"/>
      <c r="K6582" s="467"/>
      <c r="L6582" s="467"/>
      <c r="M6582" s="467"/>
      <c r="N6582" s="467"/>
    </row>
    <row r="6583" spans="3:14">
      <c r="C6583" s="482"/>
      <c r="D6583" s="482" t="s">
        <v>876</v>
      </c>
      <c r="E6583" s="2373" t="s">
        <v>298</v>
      </c>
      <c r="F6583" s="2400"/>
      <c r="G6583" s="2400"/>
      <c r="H6583" s="2400"/>
      <c r="I6583" s="2400"/>
      <c r="J6583" s="2400"/>
      <c r="K6583" s="2400"/>
      <c r="L6583" s="2400"/>
      <c r="M6583" s="2400"/>
      <c r="N6583" s="2400"/>
    </row>
    <row r="6584" spans="3:14">
      <c r="C6584" s="467"/>
      <c r="D6584" s="485"/>
      <c r="E6584" s="2465" t="s">
        <v>950</v>
      </c>
      <c r="F6584" s="2400"/>
      <c r="G6584" s="2400"/>
      <c r="H6584" s="2400"/>
      <c r="I6584" s="2400"/>
      <c r="J6584" s="2400"/>
      <c r="K6584" s="2400"/>
      <c r="L6584" s="2400"/>
      <c r="M6584" s="2400"/>
      <c r="N6584" s="2400"/>
    </row>
    <row r="6585" spans="3:14">
      <c r="C6585" s="467"/>
      <c r="D6585" s="467"/>
      <c r="E6585" s="467"/>
      <c r="F6585" s="467"/>
      <c r="G6585" s="467"/>
      <c r="H6585" s="467"/>
      <c r="I6585" s="467"/>
      <c r="J6585" s="467"/>
      <c r="K6585" s="467"/>
      <c r="L6585" s="467"/>
      <c r="M6585" s="467"/>
      <c r="N6585" s="467"/>
    </row>
    <row r="6586" spans="3:14" ht="25.5">
      <c r="C6586" s="485"/>
      <c r="D6586" s="956"/>
      <c r="E6586" s="1077" t="s">
        <v>951</v>
      </c>
      <c r="F6586" s="636"/>
      <c r="G6586" s="1078"/>
      <c r="H6586" s="2758" t="s">
        <v>28</v>
      </c>
      <c r="I6586" s="2508"/>
      <c r="J6586" s="2508"/>
      <c r="K6586" s="2508"/>
      <c r="L6586" s="2580"/>
      <c r="M6586" s="1069" t="s">
        <v>2112</v>
      </c>
      <c r="N6586" s="485"/>
    </row>
    <row r="6587" spans="3:14">
      <c r="C6587" s="485"/>
      <c r="D6587" s="579">
        <v>1</v>
      </c>
      <c r="E6587" s="2765" t="str">
        <f>IFERROR(IF('[1]G_Fall-back'!E856 = "", "", '[1]G_Fall-back'!E856 ),"")</f>
        <v/>
      </c>
      <c r="F6587" s="2766"/>
      <c r="G6587" s="2767"/>
      <c r="H6587" s="2759" t="str">
        <f>IFERROR(IF('[1]G_Fall-back'!H856 = "", "", '[1]G_Fall-back'!H856 ),"")</f>
        <v/>
      </c>
      <c r="I6587" s="2599"/>
      <c r="J6587" s="2599"/>
      <c r="K6587" s="2599"/>
      <c r="L6587" s="2617"/>
      <c r="M6587" s="391" t="str">
        <f>IFERROR(IF('[1]G_Fall-back'!M856 = "", "", '[1]G_Fall-back'!M856 ),"")</f>
        <v/>
      </c>
      <c r="N6587" s="485"/>
    </row>
    <row r="6588" spans="3:14">
      <c r="C6588" s="485"/>
      <c r="D6588" s="582">
        <v>2</v>
      </c>
      <c r="E6588" s="2768" t="str">
        <f>IFERROR(IF('[1]G_Fall-back'!E857 = "", "", '[1]G_Fall-back'!E857 ),"")</f>
        <v/>
      </c>
      <c r="F6588" s="2769"/>
      <c r="G6588" s="2770"/>
      <c r="H6588" s="2730" t="str">
        <f>IFERROR(IF('[1]G_Fall-back'!H857 = "", "", '[1]G_Fall-back'!H857 ),"")</f>
        <v/>
      </c>
      <c r="I6588" s="2603"/>
      <c r="J6588" s="2603"/>
      <c r="K6588" s="2603"/>
      <c r="L6588" s="2620"/>
      <c r="M6588" s="392" t="str">
        <f>IFERROR(IF('[1]G_Fall-back'!M857 = "", "", '[1]G_Fall-back'!M857 ),"")</f>
        <v/>
      </c>
      <c r="N6588" s="485"/>
    </row>
    <row r="6589" spans="3:14">
      <c r="C6589" s="485"/>
      <c r="D6589" s="582">
        <v>3</v>
      </c>
      <c r="E6589" s="2768" t="str">
        <f>IFERROR(IF('[1]G_Fall-back'!E858 = "", "", '[1]G_Fall-back'!E858 ),"")</f>
        <v/>
      </c>
      <c r="F6589" s="2769"/>
      <c r="G6589" s="2770"/>
      <c r="H6589" s="2730" t="str">
        <f>IFERROR(IF('[1]G_Fall-back'!H858 = "", "", '[1]G_Fall-back'!H858 ),"")</f>
        <v/>
      </c>
      <c r="I6589" s="2603"/>
      <c r="J6589" s="2603"/>
      <c r="K6589" s="2603"/>
      <c r="L6589" s="2620"/>
      <c r="M6589" s="392" t="str">
        <f>IFERROR(IF('[1]G_Fall-back'!M858 = "", "", '[1]G_Fall-back'!M858 ),"")</f>
        <v/>
      </c>
      <c r="N6589" s="485"/>
    </row>
    <row r="6590" spans="3:14">
      <c r="C6590" s="485"/>
      <c r="D6590" s="582">
        <v>4</v>
      </c>
      <c r="E6590" s="2768" t="str">
        <f>IFERROR(IF('[1]G_Fall-back'!E859 = "", "", '[1]G_Fall-back'!E859 ),"")</f>
        <v/>
      </c>
      <c r="F6590" s="2769"/>
      <c r="G6590" s="2770"/>
      <c r="H6590" s="2730" t="str">
        <f>IFERROR(IF('[1]G_Fall-back'!H859 = "", "", '[1]G_Fall-back'!H859 ),"")</f>
        <v/>
      </c>
      <c r="I6590" s="2603"/>
      <c r="J6590" s="2603"/>
      <c r="K6590" s="2603"/>
      <c r="L6590" s="2620"/>
      <c r="M6590" s="392" t="str">
        <f>IFERROR(IF('[1]G_Fall-back'!M859 = "", "", '[1]G_Fall-back'!M859 ),"")</f>
        <v/>
      </c>
      <c r="N6590" s="485"/>
    </row>
    <row r="6591" spans="3:14">
      <c r="C6591" s="485"/>
      <c r="D6591" s="582">
        <v>5</v>
      </c>
      <c r="E6591" s="2768" t="str">
        <f>IFERROR(IF('[1]G_Fall-back'!E860 = "", "", '[1]G_Fall-back'!E860 ),"")</f>
        <v/>
      </c>
      <c r="F6591" s="2769"/>
      <c r="G6591" s="2770"/>
      <c r="H6591" s="2730" t="str">
        <f>IFERROR(IF('[1]G_Fall-back'!H860 = "", "", '[1]G_Fall-back'!H860 ),"")</f>
        <v/>
      </c>
      <c r="I6591" s="2603"/>
      <c r="J6591" s="2603"/>
      <c r="K6591" s="2603"/>
      <c r="L6591" s="2620"/>
      <c r="M6591" s="392" t="str">
        <f>IFERROR(IF('[1]G_Fall-back'!M860 = "", "", '[1]G_Fall-back'!M860 ),"")</f>
        <v/>
      </c>
      <c r="N6591" s="485"/>
    </row>
    <row r="6592" spans="3:14">
      <c r="C6592" s="485"/>
      <c r="D6592" s="582">
        <v>6</v>
      </c>
      <c r="E6592" s="2768" t="str">
        <f>IFERROR(IF('[1]G_Fall-back'!E861 = "", "", '[1]G_Fall-back'!E861 ),"")</f>
        <v/>
      </c>
      <c r="F6592" s="2769"/>
      <c r="G6592" s="2770"/>
      <c r="H6592" s="2730" t="str">
        <f>IFERROR(IF('[1]G_Fall-back'!H861 = "", "", '[1]G_Fall-back'!H861 ),"")</f>
        <v/>
      </c>
      <c r="I6592" s="2603"/>
      <c r="J6592" s="2603"/>
      <c r="K6592" s="2603"/>
      <c r="L6592" s="2620"/>
      <c r="M6592" s="392" t="str">
        <f>IFERROR(IF('[1]G_Fall-back'!M861 = "", "", '[1]G_Fall-back'!M861 ),"")</f>
        <v/>
      </c>
      <c r="N6592" s="485"/>
    </row>
    <row r="6593" spans="3:14">
      <c r="C6593" s="485"/>
      <c r="D6593" s="582">
        <v>7</v>
      </c>
      <c r="E6593" s="2768" t="str">
        <f>IFERROR(IF('[1]G_Fall-back'!E862 = "", "", '[1]G_Fall-back'!E862 ),"")</f>
        <v/>
      </c>
      <c r="F6593" s="2769"/>
      <c r="G6593" s="2770"/>
      <c r="H6593" s="2730" t="str">
        <f>IFERROR(IF('[1]G_Fall-back'!H862 = "", "", '[1]G_Fall-back'!H862 ),"")</f>
        <v/>
      </c>
      <c r="I6593" s="2603"/>
      <c r="J6593" s="2603"/>
      <c r="K6593" s="2603"/>
      <c r="L6593" s="2620"/>
      <c r="M6593" s="392" t="str">
        <f>IFERROR(IF('[1]G_Fall-back'!M862 = "", "", '[1]G_Fall-back'!M862 ),"")</f>
        <v/>
      </c>
      <c r="N6593" s="485"/>
    </row>
    <row r="6594" spans="3:14">
      <c r="C6594" s="485"/>
      <c r="D6594" s="582">
        <v>8</v>
      </c>
      <c r="E6594" s="2768" t="str">
        <f>IFERROR(IF('[1]G_Fall-back'!E863 = "", "", '[1]G_Fall-back'!E863 ),"")</f>
        <v/>
      </c>
      <c r="F6594" s="2769"/>
      <c r="G6594" s="2770"/>
      <c r="H6594" s="2730" t="str">
        <f>IFERROR(IF('[1]G_Fall-back'!H863 = "", "", '[1]G_Fall-back'!H863 ),"")</f>
        <v/>
      </c>
      <c r="I6594" s="2603"/>
      <c r="J6594" s="2603"/>
      <c r="K6594" s="2603"/>
      <c r="L6594" s="2620"/>
      <c r="M6594" s="392" t="str">
        <f>IFERROR(IF('[1]G_Fall-back'!M863 = "", "", '[1]G_Fall-back'!M863 ),"")</f>
        <v/>
      </c>
      <c r="N6594" s="485"/>
    </row>
    <row r="6595" spans="3:14">
      <c r="C6595" s="485"/>
      <c r="D6595" s="582">
        <v>9</v>
      </c>
      <c r="E6595" s="2768" t="str">
        <f>IFERROR(IF('[1]G_Fall-back'!E864 = "", "", '[1]G_Fall-back'!E864 ),"")</f>
        <v/>
      </c>
      <c r="F6595" s="2769"/>
      <c r="G6595" s="2770"/>
      <c r="H6595" s="2730" t="str">
        <f>IFERROR(IF('[1]G_Fall-back'!H864 = "", "", '[1]G_Fall-back'!H864 ),"")</f>
        <v/>
      </c>
      <c r="I6595" s="2603"/>
      <c r="J6595" s="2603"/>
      <c r="K6595" s="2603"/>
      <c r="L6595" s="2620"/>
      <c r="M6595" s="392" t="str">
        <f>IFERROR(IF('[1]G_Fall-back'!M864 = "", "", '[1]G_Fall-back'!M864 ),"")</f>
        <v/>
      </c>
      <c r="N6595" s="485"/>
    </row>
    <row r="6596" spans="3:14">
      <c r="C6596" s="485"/>
      <c r="D6596" s="584">
        <v>10</v>
      </c>
      <c r="E6596" s="2771" t="str">
        <f>IFERROR(IF('[1]G_Fall-back'!E865 = "", "", '[1]G_Fall-back'!E865 ),"")</f>
        <v/>
      </c>
      <c r="F6596" s="2772"/>
      <c r="G6596" s="2773"/>
      <c r="H6596" s="2733" t="str">
        <f>IFERROR(IF('[1]G_Fall-back'!H865 = "", "", '[1]G_Fall-back'!H865 ),"")</f>
        <v/>
      </c>
      <c r="I6596" s="2613"/>
      <c r="J6596" s="2613"/>
      <c r="K6596" s="2613"/>
      <c r="L6596" s="2627"/>
      <c r="M6596" s="393" t="str">
        <f>IFERROR(IF('[1]G_Fall-back'!M865 = "", "", '[1]G_Fall-back'!M865 ),"")</f>
        <v/>
      </c>
      <c r="N6596" s="485"/>
    </row>
    <row r="6597" spans="3:14">
      <c r="C6597" s="485"/>
      <c r="D6597" s="485"/>
      <c r="E6597" s="617"/>
      <c r="F6597" s="617"/>
      <c r="G6597" s="617"/>
      <c r="H6597" s="617"/>
      <c r="I6597" s="617"/>
      <c r="J6597" s="468"/>
      <c r="K6597" s="468"/>
      <c r="L6597" s="468"/>
      <c r="M6597" s="481"/>
      <c r="N6597" s="481"/>
    </row>
    <row r="6598" spans="3:14">
      <c r="C6598" s="482"/>
      <c r="D6598" s="482" t="s">
        <v>48</v>
      </c>
      <c r="E6598" s="2373" t="s">
        <v>1477</v>
      </c>
      <c r="F6598" s="2400"/>
      <c r="G6598" s="2400"/>
      <c r="H6598" s="2400"/>
      <c r="I6598" s="2400"/>
      <c r="J6598" s="2400"/>
      <c r="K6598" s="2400"/>
      <c r="L6598" s="2400"/>
      <c r="M6598" s="2400"/>
      <c r="N6598" s="2400"/>
    </row>
    <row r="6599" spans="3:14">
      <c r="C6599" s="467"/>
      <c r="D6599" s="467"/>
      <c r="E6599" s="467"/>
      <c r="F6599" s="467"/>
      <c r="G6599" s="467"/>
      <c r="H6599" s="467"/>
      <c r="I6599" s="467"/>
      <c r="J6599" s="467"/>
      <c r="K6599" s="467"/>
      <c r="L6599" s="467"/>
      <c r="M6599" s="467"/>
      <c r="N6599" s="481"/>
    </row>
    <row r="6600" spans="3:14">
      <c r="C6600" s="482"/>
      <c r="D6600" s="956"/>
      <c r="E6600" s="2758" t="s">
        <v>28</v>
      </c>
      <c r="F6600" s="2508"/>
      <c r="G6600" s="959" t="s">
        <v>884</v>
      </c>
      <c r="H6600" s="578">
        <v>2019</v>
      </c>
      <c r="I6600" s="578">
        <v>2020</v>
      </c>
      <c r="J6600" s="578">
        <v>2021</v>
      </c>
      <c r="K6600" s="578">
        <v>2022</v>
      </c>
      <c r="L6600" s="578">
        <v>2023</v>
      </c>
      <c r="M6600" s="578">
        <v>2024</v>
      </c>
      <c r="N6600" s="697">
        <v>2025</v>
      </c>
    </row>
    <row r="6601" spans="3:14">
      <c r="C6601" s="484"/>
      <c r="D6601" s="579">
        <v>1</v>
      </c>
      <c r="E6601" s="2774" t="str">
        <f>IFERROR(IF('[1]G_Fall-back'!E870 = "", "", '[1]G_Fall-back'!E870 ),"")</f>
        <v/>
      </c>
      <c r="F6601" s="2705"/>
      <c r="G6601" s="71" t="str">
        <f>IFERROR(IF('[1]G_Fall-back'!G870 = "", "", '[1]G_Fall-back'!G870 ),"")</f>
        <v/>
      </c>
      <c r="H6601" s="94" t="str">
        <f>IFERROR(IF('[1]G_Fall-back'!H870 = "", "", '[1]G_Fall-back'!H870 ),"")</f>
        <v/>
      </c>
      <c r="I6601" s="94" t="str">
        <f>IFERROR(IF('[1]G_Fall-back'!I870 = "", "", '[1]G_Fall-back'!I870 ),"")</f>
        <v/>
      </c>
      <c r="J6601" s="94" t="str">
        <f>IFERROR(IF('[1]G_Fall-back'!J870 = "", "", '[1]G_Fall-back'!J870 ),"")</f>
        <v/>
      </c>
      <c r="K6601" s="94" t="str">
        <f>IFERROR(IF('[1]G_Fall-back'!K870 = "", "", '[1]G_Fall-back'!K870 ),"")</f>
        <v/>
      </c>
      <c r="L6601" s="94" t="str">
        <f>IFERROR(IF('[1]G_Fall-back'!L870 = "", "", '[1]G_Fall-back'!L870 ),"")</f>
        <v/>
      </c>
      <c r="M6601" s="94" t="str">
        <f>IFERROR(IF('[1]G_Fall-back'!M870 = "", "", '[1]G_Fall-back'!M870 ),"")</f>
        <v/>
      </c>
      <c r="N6601" s="110" t="str">
        <f>IFERROR(IF('[1]G_Fall-back'!N870 = "", "", '[1]G_Fall-back'!N870 ),"")</f>
        <v/>
      </c>
    </row>
    <row r="6602" spans="3:14">
      <c r="C6602" s="484"/>
      <c r="D6602" s="582">
        <v>2</v>
      </c>
      <c r="E6602" s="2775" t="str">
        <f>IFERROR(IF('[1]G_Fall-back'!E871 = "", "", '[1]G_Fall-back'!E871 ),"")</f>
        <v/>
      </c>
      <c r="F6602" s="2776"/>
      <c r="G6602" s="72" t="str">
        <f>IFERROR(IF('[1]G_Fall-back'!G871 = "", "", '[1]G_Fall-back'!G871 ),"")</f>
        <v/>
      </c>
      <c r="H6602" s="101" t="str">
        <f>IFERROR(IF('[1]G_Fall-back'!H871 = "", "", '[1]G_Fall-back'!H871 ),"")</f>
        <v/>
      </c>
      <c r="I6602" s="101" t="str">
        <f>IFERROR(IF('[1]G_Fall-back'!I871 = "", "", '[1]G_Fall-back'!I871 ),"")</f>
        <v/>
      </c>
      <c r="J6602" s="101" t="str">
        <f>IFERROR(IF('[1]G_Fall-back'!J871 = "", "", '[1]G_Fall-back'!J871 ),"")</f>
        <v/>
      </c>
      <c r="K6602" s="101" t="str">
        <f>IFERROR(IF('[1]G_Fall-back'!K871 = "", "", '[1]G_Fall-back'!K871 ),"")</f>
        <v/>
      </c>
      <c r="L6602" s="101" t="str">
        <f>IFERROR(IF('[1]G_Fall-back'!L871 = "", "", '[1]G_Fall-back'!L871 ),"")</f>
        <v/>
      </c>
      <c r="M6602" s="101" t="str">
        <f>IFERROR(IF('[1]G_Fall-back'!M871 = "", "", '[1]G_Fall-back'!M871 ),"")</f>
        <v/>
      </c>
      <c r="N6602" s="361" t="str">
        <f>IFERROR(IF('[1]G_Fall-back'!N871 = "", "", '[1]G_Fall-back'!N871 ),"")</f>
        <v/>
      </c>
    </row>
    <row r="6603" spans="3:14">
      <c r="C6603" s="484"/>
      <c r="D6603" s="582">
        <v>3</v>
      </c>
      <c r="E6603" s="2775" t="str">
        <f>IFERROR(IF('[1]G_Fall-back'!E872 = "", "", '[1]G_Fall-back'!E872 ),"")</f>
        <v/>
      </c>
      <c r="F6603" s="2776"/>
      <c r="G6603" s="72" t="str">
        <f>IFERROR(IF('[1]G_Fall-back'!G872 = "", "", '[1]G_Fall-back'!G872 ),"")</f>
        <v/>
      </c>
      <c r="H6603" s="101" t="str">
        <f>IFERROR(IF('[1]G_Fall-back'!H872 = "", "", '[1]G_Fall-back'!H872 ),"")</f>
        <v/>
      </c>
      <c r="I6603" s="101" t="str">
        <f>IFERROR(IF('[1]G_Fall-back'!I872 = "", "", '[1]G_Fall-back'!I872 ),"")</f>
        <v/>
      </c>
      <c r="J6603" s="101" t="str">
        <f>IFERROR(IF('[1]G_Fall-back'!J872 = "", "", '[1]G_Fall-back'!J872 ),"")</f>
        <v/>
      </c>
      <c r="K6603" s="101" t="str">
        <f>IFERROR(IF('[1]G_Fall-back'!K872 = "", "", '[1]G_Fall-back'!K872 ),"")</f>
        <v/>
      </c>
      <c r="L6603" s="101" t="str">
        <f>IFERROR(IF('[1]G_Fall-back'!L872 = "", "", '[1]G_Fall-back'!L872 ),"")</f>
        <v/>
      </c>
      <c r="M6603" s="101" t="str">
        <f>IFERROR(IF('[1]G_Fall-back'!M872 = "", "", '[1]G_Fall-back'!M872 ),"")</f>
        <v/>
      </c>
      <c r="N6603" s="361" t="str">
        <f>IFERROR(IF('[1]G_Fall-back'!N872 = "", "", '[1]G_Fall-back'!N872 ),"")</f>
        <v/>
      </c>
    </row>
    <row r="6604" spans="3:14">
      <c r="C6604" s="484"/>
      <c r="D6604" s="582">
        <v>4</v>
      </c>
      <c r="E6604" s="2775" t="str">
        <f>IFERROR(IF('[1]G_Fall-back'!E873 = "", "", '[1]G_Fall-back'!E873 ),"")</f>
        <v/>
      </c>
      <c r="F6604" s="2776"/>
      <c r="G6604" s="72" t="str">
        <f>IFERROR(IF('[1]G_Fall-back'!G873 = "", "", '[1]G_Fall-back'!G873 ),"")</f>
        <v/>
      </c>
      <c r="H6604" s="101" t="str">
        <f>IFERROR(IF('[1]G_Fall-back'!H873 = "", "", '[1]G_Fall-back'!H873 ),"")</f>
        <v/>
      </c>
      <c r="I6604" s="101" t="str">
        <f>IFERROR(IF('[1]G_Fall-back'!I873 = "", "", '[1]G_Fall-back'!I873 ),"")</f>
        <v/>
      </c>
      <c r="J6604" s="101" t="str">
        <f>IFERROR(IF('[1]G_Fall-back'!J873 = "", "", '[1]G_Fall-back'!J873 ),"")</f>
        <v/>
      </c>
      <c r="K6604" s="101" t="str">
        <f>IFERROR(IF('[1]G_Fall-back'!K873 = "", "", '[1]G_Fall-back'!K873 ),"")</f>
        <v/>
      </c>
      <c r="L6604" s="101" t="str">
        <f>IFERROR(IF('[1]G_Fall-back'!L873 = "", "", '[1]G_Fall-back'!L873 ),"")</f>
        <v/>
      </c>
      <c r="M6604" s="101" t="str">
        <f>IFERROR(IF('[1]G_Fall-back'!M873 = "", "", '[1]G_Fall-back'!M873 ),"")</f>
        <v/>
      </c>
      <c r="N6604" s="361" t="str">
        <f>IFERROR(IF('[1]G_Fall-back'!N873 = "", "", '[1]G_Fall-back'!N873 ),"")</f>
        <v/>
      </c>
    </row>
    <row r="6605" spans="3:14">
      <c r="C6605" s="484"/>
      <c r="D6605" s="582">
        <v>5</v>
      </c>
      <c r="E6605" s="2775" t="str">
        <f>IFERROR(IF('[1]G_Fall-back'!E874 = "", "", '[1]G_Fall-back'!E874 ),"")</f>
        <v/>
      </c>
      <c r="F6605" s="2776"/>
      <c r="G6605" s="72" t="str">
        <f>IFERROR(IF('[1]G_Fall-back'!G874 = "", "", '[1]G_Fall-back'!G874 ),"")</f>
        <v/>
      </c>
      <c r="H6605" s="101" t="str">
        <f>IFERROR(IF('[1]G_Fall-back'!H874 = "", "", '[1]G_Fall-back'!H874 ),"")</f>
        <v/>
      </c>
      <c r="I6605" s="101" t="str">
        <f>IFERROR(IF('[1]G_Fall-back'!I874 = "", "", '[1]G_Fall-back'!I874 ),"")</f>
        <v/>
      </c>
      <c r="J6605" s="101" t="str">
        <f>IFERROR(IF('[1]G_Fall-back'!J874 = "", "", '[1]G_Fall-back'!J874 ),"")</f>
        <v/>
      </c>
      <c r="K6605" s="101" t="str">
        <f>IFERROR(IF('[1]G_Fall-back'!K874 = "", "", '[1]G_Fall-back'!K874 ),"")</f>
        <v/>
      </c>
      <c r="L6605" s="101" t="str">
        <f>IFERROR(IF('[1]G_Fall-back'!L874 = "", "", '[1]G_Fall-back'!L874 ),"")</f>
        <v/>
      </c>
      <c r="M6605" s="101" t="str">
        <f>IFERROR(IF('[1]G_Fall-back'!M874 = "", "", '[1]G_Fall-back'!M874 ),"")</f>
        <v/>
      </c>
      <c r="N6605" s="361" t="str">
        <f>IFERROR(IF('[1]G_Fall-back'!N874 = "", "", '[1]G_Fall-back'!N874 ),"")</f>
        <v/>
      </c>
    </row>
    <row r="6606" spans="3:14">
      <c r="C6606" s="484"/>
      <c r="D6606" s="582">
        <v>6</v>
      </c>
      <c r="E6606" s="2775" t="str">
        <f>IFERROR(IF('[1]G_Fall-back'!E875 = "", "", '[1]G_Fall-back'!E875 ),"")</f>
        <v/>
      </c>
      <c r="F6606" s="2776"/>
      <c r="G6606" s="72" t="str">
        <f>IFERROR(IF('[1]G_Fall-back'!G875 = "", "", '[1]G_Fall-back'!G875 ),"")</f>
        <v/>
      </c>
      <c r="H6606" s="101" t="str">
        <f>IFERROR(IF('[1]G_Fall-back'!H875 = "", "", '[1]G_Fall-back'!H875 ),"")</f>
        <v/>
      </c>
      <c r="I6606" s="101" t="str">
        <f>IFERROR(IF('[1]G_Fall-back'!I875 = "", "", '[1]G_Fall-back'!I875 ),"")</f>
        <v/>
      </c>
      <c r="J6606" s="101" t="str">
        <f>IFERROR(IF('[1]G_Fall-back'!J875 = "", "", '[1]G_Fall-back'!J875 ),"")</f>
        <v/>
      </c>
      <c r="K6606" s="101" t="str">
        <f>IFERROR(IF('[1]G_Fall-back'!K875 = "", "", '[1]G_Fall-back'!K875 ),"")</f>
        <v/>
      </c>
      <c r="L6606" s="101" t="str">
        <f>IFERROR(IF('[1]G_Fall-back'!L875 = "", "", '[1]G_Fall-back'!L875 ),"")</f>
        <v/>
      </c>
      <c r="M6606" s="101" t="str">
        <f>IFERROR(IF('[1]G_Fall-back'!M875 = "", "", '[1]G_Fall-back'!M875 ),"")</f>
        <v/>
      </c>
      <c r="N6606" s="361" t="str">
        <f>IFERROR(IF('[1]G_Fall-back'!N875 = "", "", '[1]G_Fall-back'!N875 ),"")</f>
        <v/>
      </c>
    </row>
    <row r="6607" spans="3:14">
      <c r="C6607" s="484"/>
      <c r="D6607" s="582">
        <v>7</v>
      </c>
      <c r="E6607" s="2775" t="str">
        <f>IFERROR(IF('[1]G_Fall-back'!E876 = "", "", '[1]G_Fall-back'!E876 ),"")</f>
        <v/>
      </c>
      <c r="F6607" s="2776"/>
      <c r="G6607" s="72" t="str">
        <f>IFERROR(IF('[1]G_Fall-back'!G876 = "", "", '[1]G_Fall-back'!G876 ),"")</f>
        <v/>
      </c>
      <c r="H6607" s="101" t="str">
        <f>IFERROR(IF('[1]G_Fall-back'!H876 = "", "", '[1]G_Fall-back'!H876 ),"")</f>
        <v/>
      </c>
      <c r="I6607" s="101" t="str">
        <f>IFERROR(IF('[1]G_Fall-back'!I876 = "", "", '[1]G_Fall-back'!I876 ),"")</f>
        <v/>
      </c>
      <c r="J6607" s="101" t="str">
        <f>IFERROR(IF('[1]G_Fall-back'!J876 = "", "", '[1]G_Fall-back'!J876 ),"")</f>
        <v/>
      </c>
      <c r="K6607" s="101" t="str">
        <f>IFERROR(IF('[1]G_Fall-back'!K876 = "", "", '[1]G_Fall-back'!K876 ),"")</f>
        <v/>
      </c>
      <c r="L6607" s="101" t="str">
        <f>IFERROR(IF('[1]G_Fall-back'!L876 = "", "", '[1]G_Fall-back'!L876 ),"")</f>
        <v/>
      </c>
      <c r="M6607" s="101" t="str">
        <f>IFERROR(IF('[1]G_Fall-back'!M876 = "", "", '[1]G_Fall-back'!M876 ),"")</f>
        <v/>
      </c>
      <c r="N6607" s="361" t="str">
        <f>IFERROR(IF('[1]G_Fall-back'!N876 = "", "", '[1]G_Fall-back'!N876 ),"")</f>
        <v/>
      </c>
    </row>
    <row r="6608" spans="3:14">
      <c r="C6608" s="484"/>
      <c r="D6608" s="582">
        <v>8</v>
      </c>
      <c r="E6608" s="2775" t="str">
        <f>IFERROR(IF('[1]G_Fall-back'!E877 = "", "", '[1]G_Fall-back'!E877 ),"")</f>
        <v/>
      </c>
      <c r="F6608" s="2776"/>
      <c r="G6608" s="72" t="str">
        <f>IFERROR(IF('[1]G_Fall-back'!G877 = "", "", '[1]G_Fall-back'!G877 ),"")</f>
        <v/>
      </c>
      <c r="H6608" s="101" t="str">
        <f>IFERROR(IF('[1]G_Fall-back'!H877 = "", "", '[1]G_Fall-back'!H877 ),"")</f>
        <v/>
      </c>
      <c r="I6608" s="101" t="str">
        <f>IFERROR(IF('[1]G_Fall-back'!I877 = "", "", '[1]G_Fall-back'!I877 ),"")</f>
        <v/>
      </c>
      <c r="J6608" s="101" t="str">
        <f>IFERROR(IF('[1]G_Fall-back'!J877 = "", "", '[1]G_Fall-back'!J877 ),"")</f>
        <v/>
      </c>
      <c r="K6608" s="101" t="str">
        <f>IFERROR(IF('[1]G_Fall-back'!K877 = "", "", '[1]G_Fall-back'!K877 ),"")</f>
        <v/>
      </c>
      <c r="L6608" s="101" t="str">
        <f>IFERROR(IF('[1]G_Fall-back'!L877 = "", "", '[1]G_Fall-back'!L877 ),"")</f>
        <v/>
      </c>
      <c r="M6608" s="101" t="str">
        <f>IFERROR(IF('[1]G_Fall-back'!M877 = "", "", '[1]G_Fall-back'!M877 ),"")</f>
        <v/>
      </c>
      <c r="N6608" s="361" t="str">
        <f>IFERROR(IF('[1]G_Fall-back'!N877 = "", "", '[1]G_Fall-back'!N877 ),"")</f>
        <v/>
      </c>
    </row>
    <row r="6609" spans="3:14">
      <c r="C6609" s="484"/>
      <c r="D6609" s="582">
        <v>9</v>
      </c>
      <c r="E6609" s="2775" t="str">
        <f>IFERROR(IF('[1]G_Fall-back'!E878 = "", "", '[1]G_Fall-back'!E878 ),"")</f>
        <v/>
      </c>
      <c r="F6609" s="2776"/>
      <c r="G6609" s="72" t="str">
        <f>IFERROR(IF('[1]G_Fall-back'!G878 = "", "", '[1]G_Fall-back'!G878 ),"")</f>
        <v/>
      </c>
      <c r="H6609" s="101" t="str">
        <f>IFERROR(IF('[1]G_Fall-back'!H878 = "", "", '[1]G_Fall-back'!H878 ),"")</f>
        <v/>
      </c>
      <c r="I6609" s="101" t="str">
        <f>IFERROR(IF('[1]G_Fall-back'!I878 = "", "", '[1]G_Fall-back'!I878 ),"")</f>
        <v/>
      </c>
      <c r="J6609" s="101" t="str">
        <f>IFERROR(IF('[1]G_Fall-back'!J878 = "", "", '[1]G_Fall-back'!J878 ),"")</f>
        <v/>
      </c>
      <c r="K6609" s="101" t="str">
        <f>IFERROR(IF('[1]G_Fall-back'!K878 = "", "", '[1]G_Fall-back'!K878 ),"")</f>
        <v/>
      </c>
      <c r="L6609" s="101" t="str">
        <f>IFERROR(IF('[1]G_Fall-back'!L878 = "", "", '[1]G_Fall-back'!L878 ),"")</f>
        <v/>
      </c>
      <c r="M6609" s="101" t="str">
        <f>IFERROR(IF('[1]G_Fall-back'!M878 = "", "", '[1]G_Fall-back'!M878 ),"")</f>
        <v/>
      </c>
      <c r="N6609" s="361" t="str">
        <f>IFERROR(IF('[1]G_Fall-back'!N878 = "", "", '[1]G_Fall-back'!N878 ),"")</f>
        <v/>
      </c>
    </row>
    <row r="6610" spans="3:14">
      <c r="C6610" s="484"/>
      <c r="D6610" s="584">
        <v>10</v>
      </c>
      <c r="E6610" s="2777" t="str">
        <f>IFERROR(IF('[1]G_Fall-back'!E879 = "", "", '[1]G_Fall-back'!E879 ),"")</f>
        <v/>
      </c>
      <c r="F6610" s="2706"/>
      <c r="G6610" s="73" t="str">
        <f>IFERROR(IF('[1]G_Fall-back'!G879 = "", "", '[1]G_Fall-back'!G879 ),"")</f>
        <v/>
      </c>
      <c r="H6610" s="95" t="str">
        <f>IFERROR(IF('[1]G_Fall-back'!H879 = "", "", '[1]G_Fall-back'!H879 ),"")</f>
        <v/>
      </c>
      <c r="I6610" s="95" t="str">
        <f>IFERROR(IF('[1]G_Fall-back'!I879 = "", "", '[1]G_Fall-back'!I879 ),"")</f>
        <v/>
      </c>
      <c r="J6610" s="95" t="str">
        <f>IFERROR(IF('[1]G_Fall-back'!J879 = "", "", '[1]G_Fall-back'!J879 ),"")</f>
        <v/>
      </c>
      <c r="K6610" s="95" t="str">
        <f>IFERROR(IF('[1]G_Fall-back'!K879 = "", "", '[1]G_Fall-back'!K879 ),"")</f>
        <v/>
      </c>
      <c r="L6610" s="95" t="str">
        <f>IFERROR(IF('[1]G_Fall-back'!L879 = "", "", '[1]G_Fall-back'!L879 ),"")</f>
        <v/>
      </c>
      <c r="M6610" s="95" t="str">
        <f>IFERROR(IF('[1]G_Fall-back'!M879 = "", "", '[1]G_Fall-back'!M879 ),"")</f>
        <v/>
      </c>
      <c r="N6610" s="113" t="str">
        <f>IFERROR(IF('[1]G_Fall-back'!N879 = "", "", '[1]G_Fall-back'!N879 ),"")</f>
        <v/>
      </c>
    </row>
    <row r="6611" spans="3:14">
      <c r="C6611" s="485"/>
      <c r="D6611" s="971"/>
      <c r="E6611" s="2778" t="s">
        <v>921</v>
      </c>
      <c r="F6611" s="2410"/>
      <c r="G6611" s="73" t="str">
        <f>IFERROR(IF('[1]G_Fall-back'!G880 = "", "", '[1]G_Fall-back'!G880 ),"")</f>
        <v/>
      </c>
      <c r="H6611" s="86" t="str">
        <f>IFERROR(IF('[1]G_Fall-back'!H880 = "", "", '[1]G_Fall-back'!H880 ),"")</f>
        <v/>
      </c>
      <c r="I6611" s="86" t="str">
        <f>IFERROR(IF('[1]G_Fall-back'!I880 = "", "", '[1]G_Fall-back'!I880 ),"")</f>
        <v/>
      </c>
      <c r="J6611" s="86" t="str">
        <f>IFERROR(IF('[1]G_Fall-back'!J880 = "", "", '[1]G_Fall-back'!J880 ),"")</f>
        <v/>
      </c>
      <c r="K6611" s="86" t="str">
        <f>IFERROR(IF('[1]G_Fall-back'!K880 = "", "", '[1]G_Fall-back'!K880 ),"")</f>
        <v/>
      </c>
      <c r="L6611" s="86" t="str">
        <f>IFERROR(IF('[1]G_Fall-back'!L880 = "", "", '[1]G_Fall-back'!L880 ),"")</f>
        <v/>
      </c>
      <c r="M6611" s="86" t="str">
        <f>IFERROR(IF('[1]G_Fall-back'!M880 = "", "", '[1]G_Fall-back'!M880 ),"")</f>
        <v/>
      </c>
      <c r="N6611" s="340" t="str">
        <f>IFERROR(IF('[1]G_Fall-back'!N880 = "", "", '[1]G_Fall-back'!N880 ),"")</f>
        <v/>
      </c>
    </row>
    <row r="6612" spans="3:14" ht="13.5" thickBot="1">
      <c r="C6612" s="485"/>
      <c r="D6612" s="485"/>
      <c r="E6612" s="485"/>
      <c r="F6612" s="485"/>
      <c r="G6612" s="485"/>
      <c r="H6612" s="485"/>
      <c r="I6612" s="485"/>
      <c r="J6612" s="485"/>
      <c r="K6612" s="485"/>
      <c r="L6612" s="485"/>
      <c r="M6612" s="485"/>
      <c r="N6612" s="485"/>
    </row>
    <row r="6613" spans="3:14" ht="13.5" thickBot="1">
      <c r="C6613" s="686"/>
      <c r="D6613" s="686"/>
      <c r="E6613" s="686"/>
      <c r="F6613" s="686"/>
      <c r="G6613" s="686"/>
      <c r="H6613" s="686"/>
      <c r="I6613" s="686"/>
      <c r="J6613" s="686"/>
      <c r="K6613" s="686"/>
      <c r="L6613" s="686"/>
      <c r="M6613" s="686"/>
      <c r="N6613" s="686"/>
    </row>
    <row r="6614" spans="3:14" ht="15.75" thickBot="1">
      <c r="C6614" s="559">
        <v>7</v>
      </c>
      <c r="D6614" s="2482" t="s">
        <v>2170</v>
      </c>
      <c r="E6614" s="2400"/>
      <c r="F6614" s="2400"/>
      <c r="G6614" s="2400"/>
      <c r="H6614" s="2585"/>
      <c r="I6614" s="2489" t="str">
        <f>IFERROR(IF('[1]G_Fall-back'!I883 = "", "", '[1]G_Fall-back'!I883 ),"")</f>
        <v>Process emissions sub-installation, non-CL</v>
      </c>
      <c r="J6614" s="2534"/>
      <c r="K6614" s="2534"/>
      <c r="L6614" s="2681"/>
      <c r="M6614" s="2476" t="str">
        <f>IFERROR(IF('[1]G_Fall-back'!M883 = "", "", '[1]G_Fall-back'!M883 ),"")</f>
        <v/>
      </c>
      <c r="N6614" s="2477"/>
    </row>
    <row r="6615" spans="3:14">
      <c r="C6615" s="485"/>
      <c r="D6615" s="485"/>
      <c r="E6615" s="485"/>
      <c r="F6615" s="485"/>
      <c r="G6615" s="485"/>
      <c r="H6615" s="484"/>
      <c r="I6615" s="2716" t="s">
        <v>1857</v>
      </c>
      <c r="J6615" s="2717"/>
      <c r="K6615" s="2717"/>
      <c r="L6615" s="2717"/>
      <c r="M6615" s="2718"/>
      <c r="N6615" s="2719"/>
    </row>
    <row r="6616" spans="3:14">
      <c r="C6616" s="467"/>
      <c r="D6616" s="485"/>
      <c r="E6616" s="2465" t="s">
        <v>1197</v>
      </c>
      <c r="F6616" s="2400"/>
      <c r="G6616" s="2400"/>
      <c r="H6616" s="2400"/>
      <c r="I6616" s="2400"/>
      <c r="J6616" s="2400"/>
      <c r="K6616" s="2400"/>
      <c r="L6616" s="2400"/>
      <c r="M6616" s="2400"/>
      <c r="N6616" s="2400"/>
    </row>
    <row r="6617" spans="3:14">
      <c r="C6617" s="467"/>
      <c r="D6617" s="467"/>
      <c r="E6617" s="467"/>
      <c r="F6617" s="467"/>
      <c r="G6617" s="467"/>
      <c r="H6617" s="467"/>
      <c r="I6617" s="467"/>
      <c r="J6617" s="467"/>
      <c r="K6617" s="467"/>
      <c r="L6617" s="467"/>
      <c r="M6617" s="481"/>
      <c r="N6617" s="481"/>
    </row>
    <row r="6618" spans="3:14">
      <c r="C6618" s="482"/>
      <c r="D6618" s="482" t="s">
        <v>400</v>
      </c>
      <c r="E6618" s="2373" t="s">
        <v>1930</v>
      </c>
      <c r="F6618" s="2400"/>
      <c r="G6618" s="2400"/>
      <c r="H6618" s="2400"/>
      <c r="I6618" s="2400"/>
      <c r="J6618" s="2400"/>
      <c r="K6618" s="2400"/>
      <c r="L6618" s="2400"/>
      <c r="M6618" s="2400"/>
      <c r="N6618" s="2400"/>
    </row>
    <row r="6619" spans="3:14">
      <c r="C6619" s="485"/>
      <c r="D6619" s="485"/>
      <c r="E6619" s="2764" t="s">
        <v>1484</v>
      </c>
      <c r="F6619" s="2764"/>
      <c r="G6619" s="2764"/>
      <c r="H6619" s="2764"/>
      <c r="I6619" s="2764"/>
      <c r="J6619" s="2764"/>
      <c r="K6619" s="2764"/>
      <c r="L6619" s="2764"/>
      <c r="M6619" s="2764"/>
      <c r="N6619" s="2764"/>
    </row>
    <row r="6620" spans="3:14">
      <c r="C6620" s="482"/>
      <c r="D6620" s="482"/>
      <c r="E6620" s="1070" t="s">
        <v>920</v>
      </c>
      <c r="F6620" s="1071"/>
      <c r="G6620" s="1072" t="s">
        <v>884</v>
      </c>
      <c r="H6620" s="1073">
        <v>2019</v>
      </c>
      <c r="I6620" s="1074">
        <v>2020</v>
      </c>
      <c r="J6620" s="1075">
        <v>2021</v>
      </c>
      <c r="K6620" s="1073">
        <v>2022</v>
      </c>
      <c r="L6620" s="1073">
        <v>2023</v>
      </c>
      <c r="M6620" s="1073">
        <v>2024</v>
      </c>
      <c r="N6620" s="1076">
        <v>2025</v>
      </c>
    </row>
    <row r="6621" spans="3:14">
      <c r="C6621" s="485"/>
      <c r="D6621" s="561" t="s">
        <v>6</v>
      </c>
      <c r="E6621" s="2696" t="str">
        <f>IFERROR(IF('[1]G_Fall-back'!E890 = "", "", '[1]G_Fall-back'!E890 ),"")</f>
        <v>Process emissions sub-installation, non-CL</v>
      </c>
      <c r="F6621" s="2696"/>
      <c r="G6621" s="74" t="str">
        <f>IFERROR(IF('[1]G_Fall-back'!G890 = "", "", '[1]G_Fall-back'!G890 ),"")</f>
        <v>t CO2e</v>
      </c>
      <c r="H6621" s="93" t="str">
        <f>IFERROR(IF('[1]G_Fall-back'!H890 = "", "", '[1]G_Fall-back'!H890 ),"")</f>
        <v/>
      </c>
      <c r="I6621" s="116" t="str">
        <f>IFERROR(IF('[1]G_Fall-back'!I890 = "", "", '[1]G_Fall-back'!I890 ),"")</f>
        <v/>
      </c>
      <c r="J6621" s="117" t="str">
        <f>IFERROR(IF('[1]G_Fall-back'!J890 = "", "", '[1]G_Fall-back'!J890 ),"")</f>
        <v/>
      </c>
      <c r="K6621" s="93" t="str">
        <f>IFERROR(IF('[1]G_Fall-back'!K890 = "", "", '[1]G_Fall-back'!K890 ),"")</f>
        <v/>
      </c>
      <c r="L6621" s="93" t="str">
        <f>IFERROR(IF('[1]G_Fall-back'!L890 = "", "", '[1]G_Fall-back'!L890 ),"")</f>
        <v/>
      </c>
      <c r="M6621" s="93" t="str">
        <f>IFERROR(IF('[1]G_Fall-back'!M890 = "", "", '[1]G_Fall-back'!M890 ),"")</f>
        <v/>
      </c>
      <c r="N6621" s="93" t="str">
        <f>IFERROR(IF('[1]G_Fall-back'!N890 = "", "", '[1]G_Fall-back'!N890 ),"")</f>
        <v/>
      </c>
    </row>
    <row r="6622" spans="3:14">
      <c r="C6622" s="479"/>
      <c r="D6622" s="485"/>
      <c r="E6622" s="485"/>
      <c r="F6622" s="485"/>
      <c r="G6622" s="485"/>
      <c r="H6622" s="485"/>
      <c r="I6622" s="485"/>
      <c r="J6622" s="485"/>
      <c r="K6622" s="485"/>
      <c r="L6622" s="485"/>
      <c r="M6622" s="485"/>
      <c r="N6622" s="485"/>
    </row>
    <row r="6623" spans="3:14">
      <c r="C6623" s="479"/>
      <c r="D6623" s="485"/>
      <c r="E6623" s="2465" t="s">
        <v>2715</v>
      </c>
      <c r="F6623" s="2400"/>
      <c r="G6623" s="2400"/>
      <c r="H6623" s="2400"/>
      <c r="I6623" s="2400"/>
      <c r="J6623" s="2400"/>
      <c r="K6623" s="2400"/>
      <c r="L6623" s="2400"/>
      <c r="M6623" s="2400"/>
      <c r="N6623" s="2400"/>
    </row>
    <row r="6624" spans="3:14">
      <c r="C6624" s="479"/>
      <c r="D6624" s="485"/>
      <c r="E6624" s="901" t="s">
        <v>1021</v>
      </c>
      <c r="F6624" s="2651" t="s">
        <v>2711</v>
      </c>
      <c r="G6624" s="2584"/>
      <c r="H6624" s="2584"/>
      <c r="I6624" s="2584"/>
      <c r="J6624" s="2584"/>
      <c r="K6624" s="2584"/>
      <c r="L6624" s="2584"/>
      <c r="M6624" s="2584"/>
      <c r="N6624" s="2584"/>
    </row>
    <row r="6625" spans="3:14">
      <c r="C6625" s="479"/>
      <c r="D6625" s="485"/>
      <c r="E6625" s="901" t="s">
        <v>1021</v>
      </c>
      <c r="F6625" s="2651" t="s">
        <v>1985</v>
      </c>
      <c r="G6625" s="2584"/>
      <c r="H6625" s="2584"/>
      <c r="I6625" s="2584"/>
      <c r="J6625" s="2584"/>
      <c r="K6625" s="2584"/>
      <c r="L6625" s="2584"/>
      <c r="M6625" s="2584"/>
      <c r="N6625" s="2584"/>
    </row>
    <row r="6626" spans="3:14" ht="13.5" thickBot="1">
      <c r="C6626" s="479"/>
      <c r="D6626" s="485"/>
      <c r="E6626" s="901" t="s">
        <v>1021</v>
      </c>
      <c r="F6626" s="2651" t="s">
        <v>2251</v>
      </c>
      <c r="G6626" s="2584"/>
      <c r="H6626" s="2584"/>
      <c r="I6626" s="2584"/>
      <c r="J6626" s="2584"/>
      <c r="K6626" s="2584"/>
      <c r="L6626" s="2584"/>
      <c r="M6626" s="2584"/>
      <c r="N6626" s="2584"/>
    </row>
    <row r="6627" spans="3:14">
      <c r="C6627" s="479"/>
      <c r="D6627" s="902"/>
      <c r="E6627" s="903"/>
      <c r="F6627" s="904"/>
      <c r="G6627" s="905"/>
      <c r="H6627" s="905"/>
      <c r="I6627" s="905"/>
      <c r="J6627" s="905"/>
      <c r="K6627" s="905"/>
      <c r="L6627" s="905"/>
      <c r="M6627" s="905"/>
      <c r="N6627" s="906"/>
    </row>
    <row r="6628" spans="3:14">
      <c r="C6628" s="479"/>
      <c r="D6628" s="918"/>
      <c r="E6628" s="908" t="s">
        <v>1652</v>
      </c>
      <c r="F6628" s="909"/>
      <c r="G6628" s="909"/>
      <c r="H6628" s="910" t="s">
        <v>884</v>
      </c>
      <c r="I6628" s="911" t="s">
        <v>2212</v>
      </c>
      <c r="J6628" s="912">
        <v>2021</v>
      </c>
      <c r="K6628" s="913">
        <v>2022</v>
      </c>
      <c r="L6628" s="913">
        <v>2023</v>
      </c>
      <c r="M6628" s="913">
        <v>2024</v>
      </c>
      <c r="N6628" s="914">
        <v>2025</v>
      </c>
    </row>
    <row r="6629" spans="3:14">
      <c r="C6629" s="479"/>
      <c r="D6629" s="915" t="s">
        <v>7</v>
      </c>
      <c r="E6629" s="916" t="s">
        <v>1976</v>
      </c>
      <c r="F6629" s="916"/>
      <c r="G6629" s="916"/>
      <c r="H6629" s="944" t="s">
        <v>284</v>
      </c>
      <c r="I6629" s="235" t="str">
        <f>IFERROR(IF('[1]G_Fall-back'!I898 = "", "", '[1]G_Fall-back'!I898 ),"")</f>
        <v/>
      </c>
      <c r="J6629" s="388" t="str">
        <f>IFERROR(IF('[1]G_Fall-back'!J898 = "", "", '[1]G_Fall-back'!J898 ),"")</f>
        <v/>
      </c>
      <c r="K6629" s="389" t="str">
        <f>IFERROR(IF('[1]G_Fall-back'!K898 = "", "", '[1]G_Fall-back'!K898 ),"")</f>
        <v/>
      </c>
      <c r="L6629" s="389" t="str">
        <f>IFERROR(IF('[1]G_Fall-back'!L898 = "", "", '[1]G_Fall-back'!L898 ),"")</f>
        <v/>
      </c>
      <c r="M6629" s="389" t="str">
        <f>IFERROR(IF('[1]G_Fall-back'!M898 = "", "", '[1]G_Fall-back'!M898 ),"")</f>
        <v/>
      </c>
      <c r="N6629" s="390" t="str">
        <f>IFERROR(IF('[1]G_Fall-back'!N898 = "", "", '[1]G_Fall-back'!N898 ),"")</f>
        <v/>
      </c>
    </row>
    <row r="6630" spans="3:14">
      <c r="C6630" s="479"/>
      <c r="D6630" s="915"/>
      <c r="E6630" s="916" t="s">
        <v>1648</v>
      </c>
      <c r="F6630" s="916"/>
      <c r="G6630" s="916"/>
      <c r="H6630" s="921"/>
      <c r="I6630" s="916"/>
      <c r="J6630" s="319" t="str">
        <f>IFERROR(IF('[1]G_Fall-back'!J899 = "", "", '[1]G_Fall-back'!J899 ),"")</f>
        <v/>
      </c>
      <c r="K6630" s="320" t="str">
        <f>IFERROR(IF('[1]G_Fall-back'!K899 = "", "", '[1]G_Fall-back'!K899 ),"")</f>
        <v/>
      </c>
      <c r="L6630" s="320" t="str">
        <f>IFERROR(IF('[1]G_Fall-back'!L899 = "", "", '[1]G_Fall-back'!L899 ),"")</f>
        <v/>
      </c>
      <c r="M6630" s="320" t="str">
        <f>IFERROR(IF('[1]G_Fall-back'!M899 = "", "", '[1]G_Fall-back'!M899 ),"")</f>
        <v/>
      </c>
      <c r="N6630" s="321" t="str">
        <f>IFERROR(IF('[1]G_Fall-back'!N899 = "", "", '[1]G_Fall-back'!N899 ),"")</f>
        <v/>
      </c>
    </row>
    <row r="6631" spans="3:14">
      <c r="C6631" s="479"/>
      <c r="D6631" s="915" t="s">
        <v>8</v>
      </c>
      <c r="E6631" s="916" t="s">
        <v>1654</v>
      </c>
      <c r="F6631" s="916"/>
      <c r="G6631" s="916"/>
      <c r="H6631" s="921"/>
      <c r="I6631" s="916"/>
      <c r="J6631" s="288" t="str">
        <f>IFERROR(IF('[1]G_Fall-back'!J900 = "", "", '[1]G_Fall-back'!J900 ),"")</f>
        <v/>
      </c>
      <c r="K6631" s="289" t="str">
        <f>IFERROR(IF('[1]G_Fall-back'!K900 = "", "", '[1]G_Fall-back'!K900 ),"")</f>
        <v/>
      </c>
      <c r="L6631" s="289" t="str">
        <f>IFERROR(IF('[1]G_Fall-back'!L900 = "", "", '[1]G_Fall-back'!L900 ),"")</f>
        <v/>
      </c>
      <c r="M6631" s="289" t="str">
        <f>IFERROR(IF('[1]G_Fall-back'!M900 = "", "", '[1]G_Fall-back'!M900 ),"")</f>
        <v/>
      </c>
      <c r="N6631" s="290" t="str">
        <f>IFERROR(IF('[1]G_Fall-back'!N900 = "", "", '[1]G_Fall-back'!N900 ),"")</f>
        <v/>
      </c>
    </row>
    <row r="6632" spans="3:14">
      <c r="C6632" s="479"/>
      <c r="D6632" s="915" t="s">
        <v>18</v>
      </c>
      <c r="E6632" s="916" t="s">
        <v>1647</v>
      </c>
      <c r="F6632" s="916"/>
      <c r="G6632" s="916"/>
      <c r="H6632" s="944" t="s">
        <v>284</v>
      </c>
      <c r="I6632" s="235" t="str">
        <f>IFERROR(IF('[1]G_Fall-back'!I901 = "", "", '[1]G_Fall-back'!I901 ),"")</f>
        <v/>
      </c>
      <c r="J6632" s="388" t="str">
        <f>IFERROR(IF('[1]G_Fall-back'!J901 = "", "", '[1]G_Fall-back'!J901 ),"")</f>
        <v/>
      </c>
      <c r="K6632" s="389" t="str">
        <f>IFERROR(IF('[1]G_Fall-back'!K901 = "", "", '[1]G_Fall-back'!K901 ),"")</f>
        <v/>
      </c>
      <c r="L6632" s="389" t="str">
        <f>IFERROR(IF('[1]G_Fall-back'!L901 = "", "", '[1]G_Fall-back'!L901 ),"")</f>
        <v/>
      </c>
      <c r="M6632" s="389" t="str">
        <f>IFERROR(IF('[1]G_Fall-back'!M901 = "", "", '[1]G_Fall-back'!M901 ),"")</f>
        <v/>
      </c>
      <c r="N6632" s="390" t="str">
        <f>IFERROR(IF('[1]G_Fall-back'!N901 = "", "", '[1]G_Fall-back'!N901 ),"")</f>
        <v/>
      </c>
    </row>
    <row r="6633" spans="3:14">
      <c r="C6633" s="479"/>
      <c r="D6633" s="918"/>
      <c r="E6633" s="909"/>
      <c r="F6633" s="909"/>
      <c r="G6633" s="909"/>
      <c r="H6633" s="909"/>
      <c r="I6633" s="909"/>
      <c r="J6633" s="909"/>
      <c r="K6633" s="909"/>
      <c r="L6633" s="909"/>
      <c r="M6633" s="909"/>
      <c r="N6633" s="922"/>
    </row>
    <row r="6634" spans="3:14">
      <c r="C6634" s="479"/>
      <c r="D6634" s="918"/>
      <c r="E6634" s="923" t="s">
        <v>1653</v>
      </c>
      <c r="F6634" s="923"/>
      <c r="G6634" s="923"/>
      <c r="H6634" s="923"/>
      <c r="I6634" s="923"/>
      <c r="J6634" s="912">
        <v>2021</v>
      </c>
      <c r="K6634" s="913">
        <v>2022</v>
      </c>
      <c r="L6634" s="913">
        <v>2023</v>
      </c>
      <c r="M6634" s="913">
        <v>2024</v>
      </c>
      <c r="N6634" s="914">
        <v>2025</v>
      </c>
    </row>
    <row r="6635" spans="3:14">
      <c r="C6635" s="479"/>
      <c r="D6635" s="915" t="s">
        <v>8</v>
      </c>
      <c r="E6635" s="916" t="s">
        <v>2108</v>
      </c>
      <c r="F6635" s="916"/>
      <c r="G6635" s="916"/>
      <c r="H6635" s="916"/>
      <c r="I6635" s="916"/>
      <c r="J6635" s="69" t="str">
        <f>IFERROR(IF('[1]G_Fall-back'!J904 = "", "", '[1]G_Fall-back'!J904 ),"")</f>
        <v/>
      </c>
      <c r="K6635" s="62" t="str">
        <f>IFERROR(IF('[1]G_Fall-back'!K904 = "", "", '[1]G_Fall-back'!K904 ),"")</f>
        <v/>
      </c>
      <c r="L6635" s="62" t="str">
        <f>IFERROR(IF('[1]G_Fall-back'!L904 = "", "", '[1]G_Fall-back'!L904 ),"")</f>
        <v/>
      </c>
      <c r="M6635" s="62" t="str">
        <f>IFERROR(IF('[1]G_Fall-back'!M904 = "", "", '[1]G_Fall-back'!M904 ),"")</f>
        <v/>
      </c>
      <c r="N6635" s="70" t="str">
        <f>IFERROR(IF('[1]G_Fall-back'!N904 = "", "", '[1]G_Fall-back'!N904 ),"")</f>
        <v/>
      </c>
    </row>
    <row r="6636" spans="3:14" ht="13.5" thickBot="1">
      <c r="C6636" s="479"/>
      <c r="D6636" s="918"/>
      <c r="E6636" s="909"/>
      <c r="F6636" s="909"/>
      <c r="G6636" s="909"/>
      <c r="H6636" s="909"/>
      <c r="I6636" s="909"/>
      <c r="J6636" s="909"/>
      <c r="K6636" s="909"/>
      <c r="L6636" s="909"/>
      <c r="M6636" s="909"/>
      <c r="N6636" s="922"/>
    </row>
    <row r="6637" spans="3:14" ht="13.5" thickBot="1">
      <c r="C6637" s="479"/>
      <c r="D6637" s="915" t="s">
        <v>18</v>
      </c>
      <c r="E6637" s="916" t="s">
        <v>1657</v>
      </c>
      <c r="F6637" s="916"/>
      <c r="G6637" s="916"/>
      <c r="H6637" s="921"/>
      <c r="I6637" s="916"/>
      <c r="J6637" s="291" t="str">
        <f>IFERROR(IF('[1]G_Fall-back'!J906 = "", "", '[1]G_Fall-back'!J906 ),"")</f>
        <v/>
      </c>
      <c r="K6637" s="292" t="str">
        <f>IFERROR(IF('[1]G_Fall-back'!K906 = "", "", '[1]G_Fall-back'!K906 ),"")</f>
        <v/>
      </c>
      <c r="L6637" s="292" t="str">
        <f>IFERROR(IF('[1]G_Fall-back'!L906 = "", "", '[1]G_Fall-back'!L906 ),"")</f>
        <v/>
      </c>
      <c r="M6637" s="292" t="str">
        <f>IFERROR(IF('[1]G_Fall-back'!M906 = "", "", '[1]G_Fall-back'!M906 ),"")</f>
        <v/>
      </c>
      <c r="N6637" s="293" t="str">
        <f>IFERROR(IF('[1]G_Fall-back'!N906 = "", "", '[1]G_Fall-back'!N906 ),"")</f>
        <v/>
      </c>
    </row>
    <row r="6638" spans="3:14" ht="13.5" thickBot="1">
      <c r="C6638" s="479"/>
      <c r="D6638" s="915" t="s">
        <v>787</v>
      </c>
      <c r="E6638" s="916" t="s">
        <v>1659</v>
      </c>
      <c r="F6638" s="916"/>
      <c r="G6638" s="916"/>
      <c r="H6638" s="63" t="str">
        <f>IFERROR(IF('[1]G_Fall-back'!H907 = "", "", '[1]G_Fall-back'!H907 ),"")</f>
        <v>t CO2e</v>
      </c>
      <c r="I6638" s="281" t="str">
        <f>IFERROR(IF('[1]G_Fall-back'!I907 = "", "", '[1]G_Fall-back'!I907 ),"")</f>
        <v/>
      </c>
      <c r="J6638" s="294" t="str">
        <f>IFERROR(IF('[1]G_Fall-back'!J907 = "", "", '[1]G_Fall-back'!J907 ),"")</f>
        <v/>
      </c>
      <c r="K6638" s="295" t="str">
        <f>IFERROR(IF('[1]G_Fall-back'!K907 = "", "", '[1]G_Fall-back'!K907 ),"")</f>
        <v/>
      </c>
      <c r="L6638" s="295" t="str">
        <f>IFERROR(IF('[1]G_Fall-back'!L907 = "", "", '[1]G_Fall-back'!L907 ),"")</f>
        <v/>
      </c>
      <c r="M6638" s="295" t="str">
        <f>IFERROR(IF('[1]G_Fall-back'!M907 = "", "", '[1]G_Fall-back'!M907 ),"")</f>
        <v/>
      </c>
      <c r="N6638" s="296" t="str">
        <f>IFERROR(IF('[1]G_Fall-back'!N907 = "", "", '[1]G_Fall-back'!N907 ),"")</f>
        <v/>
      </c>
    </row>
    <row r="6639" spans="3:14" ht="13.5" thickBot="1">
      <c r="C6639" s="479"/>
      <c r="D6639" s="924"/>
      <c r="E6639" s="925"/>
      <c r="F6639" s="925"/>
      <c r="G6639" s="925"/>
      <c r="H6639" s="925"/>
      <c r="I6639" s="925"/>
      <c r="J6639" s="925"/>
      <c r="K6639" s="925"/>
      <c r="L6639" s="925"/>
      <c r="M6639" s="925"/>
      <c r="N6639" s="926"/>
    </row>
    <row r="6640" spans="3:14">
      <c r="C6640" s="467"/>
      <c r="D6640" s="467"/>
      <c r="E6640" s="467"/>
      <c r="F6640" s="467"/>
      <c r="G6640" s="467"/>
      <c r="H6640" s="467"/>
      <c r="I6640" s="467"/>
      <c r="J6640" s="467"/>
      <c r="K6640" s="467"/>
      <c r="L6640" s="467"/>
      <c r="M6640" s="467"/>
      <c r="N6640" s="467"/>
    </row>
    <row r="6641" spans="3:14" ht="15">
      <c r="C6641" s="1025"/>
      <c r="D6641" s="2482" t="s">
        <v>103</v>
      </c>
      <c r="E6641" s="2400"/>
      <c r="F6641" s="2400"/>
      <c r="G6641" s="2400"/>
      <c r="H6641" s="2400"/>
      <c r="I6641" s="2400"/>
      <c r="J6641" s="2400"/>
      <c r="K6641" s="2400"/>
      <c r="L6641" s="2400"/>
      <c r="M6641" s="2400"/>
      <c r="N6641" s="2400"/>
    </row>
    <row r="6642" spans="3:14">
      <c r="C6642" s="467"/>
      <c r="D6642" s="467"/>
      <c r="E6642" s="467"/>
      <c r="F6642" s="467"/>
      <c r="G6642" s="467"/>
      <c r="H6642" s="467"/>
      <c r="I6642" s="467"/>
      <c r="J6642" s="467"/>
      <c r="K6642" s="467"/>
      <c r="L6642" s="467"/>
      <c r="M6642" s="467"/>
      <c r="N6642" s="467"/>
    </row>
    <row r="6643" spans="3:14">
      <c r="C6643" s="482"/>
      <c r="D6643" s="482" t="s">
        <v>876</v>
      </c>
      <c r="E6643" s="2373" t="s">
        <v>298</v>
      </c>
      <c r="F6643" s="2400"/>
      <c r="G6643" s="2400"/>
      <c r="H6643" s="2400"/>
      <c r="I6643" s="2400"/>
      <c r="J6643" s="2400"/>
      <c r="K6643" s="2400"/>
      <c r="L6643" s="2400"/>
      <c r="M6643" s="2400"/>
      <c r="N6643" s="2400"/>
    </row>
    <row r="6644" spans="3:14">
      <c r="C6644" s="467"/>
      <c r="D6644" s="485"/>
      <c r="E6644" s="2465" t="s">
        <v>950</v>
      </c>
      <c r="F6644" s="2400"/>
      <c r="G6644" s="2400"/>
      <c r="H6644" s="2400"/>
      <c r="I6644" s="2400"/>
      <c r="J6644" s="2400"/>
      <c r="K6644" s="2400"/>
      <c r="L6644" s="2400"/>
      <c r="M6644" s="2400"/>
      <c r="N6644" s="2400"/>
    </row>
    <row r="6645" spans="3:14">
      <c r="C6645" s="467"/>
      <c r="D6645" s="467"/>
      <c r="E6645" s="467"/>
      <c r="F6645" s="467"/>
      <c r="G6645" s="467"/>
      <c r="H6645" s="467"/>
      <c r="I6645" s="467"/>
      <c r="J6645" s="467"/>
      <c r="K6645" s="467"/>
      <c r="L6645" s="467"/>
      <c r="M6645" s="467"/>
      <c r="N6645" s="467"/>
    </row>
    <row r="6646" spans="3:14" ht="25.5">
      <c r="C6646" s="485"/>
      <c r="D6646" s="956"/>
      <c r="E6646" s="1077" t="s">
        <v>951</v>
      </c>
      <c r="F6646" s="636"/>
      <c r="G6646" s="1078"/>
      <c r="H6646" s="2758" t="s">
        <v>28</v>
      </c>
      <c r="I6646" s="2508"/>
      <c r="J6646" s="2508"/>
      <c r="K6646" s="2508"/>
      <c r="L6646" s="2580"/>
      <c r="M6646" s="1069" t="s">
        <v>2112</v>
      </c>
      <c r="N6646" s="485"/>
    </row>
    <row r="6647" spans="3:14">
      <c r="C6647" s="485"/>
      <c r="D6647" s="579">
        <v>1</v>
      </c>
      <c r="E6647" s="2765" t="str">
        <f>IFERROR(IF('[1]G_Fall-back'!E916 = "", "", '[1]G_Fall-back'!E916 ),"")</f>
        <v/>
      </c>
      <c r="F6647" s="2766"/>
      <c r="G6647" s="2767"/>
      <c r="H6647" s="2759" t="str">
        <f>IFERROR(IF('[1]G_Fall-back'!H916 = "", "", '[1]G_Fall-back'!H916 ),"")</f>
        <v/>
      </c>
      <c r="I6647" s="2599"/>
      <c r="J6647" s="2599"/>
      <c r="K6647" s="2599"/>
      <c r="L6647" s="2617"/>
      <c r="M6647" s="391" t="str">
        <f>IFERROR(IF('[1]G_Fall-back'!M916 = "", "", '[1]G_Fall-back'!M916 ),"")</f>
        <v/>
      </c>
      <c r="N6647" s="485"/>
    </row>
    <row r="6648" spans="3:14">
      <c r="C6648" s="485"/>
      <c r="D6648" s="582">
        <v>2</v>
      </c>
      <c r="E6648" s="2768" t="str">
        <f>IFERROR(IF('[1]G_Fall-back'!E917 = "", "", '[1]G_Fall-back'!E917 ),"")</f>
        <v/>
      </c>
      <c r="F6648" s="2769"/>
      <c r="G6648" s="2770"/>
      <c r="H6648" s="2730" t="str">
        <f>IFERROR(IF('[1]G_Fall-back'!H917 = "", "", '[1]G_Fall-back'!H917 ),"")</f>
        <v/>
      </c>
      <c r="I6648" s="2603"/>
      <c r="J6648" s="2603"/>
      <c r="K6648" s="2603"/>
      <c r="L6648" s="2620"/>
      <c r="M6648" s="392" t="str">
        <f>IFERROR(IF('[1]G_Fall-back'!M917 = "", "", '[1]G_Fall-back'!M917 ),"")</f>
        <v/>
      </c>
      <c r="N6648" s="485"/>
    </row>
    <row r="6649" spans="3:14">
      <c r="C6649" s="485"/>
      <c r="D6649" s="582">
        <v>3</v>
      </c>
      <c r="E6649" s="2768" t="str">
        <f>IFERROR(IF('[1]G_Fall-back'!E918 = "", "", '[1]G_Fall-back'!E918 ),"")</f>
        <v/>
      </c>
      <c r="F6649" s="2769"/>
      <c r="G6649" s="2770"/>
      <c r="H6649" s="2730" t="str">
        <f>IFERROR(IF('[1]G_Fall-back'!H918 = "", "", '[1]G_Fall-back'!H918 ),"")</f>
        <v/>
      </c>
      <c r="I6649" s="2603"/>
      <c r="J6649" s="2603"/>
      <c r="K6649" s="2603"/>
      <c r="L6649" s="2620"/>
      <c r="M6649" s="392" t="str">
        <f>IFERROR(IF('[1]G_Fall-back'!M918 = "", "", '[1]G_Fall-back'!M918 ),"")</f>
        <v/>
      </c>
      <c r="N6649" s="485"/>
    </row>
    <row r="6650" spans="3:14">
      <c r="C6650" s="485"/>
      <c r="D6650" s="582">
        <v>4</v>
      </c>
      <c r="E6650" s="2768" t="str">
        <f>IFERROR(IF('[1]G_Fall-back'!E919 = "", "", '[1]G_Fall-back'!E919 ),"")</f>
        <v/>
      </c>
      <c r="F6650" s="2769"/>
      <c r="G6650" s="2770"/>
      <c r="H6650" s="2730" t="str">
        <f>IFERROR(IF('[1]G_Fall-back'!H919 = "", "", '[1]G_Fall-back'!H919 ),"")</f>
        <v/>
      </c>
      <c r="I6650" s="2603"/>
      <c r="J6650" s="2603"/>
      <c r="K6650" s="2603"/>
      <c r="L6650" s="2620"/>
      <c r="M6650" s="392" t="str">
        <f>IFERROR(IF('[1]G_Fall-back'!M919 = "", "", '[1]G_Fall-back'!M919 ),"")</f>
        <v/>
      </c>
      <c r="N6650" s="485"/>
    </row>
    <row r="6651" spans="3:14">
      <c r="C6651" s="485"/>
      <c r="D6651" s="582">
        <v>5</v>
      </c>
      <c r="E6651" s="2768" t="str">
        <f>IFERROR(IF('[1]G_Fall-back'!E920 = "", "", '[1]G_Fall-back'!E920 ),"")</f>
        <v/>
      </c>
      <c r="F6651" s="2769"/>
      <c r="G6651" s="2770"/>
      <c r="H6651" s="2730" t="str">
        <f>IFERROR(IF('[1]G_Fall-back'!H920 = "", "", '[1]G_Fall-back'!H920 ),"")</f>
        <v/>
      </c>
      <c r="I6651" s="2603"/>
      <c r="J6651" s="2603"/>
      <c r="K6651" s="2603"/>
      <c r="L6651" s="2620"/>
      <c r="M6651" s="392" t="str">
        <f>IFERROR(IF('[1]G_Fall-back'!M920 = "", "", '[1]G_Fall-back'!M920 ),"")</f>
        <v/>
      </c>
      <c r="N6651" s="485"/>
    </row>
    <row r="6652" spans="3:14">
      <c r="C6652" s="485"/>
      <c r="D6652" s="582">
        <v>6</v>
      </c>
      <c r="E6652" s="2768" t="str">
        <f>IFERROR(IF('[1]G_Fall-back'!E921 = "", "", '[1]G_Fall-back'!E921 ),"")</f>
        <v/>
      </c>
      <c r="F6652" s="2769"/>
      <c r="G6652" s="2770"/>
      <c r="H6652" s="2730" t="str">
        <f>IFERROR(IF('[1]G_Fall-back'!H921 = "", "", '[1]G_Fall-back'!H921 ),"")</f>
        <v/>
      </c>
      <c r="I6652" s="2603"/>
      <c r="J6652" s="2603"/>
      <c r="K6652" s="2603"/>
      <c r="L6652" s="2620"/>
      <c r="M6652" s="392" t="str">
        <f>IFERROR(IF('[1]G_Fall-back'!M921 = "", "", '[1]G_Fall-back'!M921 ),"")</f>
        <v/>
      </c>
      <c r="N6652" s="485"/>
    </row>
    <row r="6653" spans="3:14">
      <c r="C6653" s="485"/>
      <c r="D6653" s="582">
        <v>7</v>
      </c>
      <c r="E6653" s="2768" t="str">
        <f>IFERROR(IF('[1]G_Fall-back'!E922 = "", "", '[1]G_Fall-back'!E922 ),"")</f>
        <v/>
      </c>
      <c r="F6653" s="2769"/>
      <c r="G6653" s="2770"/>
      <c r="H6653" s="2730" t="str">
        <f>IFERROR(IF('[1]G_Fall-back'!H922 = "", "", '[1]G_Fall-back'!H922 ),"")</f>
        <v/>
      </c>
      <c r="I6653" s="2603"/>
      <c r="J6653" s="2603"/>
      <c r="K6653" s="2603"/>
      <c r="L6653" s="2620"/>
      <c r="M6653" s="392" t="str">
        <f>IFERROR(IF('[1]G_Fall-back'!M922 = "", "", '[1]G_Fall-back'!M922 ),"")</f>
        <v/>
      </c>
      <c r="N6653" s="485"/>
    </row>
    <row r="6654" spans="3:14">
      <c r="C6654" s="485"/>
      <c r="D6654" s="582">
        <v>8</v>
      </c>
      <c r="E6654" s="2768" t="str">
        <f>IFERROR(IF('[1]G_Fall-back'!E923 = "", "", '[1]G_Fall-back'!E923 ),"")</f>
        <v/>
      </c>
      <c r="F6654" s="2769"/>
      <c r="G6654" s="2770"/>
      <c r="H6654" s="2730" t="str">
        <f>IFERROR(IF('[1]G_Fall-back'!H923 = "", "", '[1]G_Fall-back'!H923 ),"")</f>
        <v/>
      </c>
      <c r="I6654" s="2603"/>
      <c r="J6654" s="2603"/>
      <c r="K6654" s="2603"/>
      <c r="L6654" s="2620"/>
      <c r="M6654" s="392" t="str">
        <f>IFERROR(IF('[1]G_Fall-back'!M923 = "", "", '[1]G_Fall-back'!M923 ),"")</f>
        <v/>
      </c>
      <c r="N6654" s="485"/>
    </row>
    <row r="6655" spans="3:14">
      <c r="C6655" s="485"/>
      <c r="D6655" s="582">
        <v>9</v>
      </c>
      <c r="E6655" s="2768" t="str">
        <f>IFERROR(IF('[1]G_Fall-back'!E924 = "", "", '[1]G_Fall-back'!E924 ),"")</f>
        <v/>
      </c>
      <c r="F6655" s="2769"/>
      <c r="G6655" s="2770"/>
      <c r="H6655" s="2730" t="str">
        <f>IFERROR(IF('[1]G_Fall-back'!H924 = "", "", '[1]G_Fall-back'!H924 ),"")</f>
        <v/>
      </c>
      <c r="I6655" s="2603"/>
      <c r="J6655" s="2603"/>
      <c r="K6655" s="2603"/>
      <c r="L6655" s="2620"/>
      <c r="M6655" s="392" t="str">
        <f>IFERROR(IF('[1]G_Fall-back'!M924 = "", "", '[1]G_Fall-back'!M924 ),"")</f>
        <v/>
      </c>
      <c r="N6655" s="485"/>
    </row>
    <row r="6656" spans="3:14">
      <c r="C6656" s="485"/>
      <c r="D6656" s="584">
        <v>10</v>
      </c>
      <c r="E6656" s="2771" t="str">
        <f>IFERROR(IF('[1]G_Fall-back'!E925 = "", "", '[1]G_Fall-back'!E925 ),"")</f>
        <v/>
      </c>
      <c r="F6656" s="2772"/>
      <c r="G6656" s="2773"/>
      <c r="H6656" s="2733" t="str">
        <f>IFERROR(IF('[1]G_Fall-back'!H925 = "", "", '[1]G_Fall-back'!H925 ),"")</f>
        <v/>
      </c>
      <c r="I6656" s="2613"/>
      <c r="J6656" s="2613"/>
      <c r="K6656" s="2613"/>
      <c r="L6656" s="2627"/>
      <c r="M6656" s="393" t="str">
        <f>IFERROR(IF('[1]G_Fall-back'!M925 = "", "", '[1]G_Fall-back'!M925 ),"")</f>
        <v/>
      </c>
      <c r="N6656" s="485"/>
    </row>
    <row r="6657" spans="3:14">
      <c r="C6657" s="485"/>
      <c r="D6657" s="485"/>
      <c r="E6657" s="617"/>
      <c r="F6657" s="617"/>
      <c r="G6657" s="617"/>
      <c r="H6657" s="617"/>
      <c r="I6657" s="617"/>
      <c r="J6657" s="468"/>
      <c r="K6657" s="468"/>
      <c r="L6657" s="468"/>
      <c r="M6657" s="481"/>
      <c r="N6657" s="481"/>
    </row>
    <row r="6658" spans="3:14">
      <c r="C6658" s="482"/>
      <c r="D6658" s="482" t="s">
        <v>48</v>
      </c>
      <c r="E6658" s="2373" t="s">
        <v>1477</v>
      </c>
      <c r="F6658" s="2400"/>
      <c r="G6658" s="2400"/>
      <c r="H6658" s="2400"/>
      <c r="I6658" s="2400"/>
      <c r="J6658" s="2400"/>
      <c r="K6658" s="2400"/>
      <c r="L6658" s="2400"/>
      <c r="M6658" s="2400"/>
      <c r="N6658" s="2400"/>
    </row>
    <row r="6659" spans="3:14">
      <c r="C6659" s="467"/>
      <c r="D6659" s="467"/>
      <c r="E6659" s="467"/>
      <c r="F6659" s="467"/>
      <c r="G6659" s="467"/>
      <c r="H6659" s="467"/>
      <c r="I6659" s="467"/>
      <c r="J6659" s="467"/>
      <c r="K6659" s="467"/>
      <c r="L6659" s="467"/>
      <c r="M6659" s="467"/>
      <c r="N6659" s="481"/>
    </row>
    <row r="6660" spans="3:14">
      <c r="C6660" s="482"/>
      <c r="D6660" s="956"/>
      <c r="E6660" s="2758" t="s">
        <v>28</v>
      </c>
      <c r="F6660" s="2508"/>
      <c r="G6660" s="959" t="s">
        <v>884</v>
      </c>
      <c r="H6660" s="578">
        <v>2019</v>
      </c>
      <c r="I6660" s="578">
        <v>2020</v>
      </c>
      <c r="J6660" s="578">
        <v>2021</v>
      </c>
      <c r="K6660" s="578">
        <v>2022</v>
      </c>
      <c r="L6660" s="578">
        <v>2023</v>
      </c>
      <c r="M6660" s="578">
        <v>2024</v>
      </c>
      <c r="N6660" s="697">
        <v>2025</v>
      </c>
    </row>
    <row r="6661" spans="3:14">
      <c r="C6661" s="484"/>
      <c r="D6661" s="579">
        <v>1</v>
      </c>
      <c r="E6661" s="2774" t="str">
        <f>IFERROR(IF('[1]G_Fall-back'!E930 = "", "", '[1]G_Fall-back'!E930 ),"")</f>
        <v/>
      </c>
      <c r="F6661" s="2705"/>
      <c r="G6661" s="71" t="str">
        <f>IFERROR(IF('[1]G_Fall-back'!G930 = "", "", '[1]G_Fall-back'!G930 ),"")</f>
        <v/>
      </c>
      <c r="H6661" s="94" t="str">
        <f>IFERROR(IF('[1]G_Fall-back'!H930 = "", "", '[1]G_Fall-back'!H930 ),"")</f>
        <v/>
      </c>
      <c r="I6661" s="94" t="str">
        <f>IFERROR(IF('[1]G_Fall-back'!I930 = "", "", '[1]G_Fall-back'!I930 ),"")</f>
        <v/>
      </c>
      <c r="J6661" s="94" t="str">
        <f>IFERROR(IF('[1]G_Fall-back'!J930 = "", "", '[1]G_Fall-back'!J930 ),"")</f>
        <v/>
      </c>
      <c r="K6661" s="94" t="str">
        <f>IFERROR(IF('[1]G_Fall-back'!K930 = "", "", '[1]G_Fall-back'!K930 ),"")</f>
        <v/>
      </c>
      <c r="L6661" s="94" t="str">
        <f>IFERROR(IF('[1]G_Fall-back'!L930 = "", "", '[1]G_Fall-back'!L930 ),"")</f>
        <v/>
      </c>
      <c r="M6661" s="94" t="str">
        <f>IFERROR(IF('[1]G_Fall-back'!M930 = "", "", '[1]G_Fall-back'!M930 ),"")</f>
        <v/>
      </c>
      <c r="N6661" s="110" t="str">
        <f>IFERROR(IF('[1]G_Fall-back'!N930 = "", "", '[1]G_Fall-back'!N930 ),"")</f>
        <v/>
      </c>
    </row>
    <row r="6662" spans="3:14">
      <c r="C6662" s="484"/>
      <c r="D6662" s="582">
        <v>2</v>
      </c>
      <c r="E6662" s="2775">
        <f>IFERROR(IF('[1]G_Fall-back'!E931 = "", "", '[1]G_Fall-back'!E931 ),"")</f>
        <v>2</v>
      </c>
      <c r="F6662" s="2776"/>
      <c r="G6662" s="72" t="str">
        <f>IFERROR(IF('[1]G_Fall-back'!G931 = "", "", '[1]G_Fall-back'!G931 ),"")</f>
        <v/>
      </c>
      <c r="H6662" s="101" t="str">
        <f>IFERROR(IF('[1]G_Fall-back'!H931 = "", "", '[1]G_Fall-back'!H931 ),"")</f>
        <v/>
      </c>
      <c r="I6662" s="101" t="str">
        <f>IFERROR(IF('[1]G_Fall-back'!I931 = "", "", '[1]G_Fall-back'!I931 ),"")</f>
        <v/>
      </c>
      <c r="J6662" s="101" t="str">
        <f>IFERROR(IF('[1]G_Fall-back'!J931 = "", "", '[1]G_Fall-back'!J931 ),"")</f>
        <v/>
      </c>
      <c r="K6662" s="101" t="str">
        <f>IFERROR(IF('[1]G_Fall-back'!K931 = "", "", '[1]G_Fall-back'!K931 ),"")</f>
        <v/>
      </c>
      <c r="L6662" s="101" t="str">
        <f>IFERROR(IF('[1]G_Fall-back'!L931 = "", "", '[1]G_Fall-back'!L931 ),"")</f>
        <v/>
      </c>
      <c r="M6662" s="101" t="str">
        <f>IFERROR(IF('[1]G_Fall-back'!M931 = "", "", '[1]G_Fall-back'!M931 ),"")</f>
        <v/>
      </c>
      <c r="N6662" s="361" t="str">
        <f>IFERROR(IF('[1]G_Fall-back'!N931 = "", "", '[1]G_Fall-back'!N931 ),"")</f>
        <v/>
      </c>
    </row>
    <row r="6663" spans="3:14">
      <c r="C6663" s="484"/>
      <c r="D6663" s="582">
        <v>3</v>
      </c>
      <c r="E6663" s="2775" t="str">
        <f>IFERROR(IF('[1]G_Fall-back'!E932 = "", "", '[1]G_Fall-back'!E932 ),"")</f>
        <v/>
      </c>
      <c r="F6663" s="2776"/>
      <c r="G6663" s="72" t="str">
        <f>IFERROR(IF('[1]G_Fall-back'!G932 = "", "", '[1]G_Fall-back'!G932 ),"")</f>
        <v/>
      </c>
      <c r="H6663" s="101" t="str">
        <f>IFERROR(IF('[1]G_Fall-back'!H932 = "", "", '[1]G_Fall-back'!H932 ),"")</f>
        <v/>
      </c>
      <c r="I6663" s="101" t="str">
        <f>IFERROR(IF('[1]G_Fall-back'!I932 = "", "", '[1]G_Fall-back'!I932 ),"")</f>
        <v/>
      </c>
      <c r="J6663" s="101" t="str">
        <f>IFERROR(IF('[1]G_Fall-back'!J932 = "", "", '[1]G_Fall-back'!J932 ),"")</f>
        <v/>
      </c>
      <c r="K6663" s="101" t="str">
        <f>IFERROR(IF('[1]G_Fall-back'!K932 = "", "", '[1]G_Fall-back'!K932 ),"")</f>
        <v/>
      </c>
      <c r="L6663" s="101" t="str">
        <f>IFERROR(IF('[1]G_Fall-back'!L932 = "", "", '[1]G_Fall-back'!L932 ),"")</f>
        <v/>
      </c>
      <c r="M6663" s="101" t="str">
        <f>IFERROR(IF('[1]G_Fall-back'!M932 = "", "", '[1]G_Fall-back'!M932 ),"")</f>
        <v/>
      </c>
      <c r="N6663" s="361" t="str">
        <f>IFERROR(IF('[1]G_Fall-back'!N932 = "", "", '[1]G_Fall-back'!N932 ),"")</f>
        <v/>
      </c>
    </row>
    <row r="6664" spans="3:14">
      <c r="C6664" s="484"/>
      <c r="D6664" s="582">
        <v>4</v>
      </c>
      <c r="E6664" s="2775" t="str">
        <f>IFERROR(IF('[1]G_Fall-back'!E933 = "", "", '[1]G_Fall-back'!E933 ),"")</f>
        <v/>
      </c>
      <c r="F6664" s="2776"/>
      <c r="G6664" s="72" t="str">
        <f>IFERROR(IF('[1]G_Fall-back'!G933 = "", "", '[1]G_Fall-back'!G933 ),"")</f>
        <v/>
      </c>
      <c r="H6664" s="101" t="str">
        <f>IFERROR(IF('[1]G_Fall-back'!H933 = "", "", '[1]G_Fall-back'!H933 ),"")</f>
        <v/>
      </c>
      <c r="I6664" s="101" t="str">
        <f>IFERROR(IF('[1]G_Fall-back'!I933 = "", "", '[1]G_Fall-back'!I933 ),"")</f>
        <v/>
      </c>
      <c r="J6664" s="101" t="str">
        <f>IFERROR(IF('[1]G_Fall-back'!J933 = "", "", '[1]G_Fall-back'!J933 ),"")</f>
        <v/>
      </c>
      <c r="K6664" s="101" t="str">
        <f>IFERROR(IF('[1]G_Fall-back'!K933 = "", "", '[1]G_Fall-back'!K933 ),"")</f>
        <v/>
      </c>
      <c r="L6664" s="101" t="str">
        <f>IFERROR(IF('[1]G_Fall-back'!L933 = "", "", '[1]G_Fall-back'!L933 ),"")</f>
        <v/>
      </c>
      <c r="M6664" s="101" t="str">
        <f>IFERROR(IF('[1]G_Fall-back'!M933 = "", "", '[1]G_Fall-back'!M933 ),"")</f>
        <v/>
      </c>
      <c r="N6664" s="361" t="str">
        <f>IFERROR(IF('[1]G_Fall-back'!N933 = "", "", '[1]G_Fall-back'!N933 ),"")</f>
        <v/>
      </c>
    </row>
    <row r="6665" spans="3:14">
      <c r="C6665" s="484"/>
      <c r="D6665" s="582">
        <v>5</v>
      </c>
      <c r="E6665" s="2775" t="str">
        <f>IFERROR(IF('[1]G_Fall-back'!E934 = "", "", '[1]G_Fall-back'!E934 ),"")</f>
        <v/>
      </c>
      <c r="F6665" s="2776"/>
      <c r="G6665" s="72" t="str">
        <f>IFERROR(IF('[1]G_Fall-back'!G934 = "", "", '[1]G_Fall-back'!G934 ),"")</f>
        <v/>
      </c>
      <c r="H6665" s="101" t="str">
        <f>IFERROR(IF('[1]G_Fall-back'!H934 = "", "", '[1]G_Fall-back'!H934 ),"")</f>
        <v/>
      </c>
      <c r="I6665" s="101" t="str">
        <f>IFERROR(IF('[1]G_Fall-back'!I934 = "", "", '[1]G_Fall-back'!I934 ),"")</f>
        <v/>
      </c>
      <c r="J6665" s="101" t="str">
        <f>IFERROR(IF('[1]G_Fall-back'!J934 = "", "", '[1]G_Fall-back'!J934 ),"")</f>
        <v/>
      </c>
      <c r="K6665" s="101" t="str">
        <f>IFERROR(IF('[1]G_Fall-back'!K934 = "", "", '[1]G_Fall-back'!K934 ),"")</f>
        <v/>
      </c>
      <c r="L6665" s="101" t="str">
        <f>IFERROR(IF('[1]G_Fall-back'!L934 = "", "", '[1]G_Fall-back'!L934 ),"")</f>
        <v/>
      </c>
      <c r="M6665" s="101" t="str">
        <f>IFERROR(IF('[1]G_Fall-back'!M934 = "", "", '[1]G_Fall-back'!M934 ),"")</f>
        <v/>
      </c>
      <c r="N6665" s="361" t="str">
        <f>IFERROR(IF('[1]G_Fall-back'!N934 = "", "", '[1]G_Fall-back'!N934 ),"")</f>
        <v/>
      </c>
    </row>
    <row r="6666" spans="3:14">
      <c r="C6666" s="484"/>
      <c r="D6666" s="582">
        <v>6</v>
      </c>
      <c r="E6666" s="2775" t="str">
        <f>IFERROR(IF('[1]G_Fall-back'!E935 = "", "", '[1]G_Fall-back'!E935 ),"")</f>
        <v/>
      </c>
      <c r="F6666" s="2776"/>
      <c r="G6666" s="72" t="str">
        <f>IFERROR(IF('[1]G_Fall-back'!G935 = "", "", '[1]G_Fall-back'!G935 ),"")</f>
        <v/>
      </c>
      <c r="H6666" s="101" t="str">
        <f>IFERROR(IF('[1]G_Fall-back'!H935 = "", "", '[1]G_Fall-back'!H935 ),"")</f>
        <v/>
      </c>
      <c r="I6666" s="101" t="str">
        <f>IFERROR(IF('[1]G_Fall-back'!I935 = "", "", '[1]G_Fall-back'!I935 ),"")</f>
        <v/>
      </c>
      <c r="J6666" s="101" t="str">
        <f>IFERROR(IF('[1]G_Fall-back'!J935 = "", "", '[1]G_Fall-back'!J935 ),"")</f>
        <v/>
      </c>
      <c r="K6666" s="101" t="str">
        <f>IFERROR(IF('[1]G_Fall-back'!K935 = "", "", '[1]G_Fall-back'!K935 ),"")</f>
        <v/>
      </c>
      <c r="L6666" s="101" t="str">
        <f>IFERROR(IF('[1]G_Fall-back'!L935 = "", "", '[1]G_Fall-back'!L935 ),"")</f>
        <v/>
      </c>
      <c r="M6666" s="101" t="str">
        <f>IFERROR(IF('[1]G_Fall-back'!M935 = "", "", '[1]G_Fall-back'!M935 ),"")</f>
        <v/>
      </c>
      <c r="N6666" s="361" t="str">
        <f>IFERROR(IF('[1]G_Fall-back'!N935 = "", "", '[1]G_Fall-back'!N935 ),"")</f>
        <v/>
      </c>
    </row>
    <row r="6667" spans="3:14">
      <c r="C6667" s="484"/>
      <c r="D6667" s="582">
        <v>7</v>
      </c>
      <c r="E6667" s="2775" t="str">
        <f>IFERROR(IF('[1]G_Fall-back'!E936 = "", "", '[1]G_Fall-back'!E936 ),"")</f>
        <v/>
      </c>
      <c r="F6667" s="2776"/>
      <c r="G6667" s="72" t="str">
        <f>IFERROR(IF('[1]G_Fall-back'!G936 = "", "", '[1]G_Fall-back'!G936 ),"")</f>
        <v/>
      </c>
      <c r="H6667" s="101" t="str">
        <f>IFERROR(IF('[1]G_Fall-back'!H936 = "", "", '[1]G_Fall-back'!H936 ),"")</f>
        <v/>
      </c>
      <c r="I6667" s="101" t="str">
        <f>IFERROR(IF('[1]G_Fall-back'!I936 = "", "", '[1]G_Fall-back'!I936 ),"")</f>
        <v/>
      </c>
      <c r="J6667" s="101" t="str">
        <f>IFERROR(IF('[1]G_Fall-back'!J936 = "", "", '[1]G_Fall-back'!J936 ),"")</f>
        <v/>
      </c>
      <c r="K6667" s="101" t="str">
        <f>IFERROR(IF('[1]G_Fall-back'!K936 = "", "", '[1]G_Fall-back'!K936 ),"")</f>
        <v/>
      </c>
      <c r="L6667" s="101" t="str">
        <f>IFERROR(IF('[1]G_Fall-back'!L936 = "", "", '[1]G_Fall-back'!L936 ),"")</f>
        <v/>
      </c>
      <c r="M6667" s="101" t="str">
        <f>IFERROR(IF('[1]G_Fall-back'!M936 = "", "", '[1]G_Fall-back'!M936 ),"")</f>
        <v/>
      </c>
      <c r="N6667" s="361" t="str">
        <f>IFERROR(IF('[1]G_Fall-back'!N936 = "", "", '[1]G_Fall-back'!N936 ),"")</f>
        <v/>
      </c>
    </row>
    <row r="6668" spans="3:14">
      <c r="C6668" s="484"/>
      <c r="D6668" s="582">
        <v>8</v>
      </c>
      <c r="E6668" s="2775" t="str">
        <f>IFERROR(IF('[1]G_Fall-back'!E937 = "", "", '[1]G_Fall-back'!E937 ),"")</f>
        <v/>
      </c>
      <c r="F6668" s="2776"/>
      <c r="G6668" s="72" t="str">
        <f>IFERROR(IF('[1]G_Fall-back'!G937 = "", "", '[1]G_Fall-back'!G937 ),"")</f>
        <v/>
      </c>
      <c r="H6668" s="101" t="str">
        <f>IFERROR(IF('[1]G_Fall-back'!H937 = "", "", '[1]G_Fall-back'!H937 ),"")</f>
        <v/>
      </c>
      <c r="I6668" s="101" t="str">
        <f>IFERROR(IF('[1]G_Fall-back'!I937 = "", "", '[1]G_Fall-back'!I937 ),"")</f>
        <v/>
      </c>
      <c r="J6668" s="101" t="str">
        <f>IFERROR(IF('[1]G_Fall-back'!J937 = "", "", '[1]G_Fall-back'!J937 ),"")</f>
        <v/>
      </c>
      <c r="K6668" s="101" t="str">
        <f>IFERROR(IF('[1]G_Fall-back'!K937 = "", "", '[1]G_Fall-back'!K937 ),"")</f>
        <v/>
      </c>
      <c r="L6668" s="101" t="str">
        <f>IFERROR(IF('[1]G_Fall-back'!L937 = "", "", '[1]G_Fall-back'!L937 ),"")</f>
        <v/>
      </c>
      <c r="M6668" s="101" t="str">
        <f>IFERROR(IF('[1]G_Fall-back'!M937 = "", "", '[1]G_Fall-back'!M937 ),"")</f>
        <v/>
      </c>
      <c r="N6668" s="361" t="str">
        <f>IFERROR(IF('[1]G_Fall-back'!N937 = "", "", '[1]G_Fall-back'!N937 ),"")</f>
        <v/>
      </c>
    </row>
    <row r="6669" spans="3:14">
      <c r="C6669" s="484"/>
      <c r="D6669" s="582">
        <v>9</v>
      </c>
      <c r="E6669" s="2775" t="str">
        <f>IFERROR(IF('[1]G_Fall-back'!E938 = "", "", '[1]G_Fall-back'!E938 ),"")</f>
        <v/>
      </c>
      <c r="F6669" s="2776"/>
      <c r="G6669" s="72" t="str">
        <f>IFERROR(IF('[1]G_Fall-back'!G938 = "", "", '[1]G_Fall-back'!G938 ),"")</f>
        <v/>
      </c>
      <c r="H6669" s="101" t="str">
        <f>IFERROR(IF('[1]G_Fall-back'!H938 = "", "", '[1]G_Fall-back'!H938 ),"")</f>
        <v/>
      </c>
      <c r="I6669" s="101" t="str">
        <f>IFERROR(IF('[1]G_Fall-back'!I938 = "", "", '[1]G_Fall-back'!I938 ),"")</f>
        <v/>
      </c>
      <c r="J6669" s="101" t="str">
        <f>IFERROR(IF('[1]G_Fall-back'!J938 = "", "", '[1]G_Fall-back'!J938 ),"")</f>
        <v/>
      </c>
      <c r="K6669" s="101" t="str">
        <f>IFERROR(IF('[1]G_Fall-back'!K938 = "", "", '[1]G_Fall-back'!K938 ),"")</f>
        <v/>
      </c>
      <c r="L6669" s="101" t="str">
        <f>IFERROR(IF('[1]G_Fall-back'!L938 = "", "", '[1]G_Fall-back'!L938 ),"")</f>
        <v/>
      </c>
      <c r="M6669" s="101" t="str">
        <f>IFERROR(IF('[1]G_Fall-back'!M938 = "", "", '[1]G_Fall-back'!M938 ),"")</f>
        <v/>
      </c>
      <c r="N6669" s="361" t="str">
        <f>IFERROR(IF('[1]G_Fall-back'!N938 = "", "", '[1]G_Fall-back'!N938 ),"")</f>
        <v/>
      </c>
    </row>
    <row r="6670" spans="3:14">
      <c r="C6670" s="484"/>
      <c r="D6670" s="584">
        <v>10</v>
      </c>
      <c r="E6670" s="2777" t="str">
        <f>IFERROR(IF('[1]G_Fall-back'!E939 = "", "", '[1]G_Fall-back'!E939 ),"")</f>
        <v/>
      </c>
      <c r="F6670" s="2706"/>
      <c r="G6670" s="73" t="str">
        <f>IFERROR(IF('[1]G_Fall-back'!G939 = "", "", '[1]G_Fall-back'!G939 ),"")</f>
        <v/>
      </c>
      <c r="H6670" s="95" t="str">
        <f>IFERROR(IF('[1]G_Fall-back'!H939 = "", "", '[1]G_Fall-back'!H939 ),"")</f>
        <v/>
      </c>
      <c r="I6670" s="95" t="str">
        <f>IFERROR(IF('[1]G_Fall-back'!I939 = "", "", '[1]G_Fall-back'!I939 ),"")</f>
        <v/>
      </c>
      <c r="J6670" s="95" t="str">
        <f>IFERROR(IF('[1]G_Fall-back'!J939 = "", "", '[1]G_Fall-back'!J939 ),"")</f>
        <v/>
      </c>
      <c r="K6670" s="95" t="str">
        <f>IFERROR(IF('[1]G_Fall-back'!K939 = "", "", '[1]G_Fall-back'!K939 ),"")</f>
        <v/>
      </c>
      <c r="L6670" s="95" t="str">
        <f>IFERROR(IF('[1]G_Fall-back'!L939 = "", "", '[1]G_Fall-back'!L939 ),"")</f>
        <v/>
      </c>
      <c r="M6670" s="95" t="str">
        <f>IFERROR(IF('[1]G_Fall-back'!M939 = "", "", '[1]G_Fall-back'!M939 ),"")</f>
        <v/>
      </c>
      <c r="N6670" s="113" t="str">
        <f>IFERROR(IF('[1]G_Fall-back'!N939 = "", "", '[1]G_Fall-back'!N939 ),"")</f>
        <v/>
      </c>
    </row>
    <row r="6671" spans="3:14">
      <c r="C6671" s="485"/>
      <c r="D6671" s="971"/>
      <c r="E6671" s="2778" t="s">
        <v>921</v>
      </c>
      <c r="F6671" s="2410"/>
      <c r="G6671" s="73" t="str">
        <f>IFERROR(IF('[1]G_Fall-back'!G940 = "", "", '[1]G_Fall-back'!G940 ),"")</f>
        <v/>
      </c>
      <c r="H6671" s="86" t="str">
        <f>IFERROR(IF('[1]G_Fall-back'!H940 = "", "", '[1]G_Fall-back'!H940 ),"")</f>
        <v/>
      </c>
      <c r="I6671" s="86" t="str">
        <f>IFERROR(IF('[1]G_Fall-back'!I940 = "", "", '[1]G_Fall-back'!I940 ),"")</f>
        <v/>
      </c>
      <c r="J6671" s="86" t="str">
        <f>IFERROR(IF('[1]G_Fall-back'!J940 = "", "", '[1]G_Fall-back'!J940 ),"")</f>
        <v/>
      </c>
      <c r="K6671" s="86" t="str">
        <f>IFERROR(IF('[1]G_Fall-back'!K940 = "", "", '[1]G_Fall-back'!K940 ),"")</f>
        <v/>
      </c>
      <c r="L6671" s="86" t="str">
        <f>IFERROR(IF('[1]G_Fall-back'!L940 = "", "", '[1]G_Fall-back'!L940 ),"")</f>
        <v/>
      </c>
      <c r="M6671" s="86" t="str">
        <f>IFERROR(IF('[1]G_Fall-back'!M940 = "", "", '[1]G_Fall-back'!M940 ),"")</f>
        <v/>
      </c>
      <c r="N6671" s="340" t="str">
        <f>IFERROR(IF('[1]G_Fall-back'!N940 = "", "", '[1]G_Fall-back'!N940 ),"")</f>
        <v/>
      </c>
    </row>
    <row r="6672" spans="3:14" ht="13.5" thickBot="1"/>
    <row r="6673" spans="3:14" ht="13.5" thickTop="1">
      <c r="C6673" s="861"/>
      <c r="D6673" s="861"/>
      <c r="E6673" s="861"/>
      <c r="F6673" s="861"/>
      <c r="G6673" s="861"/>
      <c r="H6673" s="861"/>
      <c r="I6673" s="861"/>
      <c r="J6673" s="861"/>
      <c r="K6673" s="861"/>
      <c r="L6673" s="861"/>
      <c r="M6673" s="861"/>
      <c r="N6673" s="861"/>
    </row>
    <row r="6674" spans="3:14" ht="18">
      <c r="C6674" s="2656" t="s">
        <v>2172</v>
      </c>
      <c r="D6674" s="2656"/>
      <c r="E6674" s="2656"/>
      <c r="F6674" s="2656"/>
      <c r="G6674" s="2656"/>
      <c r="H6674" s="2656"/>
      <c r="I6674" s="2656"/>
      <c r="J6674" s="2656"/>
      <c r="K6674" s="2656"/>
      <c r="L6674" s="2656"/>
      <c r="M6674" s="2656"/>
      <c r="N6674" s="2656"/>
    </row>
    <row r="6675" spans="3:14"/>
    <row r="6676" spans="3:14" ht="15.75">
      <c r="C6676" s="507" t="s">
        <v>1018</v>
      </c>
      <c r="D6676" s="2408" t="s">
        <v>80</v>
      </c>
      <c r="E6676" s="2408"/>
      <c r="F6676" s="2408"/>
      <c r="G6676" s="2408"/>
      <c r="H6676" s="2408"/>
      <c r="I6676" s="2408"/>
      <c r="J6676" s="2408"/>
      <c r="K6676" s="2408"/>
      <c r="L6676" s="2408"/>
      <c r="M6676" s="2408"/>
      <c r="N6676" s="2408"/>
    </row>
    <row r="6677" spans="3:14">
      <c r="C6677" s="467"/>
      <c r="D6677" s="467"/>
      <c r="E6677" s="467"/>
      <c r="F6677" s="467"/>
      <c r="G6677" s="467"/>
      <c r="H6677" s="467"/>
      <c r="I6677" s="467"/>
      <c r="J6677" s="467"/>
      <c r="K6677" s="467"/>
      <c r="L6677" s="467"/>
      <c r="M6677" s="481"/>
      <c r="N6677" s="481"/>
    </row>
    <row r="6678" spans="3:14" ht="15">
      <c r="C6678" s="559"/>
      <c r="D6678" s="2482" t="s">
        <v>81</v>
      </c>
      <c r="E6678" s="2400"/>
      <c r="F6678" s="2400"/>
      <c r="G6678" s="2400"/>
      <c r="H6678" s="2400"/>
      <c r="I6678" s="2400"/>
      <c r="J6678" s="2400"/>
      <c r="K6678" s="2400"/>
      <c r="L6678" s="2400"/>
      <c r="M6678" s="2400"/>
      <c r="N6678" s="2400"/>
    </row>
    <row r="6679" spans="3:14">
      <c r="C6679" s="467"/>
      <c r="D6679" s="467"/>
      <c r="E6679" s="467"/>
      <c r="F6679" s="467"/>
      <c r="G6679" s="467"/>
      <c r="H6679" s="467"/>
      <c r="I6679" s="467"/>
      <c r="J6679" s="467"/>
      <c r="K6679" s="467"/>
      <c r="L6679" s="467"/>
      <c r="M6679" s="481"/>
      <c r="N6679" s="481"/>
    </row>
    <row r="6680" spans="3:14">
      <c r="C6680" s="467"/>
      <c r="D6680" s="485"/>
      <c r="E6680" s="2465" t="s">
        <v>2304</v>
      </c>
      <c r="F6680" s="2400"/>
      <c r="G6680" s="2400"/>
      <c r="H6680" s="2400"/>
      <c r="I6680" s="2400"/>
      <c r="J6680" s="2400"/>
      <c r="K6680" s="2400"/>
      <c r="L6680" s="2400"/>
      <c r="M6680" s="2400"/>
      <c r="N6680" s="2400"/>
    </row>
    <row r="6681" spans="3:14">
      <c r="C6681" s="467"/>
      <c r="D6681" s="485"/>
      <c r="E6681" s="2465" t="s">
        <v>1074</v>
      </c>
      <c r="F6681" s="2400"/>
      <c r="G6681" s="2400"/>
      <c r="H6681" s="2400"/>
      <c r="I6681" s="2400"/>
      <c r="J6681" s="2400"/>
      <c r="K6681" s="2400"/>
      <c r="L6681" s="2400"/>
      <c r="M6681" s="2400"/>
      <c r="N6681" s="2400"/>
    </row>
    <row r="6682" spans="3:14">
      <c r="C6682" s="467"/>
      <c r="D6682" s="485"/>
      <c r="E6682" s="2465" t="s">
        <v>126</v>
      </c>
      <c r="F6682" s="2400"/>
      <c r="G6682" s="2400"/>
      <c r="H6682" s="2400"/>
      <c r="I6682" s="2400"/>
      <c r="J6682" s="2400"/>
      <c r="K6682" s="2400"/>
      <c r="L6682" s="2400"/>
      <c r="M6682" s="2400"/>
      <c r="N6682" s="2400"/>
    </row>
    <row r="6683" spans="3:14">
      <c r="C6683" s="467"/>
      <c r="D6683" s="467"/>
      <c r="E6683" s="467"/>
      <c r="F6683" s="467"/>
      <c r="G6683" s="467"/>
      <c r="H6683" s="467"/>
      <c r="I6683" s="467"/>
      <c r="J6683" s="467"/>
      <c r="K6683" s="467"/>
      <c r="L6683" s="467"/>
      <c r="M6683" s="481"/>
      <c r="N6683" s="481"/>
    </row>
    <row r="6684" spans="3:14" ht="15">
      <c r="C6684" s="467"/>
      <c r="D6684" s="482" t="s">
        <v>400</v>
      </c>
      <c r="E6684" s="2373" t="s">
        <v>96</v>
      </c>
      <c r="F6684" s="2373"/>
      <c r="G6684" s="2373"/>
      <c r="H6684" s="2373"/>
      <c r="I6684" s="2373"/>
      <c r="J6684" s="2373"/>
      <c r="K6684" s="2604"/>
      <c r="L6684" s="2779" t="str">
        <f>IFERROR(IF([1]H_SpecialBM!L17 = "", "", [1]H_SpecialBM!L17 ),"")</f>
        <v/>
      </c>
      <c r="M6684" s="2780"/>
      <c r="N6684" s="2781"/>
    </row>
    <row r="6685" spans="3:14">
      <c r="C6685" s="467"/>
      <c r="D6685" s="485"/>
      <c r="E6685" s="2420" t="s">
        <v>300</v>
      </c>
      <c r="F6685" s="2421"/>
      <c r="G6685" s="2421"/>
      <c r="H6685" s="2421"/>
      <c r="I6685" s="2421"/>
      <c r="J6685" s="2421"/>
      <c r="K6685" s="2421"/>
      <c r="L6685" s="2421"/>
      <c r="M6685" s="2421"/>
      <c r="N6685" s="2421"/>
    </row>
    <row r="6686" spans="3:14">
      <c r="C6686" s="467"/>
      <c r="D6686" s="467"/>
      <c r="E6686" s="2782" t="s">
        <v>1857</v>
      </c>
      <c r="F6686" s="2783"/>
      <c r="G6686" s="2783"/>
      <c r="H6686" s="2783"/>
      <c r="I6686" s="2783"/>
      <c r="J6686" s="2783"/>
      <c r="K6686" s="2783"/>
      <c r="L6686" s="2783"/>
      <c r="M6686" s="2783"/>
      <c r="N6686" s="2784"/>
    </row>
    <row r="6687" spans="3:14">
      <c r="C6687" s="467"/>
      <c r="D6687" s="467"/>
      <c r="E6687" s="467"/>
      <c r="F6687" s="467"/>
      <c r="G6687" s="467"/>
      <c r="H6687" s="467"/>
      <c r="I6687" s="467"/>
      <c r="J6687" s="467"/>
      <c r="K6687" s="467"/>
      <c r="L6687" s="467"/>
      <c r="M6687" s="481"/>
      <c r="N6687" s="481"/>
    </row>
    <row r="6688" spans="3:14">
      <c r="C6688" s="467"/>
      <c r="D6688" s="482" t="s">
        <v>876</v>
      </c>
      <c r="E6688" s="2373" t="s">
        <v>1638</v>
      </c>
      <c r="F6688" s="2400"/>
      <c r="G6688" s="2400"/>
      <c r="H6688" s="2400"/>
      <c r="I6688" s="2400"/>
      <c r="J6688" s="2400"/>
      <c r="K6688" s="2400"/>
      <c r="L6688" s="2400"/>
      <c r="M6688" s="2400"/>
      <c r="N6688" s="2400"/>
    </row>
    <row r="6689" spans="3:14">
      <c r="C6689" s="467"/>
      <c r="D6689" s="485"/>
      <c r="E6689" s="2465" t="s">
        <v>82</v>
      </c>
      <c r="F6689" s="2400"/>
      <c r="G6689" s="2400"/>
      <c r="H6689" s="2400"/>
      <c r="I6689" s="2400"/>
      <c r="J6689" s="2400"/>
      <c r="K6689" s="2400"/>
      <c r="L6689" s="2400"/>
      <c r="M6689" s="2400"/>
      <c r="N6689" s="2400"/>
    </row>
    <row r="6690" spans="3:14">
      <c r="C6690" s="467"/>
      <c r="D6690" s="485"/>
      <c r="E6690" s="2465" t="s">
        <v>2305</v>
      </c>
      <c r="F6690" s="2400"/>
      <c r="G6690" s="2400"/>
      <c r="H6690" s="2400"/>
      <c r="I6690" s="2400"/>
      <c r="J6690" s="2400"/>
      <c r="K6690" s="2400"/>
      <c r="L6690" s="2400"/>
      <c r="M6690" s="2400"/>
      <c r="N6690" s="2400"/>
    </row>
    <row r="6691" spans="3:14">
      <c r="C6691" s="467"/>
      <c r="D6691" s="485"/>
      <c r="E6691" s="2465" t="s">
        <v>83</v>
      </c>
      <c r="F6691" s="2400"/>
      <c r="G6691" s="2400"/>
      <c r="H6691" s="2400"/>
      <c r="I6691" s="2400"/>
      <c r="J6691" s="2400"/>
      <c r="K6691" s="2400"/>
      <c r="L6691" s="2400"/>
      <c r="M6691" s="2400"/>
      <c r="N6691" s="2400"/>
    </row>
    <row r="6692" spans="3:14">
      <c r="C6692" s="467"/>
      <c r="D6692" s="485"/>
      <c r="E6692" s="1079" t="s">
        <v>292</v>
      </c>
      <c r="F6692" s="2465" t="s">
        <v>84</v>
      </c>
      <c r="G6692" s="2400"/>
      <c r="H6692" s="2400"/>
      <c r="I6692" s="2400"/>
      <c r="J6692" s="2400"/>
      <c r="K6692" s="2400"/>
      <c r="L6692" s="2400"/>
      <c r="M6692" s="2400"/>
      <c r="N6692" s="2400"/>
    </row>
    <row r="6693" spans="3:14">
      <c r="C6693" s="467"/>
      <c r="D6693" s="485"/>
      <c r="E6693" s="1079" t="s">
        <v>1023</v>
      </c>
      <c r="F6693" s="2465" t="s">
        <v>85</v>
      </c>
      <c r="G6693" s="2400"/>
      <c r="H6693" s="2400"/>
      <c r="I6693" s="2400"/>
      <c r="J6693" s="2400"/>
      <c r="K6693" s="2400"/>
      <c r="L6693" s="2400"/>
      <c r="M6693" s="2400"/>
      <c r="N6693" s="2400"/>
    </row>
    <row r="6694" spans="3:14">
      <c r="C6694" s="467"/>
      <c r="D6694" s="485"/>
      <c r="E6694" s="1079" t="s">
        <v>367</v>
      </c>
      <c r="F6694" s="2465" t="s">
        <v>86</v>
      </c>
      <c r="G6694" s="2400"/>
      <c r="H6694" s="2400"/>
      <c r="I6694" s="2400"/>
      <c r="J6694" s="2400"/>
      <c r="K6694" s="2400"/>
      <c r="L6694" s="2400"/>
      <c r="M6694" s="2400"/>
      <c r="N6694" s="2400"/>
    </row>
    <row r="6695" spans="3:14">
      <c r="C6695" s="467"/>
      <c r="D6695" s="485"/>
      <c r="E6695" s="1079" t="s">
        <v>501</v>
      </c>
      <c r="F6695" s="2465" t="s">
        <v>959</v>
      </c>
      <c r="G6695" s="2400"/>
      <c r="H6695" s="2400"/>
      <c r="I6695" s="2400"/>
      <c r="J6695" s="2400"/>
      <c r="K6695" s="2400"/>
      <c r="L6695" s="2400"/>
      <c r="M6695" s="2400"/>
      <c r="N6695" s="2400"/>
    </row>
    <row r="6696" spans="3:14">
      <c r="C6696" s="467"/>
      <c r="D6696" s="617"/>
      <c r="E6696" s="2466" t="s">
        <v>2178</v>
      </c>
      <c r="F6696" s="2400"/>
      <c r="G6696" s="2400"/>
      <c r="H6696" s="2400"/>
      <c r="I6696" s="2400"/>
      <c r="J6696" s="2400"/>
      <c r="K6696" s="2400"/>
      <c r="L6696" s="2400"/>
      <c r="M6696" s="2400"/>
      <c r="N6696" s="2400"/>
    </row>
    <row r="6697" spans="3:14">
      <c r="C6697" s="467"/>
      <c r="D6697" s="467"/>
      <c r="E6697" s="467"/>
      <c r="F6697" s="467"/>
      <c r="G6697" s="467"/>
      <c r="H6697" s="467"/>
      <c r="I6697" s="467"/>
      <c r="J6697" s="467"/>
      <c r="K6697" s="467"/>
      <c r="L6697" s="467"/>
      <c r="M6697" s="481"/>
      <c r="N6697" s="481"/>
    </row>
    <row r="6698" spans="3:14">
      <c r="C6698" s="485"/>
      <c r="D6698" s="485"/>
      <c r="E6698" s="707" t="s">
        <v>288</v>
      </c>
      <c r="F6698" s="707" t="s">
        <v>289</v>
      </c>
      <c r="G6698" s="1080" t="s">
        <v>290</v>
      </c>
      <c r="H6698" s="671">
        <v>2019</v>
      </c>
      <c r="I6698" s="1081">
        <v>2020</v>
      </c>
      <c r="J6698" s="709">
        <v>2021</v>
      </c>
      <c r="K6698" s="671">
        <v>2022</v>
      </c>
      <c r="L6698" s="671">
        <v>2023</v>
      </c>
      <c r="M6698" s="671">
        <v>2024</v>
      </c>
      <c r="N6698" s="1081">
        <v>2025</v>
      </c>
    </row>
    <row r="6699" spans="3:14">
      <c r="C6699" s="485"/>
      <c r="D6699" s="485"/>
      <c r="E6699" s="948" t="s">
        <v>291</v>
      </c>
      <c r="F6699" s="730" t="s">
        <v>292</v>
      </c>
      <c r="G6699" s="1082">
        <v>1</v>
      </c>
      <c r="H6699" s="404" t="str">
        <f>IFERROR(IF([1]H_SpecialBM!H32 = "", "", [1]H_SpecialBM!H32 ),"")</f>
        <v/>
      </c>
      <c r="I6699" s="405" t="str">
        <f>IFERROR(IF([1]H_SpecialBM!I32 = "", "", [1]H_SpecialBM!I32 ),"")</f>
        <v/>
      </c>
      <c r="J6699" s="406" t="str">
        <f>IFERROR(IF([1]H_SpecialBM!J32 = "", "", [1]H_SpecialBM!J32 ),"")</f>
        <v/>
      </c>
      <c r="K6699" s="404" t="str">
        <f>IFERROR(IF([1]H_SpecialBM!K32 = "", "", [1]H_SpecialBM!K32 ),"")</f>
        <v/>
      </c>
      <c r="L6699" s="404" t="str">
        <f>IFERROR(IF([1]H_SpecialBM!L32 = "", "", [1]H_SpecialBM!L32 ),"")</f>
        <v/>
      </c>
      <c r="M6699" s="404" t="str">
        <f>IFERROR(IF([1]H_SpecialBM!M32 = "", "", [1]H_SpecialBM!M32 ),"")</f>
        <v/>
      </c>
      <c r="N6699" s="404" t="str">
        <f>IFERROR(IF([1]H_SpecialBM!N32 = "", "", [1]H_SpecialBM!N32 ),"")</f>
        <v/>
      </c>
    </row>
    <row r="6700" spans="3:14">
      <c r="C6700" s="485"/>
      <c r="D6700" s="485"/>
      <c r="E6700" s="863" t="s">
        <v>512</v>
      </c>
      <c r="F6700" s="765" t="s">
        <v>292</v>
      </c>
      <c r="G6700" s="1083">
        <v>0.85</v>
      </c>
      <c r="H6700" s="407" t="str">
        <f>IFERROR(IF([1]H_SpecialBM!H33 = "", "", [1]H_SpecialBM!H33 ),"")</f>
        <v/>
      </c>
      <c r="I6700" s="408" t="str">
        <f>IFERROR(IF([1]H_SpecialBM!I33 = "", "", [1]H_SpecialBM!I33 ),"")</f>
        <v/>
      </c>
      <c r="J6700" s="409" t="str">
        <f>IFERROR(IF([1]H_SpecialBM!J33 = "", "", [1]H_SpecialBM!J33 ),"")</f>
        <v/>
      </c>
      <c r="K6700" s="407" t="str">
        <f>IFERROR(IF([1]H_SpecialBM!K33 = "", "", [1]H_SpecialBM!K33 ),"")</f>
        <v/>
      </c>
      <c r="L6700" s="407" t="str">
        <f>IFERROR(IF([1]H_SpecialBM!L33 = "", "", [1]H_SpecialBM!L33 ),"")</f>
        <v/>
      </c>
      <c r="M6700" s="407" t="str">
        <f>IFERROR(IF([1]H_SpecialBM!M33 = "", "", [1]H_SpecialBM!M33 ),"")</f>
        <v/>
      </c>
      <c r="N6700" s="407" t="str">
        <f>IFERROR(IF([1]H_SpecialBM!N33 = "", "", [1]H_SpecialBM!N33 ),"")</f>
        <v/>
      </c>
    </row>
    <row r="6701" spans="3:14">
      <c r="C6701" s="485"/>
      <c r="D6701" s="485"/>
      <c r="E6701" s="865" t="s">
        <v>513</v>
      </c>
      <c r="F6701" s="724" t="s">
        <v>292</v>
      </c>
      <c r="G6701" s="1084">
        <v>2.4500000000000002</v>
      </c>
      <c r="H6701" s="410" t="str">
        <f>IFERROR(IF([1]H_SpecialBM!H34 = "", "", [1]H_SpecialBM!H34 ),"")</f>
        <v/>
      </c>
      <c r="I6701" s="411" t="str">
        <f>IFERROR(IF([1]H_SpecialBM!I34 = "", "", [1]H_SpecialBM!I34 ),"")</f>
        <v/>
      </c>
      <c r="J6701" s="412" t="str">
        <f>IFERROR(IF([1]H_SpecialBM!J34 = "", "", [1]H_SpecialBM!J34 ),"")</f>
        <v/>
      </c>
      <c r="K6701" s="410" t="str">
        <f>IFERROR(IF([1]H_SpecialBM!K34 = "", "", [1]H_SpecialBM!K34 ),"")</f>
        <v/>
      </c>
      <c r="L6701" s="410" t="str">
        <f>IFERROR(IF([1]H_SpecialBM!L34 = "", "", [1]H_SpecialBM!L34 ),"")</f>
        <v/>
      </c>
      <c r="M6701" s="410" t="str">
        <f>IFERROR(IF([1]H_SpecialBM!M34 = "", "", [1]H_SpecialBM!M34 ),"")</f>
        <v/>
      </c>
      <c r="N6701" s="410" t="str">
        <f>IFERROR(IF([1]H_SpecialBM!N34 = "", "", [1]H_SpecialBM!N34 ),"")</f>
        <v/>
      </c>
    </row>
    <row r="6702" spans="3:14">
      <c r="C6702" s="485"/>
      <c r="D6702" s="485"/>
      <c r="E6702" s="865" t="s">
        <v>514</v>
      </c>
      <c r="F6702" s="724" t="s">
        <v>292</v>
      </c>
      <c r="G6702" s="1084">
        <v>1.4</v>
      </c>
      <c r="H6702" s="410" t="str">
        <f>IFERROR(IF([1]H_SpecialBM!H35 = "", "", [1]H_SpecialBM!H35 ),"")</f>
        <v/>
      </c>
      <c r="I6702" s="411" t="str">
        <f>IFERROR(IF([1]H_SpecialBM!I35 = "", "", [1]H_SpecialBM!I35 ),"")</f>
        <v/>
      </c>
      <c r="J6702" s="412" t="str">
        <f>IFERROR(IF([1]H_SpecialBM!J35 = "", "", [1]H_SpecialBM!J35 ),"")</f>
        <v/>
      </c>
      <c r="K6702" s="410" t="str">
        <f>IFERROR(IF([1]H_SpecialBM!K35 = "", "", [1]H_SpecialBM!K35 ),"")</f>
        <v/>
      </c>
      <c r="L6702" s="410" t="str">
        <f>IFERROR(IF([1]H_SpecialBM!L35 = "", "", [1]H_SpecialBM!L35 ),"")</f>
        <v/>
      </c>
      <c r="M6702" s="410" t="str">
        <f>IFERROR(IF([1]H_SpecialBM!M35 = "", "", [1]H_SpecialBM!M35 ),"")</f>
        <v/>
      </c>
      <c r="N6702" s="410" t="str">
        <f>IFERROR(IF([1]H_SpecialBM!N35 = "", "", [1]H_SpecialBM!N35 ),"")</f>
        <v/>
      </c>
    </row>
    <row r="6703" spans="3:14">
      <c r="C6703" s="485"/>
      <c r="D6703" s="485"/>
      <c r="E6703" s="865" t="s">
        <v>366</v>
      </c>
      <c r="F6703" s="724" t="s">
        <v>292</v>
      </c>
      <c r="G6703" s="1084">
        <v>2.7</v>
      </c>
      <c r="H6703" s="410" t="str">
        <f>IFERROR(IF([1]H_SpecialBM!H36 = "", "", [1]H_SpecialBM!H36 ),"")</f>
        <v/>
      </c>
      <c r="I6703" s="411" t="str">
        <f>IFERROR(IF([1]H_SpecialBM!I36 = "", "", [1]H_SpecialBM!I36 ),"")</f>
        <v/>
      </c>
      <c r="J6703" s="412" t="str">
        <f>IFERROR(IF([1]H_SpecialBM!J36 = "", "", [1]H_SpecialBM!J36 ),"")</f>
        <v/>
      </c>
      <c r="K6703" s="410" t="str">
        <f>IFERROR(IF([1]H_SpecialBM!K36 = "", "", [1]H_SpecialBM!K36 ),"")</f>
        <v/>
      </c>
      <c r="L6703" s="410" t="str">
        <f>IFERROR(IF([1]H_SpecialBM!L36 = "", "", [1]H_SpecialBM!L36 ),"")</f>
        <v/>
      </c>
      <c r="M6703" s="410" t="str">
        <f>IFERROR(IF([1]H_SpecialBM!M36 = "", "", [1]H_SpecialBM!M36 ),"")</f>
        <v/>
      </c>
      <c r="N6703" s="410" t="str">
        <f>IFERROR(IF([1]H_SpecialBM!N36 = "", "", [1]H_SpecialBM!N36 ),"")</f>
        <v/>
      </c>
    </row>
    <row r="6704" spans="3:14">
      <c r="C6704" s="485"/>
      <c r="D6704" s="485"/>
      <c r="E6704" s="865" t="s">
        <v>515</v>
      </c>
      <c r="F6704" s="724" t="s">
        <v>292</v>
      </c>
      <c r="G6704" s="1084">
        <v>2.2000000000000002</v>
      </c>
      <c r="H6704" s="410" t="str">
        <f>IFERROR(IF([1]H_SpecialBM!H37 = "", "", [1]H_SpecialBM!H37 ),"")</f>
        <v/>
      </c>
      <c r="I6704" s="411" t="str">
        <f>IFERROR(IF([1]H_SpecialBM!I37 = "", "", [1]H_SpecialBM!I37 ),"")</f>
        <v/>
      </c>
      <c r="J6704" s="412" t="str">
        <f>IFERROR(IF([1]H_SpecialBM!J37 = "", "", [1]H_SpecialBM!J37 ),"")</f>
        <v/>
      </c>
      <c r="K6704" s="410" t="str">
        <f>IFERROR(IF([1]H_SpecialBM!K37 = "", "", [1]H_SpecialBM!K37 ),"")</f>
        <v/>
      </c>
      <c r="L6704" s="410" t="str">
        <f>IFERROR(IF([1]H_SpecialBM!L37 = "", "", [1]H_SpecialBM!L37 ),"")</f>
        <v/>
      </c>
      <c r="M6704" s="410" t="str">
        <f>IFERROR(IF([1]H_SpecialBM!M37 = "", "", [1]H_SpecialBM!M37 ),"")</f>
        <v/>
      </c>
      <c r="N6704" s="410" t="str">
        <f>IFERROR(IF([1]H_SpecialBM!N37 = "", "", [1]H_SpecialBM!N37 ),"")</f>
        <v/>
      </c>
    </row>
    <row r="6705" spans="3:14">
      <c r="C6705" s="485"/>
      <c r="D6705" s="485"/>
      <c r="E6705" s="865" t="s">
        <v>516</v>
      </c>
      <c r="F6705" s="724" t="s">
        <v>292</v>
      </c>
      <c r="G6705" s="1084">
        <v>7.6</v>
      </c>
      <c r="H6705" s="410" t="str">
        <f>IFERROR(IF([1]H_SpecialBM!H38 = "", "", [1]H_SpecialBM!H38 ),"")</f>
        <v/>
      </c>
      <c r="I6705" s="411" t="str">
        <f>IFERROR(IF([1]H_SpecialBM!I38 = "", "", [1]H_SpecialBM!I38 ),"")</f>
        <v/>
      </c>
      <c r="J6705" s="412" t="str">
        <f>IFERROR(IF([1]H_SpecialBM!J38 = "", "", [1]H_SpecialBM!J38 ),"")</f>
        <v/>
      </c>
      <c r="K6705" s="410" t="str">
        <f>IFERROR(IF([1]H_SpecialBM!K38 = "", "", [1]H_SpecialBM!K38 ),"")</f>
        <v/>
      </c>
      <c r="L6705" s="410" t="str">
        <f>IFERROR(IF([1]H_SpecialBM!L38 = "", "", [1]H_SpecialBM!L38 ),"")</f>
        <v/>
      </c>
      <c r="M6705" s="410" t="str">
        <f>IFERROR(IF([1]H_SpecialBM!M38 = "", "", [1]H_SpecialBM!M38 ),"")</f>
        <v/>
      </c>
      <c r="N6705" s="410" t="str">
        <f>IFERROR(IF([1]H_SpecialBM!N38 = "", "", [1]H_SpecialBM!N38 ),"")</f>
        <v/>
      </c>
    </row>
    <row r="6706" spans="3:14">
      <c r="C6706" s="485"/>
      <c r="D6706" s="485"/>
      <c r="E6706" s="865" t="s">
        <v>517</v>
      </c>
      <c r="F6706" s="724" t="s">
        <v>292</v>
      </c>
      <c r="G6706" s="1084">
        <v>16.600000000000001</v>
      </c>
      <c r="H6706" s="410" t="str">
        <f>IFERROR(IF([1]H_SpecialBM!H39 = "", "", [1]H_SpecialBM!H39 ),"")</f>
        <v/>
      </c>
      <c r="I6706" s="411" t="str">
        <f>IFERROR(IF([1]H_SpecialBM!I39 = "", "", [1]H_SpecialBM!I39 ),"")</f>
        <v/>
      </c>
      <c r="J6706" s="412" t="str">
        <f>IFERROR(IF([1]H_SpecialBM!J39 = "", "", [1]H_SpecialBM!J39 ),"")</f>
        <v/>
      </c>
      <c r="K6706" s="410" t="str">
        <f>IFERROR(IF([1]H_SpecialBM!K39 = "", "", [1]H_SpecialBM!K39 ),"")</f>
        <v/>
      </c>
      <c r="L6706" s="410" t="str">
        <f>IFERROR(IF([1]H_SpecialBM!L39 = "", "", [1]H_SpecialBM!L39 ),"")</f>
        <v/>
      </c>
      <c r="M6706" s="410" t="str">
        <f>IFERROR(IF([1]H_SpecialBM!M39 = "", "", [1]H_SpecialBM!M39 ),"")</f>
        <v/>
      </c>
      <c r="N6706" s="410" t="str">
        <f>IFERROR(IF([1]H_SpecialBM!N39 = "", "", [1]H_SpecialBM!N39 ),"")</f>
        <v/>
      </c>
    </row>
    <row r="6707" spans="3:14">
      <c r="C6707" s="485"/>
      <c r="D6707" s="485"/>
      <c r="E6707" s="865" t="s">
        <v>518</v>
      </c>
      <c r="F6707" s="724" t="s">
        <v>367</v>
      </c>
      <c r="G6707" s="1084">
        <v>12.75</v>
      </c>
      <c r="H6707" s="410" t="str">
        <f>IFERROR(IF([1]H_SpecialBM!H40 = "", "", [1]H_SpecialBM!H40 ),"")</f>
        <v/>
      </c>
      <c r="I6707" s="411" t="str">
        <f>IFERROR(IF([1]H_SpecialBM!I40 = "", "", [1]H_SpecialBM!I40 ),"")</f>
        <v/>
      </c>
      <c r="J6707" s="412" t="str">
        <f>IFERROR(IF([1]H_SpecialBM!J40 = "", "", [1]H_SpecialBM!J40 ),"")</f>
        <v/>
      </c>
      <c r="K6707" s="410" t="str">
        <f>IFERROR(IF([1]H_SpecialBM!K40 = "", "", [1]H_SpecialBM!K40 ),"")</f>
        <v/>
      </c>
      <c r="L6707" s="410" t="str">
        <f>IFERROR(IF([1]H_SpecialBM!L40 = "", "", [1]H_SpecialBM!L40 ),"")</f>
        <v/>
      </c>
      <c r="M6707" s="410" t="str">
        <f>IFERROR(IF([1]H_SpecialBM!M40 = "", "", [1]H_SpecialBM!M40 ),"")</f>
        <v/>
      </c>
      <c r="N6707" s="410" t="str">
        <f>IFERROR(IF([1]H_SpecialBM!N40 = "", "", [1]H_SpecialBM!N40 ),"")</f>
        <v/>
      </c>
    </row>
    <row r="6708" spans="3:14">
      <c r="C6708" s="485"/>
      <c r="D6708" s="485"/>
      <c r="E6708" s="865" t="s">
        <v>368</v>
      </c>
      <c r="F6708" s="724" t="s">
        <v>292</v>
      </c>
      <c r="G6708" s="1084">
        <v>5.5</v>
      </c>
      <c r="H6708" s="410" t="str">
        <f>IFERROR(IF([1]H_SpecialBM!H41 = "", "", [1]H_SpecialBM!H41 ),"")</f>
        <v/>
      </c>
      <c r="I6708" s="411" t="str">
        <f>IFERROR(IF([1]H_SpecialBM!I41 = "", "", [1]H_SpecialBM!I41 ),"")</f>
        <v/>
      </c>
      <c r="J6708" s="412" t="str">
        <f>IFERROR(IF([1]H_SpecialBM!J41 = "", "", [1]H_SpecialBM!J41 ),"")</f>
        <v/>
      </c>
      <c r="K6708" s="410" t="str">
        <f>IFERROR(IF([1]H_SpecialBM!K41 = "", "", [1]H_SpecialBM!K41 ),"")</f>
        <v/>
      </c>
      <c r="L6708" s="410" t="str">
        <f>IFERROR(IF([1]H_SpecialBM!L41 = "", "", [1]H_SpecialBM!L41 ),"")</f>
        <v/>
      </c>
      <c r="M6708" s="410" t="str">
        <f>IFERROR(IF([1]H_SpecialBM!M41 = "", "", [1]H_SpecialBM!M41 ),"")</f>
        <v/>
      </c>
      <c r="N6708" s="410" t="str">
        <f>IFERROR(IF([1]H_SpecialBM!N41 = "", "", [1]H_SpecialBM!N41 ),"")</f>
        <v/>
      </c>
    </row>
    <row r="6709" spans="3:14">
      <c r="C6709" s="485"/>
      <c r="D6709" s="485"/>
      <c r="E6709" s="865" t="s">
        <v>519</v>
      </c>
      <c r="F6709" s="724" t="s">
        <v>292</v>
      </c>
      <c r="G6709" s="1084">
        <v>4.0999999999999996</v>
      </c>
      <c r="H6709" s="410" t="str">
        <f>IFERROR(IF([1]H_SpecialBM!H42 = "", "", [1]H_SpecialBM!H42 ),"")</f>
        <v/>
      </c>
      <c r="I6709" s="411" t="str">
        <f>IFERROR(IF([1]H_SpecialBM!I42 = "", "", [1]H_SpecialBM!I42 ),"")</f>
        <v/>
      </c>
      <c r="J6709" s="412" t="str">
        <f>IFERROR(IF([1]H_SpecialBM!J42 = "", "", [1]H_SpecialBM!J42 ),"")</f>
        <v/>
      </c>
      <c r="K6709" s="410" t="str">
        <f>IFERROR(IF([1]H_SpecialBM!K42 = "", "", [1]H_SpecialBM!K42 ),"")</f>
        <v/>
      </c>
      <c r="L6709" s="410" t="str">
        <f>IFERROR(IF([1]H_SpecialBM!L42 = "", "", [1]H_SpecialBM!L42 ),"")</f>
        <v/>
      </c>
      <c r="M6709" s="410" t="str">
        <f>IFERROR(IF([1]H_SpecialBM!M42 = "", "", [1]H_SpecialBM!M42 ),"")</f>
        <v/>
      </c>
      <c r="N6709" s="410" t="str">
        <f>IFERROR(IF([1]H_SpecialBM!N42 = "", "", [1]H_SpecialBM!N42 ),"")</f>
        <v/>
      </c>
    </row>
    <row r="6710" spans="3:14">
      <c r="C6710" s="485"/>
      <c r="D6710" s="485"/>
      <c r="E6710" s="865" t="s">
        <v>246</v>
      </c>
      <c r="F6710" s="724" t="s">
        <v>292</v>
      </c>
      <c r="G6710" s="1084">
        <v>2.85</v>
      </c>
      <c r="H6710" s="410" t="str">
        <f>IFERROR(IF([1]H_SpecialBM!H43 = "", "", [1]H_SpecialBM!H43 ),"")</f>
        <v/>
      </c>
      <c r="I6710" s="411" t="str">
        <f>IFERROR(IF([1]H_SpecialBM!I43 = "", "", [1]H_SpecialBM!I43 ),"")</f>
        <v/>
      </c>
      <c r="J6710" s="412" t="str">
        <f>IFERROR(IF([1]H_SpecialBM!J43 = "", "", [1]H_SpecialBM!J43 ),"")</f>
        <v/>
      </c>
      <c r="K6710" s="410" t="str">
        <f>IFERROR(IF([1]H_SpecialBM!K43 = "", "", [1]H_SpecialBM!K43 ),"")</f>
        <v/>
      </c>
      <c r="L6710" s="410" t="str">
        <f>IFERROR(IF([1]H_SpecialBM!L43 = "", "", [1]H_SpecialBM!L43 ),"")</f>
        <v/>
      </c>
      <c r="M6710" s="410" t="str">
        <f>IFERROR(IF([1]H_SpecialBM!M43 = "", "", [1]H_SpecialBM!M43 ),"")</f>
        <v/>
      </c>
      <c r="N6710" s="410" t="str">
        <f>IFERROR(IF([1]H_SpecialBM!N43 = "", "", [1]H_SpecialBM!N43 ),"")</f>
        <v/>
      </c>
    </row>
    <row r="6711" spans="3:14">
      <c r="C6711" s="485"/>
      <c r="D6711" s="485"/>
      <c r="E6711" s="865" t="s">
        <v>70</v>
      </c>
      <c r="F6711" s="724" t="s">
        <v>292</v>
      </c>
      <c r="G6711" s="1084">
        <v>3.75</v>
      </c>
      <c r="H6711" s="410" t="str">
        <f>IFERROR(IF([1]H_SpecialBM!H44 = "", "", [1]H_SpecialBM!H44 ),"")</f>
        <v/>
      </c>
      <c r="I6711" s="411" t="str">
        <f>IFERROR(IF([1]H_SpecialBM!I44 = "", "", [1]H_SpecialBM!I44 ),"")</f>
        <v/>
      </c>
      <c r="J6711" s="412" t="str">
        <f>IFERROR(IF([1]H_SpecialBM!J44 = "", "", [1]H_SpecialBM!J44 ),"")</f>
        <v/>
      </c>
      <c r="K6711" s="410" t="str">
        <f>IFERROR(IF([1]H_SpecialBM!K44 = "", "", [1]H_SpecialBM!K44 ),"")</f>
        <v/>
      </c>
      <c r="L6711" s="410" t="str">
        <f>IFERROR(IF([1]H_SpecialBM!L44 = "", "", [1]H_SpecialBM!L44 ),"")</f>
        <v/>
      </c>
      <c r="M6711" s="410" t="str">
        <f>IFERROR(IF([1]H_SpecialBM!M44 = "", "", [1]H_SpecialBM!M44 ),"")</f>
        <v/>
      </c>
      <c r="N6711" s="410" t="str">
        <f>IFERROR(IF([1]H_SpecialBM!N44 = "", "", [1]H_SpecialBM!N44 ),"")</f>
        <v/>
      </c>
    </row>
    <row r="6712" spans="3:14">
      <c r="C6712" s="485"/>
      <c r="D6712" s="485"/>
      <c r="E6712" s="865" t="s">
        <v>369</v>
      </c>
      <c r="F6712" s="724" t="s">
        <v>292</v>
      </c>
      <c r="G6712" s="1084">
        <v>1.1000000000000001</v>
      </c>
      <c r="H6712" s="410" t="str">
        <f>IFERROR(IF([1]H_SpecialBM!H45 = "", "", [1]H_SpecialBM!H45 ),"")</f>
        <v/>
      </c>
      <c r="I6712" s="411" t="str">
        <f>IFERROR(IF([1]H_SpecialBM!I45 = "", "", [1]H_SpecialBM!I45 ),"")</f>
        <v/>
      </c>
      <c r="J6712" s="412" t="str">
        <f>IFERROR(IF([1]H_SpecialBM!J45 = "", "", [1]H_SpecialBM!J45 ),"")</f>
        <v/>
      </c>
      <c r="K6712" s="410" t="str">
        <f>IFERROR(IF([1]H_SpecialBM!K45 = "", "", [1]H_SpecialBM!K45 ),"")</f>
        <v/>
      </c>
      <c r="L6712" s="410" t="str">
        <f>IFERROR(IF([1]H_SpecialBM!L45 = "", "", [1]H_SpecialBM!L45 ),"")</f>
        <v/>
      </c>
      <c r="M6712" s="410" t="str">
        <f>IFERROR(IF([1]H_SpecialBM!M45 = "", "", [1]H_SpecialBM!M45 ),"")</f>
        <v/>
      </c>
      <c r="N6712" s="410" t="str">
        <f>IFERROR(IF([1]H_SpecialBM!N45 = "", "", [1]H_SpecialBM!N45 ),"")</f>
        <v/>
      </c>
    </row>
    <row r="6713" spans="3:14">
      <c r="C6713" s="485"/>
      <c r="D6713" s="485"/>
      <c r="E6713" s="865" t="s">
        <v>71</v>
      </c>
      <c r="F6713" s="724" t="s">
        <v>292</v>
      </c>
      <c r="G6713" s="1084">
        <v>0.9</v>
      </c>
      <c r="H6713" s="410" t="str">
        <f>IFERROR(IF([1]H_SpecialBM!H46 = "", "", [1]H_SpecialBM!H46 ),"")</f>
        <v/>
      </c>
      <c r="I6713" s="411" t="str">
        <f>IFERROR(IF([1]H_SpecialBM!I46 = "", "", [1]H_SpecialBM!I46 ),"")</f>
        <v/>
      </c>
      <c r="J6713" s="412" t="str">
        <f>IFERROR(IF([1]H_SpecialBM!J46 = "", "", [1]H_SpecialBM!J46 ),"")</f>
        <v/>
      </c>
      <c r="K6713" s="410" t="str">
        <f>IFERROR(IF([1]H_SpecialBM!K46 = "", "", [1]H_SpecialBM!K46 ),"")</f>
        <v/>
      </c>
      <c r="L6713" s="410" t="str">
        <f>IFERROR(IF([1]H_SpecialBM!L46 = "", "", [1]H_SpecialBM!L46 ),"")</f>
        <v/>
      </c>
      <c r="M6713" s="410" t="str">
        <f>IFERROR(IF([1]H_SpecialBM!M46 = "", "", [1]H_SpecialBM!M46 ),"")</f>
        <v/>
      </c>
      <c r="N6713" s="410" t="str">
        <f>IFERROR(IF([1]H_SpecialBM!N46 = "", "", [1]H_SpecialBM!N46 ),"")</f>
        <v/>
      </c>
    </row>
    <row r="6714" spans="3:14">
      <c r="C6714" s="485"/>
      <c r="D6714" s="485"/>
      <c r="E6714" s="865" t="s">
        <v>72</v>
      </c>
      <c r="F6714" s="724" t="s">
        <v>292</v>
      </c>
      <c r="G6714" s="1084">
        <v>1.55</v>
      </c>
      <c r="H6714" s="410" t="str">
        <f>IFERROR(IF([1]H_SpecialBM!H47 = "", "", [1]H_SpecialBM!H47 ),"")</f>
        <v/>
      </c>
      <c r="I6714" s="411" t="str">
        <f>IFERROR(IF([1]H_SpecialBM!I47 = "", "", [1]H_SpecialBM!I47 ),"")</f>
        <v/>
      </c>
      <c r="J6714" s="412" t="str">
        <f>IFERROR(IF([1]H_SpecialBM!J47 = "", "", [1]H_SpecialBM!J47 ),"")</f>
        <v/>
      </c>
      <c r="K6714" s="410" t="str">
        <f>IFERROR(IF([1]H_SpecialBM!K47 = "", "", [1]H_SpecialBM!K47 ),"")</f>
        <v/>
      </c>
      <c r="L6714" s="410" t="str">
        <f>IFERROR(IF([1]H_SpecialBM!L47 = "", "", [1]H_SpecialBM!L47 ),"")</f>
        <v/>
      </c>
      <c r="M6714" s="410" t="str">
        <f>IFERROR(IF([1]H_SpecialBM!M47 = "", "", [1]H_SpecialBM!M47 ),"")</f>
        <v/>
      </c>
      <c r="N6714" s="410" t="str">
        <f>IFERROR(IF([1]H_SpecialBM!N47 = "", "", [1]H_SpecialBM!N47 ),"")</f>
        <v/>
      </c>
    </row>
    <row r="6715" spans="3:14">
      <c r="C6715" s="485"/>
      <c r="D6715" s="485"/>
      <c r="E6715" s="865" t="s">
        <v>370</v>
      </c>
      <c r="F6715" s="724" t="s">
        <v>292</v>
      </c>
      <c r="G6715" s="1084">
        <v>0.9</v>
      </c>
      <c r="H6715" s="410" t="str">
        <f>IFERROR(IF([1]H_SpecialBM!H48 = "", "", [1]H_SpecialBM!H48 ),"")</f>
        <v/>
      </c>
      <c r="I6715" s="411" t="str">
        <f>IFERROR(IF([1]H_SpecialBM!I48 = "", "", [1]H_SpecialBM!I48 ),"")</f>
        <v/>
      </c>
      <c r="J6715" s="412" t="str">
        <f>IFERROR(IF([1]H_SpecialBM!J48 = "", "", [1]H_SpecialBM!J48 ),"")</f>
        <v/>
      </c>
      <c r="K6715" s="410" t="str">
        <f>IFERROR(IF([1]H_SpecialBM!K48 = "", "", [1]H_SpecialBM!K48 ),"")</f>
        <v/>
      </c>
      <c r="L6715" s="410" t="str">
        <f>IFERROR(IF([1]H_SpecialBM!L48 = "", "", [1]H_SpecialBM!L48 ),"")</f>
        <v/>
      </c>
      <c r="M6715" s="410" t="str">
        <f>IFERROR(IF([1]H_SpecialBM!M48 = "", "", [1]H_SpecialBM!M48 ),"")</f>
        <v/>
      </c>
      <c r="N6715" s="410" t="str">
        <f>IFERROR(IF([1]H_SpecialBM!N48 = "", "", [1]H_SpecialBM!N48 ),"")</f>
        <v/>
      </c>
    </row>
    <row r="6716" spans="3:14">
      <c r="C6716" s="485"/>
      <c r="D6716" s="485"/>
      <c r="E6716" s="865" t="s">
        <v>73</v>
      </c>
      <c r="F6716" s="724" t="s">
        <v>367</v>
      </c>
      <c r="G6716" s="1084">
        <v>300</v>
      </c>
      <c r="H6716" s="410" t="str">
        <f>IFERROR(IF([1]H_SpecialBM!H49 = "", "", [1]H_SpecialBM!H49 ),"")</f>
        <v/>
      </c>
      <c r="I6716" s="411" t="str">
        <f>IFERROR(IF([1]H_SpecialBM!I49 = "", "", [1]H_SpecialBM!I49 ),"")</f>
        <v/>
      </c>
      <c r="J6716" s="412" t="str">
        <f>IFERROR(IF([1]H_SpecialBM!J49 = "", "", [1]H_SpecialBM!J49 ),"")</f>
        <v/>
      </c>
      <c r="K6716" s="410" t="str">
        <f>IFERROR(IF([1]H_SpecialBM!K49 = "", "", [1]H_SpecialBM!K49 ),"")</f>
        <v/>
      </c>
      <c r="L6716" s="410" t="str">
        <f>IFERROR(IF([1]H_SpecialBM!L49 = "", "", [1]H_SpecialBM!L49 ),"")</f>
        <v/>
      </c>
      <c r="M6716" s="410" t="str">
        <f>IFERROR(IF([1]H_SpecialBM!M49 = "", "", [1]H_SpecialBM!M49 ),"")</f>
        <v/>
      </c>
      <c r="N6716" s="410" t="str">
        <f>IFERROR(IF([1]H_SpecialBM!N49 = "", "", [1]H_SpecialBM!N49 ),"")</f>
        <v/>
      </c>
    </row>
    <row r="6717" spans="3:14">
      <c r="C6717" s="485"/>
      <c r="D6717" s="485"/>
      <c r="E6717" s="865" t="s">
        <v>371</v>
      </c>
      <c r="F6717" s="724" t="s">
        <v>292</v>
      </c>
      <c r="G6717" s="1084">
        <v>4.95</v>
      </c>
      <c r="H6717" s="410" t="str">
        <f>IFERROR(IF([1]H_SpecialBM!H50 = "", "", [1]H_SpecialBM!H50 ),"")</f>
        <v/>
      </c>
      <c r="I6717" s="411" t="str">
        <f>IFERROR(IF([1]H_SpecialBM!I50 = "", "", [1]H_SpecialBM!I50 ),"")</f>
        <v/>
      </c>
      <c r="J6717" s="412" t="str">
        <f>IFERROR(IF([1]H_SpecialBM!J50 = "", "", [1]H_SpecialBM!J50 ),"")</f>
        <v/>
      </c>
      <c r="K6717" s="410" t="str">
        <f>IFERROR(IF([1]H_SpecialBM!K50 = "", "", [1]H_SpecialBM!K50 ),"")</f>
        <v/>
      </c>
      <c r="L6717" s="410" t="str">
        <f>IFERROR(IF([1]H_SpecialBM!L50 = "", "", [1]H_SpecialBM!L50 ),"")</f>
        <v/>
      </c>
      <c r="M6717" s="410" t="str">
        <f>IFERROR(IF([1]H_SpecialBM!M50 = "", "", [1]H_SpecialBM!M50 ),"")</f>
        <v/>
      </c>
      <c r="N6717" s="410" t="str">
        <f>IFERROR(IF([1]H_SpecialBM!N50 = "", "", [1]H_SpecialBM!N50 ),"")</f>
        <v/>
      </c>
    </row>
    <row r="6718" spans="3:14">
      <c r="C6718" s="485"/>
      <c r="D6718" s="485"/>
      <c r="E6718" s="865" t="s">
        <v>74</v>
      </c>
      <c r="F6718" s="724" t="s">
        <v>367</v>
      </c>
      <c r="G6718" s="1084">
        <v>7.25</v>
      </c>
      <c r="H6718" s="410" t="str">
        <f>IFERROR(IF([1]H_SpecialBM!H51 = "", "", [1]H_SpecialBM!H51 ),"")</f>
        <v/>
      </c>
      <c r="I6718" s="411" t="str">
        <f>IFERROR(IF([1]H_SpecialBM!I51 = "", "", [1]H_SpecialBM!I51 ),"")</f>
        <v/>
      </c>
      <c r="J6718" s="412" t="str">
        <f>IFERROR(IF([1]H_SpecialBM!J51 = "", "", [1]H_SpecialBM!J51 ),"")</f>
        <v/>
      </c>
      <c r="K6718" s="410" t="str">
        <f>IFERROR(IF([1]H_SpecialBM!K51 = "", "", [1]H_SpecialBM!K51 ),"")</f>
        <v/>
      </c>
      <c r="L6718" s="410" t="str">
        <f>IFERROR(IF([1]H_SpecialBM!L51 = "", "", [1]H_SpecialBM!L51 ),"")</f>
        <v/>
      </c>
      <c r="M6718" s="410" t="str">
        <f>IFERROR(IF([1]H_SpecialBM!M51 = "", "", [1]H_SpecialBM!M51 ),"")</f>
        <v/>
      </c>
      <c r="N6718" s="410" t="str">
        <f>IFERROR(IF([1]H_SpecialBM!N51 = "", "", [1]H_SpecialBM!N51 ),"")</f>
        <v/>
      </c>
    </row>
    <row r="6719" spans="3:14">
      <c r="C6719" s="485"/>
      <c r="D6719" s="485"/>
      <c r="E6719" s="865" t="s">
        <v>372</v>
      </c>
      <c r="F6719" s="724" t="s">
        <v>1023</v>
      </c>
      <c r="G6719" s="1084">
        <v>3.25</v>
      </c>
      <c r="H6719" s="410" t="str">
        <f>IFERROR(IF([1]H_SpecialBM!H52 = "", "", [1]H_SpecialBM!H52 ),"")</f>
        <v/>
      </c>
      <c r="I6719" s="411" t="str">
        <f>IFERROR(IF([1]H_SpecialBM!I52 = "", "", [1]H_SpecialBM!I52 ),"")</f>
        <v/>
      </c>
      <c r="J6719" s="412" t="str">
        <f>IFERROR(IF([1]H_SpecialBM!J52 = "", "", [1]H_SpecialBM!J52 ),"")</f>
        <v/>
      </c>
      <c r="K6719" s="410" t="str">
        <f>IFERROR(IF([1]H_SpecialBM!K52 = "", "", [1]H_SpecialBM!K52 ),"")</f>
        <v/>
      </c>
      <c r="L6719" s="410" t="str">
        <f>IFERROR(IF([1]H_SpecialBM!L52 = "", "", [1]H_SpecialBM!L52 ),"")</f>
        <v/>
      </c>
      <c r="M6719" s="410" t="str">
        <f>IFERROR(IF([1]H_SpecialBM!M52 = "", "", [1]H_SpecialBM!M52 ),"")</f>
        <v/>
      </c>
      <c r="N6719" s="410" t="str">
        <f>IFERROR(IF([1]H_SpecialBM!N52 = "", "", [1]H_SpecialBM!N52 ),"")</f>
        <v/>
      </c>
    </row>
    <row r="6720" spans="3:14">
      <c r="C6720" s="485"/>
      <c r="D6720" s="485"/>
      <c r="E6720" s="865" t="s">
        <v>1024</v>
      </c>
      <c r="F6720" s="724" t="s">
        <v>1023</v>
      </c>
      <c r="G6720" s="1084">
        <v>2.85</v>
      </c>
      <c r="H6720" s="410" t="str">
        <f>IFERROR(IF([1]H_SpecialBM!H53 = "", "", [1]H_SpecialBM!H53 ),"")</f>
        <v/>
      </c>
      <c r="I6720" s="411" t="str">
        <f>IFERROR(IF([1]H_SpecialBM!I53 = "", "", [1]H_SpecialBM!I53 ),"")</f>
        <v/>
      </c>
      <c r="J6720" s="412" t="str">
        <f>IFERROR(IF([1]H_SpecialBM!J53 = "", "", [1]H_SpecialBM!J53 ),"")</f>
        <v/>
      </c>
      <c r="K6720" s="410" t="str">
        <f>IFERROR(IF([1]H_SpecialBM!K53 = "", "", [1]H_SpecialBM!K53 ),"")</f>
        <v/>
      </c>
      <c r="L6720" s="410" t="str">
        <f>IFERROR(IF([1]H_SpecialBM!L53 = "", "", [1]H_SpecialBM!L53 ),"")</f>
        <v/>
      </c>
      <c r="M6720" s="410" t="str">
        <f>IFERROR(IF([1]H_SpecialBM!M53 = "", "", [1]H_SpecialBM!M53 ),"")</f>
        <v/>
      </c>
      <c r="N6720" s="410" t="str">
        <f>IFERROR(IF([1]H_SpecialBM!N53 = "", "", [1]H_SpecialBM!N53 ),"")</f>
        <v/>
      </c>
    </row>
    <row r="6721" spans="3:14">
      <c r="C6721" s="485"/>
      <c r="D6721" s="485"/>
      <c r="E6721" s="865" t="s">
        <v>75</v>
      </c>
      <c r="F6721" s="724" t="s">
        <v>367</v>
      </c>
      <c r="G6721" s="1084">
        <v>5.6</v>
      </c>
      <c r="H6721" s="410" t="str">
        <f>IFERROR(IF([1]H_SpecialBM!H54 = "", "", [1]H_SpecialBM!H54 ),"")</f>
        <v/>
      </c>
      <c r="I6721" s="411" t="str">
        <f>IFERROR(IF([1]H_SpecialBM!I54 = "", "", [1]H_SpecialBM!I54 ),"")</f>
        <v/>
      </c>
      <c r="J6721" s="412" t="str">
        <f>IFERROR(IF([1]H_SpecialBM!J54 = "", "", [1]H_SpecialBM!J54 ),"")</f>
        <v/>
      </c>
      <c r="K6721" s="410" t="str">
        <f>IFERROR(IF([1]H_SpecialBM!K54 = "", "", [1]H_SpecialBM!K54 ),"")</f>
        <v/>
      </c>
      <c r="L6721" s="410" t="str">
        <f>IFERROR(IF([1]H_SpecialBM!L54 = "", "", [1]H_SpecialBM!L54 ),"")</f>
        <v/>
      </c>
      <c r="M6721" s="410" t="str">
        <f>IFERROR(IF([1]H_SpecialBM!M54 = "", "", [1]H_SpecialBM!M54 ),"")</f>
        <v/>
      </c>
      <c r="N6721" s="410" t="str">
        <f>IFERROR(IF([1]H_SpecialBM!N54 = "", "", [1]H_SpecialBM!N54 ),"")</f>
        <v/>
      </c>
    </row>
    <row r="6722" spans="3:14">
      <c r="C6722" s="485"/>
      <c r="D6722" s="485"/>
      <c r="E6722" s="865" t="s">
        <v>76</v>
      </c>
      <c r="F6722" s="724" t="s">
        <v>292</v>
      </c>
      <c r="G6722" s="1084">
        <v>3.45</v>
      </c>
      <c r="H6722" s="410" t="str">
        <f>IFERROR(IF([1]H_SpecialBM!H55 = "", "", [1]H_SpecialBM!H55 ),"")</f>
        <v/>
      </c>
      <c r="I6722" s="411" t="str">
        <f>IFERROR(IF([1]H_SpecialBM!I55 = "", "", [1]H_SpecialBM!I55 ),"")</f>
        <v/>
      </c>
      <c r="J6722" s="412" t="str">
        <f>IFERROR(IF([1]H_SpecialBM!J55 = "", "", [1]H_SpecialBM!J55 ),"")</f>
        <v/>
      </c>
      <c r="K6722" s="410" t="str">
        <f>IFERROR(IF([1]H_SpecialBM!K55 = "", "", [1]H_SpecialBM!K55 ),"")</f>
        <v/>
      </c>
      <c r="L6722" s="410" t="str">
        <f>IFERROR(IF([1]H_SpecialBM!L55 = "", "", [1]H_SpecialBM!L55 ),"")</f>
        <v/>
      </c>
      <c r="M6722" s="410" t="str">
        <f>IFERROR(IF([1]H_SpecialBM!M55 = "", "", [1]H_SpecialBM!M55 ),"")</f>
        <v/>
      </c>
      <c r="N6722" s="410" t="str">
        <f>IFERROR(IF([1]H_SpecialBM!N55 = "", "", [1]H_SpecialBM!N55 ),"")</f>
        <v/>
      </c>
    </row>
    <row r="6723" spans="3:14">
      <c r="C6723" s="485"/>
      <c r="D6723" s="485"/>
      <c r="E6723" s="865" t="s">
        <v>1025</v>
      </c>
      <c r="F6723" s="724" t="s">
        <v>367</v>
      </c>
      <c r="G6723" s="1084">
        <v>2.1</v>
      </c>
      <c r="H6723" s="410" t="str">
        <f>IFERROR(IF([1]H_SpecialBM!H56 = "", "", [1]H_SpecialBM!H56 ),"")</f>
        <v/>
      </c>
      <c r="I6723" s="411" t="str">
        <f>IFERROR(IF([1]H_SpecialBM!I56 = "", "", [1]H_SpecialBM!I56 ),"")</f>
        <v/>
      </c>
      <c r="J6723" s="412" t="str">
        <f>IFERROR(IF([1]H_SpecialBM!J56 = "", "", [1]H_SpecialBM!J56 ),"")</f>
        <v/>
      </c>
      <c r="K6723" s="410" t="str">
        <f>IFERROR(IF([1]H_SpecialBM!K56 = "", "", [1]H_SpecialBM!K56 ),"")</f>
        <v/>
      </c>
      <c r="L6723" s="410" t="str">
        <f>IFERROR(IF([1]H_SpecialBM!L56 = "", "", [1]H_SpecialBM!L56 ),"")</f>
        <v/>
      </c>
      <c r="M6723" s="410" t="str">
        <f>IFERROR(IF([1]H_SpecialBM!M56 = "", "", [1]H_SpecialBM!M56 ),"")</f>
        <v/>
      </c>
      <c r="N6723" s="410" t="str">
        <f>IFERROR(IF([1]H_SpecialBM!N56 = "", "", [1]H_SpecialBM!N56 ),"")</f>
        <v/>
      </c>
    </row>
    <row r="6724" spans="3:14">
      <c r="C6724" s="485"/>
      <c r="D6724" s="485"/>
      <c r="E6724" s="865" t="s">
        <v>1026</v>
      </c>
      <c r="F6724" s="724" t="s">
        <v>367</v>
      </c>
      <c r="G6724" s="1084">
        <v>0.55000000000000004</v>
      </c>
      <c r="H6724" s="410" t="str">
        <f>IFERROR(IF([1]H_SpecialBM!H57 = "", "", [1]H_SpecialBM!H57 ),"")</f>
        <v/>
      </c>
      <c r="I6724" s="411" t="str">
        <f>IFERROR(IF([1]H_SpecialBM!I57 = "", "", [1]H_SpecialBM!I57 ),"")</f>
        <v/>
      </c>
      <c r="J6724" s="412" t="str">
        <f>IFERROR(IF([1]H_SpecialBM!J57 = "", "", [1]H_SpecialBM!J57 ),"")</f>
        <v/>
      </c>
      <c r="K6724" s="410" t="str">
        <f>IFERROR(IF([1]H_SpecialBM!K57 = "", "", [1]H_SpecialBM!K57 ),"")</f>
        <v/>
      </c>
      <c r="L6724" s="410" t="str">
        <f>IFERROR(IF([1]H_SpecialBM!L57 = "", "", [1]H_SpecialBM!L57 ),"")</f>
        <v/>
      </c>
      <c r="M6724" s="410" t="str">
        <f>IFERROR(IF([1]H_SpecialBM!M57 = "", "", [1]H_SpecialBM!M57 ),"")</f>
        <v/>
      </c>
      <c r="N6724" s="410" t="str">
        <f>IFERROR(IF([1]H_SpecialBM!N57 = "", "", [1]H_SpecialBM!N57 ),"")</f>
        <v/>
      </c>
    </row>
    <row r="6725" spans="3:14">
      <c r="C6725" s="485"/>
      <c r="D6725" s="485"/>
      <c r="E6725" s="865" t="s">
        <v>1027</v>
      </c>
      <c r="F6725" s="724" t="s">
        <v>367</v>
      </c>
      <c r="G6725" s="1084">
        <v>18.600000000000001</v>
      </c>
      <c r="H6725" s="410" t="str">
        <f>IFERROR(IF([1]H_SpecialBM!H58 = "", "", [1]H_SpecialBM!H58 ),"")</f>
        <v/>
      </c>
      <c r="I6725" s="411" t="str">
        <f>IFERROR(IF([1]H_SpecialBM!I58 = "", "", [1]H_SpecialBM!I58 ),"")</f>
        <v/>
      </c>
      <c r="J6725" s="412" t="str">
        <f>IFERROR(IF([1]H_SpecialBM!J58 = "", "", [1]H_SpecialBM!J58 ),"")</f>
        <v/>
      </c>
      <c r="K6725" s="410" t="str">
        <f>IFERROR(IF([1]H_SpecialBM!K58 = "", "", [1]H_SpecialBM!K58 ),"")</f>
        <v/>
      </c>
      <c r="L6725" s="410" t="str">
        <f>IFERROR(IF([1]H_SpecialBM!L58 = "", "", [1]H_SpecialBM!L58 ),"")</f>
        <v/>
      </c>
      <c r="M6725" s="410" t="str">
        <f>IFERROR(IF([1]H_SpecialBM!M58 = "", "", [1]H_SpecialBM!M58 ),"")</f>
        <v/>
      </c>
      <c r="N6725" s="410" t="str">
        <f>IFERROR(IF([1]H_SpecialBM!N58 = "", "", [1]H_SpecialBM!N58 ),"")</f>
        <v/>
      </c>
    </row>
    <row r="6726" spans="3:14">
      <c r="C6726" s="485"/>
      <c r="D6726" s="485"/>
      <c r="E6726" s="865" t="s">
        <v>1028</v>
      </c>
      <c r="F6726" s="724" t="s">
        <v>292</v>
      </c>
      <c r="G6726" s="1084">
        <v>5.25</v>
      </c>
      <c r="H6726" s="410" t="str">
        <f>IFERROR(IF([1]H_SpecialBM!H59 = "", "", [1]H_SpecialBM!H59 ),"")</f>
        <v/>
      </c>
      <c r="I6726" s="411" t="str">
        <f>IFERROR(IF([1]H_SpecialBM!I59 = "", "", [1]H_SpecialBM!I59 ),"")</f>
        <v/>
      </c>
      <c r="J6726" s="412" t="str">
        <f>IFERROR(IF([1]H_SpecialBM!J59 = "", "", [1]H_SpecialBM!J59 ),"")</f>
        <v/>
      </c>
      <c r="K6726" s="410" t="str">
        <f>IFERROR(IF([1]H_SpecialBM!K59 = "", "", [1]H_SpecialBM!K59 ),"")</f>
        <v/>
      </c>
      <c r="L6726" s="410" t="str">
        <f>IFERROR(IF([1]H_SpecialBM!L59 = "", "", [1]H_SpecialBM!L59 ),"")</f>
        <v/>
      </c>
      <c r="M6726" s="410" t="str">
        <f>IFERROR(IF([1]H_SpecialBM!M59 = "", "", [1]H_SpecialBM!M59 ),"")</f>
        <v/>
      </c>
      <c r="N6726" s="410" t="str">
        <f>IFERROR(IF([1]H_SpecialBM!N59 = "", "", [1]H_SpecialBM!N59 ),"")</f>
        <v/>
      </c>
    </row>
    <row r="6727" spans="3:14">
      <c r="C6727" s="485"/>
      <c r="D6727" s="485"/>
      <c r="E6727" s="865" t="s">
        <v>1029</v>
      </c>
      <c r="F6727" s="724" t="s">
        <v>292</v>
      </c>
      <c r="G6727" s="1084">
        <v>2.4500000000000002</v>
      </c>
      <c r="H6727" s="410" t="str">
        <f>IFERROR(IF([1]H_SpecialBM!H60 = "", "", [1]H_SpecialBM!H60 ),"")</f>
        <v/>
      </c>
      <c r="I6727" s="411" t="str">
        <f>IFERROR(IF([1]H_SpecialBM!I60 = "", "", [1]H_SpecialBM!I60 ),"")</f>
        <v/>
      </c>
      <c r="J6727" s="412" t="str">
        <f>IFERROR(IF([1]H_SpecialBM!J60 = "", "", [1]H_SpecialBM!J60 ),"")</f>
        <v/>
      </c>
      <c r="K6727" s="410" t="str">
        <f>IFERROR(IF([1]H_SpecialBM!K60 = "", "", [1]H_SpecialBM!K60 ),"")</f>
        <v/>
      </c>
      <c r="L6727" s="410" t="str">
        <f>IFERROR(IF([1]H_SpecialBM!L60 = "", "", [1]H_SpecialBM!L60 ),"")</f>
        <v/>
      </c>
      <c r="M6727" s="410" t="str">
        <f>IFERROR(IF([1]H_SpecialBM!M60 = "", "", [1]H_SpecialBM!M60 ),"")</f>
        <v/>
      </c>
      <c r="N6727" s="410" t="str">
        <f>IFERROR(IF([1]H_SpecialBM!N60 = "", "", [1]H_SpecialBM!N60 ),"")</f>
        <v/>
      </c>
    </row>
    <row r="6728" spans="3:14">
      <c r="C6728" s="485"/>
      <c r="D6728" s="485"/>
      <c r="E6728" s="865" t="s">
        <v>1030</v>
      </c>
      <c r="F6728" s="724" t="s">
        <v>292</v>
      </c>
      <c r="G6728" s="1084">
        <v>1.85</v>
      </c>
      <c r="H6728" s="410" t="str">
        <f>IFERROR(IF([1]H_SpecialBM!H61 = "", "", [1]H_SpecialBM!H61 ),"")</f>
        <v/>
      </c>
      <c r="I6728" s="411" t="str">
        <f>IFERROR(IF([1]H_SpecialBM!I61 = "", "", [1]H_SpecialBM!I61 ),"")</f>
        <v/>
      </c>
      <c r="J6728" s="412" t="str">
        <f>IFERROR(IF([1]H_SpecialBM!J61 = "", "", [1]H_SpecialBM!J61 ),"")</f>
        <v/>
      </c>
      <c r="K6728" s="410" t="str">
        <f>IFERROR(IF([1]H_SpecialBM!K61 = "", "", [1]H_SpecialBM!K61 ),"")</f>
        <v/>
      </c>
      <c r="L6728" s="410" t="str">
        <f>IFERROR(IF([1]H_SpecialBM!L61 = "", "", [1]H_SpecialBM!L61 ),"")</f>
        <v/>
      </c>
      <c r="M6728" s="410" t="str">
        <f>IFERROR(IF([1]H_SpecialBM!M61 = "", "", [1]H_SpecialBM!M61 ),"")</f>
        <v/>
      </c>
      <c r="N6728" s="410" t="str">
        <f>IFERROR(IF([1]H_SpecialBM!N61 = "", "", [1]H_SpecialBM!N61 ),"")</f>
        <v/>
      </c>
    </row>
    <row r="6729" spans="3:14">
      <c r="C6729" s="485"/>
      <c r="D6729" s="485"/>
      <c r="E6729" s="865" t="s">
        <v>1031</v>
      </c>
      <c r="F6729" s="724" t="s">
        <v>367</v>
      </c>
      <c r="G6729" s="1084">
        <v>3</v>
      </c>
      <c r="H6729" s="410" t="str">
        <f>IFERROR(IF([1]H_SpecialBM!H62 = "", "", [1]H_SpecialBM!H62 ),"")</f>
        <v/>
      </c>
      <c r="I6729" s="411" t="str">
        <f>IFERROR(IF([1]H_SpecialBM!I62 = "", "", [1]H_SpecialBM!I62 ),"")</f>
        <v/>
      </c>
      <c r="J6729" s="412" t="str">
        <f>IFERROR(IF([1]H_SpecialBM!J62 = "", "", [1]H_SpecialBM!J62 ),"")</f>
        <v/>
      </c>
      <c r="K6729" s="410" t="str">
        <f>IFERROR(IF([1]H_SpecialBM!K62 = "", "", [1]H_SpecialBM!K62 ),"")</f>
        <v/>
      </c>
      <c r="L6729" s="410" t="str">
        <f>IFERROR(IF([1]H_SpecialBM!L62 = "", "", [1]H_SpecialBM!L62 ),"")</f>
        <v/>
      </c>
      <c r="M6729" s="410" t="str">
        <f>IFERROR(IF([1]H_SpecialBM!M62 = "", "", [1]H_SpecialBM!M62 ),"")</f>
        <v/>
      </c>
      <c r="N6729" s="410" t="str">
        <f>IFERROR(IF([1]H_SpecialBM!N62 = "", "", [1]H_SpecialBM!N62 ),"")</f>
        <v/>
      </c>
    </row>
    <row r="6730" spans="3:14">
      <c r="C6730" s="485"/>
      <c r="D6730" s="485"/>
      <c r="E6730" s="865" t="s">
        <v>1032</v>
      </c>
      <c r="F6730" s="724" t="s">
        <v>292</v>
      </c>
      <c r="G6730" s="1084">
        <v>1.85</v>
      </c>
      <c r="H6730" s="410" t="str">
        <f>IFERROR(IF([1]H_SpecialBM!H63 = "", "", [1]H_SpecialBM!H63 ),"")</f>
        <v/>
      </c>
      <c r="I6730" s="411" t="str">
        <f>IFERROR(IF([1]H_SpecialBM!I63 = "", "", [1]H_SpecialBM!I63 ),"")</f>
        <v/>
      </c>
      <c r="J6730" s="412" t="str">
        <f>IFERROR(IF([1]H_SpecialBM!J63 = "", "", [1]H_SpecialBM!J63 ),"")</f>
        <v/>
      </c>
      <c r="K6730" s="410" t="str">
        <f>IFERROR(IF([1]H_SpecialBM!K63 = "", "", [1]H_SpecialBM!K63 ),"")</f>
        <v/>
      </c>
      <c r="L6730" s="410" t="str">
        <f>IFERROR(IF([1]H_SpecialBM!L63 = "", "", [1]H_SpecialBM!L63 ),"")</f>
        <v/>
      </c>
      <c r="M6730" s="410" t="str">
        <f>IFERROR(IF([1]H_SpecialBM!M63 = "", "", [1]H_SpecialBM!M63 ),"")</f>
        <v/>
      </c>
      <c r="N6730" s="410" t="str">
        <f>IFERROR(IF([1]H_SpecialBM!N63 = "", "", [1]H_SpecialBM!N63 ),"")</f>
        <v/>
      </c>
    </row>
    <row r="6731" spans="3:14">
      <c r="C6731" s="485"/>
      <c r="D6731" s="485"/>
      <c r="E6731" s="865" t="s">
        <v>1033</v>
      </c>
      <c r="F6731" s="724" t="s">
        <v>367</v>
      </c>
      <c r="G6731" s="1084">
        <v>6.4</v>
      </c>
      <c r="H6731" s="410" t="str">
        <f>IFERROR(IF([1]H_SpecialBM!H64 = "", "", [1]H_SpecialBM!H64 ),"")</f>
        <v/>
      </c>
      <c r="I6731" s="411" t="str">
        <f>IFERROR(IF([1]H_SpecialBM!I64 = "", "", [1]H_SpecialBM!I64 ),"")</f>
        <v/>
      </c>
      <c r="J6731" s="412" t="str">
        <f>IFERROR(IF([1]H_SpecialBM!J64 = "", "", [1]H_SpecialBM!J64 ),"")</f>
        <v/>
      </c>
      <c r="K6731" s="410" t="str">
        <f>IFERROR(IF([1]H_SpecialBM!K64 = "", "", [1]H_SpecialBM!K64 ),"")</f>
        <v/>
      </c>
      <c r="L6731" s="410" t="str">
        <f>IFERROR(IF([1]H_SpecialBM!L64 = "", "", [1]H_SpecialBM!L64 ),"")</f>
        <v/>
      </c>
      <c r="M6731" s="410" t="str">
        <f>IFERROR(IF([1]H_SpecialBM!M64 = "", "", [1]H_SpecialBM!M64 ),"")</f>
        <v/>
      </c>
      <c r="N6731" s="410" t="str">
        <f>IFERROR(IF([1]H_SpecialBM!N64 = "", "", [1]H_SpecialBM!N64 ),"")</f>
        <v/>
      </c>
    </row>
    <row r="6732" spans="3:14">
      <c r="C6732" s="485"/>
      <c r="D6732" s="485"/>
      <c r="E6732" s="865" t="s">
        <v>1034</v>
      </c>
      <c r="F6732" s="724" t="s">
        <v>367</v>
      </c>
      <c r="G6732" s="1084">
        <v>11.1</v>
      </c>
      <c r="H6732" s="410" t="str">
        <f>IFERROR(IF([1]H_SpecialBM!H65 = "", "", [1]H_SpecialBM!H65 ),"")</f>
        <v/>
      </c>
      <c r="I6732" s="411" t="str">
        <f>IFERROR(IF([1]H_SpecialBM!I65 = "", "", [1]H_SpecialBM!I65 ),"")</f>
        <v/>
      </c>
      <c r="J6732" s="412" t="str">
        <f>IFERROR(IF([1]H_SpecialBM!J65 = "", "", [1]H_SpecialBM!J65 ),"")</f>
        <v/>
      </c>
      <c r="K6732" s="410" t="str">
        <f>IFERROR(IF([1]H_SpecialBM!K65 = "", "", [1]H_SpecialBM!K65 ),"")</f>
        <v/>
      </c>
      <c r="L6732" s="410" t="str">
        <f>IFERROR(IF([1]H_SpecialBM!L65 = "", "", [1]H_SpecialBM!L65 ),"")</f>
        <v/>
      </c>
      <c r="M6732" s="410" t="str">
        <f>IFERROR(IF([1]H_SpecialBM!M65 = "", "", [1]H_SpecialBM!M65 ),"")</f>
        <v/>
      </c>
      <c r="N6732" s="410" t="str">
        <f>IFERROR(IF([1]H_SpecialBM!N65 = "", "", [1]H_SpecialBM!N65 ),"")</f>
        <v/>
      </c>
    </row>
    <row r="6733" spans="3:14">
      <c r="C6733" s="485"/>
      <c r="D6733" s="485"/>
      <c r="E6733" s="865" t="s">
        <v>1639</v>
      </c>
      <c r="F6733" s="724" t="s">
        <v>367</v>
      </c>
      <c r="G6733" s="1084">
        <v>14.4</v>
      </c>
      <c r="H6733" s="410" t="str">
        <f>IFERROR(IF([1]H_SpecialBM!H66 = "", "", [1]H_SpecialBM!H66 ),"")</f>
        <v/>
      </c>
      <c r="I6733" s="411" t="str">
        <f>IFERROR(IF([1]H_SpecialBM!I66 = "", "", [1]H_SpecialBM!I66 ),"")</f>
        <v/>
      </c>
      <c r="J6733" s="412" t="str">
        <f>IFERROR(IF([1]H_SpecialBM!J66 = "", "", [1]H_SpecialBM!J66 ),"")</f>
        <v/>
      </c>
      <c r="K6733" s="410" t="str">
        <f>IFERROR(IF([1]H_SpecialBM!K66 = "", "", [1]H_SpecialBM!K66 ),"")</f>
        <v/>
      </c>
      <c r="L6733" s="410" t="str">
        <f>IFERROR(IF([1]H_SpecialBM!L66 = "", "", [1]H_SpecialBM!L66 ),"")</f>
        <v/>
      </c>
      <c r="M6733" s="410" t="str">
        <f>IFERROR(IF([1]H_SpecialBM!M66 = "", "", [1]H_SpecialBM!M66 ),"")</f>
        <v/>
      </c>
      <c r="N6733" s="410" t="str">
        <f>IFERROR(IF([1]H_SpecialBM!N66 = "", "", [1]H_SpecialBM!N66 ),"")</f>
        <v/>
      </c>
    </row>
    <row r="6734" spans="3:14">
      <c r="C6734" s="485"/>
      <c r="D6734" s="485"/>
      <c r="E6734" s="865" t="s">
        <v>1035</v>
      </c>
      <c r="F6734" s="724" t="s">
        <v>367</v>
      </c>
      <c r="G6734" s="1084">
        <v>20.8</v>
      </c>
      <c r="H6734" s="410" t="str">
        <f>IFERROR(IF([1]H_SpecialBM!H67 = "", "", [1]H_SpecialBM!H67 ),"")</f>
        <v/>
      </c>
      <c r="I6734" s="411" t="str">
        <f>IFERROR(IF([1]H_SpecialBM!I67 = "", "", [1]H_SpecialBM!I67 ),"")</f>
        <v/>
      </c>
      <c r="J6734" s="412" t="str">
        <f>IFERROR(IF([1]H_SpecialBM!J67 = "", "", [1]H_SpecialBM!J67 ),"")</f>
        <v/>
      </c>
      <c r="K6734" s="410" t="str">
        <f>IFERROR(IF([1]H_SpecialBM!K67 = "", "", [1]H_SpecialBM!K67 ),"")</f>
        <v/>
      </c>
      <c r="L6734" s="410" t="str">
        <f>IFERROR(IF([1]H_SpecialBM!L67 = "", "", [1]H_SpecialBM!L67 ),"")</f>
        <v/>
      </c>
      <c r="M6734" s="410" t="str">
        <f>IFERROR(IF([1]H_SpecialBM!M67 = "", "", [1]H_SpecialBM!M67 ),"")</f>
        <v/>
      </c>
      <c r="N6734" s="410" t="str">
        <f>IFERROR(IF([1]H_SpecialBM!N67 = "", "", [1]H_SpecialBM!N67 ),"")</f>
        <v/>
      </c>
    </row>
    <row r="6735" spans="3:14">
      <c r="C6735" s="485"/>
      <c r="D6735" s="485"/>
      <c r="E6735" s="865" t="s">
        <v>1036</v>
      </c>
      <c r="F6735" s="724" t="s">
        <v>367</v>
      </c>
      <c r="G6735" s="1084">
        <v>1.55</v>
      </c>
      <c r="H6735" s="410" t="str">
        <f>IFERROR(IF([1]H_SpecialBM!H68 = "", "", [1]H_SpecialBM!H68 ),"")</f>
        <v/>
      </c>
      <c r="I6735" s="411" t="str">
        <f>IFERROR(IF([1]H_SpecialBM!I68 = "", "", [1]H_SpecialBM!I68 ),"")</f>
        <v/>
      </c>
      <c r="J6735" s="412" t="str">
        <f>IFERROR(IF([1]H_SpecialBM!J68 = "", "", [1]H_SpecialBM!J68 ),"")</f>
        <v/>
      </c>
      <c r="K6735" s="410" t="str">
        <f>IFERROR(IF([1]H_SpecialBM!K68 = "", "", [1]H_SpecialBM!K68 ),"")</f>
        <v/>
      </c>
      <c r="L6735" s="410" t="str">
        <f>IFERROR(IF([1]H_SpecialBM!L68 = "", "", [1]H_SpecialBM!L68 ),"")</f>
        <v/>
      </c>
      <c r="M6735" s="410" t="str">
        <f>IFERROR(IF([1]H_SpecialBM!M68 = "", "", [1]H_SpecialBM!M68 ),"")</f>
        <v/>
      </c>
      <c r="N6735" s="410" t="str">
        <f>IFERROR(IF([1]H_SpecialBM!N68 = "", "", [1]H_SpecialBM!N68 ),"")</f>
        <v/>
      </c>
    </row>
    <row r="6736" spans="3:14">
      <c r="C6736" s="485"/>
      <c r="D6736" s="485"/>
      <c r="E6736" s="865" t="s">
        <v>1037</v>
      </c>
      <c r="F6736" s="724" t="s">
        <v>367</v>
      </c>
      <c r="G6736" s="1084">
        <v>5</v>
      </c>
      <c r="H6736" s="410" t="str">
        <f>IFERROR(IF([1]H_SpecialBM!H69 = "", "", [1]H_SpecialBM!H69 ),"")</f>
        <v/>
      </c>
      <c r="I6736" s="411" t="str">
        <f>IFERROR(IF([1]H_SpecialBM!I69 = "", "", [1]H_SpecialBM!I69 ),"")</f>
        <v/>
      </c>
      <c r="J6736" s="412" t="str">
        <f>IFERROR(IF([1]H_SpecialBM!J69 = "", "", [1]H_SpecialBM!J69 ),"")</f>
        <v/>
      </c>
      <c r="K6736" s="410" t="str">
        <f>IFERROR(IF([1]H_SpecialBM!K69 = "", "", [1]H_SpecialBM!K69 ),"")</f>
        <v/>
      </c>
      <c r="L6736" s="410" t="str">
        <f>IFERROR(IF([1]H_SpecialBM!L69 = "", "", [1]H_SpecialBM!L69 ),"")</f>
        <v/>
      </c>
      <c r="M6736" s="410" t="str">
        <f>IFERROR(IF([1]H_SpecialBM!M69 = "", "", [1]H_SpecialBM!M69 ),"")</f>
        <v/>
      </c>
      <c r="N6736" s="410" t="str">
        <f>IFERROR(IF([1]H_SpecialBM!N69 = "", "", [1]H_SpecialBM!N69 ),"")</f>
        <v/>
      </c>
    </row>
    <row r="6737" spans="3:14">
      <c r="C6737" s="485"/>
      <c r="D6737" s="485"/>
      <c r="E6737" s="865" t="s">
        <v>1038</v>
      </c>
      <c r="F6737" s="724" t="s">
        <v>367</v>
      </c>
      <c r="G6737" s="1084">
        <v>1.1499999999999999</v>
      </c>
      <c r="H6737" s="410" t="str">
        <f>IFERROR(IF([1]H_SpecialBM!H70 = "", "", [1]H_SpecialBM!H70 ),"")</f>
        <v/>
      </c>
      <c r="I6737" s="411" t="str">
        <f>IFERROR(IF([1]H_SpecialBM!I70 = "", "", [1]H_SpecialBM!I70 ),"")</f>
        <v/>
      </c>
      <c r="J6737" s="412" t="str">
        <f>IFERROR(IF([1]H_SpecialBM!J70 = "", "", [1]H_SpecialBM!J70 ),"")</f>
        <v/>
      </c>
      <c r="K6737" s="410" t="str">
        <f>IFERROR(IF([1]H_SpecialBM!K70 = "", "", [1]H_SpecialBM!K70 ),"")</f>
        <v/>
      </c>
      <c r="L6737" s="410" t="str">
        <f>IFERROR(IF([1]H_SpecialBM!L70 = "", "", [1]H_SpecialBM!L70 ),"")</f>
        <v/>
      </c>
      <c r="M6737" s="410" t="str">
        <f>IFERROR(IF([1]H_SpecialBM!M70 = "", "", [1]H_SpecialBM!M70 ),"")</f>
        <v/>
      </c>
      <c r="N6737" s="410" t="str">
        <f>IFERROR(IF([1]H_SpecialBM!N70 = "", "", [1]H_SpecialBM!N70 ),"")</f>
        <v/>
      </c>
    </row>
    <row r="6738" spans="3:14">
      <c r="C6738" s="485"/>
      <c r="D6738" s="485"/>
      <c r="E6738" s="865" t="s">
        <v>494</v>
      </c>
      <c r="F6738" s="724" t="s">
        <v>292</v>
      </c>
      <c r="G6738" s="1084">
        <v>2.1</v>
      </c>
      <c r="H6738" s="410" t="str">
        <f>IFERROR(IF([1]H_SpecialBM!H71 = "", "", [1]H_SpecialBM!H71 ),"")</f>
        <v/>
      </c>
      <c r="I6738" s="411" t="str">
        <f>IFERROR(IF([1]H_SpecialBM!I71 = "", "", [1]H_SpecialBM!I71 ),"")</f>
        <v/>
      </c>
      <c r="J6738" s="412" t="str">
        <f>IFERROR(IF([1]H_SpecialBM!J71 = "", "", [1]H_SpecialBM!J71 ),"")</f>
        <v/>
      </c>
      <c r="K6738" s="410" t="str">
        <f>IFERROR(IF([1]H_SpecialBM!K71 = "", "", [1]H_SpecialBM!K71 ),"")</f>
        <v/>
      </c>
      <c r="L6738" s="410" t="str">
        <f>IFERROR(IF([1]H_SpecialBM!L71 = "", "", [1]H_SpecialBM!L71 ),"")</f>
        <v/>
      </c>
      <c r="M6738" s="410" t="str">
        <f>IFERROR(IF([1]H_SpecialBM!M71 = "", "", [1]H_SpecialBM!M71 ),"")</f>
        <v/>
      </c>
      <c r="N6738" s="410" t="str">
        <f>IFERROR(IF([1]H_SpecialBM!N71 = "", "", [1]H_SpecialBM!N71 ),"")</f>
        <v/>
      </c>
    </row>
    <row r="6739" spans="3:14">
      <c r="C6739" s="485"/>
      <c r="D6739" s="485"/>
      <c r="E6739" s="865" t="s">
        <v>495</v>
      </c>
      <c r="F6739" s="724" t="s">
        <v>292</v>
      </c>
      <c r="G6739" s="1084">
        <v>4.55</v>
      </c>
      <c r="H6739" s="410" t="str">
        <f>IFERROR(IF([1]H_SpecialBM!H72 = "", "", [1]H_SpecialBM!H72 ),"")</f>
        <v/>
      </c>
      <c r="I6739" s="411" t="str">
        <f>IFERROR(IF([1]H_SpecialBM!I72 = "", "", [1]H_SpecialBM!I72 ),"")</f>
        <v/>
      </c>
      <c r="J6739" s="412" t="str">
        <f>IFERROR(IF([1]H_SpecialBM!J72 = "", "", [1]H_SpecialBM!J72 ),"")</f>
        <v/>
      </c>
      <c r="K6739" s="410" t="str">
        <f>IFERROR(IF([1]H_SpecialBM!K72 = "", "", [1]H_SpecialBM!K72 ),"")</f>
        <v/>
      </c>
      <c r="L6739" s="410" t="str">
        <f>IFERROR(IF([1]H_SpecialBM!L72 = "", "", [1]H_SpecialBM!L72 ),"")</f>
        <v/>
      </c>
      <c r="M6739" s="410" t="str">
        <f>IFERROR(IF([1]H_SpecialBM!M72 = "", "", [1]H_SpecialBM!M72 ),"")</f>
        <v/>
      </c>
      <c r="N6739" s="410" t="str">
        <f>IFERROR(IF([1]H_SpecialBM!N72 = "", "", [1]H_SpecialBM!N72 ),"")</f>
        <v/>
      </c>
    </row>
    <row r="6740" spans="3:14">
      <c r="C6740" s="485"/>
      <c r="D6740" s="485"/>
      <c r="E6740" s="865" t="s">
        <v>496</v>
      </c>
      <c r="F6740" s="724" t="s">
        <v>292</v>
      </c>
      <c r="G6740" s="1084">
        <v>1.6</v>
      </c>
      <c r="H6740" s="410" t="str">
        <f>IFERROR(IF([1]H_SpecialBM!H73 = "", "", [1]H_SpecialBM!H73 ),"")</f>
        <v/>
      </c>
      <c r="I6740" s="411" t="str">
        <f>IFERROR(IF([1]H_SpecialBM!I73 = "", "", [1]H_SpecialBM!I73 ),"")</f>
        <v/>
      </c>
      <c r="J6740" s="412" t="str">
        <f>IFERROR(IF([1]H_SpecialBM!J73 = "", "", [1]H_SpecialBM!J73 ),"")</f>
        <v/>
      </c>
      <c r="K6740" s="410" t="str">
        <f>IFERROR(IF([1]H_SpecialBM!K73 = "", "", [1]H_SpecialBM!K73 ),"")</f>
        <v/>
      </c>
      <c r="L6740" s="410" t="str">
        <f>IFERROR(IF([1]H_SpecialBM!L73 = "", "", [1]H_SpecialBM!L73 ),"")</f>
        <v/>
      </c>
      <c r="M6740" s="410" t="str">
        <f>IFERROR(IF([1]H_SpecialBM!M73 = "", "", [1]H_SpecialBM!M73 ),"")</f>
        <v/>
      </c>
      <c r="N6740" s="410" t="str">
        <f>IFERROR(IF([1]H_SpecialBM!N73 = "", "", [1]H_SpecialBM!N73 ),"")</f>
        <v/>
      </c>
    </row>
    <row r="6741" spans="3:14">
      <c r="C6741" s="485"/>
      <c r="D6741" s="485"/>
      <c r="E6741" s="865" t="s">
        <v>77</v>
      </c>
      <c r="F6741" s="724" t="s">
        <v>292</v>
      </c>
      <c r="G6741" s="1084">
        <v>2.5</v>
      </c>
      <c r="H6741" s="410" t="str">
        <f>IFERROR(IF([1]H_SpecialBM!H74 = "", "", [1]H_SpecialBM!H74 ),"")</f>
        <v/>
      </c>
      <c r="I6741" s="411" t="str">
        <f>IFERROR(IF([1]H_SpecialBM!I74 = "", "", [1]H_SpecialBM!I74 ),"")</f>
        <v/>
      </c>
      <c r="J6741" s="412" t="str">
        <f>IFERROR(IF([1]H_SpecialBM!J74 = "", "", [1]H_SpecialBM!J74 ),"")</f>
        <v/>
      </c>
      <c r="K6741" s="410" t="str">
        <f>IFERROR(IF([1]H_SpecialBM!K74 = "", "", [1]H_SpecialBM!K74 ),"")</f>
        <v/>
      </c>
      <c r="L6741" s="410" t="str">
        <f>IFERROR(IF([1]H_SpecialBM!L74 = "", "", [1]H_SpecialBM!L74 ),"")</f>
        <v/>
      </c>
      <c r="M6741" s="410" t="str">
        <f>IFERROR(IF([1]H_SpecialBM!M74 = "", "", [1]H_SpecialBM!M74 ),"")</f>
        <v/>
      </c>
      <c r="N6741" s="410" t="str">
        <f>IFERROR(IF([1]H_SpecialBM!N74 = "", "", [1]H_SpecialBM!N74 ),"")</f>
        <v/>
      </c>
    </row>
    <row r="6742" spans="3:14">
      <c r="C6742" s="485"/>
      <c r="D6742" s="485"/>
      <c r="E6742" s="865" t="s">
        <v>78</v>
      </c>
      <c r="F6742" s="724" t="s">
        <v>367</v>
      </c>
      <c r="G6742" s="1084">
        <v>12</v>
      </c>
      <c r="H6742" s="410" t="str">
        <f>IFERROR(IF([1]H_SpecialBM!H75 = "", "", [1]H_SpecialBM!H75 ),"")</f>
        <v/>
      </c>
      <c r="I6742" s="411" t="str">
        <f>IFERROR(IF([1]H_SpecialBM!I75 = "", "", [1]H_SpecialBM!I75 ),"")</f>
        <v/>
      </c>
      <c r="J6742" s="412" t="str">
        <f>IFERROR(IF([1]H_SpecialBM!J75 = "", "", [1]H_SpecialBM!J75 ),"")</f>
        <v/>
      </c>
      <c r="K6742" s="410" t="str">
        <f>IFERROR(IF([1]H_SpecialBM!K75 = "", "", [1]H_SpecialBM!K75 ),"")</f>
        <v/>
      </c>
      <c r="L6742" s="410" t="str">
        <f>IFERROR(IF([1]H_SpecialBM!L75 = "", "", [1]H_SpecialBM!L75 ),"")</f>
        <v/>
      </c>
      <c r="M6742" s="410" t="str">
        <f>IFERROR(IF([1]H_SpecialBM!M75 = "", "", [1]H_SpecialBM!M75 ),"")</f>
        <v/>
      </c>
      <c r="N6742" s="410" t="str">
        <f>IFERROR(IF([1]H_SpecialBM!N75 = "", "", [1]H_SpecialBM!N75 ),"")</f>
        <v/>
      </c>
    </row>
    <row r="6743" spans="3:14">
      <c r="C6743" s="485"/>
      <c r="D6743" s="485"/>
      <c r="E6743" s="865" t="s">
        <v>79</v>
      </c>
      <c r="F6743" s="724" t="s">
        <v>292</v>
      </c>
      <c r="G6743" s="1084">
        <v>1.1499999999999999</v>
      </c>
      <c r="H6743" s="410" t="str">
        <f>IFERROR(IF([1]H_SpecialBM!H76 = "", "", [1]H_SpecialBM!H76 ),"")</f>
        <v/>
      </c>
      <c r="I6743" s="411" t="str">
        <f>IFERROR(IF([1]H_SpecialBM!I76 = "", "", [1]H_SpecialBM!I76 ),"")</f>
        <v/>
      </c>
      <c r="J6743" s="412" t="str">
        <f>IFERROR(IF([1]H_SpecialBM!J76 = "", "", [1]H_SpecialBM!J76 ),"")</f>
        <v/>
      </c>
      <c r="K6743" s="410" t="str">
        <f>IFERROR(IF([1]H_SpecialBM!K76 = "", "", [1]H_SpecialBM!K76 ),"")</f>
        <v/>
      </c>
      <c r="L6743" s="410" t="str">
        <f>IFERROR(IF([1]H_SpecialBM!L76 = "", "", [1]H_SpecialBM!L76 ),"")</f>
        <v/>
      </c>
      <c r="M6743" s="410" t="str">
        <f>IFERROR(IF([1]H_SpecialBM!M76 = "", "", [1]H_SpecialBM!M76 ),"")</f>
        <v/>
      </c>
      <c r="N6743" s="410" t="str">
        <f>IFERROR(IF([1]H_SpecialBM!N76 = "", "", [1]H_SpecialBM!N76 ),"")</f>
        <v/>
      </c>
    </row>
    <row r="6744" spans="3:14">
      <c r="C6744" s="485"/>
      <c r="D6744" s="485"/>
      <c r="E6744" s="865" t="s">
        <v>497</v>
      </c>
      <c r="F6744" s="724" t="s">
        <v>292</v>
      </c>
      <c r="G6744" s="1084">
        <v>1.25</v>
      </c>
      <c r="H6744" s="410" t="str">
        <f>IFERROR(IF([1]H_SpecialBM!H77 = "", "", [1]H_SpecialBM!H77 ),"")</f>
        <v/>
      </c>
      <c r="I6744" s="411" t="str">
        <f>IFERROR(IF([1]H_SpecialBM!I77 = "", "", [1]H_SpecialBM!I77 ),"")</f>
        <v/>
      </c>
      <c r="J6744" s="412" t="str">
        <f>IFERROR(IF([1]H_SpecialBM!J77 = "", "", [1]H_SpecialBM!J77 ),"")</f>
        <v/>
      </c>
      <c r="K6744" s="410" t="str">
        <f>IFERROR(IF([1]H_SpecialBM!K77 = "", "", [1]H_SpecialBM!K77 ),"")</f>
        <v/>
      </c>
      <c r="L6744" s="410" t="str">
        <f>IFERROR(IF([1]H_SpecialBM!L77 = "", "", [1]H_SpecialBM!L77 ),"")</f>
        <v/>
      </c>
      <c r="M6744" s="410" t="str">
        <f>IFERROR(IF([1]H_SpecialBM!M77 = "", "", [1]H_SpecialBM!M77 ),"")</f>
        <v/>
      </c>
      <c r="N6744" s="410" t="str">
        <f>IFERROR(IF([1]H_SpecialBM!N77 = "", "", [1]H_SpecialBM!N77 ),"")</f>
        <v/>
      </c>
    </row>
    <row r="6745" spans="3:14">
      <c r="C6745" s="485"/>
      <c r="D6745" s="485"/>
      <c r="E6745" s="865" t="s">
        <v>498</v>
      </c>
      <c r="F6745" s="724" t="s">
        <v>292</v>
      </c>
      <c r="G6745" s="1084">
        <v>0.9</v>
      </c>
      <c r="H6745" s="410" t="str">
        <f>IFERROR(IF([1]H_SpecialBM!H78 = "", "", [1]H_SpecialBM!H78 ),"")</f>
        <v/>
      </c>
      <c r="I6745" s="411" t="str">
        <f>IFERROR(IF([1]H_SpecialBM!I78 = "", "", [1]H_SpecialBM!I78 ),"")</f>
        <v/>
      </c>
      <c r="J6745" s="412" t="str">
        <f>IFERROR(IF([1]H_SpecialBM!J78 = "", "", [1]H_SpecialBM!J78 ),"")</f>
        <v/>
      </c>
      <c r="K6745" s="410" t="str">
        <f>IFERROR(IF([1]H_SpecialBM!K78 = "", "", [1]H_SpecialBM!K78 ),"")</f>
        <v/>
      </c>
      <c r="L6745" s="410" t="str">
        <f>IFERROR(IF([1]H_SpecialBM!L78 = "", "", [1]H_SpecialBM!L78 ),"")</f>
        <v/>
      </c>
      <c r="M6745" s="410" t="str">
        <f>IFERROR(IF([1]H_SpecialBM!M78 = "", "", [1]H_SpecialBM!M78 ),"")</f>
        <v/>
      </c>
      <c r="N6745" s="410" t="str">
        <f>IFERROR(IF([1]H_SpecialBM!N78 = "", "", [1]H_SpecialBM!N78 ),"")</f>
        <v/>
      </c>
    </row>
    <row r="6746" spans="3:14">
      <c r="C6746" s="485"/>
      <c r="D6746" s="485"/>
      <c r="E6746" s="865" t="s">
        <v>499</v>
      </c>
      <c r="F6746" s="724" t="s">
        <v>367</v>
      </c>
      <c r="G6746" s="1084">
        <v>1.85</v>
      </c>
      <c r="H6746" s="410" t="str">
        <f>IFERROR(IF([1]H_SpecialBM!H79 = "", "", [1]H_SpecialBM!H79 ),"")</f>
        <v/>
      </c>
      <c r="I6746" s="411" t="str">
        <f>IFERROR(IF([1]H_SpecialBM!I79 = "", "", [1]H_SpecialBM!I79 ),"")</f>
        <v/>
      </c>
      <c r="J6746" s="412" t="str">
        <f>IFERROR(IF([1]H_SpecialBM!J79 = "", "", [1]H_SpecialBM!J79 ),"")</f>
        <v/>
      </c>
      <c r="K6746" s="410" t="str">
        <f>IFERROR(IF([1]H_SpecialBM!K79 = "", "", [1]H_SpecialBM!K79 ),"")</f>
        <v/>
      </c>
      <c r="L6746" s="410" t="str">
        <f>IFERROR(IF([1]H_SpecialBM!L79 = "", "", [1]H_SpecialBM!L79 ),"")</f>
        <v/>
      </c>
      <c r="M6746" s="410" t="str">
        <f>IFERROR(IF([1]H_SpecialBM!M79 = "", "", [1]H_SpecialBM!M79 ),"")</f>
        <v/>
      </c>
      <c r="N6746" s="410" t="str">
        <f>IFERROR(IF([1]H_SpecialBM!N79 = "", "", [1]H_SpecialBM!N79 ),"")</f>
        <v/>
      </c>
    </row>
    <row r="6747" spans="3:14" ht="25.5">
      <c r="C6747" s="485"/>
      <c r="D6747" s="485"/>
      <c r="E6747" s="865" t="s">
        <v>500</v>
      </c>
      <c r="F6747" s="724" t="s">
        <v>501</v>
      </c>
      <c r="G6747" s="1084">
        <v>8.1999999999999993</v>
      </c>
      <c r="H6747" s="410" t="str">
        <f>IFERROR(IF([1]H_SpecialBM!H80 = "", "", [1]H_SpecialBM!H80 ),"")</f>
        <v/>
      </c>
      <c r="I6747" s="411" t="str">
        <f>IFERROR(IF([1]H_SpecialBM!I80 = "", "", [1]H_SpecialBM!I80 ),"")</f>
        <v/>
      </c>
      <c r="J6747" s="412" t="str">
        <f>IFERROR(IF([1]H_SpecialBM!J80 = "", "", [1]H_SpecialBM!J80 ),"")</f>
        <v/>
      </c>
      <c r="K6747" s="410" t="str">
        <f>IFERROR(IF([1]H_SpecialBM!K80 = "", "", [1]H_SpecialBM!K80 ),"")</f>
        <v/>
      </c>
      <c r="L6747" s="410" t="str">
        <f>IFERROR(IF([1]H_SpecialBM!L80 = "", "", [1]H_SpecialBM!L80 ),"")</f>
        <v/>
      </c>
      <c r="M6747" s="410" t="str">
        <f>IFERROR(IF([1]H_SpecialBM!M80 = "", "", [1]H_SpecialBM!M80 ),"")</f>
        <v/>
      </c>
      <c r="N6747" s="410" t="str">
        <f>IFERROR(IF([1]H_SpecialBM!N80 = "", "", [1]H_SpecialBM!N80 ),"")</f>
        <v/>
      </c>
    </row>
    <row r="6748" spans="3:14" ht="38.25">
      <c r="C6748" s="485"/>
      <c r="D6748" s="485"/>
      <c r="E6748" s="865" t="s">
        <v>502</v>
      </c>
      <c r="F6748" s="724" t="s">
        <v>501</v>
      </c>
      <c r="G6748" s="1084">
        <v>44</v>
      </c>
      <c r="H6748" s="410" t="str">
        <f>IFERROR(IF([1]H_SpecialBM!H81 = "", "", [1]H_SpecialBM!H81 ),"")</f>
        <v/>
      </c>
      <c r="I6748" s="411" t="str">
        <f>IFERROR(IF([1]H_SpecialBM!I81 = "", "", [1]H_SpecialBM!I81 ),"")</f>
        <v/>
      </c>
      <c r="J6748" s="412" t="str">
        <f>IFERROR(IF([1]H_SpecialBM!J81 = "", "", [1]H_SpecialBM!J81 ),"")</f>
        <v/>
      </c>
      <c r="K6748" s="410" t="str">
        <f>IFERROR(IF([1]H_SpecialBM!K81 = "", "", [1]H_SpecialBM!K81 ),"")</f>
        <v/>
      </c>
      <c r="L6748" s="410" t="str">
        <f>IFERROR(IF([1]H_SpecialBM!L81 = "", "", [1]H_SpecialBM!L81 ),"")</f>
        <v/>
      </c>
      <c r="M6748" s="410" t="str">
        <f>IFERROR(IF([1]H_SpecialBM!M81 = "", "", [1]H_SpecialBM!M81 ),"")</f>
        <v/>
      </c>
      <c r="N6748" s="410" t="str">
        <f>IFERROR(IF([1]H_SpecialBM!N81 = "", "", [1]H_SpecialBM!N81 ),"")</f>
        <v/>
      </c>
    </row>
    <row r="6749" spans="3:14">
      <c r="C6749" s="485"/>
      <c r="D6749" s="485"/>
      <c r="E6749" s="865" t="s">
        <v>503</v>
      </c>
      <c r="F6749" s="724" t="s">
        <v>367</v>
      </c>
      <c r="G6749" s="1084">
        <v>-36.200000000000003</v>
      </c>
      <c r="H6749" s="410" t="str">
        <f>IFERROR(IF([1]H_SpecialBM!H82 = "", "", [1]H_SpecialBM!H82 ),"")</f>
        <v/>
      </c>
      <c r="I6749" s="411" t="str">
        <f>IFERROR(IF([1]H_SpecialBM!I82 = "", "", [1]H_SpecialBM!I82 ),"")</f>
        <v/>
      </c>
      <c r="J6749" s="412" t="str">
        <f>IFERROR(IF([1]H_SpecialBM!J82 = "", "", [1]H_SpecialBM!J82 ),"")</f>
        <v/>
      </c>
      <c r="K6749" s="410" t="str">
        <f>IFERROR(IF([1]H_SpecialBM!K82 = "", "", [1]H_SpecialBM!K82 ),"")</f>
        <v/>
      </c>
      <c r="L6749" s="410" t="str">
        <f>IFERROR(IF([1]H_SpecialBM!L82 = "", "", [1]H_SpecialBM!L82 ),"")</f>
        <v/>
      </c>
      <c r="M6749" s="410" t="str">
        <f>IFERROR(IF([1]H_SpecialBM!M82 = "", "", [1]H_SpecialBM!M82 ),"")</f>
        <v/>
      </c>
      <c r="N6749" s="410" t="str">
        <f>IFERROR(IF([1]H_SpecialBM!N82 = "", "", [1]H_SpecialBM!N82 ),"")</f>
        <v/>
      </c>
    </row>
    <row r="6750" spans="3:14">
      <c r="C6750" s="485"/>
      <c r="D6750" s="485"/>
      <c r="E6750" s="865" t="s">
        <v>504</v>
      </c>
      <c r="F6750" s="724" t="s">
        <v>505</v>
      </c>
      <c r="G6750" s="1084">
        <v>8.8000000000000007</v>
      </c>
      <c r="H6750" s="410" t="str">
        <f>IFERROR(IF([1]H_SpecialBM!H83 = "", "", [1]H_SpecialBM!H83 ),"")</f>
        <v/>
      </c>
      <c r="I6750" s="411" t="str">
        <f>IFERROR(IF([1]H_SpecialBM!I83 = "", "", [1]H_SpecialBM!I83 ),"")</f>
        <v/>
      </c>
      <c r="J6750" s="412" t="str">
        <f>IFERROR(IF([1]H_SpecialBM!J83 = "", "", [1]H_SpecialBM!J83 ),"")</f>
        <v/>
      </c>
      <c r="K6750" s="410" t="str">
        <f>IFERROR(IF([1]H_SpecialBM!K83 = "", "", [1]H_SpecialBM!K83 ),"")</f>
        <v/>
      </c>
      <c r="L6750" s="410" t="str">
        <f>IFERROR(IF([1]H_SpecialBM!L83 = "", "", [1]H_SpecialBM!L83 ),"")</f>
        <v/>
      </c>
      <c r="M6750" s="410" t="str">
        <f>IFERROR(IF([1]H_SpecialBM!M83 = "", "", [1]H_SpecialBM!M83 ),"")</f>
        <v/>
      </c>
      <c r="N6750" s="410" t="str">
        <f>IFERROR(IF([1]H_SpecialBM!N83 = "", "", [1]H_SpecialBM!N83 ),"")</f>
        <v/>
      </c>
    </row>
    <row r="6751" spans="3:14">
      <c r="C6751" s="485"/>
      <c r="D6751" s="485"/>
      <c r="E6751" s="865" t="s">
        <v>506</v>
      </c>
      <c r="F6751" s="724" t="s">
        <v>292</v>
      </c>
      <c r="G6751" s="1084">
        <v>1</v>
      </c>
      <c r="H6751" s="410" t="str">
        <f>IFERROR(IF([1]H_SpecialBM!H84 = "", "", [1]H_SpecialBM!H84 ),"")</f>
        <v/>
      </c>
      <c r="I6751" s="411" t="str">
        <f>IFERROR(IF([1]H_SpecialBM!I84 = "", "", [1]H_SpecialBM!I84 ),"")</f>
        <v/>
      </c>
      <c r="J6751" s="412" t="str">
        <f>IFERROR(IF([1]H_SpecialBM!J84 = "", "", [1]H_SpecialBM!J84 ),"")</f>
        <v/>
      </c>
      <c r="K6751" s="410" t="str">
        <f>IFERROR(IF([1]H_SpecialBM!K84 = "", "", [1]H_SpecialBM!K84 ),"")</f>
        <v/>
      </c>
      <c r="L6751" s="410" t="str">
        <f>IFERROR(IF([1]H_SpecialBM!L84 = "", "", [1]H_SpecialBM!L84 ),"")</f>
        <v/>
      </c>
      <c r="M6751" s="410" t="str">
        <f>IFERROR(IF([1]H_SpecialBM!M84 = "", "", [1]H_SpecialBM!M84 ),"")</f>
        <v/>
      </c>
      <c r="N6751" s="410" t="str">
        <f>IFERROR(IF([1]H_SpecialBM!N84 = "", "", [1]H_SpecialBM!N84 ),"")</f>
        <v/>
      </c>
    </row>
    <row r="6752" spans="3:14">
      <c r="C6752" s="485"/>
      <c r="D6752" s="485"/>
      <c r="E6752" s="865" t="s">
        <v>507</v>
      </c>
      <c r="F6752" s="724" t="s">
        <v>508</v>
      </c>
      <c r="G6752" s="1084">
        <v>0.1</v>
      </c>
      <c r="H6752" s="410" t="str">
        <f>IFERROR(IF([1]H_SpecialBM!H85 = "", "", [1]H_SpecialBM!H85 ),"")</f>
        <v/>
      </c>
      <c r="I6752" s="411" t="str">
        <f>IFERROR(IF([1]H_SpecialBM!I85 = "", "", [1]H_SpecialBM!I85 ),"")</f>
        <v/>
      </c>
      <c r="J6752" s="412" t="str">
        <f>IFERROR(IF([1]H_SpecialBM!J85 = "", "", [1]H_SpecialBM!J85 ),"")</f>
        <v/>
      </c>
      <c r="K6752" s="410" t="str">
        <f>IFERROR(IF([1]H_SpecialBM!K85 = "", "", [1]H_SpecialBM!K85 ),"")</f>
        <v/>
      </c>
      <c r="L6752" s="410" t="str">
        <f>IFERROR(IF([1]H_SpecialBM!L85 = "", "", [1]H_SpecialBM!L85 ),"")</f>
        <v/>
      </c>
      <c r="M6752" s="410" t="str">
        <f>IFERROR(IF([1]H_SpecialBM!M85 = "", "", [1]H_SpecialBM!M85 ),"")</f>
        <v/>
      </c>
      <c r="N6752" s="410" t="str">
        <f>IFERROR(IF([1]H_SpecialBM!N85 = "", "", [1]H_SpecialBM!N85 ),"")</f>
        <v/>
      </c>
    </row>
    <row r="6753" spans="3:14" ht="25.5">
      <c r="C6753" s="485"/>
      <c r="D6753" s="485"/>
      <c r="E6753" s="865" t="s">
        <v>509</v>
      </c>
      <c r="F6753" s="724" t="s">
        <v>510</v>
      </c>
      <c r="G6753" s="1084">
        <v>0.15</v>
      </c>
      <c r="H6753" s="410" t="str">
        <f>IFERROR(IF([1]H_SpecialBM!H86 = "", "", [1]H_SpecialBM!H86 ),"")</f>
        <v/>
      </c>
      <c r="I6753" s="411" t="str">
        <f>IFERROR(IF([1]H_SpecialBM!I86 = "", "", [1]H_SpecialBM!I86 ),"")</f>
        <v/>
      </c>
      <c r="J6753" s="412" t="str">
        <f>IFERROR(IF([1]H_SpecialBM!J86 = "", "", [1]H_SpecialBM!J86 ),"")</f>
        <v/>
      </c>
      <c r="K6753" s="410" t="str">
        <f>IFERROR(IF([1]H_SpecialBM!K86 = "", "", [1]H_SpecialBM!K86 ),"")</f>
        <v/>
      </c>
      <c r="L6753" s="410" t="str">
        <f>IFERROR(IF([1]H_SpecialBM!L86 = "", "", [1]H_SpecialBM!L86 ),"")</f>
        <v/>
      </c>
      <c r="M6753" s="410" t="str">
        <f>IFERROR(IF([1]H_SpecialBM!M86 = "", "", [1]H_SpecialBM!M86 ),"")</f>
        <v/>
      </c>
      <c r="N6753" s="410" t="str">
        <f>IFERROR(IF([1]H_SpecialBM!N86 = "", "", [1]H_SpecialBM!N86 ),"")</f>
        <v/>
      </c>
    </row>
    <row r="6754" spans="3:14">
      <c r="C6754" s="485"/>
      <c r="D6754" s="485"/>
      <c r="E6754" s="932" t="s">
        <v>511</v>
      </c>
      <c r="F6754" s="728" t="s">
        <v>367</v>
      </c>
      <c r="G6754" s="1085">
        <v>1.1499999999999999</v>
      </c>
      <c r="H6754" s="413" t="str">
        <f>IFERROR(IF([1]H_SpecialBM!H87 = "", "", [1]H_SpecialBM!H87 ),"")</f>
        <v/>
      </c>
      <c r="I6754" s="414" t="str">
        <f>IFERROR(IF([1]H_SpecialBM!I87 = "", "", [1]H_SpecialBM!I87 ),"")</f>
        <v/>
      </c>
      <c r="J6754" s="415" t="str">
        <f>IFERROR(IF([1]H_SpecialBM!J87 = "", "", [1]H_SpecialBM!J87 ),"")</f>
        <v/>
      </c>
      <c r="K6754" s="413" t="str">
        <f>IFERROR(IF([1]H_SpecialBM!K87 = "", "", [1]H_SpecialBM!K87 ),"")</f>
        <v/>
      </c>
      <c r="L6754" s="413" t="str">
        <f>IFERROR(IF([1]H_SpecialBM!L87 = "", "", [1]H_SpecialBM!L87 ),"")</f>
        <v/>
      </c>
      <c r="M6754" s="413" t="str">
        <f>IFERROR(IF([1]H_SpecialBM!M87 = "", "", [1]H_SpecialBM!M87 ),"")</f>
        <v/>
      </c>
      <c r="N6754" s="413" t="str">
        <f>IFERROR(IF([1]H_SpecialBM!N87 = "", "", [1]H_SpecialBM!N87 ),"")</f>
        <v/>
      </c>
    </row>
    <row r="6755" spans="3:14">
      <c r="C6755" s="467"/>
      <c r="D6755" s="467"/>
      <c r="E6755" s="467"/>
      <c r="F6755" s="467"/>
      <c r="G6755" s="467"/>
      <c r="H6755" s="467"/>
      <c r="I6755" s="467"/>
      <c r="J6755" s="467"/>
      <c r="K6755" s="467"/>
      <c r="L6755" s="467"/>
      <c r="M6755" s="481"/>
      <c r="N6755" s="481"/>
    </row>
    <row r="6756" spans="3:14">
      <c r="C6756" s="467"/>
      <c r="D6756" s="482" t="s">
        <v>48</v>
      </c>
      <c r="E6756" s="2373" t="s">
        <v>960</v>
      </c>
      <c r="F6756" s="2400"/>
      <c r="G6756" s="2400"/>
      <c r="H6756" s="2400"/>
      <c r="I6756" s="2400"/>
      <c r="J6756" s="2400"/>
      <c r="K6756" s="2400"/>
      <c r="L6756" s="2400"/>
      <c r="M6756" s="2400"/>
      <c r="N6756" s="2400"/>
    </row>
    <row r="6757" spans="3:14">
      <c r="C6757" s="467"/>
      <c r="D6757" s="485"/>
      <c r="E6757" s="2465" t="s">
        <v>1246</v>
      </c>
      <c r="F6757" s="2400"/>
      <c r="G6757" s="2400"/>
      <c r="H6757" s="2400"/>
      <c r="I6757" s="2400"/>
      <c r="J6757" s="2400"/>
      <c r="K6757" s="2400"/>
      <c r="L6757" s="2400"/>
      <c r="M6757" s="2400"/>
      <c r="N6757" s="2400"/>
    </row>
    <row r="6758" spans="3:14">
      <c r="C6758" s="467"/>
      <c r="D6758" s="485"/>
      <c r="E6758" s="2466" t="s">
        <v>1545</v>
      </c>
      <c r="F6758" s="2400"/>
      <c r="G6758" s="2400"/>
      <c r="H6758" s="2400"/>
      <c r="I6758" s="2400"/>
      <c r="J6758" s="2400"/>
      <c r="K6758" s="2400"/>
      <c r="L6758" s="2400"/>
      <c r="M6758" s="2400"/>
      <c r="N6758" s="2400"/>
    </row>
    <row r="6759" spans="3:14">
      <c r="C6759" s="467"/>
      <c r="D6759" s="485"/>
      <c r="E6759" s="2466" t="s">
        <v>2306</v>
      </c>
      <c r="F6759" s="2400"/>
      <c r="G6759" s="2400"/>
      <c r="H6759" s="2400"/>
      <c r="I6759" s="2400"/>
      <c r="J6759" s="2400"/>
      <c r="K6759" s="2400"/>
      <c r="L6759" s="2400"/>
      <c r="M6759" s="2400"/>
      <c r="N6759" s="2400"/>
    </row>
    <row r="6760" spans="3:14">
      <c r="C6760" s="467"/>
      <c r="D6760" s="485"/>
      <c r="E6760" s="2465" t="s">
        <v>1247</v>
      </c>
      <c r="F6760" s="2400"/>
      <c r="G6760" s="2400"/>
      <c r="H6760" s="2400"/>
      <c r="I6760" s="2400"/>
      <c r="J6760" s="2400"/>
      <c r="K6760" s="2400"/>
      <c r="L6760" s="2400"/>
      <c r="M6760" s="2400"/>
      <c r="N6760" s="2400"/>
    </row>
    <row r="6761" spans="3:14">
      <c r="C6761" s="485"/>
      <c r="D6761" s="482"/>
      <c r="E6761" s="637"/>
      <c r="F6761" s="637"/>
      <c r="G6761" s="663" t="s">
        <v>884</v>
      </c>
      <c r="H6761" s="671">
        <v>2019</v>
      </c>
      <c r="I6761" s="1081">
        <v>2020</v>
      </c>
      <c r="J6761" s="709">
        <v>2021</v>
      </c>
      <c r="K6761" s="671">
        <v>2022</v>
      </c>
      <c r="L6761" s="671">
        <v>2023</v>
      </c>
      <c r="M6761" s="671">
        <v>2024</v>
      </c>
      <c r="N6761" s="1081">
        <v>2025</v>
      </c>
    </row>
    <row r="6762" spans="3:14">
      <c r="C6762" s="485"/>
      <c r="D6762" s="485"/>
      <c r="E6762" s="948" t="s">
        <v>452</v>
      </c>
      <c r="F6762" s="948"/>
      <c r="G6762" s="730" t="s">
        <v>2173</v>
      </c>
      <c r="H6762" s="269" t="str">
        <f>IFERROR(IF([1]H_SpecialBM!H95 = "", "", [1]H_SpecialBM!H95 ),"")</f>
        <v/>
      </c>
      <c r="I6762" s="416" t="str">
        <f>IFERROR(IF([1]H_SpecialBM!I95 = "", "", [1]H_SpecialBM!I95 ),"")</f>
        <v/>
      </c>
      <c r="J6762" s="417" t="str">
        <f>IFERROR(IF([1]H_SpecialBM!J95 = "", "", [1]H_SpecialBM!J95 ),"")</f>
        <v/>
      </c>
      <c r="K6762" s="269" t="str">
        <f>IFERROR(IF([1]H_SpecialBM!K95 = "", "", [1]H_SpecialBM!K95 ),"")</f>
        <v/>
      </c>
      <c r="L6762" s="269" t="str">
        <f>IFERROR(IF([1]H_SpecialBM!L95 = "", "", [1]H_SpecialBM!L95 ),"")</f>
        <v/>
      </c>
      <c r="M6762" s="269" t="str">
        <f>IFERROR(IF([1]H_SpecialBM!M95 = "", "", [1]H_SpecialBM!M95 ),"")</f>
        <v/>
      </c>
      <c r="N6762" s="269" t="str">
        <f>IFERROR(IF([1]H_SpecialBM!N95 = "", "", [1]H_SpecialBM!N95 ),"")</f>
        <v/>
      </c>
    </row>
    <row r="6763" spans="3:14">
      <c r="C6763" s="467"/>
      <c r="D6763" s="467"/>
      <c r="E6763" s="467"/>
      <c r="F6763" s="467"/>
      <c r="G6763" s="467"/>
      <c r="H6763" s="467"/>
      <c r="I6763" s="467"/>
      <c r="J6763" s="467"/>
      <c r="K6763" s="467"/>
      <c r="L6763" s="467"/>
      <c r="M6763" s="481"/>
      <c r="N6763" s="481"/>
    </row>
    <row r="6764" spans="3:14">
      <c r="C6764" s="467"/>
      <c r="D6764" s="467"/>
      <c r="E6764" s="2782" t="s">
        <v>1857</v>
      </c>
      <c r="F6764" s="2783"/>
      <c r="G6764" s="2783"/>
      <c r="H6764" s="2783"/>
      <c r="I6764" s="2783"/>
      <c r="J6764" s="2783"/>
      <c r="K6764" s="2783"/>
      <c r="L6764" s="2783"/>
      <c r="M6764" s="2783"/>
      <c r="N6764" s="2784"/>
    </row>
    <row r="6765" spans="3:14">
      <c r="C6765" s="485"/>
      <c r="D6765" s="485"/>
      <c r="E6765" s="485"/>
      <c r="F6765" s="485"/>
      <c r="G6765" s="485"/>
      <c r="H6765" s="485"/>
      <c r="I6765" s="485"/>
      <c r="J6765" s="485"/>
      <c r="K6765" s="485"/>
      <c r="L6765" s="485"/>
      <c r="M6765" s="485"/>
      <c r="N6765" s="485"/>
    </row>
    <row r="6766" spans="3:14" ht="15.75">
      <c r="C6766" s="507" t="s">
        <v>875</v>
      </c>
      <c r="D6766" s="2408" t="s">
        <v>638</v>
      </c>
      <c r="E6766" s="2408"/>
      <c r="F6766" s="2408"/>
      <c r="G6766" s="2408"/>
      <c r="H6766" s="2408"/>
      <c r="I6766" s="2408"/>
      <c r="J6766" s="2408"/>
      <c r="K6766" s="2408"/>
      <c r="L6766" s="2408"/>
      <c r="M6766" s="2408"/>
      <c r="N6766" s="2408"/>
    </row>
    <row r="6767" spans="3:14">
      <c r="C6767" s="467"/>
      <c r="D6767" s="467"/>
      <c r="E6767" s="467"/>
      <c r="F6767" s="467"/>
      <c r="G6767" s="467"/>
      <c r="H6767" s="467"/>
      <c r="I6767" s="467"/>
      <c r="J6767" s="467"/>
      <c r="K6767" s="467"/>
      <c r="L6767" s="467"/>
      <c r="M6767" s="481"/>
      <c r="N6767" s="481"/>
    </row>
    <row r="6768" spans="3:14" ht="15">
      <c r="C6768" s="559"/>
      <c r="D6768" s="2482" t="s">
        <v>215</v>
      </c>
      <c r="E6768" s="2400"/>
      <c r="F6768" s="2400"/>
      <c r="G6768" s="2400"/>
      <c r="H6768" s="2400"/>
      <c r="I6768" s="2400"/>
      <c r="J6768" s="2400"/>
      <c r="K6768" s="2400"/>
      <c r="L6768" s="2400"/>
      <c r="M6768" s="2400"/>
      <c r="N6768" s="2400"/>
    </row>
    <row r="6769" spans="3:14">
      <c r="C6769" s="467"/>
      <c r="D6769" s="467"/>
      <c r="E6769" s="467"/>
      <c r="F6769" s="467"/>
      <c r="G6769" s="467"/>
      <c r="H6769" s="467"/>
      <c r="I6769" s="467"/>
      <c r="J6769" s="467"/>
      <c r="K6769" s="467"/>
      <c r="L6769" s="467"/>
      <c r="M6769" s="481"/>
      <c r="N6769" s="481"/>
    </row>
    <row r="6770" spans="3:14">
      <c r="C6770" s="467"/>
      <c r="D6770" s="485"/>
      <c r="E6770" s="2465" t="s">
        <v>2307</v>
      </c>
      <c r="F6770" s="2400"/>
      <c r="G6770" s="2400"/>
      <c r="H6770" s="2400"/>
      <c r="I6770" s="2400"/>
      <c r="J6770" s="2400"/>
      <c r="K6770" s="2400"/>
      <c r="L6770" s="2400"/>
      <c r="M6770" s="2400"/>
      <c r="N6770" s="2400"/>
    </row>
    <row r="6771" spans="3:14">
      <c r="C6771" s="467"/>
      <c r="D6771" s="485"/>
      <c r="E6771" s="2465" t="s">
        <v>126</v>
      </c>
      <c r="F6771" s="2400"/>
      <c r="G6771" s="2400"/>
      <c r="H6771" s="2400"/>
      <c r="I6771" s="2400"/>
      <c r="J6771" s="2400"/>
      <c r="K6771" s="2400"/>
      <c r="L6771" s="2400"/>
      <c r="M6771" s="2400"/>
      <c r="N6771" s="2400"/>
    </row>
    <row r="6772" spans="3:14">
      <c r="C6772" s="467"/>
      <c r="D6772" s="467"/>
      <c r="E6772" s="467"/>
      <c r="F6772" s="467"/>
      <c r="G6772" s="467"/>
      <c r="H6772" s="467"/>
      <c r="I6772" s="467"/>
      <c r="J6772" s="467"/>
      <c r="K6772" s="467"/>
      <c r="L6772" s="467"/>
      <c r="M6772" s="481"/>
      <c r="N6772" s="481"/>
    </row>
    <row r="6773" spans="3:14" ht="15">
      <c r="C6773" s="467"/>
      <c r="D6773" s="482" t="s">
        <v>400</v>
      </c>
      <c r="E6773" s="2373" t="s">
        <v>96</v>
      </c>
      <c r="F6773" s="2373"/>
      <c r="G6773" s="2373"/>
      <c r="H6773" s="2373"/>
      <c r="I6773" s="2373"/>
      <c r="J6773" s="2373"/>
      <c r="K6773" s="2604"/>
      <c r="L6773" s="2779" t="str">
        <f>IFERROR(IF([1]H_SpecialBM!L106 = "", "", [1]H_SpecialBM!L106 ),"")</f>
        <v/>
      </c>
      <c r="M6773" s="2780"/>
      <c r="N6773" s="2781"/>
    </row>
    <row r="6774" spans="3:14">
      <c r="C6774" s="467"/>
      <c r="D6774" s="485"/>
      <c r="E6774" s="2420" t="s">
        <v>300</v>
      </c>
      <c r="F6774" s="2421"/>
      <c r="G6774" s="2421"/>
      <c r="H6774" s="2421"/>
      <c r="I6774" s="2421"/>
      <c r="J6774" s="2421"/>
      <c r="K6774" s="2421"/>
      <c r="L6774" s="2421"/>
      <c r="M6774" s="2421"/>
      <c r="N6774" s="2421"/>
    </row>
    <row r="6775" spans="3:14">
      <c r="C6775" s="467"/>
      <c r="D6775" s="467"/>
      <c r="E6775" s="2782" t="s">
        <v>119</v>
      </c>
      <c r="F6775" s="2783"/>
      <c r="G6775" s="2783"/>
      <c r="H6775" s="2783"/>
      <c r="I6775" s="2783"/>
      <c r="J6775" s="2783"/>
      <c r="K6775" s="2783"/>
      <c r="L6775" s="2783"/>
      <c r="M6775" s="2783"/>
      <c r="N6775" s="2784"/>
    </row>
    <row r="6776" spans="3:14">
      <c r="C6776" s="467"/>
      <c r="D6776" s="467"/>
      <c r="E6776" s="467"/>
      <c r="F6776" s="467"/>
      <c r="G6776" s="467"/>
      <c r="H6776" s="467"/>
      <c r="I6776" s="467"/>
      <c r="J6776" s="467"/>
      <c r="K6776" s="467"/>
      <c r="L6776" s="467"/>
      <c r="M6776" s="481"/>
      <c r="N6776" s="481"/>
    </row>
    <row r="6777" spans="3:14">
      <c r="C6777" s="467"/>
      <c r="D6777" s="482" t="s">
        <v>876</v>
      </c>
      <c r="E6777" s="2373" t="s">
        <v>97</v>
      </c>
      <c r="F6777" s="2400"/>
      <c r="G6777" s="2400"/>
      <c r="H6777" s="2400"/>
      <c r="I6777" s="2400"/>
      <c r="J6777" s="2400"/>
      <c r="K6777" s="2400"/>
      <c r="L6777" s="2400"/>
      <c r="M6777" s="2400"/>
      <c r="N6777" s="2400"/>
    </row>
    <row r="6778" spans="3:14">
      <c r="C6778" s="467"/>
      <c r="D6778" s="485"/>
      <c r="E6778" s="2465" t="s">
        <v>962</v>
      </c>
      <c r="F6778" s="2400"/>
      <c r="G6778" s="2400"/>
      <c r="H6778" s="2400"/>
      <c r="I6778" s="2400"/>
      <c r="J6778" s="2400"/>
      <c r="K6778" s="2400"/>
      <c r="L6778" s="2400"/>
      <c r="M6778" s="2400"/>
      <c r="N6778" s="2400"/>
    </row>
    <row r="6779" spans="3:14">
      <c r="C6779" s="485"/>
      <c r="D6779" s="482"/>
      <c r="E6779" s="636"/>
      <c r="F6779" s="637"/>
      <c r="G6779" s="663" t="s">
        <v>884</v>
      </c>
      <c r="H6779" s="671">
        <v>2019</v>
      </c>
      <c r="I6779" s="1081">
        <v>2020</v>
      </c>
      <c r="J6779" s="709">
        <v>2021</v>
      </c>
      <c r="K6779" s="671">
        <v>2022</v>
      </c>
      <c r="L6779" s="671">
        <v>2023</v>
      </c>
      <c r="M6779" s="671">
        <v>2024</v>
      </c>
      <c r="N6779" s="671">
        <v>2025</v>
      </c>
    </row>
    <row r="6780" spans="3:14">
      <c r="C6780" s="485"/>
      <c r="D6780" s="485"/>
      <c r="E6780" s="948" t="s">
        <v>98</v>
      </c>
      <c r="F6780" s="948"/>
      <c r="G6780" s="730" t="s">
        <v>2152</v>
      </c>
      <c r="H6780" s="359" t="str">
        <f>IFERROR(IF([1]H_SpecialBM!H113 = "", "", [1]H_SpecialBM!H113 ),"")</f>
        <v/>
      </c>
      <c r="I6780" s="281" t="str">
        <f>IFERROR(IF([1]H_SpecialBM!I113 = "", "", [1]H_SpecialBM!I113 ),"")</f>
        <v/>
      </c>
      <c r="J6780" s="358" t="str">
        <f>IFERROR(IF([1]H_SpecialBM!J113 = "", "", [1]H_SpecialBM!J113 ),"")</f>
        <v/>
      </c>
      <c r="K6780" s="359" t="str">
        <f>IFERROR(IF([1]H_SpecialBM!K113 = "", "", [1]H_SpecialBM!K113 ),"")</f>
        <v/>
      </c>
      <c r="L6780" s="359" t="str">
        <f>IFERROR(IF([1]H_SpecialBM!L113 = "", "", [1]H_SpecialBM!L113 ),"")</f>
        <v/>
      </c>
      <c r="M6780" s="359" t="str">
        <f>IFERROR(IF([1]H_SpecialBM!M113 = "", "", [1]H_SpecialBM!M113 ),"")</f>
        <v/>
      </c>
      <c r="N6780" s="359" t="str">
        <f>IFERROR(IF([1]H_SpecialBM!N113 = "", "", [1]H_SpecialBM!N113 ),"")</f>
        <v/>
      </c>
    </row>
    <row r="6781" spans="3:14">
      <c r="C6781" s="467"/>
      <c r="D6781" s="467"/>
      <c r="E6781" s="467"/>
      <c r="F6781" s="467"/>
      <c r="G6781" s="467"/>
      <c r="H6781" s="467"/>
      <c r="I6781" s="467"/>
      <c r="J6781" s="467"/>
      <c r="K6781" s="467"/>
      <c r="L6781" s="467"/>
      <c r="M6781" s="481"/>
      <c r="N6781" s="481"/>
    </row>
    <row r="6782" spans="3:14">
      <c r="C6782" s="467"/>
      <c r="D6782" s="482" t="s">
        <v>48</v>
      </c>
      <c r="E6782" s="2373" t="s">
        <v>99</v>
      </c>
      <c r="F6782" s="2400"/>
      <c r="G6782" s="2400"/>
      <c r="H6782" s="2400"/>
      <c r="I6782" s="2400"/>
      <c r="J6782" s="2400"/>
      <c r="K6782" s="2400"/>
      <c r="L6782" s="2400"/>
      <c r="M6782" s="2400"/>
      <c r="N6782" s="2400"/>
    </row>
    <row r="6783" spans="3:14">
      <c r="C6783" s="467"/>
      <c r="D6783" s="485"/>
      <c r="E6783" s="2465" t="s">
        <v>2308</v>
      </c>
      <c r="F6783" s="2400"/>
      <c r="G6783" s="2400"/>
      <c r="H6783" s="2400"/>
      <c r="I6783" s="2400"/>
      <c r="J6783" s="2400"/>
      <c r="K6783" s="2400"/>
      <c r="L6783" s="2400"/>
      <c r="M6783" s="2400"/>
      <c r="N6783" s="2400"/>
    </row>
    <row r="6784" spans="3:14">
      <c r="C6784" s="467"/>
      <c r="D6784" s="485"/>
      <c r="E6784" s="617" t="s">
        <v>100</v>
      </c>
      <c r="F6784" s="2465" t="s">
        <v>1905</v>
      </c>
      <c r="G6784" s="2400"/>
      <c r="H6784" s="2400"/>
      <c r="I6784" s="2400"/>
      <c r="J6784" s="2400"/>
      <c r="K6784" s="2400"/>
      <c r="L6784" s="2400"/>
      <c r="M6784" s="2400"/>
      <c r="N6784" s="2400"/>
    </row>
    <row r="6785" spans="3:14">
      <c r="C6785" s="467"/>
      <c r="D6785" s="485"/>
      <c r="E6785" s="617"/>
      <c r="F6785" s="2465" t="s">
        <v>101</v>
      </c>
      <c r="G6785" s="2400"/>
      <c r="H6785" s="2400"/>
      <c r="I6785" s="2400"/>
      <c r="J6785" s="2400"/>
      <c r="K6785" s="2400"/>
      <c r="L6785" s="2400"/>
      <c r="M6785" s="2400"/>
      <c r="N6785" s="2400"/>
    </row>
    <row r="6786" spans="3:14">
      <c r="C6786" s="467"/>
      <c r="D6786" s="485"/>
      <c r="E6786" s="617" t="s">
        <v>102</v>
      </c>
      <c r="F6786" s="2465" t="s">
        <v>1904</v>
      </c>
      <c r="G6786" s="2400"/>
      <c r="H6786" s="2400"/>
      <c r="I6786" s="2400"/>
      <c r="J6786" s="2400"/>
      <c r="K6786" s="2400"/>
      <c r="L6786" s="2400"/>
      <c r="M6786" s="2400"/>
      <c r="N6786" s="2400"/>
    </row>
    <row r="6787" spans="3:14">
      <c r="C6787" s="467"/>
      <c r="D6787" s="485"/>
      <c r="E6787" s="617"/>
      <c r="F6787" s="2465" t="s">
        <v>988</v>
      </c>
      <c r="G6787" s="2400"/>
      <c r="H6787" s="2400"/>
      <c r="I6787" s="2400"/>
      <c r="J6787" s="2400"/>
      <c r="K6787" s="2400"/>
      <c r="L6787" s="2400"/>
      <c r="M6787" s="2400"/>
      <c r="N6787" s="2400"/>
    </row>
    <row r="6788" spans="3:14">
      <c r="C6788" s="485"/>
      <c r="D6788" s="482"/>
      <c r="E6788" s="636"/>
      <c r="F6788" s="637"/>
      <c r="G6788" s="663" t="s">
        <v>884</v>
      </c>
      <c r="H6788" s="671">
        <v>2019</v>
      </c>
      <c r="I6788" s="1081">
        <v>2020</v>
      </c>
      <c r="J6788" s="709">
        <v>2021</v>
      </c>
      <c r="K6788" s="671">
        <v>2022</v>
      </c>
      <c r="L6788" s="671">
        <v>2023</v>
      </c>
      <c r="M6788" s="671">
        <v>2024</v>
      </c>
      <c r="N6788" s="671">
        <v>2025</v>
      </c>
    </row>
    <row r="6789" spans="3:14">
      <c r="C6789" s="485"/>
      <c r="D6789" s="485"/>
      <c r="E6789" s="863" t="s">
        <v>989</v>
      </c>
      <c r="F6789" s="863"/>
      <c r="G6789" s="721" t="s">
        <v>1022</v>
      </c>
      <c r="H6789" s="94" t="str">
        <f>IFERROR(IF([1]H_SpecialBM!H122 = "", "", [1]H_SpecialBM!H122 ),"")</f>
        <v/>
      </c>
      <c r="I6789" s="110" t="str">
        <f>IFERROR(IF([1]H_SpecialBM!I122 = "", "", [1]H_SpecialBM!I122 ),"")</f>
        <v/>
      </c>
      <c r="J6789" s="111" t="str">
        <f>IFERROR(IF([1]H_SpecialBM!J122 = "", "", [1]H_SpecialBM!J122 ),"")</f>
        <v/>
      </c>
      <c r="K6789" s="94" t="str">
        <f>IFERROR(IF([1]H_SpecialBM!K122 = "", "", [1]H_SpecialBM!K122 ),"")</f>
        <v/>
      </c>
      <c r="L6789" s="94" t="str">
        <f>IFERROR(IF([1]H_SpecialBM!L122 = "", "", [1]H_SpecialBM!L122 ),"")</f>
        <v/>
      </c>
      <c r="M6789" s="94" t="str">
        <f>IFERROR(IF([1]H_SpecialBM!M122 = "", "", [1]H_SpecialBM!M122 ),"")</f>
        <v/>
      </c>
      <c r="N6789" s="94" t="str">
        <f>IFERROR(IF([1]H_SpecialBM!N122 = "", "", [1]H_SpecialBM!N122 ),"")</f>
        <v/>
      </c>
    </row>
    <row r="6790" spans="3:14">
      <c r="C6790" s="485"/>
      <c r="D6790" s="485"/>
      <c r="E6790" s="932" t="s">
        <v>990</v>
      </c>
      <c r="F6790" s="932"/>
      <c r="G6790" s="728" t="s">
        <v>1022</v>
      </c>
      <c r="H6790" s="94" t="str">
        <f>IFERROR(IF([1]H_SpecialBM!H123 = "", "", [1]H_SpecialBM!H123 ),"")</f>
        <v/>
      </c>
      <c r="I6790" s="110" t="str">
        <f>IFERROR(IF([1]H_SpecialBM!I123 = "", "", [1]H_SpecialBM!I123 ),"")</f>
        <v/>
      </c>
      <c r="J6790" s="111" t="str">
        <f>IFERROR(IF([1]H_SpecialBM!J123 = "", "", [1]H_SpecialBM!J123 ),"")</f>
        <v/>
      </c>
      <c r="K6790" s="94" t="str">
        <f>IFERROR(IF([1]H_SpecialBM!K123 = "", "", [1]H_SpecialBM!K123 ),"")</f>
        <v/>
      </c>
      <c r="L6790" s="94" t="str">
        <f>IFERROR(IF([1]H_SpecialBM!L123 = "", "", [1]H_SpecialBM!L123 ),"")</f>
        <v/>
      </c>
      <c r="M6790" s="95" t="str">
        <f>IFERROR(IF([1]H_SpecialBM!M123 = "", "", [1]H_SpecialBM!M123 ),"")</f>
        <v/>
      </c>
      <c r="N6790" s="95" t="str">
        <f>IFERROR(IF([1]H_SpecialBM!N123 = "", "", [1]H_SpecialBM!N123 ),"")</f>
        <v/>
      </c>
    </row>
    <row r="6791" spans="3:14">
      <c r="C6791" s="467"/>
      <c r="D6791" s="467"/>
      <c r="E6791" s="467"/>
      <c r="F6791" s="467"/>
      <c r="G6791" s="467"/>
      <c r="H6791" s="467"/>
      <c r="I6791" s="467"/>
      <c r="J6791" s="467"/>
      <c r="K6791" s="467"/>
      <c r="L6791" s="467"/>
      <c r="M6791" s="481"/>
      <c r="N6791" s="481"/>
    </row>
    <row r="6792" spans="3:14">
      <c r="C6792" s="467"/>
      <c r="D6792" s="482" t="s">
        <v>881</v>
      </c>
      <c r="E6792" s="2373" t="s">
        <v>991</v>
      </c>
      <c r="F6792" s="2400"/>
      <c r="G6792" s="2400"/>
      <c r="H6792" s="2400"/>
      <c r="I6792" s="2400"/>
      <c r="J6792" s="2400"/>
      <c r="K6792" s="2400"/>
      <c r="L6792" s="2400"/>
      <c r="M6792" s="2400"/>
      <c r="N6792" s="2400"/>
    </row>
    <row r="6793" spans="3:14">
      <c r="C6793" s="467"/>
      <c r="D6793" s="485"/>
      <c r="E6793" s="2465" t="s">
        <v>1248</v>
      </c>
      <c r="F6793" s="2400"/>
      <c r="G6793" s="2400"/>
      <c r="H6793" s="2400"/>
      <c r="I6793" s="2400"/>
      <c r="J6793" s="2400"/>
      <c r="K6793" s="2400"/>
      <c r="L6793" s="2400"/>
      <c r="M6793" s="2400"/>
      <c r="N6793" s="2400"/>
    </row>
    <row r="6794" spans="3:14">
      <c r="C6794" s="467"/>
      <c r="D6794" s="485"/>
      <c r="E6794" s="2465" t="s">
        <v>1247</v>
      </c>
      <c r="F6794" s="2400"/>
      <c r="G6794" s="2400"/>
      <c r="H6794" s="2400"/>
      <c r="I6794" s="2400"/>
      <c r="J6794" s="2400"/>
      <c r="K6794" s="2400"/>
      <c r="L6794" s="2400"/>
      <c r="M6794" s="2400"/>
      <c r="N6794" s="2400"/>
    </row>
    <row r="6795" spans="3:14">
      <c r="C6795" s="485"/>
      <c r="D6795" s="482"/>
      <c r="E6795" s="637"/>
      <c r="F6795" s="637"/>
      <c r="G6795" s="663" t="s">
        <v>884</v>
      </c>
      <c r="H6795" s="671">
        <v>2019</v>
      </c>
      <c r="I6795" s="1081">
        <v>2020</v>
      </c>
      <c r="J6795" s="709">
        <v>2021</v>
      </c>
      <c r="K6795" s="671">
        <v>2022</v>
      </c>
      <c r="L6795" s="671">
        <v>2023</v>
      </c>
      <c r="M6795" s="671">
        <v>2024</v>
      </c>
      <c r="N6795" s="671">
        <v>2025</v>
      </c>
    </row>
    <row r="6796" spans="3:14">
      <c r="C6796" s="485"/>
      <c r="D6796" s="485"/>
      <c r="E6796" s="948" t="s">
        <v>365</v>
      </c>
      <c r="F6796" s="948"/>
      <c r="G6796" s="730" t="s">
        <v>2152</v>
      </c>
      <c r="H6796" s="269" t="str">
        <f>IFERROR(IF([1]H_SpecialBM!H129 = "", "", [1]H_SpecialBM!H129 ),"")</f>
        <v/>
      </c>
      <c r="I6796" s="416" t="str">
        <f>IFERROR(IF([1]H_SpecialBM!I129 = "", "", [1]H_SpecialBM!I129 ),"")</f>
        <v/>
      </c>
      <c r="J6796" s="417" t="str">
        <f>IFERROR(IF([1]H_SpecialBM!J129 = "", "", [1]H_SpecialBM!J129 ),"")</f>
        <v/>
      </c>
      <c r="K6796" s="269" t="str">
        <f>IFERROR(IF([1]H_SpecialBM!K129 = "", "", [1]H_SpecialBM!K129 ),"")</f>
        <v/>
      </c>
      <c r="L6796" s="269" t="str">
        <f>IFERROR(IF([1]H_SpecialBM!L129 = "", "", [1]H_SpecialBM!L129 ),"")</f>
        <v/>
      </c>
      <c r="M6796" s="269" t="str">
        <f>IFERROR(IF([1]H_SpecialBM!M129 = "", "", [1]H_SpecialBM!M129 ),"")</f>
        <v/>
      </c>
      <c r="N6796" s="269" t="str">
        <f>IFERROR(IF([1]H_SpecialBM!N129 = "", "", [1]H_SpecialBM!N129 ),"")</f>
        <v/>
      </c>
    </row>
    <row r="6797" spans="3:14">
      <c r="C6797" s="467"/>
      <c r="D6797" s="467"/>
      <c r="E6797" s="467"/>
      <c r="F6797" s="467"/>
      <c r="G6797" s="467"/>
      <c r="H6797" s="467"/>
      <c r="I6797" s="467"/>
      <c r="J6797" s="467"/>
      <c r="K6797" s="467"/>
      <c r="L6797" s="467"/>
      <c r="M6797" s="481"/>
      <c r="N6797" s="481"/>
    </row>
    <row r="6798" spans="3:14">
      <c r="C6798" s="467"/>
      <c r="D6798" s="467"/>
      <c r="E6798" s="2782" t="s">
        <v>119</v>
      </c>
      <c r="F6798" s="2783"/>
      <c r="G6798" s="2783"/>
      <c r="H6798" s="2783"/>
      <c r="I6798" s="2783"/>
      <c r="J6798" s="2783"/>
      <c r="K6798" s="2783"/>
      <c r="L6798" s="2783"/>
      <c r="M6798" s="2783"/>
      <c r="N6798" s="2784"/>
    </row>
    <row r="6799" spans="3:14">
      <c r="C6799" s="485"/>
      <c r="D6799" s="485"/>
      <c r="E6799" s="485"/>
      <c r="F6799" s="485"/>
      <c r="G6799" s="485"/>
      <c r="H6799" s="485"/>
      <c r="I6799" s="485"/>
      <c r="J6799" s="485"/>
      <c r="K6799" s="485"/>
      <c r="L6799" s="485"/>
      <c r="M6799" s="485"/>
      <c r="N6799" s="485"/>
    </row>
    <row r="6800" spans="3:14" ht="15.75">
      <c r="C6800" s="507" t="s">
        <v>883</v>
      </c>
      <c r="D6800" s="2408" t="s">
        <v>639</v>
      </c>
      <c r="E6800" s="2408"/>
      <c r="F6800" s="2408"/>
      <c r="G6800" s="2408"/>
      <c r="H6800" s="2408"/>
      <c r="I6800" s="2408"/>
      <c r="J6800" s="2408"/>
      <c r="K6800" s="2408"/>
      <c r="L6800" s="2408"/>
      <c r="M6800" s="2408"/>
      <c r="N6800" s="2408"/>
    </row>
    <row r="6801" spans="3:14">
      <c r="C6801" s="467"/>
      <c r="D6801" s="467"/>
      <c r="E6801" s="467"/>
      <c r="F6801" s="467"/>
      <c r="G6801" s="467"/>
      <c r="H6801" s="467"/>
      <c r="I6801" s="467"/>
      <c r="J6801" s="467"/>
      <c r="K6801" s="467"/>
      <c r="L6801" s="467"/>
      <c r="M6801" s="481"/>
      <c r="N6801" s="481"/>
    </row>
    <row r="6802" spans="3:14" ht="15">
      <c r="C6802" s="559"/>
      <c r="D6802" s="2482" t="s">
        <v>963</v>
      </c>
      <c r="E6802" s="2400"/>
      <c r="F6802" s="2400"/>
      <c r="G6802" s="2400"/>
      <c r="H6802" s="2400"/>
      <c r="I6802" s="2400"/>
      <c r="J6802" s="2400"/>
      <c r="K6802" s="2400"/>
      <c r="L6802" s="2400"/>
      <c r="M6802" s="2400"/>
      <c r="N6802" s="2400"/>
    </row>
    <row r="6803" spans="3:14">
      <c r="C6803" s="467"/>
      <c r="D6803" s="467"/>
      <c r="E6803" s="467"/>
      <c r="F6803" s="467"/>
      <c r="G6803" s="467"/>
      <c r="H6803" s="467"/>
      <c r="I6803" s="467"/>
      <c r="J6803" s="467"/>
      <c r="K6803" s="467"/>
      <c r="L6803" s="467"/>
      <c r="M6803" s="481"/>
      <c r="N6803" s="481"/>
    </row>
    <row r="6804" spans="3:14">
      <c r="C6804" s="467"/>
      <c r="D6804" s="485"/>
      <c r="E6804" s="2465" t="s">
        <v>2309</v>
      </c>
      <c r="F6804" s="2400"/>
      <c r="G6804" s="2400"/>
      <c r="H6804" s="2400"/>
      <c r="I6804" s="2400"/>
      <c r="J6804" s="2400"/>
      <c r="K6804" s="2400"/>
      <c r="L6804" s="2400"/>
      <c r="M6804" s="2400"/>
      <c r="N6804" s="2400"/>
    </row>
    <row r="6805" spans="3:14">
      <c r="C6805" s="467"/>
      <c r="D6805" s="485"/>
      <c r="E6805" s="2465" t="s">
        <v>126</v>
      </c>
      <c r="F6805" s="2400"/>
      <c r="G6805" s="2400"/>
      <c r="H6805" s="2400"/>
      <c r="I6805" s="2400"/>
      <c r="J6805" s="2400"/>
      <c r="K6805" s="2400"/>
      <c r="L6805" s="2400"/>
      <c r="M6805" s="2400"/>
      <c r="N6805" s="2400"/>
    </row>
    <row r="6806" spans="3:14">
      <c r="C6806" s="467"/>
      <c r="D6806" s="467"/>
      <c r="E6806" s="467"/>
      <c r="F6806" s="467"/>
      <c r="G6806" s="467"/>
      <c r="H6806" s="467"/>
      <c r="I6806" s="467"/>
      <c r="J6806" s="467"/>
      <c r="K6806" s="467"/>
      <c r="L6806" s="467"/>
      <c r="M6806" s="481"/>
      <c r="N6806" s="481"/>
    </row>
    <row r="6807" spans="3:14" ht="15">
      <c r="C6807" s="467"/>
      <c r="D6807" s="482" t="s">
        <v>400</v>
      </c>
      <c r="E6807" s="2373" t="s">
        <v>96</v>
      </c>
      <c r="F6807" s="2373"/>
      <c r="G6807" s="2373"/>
      <c r="H6807" s="2373"/>
      <c r="I6807" s="2373"/>
      <c r="J6807" s="2373"/>
      <c r="K6807" s="2604"/>
      <c r="L6807" s="2779" t="str">
        <f>IFERROR(IF([1]H_SpecialBM!L140 = "", "", [1]H_SpecialBM!L140 ),"")</f>
        <v/>
      </c>
      <c r="M6807" s="2780"/>
      <c r="N6807" s="2781"/>
    </row>
    <row r="6808" spans="3:14">
      <c r="C6808" s="467"/>
      <c r="D6808" s="485"/>
      <c r="E6808" s="2420" t="s">
        <v>300</v>
      </c>
      <c r="F6808" s="2421"/>
      <c r="G6808" s="2421"/>
      <c r="H6808" s="2421"/>
      <c r="I6808" s="2421"/>
      <c r="J6808" s="2421"/>
      <c r="K6808" s="2421"/>
      <c r="L6808" s="2421"/>
      <c r="M6808" s="2421"/>
      <c r="N6808" s="2421"/>
    </row>
    <row r="6809" spans="3:14">
      <c r="C6809" s="467"/>
      <c r="D6809" s="467"/>
      <c r="E6809" s="2782" t="s">
        <v>119</v>
      </c>
      <c r="F6809" s="2783"/>
      <c r="G6809" s="2783"/>
      <c r="H6809" s="2783"/>
      <c r="I6809" s="2783"/>
      <c r="J6809" s="2783"/>
      <c r="K6809" s="2783"/>
      <c r="L6809" s="2783"/>
      <c r="M6809" s="2783"/>
      <c r="N6809" s="2784"/>
    </row>
    <row r="6810" spans="3:14">
      <c r="C6810" s="467"/>
      <c r="D6810" s="467"/>
      <c r="E6810" s="467"/>
      <c r="F6810" s="467"/>
      <c r="G6810" s="467"/>
      <c r="H6810" s="467"/>
      <c r="I6810" s="467"/>
      <c r="J6810" s="467"/>
      <c r="K6810" s="467"/>
      <c r="L6810" s="467"/>
      <c r="M6810" s="481"/>
      <c r="N6810" s="481"/>
    </row>
    <row r="6811" spans="3:14">
      <c r="C6811" s="467"/>
      <c r="D6811" s="482" t="s">
        <v>876</v>
      </c>
      <c r="E6811" s="2373" t="s">
        <v>961</v>
      </c>
      <c r="F6811" s="2400"/>
      <c r="G6811" s="2400"/>
      <c r="H6811" s="2400"/>
      <c r="I6811" s="2400"/>
      <c r="J6811" s="2400"/>
      <c r="K6811" s="2400"/>
      <c r="L6811" s="2400"/>
      <c r="M6811" s="2400"/>
      <c r="N6811" s="2400"/>
    </row>
    <row r="6812" spans="3:14">
      <c r="C6812" s="467"/>
      <c r="D6812" s="485"/>
      <c r="E6812" s="2465" t="s">
        <v>239</v>
      </c>
      <c r="F6812" s="2400"/>
      <c r="G6812" s="2400"/>
      <c r="H6812" s="2400"/>
      <c r="I6812" s="2400"/>
      <c r="J6812" s="2400"/>
      <c r="K6812" s="2400"/>
      <c r="L6812" s="2400"/>
      <c r="M6812" s="2400"/>
      <c r="N6812" s="2400"/>
    </row>
    <row r="6813" spans="3:14">
      <c r="C6813" s="485"/>
      <c r="D6813" s="482"/>
      <c r="E6813" s="636"/>
      <c r="F6813" s="637"/>
      <c r="G6813" s="663" t="s">
        <v>884</v>
      </c>
      <c r="H6813" s="671">
        <v>2019</v>
      </c>
      <c r="I6813" s="671">
        <v>2020</v>
      </c>
      <c r="J6813" s="671">
        <v>2021</v>
      </c>
      <c r="K6813" s="671">
        <v>2022</v>
      </c>
      <c r="L6813" s="671">
        <v>2023</v>
      </c>
      <c r="M6813" s="671">
        <v>2024</v>
      </c>
      <c r="N6813" s="671">
        <v>2025</v>
      </c>
    </row>
    <row r="6814" spans="3:14">
      <c r="C6814" s="485"/>
      <c r="D6814" s="485"/>
      <c r="E6814" s="948" t="s">
        <v>240</v>
      </c>
      <c r="F6814" s="948"/>
      <c r="G6814" s="730" t="s">
        <v>2152</v>
      </c>
      <c r="H6814" s="347" t="str">
        <f>IFERROR(IF([1]H_SpecialBM!H147 = "", "", [1]H_SpecialBM!H147 ),"")</f>
        <v/>
      </c>
      <c r="I6814" s="347" t="str">
        <f>IFERROR(IF([1]H_SpecialBM!I147 = "", "", [1]H_SpecialBM!I147 ),"")</f>
        <v/>
      </c>
      <c r="J6814" s="347" t="str">
        <f>IFERROR(IF([1]H_SpecialBM!J147 = "", "", [1]H_SpecialBM!J147 ),"")</f>
        <v/>
      </c>
      <c r="K6814" s="347" t="str">
        <f>IFERROR(IF([1]H_SpecialBM!K147 = "", "", [1]H_SpecialBM!K147 ),"")</f>
        <v/>
      </c>
      <c r="L6814" s="347" t="str">
        <f>IFERROR(IF([1]H_SpecialBM!L147 = "", "", [1]H_SpecialBM!L147 ),"")</f>
        <v/>
      </c>
      <c r="M6814" s="347" t="str">
        <f>IFERROR(IF([1]H_SpecialBM!M147 = "", "", [1]H_SpecialBM!M147 ),"")</f>
        <v/>
      </c>
      <c r="N6814" s="347" t="str">
        <f>IFERROR(IF([1]H_SpecialBM!N147 = "", "", [1]H_SpecialBM!N147 ),"")</f>
        <v/>
      </c>
    </row>
    <row r="6815" spans="3:14">
      <c r="C6815" s="467"/>
      <c r="D6815" s="467"/>
      <c r="E6815" s="467"/>
      <c r="F6815" s="467"/>
      <c r="G6815" s="467"/>
      <c r="H6815" s="467"/>
      <c r="I6815" s="467"/>
      <c r="J6815" s="467"/>
      <c r="K6815" s="467"/>
      <c r="L6815" s="467"/>
      <c r="M6815" s="481"/>
      <c r="N6815" s="481"/>
    </row>
    <row r="6816" spans="3:14">
      <c r="C6816" s="467"/>
      <c r="D6816" s="482" t="s">
        <v>48</v>
      </c>
      <c r="E6816" s="2373" t="s">
        <v>99</v>
      </c>
      <c r="F6816" s="2400"/>
      <c r="G6816" s="2400"/>
      <c r="H6816" s="2400"/>
      <c r="I6816" s="2400"/>
      <c r="J6816" s="2400"/>
      <c r="K6816" s="2400"/>
      <c r="L6816" s="2400"/>
      <c r="M6816" s="2400"/>
      <c r="N6816" s="2400"/>
    </row>
    <row r="6817" spans="3:14">
      <c r="C6817" s="467"/>
      <c r="D6817" s="485"/>
      <c r="E6817" s="2465" t="s">
        <v>2310</v>
      </c>
      <c r="F6817" s="2400"/>
      <c r="G6817" s="2400"/>
      <c r="H6817" s="2400"/>
      <c r="I6817" s="2400"/>
      <c r="J6817" s="2400"/>
      <c r="K6817" s="2400"/>
      <c r="L6817" s="2400"/>
      <c r="M6817" s="2400"/>
      <c r="N6817" s="2400"/>
    </row>
    <row r="6818" spans="3:14">
      <c r="C6818" s="467"/>
      <c r="D6818" s="485"/>
      <c r="E6818" s="617" t="s">
        <v>100</v>
      </c>
      <c r="F6818" s="2465" t="s">
        <v>1907</v>
      </c>
      <c r="G6818" s="2400"/>
      <c r="H6818" s="2400"/>
      <c r="I6818" s="2400"/>
      <c r="J6818" s="2400"/>
      <c r="K6818" s="2400"/>
      <c r="L6818" s="2400"/>
      <c r="M6818" s="2400"/>
      <c r="N6818" s="2400"/>
    </row>
    <row r="6819" spans="3:14">
      <c r="C6819" s="467"/>
      <c r="D6819" s="485"/>
      <c r="E6819" s="617"/>
      <c r="F6819" s="2465" t="s">
        <v>4</v>
      </c>
      <c r="G6819" s="2400"/>
      <c r="H6819" s="2400"/>
      <c r="I6819" s="2400"/>
      <c r="J6819" s="2400"/>
      <c r="K6819" s="2400"/>
      <c r="L6819" s="2400"/>
      <c r="M6819" s="2400"/>
      <c r="N6819" s="2400"/>
    </row>
    <row r="6820" spans="3:14">
      <c r="C6820" s="467"/>
      <c r="D6820" s="485"/>
      <c r="E6820" s="617" t="s">
        <v>102</v>
      </c>
      <c r="F6820" s="2465" t="s">
        <v>1908</v>
      </c>
      <c r="G6820" s="2400"/>
      <c r="H6820" s="2400"/>
      <c r="I6820" s="2400"/>
      <c r="J6820" s="2400"/>
      <c r="K6820" s="2400"/>
      <c r="L6820" s="2400"/>
      <c r="M6820" s="2400"/>
      <c r="N6820" s="2400"/>
    </row>
    <row r="6821" spans="3:14">
      <c r="C6821" s="467"/>
      <c r="D6821" s="485"/>
      <c r="E6821" s="617"/>
      <c r="F6821" s="2465" t="s">
        <v>5</v>
      </c>
      <c r="G6821" s="2400"/>
      <c r="H6821" s="2400"/>
      <c r="I6821" s="2400"/>
      <c r="J6821" s="2400"/>
      <c r="K6821" s="2400"/>
      <c r="L6821" s="2400"/>
      <c r="M6821" s="2400"/>
      <c r="N6821" s="2400"/>
    </row>
    <row r="6822" spans="3:14">
      <c r="C6822" s="485"/>
      <c r="D6822" s="482"/>
      <c r="E6822" s="636"/>
      <c r="F6822" s="637"/>
      <c r="G6822" s="663" t="s">
        <v>884</v>
      </c>
      <c r="H6822" s="671">
        <v>2019</v>
      </c>
      <c r="I6822" s="671">
        <v>2020</v>
      </c>
      <c r="J6822" s="671">
        <v>2021</v>
      </c>
      <c r="K6822" s="671">
        <v>2022</v>
      </c>
      <c r="L6822" s="671">
        <v>2023</v>
      </c>
      <c r="M6822" s="671">
        <v>2024</v>
      </c>
      <c r="N6822" s="671">
        <v>2025</v>
      </c>
    </row>
    <row r="6823" spans="3:14">
      <c r="C6823" s="485"/>
      <c r="D6823" s="485"/>
      <c r="E6823" s="863" t="s">
        <v>989</v>
      </c>
      <c r="F6823" s="863"/>
      <c r="G6823" s="721" t="s">
        <v>1022</v>
      </c>
      <c r="H6823" s="94" t="str">
        <f>IFERROR(IF([1]H_SpecialBM!H156 = "", "", [1]H_SpecialBM!H156 ),"")</f>
        <v/>
      </c>
      <c r="I6823" s="94" t="str">
        <f>IFERROR(IF([1]H_SpecialBM!I156 = "", "", [1]H_SpecialBM!I156 ),"")</f>
        <v/>
      </c>
      <c r="J6823" s="94" t="str">
        <f>IFERROR(IF([1]H_SpecialBM!J156 = "", "", [1]H_SpecialBM!J156 ),"")</f>
        <v/>
      </c>
      <c r="K6823" s="94" t="str">
        <f>IFERROR(IF([1]H_SpecialBM!K156 = "", "", [1]H_SpecialBM!K156 ),"")</f>
        <v/>
      </c>
      <c r="L6823" s="94" t="str">
        <f>IFERROR(IF([1]H_SpecialBM!L156 = "", "", [1]H_SpecialBM!L156 ),"")</f>
        <v/>
      </c>
      <c r="M6823" s="94" t="str">
        <f>IFERROR(IF([1]H_SpecialBM!M156 = "", "", [1]H_SpecialBM!M156 ),"")</f>
        <v/>
      </c>
      <c r="N6823" s="94" t="str">
        <f>IFERROR(IF([1]H_SpecialBM!N156 = "", "", [1]H_SpecialBM!N156 ),"")</f>
        <v/>
      </c>
    </row>
    <row r="6824" spans="3:14">
      <c r="C6824" s="485"/>
      <c r="D6824" s="485"/>
      <c r="E6824" s="932" t="s">
        <v>990</v>
      </c>
      <c r="F6824" s="932"/>
      <c r="G6824" s="728" t="s">
        <v>1022</v>
      </c>
      <c r="H6824" s="95" t="str">
        <f>IFERROR(IF([1]H_SpecialBM!H157 = "", "", [1]H_SpecialBM!H157 ),"")</f>
        <v/>
      </c>
      <c r="I6824" s="95" t="str">
        <f>IFERROR(IF([1]H_SpecialBM!I157 = "", "", [1]H_SpecialBM!I157 ),"")</f>
        <v/>
      </c>
      <c r="J6824" s="95" t="str">
        <f>IFERROR(IF([1]H_SpecialBM!J157 = "", "", [1]H_SpecialBM!J157 ),"")</f>
        <v/>
      </c>
      <c r="K6824" s="95" t="str">
        <f>IFERROR(IF([1]H_SpecialBM!K157 = "", "", [1]H_SpecialBM!K157 ),"")</f>
        <v/>
      </c>
      <c r="L6824" s="95" t="str">
        <f>IFERROR(IF([1]H_SpecialBM!L157 = "", "", [1]H_SpecialBM!L157 ),"")</f>
        <v/>
      </c>
      <c r="M6824" s="95" t="str">
        <f>IFERROR(IF([1]H_SpecialBM!M157 = "", "", [1]H_SpecialBM!M157 ),"")</f>
        <v/>
      </c>
      <c r="N6824" s="95" t="str">
        <f>IFERROR(IF([1]H_SpecialBM!N157 = "", "", [1]H_SpecialBM!N157 ),"")</f>
        <v/>
      </c>
    </row>
    <row r="6825" spans="3:14">
      <c r="C6825" s="467"/>
      <c r="D6825" s="467"/>
      <c r="E6825" s="467"/>
      <c r="F6825" s="467"/>
      <c r="G6825" s="467"/>
      <c r="H6825" s="467"/>
      <c r="I6825" s="467"/>
      <c r="J6825" s="467"/>
      <c r="K6825" s="467"/>
      <c r="L6825" s="467"/>
      <c r="M6825" s="481"/>
      <c r="N6825" s="481"/>
    </row>
    <row r="6826" spans="3:14">
      <c r="C6826" s="467"/>
      <c r="D6826" s="482" t="s">
        <v>881</v>
      </c>
      <c r="E6826" s="2373" t="s">
        <v>2174</v>
      </c>
      <c r="F6826" s="2400"/>
      <c r="G6826" s="2400"/>
      <c r="H6826" s="2400"/>
      <c r="I6826" s="2400"/>
      <c r="J6826" s="2400"/>
      <c r="K6826" s="2400"/>
      <c r="L6826" s="2400"/>
      <c r="M6826" s="2400"/>
      <c r="N6826" s="2400"/>
    </row>
    <row r="6827" spans="3:14">
      <c r="C6827" s="467"/>
      <c r="D6827" s="485"/>
      <c r="E6827" s="2465" t="s">
        <v>1249</v>
      </c>
      <c r="F6827" s="2400"/>
      <c r="G6827" s="2400"/>
      <c r="H6827" s="2400"/>
      <c r="I6827" s="2400"/>
      <c r="J6827" s="2400"/>
      <c r="K6827" s="2400"/>
      <c r="L6827" s="2400"/>
      <c r="M6827" s="2400"/>
      <c r="N6827" s="2400"/>
    </row>
    <row r="6828" spans="3:14">
      <c r="C6828" s="467"/>
      <c r="D6828" s="485"/>
      <c r="E6828" s="2465" t="s">
        <v>1247</v>
      </c>
      <c r="F6828" s="2400"/>
      <c r="G6828" s="2400"/>
      <c r="H6828" s="2400"/>
      <c r="I6828" s="2400"/>
      <c r="J6828" s="2400"/>
      <c r="K6828" s="2400"/>
      <c r="L6828" s="2400"/>
      <c r="M6828" s="2400"/>
      <c r="N6828" s="2400"/>
    </row>
    <row r="6829" spans="3:14">
      <c r="C6829" s="485"/>
      <c r="D6829" s="482"/>
      <c r="E6829" s="637"/>
      <c r="F6829" s="637"/>
      <c r="G6829" s="663" t="s">
        <v>884</v>
      </c>
      <c r="H6829" s="671">
        <v>2019</v>
      </c>
      <c r="I6829" s="671">
        <v>2020</v>
      </c>
      <c r="J6829" s="671">
        <v>2021</v>
      </c>
      <c r="K6829" s="671">
        <v>2022</v>
      </c>
      <c r="L6829" s="671">
        <v>2023</v>
      </c>
      <c r="M6829" s="671">
        <v>2024</v>
      </c>
      <c r="N6829" s="671">
        <v>2025</v>
      </c>
    </row>
    <row r="6830" spans="3:14">
      <c r="C6830" s="485"/>
      <c r="D6830" s="485"/>
      <c r="E6830" s="948" t="s">
        <v>692</v>
      </c>
      <c r="F6830" s="948"/>
      <c r="G6830" s="730" t="s">
        <v>2152</v>
      </c>
      <c r="H6830" s="269" t="str">
        <f>IFERROR(IF([1]H_SpecialBM!H163 = "", "", [1]H_SpecialBM!H163 ),"")</f>
        <v/>
      </c>
      <c r="I6830" s="269" t="str">
        <f>IFERROR(IF([1]H_SpecialBM!I163 = "", "", [1]H_SpecialBM!I163 ),"")</f>
        <v/>
      </c>
      <c r="J6830" s="269" t="str">
        <f>IFERROR(IF([1]H_SpecialBM!J163 = "", "", [1]H_SpecialBM!J163 ),"")</f>
        <v/>
      </c>
      <c r="K6830" s="269" t="str">
        <f>IFERROR(IF([1]H_SpecialBM!K163 = "", "", [1]H_SpecialBM!K163 ),"")</f>
        <v/>
      </c>
      <c r="L6830" s="269" t="str">
        <f>IFERROR(IF([1]H_SpecialBM!L163 = "", "", [1]H_SpecialBM!L163 ),"")</f>
        <v/>
      </c>
      <c r="M6830" s="269" t="str">
        <f>IFERROR(IF([1]H_SpecialBM!M163 = "", "", [1]H_SpecialBM!M163 ),"")</f>
        <v/>
      </c>
      <c r="N6830" s="269" t="str">
        <f>IFERROR(IF([1]H_SpecialBM!N163 = "", "", [1]H_SpecialBM!N163 ),"")</f>
        <v/>
      </c>
    </row>
    <row r="6831" spans="3:14">
      <c r="C6831" s="467"/>
      <c r="D6831" s="467"/>
      <c r="E6831" s="467"/>
      <c r="F6831" s="467"/>
      <c r="G6831" s="467"/>
      <c r="H6831" s="467"/>
      <c r="I6831" s="467"/>
      <c r="J6831" s="467"/>
      <c r="K6831" s="467"/>
      <c r="L6831" s="467"/>
      <c r="M6831" s="481"/>
      <c r="N6831" s="481"/>
    </row>
    <row r="6832" spans="3:14">
      <c r="C6832" s="467"/>
      <c r="D6832" s="467"/>
      <c r="E6832" s="2782" t="s">
        <v>119</v>
      </c>
      <c r="F6832" s="2783"/>
      <c r="G6832" s="2783"/>
      <c r="H6832" s="2783"/>
      <c r="I6832" s="2783"/>
      <c r="J6832" s="2783"/>
      <c r="K6832" s="2783"/>
      <c r="L6832" s="2783"/>
      <c r="M6832" s="2783"/>
      <c r="N6832" s="2784"/>
    </row>
    <row r="6833" spans="3:14">
      <c r="C6833" s="485"/>
      <c r="D6833" s="485"/>
      <c r="E6833" s="485"/>
      <c r="F6833" s="485"/>
      <c r="G6833" s="485"/>
      <c r="H6833" s="485"/>
      <c r="I6833" s="485"/>
      <c r="J6833" s="485"/>
      <c r="K6833" s="485"/>
      <c r="L6833" s="485"/>
      <c r="M6833" s="485"/>
      <c r="N6833" s="485"/>
    </row>
    <row r="6834" spans="3:14" ht="15.75">
      <c r="C6834" s="507" t="s">
        <v>10</v>
      </c>
      <c r="D6834" s="2408" t="s">
        <v>811</v>
      </c>
      <c r="E6834" s="2408"/>
      <c r="F6834" s="2408"/>
      <c r="G6834" s="2408"/>
      <c r="H6834" s="2408"/>
      <c r="I6834" s="2408"/>
      <c r="J6834" s="2408"/>
      <c r="K6834" s="2408"/>
      <c r="L6834" s="2408"/>
      <c r="M6834" s="2408"/>
      <c r="N6834" s="2408"/>
    </row>
    <row r="6835" spans="3:14">
      <c r="C6835" s="467"/>
      <c r="D6835" s="467"/>
      <c r="E6835" s="467"/>
      <c r="F6835" s="467"/>
      <c r="G6835" s="467"/>
      <c r="H6835" s="467"/>
      <c r="I6835" s="467"/>
      <c r="J6835" s="467"/>
      <c r="K6835" s="467"/>
      <c r="L6835" s="467"/>
      <c r="M6835" s="481"/>
      <c r="N6835" s="481"/>
    </row>
    <row r="6836" spans="3:14" ht="15">
      <c r="C6836" s="559">
        <v>1</v>
      </c>
      <c r="D6836" s="2482" t="s">
        <v>94</v>
      </c>
      <c r="E6836" s="2400"/>
      <c r="F6836" s="2400"/>
      <c r="G6836" s="2400"/>
      <c r="H6836" s="2400"/>
      <c r="I6836" s="2400"/>
      <c r="J6836" s="2400"/>
      <c r="K6836" s="2400"/>
      <c r="L6836" s="2400"/>
      <c r="M6836" s="2400"/>
      <c r="N6836" s="2400"/>
    </row>
    <row r="6837" spans="3:14">
      <c r="C6837" s="467"/>
      <c r="D6837" s="467"/>
      <c r="E6837" s="467"/>
      <c r="F6837" s="467"/>
      <c r="G6837" s="467"/>
      <c r="H6837" s="467"/>
      <c r="I6837" s="467"/>
      <c r="J6837" s="467"/>
      <c r="K6837" s="467"/>
      <c r="L6837" s="467"/>
      <c r="M6837" s="481"/>
      <c r="N6837" s="481"/>
    </row>
    <row r="6838" spans="3:14">
      <c r="C6838" s="467"/>
      <c r="D6838" s="485"/>
      <c r="E6838" s="2465" t="s">
        <v>2311</v>
      </c>
      <c r="F6838" s="2400"/>
      <c r="G6838" s="2400"/>
      <c r="H6838" s="2400"/>
      <c r="I6838" s="2400"/>
      <c r="J6838" s="2400"/>
      <c r="K6838" s="2400"/>
      <c r="L6838" s="2400"/>
      <c r="M6838" s="2400"/>
      <c r="N6838" s="2400"/>
    </row>
    <row r="6839" spans="3:14">
      <c r="C6839" s="467"/>
      <c r="D6839" s="485"/>
      <c r="E6839" s="2465" t="s">
        <v>126</v>
      </c>
      <c r="F6839" s="2400"/>
      <c r="G6839" s="2400"/>
      <c r="H6839" s="2400"/>
      <c r="I6839" s="2400"/>
      <c r="J6839" s="2400"/>
      <c r="K6839" s="2400"/>
      <c r="L6839" s="2400"/>
      <c r="M6839" s="2400"/>
      <c r="N6839" s="2400"/>
    </row>
    <row r="6840" spans="3:14">
      <c r="C6840" s="467"/>
      <c r="D6840" s="467"/>
      <c r="E6840" s="467"/>
      <c r="F6840" s="467"/>
      <c r="G6840" s="467"/>
      <c r="H6840" s="467"/>
      <c r="I6840" s="467"/>
      <c r="J6840" s="467"/>
      <c r="K6840" s="467"/>
      <c r="L6840" s="467"/>
      <c r="M6840" s="481"/>
      <c r="N6840" s="481"/>
    </row>
    <row r="6841" spans="3:14" ht="15">
      <c r="C6841" s="467"/>
      <c r="D6841" s="482" t="s">
        <v>400</v>
      </c>
      <c r="E6841" s="2373" t="s">
        <v>96</v>
      </c>
      <c r="F6841" s="2373"/>
      <c r="G6841" s="2373"/>
      <c r="H6841" s="2373"/>
      <c r="I6841" s="2373"/>
      <c r="J6841" s="2373"/>
      <c r="K6841" s="2604"/>
      <c r="L6841" s="2779" t="str">
        <f>IFERROR(IF([1]H_SpecialBM!L174 = "", "", [1]H_SpecialBM!L174 ),"")</f>
        <v/>
      </c>
      <c r="M6841" s="2780"/>
      <c r="N6841" s="2781"/>
    </row>
    <row r="6842" spans="3:14">
      <c r="C6842" s="467"/>
      <c r="D6842" s="485"/>
      <c r="E6842" s="2420" t="s">
        <v>300</v>
      </c>
      <c r="F6842" s="2421"/>
      <c r="G6842" s="2421"/>
      <c r="H6842" s="2421"/>
      <c r="I6842" s="2421"/>
      <c r="J6842" s="2421"/>
      <c r="K6842" s="2421"/>
      <c r="L6842" s="2421"/>
      <c r="M6842" s="2421"/>
      <c r="N6842" s="2421"/>
    </row>
    <row r="6843" spans="3:14">
      <c r="C6843" s="467"/>
      <c r="D6843" s="467"/>
      <c r="E6843" s="2782" t="s">
        <v>119</v>
      </c>
      <c r="F6843" s="2783"/>
      <c r="G6843" s="2783"/>
      <c r="H6843" s="2783"/>
      <c r="I6843" s="2783"/>
      <c r="J6843" s="2783"/>
      <c r="K6843" s="2783"/>
      <c r="L6843" s="2783"/>
      <c r="M6843" s="2783"/>
      <c r="N6843" s="2784"/>
    </row>
    <row r="6844" spans="3:14">
      <c r="C6844" s="467"/>
      <c r="D6844" s="467"/>
      <c r="E6844" s="467"/>
      <c r="F6844" s="467"/>
      <c r="G6844" s="467"/>
      <c r="H6844" s="467"/>
      <c r="I6844" s="467"/>
      <c r="J6844" s="467"/>
      <c r="K6844" s="467"/>
      <c r="L6844" s="467"/>
      <c r="M6844" s="481"/>
      <c r="N6844" s="481"/>
    </row>
    <row r="6845" spans="3:14">
      <c r="C6845" s="467"/>
      <c r="D6845" s="482" t="s">
        <v>876</v>
      </c>
      <c r="E6845" s="2373" t="s">
        <v>693</v>
      </c>
      <c r="F6845" s="2400"/>
      <c r="G6845" s="2400"/>
      <c r="H6845" s="2400"/>
      <c r="I6845" s="2400"/>
      <c r="J6845" s="2400"/>
      <c r="K6845" s="2400"/>
      <c r="L6845" s="2400"/>
      <c r="M6845" s="2400"/>
      <c r="N6845" s="2400"/>
    </row>
    <row r="6846" spans="3:14">
      <c r="C6846" s="467"/>
      <c r="D6846" s="485"/>
      <c r="E6846" s="2465" t="s">
        <v>694</v>
      </c>
      <c r="F6846" s="2400"/>
      <c r="G6846" s="2400"/>
      <c r="H6846" s="2400"/>
      <c r="I6846" s="2400"/>
      <c r="J6846" s="2400"/>
      <c r="K6846" s="2400"/>
      <c r="L6846" s="2400"/>
      <c r="M6846" s="2400"/>
      <c r="N6846" s="2400"/>
    </row>
    <row r="6847" spans="3:14">
      <c r="C6847" s="485"/>
      <c r="D6847" s="482"/>
      <c r="E6847" s="636"/>
      <c r="F6847" s="637"/>
      <c r="G6847" s="663" t="s">
        <v>884</v>
      </c>
      <c r="H6847" s="671">
        <v>2019</v>
      </c>
      <c r="I6847" s="1081">
        <v>2020</v>
      </c>
      <c r="J6847" s="709">
        <v>2021</v>
      </c>
      <c r="K6847" s="671">
        <v>2022</v>
      </c>
      <c r="L6847" s="671">
        <v>2023</v>
      </c>
      <c r="M6847" s="671">
        <v>2024</v>
      </c>
      <c r="N6847" s="671">
        <v>2025</v>
      </c>
    </row>
    <row r="6848" spans="3:14">
      <c r="C6848" s="485"/>
      <c r="D6848" s="485"/>
      <c r="E6848" s="948" t="s">
        <v>695</v>
      </c>
      <c r="F6848" s="948"/>
      <c r="G6848" s="730" t="s">
        <v>2152</v>
      </c>
      <c r="H6848" s="347" t="str">
        <f>IFERROR(IF([1]H_SpecialBM!H181 = "", "", [1]H_SpecialBM!H181 ),"")</f>
        <v/>
      </c>
      <c r="I6848" s="348" t="str">
        <f>IFERROR(IF([1]H_SpecialBM!I181 = "", "", [1]H_SpecialBM!I181 ),"")</f>
        <v/>
      </c>
      <c r="J6848" s="348" t="str">
        <f>IFERROR(IF([1]H_SpecialBM!J181 = "", "", [1]H_SpecialBM!J181 ),"")</f>
        <v/>
      </c>
      <c r="K6848" s="348" t="str">
        <f>IFERROR(IF([1]H_SpecialBM!K181 = "", "", [1]H_SpecialBM!K181 ),"")</f>
        <v/>
      </c>
      <c r="L6848" s="348" t="str">
        <f>IFERROR(IF([1]H_SpecialBM!L181 = "", "", [1]H_SpecialBM!L181 ),"")</f>
        <v/>
      </c>
      <c r="M6848" s="348" t="str">
        <f>IFERROR(IF([1]H_SpecialBM!M181 = "", "", [1]H_SpecialBM!M181 ),"")</f>
        <v/>
      </c>
      <c r="N6848" s="347" t="str">
        <f>IFERROR(IF([1]H_SpecialBM!N181 = "", "", [1]H_SpecialBM!N181 ),"")</f>
        <v/>
      </c>
    </row>
    <row r="6849" spans="3:14">
      <c r="C6849" s="467"/>
      <c r="D6849" s="467"/>
      <c r="E6849" s="467"/>
      <c r="F6849" s="467"/>
      <c r="G6849" s="467"/>
      <c r="H6849" s="467"/>
      <c r="I6849" s="467"/>
      <c r="J6849" s="467"/>
      <c r="K6849" s="467"/>
      <c r="L6849" s="467"/>
      <c r="M6849" s="481"/>
      <c r="N6849" s="481"/>
    </row>
    <row r="6850" spans="3:14">
      <c r="C6850" s="467"/>
      <c r="D6850" s="482" t="s">
        <v>48</v>
      </c>
      <c r="E6850" s="2373" t="s">
        <v>696</v>
      </c>
      <c r="F6850" s="2400"/>
      <c r="G6850" s="2400"/>
      <c r="H6850" s="2400"/>
      <c r="I6850" s="2400"/>
      <c r="J6850" s="2400"/>
      <c r="K6850" s="2400"/>
      <c r="L6850" s="2400"/>
      <c r="M6850" s="2400"/>
      <c r="N6850" s="2400"/>
    </row>
    <row r="6851" spans="3:14">
      <c r="C6851" s="467"/>
      <c r="D6851" s="485"/>
      <c r="E6851" s="2465" t="s">
        <v>2312</v>
      </c>
      <c r="F6851" s="2400"/>
      <c r="G6851" s="2400"/>
      <c r="H6851" s="2400"/>
      <c r="I6851" s="2400"/>
      <c r="J6851" s="2400"/>
      <c r="K6851" s="2400"/>
      <c r="L6851" s="2400"/>
      <c r="M6851" s="2400"/>
      <c r="N6851" s="2400"/>
    </row>
    <row r="6852" spans="3:14">
      <c r="C6852" s="467"/>
      <c r="D6852" s="485"/>
      <c r="E6852" s="1088" t="s">
        <v>1021</v>
      </c>
      <c r="F6852" s="2465" t="s">
        <v>1906</v>
      </c>
      <c r="G6852" s="2400"/>
      <c r="H6852" s="2400"/>
      <c r="I6852" s="2400"/>
      <c r="J6852" s="2400"/>
      <c r="K6852" s="2400"/>
      <c r="L6852" s="2400"/>
      <c r="M6852" s="2400"/>
      <c r="N6852" s="2400"/>
    </row>
    <row r="6853" spans="3:14">
      <c r="C6853" s="467"/>
      <c r="D6853" s="485"/>
      <c r="E6853" s="1088" t="s">
        <v>1021</v>
      </c>
      <c r="F6853" s="2465" t="s">
        <v>1909</v>
      </c>
      <c r="G6853" s="2400"/>
      <c r="H6853" s="2400"/>
      <c r="I6853" s="2400"/>
      <c r="J6853" s="2400"/>
      <c r="K6853" s="2400"/>
      <c r="L6853" s="2400"/>
      <c r="M6853" s="2400"/>
      <c r="N6853" s="2400"/>
    </row>
    <row r="6854" spans="3:14">
      <c r="C6854" s="467"/>
      <c r="D6854" s="485"/>
      <c r="E6854" s="1088" t="s">
        <v>1021</v>
      </c>
      <c r="F6854" s="2465" t="s">
        <v>1910</v>
      </c>
      <c r="G6854" s="2400"/>
      <c r="H6854" s="2400"/>
      <c r="I6854" s="2400"/>
      <c r="J6854" s="2400"/>
      <c r="K6854" s="2400"/>
      <c r="L6854" s="2400"/>
      <c r="M6854" s="2400"/>
      <c r="N6854" s="2400"/>
    </row>
    <row r="6855" spans="3:14">
      <c r="C6855" s="485"/>
      <c r="D6855" s="482"/>
      <c r="E6855" s="927" t="s">
        <v>697</v>
      </c>
      <c r="F6855" s="518"/>
      <c r="G6855" s="663" t="s">
        <v>884</v>
      </c>
      <c r="H6855" s="671">
        <v>2019</v>
      </c>
      <c r="I6855" s="1081">
        <v>2020</v>
      </c>
      <c r="J6855" s="709">
        <v>2021</v>
      </c>
      <c r="K6855" s="671">
        <v>2022</v>
      </c>
      <c r="L6855" s="671">
        <v>2023</v>
      </c>
      <c r="M6855" s="671">
        <v>2024</v>
      </c>
      <c r="N6855" s="671">
        <v>2025</v>
      </c>
    </row>
    <row r="6856" spans="3:14">
      <c r="C6856" s="485"/>
      <c r="D6856" s="485"/>
      <c r="E6856" s="863" t="s">
        <v>820</v>
      </c>
      <c r="F6856" s="863"/>
      <c r="G6856" s="721" t="s">
        <v>2152</v>
      </c>
      <c r="H6856" s="371" t="str">
        <f>IFERROR(IF([1]H_SpecialBM!H189 = "", "", [1]H_SpecialBM!H189 ),"")</f>
        <v/>
      </c>
      <c r="I6856" s="372" t="str">
        <f>IFERROR(IF([1]H_SpecialBM!I189 = "", "", [1]H_SpecialBM!I189 ),"")</f>
        <v/>
      </c>
      <c r="J6856" s="373" t="str">
        <f>IFERROR(IF([1]H_SpecialBM!J189 = "", "", [1]H_SpecialBM!J189 ),"")</f>
        <v/>
      </c>
      <c r="K6856" s="371" t="str">
        <f>IFERROR(IF([1]H_SpecialBM!K189 = "", "", [1]H_SpecialBM!K189 ),"")</f>
        <v/>
      </c>
      <c r="L6856" s="371" t="str">
        <f>IFERROR(IF([1]H_SpecialBM!L189 = "", "", [1]H_SpecialBM!L189 ),"")</f>
        <v/>
      </c>
      <c r="M6856" s="371" t="str">
        <f>IFERROR(IF([1]H_SpecialBM!M189 = "", "", [1]H_SpecialBM!M189 ),"")</f>
        <v/>
      </c>
      <c r="N6856" s="371" t="str">
        <f>IFERROR(IF([1]H_SpecialBM!N189 = "", "", [1]H_SpecialBM!N189 ),"")</f>
        <v/>
      </c>
    </row>
    <row r="6857" spans="3:14">
      <c r="C6857" s="485"/>
      <c r="D6857" s="485"/>
      <c r="E6857" s="865" t="s">
        <v>698</v>
      </c>
      <c r="F6857" s="865"/>
      <c r="G6857" s="484" t="s">
        <v>2152</v>
      </c>
      <c r="H6857" s="418" t="str">
        <f>IFERROR(IF([1]H_SpecialBM!H190 = "", "", [1]H_SpecialBM!H190 ),"")</f>
        <v/>
      </c>
      <c r="I6857" s="419" t="str">
        <f>IFERROR(IF([1]H_SpecialBM!I190 = "", "", [1]H_SpecialBM!I190 ),"")</f>
        <v/>
      </c>
      <c r="J6857" s="420" t="str">
        <f>IFERROR(IF([1]H_SpecialBM!J190 = "", "", [1]H_SpecialBM!J190 ),"")</f>
        <v/>
      </c>
      <c r="K6857" s="418" t="str">
        <f>IFERROR(IF([1]H_SpecialBM!K190 = "", "", [1]H_SpecialBM!K190 ),"")</f>
        <v/>
      </c>
      <c r="L6857" s="418" t="str">
        <f>IFERROR(IF([1]H_SpecialBM!L190 = "", "", [1]H_SpecialBM!L190 ),"")</f>
        <v/>
      </c>
      <c r="M6857" s="418" t="str">
        <f>IFERROR(IF([1]H_SpecialBM!M190 = "", "", [1]H_SpecialBM!M190 ),"")</f>
        <v/>
      </c>
      <c r="N6857" s="418" t="str">
        <f>IFERROR(IF([1]H_SpecialBM!N190 = "", "", [1]H_SpecialBM!N190 ),"")</f>
        <v/>
      </c>
    </row>
    <row r="6858" spans="3:14">
      <c r="C6858" s="485"/>
      <c r="D6858" s="485"/>
      <c r="E6858" s="932" t="s">
        <v>858</v>
      </c>
      <c r="F6858" s="932"/>
      <c r="G6858" s="728" t="s">
        <v>2152</v>
      </c>
      <c r="H6858" s="364" t="str">
        <f>IFERROR(IF([1]H_SpecialBM!H191 = "", "", [1]H_SpecialBM!H191 ),"")</f>
        <v/>
      </c>
      <c r="I6858" s="365" t="str">
        <f>IFERROR(IF([1]H_SpecialBM!I191 = "", "", [1]H_SpecialBM!I191 ),"")</f>
        <v/>
      </c>
      <c r="J6858" s="366" t="str">
        <f>IFERROR(IF([1]H_SpecialBM!J191 = "", "", [1]H_SpecialBM!J191 ),"")</f>
        <v/>
      </c>
      <c r="K6858" s="364" t="str">
        <f>IFERROR(IF([1]H_SpecialBM!K191 = "", "", [1]H_SpecialBM!K191 ),"")</f>
        <v/>
      </c>
      <c r="L6858" s="364" t="str">
        <f>IFERROR(IF([1]H_SpecialBM!L191 = "", "", [1]H_SpecialBM!L191 ),"")</f>
        <v/>
      </c>
      <c r="M6858" s="364" t="str">
        <f>IFERROR(IF([1]H_SpecialBM!M191 = "", "", [1]H_SpecialBM!M191 ),"")</f>
        <v/>
      </c>
      <c r="N6858" s="364" t="str">
        <f>IFERROR(IF([1]H_SpecialBM!N191 = "", "", [1]H_SpecialBM!N191 ),"")</f>
        <v/>
      </c>
    </row>
    <row r="6859" spans="3:14">
      <c r="C6859" s="467"/>
      <c r="D6859" s="467"/>
      <c r="E6859" s="467"/>
      <c r="F6859" s="467"/>
      <c r="G6859" s="467"/>
      <c r="H6859" s="467"/>
      <c r="I6859" s="467"/>
      <c r="J6859" s="467"/>
      <c r="K6859" s="467"/>
      <c r="L6859" s="467"/>
      <c r="M6859" s="481"/>
      <c r="N6859" s="481"/>
    </row>
    <row r="6860" spans="3:14">
      <c r="C6860" s="467"/>
      <c r="D6860" s="482" t="s">
        <v>881</v>
      </c>
      <c r="E6860" s="2373" t="s">
        <v>859</v>
      </c>
      <c r="F6860" s="2400"/>
      <c r="G6860" s="2400"/>
      <c r="H6860" s="2400"/>
      <c r="I6860" s="2400"/>
      <c r="J6860" s="2400"/>
      <c r="K6860" s="2400"/>
      <c r="L6860" s="2400"/>
      <c r="M6860" s="2400"/>
      <c r="N6860" s="2400"/>
    </row>
    <row r="6861" spans="3:14">
      <c r="C6861" s="467"/>
      <c r="D6861" s="485"/>
      <c r="E6861" s="2465" t="s">
        <v>1253</v>
      </c>
      <c r="F6861" s="2400"/>
      <c r="G6861" s="2400"/>
      <c r="H6861" s="2400"/>
      <c r="I6861" s="2400"/>
      <c r="J6861" s="2400"/>
      <c r="K6861" s="2400"/>
      <c r="L6861" s="2400"/>
      <c r="M6861" s="2400"/>
      <c r="N6861" s="2400"/>
    </row>
    <row r="6862" spans="3:14">
      <c r="C6862" s="467"/>
      <c r="D6862" s="485"/>
      <c r="E6862" s="2465" t="s">
        <v>1247</v>
      </c>
      <c r="F6862" s="2400"/>
      <c r="G6862" s="2400"/>
      <c r="H6862" s="2400"/>
      <c r="I6862" s="2400"/>
      <c r="J6862" s="2400"/>
      <c r="K6862" s="2400"/>
      <c r="L6862" s="2400"/>
      <c r="M6862" s="2400"/>
      <c r="N6862" s="2400"/>
    </row>
    <row r="6863" spans="3:14">
      <c r="C6863" s="485"/>
      <c r="D6863" s="482"/>
      <c r="E6863" s="637"/>
      <c r="F6863" s="637"/>
      <c r="G6863" s="663" t="s">
        <v>884</v>
      </c>
      <c r="H6863" s="671">
        <v>2019</v>
      </c>
      <c r="I6863" s="1081">
        <v>2020</v>
      </c>
      <c r="J6863" s="709">
        <v>2021</v>
      </c>
      <c r="K6863" s="671">
        <v>2022</v>
      </c>
      <c r="L6863" s="671">
        <v>2023</v>
      </c>
      <c r="M6863" s="671">
        <v>2024</v>
      </c>
      <c r="N6863" s="671">
        <v>2025</v>
      </c>
    </row>
    <row r="6864" spans="3:14">
      <c r="C6864" s="485"/>
      <c r="D6864" s="485"/>
      <c r="E6864" s="948" t="s">
        <v>860</v>
      </c>
      <c r="F6864" s="948"/>
      <c r="G6864" s="730" t="s">
        <v>2152</v>
      </c>
      <c r="H6864" s="269" t="str">
        <f>IFERROR(IF([1]H_SpecialBM!H197 = "", "", [1]H_SpecialBM!H197 ),"")</f>
        <v/>
      </c>
      <c r="I6864" s="416" t="str">
        <f>IFERROR(IF([1]H_SpecialBM!I197 = "", "", [1]H_SpecialBM!I197 ),"")</f>
        <v/>
      </c>
      <c r="J6864" s="417" t="str">
        <f>IFERROR(IF([1]H_SpecialBM!J197 = "", "", [1]H_SpecialBM!J197 ),"")</f>
        <v/>
      </c>
      <c r="K6864" s="269" t="str">
        <f>IFERROR(IF([1]H_SpecialBM!K197 = "", "", [1]H_SpecialBM!K197 ),"")</f>
        <v/>
      </c>
      <c r="L6864" s="269" t="str">
        <f>IFERROR(IF([1]H_SpecialBM!L197 = "", "", [1]H_SpecialBM!L197 ),"")</f>
        <v/>
      </c>
      <c r="M6864" s="269" t="str">
        <f>IFERROR(IF([1]H_SpecialBM!M197 = "", "", [1]H_SpecialBM!M197 ),"")</f>
        <v/>
      </c>
      <c r="N6864" s="269" t="str">
        <f>IFERROR(IF([1]H_SpecialBM!N197 = "", "", [1]H_SpecialBM!N197 ),"")</f>
        <v/>
      </c>
    </row>
    <row r="6865" spans="3:14">
      <c r="C6865" s="485"/>
      <c r="D6865" s="485"/>
      <c r="E6865" s="485"/>
      <c r="F6865" s="485"/>
      <c r="G6865" s="485"/>
      <c r="H6865" s="485"/>
      <c r="I6865" s="485"/>
      <c r="J6865" s="485"/>
      <c r="K6865" s="485"/>
      <c r="L6865" s="485"/>
      <c r="M6865" s="485"/>
      <c r="N6865" s="485"/>
    </row>
    <row r="6866" spans="3:14" ht="15">
      <c r="C6866" s="559">
        <v>2</v>
      </c>
      <c r="D6866" s="2482" t="s">
        <v>1369</v>
      </c>
      <c r="E6866" s="2400"/>
      <c r="F6866" s="2400"/>
      <c r="G6866" s="2400"/>
      <c r="H6866" s="2400"/>
      <c r="I6866" s="2400"/>
      <c r="J6866" s="2400"/>
      <c r="K6866" s="2400"/>
      <c r="L6866" s="2400"/>
      <c r="M6866" s="2400"/>
      <c r="N6866" s="2400"/>
    </row>
    <row r="6867" spans="3:14">
      <c r="C6867" s="467"/>
      <c r="D6867" s="467"/>
      <c r="E6867" s="467"/>
      <c r="F6867" s="467"/>
      <c r="G6867" s="467"/>
      <c r="H6867" s="467"/>
      <c r="I6867" s="467"/>
      <c r="J6867" s="467"/>
      <c r="K6867" s="467"/>
      <c r="L6867" s="467"/>
      <c r="M6867" s="481"/>
      <c r="N6867" s="481"/>
    </row>
    <row r="6868" spans="3:14">
      <c r="C6868" s="467"/>
      <c r="D6868" s="485"/>
      <c r="E6868" s="2465" t="s">
        <v>1370</v>
      </c>
      <c r="F6868" s="2400"/>
      <c r="G6868" s="2400"/>
      <c r="H6868" s="2400"/>
      <c r="I6868" s="2400"/>
      <c r="J6868" s="2400"/>
      <c r="K6868" s="2400"/>
      <c r="L6868" s="2400"/>
      <c r="M6868" s="2400"/>
      <c r="N6868" s="2400"/>
    </row>
    <row r="6869" spans="3:14">
      <c r="C6869" s="467"/>
      <c r="D6869" s="485"/>
      <c r="E6869" s="2465" t="s">
        <v>209</v>
      </c>
      <c r="F6869" s="2400"/>
      <c r="G6869" s="2400"/>
      <c r="H6869" s="2400"/>
      <c r="I6869" s="2400"/>
      <c r="J6869" s="2400"/>
      <c r="K6869" s="2400"/>
      <c r="L6869" s="2400"/>
      <c r="M6869" s="2400"/>
      <c r="N6869" s="2400"/>
    </row>
    <row r="6870" spans="3:14">
      <c r="C6870" s="467"/>
      <c r="D6870" s="485"/>
      <c r="E6870" s="2465" t="s">
        <v>1019</v>
      </c>
      <c r="F6870" s="2400"/>
      <c r="G6870" s="2400"/>
      <c r="H6870" s="2400"/>
      <c r="I6870" s="2400"/>
      <c r="J6870" s="2400"/>
      <c r="K6870" s="2400"/>
      <c r="L6870" s="2400"/>
      <c r="M6870" s="2400"/>
      <c r="N6870" s="2400"/>
    </row>
    <row r="6871" spans="3:14">
      <c r="C6871" s="467"/>
      <c r="D6871" s="467"/>
      <c r="E6871" s="467"/>
      <c r="F6871" s="467"/>
      <c r="G6871" s="467"/>
      <c r="H6871" s="467"/>
      <c r="I6871" s="467"/>
      <c r="J6871" s="467"/>
      <c r="K6871" s="467"/>
      <c r="L6871" s="467"/>
      <c r="M6871" s="481"/>
      <c r="N6871" s="481"/>
    </row>
    <row r="6872" spans="3:14">
      <c r="C6872" s="467"/>
      <c r="D6872" s="482" t="s">
        <v>400</v>
      </c>
      <c r="E6872" s="2373" t="s">
        <v>230</v>
      </c>
      <c r="F6872" s="2400"/>
      <c r="G6872" s="2400"/>
      <c r="H6872" s="2400"/>
      <c r="I6872" s="2400"/>
      <c r="J6872" s="2400"/>
      <c r="K6872" s="2400"/>
      <c r="L6872" s="2400"/>
      <c r="M6872" s="2400"/>
      <c r="N6872" s="2400"/>
    </row>
    <row r="6873" spans="3:14">
      <c r="C6873" s="467"/>
      <c r="D6873" s="485"/>
      <c r="E6873" s="2465" t="s">
        <v>1371</v>
      </c>
      <c r="F6873" s="2400"/>
      <c r="G6873" s="2400"/>
      <c r="H6873" s="2400"/>
      <c r="I6873" s="2400"/>
      <c r="J6873" s="2400"/>
      <c r="K6873" s="2400"/>
      <c r="L6873" s="2400"/>
      <c r="M6873" s="2400"/>
      <c r="N6873" s="2400"/>
    </row>
    <row r="6874" spans="3:14" ht="25.5">
      <c r="C6874" s="485"/>
      <c r="D6874" s="482"/>
      <c r="E6874" s="871" t="s">
        <v>231</v>
      </c>
      <c r="F6874" s="1089" t="s">
        <v>232</v>
      </c>
      <c r="G6874" s="1030" t="s">
        <v>884</v>
      </c>
      <c r="H6874" s="1090">
        <v>2019</v>
      </c>
      <c r="I6874" s="1091">
        <v>2020</v>
      </c>
      <c r="J6874" s="1092">
        <v>2021</v>
      </c>
      <c r="K6874" s="1090">
        <v>2022</v>
      </c>
      <c r="L6874" s="1090">
        <v>2023</v>
      </c>
      <c r="M6874" s="1090">
        <v>2024</v>
      </c>
      <c r="N6874" s="1090">
        <v>2025</v>
      </c>
    </row>
    <row r="6875" spans="3:14">
      <c r="C6875" s="485"/>
      <c r="D6875" s="485"/>
      <c r="E6875" s="863" t="s">
        <v>820</v>
      </c>
      <c r="F6875" s="721">
        <v>1.78</v>
      </c>
      <c r="G6875" s="721" t="s">
        <v>2152</v>
      </c>
      <c r="H6875" s="421" t="str">
        <f>IFERROR(IF([1]H_SpecialBM!H208 = "", "", [1]H_SpecialBM!H208 ),"")</f>
        <v/>
      </c>
      <c r="I6875" s="422" t="str">
        <f>IFERROR(IF([1]H_SpecialBM!I208 = "", "", [1]H_SpecialBM!I208 ),"")</f>
        <v/>
      </c>
      <c r="J6875" s="423" t="str">
        <f>IFERROR(IF([1]H_SpecialBM!J208 = "", "", [1]H_SpecialBM!J208 ),"")</f>
        <v/>
      </c>
      <c r="K6875" s="421" t="str">
        <f>IFERROR(IF([1]H_SpecialBM!K208 = "", "", [1]H_SpecialBM!K208 ),"")</f>
        <v/>
      </c>
      <c r="L6875" s="421" t="str">
        <f>IFERROR(IF([1]H_SpecialBM!L208 = "", "", [1]H_SpecialBM!L208 ),"")</f>
        <v/>
      </c>
      <c r="M6875" s="421" t="str">
        <f>IFERROR(IF([1]H_SpecialBM!M208 = "", "", [1]H_SpecialBM!M208 ),"")</f>
        <v/>
      </c>
      <c r="N6875" s="421" t="str">
        <f>IFERROR(IF([1]H_SpecialBM!N208 = "", "", [1]H_SpecialBM!N208 ),"")</f>
        <v/>
      </c>
    </row>
    <row r="6876" spans="3:14">
      <c r="C6876" s="485"/>
      <c r="D6876" s="485"/>
      <c r="E6876" s="865" t="s">
        <v>698</v>
      </c>
      <c r="F6876" s="484">
        <v>0.24</v>
      </c>
      <c r="G6876" s="484" t="s">
        <v>2152</v>
      </c>
      <c r="H6876" s="424" t="str">
        <f>IFERROR(IF([1]H_SpecialBM!H209 = "", "", [1]H_SpecialBM!H209 ),"")</f>
        <v/>
      </c>
      <c r="I6876" s="425" t="str">
        <f>IFERROR(IF([1]H_SpecialBM!I209 = "", "", [1]H_SpecialBM!I209 ),"")</f>
        <v/>
      </c>
      <c r="J6876" s="426" t="str">
        <f>IFERROR(IF([1]H_SpecialBM!J209 = "", "", [1]H_SpecialBM!J209 ),"")</f>
        <v/>
      </c>
      <c r="K6876" s="424" t="str">
        <f>IFERROR(IF([1]H_SpecialBM!K209 = "", "", [1]H_SpecialBM!K209 ),"")</f>
        <v/>
      </c>
      <c r="L6876" s="424" t="str">
        <f>IFERROR(IF([1]H_SpecialBM!L209 = "", "", [1]H_SpecialBM!L209 ),"")</f>
        <v/>
      </c>
      <c r="M6876" s="424" t="str">
        <f>IFERROR(IF([1]H_SpecialBM!M209 = "", "", [1]H_SpecialBM!M209 ),"")</f>
        <v/>
      </c>
      <c r="N6876" s="424" t="str">
        <f>IFERROR(IF([1]H_SpecialBM!N209 = "", "", [1]H_SpecialBM!N209 ),"")</f>
        <v/>
      </c>
    </row>
    <row r="6877" spans="3:14">
      <c r="C6877" s="485"/>
      <c r="D6877" s="485"/>
      <c r="E6877" s="932" t="s">
        <v>858</v>
      </c>
      <c r="F6877" s="728">
        <v>0.16</v>
      </c>
      <c r="G6877" s="728" t="s">
        <v>2152</v>
      </c>
      <c r="H6877" s="368" t="str">
        <f>IFERROR(IF([1]H_SpecialBM!H210 = "", "", [1]H_SpecialBM!H210 ),"")</f>
        <v/>
      </c>
      <c r="I6877" s="369" t="str">
        <f>IFERROR(IF([1]H_SpecialBM!I210 = "", "", [1]H_SpecialBM!I210 ),"")</f>
        <v/>
      </c>
      <c r="J6877" s="370" t="str">
        <f>IFERROR(IF([1]H_SpecialBM!J210 = "", "", [1]H_SpecialBM!J210 ),"")</f>
        <v/>
      </c>
      <c r="K6877" s="368" t="str">
        <f>IFERROR(IF([1]H_SpecialBM!K210 = "", "", [1]H_SpecialBM!K210 ),"")</f>
        <v/>
      </c>
      <c r="L6877" s="368" t="str">
        <f>IFERROR(IF([1]H_SpecialBM!L210 = "", "", [1]H_SpecialBM!L210 ),"")</f>
        <v/>
      </c>
      <c r="M6877" s="368" t="str">
        <f>IFERROR(IF([1]H_SpecialBM!M210 = "", "", [1]H_SpecialBM!M210 ),"")</f>
        <v/>
      </c>
      <c r="N6877" s="368" t="str">
        <f>IFERROR(IF([1]H_SpecialBM!N210 = "", "", [1]H_SpecialBM!N210 ),"")</f>
        <v/>
      </c>
    </row>
    <row r="6878" spans="3:14">
      <c r="C6878" s="467"/>
      <c r="D6878" s="467"/>
      <c r="E6878" s="467"/>
      <c r="F6878" s="467"/>
      <c r="G6878" s="467"/>
      <c r="H6878" s="467"/>
      <c r="I6878" s="467"/>
      <c r="J6878" s="467"/>
      <c r="K6878" s="467"/>
      <c r="L6878" s="467"/>
      <c r="M6878" s="481"/>
      <c r="N6878" s="481"/>
    </row>
    <row r="6879" spans="3:14">
      <c r="C6879" s="467"/>
      <c r="D6879" s="482" t="s">
        <v>876</v>
      </c>
      <c r="E6879" s="2373" t="s">
        <v>210</v>
      </c>
      <c r="F6879" s="2400"/>
      <c r="G6879" s="2400"/>
      <c r="H6879" s="2400"/>
      <c r="I6879" s="2400"/>
      <c r="J6879" s="2400"/>
      <c r="K6879" s="2400"/>
      <c r="L6879" s="2400"/>
      <c r="M6879" s="2400"/>
      <c r="N6879" s="2400"/>
    </row>
    <row r="6880" spans="3:14">
      <c r="C6880" s="467"/>
      <c r="D6880" s="485"/>
      <c r="E6880" s="2465" t="s">
        <v>1372</v>
      </c>
      <c r="F6880" s="2400"/>
      <c r="G6880" s="2400"/>
      <c r="H6880" s="2400"/>
      <c r="I6880" s="2400"/>
      <c r="J6880" s="2400"/>
      <c r="K6880" s="2400"/>
      <c r="L6880" s="2400"/>
      <c r="M6880" s="2400"/>
      <c r="N6880" s="2400"/>
    </row>
    <row r="6881" spans="3:14" ht="13.5" thickBot="1">
      <c r="C6881" s="467"/>
      <c r="D6881" s="467"/>
      <c r="E6881" s="467"/>
      <c r="F6881" s="467"/>
      <c r="G6881" s="467"/>
      <c r="H6881" s="467"/>
      <c r="I6881" s="467"/>
      <c r="J6881" s="467"/>
      <c r="K6881" s="467"/>
      <c r="L6881" s="467"/>
      <c r="M6881" s="481"/>
      <c r="N6881" s="481"/>
    </row>
    <row r="6882" spans="3:14">
      <c r="C6882" s="479"/>
      <c r="D6882" s="902"/>
      <c r="E6882" s="904"/>
      <c r="F6882" s="953"/>
      <c r="G6882" s="953"/>
      <c r="H6882" s="953"/>
      <c r="I6882" s="953"/>
      <c r="J6882" s="953"/>
      <c r="K6882" s="953"/>
      <c r="L6882" s="953"/>
      <c r="M6882" s="953"/>
      <c r="N6882" s="954"/>
    </row>
    <row r="6883" spans="3:14">
      <c r="C6883" s="467"/>
      <c r="D6883" s="1050"/>
      <c r="E6883" s="1099"/>
      <c r="F6883" s="1099"/>
      <c r="G6883" s="910" t="s">
        <v>884</v>
      </c>
      <c r="H6883" s="1100">
        <v>2019</v>
      </c>
      <c r="I6883" s="1101">
        <v>2020</v>
      </c>
      <c r="J6883" s="1102">
        <v>2021</v>
      </c>
      <c r="K6883" s="1100">
        <v>2022</v>
      </c>
      <c r="L6883" s="1100">
        <v>2023</v>
      </c>
      <c r="M6883" s="1100">
        <v>2024</v>
      </c>
      <c r="N6883" s="914">
        <v>2025</v>
      </c>
    </row>
    <row r="6884" spans="3:14">
      <c r="C6884" s="467"/>
      <c r="D6884" s="1103"/>
      <c r="E6884" s="2735" t="s">
        <v>204</v>
      </c>
      <c r="F6884" s="2736"/>
      <c r="G6884" s="944" t="s">
        <v>2530</v>
      </c>
      <c r="H6884" s="269" t="str">
        <f>IFERROR(IF([1]H_SpecialBM!H217 = "", "", [1]H_SpecialBM!H217 ),"")</f>
        <v/>
      </c>
      <c r="I6884" s="416" t="str">
        <f>IFERROR(IF([1]H_SpecialBM!I217 = "", "", [1]H_SpecialBM!I217 ),"")</f>
        <v/>
      </c>
      <c r="J6884" s="417" t="str">
        <f>IFERROR(IF([1]H_SpecialBM!J217 = "", "", [1]H_SpecialBM!J217 ),"")</f>
        <v/>
      </c>
      <c r="K6884" s="269" t="str">
        <f>IFERROR(IF([1]H_SpecialBM!K217 = "", "", [1]H_SpecialBM!K217 ),"")</f>
        <v/>
      </c>
      <c r="L6884" s="269" t="str">
        <f>IFERROR(IF([1]H_SpecialBM!L217 = "", "", [1]H_SpecialBM!L217 ),"")</f>
        <v/>
      </c>
      <c r="M6884" s="269" t="str">
        <f>IFERROR(IF([1]H_SpecialBM!M217 = "", "", [1]H_SpecialBM!M217 ),"")</f>
        <v/>
      </c>
      <c r="N6884" s="427" t="str">
        <f>IFERROR(IF([1]H_SpecialBM!N217 = "", "", [1]H_SpecialBM!N217 ),"")</f>
        <v/>
      </c>
    </row>
    <row r="6885" spans="3:14">
      <c r="C6885" s="467"/>
      <c r="D6885" s="918"/>
      <c r="E6885" s="1099"/>
      <c r="F6885" s="1099"/>
      <c r="G6885" s="1099"/>
      <c r="H6885" s="1099"/>
      <c r="I6885" s="1099"/>
      <c r="J6885" s="1099"/>
      <c r="K6885" s="1099"/>
      <c r="L6885" s="1099"/>
      <c r="M6885" s="1104"/>
      <c r="N6885" s="1105"/>
    </row>
    <row r="6886" spans="3:14">
      <c r="C6886" s="479"/>
      <c r="D6886" s="918"/>
      <c r="E6886" s="2785" t="s">
        <v>1652</v>
      </c>
      <c r="F6886" s="2786"/>
      <c r="G6886" s="2786"/>
      <c r="H6886" s="910" t="s">
        <v>884</v>
      </c>
      <c r="I6886" s="911" t="s">
        <v>1646</v>
      </c>
      <c r="J6886" s="1102">
        <v>2021</v>
      </c>
      <c r="K6886" s="1100">
        <v>2022</v>
      </c>
      <c r="L6886" s="1100">
        <v>2023</v>
      </c>
      <c r="M6886" s="1100">
        <v>2024</v>
      </c>
      <c r="N6886" s="914">
        <v>2025</v>
      </c>
    </row>
    <row r="6887" spans="3:14">
      <c r="C6887" s="479"/>
      <c r="D6887" s="918"/>
      <c r="E6887" s="2735" t="s">
        <v>1691</v>
      </c>
      <c r="F6887" s="2736"/>
      <c r="G6887" s="2736"/>
      <c r="H6887" s="944" t="s">
        <v>2530</v>
      </c>
      <c r="I6887" s="235" t="str">
        <f>IFERROR(IF([1]H_SpecialBM!I220 = "", "", [1]H_SpecialBM!I220 ),"")</f>
        <v/>
      </c>
      <c r="J6887" s="428" t="str">
        <f>IFERROR(IF([1]H_SpecialBM!J220 = "", "", [1]H_SpecialBM!J220 ),"")</f>
        <v/>
      </c>
      <c r="K6887" s="429" t="str">
        <f>IFERROR(IF([1]H_SpecialBM!K220 = "", "", [1]H_SpecialBM!K220 ),"")</f>
        <v/>
      </c>
      <c r="L6887" s="429" t="str">
        <f>IFERROR(IF([1]H_SpecialBM!L220 = "", "", [1]H_SpecialBM!L220 ),"")</f>
        <v/>
      </c>
      <c r="M6887" s="429" t="str">
        <f>IFERROR(IF([1]H_SpecialBM!M220 = "", "", [1]H_SpecialBM!M220 ),"")</f>
        <v/>
      </c>
      <c r="N6887" s="430" t="str">
        <f>IFERROR(IF([1]H_SpecialBM!N220 = "", "", [1]H_SpecialBM!N220 ),"")</f>
        <v/>
      </c>
    </row>
    <row r="6888" spans="3:14">
      <c r="C6888" s="479"/>
      <c r="D6888" s="918"/>
      <c r="E6888" s="2735" t="s">
        <v>1776</v>
      </c>
      <c r="F6888" s="2736"/>
      <c r="G6888" s="2736"/>
      <c r="H6888" s="2736"/>
      <c r="I6888" s="2737"/>
      <c r="J6888" s="319" t="str">
        <f>IFERROR(IF([1]H_SpecialBM!J221 = "", "", [1]H_SpecialBM!J221 ),"")</f>
        <v/>
      </c>
      <c r="K6888" s="320" t="str">
        <f>IFERROR(IF([1]H_SpecialBM!K221 = "", "", [1]H_SpecialBM!K221 ),"")</f>
        <v/>
      </c>
      <c r="L6888" s="320" t="str">
        <f>IFERROR(IF([1]H_SpecialBM!L221 = "", "", [1]H_SpecialBM!L221 ),"")</f>
        <v/>
      </c>
      <c r="M6888" s="320" t="str">
        <f>IFERROR(IF([1]H_SpecialBM!M221 = "", "", [1]H_SpecialBM!M221 ),"")</f>
        <v/>
      </c>
      <c r="N6888" s="321" t="str">
        <f>IFERROR(IF([1]H_SpecialBM!N221 = "", "", [1]H_SpecialBM!N221 ),"")</f>
        <v/>
      </c>
    </row>
    <row r="6889" spans="3:14">
      <c r="C6889" s="479"/>
      <c r="D6889" s="918"/>
      <c r="E6889" s="2735" t="s">
        <v>1654</v>
      </c>
      <c r="F6889" s="2736"/>
      <c r="G6889" s="2736"/>
      <c r="H6889" s="2736"/>
      <c r="I6889" s="2737"/>
      <c r="J6889" s="288" t="str">
        <f>IFERROR(IF([1]H_SpecialBM!J222 = "", "", [1]H_SpecialBM!J222 ),"")</f>
        <v/>
      </c>
      <c r="K6889" s="289" t="str">
        <f>IFERROR(IF([1]H_SpecialBM!K222 = "", "", [1]H_SpecialBM!K222 ),"")</f>
        <v/>
      </c>
      <c r="L6889" s="289" t="str">
        <f>IFERROR(IF([1]H_SpecialBM!L222 = "", "", [1]H_SpecialBM!L222 ),"")</f>
        <v/>
      </c>
      <c r="M6889" s="289" t="str">
        <f>IFERROR(IF([1]H_SpecialBM!M222 = "", "", [1]H_SpecialBM!M222 ),"")</f>
        <v/>
      </c>
      <c r="N6889" s="290" t="str">
        <f>IFERROR(IF([1]H_SpecialBM!N222 = "", "", [1]H_SpecialBM!N222 ),"")</f>
        <v/>
      </c>
    </row>
    <row r="6890" spans="3:14">
      <c r="C6890" s="479"/>
      <c r="D6890" s="918"/>
      <c r="E6890" s="2735" t="s">
        <v>1689</v>
      </c>
      <c r="F6890" s="2736"/>
      <c r="G6890" s="2736"/>
      <c r="H6890" s="944" t="s">
        <v>2530</v>
      </c>
      <c r="I6890" s="235" t="str">
        <f>IFERROR(IF([1]H_SpecialBM!I223 = "", "", [1]H_SpecialBM!I223 ),"")</f>
        <v/>
      </c>
      <c r="J6890" s="388" t="str">
        <f>IFERROR(IF([1]H_SpecialBM!J223 = "", "", [1]H_SpecialBM!J223 ),"")</f>
        <v/>
      </c>
      <c r="K6890" s="389" t="str">
        <f>IFERROR(IF([1]H_SpecialBM!K223 = "", "", [1]H_SpecialBM!K223 ),"")</f>
        <v/>
      </c>
      <c r="L6890" s="389" t="str">
        <f>IFERROR(IF([1]H_SpecialBM!L223 = "", "", [1]H_SpecialBM!L223 ),"")</f>
        <v/>
      </c>
      <c r="M6890" s="389" t="str">
        <f>IFERROR(IF([1]H_SpecialBM!M223 = "", "", [1]H_SpecialBM!M223 ),"")</f>
        <v/>
      </c>
      <c r="N6890" s="390" t="str">
        <f>IFERROR(IF([1]H_SpecialBM!N223 = "", "", [1]H_SpecialBM!N223 ),"")</f>
        <v/>
      </c>
    </row>
    <row r="6891" spans="3:14">
      <c r="C6891" s="479"/>
      <c r="D6891" s="918"/>
      <c r="E6891" s="909"/>
      <c r="F6891" s="909"/>
      <c r="G6891" s="909"/>
      <c r="H6891" s="909"/>
      <c r="I6891" s="909"/>
      <c r="J6891" s="909"/>
      <c r="K6891" s="909"/>
      <c r="L6891" s="909"/>
      <c r="M6891" s="909"/>
      <c r="N6891" s="922"/>
    </row>
    <row r="6892" spans="3:14">
      <c r="C6892" s="479"/>
      <c r="D6892" s="918"/>
      <c r="E6892" s="2785" t="s">
        <v>1653</v>
      </c>
      <c r="F6892" s="2786"/>
      <c r="G6892" s="2786"/>
      <c r="H6892" s="2786"/>
      <c r="I6892" s="2787"/>
      <c r="J6892" s="1102">
        <v>2021</v>
      </c>
      <c r="K6892" s="1100">
        <v>2022</v>
      </c>
      <c r="L6892" s="1100">
        <v>2023</v>
      </c>
      <c r="M6892" s="1100">
        <v>2024</v>
      </c>
      <c r="N6892" s="914">
        <v>2025</v>
      </c>
    </row>
    <row r="6893" spans="3:14">
      <c r="C6893" s="479"/>
      <c r="D6893" s="918"/>
      <c r="E6893" s="2735" t="s">
        <v>2108</v>
      </c>
      <c r="F6893" s="2736"/>
      <c r="G6893" s="2736"/>
      <c r="H6893" s="2736"/>
      <c r="I6893" s="2737"/>
      <c r="J6893" s="69" t="str">
        <f>IFERROR(IF([1]H_SpecialBM!J226 = "", "", [1]H_SpecialBM!J226 ),"")</f>
        <v/>
      </c>
      <c r="K6893" s="62" t="str">
        <f>IFERROR(IF([1]H_SpecialBM!K226 = "", "", [1]H_SpecialBM!K226 ),"")</f>
        <v/>
      </c>
      <c r="L6893" s="62" t="str">
        <f>IFERROR(IF([1]H_SpecialBM!L226 = "", "", [1]H_SpecialBM!L226 ),"")</f>
        <v/>
      </c>
      <c r="M6893" s="62" t="str">
        <f>IFERROR(IF([1]H_SpecialBM!M226 = "", "", [1]H_SpecialBM!M226 ),"")</f>
        <v/>
      </c>
      <c r="N6893" s="70" t="str">
        <f>IFERROR(IF([1]H_SpecialBM!N226 = "", "", [1]H_SpecialBM!N226 ),"")</f>
        <v/>
      </c>
    </row>
    <row r="6894" spans="3:14" ht="13.5" thickBot="1">
      <c r="C6894" s="479"/>
      <c r="D6894" s="918"/>
      <c r="E6894" s="909"/>
      <c r="F6894" s="909"/>
      <c r="G6894" s="909"/>
      <c r="H6894" s="909"/>
      <c r="I6894" s="909"/>
      <c r="J6894" s="909"/>
      <c r="K6894" s="909"/>
      <c r="L6894" s="909"/>
      <c r="M6894" s="909"/>
      <c r="N6894" s="922"/>
    </row>
    <row r="6895" spans="3:14" ht="13.5" thickBot="1">
      <c r="C6895" s="479"/>
      <c r="D6895" s="918"/>
      <c r="E6895" s="2735" t="s">
        <v>1657</v>
      </c>
      <c r="F6895" s="2736"/>
      <c r="G6895" s="2736"/>
      <c r="H6895" s="2736"/>
      <c r="I6895" s="2737"/>
      <c r="J6895" s="291" t="str">
        <f>IFERROR(IF([1]H_SpecialBM!J228 = "", "", [1]H_SpecialBM!J228 ),"")</f>
        <v/>
      </c>
      <c r="K6895" s="292" t="str">
        <f>IFERROR(IF([1]H_SpecialBM!K228 = "", "", [1]H_SpecialBM!K228 ),"")</f>
        <v/>
      </c>
      <c r="L6895" s="292" t="str">
        <f>IFERROR(IF([1]H_SpecialBM!L228 = "", "", [1]H_SpecialBM!L228 ),"")</f>
        <v/>
      </c>
      <c r="M6895" s="292" t="str">
        <f>IFERROR(IF([1]H_SpecialBM!M228 = "", "", [1]H_SpecialBM!M228 ),"")</f>
        <v/>
      </c>
      <c r="N6895" s="293" t="str">
        <f>IFERROR(IF([1]H_SpecialBM!N228 = "", "", [1]H_SpecialBM!N228 ),"")</f>
        <v/>
      </c>
    </row>
    <row r="6896" spans="3:14" ht="13.5" thickBot="1">
      <c r="C6896" s="479"/>
      <c r="D6896" s="918"/>
      <c r="E6896" s="2735" t="s">
        <v>1659</v>
      </c>
      <c r="F6896" s="2736"/>
      <c r="G6896" s="2736"/>
      <c r="H6896" s="944" t="s">
        <v>2530</v>
      </c>
      <c r="I6896" s="235" t="str">
        <f>IFERROR(IF([1]H_SpecialBM!I229 = "", "", [1]H_SpecialBM!I229 ),"")</f>
        <v/>
      </c>
      <c r="J6896" s="225" t="str">
        <f>IFERROR(IF([1]H_SpecialBM!J229 = "", "", [1]H_SpecialBM!J229 ),"")</f>
        <v/>
      </c>
      <c r="K6896" s="227" t="str">
        <f>IFERROR(IF([1]H_SpecialBM!K229 = "", "", [1]H_SpecialBM!K229 ),"")</f>
        <v/>
      </c>
      <c r="L6896" s="227" t="str">
        <f>IFERROR(IF([1]H_SpecialBM!L229 = "", "", [1]H_SpecialBM!L229 ),"")</f>
        <v/>
      </c>
      <c r="M6896" s="227" t="str">
        <f>IFERROR(IF([1]H_SpecialBM!M229 = "", "", [1]H_SpecialBM!M229 ),"")</f>
        <v/>
      </c>
      <c r="N6896" s="228" t="str">
        <f>IFERROR(IF([1]H_SpecialBM!N229 = "", "", [1]H_SpecialBM!N229 ),"")</f>
        <v/>
      </c>
    </row>
    <row r="6897" spans="3:14" ht="13.5" thickBot="1">
      <c r="C6897" s="467"/>
      <c r="D6897" s="1022"/>
      <c r="E6897" s="1023"/>
      <c r="F6897" s="1023"/>
      <c r="G6897" s="1023"/>
      <c r="H6897" s="1023"/>
      <c r="I6897" s="1023"/>
      <c r="J6897" s="1023"/>
      <c r="K6897" s="1023"/>
      <c r="L6897" s="1023"/>
      <c r="M6897" s="1106"/>
      <c r="N6897" s="1107"/>
    </row>
    <row r="6898" spans="3:14">
      <c r="C6898" s="467"/>
      <c r="D6898" s="467"/>
      <c r="E6898" s="467"/>
      <c r="F6898" s="467"/>
      <c r="G6898" s="467"/>
      <c r="H6898" s="467"/>
      <c r="I6898" s="467"/>
      <c r="J6898" s="467"/>
      <c r="K6898" s="467"/>
      <c r="L6898" s="467"/>
      <c r="M6898" s="481"/>
      <c r="N6898" s="481"/>
    </row>
    <row r="6899" spans="3:14">
      <c r="C6899" s="467"/>
      <c r="D6899" s="467"/>
      <c r="E6899" s="2782" t="s">
        <v>119</v>
      </c>
      <c r="F6899" s="2783"/>
      <c r="G6899" s="2783"/>
      <c r="H6899" s="2783"/>
      <c r="I6899" s="2783"/>
      <c r="J6899" s="2783"/>
      <c r="K6899" s="2783"/>
      <c r="L6899" s="2783"/>
      <c r="M6899" s="2783"/>
      <c r="N6899" s="2784"/>
    </row>
    <row r="6900" spans="3:14">
      <c r="C6900" s="485"/>
      <c r="D6900" s="485"/>
      <c r="E6900" s="485"/>
      <c r="F6900" s="485"/>
      <c r="G6900" s="485"/>
      <c r="H6900" s="485"/>
      <c r="I6900" s="485"/>
      <c r="J6900" s="485"/>
      <c r="K6900" s="485"/>
      <c r="L6900" s="485"/>
      <c r="M6900" s="485"/>
      <c r="N6900" s="485"/>
    </row>
    <row r="6901" spans="3:14" ht="15.75">
      <c r="C6901" s="507" t="s">
        <v>636</v>
      </c>
      <c r="D6901" s="2408" t="s">
        <v>453</v>
      </c>
      <c r="E6901" s="2408"/>
      <c r="F6901" s="2408"/>
      <c r="G6901" s="2408"/>
      <c r="H6901" s="2408"/>
      <c r="I6901" s="2408"/>
      <c r="J6901" s="2408"/>
      <c r="K6901" s="2408"/>
      <c r="L6901" s="2408"/>
      <c r="M6901" s="2408"/>
      <c r="N6901" s="2408"/>
    </row>
    <row r="6902" spans="3:14">
      <c r="C6902" s="467"/>
      <c r="D6902" s="467"/>
      <c r="E6902" s="467"/>
      <c r="F6902" s="467"/>
      <c r="G6902" s="467"/>
      <c r="H6902" s="467"/>
      <c r="I6902" s="467"/>
      <c r="J6902" s="467"/>
      <c r="K6902" s="467"/>
      <c r="L6902" s="467"/>
      <c r="M6902" s="481"/>
      <c r="N6902" s="481"/>
    </row>
    <row r="6903" spans="3:14" ht="15">
      <c r="C6903" s="559"/>
      <c r="D6903" s="2482" t="s">
        <v>618</v>
      </c>
      <c r="E6903" s="2400"/>
      <c r="F6903" s="2400"/>
      <c r="G6903" s="2400"/>
      <c r="H6903" s="2400"/>
      <c r="I6903" s="2400"/>
      <c r="J6903" s="2400"/>
      <c r="K6903" s="2400"/>
      <c r="L6903" s="2400"/>
      <c r="M6903" s="2400"/>
      <c r="N6903" s="2400"/>
    </row>
    <row r="6904" spans="3:14">
      <c r="C6904" s="467"/>
      <c r="D6904" s="467"/>
      <c r="E6904" s="467"/>
      <c r="F6904" s="467"/>
      <c r="G6904" s="467"/>
      <c r="H6904" s="467"/>
      <c r="I6904" s="467"/>
      <c r="J6904" s="467"/>
      <c r="K6904" s="467"/>
      <c r="L6904" s="467"/>
      <c r="M6904" s="481"/>
      <c r="N6904" s="481"/>
    </row>
    <row r="6905" spans="3:14">
      <c r="C6905" s="467"/>
      <c r="D6905" s="485"/>
      <c r="E6905" s="2465" t="s">
        <v>2313</v>
      </c>
      <c r="F6905" s="2400"/>
      <c r="G6905" s="2400"/>
      <c r="H6905" s="2400"/>
      <c r="I6905" s="2400"/>
      <c r="J6905" s="2400"/>
      <c r="K6905" s="2400"/>
      <c r="L6905" s="2400"/>
      <c r="M6905" s="2400"/>
      <c r="N6905" s="2400"/>
    </row>
    <row r="6906" spans="3:14">
      <c r="C6906" s="467"/>
      <c r="D6906" s="485"/>
      <c r="E6906" s="2465" t="s">
        <v>1609</v>
      </c>
      <c r="F6906" s="2400"/>
      <c r="G6906" s="2400"/>
      <c r="H6906" s="2400"/>
      <c r="I6906" s="2400"/>
      <c r="J6906" s="2400"/>
      <c r="K6906" s="2400"/>
      <c r="L6906" s="2400"/>
      <c r="M6906" s="2400"/>
      <c r="N6906" s="2400"/>
    </row>
    <row r="6907" spans="3:14">
      <c r="C6907" s="467"/>
      <c r="D6907" s="485"/>
      <c r="E6907" s="2465" t="s">
        <v>126</v>
      </c>
      <c r="F6907" s="2400"/>
      <c r="G6907" s="2400"/>
      <c r="H6907" s="2400"/>
      <c r="I6907" s="2400"/>
      <c r="J6907" s="2400"/>
      <c r="K6907" s="2400"/>
      <c r="L6907" s="2400"/>
      <c r="M6907" s="2400"/>
      <c r="N6907" s="2400"/>
    </row>
    <row r="6908" spans="3:14">
      <c r="C6908" s="467"/>
      <c r="D6908" s="467"/>
      <c r="E6908" s="467"/>
      <c r="F6908" s="467"/>
      <c r="G6908" s="467"/>
      <c r="H6908" s="467"/>
      <c r="I6908" s="467"/>
      <c r="J6908" s="467"/>
      <c r="K6908" s="467"/>
      <c r="L6908" s="467"/>
      <c r="M6908" s="481"/>
      <c r="N6908" s="481"/>
    </row>
    <row r="6909" spans="3:14" ht="15">
      <c r="C6909" s="467"/>
      <c r="D6909" s="482" t="s">
        <v>400</v>
      </c>
      <c r="E6909" s="2373" t="s">
        <v>96</v>
      </c>
      <c r="F6909" s="2373"/>
      <c r="G6909" s="2373"/>
      <c r="H6909" s="2373"/>
      <c r="I6909" s="2373"/>
      <c r="J6909" s="2373"/>
      <c r="K6909" s="2604"/>
      <c r="L6909" s="2779" t="str">
        <f>IFERROR(IF([1]H_SpecialBM!L242 = "", "", [1]H_SpecialBM!L242 ),"")</f>
        <v/>
      </c>
      <c r="M6909" s="2780"/>
      <c r="N6909" s="2781"/>
    </row>
    <row r="6910" spans="3:14">
      <c r="C6910" s="467"/>
      <c r="D6910" s="485"/>
      <c r="E6910" s="2420" t="s">
        <v>300</v>
      </c>
      <c r="F6910" s="2421"/>
      <c r="G6910" s="2421"/>
      <c r="H6910" s="2421"/>
      <c r="I6910" s="2421"/>
      <c r="J6910" s="2421"/>
      <c r="K6910" s="2421"/>
      <c r="L6910" s="2421"/>
      <c r="M6910" s="2421"/>
      <c r="N6910" s="2421"/>
    </row>
    <row r="6911" spans="3:14">
      <c r="C6911" s="467"/>
      <c r="D6911" s="467"/>
      <c r="E6911" s="2782" t="s">
        <v>1857</v>
      </c>
      <c r="F6911" s="2783"/>
      <c r="G6911" s="2783"/>
      <c r="H6911" s="2783"/>
      <c r="I6911" s="2783"/>
      <c r="J6911" s="2783"/>
      <c r="K6911" s="2783"/>
      <c r="L6911" s="2783"/>
      <c r="M6911" s="2783"/>
      <c r="N6911" s="2784"/>
    </row>
    <row r="6912" spans="3:14">
      <c r="C6912" s="467"/>
      <c r="D6912" s="467"/>
      <c r="E6912" s="467"/>
      <c r="F6912" s="467"/>
      <c r="G6912" s="467"/>
      <c r="H6912" s="467"/>
      <c r="I6912" s="467"/>
      <c r="J6912" s="467"/>
      <c r="K6912" s="467"/>
      <c r="L6912" s="467"/>
      <c r="M6912" s="481"/>
      <c r="N6912" s="481"/>
    </row>
    <row r="6913" spans="3:14">
      <c r="C6913" s="467"/>
      <c r="D6913" s="482" t="s">
        <v>876</v>
      </c>
      <c r="E6913" s="2373" t="s">
        <v>1638</v>
      </c>
      <c r="F6913" s="2400"/>
      <c r="G6913" s="2400"/>
      <c r="H6913" s="2400"/>
      <c r="I6913" s="2400"/>
      <c r="J6913" s="2400"/>
      <c r="K6913" s="2400"/>
      <c r="L6913" s="2400"/>
      <c r="M6913" s="2400"/>
      <c r="N6913" s="2400"/>
    </row>
    <row r="6914" spans="3:14">
      <c r="C6914" s="467"/>
      <c r="D6914" s="485"/>
      <c r="E6914" s="2465" t="s">
        <v>82</v>
      </c>
      <c r="F6914" s="2400"/>
      <c r="G6914" s="2400"/>
      <c r="H6914" s="2400"/>
      <c r="I6914" s="2400"/>
      <c r="J6914" s="2400"/>
      <c r="K6914" s="2400"/>
      <c r="L6914" s="2400"/>
      <c r="M6914" s="2400"/>
      <c r="N6914" s="2400"/>
    </row>
    <row r="6915" spans="3:14">
      <c r="C6915" s="467"/>
      <c r="D6915" s="485"/>
      <c r="E6915" s="2465" t="s">
        <v>2314</v>
      </c>
      <c r="F6915" s="2400"/>
      <c r="G6915" s="2400"/>
      <c r="H6915" s="2400"/>
      <c r="I6915" s="2400"/>
      <c r="J6915" s="2400"/>
      <c r="K6915" s="2400"/>
      <c r="L6915" s="2400"/>
      <c r="M6915" s="2400"/>
      <c r="N6915" s="2400"/>
    </row>
    <row r="6916" spans="3:14">
      <c r="C6916" s="467"/>
      <c r="D6916" s="485"/>
      <c r="E6916" s="2465" t="s">
        <v>83</v>
      </c>
      <c r="F6916" s="2400"/>
      <c r="G6916" s="2400"/>
      <c r="H6916" s="2400"/>
      <c r="I6916" s="2400"/>
      <c r="J6916" s="2400"/>
      <c r="K6916" s="2400"/>
      <c r="L6916" s="2400"/>
      <c r="M6916" s="2400"/>
      <c r="N6916" s="2400"/>
    </row>
    <row r="6917" spans="3:14">
      <c r="C6917" s="467"/>
      <c r="D6917" s="485"/>
      <c r="E6917" s="1079" t="s">
        <v>292</v>
      </c>
      <c r="F6917" s="2465" t="s">
        <v>84</v>
      </c>
      <c r="G6917" s="2400"/>
      <c r="H6917" s="2400"/>
      <c r="I6917" s="2400"/>
      <c r="J6917" s="2400"/>
      <c r="K6917" s="2400"/>
      <c r="L6917" s="2400"/>
      <c r="M6917" s="2400"/>
      <c r="N6917" s="2400"/>
    </row>
    <row r="6918" spans="3:14">
      <c r="C6918" s="467"/>
      <c r="D6918" s="485"/>
      <c r="E6918" s="1079" t="s">
        <v>367</v>
      </c>
      <c r="F6918" s="2465" t="s">
        <v>86</v>
      </c>
      <c r="G6918" s="2400"/>
      <c r="H6918" s="2400"/>
      <c r="I6918" s="2400"/>
      <c r="J6918" s="2400"/>
      <c r="K6918" s="2400"/>
      <c r="L6918" s="2400"/>
      <c r="M6918" s="2400"/>
      <c r="N6918" s="2400"/>
    </row>
    <row r="6919" spans="3:14">
      <c r="C6919" s="467"/>
      <c r="D6919" s="617"/>
      <c r="E6919" s="2466" t="s">
        <v>2315</v>
      </c>
      <c r="F6919" s="2400"/>
      <c r="G6919" s="2400"/>
      <c r="H6919" s="2400"/>
      <c r="I6919" s="2400"/>
      <c r="J6919" s="2400"/>
      <c r="K6919" s="2400"/>
      <c r="L6919" s="2400"/>
      <c r="M6919" s="2400"/>
      <c r="N6919" s="2400"/>
    </row>
    <row r="6920" spans="3:14">
      <c r="C6920" s="467"/>
      <c r="D6920" s="467"/>
      <c r="E6920" s="467"/>
      <c r="F6920" s="467"/>
      <c r="G6920" s="467"/>
      <c r="H6920" s="467"/>
      <c r="I6920" s="467"/>
      <c r="J6920" s="467"/>
      <c r="K6920" s="467"/>
      <c r="L6920" s="467"/>
      <c r="M6920" s="481"/>
      <c r="N6920" s="481"/>
    </row>
    <row r="6921" spans="3:14">
      <c r="C6921" s="485"/>
      <c r="D6921" s="485"/>
      <c r="E6921" s="927" t="s">
        <v>288</v>
      </c>
      <c r="F6921" s="707" t="s">
        <v>289</v>
      </c>
      <c r="G6921" s="1080" t="s">
        <v>290</v>
      </c>
      <c r="H6921" s="671">
        <v>2019</v>
      </c>
      <c r="I6921" s="671">
        <v>2020</v>
      </c>
      <c r="J6921" s="671">
        <v>2021</v>
      </c>
      <c r="K6921" s="671">
        <v>2022</v>
      </c>
      <c r="L6921" s="671">
        <v>2023</v>
      </c>
      <c r="M6921" s="671">
        <v>2024</v>
      </c>
      <c r="N6921" s="671">
        <v>2025</v>
      </c>
    </row>
    <row r="6922" spans="3:14">
      <c r="C6922" s="485"/>
      <c r="D6922" s="485"/>
      <c r="E6922" s="863" t="s">
        <v>843</v>
      </c>
      <c r="F6922" s="724" t="s">
        <v>292</v>
      </c>
      <c r="G6922" s="1084">
        <v>1.1000000000000001</v>
      </c>
      <c r="H6922" s="431" t="str">
        <f>IFERROR(IF([1]H_SpecialBM!H255 = "", "", [1]H_SpecialBM!H255 ),"")</f>
        <v/>
      </c>
      <c r="I6922" s="431" t="str">
        <f>IFERROR(IF([1]H_SpecialBM!I255 = "", "", [1]H_SpecialBM!I255 ),"")</f>
        <v/>
      </c>
      <c r="J6922" s="431" t="str">
        <f>IFERROR(IF([1]H_SpecialBM!J255 = "", "", [1]H_SpecialBM!J255 ),"")</f>
        <v/>
      </c>
      <c r="K6922" s="431" t="str">
        <f>IFERROR(IF([1]H_SpecialBM!K255 = "", "", [1]H_SpecialBM!K255 ),"")</f>
        <v/>
      </c>
      <c r="L6922" s="431" t="str">
        <f>IFERROR(IF([1]H_SpecialBM!L255 = "", "", [1]H_SpecialBM!L255 ),"")</f>
        <v/>
      </c>
      <c r="M6922" s="431" t="str">
        <f>IFERROR(IF([1]H_SpecialBM!M255 = "", "", [1]H_SpecialBM!M255 ),"")</f>
        <v/>
      </c>
      <c r="N6922" s="431" t="str">
        <f>IFERROR(IF([1]H_SpecialBM!N255 = "", "", [1]H_SpecialBM!N255 ),"")</f>
        <v/>
      </c>
    </row>
    <row r="6923" spans="3:14">
      <c r="C6923" s="485"/>
      <c r="D6923" s="485"/>
      <c r="E6923" s="865" t="s">
        <v>1028</v>
      </c>
      <c r="F6923" s="724" t="s">
        <v>292</v>
      </c>
      <c r="G6923" s="1084">
        <v>5.25</v>
      </c>
      <c r="H6923" s="431" t="str">
        <f>IFERROR(IF([1]H_SpecialBM!H256 = "", "", [1]H_SpecialBM!H256 ),"")</f>
        <v/>
      </c>
      <c r="I6923" s="431" t="str">
        <f>IFERROR(IF([1]H_SpecialBM!I256 = "", "", [1]H_SpecialBM!I256 ),"")</f>
        <v/>
      </c>
      <c r="J6923" s="431" t="str">
        <f>IFERROR(IF([1]H_SpecialBM!J256 = "", "", [1]H_SpecialBM!J256 ),"")</f>
        <v/>
      </c>
      <c r="K6923" s="431" t="str">
        <f>IFERROR(IF([1]H_SpecialBM!K256 = "", "", [1]H_SpecialBM!K256 ),"")</f>
        <v/>
      </c>
      <c r="L6923" s="431" t="str">
        <f>IFERROR(IF([1]H_SpecialBM!L256 = "", "", [1]H_SpecialBM!L256 ),"")</f>
        <v/>
      </c>
      <c r="M6923" s="431" t="str">
        <f>IFERROR(IF([1]H_SpecialBM!M256 = "", "", [1]H_SpecialBM!M256 ),"")</f>
        <v/>
      </c>
      <c r="N6923" s="431" t="str">
        <f>IFERROR(IF([1]H_SpecialBM!N256 = "", "", [1]H_SpecialBM!N256 ),"")</f>
        <v/>
      </c>
    </row>
    <row r="6924" spans="3:14">
      <c r="C6924" s="485"/>
      <c r="D6924" s="485"/>
      <c r="E6924" s="865" t="s">
        <v>1030</v>
      </c>
      <c r="F6924" s="724" t="s">
        <v>292</v>
      </c>
      <c r="G6924" s="1084">
        <v>1.85</v>
      </c>
      <c r="H6924" s="431" t="str">
        <f>IFERROR(IF([1]H_SpecialBM!H257 = "", "", [1]H_SpecialBM!H257 ),"")</f>
        <v/>
      </c>
      <c r="I6924" s="431" t="str">
        <f>IFERROR(IF([1]H_SpecialBM!I257 = "", "", [1]H_SpecialBM!I257 ),"")</f>
        <v/>
      </c>
      <c r="J6924" s="431" t="str">
        <f>IFERROR(IF([1]H_SpecialBM!J257 = "", "", [1]H_SpecialBM!J257 ),"")</f>
        <v/>
      </c>
      <c r="K6924" s="431" t="str">
        <f>IFERROR(IF([1]H_SpecialBM!K257 = "", "", [1]H_SpecialBM!K257 ),"")</f>
        <v/>
      </c>
      <c r="L6924" s="431" t="str">
        <f>IFERROR(IF([1]H_SpecialBM!L257 = "", "", [1]H_SpecialBM!L257 ),"")</f>
        <v/>
      </c>
      <c r="M6924" s="431" t="str">
        <f>IFERROR(IF([1]H_SpecialBM!M257 = "", "", [1]H_SpecialBM!M257 ),"")</f>
        <v/>
      </c>
      <c r="N6924" s="431" t="str">
        <f>IFERROR(IF([1]H_SpecialBM!N257 = "", "", [1]H_SpecialBM!N257 ),"")</f>
        <v/>
      </c>
    </row>
    <row r="6925" spans="3:14">
      <c r="C6925" s="485"/>
      <c r="D6925" s="485"/>
      <c r="E6925" s="865" t="s">
        <v>1029</v>
      </c>
      <c r="F6925" s="724" t="s">
        <v>292</v>
      </c>
      <c r="G6925" s="1084">
        <v>2.4500000000000002</v>
      </c>
      <c r="H6925" s="431" t="str">
        <f>IFERROR(IF([1]H_SpecialBM!H258 = "", "", [1]H_SpecialBM!H258 ),"")</f>
        <v/>
      </c>
      <c r="I6925" s="431" t="str">
        <f>IFERROR(IF([1]H_SpecialBM!I258 = "", "", [1]H_SpecialBM!I258 ),"")</f>
        <v/>
      </c>
      <c r="J6925" s="431" t="str">
        <f>IFERROR(IF([1]H_SpecialBM!J258 = "", "", [1]H_SpecialBM!J258 ),"")</f>
        <v/>
      </c>
      <c r="K6925" s="431" t="str">
        <f>IFERROR(IF([1]H_SpecialBM!K258 = "", "", [1]H_SpecialBM!K258 ),"")</f>
        <v/>
      </c>
      <c r="L6925" s="431" t="str">
        <f>IFERROR(IF([1]H_SpecialBM!L258 = "", "", [1]H_SpecialBM!L258 ),"")</f>
        <v/>
      </c>
      <c r="M6925" s="431" t="str">
        <f>IFERROR(IF([1]H_SpecialBM!M258 = "", "", [1]H_SpecialBM!M258 ),"")</f>
        <v/>
      </c>
      <c r="N6925" s="431" t="str">
        <f>IFERROR(IF([1]H_SpecialBM!N258 = "", "", [1]H_SpecialBM!N258 ),"")</f>
        <v/>
      </c>
    </row>
    <row r="6926" spans="3:14">
      <c r="C6926" s="485"/>
      <c r="D6926" s="485"/>
      <c r="E6926" s="865" t="s">
        <v>1032</v>
      </c>
      <c r="F6926" s="724" t="s">
        <v>292</v>
      </c>
      <c r="G6926" s="1084">
        <v>1.85</v>
      </c>
      <c r="H6926" s="431" t="str">
        <f>IFERROR(IF([1]H_SpecialBM!H259 = "", "", [1]H_SpecialBM!H259 ),"")</f>
        <v/>
      </c>
      <c r="I6926" s="431" t="str">
        <f>IFERROR(IF([1]H_SpecialBM!I259 = "", "", [1]H_SpecialBM!I259 ),"")</f>
        <v/>
      </c>
      <c r="J6926" s="431" t="str">
        <f>IFERROR(IF([1]H_SpecialBM!J259 = "", "", [1]H_SpecialBM!J259 ),"")</f>
        <v/>
      </c>
      <c r="K6926" s="431" t="str">
        <f>IFERROR(IF([1]H_SpecialBM!K259 = "", "", [1]H_SpecialBM!K259 ),"")</f>
        <v/>
      </c>
      <c r="L6926" s="431" t="str">
        <f>IFERROR(IF([1]H_SpecialBM!L259 = "", "", [1]H_SpecialBM!L259 ),"")</f>
        <v/>
      </c>
      <c r="M6926" s="431" t="str">
        <f>IFERROR(IF([1]H_SpecialBM!M259 = "", "", [1]H_SpecialBM!M259 ),"")</f>
        <v/>
      </c>
      <c r="N6926" s="431" t="str">
        <f>IFERROR(IF([1]H_SpecialBM!N259 = "", "", [1]H_SpecialBM!N259 ),"")</f>
        <v/>
      </c>
    </row>
    <row r="6927" spans="3:14">
      <c r="C6927" s="485"/>
      <c r="D6927" s="485"/>
      <c r="E6927" s="865" t="s">
        <v>1033</v>
      </c>
      <c r="F6927" s="724" t="s">
        <v>367</v>
      </c>
      <c r="G6927" s="1084">
        <v>6.4</v>
      </c>
      <c r="H6927" s="431" t="str">
        <f>IFERROR(IF([1]H_SpecialBM!H260 = "", "", [1]H_SpecialBM!H260 ),"")</f>
        <v/>
      </c>
      <c r="I6927" s="431" t="str">
        <f>IFERROR(IF([1]H_SpecialBM!I260 = "", "", [1]H_SpecialBM!I260 ),"")</f>
        <v/>
      </c>
      <c r="J6927" s="431" t="str">
        <f>IFERROR(IF([1]H_SpecialBM!J260 = "", "", [1]H_SpecialBM!J260 ),"")</f>
        <v/>
      </c>
      <c r="K6927" s="431" t="str">
        <f>IFERROR(IF([1]H_SpecialBM!K260 = "", "", [1]H_SpecialBM!K260 ),"")</f>
        <v/>
      </c>
      <c r="L6927" s="431" t="str">
        <f>IFERROR(IF([1]H_SpecialBM!L260 = "", "", [1]H_SpecialBM!L260 ),"")</f>
        <v/>
      </c>
      <c r="M6927" s="431" t="str">
        <f>IFERROR(IF([1]H_SpecialBM!M260 = "", "", [1]H_SpecialBM!M260 ),"")</f>
        <v/>
      </c>
      <c r="N6927" s="431" t="str">
        <f>IFERROR(IF([1]H_SpecialBM!N260 = "", "", [1]H_SpecialBM!N260 ),"")</f>
        <v/>
      </c>
    </row>
    <row r="6928" spans="3:14">
      <c r="C6928" s="485"/>
      <c r="D6928" s="485"/>
      <c r="E6928" s="865" t="s">
        <v>1031</v>
      </c>
      <c r="F6928" s="724" t="s">
        <v>367</v>
      </c>
      <c r="G6928" s="1084">
        <v>3</v>
      </c>
      <c r="H6928" s="431" t="str">
        <f>IFERROR(IF([1]H_SpecialBM!H261 = "", "", [1]H_SpecialBM!H261 ),"")</f>
        <v/>
      </c>
      <c r="I6928" s="431" t="str">
        <f>IFERROR(IF([1]H_SpecialBM!I261 = "", "", [1]H_SpecialBM!I261 ),"")</f>
        <v/>
      </c>
      <c r="J6928" s="431" t="str">
        <f>IFERROR(IF([1]H_SpecialBM!J261 = "", "", [1]H_SpecialBM!J261 ),"")</f>
        <v/>
      </c>
      <c r="K6928" s="431" t="str">
        <f>IFERROR(IF([1]H_SpecialBM!K261 = "", "", [1]H_SpecialBM!K261 ),"")</f>
        <v/>
      </c>
      <c r="L6928" s="431" t="str">
        <f>IFERROR(IF([1]H_SpecialBM!L261 = "", "", [1]H_SpecialBM!L261 ),"")</f>
        <v/>
      </c>
      <c r="M6928" s="431" t="str">
        <f>IFERROR(IF([1]H_SpecialBM!M261 = "", "", [1]H_SpecialBM!M261 ),"")</f>
        <v/>
      </c>
      <c r="N6928" s="431" t="str">
        <f>IFERROR(IF([1]H_SpecialBM!N261 = "", "", [1]H_SpecialBM!N261 ),"")</f>
        <v/>
      </c>
    </row>
    <row r="6929" spans="3:14">
      <c r="C6929" s="485"/>
      <c r="D6929" s="485"/>
      <c r="E6929" s="932" t="s">
        <v>1037</v>
      </c>
      <c r="F6929" s="728" t="s">
        <v>367</v>
      </c>
      <c r="G6929" s="1085">
        <v>5</v>
      </c>
      <c r="H6929" s="432" t="str">
        <f>IFERROR(IF([1]H_SpecialBM!H262 = "", "", [1]H_SpecialBM!H262 ),"")</f>
        <v/>
      </c>
      <c r="I6929" s="432" t="str">
        <f>IFERROR(IF([1]H_SpecialBM!I262 = "", "", [1]H_SpecialBM!I262 ),"")</f>
        <v/>
      </c>
      <c r="J6929" s="432" t="str">
        <f>IFERROR(IF([1]H_SpecialBM!J262 = "", "", [1]H_SpecialBM!J262 ),"")</f>
        <v/>
      </c>
      <c r="K6929" s="432" t="str">
        <f>IFERROR(IF([1]H_SpecialBM!K262 = "", "", [1]H_SpecialBM!K262 ),"")</f>
        <v/>
      </c>
      <c r="L6929" s="432" t="str">
        <f>IFERROR(IF([1]H_SpecialBM!L262 = "", "", [1]H_SpecialBM!L262 ),"")</f>
        <v/>
      </c>
      <c r="M6929" s="432" t="str">
        <f>IFERROR(IF([1]H_SpecialBM!M262 = "", "", [1]H_SpecialBM!M262 ),"")</f>
        <v/>
      </c>
      <c r="N6929" s="432" t="str">
        <f>IFERROR(IF([1]H_SpecialBM!N262 = "", "", [1]H_SpecialBM!N262 ),"")</f>
        <v/>
      </c>
    </row>
    <row r="6930" spans="3:14">
      <c r="C6930" s="467"/>
      <c r="D6930" s="467"/>
      <c r="E6930" s="467"/>
      <c r="F6930" s="467"/>
      <c r="G6930" s="467"/>
      <c r="H6930" s="467"/>
      <c r="I6930" s="467"/>
      <c r="J6930" s="467"/>
      <c r="K6930" s="467"/>
      <c r="L6930" s="467"/>
      <c r="M6930" s="481"/>
      <c r="N6930" s="485"/>
    </row>
    <row r="6931" spans="3:14">
      <c r="C6931" s="467"/>
      <c r="D6931" s="482" t="s">
        <v>48</v>
      </c>
      <c r="E6931" s="2373" t="s">
        <v>844</v>
      </c>
      <c r="F6931" s="2400"/>
      <c r="G6931" s="2400"/>
      <c r="H6931" s="2400"/>
      <c r="I6931" s="2400"/>
      <c r="J6931" s="2400"/>
      <c r="K6931" s="2400"/>
      <c r="L6931" s="2400"/>
      <c r="M6931" s="2400"/>
      <c r="N6931" s="2400"/>
    </row>
    <row r="6932" spans="3:14">
      <c r="C6932" s="467"/>
      <c r="D6932" s="485"/>
      <c r="E6932" s="2465" t="s">
        <v>1250</v>
      </c>
      <c r="F6932" s="2400"/>
      <c r="G6932" s="2400"/>
      <c r="H6932" s="2400"/>
      <c r="I6932" s="2400"/>
      <c r="J6932" s="2400"/>
      <c r="K6932" s="2400"/>
      <c r="L6932" s="2400"/>
      <c r="M6932" s="2400"/>
      <c r="N6932" s="2400"/>
    </row>
    <row r="6933" spans="3:14">
      <c r="C6933" s="467"/>
      <c r="D6933" s="485"/>
      <c r="E6933" s="2466" t="s">
        <v>1053</v>
      </c>
      <c r="F6933" s="2400"/>
      <c r="G6933" s="2400"/>
      <c r="H6933" s="2400"/>
      <c r="I6933" s="2400"/>
      <c r="J6933" s="2400"/>
      <c r="K6933" s="2400"/>
      <c r="L6933" s="2400"/>
      <c r="M6933" s="2400"/>
      <c r="N6933" s="2400"/>
    </row>
    <row r="6934" spans="3:14">
      <c r="C6934" s="467"/>
      <c r="D6934" s="485"/>
      <c r="E6934" s="2466" t="s">
        <v>2316</v>
      </c>
      <c r="F6934" s="2400"/>
      <c r="G6934" s="2400"/>
      <c r="H6934" s="2400"/>
      <c r="I6934" s="2400"/>
      <c r="J6934" s="2400"/>
      <c r="K6934" s="2400"/>
      <c r="L6934" s="2400"/>
      <c r="M6934" s="2400"/>
      <c r="N6934" s="2400"/>
    </row>
    <row r="6935" spans="3:14">
      <c r="C6935" s="467"/>
      <c r="D6935" s="485"/>
      <c r="E6935" s="2465" t="s">
        <v>1247</v>
      </c>
      <c r="F6935" s="2400"/>
      <c r="G6935" s="2400"/>
      <c r="H6935" s="2400"/>
      <c r="I6935" s="2400"/>
      <c r="J6935" s="2400"/>
      <c r="K6935" s="2400"/>
      <c r="L6935" s="2400"/>
      <c r="M6935" s="2400"/>
      <c r="N6935" s="2400"/>
    </row>
    <row r="6936" spans="3:14">
      <c r="C6936" s="485"/>
      <c r="D6936" s="482"/>
      <c r="E6936" s="637"/>
      <c r="F6936" s="637"/>
      <c r="G6936" s="663" t="s">
        <v>884</v>
      </c>
      <c r="H6936" s="671">
        <v>2019</v>
      </c>
      <c r="I6936" s="671">
        <v>2020</v>
      </c>
      <c r="J6936" s="671">
        <v>2021</v>
      </c>
      <c r="K6936" s="671">
        <v>2022</v>
      </c>
      <c r="L6936" s="671">
        <v>2023</v>
      </c>
      <c r="M6936" s="671">
        <v>2024</v>
      </c>
      <c r="N6936" s="671">
        <v>2025</v>
      </c>
    </row>
    <row r="6937" spans="3:14">
      <c r="C6937" s="485"/>
      <c r="D6937" s="485"/>
      <c r="E6937" s="1108" t="s">
        <v>845</v>
      </c>
      <c r="F6937" s="1108"/>
      <c r="G6937" s="730" t="s">
        <v>2173</v>
      </c>
      <c r="H6937" s="269" t="str">
        <f>IFERROR(IF([1]H_SpecialBM!H270 = "", "", [1]H_SpecialBM!H270 ),"")</f>
        <v/>
      </c>
      <c r="I6937" s="269" t="str">
        <f>IFERROR(IF([1]H_SpecialBM!I270 = "", "", [1]H_SpecialBM!I270 ),"")</f>
        <v/>
      </c>
      <c r="J6937" s="269" t="str">
        <f>IFERROR(IF([1]H_SpecialBM!J270 = "", "", [1]H_SpecialBM!J270 ),"")</f>
        <v/>
      </c>
      <c r="K6937" s="269" t="str">
        <f>IFERROR(IF([1]H_SpecialBM!K270 = "", "", [1]H_SpecialBM!K270 ),"")</f>
        <v/>
      </c>
      <c r="L6937" s="269" t="str">
        <f>IFERROR(IF([1]H_SpecialBM!L270 = "", "", [1]H_SpecialBM!L270 ),"")</f>
        <v/>
      </c>
      <c r="M6937" s="269" t="str">
        <f>IFERROR(IF([1]H_SpecialBM!M270 = "", "", [1]H_SpecialBM!M270 ),"")</f>
        <v/>
      </c>
      <c r="N6937" s="269" t="str">
        <f>IFERROR(IF([1]H_SpecialBM!N270 = "", "", [1]H_SpecialBM!N270 ),"")</f>
        <v/>
      </c>
    </row>
    <row r="6938" spans="3:14">
      <c r="C6938" s="467"/>
      <c r="D6938" s="467"/>
      <c r="E6938" s="467"/>
      <c r="F6938" s="467"/>
      <c r="G6938" s="467"/>
      <c r="H6938" s="467"/>
      <c r="I6938" s="467"/>
      <c r="J6938" s="467"/>
      <c r="K6938" s="467"/>
      <c r="L6938" s="467"/>
      <c r="M6938" s="481"/>
      <c r="N6938" s="481"/>
    </row>
    <row r="6939" spans="3:14">
      <c r="C6939" s="467"/>
      <c r="D6939" s="467"/>
      <c r="E6939" s="2782" t="s">
        <v>1857</v>
      </c>
      <c r="F6939" s="2783"/>
      <c r="G6939" s="2783"/>
      <c r="H6939" s="2783"/>
      <c r="I6939" s="2783"/>
      <c r="J6939" s="2783"/>
      <c r="K6939" s="2783"/>
      <c r="L6939" s="2783"/>
      <c r="M6939" s="2783"/>
      <c r="N6939" s="2784"/>
    </row>
    <row r="6940" spans="3:14">
      <c r="C6940" s="485"/>
      <c r="D6940" s="485"/>
      <c r="E6940" s="485"/>
      <c r="F6940" s="485"/>
      <c r="G6940" s="485"/>
      <c r="H6940" s="485"/>
      <c r="I6940" s="485"/>
      <c r="J6940" s="485"/>
      <c r="K6940" s="485"/>
      <c r="L6940" s="485"/>
      <c r="M6940" s="485"/>
      <c r="N6940" s="485"/>
    </row>
    <row r="6941" spans="3:14" ht="15.75">
      <c r="C6941" s="507" t="s">
        <v>61</v>
      </c>
      <c r="D6941" s="2408" t="s">
        <v>820</v>
      </c>
      <c r="E6941" s="2408"/>
      <c r="F6941" s="2408"/>
      <c r="G6941" s="2408"/>
      <c r="H6941" s="2408"/>
      <c r="I6941" s="2408"/>
      <c r="J6941" s="2408"/>
      <c r="K6941" s="2408"/>
      <c r="L6941" s="2408"/>
      <c r="M6941" s="2408"/>
      <c r="N6941" s="2408"/>
    </row>
    <row r="6942" spans="3:14">
      <c r="C6942" s="467"/>
      <c r="D6942" s="467"/>
      <c r="E6942" s="467"/>
      <c r="F6942" s="467"/>
      <c r="G6942" s="467"/>
      <c r="H6942" s="467"/>
      <c r="I6942" s="467"/>
      <c r="J6942" s="467"/>
      <c r="K6942" s="467"/>
      <c r="L6942" s="467"/>
      <c r="M6942" s="481"/>
      <c r="N6942" s="481"/>
    </row>
    <row r="6943" spans="3:14" ht="15">
      <c r="C6943" s="559"/>
      <c r="D6943" s="2482" t="s">
        <v>861</v>
      </c>
      <c r="E6943" s="2400"/>
      <c r="F6943" s="2400"/>
      <c r="G6943" s="2400"/>
      <c r="H6943" s="2400"/>
      <c r="I6943" s="2400"/>
      <c r="J6943" s="2400"/>
      <c r="K6943" s="2400"/>
      <c r="L6943" s="2400"/>
      <c r="M6943" s="2400"/>
      <c r="N6943" s="2400"/>
    </row>
    <row r="6944" spans="3:14">
      <c r="C6944" s="467"/>
      <c r="D6944" s="467"/>
      <c r="E6944" s="467"/>
      <c r="F6944" s="467"/>
      <c r="G6944" s="467"/>
      <c r="H6944" s="467"/>
      <c r="I6944" s="467"/>
      <c r="J6944" s="467"/>
      <c r="K6944" s="467"/>
      <c r="L6944" s="467"/>
      <c r="M6944" s="481"/>
      <c r="N6944" s="481"/>
    </row>
    <row r="6945" spans="3:14">
      <c r="C6945" s="467"/>
      <c r="D6945" s="485"/>
      <c r="E6945" s="2465" t="s">
        <v>2317</v>
      </c>
      <c r="F6945" s="2400"/>
      <c r="G6945" s="2400"/>
      <c r="H6945" s="2400"/>
      <c r="I6945" s="2400"/>
      <c r="J6945" s="2400"/>
      <c r="K6945" s="2400"/>
      <c r="L6945" s="2400"/>
      <c r="M6945" s="2400"/>
      <c r="N6945" s="2400"/>
    </row>
    <row r="6946" spans="3:14">
      <c r="C6946" s="467"/>
      <c r="D6946" s="485"/>
      <c r="E6946" s="2465" t="s">
        <v>126</v>
      </c>
      <c r="F6946" s="2400"/>
      <c r="G6946" s="2400"/>
      <c r="H6946" s="2400"/>
      <c r="I6946" s="2400"/>
      <c r="J6946" s="2400"/>
      <c r="K6946" s="2400"/>
      <c r="L6946" s="2400"/>
      <c r="M6946" s="2400"/>
      <c r="N6946" s="2400"/>
    </row>
    <row r="6947" spans="3:14">
      <c r="C6947" s="467"/>
      <c r="D6947" s="485"/>
      <c r="E6947" s="2466" t="s">
        <v>1640</v>
      </c>
      <c r="F6947" s="2400"/>
      <c r="G6947" s="2400"/>
      <c r="H6947" s="2400"/>
      <c r="I6947" s="2400"/>
      <c r="J6947" s="2400"/>
      <c r="K6947" s="2400"/>
      <c r="L6947" s="2400"/>
      <c r="M6947" s="2400"/>
      <c r="N6947" s="2400"/>
    </row>
    <row r="6948" spans="3:14">
      <c r="C6948" s="467"/>
      <c r="D6948" s="467"/>
      <c r="E6948" s="467"/>
      <c r="F6948" s="467"/>
      <c r="G6948" s="467"/>
      <c r="H6948" s="467"/>
      <c r="I6948" s="467"/>
      <c r="J6948" s="467"/>
      <c r="K6948" s="467"/>
      <c r="L6948" s="467"/>
      <c r="M6948" s="481"/>
      <c r="N6948" s="481"/>
    </row>
    <row r="6949" spans="3:14" ht="15">
      <c r="C6949" s="467"/>
      <c r="D6949" s="482" t="s">
        <v>400</v>
      </c>
      <c r="E6949" s="2373" t="s">
        <v>96</v>
      </c>
      <c r="F6949" s="2373"/>
      <c r="G6949" s="2373"/>
      <c r="H6949" s="2373"/>
      <c r="I6949" s="2373"/>
      <c r="J6949" s="2373"/>
      <c r="K6949" s="2604"/>
      <c r="L6949" s="2779" t="str">
        <f>IFERROR(IF([1]H_SpecialBM!L282 = "", "", [1]H_SpecialBM!L282 ),"")</f>
        <v/>
      </c>
      <c r="M6949" s="2780"/>
      <c r="N6949" s="2781"/>
    </row>
    <row r="6950" spans="3:14">
      <c r="C6950" s="467"/>
      <c r="D6950" s="485"/>
      <c r="E6950" s="2420" t="s">
        <v>300</v>
      </c>
      <c r="F6950" s="2421"/>
      <c r="G6950" s="2421"/>
      <c r="H6950" s="2421"/>
      <c r="I6950" s="2421"/>
      <c r="J6950" s="2421"/>
      <c r="K6950" s="2421"/>
      <c r="L6950" s="2421"/>
      <c r="M6950" s="2421"/>
      <c r="N6950" s="2421"/>
    </row>
    <row r="6951" spans="3:14">
      <c r="C6951" s="467"/>
      <c r="D6951" s="467"/>
      <c r="E6951" s="2782" t="s">
        <v>119</v>
      </c>
      <c r="F6951" s="2783"/>
      <c r="G6951" s="2783"/>
      <c r="H6951" s="2783"/>
      <c r="I6951" s="2783"/>
      <c r="J6951" s="2783"/>
      <c r="K6951" s="2783"/>
      <c r="L6951" s="2783"/>
      <c r="M6951" s="2783"/>
      <c r="N6951" s="2784"/>
    </row>
    <row r="6952" spans="3:14">
      <c r="C6952" s="467"/>
      <c r="D6952" s="467"/>
      <c r="E6952" s="467"/>
      <c r="F6952" s="467"/>
      <c r="G6952" s="467"/>
      <c r="H6952" s="467"/>
      <c r="I6952" s="467"/>
      <c r="J6952" s="467"/>
      <c r="K6952" s="467"/>
      <c r="L6952" s="467"/>
      <c r="M6952" s="481"/>
      <c r="N6952" s="481"/>
    </row>
    <row r="6953" spans="3:14">
      <c r="C6953" s="467"/>
      <c r="D6953" s="482" t="s">
        <v>876</v>
      </c>
      <c r="E6953" s="2373" t="s">
        <v>607</v>
      </c>
      <c r="F6953" s="2400"/>
      <c r="G6953" s="2400"/>
      <c r="H6953" s="2400"/>
      <c r="I6953" s="2400"/>
      <c r="J6953" s="2400"/>
      <c r="K6953" s="2400"/>
      <c r="L6953" s="2400"/>
      <c r="M6953" s="2400"/>
      <c r="N6953" s="2400"/>
    </row>
    <row r="6954" spans="3:14">
      <c r="C6954" s="467"/>
      <c r="D6954" s="485"/>
      <c r="E6954" s="2465" t="s">
        <v>1911</v>
      </c>
      <c r="F6954" s="2400"/>
      <c r="G6954" s="2400"/>
      <c r="H6954" s="2400"/>
      <c r="I6954" s="2400"/>
      <c r="J6954" s="2400"/>
      <c r="K6954" s="2400"/>
      <c r="L6954" s="2400"/>
      <c r="M6954" s="2400"/>
      <c r="N6954" s="2400"/>
    </row>
    <row r="6955" spans="3:14">
      <c r="C6955" s="467"/>
      <c r="D6955" s="485"/>
      <c r="E6955" s="2466" t="s">
        <v>609</v>
      </c>
      <c r="F6955" s="2400"/>
      <c r="G6955" s="2400"/>
      <c r="H6955" s="2400"/>
      <c r="I6955" s="2400"/>
      <c r="J6955" s="2400"/>
      <c r="K6955" s="2400"/>
      <c r="L6955" s="2400"/>
      <c r="M6955" s="2400"/>
      <c r="N6955" s="2400"/>
    </row>
    <row r="6956" spans="3:14">
      <c r="C6956" s="485"/>
      <c r="D6956" s="482"/>
      <c r="E6956" s="636"/>
      <c r="F6956" s="637"/>
      <c r="G6956" s="663" t="s">
        <v>884</v>
      </c>
      <c r="H6956" s="671">
        <v>2019</v>
      </c>
      <c r="I6956" s="671">
        <v>2020</v>
      </c>
      <c r="J6956" s="671">
        <v>2021</v>
      </c>
      <c r="K6956" s="671">
        <v>2022</v>
      </c>
      <c r="L6956" s="671">
        <v>2023</v>
      </c>
      <c r="M6956" s="671">
        <v>2024</v>
      </c>
      <c r="N6956" s="671">
        <v>2025</v>
      </c>
    </row>
    <row r="6957" spans="3:14">
      <c r="C6957" s="485"/>
      <c r="D6957" s="485"/>
      <c r="E6957" s="2788" t="s">
        <v>862</v>
      </c>
      <c r="F6957" s="2788"/>
      <c r="G6957" s="730" t="s">
        <v>2175</v>
      </c>
      <c r="H6957" s="93" t="str">
        <f>IFERROR(IF([1]H_SpecialBM!H290 = "", "", [1]H_SpecialBM!H290 ),"")</f>
        <v/>
      </c>
      <c r="I6957" s="93" t="str">
        <f>IFERROR(IF([1]H_SpecialBM!I290 = "", "", [1]H_SpecialBM!I290 ),"")</f>
        <v/>
      </c>
      <c r="J6957" s="93" t="str">
        <f>IFERROR(IF([1]H_SpecialBM!J290 = "", "", [1]H_SpecialBM!J290 ),"")</f>
        <v/>
      </c>
      <c r="K6957" s="93" t="str">
        <f>IFERROR(IF([1]H_SpecialBM!K290 = "", "", [1]H_SpecialBM!K290 ),"")</f>
        <v/>
      </c>
      <c r="L6957" s="93" t="str">
        <f>IFERROR(IF([1]H_SpecialBM!L290 = "", "", [1]H_SpecialBM!L290 ),"")</f>
        <v/>
      </c>
      <c r="M6957" s="93" t="str">
        <f>IFERROR(IF([1]H_SpecialBM!M290 = "", "", [1]H_SpecialBM!M290 ),"")</f>
        <v/>
      </c>
      <c r="N6957" s="93" t="str">
        <f>IFERROR(IF([1]H_SpecialBM!N290 = "", "", [1]H_SpecialBM!N290 ),"")</f>
        <v/>
      </c>
    </row>
    <row r="6958" spans="3:14">
      <c r="C6958" s="467"/>
      <c r="D6958" s="467"/>
      <c r="E6958" s="467"/>
      <c r="F6958" s="467"/>
      <c r="G6958" s="467"/>
      <c r="H6958" s="467"/>
      <c r="I6958" s="467"/>
      <c r="J6958" s="467"/>
      <c r="K6958" s="467"/>
      <c r="L6958" s="467"/>
      <c r="M6958" s="467"/>
      <c r="N6958" s="481"/>
    </row>
    <row r="6959" spans="3:14">
      <c r="C6959" s="467"/>
      <c r="D6959" s="482" t="s">
        <v>48</v>
      </c>
      <c r="E6959" s="2508" t="s">
        <v>605</v>
      </c>
      <c r="F6959" s="2391"/>
      <c r="G6959" s="2391"/>
      <c r="H6959" s="2391"/>
      <c r="I6959" s="2391"/>
      <c r="J6959" s="2391"/>
      <c r="K6959" s="2391"/>
      <c r="L6959" s="2391"/>
      <c r="M6959" s="2391"/>
      <c r="N6959" s="2391"/>
    </row>
    <row r="6960" spans="3:14">
      <c r="C6960" s="467"/>
      <c r="D6960" s="485"/>
      <c r="E6960" s="2581" t="s">
        <v>1912</v>
      </c>
      <c r="F6960" s="2391"/>
      <c r="G6960" s="2391"/>
      <c r="H6960" s="2391"/>
      <c r="I6960" s="2391"/>
      <c r="J6960" s="2391"/>
      <c r="K6960" s="2391"/>
      <c r="L6960" s="2391"/>
      <c r="M6960" s="2391"/>
      <c r="N6960" s="2391"/>
    </row>
    <row r="6961" spans="3:14">
      <c r="C6961" s="467"/>
      <c r="D6961" s="485"/>
      <c r="E6961" s="2581" t="s">
        <v>603</v>
      </c>
      <c r="F6961" s="2391"/>
      <c r="G6961" s="2391"/>
      <c r="H6961" s="2391"/>
      <c r="I6961" s="2391"/>
      <c r="J6961" s="2391"/>
      <c r="K6961" s="2391"/>
      <c r="L6961" s="2391"/>
      <c r="M6961" s="2391"/>
      <c r="N6961" s="2391"/>
    </row>
    <row r="6962" spans="3:14">
      <c r="C6962" s="485"/>
      <c r="D6962" s="482"/>
      <c r="E6962" s="636"/>
      <c r="F6962" s="637"/>
      <c r="G6962" s="663" t="s">
        <v>884</v>
      </c>
      <c r="H6962" s="671">
        <v>2019</v>
      </c>
      <c r="I6962" s="671">
        <v>2020</v>
      </c>
      <c r="J6962" s="671">
        <v>2021</v>
      </c>
      <c r="K6962" s="671">
        <v>2022</v>
      </c>
      <c r="L6962" s="671">
        <v>2023</v>
      </c>
      <c r="M6962" s="671">
        <v>2024</v>
      </c>
      <c r="N6962" s="671">
        <v>2025</v>
      </c>
    </row>
    <row r="6963" spans="3:14">
      <c r="C6963" s="485"/>
      <c r="D6963" s="485"/>
      <c r="E6963" s="2788" t="s">
        <v>604</v>
      </c>
      <c r="F6963" s="2410"/>
      <c r="G6963" s="1109" t="s">
        <v>1021</v>
      </c>
      <c r="H6963" s="433" t="str">
        <f>IFERROR(IF([1]H_SpecialBM!H296 = "", "", [1]H_SpecialBM!H296 ),"")</f>
        <v/>
      </c>
      <c r="I6963" s="433" t="str">
        <f>IFERROR(IF([1]H_SpecialBM!I296 = "", "", [1]H_SpecialBM!I296 ),"")</f>
        <v/>
      </c>
      <c r="J6963" s="433" t="str">
        <f>IFERROR(IF([1]H_SpecialBM!J296 = "", "", [1]H_SpecialBM!J296 ),"")</f>
        <v/>
      </c>
      <c r="K6963" s="433" t="str">
        <f>IFERROR(IF([1]H_SpecialBM!K296 = "", "", [1]H_SpecialBM!K296 ),"")</f>
        <v/>
      </c>
      <c r="L6963" s="433" t="str">
        <f>IFERROR(IF([1]H_SpecialBM!L296 = "", "", [1]H_SpecialBM!L296 ),"")</f>
        <v/>
      </c>
      <c r="M6963" s="433" t="str">
        <f>IFERROR(IF([1]H_SpecialBM!M296 = "", "", [1]H_SpecialBM!M296 ),"")</f>
        <v/>
      </c>
      <c r="N6963" s="433" t="str">
        <f>IFERROR(IF([1]H_SpecialBM!N296 = "", "", [1]H_SpecialBM!N296 ),"")</f>
        <v/>
      </c>
    </row>
    <row r="6964" spans="3:14">
      <c r="C6964" s="467"/>
      <c r="D6964" s="467"/>
      <c r="E6964" s="467"/>
      <c r="F6964" s="467"/>
      <c r="G6964" s="467"/>
      <c r="H6964" s="467"/>
      <c r="I6964" s="467"/>
      <c r="J6964" s="467"/>
      <c r="K6964" s="467"/>
      <c r="L6964" s="467"/>
      <c r="M6964" s="467"/>
      <c r="N6964" s="481"/>
    </row>
    <row r="6965" spans="3:14">
      <c r="C6965" s="467"/>
      <c r="D6965" s="482" t="s">
        <v>881</v>
      </c>
      <c r="E6965" s="2508" t="s">
        <v>608</v>
      </c>
      <c r="F6965" s="2391"/>
      <c r="G6965" s="2391"/>
      <c r="H6965" s="2391"/>
      <c r="I6965" s="2391"/>
      <c r="J6965" s="2391"/>
      <c r="K6965" s="2391"/>
      <c r="L6965" s="2391"/>
      <c r="M6965" s="2391"/>
      <c r="N6965" s="2391"/>
    </row>
    <row r="6966" spans="3:14">
      <c r="C6966" s="467"/>
      <c r="D6966" s="485"/>
      <c r="E6966" s="2581" t="s">
        <v>1251</v>
      </c>
      <c r="F6966" s="2391"/>
      <c r="G6966" s="2391"/>
      <c r="H6966" s="2391"/>
      <c r="I6966" s="2391"/>
      <c r="J6966" s="2391"/>
      <c r="K6966" s="2391"/>
      <c r="L6966" s="2391"/>
      <c r="M6966" s="2391"/>
      <c r="N6966" s="2391"/>
    </row>
    <row r="6967" spans="3:14">
      <c r="C6967" s="467"/>
      <c r="D6967" s="485"/>
      <c r="E6967" s="2581" t="s">
        <v>213</v>
      </c>
      <c r="F6967" s="2391"/>
      <c r="G6967" s="2391"/>
      <c r="H6967" s="2391"/>
      <c r="I6967" s="2391"/>
      <c r="J6967" s="2391"/>
      <c r="K6967" s="2391"/>
      <c r="L6967" s="2391"/>
      <c r="M6967" s="2391"/>
      <c r="N6967" s="2391"/>
    </row>
    <row r="6968" spans="3:14">
      <c r="C6968" s="467"/>
      <c r="D6968" s="485"/>
      <c r="E6968" s="2581" t="s">
        <v>1247</v>
      </c>
      <c r="F6968" s="2391"/>
      <c r="G6968" s="2391"/>
      <c r="H6968" s="2391"/>
      <c r="I6968" s="2391"/>
      <c r="J6968" s="2391"/>
      <c r="K6968" s="2391"/>
      <c r="L6968" s="2391"/>
      <c r="M6968" s="2391"/>
      <c r="N6968" s="2391"/>
    </row>
    <row r="6969" spans="3:14">
      <c r="C6969" s="485"/>
      <c r="D6969" s="482"/>
      <c r="E6969" s="637"/>
      <c r="F6969" s="637"/>
      <c r="G6969" s="663" t="s">
        <v>884</v>
      </c>
      <c r="H6969" s="671">
        <v>2019</v>
      </c>
      <c r="I6969" s="671">
        <v>2020</v>
      </c>
      <c r="J6969" s="671">
        <v>2021</v>
      </c>
      <c r="K6969" s="671">
        <v>2022</v>
      </c>
      <c r="L6969" s="671">
        <v>2023</v>
      </c>
      <c r="M6969" s="671">
        <v>2024</v>
      </c>
      <c r="N6969" s="671">
        <v>2025</v>
      </c>
    </row>
    <row r="6970" spans="3:14">
      <c r="C6970" s="485"/>
      <c r="D6970" s="485"/>
      <c r="E6970" s="2788" t="s">
        <v>606</v>
      </c>
      <c r="F6970" s="2410"/>
      <c r="G6970" s="730" t="s">
        <v>2152</v>
      </c>
      <c r="H6970" s="102" t="str">
        <f>IFERROR(IF([1]H_SpecialBM!H303 = "", "", [1]H_SpecialBM!H303 ),"")</f>
        <v/>
      </c>
      <c r="I6970" s="102" t="str">
        <f>IFERROR(IF([1]H_SpecialBM!I303 = "", "", [1]H_SpecialBM!I303 ),"")</f>
        <v/>
      </c>
      <c r="J6970" s="102" t="str">
        <f>IFERROR(IF([1]H_SpecialBM!J303 = "", "", [1]H_SpecialBM!J303 ),"")</f>
        <v/>
      </c>
      <c r="K6970" s="102" t="str">
        <f>IFERROR(IF([1]H_SpecialBM!K303 = "", "", [1]H_SpecialBM!K303 ),"")</f>
        <v/>
      </c>
      <c r="L6970" s="102" t="str">
        <f>IFERROR(IF([1]H_SpecialBM!L303 = "", "", [1]H_SpecialBM!L303 ),"")</f>
        <v/>
      </c>
      <c r="M6970" s="102" t="str">
        <f>IFERROR(IF([1]H_SpecialBM!M303 = "", "", [1]H_SpecialBM!M303 ),"")</f>
        <v/>
      </c>
      <c r="N6970" s="102" t="str">
        <f>IFERROR(IF([1]H_SpecialBM!N303 = "", "", [1]H_SpecialBM!N303 ),"")</f>
        <v/>
      </c>
    </row>
    <row r="6971" spans="3:14">
      <c r="C6971" s="467"/>
      <c r="D6971" s="467"/>
      <c r="E6971" s="467"/>
      <c r="F6971" s="467"/>
      <c r="G6971" s="467"/>
      <c r="H6971" s="467"/>
      <c r="I6971" s="467"/>
      <c r="J6971" s="467"/>
      <c r="K6971" s="467"/>
      <c r="L6971" s="467"/>
      <c r="M6971" s="481"/>
      <c r="N6971" s="481"/>
    </row>
    <row r="6972" spans="3:14">
      <c r="C6972" s="467"/>
      <c r="D6972" s="467"/>
      <c r="E6972" s="2782" t="s">
        <v>119</v>
      </c>
      <c r="F6972" s="2783"/>
      <c r="G6972" s="2783"/>
      <c r="H6972" s="2783"/>
      <c r="I6972" s="2783"/>
      <c r="J6972" s="2783"/>
      <c r="K6972" s="2783"/>
      <c r="L6972" s="2783"/>
      <c r="M6972" s="2783"/>
      <c r="N6972" s="2784"/>
    </row>
    <row r="6973" spans="3:14">
      <c r="C6973" s="485"/>
      <c r="D6973" s="485"/>
      <c r="E6973" s="485"/>
      <c r="F6973" s="485"/>
      <c r="G6973" s="485"/>
      <c r="H6973" s="485"/>
      <c r="I6973" s="485"/>
      <c r="J6973" s="485"/>
      <c r="K6973" s="485"/>
      <c r="L6973" s="485"/>
      <c r="M6973" s="485"/>
      <c r="N6973" s="485"/>
    </row>
    <row r="6974" spans="3:14" ht="15.75">
      <c r="C6974" s="507" t="s">
        <v>930</v>
      </c>
      <c r="D6974" s="2408" t="s">
        <v>821</v>
      </c>
      <c r="E6974" s="2408"/>
      <c r="F6974" s="2408"/>
      <c r="G6974" s="2408"/>
      <c r="H6974" s="2408"/>
      <c r="I6974" s="2408"/>
      <c r="J6974" s="2408"/>
      <c r="K6974" s="2408"/>
      <c r="L6974" s="2408"/>
      <c r="M6974" s="2408"/>
      <c r="N6974" s="2408"/>
    </row>
    <row r="6975" spans="3:14">
      <c r="C6975" s="467"/>
      <c r="D6975" s="467"/>
      <c r="E6975" s="467"/>
      <c r="F6975" s="467"/>
      <c r="G6975" s="467"/>
      <c r="H6975" s="467"/>
      <c r="I6975" s="467"/>
      <c r="J6975" s="467"/>
      <c r="K6975" s="467"/>
      <c r="L6975" s="467"/>
      <c r="M6975" s="481"/>
      <c r="N6975" s="481"/>
    </row>
    <row r="6976" spans="3:14" ht="15">
      <c r="C6976" s="559"/>
      <c r="D6976" s="2482" t="s">
        <v>610</v>
      </c>
      <c r="E6976" s="2400"/>
      <c r="F6976" s="2400"/>
      <c r="G6976" s="2400"/>
      <c r="H6976" s="2400"/>
      <c r="I6976" s="2400"/>
      <c r="J6976" s="2400"/>
      <c r="K6976" s="2400"/>
      <c r="L6976" s="2400"/>
      <c r="M6976" s="2400"/>
      <c r="N6976" s="2400"/>
    </row>
    <row r="6977" spans="3:14">
      <c r="C6977" s="467"/>
      <c r="D6977" s="467"/>
      <c r="E6977" s="467"/>
      <c r="F6977" s="467"/>
      <c r="G6977" s="467"/>
      <c r="H6977" s="467"/>
      <c r="I6977" s="467"/>
      <c r="J6977" s="467"/>
      <c r="K6977" s="467"/>
      <c r="L6977" s="467"/>
      <c r="M6977" s="481"/>
      <c r="N6977" s="481"/>
    </row>
    <row r="6978" spans="3:14">
      <c r="C6978" s="467"/>
      <c r="D6978" s="485"/>
      <c r="E6978" s="2465" t="s">
        <v>2318</v>
      </c>
      <c r="F6978" s="2400"/>
      <c r="G6978" s="2400"/>
      <c r="H6978" s="2400"/>
      <c r="I6978" s="2400"/>
      <c r="J6978" s="2400"/>
      <c r="K6978" s="2400"/>
      <c r="L6978" s="2400"/>
      <c r="M6978" s="2400"/>
      <c r="N6978" s="2400"/>
    </row>
    <row r="6979" spans="3:14">
      <c r="C6979" s="467"/>
      <c r="D6979" s="485"/>
      <c r="E6979" s="2465" t="s">
        <v>126</v>
      </c>
      <c r="F6979" s="2400"/>
      <c r="G6979" s="2400"/>
      <c r="H6979" s="2400"/>
      <c r="I6979" s="2400"/>
      <c r="J6979" s="2400"/>
      <c r="K6979" s="2400"/>
      <c r="L6979" s="2400"/>
      <c r="M6979" s="2400"/>
      <c r="N6979" s="2400"/>
    </row>
    <row r="6980" spans="3:14">
      <c r="C6980" s="467"/>
      <c r="D6980" s="485"/>
      <c r="E6980" s="2466" t="s">
        <v>1641</v>
      </c>
      <c r="F6980" s="2400"/>
      <c r="G6980" s="2400"/>
      <c r="H6980" s="2400"/>
      <c r="I6980" s="2400"/>
      <c r="J6980" s="2400"/>
      <c r="K6980" s="2400"/>
      <c r="L6980" s="2400"/>
      <c r="M6980" s="2400"/>
      <c r="N6980" s="2400"/>
    </row>
    <row r="6981" spans="3:14">
      <c r="C6981" s="467"/>
      <c r="D6981" s="467"/>
      <c r="E6981" s="467"/>
      <c r="F6981" s="467"/>
      <c r="G6981" s="467"/>
      <c r="H6981" s="467"/>
      <c r="I6981" s="467"/>
      <c r="J6981" s="467"/>
      <c r="K6981" s="467"/>
      <c r="L6981" s="467"/>
      <c r="M6981" s="481"/>
      <c r="N6981" s="481"/>
    </row>
    <row r="6982" spans="3:14" ht="15">
      <c r="C6982" s="467"/>
      <c r="D6982" s="482" t="s">
        <v>400</v>
      </c>
      <c r="E6982" s="2373" t="s">
        <v>96</v>
      </c>
      <c r="F6982" s="2373"/>
      <c r="G6982" s="2373"/>
      <c r="H6982" s="2373"/>
      <c r="I6982" s="2373"/>
      <c r="J6982" s="2373"/>
      <c r="K6982" s="2604"/>
      <c r="L6982" s="2779" t="str">
        <f>IFERROR(IF([1]H_SpecialBM!L315 = "", "", [1]H_SpecialBM!L315 ),"")</f>
        <v/>
      </c>
      <c r="M6982" s="2780"/>
      <c r="N6982" s="2781"/>
    </row>
    <row r="6983" spans="3:14">
      <c r="C6983" s="467"/>
      <c r="D6983" s="485"/>
      <c r="E6983" s="2420" t="s">
        <v>300</v>
      </c>
      <c r="F6983" s="2421"/>
      <c r="G6983" s="2421"/>
      <c r="H6983" s="2421"/>
      <c r="I6983" s="2421"/>
      <c r="J6983" s="2421"/>
      <c r="K6983" s="2421"/>
      <c r="L6983" s="2421"/>
      <c r="M6983" s="2421"/>
      <c r="N6983" s="2421"/>
    </row>
    <row r="6984" spans="3:14">
      <c r="C6984" s="467"/>
      <c r="D6984" s="467"/>
      <c r="E6984" s="2782" t="s">
        <v>1857</v>
      </c>
      <c r="F6984" s="2783"/>
      <c r="G6984" s="2783"/>
      <c r="H6984" s="2783"/>
      <c r="I6984" s="2783"/>
      <c r="J6984" s="2783"/>
      <c r="K6984" s="2783"/>
      <c r="L6984" s="2783"/>
      <c r="M6984" s="2783"/>
      <c r="N6984" s="2784"/>
    </row>
    <row r="6985" spans="3:14">
      <c r="C6985" s="467"/>
      <c r="D6985" s="467"/>
      <c r="E6985" s="467"/>
      <c r="F6985" s="467"/>
      <c r="G6985" s="467"/>
      <c r="H6985" s="467"/>
      <c r="I6985" s="467"/>
      <c r="J6985" s="467"/>
      <c r="K6985" s="467"/>
      <c r="L6985" s="467"/>
      <c r="M6985" s="481"/>
      <c r="N6985" s="481"/>
    </row>
    <row r="6986" spans="3:14">
      <c r="C6986" s="467"/>
      <c r="D6986" s="482" t="s">
        <v>876</v>
      </c>
      <c r="E6986" s="2373" t="s">
        <v>611</v>
      </c>
      <c r="F6986" s="2400"/>
      <c r="G6986" s="2400"/>
      <c r="H6986" s="2400"/>
      <c r="I6986" s="2400"/>
      <c r="J6986" s="2400"/>
      <c r="K6986" s="2400"/>
      <c r="L6986" s="2400"/>
      <c r="M6986" s="2400"/>
      <c r="N6986" s="2400"/>
    </row>
    <row r="6987" spans="3:14">
      <c r="C6987" s="467"/>
      <c r="D6987" s="485"/>
      <c r="E6987" s="2465" t="s">
        <v>1913</v>
      </c>
      <c r="F6987" s="2400"/>
      <c r="G6987" s="2400"/>
      <c r="H6987" s="2400"/>
      <c r="I6987" s="2400"/>
      <c r="J6987" s="2400"/>
      <c r="K6987" s="2400"/>
      <c r="L6987" s="2400"/>
      <c r="M6987" s="2400"/>
      <c r="N6987" s="2400"/>
    </row>
    <row r="6988" spans="3:14">
      <c r="C6988" s="467"/>
      <c r="D6988" s="485"/>
      <c r="E6988" s="2466" t="s">
        <v>609</v>
      </c>
      <c r="F6988" s="2400"/>
      <c r="G6988" s="2400"/>
      <c r="H6988" s="2400"/>
      <c r="I6988" s="2400"/>
      <c r="J6988" s="2400"/>
      <c r="K6988" s="2400"/>
      <c r="L6988" s="2400"/>
      <c r="M6988" s="2400"/>
      <c r="N6988" s="2400"/>
    </row>
    <row r="6989" spans="3:14">
      <c r="C6989" s="485"/>
      <c r="D6989" s="482"/>
      <c r="E6989" s="636"/>
      <c r="F6989" s="637"/>
      <c r="G6989" s="663" t="s">
        <v>884</v>
      </c>
      <c r="H6989" s="671">
        <v>2019</v>
      </c>
      <c r="I6989" s="671">
        <v>2020</v>
      </c>
      <c r="J6989" s="671">
        <v>2021</v>
      </c>
      <c r="K6989" s="671">
        <v>2022</v>
      </c>
      <c r="L6989" s="671">
        <v>2023</v>
      </c>
      <c r="M6989" s="671">
        <v>2024</v>
      </c>
      <c r="N6989" s="671">
        <v>2025</v>
      </c>
    </row>
    <row r="6990" spans="3:14">
      <c r="C6990" s="485"/>
      <c r="D6990" s="485"/>
      <c r="E6990" s="2788" t="s">
        <v>612</v>
      </c>
      <c r="F6990" s="2410"/>
      <c r="G6990" s="730" t="s">
        <v>2175</v>
      </c>
      <c r="H6990" s="93" t="str">
        <f>IFERROR(IF([1]H_SpecialBM!H323 = "", "", [1]H_SpecialBM!H323 ),"")</f>
        <v/>
      </c>
      <c r="I6990" s="93" t="str">
        <f>IFERROR(IF([1]H_SpecialBM!I323 = "", "", [1]H_SpecialBM!I323 ),"")</f>
        <v/>
      </c>
      <c r="J6990" s="93" t="str">
        <f>IFERROR(IF([1]H_SpecialBM!J323 = "", "", [1]H_SpecialBM!J323 ),"")</f>
        <v/>
      </c>
      <c r="K6990" s="93" t="str">
        <f>IFERROR(IF([1]H_SpecialBM!K323 = "", "", [1]H_SpecialBM!K323 ),"")</f>
        <v/>
      </c>
      <c r="L6990" s="93" t="str">
        <f>IFERROR(IF([1]H_SpecialBM!L323 = "", "", [1]H_SpecialBM!L323 ),"")</f>
        <v/>
      </c>
      <c r="M6990" s="93" t="str">
        <f>IFERROR(IF([1]H_SpecialBM!M323 = "", "", [1]H_SpecialBM!M323 ),"")</f>
        <v/>
      </c>
      <c r="N6990" s="93" t="str">
        <f>IFERROR(IF([1]H_SpecialBM!N323 = "", "", [1]H_SpecialBM!N323 ),"")</f>
        <v/>
      </c>
    </row>
    <row r="6991" spans="3:14">
      <c r="C6991" s="467"/>
      <c r="D6991" s="467"/>
      <c r="E6991" s="467"/>
      <c r="F6991" s="467"/>
      <c r="G6991" s="467"/>
      <c r="H6991" s="467"/>
      <c r="I6991" s="467"/>
      <c r="J6991" s="467"/>
      <c r="K6991" s="467"/>
      <c r="L6991" s="467"/>
      <c r="M6991" s="467"/>
      <c r="N6991" s="481"/>
    </row>
    <row r="6992" spans="3:14">
      <c r="C6992" s="467"/>
      <c r="D6992" s="482" t="s">
        <v>48</v>
      </c>
      <c r="E6992" s="2508" t="s">
        <v>605</v>
      </c>
      <c r="F6992" s="2391"/>
      <c r="G6992" s="2391"/>
      <c r="H6992" s="2391"/>
      <c r="I6992" s="2391"/>
      <c r="J6992" s="2391"/>
      <c r="K6992" s="2391"/>
      <c r="L6992" s="2391"/>
      <c r="M6992" s="2391"/>
      <c r="N6992" s="2391"/>
    </row>
    <row r="6993" spans="3:14">
      <c r="C6993" s="467"/>
      <c r="D6993" s="485"/>
      <c r="E6993" s="2581" t="s">
        <v>1912</v>
      </c>
      <c r="F6993" s="2391"/>
      <c r="G6993" s="2391"/>
      <c r="H6993" s="2391"/>
      <c r="I6993" s="2391"/>
      <c r="J6993" s="2391"/>
      <c r="K6993" s="2391"/>
      <c r="L6993" s="2391"/>
      <c r="M6993" s="2391"/>
      <c r="N6993" s="2391"/>
    </row>
    <row r="6994" spans="3:14">
      <c r="C6994" s="467"/>
      <c r="D6994" s="485"/>
      <c r="E6994" s="2581" t="s">
        <v>613</v>
      </c>
      <c r="F6994" s="2391"/>
      <c r="G6994" s="2391"/>
      <c r="H6994" s="2391"/>
      <c r="I6994" s="2391"/>
      <c r="J6994" s="2391"/>
      <c r="K6994" s="2391"/>
      <c r="L6994" s="2391"/>
      <c r="M6994" s="2391"/>
      <c r="N6994" s="2391"/>
    </row>
    <row r="6995" spans="3:14">
      <c r="C6995" s="485"/>
      <c r="D6995" s="482"/>
      <c r="E6995" s="636"/>
      <c r="F6995" s="637"/>
      <c r="G6995" s="663" t="s">
        <v>884</v>
      </c>
      <c r="H6995" s="671">
        <v>2019</v>
      </c>
      <c r="I6995" s="671">
        <v>2020</v>
      </c>
      <c r="J6995" s="671">
        <v>2021</v>
      </c>
      <c r="K6995" s="671">
        <v>2022</v>
      </c>
      <c r="L6995" s="671">
        <v>2023</v>
      </c>
      <c r="M6995" s="671">
        <v>2024</v>
      </c>
      <c r="N6995" s="671">
        <v>2025</v>
      </c>
    </row>
    <row r="6996" spans="3:14">
      <c r="C6996" s="485"/>
      <c r="D6996" s="485"/>
      <c r="E6996" s="2788" t="s">
        <v>604</v>
      </c>
      <c r="F6996" s="2410"/>
      <c r="G6996" s="1109" t="s">
        <v>1021</v>
      </c>
      <c r="H6996" s="433" t="str">
        <f>IFERROR(IF([1]H_SpecialBM!H329 = "", "", [1]H_SpecialBM!H329 ),"")</f>
        <v/>
      </c>
      <c r="I6996" s="433" t="str">
        <f>IFERROR(IF([1]H_SpecialBM!I329 = "", "", [1]H_SpecialBM!I329 ),"")</f>
        <v/>
      </c>
      <c r="J6996" s="433" t="str">
        <f>IFERROR(IF([1]H_SpecialBM!J329 = "", "", [1]H_SpecialBM!J329 ),"")</f>
        <v/>
      </c>
      <c r="K6996" s="433" t="str">
        <f>IFERROR(IF([1]H_SpecialBM!K329 = "", "", [1]H_SpecialBM!K329 ),"")</f>
        <v/>
      </c>
      <c r="L6996" s="433" t="str">
        <f>IFERROR(IF([1]H_SpecialBM!L329 = "", "", [1]H_SpecialBM!L329 ),"")</f>
        <v/>
      </c>
      <c r="M6996" s="433" t="str">
        <f>IFERROR(IF([1]H_SpecialBM!M329 = "", "", [1]H_SpecialBM!M329 ),"")</f>
        <v/>
      </c>
      <c r="N6996" s="433" t="str">
        <f>IFERROR(IF([1]H_SpecialBM!N329 = "", "", [1]H_SpecialBM!N329 ),"")</f>
        <v/>
      </c>
    </row>
    <row r="6997" spans="3:14">
      <c r="C6997" s="467"/>
      <c r="D6997" s="467"/>
      <c r="E6997" s="467"/>
      <c r="F6997" s="467"/>
      <c r="G6997" s="467"/>
      <c r="H6997" s="467"/>
      <c r="I6997" s="467"/>
      <c r="J6997" s="467"/>
      <c r="K6997" s="467"/>
      <c r="L6997" s="467"/>
      <c r="M6997" s="467"/>
      <c r="N6997" s="481"/>
    </row>
    <row r="6998" spans="3:14">
      <c r="C6998" s="467"/>
      <c r="D6998" s="482" t="s">
        <v>881</v>
      </c>
      <c r="E6998" s="2508" t="s">
        <v>614</v>
      </c>
      <c r="F6998" s="2391"/>
      <c r="G6998" s="2391"/>
      <c r="H6998" s="2391"/>
      <c r="I6998" s="2391"/>
      <c r="J6998" s="2391"/>
      <c r="K6998" s="2391"/>
      <c r="L6998" s="2391"/>
      <c r="M6998" s="2391"/>
      <c r="N6998" s="2391"/>
    </row>
    <row r="6999" spans="3:14">
      <c r="C6999" s="467"/>
      <c r="D6999" s="485"/>
      <c r="E6999" s="2581" t="s">
        <v>1252</v>
      </c>
      <c r="F6999" s="2391"/>
      <c r="G6999" s="2391"/>
      <c r="H6999" s="2391"/>
      <c r="I6999" s="2391"/>
      <c r="J6999" s="2391"/>
      <c r="K6999" s="2391"/>
      <c r="L6999" s="2391"/>
      <c r="M6999" s="2391"/>
      <c r="N6999" s="2391"/>
    </row>
    <row r="7000" spans="3:14">
      <c r="C7000" s="467"/>
      <c r="D7000" s="485"/>
      <c r="E7000" s="2581" t="s">
        <v>213</v>
      </c>
      <c r="F7000" s="2391"/>
      <c r="G7000" s="2391"/>
      <c r="H7000" s="2391"/>
      <c r="I7000" s="2391"/>
      <c r="J7000" s="2391"/>
      <c r="K7000" s="2391"/>
      <c r="L7000" s="2391"/>
      <c r="M7000" s="2391"/>
      <c r="N7000" s="2391"/>
    </row>
    <row r="7001" spans="3:14">
      <c r="C7001" s="467"/>
      <c r="D7001" s="485"/>
      <c r="E7001" s="2581" t="s">
        <v>1247</v>
      </c>
      <c r="F7001" s="2391"/>
      <c r="G7001" s="2391"/>
      <c r="H7001" s="2391"/>
      <c r="I7001" s="2391"/>
      <c r="J7001" s="2391"/>
      <c r="K7001" s="2391"/>
      <c r="L7001" s="2391"/>
      <c r="M7001" s="2391"/>
      <c r="N7001" s="2391"/>
    </row>
    <row r="7002" spans="3:14">
      <c r="C7002" s="485"/>
      <c r="D7002" s="482"/>
      <c r="E7002" s="637"/>
      <c r="F7002" s="637"/>
      <c r="G7002" s="663" t="s">
        <v>884</v>
      </c>
      <c r="H7002" s="671">
        <v>2019</v>
      </c>
      <c r="I7002" s="671">
        <v>2020</v>
      </c>
      <c r="J7002" s="671">
        <v>2021</v>
      </c>
      <c r="K7002" s="671">
        <v>2022</v>
      </c>
      <c r="L7002" s="671">
        <v>2023</v>
      </c>
      <c r="M7002" s="671">
        <v>2024</v>
      </c>
      <c r="N7002" s="671">
        <v>2025</v>
      </c>
    </row>
    <row r="7003" spans="3:14">
      <c r="C7003" s="485"/>
      <c r="D7003" s="485"/>
      <c r="E7003" s="2788" t="s">
        <v>615</v>
      </c>
      <c r="F7003" s="2410"/>
      <c r="G7003" s="730" t="s">
        <v>2152</v>
      </c>
      <c r="H7003" s="102" t="str">
        <f>IFERROR(IF([1]H_SpecialBM!H336 = "", "", [1]H_SpecialBM!H336 ),"")</f>
        <v/>
      </c>
      <c r="I7003" s="102" t="str">
        <f>IFERROR(IF([1]H_SpecialBM!I336 = "", "", [1]H_SpecialBM!I336 ),"")</f>
        <v/>
      </c>
      <c r="J7003" s="102" t="str">
        <f>IFERROR(IF([1]H_SpecialBM!J336 = "", "", [1]H_SpecialBM!J336 ),"")</f>
        <v/>
      </c>
      <c r="K7003" s="102" t="str">
        <f>IFERROR(IF([1]H_SpecialBM!K336 = "", "", [1]H_SpecialBM!K336 ),"")</f>
        <v/>
      </c>
      <c r="L7003" s="102" t="str">
        <f>IFERROR(IF([1]H_SpecialBM!L336 = "", "", [1]H_SpecialBM!L336 ),"")</f>
        <v/>
      </c>
      <c r="M7003" s="102" t="str">
        <f>IFERROR(IF([1]H_SpecialBM!M336 = "", "", [1]H_SpecialBM!M336 ),"")</f>
        <v/>
      </c>
      <c r="N7003" s="102" t="str">
        <f>IFERROR(IF([1]H_SpecialBM!N336 = "", "", [1]H_SpecialBM!N336 ),"")</f>
        <v/>
      </c>
    </row>
    <row r="7004" spans="3:14">
      <c r="C7004" s="467"/>
      <c r="D7004" s="467"/>
      <c r="E7004" s="467"/>
      <c r="F7004" s="467"/>
      <c r="G7004" s="467"/>
      <c r="H7004" s="467"/>
      <c r="I7004" s="467"/>
      <c r="J7004" s="467"/>
      <c r="K7004" s="467"/>
      <c r="L7004" s="467"/>
      <c r="M7004" s="481"/>
      <c r="N7004" s="481"/>
    </row>
    <row r="7005" spans="3:14">
      <c r="C7005" s="467"/>
      <c r="D7005" s="467"/>
      <c r="E7005" s="2782" t="s">
        <v>1857</v>
      </c>
      <c r="F7005" s="2783"/>
      <c r="G7005" s="2783"/>
      <c r="H7005" s="2783"/>
      <c r="I7005" s="2783"/>
      <c r="J7005" s="2783"/>
      <c r="K7005" s="2783"/>
      <c r="L7005" s="2783"/>
      <c r="M7005" s="2783"/>
      <c r="N7005" s="2784"/>
    </row>
    <row r="7006" spans="3:14">
      <c r="C7006" s="485"/>
      <c r="D7006" s="485"/>
      <c r="E7006" s="485"/>
      <c r="F7006" s="485"/>
      <c r="G7006" s="485"/>
      <c r="H7006" s="485"/>
      <c r="I7006" s="485"/>
      <c r="J7006" s="485"/>
      <c r="K7006" s="485"/>
      <c r="L7006" s="485"/>
      <c r="M7006" s="485"/>
      <c r="N7006" s="485"/>
    </row>
    <row r="7007" spans="3:14" ht="15.75">
      <c r="C7007" s="507" t="s">
        <v>931</v>
      </c>
      <c r="D7007" s="2408" t="s">
        <v>616</v>
      </c>
      <c r="E7007" s="2408"/>
      <c r="F7007" s="2408"/>
      <c r="G7007" s="2408"/>
      <c r="H7007" s="2408"/>
      <c r="I7007" s="2408"/>
      <c r="J7007" s="2408"/>
      <c r="K7007" s="2408"/>
      <c r="L7007" s="2408"/>
      <c r="M7007" s="2408"/>
      <c r="N7007" s="2408"/>
    </row>
    <row r="7008" spans="3:14">
      <c r="C7008" s="467"/>
      <c r="D7008" s="467"/>
      <c r="E7008" s="467"/>
      <c r="F7008" s="467"/>
      <c r="G7008" s="467"/>
      <c r="H7008" s="467"/>
      <c r="I7008" s="467"/>
      <c r="J7008" s="467"/>
      <c r="K7008" s="467"/>
      <c r="L7008" s="467"/>
      <c r="M7008" s="481"/>
      <c r="N7008" s="481"/>
    </row>
    <row r="7009" spans="3:14" ht="15">
      <c r="C7009" s="559"/>
      <c r="D7009" s="2482" t="s">
        <v>617</v>
      </c>
      <c r="E7009" s="2400"/>
      <c r="F7009" s="2400"/>
      <c r="G7009" s="2400"/>
      <c r="H7009" s="2400"/>
      <c r="I7009" s="2400"/>
      <c r="J7009" s="2400"/>
      <c r="K7009" s="2400"/>
      <c r="L7009" s="2400"/>
      <c r="M7009" s="2400"/>
      <c r="N7009" s="2400"/>
    </row>
    <row r="7010" spans="3:14">
      <c r="C7010" s="467"/>
      <c r="D7010" s="467"/>
      <c r="E7010" s="467"/>
      <c r="F7010" s="467"/>
      <c r="G7010" s="467"/>
      <c r="H7010" s="467"/>
      <c r="I7010" s="467"/>
      <c r="J7010" s="467"/>
      <c r="K7010" s="467"/>
      <c r="L7010" s="467"/>
      <c r="M7010" s="481"/>
      <c r="N7010" s="481"/>
    </row>
    <row r="7011" spans="3:14">
      <c r="C7011" s="467"/>
      <c r="D7011" s="485"/>
      <c r="E7011" s="2465" t="s">
        <v>2319</v>
      </c>
      <c r="F7011" s="2400"/>
      <c r="G7011" s="2400"/>
      <c r="H7011" s="2400"/>
      <c r="I7011" s="2400"/>
      <c r="J7011" s="2400"/>
      <c r="K7011" s="2400"/>
      <c r="L7011" s="2400"/>
      <c r="M7011" s="2400"/>
      <c r="N7011" s="2400"/>
    </row>
    <row r="7012" spans="3:14">
      <c r="C7012" s="467"/>
      <c r="D7012" s="485"/>
      <c r="E7012" s="2465" t="s">
        <v>126</v>
      </c>
      <c r="F7012" s="2400"/>
      <c r="G7012" s="2400"/>
      <c r="H7012" s="2400"/>
      <c r="I7012" s="2400"/>
      <c r="J7012" s="2400"/>
      <c r="K7012" s="2400"/>
      <c r="L7012" s="2400"/>
      <c r="M7012" s="2400"/>
      <c r="N7012" s="2400"/>
    </row>
    <row r="7013" spans="3:14">
      <c r="C7013" s="467"/>
      <c r="D7013" s="467"/>
      <c r="E7013" s="467"/>
      <c r="F7013" s="467"/>
      <c r="G7013" s="467"/>
      <c r="H7013" s="467"/>
      <c r="I7013" s="467"/>
      <c r="J7013" s="467"/>
      <c r="K7013" s="467"/>
      <c r="L7013" s="467"/>
      <c r="M7013" s="481"/>
      <c r="N7013" s="481"/>
    </row>
    <row r="7014" spans="3:14" ht="15">
      <c r="C7014" s="467"/>
      <c r="D7014" s="482" t="s">
        <v>400</v>
      </c>
      <c r="E7014" s="2373" t="s">
        <v>96</v>
      </c>
      <c r="F7014" s="2373"/>
      <c r="G7014" s="2373"/>
      <c r="H7014" s="2373"/>
      <c r="I7014" s="2373"/>
      <c r="J7014" s="2373"/>
      <c r="K7014" s="2604"/>
      <c r="L7014" s="2779" t="str">
        <f>IFERROR(IF([1]H_SpecialBM!L347 = "", "", [1]H_SpecialBM!L347 ),"")</f>
        <v/>
      </c>
      <c r="M7014" s="2780"/>
      <c r="N7014" s="2781"/>
    </row>
    <row r="7015" spans="3:14">
      <c r="C7015" s="467"/>
      <c r="D7015" s="485"/>
      <c r="E7015" s="2420" t="s">
        <v>300</v>
      </c>
      <c r="F7015" s="2421"/>
      <c r="G7015" s="2421"/>
      <c r="H7015" s="2421"/>
      <c r="I7015" s="2421"/>
      <c r="J7015" s="2421"/>
      <c r="K7015" s="2421"/>
      <c r="L7015" s="2421"/>
      <c r="M7015" s="2421"/>
      <c r="N7015" s="2421"/>
    </row>
    <row r="7016" spans="3:14">
      <c r="C7016" s="467"/>
      <c r="D7016" s="467"/>
      <c r="E7016" s="2782" t="s">
        <v>1857</v>
      </c>
      <c r="F7016" s="2783"/>
      <c r="G7016" s="2783"/>
      <c r="H7016" s="2783"/>
      <c r="I7016" s="2783"/>
      <c r="J7016" s="2783"/>
      <c r="K7016" s="2783"/>
      <c r="L7016" s="2783"/>
      <c r="M7016" s="2783"/>
      <c r="N7016" s="2784"/>
    </row>
    <row r="7017" spans="3:14">
      <c r="C7017" s="467"/>
      <c r="D7017" s="467"/>
      <c r="E7017" s="467"/>
      <c r="F7017" s="467"/>
      <c r="G7017" s="467"/>
      <c r="H7017" s="467"/>
      <c r="I7017" s="467"/>
      <c r="J7017" s="467"/>
      <c r="K7017" s="467"/>
      <c r="L7017" s="467"/>
      <c r="M7017" s="481"/>
      <c r="N7017" s="481"/>
    </row>
    <row r="7018" spans="3:14">
      <c r="C7018" s="467"/>
      <c r="D7018" s="482" t="s">
        <v>876</v>
      </c>
      <c r="E7018" s="2373" t="s">
        <v>223</v>
      </c>
      <c r="F7018" s="2400"/>
      <c r="G7018" s="2400"/>
      <c r="H7018" s="2400"/>
      <c r="I7018" s="2400"/>
      <c r="J7018" s="2400"/>
      <c r="K7018" s="2400"/>
      <c r="L7018" s="2400"/>
      <c r="M7018" s="2400"/>
      <c r="N7018" s="2400"/>
    </row>
    <row r="7019" spans="3:14">
      <c r="C7019" s="467"/>
      <c r="D7019" s="485"/>
      <c r="E7019" s="2465" t="s">
        <v>1914</v>
      </c>
      <c r="F7019" s="2400"/>
      <c r="G7019" s="2400"/>
      <c r="H7019" s="2400"/>
      <c r="I7019" s="2400"/>
      <c r="J7019" s="2400"/>
      <c r="K7019" s="2400"/>
      <c r="L7019" s="2400"/>
      <c r="M7019" s="2400"/>
      <c r="N7019" s="2400"/>
    </row>
    <row r="7020" spans="3:14">
      <c r="C7020" s="467"/>
      <c r="D7020" s="485"/>
      <c r="E7020" s="2465" t="s">
        <v>299</v>
      </c>
      <c r="F7020" s="2400"/>
      <c r="G7020" s="2400"/>
      <c r="H7020" s="2400"/>
      <c r="I7020" s="2400"/>
      <c r="J7020" s="2400"/>
      <c r="K7020" s="2400"/>
      <c r="L7020" s="2400"/>
      <c r="M7020" s="2400"/>
      <c r="N7020" s="2400"/>
    </row>
    <row r="7021" spans="3:14">
      <c r="C7021" s="485"/>
      <c r="D7021" s="482"/>
      <c r="E7021" s="636"/>
      <c r="F7021" s="1110" t="s">
        <v>836</v>
      </c>
      <c r="G7021" s="663" t="s">
        <v>884</v>
      </c>
      <c r="H7021" s="671">
        <v>2019</v>
      </c>
      <c r="I7021" s="671">
        <v>2020</v>
      </c>
      <c r="J7021" s="671">
        <v>2021</v>
      </c>
      <c r="K7021" s="671">
        <v>2022</v>
      </c>
      <c r="L7021" s="671">
        <v>2023</v>
      </c>
      <c r="M7021" s="671">
        <v>2024</v>
      </c>
      <c r="N7021" s="671">
        <v>2025</v>
      </c>
    </row>
    <row r="7022" spans="3:14">
      <c r="C7022" s="485"/>
      <c r="D7022" s="485"/>
      <c r="E7022" s="863" t="s">
        <v>837</v>
      </c>
      <c r="F7022" s="1111">
        <v>1</v>
      </c>
      <c r="G7022" s="721" t="s">
        <v>2152</v>
      </c>
      <c r="H7022" s="297" t="str">
        <f>IFERROR(IF([1]H_SpecialBM!H355 = "", "", [1]H_SpecialBM!H355 ),"")</f>
        <v/>
      </c>
      <c r="I7022" s="297" t="str">
        <f>IFERROR(IF([1]H_SpecialBM!I355 = "", "", [1]H_SpecialBM!I355 ),"")</f>
        <v/>
      </c>
      <c r="J7022" s="297" t="str">
        <f>IFERROR(IF([1]H_SpecialBM!J355 = "", "", [1]H_SpecialBM!J355 ),"")</f>
        <v/>
      </c>
      <c r="K7022" s="297" t="str">
        <f>IFERROR(IF([1]H_SpecialBM!K355 = "", "", [1]H_SpecialBM!K355 ),"")</f>
        <v/>
      </c>
      <c r="L7022" s="297" t="str">
        <f>IFERROR(IF([1]H_SpecialBM!L355 = "", "", [1]H_SpecialBM!L355 ),"")</f>
        <v/>
      </c>
      <c r="M7022" s="297" t="str">
        <f>IFERROR(IF([1]H_SpecialBM!M355 = "", "", [1]H_SpecialBM!M355 ),"")</f>
        <v/>
      </c>
      <c r="N7022" s="297" t="str">
        <f>IFERROR(IF([1]H_SpecialBM!N355 = "", "", [1]H_SpecialBM!N355 ),"")</f>
        <v/>
      </c>
    </row>
    <row r="7023" spans="3:14">
      <c r="C7023" s="485"/>
      <c r="D7023" s="485"/>
      <c r="E7023" s="865" t="s">
        <v>838</v>
      </c>
      <c r="F7023" s="1112">
        <v>0.71</v>
      </c>
      <c r="G7023" s="724" t="s">
        <v>2152</v>
      </c>
      <c r="H7023" s="356" t="str">
        <f>IFERROR(IF([1]H_SpecialBM!H356 = "", "", [1]H_SpecialBM!H356 ),"")</f>
        <v/>
      </c>
      <c r="I7023" s="356" t="str">
        <f>IFERROR(IF([1]H_SpecialBM!I356 = "", "", [1]H_SpecialBM!I356 ),"")</f>
        <v/>
      </c>
      <c r="J7023" s="356" t="str">
        <f>IFERROR(IF([1]H_SpecialBM!J356 = "", "", [1]H_SpecialBM!J356 ),"")</f>
        <v/>
      </c>
      <c r="K7023" s="356" t="str">
        <f>IFERROR(IF([1]H_SpecialBM!K356 = "", "", [1]H_SpecialBM!K356 ),"")</f>
        <v/>
      </c>
      <c r="L7023" s="356" t="str">
        <f>IFERROR(IF([1]H_SpecialBM!L356 = "", "", [1]H_SpecialBM!L356 ),"")</f>
        <v/>
      </c>
      <c r="M7023" s="356" t="str">
        <f>IFERROR(IF([1]H_SpecialBM!M356 = "", "", [1]H_SpecialBM!M356 ),"")</f>
        <v/>
      </c>
      <c r="N7023" s="356" t="str">
        <f>IFERROR(IF([1]H_SpecialBM!N356 = "", "", [1]H_SpecialBM!N356 ),"")</f>
        <v/>
      </c>
    </row>
    <row r="7024" spans="3:14">
      <c r="C7024" s="485"/>
      <c r="D7024" s="485"/>
      <c r="E7024" s="865" t="s">
        <v>839</v>
      </c>
      <c r="F7024" s="1112">
        <v>0.83</v>
      </c>
      <c r="G7024" s="724" t="s">
        <v>2152</v>
      </c>
      <c r="H7024" s="356" t="str">
        <f>IFERROR(IF([1]H_SpecialBM!H357 = "", "", [1]H_SpecialBM!H357 ),"")</f>
        <v/>
      </c>
      <c r="I7024" s="356" t="str">
        <f>IFERROR(IF([1]H_SpecialBM!I357 = "", "", [1]H_SpecialBM!I357 ),"")</f>
        <v/>
      </c>
      <c r="J7024" s="356" t="str">
        <f>IFERROR(IF([1]H_SpecialBM!J357 = "", "", [1]H_SpecialBM!J357 ),"")</f>
        <v/>
      </c>
      <c r="K7024" s="356" t="str">
        <f>IFERROR(IF([1]H_SpecialBM!K357 = "", "", [1]H_SpecialBM!K357 ),"")</f>
        <v/>
      </c>
      <c r="L7024" s="356" t="str">
        <f>IFERROR(IF([1]H_SpecialBM!L357 = "", "", [1]H_SpecialBM!L357 ),"")</f>
        <v/>
      </c>
      <c r="M7024" s="356" t="str">
        <f>IFERROR(IF([1]H_SpecialBM!M357 = "", "", [1]H_SpecialBM!M357 ),"")</f>
        <v/>
      </c>
      <c r="N7024" s="356" t="str">
        <f>IFERROR(IF([1]H_SpecialBM!N357 = "", "", [1]H_SpecialBM!N357 ),"")</f>
        <v/>
      </c>
    </row>
    <row r="7025" spans="3:14">
      <c r="C7025" s="485"/>
      <c r="D7025" s="485"/>
      <c r="E7025" s="932" t="s">
        <v>840</v>
      </c>
      <c r="F7025" s="1113">
        <v>0.88</v>
      </c>
      <c r="G7025" s="728" t="s">
        <v>2152</v>
      </c>
      <c r="H7025" s="360" t="str">
        <f>IFERROR(IF([1]H_SpecialBM!H358 = "", "", [1]H_SpecialBM!H358 ),"")</f>
        <v/>
      </c>
      <c r="I7025" s="360" t="str">
        <f>IFERROR(IF([1]H_SpecialBM!I358 = "", "", [1]H_SpecialBM!I358 ),"")</f>
        <v/>
      </c>
      <c r="J7025" s="360" t="str">
        <f>IFERROR(IF([1]H_SpecialBM!J358 = "", "", [1]H_SpecialBM!J358 ),"")</f>
        <v/>
      </c>
      <c r="K7025" s="360" t="str">
        <f>IFERROR(IF([1]H_SpecialBM!K358 = "", "", [1]H_SpecialBM!K358 ),"")</f>
        <v/>
      </c>
      <c r="L7025" s="360" t="str">
        <f>IFERROR(IF([1]H_SpecialBM!L358 = "", "", [1]H_SpecialBM!L358 ),"")</f>
        <v/>
      </c>
      <c r="M7025" s="360" t="str">
        <f>IFERROR(IF([1]H_SpecialBM!M358 = "", "", [1]H_SpecialBM!M358 ),"")</f>
        <v/>
      </c>
      <c r="N7025" s="360" t="str">
        <f>IFERROR(IF([1]H_SpecialBM!N358 = "", "", [1]H_SpecialBM!N358 ),"")</f>
        <v/>
      </c>
    </row>
    <row r="7026" spans="3:14">
      <c r="C7026" s="485"/>
      <c r="D7026" s="485"/>
      <c r="E7026" s="2788" t="s">
        <v>835</v>
      </c>
      <c r="F7026" s="2410"/>
      <c r="G7026" s="728" t="s">
        <v>2152</v>
      </c>
      <c r="H7026" s="307" t="str">
        <f>IFERROR(IF([1]H_SpecialBM!H359 = "", "", [1]H_SpecialBM!H359 ),"")</f>
        <v/>
      </c>
      <c r="I7026" s="307" t="str">
        <f>IFERROR(IF([1]H_SpecialBM!I359 = "", "", [1]H_SpecialBM!I359 ),"")</f>
        <v/>
      </c>
      <c r="J7026" s="307" t="str">
        <f>IFERROR(IF([1]H_SpecialBM!J359 = "", "", [1]H_SpecialBM!J359 ),"")</f>
        <v/>
      </c>
      <c r="K7026" s="307" t="str">
        <f>IFERROR(IF([1]H_SpecialBM!K359 = "", "", [1]H_SpecialBM!K359 ),"")</f>
        <v/>
      </c>
      <c r="L7026" s="307" t="str">
        <f>IFERROR(IF([1]H_SpecialBM!L359 = "", "", [1]H_SpecialBM!L359 ),"")</f>
        <v/>
      </c>
      <c r="M7026" s="307" t="str">
        <f>IFERROR(IF([1]H_SpecialBM!M359 = "", "", [1]H_SpecialBM!M359 ),"")</f>
        <v/>
      </c>
      <c r="N7026" s="307" t="str">
        <f>IFERROR(IF([1]H_SpecialBM!N359 = "", "", [1]H_SpecialBM!N359 ),"")</f>
        <v/>
      </c>
    </row>
    <row r="7027" spans="3:14">
      <c r="C7027" s="467"/>
      <c r="D7027" s="467"/>
      <c r="E7027" s="467"/>
      <c r="F7027" s="467"/>
      <c r="G7027" s="467"/>
      <c r="H7027" s="467"/>
      <c r="I7027" s="467"/>
      <c r="J7027" s="467"/>
      <c r="K7027" s="467"/>
      <c r="L7027" s="467"/>
      <c r="M7027" s="467"/>
      <c r="N7027" s="481"/>
    </row>
    <row r="7028" spans="3:14">
      <c r="C7028" s="467"/>
      <c r="D7028" s="482" t="s">
        <v>48</v>
      </c>
      <c r="E7028" s="2508" t="s">
        <v>841</v>
      </c>
      <c r="F7028" s="2391"/>
      <c r="G7028" s="2391"/>
      <c r="H7028" s="2391"/>
      <c r="I7028" s="2391"/>
      <c r="J7028" s="2391"/>
      <c r="K7028" s="2391"/>
      <c r="L7028" s="2391"/>
      <c r="M7028" s="2391"/>
      <c r="N7028" s="2391"/>
    </row>
    <row r="7029" spans="3:14">
      <c r="C7029" s="467"/>
      <c r="D7029" s="485"/>
      <c r="E7029" s="2581" t="s">
        <v>1245</v>
      </c>
      <c r="F7029" s="2391"/>
      <c r="G7029" s="2391"/>
      <c r="H7029" s="2391"/>
      <c r="I7029" s="2391"/>
      <c r="J7029" s="2391"/>
      <c r="K7029" s="2391"/>
      <c r="L7029" s="2391"/>
      <c r="M7029" s="2391"/>
      <c r="N7029" s="2391"/>
    </row>
    <row r="7030" spans="3:14">
      <c r="C7030" s="467"/>
      <c r="D7030" s="485"/>
      <c r="E7030" s="2581" t="s">
        <v>1247</v>
      </c>
      <c r="F7030" s="2391"/>
      <c r="G7030" s="2391"/>
      <c r="H7030" s="2391"/>
      <c r="I7030" s="2391"/>
      <c r="J7030" s="2391"/>
      <c r="K7030" s="2391"/>
      <c r="L7030" s="2391"/>
      <c r="M7030" s="2391"/>
      <c r="N7030" s="2391"/>
    </row>
    <row r="7031" spans="3:14">
      <c r="C7031" s="485"/>
      <c r="D7031" s="482"/>
      <c r="E7031" s="637"/>
      <c r="F7031" s="637"/>
      <c r="G7031" s="663" t="s">
        <v>884</v>
      </c>
      <c r="H7031" s="671">
        <v>2019</v>
      </c>
      <c r="I7031" s="671">
        <v>2020</v>
      </c>
      <c r="J7031" s="671">
        <v>2021</v>
      </c>
      <c r="K7031" s="671">
        <v>2022</v>
      </c>
      <c r="L7031" s="671">
        <v>2023</v>
      </c>
      <c r="M7031" s="671">
        <v>2024</v>
      </c>
      <c r="N7031" s="671">
        <v>2025</v>
      </c>
    </row>
    <row r="7032" spans="3:14">
      <c r="C7032" s="485"/>
      <c r="D7032" s="485"/>
      <c r="E7032" s="2788" t="s">
        <v>1008</v>
      </c>
      <c r="F7032" s="2410"/>
      <c r="G7032" s="730" t="s">
        <v>2152</v>
      </c>
      <c r="H7032" s="269" t="str">
        <f>IFERROR(IF([1]H_SpecialBM!H365 = "", "", [1]H_SpecialBM!H365 ),"")</f>
        <v/>
      </c>
      <c r="I7032" s="269" t="str">
        <f>IFERROR(IF([1]H_SpecialBM!I365 = "", "", [1]H_SpecialBM!I365 ),"")</f>
        <v/>
      </c>
      <c r="J7032" s="269" t="str">
        <f>IFERROR(IF([1]H_SpecialBM!J365 = "", "", [1]H_SpecialBM!J365 ),"")</f>
        <v/>
      </c>
      <c r="K7032" s="269" t="str">
        <f>IFERROR(IF([1]H_SpecialBM!K365 = "", "", [1]H_SpecialBM!K365 ),"")</f>
        <v/>
      </c>
      <c r="L7032" s="269" t="str">
        <f>IFERROR(IF([1]H_SpecialBM!L365 = "", "", [1]H_SpecialBM!L365 ),"")</f>
        <v/>
      </c>
      <c r="M7032" s="269" t="str">
        <f>IFERROR(IF([1]H_SpecialBM!M365 = "", "", [1]H_SpecialBM!M365 ),"")</f>
        <v/>
      </c>
      <c r="N7032" s="269" t="str">
        <f>IFERROR(IF([1]H_SpecialBM!N365 = "", "", [1]H_SpecialBM!N365 ),"")</f>
        <v/>
      </c>
    </row>
    <row r="7033" spans="3:14">
      <c r="C7033" s="467"/>
      <c r="D7033" s="467"/>
      <c r="E7033" s="467"/>
      <c r="F7033" s="618"/>
      <c r="G7033" s="618"/>
      <c r="H7033" s="467"/>
      <c r="I7033" s="467"/>
      <c r="J7033" s="467"/>
      <c r="K7033" s="467"/>
      <c r="L7033" s="467"/>
      <c r="M7033" s="481"/>
      <c r="N7033" s="481"/>
    </row>
    <row r="7034" spans="3:14">
      <c r="C7034" s="467"/>
      <c r="D7034" s="467"/>
      <c r="E7034" s="2782" t="s">
        <v>1857</v>
      </c>
      <c r="F7034" s="2783"/>
      <c r="G7034" s="2783"/>
      <c r="H7034" s="2783"/>
      <c r="I7034" s="2783"/>
      <c r="J7034" s="2783"/>
      <c r="K7034" s="2783"/>
      <c r="L7034" s="2783"/>
      <c r="M7034" s="2783"/>
      <c r="N7034" s="2784"/>
    </row>
    <row r="7035" spans="3:14">
      <c r="C7035" s="485"/>
      <c r="D7035" s="485"/>
      <c r="E7035" s="485"/>
      <c r="F7035" s="485"/>
      <c r="G7035" s="485"/>
      <c r="H7035" s="485"/>
      <c r="I7035" s="485"/>
      <c r="J7035" s="485"/>
      <c r="K7035" s="485"/>
      <c r="L7035" s="485"/>
      <c r="M7035" s="485"/>
      <c r="N7035" s="485"/>
    </row>
    <row r="7036" spans="3:14" ht="15.75">
      <c r="C7036" s="507" t="s">
        <v>237</v>
      </c>
      <c r="D7036" s="2408" t="s">
        <v>552</v>
      </c>
      <c r="E7036" s="2408"/>
      <c r="F7036" s="2408"/>
      <c r="G7036" s="2408"/>
      <c r="H7036" s="2408"/>
      <c r="I7036" s="2408"/>
      <c r="J7036" s="2408"/>
      <c r="K7036" s="2408"/>
      <c r="L7036" s="2408"/>
      <c r="M7036" s="2408"/>
      <c r="N7036" s="2408"/>
    </row>
    <row r="7037" spans="3:14">
      <c r="C7037" s="467"/>
      <c r="D7037" s="467"/>
      <c r="E7037" s="467"/>
      <c r="F7037" s="467"/>
      <c r="G7037" s="467"/>
      <c r="H7037" s="467"/>
      <c r="I7037" s="467"/>
      <c r="J7037" s="467"/>
      <c r="K7037" s="467"/>
      <c r="L7037" s="467"/>
      <c r="M7037" s="481"/>
      <c r="N7037" s="481"/>
    </row>
    <row r="7038" spans="3:14" ht="15">
      <c r="C7038" s="559"/>
      <c r="D7038" s="2482" t="s">
        <v>1373</v>
      </c>
      <c r="E7038" s="2400"/>
      <c r="F7038" s="2400"/>
      <c r="G7038" s="2400"/>
      <c r="H7038" s="2400"/>
      <c r="I7038" s="2400"/>
      <c r="J7038" s="2400"/>
      <c r="K7038" s="2400"/>
      <c r="L7038" s="2400"/>
      <c r="M7038" s="2400"/>
      <c r="N7038" s="2400"/>
    </row>
    <row r="7039" spans="3:14">
      <c r="C7039" s="467"/>
      <c r="D7039" s="467"/>
      <c r="E7039" s="467"/>
      <c r="F7039" s="467"/>
      <c r="G7039" s="467"/>
      <c r="H7039" s="467"/>
      <c r="I7039" s="467"/>
      <c r="J7039" s="467"/>
      <c r="K7039" s="467"/>
      <c r="L7039" s="467"/>
      <c r="M7039" s="481"/>
      <c r="N7039" s="481"/>
    </row>
    <row r="7040" spans="3:14">
      <c r="C7040" s="467"/>
      <c r="D7040" s="485"/>
      <c r="E7040" s="2465" t="s">
        <v>1374</v>
      </c>
      <c r="F7040" s="2400"/>
      <c r="G7040" s="2400"/>
      <c r="H7040" s="2400"/>
      <c r="I7040" s="2400"/>
      <c r="J7040" s="2400"/>
      <c r="K7040" s="2400"/>
      <c r="L7040" s="2400"/>
      <c r="M7040" s="2400"/>
      <c r="N7040" s="2400"/>
    </row>
    <row r="7041" spans="3:14">
      <c r="C7041" s="467"/>
      <c r="D7041" s="485"/>
      <c r="E7041" s="2465" t="s">
        <v>229</v>
      </c>
      <c r="F7041" s="2400"/>
      <c r="G7041" s="2400"/>
      <c r="H7041" s="2400"/>
      <c r="I7041" s="2400"/>
      <c r="J7041" s="2400"/>
      <c r="K7041" s="2400"/>
      <c r="L7041" s="2400"/>
      <c r="M7041" s="2400"/>
      <c r="N7041" s="2400"/>
    </row>
    <row r="7042" spans="3:14">
      <c r="C7042" s="467"/>
      <c r="D7042" s="485"/>
      <c r="E7042" s="1088" t="s">
        <v>1021</v>
      </c>
      <c r="F7042" s="2465" t="s">
        <v>619</v>
      </c>
      <c r="G7042" s="2400"/>
      <c r="H7042" s="2400"/>
      <c r="I7042" s="2400"/>
      <c r="J7042" s="2400"/>
      <c r="K7042" s="2400"/>
      <c r="L7042" s="2400"/>
      <c r="M7042" s="2400"/>
      <c r="N7042" s="2400"/>
    </row>
    <row r="7043" spans="3:14">
      <c r="C7043" s="467"/>
      <c r="D7043" s="485"/>
      <c r="E7043" s="1088" t="s">
        <v>1021</v>
      </c>
      <c r="F7043" s="2465" t="s">
        <v>551</v>
      </c>
      <c r="G7043" s="2400"/>
      <c r="H7043" s="2400"/>
      <c r="I7043" s="2400"/>
      <c r="J7043" s="2400"/>
      <c r="K7043" s="2400"/>
      <c r="L7043" s="2400"/>
      <c r="M7043" s="2400"/>
      <c r="N7043" s="2400"/>
    </row>
    <row r="7044" spans="3:14">
      <c r="C7044" s="467"/>
      <c r="D7044" s="485"/>
      <c r="E7044" s="1088" t="s">
        <v>1021</v>
      </c>
      <c r="F7044" s="2465" t="s">
        <v>238</v>
      </c>
      <c r="G7044" s="2400"/>
      <c r="H7044" s="2400"/>
      <c r="I7044" s="2400"/>
      <c r="J7044" s="2400"/>
      <c r="K7044" s="2400"/>
      <c r="L7044" s="2400"/>
      <c r="M7044" s="2400"/>
      <c r="N7044" s="2400"/>
    </row>
    <row r="7045" spans="3:14">
      <c r="C7045" s="467"/>
      <c r="D7045" s="485"/>
      <c r="E7045" s="1088" t="s">
        <v>1021</v>
      </c>
      <c r="F7045" s="2465" t="s">
        <v>1375</v>
      </c>
      <c r="G7045" s="2465"/>
      <c r="H7045" s="2465"/>
      <c r="I7045" s="2465"/>
      <c r="J7045" s="2465"/>
      <c r="K7045" s="2465"/>
      <c r="L7045" s="2465"/>
      <c r="M7045" s="2465"/>
      <c r="N7045" s="2465"/>
    </row>
    <row r="7046" spans="3:14">
      <c r="C7046" s="467"/>
      <c r="D7046" s="467"/>
      <c r="E7046" s="467"/>
      <c r="F7046" s="467"/>
      <c r="G7046" s="467"/>
      <c r="H7046" s="467"/>
      <c r="I7046" s="467"/>
      <c r="J7046" s="467"/>
      <c r="K7046" s="467"/>
      <c r="L7046" s="467"/>
      <c r="M7046" s="481"/>
      <c r="N7046" s="481"/>
    </row>
    <row r="7047" spans="3:14" ht="15">
      <c r="C7047" s="467"/>
      <c r="D7047" s="482" t="s">
        <v>400</v>
      </c>
      <c r="E7047" s="2373" t="s">
        <v>96</v>
      </c>
      <c r="F7047" s="2373"/>
      <c r="G7047" s="2373"/>
      <c r="H7047" s="2373"/>
      <c r="I7047" s="2373"/>
      <c r="J7047" s="2373"/>
      <c r="K7047" s="2604"/>
      <c r="L7047" s="2779" t="str">
        <f>IFERROR(IF([1]H_SpecialBM!L380 = "", "", [1]H_SpecialBM!L380 ),"")</f>
        <v/>
      </c>
      <c r="M7047" s="2780"/>
      <c r="N7047" s="2781"/>
    </row>
    <row r="7048" spans="3:14">
      <c r="C7048" s="467"/>
      <c r="D7048" s="485"/>
      <c r="E7048" s="2420" t="s">
        <v>300</v>
      </c>
      <c r="F7048" s="2421"/>
      <c r="G7048" s="2421"/>
      <c r="H7048" s="2421"/>
      <c r="I7048" s="2421"/>
      <c r="J7048" s="2421"/>
      <c r="K7048" s="2421"/>
      <c r="L7048" s="2421"/>
      <c r="M7048" s="2421"/>
      <c r="N7048" s="2421"/>
    </row>
    <row r="7049" spans="3:14">
      <c r="C7049" s="467"/>
      <c r="D7049" s="467"/>
      <c r="E7049" s="2782" t="s">
        <v>119</v>
      </c>
      <c r="F7049" s="2783"/>
      <c r="G7049" s="2783"/>
      <c r="H7049" s="2783"/>
      <c r="I7049" s="2783"/>
      <c r="J7049" s="2783"/>
      <c r="K7049" s="2783"/>
      <c r="L7049" s="2783"/>
      <c r="M7049" s="2783"/>
      <c r="N7049" s="2784"/>
    </row>
    <row r="7050" spans="3:14">
      <c r="C7050" s="467"/>
      <c r="D7050" s="467"/>
      <c r="E7050" s="467"/>
      <c r="F7050" s="467"/>
      <c r="G7050" s="467"/>
      <c r="H7050" s="467"/>
      <c r="I7050" s="467"/>
      <c r="J7050" s="467"/>
      <c r="K7050" s="467"/>
      <c r="L7050" s="467"/>
      <c r="M7050" s="481"/>
      <c r="N7050" s="481"/>
    </row>
    <row r="7051" spans="3:14">
      <c r="C7051" s="485"/>
      <c r="D7051" s="482" t="s">
        <v>876</v>
      </c>
      <c r="E7051" s="2373" t="s">
        <v>944</v>
      </c>
      <c r="F7051" s="2400"/>
      <c r="G7051" s="2400"/>
      <c r="H7051" s="2400"/>
      <c r="I7051" s="2400"/>
      <c r="J7051" s="2400"/>
      <c r="K7051" s="2400"/>
      <c r="L7051" s="2400"/>
      <c r="M7051" s="2400"/>
      <c r="N7051" s="2400"/>
    </row>
    <row r="7052" spans="3:14">
      <c r="C7052" s="467"/>
      <c r="D7052" s="485"/>
      <c r="E7052" s="2465" t="s">
        <v>553</v>
      </c>
      <c r="F7052" s="2400"/>
      <c r="G7052" s="2400"/>
      <c r="H7052" s="2400"/>
      <c r="I7052" s="2400"/>
      <c r="J7052" s="2400"/>
      <c r="K7052" s="2400"/>
      <c r="L7052" s="2400"/>
      <c r="M7052" s="2400"/>
      <c r="N7052" s="2400"/>
    </row>
    <row r="7053" spans="3:14">
      <c r="C7053" s="485"/>
      <c r="D7053" s="482"/>
      <c r="E7053" s="927" t="s">
        <v>62</v>
      </c>
      <c r="F7053" s="518"/>
      <c r="G7053" s="663" t="s">
        <v>884</v>
      </c>
      <c r="H7053" s="578">
        <v>2019</v>
      </c>
      <c r="I7053" s="697">
        <v>2020</v>
      </c>
      <c r="J7053" s="696">
        <v>2021</v>
      </c>
      <c r="K7053" s="578">
        <v>2022</v>
      </c>
      <c r="L7053" s="578">
        <v>2023</v>
      </c>
      <c r="M7053" s="578">
        <v>2024</v>
      </c>
      <c r="N7053" s="578">
        <v>2025</v>
      </c>
    </row>
    <row r="7054" spans="3:14">
      <c r="C7054" s="485"/>
      <c r="D7054" s="485"/>
      <c r="E7054" s="863" t="s">
        <v>63</v>
      </c>
      <c r="F7054" s="863"/>
      <c r="G7054" s="579" t="s">
        <v>2015</v>
      </c>
      <c r="H7054" s="94" t="str">
        <f>IFERROR(IF([1]H_SpecialBM!H387 = "", "", [1]H_SpecialBM!H387 ),"")</f>
        <v/>
      </c>
      <c r="I7054" s="110" t="str">
        <f>IFERROR(IF([1]H_SpecialBM!I387 = "", "", [1]H_SpecialBM!I387 ),"")</f>
        <v/>
      </c>
      <c r="J7054" s="111" t="str">
        <f>IFERROR(IF([1]H_SpecialBM!J387 = "", "", [1]H_SpecialBM!J387 ),"")</f>
        <v/>
      </c>
      <c r="K7054" s="94" t="str">
        <f>IFERROR(IF([1]H_SpecialBM!K387 = "", "", [1]H_SpecialBM!K387 ),"")</f>
        <v/>
      </c>
      <c r="L7054" s="94" t="str">
        <f>IFERROR(IF([1]H_SpecialBM!L387 = "", "", [1]H_SpecialBM!L387 ),"")</f>
        <v/>
      </c>
      <c r="M7054" s="94" t="str">
        <f>IFERROR(IF([1]H_SpecialBM!M387 = "", "", [1]H_SpecialBM!M387 ),"")</f>
        <v/>
      </c>
      <c r="N7054" s="94" t="str">
        <f>IFERROR(IF([1]H_SpecialBM!N387 = "", "", [1]H_SpecialBM!N387 ),"")</f>
        <v/>
      </c>
    </row>
    <row r="7055" spans="3:14">
      <c r="C7055" s="485"/>
      <c r="D7055" s="485"/>
      <c r="E7055" s="865" t="s">
        <v>555</v>
      </c>
      <c r="F7055" s="865"/>
      <c r="G7055" s="582" t="s">
        <v>2017</v>
      </c>
      <c r="H7055" s="108" t="str">
        <f>IFERROR(IF([1]H_SpecialBM!H388 = "", "", [1]H_SpecialBM!H388 ),"")</f>
        <v/>
      </c>
      <c r="I7055" s="434" t="str">
        <f>IFERROR(IF([1]H_SpecialBM!I388 = "", "", [1]H_SpecialBM!I388 ),"")</f>
        <v/>
      </c>
      <c r="J7055" s="435" t="str">
        <f>IFERROR(IF([1]H_SpecialBM!J388 = "", "", [1]H_SpecialBM!J388 ),"")</f>
        <v/>
      </c>
      <c r="K7055" s="108" t="str">
        <f>IFERROR(IF([1]H_SpecialBM!K388 = "", "", [1]H_SpecialBM!K388 ),"")</f>
        <v/>
      </c>
      <c r="L7055" s="108" t="str">
        <f>IFERROR(IF([1]H_SpecialBM!L388 = "", "", [1]H_SpecialBM!L388 ),"")</f>
        <v/>
      </c>
      <c r="M7055" s="108" t="str">
        <f>IFERROR(IF([1]H_SpecialBM!M388 = "", "", [1]H_SpecialBM!M388 ),"")</f>
        <v/>
      </c>
      <c r="N7055" s="108" t="str">
        <f>IFERROR(IF([1]H_SpecialBM!N388 = "", "", [1]H_SpecialBM!N388 ),"")</f>
        <v/>
      </c>
    </row>
    <row r="7056" spans="3:14" ht="25.5">
      <c r="C7056" s="485"/>
      <c r="D7056" s="485"/>
      <c r="E7056" s="932" t="s">
        <v>554</v>
      </c>
      <c r="F7056" s="932"/>
      <c r="G7056" s="584" t="s">
        <v>2017</v>
      </c>
      <c r="H7056" s="95" t="str">
        <f>IFERROR(IF([1]H_SpecialBM!H389 = "", "", [1]H_SpecialBM!H389 ),"")</f>
        <v/>
      </c>
      <c r="I7056" s="113" t="str">
        <f>IFERROR(IF([1]H_SpecialBM!I389 = "", "", [1]H_SpecialBM!I389 ),"")</f>
        <v/>
      </c>
      <c r="J7056" s="114" t="str">
        <f>IFERROR(IF([1]H_SpecialBM!J389 = "", "", [1]H_SpecialBM!J389 ),"")</f>
        <v/>
      </c>
      <c r="K7056" s="95" t="str">
        <f>IFERROR(IF([1]H_SpecialBM!K389 = "", "", [1]H_SpecialBM!K389 ),"")</f>
        <v/>
      </c>
      <c r="L7056" s="95" t="str">
        <f>IFERROR(IF([1]H_SpecialBM!L389 = "", "", [1]H_SpecialBM!L389 ),"")</f>
        <v/>
      </c>
      <c r="M7056" s="95" t="str">
        <f>IFERROR(IF([1]H_SpecialBM!M389 = "", "", [1]H_SpecialBM!M389 ),"")</f>
        <v/>
      </c>
      <c r="N7056" s="95" t="str">
        <f>IFERROR(IF([1]H_SpecialBM!N389 = "", "", [1]H_SpecialBM!N389 ),"")</f>
        <v/>
      </c>
    </row>
    <row r="7057" spans="3:14">
      <c r="C7057" s="485"/>
      <c r="D7057" s="485"/>
      <c r="E7057" s="863" t="s">
        <v>915</v>
      </c>
      <c r="F7057" s="863"/>
      <c r="G7057" s="579" t="s">
        <v>2015</v>
      </c>
      <c r="H7057" s="421" t="str">
        <f>IFERROR(IF([1]H_SpecialBM!H390 = "", "", [1]H_SpecialBM!H390 ),"")</f>
        <v/>
      </c>
      <c r="I7057" s="422" t="str">
        <f>IFERROR(IF([1]H_SpecialBM!I390 = "", "", [1]H_SpecialBM!I390 ),"")</f>
        <v/>
      </c>
      <c r="J7057" s="423" t="str">
        <f>IFERROR(IF([1]H_SpecialBM!J390 = "", "", [1]H_SpecialBM!J390 ),"")</f>
        <v/>
      </c>
      <c r="K7057" s="421" t="str">
        <f>IFERROR(IF([1]H_SpecialBM!K390 = "", "", [1]H_SpecialBM!K390 ),"")</f>
        <v/>
      </c>
      <c r="L7057" s="421" t="str">
        <f>IFERROR(IF([1]H_SpecialBM!L390 = "", "", [1]H_SpecialBM!L390 ),"")</f>
        <v/>
      </c>
      <c r="M7057" s="421" t="str">
        <f>IFERROR(IF([1]H_SpecialBM!M390 = "", "", [1]H_SpecialBM!M390 ),"")</f>
        <v/>
      </c>
      <c r="N7057" s="421" t="str">
        <f>IFERROR(IF([1]H_SpecialBM!N390 = "", "", [1]H_SpecialBM!N390 ),"")</f>
        <v/>
      </c>
    </row>
    <row r="7058" spans="3:14">
      <c r="C7058" s="485"/>
      <c r="D7058" s="485"/>
      <c r="E7058" s="932" t="s">
        <v>942</v>
      </c>
      <c r="F7058" s="932"/>
      <c r="G7058" s="584" t="s">
        <v>2015</v>
      </c>
      <c r="H7058" s="368" t="str">
        <f>IFERROR(IF([1]H_SpecialBM!H391 = "", "", [1]H_SpecialBM!H391 ),"")</f>
        <v/>
      </c>
      <c r="I7058" s="369" t="str">
        <f>IFERROR(IF([1]H_SpecialBM!I391 = "", "", [1]H_SpecialBM!I391 ),"")</f>
        <v/>
      </c>
      <c r="J7058" s="370" t="str">
        <f>IFERROR(IF([1]H_SpecialBM!J391 = "", "", [1]H_SpecialBM!J391 ),"")</f>
        <v/>
      </c>
      <c r="K7058" s="368" t="str">
        <f>IFERROR(IF([1]H_SpecialBM!K391 = "", "", [1]H_SpecialBM!K391 ),"")</f>
        <v/>
      </c>
      <c r="L7058" s="368" t="str">
        <f>IFERROR(IF([1]H_SpecialBM!L391 = "", "", [1]H_SpecialBM!L391 ),"")</f>
        <v/>
      </c>
      <c r="M7058" s="368" t="str">
        <f>IFERROR(IF([1]H_SpecialBM!M391 = "", "", [1]H_SpecialBM!M391 ),"")</f>
        <v/>
      </c>
      <c r="N7058" s="368" t="str">
        <f>IFERROR(IF([1]H_SpecialBM!N391 = "", "", [1]H_SpecialBM!N391 ),"")</f>
        <v/>
      </c>
    </row>
    <row r="7059" spans="3:14">
      <c r="C7059" s="467"/>
      <c r="D7059" s="467"/>
      <c r="E7059" s="467"/>
      <c r="F7059" s="467"/>
      <c r="G7059" s="467"/>
      <c r="H7059" s="467"/>
      <c r="I7059" s="467"/>
      <c r="J7059" s="467"/>
      <c r="K7059" s="467"/>
      <c r="L7059" s="467"/>
      <c r="M7059" s="481"/>
      <c r="N7059" s="481"/>
    </row>
    <row r="7060" spans="3:14">
      <c r="C7060" s="479"/>
      <c r="D7060" s="561"/>
      <c r="E7060" s="698" t="s">
        <v>1391</v>
      </c>
      <c r="F7060" s="938"/>
      <c r="G7060" s="939" t="s">
        <v>1021</v>
      </c>
      <c r="H7060" s="311">
        <f>IFERROR(IF([1]H_SpecialBM!H393 = "", "", [1]H_SpecialBM!H393 ),"")</f>
        <v>1</v>
      </c>
      <c r="I7060" s="312">
        <f>IFERROR(IF([1]H_SpecialBM!I393 = "", "", [1]H_SpecialBM!I393 ),"")</f>
        <v>1</v>
      </c>
      <c r="J7060" s="313">
        <f>IFERROR(IF([1]H_SpecialBM!J393 = "", "", [1]H_SpecialBM!J393 ),"")</f>
        <v>1</v>
      </c>
      <c r="K7060" s="314" t="str">
        <f>IFERROR(IF([1]H_SpecialBM!K393 = "", "", [1]H_SpecialBM!K393 ),"")</f>
        <v/>
      </c>
      <c r="L7060" s="311" t="str">
        <f>IFERROR(IF([1]H_SpecialBM!L393 = "", "", [1]H_SpecialBM!L393 ),"")</f>
        <v/>
      </c>
      <c r="M7060" s="311" t="str">
        <f>IFERROR(IF([1]H_SpecialBM!M393 = "", "", [1]H_SpecialBM!M393 ),"")</f>
        <v/>
      </c>
      <c r="N7060" s="311" t="str">
        <f>IFERROR(IF([1]H_SpecialBM!N393 = "", "", [1]H_SpecialBM!N393 ),"")</f>
        <v/>
      </c>
    </row>
    <row r="7061" spans="3:14">
      <c r="C7061" s="479"/>
      <c r="D7061" s="479"/>
      <c r="E7061" s="479"/>
      <c r="F7061" s="479"/>
      <c r="G7061" s="479"/>
      <c r="H7061" s="479"/>
      <c r="I7061" s="479"/>
      <c r="J7061" s="479"/>
      <c r="K7061" s="479"/>
      <c r="L7061" s="479"/>
      <c r="M7061" s="485"/>
      <c r="N7061" s="485"/>
    </row>
    <row r="7062" spans="3:14" ht="22.5" customHeight="1" thickBot="1">
      <c r="C7062" s="479"/>
      <c r="D7062" s="485"/>
      <c r="E7062" s="2465" t="s">
        <v>2724</v>
      </c>
      <c r="F7062" s="2400"/>
      <c r="G7062" s="2400"/>
      <c r="H7062" s="2400"/>
      <c r="I7062" s="2400"/>
      <c r="J7062" s="2400"/>
      <c r="K7062" s="2400"/>
      <c r="L7062" s="2400"/>
      <c r="M7062" s="2400"/>
      <c r="N7062" s="2400"/>
    </row>
    <row r="7063" spans="3:14">
      <c r="C7063" s="479"/>
      <c r="D7063" s="902"/>
      <c r="E7063" s="904"/>
      <c r="F7063" s="953"/>
      <c r="G7063" s="953"/>
      <c r="H7063" s="953"/>
      <c r="I7063" s="953"/>
      <c r="J7063" s="953"/>
      <c r="K7063" s="953"/>
      <c r="L7063" s="953"/>
      <c r="M7063" s="953"/>
      <c r="N7063" s="954"/>
    </row>
    <row r="7064" spans="3:14">
      <c r="C7064" s="479"/>
      <c r="D7064" s="918"/>
      <c r="E7064" s="2785" t="s">
        <v>1690</v>
      </c>
      <c r="F7064" s="2785"/>
      <c r="G7064" s="2785"/>
      <c r="H7064" s="910" t="s">
        <v>884</v>
      </c>
      <c r="I7064" s="911" t="s">
        <v>1924</v>
      </c>
      <c r="J7064" s="1102">
        <v>2021</v>
      </c>
      <c r="K7064" s="913">
        <v>2022</v>
      </c>
      <c r="L7064" s="913">
        <v>2023</v>
      </c>
      <c r="M7064" s="913">
        <v>2024</v>
      </c>
      <c r="N7064" s="1046">
        <v>2025</v>
      </c>
    </row>
    <row r="7065" spans="3:14">
      <c r="C7065" s="479"/>
      <c r="D7065" s="915"/>
      <c r="E7065" s="2714" t="s">
        <v>1691</v>
      </c>
      <c r="F7065" s="2410"/>
      <c r="G7065" s="2410"/>
      <c r="H7065" s="944" t="s">
        <v>1021</v>
      </c>
      <c r="I7065" s="315" t="str">
        <f>IFERROR(IF([1]H_SpecialBM!I398 = "", "", [1]H_SpecialBM!I398 ),"")</f>
        <v/>
      </c>
      <c r="J7065" s="316" t="str">
        <f>IFERROR(IF([1]H_SpecialBM!J398 = "", "", [1]H_SpecialBM!J398 ),"")</f>
        <v/>
      </c>
      <c r="K7065" s="317" t="str">
        <f>IFERROR(IF([1]H_SpecialBM!K398 = "", "", [1]H_SpecialBM!K398 ),"")</f>
        <v/>
      </c>
      <c r="L7065" s="317" t="str">
        <f>IFERROR(IF([1]H_SpecialBM!L398 = "", "", [1]H_SpecialBM!L398 ),"")</f>
        <v/>
      </c>
      <c r="M7065" s="317" t="str">
        <f>IFERROR(IF([1]H_SpecialBM!M398 = "", "", [1]H_SpecialBM!M398 ),"")</f>
        <v/>
      </c>
      <c r="N7065" s="318" t="str">
        <f>IFERROR(IF([1]H_SpecialBM!N398 = "", "", [1]H_SpecialBM!N398 ),"")</f>
        <v/>
      </c>
    </row>
    <row r="7066" spans="3:14">
      <c r="C7066" s="479"/>
      <c r="D7066" s="918"/>
      <c r="E7066" s="2714" t="s">
        <v>2725</v>
      </c>
      <c r="F7066" s="2410"/>
      <c r="G7066" s="2410"/>
      <c r="H7066" s="921"/>
      <c r="I7066" s="916"/>
      <c r="J7066" s="319" t="str">
        <f>IFERROR(IF([1]H_SpecialBM!J399 = "", "", [1]H_SpecialBM!J399 ),"")</f>
        <v/>
      </c>
      <c r="K7066" s="320" t="str">
        <f>IFERROR(IF([1]H_SpecialBM!K399 = "", "", [1]H_SpecialBM!K399 ),"")</f>
        <v/>
      </c>
      <c r="L7066" s="320" t="str">
        <f>IFERROR(IF([1]H_SpecialBM!L399 = "", "", [1]H_SpecialBM!L399 ),"")</f>
        <v/>
      </c>
      <c r="M7066" s="320" t="str">
        <f>IFERROR(IF([1]H_SpecialBM!M399 = "", "", [1]H_SpecialBM!M399 ),"")</f>
        <v/>
      </c>
      <c r="N7066" s="321" t="str">
        <f>IFERROR(IF([1]H_SpecialBM!N399 = "", "", [1]H_SpecialBM!N399 ),"")</f>
        <v/>
      </c>
    </row>
    <row r="7067" spans="3:14">
      <c r="C7067" s="479"/>
      <c r="D7067" s="918"/>
      <c r="E7067" s="2714" t="s">
        <v>1654</v>
      </c>
      <c r="F7067" s="2410"/>
      <c r="G7067" s="2410"/>
      <c r="H7067" s="2410"/>
      <c r="I7067" s="2715"/>
      <c r="J7067" s="288" t="str">
        <f>IFERROR(IF([1]H_SpecialBM!J400 = "", "", [1]H_SpecialBM!J400 ),"")</f>
        <v/>
      </c>
      <c r="K7067" s="289" t="str">
        <f>IFERROR(IF([1]H_SpecialBM!K400 = "", "", [1]H_SpecialBM!K400 ),"")</f>
        <v/>
      </c>
      <c r="L7067" s="289" t="str">
        <f>IFERROR(IF([1]H_SpecialBM!L400 = "", "", [1]H_SpecialBM!L400 ),"")</f>
        <v/>
      </c>
      <c r="M7067" s="289" t="str">
        <f>IFERROR(IF([1]H_SpecialBM!M400 = "", "", [1]H_SpecialBM!M400 ),"")</f>
        <v/>
      </c>
      <c r="N7067" s="290" t="str">
        <f>IFERROR(IF([1]H_SpecialBM!N400 = "", "", [1]H_SpecialBM!N400 ),"")</f>
        <v/>
      </c>
    </row>
    <row r="7068" spans="3:14">
      <c r="C7068" s="479"/>
      <c r="D7068" s="918"/>
      <c r="E7068" s="2714" t="s">
        <v>1689</v>
      </c>
      <c r="F7068" s="2410"/>
      <c r="G7068" s="2410"/>
      <c r="H7068" s="944" t="s">
        <v>1021</v>
      </c>
      <c r="I7068" s="315" t="str">
        <f>IFERROR(IF([1]H_SpecialBM!I401 = "", "", [1]H_SpecialBM!I401 ),"")</f>
        <v/>
      </c>
      <c r="J7068" s="322" t="str">
        <f>IFERROR(IF([1]H_SpecialBM!J401 = "", "", [1]H_SpecialBM!J401 ),"")</f>
        <v/>
      </c>
      <c r="K7068" s="323" t="str">
        <f>IFERROR(IF([1]H_SpecialBM!K401 = "", "", [1]H_SpecialBM!K401 ),"")</f>
        <v/>
      </c>
      <c r="L7068" s="323" t="str">
        <f>IFERROR(IF([1]H_SpecialBM!L401 = "", "", [1]H_SpecialBM!L401 ),"")</f>
        <v/>
      </c>
      <c r="M7068" s="323" t="str">
        <f>IFERROR(IF([1]H_SpecialBM!M401 = "", "", [1]H_SpecialBM!M401 ),"")</f>
        <v/>
      </c>
      <c r="N7068" s="324" t="str">
        <f>IFERROR(IF([1]H_SpecialBM!N401 = "", "", [1]H_SpecialBM!N401 ),"")</f>
        <v/>
      </c>
    </row>
    <row r="7069" spans="3:14">
      <c r="C7069" s="479"/>
      <c r="D7069" s="918"/>
      <c r="E7069" s="909"/>
      <c r="F7069" s="909"/>
      <c r="G7069" s="909"/>
      <c r="H7069" s="909"/>
      <c r="I7069" s="909"/>
      <c r="J7069" s="909"/>
      <c r="K7069" s="909"/>
      <c r="L7069" s="909"/>
      <c r="M7069" s="909"/>
      <c r="N7069" s="922"/>
    </row>
    <row r="7070" spans="3:14">
      <c r="C7070" s="479"/>
      <c r="D7070" s="918"/>
      <c r="E7070" s="923" t="s">
        <v>1653</v>
      </c>
      <c r="F7070" s="923"/>
      <c r="G7070" s="923"/>
      <c r="H7070" s="923"/>
      <c r="I7070" s="923"/>
      <c r="J7070" s="1102">
        <v>2021</v>
      </c>
      <c r="K7070" s="913">
        <v>2022</v>
      </c>
      <c r="L7070" s="913">
        <v>2023</v>
      </c>
      <c r="M7070" s="913">
        <v>2024</v>
      </c>
      <c r="N7070" s="1046">
        <v>2025</v>
      </c>
    </row>
    <row r="7071" spans="3:14">
      <c r="C7071" s="479"/>
      <c r="D7071" s="918"/>
      <c r="E7071" s="2714" t="s">
        <v>2108</v>
      </c>
      <c r="F7071" s="2410"/>
      <c r="G7071" s="2410"/>
      <c r="H7071" s="2410"/>
      <c r="I7071" s="2715"/>
      <c r="J7071" s="69" t="str">
        <f>IFERROR(IF([1]H_SpecialBM!J404 = "", "", [1]H_SpecialBM!J404 ),"")</f>
        <v/>
      </c>
      <c r="K7071" s="62" t="str">
        <f>IFERROR(IF([1]H_SpecialBM!K404 = "", "", [1]H_SpecialBM!K404 ),"")</f>
        <v/>
      </c>
      <c r="L7071" s="62" t="str">
        <f>IFERROR(IF([1]H_SpecialBM!L404 = "", "", [1]H_SpecialBM!L404 ),"")</f>
        <v/>
      </c>
      <c r="M7071" s="62" t="str">
        <f>IFERROR(IF([1]H_SpecialBM!M404 = "", "", [1]H_SpecialBM!M404 ),"")</f>
        <v/>
      </c>
      <c r="N7071" s="70" t="str">
        <f>IFERROR(IF([1]H_SpecialBM!N404 = "", "", [1]H_SpecialBM!N404 ),"")</f>
        <v/>
      </c>
    </row>
    <row r="7072" spans="3:14" ht="13.5" thickBot="1">
      <c r="C7072" s="479"/>
      <c r="D7072" s="918"/>
      <c r="E7072" s="909"/>
      <c r="F7072" s="909"/>
      <c r="G7072" s="909"/>
      <c r="H7072" s="909"/>
      <c r="I7072" s="909"/>
      <c r="J7072" s="909"/>
      <c r="K7072" s="909"/>
      <c r="L7072" s="909"/>
      <c r="M7072" s="909"/>
      <c r="N7072" s="922"/>
    </row>
    <row r="7073" spans="3:14" ht="13.5" thickBot="1">
      <c r="C7073" s="479"/>
      <c r="D7073" s="915"/>
      <c r="E7073" s="2714" t="s">
        <v>1657</v>
      </c>
      <c r="F7073" s="2410"/>
      <c r="G7073" s="2410"/>
      <c r="H7073" s="2410"/>
      <c r="I7073" s="2715"/>
      <c r="J7073" s="291" t="str">
        <f>IFERROR(IF([1]H_SpecialBM!J406 = "", "", [1]H_SpecialBM!J406 ),"")</f>
        <v/>
      </c>
      <c r="K7073" s="292" t="str">
        <f>IFERROR(IF([1]H_SpecialBM!K406 = "", "", [1]H_SpecialBM!K406 ),"")</f>
        <v/>
      </c>
      <c r="L7073" s="292" t="str">
        <f>IFERROR(IF([1]H_SpecialBM!L406 = "", "", [1]H_SpecialBM!L406 ),"")</f>
        <v/>
      </c>
      <c r="M7073" s="292" t="str">
        <f>IFERROR(IF([1]H_SpecialBM!M406 = "", "", [1]H_SpecialBM!M406 ),"")</f>
        <v/>
      </c>
      <c r="N7073" s="293" t="str">
        <f>IFERROR(IF([1]H_SpecialBM!N406 = "", "", [1]H_SpecialBM!N406 ),"")</f>
        <v/>
      </c>
    </row>
    <row r="7074" spans="3:14" ht="13.5" thickBot="1">
      <c r="C7074" s="479"/>
      <c r="D7074" s="918"/>
      <c r="E7074" s="2714" t="s">
        <v>1659</v>
      </c>
      <c r="F7074" s="2410"/>
      <c r="G7074" s="2410"/>
      <c r="H7074" s="944" t="s">
        <v>1021</v>
      </c>
      <c r="I7074" s="315" t="str">
        <f>IFERROR(IF([1]H_SpecialBM!I407 = "", "", [1]H_SpecialBM!I407 ),"")</f>
        <v/>
      </c>
      <c r="J7074" s="325" t="str">
        <f>IFERROR(IF([1]H_SpecialBM!J407 = "", "", [1]H_SpecialBM!J407 ),"")</f>
        <v/>
      </c>
      <c r="K7074" s="326" t="str">
        <f>IFERROR(IF([1]H_SpecialBM!K407 = "", "", [1]H_SpecialBM!K407 ),"")</f>
        <v/>
      </c>
      <c r="L7074" s="326" t="str">
        <f>IFERROR(IF([1]H_SpecialBM!L407 = "", "", [1]H_SpecialBM!L407 ),"")</f>
        <v/>
      </c>
      <c r="M7074" s="326" t="str">
        <f>IFERROR(IF([1]H_SpecialBM!M407 = "", "", [1]H_SpecialBM!M407 ),"")</f>
        <v/>
      </c>
      <c r="N7074" s="327" t="str">
        <f>IFERROR(IF([1]H_SpecialBM!N407 = "", "", [1]H_SpecialBM!N407 ),"")</f>
        <v/>
      </c>
    </row>
    <row r="7075" spans="3:14" ht="13.5" thickBot="1">
      <c r="C7075" s="467"/>
      <c r="D7075" s="1022"/>
      <c r="E7075" s="1023"/>
      <c r="F7075" s="1023"/>
      <c r="G7075" s="1023"/>
      <c r="H7075" s="1023"/>
      <c r="I7075" s="1023"/>
      <c r="J7075" s="1023"/>
      <c r="K7075" s="1023"/>
      <c r="L7075" s="1023"/>
      <c r="M7075" s="1106"/>
      <c r="N7075" s="1107"/>
    </row>
    <row r="7076" spans="3:14"/>
  </sheetData>
  <sheetProtection algorithmName="SHA-512" hashValue="Rbz/9b+EvNbHWf19GE+w9rS1Gft28WOLcpHJIfu3wYX1oWHiNgMQW3ObeSWwBJ0Y+il/Q901YPOgn6nu91EbaQ==" saltValue="7nwzc2Ub0Qc9qyzAUUcISw==" spinCount="100000" sheet="1" formatCells="0" formatColumns="0" formatRows="0" insertHyperlinks="0"/>
  <mergeCells count="3916">
    <mergeCell ref="E2695:N2695"/>
    <mergeCell ref="E2696:F2696"/>
    <mergeCell ref="E2697:F2697"/>
    <mergeCell ref="E2698:F2698"/>
    <mergeCell ref="E2699:F2699"/>
    <mergeCell ref="E2700:F2700"/>
    <mergeCell ref="E2701:F2701"/>
    <mergeCell ref="E2707:N2707"/>
    <mergeCell ref="E2709:F2709"/>
    <mergeCell ref="E2710:F2710"/>
    <mergeCell ref="E2711:F2711"/>
    <mergeCell ref="E2712:F2712"/>
    <mergeCell ref="C2689:N2689"/>
    <mergeCell ref="D2691:N2691"/>
    <mergeCell ref="E2693:H2693"/>
    <mergeCell ref="I2693:J2693"/>
    <mergeCell ref="D2703:N2703"/>
    <mergeCell ref="E2705:H2705"/>
    <mergeCell ref="I2705:J2705"/>
    <mergeCell ref="B2:D4"/>
    <mergeCell ref="G2:H2"/>
    <mergeCell ref="I2:J2"/>
    <mergeCell ref="K2:L2"/>
    <mergeCell ref="M2:N2"/>
    <mergeCell ref="G3:H3"/>
    <mergeCell ref="I3:J3"/>
    <mergeCell ref="K3:L3"/>
    <mergeCell ref="M3:N3"/>
    <mergeCell ref="G4:H4"/>
    <mergeCell ref="I4:J4"/>
    <mergeCell ref="K4:L4"/>
    <mergeCell ref="M4:N4"/>
    <mergeCell ref="F2658:G2658"/>
    <mergeCell ref="H2658:I2658"/>
    <mergeCell ref="J2658:L2658"/>
    <mergeCell ref="M2658:N2658"/>
    <mergeCell ref="J2656:L2656"/>
    <mergeCell ref="M2656:N2656"/>
    <mergeCell ref="F2653:G2653"/>
    <mergeCell ref="H2653:I2653"/>
    <mergeCell ref="J2653:L2653"/>
    <mergeCell ref="M2653:N2653"/>
    <mergeCell ref="F2654:G2654"/>
    <mergeCell ref="H2654:I2654"/>
    <mergeCell ref="J2654:L2654"/>
    <mergeCell ref="M2654:N2654"/>
    <mergeCell ref="F2655:G2655"/>
    <mergeCell ref="H2655:I2655"/>
    <mergeCell ref="J2655:L2655"/>
    <mergeCell ref="M2655:N2655"/>
    <mergeCell ref="E2650:N2650"/>
    <mergeCell ref="E6999:N6999"/>
    <mergeCell ref="E7000:N7000"/>
    <mergeCell ref="E7001:N7001"/>
    <mergeCell ref="E7003:F7003"/>
    <mergeCell ref="E7005:N7005"/>
    <mergeCell ref="D7007:N7007"/>
    <mergeCell ref="D7009:N7009"/>
    <mergeCell ref="E7011:N7011"/>
    <mergeCell ref="E7012:N7012"/>
    <mergeCell ref="E7014:K7014"/>
    <mergeCell ref="L7014:N7014"/>
    <mergeCell ref="E7015:N7015"/>
    <mergeCell ref="E7016:N7016"/>
    <mergeCell ref="E7018:N7018"/>
    <mergeCell ref="E7019:N7019"/>
    <mergeCell ref="E7020:N7020"/>
    <mergeCell ref="E7026:F7026"/>
    <mergeCell ref="E7065:G7065"/>
    <mergeCell ref="E7066:G7066"/>
    <mergeCell ref="E7067:I7067"/>
    <mergeCell ref="E7068:G7068"/>
    <mergeCell ref="E7071:I7071"/>
    <mergeCell ref="E7073:I7073"/>
    <mergeCell ref="E7074:G7074"/>
    <mergeCell ref="E7028:N7028"/>
    <mergeCell ref="E7029:N7029"/>
    <mergeCell ref="E7030:N7030"/>
    <mergeCell ref="E7032:F7032"/>
    <mergeCell ref="E7034:N7034"/>
    <mergeCell ref="D7036:N7036"/>
    <mergeCell ref="D7038:N7038"/>
    <mergeCell ref="E7040:N7040"/>
    <mergeCell ref="E7041:N7041"/>
    <mergeCell ref="F7042:N7042"/>
    <mergeCell ref="F7043:N7043"/>
    <mergeCell ref="F7044:N7044"/>
    <mergeCell ref="F7045:N7045"/>
    <mergeCell ref="E7047:K7047"/>
    <mergeCell ref="L7047:N7047"/>
    <mergeCell ref="E7048:N7048"/>
    <mergeCell ref="E7049:N7049"/>
    <mergeCell ref="E7051:N7051"/>
    <mergeCell ref="E7052:N7052"/>
    <mergeCell ref="E7062:N7062"/>
    <mergeCell ref="E7064:G7064"/>
    <mergeCell ref="D6976:N6976"/>
    <mergeCell ref="E6978:N6978"/>
    <mergeCell ref="E6979:N6979"/>
    <mergeCell ref="E6980:N6980"/>
    <mergeCell ref="E6982:K6982"/>
    <mergeCell ref="L6982:N6982"/>
    <mergeCell ref="E6983:N6983"/>
    <mergeCell ref="E6984:N6984"/>
    <mergeCell ref="E6986:N6986"/>
    <mergeCell ref="E6987:N6987"/>
    <mergeCell ref="E6988:N6988"/>
    <mergeCell ref="E6990:F6990"/>
    <mergeCell ref="E6992:N6992"/>
    <mergeCell ref="E6993:N6993"/>
    <mergeCell ref="E6994:N6994"/>
    <mergeCell ref="E6996:F6996"/>
    <mergeCell ref="E6998:N6998"/>
    <mergeCell ref="E6950:N6950"/>
    <mergeCell ref="E6951:N6951"/>
    <mergeCell ref="E6953:N6953"/>
    <mergeCell ref="E6954:N6954"/>
    <mergeCell ref="E6955:N6955"/>
    <mergeCell ref="E6957:F6957"/>
    <mergeCell ref="E6959:N6959"/>
    <mergeCell ref="E6960:N6960"/>
    <mergeCell ref="E6961:N6961"/>
    <mergeCell ref="E6963:F6963"/>
    <mergeCell ref="E6965:N6965"/>
    <mergeCell ref="E6966:N6966"/>
    <mergeCell ref="E6967:N6967"/>
    <mergeCell ref="E6968:N6968"/>
    <mergeCell ref="E6970:F6970"/>
    <mergeCell ref="E6972:N6972"/>
    <mergeCell ref="D6974:N6974"/>
    <mergeCell ref="E6915:N6915"/>
    <mergeCell ref="E6916:N6916"/>
    <mergeCell ref="F6917:N6917"/>
    <mergeCell ref="F6918:N6918"/>
    <mergeCell ref="E6919:N6919"/>
    <mergeCell ref="E6931:N6931"/>
    <mergeCell ref="E6932:N6932"/>
    <mergeCell ref="E6933:N6933"/>
    <mergeCell ref="E6934:N6934"/>
    <mergeCell ref="E6935:N6935"/>
    <mergeCell ref="E6939:N6939"/>
    <mergeCell ref="D6941:N6941"/>
    <mergeCell ref="D6943:N6943"/>
    <mergeCell ref="E6945:N6945"/>
    <mergeCell ref="E6946:N6946"/>
    <mergeCell ref="E6947:N6947"/>
    <mergeCell ref="E6949:K6949"/>
    <mergeCell ref="L6949:N6949"/>
    <mergeCell ref="E6890:G6890"/>
    <mergeCell ref="E6892:I6892"/>
    <mergeCell ref="E6893:I6893"/>
    <mergeCell ref="E6895:I6895"/>
    <mergeCell ref="E6896:G6896"/>
    <mergeCell ref="E6899:N6899"/>
    <mergeCell ref="D6901:N6901"/>
    <mergeCell ref="D6903:N6903"/>
    <mergeCell ref="E6905:N6905"/>
    <mergeCell ref="E6906:N6906"/>
    <mergeCell ref="E6907:N6907"/>
    <mergeCell ref="E6909:K6909"/>
    <mergeCell ref="L6909:N6909"/>
    <mergeCell ref="E6910:N6910"/>
    <mergeCell ref="E6911:N6911"/>
    <mergeCell ref="E6913:N6913"/>
    <mergeCell ref="E6914:N6914"/>
    <mergeCell ref="F6854:N6854"/>
    <mergeCell ref="E6860:N6860"/>
    <mergeCell ref="E6861:N6861"/>
    <mergeCell ref="E6862:N6862"/>
    <mergeCell ref="D6866:N6866"/>
    <mergeCell ref="E6868:N6868"/>
    <mergeCell ref="E6869:N6869"/>
    <mergeCell ref="E6870:N6870"/>
    <mergeCell ref="E6872:N6872"/>
    <mergeCell ref="E6873:N6873"/>
    <mergeCell ref="E6879:N6879"/>
    <mergeCell ref="E6880:N6880"/>
    <mergeCell ref="E6884:F6884"/>
    <mergeCell ref="E6886:G6886"/>
    <mergeCell ref="E6887:G6887"/>
    <mergeCell ref="E6888:I6888"/>
    <mergeCell ref="E6889:I6889"/>
    <mergeCell ref="E6827:N6827"/>
    <mergeCell ref="E6828:N6828"/>
    <mergeCell ref="E6832:N6832"/>
    <mergeCell ref="D6834:N6834"/>
    <mergeCell ref="D6836:N6836"/>
    <mergeCell ref="E6838:N6838"/>
    <mergeCell ref="E6839:N6839"/>
    <mergeCell ref="E6841:K6841"/>
    <mergeCell ref="L6841:N6841"/>
    <mergeCell ref="E6842:N6842"/>
    <mergeCell ref="E6843:N6843"/>
    <mergeCell ref="E6845:N6845"/>
    <mergeCell ref="E6846:N6846"/>
    <mergeCell ref="E6850:N6850"/>
    <mergeCell ref="E6851:N6851"/>
    <mergeCell ref="F6852:N6852"/>
    <mergeCell ref="F6853:N6853"/>
    <mergeCell ref="D6800:N6800"/>
    <mergeCell ref="D6802:N6802"/>
    <mergeCell ref="E6804:N6804"/>
    <mergeCell ref="E6805:N6805"/>
    <mergeCell ref="E6807:K6807"/>
    <mergeCell ref="L6807:N6807"/>
    <mergeCell ref="E6808:N6808"/>
    <mergeCell ref="E6809:N6809"/>
    <mergeCell ref="E6811:N6811"/>
    <mergeCell ref="E6812:N6812"/>
    <mergeCell ref="E6816:N6816"/>
    <mergeCell ref="E6817:N6817"/>
    <mergeCell ref="F6818:N6818"/>
    <mergeCell ref="F6819:N6819"/>
    <mergeCell ref="F6820:N6820"/>
    <mergeCell ref="F6821:N6821"/>
    <mergeCell ref="E6826:N6826"/>
    <mergeCell ref="E6771:N6771"/>
    <mergeCell ref="E6773:K6773"/>
    <mergeCell ref="L6773:N6773"/>
    <mergeCell ref="E6774:N6774"/>
    <mergeCell ref="E6775:N6775"/>
    <mergeCell ref="E6777:N6777"/>
    <mergeCell ref="E6778:N6778"/>
    <mergeCell ref="E6782:N6782"/>
    <mergeCell ref="E6783:N6783"/>
    <mergeCell ref="F6784:N6784"/>
    <mergeCell ref="F6785:N6785"/>
    <mergeCell ref="F6786:N6786"/>
    <mergeCell ref="F6787:N6787"/>
    <mergeCell ref="E6792:N6792"/>
    <mergeCell ref="E6793:N6793"/>
    <mergeCell ref="E6794:N6794"/>
    <mergeCell ref="E6798:N6798"/>
    <mergeCell ref="E6689:N6689"/>
    <mergeCell ref="E6690:N6690"/>
    <mergeCell ref="E6691:N6691"/>
    <mergeCell ref="F6692:N6692"/>
    <mergeCell ref="F6693:N6693"/>
    <mergeCell ref="F6694:N6694"/>
    <mergeCell ref="F6695:N6695"/>
    <mergeCell ref="E6696:N6696"/>
    <mergeCell ref="E6756:N6756"/>
    <mergeCell ref="E6757:N6757"/>
    <mergeCell ref="E6758:N6758"/>
    <mergeCell ref="E6759:N6759"/>
    <mergeCell ref="E6760:N6760"/>
    <mergeCell ref="E6764:N6764"/>
    <mergeCell ref="D6766:N6766"/>
    <mergeCell ref="D6768:N6768"/>
    <mergeCell ref="E6770:N6770"/>
    <mergeCell ref="E6666:F6666"/>
    <mergeCell ref="E6667:F6667"/>
    <mergeCell ref="E6668:F6668"/>
    <mergeCell ref="E6669:F6669"/>
    <mergeCell ref="E6670:F6670"/>
    <mergeCell ref="E6671:F6671"/>
    <mergeCell ref="C6674:N6674"/>
    <mergeCell ref="D6676:N6676"/>
    <mergeCell ref="D6678:N6678"/>
    <mergeCell ref="E6680:N6680"/>
    <mergeCell ref="E6681:N6681"/>
    <mergeCell ref="E6682:N6682"/>
    <mergeCell ref="E6684:K6684"/>
    <mergeCell ref="L6684:N6684"/>
    <mergeCell ref="E6685:N6685"/>
    <mergeCell ref="E6686:N6686"/>
    <mergeCell ref="E6688:N6688"/>
    <mergeCell ref="E6652:G6652"/>
    <mergeCell ref="H6652:L6652"/>
    <mergeCell ref="E6653:G6653"/>
    <mergeCell ref="H6653:L6653"/>
    <mergeCell ref="E6654:G6654"/>
    <mergeCell ref="H6654:L6654"/>
    <mergeCell ref="E6655:G6655"/>
    <mergeCell ref="H6655:L6655"/>
    <mergeCell ref="E6656:G6656"/>
    <mergeCell ref="H6656:L6656"/>
    <mergeCell ref="E6658:N6658"/>
    <mergeCell ref="E6660:F6660"/>
    <mergeCell ref="E6661:F6661"/>
    <mergeCell ref="E6662:F6662"/>
    <mergeCell ref="E6663:F6663"/>
    <mergeCell ref="E6664:F6664"/>
    <mergeCell ref="E6665:F6665"/>
    <mergeCell ref="F6624:N6624"/>
    <mergeCell ref="F6625:N6625"/>
    <mergeCell ref="F6626:N6626"/>
    <mergeCell ref="D6641:N6641"/>
    <mergeCell ref="E6643:N6643"/>
    <mergeCell ref="E6644:N6644"/>
    <mergeCell ref="H6646:L6646"/>
    <mergeCell ref="E6647:G6647"/>
    <mergeCell ref="H6647:L6647"/>
    <mergeCell ref="E6648:G6648"/>
    <mergeCell ref="H6648:L6648"/>
    <mergeCell ref="E6649:G6649"/>
    <mergeCell ref="H6649:L6649"/>
    <mergeCell ref="E6650:G6650"/>
    <mergeCell ref="H6650:L6650"/>
    <mergeCell ref="E6651:G6651"/>
    <mergeCell ref="H6651:L6651"/>
    <mergeCell ref="E6604:F6604"/>
    <mergeCell ref="E6605:F6605"/>
    <mergeCell ref="E6606:F6606"/>
    <mergeCell ref="E6607:F6607"/>
    <mergeCell ref="E6608:F6608"/>
    <mergeCell ref="E6609:F6609"/>
    <mergeCell ref="E6610:F6610"/>
    <mergeCell ref="E6611:F6611"/>
    <mergeCell ref="D6614:H6614"/>
    <mergeCell ref="I6614:L6614"/>
    <mergeCell ref="M6614:N6614"/>
    <mergeCell ref="I6615:N6615"/>
    <mergeCell ref="E6616:N6616"/>
    <mergeCell ref="E6618:N6618"/>
    <mergeCell ref="E6619:N6619"/>
    <mergeCell ref="E6621:F6621"/>
    <mergeCell ref="E6623:N6623"/>
    <mergeCell ref="E6591:G6591"/>
    <mergeCell ref="H6591:L6591"/>
    <mergeCell ref="E6592:G6592"/>
    <mergeCell ref="H6592:L6592"/>
    <mergeCell ref="E6593:G6593"/>
    <mergeCell ref="H6593:L6593"/>
    <mergeCell ref="E6594:G6594"/>
    <mergeCell ref="H6594:L6594"/>
    <mergeCell ref="E6595:G6595"/>
    <mergeCell ref="H6595:L6595"/>
    <mergeCell ref="E6596:G6596"/>
    <mergeCell ref="H6596:L6596"/>
    <mergeCell ref="E6598:N6598"/>
    <mergeCell ref="E6600:F6600"/>
    <mergeCell ref="E6601:F6601"/>
    <mergeCell ref="E6602:F6602"/>
    <mergeCell ref="E6603:F6603"/>
    <mergeCell ref="E6561:F6561"/>
    <mergeCell ref="E6563:N6563"/>
    <mergeCell ref="F6564:N6564"/>
    <mergeCell ref="F6565:N6565"/>
    <mergeCell ref="F6566:N6566"/>
    <mergeCell ref="D6581:N6581"/>
    <mergeCell ref="E6583:N6583"/>
    <mergeCell ref="E6584:N6584"/>
    <mergeCell ref="H6586:L6586"/>
    <mergeCell ref="E6587:G6587"/>
    <mergeCell ref="H6587:L6587"/>
    <mergeCell ref="E6588:G6588"/>
    <mergeCell ref="H6588:L6588"/>
    <mergeCell ref="E6589:G6589"/>
    <mergeCell ref="H6589:L6589"/>
    <mergeCell ref="E6590:G6590"/>
    <mergeCell ref="H6590:L6590"/>
    <mergeCell ref="E6538:N6538"/>
    <mergeCell ref="E6539:N6539"/>
    <mergeCell ref="E6541:F6541"/>
    <mergeCell ref="E6542:F6542"/>
    <mergeCell ref="E6544:F6544"/>
    <mergeCell ref="E6545:F6545"/>
    <mergeCell ref="E6547:F6547"/>
    <mergeCell ref="E6548:F6548"/>
    <mergeCell ref="E6549:N6549"/>
    <mergeCell ref="E6550:N6550"/>
    <mergeCell ref="D6554:H6554"/>
    <mergeCell ref="I6554:L6554"/>
    <mergeCell ref="M6554:N6554"/>
    <mergeCell ref="I6555:N6555"/>
    <mergeCell ref="E6556:N6556"/>
    <mergeCell ref="E6558:N6558"/>
    <mergeCell ref="E6559:N6559"/>
    <mergeCell ref="E6514:I6514"/>
    <mergeCell ref="E6515:N6515"/>
    <mergeCell ref="E6516:N6516"/>
    <mergeCell ref="E6517:N6517"/>
    <mergeCell ref="E6519:N6519"/>
    <mergeCell ref="E6520:N6520"/>
    <mergeCell ref="E6521:H6521"/>
    <mergeCell ref="E6522:G6522"/>
    <mergeCell ref="D6526:N6526"/>
    <mergeCell ref="D6528:H6528"/>
    <mergeCell ref="I6528:N6528"/>
    <mergeCell ref="E6530:N6530"/>
    <mergeCell ref="E6531:N6531"/>
    <mergeCell ref="E6532:N6532"/>
    <mergeCell ref="E6533:N6533"/>
    <mergeCell ref="E6535:F6535"/>
    <mergeCell ref="E6537:N6537"/>
    <mergeCell ref="E6473:N6473"/>
    <mergeCell ref="F6474:N6474"/>
    <mergeCell ref="F6475:N6475"/>
    <mergeCell ref="F6476:N6476"/>
    <mergeCell ref="E6477:N6477"/>
    <mergeCell ref="E6478:N6478"/>
    <mergeCell ref="E6479:N6479"/>
    <mergeCell ref="E6494:N6494"/>
    <mergeCell ref="E6495:N6495"/>
    <mergeCell ref="E6501:G6501"/>
    <mergeCell ref="E6502:I6502"/>
    <mergeCell ref="E6504:N6504"/>
    <mergeCell ref="E6506:I6506"/>
    <mergeCell ref="E6508:N6508"/>
    <mergeCell ref="E6510:I6510"/>
    <mergeCell ref="E6511:N6511"/>
    <mergeCell ref="E6512:N6512"/>
    <mergeCell ref="E6446:F6446"/>
    <mergeCell ref="G6446:L6446"/>
    <mergeCell ref="E6447:F6447"/>
    <mergeCell ref="G6447:L6447"/>
    <mergeCell ref="E6448:F6448"/>
    <mergeCell ref="G6448:L6448"/>
    <mergeCell ref="E6449:F6449"/>
    <mergeCell ref="G6449:L6449"/>
    <mergeCell ref="E6450:F6450"/>
    <mergeCell ref="G6450:L6450"/>
    <mergeCell ref="E6452:N6452"/>
    <mergeCell ref="E6453:N6453"/>
    <mergeCell ref="E6454:N6454"/>
    <mergeCell ref="E6455:N6455"/>
    <mergeCell ref="E6470:N6470"/>
    <mergeCell ref="E6471:N6471"/>
    <mergeCell ref="E6472:N6472"/>
    <mergeCell ref="F6433:N6433"/>
    <mergeCell ref="F6434:N6434"/>
    <mergeCell ref="E6435:N6435"/>
    <mergeCell ref="E6436:N6436"/>
    <mergeCell ref="E6437:N6437"/>
    <mergeCell ref="E6438:N6438"/>
    <mergeCell ref="E6440:F6440"/>
    <mergeCell ref="G6440:L6440"/>
    <mergeCell ref="E6441:F6441"/>
    <mergeCell ref="G6441:L6441"/>
    <mergeCell ref="E6442:F6442"/>
    <mergeCell ref="G6442:L6442"/>
    <mergeCell ref="E6443:F6443"/>
    <mergeCell ref="G6443:L6443"/>
    <mergeCell ref="E6444:F6444"/>
    <mergeCell ref="G6444:L6444"/>
    <mergeCell ref="E6445:F6445"/>
    <mergeCell ref="G6445:L6445"/>
    <mergeCell ref="E6403:N6403"/>
    <mergeCell ref="D6407:H6407"/>
    <mergeCell ref="I6407:L6407"/>
    <mergeCell ref="M6407:N6407"/>
    <mergeCell ref="I6408:N6408"/>
    <mergeCell ref="E6409:N6409"/>
    <mergeCell ref="E6411:N6411"/>
    <mergeCell ref="E6412:N6412"/>
    <mergeCell ref="E6413:N6413"/>
    <mergeCell ref="E6415:F6415"/>
    <mergeCell ref="E6417:N6417"/>
    <mergeCell ref="F6418:N6418"/>
    <mergeCell ref="F6419:N6419"/>
    <mergeCell ref="F6420:N6420"/>
    <mergeCell ref="D6429:N6429"/>
    <mergeCell ref="E6431:N6431"/>
    <mergeCell ref="E6432:N6432"/>
    <mergeCell ref="D6379:N6379"/>
    <mergeCell ref="D6381:H6381"/>
    <mergeCell ref="I6381:N6381"/>
    <mergeCell ref="E6383:N6383"/>
    <mergeCell ref="E6384:N6384"/>
    <mergeCell ref="E6385:N6385"/>
    <mergeCell ref="E6386:N6386"/>
    <mergeCell ref="E6388:F6388"/>
    <mergeCell ref="E6391:N6391"/>
    <mergeCell ref="E6392:N6392"/>
    <mergeCell ref="E6394:F6394"/>
    <mergeCell ref="E6395:F6395"/>
    <mergeCell ref="E6397:F6397"/>
    <mergeCell ref="E6398:F6398"/>
    <mergeCell ref="E6400:F6400"/>
    <mergeCell ref="E6401:F6401"/>
    <mergeCell ref="E6402:N6402"/>
    <mergeCell ref="E6348:N6348"/>
    <mergeCell ref="E6354:G6354"/>
    <mergeCell ref="E6355:I6355"/>
    <mergeCell ref="E6357:N6357"/>
    <mergeCell ref="E6359:I6359"/>
    <mergeCell ref="E6361:N6361"/>
    <mergeCell ref="E6363:I6363"/>
    <mergeCell ref="E6364:N6364"/>
    <mergeCell ref="E6365:N6365"/>
    <mergeCell ref="E6367:I6367"/>
    <mergeCell ref="E6368:N6368"/>
    <mergeCell ref="E6369:N6369"/>
    <mergeCell ref="E6370:N6370"/>
    <mergeCell ref="E6372:N6372"/>
    <mergeCell ref="E6373:N6373"/>
    <mergeCell ref="E6374:H6374"/>
    <mergeCell ref="E6375:G6375"/>
    <mergeCell ref="E6303:F6303"/>
    <mergeCell ref="G6303:L6303"/>
    <mergeCell ref="E6305:N6305"/>
    <mergeCell ref="E6306:N6306"/>
    <mergeCell ref="E6307:N6307"/>
    <mergeCell ref="E6308:N6308"/>
    <mergeCell ref="E6323:N6323"/>
    <mergeCell ref="E6324:N6324"/>
    <mergeCell ref="E6325:N6325"/>
    <mergeCell ref="E6326:N6326"/>
    <mergeCell ref="F6327:N6327"/>
    <mergeCell ref="F6328:N6328"/>
    <mergeCell ref="F6329:N6329"/>
    <mergeCell ref="E6330:N6330"/>
    <mergeCell ref="E6331:N6331"/>
    <mergeCell ref="E6332:N6332"/>
    <mergeCell ref="E6347:N6347"/>
    <mergeCell ref="E6294:F6294"/>
    <mergeCell ref="G6294:L6294"/>
    <mergeCell ref="E6295:F6295"/>
    <mergeCell ref="G6295:L6295"/>
    <mergeCell ref="E6296:F6296"/>
    <mergeCell ref="G6296:L6296"/>
    <mergeCell ref="E6297:F6297"/>
    <mergeCell ref="G6297:L6297"/>
    <mergeCell ref="E6298:F6298"/>
    <mergeCell ref="G6298:L6298"/>
    <mergeCell ref="E6299:F6299"/>
    <mergeCell ref="G6299:L6299"/>
    <mergeCell ref="E6300:F6300"/>
    <mergeCell ref="G6300:L6300"/>
    <mergeCell ref="E6301:F6301"/>
    <mergeCell ref="G6301:L6301"/>
    <mergeCell ref="E6302:F6302"/>
    <mergeCell ref="G6302:L6302"/>
    <mergeCell ref="E6265:N6265"/>
    <mergeCell ref="E6266:N6266"/>
    <mergeCell ref="E6268:F6268"/>
    <mergeCell ref="E6270:N6270"/>
    <mergeCell ref="F6271:N6271"/>
    <mergeCell ref="F6272:N6272"/>
    <mergeCell ref="F6273:N6273"/>
    <mergeCell ref="D6282:N6282"/>
    <mergeCell ref="E6284:N6284"/>
    <mergeCell ref="E6285:N6285"/>
    <mergeCell ref="F6286:N6286"/>
    <mergeCell ref="F6287:N6287"/>
    <mergeCell ref="E6288:N6288"/>
    <mergeCell ref="E6289:N6289"/>
    <mergeCell ref="E6290:N6290"/>
    <mergeCell ref="E6291:N6291"/>
    <mergeCell ref="E6293:F6293"/>
    <mergeCell ref="G6293:L6293"/>
    <mergeCell ref="E6242:F6242"/>
    <mergeCell ref="E6244:F6244"/>
    <mergeCell ref="E6245:F6245"/>
    <mergeCell ref="E6246:F6246"/>
    <mergeCell ref="E6248:F6248"/>
    <mergeCell ref="E6249:F6249"/>
    <mergeCell ref="E6250:F6250"/>
    <mergeCell ref="E6252:F6252"/>
    <mergeCell ref="E6253:F6253"/>
    <mergeCell ref="E6254:F6254"/>
    <mergeCell ref="E6256:F6256"/>
    <mergeCell ref="D6260:H6260"/>
    <mergeCell ref="I6260:L6260"/>
    <mergeCell ref="M6260:N6260"/>
    <mergeCell ref="I6261:N6261"/>
    <mergeCell ref="E6262:N6262"/>
    <mergeCell ref="E6264:N6264"/>
    <mergeCell ref="E6223:F6223"/>
    <mergeCell ref="E6225:N6225"/>
    <mergeCell ref="E6226:N6226"/>
    <mergeCell ref="E6227:N6227"/>
    <mergeCell ref="F6228:N6228"/>
    <mergeCell ref="F6229:N6229"/>
    <mergeCell ref="F6230:N6230"/>
    <mergeCell ref="F6231:N6231"/>
    <mergeCell ref="F6232:N6232"/>
    <mergeCell ref="E6233:N6233"/>
    <mergeCell ref="E6234:N6234"/>
    <mergeCell ref="E6235:M6235"/>
    <mergeCell ref="E6236:F6236"/>
    <mergeCell ref="E6237:F6237"/>
    <mergeCell ref="E6238:F6238"/>
    <mergeCell ref="E6240:F6240"/>
    <mergeCell ref="E6241:F6241"/>
    <mergeCell ref="F6201:N6201"/>
    <mergeCell ref="E6203:F6203"/>
    <mergeCell ref="E6205:N6205"/>
    <mergeCell ref="E6206:N6206"/>
    <mergeCell ref="E6207:N6207"/>
    <mergeCell ref="E6208:N6208"/>
    <mergeCell ref="E6209:N6209"/>
    <mergeCell ref="E6210:N6210"/>
    <mergeCell ref="E6211:N6211"/>
    <mergeCell ref="E6213:F6213"/>
    <mergeCell ref="E6214:F6214"/>
    <mergeCell ref="E6216:F6216"/>
    <mergeCell ref="E6217:F6217"/>
    <mergeCell ref="E6219:N6219"/>
    <mergeCell ref="E6220:N6220"/>
    <mergeCell ref="E6221:N6221"/>
    <mergeCell ref="E6222:F6222"/>
    <mergeCell ref="E6180:F6180"/>
    <mergeCell ref="G6180:L6180"/>
    <mergeCell ref="D6184:N6184"/>
    <mergeCell ref="D6186:H6186"/>
    <mergeCell ref="I6186:N6186"/>
    <mergeCell ref="E6188:M6188"/>
    <mergeCell ref="E6189:M6189"/>
    <mergeCell ref="E6190:M6190"/>
    <mergeCell ref="E6191:M6191"/>
    <mergeCell ref="E6192:M6192"/>
    <mergeCell ref="E6194:N6194"/>
    <mergeCell ref="E6195:N6195"/>
    <mergeCell ref="E6196:N6196"/>
    <mergeCell ref="F6197:N6197"/>
    <mergeCell ref="F6198:N6198"/>
    <mergeCell ref="F6199:N6199"/>
    <mergeCell ref="F6200:N6200"/>
    <mergeCell ref="E6171:F6171"/>
    <mergeCell ref="G6171:L6171"/>
    <mergeCell ref="E6172:F6172"/>
    <mergeCell ref="G6172:L6172"/>
    <mergeCell ref="E6173:F6173"/>
    <mergeCell ref="G6173:L6173"/>
    <mergeCell ref="E6174:F6174"/>
    <mergeCell ref="G6174:L6174"/>
    <mergeCell ref="E6175:F6175"/>
    <mergeCell ref="G6175:L6175"/>
    <mergeCell ref="E6176:F6176"/>
    <mergeCell ref="G6176:L6176"/>
    <mergeCell ref="E6177:F6177"/>
    <mergeCell ref="G6177:L6177"/>
    <mergeCell ref="E6178:F6178"/>
    <mergeCell ref="G6178:L6178"/>
    <mergeCell ref="E6179:F6179"/>
    <mergeCell ref="G6179:L6179"/>
    <mergeCell ref="I6137:L6137"/>
    <mergeCell ref="M6137:N6137"/>
    <mergeCell ref="I6138:N6138"/>
    <mergeCell ref="E6139:N6139"/>
    <mergeCell ref="E6141:N6141"/>
    <mergeCell ref="E6142:N6142"/>
    <mergeCell ref="E6143:N6143"/>
    <mergeCell ref="E6145:F6145"/>
    <mergeCell ref="E6147:N6147"/>
    <mergeCell ref="F6148:N6148"/>
    <mergeCell ref="F6149:N6149"/>
    <mergeCell ref="F6150:N6150"/>
    <mergeCell ref="D6165:N6165"/>
    <mergeCell ref="E6167:N6167"/>
    <mergeCell ref="E6168:N6168"/>
    <mergeCell ref="E6170:F6170"/>
    <mergeCell ref="G6170:L6170"/>
    <mergeCell ref="E6113:F6113"/>
    <mergeCell ref="E6114:F6114"/>
    <mergeCell ref="E6115:F6115"/>
    <mergeCell ref="E6117:F6117"/>
    <mergeCell ref="E6118:F6118"/>
    <mergeCell ref="E6119:F6119"/>
    <mergeCell ref="E6121:F6121"/>
    <mergeCell ref="E6122:F6122"/>
    <mergeCell ref="E6123:F6123"/>
    <mergeCell ref="E6125:F6125"/>
    <mergeCell ref="E6126:F6126"/>
    <mergeCell ref="E6127:F6127"/>
    <mergeCell ref="E6129:F6129"/>
    <mergeCell ref="E6130:F6130"/>
    <mergeCell ref="E6131:F6131"/>
    <mergeCell ref="E6133:F6133"/>
    <mergeCell ref="D6137:H6137"/>
    <mergeCell ref="E6094:F6094"/>
    <mergeCell ref="E6096:N6096"/>
    <mergeCell ref="E6097:N6097"/>
    <mergeCell ref="E6098:N6098"/>
    <mergeCell ref="E6099:F6099"/>
    <mergeCell ref="E6100:F6100"/>
    <mergeCell ref="E6102:N6102"/>
    <mergeCell ref="E6103:N6103"/>
    <mergeCell ref="E6104:N6104"/>
    <mergeCell ref="F6105:N6105"/>
    <mergeCell ref="F6106:N6106"/>
    <mergeCell ref="F6107:N6107"/>
    <mergeCell ref="F6108:N6108"/>
    <mergeCell ref="F6109:N6109"/>
    <mergeCell ref="E6110:N6110"/>
    <mergeCell ref="E6111:N6111"/>
    <mergeCell ref="E6112:M6112"/>
    <mergeCell ref="E6073:N6073"/>
    <mergeCell ref="F6074:N6074"/>
    <mergeCell ref="F6075:N6075"/>
    <mergeCell ref="F6076:N6076"/>
    <mergeCell ref="F6077:N6077"/>
    <mergeCell ref="F6078:N6078"/>
    <mergeCell ref="E6080:F6080"/>
    <mergeCell ref="E6082:N6082"/>
    <mergeCell ref="E6083:N6083"/>
    <mergeCell ref="E6084:N6084"/>
    <mergeCell ref="E6085:N6085"/>
    <mergeCell ref="E6086:N6086"/>
    <mergeCell ref="E6087:N6087"/>
    <mergeCell ref="E6088:N6088"/>
    <mergeCell ref="E6090:F6090"/>
    <mergeCell ref="E6091:F6091"/>
    <mergeCell ref="E6093:F6093"/>
    <mergeCell ref="E6050:N6050"/>
    <mergeCell ref="E6051:N6051"/>
    <mergeCell ref="E6052:N6052"/>
    <mergeCell ref="E6054:N6054"/>
    <mergeCell ref="E6055:N6055"/>
    <mergeCell ref="E6056:H6056"/>
    <mergeCell ref="E6057:G6057"/>
    <mergeCell ref="D6061:N6061"/>
    <mergeCell ref="D6063:H6063"/>
    <mergeCell ref="I6063:N6063"/>
    <mergeCell ref="E6065:M6065"/>
    <mergeCell ref="E6066:M6066"/>
    <mergeCell ref="E6067:M6067"/>
    <mergeCell ref="E6068:M6068"/>
    <mergeCell ref="E6069:M6069"/>
    <mergeCell ref="E6071:N6071"/>
    <mergeCell ref="E6072:N6072"/>
    <mergeCell ref="F6009:N6009"/>
    <mergeCell ref="F6010:N6010"/>
    <mergeCell ref="F6011:N6011"/>
    <mergeCell ref="E6012:N6012"/>
    <mergeCell ref="E6013:N6013"/>
    <mergeCell ref="E6014:N6014"/>
    <mergeCell ref="E6029:N6029"/>
    <mergeCell ref="E6030:N6030"/>
    <mergeCell ref="E6036:G6036"/>
    <mergeCell ref="E6037:I6037"/>
    <mergeCell ref="E6039:N6039"/>
    <mergeCell ref="E6041:I6041"/>
    <mergeCell ref="E6043:N6043"/>
    <mergeCell ref="E6045:I6045"/>
    <mergeCell ref="E6046:N6046"/>
    <mergeCell ref="E6047:N6047"/>
    <mergeCell ref="E6049:I6049"/>
    <mergeCell ref="E5983:F5983"/>
    <mergeCell ref="G5983:H5983"/>
    <mergeCell ref="I5983:L5983"/>
    <mergeCell ref="E5984:F5984"/>
    <mergeCell ref="G5984:H5984"/>
    <mergeCell ref="I5984:L5984"/>
    <mergeCell ref="E5985:F5985"/>
    <mergeCell ref="G5985:H5985"/>
    <mergeCell ref="I5985:L5985"/>
    <mergeCell ref="E5987:N5987"/>
    <mergeCell ref="E5988:N5988"/>
    <mergeCell ref="E5989:N5989"/>
    <mergeCell ref="E5990:N5990"/>
    <mergeCell ref="E6005:N6005"/>
    <mergeCell ref="E6006:N6006"/>
    <mergeCell ref="E6007:N6007"/>
    <mergeCell ref="E6008:N6008"/>
    <mergeCell ref="E5977:F5977"/>
    <mergeCell ref="G5977:H5977"/>
    <mergeCell ref="I5977:L5977"/>
    <mergeCell ref="E5978:F5978"/>
    <mergeCell ref="G5978:H5978"/>
    <mergeCell ref="I5978:L5978"/>
    <mergeCell ref="E5979:F5979"/>
    <mergeCell ref="G5979:H5979"/>
    <mergeCell ref="I5979:L5979"/>
    <mergeCell ref="E5980:F5980"/>
    <mergeCell ref="G5980:H5980"/>
    <mergeCell ref="I5980:L5980"/>
    <mergeCell ref="E5981:F5981"/>
    <mergeCell ref="G5981:H5981"/>
    <mergeCell ref="I5981:L5981"/>
    <mergeCell ref="E5982:F5982"/>
    <mergeCell ref="G5982:H5982"/>
    <mergeCell ref="I5982:L5982"/>
    <mergeCell ref="F5953:N5953"/>
    <mergeCell ref="D5962:N5962"/>
    <mergeCell ref="E5964:N5964"/>
    <mergeCell ref="E5965:N5965"/>
    <mergeCell ref="F5966:N5966"/>
    <mergeCell ref="F5967:N5967"/>
    <mergeCell ref="F5968:N5968"/>
    <mergeCell ref="E5969:N5969"/>
    <mergeCell ref="E5970:N5970"/>
    <mergeCell ref="E5971:N5971"/>
    <mergeCell ref="E5972:N5972"/>
    <mergeCell ref="E5973:N5973"/>
    <mergeCell ref="E5975:F5975"/>
    <mergeCell ref="G5975:H5975"/>
    <mergeCell ref="I5975:L5975"/>
    <mergeCell ref="E5976:F5976"/>
    <mergeCell ref="G5976:H5976"/>
    <mergeCell ref="I5976:L5976"/>
    <mergeCell ref="E5930:F5930"/>
    <mergeCell ref="E5932:F5932"/>
    <mergeCell ref="E5933:F5933"/>
    <mergeCell ref="E5934:F5934"/>
    <mergeCell ref="E5936:F5936"/>
    <mergeCell ref="D5940:H5940"/>
    <mergeCell ref="I5940:L5940"/>
    <mergeCell ref="M5940:N5940"/>
    <mergeCell ref="I5941:N5941"/>
    <mergeCell ref="E5942:N5942"/>
    <mergeCell ref="E5944:N5944"/>
    <mergeCell ref="E5945:N5945"/>
    <mergeCell ref="E5946:N5946"/>
    <mergeCell ref="E5948:F5948"/>
    <mergeCell ref="E5950:N5950"/>
    <mergeCell ref="F5951:N5951"/>
    <mergeCell ref="F5952:N5952"/>
    <mergeCell ref="F5910:N5910"/>
    <mergeCell ref="F5911:N5911"/>
    <mergeCell ref="F5912:N5912"/>
    <mergeCell ref="E5913:N5913"/>
    <mergeCell ref="E5914:N5914"/>
    <mergeCell ref="E5915:M5915"/>
    <mergeCell ref="E5916:F5916"/>
    <mergeCell ref="E5917:F5917"/>
    <mergeCell ref="E5918:F5918"/>
    <mergeCell ref="E5920:F5920"/>
    <mergeCell ref="E5921:F5921"/>
    <mergeCell ref="E5922:F5922"/>
    <mergeCell ref="E5924:F5924"/>
    <mergeCell ref="E5925:F5925"/>
    <mergeCell ref="E5926:F5926"/>
    <mergeCell ref="E5928:F5928"/>
    <mergeCell ref="E5929:F5929"/>
    <mergeCell ref="E5889:N5889"/>
    <mergeCell ref="E5890:N5890"/>
    <mergeCell ref="E5891:N5891"/>
    <mergeCell ref="E5893:F5893"/>
    <mergeCell ref="E5894:F5894"/>
    <mergeCell ref="E5896:F5896"/>
    <mergeCell ref="E5897:F5897"/>
    <mergeCell ref="E5899:N5899"/>
    <mergeCell ref="E5900:N5900"/>
    <mergeCell ref="E5901:N5901"/>
    <mergeCell ref="E5902:F5902"/>
    <mergeCell ref="E5903:F5903"/>
    <mergeCell ref="E5905:N5905"/>
    <mergeCell ref="E5906:N5906"/>
    <mergeCell ref="E5907:N5907"/>
    <mergeCell ref="F5908:N5908"/>
    <mergeCell ref="F5909:N5909"/>
    <mergeCell ref="E5869:M5869"/>
    <mergeCell ref="E5870:M5870"/>
    <mergeCell ref="E5871:M5871"/>
    <mergeCell ref="E5872:M5872"/>
    <mergeCell ref="E5874:N5874"/>
    <mergeCell ref="E5875:N5875"/>
    <mergeCell ref="E5876:N5876"/>
    <mergeCell ref="F5877:N5877"/>
    <mergeCell ref="F5878:N5878"/>
    <mergeCell ref="F5879:N5879"/>
    <mergeCell ref="F5880:N5880"/>
    <mergeCell ref="F5881:N5881"/>
    <mergeCell ref="E5883:F5883"/>
    <mergeCell ref="E5885:N5885"/>
    <mergeCell ref="E5886:N5886"/>
    <mergeCell ref="E5887:N5887"/>
    <mergeCell ref="E5888:N5888"/>
    <mergeCell ref="E5844:I5844"/>
    <mergeCell ref="E5846:N5846"/>
    <mergeCell ref="E5848:I5848"/>
    <mergeCell ref="E5849:N5849"/>
    <mergeCell ref="E5850:N5850"/>
    <mergeCell ref="E5852:I5852"/>
    <mergeCell ref="E5853:N5853"/>
    <mergeCell ref="E5854:N5854"/>
    <mergeCell ref="E5855:N5855"/>
    <mergeCell ref="E5857:N5857"/>
    <mergeCell ref="E5858:N5858"/>
    <mergeCell ref="E5859:H5859"/>
    <mergeCell ref="E5860:G5860"/>
    <mergeCell ref="D5864:N5864"/>
    <mergeCell ref="D5866:H5866"/>
    <mergeCell ref="I5866:N5866"/>
    <mergeCell ref="E5868:M5868"/>
    <mergeCell ref="E5792:N5792"/>
    <mergeCell ref="E5793:N5793"/>
    <mergeCell ref="E5808:N5808"/>
    <mergeCell ref="E5809:N5809"/>
    <mergeCell ref="E5810:N5810"/>
    <mergeCell ref="E5811:N5811"/>
    <mergeCell ref="F5812:N5812"/>
    <mergeCell ref="F5813:N5813"/>
    <mergeCell ref="F5814:N5814"/>
    <mergeCell ref="E5815:N5815"/>
    <mergeCell ref="E5816:N5816"/>
    <mergeCell ref="E5817:N5817"/>
    <mergeCell ref="E5832:N5832"/>
    <mergeCell ref="E5833:N5833"/>
    <mergeCell ref="E5839:G5839"/>
    <mergeCell ref="E5840:I5840"/>
    <mergeCell ref="E5842:N5842"/>
    <mergeCell ref="E5784:F5784"/>
    <mergeCell ref="G5784:H5784"/>
    <mergeCell ref="I5784:L5784"/>
    <mergeCell ref="E5785:F5785"/>
    <mergeCell ref="G5785:H5785"/>
    <mergeCell ref="I5785:L5785"/>
    <mergeCell ref="E5786:F5786"/>
    <mergeCell ref="G5786:H5786"/>
    <mergeCell ref="I5786:L5786"/>
    <mergeCell ref="E5787:F5787"/>
    <mergeCell ref="G5787:H5787"/>
    <mergeCell ref="I5787:L5787"/>
    <mergeCell ref="E5788:F5788"/>
    <mergeCell ref="G5788:H5788"/>
    <mergeCell ref="I5788:L5788"/>
    <mergeCell ref="E5790:N5790"/>
    <mergeCell ref="E5791:N5791"/>
    <mergeCell ref="E5776:N5776"/>
    <mergeCell ref="E5778:F5778"/>
    <mergeCell ref="G5778:H5778"/>
    <mergeCell ref="I5778:L5778"/>
    <mergeCell ref="E5779:F5779"/>
    <mergeCell ref="G5779:H5779"/>
    <mergeCell ref="I5779:L5779"/>
    <mergeCell ref="E5780:F5780"/>
    <mergeCell ref="G5780:H5780"/>
    <mergeCell ref="I5780:L5780"/>
    <mergeCell ref="E5781:F5781"/>
    <mergeCell ref="G5781:H5781"/>
    <mergeCell ref="I5781:L5781"/>
    <mergeCell ref="E5782:F5782"/>
    <mergeCell ref="G5782:H5782"/>
    <mergeCell ref="I5782:L5782"/>
    <mergeCell ref="E5783:F5783"/>
    <mergeCell ref="G5783:H5783"/>
    <mergeCell ref="I5783:L5783"/>
    <mergeCell ref="E5748:N5748"/>
    <mergeCell ref="E5749:N5749"/>
    <mergeCell ref="E5751:F5751"/>
    <mergeCell ref="E5753:N5753"/>
    <mergeCell ref="F5754:N5754"/>
    <mergeCell ref="F5755:N5755"/>
    <mergeCell ref="F5756:N5756"/>
    <mergeCell ref="D5765:N5765"/>
    <mergeCell ref="E5767:N5767"/>
    <mergeCell ref="E5768:N5768"/>
    <mergeCell ref="F5769:N5769"/>
    <mergeCell ref="F5770:N5770"/>
    <mergeCell ref="F5771:N5771"/>
    <mergeCell ref="E5772:N5772"/>
    <mergeCell ref="E5773:N5773"/>
    <mergeCell ref="E5774:N5774"/>
    <mergeCell ref="E5775:N5775"/>
    <mergeCell ref="E5721:N5721"/>
    <mergeCell ref="E5722:K5722"/>
    <mergeCell ref="E5724:F5724"/>
    <mergeCell ref="E5725:F5725"/>
    <mergeCell ref="E5726:F5726"/>
    <mergeCell ref="E5728:F5728"/>
    <mergeCell ref="E5729:F5729"/>
    <mergeCell ref="E5730:F5730"/>
    <mergeCell ref="E5734:M5735"/>
    <mergeCell ref="C5739:N5739"/>
    <mergeCell ref="D5741:N5741"/>
    <mergeCell ref="D5743:H5743"/>
    <mergeCell ref="I5743:L5743"/>
    <mergeCell ref="M5743:N5743"/>
    <mergeCell ref="I5744:N5744"/>
    <mergeCell ref="E5745:N5745"/>
    <mergeCell ref="E5747:N5747"/>
    <mergeCell ref="E5699:N5699"/>
    <mergeCell ref="E5700:N5700"/>
    <mergeCell ref="E5702:F5702"/>
    <mergeCell ref="E5703:F5703"/>
    <mergeCell ref="E5704:F5704"/>
    <mergeCell ref="E5705:F5705"/>
    <mergeCell ref="E5707:N5707"/>
    <mergeCell ref="E5708:N5708"/>
    <mergeCell ref="E5709:N5709"/>
    <mergeCell ref="E5711:F5711"/>
    <mergeCell ref="E5713:N5713"/>
    <mergeCell ref="E5714:N5714"/>
    <mergeCell ref="E5715:N5715"/>
    <mergeCell ref="E5716:N5716"/>
    <mergeCell ref="E5717:F5717"/>
    <mergeCell ref="E5719:N5719"/>
    <mergeCell ref="E5720:N5720"/>
    <mergeCell ref="E5678:G5678"/>
    <mergeCell ref="E5679:G5679"/>
    <mergeCell ref="E5680:G5680"/>
    <mergeCell ref="E5682:I5682"/>
    <mergeCell ref="E5683:I5683"/>
    <mergeCell ref="E5685:I5685"/>
    <mergeCell ref="E5686:G5686"/>
    <mergeCell ref="E5689:H5689"/>
    <mergeCell ref="I5689:M5689"/>
    <mergeCell ref="E5690:N5690"/>
    <mergeCell ref="E5691:N5691"/>
    <mergeCell ref="E5693:F5693"/>
    <mergeCell ref="E5694:F5694"/>
    <mergeCell ref="E5695:F5695"/>
    <mergeCell ref="E5696:F5696"/>
    <mergeCell ref="E5698:H5698"/>
    <mergeCell ref="I5698:M5698"/>
    <mergeCell ref="E5656:N5656"/>
    <mergeCell ref="E5658:F5658"/>
    <mergeCell ref="E5659:F5659"/>
    <mergeCell ref="E5660:F5660"/>
    <mergeCell ref="E5661:F5661"/>
    <mergeCell ref="E5663:H5663"/>
    <mergeCell ref="I5663:M5663"/>
    <mergeCell ref="E5664:N5664"/>
    <mergeCell ref="E5665:N5665"/>
    <mergeCell ref="E5666:N5666"/>
    <mergeCell ref="E5668:F5668"/>
    <mergeCell ref="E5669:F5669"/>
    <mergeCell ref="E5670:F5670"/>
    <mergeCell ref="E5671:F5671"/>
    <mergeCell ref="E5673:F5673"/>
    <mergeCell ref="E5676:G5676"/>
    <mergeCell ref="E5677:G5677"/>
    <mergeCell ref="E5637:F5637"/>
    <mergeCell ref="E5638:F5638"/>
    <mergeCell ref="E5639:F5639"/>
    <mergeCell ref="E5641:N5641"/>
    <mergeCell ref="E5643:K5643"/>
    <mergeCell ref="E5644:N5644"/>
    <mergeCell ref="E5645:H5645"/>
    <mergeCell ref="I5645:M5645"/>
    <mergeCell ref="E5646:N5646"/>
    <mergeCell ref="E5647:N5647"/>
    <mergeCell ref="E5649:F5649"/>
    <mergeCell ref="E5650:F5650"/>
    <mergeCell ref="E5651:F5651"/>
    <mergeCell ref="E5652:F5652"/>
    <mergeCell ref="E5654:H5654"/>
    <mergeCell ref="I5654:M5654"/>
    <mergeCell ref="E5655:N5655"/>
    <mergeCell ref="E5616:N5616"/>
    <mergeCell ref="E5617:N5617"/>
    <mergeCell ref="E5618:N5618"/>
    <mergeCell ref="E5619:N5619"/>
    <mergeCell ref="E5621:F5621"/>
    <mergeCell ref="E5623:N5623"/>
    <mergeCell ref="E5624:N5624"/>
    <mergeCell ref="E5625:N5625"/>
    <mergeCell ref="E5626:N5626"/>
    <mergeCell ref="E5627:N5627"/>
    <mergeCell ref="E5628:N5628"/>
    <mergeCell ref="E5629:F5629"/>
    <mergeCell ref="E5630:F5630"/>
    <mergeCell ref="E5631:F5631"/>
    <mergeCell ref="E5633:F5633"/>
    <mergeCell ref="E5634:F5634"/>
    <mergeCell ref="E5635:F5635"/>
    <mergeCell ref="E5597:F5597"/>
    <mergeCell ref="E5598:F5598"/>
    <mergeCell ref="E5599:F5599"/>
    <mergeCell ref="E5600:F5600"/>
    <mergeCell ref="E5601:F5601"/>
    <mergeCell ref="E5602:F5602"/>
    <mergeCell ref="E5604:H5604"/>
    <mergeCell ref="I5604:M5604"/>
    <mergeCell ref="E5606:F5606"/>
    <mergeCell ref="E5607:F5607"/>
    <mergeCell ref="E5608:F5608"/>
    <mergeCell ref="E5609:F5609"/>
    <mergeCell ref="E5610:F5610"/>
    <mergeCell ref="E5611:F5611"/>
    <mergeCell ref="E5612:F5612"/>
    <mergeCell ref="E5613:F5613"/>
    <mergeCell ref="E5614:F5614"/>
    <mergeCell ref="E5578:N5578"/>
    <mergeCell ref="E5580:F5580"/>
    <mergeCell ref="E5581:F5581"/>
    <mergeCell ref="E5583:N5583"/>
    <mergeCell ref="E5584:N5584"/>
    <mergeCell ref="E5585:N5585"/>
    <mergeCell ref="E5586:N5586"/>
    <mergeCell ref="E5587:N5587"/>
    <mergeCell ref="E5588:N5588"/>
    <mergeCell ref="E5589:N5589"/>
    <mergeCell ref="E5590:K5590"/>
    <mergeCell ref="E5591:N5591"/>
    <mergeCell ref="E5592:H5592"/>
    <mergeCell ref="I5592:M5592"/>
    <mergeCell ref="E5594:F5594"/>
    <mergeCell ref="E5595:F5595"/>
    <mergeCell ref="E5596:F5596"/>
    <mergeCell ref="E5559:N5559"/>
    <mergeCell ref="E5561:N5561"/>
    <mergeCell ref="E5562:N5562"/>
    <mergeCell ref="E5563:N5563"/>
    <mergeCell ref="F5564:N5564"/>
    <mergeCell ref="F5565:N5565"/>
    <mergeCell ref="F5566:N5566"/>
    <mergeCell ref="F5567:N5567"/>
    <mergeCell ref="F5568:N5568"/>
    <mergeCell ref="F5569:N5569"/>
    <mergeCell ref="F5570:N5570"/>
    <mergeCell ref="E5571:F5571"/>
    <mergeCell ref="E5572:F5572"/>
    <mergeCell ref="E5574:N5574"/>
    <mergeCell ref="E5575:N5575"/>
    <mergeCell ref="E5576:N5576"/>
    <mergeCell ref="E5577:N5577"/>
    <mergeCell ref="E5504:N5504"/>
    <mergeCell ref="E5505:N5505"/>
    <mergeCell ref="E5511:N5511"/>
    <mergeCell ref="D5526:N5526"/>
    <mergeCell ref="E5528:N5528"/>
    <mergeCell ref="E5529:N5529"/>
    <mergeCell ref="E5530:N5530"/>
    <mergeCell ref="E5531:N5531"/>
    <mergeCell ref="E5532:N5532"/>
    <mergeCell ref="E5534:N5534"/>
    <mergeCell ref="D5550:N5550"/>
    <mergeCell ref="D5552:H5552"/>
    <mergeCell ref="I5552:N5552"/>
    <mergeCell ref="E5554:N5554"/>
    <mergeCell ref="E5555:N5555"/>
    <mergeCell ref="E5556:N5556"/>
    <mergeCell ref="E5557:N5557"/>
    <mergeCell ref="E5450:N5450"/>
    <mergeCell ref="E5452:N5452"/>
    <mergeCell ref="E5453:N5453"/>
    <mergeCell ref="E5454:N5454"/>
    <mergeCell ref="F5455:N5455"/>
    <mergeCell ref="F5456:N5456"/>
    <mergeCell ref="D5471:N5471"/>
    <mergeCell ref="E5473:I5473"/>
    <mergeCell ref="J5473:N5473"/>
    <mergeCell ref="E5474:N5474"/>
    <mergeCell ref="E5475:N5475"/>
    <mergeCell ref="E5476:N5476"/>
    <mergeCell ref="E5486:N5486"/>
    <mergeCell ref="E5501:I5501"/>
    <mergeCell ref="J5501:N5501"/>
    <mergeCell ref="E5502:N5502"/>
    <mergeCell ref="E5503:N5503"/>
    <mergeCell ref="E5424:F5424"/>
    <mergeCell ref="E5426:F5426"/>
    <mergeCell ref="E5427:F5427"/>
    <mergeCell ref="E5428:F5428"/>
    <mergeCell ref="E5432:M5433"/>
    <mergeCell ref="D5437:H5437"/>
    <mergeCell ref="I5437:N5437"/>
    <mergeCell ref="E5438:N5438"/>
    <mergeCell ref="E5440:N5440"/>
    <mergeCell ref="E5441:N5441"/>
    <mergeCell ref="E5442:N5442"/>
    <mergeCell ref="E5443:N5443"/>
    <mergeCell ref="E5444:F5444"/>
    <mergeCell ref="E5445:F5445"/>
    <mergeCell ref="E5446:F5446"/>
    <mergeCell ref="E5447:F5447"/>
    <mergeCell ref="E5449:G5449"/>
    <mergeCell ref="H5449:N5449"/>
    <mergeCell ref="E5402:F5402"/>
    <mergeCell ref="E5403:F5403"/>
    <mergeCell ref="E5405:N5405"/>
    <mergeCell ref="E5406:N5406"/>
    <mergeCell ref="E5407:N5407"/>
    <mergeCell ref="E5409:F5409"/>
    <mergeCell ref="E5411:N5411"/>
    <mergeCell ref="E5412:N5412"/>
    <mergeCell ref="E5413:N5413"/>
    <mergeCell ref="E5414:N5414"/>
    <mergeCell ref="E5415:F5415"/>
    <mergeCell ref="E5417:N5417"/>
    <mergeCell ref="E5418:N5418"/>
    <mergeCell ref="E5419:N5419"/>
    <mergeCell ref="E5420:K5420"/>
    <mergeCell ref="E5422:F5422"/>
    <mergeCell ref="E5423:F5423"/>
    <mergeCell ref="E5381:I5381"/>
    <mergeCell ref="E5383:I5383"/>
    <mergeCell ref="E5384:G5384"/>
    <mergeCell ref="E5387:H5387"/>
    <mergeCell ref="I5387:M5387"/>
    <mergeCell ref="E5388:N5388"/>
    <mergeCell ref="E5389:N5389"/>
    <mergeCell ref="E5391:F5391"/>
    <mergeCell ref="E5392:F5392"/>
    <mergeCell ref="E5393:F5393"/>
    <mergeCell ref="E5394:F5394"/>
    <mergeCell ref="E5396:H5396"/>
    <mergeCell ref="I5396:M5396"/>
    <mergeCell ref="E5397:N5397"/>
    <mergeCell ref="E5398:N5398"/>
    <mergeCell ref="E5400:F5400"/>
    <mergeCell ref="E5401:F5401"/>
    <mergeCell ref="E5359:F5359"/>
    <mergeCell ref="E5361:H5361"/>
    <mergeCell ref="I5361:M5361"/>
    <mergeCell ref="E5362:N5362"/>
    <mergeCell ref="E5363:N5363"/>
    <mergeCell ref="E5364:N5364"/>
    <mergeCell ref="E5366:F5366"/>
    <mergeCell ref="E5367:F5367"/>
    <mergeCell ref="E5368:F5368"/>
    <mergeCell ref="E5369:F5369"/>
    <mergeCell ref="E5371:F5371"/>
    <mergeCell ref="E5374:G5374"/>
    <mergeCell ref="E5375:G5375"/>
    <mergeCell ref="E5376:G5376"/>
    <mergeCell ref="E5377:G5377"/>
    <mergeCell ref="E5378:G5378"/>
    <mergeCell ref="E5380:I5380"/>
    <mergeCell ref="E5341:K5341"/>
    <mergeCell ref="E5342:N5342"/>
    <mergeCell ref="E5343:H5343"/>
    <mergeCell ref="I5343:M5343"/>
    <mergeCell ref="E5344:N5344"/>
    <mergeCell ref="E5345:N5345"/>
    <mergeCell ref="E5347:F5347"/>
    <mergeCell ref="E5348:F5348"/>
    <mergeCell ref="E5349:F5349"/>
    <mergeCell ref="E5350:F5350"/>
    <mergeCell ref="E5352:H5352"/>
    <mergeCell ref="I5352:M5352"/>
    <mergeCell ref="E5353:N5353"/>
    <mergeCell ref="E5354:N5354"/>
    <mergeCell ref="E5356:F5356"/>
    <mergeCell ref="E5357:F5357"/>
    <mergeCell ref="E5358:F5358"/>
    <mergeCell ref="E5319:F5319"/>
    <mergeCell ref="E5321:N5321"/>
    <mergeCell ref="E5322:N5322"/>
    <mergeCell ref="E5323:N5323"/>
    <mergeCell ref="E5324:N5324"/>
    <mergeCell ref="E5325:N5325"/>
    <mergeCell ref="E5326:N5326"/>
    <mergeCell ref="E5327:F5327"/>
    <mergeCell ref="E5328:F5328"/>
    <mergeCell ref="E5329:F5329"/>
    <mergeCell ref="E5331:F5331"/>
    <mergeCell ref="E5332:F5332"/>
    <mergeCell ref="E5333:F5333"/>
    <mergeCell ref="E5335:F5335"/>
    <mergeCell ref="E5336:F5336"/>
    <mergeCell ref="E5337:F5337"/>
    <mergeCell ref="E5339:N5339"/>
    <mergeCell ref="E5299:F5299"/>
    <mergeCell ref="E5300:F5300"/>
    <mergeCell ref="E5302:H5302"/>
    <mergeCell ref="I5302:M5302"/>
    <mergeCell ref="E5304:F5304"/>
    <mergeCell ref="E5305:F5305"/>
    <mergeCell ref="E5306:F5306"/>
    <mergeCell ref="E5307:F5307"/>
    <mergeCell ref="E5308:F5308"/>
    <mergeCell ref="E5309:F5309"/>
    <mergeCell ref="E5310:F5310"/>
    <mergeCell ref="E5311:F5311"/>
    <mergeCell ref="E5312:F5312"/>
    <mergeCell ref="E5314:N5314"/>
    <mergeCell ref="E5315:N5315"/>
    <mergeCell ref="E5316:N5316"/>
    <mergeCell ref="E5317:N5317"/>
    <mergeCell ref="E5282:N5282"/>
    <mergeCell ref="E5283:N5283"/>
    <mergeCell ref="E5284:N5284"/>
    <mergeCell ref="E5285:N5285"/>
    <mergeCell ref="E5286:N5286"/>
    <mergeCell ref="E5287:N5287"/>
    <mergeCell ref="E5288:K5288"/>
    <mergeCell ref="E5289:N5289"/>
    <mergeCell ref="E5290:H5290"/>
    <mergeCell ref="I5290:M5290"/>
    <mergeCell ref="E5292:F5292"/>
    <mergeCell ref="E5293:F5293"/>
    <mergeCell ref="E5294:F5294"/>
    <mergeCell ref="E5295:F5295"/>
    <mergeCell ref="E5296:F5296"/>
    <mergeCell ref="E5297:F5297"/>
    <mergeCell ref="E5298:F5298"/>
    <mergeCell ref="F5262:N5262"/>
    <mergeCell ref="F5263:N5263"/>
    <mergeCell ref="F5264:N5264"/>
    <mergeCell ref="F5265:N5265"/>
    <mergeCell ref="F5266:N5266"/>
    <mergeCell ref="F5267:N5267"/>
    <mergeCell ref="F5268:N5268"/>
    <mergeCell ref="E5269:F5269"/>
    <mergeCell ref="E5270:F5270"/>
    <mergeCell ref="E5272:N5272"/>
    <mergeCell ref="E5273:N5273"/>
    <mergeCell ref="E5274:N5274"/>
    <mergeCell ref="E5275:N5275"/>
    <mergeCell ref="E5276:N5276"/>
    <mergeCell ref="E5278:F5278"/>
    <mergeCell ref="E5279:F5279"/>
    <mergeCell ref="E5281:N5281"/>
    <mergeCell ref="E5226:N5226"/>
    <mergeCell ref="E5227:N5227"/>
    <mergeCell ref="E5228:N5228"/>
    <mergeCell ref="E5229:N5229"/>
    <mergeCell ref="E5230:N5230"/>
    <mergeCell ref="E5232:N5232"/>
    <mergeCell ref="D5248:N5248"/>
    <mergeCell ref="D5250:H5250"/>
    <mergeCell ref="I5250:N5250"/>
    <mergeCell ref="E5252:N5252"/>
    <mergeCell ref="E5253:N5253"/>
    <mergeCell ref="E5254:N5254"/>
    <mergeCell ref="E5255:N5255"/>
    <mergeCell ref="E5257:N5257"/>
    <mergeCell ref="E5259:N5259"/>
    <mergeCell ref="E5260:N5260"/>
    <mergeCell ref="E5261:N5261"/>
    <mergeCell ref="F5153:N5153"/>
    <mergeCell ref="F5154:N5154"/>
    <mergeCell ref="D5169:N5169"/>
    <mergeCell ref="E5171:I5171"/>
    <mergeCell ref="J5171:N5171"/>
    <mergeCell ref="E5172:N5172"/>
    <mergeCell ref="E5173:N5173"/>
    <mergeCell ref="E5174:N5174"/>
    <mergeCell ref="E5184:N5184"/>
    <mergeCell ref="E5199:I5199"/>
    <mergeCell ref="J5199:N5199"/>
    <mergeCell ref="E5200:N5200"/>
    <mergeCell ref="E5201:N5201"/>
    <mergeCell ref="E5202:N5202"/>
    <mergeCell ref="E5203:N5203"/>
    <mergeCell ref="E5209:N5209"/>
    <mergeCell ref="D5224:N5224"/>
    <mergeCell ref="D5135:H5135"/>
    <mergeCell ref="I5135:N5135"/>
    <mergeCell ref="E5136:N5136"/>
    <mergeCell ref="E5138:N5138"/>
    <mergeCell ref="E5139:N5139"/>
    <mergeCell ref="E5140:N5140"/>
    <mergeCell ref="E5141:N5141"/>
    <mergeCell ref="E5142:F5142"/>
    <mergeCell ref="E5143:F5143"/>
    <mergeCell ref="E5144:F5144"/>
    <mergeCell ref="E5145:F5145"/>
    <mergeCell ref="E5147:G5147"/>
    <mergeCell ref="H5147:N5147"/>
    <mergeCell ref="E5148:N5148"/>
    <mergeCell ref="E5150:N5150"/>
    <mergeCell ref="E5151:N5151"/>
    <mergeCell ref="E5152:N5152"/>
    <mergeCell ref="E5107:F5107"/>
    <mergeCell ref="E5109:N5109"/>
    <mergeCell ref="E5110:N5110"/>
    <mergeCell ref="E5111:N5111"/>
    <mergeCell ref="E5112:N5112"/>
    <mergeCell ref="E5113:F5113"/>
    <mergeCell ref="E5115:N5115"/>
    <mergeCell ref="E5116:N5116"/>
    <mergeCell ref="E5117:N5117"/>
    <mergeCell ref="E5118:K5118"/>
    <mergeCell ref="E5120:F5120"/>
    <mergeCell ref="E5121:F5121"/>
    <mergeCell ref="E5122:F5122"/>
    <mergeCell ref="E5124:F5124"/>
    <mergeCell ref="E5125:F5125"/>
    <mergeCell ref="E5126:F5126"/>
    <mergeCell ref="E5130:M5131"/>
    <mergeCell ref="E5086:N5086"/>
    <mergeCell ref="E5087:N5087"/>
    <mergeCell ref="E5089:F5089"/>
    <mergeCell ref="E5090:F5090"/>
    <mergeCell ref="E5091:F5091"/>
    <mergeCell ref="E5092:F5092"/>
    <mergeCell ref="E5094:H5094"/>
    <mergeCell ref="I5094:M5094"/>
    <mergeCell ref="E5095:N5095"/>
    <mergeCell ref="E5096:N5096"/>
    <mergeCell ref="E5098:F5098"/>
    <mergeCell ref="E5099:F5099"/>
    <mergeCell ref="E5100:F5100"/>
    <mergeCell ref="E5101:F5101"/>
    <mergeCell ref="E5103:N5103"/>
    <mergeCell ref="E5104:N5104"/>
    <mergeCell ref="E5105:N5105"/>
    <mergeCell ref="E5062:N5062"/>
    <mergeCell ref="E5064:F5064"/>
    <mergeCell ref="E5065:F5065"/>
    <mergeCell ref="E5066:F5066"/>
    <mergeCell ref="E5067:F5067"/>
    <mergeCell ref="E5069:F5069"/>
    <mergeCell ref="E5072:G5072"/>
    <mergeCell ref="E5073:G5073"/>
    <mergeCell ref="E5074:G5074"/>
    <mergeCell ref="E5075:G5075"/>
    <mergeCell ref="E5076:G5076"/>
    <mergeCell ref="E5078:I5078"/>
    <mergeCell ref="E5079:I5079"/>
    <mergeCell ref="E5081:I5081"/>
    <mergeCell ref="E5082:G5082"/>
    <mergeCell ref="E5085:H5085"/>
    <mergeCell ref="I5085:M5085"/>
    <mergeCell ref="E5043:N5043"/>
    <mergeCell ref="E5045:F5045"/>
    <mergeCell ref="E5046:F5046"/>
    <mergeCell ref="E5047:F5047"/>
    <mergeCell ref="E5048:F5048"/>
    <mergeCell ref="E5050:H5050"/>
    <mergeCell ref="I5050:M5050"/>
    <mergeCell ref="E5051:N5051"/>
    <mergeCell ref="E5052:N5052"/>
    <mergeCell ref="E5054:F5054"/>
    <mergeCell ref="E5055:F5055"/>
    <mergeCell ref="E5056:F5056"/>
    <mergeCell ref="E5057:F5057"/>
    <mergeCell ref="E5059:H5059"/>
    <mergeCell ref="I5059:M5059"/>
    <mergeCell ref="E5060:N5060"/>
    <mergeCell ref="E5061:N5061"/>
    <mergeCell ref="E5023:N5023"/>
    <mergeCell ref="E5024:N5024"/>
    <mergeCell ref="E5025:F5025"/>
    <mergeCell ref="E5026:F5026"/>
    <mergeCell ref="E5027:F5027"/>
    <mergeCell ref="E5029:F5029"/>
    <mergeCell ref="E5030:F5030"/>
    <mergeCell ref="E5031:F5031"/>
    <mergeCell ref="E5033:F5033"/>
    <mergeCell ref="E5034:F5034"/>
    <mergeCell ref="E5035:F5035"/>
    <mergeCell ref="E5037:N5037"/>
    <mergeCell ref="E5039:K5039"/>
    <mergeCell ref="E5040:N5040"/>
    <mergeCell ref="E5041:H5041"/>
    <mergeCell ref="I5041:M5041"/>
    <mergeCell ref="E5042:N5042"/>
    <mergeCell ref="E5003:F5003"/>
    <mergeCell ref="E5004:F5004"/>
    <mergeCell ref="E5005:F5005"/>
    <mergeCell ref="E5006:F5006"/>
    <mergeCell ref="E5007:F5007"/>
    <mergeCell ref="E5008:F5008"/>
    <mergeCell ref="E5009:F5009"/>
    <mergeCell ref="E5010:F5010"/>
    <mergeCell ref="E5012:N5012"/>
    <mergeCell ref="E5013:N5013"/>
    <mergeCell ref="E5014:N5014"/>
    <mergeCell ref="E5015:N5015"/>
    <mergeCell ref="E5017:F5017"/>
    <mergeCell ref="E5019:N5019"/>
    <mergeCell ref="E5020:N5020"/>
    <mergeCell ref="E5021:N5021"/>
    <mergeCell ref="E5022:N5022"/>
    <mergeCell ref="E4985:N4985"/>
    <mergeCell ref="E4986:K4986"/>
    <mergeCell ref="E4987:N4987"/>
    <mergeCell ref="E4988:H4988"/>
    <mergeCell ref="I4988:M4988"/>
    <mergeCell ref="E4990:F4990"/>
    <mergeCell ref="E4991:F4991"/>
    <mergeCell ref="E4992:F4992"/>
    <mergeCell ref="E4993:F4993"/>
    <mergeCell ref="E4994:F4994"/>
    <mergeCell ref="E4995:F4995"/>
    <mergeCell ref="E4996:F4996"/>
    <mergeCell ref="E4997:F4997"/>
    <mergeCell ref="E4998:F4998"/>
    <mergeCell ref="E5000:H5000"/>
    <mergeCell ref="I5000:M5000"/>
    <mergeCell ref="E5002:F5002"/>
    <mergeCell ref="F4965:N4965"/>
    <mergeCell ref="F4966:N4966"/>
    <mergeCell ref="E4967:F4967"/>
    <mergeCell ref="E4968:F4968"/>
    <mergeCell ref="E4970:N4970"/>
    <mergeCell ref="E4971:N4971"/>
    <mergeCell ref="E4972:N4972"/>
    <mergeCell ref="E4973:N4973"/>
    <mergeCell ref="E4974:N4974"/>
    <mergeCell ref="E4976:F4976"/>
    <mergeCell ref="E4977:F4977"/>
    <mergeCell ref="E4979:N4979"/>
    <mergeCell ref="E4980:N4980"/>
    <mergeCell ref="E4981:N4981"/>
    <mergeCell ref="E4982:N4982"/>
    <mergeCell ref="E4983:N4983"/>
    <mergeCell ref="E4984:N4984"/>
    <mergeCell ref="E4930:N4930"/>
    <mergeCell ref="D4946:N4946"/>
    <mergeCell ref="D4948:H4948"/>
    <mergeCell ref="I4948:N4948"/>
    <mergeCell ref="E4950:N4950"/>
    <mergeCell ref="E4951:N4951"/>
    <mergeCell ref="E4952:N4952"/>
    <mergeCell ref="E4953:N4953"/>
    <mergeCell ref="E4955:N4955"/>
    <mergeCell ref="E4957:N4957"/>
    <mergeCell ref="E4958:N4958"/>
    <mergeCell ref="E4959:N4959"/>
    <mergeCell ref="F4960:N4960"/>
    <mergeCell ref="F4961:N4961"/>
    <mergeCell ref="F4962:N4962"/>
    <mergeCell ref="F4963:N4963"/>
    <mergeCell ref="F4964:N4964"/>
    <mergeCell ref="E4870:N4870"/>
    <mergeCell ref="E4871:N4871"/>
    <mergeCell ref="E4872:N4872"/>
    <mergeCell ref="E4882:N4882"/>
    <mergeCell ref="E4897:I4897"/>
    <mergeCell ref="J4897:N4897"/>
    <mergeCell ref="E4898:N4898"/>
    <mergeCell ref="E4899:N4899"/>
    <mergeCell ref="E4900:N4900"/>
    <mergeCell ref="E4901:N4901"/>
    <mergeCell ref="E4907:N4907"/>
    <mergeCell ref="D4922:N4922"/>
    <mergeCell ref="E4924:N4924"/>
    <mergeCell ref="E4925:N4925"/>
    <mergeCell ref="E4926:N4926"/>
    <mergeCell ref="E4927:N4927"/>
    <mergeCell ref="E4928:N4928"/>
    <mergeCell ref="E4838:N4838"/>
    <mergeCell ref="E4839:N4839"/>
    <mergeCell ref="E4840:F4840"/>
    <mergeCell ref="E4841:F4841"/>
    <mergeCell ref="E4842:F4842"/>
    <mergeCell ref="E4843:F4843"/>
    <mergeCell ref="E4845:G4845"/>
    <mergeCell ref="H4845:N4845"/>
    <mergeCell ref="E4846:N4846"/>
    <mergeCell ref="E4848:N4848"/>
    <mergeCell ref="E4849:N4849"/>
    <mergeCell ref="E4850:N4850"/>
    <mergeCell ref="F4851:N4851"/>
    <mergeCell ref="F4852:N4852"/>
    <mergeCell ref="D4867:N4867"/>
    <mergeCell ref="E4869:I4869"/>
    <mergeCell ref="J4869:N4869"/>
    <mergeCell ref="E4811:F4811"/>
    <mergeCell ref="E4813:N4813"/>
    <mergeCell ref="E4814:N4814"/>
    <mergeCell ref="E4815:N4815"/>
    <mergeCell ref="E4816:K4816"/>
    <mergeCell ref="E4818:F4818"/>
    <mergeCell ref="E4819:F4819"/>
    <mergeCell ref="E4820:F4820"/>
    <mergeCell ref="E4822:F4822"/>
    <mergeCell ref="E4823:F4823"/>
    <mergeCell ref="E4824:F4824"/>
    <mergeCell ref="E4828:M4829"/>
    <mergeCell ref="D4833:H4833"/>
    <mergeCell ref="I4833:N4833"/>
    <mergeCell ref="E4834:N4834"/>
    <mergeCell ref="E4836:N4836"/>
    <mergeCell ref="E4837:N4837"/>
    <mergeCell ref="E4790:F4790"/>
    <mergeCell ref="E4792:H4792"/>
    <mergeCell ref="I4792:M4792"/>
    <mergeCell ref="E4793:N4793"/>
    <mergeCell ref="E4794:N4794"/>
    <mergeCell ref="E4796:F4796"/>
    <mergeCell ref="E4797:F4797"/>
    <mergeCell ref="E4798:F4798"/>
    <mergeCell ref="E4799:F4799"/>
    <mergeCell ref="E4801:N4801"/>
    <mergeCell ref="E4802:N4802"/>
    <mergeCell ref="E4803:N4803"/>
    <mergeCell ref="E4805:F4805"/>
    <mergeCell ref="E4807:N4807"/>
    <mergeCell ref="E4808:N4808"/>
    <mergeCell ref="E4809:N4809"/>
    <mergeCell ref="E4810:N4810"/>
    <mergeCell ref="E4767:F4767"/>
    <mergeCell ref="E4770:G4770"/>
    <mergeCell ref="E4771:G4771"/>
    <mergeCell ref="E4772:G4772"/>
    <mergeCell ref="E4773:G4773"/>
    <mergeCell ref="E4774:G4774"/>
    <mergeCell ref="E4776:I4776"/>
    <mergeCell ref="E4777:I4777"/>
    <mergeCell ref="E4779:I4779"/>
    <mergeCell ref="E4780:G4780"/>
    <mergeCell ref="E4783:H4783"/>
    <mergeCell ref="I4783:M4783"/>
    <mergeCell ref="E4784:N4784"/>
    <mergeCell ref="E4785:N4785"/>
    <mergeCell ref="E4787:F4787"/>
    <mergeCell ref="E4788:F4788"/>
    <mergeCell ref="E4789:F4789"/>
    <mergeCell ref="E4748:H4748"/>
    <mergeCell ref="I4748:M4748"/>
    <mergeCell ref="E4749:N4749"/>
    <mergeCell ref="E4750:N4750"/>
    <mergeCell ref="E4752:F4752"/>
    <mergeCell ref="E4753:F4753"/>
    <mergeCell ref="E4754:F4754"/>
    <mergeCell ref="E4755:F4755"/>
    <mergeCell ref="E4757:H4757"/>
    <mergeCell ref="I4757:M4757"/>
    <mergeCell ref="E4758:N4758"/>
    <mergeCell ref="E4759:N4759"/>
    <mergeCell ref="E4760:N4760"/>
    <mergeCell ref="E4762:F4762"/>
    <mergeCell ref="E4763:F4763"/>
    <mergeCell ref="E4764:F4764"/>
    <mergeCell ref="E4765:F4765"/>
    <mergeCell ref="E4727:F4727"/>
    <mergeCell ref="E4728:F4728"/>
    <mergeCell ref="E4729:F4729"/>
    <mergeCell ref="E4731:F4731"/>
    <mergeCell ref="E4732:F4732"/>
    <mergeCell ref="E4733:F4733"/>
    <mergeCell ref="E4735:N4735"/>
    <mergeCell ref="E4737:K4737"/>
    <mergeCell ref="E4738:N4738"/>
    <mergeCell ref="E4739:H4739"/>
    <mergeCell ref="I4739:M4739"/>
    <mergeCell ref="E4740:N4740"/>
    <mergeCell ref="E4741:N4741"/>
    <mergeCell ref="E4743:F4743"/>
    <mergeCell ref="E4744:F4744"/>
    <mergeCell ref="E4745:F4745"/>
    <mergeCell ref="E4746:F4746"/>
    <mergeCell ref="E4706:F4706"/>
    <mergeCell ref="E4707:F4707"/>
    <mergeCell ref="E4708:F4708"/>
    <mergeCell ref="E4710:N4710"/>
    <mergeCell ref="E4711:N4711"/>
    <mergeCell ref="E4712:N4712"/>
    <mergeCell ref="E4713:N4713"/>
    <mergeCell ref="E4715:F4715"/>
    <mergeCell ref="E4717:N4717"/>
    <mergeCell ref="E4718:N4718"/>
    <mergeCell ref="E4719:N4719"/>
    <mergeCell ref="E4720:N4720"/>
    <mergeCell ref="E4721:N4721"/>
    <mergeCell ref="E4722:N4722"/>
    <mergeCell ref="E4723:F4723"/>
    <mergeCell ref="E4724:F4724"/>
    <mergeCell ref="E4725:F4725"/>
    <mergeCell ref="E4688:F4688"/>
    <mergeCell ref="E4689:F4689"/>
    <mergeCell ref="E4690:F4690"/>
    <mergeCell ref="E4691:F4691"/>
    <mergeCell ref="E4692:F4692"/>
    <mergeCell ref="E4693:F4693"/>
    <mergeCell ref="E4694:F4694"/>
    <mergeCell ref="E4695:F4695"/>
    <mergeCell ref="E4696:F4696"/>
    <mergeCell ref="E4698:H4698"/>
    <mergeCell ref="I4698:M4698"/>
    <mergeCell ref="E4700:F4700"/>
    <mergeCell ref="E4701:F4701"/>
    <mergeCell ref="E4702:F4702"/>
    <mergeCell ref="E4703:F4703"/>
    <mergeCell ref="E4704:F4704"/>
    <mergeCell ref="E4705:F4705"/>
    <mergeCell ref="E4668:N4668"/>
    <mergeCell ref="E4669:N4669"/>
    <mergeCell ref="E4670:N4670"/>
    <mergeCell ref="E4671:N4671"/>
    <mergeCell ref="E4672:N4672"/>
    <mergeCell ref="E4674:F4674"/>
    <mergeCell ref="E4675:F4675"/>
    <mergeCell ref="E4677:N4677"/>
    <mergeCell ref="E4678:N4678"/>
    <mergeCell ref="E4679:N4679"/>
    <mergeCell ref="E4680:N4680"/>
    <mergeCell ref="E4681:N4681"/>
    <mergeCell ref="E4682:N4682"/>
    <mergeCell ref="E4683:N4683"/>
    <mergeCell ref="E4684:K4684"/>
    <mergeCell ref="E4685:N4685"/>
    <mergeCell ref="E4686:H4686"/>
    <mergeCell ref="I4686:M4686"/>
    <mergeCell ref="E4648:N4648"/>
    <mergeCell ref="E4649:N4649"/>
    <mergeCell ref="E4650:N4650"/>
    <mergeCell ref="E4651:N4651"/>
    <mergeCell ref="E4653:N4653"/>
    <mergeCell ref="E4655:N4655"/>
    <mergeCell ref="E4656:N4656"/>
    <mergeCell ref="E4657:N4657"/>
    <mergeCell ref="F4658:N4658"/>
    <mergeCell ref="F4659:N4659"/>
    <mergeCell ref="F4660:N4660"/>
    <mergeCell ref="F4661:N4661"/>
    <mergeCell ref="F4662:N4662"/>
    <mergeCell ref="F4663:N4663"/>
    <mergeCell ref="F4664:N4664"/>
    <mergeCell ref="E4665:F4665"/>
    <mergeCell ref="E4666:F4666"/>
    <mergeCell ref="E4580:N4580"/>
    <mergeCell ref="E4595:I4595"/>
    <mergeCell ref="J4595:N4595"/>
    <mergeCell ref="E4596:N4596"/>
    <mergeCell ref="E4597:N4597"/>
    <mergeCell ref="E4598:N4598"/>
    <mergeCell ref="E4599:N4599"/>
    <mergeCell ref="E4605:N4605"/>
    <mergeCell ref="D4620:N4620"/>
    <mergeCell ref="E4622:N4622"/>
    <mergeCell ref="E4623:N4623"/>
    <mergeCell ref="E4624:N4624"/>
    <mergeCell ref="E4625:N4625"/>
    <mergeCell ref="E4626:N4626"/>
    <mergeCell ref="E4628:N4628"/>
    <mergeCell ref="D4644:N4644"/>
    <mergeCell ref="D4646:H4646"/>
    <mergeCell ref="I4646:N4646"/>
    <mergeCell ref="E4539:F4539"/>
    <mergeCell ref="E4540:F4540"/>
    <mergeCell ref="E4541:F4541"/>
    <mergeCell ref="E4543:G4543"/>
    <mergeCell ref="H4543:N4543"/>
    <mergeCell ref="E4544:N4544"/>
    <mergeCell ref="E4546:N4546"/>
    <mergeCell ref="E4547:N4547"/>
    <mergeCell ref="E4548:N4548"/>
    <mergeCell ref="F4549:N4549"/>
    <mergeCell ref="F4550:N4550"/>
    <mergeCell ref="D4565:N4565"/>
    <mergeCell ref="E4567:I4567"/>
    <mergeCell ref="J4567:N4567"/>
    <mergeCell ref="E4568:N4568"/>
    <mergeCell ref="E4569:N4569"/>
    <mergeCell ref="E4570:N4570"/>
    <mergeCell ref="E4513:N4513"/>
    <mergeCell ref="E4514:K4514"/>
    <mergeCell ref="E4516:F4516"/>
    <mergeCell ref="E4517:F4517"/>
    <mergeCell ref="E4518:F4518"/>
    <mergeCell ref="E4520:F4520"/>
    <mergeCell ref="E4521:F4521"/>
    <mergeCell ref="E4522:F4522"/>
    <mergeCell ref="E4526:M4527"/>
    <mergeCell ref="D4531:H4531"/>
    <mergeCell ref="I4531:N4531"/>
    <mergeCell ref="E4532:N4532"/>
    <mergeCell ref="E4534:N4534"/>
    <mergeCell ref="E4535:N4535"/>
    <mergeCell ref="E4536:N4536"/>
    <mergeCell ref="E4537:N4537"/>
    <mergeCell ref="E4538:F4538"/>
    <mergeCell ref="E4491:N4491"/>
    <mergeCell ref="E4492:N4492"/>
    <mergeCell ref="E4494:F4494"/>
    <mergeCell ref="E4495:F4495"/>
    <mergeCell ref="E4496:F4496"/>
    <mergeCell ref="E4497:F4497"/>
    <mergeCell ref="E4499:N4499"/>
    <mergeCell ref="E4500:N4500"/>
    <mergeCell ref="E4501:N4501"/>
    <mergeCell ref="E4503:F4503"/>
    <mergeCell ref="E4505:N4505"/>
    <mergeCell ref="E4506:N4506"/>
    <mergeCell ref="E4507:N4507"/>
    <mergeCell ref="E4508:N4508"/>
    <mergeCell ref="E4509:F4509"/>
    <mergeCell ref="E4511:N4511"/>
    <mergeCell ref="E4512:N4512"/>
    <mergeCell ref="E4470:G4470"/>
    <mergeCell ref="E4471:G4471"/>
    <mergeCell ref="E4472:G4472"/>
    <mergeCell ref="E4474:I4474"/>
    <mergeCell ref="E4475:I4475"/>
    <mergeCell ref="E4477:I4477"/>
    <mergeCell ref="E4478:G4478"/>
    <mergeCell ref="E4481:H4481"/>
    <mergeCell ref="I4481:M4481"/>
    <mergeCell ref="E4482:N4482"/>
    <mergeCell ref="E4483:N4483"/>
    <mergeCell ref="E4485:F4485"/>
    <mergeCell ref="E4486:F4486"/>
    <mergeCell ref="E4487:F4487"/>
    <mergeCell ref="E4488:F4488"/>
    <mergeCell ref="E4490:H4490"/>
    <mergeCell ref="I4490:M4490"/>
    <mergeCell ref="E4448:N4448"/>
    <mergeCell ref="E4450:F4450"/>
    <mergeCell ref="E4451:F4451"/>
    <mergeCell ref="E4452:F4452"/>
    <mergeCell ref="E4453:F4453"/>
    <mergeCell ref="E4455:H4455"/>
    <mergeCell ref="I4455:M4455"/>
    <mergeCell ref="E4456:N4456"/>
    <mergeCell ref="E4457:N4457"/>
    <mergeCell ref="E4458:N4458"/>
    <mergeCell ref="E4460:F4460"/>
    <mergeCell ref="E4461:F4461"/>
    <mergeCell ref="E4462:F4462"/>
    <mergeCell ref="E4463:F4463"/>
    <mergeCell ref="E4465:F4465"/>
    <mergeCell ref="E4468:G4468"/>
    <mergeCell ref="E4469:G4469"/>
    <mergeCell ref="E4429:F4429"/>
    <mergeCell ref="E4430:F4430"/>
    <mergeCell ref="E4431:F4431"/>
    <mergeCell ref="E4433:N4433"/>
    <mergeCell ref="E4435:K4435"/>
    <mergeCell ref="E4436:N4436"/>
    <mergeCell ref="E4437:H4437"/>
    <mergeCell ref="I4437:M4437"/>
    <mergeCell ref="E4438:N4438"/>
    <mergeCell ref="E4439:N4439"/>
    <mergeCell ref="E4441:F4441"/>
    <mergeCell ref="E4442:F4442"/>
    <mergeCell ref="E4443:F4443"/>
    <mergeCell ref="E4444:F4444"/>
    <mergeCell ref="E4446:H4446"/>
    <mergeCell ref="I4446:M4446"/>
    <mergeCell ref="E4447:N4447"/>
    <mergeCell ref="E4408:N4408"/>
    <mergeCell ref="E4409:N4409"/>
    <mergeCell ref="E4410:N4410"/>
    <mergeCell ref="E4411:N4411"/>
    <mergeCell ref="E4413:F4413"/>
    <mergeCell ref="E4415:N4415"/>
    <mergeCell ref="E4416:N4416"/>
    <mergeCell ref="E4417:N4417"/>
    <mergeCell ref="E4418:N4418"/>
    <mergeCell ref="E4419:N4419"/>
    <mergeCell ref="E4420:N4420"/>
    <mergeCell ref="E4421:F4421"/>
    <mergeCell ref="E4422:F4422"/>
    <mergeCell ref="E4423:F4423"/>
    <mergeCell ref="E4425:F4425"/>
    <mergeCell ref="E4426:F4426"/>
    <mergeCell ref="E4427:F4427"/>
    <mergeCell ref="E4389:F4389"/>
    <mergeCell ref="E4390:F4390"/>
    <mergeCell ref="E4391:F4391"/>
    <mergeCell ref="E4392:F4392"/>
    <mergeCell ref="E4393:F4393"/>
    <mergeCell ref="E4394:F4394"/>
    <mergeCell ref="E4396:H4396"/>
    <mergeCell ref="I4396:M4396"/>
    <mergeCell ref="E4398:F4398"/>
    <mergeCell ref="E4399:F4399"/>
    <mergeCell ref="E4400:F4400"/>
    <mergeCell ref="E4401:F4401"/>
    <mergeCell ref="E4402:F4402"/>
    <mergeCell ref="E4403:F4403"/>
    <mergeCell ref="E4404:F4404"/>
    <mergeCell ref="E4405:F4405"/>
    <mergeCell ref="E4406:F4406"/>
    <mergeCell ref="E4370:N4370"/>
    <mergeCell ref="E4372:F4372"/>
    <mergeCell ref="E4373:F4373"/>
    <mergeCell ref="E4375:N4375"/>
    <mergeCell ref="E4376:N4376"/>
    <mergeCell ref="E4377:N4377"/>
    <mergeCell ref="E4378:N4378"/>
    <mergeCell ref="E4379:N4379"/>
    <mergeCell ref="E4380:N4380"/>
    <mergeCell ref="E4381:N4381"/>
    <mergeCell ref="E4382:K4382"/>
    <mergeCell ref="E4383:N4383"/>
    <mergeCell ref="E4384:H4384"/>
    <mergeCell ref="I4384:M4384"/>
    <mergeCell ref="E4386:F4386"/>
    <mergeCell ref="E4387:F4387"/>
    <mergeCell ref="E4388:F4388"/>
    <mergeCell ref="E4351:N4351"/>
    <mergeCell ref="E4353:N4353"/>
    <mergeCell ref="E4354:N4354"/>
    <mergeCell ref="E4355:N4355"/>
    <mergeCell ref="F4356:N4356"/>
    <mergeCell ref="F4357:N4357"/>
    <mergeCell ref="F4358:N4358"/>
    <mergeCell ref="F4359:N4359"/>
    <mergeCell ref="F4360:N4360"/>
    <mergeCell ref="F4361:N4361"/>
    <mergeCell ref="F4362:N4362"/>
    <mergeCell ref="E4363:F4363"/>
    <mergeCell ref="E4364:F4364"/>
    <mergeCell ref="E4366:N4366"/>
    <mergeCell ref="E4367:N4367"/>
    <mergeCell ref="E4368:N4368"/>
    <mergeCell ref="E4369:N4369"/>
    <mergeCell ref="E4296:N4296"/>
    <mergeCell ref="E4297:N4297"/>
    <mergeCell ref="E4303:N4303"/>
    <mergeCell ref="D4318:N4318"/>
    <mergeCell ref="E4320:N4320"/>
    <mergeCell ref="E4321:N4321"/>
    <mergeCell ref="E4322:N4322"/>
    <mergeCell ref="E4323:N4323"/>
    <mergeCell ref="E4324:N4324"/>
    <mergeCell ref="E4326:N4326"/>
    <mergeCell ref="D4342:N4342"/>
    <mergeCell ref="D4344:H4344"/>
    <mergeCell ref="I4344:N4344"/>
    <mergeCell ref="E4346:N4346"/>
    <mergeCell ref="E4347:N4347"/>
    <mergeCell ref="E4348:N4348"/>
    <mergeCell ref="E4349:N4349"/>
    <mergeCell ref="E4242:N4242"/>
    <mergeCell ref="E4244:N4244"/>
    <mergeCell ref="E4245:N4245"/>
    <mergeCell ref="E4246:N4246"/>
    <mergeCell ref="F4247:N4247"/>
    <mergeCell ref="F4248:N4248"/>
    <mergeCell ref="D4263:N4263"/>
    <mergeCell ref="E4265:I4265"/>
    <mergeCell ref="J4265:N4265"/>
    <mergeCell ref="E4266:N4266"/>
    <mergeCell ref="E4267:N4267"/>
    <mergeCell ref="E4268:N4268"/>
    <mergeCell ref="E4278:N4278"/>
    <mergeCell ref="E4293:I4293"/>
    <mergeCell ref="J4293:N4293"/>
    <mergeCell ref="E4294:N4294"/>
    <mergeCell ref="E4295:N4295"/>
    <mergeCell ref="E4216:F4216"/>
    <mergeCell ref="E4218:F4218"/>
    <mergeCell ref="E4219:F4219"/>
    <mergeCell ref="E4220:F4220"/>
    <mergeCell ref="E4224:M4225"/>
    <mergeCell ref="D4229:H4229"/>
    <mergeCell ref="I4229:N4229"/>
    <mergeCell ref="E4230:N4230"/>
    <mergeCell ref="E4232:N4232"/>
    <mergeCell ref="E4233:N4233"/>
    <mergeCell ref="E4234:N4234"/>
    <mergeCell ref="E4235:N4235"/>
    <mergeCell ref="E4236:F4236"/>
    <mergeCell ref="E4237:F4237"/>
    <mergeCell ref="E4238:F4238"/>
    <mergeCell ref="E4239:F4239"/>
    <mergeCell ref="E4241:G4241"/>
    <mergeCell ref="H4241:N4241"/>
    <mergeCell ref="E4194:F4194"/>
    <mergeCell ref="E4195:F4195"/>
    <mergeCell ref="E4197:N4197"/>
    <mergeCell ref="E4198:N4198"/>
    <mergeCell ref="E4199:N4199"/>
    <mergeCell ref="E4201:F4201"/>
    <mergeCell ref="E4203:N4203"/>
    <mergeCell ref="E4204:N4204"/>
    <mergeCell ref="E4205:N4205"/>
    <mergeCell ref="E4206:N4206"/>
    <mergeCell ref="E4207:F4207"/>
    <mergeCell ref="E4209:N4209"/>
    <mergeCell ref="E4210:N4210"/>
    <mergeCell ref="E4211:N4211"/>
    <mergeCell ref="E4212:K4212"/>
    <mergeCell ref="E4214:F4214"/>
    <mergeCell ref="E4215:F4215"/>
    <mergeCell ref="E4173:I4173"/>
    <mergeCell ref="E4175:I4175"/>
    <mergeCell ref="E4176:G4176"/>
    <mergeCell ref="E4179:H4179"/>
    <mergeCell ref="I4179:M4179"/>
    <mergeCell ref="E4180:N4180"/>
    <mergeCell ref="E4181:N4181"/>
    <mergeCell ref="E4183:F4183"/>
    <mergeCell ref="E4184:F4184"/>
    <mergeCell ref="E4185:F4185"/>
    <mergeCell ref="E4186:F4186"/>
    <mergeCell ref="E4188:H4188"/>
    <mergeCell ref="I4188:M4188"/>
    <mergeCell ref="E4189:N4189"/>
    <mergeCell ref="E4190:N4190"/>
    <mergeCell ref="E4192:F4192"/>
    <mergeCell ref="E4193:F4193"/>
    <mergeCell ref="E4151:F4151"/>
    <mergeCell ref="E4153:H4153"/>
    <mergeCell ref="I4153:M4153"/>
    <mergeCell ref="E4154:N4154"/>
    <mergeCell ref="E4155:N4155"/>
    <mergeCell ref="E4156:N4156"/>
    <mergeCell ref="E4158:F4158"/>
    <mergeCell ref="E4159:F4159"/>
    <mergeCell ref="E4160:F4160"/>
    <mergeCell ref="E4161:F4161"/>
    <mergeCell ref="E4163:F4163"/>
    <mergeCell ref="E4166:G4166"/>
    <mergeCell ref="E4167:G4167"/>
    <mergeCell ref="E4168:G4168"/>
    <mergeCell ref="E4169:G4169"/>
    <mergeCell ref="E4170:G4170"/>
    <mergeCell ref="E4172:I4172"/>
    <mergeCell ref="E4133:K4133"/>
    <mergeCell ref="E4134:N4134"/>
    <mergeCell ref="E4135:H4135"/>
    <mergeCell ref="I4135:M4135"/>
    <mergeCell ref="E4136:N4136"/>
    <mergeCell ref="E4137:N4137"/>
    <mergeCell ref="E4139:F4139"/>
    <mergeCell ref="E4140:F4140"/>
    <mergeCell ref="E4141:F4141"/>
    <mergeCell ref="E4142:F4142"/>
    <mergeCell ref="E4144:H4144"/>
    <mergeCell ref="I4144:M4144"/>
    <mergeCell ref="E4145:N4145"/>
    <mergeCell ref="E4146:N4146"/>
    <mergeCell ref="E4148:F4148"/>
    <mergeCell ref="E4149:F4149"/>
    <mergeCell ref="E4150:F4150"/>
    <mergeCell ref="E4111:F4111"/>
    <mergeCell ref="E4113:N4113"/>
    <mergeCell ref="E4114:N4114"/>
    <mergeCell ref="E4115:N4115"/>
    <mergeCell ref="E4116:N4116"/>
    <mergeCell ref="E4117:N4117"/>
    <mergeCell ref="E4118:N4118"/>
    <mergeCell ref="E4119:F4119"/>
    <mergeCell ref="E4120:F4120"/>
    <mergeCell ref="E4121:F4121"/>
    <mergeCell ref="E4123:F4123"/>
    <mergeCell ref="E4124:F4124"/>
    <mergeCell ref="E4125:F4125"/>
    <mergeCell ref="E4127:F4127"/>
    <mergeCell ref="E4128:F4128"/>
    <mergeCell ref="E4129:F4129"/>
    <mergeCell ref="E4131:N4131"/>
    <mergeCell ref="E4091:F4091"/>
    <mergeCell ref="E4092:F4092"/>
    <mergeCell ref="E4094:H4094"/>
    <mergeCell ref="I4094:M4094"/>
    <mergeCell ref="E4096:F4096"/>
    <mergeCell ref="E4097:F4097"/>
    <mergeCell ref="E4098:F4098"/>
    <mergeCell ref="E4099:F4099"/>
    <mergeCell ref="E4100:F4100"/>
    <mergeCell ref="E4101:F4101"/>
    <mergeCell ref="E4102:F4102"/>
    <mergeCell ref="E4103:F4103"/>
    <mergeCell ref="E4104:F4104"/>
    <mergeCell ref="E4106:N4106"/>
    <mergeCell ref="E4107:N4107"/>
    <mergeCell ref="E4108:N4108"/>
    <mergeCell ref="E4109:N4109"/>
    <mergeCell ref="E4074:N4074"/>
    <mergeCell ref="E4075:N4075"/>
    <mergeCell ref="E4076:N4076"/>
    <mergeCell ref="E4077:N4077"/>
    <mergeCell ref="E4078:N4078"/>
    <mergeCell ref="E4079:N4079"/>
    <mergeCell ref="E4080:K4080"/>
    <mergeCell ref="E4081:N4081"/>
    <mergeCell ref="E4082:H4082"/>
    <mergeCell ref="I4082:M4082"/>
    <mergeCell ref="E4084:F4084"/>
    <mergeCell ref="E4085:F4085"/>
    <mergeCell ref="E4086:F4086"/>
    <mergeCell ref="E4087:F4087"/>
    <mergeCell ref="E4088:F4088"/>
    <mergeCell ref="E4089:F4089"/>
    <mergeCell ref="E4090:F4090"/>
    <mergeCell ref="F4054:N4054"/>
    <mergeCell ref="F4055:N4055"/>
    <mergeCell ref="F4056:N4056"/>
    <mergeCell ref="F4057:N4057"/>
    <mergeCell ref="F4058:N4058"/>
    <mergeCell ref="F4059:N4059"/>
    <mergeCell ref="F4060:N4060"/>
    <mergeCell ref="E4061:F4061"/>
    <mergeCell ref="E4062:F4062"/>
    <mergeCell ref="E4064:N4064"/>
    <mergeCell ref="E4065:N4065"/>
    <mergeCell ref="E4066:N4066"/>
    <mergeCell ref="E4067:N4067"/>
    <mergeCell ref="E4068:N4068"/>
    <mergeCell ref="E4070:F4070"/>
    <mergeCell ref="E4071:F4071"/>
    <mergeCell ref="E4073:N4073"/>
    <mergeCell ref="E4018:N4018"/>
    <mergeCell ref="E4019:N4019"/>
    <mergeCell ref="E4020:N4020"/>
    <mergeCell ref="E4021:N4021"/>
    <mergeCell ref="E4022:N4022"/>
    <mergeCell ref="E4024:N4024"/>
    <mergeCell ref="D4040:N4040"/>
    <mergeCell ref="D4042:H4042"/>
    <mergeCell ref="I4042:N4042"/>
    <mergeCell ref="E4044:N4044"/>
    <mergeCell ref="E4045:N4045"/>
    <mergeCell ref="E4046:N4046"/>
    <mergeCell ref="E4047:N4047"/>
    <mergeCell ref="E4049:N4049"/>
    <mergeCell ref="E4051:N4051"/>
    <mergeCell ref="E4052:N4052"/>
    <mergeCell ref="E4053:N4053"/>
    <mergeCell ref="F3945:N3945"/>
    <mergeCell ref="F3946:N3946"/>
    <mergeCell ref="D3961:N3961"/>
    <mergeCell ref="E3963:I3963"/>
    <mergeCell ref="J3963:N3963"/>
    <mergeCell ref="E3964:N3964"/>
    <mergeCell ref="E3965:N3965"/>
    <mergeCell ref="E3966:N3966"/>
    <mergeCell ref="E3976:N3976"/>
    <mergeCell ref="E3991:I3991"/>
    <mergeCell ref="J3991:N3991"/>
    <mergeCell ref="E3992:N3992"/>
    <mergeCell ref="E3993:N3993"/>
    <mergeCell ref="E3994:N3994"/>
    <mergeCell ref="E3995:N3995"/>
    <mergeCell ref="E4001:N4001"/>
    <mergeCell ref="D4016:N4016"/>
    <mergeCell ref="D3927:H3927"/>
    <mergeCell ref="I3927:N3927"/>
    <mergeCell ref="E3928:N3928"/>
    <mergeCell ref="E3930:N3930"/>
    <mergeCell ref="E3931:N3931"/>
    <mergeCell ref="E3932:N3932"/>
    <mergeCell ref="E3933:N3933"/>
    <mergeCell ref="E3934:F3934"/>
    <mergeCell ref="E3935:F3935"/>
    <mergeCell ref="E3936:F3936"/>
    <mergeCell ref="E3937:F3937"/>
    <mergeCell ref="E3939:G3939"/>
    <mergeCell ref="H3939:N3939"/>
    <mergeCell ref="E3940:N3940"/>
    <mergeCell ref="E3942:N3942"/>
    <mergeCell ref="E3943:N3943"/>
    <mergeCell ref="E3944:N3944"/>
    <mergeCell ref="E3899:F3899"/>
    <mergeCell ref="E3901:N3901"/>
    <mergeCell ref="E3902:N3902"/>
    <mergeCell ref="E3903:N3903"/>
    <mergeCell ref="E3904:N3904"/>
    <mergeCell ref="E3905:F3905"/>
    <mergeCell ref="E3907:N3907"/>
    <mergeCell ref="E3908:N3908"/>
    <mergeCell ref="E3909:N3909"/>
    <mergeCell ref="E3910:K3910"/>
    <mergeCell ref="E3912:F3912"/>
    <mergeCell ref="E3913:F3913"/>
    <mergeCell ref="E3914:F3914"/>
    <mergeCell ref="E3916:F3916"/>
    <mergeCell ref="E3917:F3917"/>
    <mergeCell ref="E3918:F3918"/>
    <mergeCell ref="E3922:M3923"/>
    <mergeCell ref="E3878:N3878"/>
    <mergeCell ref="E3879:N3879"/>
    <mergeCell ref="E3881:F3881"/>
    <mergeCell ref="E3882:F3882"/>
    <mergeCell ref="E3883:F3883"/>
    <mergeCell ref="E3884:F3884"/>
    <mergeCell ref="E3886:H3886"/>
    <mergeCell ref="I3886:M3886"/>
    <mergeCell ref="E3887:N3887"/>
    <mergeCell ref="E3888:N3888"/>
    <mergeCell ref="E3890:F3890"/>
    <mergeCell ref="E3891:F3891"/>
    <mergeCell ref="E3892:F3892"/>
    <mergeCell ref="E3893:F3893"/>
    <mergeCell ref="E3895:N3895"/>
    <mergeCell ref="E3896:N3896"/>
    <mergeCell ref="E3897:N3897"/>
    <mergeCell ref="E3854:N3854"/>
    <mergeCell ref="E3856:F3856"/>
    <mergeCell ref="E3857:F3857"/>
    <mergeCell ref="E3858:F3858"/>
    <mergeCell ref="E3859:F3859"/>
    <mergeCell ref="E3861:F3861"/>
    <mergeCell ref="E3864:G3864"/>
    <mergeCell ref="E3865:G3865"/>
    <mergeCell ref="E3866:G3866"/>
    <mergeCell ref="E3867:G3867"/>
    <mergeCell ref="E3868:G3868"/>
    <mergeCell ref="E3870:I3870"/>
    <mergeCell ref="E3871:I3871"/>
    <mergeCell ref="E3873:I3873"/>
    <mergeCell ref="E3874:G3874"/>
    <mergeCell ref="E3877:H3877"/>
    <mergeCell ref="I3877:M3877"/>
    <mergeCell ref="E3835:N3835"/>
    <mergeCell ref="E3837:F3837"/>
    <mergeCell ref="E3838:F3838"/>
    <mergeCell ref="E3839:F3839"/>
    <mergeCell ref="E3840:F3840"/>
    <mergeCell ref="E3842:H3842"/>
    <mergeCell ref="I3842:M3842"/>
    <mergeCell ref="E3843:N3843"/>
    <mergeCell ref="E3844:N3844"/>
    <mergeCell ref="E3846:F3846"/>
    <mergeCell ref="E3847:F3847"/>
    <mergeCell ref="E3848:F3848"/>
    <mergeCell ref="E3849:F3849"/>
    <mergeCell ref="E3851:H3851"/>
    <mergeCell ref="I3851:M3851"/>
    <mergeCell ref="E3852:N3852"/>
    <mergeCell ref="E3853:N3853"/>
    <mergeCell ref="E3815:N3815"/>
    <mergeCell ref="E3816:N3816"/>
    <mergeCell ref="E3817:F3817"/>
    <mergeCell ref="E3818:F3818"/>
    <mergeCell ref="E3819:F3819"/>
    <mergeCell ref="E3821:F3821"/>
    <mergeCell ref="E3822:F3822"/>
    <mergeCell ref="E3823:F3823"/>
    <mergeCell ref="E3825:F3825"/>
    <mergeCell ref="E3826:F3826"/>
    <mergeCell ref="E3827:F3827"/>
    <mergeCell ref="E3829:N3829"/>
    <mergeCell ref="E3831:K3831"/>
    <mergeCell ref="E3832:N3832"/>
    <mergeCell ref="E3833:H3833"/>
    <mergeCell ref="I3833:M3833"/>
    <mergeCell ref="E3834:N3834"/>
    <mergeCell ref="E3795:F3795"/>
    <mergeCell ref="E3796:F3796"/>
    <mergeCell ref="E3797:F3797"/>
    <mergeCell ref="E3798:F3798"/>
    <mergeCell ref="E3799:F3799"/>
    <mergeCell ref="E3800:F3800"/>
    <mergeCell ref="E3801:F3801"/>
    <mergeCell ref="E3802:F3802"/>
    <mergeCell ref="E3804:N3804"/>
    <mergeCell ref="E3805:N3805"/>
    <mergeCell ref="E3806:N3806"/>
    <mergeCell ref="E3807:N3807"/>
    <mergeCell ref="E3809:F3809"/>
    <mergeCell ref="E3811:N3811"/>
    <mergeCell ref="E3812:N3812"/>
    <mergeCell ref="E3813:N3813"/>
    <mergeCell ref="E3814:N3814"/>
    <mergeCell ref="E3777:N3777"/>
    <mergeCell ref="E3778:K3778"/>
    <mergeCell ref="E3779:N3779"/>
    <mergeCell ref="E3780:H3780"/>
    <mergeCell ref="I3780:M3780"/>
    <mergeCell ref="E3782:F3782"/>
    <mergeCell ref="E3783:F3783"/>
    <mergeCell ref="E3784:F3784"/>
    <mergeCell ref="E3785:F3785"/>
    <mergeCell ref="E3786:F3786"/>
    <mergeCell ref="E3787:F3787"/>
    <mergeCell ref="E3788:F3788"/>
    <mergeCell ref="E3789:F3789"/>
    <mergeCell ref="E3790:F3790"/>
    <mergeCell ref="E3792:H3792"/>
    <mergeCell ref="I3792:M3792"/>
    <mergeCell ref="E3794:F3794"/>
    <mergeCell ref="F3757:N3757"/>
    <mergeCell ref="F3758:N3758"/>
    <mergeCell ref="E3759:F3759"/>
    <mergeCell ref="E3760:F3760"/>
    <mergeCell ref="E3762:N3762"/>
    <mergeCell ref="E3763:N3763"/>
    <mergeCell ref="E3764:N3764"/>
    <mergeCell ref="E3765:N3765"/>
    <mergeCell ref="E3766:N3766"/>
    <mergeCell ref="E3768:F3768"/>
    <mergeCell ref="E3769:F3769"/>
    <mergeCell ref="E3771:N3771"/>
    <mergeCell ref="E3772:N3772"/>
    <mergeCell ref="E3773:N3773"/>
    <mergeCell ref="E3774:N3774"/>
    <mergeCell ref="E3775:N3775"/>
    <mergeCell ref="E3776:N3776"/>
    <mergeCell ref="E3722:N3722"/>
    <mergeCell ref="D3738:N3738"/>
    <mergeCell ref="D3740:H3740"/>
    <mergeCell ref="I3740:N3740"/>
    <mergeCell ref="E3742:N3742"/>
    <mergeCell ref="E3743:N3743"/>
    <mergeCell ref="E3744:N3744"/>
    <mergeCell ref="E3745:N3745"/>
    <mergeCell ref="E3747:N3747"/>
    <mergeCell ref="E3749:N3749"/>
    <mergeCell ref="E3750:N3750"/>
    <mergeCell ref="E3751:N3751"/>
    <mergeCell ref="F3752:N3752"/>
    <mergeCell ref="F3753:N3753"/>
    <mergeCell ref="F3754:N3754"/>
    <mergeCell ref="F3755:N3755"/>
    <mergeCell ref="F3756:N3756"/>
    <mergeCell ref="E3662:N3662"/>
    <mergeCell ref="E3663:N3663"/>
    <mergeCell ref="E3664:N3664"/>
    <mergeCell ref="E3674:N3674"/>
    <mergeCell ref="E3689:I3689"/>
    <mergeCell ref="J3689:N3689"/>
    <mergeCell ref="E3690:N3690"/>
    <mergeCell ref="E3691:N3691"/>
    <mergeCell ref="E3692:N3692"/>
    <mergeCell ref="E3693:N3693"/>
    <mergeCell ref="E3699:N3699"/>
    <mergeCell ref="D3714:N3714"/>
    <mergeCell ref="E3716:N3716"/>
    <mergeCell ref="E3717:N3717"/>
    <mergeCell ref="E3718:N3718"/>
    <mergeCell ref="E3719:N3719"/>
    <mergeCell ref="E3720:N3720"/>
    <mergeCell ref="E3630:N3630"/>
    <mergeCell ref="E3631:N3631"/>
    <mergeCell ref="E3632:F3632"/>
    <mergeCell ref="E3633:F3633"/>
    <mergeCell ref="E3634:F3634"/>
    <mergeCell ref="E3635:F3635"/>
    <mergeCell ref="E3637:G3637"/>
    <mergeCell ref="H3637:N3637"/>
    <mergeCell ref="E3638:N3638"/>
    <mergeCell ref="E3640:N3640"/>
    <mergeCell ref="E3641:N3641"/>
    <mergeCell ref="E3642:N3642"/>
    <mergeCell ref="F3643:N3643"/>
    <mergeCell ref="F3644:N3644"/>
    <mergeCell ref="D3659:N3659"/>
    <mergeCell ref="E3661:I3661"/>
    <mergeCell ref="J3661:N3661"/>
    <mergeCell ref="E3603:F3603"/>
    <mergeCell ref="E3605:N3605"/>
    <mergeCell ref="E3606:N3606"/>
    <mergeCell ref="E3607:N3607"/>
    <mergeCell ref="E3608:K3608"/>
    <mergeCell ref="E3610:F3610"/>
    <mergeCell ref="E3611:F3611"/>
    <mergeCell ref="E3612:F3612"/>
    <mergeCell ref="E3614:F3614"/>
    <mergeCell ref="E3615:F3615"/>
    <mergeCell ref="E3616:F3616"/>
    <mergeCell ref="E3620:M3621"/>
    <mergeCell ref="D3625:H3625"/>
    <mergeCell ref="I3625:N3625"/>
    <mergeCell ref="E3626:N3626"/>
    <mergeCell ref="E3628:N3628"/>
    <mergeCell ref="E3629:N3629"/>
    <mergeCell ref="E3582:F3582"/>
    <mergeCell ref="E3584:H3584"/>
    <mergeCell ref="I3584:M3584"/>
    <mergeCell ref="E3585:N3585"/>
    <mergeCell ref="E3586:N3586"/>
    <mergeCell ref="E3588:F3588"/>
    <mergeCell ref="E3589:F3589"/>
    <mergeCell ref="E3590:F3590"/>
    <mergeCell ref="E3591:F3591"/>
    <mergeCell ref="E3593:N3593"/>
    <mergeCell ref="E3594:N3594"/>
    <mergeCell ref="E3595:N3595"/>
    <mergeCell ref="E3597:F3597"/>
    <mergeCell ref="E3599:N3599"/>
    <mergeCell ref="E3600:N3600"/>
    <mergeCell ref="E3601:N3601"/>
    <mergeCell ref="E3602:N3602"/>
    <mergeCell ref="E3559:F3559"/>
    <mergeCell ref="E3562:G3562"/>
    <mergeCell ref="E3563:G3563"/>
    <mergeCell ref="E3564:G3564"/>
    <mergeCell ref="E3565:G3565"/>
    <mergeCell ref="E3566:G3566"/>
    <mergeCell ref="E3568:I3568"/>
    <mergeCell ref="E3569:I3569"/>
    <mergeCell ref="E3571:I3571"/>
    <mergeCell ref="E3572:G3572"/>
    <mergeCell ref="E3575:H3575"/>
    <mergeCell ref="I3575:M3575"/>
    <mergeCell ref="E3576:N3576"/>
    <mergeCell ref="E3577:N3577"/>
    <mergeCell ref="E3579:F3579"/>
    <mergeCell ref="E3580:F3580"/>
    <mergeCell ref="E3581:F3581"/>
    <mergeCell ref="E3540:H3540"/>
    <mergeCell ref="I3540:M3540"/>
    <mergeCell ref="E3541:N3541"/>
    <mergeCell ref="E3542:N3542"/>
    <mergeCell ref="E3544:F3544"/>
    <mergeCell ref="E3545:F3545"/>
    <mergeCell ref="E3546:F3546"/>
    <mergeCell ref="E3547:F3547"/>
    <mergeCell ref="E3549:H3549"/>
    <mergeCell ref="I3549:M3549"/>
    <mergeCell ref="E3550:N3550"/>
    <mergeCell ref="E3551:N3551"/>
    <mergeCell ref="E3552:N3552"/>
    <mergeCell ref="E3554:F3554"/>
    <mergeCell ref="E3555:F3555"/>
    <mergeCell ref="E3556:F3556"/>
    <mergeCell ref="E3557:F3557"/>
    <mergeCell ref="E3519:F3519"/>
    <mergeCell ref="E3520:F3520"/>
    <mergeCell ref="E3521:F3521"/>
    <mergeCell ref="E3523:F3523"/>
    <mergeCell ref="E3524:F3524"/>
    <mergeCell ref="E3525:F3525"/>
    <mergeCell ref="E3527:N3527"/>
    <mergeCell ref="E3529:K3529"/>
    <mergeCell ref="E3530:N3530"/>
    <mergeCell ref="E3531:H3531"/>
    <mergeCell ref="I3531:M3531"/>
    <mergeCell ref="E3532:N3532"/>
    <mergeCell ref="E3533:N3533"/>
    <mergeCell ref="E3535:F3535"/>
    <mergeCell ref="E3536:F3536"/>
    <mergeCell ref="E3537:F3537"/>
    <mergeCell ref="E3538:F3538"/>
    <mergeCell ref="E3498:F3498"/>
    <mergeCell ref="E3499:F3499"/>
    <mergeCell ref="E3500:F3500"/>
    <mergeCell ref="E3502:N3502"/>
    <mergeCell ref="E3503:N3503"/>
    <mergeCell ref="E3504:N3504"/>
    <mergeCell ref="E3505:N3505"/>
    <mergeCell ref="E3507:F3507"/>
    <mergeCell ref="E3509:N3509"/>
    <mergeCell ref="E3510:N3510"/>
    <mergeCell ref="E3511:N3511"/>
    <mergeCell ref="E3512:N3512"/>
    <mergeCell ref="E3513:N3513"/>
    <mergeCell ref="E3514:N3514"/>
    <mergeCell ref="E3515:F3515"/>
    <mergeCell ref="E3516:F3516"/>
    <mergeCell ref="E3517:F3517"/>
    <mergeCell ref="E3480:F3480"/>
    <mergeCell ref="E3481:F3481"/>
    <mergeCell ref="E3482:F3482"/>
    <mergeCell ref="E3483:F3483"/>
    <mergeCell ref="E3484:F3484"/>
    <mergeCell ref="E3485:F3485"/>
    <mergeCell ref="E3486:F3486"/>
    <mergeCell ref="E3487:F3487"/>
    <mergeCell ref="E3488:F3488"/>
    <mergeCell ref="E3490:H3490"/>
    <mergeCell ref="I3490:M3490"/>
    <mergeCell ref="E3492:F3492"/>
    <mergeCell ref="E3493:F3493"/>
    <mergeCell ref="E3494:F3494"/>
    <mergeCell ref="E3495:F3495"/>
    <mergeCell ref="E3496:F3496"/>
    <mergeCell ref="E3497:F3497"/>
    <mergeCell ref="E3461:N3461"/>
    <mergeCell ref="E3462:N3462"/>
    <mergeCell ref="E3463:N3463"/>
    <mergeCell ref="E3464:N3464"/>
    <mergeCell ref="E3466:F3466"/>
    <mergeCell ref="E3467:F3467"/>
    <mergeCell ref="E3469:N3469"/>
    <mergeCell ref="E3470:N3470"/>
    <mergeCell ref="E3471:N3471"/>
    <mergeCell ref="E3472:N3472"/>
    <mergeCell ref="E3473:N3473"/>
    <mergeCell ref="E3474:N3474"/>
    <mergeCell ref="E3475:N3475"/>
    <mergeCell ref="E3476:K3476"/>
    <mergeCell ref="E3477:N3477"/>
    <mergeCell ref="E3478:H3478"/>
    <mergeCell ref="I3478:M3478"/>
    <mergeCell ref="E3441:N3441"/>
    <mergeCell ref="E3442:N3442"/>
    <mergeCell ref="E3443:N3443"/>
    <mergeCell ref="E3445:N3445"/>
    <mergeCell ref="E3447:N3447"/>
    <mergeCell ref="E3448:N3448"/>
    <mergeCell ref="E3449:N3449"/>
    <mergeCell ref="F3450:N3450"/>
    <mergeCell ref="F3451:N3451"/>
    <mergeCell ref="F3452:N3452"/>
    <mergeCell ref="F3453:N3453"/>
    <mergeCell ref="F3454:N3454"/>
    <mergeCell ref="F3455:N3455"/>
    <mergeCell ref="F3456:N3456"/>
    <mergeCell ref="E3457:F3457"/>
    <mergeCell ref="E3458:F3458"/>
    <mergeCell ref="E3460:N3460"/>
    <mergeCell ref="E3388:N3388"/>
    <mergeCell ref="E3389:N3389"/>
    <mergeCell ref="E3390:N3390"/>
    <mergeCell ref="E3391:N3391"/>
    <mergeCell ref="E3340:N3340"/>
    <mergeCell ref="E3397:N3397"/>
    <mergeCell ref="D3412:N3412"/>
    <mergeCell ref="E3414:N3414"/>
    <mergeCell ref="E3415:N3415"/>
    <mergeCell ref="E3416:N3416"/>
    <mergeCell ref="E3417:N3417"/>
    <mergeCell ref="E3418:N3418"/>
    <mergeCell ref="E3420:N3420"/>
    <mergeCell ref="D3436:N3436"/>
    <mergeCell ref="D3438:H3438"/>
    <mergeCell ref="I3438:N3438"/>
    <mergeCell ref="E3440:N3440"/>
    <mergeCell ref="E3360:N3360"/>
    <mergeCell ref="E3361:N3361"/>
    <mergeCell ref="E3362:N3362"/>
    <mergeCell ref="E3372:N3372"/>
    <mergeCell ref="E3387:I3387"/>
    <mergeCell ref="J3387:N3387"/>
    <mergeCell ref="D3357:N3357"/>
    <mergeCell ref="E3359:I3359"/>
    <mergeCell ref="J3359:N3359"/>
    <mergeCell ref="E3145:N3145"/>
    <mergeCell ref="E3146:N3146"/>
    <mergeCell ref="E3147:N3147"/>
    <mergeCell ref="E3162:N3162"/>
    <mergeCell ref="E3164:F3164"/>
    <mergeCell ref="E3165:F3165"/>
    <mergeCell ref="E3167:N3167"/>
    <mergeCell ref="E3291:N3291"/>
    <mergeCell ref="E3255:F3255"/>
    <mergeCell ref="E3274:N3274"/>
    <mergeCell ref="E3257:F3257"/>
    <mergeCell ref="E3260:G3260"/>
    <mergeCell ref="E3261:G3261"/>
    <mergeCell ref="E3262:G3262"/>
    <mergeCell ref="E3263:G3263"/>
    <mergeCell ref="E3264:G3264"/>
    <mergeCell ref="E3266:I3266"/>
    <mergeCell ref="E3267:I3267"/>
    <mergeCell ref="F3148:N3148"/>
    <mergeCell ref="F3149:N3149"/>
    <mergeCell ref="F3150:N3150"/>
    <mergeCell ref="F3151:N3151"/>
    <mergeCell ref="F3152:N3152"/>
    <mergeCell ref="F3153:N3153"/>
    <mergeCell ref="F3154:N3154"/>
    <mergeCell ref="E3156:F3156"/>
    <mergeCell ref="E3158:N3158"/>
    <mergeCell ref="E3160:N3160"/>
    <mergeCell ref="E3161:N3161"/>
    <mergeCell ref="E3279:F3279"/>
    <mergeCell ref="E3280:F3280"/>
    <mergeCell ref="E3286:F3286"/>
    <mergeCell ref="E3287:F3287"/>
    <mergeCell ref="E3288:F3288"/>
    <mergeCell ref="E3289:F3289"/>
    <mergeCell ref="E3278:F3278"/>
    <mergeCell ref="E3282:H3282"/>
    <mergeCell ref="I3282:M3282"/>
    <mergeCell ref="E3283:N3283"/>
    <mergeCell ref="E3284:N3284"/>
    <mergeCell ref="E3198:F3198"/>
    <mergeCell ref="E3200:N3200"/>
    <mergeCell ref="E3192:F3192"/>
    <mergeCell ref="E3194:F3194"/>
    <mergeCell ref="E3195:F3195"/>
    <mergeCell ref="E3338:N3338"/>
    <mergeCell ref="E3339:N3339"/>
    <mergeCell ref="F3341:N3341"/>
    <mergeCell ref="F3342:N3342"/>
    <mergeCell ref="E3269:I3269"/>
    <mergeCell ref="E3270:G3270"/>
    <mergeCell ref="E3273:H3273"/>
    <mergeCell ref="I3273:M3273"/>
    <mergeCell ref="E3275:N3275"/>
    <mergeCell ref="E3277:F3277"/>
    <mergeCell ref="E3236:F3236"/>
    <mergeCell ref="E3242:F3242"/>
    <mergeCell ref="E3243:F3243"/>
    <mergeCell ref="E3244:F3244"/>
    <mergeCell ref="E3248:N3248"/>
    <mergeCell ref="E3252:F3252"/>
    <mergeCell ref="E3238:H3238"/>
    <mergeCell ref="I3238:M3238"/>
    <mergeCell ref="E3239:N3239"/>
    <mergeCell ref="E2948:N2948"/>
    <mergeCell ref="E2950:F2950"/>
    <mergeCell ref="E2962:G2962"/>
    <mergeCell ref="E3168:N3168"/>
    <mergeCell ref="E3170:N3170"/>
    <mergeCell ref="E3171:N3171"/>
    <mergeCell ref="E3174:K3174"/>
    <mergeCell ref="E3155:F3155"/>
    <mergeCell ref="E3159:N3159"/>
    <mergeCell ref="E3169:N3169"/>
    <mergeCell ref="E3292:N3292"/>
    <mergeCell ref="E3293:N3293"/>
    <mergeCell ref="E3295:F3295"/>
    <mergeCell ref="E2972:N2972"/>
    <mergeCell ref="E2975:F2975"/>
    <mergeCell ref="E2977:F2977"/>
    <mergeCell ref="E2978:F2978"/>
    <mergeCell ref="E2980:H2980"/>
    <mergeCell ref="I2980:M2980"/>
    <mergeCell ref="E2981:N2981"/>
    <mergeCell ref="E2982:N2982"/>
    <mergeCell ref="E2984:F2984"/>
    <mergeCell ref="E2985:F2985"/>
    <mergeCell ref="E2973:N2973"/>
    <mergeCell ref="E2976:F2976"/>
    <mergeCell ref="E3037:N3037"/>
    <mergeCell ref="E3038:N3038"/>
    <mergeCell ref="F3039:N3039"/>
    <mergeCell ref="F3040:N3040"/>
    <mergeCell ref="E2996:N2996"/>
    <mergeCell ref="E3002:N3002"/>
    <mergeCell ref="E3003:N3003"/>
    <mergeCell ref="E2909:N2909"/>
    <mergeCell ref="E2910:N2910"/>
    <mergeCell ref="E2912:F2912"/>
    <mergeCell ref="E3016:M3017"/>
    <mergeCell ref="E2899:N2899"/>
    <mergeCell ref="E2900:N2900"/>
    <mergeCell ref="E2901:N2901"/>
    <mergeCell ref="E2903:F2903"/>
    <mergeCell ref="E2906:N2906"/>
    <mergeCell ref="E2932:F2932"/>
    <mergeCell ref="E2933:F2933"/>
    <mergeCell ref="E2934:F2934"/>
    <mergeCell ref="E2936:H2936"/>
    <mergeCell ref="I2936:M2936"/>
    <mergeCell ref="E2937:N2937"/>
    <mergeCell ref="E2938:N2938"/>
    <mergeCell ref="E2940:F2940"/>
    <mergeCell ref="E2941:F2941"/>
    <mergeCell ref="E2942:F2942"/>
    <mergeCell ref="E2943:F2943"/>
    <mergeCell ref="E2945:H2945"/>
    <mergeCell ref="I2945:M2945"/>
    <mergeCell ref="E2986:F2986"/>
    <mergeCell ref="E2987:F2987"/>
    <mergeCell ref="E2989:N2989"/>
    <mergeCell ref="E2990:N2990"/>
    <mergeCell ref="E2920:F2920"/>
    <mergeCell ref="E2921:F2921"/>
    <mergeCell ref="E2923:N2923"/>
    <mergeCell ref="E2926:N2926"/>
    <mergeCell ref="E2946:N2946"/>
    <mergeCell ref="E2947:N2947"/>
    <mergeCell ref="E3011:F3011"/>
    <mergeCell ref="E3012:F3012"/>
    <mergeCell ref="E2997:N2997"/>
    <mergeCell ref="E2998:N2998"/>
    <mergeCell ref="E2999:F2999"/>
    <mergeCell ref="E3001:N3001"/>
    <mergeCell ref="E3004:K3004"/>
    <mergeCell ref="E3006:F3006"/>
    <mergeCell ref="E2995:N2995"/>
    <mergeCell ref="E2991:N2991"/>
    <mergeCell ref="E2993:F2993"/>
    <mergeCell ref="E2951:F2951"/>
    <mergeCell ref="E2952:F2952"/>
    <mergeCell ref="E2953:F2953"/>
    <mergeCell ref="E2955:F2955"/>
    <mergeCell ref="E2958:G2958"/>
    <mergeCell ref="E2959:G2959"/>
    <mergeCell ref="E2960:G2960"/>
    <mergeCell ref="E2961:G2961"/>
    <mergeCell ref="E3007:F3007"/>
    <mergeCell ref="E3008:F3008"/>
    <mergeCell ref="E3010:F3010"/>
    <mergeCell ref="E2964:I2964"/>
    <mergeCell ref="E2965:I2965"/>
    <mergeCell ref="E2967:I2967"/>
    <mergeCell ref="E2968:G2968"/>
    <mergeCell ref="E2971:H2971"/>
    <mergeCell ref="I2971:M2971"/>
    <mergeCell ref="E3297:N3297"/>
    <mergeCell ref="E3298:N3298"/>
    <mergeCell ref="E3299:N3299"/>
    <mergeCell ref="E3300:N3300"/>
    <mergeCell ref="E3301:F3301"/>
    <mergeCell ref="E3303:N3303"/>
    <mergeCell ref="E3304:N3304"/>
    <mergeCell ref="E3306:K3306"/>
    <mergeCell ref="D2717:N2717"/>
    <mergeCell ref="D2719:H2719"/>
    <mergeCell ref="I2719:N2719"/>
    <mergeCell ref="E2720:N2720"/>
    <mergeCell ref="E2722:N2722"/>
    <mergeCell ref="E2723:N2723"/>
    <mergeCell ref="E2724:N2724"/>
    <mergeCell ref="E2725:N2725"/>
    <mergeCell ref="E2726:F2726"/>
    <mergeCell ref="E2727:F2727"/>
    <mergeCell ref="E2728:F2728"/>
    <mergeCell ref="E2729:F2729"/>
    <mergeCell ref="E2731:G2731"/>
    <mergeCell ref="H2731:N2731"/>
    <mergeCell ref="E2732:N2732"/>
    <mergeCell ref="E2734:N2734"/>
    <mergeCell ref="E2735:N2735"/>
    <mergeCell ref="E2836:N2836"/>
    <mergeCell ref="E2837:N2837"/>
    <mergeCell ref="E2838:N2838"/>
    <mergeCell ref="E2839:N2839"/>
    <mergeCell ref="E2841:N2841"/>
    <mergeCell ref="E2844:N2844"/>
    <mergeCell ref="E2845:N2845"/>
    <mergeCell ref="E3318:M3319"/>
    <mergeCell ref="D3323:H3323"/>
    <mergeCell ref="I3323:N3323"/>
    <mergeCell ref="E3324:N3324"/>
    <mergeCell ref="E3326:N3326"/>
    <mergeCell ref="E3327:N3327"/>
    <mergeCell ref="E3328:N3328"/>
    <mergeCell ref="E3329:N3329"/>
    <mergeCell ref="E3330:F3330"/>
    <mergeCell ref="E3331:F3331"/>
    <mergeCell ref="E3332:F3332"/>
    <mergeCell ref="E3333:F3333"/>
    <mergeCell ref="E3335:G3335"/>
    <mergeCell ref="H3335:N3335"/>
    <mergeCell ref="E3336:N3336"/>
    <mergeCell ref="E3305:N3305"/>
    <mergeCell ref="E3308:F3308"/>
    <mergeCell ref="E3309:F3309"/>
    <mergeCell ref="E3310:F3310"/>
    <mergeCell ref="E3312:F3312"/>
    <mergeCell ref="E3313:F3313"/>
    <mergeCell ref="E3314:F3314"/>
    <mergeCell ref="E3240:N3240"/>
    <mergeCell ref="E3245:F3245"/>
    <mergeCell ref="E3247:H3247"/>
    <mergeCell ref="I3247:M3247"/>
    <mergeCell ref="E3249:N3249"/>
    <mergeCell ref="E3250:N3250"/>
    <mergeCell ref="E3253:F3253"/>
    <mergeCell ref="E3254:F3254"/>
    <mergeCell ref="E3214:F3214"/>
    <mergeCell ref="E3215:F3215"/>
    <mergeCell ref="E3217:F3217"/>
    <mergeCell ref="E3218:F3218"/>
    <mergeCell ref="E3219:F3219"/>
    <mergeCell ref="E3231:N3231"/>
    <mergeCell ref="E3233:F3233"/>
    <mergeCell ref="E3234:F3234"/>
    <mergeCell ref="E3235:F3235"/>
    <mergeCell ref="E3221:F3221"/>
    <mergeCell ref="E3222:F3222"/>
    <mergeCell ref="E3223:F3223"/>
    <mergeCell ref="E3225:N3225"/>
    <mergeCell ref="E3227:K3227"/>
    <mergeCell ref="E3228:N3228"/>
    <mergeCell ref="E3229:H3229"/>
    <mergeCell ref="I3229:M3229"/>
    <mergeCell ref="E3230:N3230"/>
    <mergeCell ref="E3207:N3207"/>
    <mergeCell ref="E3208:N3208"/>
    <mergeCell ref="E3209:N3209"/>
    <mergeCell ref="E3210:N3210"/>
    <mergeCell ref="E3213:F3213"/>
    <mergeCell ref="E3201:N3201"/>
    <mergeCell ref="E3202:N3202"/>
    <mergeCell ref="E3203:N3203"/>
    <mergeCell ref="E3205:F3205"/>
    <mergeCell ref="E3211:N3211"/>
    <mergeCell ref="E3212:N3212"/>
    <mergeCell ref="E3172:N3172"/>
    <mergeCell ref="E3173:N3173"/>
    <mergeCell ref="E3179:F3179"/>
    <mergeCell ref="E3180:F3180"/>
    <mergeCell ref="E3181:F3181"/>
    <mergeCell ref="E3182:F3182"/>
    <mergeCell ref="E3183:F3183"/>
    <mergeCell ref="E3184:F3184"/>
    <mergeCell ref="E3185:F3185"/>
    <mergeCell ref="E3191:F3191"/>
    <mergeCell ref="E3175:N3175"/>
    <mergeCell ref="E3176:H3176"/>
    <mergeCell ref="I3176:M3176"/>
    <mergeCell ref="E3178:F3178"/>
    <mergeCell ref="E3186:F3186"/>
    <mergeCell ref="E3188:H3188"/>
    <mergeCell ref="I3188:M3188"/>
    <mergeCell ref="E3190:F3190"/>
    <mergeCell ref="E3193:F3193"/>
    <mergeCell ref="E3196:F3196"/>
    <mergeCell ref="E3197:F3197"/>
    <mergeCell ref="I3136:N3136"/>
    <mergeCell ref="E3138:N3138"/>
    <mergeCell ref="E3140:N3140"/>
    <mergeCell ref="E3141:N3141"/>
    <mergeCell ref="E3143:N3143"/>
    <mergeCell ref="E3116:N3116"/>
    <mergeCell ref="E3118:N3118"/>
    <mergeCell ref="E3114:N3114"/>
    <mergeCell ref="E3115:N3115"/>
    <mergeCell ref="E3089:N3089"/>
    <mergeCell ref="E3058:N3058"/>
    <mergeCell ref="E3059:N3059"/>
    <mergeCell ref="E3070:N3070"/>
    <mergeCell ref="E3025:N3025"/>
    <mergeCell ref="E3026:N3026"/>
    <mergeCell ref="E3027:N3027"/>
    <mergeCell ref="E3029:F3029"/>
    <mergeCell ref="E3030:F3030"/>
    <mergeCell ref="E3031:F3031"/>
    <mergeCell ref="E3088:N3088"/>
    <mergeCell ref="E3095:N3095"/>
    <mergeCell ref="D3110:N3110"/>
    <mergeCell ref="E3112:N3112"/>
    <mergeCell ref="E3113:N3113"/>
    <mergeCell ref="E3139:N3139"/>
    <mergeCell ref="D3134:N3134"/>
    <mergeCell ref="D3136:H3136"/>
    <mergeCell ref="D3021:H3021"/>
    <mergeCell ref="I3021:N3021"/>
    <mergeCell ref="E3022:N3022"/>
    <mergeCell ref="E3024:N3024"/>
    <mergeCell ref="E3028:F3028"/>
    <mergeCell ref="E3033:G3033"/>
    <mergeCell ref="H3033:N3033"/>
    <mergeCell ref="E3034:N3034"/>
    <mergeCell ref="E3036:N3036"/>
    <mergeCell ref="D3055:N3055"/>
    <mergeCell ref="E3057:I3057"/>
    <mergeCell ref="J3057:N3057"/>
    <mergeCell ref="E3060:N3060"/>
    <mergeCell ref="E3085:I3085"/>
    <mergeCell ref="J3085:N3085"/>
    <mergeCell ref="E3086:N3086"/>
    <mergeCell ref="E3087:N3087"/>
    <mergeCell ref="E2879:F2879"/>
    <mergeCell ref="E2880:F2880"/>
    <mergeCell ref="E2881:F2881"/>
    <mergeCell ref="E2907:N2907"/>
    <mergeCell ref="E2908:N2908"/>
    <mergeCell ref="E2911:F2911"/>
    <mergeCell ref="E2913:F2913"/>
    <mergeCell ref="E2915:F2915"/>
    <mergeCell ref="E2916:F2916"/>
    <mergeCell ref="E2917:F2917"/>
    <mergeCell ref="E2919:F2919"/>
    <mergeCell ref="E2925:K2925"/>
    <mergeCell ref="E2927:H2927"/>
    <mergeCell ref="I2927:M2927"/>
    <mergeCell ref="E2928:N2928"/>
    <mergeCell ref="E2929:N2929"/>
    <mergeCell ref="E2931:F2931"/>
    <mergeCell ref="E2894:F2894"/>
    <mergeCell ref="E2898:N2898"/>
    <mergeCell ref="E2905:N2905"/>
    <mergeCell ref="E2883:F2883"/>
    <mergeCell ref="E2884:F2884"/>
    <mergeCell ref="E2886:H2886"/>
    <mergeCell ref="I2886:M2886"/>
    <mergeCell ref="E2888:F2888"/>
    <mergeCell ref="E2889:F2889"/>
    <mergeCell ref="E2890:F2890"/>
    <mergeCell ref="E2891:F2891"/>
    <mergeCell ref="E2892:F2892"/>
    <mergeCell ref="E2893:F2893"/>
    <mergeCell ref="E2895:F2895"/>
    <mergeCell ref="E2896:F2896"/>
    <mergeCell ref="E2882:F2882"/>
    <mergeCell ref="E2843:N2843"/>
    <mergeCell ref="E2858:N2858"/>
    <mergeCell ref="E2857:N2857"/>
    <mergeCell ref="E2859:N2859"/>
    <mergeCell ref="E2860:N2860"/>
    <mergeCell ref="E2862:F2862"/>
    <mergeCell ref="E2863:F2863"/>
    <mergeCell ref="E2812:N2812"/>
    <mergeCell ref="E2813:N2813"/>
    <mergeCell ref="D2808:N2808"/>
    <mergeCell ref="E2810:N2810"/>
    <mergeCell ref="E2811:N2811"/>
    <mergeCell ref="E2814:N2814"/>
    <mergeCell ref="E2816:N2816"/>
    <mergeCell ref="D2832:N2832"/>
    <mergeCell ref="D2834:H2834"/>
    <mergeCell ref="I2834:N2834"/>
    <mergeCell ref="E2866:N2866"/>
    <mergeCell ref="E2867:N2867"/>
    <mergeCell ref="E2868:N2868"/>
    <mergeCell ref="E2869:N2869"/>
    <mergeCell ref="E2865:N2865"/>
    <mergeCell ref="E2870:N2870"/>
    <mergeCell ref="E2871:N2871"/>
    <mergeCell ref="E2872:K2872"/>
    <mergeCell ref="E2873:N2873"/>
    <mergeCell ref="E2874:H2874"/>
    <mergeCell ref="I2874:M2874"/>
    <mergeCell ref="E2876:F2876"/>
    <mergeCell ref="E2877:F2877"/>
    <mergeCell ref="E2878:F2878"/>
    <mergeCell ref="E2784:N2784"/>
    <mergeCell ref="E2785:N2785"/>
    <mergeCell ref="E2786:N2786"/>
    <mergeCell ref="E2787:N2787"/>
    <mergeCell ref="E2793:N2793"/>
    <mergeCell ref="E2758:N2758"/>
    <mergeCell ref="E2768:N2768"/>
    <mergeCell ref="E2783:I2783"/>
    <mergeCell ref="J2783:N2783"/>
    <mergeCell ref="E2756:N2756"/>
    <mergeCell ref="E2757:N2757"/>
    <mergeCell ref="F2846:N2846"/>
    <mergeCell ref="F2847:N2847"/>
    <mergeCell ref="F2848:N2848"/>
    <mergeCell ref="F2849:N2849"/>
    <mergeCell ref="F2850:N2850"/>
    <mergeCell ref="F2851:N2851"/>
    <mergeCell ref="F2852:N2852"/>
    <mergeCell ref="E2853:F2853"/>
    <mergeCell ref="E2854:F2854"/>
    <mergeCell ref="E2856:N2856"/>
    <mergeCell ref="F2738:N2738"/>
    <mergeCell ref="D2753:N2753"/>
    <mergeCell ref="E2755:I2755"/>
    <mergeCell ref="J2755:N2755"/>
    <mergeCell ref="C2602:N2602"/>
    <mergeCell ref="C21:N21"/>
    <mergeCell ref="C2715:N2715"/>
    <mergeCell ref="E2736:N2736"/>
    <mergeCell ref="F2737:N2737"/>
    <mergeCell ref="E2672:H2672"/>
    <mergeCell ref="E2673:H2673"/>
    <mergeCell ref="E2674:H2674"/>
    <mergeCell ref="E2675:H2675"/>
    <mergeCell ref="E2676:H2676"/>
    <mergeCell ref="E2677:H2677"/>
    <mergeCell ref="E2678:H2678"/>
    <mergeCell ref="E2679:H2679"/>
    <mergeCell ref="E2680:H2680"/>
    <mergeCell ref="E2681:H2681"/>
    <mergeCell ref="E2682:H2682"/>
    <mergeCell ref="E2683:H2683"/>
    <mergeCell ref="E2684:H2684"/>
    <mergeCell ref="E2685:H2685"/>
    <mergeCell ref="E2686:H2686"/>
    <mergeCell ref="F2657:G2657"/>
    <mergeCell ref="H2657:I2657"/>
    <mergeCell ref="J2657:L2657"/>
    <mergeCell ref="M2657:N2657"/>
    <mergeCell ref="E1:F1"/>
    <mergeCell ref="E2:F2"/>
    <mergeCell ref="E3:F3"/>
    <mergeCell ref="E4:F4"/>
    <mergeCell ref="E20:F20"/>
    <mergeCell ref="E22:F22"/>
    <mergeCell ref="H2615:I2615"/>
    <mergeCell ref="H2625:I2625"/>
    <mergeCell ref="F264:N264"/>
    <mergeCell ref="F271:N271"/>
    <mergeCell ref="D2666:N2666"/>
    <mergeCell ref="D2668:D2669"/>
    <mergeCell ref="E2668:H2669"/>
    <mergeCell ref="E2670:H2670"/>
    <mergeCell ref="E2671:H2671"/>
    <mergeCell ref="F2659:G2659"/>
    <mergeCell ref="H2659:I2659"/>
    <mergeCell ref="J2659:L2659"/>
    <mergeCell ref="M2659:N2659"/>
    <mergeCell ref="F2660:G2660"/>
    <mergeCell ref="H2660:I2660"/>
    <mergeCell ref="J2660:L2660"/>
    <mergeCell ref="M2660:N2660"/>
    <mergeCell ref="F2661:G2661"/>
    <mergeCell ref="H2661:I2661"/>
    <mergeCell ref="J2661:L2661"/>
    <mergeCell ref="M2661:N2661"/>
    <mergeCell ref="C2664:N2664"/>
    <mergeCell ref="F2656:G2656"/>
    <mergeCell ref="H2656:I2656"/>
    <mergeCell ref="F2651:G2651"/>
    <mergeCell ref="H2651:I2651"/>
    <mergeCell ref="J2651:L2651"/>
    <mergeCell ref="M2651:N2651"/>
    <mergeCell ref="F2652:G2652"/>
    <mergeCell ref="H2652:I2652"/>
    <mergeCell ref="J2652:L2652"/>
    <mergeCell ref="M2652:N2652"/>
    <mergeCell ref="F2646:H2646"/>
    <mergeCell ref="I2646:J2646"/>
    <mergeCell ref="K2646:L2646"/>
    <mergeCell ref="M2646:N2646"/>
    <mergeCell ref="F2647:H2647"/>
    <mergeCell ref="I2647:J2647"/>
    <mergeCell ref="K2647:L2647"/>
    <mergeCell ref="M2647:N2647"/>
    <mergeCell ref="F2648:H2648"/>
    <mergeCell ref="I2648:J2648"/>
    <mergeCell ref="K2648:L2648"/>
    <mergeCell ref="M2648:N2648"/>
    <mergeCell ref="F2643:H2643"/>
    <mergeCell ref="I2643:J2643"/>
    <mergeCell ref="K2643:L2643"/>
    <mergeCell ref="M2643:N2643"/>
    <mergeCell ref="F2644:H2644"/>
    <mergeCell ref="I2644:J2644"/>
    <mergeCell ref="K2644:L2644"/>
    <mergeCell ref="M2644:N2644"/>
    <mergeCell ref="F2645:H2645"/>
    <mergeCell ref="I2645:J2645"/>
    <mergeCell ref="K2645:L2645"/>
    <mergeCell ref="M2645:N2645"/>
    <mergeCell ref="F2640:H2640"/>
    <mergeCell ref="I2640:J2640"/>
    <mergeCell ref="K2640:L2640"/>
    <mergeCell ref="M2640:N2640"/>
    <mergeCell ref="F2641:H2641"/>
    <mergeCell ref="I2641:J2641"/>
    <mergeCell ref="K2641:L2641"/>
    <mergeCell ref="M2641:N2641"/>
    <mergeCell ref="F2642:H2642"/>
    <mergeCell ref="I2642:J2642"/>
    <mergeCell ref="K2642:L2642"/>
    <mergeCell ref="M2642:N2642"/>
    <mergeCell ref="G2633:I2633"/>
    <mergeCell ref="J2633:N2633"/>
    <mergeCell ref="D2635:N2635"/>
    <mergeCell ref="E2637:N2637"/>
    <mergeCell ref="F2638:H2638"/>
    <mergeCell ref="I2638:J2638"/>
    <mergeCell ref="K2638:L2638"/>
    <mergeCell ref="M2638:N2638"/>
    <mergeCell ref="F2639:H2639"/>
    <mergeCell ref="I2639:J2639"/>
    <mergeCell ref="K2639:L2639"/>
    <mergeCell ref="M2639:N2639"/>
    <mergeCell ref="G2627:I2627"/>
    <mergeCell ref="J2627:N2627"/>
    <mergeCell ref="D2628:N2628"/>
    <mergeCell ref="E2629:N2629"/>
    <mergeCell ref="G2630:I2630"/>
    <mergeCell ref="J2630:N2630"/>
    <mergeCell ref="G2631:I2631"/>
    <mergeCell ref="J2631:N2631"/>
    <mergeCell ref="G2632:I2632"/>
    <mergeCell ref="J2632:N2632"/>
    <mergeCell ref="G2621:I2621"/>
    <mergeCell ref="J2621:N2621"/>
    <mergeCell ref="E2623:N2623"/>
    <mergeCell ref="G2624:I2624"/>
    <mergeCell ref="J2624:N2624"/>
    <mergeCell ref="J2625:N2625"/>
    <mergeCell ref="G2626:I2626"/>
    <mergeCell ref="J2626:N2626"/>
    <mergeCell ref="G2616:I2616"/>
    <mergeCell ref="J2616:N2616"/>
    <mergeCell ref="G2617:I2617"/>
    <mergeCell ref="J2617:N2617"/>
    <mergeCell ref="G2618:I2618"/>
    <mergeCell ref="J2618:N2618"/>
    <mergeCell ref="G2619:I2619"/>
    <mergeCell ref="J2619:N2619"/>
    <mergeCell ref="G2620:I2620"/>
    <mergeCell ref="J2620:N2620"/>
    <mergeCell ref="E2610:N2610"/>
    <mergeCell ref="F2611:I2611"/>
    <mergeCell ref="J2611:N2611"/>
    <mergeCell ref="E2612:N2612"/>
    <mergeCell ref="G2613:I2613"/>
    <mergeCell ref="J2613:N2613"/>
    <mergeCell ref="G2614:I2614"/>
    <mergeCell ref="J2614:N2614"/>
    <mergeCell ref="J2615:N2615"/>
    <mergeCell ref="F37:N37"/>
    <mergeCell ref="F38:N38"/>
    <mergeCell ref="F39:N39"/>
    <mergeCell ref="F40:N40"/>
    <mergeCell ref="D2604:N2604"/>
    <mergeCell ref="E2606:I2606"/>
    <mergeCell ref="J2606:N2606"/>
    <mergeCell ref="E2608:I2608"/>
    <mergeCell ref="J2608:N2608"/>
    <mergeCell ref="D64:N64"/>
    <mergeCell ref="E60:H60"/>
    <mergeCell ref="I60:K60"/>
    <mergeCell ref="L60:N60"/>
    <mergeCell ref="E53:H53"/>
    <mergeCell ref="I53:K53"/>
    <mergeCell ref="F41:N41"/>
    <mergeCell ref="F42:N42"/>
    <mergeCell ref="D49:N49"/>
    <mergeCell ref="E50:H50"/>
    <mergeCell ref="E78:F78"/>
    <mergeCell ref="E79:F79"/>
    <mergeCell ref="E80:F80"/>
    <mergeCell ref="E81:F81"/>
    <mergeCell ref="E70:M70"/>
    <mergeCell ref="D76:N76"/>
    <mergeCell ref="E69:M69"/>
    <mergeCell ref="E66:H66"/>
    <mergeCell ref="K66:L66"/>
    <mergeCell ref="K67:L67"/>
    <mergeCell ref="E116:F116"/>
    <mergeCell ref="E117:F117"/>
    <mergeCell ref="E118:F118"/>
    <mergeCell ref="E82:F82"/>
    <mergeCell ref="E83:F83"/>
    <mergeCell ref="E84:F84"/>
    <mergeCell ref="E85:F85"/>
    <mergeCell ref="E86:F86"/>
    <mergeCell ref="D88:N88"/>
    <mergeCell ref="E101:N101"/>
    <mergeCell ref="F94:N94"/>
    <mergeCell ref="F95:N95"/>
    <mergeCell ref="F96:N96"/>
    <mergeCell ref="F97:N97"/>
    <mergeCell ref="E90:N90"/>
    <mergeCell ref="E91:N91"/>
    <mergeCell ref="F92:N92"/>
    <mergeCell ref="F93:N93"/>
    <mergeCell ref="E112:F112"/>
    <mergeCell ref="E113:F113"/>
    <mergeCell ref="E67:H67"/>
    <mergeCell ref="E72:L72"/>
    <mergeCell ref="E134:F134"/>
    <mergeCell ref="E136:F136"/>
    <mergeCell ref="E137:F137"/>
    <mergeCell ref="E150:F150"/>
    <mergeCell ref="E148:L148"/>
    <mergeCell ref="E119:F119"/>
    <mergeCell ref="E108:F108"/>
    <mergeCell ref="E109:F109"/>
    <mergeCell ref="E110:F110"/>
    <mergeCell ref="E111:F111"/>
    <mergeCell ref="F102:N102"/>
    <mergeCell ref="F103:N103"/>
    <mergeCell ref="E107:F107"/>
    <mergeCell ref="F98:N98"/>
    <mergeCell ref="F99:N99"/>
    <mergeCell ref="F100:N100"/>
    <mergeCell ref="E104:N104"/>
    <mergeCell ref="E105:N105"/>
    <mergeCell ref="E106:F106"/>
    <mergeCell ref="E114:F114"/>
    <mergeCell ref="E115:F115"/>
    <mergeCell ref="E135:F135"/>
    <mergeCell ref="D146:N146"/>
    <mergeCell ref="H201:N201"/>
    <mergeCell ref="E204:F204"/>
    <mergeCell ref="E207:F207"/>
    <mergeCell ref="E208:F208"/>
    <mergeCell ref="E210:H210"/>
    <mergeCell ref="E126:F126"/>
    <mergeCell ref="E127:F127"/>
    <mergeCell ref="E128:F128"/>
    <mergeCell ref="E129:F129"/>
    <mergeCell ref="E130:F130"/>
    <mergeCell ref="E131:F131"/>
    <mergeCell ref="E234:N234"/>
    <mergeCell ref="H213:N213"/>
    <mergeCell ref="E219:F219"/>
    <mergeCell ref="E220:F220"/>
    <mergeCell ref="E222:H222"/>
    <mergeCell ref="D224:N224"/>
    <mergeCell ref="E231:F231"/>
    <mergeCell ref="E227:F227"/>
    <mergeCell ref="E228:F228"/>
    <mergeCell ref="E229:F229"/>
    <mergeCell ref="E230:F230"/>
    <mergeCell ref="E201:G201"/>
    <mergeCell ref="E182:F182"/>
    <mergeCell ref="E183:F183"/>
    <mergeCell ref="E189:F189"/>
    <mergeCell ref="D198:N198"/>
    <mergeCell ref="E200:K200"/>
    <mergeCell ref="L200:N200"/>
    <mergeCell ref="E168:F168"/>
    <mergeCell ref="E170:F170"/>
    <mergeCell ref="E171:F171"/>
    <mergeCell ref="E253:F253"/>
    <mergeCell ref="E254:F254"/>
    <mergeCell ref="E138:F138"/>
    <mergeCell ref="E151:F151"/>
    <mergeCell ref="E152:F152"/>
    <mergeCell ref="E153:F153"/>
    <mergeCell ref="E155:F155"/>
    <mergeCell ref="E156:F156"/>
    <mergeCell ref="E232:F232"/>
    <mergeCell ref="E215:F215"/>
    <mergeCell ref="E216:F216"/>
    <mergeCell ref="E217:F217"/>
    <mergeCell ref="E218:F218"/>
    <mergeCell ref="E213:G213"/>
    <mergeCell ref="E206:F206"/>
    <mergeCell ref="E203:F203"/>
    <mergeCell ref="E205:F205"/>
    <mergeCell ref="E241:N241"/>
    <mergeCell ref="E243:F243"/>
    <mergeCell ref="E177:F177"/>
    <mergeCell ref="E178:F178"/>
    <mergeCell ref="E157:F157"/>
    <mergeCell ref="E158:F158"/>
    <mergeCell ref="E242:F242"/>
    <mergeCell ref="E246:F246"/>
    <mergeCell ref="E247:F247"/>
    <mergeCell ref="E248:F248"/>
    <mergeCell ref="E212:K212"/>
    <mergeCell ref="L212:N212"/>
    <mergeCell ref="E226:F226"/>
    <mergeCell ref="E180:F180"/>
    <mergeCell ref="E181:F181"/>
    <mergeCell ref="E262:F262"/>
    <mergeCell ref="E265:F265"/>
    <mergeCell ref="E266:F266"/>
    <mergeCell ref="E267:F267"/>
    <mergeCell ref="E268:F268"/>
    <mergeCell ref="E256:F256"/>
    <mergeCell ref="D258:N258"/>
    <mergeCell ref="E260:N260"/>
    <mergeCell ref="E304:F304"/>
    <mergeCell ref="E244:F244"/>
    <mergeCell ref="E245:F245"/>
    <mergeCell ref="E236:F236"/>
    <mergeCell ref="E237:F237"/>
    <mergeCell ref="E238:F238"/>
    <mergeCell ref="E239:F239"/>
    <mergeCell ref="E307:N307"/>
    <mergeCell ref="E295:F295"/>
    <mergeCell ref="E299:F299"/>
    <mergeCell ref="E300:F300"/>
    <mergeCell ref="E301:F301"/>
    <mergeCell ref="E293:N293"/>
    <mergeCell ref="E296:F296"/>
    <mergeCell ref="E297:F297"/>
    <mergeCell ref="E298:F298"/>
    <mergeCell ref="E269:F269"/>
    <mergeCell ref="E273:F273"/>
    <mergeCell ref="E274:F274"/>
    <mergeCell ref="E278:N278"/>
    <mergeCell ref="E284:N284"/>
    <mergeCell ref="E285:F285"/>
    <mergeCell ref="E249:F249"/>
    <mergeCell ref="E252:F252"/>
    <mergeCell ref="E340:F340"/>
    <mergeCell ref="E341:F341"/>
    <mergeCell ref="E328:F328"/>
    <mergeCell ref="E330:F330"/>
    <mergeCell ref="E331:F331"/>
    <mergeCell ref="E318:F318"/>
    <mergeCell ref="E321:F321"/>
    <mergeCell ref="E311:F311"/>
    <mergeCell ref="E314:F314"/>
    <mergeCell ref="E302:F302"/>
    <mergeCell ref="E303:F303"/>
    <mergeCell ref="E379:F379"/>
    <mergeCell ref="E325:N325"/>
    <mergeCell ref="E333:N333"/>
    <mergeCell ref="E334:F334"/>
    <mergeCell ref="E336:N336"/>
    <mergeCell ref="E337:F337"/>
    <mergeCell ref="E316:N316"/>
    <mergeCell ref="E317:F317"/>
    <mergeCell ref="E319:F319"/>
    <mergeCell ref="E320:F320"/>
    <mergeCell ref="E322:F322"/>
    <mergeCell ref="E323:F323"/>
    <mergeCell ref="E342:F342"/>
    <mergeCell ref="E343:F343"/>
    <mergeCell ref="E345:F345"/>
    <mergeCell ref="E354:F354"/>
    <mergeCell ref="E356:N356"/>
    <mergeCell ref="I339:N339"/>
    <mergeCell ref="E415:F415"/>
    <mergeCell ref="E417:F417"/>
    <mergeCell ref="E418:F418"/>
    <mergeCell ref="E380:F380"/>
    <mergeCell ref="E383:F383"/>
    <mergeCell ref="E372:F372"/>
    <mergeCell ref="E373:F373"/>
    <mergeCell ref="E374:F374"/>
    <mergeCell ref="E376:F376"/>
    <mergeCell ref="E364:F364"/>
    <mergeCell ref="E358:F358"/>
    <mergeCell ref="D360:N360"/>
    <mergeCell ref="E362:F362"/>
    <mergeCell ref="E363:F363"/>
    <mergeCell ref="E393:F393"/>
    <mergeCell ref="E394:F394"/>
    <mergeCell ref="E395:F395"/>
    <mergeCell ref="E396:F396"/>
    <mergeCell ref="E384:F384"/>
    <mergeCell ref="E385:F385"/>
    <mergeCell ref="E386:F386"/>
    <mergeCell ref="E388:F388"/>
    <mergeCell ref="E389:F389"/>
    <mergeCell ref="E370:F370"/>
    <mergeCell ref="E371:F371"/>
    <mergeCell ref="E375:F375"/>
    <mergeCell ref="D366:N366"/>
    <mergeCell ref="E368:N368"/>
    <mergeCell ref="E369:F369"/>
    <mergeCell ref="E458:F458"/>
    <mergeCell ref="E459:F459"/>
    <mergeCell ref="E447:F447"/>
    <mergeCell ref="E450:F450"/>
    <mergeCell ref="E451:F451"/>
    <mergeCell ref="E449:N449"/>
    <mergeCell ref="E439:F439"/>
    <mergeCell ref="E442:F442"/>
    <mergeCell ref="E445:F445"/>
    <mergeCell ref="E446:F446"/>
    <mergeCell ref="E440:F440"/>
    <mergeCell ref="E441:F441"/>
    <mergeCell ref="E443:F443"/>
    <mergeCell ref="E444:F444"/>
    <mergeCell ref="E406:F406"/>
    <mergeCell ref="E408:N408"/>
    <mergeCell ref="E409:F409"/>
    <mergeCell ref="E410:F410"/>
    <mergeCell ref="E411:F411"/>
    <mergeCell ref="E429:F429"/>
    <mergeCell ref="E431:N431"/>
    <mergeCell ref="E432:F432"/>
    <mergeCell ref="E420:F420"/>
    <mergeCell ref="E423:F423"/>
    <mergeCell ref="E424:F424"/>
    <mergeCell ref="E425:F425"/>
    <mergeCell ref="E422:N422"/>
    <mergeCell ref="E412:F412"/>
    <mergeCell ref="E413:F413"/>
    <mergeCell ref="E416:F416"/>
    <mergeCell ref="E419:F419"/>
    <mergeCell ref="E414:F414"/>
    <mergeCell ref="E639:F639"/>
    <mergeCell ref="E642:F642"/>
    <mergeCell ref="E643:F643"/>
    <mergeCell ref="E645:F645"/>
    <mergeCell ref="E640:F640"/>
    <mergeCell ref="E632:F632"/>
    <mergeCell ref="E633:F633"/>
    <mergeCell ref="E635:F635"/>
    <mergeCell ref="E636:F636"/>
    <mergeCell ref="E620:F620"/>
    <mergeCell ref="E623:F623"/>
    <mergeCell ref="E626:F626"/>
    <mergeCell ref="E631:F631"/>
    <mergeCell ref="E634:F634"/>
    <mergeCell ref="E637:F637"/>
    <mergeCell ref="E612:F612"/>
    <mergeCell ref="E614:F614"/>
    <mergeCell ref="E615:F615"/>
    <mergeCell ref="E617:F617"/>
    <mergeCell ref="E625:F625"/>
    <mergeCell ref="E628:F628"/>
    <mergeCell ref="E629:F629"/>
    <mergeCell ref="E787:F787"/>
    <mergeCell ref="D656:H656"/>
    <mergeCell ref="E647:F647"/>
    <mergeCell ref="E649:F649"/>
    <mergeCell ref="E650:F650"/>
    <mergeCell ref="E652:F652"/>
    <mergeCell ref="E648:F648"/>
    <mergeCell ref="E651:F651"/>
    <mergeCell ref="E963:F963"/>
    <mergeCell ref="E950:F950"/>
    <mergeCell ref="E953:F953"/>
    <mergeCell ref="E942:F942"/>
    <mergeCell ref="E943:F943"/>
    <mergeCell ref="E945:F945"/>
    <mergeCell ref="E946:F946"/>
    <mergeCell ref="E813:F813"/>
    <mergeCell ref="E814:F814"/>
    <mergeCell ref="E816:F816"/>
    <mergeCell ref="E947:F947"/>
    <mergeCell ref="E948:F948"/>
    <mergeCell ref="E951:F951"/>
    <mergeCell ref="E954:F954"/>
    <mergeCell ref="E959:F959"/>
    <mergeCell ref="E962:F962"/>
    <mergeCell ref="D820:H820"/>
    <mergeCell ref="E956:F956"/>
    <mergeCell ref="E957:F957"/>
    <mergeCell ref="E960:F960"/>
    <mergeCell ref="E961:F961"/>
    <mergeCell ref="E973:F973"/>
    <mergeCell ref="E975:F975"/>
    <mergeCell ref="E977:F977"/>
    <mergeCell ref="E978:F978"/>
    <mergeCell ref="E976:F976"/>
    <mergeCell ref="E964:F964"/>
    <mergeCell ref="E967:F967"/>
    <mergeCell ref="E970:F970"/>
    <mergeCell ref="E971:F971"/>
    <mergeCell ref="E965:F965"/>
    <mergeCell ref="E968:F968"/>
    <mergeCell ref="E1123:F1123"/>
    <mergeCell ref="E1126:F1126"/>
    <mergeCell ref="E1129:F1129"/>
    <mergeCell ref="E1114:F1114"/>
    <mergeCell ref="E1117:F1117"/>
    <mergeCell ref="E1120:F1120"/>
    <mergeCell ref="E1121:F1121"/>
    <mergeCell ref="E1118:F1118"/>
    <mergeCell ref="E980:F980"/>
    <mergeCell ref="E1107:F1107"/>
    <mergeCell ref="E1109:F1109"/>
    <mergeCell ref="E1110:F1110"/>
    <mergeCell ref="E1111:F1111"/>
    <mergeCell ref="E1112:F1112"/>
    <mergeCell ref="E1115:F1115"/>
    <mergeCell ref="E979:F979"/>
    <mergeCell ref="D984:H984"/>
    <mergeCell ref="E1135:F1135"/>
    <mergeCell ref="E1137:F1137"/>
    <mergeCell ref="E1132:F1132"/>
    <mergeCell ref="E1124:F1124"/>
    <mergeCell ref="E1125:F1125"/>
    <mergeCell ref="E1127:F1127"/>
    <mergeCell ref="E1128:F1128"/>
    <mergeCell ref="E1282:F1282"/>
    <mergeCell ref="E1287:F1287"/>
    <mergeCell ref="E1278:F1278"/>
    <mergeCell ref="E1274:F1274"/>
    <mergeCell ref="E1275:F1275"/>
    <mergeCell ref="E1276:F1276"/>
    <mergeCell ref="E1279:F1279"/>
    <mergeCell ref="D1148:H1148"/>
    <mergeCell ref="E1139:F1139"/>
    <mergeCell ref="E1141:F1141"/>
    <mergeCell ref="E1142:F1142"/>
    <mergeCell ref="E1144:F1144"/>
    <mergeCell ref="E1140:F1140"/>
    <mergeCell ref="E1143:F1143"/>
    <mergeCell ref="E1455:F1455"/>
    <mergeCell ref="E1442:F1442"/>
    <mergeCell ref="E1445:F1445"/>
    <mergeCell ref="E1434:F1434"/>
    <mergeCell ref="E1435:F1435"/>
    <mergeCell ref="E1437:F1437"/>
    <mergeCell ref="E1438:F1438"/>
    <mergeCell ref="E1305:F1305"/>
    <mergeCell ref="E1306:F1306"/>
    <mergeCell ref="E1308:F1308"/>
    <mergeCell ref="E1465:F1465"/>
    <mergeCell ref="E1467:F1467"/>
    <mergeCell ref="E1469:F1469"/>
    <mergeCell ref="E1470:F1470"/>
    <mergeCell ref="E1468:F1468"/>
    <mergeCell ref="E1456:F1456"/>
    <mergeCell ref="E1459:F1459"/>
    <mergeCell ref="E1462:F1462"/>
    <mergeCell ref="E1463:F1463"/>
    <mergeCell ref="E1457:F1457"/>
    <mergeCell ref="E1460:F1460"/>
    <mergeCell ref="E1432:F1432"/>
    <mergeCell ref="E1439:F1439"/>
    <mergeCell ref="E1440:F1440"/>
    <mergeCell ref="E1443:F1443"/>
    <mergeCell ref="E1446:F1446"/>
    <mergeCell ref="E1451:F1451"/>
    <mergeCell ref="E1454:F1454"/>
    <mergeCell ref="E1448:F1448"/>
    <mergeCell ref="E1449:F1449"/>
    <mergeCell ref="E1452:F1452"/>
    <mergeCell ref="E1453:F1453"/>
    <mergeCell ref="E1615:F1615"/>
    <mergeCell ref="E1618:F1618"/>
    <mergeCell ref="E1621:F1621"/>
    <mergeCell ref="E1606:F1606"/>
    <mergeCell ref="E1609:F1609"/>
    <mergeCell ref="E1612:F1612"/>
    <mergeCell ref="E1613:F1613"/>
    <mergeCell ref="E1610:F1610"/>
    <mergeCell ref="E1472:F1472"/>
    <mergeCell ref="E1623:F1623"/>
    <mergeCell ref="E1626:F1626"/>
    <mergeCell ref="E1627:F1627"/>
    <mergeCell ref="E1629:F1629"/>
    <mergeCell ref="E1624:F1624"/>
    <mergeCell ref="E1616:F1616"/>
    <mergeCell ref="E1617:F1617"/>
    <mergeCell ref="E1619:F1619"/>
    <mergeCell ref="E1620:F1620"/>
    <mergeCell ref="E1599:F1599"/>
    <mergeCell ref="E1601:F1601"/>
    <mergeCell ref="E1602:F1602"/>
    <mergeCell ref="E1603:F1603"/>
    <mergeCell ref="E1604:F1604"/>
    <mergeCell ref="E1607:F1607"/>
    <mergeCell ref="E1774:F1774"/>
    <mergeCell ref="E1779:F1779"/>
    <mergeCell ref="E1770:F1770"/>
    <mergeCell ref="E1766:F1766"/>
    <mergeCell ref="E1767:F1767"/>
    <mergeCell ref="E1768:F1768"/>
    <mergeCell ref="E1771:F1771"/>
    <mergeCell ref="D1640:H1640"/>
    <mergeCell ref="E1631:F1631"/>
    <mergeCell ref="E1633:F1633"/>
    <mergeCell ref="E1634:F1634"/>
    <mergeCell ref="E1636:F1636"/>
    <mergeCell ref="E1632:F1632"/>
    <mergeCell ref="E1635:F1635"/>
    <mergeCell ref="E1947:F1947"/>
    <mergeCell ref="E1934:F1934"/>
    <mergeCell ref="E1937:F1937"/>
    <mergeCell ref="E1926:F1926"/>
    <mergeCell ref="E1927:F1927"/>
    <mergeCell ref="E1929:F1929"/>
    <mergeCell ref="E1930:F1930"/>
    <mergeCell ref="E1797:F1797"/>
    <mergeCell ref="E1798:F1798"/>
    <mergeCell ref="E1800:F1800"/>
    <mergeCell ref="E1931:F1931"/>
    <mergeCell ref="E1932:F1932"/>
    <mergeCell ref="E1935:F1935"/>
    <mergeCell ref="E1938:F1938"/>
    <mergeCell ref="E1943:F1943"/>
    <mergeCell ref="E1946:F1946"/>
    <mergeCell ref="D1804:H1804"/>
    <mergeCell ref="E1940:F1940"/>
    <mergeCell ref="E2121:F2121"/>
    <mergeCell ref="E2116:F2116"/>
    <mergeCell ref="E1957:F1957"/>
    <mergeCell ref="E1959:F1959"/>
    <mergeCell ref="E1961:F1961"/>
    <mergeCell ref="E1962:F1962"/>
    <mergeCell ref="E1960:F1960"/>
    <mergeCell ref="E1948:F1948"/>
    <mergeCell ref="E1951:F1951"/>
    <mergeCell ref="E1954:F1954"/>
    <mergeCell ref="E1955:F1955"/>
    <mergeCell ref="E1949:F1949"/>
    <mergeCell ref="E1952:F1952"/>
    <mergeCell ref="E2108:F2108"/>
    <mergeCell ref="E2109:F2109"/>
    <mergeCell ref="E2111:F2111"/>
    <mergeCell ref="E2112:F2112"/>
    <mergeCell ref="E2107:F2107"/>
    <mergeCell ref="E2110:F2110"/>
    <mergeCell ref="D2597:I2597"/>
    <mergeCell ref="D2598:I2598"/>
    <mergeCell ref="D2599:I2599"/>
    <mergeCell ref="D2591:I2591"/>
    <mergeCell ref="D2592:I2592"/>
    <mergeCell ref="D2593:I2593"/>
    <mergeCell ref="D2594:I2594"/>
    <mergeCell ref="D2588:I2588"/>
    <mergeCell ref="D2589:I2589"/>
    <mergeCell ref="D2590:I2590"/>
    <mergeCell ref="M2442:N2442"/>
    <mergeCell ref="D2479:H2479"/>
    <mergeCell ref="I2479:L2479"/>
    <mergeCell ref="M2479:N2479"/>
    <mergeCell ref="E2534:N2534"/>
    <mergeCell ref="D2538:I2538"/>
    <mergeCell ref="D2539:I2539"/>
    <mergeCell ref="D2540:I2540"/>
    <mergeCell ref="D2541:I2541"/>
    <mergeCell ref="D2542:I2542"/>
    <mergeCell ref="D2524:N2524"/>
    <mergeCell ref="E2533:I2533"/>
    <mergeCell ref="D2582:I2582"/>
    <mergeCell ref="D2583:I2583"/>
    <mergeCell ref="D2584:I2584"/>
    <mergeCell ref="D2585:I2585"/>
    <mergeCell ref="D2586:I2586"/>
    <mergeCell ref="D2587:I2587"/>
    <mergeCell ref="D2545:I2545"/>
    <mergeCell ref="D2546:I2546"/>
    <mergeCell ref="D2547:I2547"/>
    <mergeCell ref="E2562:I2562"/>
    <mergeCell ref="D25:N25"/>
    <mergeCell ref="H27:I27"/>
    <mergeCell ref="H28:I28"/>
    <mergeCell ref="M28:N28"/>
    <mergeCell ref="H29:L29"/>
    <mergeCell ref="H30:L30"/>
    <mergeCell ref="H31:L31"/>
    <mergeCell ref="D2595:I2595"/>
    <mergeCell ref="D2596:I2596"/>
    <mergeCell ref="E2576:I2576"/>
    <mergeCell ref="E2573:N2573"/>
    <mergeCell ref="E2574:N2574"/>
    <mergeCell ref="E2579:N2579"/>
    <mergeCell ref="D2581:I2581"/>
    <mergeCell ref="D2554:I2554"/>
    <mergeCell ref="D2555:I2555"/>
    <mergeCell ref="D2556:I2556"/>
    <mergeCell ref="D2548:I2548"/>
    <mergeCell ref="D2549:I2549"/>
    <mergeCell ref="D2550:I2550"/>
    <mergeCell ref="D2551:I2551"/>
    <mergeCell ref="D2552:I2552"/>
    <mergeCell ref="D2553:I2553"/>
    <mergeCell ref="D2543:I2543"/>
    <mergeCell ref="L53:N53"/>
    <mergeCell ref="E54:H54"/>
    <mergeCell ref="I54:K54"/>
    <mergeCell ref="L54:N54"/>
    <mergeCell ref="E55:H55"/>
    <mergeCell ref="I55:K55"/>
    <mergeCell ref="L55:N55"/>
    <mergeCell ref="I50:K50"/>
    <mergeCell ref="L50:N50"/>
    <mergeCell ref="E51:H51"/>
    <mergeCell ref="I51:K51"/>
    <mergeCell ref="L51:N51"/>
    <mergeCell ref="E52:H52"/>
    <mergeCell ref="I52:K52"/>
    <mergeCell ref="L52:N52"/>
    <mergeCell ref="E58:H58"/>
    <mergeCell ref="I58:K58"/>
    <mergeCell ref="L58:N58"/>
    <mergeCell ref="E59:H59"/>
    <mergeCell ref="I59:K59"/>
    <mergeCell ref="L59:N59"/>
    <mergeCell ref="E56:H56"/>
    <mergeCell ref="I56:K56"/>
    <mergeCell ref="L56:N56"/>
    <mergeCell ref="E57:H57"/>
    <mergeCell ref="I57:K57"/>
    <mergeCell ref="L57:N57"/>
    <mergeCell ref="E191:F191"/>
    <mergeCell ref="E192:F192"/>
    <mergeCell ref="E193:F193"/>
    <mergeCell ref="E195:F195"/>
    <mergeCell ref="E196:F196"/>
    <mergeCell ref="E185:F185"/>
    <mergeCell ref="E186:F186"/>
    <mergeCell ref="E187:F187"/>
    <mergeCell ref="E188:F188"/>
    <mergeCell ref="E176:F176"/>
    <mergeCell ref="E175:F175"/>
    <mergeCell ref="E167:F167"/>
    <mergeCell ref="E120:F120"/>
    <mergeCell ref="E121:F121"/>
    <mergeCell ref="E122:F122"/>
    <mergeCell ref="E123:F123"/>
    <mergeCell ref="E124:F124"/>
    <mergeCell ref="E173:L173"/>
    <mergeCell ref="E160:F160"/>
    <mergeCell ref="E161:F161"/>
    <mergeCell ref="E162:F162"/>
    <mergeCell ref="E163:F163"/>
    <mergeCell ref="E166:F166"/>
    <mergeCell ref="E164:F164"/>
    <mergeCell ref="E139:F139"/>
    <mergeCell ref="E140:F140"/>
    <mergeCell ref="E141:F141"/>
    <mergeCell ref="E142:F142"/>
    <mergeCell ref="E143:F143"/>
    <mergeCell ref="E144:F144"/>
    <mergeCell ref="E132:F132"/>
    <mergeCell ref="E133:F133"/>
    <mergeCell ref="E426:F426"/>
    <mergeCell ref="E427:F427"/>
    <mergeCell ref="E428:F428"/>
    <mergeCell ref="E289:F289"/>
    <mergeCell ref="E287:N287"/>
    <mergeCell ref="E290:F290"/>
    <mergeCell ref="E291:F291"/>
    <mergeCell ref="E279:F279"/>
    <mergeCell ref="E281:N281"/>
    <mergeCell ref="E282:F282"/>
    <mergeCell ref="E272:F272"/>
    <mergeCell ref="E275:F275"/>
    <mergeCell ref="E276:F276"/>
    <mergeCell ref="E255:F255"/>
    <mergeCell ref="E250:F250"/>
    <mergeCell ref="E251:F251"/>
    <mergeCell ref="E346:F346"/>
    <mergeCell ref="E348:N348"/>
    <mergeCell ref="E353:N353"/>
    <mergeCell ref="E351:F351"/>
    <mergeCell ref="E344:F344"/>
    <mergeCell ref="E350:F350"/>
    <mergeCell ref="E310:N310"/>
    <mergeCell ref="E313:N313"/>
    <mergeCell ref="E305:F305"/>
    <mergeCell ref="E308:F308"/>
    <mergeCell ref="E405:N405"/>
    <mergeCell ref="E399:F399"/>
    <mergeCell ref="E402:F402"/>
    <mergeCell ref="E403:F403"/>
    <mergeCell ref="E400:F400"/>
    <mergeCell ref="E401:F401"/>
    <mergeCell ref="F484:N484"/>
    <mergeCell ref="D485:E485"/>
    <mergeCell ref="F485:N485"/>
    <mergeCell ref="D472:E472"/>
    <mergeCell ref="F472:N472"/>
    <mergeCell ref="D473:E473"/>
    <mergeCell ref="F473:N473"/>
    <mergeCell ref="D474:E474"/>
    <mergeCell ref="F474:N474"/>
    <mergeCell ref="E377:F377"/>
    <mergeCell ref="E378:F378"/>
    <mergeCell ref="E382:N382"/>
    <mergeCell ref="E391:N391"/>
    <mergeCell ref="E392:F392"/>
    <mergeCell ref="E398:N398"/>
    <mergeCell ref="D470:E470"/>
    <mergeCell ref="F470:N470"/>
    <mergeCell ref="D471:E471"/>
    <mergeCell ref="F471:N471"/>
    <mergeCell ref="E460:F460"/>
    <mergeCell ref="E461:F461"/>
    <mergeCell ref="E462:F462"/>
    <mergeCell ref="E463:F463"/>
    <mergeCell ref="D467:N467"/>
    <mergeCell ref="D469:N469"/>
    <mergeCell ref="D453:N453"/>
    <mergeCell ref="E455:L455"/>
    <mergeCell ref="E435:F435"/>
    <mergeCell ref="E436:F436"/>
    <mergeCell ref="E437:F437"/>
    <mergeCell ref="E438:F438"/>
    <mergeCell ref="E434:N434"/>
    <mergeCell ref="D492:H492"/>
    <mergeCell ref="I492:N492"/>
    <mergeCell ref="D475:E475"/>
    <mergeCell ref="F475:N475"/>
    <mergeCell ref="D476:E476"/>
    <mergeCell ref="F476:N476"/>
    <mergeCell ref="D477:E477"/>
    <mergeCell ref="F477:N477"/>
    <mergeCell ref="D480:E480"/>
    <mergeCell ref="F480:N480"/>
    <mergeCell ref="D481:E481"/>
    <mergeCell ref="F481:N481"/>
    <mergeCell ref="D482:E482"/>
    <mergeCell ref="F482:N482"/>
    <mergeCell ref="E618:F618"/>
    <mergeCell ref="E619:F619"/>
    <mergeCell ref="E622:F622"/>
    <mergeCell ref="M494:N494"/>
    <mergeCell ref="D478:E478"/>
    <mergeCell ref="F478:N478"/>
    <mergeCell ref="D479:E479"/>
    <mergeCell ref="F479:N479"/>
    <mergeCell ref="D490:N490"/>
    <mergeCell ref="D486:E486"/>
    <mergeCell ref="F486:N486"/>
    <mergeCell ref="D487:E487"/>
    <mergeCell ref="F487:N487"/>
    <mergeCell ref="D488:E488"/>
    <mergeCell ref="F488:N488"/>
    <mergeCell ref="D483:E483"/>
    <mergeCell ref="F483:N483"/>
    <mergeCell ref="D484:E484"/>
    <mergeCell ref="I820:N820"/>
    <mergeCell ref="M822:N822"/>
    <mergeCell ref="E940:F940"/>
    <mergeCell ref="I656:N656"/>
    <mergeCell ref="M658:N658"/>
    <mergeCell ref="E776:F776"/>
    <mergeCell ref="E778:F778"/>
    <mergeCell ref="E779:F779"/>
    <mergeCell ref="E781:F781"/>
    <mergeCell ref="E806:F806"/>
    <mergeCell ref="E807:F807"/>
    <mergeCell ref="E809:F809"/>
    <mergeCell ref="E811:F811"/>
    <mergeCell ref="E797:F797"/>
    <mergeCell ref="E799:F799"/>
    <mergeCell ref="E800:F800"/>
    <mergeCell ref="E803:F803"/>
    <mergeCell ref="E798:F798"/>
    <mergeCell ref="E801:F801"/>
    <mergeCell ref="E804:F804"/>
    <mergeCell ref="E789:F789"/>
    <mergeCell ref="E792:F792"/>
    <mergeCell ref="E793:F793"/>
    <mergeCell ref="E796:F796"/>
    <mergeCell ref="E812:F812"/>
    <mergeCell ref="E815:F815"/>
    <mergeCell ref="E790:F790"/>
    <mergeCell ref="E795:F795"/>
    <mergeCell ref="E786:F786"/>
    <mergeCell ref="E782:F782"/>
    <mergeCell ref="E783:F783"/>
    <mergeCell ref="E784:F784"/>
    <mergeCell ref="I984:N984"/>
    <mergeCell ref="M986:N986"/>
    <mergeCell ref="E1104:F1104"/>
    <mergeCell ref="E1106:F1106"/>
    <mergeCell ref="I1312:N1312"/>
    <mergeCell ref="M1314:N1314"/>
    <mergeCell ref="I1148:N1148"/>
    <mergeCell ref="M1150:N1150"/>
    <mergeCell ref="E1268:F1268"/>
    <mergeCell ref="E1270:F1270"/>
    <mergeCell ref="E1271:F1271"/>
    <mergeCell ref="E1273:F1273"/>
    <mergeCell ref="E1298:F1298"/>
    <mergeCell ref="E1299:F1299"/>
    <mergeCell ref="E1301:F1301"/>
    <mergeCell ref="E1303:F1303"/>
    <mergeCell ref="E1289:F1289"/>
    <mergeCell ref="E1291:F1291"/>
    <mergeCell ref="E1292:F1292"/>
    <mergeCell ref="E1295:F1295"/>
    <mergeCell ref="E1290:F1290"/>
    <mergeCell ref="E1293:F1293"/>
    <mergeCell ref="E1296:F1296"/>
    <mergeCell ref="E1281:F1281"/>
    <mergeCell ref="E1284:F1284"/>
    <mergeCell ref="E1285:F1285"/>
    <mergeCell ref="E1288:F1288"/>
    <mergeCell ref="E1304:F1304"/>
    <mergeCell ref="E1307:F1307"/>
    <mergeCell ref="D1312:H1312"/>
    <mergeCell ref="E1131:F1131"/>
    <mergeCell ref="E1134:F1134"/>
    <mergeCell ref="E1471:F1471"/>
    <mergeCell ref="D1476:H1476"/>
    <mergeCell ref="I1476:N1476"/>
    <mergeCell ref="M1478:N1478"/>
    <mergeCell ref="E1596:F1596"/>
    <mergeCell ref="E1598:F1598"/>
    <mergeCell ref="I1804:N1804"/>
    <mergeCell ref="M1806:N1806"/>
    <mergeCell ref="E1924:F1924"/>
    <mergeCell ref="I1640:N1640"/>
    <mergeCell ref="M1642:N1642"/>
    <mergeCell ref="E1760:F1760"/>
    <mergeCell ref="E1762:F1762"/>
    <mergeCell ref="E1763:F1763"/>
    <mergeCell ref="E1765:F1765"/>
    <mergeCell ref="E1790:F1790"/>
    <mergeCell ref="E1791:F1791"/>
    <mergeCell ref="E1793:F1793"/>
    <mergeCell ref="E1795:F1795"/>
    <mergeCell ref="E1781:F1781"/>
    <mergeCell ref="E1783:F1783"/>
    <mergeCell ref="E1784:F1784"/>
    <mergeCell ref="E1787:F1787"/>
    <mergeCell ref="E1782:F1782"/>
    <mergeCell ref="E1785:F1785"/>
    <mergeCell ref="E1788:F1788"/>
    <mergeCell ref="E1773:F1773"/>
    <mergeCell ref="E1776:F1776"/>
    <mergeCell ref="E1777:F1777"/>
    <mergeCell ref="E1780:F1780"/>
    <mergeCell ref="E1796:F1796"/>
    <mergeCell ref="E1799:F1799"/>
    <mergeCell ref="E1941:F1941"/>
    <mergeCell ref="E1944:F1944"/>
    <mergeCell ref="E1945:F1945"/>
    <mergeCell ref="E2091:F2091"/>
    <mergeCell ref="E2093:F2093"/>
    <mergeCell ref="E2094:F2094"/>
    <mergeCell ref="E2095:F2095"/>
    <mergeCell ref="E2096:F2096"/>
    <mergeCell ref="E2099:F2099"/>
    <mergeCell ref="E1963:F1963"/>
    <mergeCell ref="D1968:H1968"/>
    <mergeCell ref="I1968:N1968"/>
    <mergeCell ref="M1970:N1970"/>
    <mergeCell ref="E2088:F2088"/>
    <mergeCell ref="E2090:F2090"/>
    <mergeCell ref="E1964:F1964"/>
    <mergeCell ref="E2187:F2187"/>
    <mergeCell ref="E2113:F2113"/>
    <mergeCell ref="E2098:F2098"/>
    <mergeCell ref="E2101:F2101"/>
    <mergeCell ref="E2104:F2104"/>
    <mergeCell ref="E2105:F2105"/>
    <mergeCell ref="E2102:F2102"/>
    <mergeCell ref="E2123:F2123"/>
    <mergeCell ref="E2125:F2125"/>
    <mergeCell ref="E2126:F2126"/>
    <mergeCell ref="E2128:F2128"/>
    <mergeCell ref="E2124:F2124"/>
    <mergeCell ref="E2127:F2127"/>
    <mergeCell ref="E2115:F2115"/>
    <mergeCell ref="E2118:F2118"/>
    <mergeCell ref="E2119:F2119"/>
    <mergeCell ref="E2189:F2189"/>
    <mergeCell ref="E2194:F2194"/>
    <mergeCell ref="E2196:F2196"/>
    <mergeCell ref="D2200:H2200"/>
    <mergeCell ref="I2200:L2200"/>
    <mergeCell ref="I2133:L2133"/>
    <mergeCell ref="M2133:N2133"/>
    <mergeCell ref="M2135:N2135"/>
    <mergeCell ref="E2176:F2176"/>
    <mergeCell ref="E2178:F2178"/>
    <mergeCell ref="E2180:F2180"/>
    <mergeCell ref="E2188:F2188"/>
    <mergeCell ref="E2190:F2190"/>
    <mergeCell ref="E2191:F2191"/>
    <mergeCell ref="E2192:F2192"/>
    <mergeCell ref="E2193:F2193"/>
    <mergeCell ref="E2195:F2195"/>
    <mergeCell ref="E2181:F2181"/>
    <mergeCell ref="E2182:F2182"/>
    <mergeCell ref="E2183:F2183"/>
    <mergeCell ref="E2185:F2185"/>
    <mergeCell ref="D2133:H2133"/>
    <mergeCell ref="E2263:F2263"/>
    <mergeCell ref="D2267:H2267"/>
    <mergeCell ref="I2267:L2267"/>
    <mergeCell ref="M2267:N2267"/>
    <mergeCell ref="M2200:N2200"/>
    <mergeCell ref="M2202:N2202"/>
    <mergeCell ref="E2243:F2243"/>
    <mergeCell ref="E2245:F2245"/>
    <mergeCell ref="E2247:F2247"/>
    <mergeCell ref="E2248:F2248"/>
    <mergeCell ref="E2259:F2259"/>
    <mergeCell ref="E2260:F2260"/>
    <mergeCell ref="E2262:F2262"/>
    <mergeCell ref="E2255:F2255"/>
    <mergeCell ref="E2257:F2257"/>
    <mergeCell ref="E2258:F2258"/>
    <mergeCell ref="E2249:F2249"/>
    <mergeCell ref="E2250:F2250"/>
    <mergeCell ref="E2252:F2252"/>
    <mergeCell ref="E2254:F2254"/>
    <mergeCell ref="E2566:I2566"/>
    <mergeCell ref="E2570:I2570"/>
    <mergeCell ref="D2544:I2544"/>
    <mergeCell ref="E2313:F2313"/>
    <mergeCell ref="E2315:F2315"/>
    <mergeCell ref="E2320:F2320"/>
    <mergeCell ref="E2322:F2322"/>
    <mergeCell ref="D2326:H2326"/>
    <mergeCell ref="I2326:L2326"/>
    <mergeCell ref="D2440:H2440"/>
    <mergeCell ref="I2440:L2440"/>
    <mergeCell ref="D2383:H2383"/>
    <mergeCell ref="I2383:L2383"/>
    <mergeCell ref="E2519:N2519"/>
    <mergeCell ref="F2520:N2520"/>
    <mergeCell ref="F2521:N2521"/>
    <mergeCell ref="F2522:N2522"/>
    <mergeCell ref="M2481:N2481"/>
    <mergeCell ref="E2314:F2314"/>
    <mergeCell ref="E2316:F2316"/>
    <mergeCell ref="E2317:F2317"/>
    <mergeCell ref="E2318:F2318"/>
    <mergeCell ref="E2319:F2319"/>
    <mergeCell ref="E2321:F2321"/>
    <mergeCell ref="F13:M13"/>
    <mergeCell ref="F14:M14"/>
    <mergeCell ref="F15:M15"/>
    <mergeCell ref="F16:M16"/>
    <mergeCell ref="E5:F5"/>
    <mergeCell ref="E7:N7"/>
    <mergeCell ref="H8:K8"/>
    <mergeCell ref="F18:M18"/>
    <mergeCell ref="F17:L17"/>
    <mergeCell ref="F9:M9"/>
    <mergeCell ref="F10:M10"/>
    <mergeCell ref="F11:M11"/>
    <mergeCell ref="F12:M12"/>
    <mergeCell ref="D2526:N2526"/>
    <mergeCell ref="E2527:N2527"/>
    <mergeCell ref="E2528:N2528"/>
    <mergeCell ref="E2532:I2532"/>
    <mergeCell ref="M2269:N2269"/>
    <mergeCell ref="E2302:F2302"/>
    <mergeCell ref="E2304:F2304"/>
    <mergeCell ref="E2306:F2306"/>
    <mergeCell ref="E2307:F2307"/>
    <mergeCell ref="E2308:F2308"/>
    <mergeCell ref="E2309:F2309"/>
    <mergeCell ref="E2311:F2311"/>
    <mergeCell ref="M2440:N2440"/>
    <mergeCell ref="M2326:N2326"/>
    <mergeCell ref="M2328:N2328"/>
    <mergeCell ref="M2383:N2383"/>
    <mergeCell ref="M2385:N2385"/>
    <mergeCell ref="E2256:F2256"/>
    <mergeCell ref="E2261:F2261"/>
  </mergeCells>
  <hyperlinks>
    <hyperlink ref="K2:L2" location="A_InstallationData!A5" display="Next sheet" xr:uid="{E0CCCD57-E8FE-431D-9C4B-C88FBA5A3E04}"/>
    <hyperlink ref="M2:N2" location="K_Summary!B5" display="Summary" xr:uid="{67426B8F-FCEE-4055-A31A-DC837BAD2463}"/>
    <hyperlink ref="I2:J2" location="'Confidentiality Statement'!B5" display="Previous sheet" xr:uid="{65EB0DB3-59FD-4839-834E-C472AFC3B312}"/>
    <hyperlink ref="G2:H2" location="a_Contents!B5" display="Table of contents" xr:uid="{37A7B6BC-7E18-48F1-8C3C-2F1749D551CA}"/>
    <hyperlink ref="E3:F3" location="c_ALR2025!B5" display="Top of sheet" xr:uid="{3DC6C2E6-D7D7-4CA8-8EC8-B3E465E44338}"/>
    <hyperlink ref="E4:F4" location="c_ALR2025!B7389" display="End of sheet" xr:uid="{EB518345-EBC3-451A-A085-D2EA59A5D9E9}"/>
    <hyperlink ref="G3:H3" location="c_ALR2025!D8" display="Installation data" xr:uid="{51F1D5CC-9B25-4F9E-9888-7AD082049FA6}"/>
    <hyperlink ref="M3:N3" location="c_ALR2025!D450" display="Sub-installation Data" xr:uid="{2C9B5D5D-8167-422A-8AFE-E0A52A57301D}"/>
    <hyperlink ref="I3:J3" location="c_ALR2025!D47" display="Baseline Period &amp; Eligibility" xr:uid="{0F0B4676-54F6-4820-845E-FFD803C7C274}"/>
    <hyperlink ref="K3:L3" location="c_ALR2025!D59" display="Emissions &amp; Energy Flows" xr:uid="{C03AB4C8-5E03-4913-9796-497FE9C47A2A}"/>
    <hyperlink ref="G4:H4" location="c_ALR2025!D2502" display="Preliminary allocation" xr:uid="{B5656D29-D83C-4380-A74F-EC00F4BD7091}"/>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tabColor indexed="11"/>
  </sheetPr>
  <dimension ref="A1:AP452"/>
  <sheetViews>
    <sheetView showGridLines="0" topLeftCell="B1" zoomScaleNormal="100" zoomScaleSheetLayoutView="25" workbookViewId="0">
      <pane ySplit="4" topLeftCell="A5" activePane="bottomLeft" state="frozen"/>
      <selection activeCell="B2" sqref="B2"/>
      <selection pane="bottomLeft" activeCell="F17" sqref="F17:N17"/>
    </sheetView>
  </sheetViews>
  <sheetFormatPr defaultColWidth="0" defaultRowHeight="12.75" zeroHeight="1"/>
  <cols>
    <col min="1" max="1" width="5.28515625" style="1116" hidden="1" customWidth="1"/>
    <col min="2" max="2" width="2.7109375" style="1119" customWidth="1"/>
    <col min="3" max="3" width="5.7109375" style="1119" customWidth="1"/>
    <col min="4" max="4" width="4.7109375" style="1119" customWidth="1"/>
    <col min="5" max="5" width="30.7109375" style="1119" customWidth="1"/>
    <col min="6" max="14" width="13.7109375" style="1119" customWidth="1"/>
    <col min="15" max="15" width="4.7109375" style="1119" customWidth="1"/>
    <col min="16" max="16" width="25.7109375" style="1116" customWidth="1"/>
    <col min="17" max="17" width="12.7109375" style="1118" hidden="1" customWidth="1"/>
    <col min="18" max="25" width="11.42578125" style="1118" hidden="1" customWidth="1"/>
    <col min="26" max="26" width="9.140625" style="1119" hidden="1" customWidth="1"/>
    <col min="27" max="27" width="9.140625" hidden="1" customWidth="1"/>
    <col min="28" max="28" width="9.140625" style="1119" hidden="1" customWidth="1"/>
    <col min="29" max="29" width="9.140625" hidden="1" customWidth="1"/>
    <col min="30" max="41" width="9.140625" style="1119" hidden="1" customWidth="1"/>
    <col min="42" max="42" width="37" style="1121" hidden="1" customWidth="1"/>
    <col min="43" max="16384" width="9.140625" style="1119" hidden="1"/>
  </cols>
  <sheetData>
    <row r="1" spans="1:42" s="1116" customFormat="1" ht="13.5" hidden="1" thickBot="1"/>
    <row r="2" spans="1:42" ht="13.9" customHeight="1" thickBot="1">
      <c r="B2" s="2348" t="s">
        <v>580</v>
      </c>
      <c r="C2" s="2443"/>
      <c r="D2" s="2444"/>
      <c r="E2" s="2357" t="s">
        <v>572</v>
      </c>
      <c r="F2" s="2358"/>
      <c r="G2" s="2360" t="s">
        <v>573</v>
      </c>
      <c r="H2" s="2451"/>
      <c r="I2" s="2451" t="s">
        <v>578</v>
      </c>
      <c r="J2" s="2451"/>
      <c r="K2" s="2451" t="s">
        <v>574</v>
      </c>
      <c r="L2" s="2451"/>
      <c r="M2" s="2451" t="s">
        <v>575</v>
      </c>
      <c r="N2" s="2451"/>
      <c r="O2" s="481"/>
      <c r="P2" s="2940" t="s">
        <v>1987</v>
      </c>
      <c r="Q2" s="1117"/>
      <c r="AP2" s="2815" t="s">
        <v>2268</v>
      </c>
    </row>
    <row r="3" spans="1:42" ht="13.5" thickBot="1">
      <c r="B3" s="2445"/>
      <c r="C3" s="2446"/>
      <c r="D3" s="2447"/>
      <c r="E3" s="2451" t="s">
        <v>576</v>
      </c>
      <c r="F3" s="2454"/>
      <c r="G3" s="2455" t="s">
        <v>1887</v>
      </c>
      <c r="H3" s="2456"/>
      <c r="I3" s="2456" t="s">
        <v>2059</v>
      </c>
      <c r="J3" s="2456"/>
      <c r="K3" s="2456" t="s">
        <v>588</v>
      </c>
      <c r="L3" s="2456"/>
      <c r="M3" s="2456" t="s">
        <v>589</v>
      </c>
      <c r="N3" s="2456"/>
      <c r="O3" s="481"/>
      <c r="P3" s="2941"/>
      <c r="Q3" s="1117"/>
      <c r="AP3" s="2816"/>
    </row>
    <row r="4" spans="1:42" ht="13.5" customHeight="1" thickBot="1">
      <c r="B4" s="2448"/>
      <c r="C4" s="2449"/>
      <c r="D4" s="2450"/>
      <c r="E4" s="2451" t="s">
        <v>577</v>
      </c>
      <c r="F4" s="2451"/>
      <c r="G4" s="2452" t="s">
        <v>590</v>
      </c>
      <c r="H4" s="2453"/>
      <c r="I4" s="2453" t="s">
        <v>592</v>
      </c>
      <c r="J4" s="2453"/>
      <c r="K4" s="2453" t="s">
        <v>591</v>
      </c>
      <c r="L4" s="2453"/>
      <c r="M4" s="2453" t="s">
        <v>594</v>
      </c>
      <c r="N4" s="2453"/>
      <c r="O4" s="481"/>
      <c r="P4" s="2942"/>
      <c r="Q4" s="1117"/>
      <c r="AP4" s="2816"/>
    </row>
    <row r="5" spans="1:42">
      <c r="B5" s="467"/>
      <c r="C5" s="1120"/>
      <c r="D5" s="467"/>
      <c r="E5" s="467"/>
      <c r="F5" s="466"/>
      <c r="G5" s="466"/>
      <c r="H5" s="466"/>
      <c r="I5" s="467"/>
      <c r="J5" s="467"/>
      <c r="K5" s="467"/>
      <c r="L5" s="467"/>
      <c r="M5" s="481"/>
      <c r="N5" s="481"/>
      <c r="O5" s="481"/>
      <c r="P5" s="485"/>
      <c r="Q5" s="1117"/>
    </row>
    <row r="6" spans="1:42" ht="23.25" customHeight="1">
      <c r="B6" s="467"/>
      <c r="C6" s="478" t="s">
        <v>674</v>
      </c>
      <c r="D6" s="2424" t="s">
        <v>675</v>
      </c>
      <c r="E6" s="2400"/>
      <c r="F6" s="2400"/>
      <c r="G6" s="2400"/>
      <c r="H6" s="2400"/>
      <c r="I6" s="2400"/>
      <c r="J6" s="2400"/>
      <c r="K6" s="2400"/>
      <c r="L6" s="2400"/>
      <c r="M6" s="2400"/>
      <c r="N6" s="2400"/>
      <c r="O6" s="481"/>
      <c r="P6" s="485"/>
      <c r="Q6" s="1122" t="s">
        <v>228</v>
      </c>
      <c r="R6" s="1122" t="s">
        <v>228</v>
      </c>
      <c r="S6" s="1122" t="s">
        <v>228</v>
      </c>
      <c r="T6" s="1122" t="s">
        <v>228</v>
      </c>
      <c r="U6" s="1122" t="s">
        <v>228</v>
      </c>
      <c r="V6" s="1122" t="s">
        <v>228</v>
      </c>
      <c r="W6" s="1122" t="s">
        <v>228</v>
      </c>
      <c r="X6" s="1122" t="s">
        <v>228</v>
      </c>
      <c r="Y6" s="1122" t="s">
        <v>228</v>
      </c>
    </row>
    <row r="7" spans="1:42" ht="12.75" customHeight="1">
      <c r="B7" s="467"/>
      <c r="C7" s="467"/>
      <c r="D7" s="467"/>
      <c r="E7" s="467"/>
      <c r="F7" s="467"/>
      <c r="G7" s="467"/>
      <c r="H7" s="467"/>
      <c r="I7" s="467"/>
      <c r="J7" s="467"/>
      <c r="K7" s="467"/>
      <c r="L7" s="467"/>
      <c r="M7" s="467"/>
      <c r="N7" s="467"/>
      <c r="O7" s="481"/>
      <c r="P7" s="485"/>
      <c r="Q7" s="1123" t="s">
        <v>720</v>
      </c>
      <c r="R7" s="1123" t="s">
        <v>720</v>
      </c>
      <c r="S7" s="1123" t="s">
        <v>720</v>
      </c>
      <c r="T7" s="1123" t="s">
        <v>720</v>
      </c>
      <c r="U7" s="1123" t="s">
        <v>720</v>
      </c>
      <c r="V7" s="1123" t="s">
        <v>720</v>
      </c>
      <c r="W7" s="1123" t="s">
        <v>720</v>
      </c>
      <c r="X7" s="1123" t="s">
        <v>720</v>
      </c>
      <c r="Y7" s="1123" t="s">
        <v>720</v>
      </c>
    </row>
    <row r="8" spans="1:42" ht="5.0999999999999996" customHeight="1">
      <c r="B8" s="467"/>
      <c r="C8" s="467"/>
      <c r="D8" s="467"/>
      <c r="E8" s="467"/>
      <c r="F8" s="467"/>
      <c r="G8" s="467"/>
      <c r="H8" s="467"/>
      <c r="I8" s="467"/>
      <c r="J8" s="467"/>
      <c r="K8" s="467"/>
      <c r="L8" s="467"/>
      <c r="M8" s="481"/>
      <c r="N8" s="481"/>
      <c r="O8" s="481"/>
      <c r="P8" s="485"/>
      <c r="Q8" s="1117"/>
    </row>
    <row r="9" spans="1:42" ht="15.6" customHeight="1">
      <c r="B9" s="467"/>
      <c r="C9" s="507" t="s">
        <v>1018</v>
      </c>
      <c r="D9" s="2408" t="s">
        <v>1887</v>
      </c>
      <c r="E9" s="2408"/>
      <c r="F9" s="2408"/>
      <c r="G9" s="2408"/>
      <c r="H9" s="2408"/>
      <c r="I9" s="2408"/>
      <c r="J9" s="2408"/>
      <c r="K9" s="2408"/>
      <c r="L9" s="2408"/>
      <c r="M9" s="2408"/>
      <c r="N9" s="2408"/>
      <c r="O9" s="481"/>
      <c r="P9" s="485"/>
      <c r="Q9" s="1117"/>
    </row>
    <row r="10" spans="1:42" ht="12.75" customHeight="1" thickBot="1">
      <c r="B10" s="1124"/>
      <c r="C10" s="559"/>
      <c r="D10" s="2482"/>
      <c r="E10" s="2482"/>
      <c r="F10" s="2482"/>
      <c r="G10" s="2482"/>
      <c r="H10" s="2482"/>
      <c r="I10" s="2482"/>
      <c r="J10" s="2482"/>
      <c r="K10" s="2482"/>
      <c r="L10" s="2482"/>
      <c r="M10" s="2482"/>
      <c r="N10" s="2482"/>
      <c r="O10" s="481"/>
      <c r="P10" s="485"/>
    </row>
    <row r="11" spans="1:42" s="1132" customFormat="1" ht="25.5" customHeight="1" thickBot="1">
      <c r="A11" s="1125"/>
      <c r="B11" s="1126"/>
      <c r="C11" s="1127"/>
      <c r="D11" s="1128" t="s">
        <v>400</v>
      </c>
      <c r="E11" s="2576" t="s">
        <v>2137</v>
      </c>
      <c r="F11" s="2577"/>
      <c r="G11" s="2577"/>
      <c r="H11" s="2577"/>
      <c r="I11" s="3049"/>
      <c r="J11" s="3059" t="str">
        <f>"2026"</f>
        <v>2026</v>
      </c>
      <c r="K11" s="3060"/>
      <c r="L11" s="3061"/>
      <c r="M11" s="1127"/>
      <c r="N11" s="1127"/>
      <c r="O11" s="1127"/>
      <c r="P11" s="485"/>
      <c r="Q11" s="1129" t="s">
        <v>1886</v>
      </c>
      <c r="R11" s="1130">
        <f>IF(COUNTIF(EUconst_ReportingYears2,J11)&gt;0,2,1)</f>
        <v>2</v>
      </c>
      <c r="S11" s="1129"/>
      <c r="T11" s="1118"/>
      <c r="U11" s="1129" t="s">
        <v>1799</v>
      </c>
      <c r="V11" s="1130">
        <f>MAX($J$11,2021+(CNTR_SubPeriod-1)*5)</f>
        <v>2026</v>
      </c>
      <c r="W11" s="1131"/>
      <c r="X11" s="1131"/>
      <c r="Y11" s="1131"/>
      <c r="AP11" s="1133" t="s">
        <v>2344</v>
      </c>
    </row>
    <row r="12" spans="1:42" ht="45.6" customHeight="1">
      <c r="B12" s="1124"/>
      <c r="C12" s="485"/>
      <c r="D12" s="485"/>
      <c r="E12" s="2385" t="s">
        <v>2531</v>
      </c>
      <c r="F12" s="2846"/>
      <c r="G12" s="2846"/>
      <c r="H12" s="2846"/>
      <c r="I12" s="2846"/>
      <c r="J12" s="2846"/>
      <c r="K12" s="2846"/>
      <c r="L12" s="2846"/>
      <c r="M12" s="2846"/>
      <c r="N12" s="2846"/>
      <c r="O12" s="481"/>
      <c r="P12" s="485"/>
    </row>
    <row r="13" spans="1:42" ht="5.0999999999999996" customHeight="1" thickBot="1">
      <c r="B13" s="467"/>
      <c r="C13" s="467"/>
      <c r="D13" s="467"/>
      <c r="E13" s="467"/>
      <c r="F13" s="467"/>
      <c r="G13" s="467"/>
      <c r="H13" s="467"/>
      <c r="I13" s="467"/>
      <c r="J13" s="467"/>
      <c r="K13" s="467"/>
      <c r="L13" s="467"/>
      <c r="M13" s="481"/>
      <c r="N13" s="481"/>
      <c r="O13" s="481"/>
      <c r="P13" s="485"/>
      <c r="Q13" s="1117"/>
    </row>
    <row r="14" spans="1:42" ht="13.5" thickBot="1">
      <c r="B14" s="1124"/>
      <c r="C14" s="485"/>
      <c r="D14" s="1128" t="s">
        <v>876</v>
      </c>
      <c r="E14" s="2576" t="s">
        <v>17</v>
      </c>
      <c r="F14" s="2577"/>
      <c r="G14" s="2577"/>
      <c r="H14" s="2577"/>
      <c r="I14" s="2577"/>
      <c r="J14" s="2976"/>
      <c r="K14" s="2977"/>
      <c r="L14" s="2978"/>
      <c r="M14" s="485"/>
      <c r="N14" s="485"/>
      <c r="O14" s="481"/>
      <c r="P14" s="485"/>
      <c r="Q14" s="1129" t="s">
        <v>1888</v>
      </c>
      <c r="R14" s="1130" t="b">
        <f>IF(J14&lt;&gt;"",J14,TRUE)</f>
        <v>1</v>
      </c>
      <c r="AP14" s="1135" t="s">
        <v>2345</v>
      </c>
    </row>
    <row r="15" spans="1:42" ht="13.15" customHeight="1">
      <c r="B15" s="1124"/>
      <c r="C15" s="485"/>
      <c r="D15" s="485"/>
      <c r="E15" s="2385" t="s">
        <v>2726</v>
      </c>
      <c r="F15" s="2846"/>
      <c r="G15" s="2846"/>
      <c r="H15" s="2846"/>
      <c r="I15" s="2846"/>
      <c r="J15" s="2846"/>
      <c r="K15" s="2846"/>
      <c r="L15" s="2846"/>
      <c r="M15" s="2846"/>
      <c r="N15" s="2846"/>
      <c r="O15" s="481"/>
      <c r="P15" s="485"/>
    </row>
    <row r="16" spans="1:42" ht="27" customHeight="1">
      <c r="B16" s="1124"/>
      <c r="C16" s="485"/>
      <c r="D16" s="485"/>
      <c r="E16" s="1088" t="s">
        <v>1021</v>
      </c>
      <c r="F16" s="2385" t="s">
        <v>2727</v>
      </c>
      <c r="G16" s="2846"/>
      <c r="H16" s="2846"/>
      <c r="I16" s="2846"/>
      <c r="J16" s="2846"/>
      <c r="K16" s="2846"/>
      <c r="L16" s="2846"/>
      <c r="M16" s="2846"/>
      <c r="N16" s="2846"/>
      <c r="O16" s="481"/>
      <c r="P16" s="485"/>
    </row>
    <row r="17" spans="1:42" ht="23.1" customHeight="1">
      <c r="C17" s="485"/>
      <c r="D17" s="485"/>
      <c r="E17" s="1088" t="s">
        <v>1021</v>
      </c>
      <c r="F17" s="2385" t="s">
        <v>2728</v>
      </c>
      <c r="G17" s="2846"/>
      <c r="H17" s="2846"/>
      <c r="I17" s="2846"/>
      <c r="J17" s="2846"/>
      <c r="K17" s="2846"/>
      <c r="L17" s="2846"/>
      <c r="M17" s="2846"/>
      <c r="N17" s="2846"/>
      <c r="O17" s="481"/>
      <c r="P17" s="485"/>
    </row>
    <row r="18" spans="1:42" ht="13.15" customHeight="1">
      <c r="C18" s="485"/>
      <c r="D18" s="485"/>
      <c r="E18" s="2385" t="s">
        <v>2138</v>
      </c>
      <c r="F18" s="2846"/>
      <c r="G18" s="2846"/>
      <c r="H18" s="2846"/>
      <c r="I18" s="2846"/>
      <c r="J18" s="2846"/>
      <c r="K18" s="2846"/>
      <c r="L18" s="2846"/>
      <c r="M18" s="2846"/>
      <c r="N18" s="2846"/>
      <c r="O18" s="481"/>
      <c r="P18" s="485"/>
    </row>
    <row r="19" spans="1:42" ht="13.15" customHeight="1">
      <c r="C19" s="485"/>
      <c r="D19" s="485"/>
      <c r="E19" s="2385" t="s">
        <v>1798</v>
      </c>
      <c r="F19" s="2846"/>
      <c r="G19" s="2846"/>
      <c r="H19" s="2846"/>
      <c r="I19" s="2846"/>
      <c r="J19" s="2846"/>
      <c r="K19" s="2846"/>
      <c r="L19" s="2846"/>
      <c r="M19" s="2846"/>
      <c r="N19" s="2846"/>
      <c r="O19" s="481"/>
      <c r="P19" s="485"/>
    </row>
    <row r="20" spans="1:42" ht="5.0999999999999996" customHeight="1" thickBot="1">
      <c r="C20" s="485"/>
      <c r="D20" s="485"/>
      <c r="E20" s="485"/>
      <c r="F20" s="485"/>
      <c r="G20" s="485"/>
      <c r="H20" s="485"/>
      <c r="I20" s="485"/>
      <c r="J20" s="485"/>
      <c r="K20" s="485"/>
      <c r="L20" s="485"/>
      <c r="M20" s="485"/>
      <c r="N20" s="485"/>
      <c r="O20" s="481"/>
      <c r="P20" s="485"/>
    </row>
    <row r="21" spans="1:42" ht="13.9" customHeight="1" thickBot="1">
      <c r="C21" s="485"/>
      <c r="D21" s="1128" t="s">
        <v>48</v>
      </c>
      <c r="E21" s="2576" t="s">
        <v>2532</v>
      </c>
      <c r="F21" s="2577"/>
      <c r="G21" s="2577"/>
      <c r="H21" s="2577"/>
      <c r="I21" s="2577"/>
      <c r="J21" s="2976"/>
      <c r="K21" s="2977"/>
      <c r="L21" s="2978"/>
      <c r="M21" s="485"/>
      <c r="N21" s="485"/>
      <c r="O21" s="481"/>
      <c r="P21" s="10"/>
      <c r="Q21" s="1129" t="s">
        <v>1889</v>
      </c>
      <c r="R21" s="1130" t="b">
        <f>IF(J21&lt;&gt;"",J21,TRUE)</f>
        <v>1</v>
      </c>
      <c r="AP21" s="1135" t="s">
        <v>2346</v>
      </c>
    </row>
    <row r="22" spans="1:42" ht="25.5" customHeight="1">
      <c r="C22" s="485"/>
      <c r="D22" s="485"/>
      <c r="E22" s="2385" t="s">
        <v>2190</v>
      </c>
      <c r="F22" s="2846"/>
      <c r="G22" s="2846"/>
      <c r="H22" s="2846"/>
      <c r="I22" s="2846"/>
      <c r="J22" s="2846"/>
      <c r="K22" s="2846"/>
      <c r="L22" s="2846"/>
      <c r="M22" s="2846"/>
      <c r="N22" s="2846"/>
      <c r="O22" s="481"/>
      <c r="P22" s="485"/>
    </row>
    <row r="23" spans="1:42" ht="12.75" customHeight="1">
      <c r="C23" s="485"/>
      <c r="D23" s="485"/>
      <c r="E23" s="2385" t="s">
        <v>2191</v>
      </c>
      <c r="F23" s="2846"/>
      <c r="G23" s="2846"/>
      <c r="H23" s="2846"/>
      <c r="I23" s="2846"/>
      <c r="J23" s="2846"/>
      <c r="K23" s="2846"/>
      <c r="L23" s="2846"/>
      <c r="M23" s="2846"/>
      <c r="N23" s="2846"/>
      <c r="O23" s="481"/>
      <c r="P23" s="485"/>
    </row>
    <row r="24" spans="1:42">
      <c r="C24" s="485"/>
      <c r="D24" s="485"/>
      <c r="E24" s="485"/>
      <c r="F24" s="485"/>
      <c r="G24" s="485"/>
      <c r="H24" s="485"/>
      <c r="I24" s="485"/>
      <c r="J24" s="485"/>
      <c r="K24" s="485"/>
      <c r="L24" s="485"/>
      <c r="M24" s="485"/>
      <c r="N24" s="485"/>
      <c r="O24" s="481"/>
      <c r="P24" s="485"/>
    </row>
    <row r="25" spans="1:42" ht="16.149999999999999" customHeight="1">
      <c r="C25" s="507" t="s">
        <v>875</v>
      </c>
      <c r="D25" s="2408" t="s">
        <v>2059</v>
      </c>
      <c r="E25" s="2408"/>
      <c r="F25" s="2408"/>
      <c r="G25" s="2408"/>
      <c r="H25" s="2408"/>
      <c r="I25" s="2408"/>
      <c r="J25" s="2408"/>
      <c r="K25" s="2408"/>
      <c r="L25" s="2408"/>
      <c r="M25" s="2408"/>
      <c r="N25" s="2408"/>
      <c r="O25" s="481"/>
      <c r="P25" s="485"/>
      <c r="Q25" s="1117"/>
    </row>
    <row r="26" spans="1:42" ht="13.5" thickBot="1">
      <c r="C26" s="485"/>
      <c r="D26" s="485"/>
      <c r="E26" s="485"/>
      <c r="F26" s="485"/>
      <c r="G26" s="485"/>
      <c r="H26" s="485"/>
      <c r="I26" s="485"/>
      <c r="J26" s="485"/>
      <c r="K26" s="485"/>
      <c r="L26" s="485"/>
      <c r="M26" s="485"/>
      <c r="N26" s="485"/>
      <c r="O26" s="481"/>
      <c r="P26" s="485"/>
    </row>
    <row r="27" spans="1:42" ht="5.0999999999999996" customHeight="1">
      <c r="C27" s="485"/>
      <c r="D27" s="759"/>
      <c r="E27" s="760"/>
      <c r="F27" s="760"/>
      <c r="G27" s="760"/>
      <c r="H27" s="760"/>
      <c r="I27" s="760"/>
      <c r="J27" s="760"/>
      <c r="K27" s="760"/>
      <c r="L27" s="760"/>
      <c r="M27" s="760"/>
      <c r="N27" s="762"/>
      <c r="O27" s="481"/>
      <c r="P27" s="485"/>
    </row>
    <row r="28" spans="1:42" ht="42.4" customHeight="1">
      <c r="C28" s="485"/>
      <c r="D28" s="539"/>
      <c r="E28" s="3050" t="s">
        <v>2192</v>
      </c>
      <c r="F28" s="2846"/>
      <c r="G28" s="2846"/>
      <c r="H28" s="2846"/>
      <c r="I28" s="2846"/>
      <c r="J28" s="2846"/>
      <c r="K28" s="2846"/>
      <c r="L28" s="2846"/>
      <c r="M28" s="2846"/>
      <c r="N28" s="3051"/>
      <c r="O28" s="481"/>
      <c r="P28" s="1136"/>
    </row>
    <row r="29" spans="1:42" ht="37.15" customHeight="1">
      <c r="C29" s="485"/>
      <c r="D29" s="539"/>
      <c r="E29" s="3050" t="s">
        <v>2062</v>
      </c>
      <c r="F29" s="2846"/>
      <c r="G29" s="2846"/>
      <c r="H29" s="2846"/>
      <c r="I29" s="2846"/>
      <c r="J29" s="2846"/>
      <c r="K29" s="2846"/>
      <c r="L29" s="2846"/>
      <c r="M29" s="2846"/>
      <c r="N29" s="3051"/>
      <c r="O29" s="481"/>
      <c r="P29" s="485"/>
      <c r="Q29" s="1137" t="s">
        <v>2039</v>
      </c>
      <c r="Y29" s="1137" t="s">
        <v>1117</v>
      </c>
    </row>
    <row r="30" spans="1:42" ht="13.9" customHeight="1" thickBot="1">
      <c r="C30" s="485"/>
      <c r="D30" s="539"/>
      <c r="E30" s="3050" t="s">
        <v>2060</v>
      </c>
      <c r="F30" s="2846"/>
      <c r="G30" s="2846"/>
      <c r="H30" s="2846"/>
      <c r="I30" s="2846"/>
      <c r="J30" s="2846"/>
      <c r="K30" s="2846"/>
      <c r="L30" s="2846"/>
      <c r="M30" s="2846"/>
      <c r="N30" s="3051"/>
      <c r="O30" s="481"/>
      <c r="P30" s="485"/>
    </row>
    <row r="31" spans="1:42" s="562" customFormat="1" ht="13.5" thickBot="1">
      <c r="A31" s="618"/>
      <c r="C31" s="467"/>
      <c r="D31" s="539"/>
      <c r="E31" s="2508" t="s">
        <v>2043</v>
      </c>
      <c r="F31" s="2508"/>
      <c r="G31" s="2508"/>
      <c r="H31" s="2508"/>
      <c r="I31" s="2593"/>
      <c r="J31" s="3052" t="str">
        <f>"Linked to ALR 2025"</f>
        <v>Linked to ALR 2025</v>
      </c>
      <c r="K31" s="3053"/>
      <c r="L31" s="3054"/>
      <c r="M31" s="481"/>
      <c r="N31" s="1138"/>
      <c r="O31" s="481"/>
      <c r="P31" s="10"/>
      <c r="Q31" s="1139">
        <v>1</v>
      </c>
      <c r="R31" s="1117" t="s">
        <v>1770</v>
      </c>
      <c r="S31" s="1118"/>
      <c r="T31" s="1137"/>
      <c r="U31" s="1118"/>
      <c r="V31" s="1118"/>
      <c r="W31" s="1118"/>
      <c r="X31" s="1118"/>
      <c r="Y31" s="1140" t="b">
        <f>AND(J14&lt;&gt;"",J14=FALSE)</f>
        <v>0</v>
      </c>
      <c r="AP31" s="1135" t="s">
        <v>2583</v>
      </c>
    </row>
    <row r="32" spans="1:42" s="562" customFormat="1" ht="5.0999999999999996" customHeight="1">
      <c r="A32" s="618"/>
      <c r="C32" s="467"/>
      <c r="D32" s="539"/>
      <c r="E32" s="3055"/>
      <c r="F32" s="2846"/>
      <c r="G32" s="2846"/>
      <c r="H32" s="2846"/>
      <c r="I32" s="2846"/>
      <c r="J32" s="2846"/>
      <c r="K32" s="2846"/>
      <c r="L32" s="2846"/>
      <c r="M32" s="2846"/>
      <c r="N32" s="3051"/>
      <c r="O32" s="481"/>
      <c r="P32" s="485"/>
      <c r="Q32" s="1118"/>
      <c r="R32" s="1118"/>
      <c r="S32" s="1118"/>
      <c r="T32" s="1137"/>
      <c r="U32" s="1118"/>
      <c r="V32" s="1118"/>
      <c r="W32" s="1118"/>
      <c r="X32" s="1118"/>
      <c r="Y32" s="1118"/>
      <c r="AP32" s="1135"/>
    </row>
    <row r="33" spans="3:25" ht="25.9" customHeight="1">
      <c r="C33" s="467"/>
      <c r="D33" s="539"/>
      <c r="E33" s="1141" t="s">
        <v>2061</v>
      </c>
      <c r="F33" s="2979" t="s">
        <v>2193</v>
      </c>
      <c r="G33" s="2979"/>
      <c r="H33" s="2979"/>
      <c r="I33" s="2979"/>
      <c r="J33" s="2979"/>
      <c r="K33" s="2979"/>
      <c r="L33" s="2979"/>
      <c r="M33" s="2979"/>
      <c r="N33" s="2980"/>
      <c r="O33" s="481"/>
      <c r="P33" s="485"/>
      <c r="Q33" s="1137" t="s">
        <v>2040</v>
      </c>
    </row>
    <row r="34" spans="3:25" ht="12.75" customHeight="1">
      <c r="C34" s="467"/>
      <c r="D34" s="539"/>
      <c r="E34" s="1142"/>
      <c r="F34" s="2850" t="s">
        <v>1868</v>
      </c>
      <c r="G34" s="2850"/>
      <c r="H34" s="2850"/>
      <c r="I34" s="2850"/>
      <c r="J34" s="2850"/>
      <c r="K34" s="2850"/>
      <c r="L34" s="2850"/>
      <c r="M34" s="2850"/>
      <c r="N34" s="2981"/>
      <c r="O34" s="481"/>
      <c r="P34" s="485"/>
    </row>
    <row r="35" spans="3:25" ht="12.75" customHeight="1">
      <c r="C35" s="467"/>
      <c r="D35" s="539"/>
      <c r="E35" s="1142"/>
      <c r="F35" s="2984" t="s">
        <v>2044</v>
      </c>
      <c r="G35" s="2984"/>
      <c r="H35" s="2984"/>
      <c r="I35" s="2984"/>
      <c r="J35" s="2984"/>
      <c r="K35" s="2984"/>
      <c r="L35" s="2984"/>
      <c r="M35" s="2984"/>
      <c r="N35" s="1143"/>
      <c r="O35" s="481"/>
      <c r="P35" s="485"/>
    </row>
    <row r="36" spans="3:25" ht="5.0999999999999996" customHeight="1">
      <c r="C36" s="467"/>
      <c r="D36" s="539"/>
      <c r="E36" s="1142"/>
      <c r="F36" s="3062"/>
      <c r="G36" s="3062"/>
      <c r="H36" s="3062"/>
      <c r="I36" s="3062"/>
      <c r="J36" s="3062"/>
      <c r="K36" s="3062"/>
      <c r="L36" s="3062"/>
      <c r="M36" s="3062"/>
      <c r="N36" s="3063"/>
      <c r="O36" s="481"/>
      <c r="P36" s="485"/>
    </row>
    <row r="37" spans="3:25" ht="12.75" customHeight="1">
      <c r="C37" s="485"/>
      <c r="D37" s="539"/>
      <c r="E37" s="1141" t="s">
        <v>1769</v>
      </c>
      <c r="F37" s="2979" t="s">
        <v>1867</v>
      </c>
      <c r="G37" s="2979"/>
      <c r="H37" s="2979"/>
      <c r="I37" s="2979"/>
      <c r="J37" s="2979"/>
      <c r="K37" s="2979"/>
      <c r="L37" s="2979"/>
      <c r="M37" s="2979"/>
      <c r="N37" s="2980"/>
      <c r="O37" s="481"/>
      <c r="P37" s="485"/>
    </row>
    <row r="38" spans="3:25" ht="12.75" customHeight="1">
      <c r="C38" s="485"/>
      <c r="D38" s="539"/>
      <c r="E38" s="1142"/>
      <c r="F38" s="2850" t="s">
        <v>2045</v>
      </c>
      <c r="G38" s="2850"/>
      <c r="H38" s="2850"/>
      <c r="I38" s="2850"/>
      <c r="J38" s="2850"/>
      <c r="K38" s="2850"/>
      <c r="L38" s="2850"/>
      <c r="M38" s="2850"/>
      <c r="N38" s="2981"/>
      <c r="O38" s="481"/>
      <c r="P38" s="485"/>
    </row>
    <row r="39" spans="3:25" ht="5.0999999999999996" customHeight="1">
      <c r="C39" s="485"/>
      <c r="D39" s="539"/>
      <c r="E39" s="1144"/>
      <c r="F39" s="1145"/>
      <c r="G39" s="1145"/>
      <c r="H39" s="1145"/>
      <c r="I39" s="1145"/>
      <c r="J39" s="1145"/>
      <c r="K39" s="1145"/>
      <c r="L39" s="1145"/>
      <c r="M39" s="1145"/>
      <c r="N39" s="1146"/>
      <c r="O39" s="481"/>
      <c r="P39" s="485"/>
    </row>
    <row r="40" spans="3:25" ht="12.75" customHeight="1">
      <c r="C40" s="467"/>
      <c r="D40" s="539"/>
      <c r="E40" s="2979" t="s">
        <v>2533</v>
      </c>
      <c r="F40" s="2979"/>
      <c r="G40" s="2979"/>
      <c r="H40" s="2979"/>
      <c r="I40" s="2979"/>
      <c r="J40" s="2979"/>
      <c r="K40" s="2979"/>
      <c r="L40" s="2979"/>
      <c r="M40" s="2979"/>
      <c r="N40" s="2980"/>
      <c r="O40" s="481"/>
      <c r="P40" s="485"/>
    </row>
    <row r="41" spans="3:25" ht="12.75" customHeight="1">
      <c r="C41" s="467"/>
      <c r="D41" s="539"/>
      <c r="E41" s="540"/>
      <c r="F41" s="2992" t="s">
        <v>2046</v>
      </c>
      <c r="G41" s="2992"/>
      <c r="H41" s="2992"/>
      <c r="I41" s="2992"/>
      <c r="J41" s="2993"/>
      <c r="K41" s="3056"/>
      <c r="L41" s="3056"/>
      <c r="M41" s="541"/>
      <c r="N41" s="542"/>
      <c r="O41" s="481"/>
      <c r="P41" s="485"/>
      <c r="Y41" s="1140" t="b">
        <f>CTRL_InputMethodNIMsvalues=2</f>
        <v>0</v>
      </c>
    </row>
    <row r="42" spans="3:25" ht="12.75" customHeight="1">
      <c r="C42" s="467"/>
      <c r="D42" s="539"/>
      <c r="E42" s="540"/>
      <c r="F42" s="2992" t="s">
        <v>2047</v>
      </c>
      <c r="G42" s="2992"/>
      <c r="H42" s="2992"/>
      <c r="I42" s="2992"/>
      <c r="J42" s="2993"/>
      <c r="K42" s="2985"/>
      <c r="L42" s="2985"/>
      <c r="M42" s="541"/>
      <c r="N42" s="542"/>
      <c r="O42" s="481"/>
      <c r="P42" s="485"/>
      <c r="Y42" s="1140" t="b">
        <f>CTRL_InputMethodNIMsvalues=1</f>
        <v>1</v>
      </c>
    </row>
    <row r="43" spans="3:25" ht="12.75" customHeight="1">
      <c r="C43" s="467"/>
      <c r="D43" s="539"/>
      <c r="E43" s="540"/>
      <c r="F43" s="2992" t="s">
        <v>1866</v>
      </c>
      <c r="G43" s="2992"/>
      <c r="H43" s="2992"/>
      <c r="I43" s="2992"/>
      <c r="J43" s="2993"/>
      <c r="K43" s="2985"/>
      <c r="L43" s="2985"/>
      <c r="M43" s="541"/>
      <c r="N43" s="542"/>
      <c r="O43" s="481"/>
      <c r="P43" s="485"/>
    </row>
    <row r="44" spans="3:25" ht="5.0999999999999996" customHeight="1">
      <c r="C44" s="467"/>
      <c r="D44" s="539"/>
      <c r="E44" s="540"/>
      <c r="F44" s="2581"/>
      <c r="G44" s="2581"/>
      <c r="H44" s="2581"/>
      <c r="I44" s="2581"/>
      <c r="J44" s="2581"/>
      <c r="K44" s="2581"/>
      <c r="L44" s="2581"/>
      <c r="M44" s="2581"/>
      <c r="N44" s="2994"/>
      <c r="O44" s="481"/>
      <c r="P44" s="485"/>
    </row>
    <row r="45" spans="3:25" ht="5.0999999999999996" customHeight="1" thickBot="1">
      <c r="C45" s="485"/>
      <c r="D45" s="771"/>
      <c r="E45" s="756"/>
      <c r="F45" s="756"/>
      <c r="G45" s="756"/>
      <c r="H45" s="756"/>
      <c r="I45" s="756"/>
      <c r="J45" s="756"/>
      <c r="K45" s="756"/>
      <c r="L45" s="756"/>
      <c r="M45" s="756"/>
      <c r="N45" s="758"/>
      <c r="O45" s="481"/>
      <c r="P45" s="485"/>
    </row>
    <row r="46" spans="3:25" ht="3" customHeight="1">
      <c r="C46" s="485"/>
      <c r="D46" s="485"/>
      <c r="E46" s="485"/>
      <c r="F46" s="485"/>
      <c r="G46" s="485"/>
      <c r="H46" s="485"/>
      <c r="I46" s="485"/>
      <c r="J46" s="485"/>
      <c r="K46" s="485"/>
      <c r="L46" s="485"/>
      <c r="M46" s="485"/>
      <c r="N46" s="485"/>
      <c r="O46" s="1124"/>
      <c r="P46" s="1124"/>
    </row>
    <row r="47" spans="3:25" ht="3" customHeight="1">
      <c r="C47" s="1147" t="s">
        <v>883</v>
      </c>
      <c r="D47" s="511" t="s">
        <v>1002</v>
      </c>
      <c r="E47" s="562"/>
      <c r="F47" s="562"/>
      <c r="G47" s="562"/>
      <c r="H47" s="562"/>
      <c r="I47" s="562"/>
      <c r="J47" s="562"/>
      <c r="K47" s="562"/>
      <c r="L47" s="562"/>
      <c r="M47" s="562"/>
      <c r="N47" s="562"/>
      <c r="O47" s="481"/>
      <c r="P47" s="485"/>
      <c r="Q47" s="1117"/>
    </row>
    <row r="48" spans="3:25" ht="3" customHeight="1">
      <c r="C48" s="485"/>
      <c r="D48" s="485"/>
      <c r="E48" s="485"/>
      <c r="F48" s="485"/>
      <c r="G48" s="485"/>
      <c r="H48" s="485"/>
      <c r="I48" s="485"/>
      <c r="J48" s="485"/>
      <c r="K48" s="485"/>
      <c r="L48" s="485"/>
      <c r="M48" s="485"/>
      <c r="N48" s="485"/>
      <c r="O48" s="481"/>
      <c r="P48" s="485"/>
    </row>
    <row r="49" spans="1:42" ht="3" customHeight="1">
      <c r="C49" s="1148"/>
      <c r="D49" s="1149"/>
      <c r="E49" s="562"/>
      <c r="F49" s="562"/>
      <c r="G49" s="562"/>
      <c r="H49" s="562"/>
      <c r="I49" s="562"/>
      <c r="J49" s="562"/>
      <c r="K49" s="562"/>
      <c r="L49" s="562"/>
      <c r="M49" s="562"/>
      <c r="N49" s="562"/>
      <c r="O49" s="1124"/>
      <c r="P49" s="485"/>
    </row>
    <row r="50" spans="1:42" ht="3" customHeight="1">
      <c r="C50" s="467"/>
      <c r="D50" s="467"/>
      <c r="E50" s="1150"/>
      <c r="F50" s="1150"/>
      <c r="G50" s="1150"/>
      <c r="H50" s="1150"/>
      <c r="I50" s="1150"/>
      <c r="J50" s="1150"/>
      <c r="K50" s="1150"/>
      <c r="L50" s="1150"/>
      <c r="M50" s="1150"/>
      <c r="N50" s="1150"/>
      <c r="O50" s="481"/>
      <c r="P50" s="485"/>
      <c r="Q50" s="1117"/>
    </row>
    <row r="51" spans="1:42" ht="13.15" customHeight="1">
      <c r="C51" s="1151" t="s">
        <v>883</v>
      </c>
      <c r="D51" s="3064" t="s">
        <v>2148</v>
      </c>
      <c r="E51" s="3064"/>
      <c r="F51" s="3064"/>
      <c r="G51" s="3064"/>
      <c r="H51" s="3064"/>
      <c r="I51" s="3064"/>
      <c r="J51" s="3064"/>
      <c r="K51" s="3064"/>
      <c r="L51" s="3064"/>
      <c r="M51" s="3064"/>
      <c r="N51" s="3064"/>
      <c r="O51" s="1124"/>
      <c r="Y51" s="1140" t="b">
        <f>OR(CNTR_Incumbent=FALSE,CTRL_InputMethodNIMsvalues=2)</f>
        <v>0</v>
      </c>
    </row>
    <row r="52" spans="1:42" ht="18" customHeight="1">
      <c r="C52" s="559">
        <v>1</v>
      </c>
      <c r="D52" s="3003" t="s">
        <v>263</v>
      </c>
      <c r="E52" s="3004"/>
      <c r="F52" s="3004"/>
      <c r="G52" s="3004"/>
      <c r="H52" s="3004"/>
      <c r="I52" s="3004"/>
      <c r="J52" s="3004"/>
      <c r="K52" s="3004"/>
      <c r="L52" s="3004"/>
      <c r="M52" s="3004"/>
      <c r="N52" s="3004"/>
      <c r="O52" s="1124"/>
      <c r="P52" s="1152"/>
      <c r="Y52" s="1140" t="b">
        <f>CTRL_InputMethodNIMsvalues=1</f>
        <v>1</v>
      </c>
    </row>
    <row r="53" spans="1:42" ht="1.9" customHeight="1">
      <c r="C53" s="485"/>
      <c r="D53" s="482"/>
      <c r="E53" s="3057" t="s">
        <v>2124</v>
      </c>
      <c r="F53" s="3057"/>
      <c r="G53" s="3057"/>
      <c r="H53" s="3057"/>
      <c r="I53" s="3057"/>
      <c r="J53" s="2943" t="str">
        <f>"United Kingdom"</f>
        <v>United Kingdom</v>
      </c>
      <c r="K53" s="2943"/>
      <c r="L53" s="2943"/>
      <c r="M53" s="2943"/>
      <c r="N53" s="2943"/>
      <c r="O53" s="1124"/>
      <c r="P53" s="1119"/>
    </row>
    <row r="54" spans="1:42" ht="1.9" customHeight="1">
      <c r="C54" s="485"/>
      <c r="D54" s="485"/>
      <c r="E54" s="2982"/>
      <c r="F54" s="2983"/>
      <c r="G54" s="2983"/>
      <c r="H54" s="2983"/>
      <c r="I54" s="2983"/>
      <c r="J54" s="2983"/>
      <c r="K54" s="2983"/>
      <c r="L54" s="2983"/>
      <c r="M54" s="2983"/>
      <c r="N54" s="2983"/>
      <c r="O54" s="1124"/>
      <c r="P54" s="485"/>
    </row>
    <row r="55" spans="1:42" ht="1.9" customHeight="1">
      <c r="C55" s="485"/>
      <c r="D55" s="485"/>
      <c r="E55" s="1155"/>
      <c r="F55" s="1155"/>
      <c r="G55" s="1155"/>
      <c r="H55" s="1155"/>
      <c r="I55" s="1155"/>
      <c r="J55" s="1155"/>
      <c r="K55" s="1155"/>
      <c r="L55" s="1155"/>
      <c r="M55" s="1155"/>
      <c r="N55" s="1155"/>
      <c r="O55" s="1124"/>
      <c r="P55" s="485"/>
    </row>
    <row r="56" spans="1:42" ht="13.15" customHeight="1">
      <c r="C56" s="485"/>
      <c r="D56" s="482" t="s">
        <v>400</v>
      </c>
      <c r="E56" s="2373" t="s">
        <v>2092</v>
      </c>
      <c r="F56" s="2373"/>
      <c r="G56" s="2373"/>
      <c r="H56" s="2373"/>
      <c r="I56" s="2604"/>
      <c r="J56" s="2989">
        <f>c_ALR2025!J2608</f>
        <v>0</v>
      </c>
      <c r="K56" s="2990"/>
      <c r="L56" s="2990"/>
      <c r="M56" s="2990"/>
      <c r="N56" s="2991"/>
      <c r="O56" s="1124"/>
      <c r="P56" s="1156"/>
      <c r="Y56" s="1140" t="b">
        <f>OR(CNTR_Incumbent=FALSE,CTRL_InputMethodNIMsvalues=2)</f>
        <v>0</v>
      </c>
    </row>
    <row r="57" spans="1:42" ht="13.15" customHeight="1">
      <c r="C57" s="485"/>
      <c r="D57" s="482"/>
      <c r="E57" s="497"/>
      <c r="F57" s="497"/>
      <c r="G57" s="497"/>
      <c r="H57" s="497"/>
      <c r="I57" s="497"/>
      <c r="J57" s="2986"/>
      <c r="K57" s="2987"/>
      <c r="L57" s="2987"/>
      <c r="M57" s="2987"/>
      <c r="N57" s="2988"/>
      <c r="O57" s="1124"/>
      <c r="P57" s="10"/>
      <c r="Y57" s="1140" t="b">
        <f>CTRL_InputMethodNIMsvalues=1</f>
        <v>1</v>
      </c>
    </row>
    <row r="58" spans="1:42" ht="13.15" customHeight="1">
      <c r="C58" s="485"/>
      <c r="D58" s="485"/>
      <c r="E58" s="2817" t="s">
        <v>2139</v>
      </c>
      <c r="F58" s="2817"/>
      <c r="G58" s="2817"/>
      <c r="H58" s="2817"/>
      <c r="I58" s="2817"/>
      <c r="J58" s="2872">
        <f>IF(J56 &amp; J57="","",IF(J57="",J56,J57))</f>
        <v>0</v>
      </c>
      <c r="K58" s="2996"/>
      <c r="L58" s="2996"/>
      <c r="M58" s="2996"/>
      <c r="N58" s="2997"/>
      <c r="O58" s="1124"/>
      <c r="P58" s="485"/>
      <c r="AP58" s="1135" t="s">
        <v>2347</v>
      </c>
    </row>
    <row r="59" spans="1:42" ht="38.25" customHeight="1">
      <c r="C59" s="485"/>
      <c r="D59" s="485"/>
      <c r="E59" s="3058" t="s">
        <v>2534</v>
      </c>
      <c r="F59" s="3058"/>
      <c r="G59" s="3058"/>
      <c r="H59" s="3058"/>
      <c r="I59" s="3058"/>
      <c r="J59" s="3058"/>
      <c r="K59" s="3058"/>
      <c r="L59" s="3058"/>
      <c r="M59" s="3058"/>
      <c r="N59" s="3058"/>
      <c r="O59" s="1124"/>
      <c r="P59" s="485"/>
      <c r="Q59" s="1117"/>
    </row>
    <row r="60" spans="1:42" ht="1.1499999999999999" customHeight="1">
      <c r="C60" s="467"/>
      <c r="D60" s="467"/>
      <c r="E60" s="467"/>
      <c r="F60" s="467"/>
      <c r="G60" s="467"/>
      <c r="H60" s="467"/>
      <c r="I60" s="467"/>
      <c r="J60" s="467"/>
      <c r="K60" s="467"/>
      <c r="L60" s="467"/>
      <c r="M60" s="481"/>
      <c r="N60" s="481"/>
      <c r="O60" s="481"/>
      <c r="P60" s="485"/>
      <c r="Q60" s="1117"/>
    </row>
    <row r="61" spans="1:42" ht="13.15" hidden="1" customHeight="1">
      <c r="A61" s="1116" t="s">
        <v>2289</v>
      </c>
      <c r="C61" s="485"/>
      <c r="D61" s="1157" t="s">
        <v>48</v>
      </c>
      <c r="E61" s="2954"/>
      <c r="F61" s="2955"/>
      <c r="G61" s="2955"/>
      <c r="H61" s="2955"/>
      <c r="I61" s="2955"/>
      <c r="J61" s="2943" t="str">
        <f>IF(AND(NOT(ISBLANK(J53)),ISNUMBER(J57)),CONCATENATE(INDEX(EUconst_MSlistEUTLcodes,MATCH(J53,EUconst_MSlist,0)),TEXT(J57,"000000000000000")),IF(J56="","",CONCATENATE(INDEX(EUconst_MSlistEUTLcodes,MATCH(J53,EUconst_MSlist,0)),TEXT(J56,"000000000000000"))))</f>
        <v>GB000000000000000</v>
      </c>
      <c r="K61" s="2995"/>
      <c r="L61" s="2995"/>
      <c r="M61" s="2995"/>
      <c r="N61" s="2995"/>
      <c r="O61" s="481"/>
      <c r="P61" s="485"/>
      <c r="Q61" s="1137" t="s">
        <v>1377</v>
      </c>
      <c r="R61" s="1137"/>
    </row>
    <row r="62" spans="1:42" ht="1.1499999999999999" customHeight="1">
      <c r="C62" s="467"/>
      <c r="D62" s="467"/>
      <c r="E62" s="467"/>
      <c r="F62" s="467"/>
      <c r="G62" s="467"/>
      <c r="H62" s="467"/>
      <c r="I62" s="467"/>
      <c r="J62" s="467"/>
      <c r="K62" s="467"/>
      <c r="L62" s="467"/>
      <c r="M62" s="481"/>
      <c r="N62" s="481"/>
      <c r="O62" s="481"/>
      <c r="P62" s="485"/>
      <c r="Q62" s="1117"/>
    </row>
    <row r="63" spans="1:42" ht="13.15" customHeight="1">
      <c r="C63" s="485"/>
      <c r="D63" s="482" t="s">
        <v>876</v>
      </c>
      <c r="E63" s="2508" t="s">
        <v>2093</v>
      </c>
      <c r="F63" s="2508"/>
      <c r="G63" s="2508"/>
      <c r="H63" s="2508"/>
      <c r="I63" s="2580"/>
      <c r="J63" s="3000">
        <f>c_ALR2025!J2606</f>
        <v>0</v>
      </c>
      <c r="K63" s="3001"/>
      <c r="L63" s="3001"/>
      <c r="M63" s="3001"/>
      <c r="N63" s="3002"/>
      <c r="P63" s="1156"/>
      <c r="Y63" s="1140" t="b">
        <f>OR(CNTR_Incumbent=FALSE,CTRL_InputMethodNIMsvalues=2)</f>
        <v>0</v>
      </c>
    </row>
    <row r="64" spans="1:42">
      <c r="C64" s="485"/>
      <c r="D64" s="482"/>
      <c r="E64" s="497"/>
      <c r="F64" s="497"/>
      <c r="G64" s="497"/>
      <c r="H64" s="497"/>
      <c r="I64" s="497"/>
      <c r="J64" s="2875"/>
      <c r="K64" s="2998"/>
      <c r="L64" s="2998"/>
      <c r="M64" s="2998"/>
      <c r="N64" s="2999"/>
      <c r="O64" s="1124"/>
      <c r="P64" s="10"/>
      <c r="Y64" s="1140" t="b">
        <f>CTRL_InputMethodNIMsvalues=1</f>
        <v>1</v>
      </c>
    </row>
    <row r="65" spans="1:42">
      <c r="C65" s="485"/>
      <c r="D65" s="482"/>
      <c r="E65" s="497"/>
      <c r="F65" s="497"/>
      <c r="G65" s="497"/>
      <c r="H65" s="497"/>
      <c r="I65" s="497"/>
      <c r="J65" s="2872">
        <f>IF(J63 &amp; J64 = "","",IF(J64="",J63,J64))</f>
        <v>0</v>
      </c>
      <c r="K65" s="2996"/>
      <c r="L65" s="2996"/>
      <c r="M65" s="2996"/>
      <c r="N65" s="2997"/>
      <c r="O65" s="1124"/>
      <c r="P65" s="485"/>
      <c r="Q65" s="1158" t="s">
        <v>1377</v>
      </c>
      <c r="AP65" s="1135" t="s">
        <v>2348</v>
      </c>
    </row>
    <row r="66" spans="1:42" ht="13.15" hidden="1" customHeight="1">
      <c r="A66" s="1116" t="s">
        <v>2289</v>
      </c>
      <c r="C66" s="485"/>
      <c r="D66" s="485"/>
      <c r="E66" s="2817" t="s">
        <v>2250</v>
      </c>
      <c r="F66" s="2817"/>
      <c r="G66" s="2817"/>
      <c r="H66" s="2817"/>
      <c r="I66" s="2817"/>
      <c r="J66" s="2817"/>
      <c r="K66" s="2817"/>
      <c r="L66" s="2817"/>
      <c r="M66" s="2817"/>
      <c r="N66" s="2817"/>
      <c r="O66" s="1124"/>
      <c r="P66" s="485"/>
    </row>
    <row r="67" spans="1:42" ht="12.75" hidden="1" customHeight="1">
      <c r="A67" s="1116" t="s">
        <v>2289</v>
      </c>
      <c r="C67" s="485"/>
      <c r="D67" s="485"/>
      <c r="E67" s="2385" t="s">
        <v>2251</v>
      </c>
      <c r="F67" s="2846"/>
      <c r="G67" s="2846"/>
      <c r="H67" s="2846"/>
      <c r="I67" s="2846"/>
      <c r="J67" s="2846"/>
      <c r="K67" s="2846"/>
      <c r="L67" s="2846"/>
      <c r="M67" s="2846"/>
      <c r="N67" s="2846"/>
      <c r="O67" s="1124"/>
      <c r="P67" s="485"/>
    </row>
    <row r="68" spans="1:42" ht="12.75" customHeight="1">
      <c r="C68" s="485"/>
      <c r="D68" s="485"/>
      <c r="E68" s="2385" t="s">
        <v>2252</v>
      </c>
      <c r="F68" s="2846"/>
      <c r="G68" s="2846"/>
      <c r="H68" s="2846"/>
      <c r="I68" s="2846"/>
      <c r="J68" s="2846"/>
      <c r="K68" s="2846"/>
      <c r="L68" s="2846"/>
      <c r="M68" s="2846"/>
      <c r="N68" s="2846"/>
      <c r="O68" s="1124"/>
      <c r="P68" s="485"/>
    </row>
    <row r="69" spans="1:42" ht="5.0999999999999996" customHeight="1">
      <c r="C69" s="467"/>
      <c r="D69" s="467"/>
      <c r="E69" s="467"/>
      <c r="F69" s="467"/>
      <c r="G69" s="467"/>
      <c r="H69" s="467"/>
      <c r="I69" s="467"/>
      <c r="J69" s="467"/>
      <c r="K69" s="467"/>
      <c r="L69" s="467"/>
      <c r="M69" s="481"/>
      <c r="N69" s="481"/>
      <c r="O69" s="481"/>
      <c r="P69" s="485"/>
      <c r="Q69" s="1117"/>
    </row>
    <row r="70" spans="1:42">
      <c r="C70" s="485"/>
      <c r="D70" s="482" t="s">
        <v>48</v>
      </c>
      <c r="E70" s="2373" t="s">
        <v>846</v>
      </c>
      <c r="F70" s="2400"/>
      <c r="G70" s="2400"/>
      <c r="H70" s="2400"/>
      <c r="I70" s="2585"/>
      <c r="J70" s="3000" t="str">
        <f>c_ALR2025!H29</f>
        <v/>
      </c>
      <c r="K70" s="3046"/>
      <c r="L70" s="3046"/>
      <c r="M70" s="3046"/>
      <c r="N70" s="3047"/>
      <c r="O70" s="1124"/>
      <c r="P70" s="485"/>
      <c r="Y70" s="1140" t="b">
        <f>OR(CNTR_Incumbent=FALSE,CTRL_InputMethodNIMsvalues=2)</f>
        <v>0</v>
      </c>
    </row>
    <row r="71" spans="1:42">
      <c r="C71" s="485"/>
      <c r="D71" s="482"/>
      <c r="E71" s="496"/>
      <c r="F71" s="496"/>
      <c r="G71" s="496"/>
      <c r="H71" s="496"/>
      <c r="I71" s="496"/>
      <c r="J71" s="2875"/>
      <c r="K71" s="2998"/>
      <c r="L71" s="2998"/>
      <c r="M71" s="2998"/>
      <c r="N71" s="2999"/>
      <c r="O71" s="1124"/>
      <c r="P71" s="10"/>
      <c r="Y71" s="1140" t="b">
        <f>CTRL_InputMethodNIMsvalues=1</f>
        <v>1</v>
      </c>
    </row>
    <row r="72" spans="1:42">
      <c r="C72" s="485"/>
      <c r="D72" s="482"/>
      <c r="E72" s="496"/>
      <c r="F72" s="496"/>
      <c r="G72" s="496"/>
      <c r="H72" s="496"/>
      <c r="I72" s="496"/>
      <c r="J72" s="2872" t="str">
        <f>IF(J70 &amp; J71="","",IF(J71="",J70,J71))</f>
        <v/>
      </c>
      <c r="K72" s="2873"/>
      <c r="L72" s="2873"/>
      <c r="M72" s="2873"/>
      <c r="N72" s="2874"/>
      <c r="O72" s="1124"/>
      <c r="P72" s="485"/>
      <c r="AP72" s="1135" t="s">
        <v>2349</v>
      </c>
    </row>
    <row r="73" spans="1:42" ht="13.15" customHeight="1">
      <c r="C73" s="485"/>
      <c r="D73" s="485"/>
      <c r="E73" s="2817" t="s">
        <v>2194</v>
      </c>
      <c r="F73" s="2817"/>
      <c r="G73" s="2817"/>
      <c r="H73" s="2817"/>
      <c r="I73" s="2817"/>
      <c r="J73" s="2817"/>
      <c r="K73" s="2817"/>
      <c r="L73" s="2817"/>
      <c r="M73" s="2817"/>
      <c r="N73" s="2817"/>
      <c r="O73" s="1124"/>
      <c r="P73" s="485"/>
    </row>
    <row r="74" spans="1:42" ht="5.0999999999999996" customHeight="1">
      <c r="C74" s="467"/>
      <c r="D74" s="467"/>
      <c r="E74" s="467"/>
      <c r="F74" s="467"/>
      <c r="G74" s="467"/>
      <c r="H74" s="467"/>
      <c r="I74" s="467"/>
      <c r="J74" s="467"/>
      <c r="K74" s="467"/>
      <c r="L74" s="467"/>
      <c r="M74" s="481"/>
      <c r="N74" s="481"/>
      <c r="O74" s="481"/>
      <c r="P74" s="485"/>
      <c r="Q74" s="1117"/>
    </row>
    <row r="75" spans="1:42" s="562" customFormat="1" ht="13.15" customHeight="1">
      <c r="A75" s="618"/>
      <c r="C75" s="485"/>
      <c r="D75" s="482" t="s">
        <v>881</v>
      </c>
      <c r="E75" s="2373" t="s">
        <v>2195</v>
      </c>
      <c r="F75" s="2400"/>
      <c r="G75" s="2400"/>
      <c r="H75" s="2400"/>
      <c r="I75" s="2585"/>
      <c r="J75" s="1159" t="str">
        <f>c_ALR2025!H34</f>
        <v/>
      </c>
      <c r="Q75" s="1137"/>
      <c r="R75" s="1137"/>
      <c r="S75" s="1137"/>
      <c r="T75" s="1137"/>
      <c r="U75" s="1137"/>
      <c r="V75" s="1137"/>
      <c r="W75" s="1137"/>
      <c r="X75" s="1118"/>
      <c r="Y75" s="1140" t="b">
        <f>CTRL_InputMethodNIMsvalues=2</f>
        <v>0</v>
      </c>
      <c r="AP75" s="1135"/>
    </row>
    <row r="76" spans="1:42" s="562" customFormat="1">
      <c r="A76" s="618"/>
      <c r="C76" s="485"/>
      <c r="D76" s="482"/>
      <c r="E76" s="482"/>
      <c r="F76" s="482"/>
      <c r="G76" s="482"/>
      <c r="H76" s="482"/>
      <c r="I76" s="482"/>
      <c r="J76" s="1246"/>
      <c r="K76" s="568"/>
      <c r="L76" s="568"/>
      <c r="M76" s="485"/>
      <c r="N76" s="485"/>
      <c r="O76" s="481"/>
      <c r="P76" s="10"/>
      <c r="Q76" s="1137"/>
      <c r="R76" s="1137"/>
      <c r="S76" s="1137"/>
      <c r="T76" s="1137"/>
      <c r="U76" s="1137"/>
      <c r="V76" s="1137"/>
      <c r="W76" s="1137"/>
      <c r="X76" s="1118"/>
      <c r="Y76" s="1140" t="b">
        <f>AND(J14&lt;&gt;"",J14=FALSE)</f>
        <v>0</v>
      </c>
      <c r="AP76" s="1135"/>
    </row>
    <row r="77" spans="1:42" s="562" customFormat="1">
      <c r="A77" s="618"/>
      <c r="C77" s="485"/>
      <c r="D77" s="482"/>
      <c r="E77" s="482"/>
      <c r="F77" s="482"/>
      <c r="G77" s="482"/>
      <c r="H77" s="482"/>
      <c r="I77" s="482"/>
      <c r="J77" s="1160" t="str">
        <f>IF(J75 &amp; J76 ="","", IF(J76="",J75,J76))</f>
        <v/>
      </c>
      <c r="K77" s="568"/>
      <c r="L77" s="568"/>
      <c r="M77" s="485"/>
      <c r="N77" s="485"/>
      <c r="O77" s="481"/>
      <c r="P77" s="485"/>
      <c r="Q77" s="1137"/>
      <c r="R77" s="1137"/>
      <c r="S77" s="1137"/>
      <c r="T77" s="1137"/>
      <c r="U77" s="1137"/>
      <c r="V77" s="1137"/>
      <c r="W77" s="1137"/>
      <c r="X77" s="1161"/>
      <c r="Y77" s="1118"/>
      <c r="AP77" s="1135" t="s">
        <v>2350</v>
      </c>
    </row>
    <row r="78" spans="1:42" s="562" customFormat="1" ht="16.149999999999999" customHeight="1">
      <c r="A78" s="618"/>
      <c r="C78" s="485"/>
      <c r="D78" s="485"/>
      <c r="E78" s="2385" t="s">
        <v>1820</v>
      </c>
      <c r="F78" s="2846"/>
      <c r="G78" s="2846"/>
      <c r="H78" s="2846"/>
      <c r="I78" s="2846"/>
      <c r="J78" s="2846"/>
      <c r="K78" s="2846"/>
      <c r="L78" s="2846"/>
      <c r="M78" s="2846"/>
      <c r="N78" s="2846"/>
      <c r="O78" s="481"/>
      <c r="P78" s="485"/>
      <c r="Q78" s="1137"/>
      <c r="R78" s="1137"/>
      <c r="S78" s="1137"/>
      <c r="T78" s="1137"/>
      <c r="U78" s="1137"/>
      <c r="V78" s="1137"/>
      <c r="W78" s="1137"/>
      <c r="X78" s="1137"/>
      <c r="Y78" s="1118"/>
      <c r="AP78" s="1135"/>
    </row>
    <row r="79" spans="1:42" ht="5.0999999999999996" customHeight="1">
      <c r="C79" s="467"/>
      <c r="D79" s="467"/>
      <c r="E79" s="467"/>
      <c r="F79" s="467"/>
      <c r="G79" s="467"/>
      <c r="H79" s="467"/>
      <c r="I79" s="467"/>
      <c r="J79" s="467"/>
      <c r="K79" s="467"/>
      <c r="L79" s="467"/>
      <c r="M79" s="481"/>
      <c r="N79" s="481"/>
      <c r="O79" s="481"/>
      <c r="P79" s="485"/>
      <c r="Q79" s="1117"/>
    </row>
    <row r="80" spans="1:42" ht="13.15" customHeight="1">
      <c r="C80" s="485"/>
      <c r="D80" s="482" t="s">
        <v>57</v>
      </c>
      <c r="E80" s="2373" t="s">
        <v>1796</v>
      </c>
      <c r="F80" s="2400"/>
      <c r="G80" s="2400"/>
      <c r="H80" s="2400"/>
      <c r="I80" s="2585"/>
      <c r="J80" s="1247"/>
      <c r="K80" s="568"/>
      <c r="L80" s="568"/>
      <c r="M80" s="485"/>
      <c r="N80" s="485"/>
      <c r="O80" s="481"/>
      <c r="P80" s="10"/>
      <c r="AP80" s="1135" t="s">
        <v>2351</v>
      </c>
    </row>
    <row r="81" spans="3:42" ht="13.15" customHeight="1">
      <c r="C81" s="485"/>
      <c r="D81" s="485"/>
      <c r="E81" s="2385" t="s">
        <v>1797</v>
      </c>
      <c r="F81" s="2846"/>
      <c r="G81" s="2846"/>
      <c r="H81" s="2846"/>
      <c r="I81" s="2846"/>
      <c r="J81" s="2846"/>
      <c r="K81" s="2846"/>
      <c r="L81" s="2846"/>
      <c r="M81" s="2846"/>
      <c r="N81" s="2846"/>
      <c r="O81" s="481"/>
      <c r="P81" s="485"/>
    </row>
    <row r="82" spans="3:42" ht="5.0999999999999996" customHeight="1">
      <c r="C82" s="467"/>
      <c r="D82" s="467"/>
      <c r="E82" s="467"/>
      <c r="F82" s="467"/>
      <c r="G82" s="467"/>
      <c r="H82" s="467"/>
      <c r="I82" s="467"/>
      <c r="J82" s="467"/>
      <c r="K82" s="467"/>
      <c r="L82" s="467"/>
      <c r="M82" s="481"/>
      <c r="N82" s="481"/>
      <c r="O82" s="481"/>
      <c r="P82" s="485"/>
      <c r="Q82" s="1117"/>
    </row>
    <row r="83" spans="3:42" ht="13.15" customHeight="1">
      <c r="C83" s="485"/>
      <c r="D83" s="482" t="s">
        <v>58</v>
      </c>
      <c r="E83" s="2373" t="s">
        <v>1220</v>
      </c>
      <c r="F83" s="2400"/>
      <c r="G83" s="2400"/>
      <c r="H83" s="2400"/>
      <c r="I83" s="2400"/>
      <c r="J83" s="2400"/>
      <c r="K83" s="2400"/>
      <c r="L83" s="2400"/>
      <c r="M83" s="2400"/>
      <c r="N83" s="2400"/>
      <c r="O83" s="481"/>
      <c r="P83" s="485"/>
    </row>
    <row r="84" spans="3:42" ht="13.15" customHeight="1">
      <c r="C84" s="485"/>
      <c r="D84" s="485"/>
      <c r="E84" s="2385" t="s">
        <v>2320</v>
      </c>
      <c r="F84" s="2385"/>
      <c r="G84" s="2385"/>
      <c r="H84" s="2385"/>
      <c r="I84" s="2385"/>
      <c r="J84" s="2385"/>
      <c r="K84" s="2385"/>
      <c r="L84" s="2385"/>
      <c r="M84" s="2385"/>
      <c r="N84" s="2385"/>
      <c r="O84" s="481"/>
      <c r="P84" s="485"/>
    </row>
    <row r="85" spans="3:42" ht="13.15" customHeight="1">
      <c r="C85" s="485"/>
      <c r="D85" s="485"/>
      <c r="E85" s="2385" t="s">
        <v>2239</v>
      </c>
      <c r="F85" s="2846"/>
      <c r="G85" s="2846"/>
      <c r="H85" s="2846"/>
      <c r="I85" s="2846"/>
      <c r="J85" s="2846"/>
      <c r="K85" s="2846"/>
      <c r="L85" s="2846"/>
      <c r="M85" s="2846"/>
      <c r="N85" s="2846"/>
      <c r="O85" s="481"/>
      <c r="P85" s="1156"/>
    </row>
    <row r="86" spans="3:42" ht="13.15" customHeight="1">
      <c r="C86" s="485"/>
      <c r="D86" s="862"/>
      <c r="E86" s="496"/>
      <c r="F86" s="2386" t="s">
        <v>2140</v>
      </c>
      <c r="G86" s="2400"/>
      <c r="H86" s="2400"/>
      <c r="I86" s="2585"/>
      <c r="J86" s="3000" t="str">
        <f>c_ALR2025!J2611</f>
        <v/>
      </c>
      <c r="K86" s="3046"/>
      <c r="L86" s="3046"/>
      <c r="M86" s="3046"/>
      <c r="N86" s="3047"/>
      <c r="O86" s="481"/>
      <c r="P86" s="10"/>
      <c r="Y86" s="1140" t="b">
        <f>OR(CNTR_Incumbent=FALSE,CTRL_InputMethodNIMsvalues=2)</f>
        <v>0</v>
      </c>
    </row>
    <row r="87" spans="3:42">
      <c r="C87" s="485"/>
      <c r="D87" s="862"/>
      <c r="E87" s="496"/>
      <c r="F87" s="496"/>
      <c r="G87" s="496"/>
      <c r="H87" s="496"/>
      <c r="I87" s="496"/>
      <c r="J87" s="2875"/>
      <c r="K87" s="2998"/>
      <c r="L87" s="2998"/>
      <c r="M87" s="2998"/>
      <c r="N87" s="2999"/>
      <c r="O87" s="481"/>
      <c r="P87" s="485"/>
      <c r="Y87" s="1140" t="b">
        <f>CTRL_InputMethodNIMsvalues=1</f>
        <v>1</v>
      </c>
    </row>
    <row r="88" spans="3:42">
      <c r="C88" s="485"/>
      <c r="D88" s="862"/>
      <c r="E88" s="496"/>
      <c r="F88" s="496"/>
      <c r="G88" s="496"/>
      <c r="H88" s="496"/>
      <c r="I88" s="496"/>
      <c r="J88" s="2872" t="str">
        <f>IF(J86&amp;J87="","",IF(J87="",J86,J87))</f>
        <v/>
      </c>
      <c r="K88" s="2873"/>
      <c r="L88" s="2873"/>
      <c r="M88" s="2873"/>
      <c r="N88" s="2874"/>
      <c r="O88" s="481"/>
      <c r="P88" s="485"/>
      <c r="AP88" s="1135" t="s">
        <v>2352</v>
      </c>
    </row>
    <row r="89" spans="3:42" ht="5.0999999999999996" customHeight="1">
      <c r="C89" s="467"/>
      <c r="D89" s="467"/>
      <c r="E89" s="467"/>
      <c r="F89" s="467"/>
      <c r="G89" s="467"/>
      <c r="H89" s="467"/>
      <c r="I89" s="467"/>
      <c r="J89" s="467"/>
      <c r="K89" s="467"/>
      <c r="L89" s="467"/>
      <c r="M89" s="481"/>
      <c r="N89" s="481"/>
      <c r="O89" s="481"/>
      <c r="P89" s="485"/>
      <c r="Q89" s="1117"/>
    </row>
    <row r="90" spans="3:42" ht="13.15" customHeight="1">
      <c r="C90" s="485"/>
      <c r="D90" s="482"/>
      <c r="E90" s="496"/>
      <c r="F90" s="927" t="s">
        <v>2141</v>
      </c>
      <c r="G90" s="3045"/>
      <c r="H90" s="3045"/>
      <c r="I90" s="3045"/>
      <c r="J90" s="3045"/>
      <c r="K90" s="3045"/>
      <c r="L90" s="3045"/>
      <c r="M90" s="3045"/>
      <c r="N90" s="3045"/>
      <c r="O90" s="481"/>
      <c r="P90" s="485"/>
    </row>
    <row r="91" spans="3:42">
      <c r="C91" s="485"/>
      <c r="D91" s="862"/>
      <c r="E91" s="569" t="s">
        <v>6</v>
      </c>
      <c r="F91" s="2596" t="s">
        <v>539</v>
      </c>
      <c r="G91" s="2948"/>
      <c r="H91" s="2948"/>
      <c r="I91" s="2949"/>
      <c r="J91" s="2909"/>
      <c r="K91" s="2910"/>
      <c r="L91" s="2910"/>
      <c r="M91" s="2910"/>
      <c r="N91" s="2911"/>
      <c r="O91" s="481"/>
      <c r="P91" s="10"/>
      <c r="AP91" s="1135" t="s">
        <v>2585</v>
      </c>
    </row>
    <row r="92" spans="3:42" ht="13.15" customHeight="1">
      <c r="C92" s="485"/>
      <c r="D92" s="862"/>
      <c r="E92" s="569" t="s">
        <v>7</v>
      </c>
      <c r="F92" s="2610" t="s">
        <v>538</v>
      </c>
      <c r="G92" s="2918"/>
      <c r="H92" s="2918"/>
      <c r="I92" s="2919"/>
      <c r="J92" s="2970"/>
      <c r="K92" s="2971"/>
      <c r="L92" s="2971"/>
      <c r="M92" s="2971"/>
      <c r="N92" s="2972"/>
      <c r="O92" s="481"/>
      <c r="P92" s="10"/>
      <c r="AP92" s="1135" t="s">
        <v>2586</v>
      </c>
    </row>
    <row r="93" spans="3:42" ht="5.0999999999999996" customHeight="1">
      <c r="C93" s="467"/>
      <c r="D93" s="467"/>
      <c r="E93" s="1162"/>
      <c r="F93" s="467"/>
      <c r="G93" s="467"/>
      <c r="H93" s="467"/>
      <c r="I93" s="467"/>
      <c r="J93" s="467"/>
      <c r="K93" s="467"/>
      <c r="L93" s="467"/>
      <c r="M93" s="481"/>
      <c r="N93" s="481"/>
      <c r="O93" s="481"/>
      <c r="P93" s="485"/>
      <c r="Q93" s="1117"/>
    </row>
    <row r="94" spans="3:42" ht="13.15" customHeight="1">
      <c r="C94" s="485"/>
      <c r="D94" s="482"/>
      <c r="E94" s="569"/>
      <c r="F94" s="3045" t="s">
        <v>540</v>
      </c>
      <c r="G94" s="2421"/>
      <c r="H94" s="2421"/>
      <c r="I94" s="2421"/>
      <c r="J94" s="2421"/>
      <c r="K94" s="2421"/>
      <c r="L94" s="2421"/>
      <c r="M94" s="2421"/>
      <c r="N94" s="2421"/>
      <c r="O94" s="481"/>
      <c r="P94" s="485"/>
    </row>
    <row r="95" spans="3:42">
      <c r="C95" s="485"/>
      <c r="D95" s="862"/>
      <c r="E95" s="569" t="s">
        <v>8</v>
      </c>
      <c r="F95" s="2596" t="s">
        <v>539</v>
      </c>
      <c r="G95" s="2948"/>
      <c r="H95" s="2948"/>
      <c r="I95" s="2949"/>
      <c r="J95" s="3037"/>
      <c r="K95" s="3038"/>
      <c r="L95" s="3038"/>
      <c r="M95" s="3038"/>
      <c r="N95" s="3039"/>
      <c r="O95" s="481"/>
      <c r="P95" s="10"/>
      <c r="AP95" s="1135" t="s">
        <v>2587</v>
      </c>
    </row>
    <row r="96" spans="3:42" ht="13.15" customHeight="1">
      <c r="C96" s="485"/>
      <c r="D96" s="862"/>
      <c r="E96" s="569" t="s">
        <v>18</v>
      </c>
      <c r="F96" s="2610" t="s">
        <v>538</v>
      </c>
      <c r="G96" s="2918"/>
      <c r="H96" s="2918"/>
      <c r="I96" s="2919"/>
      <c r="J96" s="2970"/>
      <c r="K96" s="2971"/>
      <c r="L96" s="2971"/>
      <c r="M96" s="2971"/>
      <c r="N96" s="2972"/>
      <c r="O96" s="481"/>
      <c r="P96" s="10"/>
      <c r="AP96" s="1135" t="s">
        <v>2584</v>
      </c>
    </row>
    <row r="97" spans="3:42" ht="5.0999999999999996" customHeight="1">
      <c r="C97" s="467"/>
      <c r="D97" s="467"/>
      <c r="E97" s="467"/>
      <c r="F97" s="467"/>
      <c r="G97" s="467"/>
      <c r="H97" s="467"/>
      <c r="I97" s="467"/>
      <c r="J97" s="467"/>
      <c r="K97" s="467"/>
      <c r="L97" s="467"/>
      <c r="M97" s="481"/>
      <c r="N97" s="481"/>
      <c r="O97" s="481"/>
      <c r="P97" s="485"/>
      <c r="Q97" s="1117"/>
    </row>
    <row r="98" spans="3:42">
      <c r="C98" s="485"/>
      <c r="D98" s="482" t="s">
        <v>266</v>
      </c>
      <c r="E98" s="2373" t="s">
        <v>847</v>
      </c>
      <c r="F98" s="2400"/>
      <c r="G98" s="2400"/>
      <c r="H98" s="2400"/>
      <c r="I98" s="2400"/>
      <c r="J98" s="2400"/>
      <c r="K98" s="2400"/>
      <c r="L98" s="2400"/>
      <c r="M98" s="2400"/>
      <c r="N98" s="2400"/>
      <c r="O98" s="481"/>
      <c r="P98" s="485"/>
    </row>
    <row r="99" spans="3:42" ht="25.5" customHeight="1">
      <c r="C99" s="485"/>
      <c r="D99" s="485"/>
      <c r="E99" s="2850" t="s">
        <v>2250</v>
      </c>
      <c r="F99" s="3048"/>
      <c r="G99" s="3048"/>
      <c r="H99" s="3048"/>
      <c r="I99" s="3048"/>
      <c r="J99" s="3048"/>
      <c r="K99" s="3048"/>
      <c r="L99" s="3048"/>
      <c r="M99" s="3048"/>
      <c r="N99" s="3048"/>
      <c r="O99" s="481"/>
      <c r="P99" s="485"/>
    </row>
    <row r="100" spans="3:42" ht="13.15" customHeight="1">
      <c r="C100" s="485"/>
      <c r="D100" s="862"/>
      <c r="E100" s="496"/>
      <c r="F100" s="569" t="s">
        <v>6</v>
      </c>
      <c r="G100" s="2596" t="s">
        <v>786</v>
      </c>
      <c r="H100" s="2948"/>
      <c r="I100" s="2949"/>
      <c r="J100" s="2951">
        <f>c_ALR2025!J2613</f>
        <v>0</v>
      </c>
      <c r="K100" s="2952"/>
      <c r="L100" s="2952"/>
      <c r="M100" s="2952"/>
      <c r="N100" s="2953"/>
      <c r="O100" s="481"/>
      <c r="P100" s="485"/>
      <c r="Y100" s="1140" t="b">
        <f t="shared" ref="Y100:Y108" si="0">OR(CNTR_Incumbent=FALSE,CTRL_InputMethodNIMsvalues=2)</f>
        <v>0</v>
      </c>
      <c r="AP100" s="1135"/>
    </row>
    <row r="101" spans="3:42" ht="13.15" customHeight="1">
      <c r="C101" s="485"/>
      <c r="D101" s="862"/>
      <c r="E101" s="496"/>
      <c r="F101" s="569" t="s">
        <v>7</v>
      </c>
      <c r="G101" s="2965" t="s">
        <v>850</v>
      </c>
      <c r="H101" s="2966"/>
      <c r="I101" s="2967"/>
      <c r="J101" s="2962">
        <f>c_ALR2025!J2614</f>
        <v>0</v>
      </c>
      <c r="K101" s="2963"/>
      <c r="L101" s="2963"/>
      <c r="M101" s="2963"/>
      <c r="N101" s="2964"/>
      <c r="O101" s="481"/>
      <c r="P101" s="485"/>
      <c r="Y101" s="1140" t="b">
        <f t="shared" si="0"/>
        <v>0</v>
      </c>
    </row>
    <row r="102" spans="3:42">
      <c r="C102" s="485"/>
      <c r="D102" s="862"/>
      <c r="E102" s="496"/>
      <c r="F102" s="569" t="s">
        <v>8</v>
      </c>
      <c r="G102" s="865" t="s">
        <v>2091</v>
      </c>
      <c r="H102" s="2600"/>
      <c r="I102" s="2600"/>
      <c r="J102" s="2962">
        <f>c_ALR2025!J2615</f>
        <v>0</v>
      </c>
      <c r="K102" s="2963"/>
      <c r="L102" s="2963"/>
      <c r="M102" s="2963"/>
      <c r="N102" s="2964"/>
      <c r="O102" s="481"/>
      <c r="P102" s="485"/>
      <c r="Y102" s="1140" t="b">
        <f t="shared" si="0"/>
        <v>0</v>
      </c>
      <c r="AP102" s="1135"/>
    </row>
    <row r="103" spans="3:42">
      <c r="C103" s="485"/>
      <c r="D103" s="862"/>
      <c r="E103" s="496"/>
      <c r="F103" s="569" t="s">
        <v>18</v>
      </c>
      <c r="G103" s="2600" t="s">
        <v>851</v>
      </c>
      <c r="H103" s="2956"/>
      <c r="I103" s="2957"/>
      <c r="J103" s="2962">
        <f>c_ALR2025!J2616</f>
        <v>0</v>
      </c>
      <c r="K103" s="2963"/>
      <c r="L103" s="2963"/>
      <c r="M103" s="2963"/>
      <c r="N103" s="2964"/>
      <c r="O103" s="481"/>
      <c r="P103" s="485"/>
      <c r="Y103" s="1140" t="b">
        <f t="shared" si="0"/>
        <v>0</v>
      </c>
    </row>
    <row r="104" spans="3:42">
      <c r="C104" s="485"/>
      <c r="D104" s="862"/>
      <c r="E104" s="496"/>
      <c r="F104" s="569" t="s">
        <v>787</v>
      </c>
      <c r="G104" s="2600" t="s">
        <v>852</v>
      </c>
      <c r="H104" s="2956"/>
      <c r="I104" s="2957"/>
      <c r="J104" s="2962">
        <f>c_ALR2025!J2617</f>
        <v>0</v>
      </c>
      <c r="K104" s="2963"/>
      <c r="L104" s="2963"/>
      <c r="M104" s="2963"/>
      <c r="N104" s="2964"/>
      <c r="O104" s="481"/>
      <c r="P104" s="485"/>
      <c r="Y104" s="1140" t="b">
        <f t="shared" si="0"/>
        <v>0</v>
      </c>
    </row>
    <row r="105" spans="3:42" ht="13.15" customHeight="1">
      <c r="C105" s="485"/>
      <c r="D105" s="862"/>
      <c r="E105" s="496"/>
      <c r="F105" s="569" t="s">
        <v>788</v>
      </c>
      <c r="G105" s="2600" t="s">
        <v>2196</v>
      </c>
      <c r="H105" s="2956"/>
      <c r="I105" s="2957"/>
      <c r="J105" s="2962">
        <f>c_ALR2025!J2618</f>
        <v>0</v>
      </c>
      <c r="K105" s="2963"/>
      <c r="L105" s="2963"/>
      <c r="M105" s="2963"/>
      <c r="N105" s="2964"/>
      <c r="O105" s="481"/>
      <c r="P105" s="485"/>
      <c r="Y105" s="1140" t="b">
        <f t="shared" si="0"/>
        <v>0</v>
      </c>
    </row>
    <row r="106" spans="3:42">
      <c r="C106" s="485"/>
      <c r="D106" s="862"/>
      <c r="E106" s="496"/>
      <c r="F106" s="569" t="s">
        <v>789</v>
      </c>
      <c r="G106" s="2600" t="s">
        <v>854</v>
      </c>
      <c r="H106" s="2956"/>
      <c r="I106" s="2957"/>
      <c r="J106" s="2962">
        <f>c_ALR2025!J2619</f>
        <v>0</v>
      </c>
      <c r="K106" s="2963"/>
      <c r="L106" s="2963"/>
      <c r="M106" s="2963"/>
      <c r="N106" s="2964"/>
      <c r="O106" s="481"/>
      <c r="P106" s="485"/>
      <c r="Y106" s="1140" t="b">
        <f t="shared" si="0"/>
        <v>0</v>
      </c>
    </row>
    <row r="107" spans="3:42">
      <c r="C107" s="485"/>
      <c r="D107" s="862"/>
      <c r="E107" s="496"/>
      <c r="F107" s="569" t="s">
        <v>790</v>
      </c>
      <c r="G107" s="2912" t="s">
        <v>855</v>
      </c>
      <c r="H107" s="2913"/>
      <c r="I107" s="2914"/>
      <c r="J107" s="2973">
        <f>c_ALR2025!J2620</f>
        <v>0</v>
      </c>
      <c r="K107" s="2974"/>
      <c r="L107" s="2974"/>
      <c r="M107" s="2974"/>
      <c r="N107" s="2975"/>
      <c r="O107" s="481"/>
      <c r="P107" s="485"/>
      <c r="Y107" s="1140" t="b">
        <f t="shared" si="0"/>
        <v>0</v>
      </c>
    </row>
    <row r="108" spans="3:42" ht="6" customHeight="1">
      <c r="C108" s="485"/>
      <c r="D108" s="862"/>
      <c r="E108" s="496"/>
      <c r="F108" s="1163" t="s">
        <v>791</v>
      </c>
      <c r="G108" s="2950" t="s">
        <v>856</v>
      </c>
      <c r="H108" s="2915"/>
      <c r="I108" s="2915"/>
      <c r="J108" s="2916"/>
      <c r="K108" s="2916"/>
      <c r="L108" s="2916"/>
      <c r="M108" s="2916"/>
      <c r="N108" s="2916"/>
      <c r="O108" s="481"/>
      <c r="P108" s="485"/>
      <c r="Y108" s="1140" t="b">
        <f t="shared" si="0"/>
        <v>0</v>
      </c>
    </row>
    <row r="109" spans="3:42" ht="5.0999999999999996" customHeight="1">
      <c r="C109" s="467"/>
      <c r="D109" s="467"/>
      <c r="E109" s="467"/>
      <c r="F109" s="467"/>
      <c r="G109" s="467"/>
      <c r="H109" s="467"/>
      <c r="I109" s="467"/>
      <c r="J109" s="467"/>
      <c r="K109" s="467"/>
      <c r="L109" s="467"/>
      <c r="M109" s="481"/>
      <c r="N109" s="481"/>
      <c r="O109" s="481"/>
      <c r="P109" s="485"/>
      <c r="Q109" s="1117"/>
    </row>
    <row r="110" spans="3:42" ht="13.15" customHeight="1">
      <c r="C110" s="485"/>
      <c r="D110" s="862"/>
      <c r="E110" s="496"/>
      <c r="F110" s="569" t="s">
        <v>6</v>
      </c>
      <c r="G110" s="2596" t="s">
        <v>786</v>
      </c>
      <c r="H110" s="2948"/>
      <c r="I110" s="2949"/>
      <c r="J110" s="2909"/>
      <c r="K110" s="2910"/>
      <c r="L110" s="2910"/>
      <c r="M110" s="2910"/>
      <c r="N110" s="2911"/>
      <c r="O110" s="481"/>
      <c r="P110" s="10"/>
      <c r="Y110" s="1140" t="b">
        <f t="shared" ref="Y110:Y117" si="1">CTRL_InputMethodNIMsvalues=1</f>
        <v>1</v>
      </c>
    </row>
    <row r="111" spans="3:42" ht="13.15" customHeight="1">
      <c r="C111" s="485"/>
      <c r="D111" s="862"/>
      <c r="E111" s="496"/>
      <c r="F111" s="569" t="s">
        <v>7</v>
      </c>
      <c r="G111" s="2965" t="s">
        <v>850</v>
      </c>
      <c r="H111" s="2966"/>
      <c r="I111" s="2967"/>
      <c r="J111" s="2900"/>
      <c r="K111" s="2901"/>
      <c r="L111" s="2901"/>
      <c r="M111" s="2901"/>
      <c r="N111" s="2902"/>
      <c r="O111" s="481"/>
      <c r="P111" s="10"/>
      <c r="Y111" s="1140" t="b">
        <f t="shared" si="1"/>
        <v>1</v>
      </c>
    </row>
    <row r="112" spans="3:42">
      <c r="C112" s="485"/>
      <c r="D112" s="862"/>
      <c r="E112" s="496"/>
      <c r="F112" s="569" t="s">
        <v>8</v>
      </c>
      <c r="G112" s="865" t="s">
        <v>2091</v>
      </c>
      <c r="H112" s="2600"/>
      <c r="I112" s="2600"/>
      <c r="J112" s="2900"/>
      <c r="K112" s="2901"/>
      <c r="L112" s="2901"/>
      <c r="M112" s="2901"/>
      <c r="N112" s="2902"/>
      <c r="O112" s="481"/>
      <c r="P112" s="10"/>
      <c r="Y112" s="1140" t="b">
        <f t="shared" si="1"/>
        <v>1</v>
      </c>
    </row>
    <row r="113" spans="3:42">
      <c r="C113" s="485"/>
      <c r="D113" s="862"/>
      <c r="E113" s="496"/>
      <c r="F113" s="569" t="s">
        <v>18</v>
      </c>
      <c r="G113" s="2600" t="s">
        <v>851</v>
      </c>
      <c r="H113" s="2956"/>
      <c r="I113" s="2957"/>
      <c r="J113" s="2900"/>
      <c r="K113" s="2901"/>
      <c r="L113" s="2901"/>
      <c r="M113" s="2901"/>
      <c r="N113" s="2902"/>
      <c r="O113" s="481"/>
      <c r="P113" s="10"/>
      <c r="Y113" s="1140" t="b">
        <f t="shared" si="1"/>
        <v>1</v>
      </c>
    </row>
    <row r="114" spans="3:42">
      <c r="C114" s="485"/>
      <c r="D114" s="862"/>
      <c r="E114" s="496"/>
      <c r="F114" s="569" t="s">
        <v>787</v>
      </c>
      <c r="G114" s="2600" t="s">
        <v>852</v>
      </c>
      <c r="H114" s="2956"/>
      <c r="I114" s="2957"/>
      <c r="J114" s="2900"/>
      <c r="K114" s="2901"/>
      <c r="L114" s="2901"/>
      <c r="M114" s="2901"/>
      <c r="N114" s="2902"/>
      <c r="O114" s="481"/>
      <c r="P114" s="10"/>
      <c r="Y114" s="1140" t="b">
        <f t="shared" si="1"/>
        <v>1</v>
      </c>
    </row>
    <row r="115" spans="3:42" ht="13.15" customHeight="1">
      <c r="C115" s="485"/>
      <c r="D115" s="862"/>
      <c r="E115" s="496"/>
      <c r="F115" s="569" t="s">
        <v>788</v>
      </c>
      <c r="G115" s="2600" t="s">
        <v>853</v>
      </c>
      <c r="H115" s="2956"/>
      <c r="I115" s="2957"/>
      <c r="J115" s="2900"/>
      <c r="K115" s="2901"/>
      <c r="L115" s="2901"/>
      <c r="M115" s="2901"/>
      <c r="N115" s="2902"/>
      <c r="O115" s="481"/>
      <c r="P115" s="10"/>
      <c r="Y115" s="1140" t="b">
        <f t="shared" si="1"/>
        <v>1</v>
      </c>
    </row>
    <row r="116" spans="3:42">
      <c r="C116" s="485"/>
      <c r="D116" s="862"/>
      <c r="E116" s="496"/>
      <c r="F116" s="569" t="s">
        <v>789</v>
      </c>
      <c r="G116" s="2600" t="s">
        <v>854</v>
      </c>
      <c r="H116" s="2956"/>
      <c r="I116" s="2957"/>
      <c r="J116" s="2900"/>
      <c r="K116" s="2901"/>
      <c r="L116" s="2901"/>
      <c r="M116" s="2901"/>
      <c r="N116" s="2902"/>
      <c r="O116" s="481"/>
      <c r="P116" s="10"/>
      <c r="Y116" s="1140" t="b">
        <f t="shared" si="1"/>
        <v>1</v>
      </c>
    </row>
    <row r="117" spans="3:42">
      <c r="C117" s="485"/>
      <c r="D117" s="862"/>
      <c r="E117" s="496"/>
      <c r="F117" s="569" t="s">
        <v>790</v>
      </c>
      <c r="G117" s="2912" t="s">
        <v>855</v>
      </c>
      <c r="H117" s="2913"/>
      <c r="I117" s="2914"/>
      <c r="J117" s="2903"/>
      <c r="K117" s="2904"/>
      <c r="L117" s="2904"/>
      <c r="M117" s="2904"/>
      <c r="N117" s="2905"/>
      <c r="O117" s="481"/>
      <c r="P117" s="10"/>
      <c r="Y117" s="1140" t="b">
        <f t="shared" si="1"/>
        <v>1</v>
      </c>
    </row>
    <row r="118" spans="3:42" ht="4.9000000000000004" customHeight="1">
      <c r="C118" s="485"/>
      <c r="D118" s="862"/>
      <c r="E118" s="496"/>
      <c r="F118" s="1163" t="s">
        <v>791</v>
      </c>
      <c r="G118" s="2950" t="s">
        <v>856</v>
      </c>
      <c r="H118" s="2915"/>
      <c r="I118" s="2915"/>
      <c r="J118" s="2916"/>
      <c r="K118" s="2916"/>
      <c r="L118" s="2916"/>
      <c r="M118" s="2916"/>
      <c r="N118" s="2916"/>
      <c r="O118" s="481"/>
      <c r="P118" s="1164"/>
    </row>
    <row r="119" spans="3:42" ht="5.0999999999999996" customHeight="1">
      <c r="C119" s="467"/>
      <c r="D119" s="467"/>
      <c r="E119" s="467"/>
      <c r="F119" s="467"/>
      <c r="G119" s="467"/>
      <c r="H119" s="467"/>
      <c r="I119" s="467"/>
      <c r="J119" s="467"/>
      <c r="K119" s="467"/>
      <c r="L119" s="467"/>
      <c r="M119" s="481"/>
      <c r="N119" s="481"/>
      <c r="O119" s="481"/>
      <c r="P119" s="485"/>
      <c r="Q119" s="1117"/>
    </row>
    <row r="120" spans="3:42" ht="13.15" customHeight="1">
      <c r="C120" s="485"/>
      <c r="D120" s="862"/>
      <c r="E120" s="496"/>
      <c r="F120" s="569" t="s">
        <v>6</v>
      </c>
      <c r="G120" s="2596" t="s">
        <v>786</v>
      </c>
      <c r="H120" s="2948"/>
      <c r="I120" s="2949"/>
      <c r="J120" s="2830">
        <f>IF(J100 &amp; J110 = "","",IF(J110="",J100,J110))</f>
        <v>0</v>
      </c>
      <c r="K120" s="2832"/>
      <c r="L120" s="2832"/>
      <c r="M120" s="2832"/>
      <c r="N120" s="2833"/>
      <c r="O120" s="481"/>
      <c r="P120" s="485"/>
      <c r="AP120" s="1135" t="s">
        <v>2353</v>
      </c>
    </row>
    <row r="121" spans="3:42" ht="13.15" customHeight="1">
      <c r="C121" s="485"/>
      <c r="D121" s="862"/>
      <c r="E121" s="496"/>
      <c r="F121" s="569" t="s">
        <v>7</v>
      </c>
      <c r="G121" s="2965" t="s">
        <v>850</v>
      </c>
      <c r="H121" s="2966"/>
      <c r="I121" s="2967"/>
      <c r="J121" s="2825">
        <f t="shared" ref="J121:J127" si="2">IF(J101 &amp; J111 = "","",IF(J111="",J101,J111))</f>
        <v>0</v>
      </c>
      <c r="K121" s="2827"/>
      <c r="L121" s="2827"/>
      <c r="M121" s="2827"/>
      <c r="N121" s="2826"/>
      <c r="O121" s="481"/>
      <c r="P121" s="485"/>
    </row>
    <row r="122" spans="3:42">
      <c r="C122" s="485"/>
      <c r="D122" s="862"/>
      <c r="E122" s="496"/>
      <c r="F122" s="569" t="s">
        <v>8</v>
      </c>
      <c r="G122" s="2600" t="s">
        <v>2094</v>
      </c>
      <c r="H122" s="2600"/>
      <c r="I122" s="2600"/>
      <c r="J122" s="2825">
        <f t="shared" si="2"/>
        <v>0</v>
      </c>
      <c r="K122" s="2827"/>
      <c r="L122" s="2827"/>
      <c r="M122" s="2827"/>
      <c r="N122" s="2826"/>
      <c r="O122" s="481"/>
      <c r="P122" s="485"/>
      <c r="AP122" s="1135" t="s">
        <v>2588</v>
      </c>
    </row>
    <row r="123" spans="3:42">
      <c r="C123" s="485"/>
      <c r="D123" s="862"/>
      <c r="E123" s="496"/>
      <c r="F123" s="569" t="s">
        <v>18</v>
      </c>
      <c r="G123" s="2600" t="s">
        <v>851</v>
      </c>
      <c r="H123" s="2956"/>
      <c r="I123" s="2957"/>
      <c r="J123" s="2825">
        <f t="shared" si="2"/>
        <v>0</v>
      </c>
      <c r="K123" s="2827"/>
      <c r="L123" s="2827"/>
      <c r="M123" s="2827"/>
      <c r="N123" s="2826"/>
      <c r="O123" s="481"/>
      <c r="P123" s="485"/>
    </row>
    <row r="124" spans="3:42">
      <c r="C124" s="485"/>
      <c r="D124" s="862"/>
      <c r="E124" s="496"/>
      <c r="F124" s="569" t="s">
        <v>787</v>
      </c>
      <c r="G124" s="2600" t="s">
        <v>852</v>
      </c>
      <c r="H124" s="2956"/>
      <c r="I124" s="2957"/>
      <c r="J124" s="2825">
        <f t="shared" si="2"/>
        <v>0</v>
      </c>
      <c r="K124" s="2827"/>
      <c r="L124" s="2827"/>
      <c r="M124" s="2827"/>
      <c r="N124" s="2826"/>
      <c r="O124" s="481"/>
      <c r="P124" s="485"/>
    </row>
    <row r="125" spans="3:42" ht="13.15" customHeight="1">
      <c r="C125" s="485"/>
      <c r="D125" s="862"/>
      <c r="E125" s="496"/>
      <c r="F125" s="569" t="s">
        <v>788</v>
      </c>
      <c r="G125" s="2600" t="s">
        <v>853</v>
      </c>
      <c r="H125" s="2956"/>
      <c r="I125" s="2957"/>
      <c r="J125" s="2825">
        <f t="shared" si="2"/>
        <v>0</v>
      </c>
      <c r="K125" s="2827"/>
      <c r="L125" s="2827"/>
      <c r="M125" s="2827"/>
      <c r="N125" s="2826"/>
      <c r="O125" s="481"/>
      <c r="P125" s="485"/>
    </row>
    <row r="126" spans="3:42">
      <c r="C126" s="485"/>
      <c r="D126" s="862"/>
      <c r="E126" s="496"/>
      <c r="F126" s="569" t="s">
        <v>789</v>
      </c>
      <c r="G126" s="2600" t="s">
        <v>854</v>
      </c>
      <c r="H126" s="2956"/>
      <c r="I126" s="2957"/>
      <c r="J126" s="2825">
        <f t="shared" si="2"/>
        <v>0</v>
      </c>
      <c r="K126" s="2827"/>
      <c r="L126" s="2827"/>
      <c r="M126" s="2827"/>
      <c r="N126" s="2826"/>
      <c r="O126" s="481"/>
      <c r="P126" s="485"/>
    </row>
    <row r="127" spans="3:42">
      <c r="C127" s="485"/>
      <c r="D127" s="862"/>
      <c r="E127" s="496"/>
      <c r="F127" s="569" t="s">
        <v>790</v>
      </c>
      <c r="G127" s="2912" t="s">
        <v>855</v>
      </c>
      <c r="H127" s="2913"/>
      <c r="I127" s="2914"/>
      <c r="J127" s="2820">
        <f t="shared" si="2"/>
        <v>0</v>
      </c>
      <c r="K127" s="2822"/>
      <c r="L127" s="2822"/>
      <c r="M127" s="2822"/>
      <c r="N127" s="2821"/>
      <c r="O127" s="481"/>
      <c r="P127" s="485"/>
    </row>
    <row r="128" spans="3:42" ht="6.6" customHeight="1">
      <c r="C128" s="485"/>
      <c r="D128" s="862"/>
      <c r="E128" s="496"/>
      <c r="F128" s="1163" t="s">
        <v>791</v>
      </c>
      <c r="G128" s="2950" t="s">
        <v>856</v>
      </c>
      <c r="H128" s="2915"/>
      <c r="I128" s="2915"/>
      <c r="J128" s="2916"/>
      <c r="K128" s="2916"/>
      <c r="L128" s="2916"/>
      <c r="M128" s="2916"/>
      <c r="N128" s="2916"/>
      <c r="O128" s="481"/>
      <c r="P128" s="485"/>
    </row>
    <row r="129" spans="3:42" ht="5.0999999999999996" customHeight="1">
      <c r="C129" s="467"/>
      <c r="D129" s="467"/>
      <c r="E129" s="467"/>
      <c r="F129" s="467"/>
      <c r="G129" s="467"/>
      <c r="H129" s="467"/>
      <c r="I129" s="467"/>
      <c r="J129" s="467"/>
      <c r="K129" s="467"/>
      <c r="L129" s="467"/>
      <c r="M129" s="481"/>
      <c r="N129" s="481"/>
      <c r="O129" s="481"/>
      <c r="P129" s="485"/>
      <c r="Q129" s="1117"/>
    </row>
    <row r="130" spans="3:42">
      <c r="C130" s="485"/>
      <c r="D130" s="482" t="s">
        <v>269</v>
      </c>
      <c r="E130" s="2373" t="s">
        <v>849</v>
      </c>
      <c r="F130" s="2400"/>
      <c r="G130" s="2400"/>
      <c r="H130" s="2400"/>
      <c r="I130" s="2400"/>
      <c r="J130" s="2400"/>
      <c r="K130" s="2400"/>
      <c r="L130" s="2400"/>
      <c r="M130" s="2400"/>
      <c r="N130" s="2400"/>
      <c r="O130" s="481"/>
      <c r="P130" s="485"/>
    </row>
    <row r="131" spans="3:42" ht="13.15" customHeight="1">
      <c r="C131" s="485"/>
      <c r="D131" s="862"/>
      <c r="E131" s="496"/>
      <c r="F131" s="569" t="s">
        <v>6</v>
      </c>
      <c r="G131" s="2596" t="s">
        <v>850</v>
      </c>
      <c r="H131" s="2948"/>
      <c r="I131" s="2949"/>
      <c r="J131" s="2951">
        <f>c_ALR2025!J2624</f>
        <v>0</v>
      </c>
      <c r="K131" s="2952"/>
      <c r="L131" s="2952"/>
      <c r="M131" s="2952"/>
      <c r="N131" s="2953"/>
      <c r="O131" s="481"/>
      <c r="P131" s="485"/>
      <c r="Y131" s="1140" t="b">
        <f>OR(CNTR_Incumbent=FALSE,CTRL_InputMethodNIMsvalues=2)</f>
        <v>0</v>
      </c>
    </row>
    <row r="132" spans="3:42">
      <c r="C132" s="485"/>
      <c r="D132" s="862"/>
      <c r="E132" s="496"/>
      <c r="F132" s="569" t="s">
        <v>7</v>
      </c>
      <c r="G132" s="2600" t="s">
        <v>2094</v>
      </c>
      <c r="H132" s="2600"/>
      <c r="I132" s="2600"/>
      <c r="J132" s="2962">
        <f>c_ALR2025!J2625</f>
        <v>0</v>
      </c>
      <c r="K132" s="2963"/>
      <c r="L132" s="2963"/>
      <c r="M132" s="2963"/>
      <c r="N132" s="2964"/>
      <c r="O132" s="481"/>
      <c r="P132" s="485"/>
      <c r="Y132" s="1140" t="b">
        <f>OR(CNTR_Incumbent=FALSE,CTRL_InputMethodNIMsvalues=2)</f>
        <v>0</v>
      </c>
      <c r="AP132" s="1135" t="s">
        <v>2354</v>
      </c>
    </row>
    <row r="133" spans="3:42">
      <c r="C133" s="485"/>
      <c r="D133" s="862"/>
      <c r="E133" s="496"/>
      <c r="F133" s="569" t="s">
        <v>8</v>
      </c>
      <c r="G133" s="2600" t="s">
        <v>851</v>
      </c>
      <c r="H133" s="2956"/>
      <c r="I133" s="2957"/>
      <c r="J133" s="2962">
        <f>c_ALR2025!J2626</f>
        <v>0</v>
      </c>
      <c r="K133" s="2963"/>
      <c r="L133" s="2963"/>
      <c r="M133" s="2963"/>
      <c r="N133" s="2964"/>
      <c r="O133" s="481"/>
      <c r="P133" s="485"/>
      <c r="Y133" s="1140" t="b">
        <f>OR(CNTR_Incumbent=FALSE,CTRL_InputMethodNIMsvalues=2)</f>
        <v>0</v>
      </c>
    </row>
    <row r="134" spans="3:42">
      <c r="C134" s="485"/>
      <c r="D134" s="862"/>
      <c r="E134" s="496"/>
      <c r="F134" s="569" t="s">
        <v>18</v>
      </c>
      <c r="G134" s="2610" t="s">
        <v>852</v>
      </c>
      <c r="H134" s="2918"/>
      <c r="I134" s="2919"/>
      <c r="J134" s="3042">
        <f>c_ALR2025!J2627</f>
        <v>0</v>
      </c>
      <c r="K134" s="3043"/>
      <c r="L134" s="3043"/>
      <c r="M134" s="3043"/>
      <c r="N134" s="3044"/>
      <c r="O134" s="481"/>
      <c r="P134" s="485"/>
      <c r="Y134" s="1140" t="b">
        <f>OR(CNTR_Incumbent=FALSE,CTRL_InputMethodNIMsvalues=2)</f>
        <v>0</v>
      </c>
    </row>
    <row r="135" spans="3:42" ht="5.0999999999999996" customHeight="1">
      <c r="C135" s="467"/>
      <c r="D135" s="467"/>
      <c r="E135" s="467"/>
      <c r="F135" s="467"/>
      <c r="G135" s="467"/>
      <c r="H135" s="467"/>
      <c r="I135" s="467"/>
      <c r="J135" s="1165"/>
      <c r="K135" s="1165"/>
      <c r="L135" s="1165"/>
      <c r="M135" s="1166"/>
      <c r="N135" s="1166"/>
      <c r="O135" s="481"/>
      <c r="P135" s="485"/>
      <c r="Q135" s="1117"/>
    </row>
    <row r="136" spans="3:42" ht="13.15" customHeight="1">
      <c r="C136" s="485"/>
      <c r="D136" s="862"/>
      <c r="E136" s="496"/>
      <c r="F136" s="569" t="s">
        <v>6</v>
      </c>
      <c r="G136" s="2596" t="s">
        <v>850</v>
      </c>
      <c r="H136" s="2948"/>
      <c r="I136" s="2949"/>
      <c r="J136" s="2909"/>
      <c r="K136" s="2910"/>
      <c r="L136" s="2910"/>
      <c r="M136" s="2910"/>
      <c r="N136" s="2911"/>
      <c r="O136" s="481"/>
      <c r="P136" s="10"/>
      <c r="Y136" s="1140" t="b">
        <f>CTRL_InputMethodNIMsvalues=1</f>
        <v>1</v>
      </c>
    </row>
    <row r="137" spans="3:42">
      <c r="C137" s="485"/>
      <c r="D137" s="862"/>
      <c r="E137" s="496"/>
      <c r="F137" s="569" t="s">
        <v>7</v>
      </c>
      <c r="G137" s="865" t="s">
        <v>2094</v>
      </c>
      <c r="H137" s="2600"/>
      <c r="I137" s="2600"/>
      <c r="J137" s="2900"/>
      <c r="K137" s="2901"/>
      <c r="L137" s="2901"/>
      <c r="M137" s="2901"/>
      <c r="N137" s="2902"/>
      <c r="O137" s="481"/>
      <c r="P137" s="10"/>
      <c r="Y137" s="1140" t="b">
        <f>CTRL_InputMethodNIMsvalues=1</f>
        <v>1</v>
      </c>
    </row>
    <row r="138" spans="3:42">
      <c r="C138" s="485"/>
      <c r="D138" s="862"/>
      <c r="E138" s="496"/>
      <c r="F138" s="569" t="s">
        <v>8</v>
      </c>
      <c r="G138" s="2600" t="s">
        <v>851</v>
      </c>
      <c r="H138" s="2956"/>
      <c r="I138" s="2957"/>
      <c r="J138" s="2900"/>
      <c r="K138" s="2901"/>
      <c r="L138" s="2901"/>
      <c r="M138" s="2901"/>
      <c r="N138" s="2902"/>
      <c r="O138" s="481"/>
      <c r="P138" s="10"/>
      <c r="Y138" s="1140" t="b">
        <f>CTRL_InputMethodNIMsvalues=1</f>
        <v>1</v>
      </c>
    </row>
    <row r="139" spans="3:42">
      <c r="C139" s="485"/>
      <c r="D139" s="862"/>
      <c r="E139" s="496"/>
      <c r="F139" s="569" t="s">
        <v>18</v>
      </c>
      <c r="G139" s="2610" t="s">
        <v>852</v>
      </c>
      <c r="H139" s="2918"/>
      <c r="I139" s="2919"/>
      <c r="J139" s="2970"/>
      <c r="K139" s="2971"/>
      <c r="L139" s="2971"/>
      <c r="M139" s="2971"/>
      <c r="N139" s="2972"/>
      <c r="O139" s="481"/>
      <c r="P139" s="10"/>
    </row>
    <row r="140" spans="3:42" ht="5.0999999999999996" customHeight="1">
      <c r="C140" s="467"/>
      <c r="D140" s="467"/>
      <c r="E140" s="467"/>
      <c r="F140" s="467"/>
      <c r="G140" s="467"/>
      <c r="H140" s="467"/>
      <c r="I140" s="467"/>
      <c r="J140" s="1165"/>
      <c r="K140" s="1165"/>
      <c r="L140" s="1165"/>
      <c r="M140" s="1166"/>
      <c r="N140" s="1166"/>
      <c r="O140" s="481"/>
      <c r="P140" s="485"/>
      <c r="Q140" s="1117"/>
    </row>
    <row r="141" spans="3:42" ht="13.15" customHeight="1">
      <c r="C141" s="485"/>
      <c r="D141" s="862"/>
      <c r="E141" s="496"/>
      <c r="F141" s="569" t="s">
        <v>6</v>
      </c>
      <c r="G141" s="2596" t="s">
        <v>850</v>
      </c>
      <c r="H141" s="2948"/>
      <c r="I141" s="2949"/>
      <c r="J141" s="2830">
        <f>IF(J131 &amp; J136 = "","",IF(J136="",J131,J136))</f>
        <v>0</v>
      </c>
      <c r="K141" s="2832"/>
      <c r="L141" s="2832"/>
      <c r="M141" s="2832"/>
      <c r="N141" s="2833"/>
      <c r="O141" s="481"/>
      <c r="P141" s="485"/>
    </row>
    <row r="142" spans="3:42">
      <c r="C142" s="485"/>
      <c r="D142" s="862"/>
      <c r="E142" s="496"/>
      <c r="F142" s="569" t="s">
        <v>7</v>
      </c>
      <c r="G142" s="865" t="s">
        <v>2094</v>
      </c>
      <c r="H142" s="2600"/>
      <c r="I142" s="2600"/>
      <c r="J142" s="2825">
        <f t="shared" ref="J142:J144" si="3">IF(J132 &amp; J137 = "","",IF(J137="",J132,J137))</f>
        <v>0</v>
      </c>
      <c r="K142" s="2827"/>
      <c r="L142" s="2827"/>
      <c r="M142" s="2827"/>
      <c r="N142" s="2826"/>
      <c r="O142" s="481"/>
      <c r="P142" s="485"/>
      <c r="AP142" s="1135" t="s">
        <v>2354</v>
      </c>
    </row>
    <row r="143" spans="3:42">
      <c r="C143" s="485"/>
      <c r="D143" s="862"/>
      <c r="E143" s="496"/>
      <c r="F143" s="569" t="s">
        <v>8</v>
      </c>
      <c r="G143" s="2600" t="s">
        <v>851</v>
      </c>
      <c r="H143" s="2956"/>
      <c r="I143" s="2957"/>
      <c r="J143" s="2825">
        <f t="shared" si="3"/>
        <v>0</v>
      </c>
      <c r="K143" s="2827"/>
      <c r="L143" s="2827"/>
      <c r="M143" s="2827"/>
      <c r="N143" s="2826"/>
      <c r="O143" s="481"/>
      <c r="P143" s="485"/>
    </row>
    <row r="144" spans="3:42">
      <c r="C144" s="485"/>
      <c r="D144" s="862"/>
      <c r="E144" s="496"/>
      <c r="F144" s="569" t="s">
        <v>18</v>
      </c>
      <c r="G144" s="2610" t="s">
        <v>852</v>
      </c>
      <c r="H144" s="2918"/>
      <c r="I144" s="2919"/>
      <c r="J144" s="2820">
        <f t="shared" si="3"/>
        <v>0</v>
      </c>
      <c r="K144" s="2822"/>
      <c r="L144" s="2822"/>
      <c r="M144" s="2822"/>
      <c r="N144" s="2821"/>
      <c r="O144" s="481"/>
      <c r="P144" s="485"/>
    </row>
    <row r="145" spans="1:42" ht="5.0999999999999996" customHeight="1">
      <c r="C145" s="467"/>
      <c r="D145" s="467"/>
      <c r="E145" s="467"/>
      <c r="F145" s="467"/>
      <c r="G145" s="467"/>
      <c r="H145" s="467"/>
      <c r="I145" s="467"/>
      <c r="J145" s="467"/>
      <c r="K145" s="467"/>
      <c r="L145" s="467"/>
      <c r="M145" s="481"/>
      <c r="N145" s="481"/>
      <c r="O145" s="481"/>
      <c r="P145" s="485"/>
    </row>
    <row r="146" spans="1:42" ht="12.75" customHeight="1">
      <c r="C146" s="467"/>
      <c r="D146" s="482" t="s">
        <v>271</v>
      </c>
      <c r="E146" s="3035" t="s">
        <v>1645</v>
      </c>
      <c r="F146" s="3036"/>
      <c r="G146" s="3036"/>
      <c r="H146" s="3036"/>
      <c r="I146" s="3036"/>
      <c r="J146" s="3036"/>
      <c r="K146" s="3036"/>
      <c r="L146" s="3036"/>
      <c r="M146" s="3036"/>
      <c r="N146" s="3036"/>
      <c r="O146" s="481"/>
      <c r="P146" s="485"/>
    </row>
    <row r="147" spans="1:42" ht="12.75" customHeight="1">
      <c r="C147" s="467"/>
      <c r="D147" s="482"/>
      <c r="E147" s="2944" t="s">
        <v>1809</v>
      </c>
      <c r="F147" s="2945"/>
      <c r="G147" s="2945"/>
      <c r="H147" s="2945"/>
      <c r="I147" s="2945"/>
      <c r="J147" s="2945"/>
      <c r="K147" s="2945"/>
      <c r="L147" s="2945"/>
      <c r="M147" s="2945"/>
      <c r="N147" s="2945"/>
      <c r="O147" s="481"/>
      <c r="P147" s="485"/>
    </row>
    <row r="148" spans="1:42" ht="38.85" customHeight="1">
      <c r="C148" s="467"/>
      <c r="D148" s="482"/>
      <c r="E148" s="2944" t="s">
        <v>2253</v>
      </c>
      <c r="F148" s="2945"/>
      <c r="G148" s="2945"/>
      <c r="H148" s="2945"/>
      <c r="I148" s="2945"/>
      <c r="J148" s="2945"/>
      <c r="K148" s="2945"/>
      <c r="L148" s="2945"/>
      <c r="M148" s="2945"/>
      <c r="N148" s="2945"/>
      <c r="O148" s="481"/>
      <c r="P148" s="485"/>
    </row>
    <row r="149" spans="1:42" s="1132" customFormat="1" ht="12.75" customHeight="1">
      <c r="A149" s="1125"/>
      <c r="C149" s="471"/>
      <c r="D149" s="1128"/>
      <c r="E149" s="3040" t="s">
        <v>2253</v>
      </c>
      <c r="F149" s="3041"/>
      <c r="G149" s="3041"/>
      <c r="H149" s="3041"/>
      <c r="I149" s="3041"/>
      <c r="J149" s="3041"/>
      <c r="K149" s="3041"/>
      <c r="L149" s="3041"/>
      <c r="M149" s="3041"/>
      <c r="N149" s="3041"/>
      <c r="O149" s="1127"/>
      <c r="P149" s="1127"/>
      <c r="AP149" s="1167"/>
    </row>
    <row r="150" spans="1:42" ht="12.75" customHeight="1">
      <c r="C150" s="467"/>
      <c r="D150" s="467"/>
      <c r="E150" s="1168"/>
      <c r="F150" s="1169" t="s">
        <v>6</v>
      </c>
      <c r="G150" s="2920" t="s">
        <v>1719</v>
      </c>
      <c r="H150" s="2921"/>
      <c r="I150" s="2921"/>
      <c r="J150" s="2968"/>
      <c r="K150" s="2969"/>
      <c r="L150" s="2969"/>
      <c r="M150" s="2969"/>
      <c r="N150" s="2969"/>
      <c r="O150" s="481"/>
      <c r="P150" s="10"/>
    </row>
    <row r="151" spans="1:42" ht="25.5" customHeight="1">
      <c r="C151" s="467"/>
      <c r="D151" s="467"/>
      <c r="E151" s="1168"/>
      <c r="F151" s="1169" t="s">
        <v>7</v>
      </c>
      <c r="G151" s="2959" t="s">
        <v>1720</v>
      </c>
      <c r="H151" s="2960"/>
      <c r="I151" s="2961"/>
      <c r="J151" s="2968"/>
      <c r="K151" s="2969"/>
      <c r="L151" s="2969"/>
      <c r="M151" s="2969"/>
      <c r="N151" s="2969"/>
      <c r="O151" s="481"/>
      <c r="P151" s="10"/>
    </row>
    <row r="152" spans="1:42" ht="12.75" customHeight="1">
      <c r="C152" s="467"/>
      <c r="D152" s="467"/>
      <c r="E152" s="1168"/>
      <c r="F152" s="1169" t="s">
        <v>8</v>
      </c>
      <c r="G152" s="2946" t="s">
        <v>1918</v>
      </c>
      <c r="H152" s="2947"/>
      <c r="I152" s="1170">
        <v>1</v>
      </c>
      <c r="J152" s="3034"/>
      <c r="K152" s="3034"/>
      <c r="L152" s="3034"/>
      <c r="M152" s="3034"/>
      <c r="N152" s="3034"/>
      <c r="O152" s="481"/>
      <c r="P152" s="10"/>
    </row>
    <row r="153" spans="1:42" ht="12.75" customHeight="1">
      <c r="C153" s="467"/>
      <c r="D153" s="467"/>
      <c r="E153" s="1168"/>
      <c r="F153" s="1168"/>
      <c r="G153" s="2946"/>
      <c r="H153" s="2947"/>
      <c r="I153" s="1171">
        <v>2</v>
      </c>
      <c r="J153" s="2917"/>
      <c r="K153" s="2917"/>
      <c r="L153" s="2917"/>
      <c r="M153" s="2917"/>
      <c r="N153" s="2917"/>
      <c r="O153" s="481"/>
      <c r="P153" s="10"/>
    </row>
    <row r="154" spans="1:42" ht="12.75" customHeight="1">
      <c r="C154" s="467"/>
      <c r="D154" s="467"/>
      <c r="E154" s="1168"/>
      <c r="F154" s="1168"/>
      <c r="G154" s="2946"/>
      <c r="H154" s="2947"/>
      <c r="I154" s="1171">
        <v>3</v>
      </c>
      <c r="J154" s="2917"/>
      <c r="K154" s="2917"/>
      <c r="L154" s="2917"/>
      <c r="M154" s="2917"/>
      <c r="N154" s="2917"/>
      <c r="O154" s="481"/>
      <c r="P154" s="10"/>
    </row>
    <row r="155" spans="1:42" ht="12.75" customHeight="1">
      <c r="C155" s="467"/>
      <c r="D155" s="467"/>
      <c r="E155" s="1168"/>
      <c r="F155" s="1168"/>
      <c r="G155" s="2946"/>
      <c r="H155" s="2947"/>
      <c r="I155" s="1171">
        <v>4</v>
      </c>
      <c r="J155" s="2917"/>
      <c r="K155" s="2917"/>
      <c r="L155" s="2917"/>
      <c r="M155" s="2917"/>
      <c r="N155" s="2917"/>
      <c r="O155" s="481"/>
      <c r="P155" s="10"/>
    </row>
    <row r="156" spans="1:42" ht="12.75" customHeight="1">
      <c r="C156" s="467"/>
      <c r="D156" s="467"/>
      <c r="E156" s="1168"/>
      <c r="F156" s="1168"/>
      <c r="G156" s="2946"/>
      <c r="H156" s="2947"/>
      <c r="I156" s="1171">
        <v>5</v>
      </c>
      <c r="J156" s="2917"/>
      <c r="K156" s="2917"/>
      <c r="L156" s="2917"/>
      <c r="M156" s="2917"/>
      <c r="N156" s="2917"/>
      <c r="O156" s="481"/>
      <c r="P156" s="10"/>
    </row>
    <row r="157" spans="1:42" ht="12.75" customHeight="1">
      <c r="C157" s="467"/>
      <c r="D157" s="467"/>
      <c r="E157" s="1168"/>
      <c r="F157" s="1168"/>
      <c r="G157" s="2946"/>
      <c r="H157" s="2947"/>
      <c r="I157" s="1171">
        <v>6</v>
      </c>
      <c r="J157" s="2917"/>
      <c r="K157" s="2917"/>
      <c r="L157" s="2917"/>
      <c r="M157" s="2917"/>
      <c r="N157" s="2917"/>
      <c r="O157" s="481"/>
      <c r="P157" s="10"/>
    </row>
    <row r="158" spans="1:42" ht="12.75" customHeight="1">
      <c r="C158" s="467"/>
      <c r="D158" s="467"/>
      <c r="E158" s="1168"/>
      <c r="F158" s="1168"/>
      <c r="G158" s="2946"/>
      <c r="H158" s="2947"/>
      <c r="I158" s="1171">
        <v>7</v>
      </c>
      <c r="J158" s="2917"/>
      <c r="K158" s="2917"/>
      <c r="L158" s="2917"/>
      <c r="M158" s="2917"/>
      <c r="N158" s="2917"/>
      <c r="O158" s="481"/>
      <c r="P158" s="10"/>
    </row>
    <row r="159" spans="1:42" ht="12.75" customHeight="1">
      <c r="C159" s="467"/>
      <c r="D159" s="467"/>
      <c r="E159" s="1168"/>
      <c r="F159" s="1168"/>
      <c r="G159" s="2946"/>
      <c r="H159" s="2947"/>
      <c r="I159" s="1171">
        <v>8</v>
      </c>
      <c r="J159" s="2917"/>
      <c r="K159" s="2917"/>
      <c r="L159" s="2917"/>
      <c r="M159" s="2917"/>
      <c r="N159" s="2917"/>
      <c r="O159" s="481"/>
      <c r="P159" s="10"/>
    </row>
    <row r="160" spans="1:42" ht="12.75" customHeight="1">
      <c r="C160" s="467"/>
      <c r="D160" s="467"/>
      <c r="E160" s="1168"/>
      <c r="F160" s="1168"/>
      <c r="G160" s="2946"/>
      <c r="H160" s="2947"/>
      <c r="I160" s="1171">
        <v>9</v>
      </c>
      <c r="J160" s="2917"/>
      <c r="K160" s="2917"/>
      <c r="L160" s="2917"/>
      <c r="M160" s="2917"/>
      <c r="N160" s="2917"/>
      <c r="O160" s="481"/>
      <c r="P160" s="10"/>
    </row>
    <row r="161" spans="3:25" ht="12.75" customHeight="1">
      <c r="C161" s="467"/>
      <c r="D161" s="467"/>
      <c r="E161" s="1168"/>
      <c r="F161" s="1168"/>
      <c r="G161" s="2946"/>
      <c r="H161" s="2947"/>
      <c r="I161" s="1172">
        <v>10</v>
      </c>
      <c r="J161" s="2958"/>
      <c r="K161" s="2958"/>
      <c r="L161" s="2958"/>
      <c r="M161" s="2958"/>
      <c r="N161" s="2958"/>
      <c r="O161" s="481"/>
      <c r="P161" s="10"/>
      <c r="Q161" s="1117"/>
    </row>
    <row r="162" spans="3:25" ht="5.0999999999999996" customHeight="1">
      <c r="C162" s="467"/>
      <c r="D162" s="467"/>
      <c r="E162" s="467"/>
      <c r="F162" s="467"/>
      <c r="G162" s="467"/>
      <c r="H162" s="467"/>
      <c r="I162" s="467"/>
      <c r="J162" s="467"/>
      <c r="K162" s="467"/>
      <c r="L162" s="467"/>
      <c r="M162" s="481"/>
      <c r="N162" s="481"/>
      <c r="O162" s="481"/>
      <c r="P162" s="485"/>
      <c r="Q162" s="1117"/>
    </row>
    <row r="163" spans="3:25" ht="13.9" customHeight="1">
      <c r="C163" s="559">
        <v>2</v>
      </c>
      <c r="D163" s="2482" t="s">
        <v>262</v>
      </c>
      <c r="E163" s="2400"/>
      <c r="F163" s="2400"/>
      <c r="G163" s="2400"/>
      <c r="H163" s="2400"/>
      <c r="I163" s="2400"/>
      <c r="J163" s="2400"/>
      <c r="K163" s="2400"/>
      <c r="L163" s="2400"/>
      <c r="M163" s="2400"/>
      <c r="N163" s="2400"/>
      <c r="O163" s="481"/>
      <c r="P163" s="485"/>
    </row>
    <row r="164" spans="3:25" ht="13.15" customHeight="1">
      <c r="C164" s="485"/>
      <c r="D164" s="485"/>
      <c r="E164" s="2385" t="s">
        <v>2142</v>
      </c>
      <c r="F164" s="2846"/>
      <c r="G164" s="2846"/>
      <c r="H164" s="2846"/>
      <c r="I164" s="2846"/>
      <c r="J164" s="2846"/>
      <c r="K164" s="2846"/>
      <c r="L164" s="2846"/>
      <c r="M164" s="2846"/>
      <c r="N164" s="2846"/>
      <c r="O164" s="481"/>
      <c r="P164" s="485"/>
    </row>
    <row r="165" spans="3:25" ht="5.0999999999999996" customHeight="1">
      <c r="C165" s="467"/>
      <c r="D165" s="467"/>
      <c r="E165" s="467"/>
      <c r="F165" s="467"/>
      <c r="G165" s="467"/>
      <c r="H165" s="467"/>
      <c r="I165" s="467"/>
      <c r="J165" s="467"/>
      <c r="K165" s="467"/>
      <c r="L165" s="467"/>
      <c r="M165" s="481"/>
      <c r="N165" s="481"/>
      <c r="O165" s="481"/>
      <c r="P165" s="485"/>
      <c r="Q165" s="1117"/>
    </row>
    <row r="166" spans="3:25" ht="13.15" customHeight="1">
      <c r="C166" s="485"/>
      <c r="D166" s="482" t="s">
        <v>400</v>
      </c>
      <c r="E166" s="2373" t="s">
        <v>2197</v>
      </c>
      <c r="F166" s="2400"/>
      <c r="G166" s="2400"/>
      <c r="H166" s="2400"/>
      <c r="I166" s="2400"/>
      <c r="J166" s="2400"/>
      <c r="K166" s="2400"/>
      <c r="L166" s="2400"/>
      <c r="M166" s="2400"/>
      <c r="N166" s="2400"/>
      <c r="O166" s="481"/>
      <c r="P166" s="485"/>
    </row>
    <row r="167" spans="3:25">
      <c r="C167" s="485"/>
      <c r="D167" s="862"/>
      <c r="E167" s="496"/>
      <c r="F167" s="569" t="s">
        <v>6</v>
      </c>
      <c r="G167" s="2596" t="s">
        <v>848</v>
      </c>
      <c r="H167" s="2948"/>
      <c r="I167" s="2949"/>
      <c r="J167" s="2951">
        <f>c_ALR2025!J2630</f>
        <v>0</v>
      </c>
      <c r="K167" s="2952"/>
      <c r="L167" s="2952"/>
      <c r="M167" s="2952"/>
      <c r="N167" s="2953"/>
      <c r="O167" s="481"/>
      <c r="P167" s="485"/>
      <c r="Y167" s="1140" t="b">
        <f>OR(CNTR_Incumbent=FALSE,CTRL_InputMethodNIMsvalues=2)</f>
        <v>0</v>
      </c>
    </row>
    <row r="168" spans="3:25">
      <c r="C168" s="485"/>
      <c r="D168" s="862"/>
      <c r="E168" s="496"/>
      <c r="F168" s="569" t="s">
        <v>7</v>
      </c>
      <c r="G168" s="2600" t="s">
        <v>854</v>
      </c>
      <c r="H168" s="2956"/>
      <c r="I168" s="2957"/>
      <c r="J168" s="2962">
        <f>c_ALR2025!J2631</f>
        <v>0</v>
      </c>
      <c r="K168" s="2963"/>
      <c r="L168" s="2963"/>
      <c r="M168" s="2963"/>
      <c r="N168" s="2964"/>
      <c r="O168" s="481"/>
      <c r="P168" s="485"/>
      <c r="Y168" s="1140" t="b">
        <f>OR(CNTR_Incumbent=FALSE,CTRL_InputMethodNIMsvalues=2)</f>
        <v>0</v>
      </c>
    </row>
    <row r="169" spans="3:25">
      <c r="C169" s="485"/>
      <c r="D169" s="862"/>
      <c r="E169" s="496"/>
      <c r="F169" s="569" t="s">
        <v>8</v>
      </c>
      <c r="G169" s="2912" t="s">
        <v>855</v>
      </c>
      <c r="H169" s="2913"/>
      <c r="I169" s="2914"/>
      <c r="J169" s="2973">
        <f>c_ALR2025!J2632</f>
        <v>0</v>
      </c>
      <c r="K169" s="2974"/>
      <c r="L169" s="2974"/>
      <c r="M169" s="2974"/>
      <c r="N169" s="2975"/>
      <c r="O169" s="481"/>
      <c r="P169" s="485"/>
      <c r="Y169" s="1140" t="b">
        <f>OR(CNTR_Incumbent=FALSE,CTRL_InputMethodNIMsvalues=2)</f>
        <v>0</v>
      </c>
    </row>
    <row r="170" spans="3:25" ht="5.45" customHeight="1">
      <c r="C170" s="485"/>
      <c r="D170" s="862"/>
      <c r="E170" s="496"/>
      <c r="F170" s="1163" t="s">
        <v>18</v>
      </c>
      <c r="G170" s="2915" t="s">
        <v>856</v>
      </c>
      <c r="H170" s="2915"/>
      <c r="I170" s="2915"/>
      <c r="J170" s="2916"/>
      <c r="K170" s="2916"/>
      <c r="L170" s="2916"/>
      <c r="M170" s="2916"/>
      <c r="N170" s="2916"/>
      <c r="O170" s="481"/>
      <c r="P170" s="485"/>
      <c r="Y170" s="1140" t="b">
        <f>OR(CNTR_Incumbent=FALSE,CTRL_InputMethodNIMsvalues=2)</f>
        <v>0</v>
      </c>
    </row>
    <row r="171" spans="3:25" ht="5.0999999999999996" customHeight="1">
      <c r="C171" s="467"/>
      <c r="D171" s="467"/>
      <c r="E171" s="467"/>
      <c r="F171" s="467"/>
      <c r="G171" s="467"/>
      <c r="H171" s="467"/>
      <c r="I171" s="467"/>
      <c r="J171" s="1165"/>
      <c r="K171" s="1165"/>
      <c r="L171" s="1165"/>
      <c r="M171" s="1166"/>
      <c r="N171" s="1166"/>
      <c r="O171" s="481"/>
      <c r="P171" s="485"/>
      <c r="Q171" s="1117"/>
    </row>
    <row r="172" spans="3:25">
      <c r="C172" s="485"/>
      <c r="D172" s="862"/>
      <c r="E172" s="496"/>
      <c r="F172" s="569" t="s">
        <v>6</v>
      </c>
      <c r="G172" s="2596" t="s">
        <v>848</v>
      </c>
      <c r="H172" s="2948"/>
      <c r="I172" s="2949"/>
      <c r="J172" s="2909"/>
      <c r="K172" s="2910"/>
      <c r="L172" s="2910"/>
      <c r="M172" s="2910"/>
      <c r="N172" s="2911"/>
      <c r="O172" s="481"/>
      <c r="P172" s="10"/>
      <c r="Y172" s="1140" t="b">
        <f>CTRL_InputMethodNIMsvalues=1</f>
        <v>1</v>
      </c>
    </row>
    <row r="173" spans="3:25">
      <c r="C173" s="485"/>
      <c r="D173" s="862"/>
      <c r="E173" s="496"/>
      <c r="F173" s="569" t="s">
        <v>7</v>
      </c>
      <c r="G173" s="2600" t="s">
        <v>854</v>
      </c>
      <c r="H173" s="2956"/>
      <c r="I173" s="2957"/>
      <c r="J173" s="2900"/>
      <c r="K173" s="2901"/>
      <c r="L173" s="2901"/>
      <c r="M173" s="2901"/>
      <c r="N173" s="2902"/>
      <c r="O173" s="481"/>
      <c r="P173" s="10"/>
      <c r="Y173" s="1140" t="b">
        <f>CTRL_InputMethodNIMsvalues=1</f>
        <v>1</v>
      </c>
    </row>
    <row r="174" spans="3:25">
      <c r="C174" s="485"/>
      <c r="D174" s="862"/>
      <c r="E174" s="496"/>
      <c r="F174" s="569" t="s">
        <v>8</v>
      </c>
      <c r="G174" s="2912" t="s">
        <v>855</v>
      </c>
      <c r="H174" s="2913"/>
      <c r="I174" s="2914"/>
      <c r="J174" s="2903"/>
      <c r="K174" s="2904"/>
      <c r="L174" s="2904"/>
      <c r="M174" s="2904"/>
      <c r="N174" s="2905"/>
      <c r="O174" s="481"/>
      <c r="P174" s="10"/>
      <c r="Y174" s="1140" t="b">
        <f>CTRL_InputMethodNIMsvalues=1</f>
        <v>1</v>
      </c>
    </row>
    <row r="175" spans="3:25" ht="7.15" customHeight="1">
      <c r="C175" s="485"/>
      <c r="D175" s="862"/>
      <c r="E175" s="496"/>
      <c r="F175" s="1163" t="s">
        <v>18</v>
      </c>
      <c r="G175" s="2950" t="s">
        <v>856</v>
      </c>
      <c r="H175" s="2915"/>
      <c r="I175" s="2915"/>
      <c r="J175" s="2916"/>
      <c r="K175" s="2916"/>
      <c r="L175" s="2916"/>
      <c r="M175" s="2916"/>
      <c r="N175" s="2916"/>
      <c r="O175" s="481"/>
      <c r="P175" s="1164"/>
      <c r="Y175" s="1140" t="b">
        <f>CTRL_InputMethodNIMsvalues=1</f>
        <v>1</v>
      </c>
    </row>
    <row r="176" spans="3:25" ht="5.0999999999999996" customHeight="1">
      <c r="C176" s="467"/>
      <c r="D176" s="467"/>
      <c r="E176" s="467"/>
      <c r="F176" s="467"/>
      <c r="G176" s="467"/>
      <c r="H176" s="467"/>
      <c r="I176" s="467"/>
      <c r="J176" s="1165"/>
      <c r="K176" s="1165"/>
      <c r="L176" s="1165"/>
      <c r="M176" s="1166"/>
      <c r="N176" s="1166"/>
      <c r="O176" s="481"/>
      <c r="P176" s="485"/>
      <c r="Q176" s="1117"/>
    </row>
    <row r="177" spans="3:42">
      <c r="C177" s="485"/>
      <c r="D177" s="862"/>
      <c r="E177" s="496"/>
      <c r="F177" s="569" t="s">
        <v>6</v>
      </c>
      <c r="G177" s="2596" t="s">
        <v>848</v>
      </c>
      <c r="H177" s="2948"/>
      <c r="I177" s="2949"/>
      <c r="J177" s="2830">
        <f>IF(J167 &amp; J172 = "","",IF(J172="",J167,J172))</f>
        <v>0</v>
      </c>
      <c r="K177" s="2832"/>
      <c r="L177" s="2832"/>
      <c r="M177" s="2832"/>
      <c r="N177" s="2833"/>
      <c r="O177" s="481"/>
      <c r="P177" s="485"/>
    </row>
    <row r="178" spans="3:42">
      <c r="C178" s="485"/>
      <c r="D178" s="862"/>
      <c r="E178" s="496"/>
      <c r="F178" s="569" t="s">
        <v>7</v>
      </c>
      <c r="G178" s="2600" t="s">
        <v>854</v>
      </c>
      <c r="H178" s="2956"/>
      <c r="I178" s="2957"/>
      <c r="J178" s="2825">
        <f t="shared" ref="J178:J179" si="4">IF(J168 &amp; J173 = "","",IF(J173="",J168,J173))</f>
        <v>0</v>
      </c>
      <c r="K178" s="2827"/>
      <c r="L178" s="2827"/>
      <c r="M178" s="2827"/>
      <c r="N178" s="2826"/>
      <c r="O178" s="481"/>
      <c r="P178" s="485"/>
    </row>
    <row r="179" spans="3:42">
      <c r="C179" s="485"/>
      <c r="D179" s="862"/>
      <c r="E179" s="496"/>
      <c r="F179" s="569" t="s">
        <v>8</v>
      </c>
      <c r="G179" s="2912" t="s">
        <v>855</v>
      </c>
      <c r="H179" s="2913"/>
      <c r="I179" s="2914"/>
      <c r="J179" s="2820">
        <f t="shared" si="4"/>
        <v>0</v>
      </c>
      <c r="K179" s="2822"/>
      <c r="L179" s="2822"/>
      <c r="M179" s="2822"/>
      <c r="N179" s="2821"/>
      <c r="O179" s="481"/>
      <c r="P179" s="485"/>
    </row>
    <row r="180" spans="3:42">
      <c r="C180" s="485"/>
      <c r="D180" s="862"/>
      <c r="E180" s="496"/>
      <c r="F180" s="1163" t="s">
        <v>18</v>
      </c>
      <c r="G180" s="2915" t="s">
        <v>856</v>
      </c>
      <c r="H180" s="2915"/>
      <c r="I180" s="2915"/>
      <c r="J180" s="2916"/>
      <c r="K180" s="2916"/>
      <c r="L180" s="2916"/>
      <c r="M180" s="2916"/>
      <c r="N180" s="2916"/>
      <c r="O180" s="481"/>
      <c r="P180" s="485"/>
    </row>
    <row r="181" spans="3:42" ht="5.0999999999999996" customHeight="1">
      <c r="C181" s="467"/>
      <c r="D181" s="467"/>
      <c r="E181" s="467"/>
      <c r="F181" s="467"/>
      <c r="G181" s="467"/>
      <c r="H181" s="467"/>
      <c r="I181" s="467"/>
      <c r="J181" s="467"/>
      <c r="K181" s="467"/>
      <c r="L181" s="467"/>
      <c r="M181" s="481"/>
      <c r="N181" s="481"/>
      <c r="O181" s="481"/>
      <c r="P181" s="485"/>
    </row>
    <row r="182" spans="3:42" ht="13.15" customHeight="1">
      <c r="C182" s="485"/>
      <c r="D182" s="482" t="s">
        <v>876</v>
      </c>
      <c r="E182" s="2373" t="s">
        <v>1222</v>
      </c>
      <c r="F182" s="2400"/>
      <c r="G182" s="2400"/>
      <c r="H182" s="2400"/>
      <c r="I182" s="2400"/>
      <c r="J182" s="2400"/>
      <c r="K182" s="2400"/>
      <c r="L182" s="2400"/>
      <c r="M182" s="2400"/>
      <c r="N182" s="2400"/>
      <c r="O182" s="481"/>
      <c r="P182" s="485"/>
    </row>
    <row r="183" spans="3:42">
      <c r="C183" s="485"/>
      <c r="D183" s="862"/>
      <c r="E183" s="496"/>
      <c r="F183" s="569" t="s">
        <v>6</v>
      </c>
      <c r="G183" s="2596" t="s">
        <v>848</v>
      </c>
      <c r="H183" s="2948"/>
      <c r="I183" s="2949"/>
      <c r="J183" s="3037"/>
      <c r="K183" s="3038"/>
      <c r="L183" s="3038"/>
      <c r="M183" s="3038"/>
      <c r="N183" s="3039"/>
      <c r="O183" s="481"/>
      <c r="P183" s="10"/>
    </row>
    <row r="184" spans="3:42">
      <c r="C184" s="485"/>
      <c r="D184" s="862"/>
      <c r="E184" s="496"/>
      <c r="F184" s="569" t="s">
        <v>7</v>
      </c>
      <c r="G184" s="2600" t="s">
        <v>854</v>
      </c>
      <c r="H184" s="2956"/>
      <c r="I184" s="2957"/>
      <c r="J184" s="3031"/>
      <c r="K184" s="3032"/>
      <c r="L184" s="3032"/>
      <c r="M184" s="3032"/>
      <c r="N184" s="3033"/>
      <c r="O184" s="481"/>
      <c r="P184" s="10"/>
    </row>
    <row r="185" spans="3:42">
      <c r="C185" s="485"/>
      <c r="D185" s="862"/>
      <c r="E185" s="496"/>
      <c r="F185" s="569" t="s">
        <v>8</v>
      </c>
      <c r="G185" s="2912" t="s">
        <v>855</v>
      </c>
      <c r="H185" s="2913"/>
      <c r="I185" s="2914"/>
      <c r="J185" s="2906"/>
      <c r="K185" s="2907"/>
      <c r="L185" s="2907"/>
      <c r="M185" s="2907"/>
      <c r="N185" s="2908"/>
      <c r="O185" s="481"/>
      <c r="P185" s="10"/>
    </row>
    <row r="186" spans="3:42">
      <c r="C186" s="485"/>
      <c r="D186" s="862"/>
      <c r="E186" s="496"/>
      <c r="F186" s="1173" t="s">
        <v>18</v>
      </c>
      <c r="G186" s="2915" t="s">
        <v>856</v>
      </c>
      <c r="H186" s="2915"/>
      <c r="I186" s="2915"/>
      <c r="J186" s="2916"/>
      <c r="K186" s="2916"/>
      <c r="L186" s="2916"/>
      <c r="M186" s="2916"/>
      <c r="N186" s="2916"/>
      <c r="O186" s="481"/>
      <c r="P186" s="1164"/>
    </row>
    <row r="187" spans="3:42" ht="5.0999999999999996" customHeight="1">
      <c r="C187" s="467"/>
      <c r="D187" s="467"/>
      <c r="E187" s="467"/>
      <c r="F187" s="467"/>
      <c r="G187" s="467"/>
      <c r="H187" s="467"/>
      <c r="I187" s="467"/>
      <c r="J187" s="467"/>
      <c r="K187" s="467"/>
      <c r="L187" s="467"/>
      <c r="M187" s="481"/>
      <c r="N187" s="481"/>
      <c r="O187" s="481"/>
      <c r="P187" s="485"/>
    </row>
    <row r="188" spans="3:42" ht="13.9" customHeight="1">
      <c r="C188" s="559">
        <v>3</v>
      </c>
      <c r="D188" s="2482" t="s">
        <v>1884</v>
      </c>
      <c r="E188" s="2400"/>
      <c r="F188" s="2400"/>
      <c r="G188" s="2400"/>
      <c r="H188" s="2400"/>
      <c r="I188" s="2400"/>
      <c r="J188" s="2400"/>
      <c r="K188" s="2400"/>
      <c r="L188" s="2400"/>
      <c r="M188" s="2400"/>
      <c r="N188" s="2400"/>
      <c r="O188" s="481"/>
      <c r="P188" s="485"/>
    </row>
    <row r="189" spans="3:42" ht="5.0999999999999996" customHeight="1">
      <c r="C189" s="467"/>
      <c r="D189" s="467"/>
      <c r="E189" s="467"/>
      <c r="F189" s="467"/>
      <c r="G189" s="467"/>
      <c r="H189" s="467"/>
      <c r="I189" s="467"/>
      <c r="J189" s="467"/>
      <c r="K189" s="467"/>
      <c r="L189" s="467"/>
      <c r="M189" s="481"/>
      <c r="N189" s="481"/>
      <c r="O189" s="481"/>
      <c r="P189" s="485"/>
    </row>
    <row r="190" spans="3:42">
      <c r="C190" s="485"/>
      <c r="D190" s="496" t="s">
        <v>400</v>
      </c>
      <c r="E190" s="2373" t="s">
        <v>1885</v>
      </c>
      <c r="F190" s="2400"/>
      <c r="G190" s="2400"/>
      <c r="H190" s="2400"/>
      <c r="I190" s="2400"/>
      <c r="J190" s="2400"/>
      <c r="K190" s="2400"/>
      <c r="L190" s="2400"/>
      <c r="M190" s="2400"/>
      <c r="N190" s="2400"/>
      <c r="O190" s="481"/>
      <c r="P190" s="485"/>
    </row>
    <row r="191" spans="3:42" ht="13.15" customHeight="1">
      <c r="C191" s="485"/>
      <c r="D191" s="1174"/>
      <c r="E191" s="496"/>
      <c r="F191" s="569" t="s">
        <v>6</v>
      </c>
      <c r="G191" s="2596" t="s">
        <v>857</v>
      </c>
      <c r="H191" s="2596"/>
      <c r="I191" s="2597"/>
      <c r="J191" s="2909"/>
      <c r="K191" s="2910"/>
      <c r="L191" s="2910"/>
      <c r="M191" s="2910"/>
      <c r="N191" s="2910"/>
      <c r="O191" s="481"/>
      <c r="P191" s="10"/>
      <c r="AP191" s="1135" t="s">
        <v>2355</v>
      </c>
    </row>
    <row r="192" spans="3:42" ht="13.15" customHeight="1">
      <c r="C192" s="485"/>
      <c r="D192" s="1174"/>
      <c r="E192" s="479"/>
      <c r="F192" s="569" t="s">
        <v>7</v>
      </c>
      <c r="G192" s="2600" t="s">
        <v>850</v>
      </c>
      <c r="H192" s="2956"/>
      <c r="I192" s="2957"/>
      <c r="J192" s="2900"/>
      <c r="K192" s="2901"/>
      <c r="L192" s="2901"/>
      <c r="M192" s="2901"/>
      <c r="N192" s="2901"/>
      <c r="O192" s="481"/>
      <c r="P192" s="10"/>
    </row>
    <row r="193" spans="3:42">
      <c r="C193" s="485"/>
      <c r="D193" s="862"/>
      <c r="E193" s="479"/>
      <c r="F193" s="569" t="s">
        <v>8</v>
      </c>
      <c r="G193" s="2600" t="s">
        <v>851</v>
      </c>
      <c r="H193" s="2956"/>
      <c r="I193" s="2957"/>
      <c r="J193" s="2900"/>
      <c r="K193" s="2901"/>
      <c r="L193" s="2901"/>
      <c r="M193" s="2901"/>
      <c r="N193" s="2901"/>
      <c r="O193" s="481"/>
      <c r="P193" s="10"/>
    </row>
    <row r="194" spans="3:42">
      <c r="C194" s="485"/>
      <c r="D194" s="862"/>
      <c r="E194" s="479"/>
      <c r="F194" s="569" t="s">
        <v>18</v>
      </c>
      <c r="G194" s="865" t="s">
        <v>2095</v>
      </c>
      <c r="H194" s="2600"/>
      <c r="I194" s="2600"/>
      <c r="J194" s="2900"/>
      <c r="K194" s="2901"/>
      <c r="L194" s="2901"/>
      <c r="M194" s="2901"/>
      <c r="N194" s="2901"/>
      <c r="O194" s="481"/>
      <c r="P194" s="10"/>
      <c r="AP194" s="1135" t="s">
        <v>2589</v>
      </c>
    </row>
    <row r="195" spans="3:42">
      <c r="C195" s="485"/>
      <c r="D195" s="862"/>
      <c r="E195" s="479"/>
      <c r="F195" s="569" t="s">
        <v>787</v>
      </c>
      <c r="G195" s="2939" t="s">
        <v>852</v>
      </c>
      <c r="H195" s="2918"/>
      <c r="I195" s="2919"/>
      <c r="J195" s="3028"/>
      <c r="K195" s="3029"/>
      <c r="L195" s="3029"/>
      <c r="M195" s="3029"/>
      <c r="N195" s="3030"/>
      <c r="O195" s="481"/>
      <c r="P195" s="10"/>
    </row>
    <row r="196" spans="3:42" ht="5.0999999999999996" customHeight="1">
      <c r="C196" s="467"/>
      <c r="D196" s="467"/>
      <c r="E196" s="467"/>
      <c r="F196" s="467"/>
      <c r="G196" s="481"/>
      <c r="H196" s="481"/>
      <c r="I196" s="467"/>
      <c r="J196" s="467"/>
      <c r="K196" s="467"/>
      <c r="L196" s="467"/>
      <c r="M196" s="481"/>
      <c r="N196" s="481"/>
      <c r="O196" s="481"/>
      <c r="P196" s="485"/>
    </row>
    <row r="197" spans="3:42" ht="13.15" customHeight="1">
      <c r="C197" s="485"/>
      <c r="D197" s="496" t="s">
        <v>876</v>
      </c>
      <c r="E197" s="2373" t="s">
        <v>1224</v>
      </c>
      <c r="F197" s="2400"/>
      <c r="G197" s="2400"/>
      <c r="H197" s="2400"/>
      <c r="I197" s="2400"/>
      <c r="J197" s="2400"/>
      <c r="K197" s="2400"/>
      <c r="L197" s="2400"/>
      <c r="M197" s="2400"/>
      <c r="N197" s="2400"/>
      <c r="O197" s="481"/>
      <c r="P197" s="485"/>
    </row>
    <row r="198" spans="3:42" ht="13.15" customHeight="1">
      <c r="C198" s="485"/>
      <c r="D198" s="862"/>
      <c r="E198" s="2385" t="s">
        <v>541</v>
      </c>
      <c r="F198" s="2846"/>
      <c r="G198" s="2846"/>
      <c r="H198" s="2846"/>
      <c r="I198" s="2846"/>
      <c r="J198" s="2846"/>
      <c r="K198" s="2846"/>
      <c r="L198" s="2846"/>
      <c r="M198" s="2846"/>
      <c r="N198" s="2846"/>
      <c r="O198" s="481"/>
      <c r="P198" s="485"/>
    </row>
    <row r="199" spans="3:42">
      <c r="C199" s="485"/>
      <c r="D199" s="862"/>
      <c r="E199" s="479"/>
      <c r="F199" s="569" t="s">
        <v>6</v>
      </c>
      <c r="G199" s="2596" t="s">
        <v>848</v>
      </c>
      <c r="H199" s="2596"/>
      <c r="I199" s="2597"/>
      <c r="J199" s="2909"/>
      <c r="K199" s="2910"/>
      <c r="L199" s="2910"/>
      <c r="M199" s="2910"/>
      <c r="N199" s="2910"/>
      <c r="O199" s="481"/>
      <c r="P199" s="10"/>
    </row>
    <row r="200" spans="3:42" ht="13.15" customHeight="1">
      <c r="C200" s="485"/>
      <c r="D200" s="1174"/>
      <c r="E200" s="479"/>
      <c r="F200" s="569" t="s">
        <v>7</v>
      </c>
      <c r="G200" s="2600" t="s">
        <v>258</v>
      </c>
      <c r="H200" s="2600"/>
      <c r="I200" s="2601"/>
      <c r="J200" s="3027"/>
      <c r="K200" s="2901"/>
      <c r="L200" s="2901"/>
      <c r="M200" s="2901"/>
      <c r="N200" s="2901"/>
      <c r="O200" s="481"/>
      <c r="P200" s="10"/>
    </row>
    <row r="201" spans="3:42" ht="13.15" customHeight="1">
      <c r="C201" s="485"/>
      <c r="D201" s="1174"/>
      <c r="E201" s="479"/>
      <c r="F201" s="569" t="s">
        <v>8</v>
      </c>
      <c r="G201" s="2912" t="s">
        <v>259</v>
      </c>
      <c r="H201" s="2912"/>
      <c r="I201" s="3026"/>
      <c r="J201" s="2903"/>
      <c r="K201" s="2904"/>
      <c r="L201" s="2904"/>
      <c r="M201" s="2904"/>
      <c r="N201" s="2904"/>
      <c r="O201" s="481"/>
      <c r="P201" s="10"/>
    </row>
    <row r="202" spans="3:42">
      <c r="C202" s="485"/>
      <c r="D202" s="862"/>
      <c r="E202" s="496"/>
      <c r="F202" s="1173" t="s">
        <v>18</v>
      </c>
      <c r="G202" s="2915" t="s">
        <v>856</v>
      </c>
      <c r="H202" s="2915"/>
      <c r="I202" s="2915"/>
      <c r="J202" s="2916"/>
      <c r="K202" s="2916"/>
      <c r="L202" s="2916"/>
      <c r="M202" s="2916"/>
      <c r="N202" s="2916"/>
      <c r="O202" s="1175"/>
      <c r="P202" s="1176"/>
    </row>
    <row r="203" spans="3:42" ht="5.0999999999999996" customHeight="1">
      <c r="C203" s="467"/>
      <c r="D203" s="467"/>
      <c r="E203" s="467"/>
      <c r="F203" s="467"/>
      <c r="G203" s="467"/>
      <c r="H203" s="467"/>
      <c r="I203" s="467"/>
      <c r="J203" s="467"/>
      <c r="K203" s="467"/>
      <c r="L203" s="467"/>
      <c r="M203" s="481"/>
      <c r="N203" s="481"/>
      <c r="O203" s="481"/>
      <c r="P203" s="485"/>
    </row>
    <row r="204" spans="3:42" ht="12.75" customHeight="1">
      <c r="C204" s="485"/>
      <c r="D204" s="496" t="s">
        <v>48</v>
      </c>
      <c r="E204" s="2373" t="s">
        <v>1190</v>
      </c>
      <c r="F204" s="2400"/>
      <c r="G204" s="2400"/>
      <c r="H204" s="2400"/>
      <c r="I204" s="2400"/>
      <c r="J204" s="2400"/>
      <c r="K204" s="2400"/>
      <c r="L204" s="2400"/>
      <c r="M204" s="2400"/>
      <c r="N204" s="2400"/>
      <c r="O204" s="481"/>
      <c r="P204" s="485"/>
    </row>
    <row r="205" spans="3:42">
      <c r="C205" s="485"/>
      <c r="D205" s="1174"/>
      <c r="E205" s="496"/>
      <c r="F205" s="569" t="s">
        <v>6</v>
      </c>
      <c r="G205" s="2596" t="s">
        <v>2143</v>
      </c>
      <c r="H205" s="2596"/>
      <c r="I205" s="2597"/>
      <c r="J205" s="2909"/>
      <c r="K205" s="2910"/>
      <c r="L205" s="2910"/>
      <c r="M205" s="2910"/>
      <c r="N205" s="2910"/>
      <c r="O205" s="481"/>
      <c r="P205" s="10"/>
    </row>
    <row r="206" spans="3:42" ht="13.15" customHeight="1">
      <c r="C206" s="485"/>
      <c r="D206" s="1174"/>
      <c r="E206" s="496"/>
      <c r="F206" s="569" t="s">
        <v>7</v>
      </c>
      <c r="G206" s="2600" t="s">
        <v>1191</v>
      </c>
      <c r="H206" s="2600"/>
      <c r="I206" s="2601"/>
      <c r="J206" s="2900"/>
      <c r="K206" s="2901"/>
      <c r="L206" s="2901"/>
      <c r="M206" s="2901"/>
      <c r="N206" s="2901"/>
      <c r="O206" s="481"/>
      <c r="P206" s="10"/>
    </row>
    <row r="207" spans="3:42" ht="25.5" customHeight="1">
      <c r="C207" s="485"/>
      <c r="D207" s="1174"/>
      <c r="E207" s="496"/>
      <c r="F207" s="569" t="s">
        <v>8</v>
      </c>
      <c r="G207" s="2939" t="s">
        <v>260</v>
      </c>
      <c r="H207" s="2939"/>
      <c r="I207" s="2611"/>
      <c r="J207" s="2928"/>
      <c r="K207" s="2929"/>
      <c r="L207" s="2929"/>
      <c r="M207" s="2929"/>
      <c r="N207" s="2929"/>
      <c r="O207" s="481"/>
      <c r="P207" s="10"/>
    </row>
    <row r="208" spans="3:42" ht="5.0999999999999996" customHeight="1">
      <c r="C208" s="467"/>
      <c r="D208" s="467"/>
      <c r="E208" s="467"/>
      <c r="F208" s="467"/>
      <c r="G208" s="481"/>
      <c r="H208" s="481"/>
      <c r="I208" s="467"/>
      <c r="J208" s="467"/>
      <c r="K208" s="467"/>
      <c r="L208" s="467"/>
      <c r="M208" s="481"/>
      <c r="N208" s="481"/>
      <c r="O208" s="481"/>
      <c r="P208" s="485"/>
    </row>
    <row r="209" spans="3:25" ht="13.9" customHeight="1">
      <c r="C209" s="559">
        <v>4</v>
      </c>
      <c r="D209" s="2482" t="s">
        <v>542</v>
      </c>
      <c r="E209" s="2400"/>
      <c r="F209" s="2400"/>
      <c r="G209" s="2400"/>
      <c r="H209" s="2400"/>
      <c r="I209" s="2400"/>
      <c r="J209" s="2400"/>
      <c r="K209" s="2400"/>
      <c r="L209" s="2400"/>
      <c r="M209" s="2400"/>
      <c r="N209" s="2400"/>
      <c r="O209" s="481"/>
      <c r="P209" s="485"/>
    </row>
    <row r="210" spans="3:25" ht="5.0999999999999996" customHeight="1">
      <c r="C210" s="467"/>
      <c r="D210" s="467"/>
      <c r="E210" s="467"/>
      <c r="F210" s="467"/>
      <c r="G210" s="467"/>
      <c r="H210" s="467"/>
      <c r="I210" s="467"/>
      <c r="J210" s="467"/>
      <c r="K210" s="467"/>
      <c r="L210" s="467"/>
      <c r="M210" s="481"/>
      <c r="N210" s="481"/>
      <c r="O210" s="481"/>
      <c r="P210" s="485"/>
      <c r="Q210" s="1117"/>
    </row>
    <row r="211" spans="3:25" ht="30" customHeight="1">
      <c r="C211" s="485"/>
      <c r="D211" s="482" t="s">
        <v>400</v>
      </c>
      <c r="E211" s="2373" t="s">
        <v>2321</v>
      </c>
      <c r="F211" s="2400"/>
      <c r="G211" s="2400"/>
      <c r="H211" s="2400"/>
      <c r="I211" s="2400"/>
      <c r="J211" s="2400"/>
      <c r="K211" s="2400"/>
      <c r="L211" s="2400"/>
      <c r="M211" s="2400"/>
      <c r="N211" s="2400"/>
      <c r="O211" s="481"/>
      <c r="P211" s="485"/>
    </row>
    <row r="212" spans="3:25" ht="36" customHeight="1">
      <c r="C212" s="485"/>
      <c r="D212" s="485"/>
      <c r="E212" s="2817" t="s">
        <v>2198</v>
      </c>
      <c r="F212" s="2817"/>
      <c r="G212" s="2817"/>
      <c r="H212" s="2817"/>
      <c r="I212" s="2817"/>
      <c r="J212" s="2817"/>
      <c r="K212" s="2817"/>
      <c r="L212" s="2817"/>
      <c r="M212" s="2817"/>
      <c r="N212" s="2817"/>
      <c r="O212" s="481"/>
      <c r="P212" s="485"/>
    </row>
    <row r="213" spans="3:25" ht="13.15" customHeight="1">
      <c r="C213" s="485"/>
      <c r="D213" s="485"/>
      <c r="E213" s="2385" t="s">
        <v>712</v>
      </c>
      <c r="F213" s="2846"/>
      <c r="G213" s="2846"/>
      <c r="H213" s="2846"/>
      <c r="I213" s="2846"/>
      <c r="J213" s="2846"/>
      <c r="K213" s="2846"/>
      <c r="L213" s="2846"/>
      <c r="M213" s="2846"/>
      <c r="N213" s="2846"/>
      <c r="O213" s="481"/>
      <c r="P213" s="485"/>
    </row>
    <row r="214" spans="3:25">
      <c r="C214" s="485"/>
      <c r="D214" s="862"/>
      <c r="E214" s="1177" t="s">
        <v>26</v>
      </c>
      <c r="F214" s="707" t="s">
        <v>2322</v>
      </c>
      <c r="G214" s="637"/>
      <c r="H214" s="1178"/>
      <c r="I214" s="1178"/>
      <c r="J214" s="858"/>
      <c r="K214" s="858"/>
      <c r="L214" s="858"/>
      <c r="M214" s="637"/>
      <c r="N214" s="637"/>
      <c r="O214" s="481"/>
      <c r="P214" s="485"/>
    </row>
    <row r="215" spans="3:25">
      <c r="C215" s="485"/>
      <c r="D215" s="862"/>
      <c r="E215" s="1179">
        <v>1</v>
      </c>
      <c r="F215" s="2925" t="str">
        <f>c_ALR2025!F37</f>
        <v/>
      </c>
      <c r="G215" s="2926"/>
      <c r="H215" s="2926"/>
      <c r="I215" s="2926"/>
      <c r="J215" s="2926"/>
      <c r="K215" s="2926"/>
      <c r="L215" s="2926"/>
      <c r="M215" s="2926"/>
      <c r="N215" s="2927"/>
      <c r="O215" s="481"/>
      <c r="P215" s="485"/>
      <c r="Y215" s="1140" t="b">
        <f t="shared" ref="Y215:Y220" si="5">OR(CNTR_Incumbent=FALSE,CTRL_InputMethodNIMsvalues=2)</f>
        <v>0</v>
      </c>
    </row>
    <row r="216" spans="3:25">
      <c r="C216" s="485"/>
      <c r="D216" s="862"/>
      <c r="E216" s="1180">
        <f>E215+1</f>
        <v>2</v>
      </c>
      <c r="F216" s="2888" t="str">
        <f>c_ALR2025!F38</f>
        <v/>
      </c>
      <c r="G216" s="2889"/>
      <c r="H216" s="2889"/>
      <c r="I216" s="2889"/>
      <c r="J216" s="2889"/>
      <c r="K216" s="2889"/>
      <c r="L216" s="2889"/>
      <c r="M216" s="2889"/>
      <c r="N216" s="2890"/>
      <c r="O216" s="481"/>
      <c r="P216" s="485"/>
      <c r="Y216" s="1140" t="b">
        <f t="shared" si="5"/>
        <v>0</v>
      </c>
    </row>
    <row r="217" spans="3:25">
      <c r="C217" s="485"/>
      <c r="D217" s="862"/>
      <c r="E217" s="1180">
        <f>E216+1</f>
        <v>3</v>
      </c>
      <c r="F217" s="2888" t="str">
        <f>c_ALR2025!F39</f>
        <v/>
      </c>
      <c r="G217" s="2889"/>
      <c r="H217" s="2889"/>
      <c r="I217" s="2889"/>
      <c r="J217" s="2889"/>
      <c r="K217" s="2889"/>
      <c r="L217" s="2889"/>
      <c r="M217" s="2889"/>
      <c r="N217" s="2890"/>
      <c r="O217" s="481"/>
      <c r="P217" s="485"/>
      <c r="Y217" s="1140" t="b">
        <f t="shared" si="5"/>
        <v>0</v>
      </c>
    </row>
    <row r="218" spans="3:25">
      <c r="C218" s="485"/>
      <c r="D218" s="862"/>
      <c r="E218" s="1180">
        <f>E217+1</f>
        <v>4</v>
      </c>
      <c r="F218" s="2888" t="str">
        <f>c_ALR2025!F40</f>
        <v/>
      </c>
      <c r="G218" s="2889"/>
      <c r="H218" s="2889"/>
      <c r="I218" s="2889"/>
      <c r="J218" s="2889"/>
      <c r="K218" s="2889"/>
      <c r="L218" s="2889"/>
      <c r="M218" s="2889"/>
      <c r="N218" s="2890"/>
      <c r="O218" s="481"/>
      <c r="P218" s="485"/>
      <c r="Y218" s="1140" t="b">
        <f t="shared" si="5"/>
        <v>0</v>
      </c>
    </row>
    <row r="219" spans="3:25">
      <c r="C219" s="485"/>
      <c r="D219" s="862"/>
      <c r="E219" s="1180">
        <f>E218+1</f>
        <v>5</v>
      </c>
      <c r="F219" s="2888" t="str">
        <f>c_ALR2025!F41</f>
        <v/>
      </c>
      <c r="G219" s="2889"/>
      <c r="H219" s="2889"/>
      <c r="I219" s="2889"/>
      <c r="J219" s="2889"/>
      <c r="K219" s="2889"/>
      <c r="L219" s="2889"/>
      <c r="M219" s="2889"/>
      <c r="N219" s="2890"/>
      <c r="O219" s="481"/>
      <c r="P219" s="485"/>
      <c r="Y219" s="1140" t="b">
        <f t="shared" si="5"/>
        <v>0</v>
      </c>
    </row>
    <row r="220" spans="3:25">
      <c r="C220" s="485"/>
      <c r="D220" s="862"/>
      <c r="E220" s="1181">
        <v>6</v>
      </c>
      <c r="F220" s="2933" t="str">
        <f>c_ALR2025!F42</f>
        <v/>
      </c>
      <c r="G220" s="2934"/>
      <c r="H220" s="2934"/>
      <c r="I220" s="2934"/>
      <c r="J220" s="2934"/>
      <c r="K220" s="2934"/>
      <c r="L220" s="2934"/>
      <c r="M220" s="2934"/>
      <c r="N220" s="2935"/>
      <c r="O220" s="481"/>
      <c r="P220" s="485"/>
      <c r="Y220" s="1140" t="b">
        <f t="shared" si="5"/>
        <v>0</v>
      </c>
    </row>
    <row r="221" spans="3:25">
      <c r="C221" s="485"/>
      <c r="D221" s="862"/>
      <c r="E221" s="1179">
        <v>1</v>
      </c>
      <c r="F221" s="2936"/>
      <c r="G221" s="2937"/>
      <c r="H221" s="2937"/>
      <c r="I221" s="2937"/>
      <c r="J221" s="2937"/>
      <c r="K221" s="2937"/>
      <c r="L221" s="2937"/>
      <c r="M221" s="2937"/>
      <c r="N221" s="2938"/>
      <c r="O221" s="481"/>
      <c r="P221" s="10"/>
      <c r="Y221" s="1140" t="b">
        <f t="shared" ref="Y221:Y226" si="6">CTRL_InputMethodNIMsvalues=1</f>
        <v>1</v>
      </c>
    </row>
    <row r="222" spans="3:25">
      <c r="C222" s="485"/>
      <c r="D222" s="862"/>
      <c r="E222" s="1180">
        <f>E221+1</f>
        <v>2</v>
      </c>
      <c r="F222" s="2891"/>
      <c r="G222" s="2892"/>
      <c r="H222" s="2892"/>
      <c r="I222" s="2892"/>
      <c r="J222" s="2892"/>
      <c r="K222" s="2892"/>
      <c r="L222" s="2892"/>
      <c r="M222" s="2892"/>
      <c r="N222" s="2893"/>
      <c r="O222" s="481"/>
      <c r="P222" s="10"/>
      <c r="Y222" s="1140" t="b">
        <f t="shared" si="6"/>
        <v>1</v>
      </c>
    </row>
    <row r="223" spans="3:25">
      <c r="C223" s="485"/>
      <c r="D223" s="862"/>
      <c r="E223" s="1180">
        <f>E222+1</f>
        <v>3</v>
      </c>
      <c r="F223" s="2891"/>
      <c r="G223" s="2892"/>
      <c r="H223" s="2892"/>
      <c r="I223" s="2892"/>
      <c r="J223" s="2892"/>
      <c r="K223" s="2892"/>
      <c r="L223" s="2892"/>
      <c r="M223" s="2892"/>
      <c r="N223" s="2893"/>
      <c r="O223" s="481"/>
      <c r="P223" s="10"/>
      <c r="Y223" s="1140" t="b">
        <f t="shared" si="6"/>
        <v>1</v>
      </c>
    </row>
    <row r="224" spans="3:25">
      <c r="C224" s="485"/>
      <c r="D224" s="862"/>
      <c r="E224" s="1180">
        <f>E223+1</f>
        <v>4</v>
      </c>
      <c r="F224" s="2891"/>
      <c r="G224" s="2892"/>
      <c r="H224" s="2892"/>
      <c r="I224" s="2892"/>
      <c r="J224" s="2892"/>
      <c r="K224" s="2892"/>
      <c r="L224" s="2892"/>
      <c r="M224" s="2892"/>
      <c r="N224" s="2893"/>
      <c r="O224" s="481"/>
      <c r="P224" s="10"/>
      <c r="Y224" s="1140" t="b">
        <f t="shared" si="6"/>
        <v>1</v>
      </c>
    </row>
    <row r="225" spans="3:42">
      <c r="C225" s="485"/>
      <c r="D225" s="862"/>
      <c r="E225" s="1180">
        <f>E224+1</f>
        <v>5</v>
      </c>
      <c r="F225" s="2891"/>
      <c r="G225" s="2892"/>
      <c r="H225" s="2892"/>
      <c r="I225" s="2892"/>
      <c r="J225" s="2892"/>
      <c r="K225" s="2892"/>
      <c r="L225" s="2892"/>
      <c r="M225" s="2892"/>
      <c r="N225" s="2893"/>
      <c r="O225" s="481"/>
      <c r="P225" s="10"/>
      <c r="Y225" s="1140" t="b">
        <f t="shared" si="6"/>
        <v>1</v>
      </c>
    </row>
    <row r="226" spans="3:42" ht="13.5" thickBot="1">
      <c r="C226" s="485"/>
      <c r="D226" s="862"/>
      <c r="E226" s="1181">
        <v>6</v>
      </c>
      <c r="F226" s="2930"/>
      <c r="G226" s="2931"/>
      <c r="H226" s="2931"/>
      <c r="I226" s="2931"/>
      <c r="J226" s="2931"/>
      <c r="K226" s="2931"/>
      <c r="L226" s="2931"/>
      <c r="M226" s="2931"/>
      <c r="N226" s="2932"/>
      <c r="O226" s="481"/>
      <c r="P226" s="10"/>
      <c r="Q226" s="1118" t="s">
        <v>767</v>
      </c>
      <c r="Y226" s="1140" t="b">
        <f t="shared" si="6"/>
        <v>1</v>
      </c>
    </row>
    <row r="227" spans="3:42">
      <c r="C227" s="485"/>
      <c r="D227" s="862"/>
      <c r="E227" s="1179">
        <v>1</v>
      </c>
      <c r="F227" s="2922" t="str">
        <f t="shared" ref="F227:F232" si="7">IF(F215 &amp; F221 = "","",IF(F221="",IF(AND(F215&lt;&gt;"",COUNTIF(EUconst_AnnexIActivities,F215)=0),EUconst_ERR_LinkToNIMs,F215),F221))</f>
        <v/>
      </c>
      <c r="G227" s="2923">
        <f t="shared" ref="G227:N227" si="8">IF(G226="",G225,G226)</f>
        <v>0</v>
      </c>
      <c r="H227" s="2923">
        <f t="shared" si="8"/>
        <v>0</v>
      </c>
      <c r="I227" s="2923">
        <f t="shared" si="8"/>
        <v>0</v>
      </c>
      <c r="J227" s="2923">
        <f t="shared" si="8"/>
        <v>0</v>
      </c>
      <c r="K227" s="2923">
        <f t="shared" si="8"/>
        <v>0</v>
      </c>
      <c r="L227" s="2923">
        <f t="shared" si="8"/>
        <v>0</v>
      </c>
      <c r="M227" s="2923">
        <f t="shared" si="8"/>
        <v>0</v>
      </c>
      <c r="N227" s="2924">
        <f t="shared" si="8"/>
        <v>0</v>
      </c>
      <c r="O227" s="481"/>
      <c r="P227" s="485"/>
      <c r="Q227" s="1182" t="str">
        <f t="shared" ref="Q227:Q232" si="9">IF(F227="","",MATCH(F227,EUconst_AnnexIActivities,0))</f>
        <v/>
      </c>
      <c r="AP227" s="1135" t="s">
        <v>2358</v>
      </c>
    </row>
    <row r="228" spans="3:42">
      <c r="C228" s="485"/>
      <c r="D228" s="862"/>
      <c r="E228" s="1180">
        <f>E227+1</f>
        <v>2</v>
      </c>
      <c r="F228" s="2825" t="str">
        <f t="shared" si="7"/>
        <v/>
      </c>
      <c r="G228" s="2827">
        <f t="shared" ref="G228:N228" si="10">IF(G227="",G226,G227)</f>
        <v>0</v>
      </c>
      <c r="H228" s="2827">
        <f t="shared" si="10"/>
        <v>0</v>
      </c>
      <c r="I228" s="2827">
        <f t="shared" si="10"/>
        <v>0</v>
      </c>
      <c r="J228" s="2827">
        <f t="shared" si="10"/>
        <v>0</v>
      </c>
      <c r="K228" s="2827">
        <f t="shared" si="10"/>
        <v>0</v>
      </c>
      <c r="L228" s="2827">
        <f t="shared" si="10"/>
        <v>0</v>
      </c>
      <c r="M228" s="2827">
        <f t="shared" si="10"/>
        <v>0</v>
      </c>
      <c r="N228" s="2826">
        <f t="shared" si="10"/>
        <v>0</v>
      </c>
      <c r="O228" s="481"/>
      <c r="P228" s="485"/>
      <c r="Q228" s="1183" t="str">
        <f t="shared" si="9"/>
        <v/>
      </c>
      <c r="AP228" s="1135" t="s">
        <v>2359</v>
      </c>
    </row>
    <row r="229" spans="3:42">
      <c r="C229" s="485"/>
      <c r="D229" s="862"/>
      <c r="E229" s="1180">
        <f>E228+1</f>
        <v>3</v>
      </c>
      <c r="F229" s="2825" t="str">
        <f t="shared" si="7"/>
        <v/>
      </c>
      <c r="G229" s="2827">
        <f t="shared" ref="G229:N229" si="11">IF(G228="",G227,G228)</f>
        <v>0</v>
      </c>
      <c r="H229" s="2827">
        <f t="shared" si="11"/>
        <v>0</v>
      </c>
      <c r="I229" s="2827">
        <f t="shared" si="11"/>
        <v>0</v>
      </c>
      <c r="J229" s="2827">
        <f t="shared" si="11"/>
        <v>0</v>
      </c>
      <c r="K229" s="2827">
        <f t="shared" si="11"/>
        <v>0</v>
      </c>
      <c r="L229" s="2827">
        <f t="shared" si="11"/>
        <v>0</v>
      </c>
      <c r="M229" s="2827">
        <f t="shared" si="11"/>
        <v>0</v>
      </c>
      <c r="N229" s="2826">
        <f t="shared" si="11"/>
        <v>0</v>
      </c>
      <c r="O229" s="481"/>
      <c r="P229" s="485"/>
      <c r="Q229" s="1183" t="str">
        <f t="shared" si="9"/>
        <v/>
      </c>
      <c r="AP229" s="1135" t="s">
        <v>2360</v>
      </c>
    </row>
    <row r="230" spans="3:42">
      <c r="C230" s="485"/>
      <c r="D230" s="862"/>
      <c r="E230" s="1180">
        <f>E229+1</f>
        <v>4</v>
      </c>
      <c r="F230" s="2825" t="str">
        <f t="shared" si="7"/>
        <v/>
      </c>
      <c r="G230" s="2827">
        <f t="shared" ref="G230:N230" si="12">IF(G229="",G228,G229)</f>
        <v>0</v>
      </c>
      <c r="H230" s="2827">
        <f t="shared" si="12"/>
        <v>0</v>
      </c>
      <c r="I230" s="2827">
        <f t="shared" si="12"/>
        <v>0</v>
      </c>
      <c r="J230" s="2827">
        <f t="shared" si="12"/>
        <v>0</v>
      </c>
      <c r="K230" s="2827">
        <f t="shared" si="12"/>
        <v>0</v>
      </c>
      <c r="L230" s="2827">
        <f t="shared" si="12"/>
        <v>0</v>
      </c>
      <c r="M230" s="2827">
        <f t="shared" si="12"/>
        <v>0</v>
      </c>
      <c r="N230" s="2826">
        <f t="shared" si="12"/>
        <v>0</v>
      </c>
      <c r="O230" s="481"/>
      <c r="P230" s="485"/>
      <c r="Q230" s="1183" t="str">
        <f t="shared" si="9"/>
        <v/>
      </c>
      <c r="AP230" s="1135" t="s">
        <v>2361</v>
      </c>
    </row>
    <row r="231" spans="3:42">
      <c r="C231" s="485"/>
      <c r="D231" s="862"/>
      <c r="E231" s="1180">
        <f>E230+1</f>
        <v>5</v>
      </c>
      <c r="F231" s="2825" t="str">
        <f t="shared" si="7"/>
        <v/>
      </c>
      <c r="G231" s="2827">
        <f t="shared" ref="G231:N231" si="13">IF(G230="",G229,G230)</f>
        <v>0</v>
      </c>
      <c r="H231" s="2827">
        <f t="shared" si="13"/>
        <v>0</v>
      </c>
      <c r="I231" s="2827">
        <f t="shared" si="13"/>
        <v>0</v>
      </c>
      <c r="J231" s="2827">
        <f t="shared" si="13"/>
        <v>0</v>
      </c>
      <c r="K231" s="2827">
        <f t="shared" si="13"/>
        <v>0</v>
      </c>
      <c r="L231" s="2827">
        <f t="shared" si="13"/>
        <v>0</v>
      </c>
      <c r="M231" s="2827">
        <f t="shared" si="13"/>
        <v>0</v>
      </c>
      <c r="N231" s="2826">
        <f t="shared" si="13"/>
        <v>0</v>
      </c>
      <c r="O231" s="481"/>
      <c r="P231" s="485"/>
      <c r="Q231" s="1183" t="str">
        <f t="shared" si="9"/>
        <v/>
      </c>
      <c r="AP231" s="1135" t="s">
        <v>2362</v>
      </c>
    </row>
    <row r="232" spans="3:42" ht="13.5" thickBot="1">
      <c r="C232" s="485"/>
      <c r="D232" s="862"/>
      <c r="E232" s="1181">
        <v>6</v>
      </c>
      <c r="F232" s="2820" t="str">
        <f t="shared" si="7"/>
        <v/>
      </c>
      <c r="G232" s="2822">
        <f t="shared" ref="G232:N232" si="14">IF(G231="",G230,G231)</f>
        <v>0</v>
      </c>
      <c r="H232" s="2822">
        <f t="shared" si="14"/>
        <v>0</v>
      </c>
      <c r="I232" s="2822">
        <f t="shared" si="14"/>
        <v>0</v>
      </c>
      <c r="J232" s="2822">
        <f t="shared" si="14"/>
        <v>0</v>
      </c>
      <c r="K232" s="2822">
        <f t="shared" si="14"/>
        <v>0</v>
      </c>
      <c r="L232" s="2822">
        <f t="shared" si="14"/>
        <v>0</v>
      </c>
      <c r="M232" s="2822">
        <f t="shared" si="14"/>
        <v>0</v>
      </c>
      <c r="N232" s="2821">
        <f t="shared" si="14"/>
        <v>0</v>
      </c>
      <c r="O232" s="481"/>
      <c r="P232" s="485"/>
      <c r="Q232" s="1184" t="str">
        <f t="shared" si="9"/>
        <v/>
      </c>
      <c r="AP232" s="1135" t="s">
        <v>2363</v>
      </c>
    </row>
    <row r="233" spans="3:42" ht="5.0999999999999996" customHeight="1">
      <c r="C233" s="485"/>
      <c r="D233" s="862"/>
      <c r="E233" s="496"/>
      <c r="F233" s="485"/>
      <c r="G233" s="485"/>
      <c r="H233" s="481"/>
      <c r="I233" s="481"/>
      <c r="J233" s="568"/>
      <c r="K233" s="568"/>
      <c r="L233" s="568"/>
      <c r="M233" s="485"/>
      <c r="N233" s="485"/>
      <c r="O233" s="481"/>
      <c r="P233" s="485"/>
    </row>
    <row r="234" spans="3:42" ht="13.15" customHeight="1">
      <c r="C234" s="485"/>
      <c r="D234" s="482" t="s">
        <v>876</v>
      </c>
      <c r="E234" s="2373" t="s">
        <v>2199</v>
      </c>
      <c r="F234" s="2400"/>
      <c r="G234" s="2400"/>
      <c r="H234" s="2400"/>
      <c r="I234" s="2400"/>
      <c r="J234" s="2400"/>
      <c r="K234" s="2400"/>
      <c r="L234" s="2400"/>
      <c r="M234" s="2400"/>
      <c r="N234" s="2400"/>
      <c r="O234" s="481"/>
      <c r="P234" s="485"/>
    </row>
    <row r="235" spans="3:42" ht="13.15" customHeight="1">
      <c r="C235" s="485"/>
      <c r="D235" s="485"/>
      <c r="E235" s="2385" t="s">
        <v>2144</v>
      </c>
      <c r="F235" s="2846"/>
      <c r="G235" s="2846"/>
      <c r="H235" s="2846"/>
      <c r="I235" s="2846"/>
      <c r="J235" s="2846"/>
      <c r="K235" s="2846"/>
      <c r="L235" s="2846"/>
      <c r="M235" s="2846"/>
      <c r="N235" s="2846"/>
      <c r="O235" s="481"/>
      <c r="P235" s="485"/>
    </row>
    <row r="236" spans="3:42" ht="12.75" customHeight="1">
      <c r="C236" s="485"/>
      <c r="D236" s="485"/>
      <c r="E236" s="2385" t="s">
        <v>1003</v>
      </c>
      <c r="F236" s="2846"/>
      <c r="G236" s="2846"/>
      <c r="H236" s="2846"/>
      <c r="I236" s="2846"/>
      <c r="J236" s="2846"/>
      <c r="K236" s="2846"/>
      <c r="L236" s="2846"/>
      <c r="M236" s="2846"/>
      <c r="N236" s="2846"/>
      <c r="O236" s="481"/>
      <c r="P236" s="485"/>
    </row>
    <row r="237" spans="3:42" ht="12.75" customHeight="1">
      <c r="C237" s="485"/>
      <c r="D237" s="485"/>
      <c r="E237" s="2406" t="s">
        <v>2096</v>
      </c>
      <c r="F237" s="2406"/>
      <c r="G237" s="2406"/>
      <c r="H237" s="2406"/>
      <c r="I237" s="2406"/>
      <c r="J237" s="2406"/>
      <c r="K237" s="2406"/>
      <c r="L237" s="2406"/>
      <c r="M237" s="2406"/>
      <c r="N237" s="2406"/>
      <c r="O237" s="481"/>
      <c r="P237" s="485"/>
    </row>
    <row r="238" spans="3:42" ht="18" customHeight="1">
      <c r="C238" s="485"/>
      <c r="D238" s="485"/>
      <c r="E238" s="2385" t="s">
        <v>1637</v>
      </c>
      <c r="F238" s="2846"/>
      <c r="G238" s="2846"/>
      <c r="H238" s="2846"/>
      <c r="I238" s="2846"/>
      <c r="J238" s="2846"/>
      <c r="K238" s="2846"/>
      <c r="L238" s="2846"/>
      <c r="M238" s="2846"/>
      <c r="N238" s="2846"/>
      <c r="O238" s="481"/>
      <c r="P238" s="485"/>
    </row>
    <row r="239" spans="3:42" ht="13.15" customHeight="1">
      <c r="C239" s="485"/>
      <c r="D239" s="485"/>
      <c r="E239" s="2385" t="s">
        <v>948</v>
      </c>
      <c r="F239" s="2846"/>
      <c r="G239" s="2846"/>
      <c r="H239" s="2846"/>
      <c r="I239" s="2846"/>
      <c r="J239" s="2846"/>
      <c r="K239" s="2846"/>
      <c r="L239" s="2846"/>
      <c r="M239" s="2846"/>
      <c r="N239" s="2846"/>
      <c r="O239" s="481"/>
      <c r="P239" s="485"/>
    </row>
    <row r="240" spans="3:42" ht="12.75" customHeight="1">
      <c r="C240" s="485"/>
      <c r="D240" s="862"/>
      <c r="E240" s="2381" t="s">
        <v>1602</v>
      </c>
      <c r="F240" s="2381"/>
      <c r="G240" s="2381"/>
      <c r="H240" s="2381"/>
      <c r="I240" s="2381"/>
      <c r="J240" s="2381"/>
      <c r="K240" s="2583"/>
      <c r="L240" s="2898" t="str">
        <f>c_ALR2025!M33</f>
        <v/>
      </c>
      <c r="M240" s="2899"/>
      <c r="N240" s="2899"/>
      <c r="O240" s="481"/>
      <c r="P240" s="1119"/>
      <c r="Y240" s="1140" t="b">
        <f>OR(CNTR_Incumbent=FALSE,CTRL_InputMethodNIMsvalues=2)</f>
        <v>0</v>
      </c>
    </row>
    <row r="241" spans="3:42">
      <c r="C241" s="485"/>
      <c r="D241" s="862"/>
      <c r="E241" s="561"/>
      <c r="F241" s="561"/>
      <c r="G241" s="561"/>
      <c r="H241" s="561"/>
      <c r="I241" s="561"/>
      <c r="J241" s="561"/>
      <c r="K241" s="561"/>
      <c r="L241" s="2897"/>
      <c r="M241" s="2897"/>
      <c r="N241" s="2897"/>
      <c r="O241" s="481"/>
      <c r="P241" s="10"/>
      <c r="Y241" s="1140" t="b">
        <f>CTRL_InputMethodNIMsvalues=1</f>
        <v>1</v>
      </c>
    </row>
    <row r="242" spans="3:42">
      <c r="C242" s="485"/>
      <c r="D242" s="862"/>
      <c r="E242" s="561"/>
      <c r="F242" s="561"/>
      <c r="G242" s="561"/>
      <c r="H242" s="561"/>
      <c r="I242" s="561"/>
      <c r="J242" s="561"/>
      <c r="K242" s="561"/>
      <c r="L242" s="2894" t="str">
        <f>IF(L240 &amp; L241 = "","",IF(L241="",L240,L241))</f>
        <v/>
      </c>
      <c r="M242" s="2895"/>
      <c r="N242" s="2895"/>
      <c r="O242" s="481"/>
      <c r="P242" s="485"/>
      <c r="Q242" s="1158" t="s">
        <v>1376</v>
      </c>
      <c r="S242" s="1185"/>
      <c r="AP242" s="1135" t="s">
        <v>2364</v>
      </c>
    </row>
    <row r="243" spans="3:42" ht="5.0999999999999996" customHeight="1">
      <c r="C243" s="485"/>
      <c r="D243" s="862"/>
      <c r="E243" s="496"/>
      <c r="F243" s="485"/>
      <c r="G243" s="485"/>
      <c r="H243" s="481"/>
      <c r="I243" s="481"/>
      <c r="J243" s="568"/>
      <c r="K243" s="568"/>
      <c r="L243" s="568"/>
      <c r="M243" s="485"/>
      <c r="N243" s="485"/>
      <c r="O243" s="481"/>
      <c r="P243" s="485"/>
    </row>
    <row r="244" spans="3:42" ht="13.15" customHeight="1">
      <c r="C244" s="485"/>
      <c r="D244" s="482" t="s">
        <v>2254</v>
      </c>
      <c r="E244" s="2373" t="s">
        <v>2255</v>
      </c>
      <c r="F244" s="2400"/>
      <c r="G244" s="2400"/>
      <c r="H244" s="2400"/>
      <c r="I244" s="2400"/>
      <c r="J244" s="2400"/>
      <c r="K244" s="2585"/>
      <c r="L244" s="2898" t="str">
        <f>c_ALR2025!M34</f>
        <v/>
      </c>
      <c r="M244" s="2899"/>
      <c r="N244" s="2899"/>
      <c r="O244" s="481"/>
      <c r="P244" s="1119"/>
      <c r="Y244" s="1140" t="b">
        <f>OR(CNTR_Incumbent=FALSE,CTRL_InputMethodNIMsvalues=2)</f>
        <v>0</v>
      </c>
    </row>
    <row r="245" spans="3:42">
      <c r="C245" s="485"/>
      <c r="D245" s="568"/>
      <c r="E245" s="568"/>
      <c r="F245" s="568"/>
      <c r="G245" s="568"/>
      <c r="H245" s="568"/>
      <c r="I245" s="568"/>
      <c r="J245" s="568"/>
      <c r="K245" s="568"/>
      <c r="L245" s="2896"/>
      <c r="M245" s="2896"/>
      <c r="N245" s="2896"/>
      <c r="O245" s="481"/>
      <c r="P245" s="10"/>
      <c r="Y245" s="1140" t="b">
        <f>CTRL_InputMethodNIMsvalues=1</f>
        <v>1</v>
      </c>
    </row>
    <row r="246" spans="3:42">
      <c r="C246" s="485"/>
      <c r="D246" s="568"/>
      <c r="E246" s="568"/>
      <c r="F246" s="568"/>
      <c r="G246" s="568"/>
      <c r="H246" s="568"/>
      <c r="I246" s="568"/>
      <c r="J246" s="568"/>
      <c r="K246" s="568"/>
      <c r="L246" s="2894" t="str">
        <f>IF(L244 &amp; L245 = "","",IF(L245="",L244,L245))</f>
        <v/>
      </c>
      <c r="M246" s="2895"/>
      <c r="N246" s="2895"/>
      <c r="O246" s="481"/>
      <c r="P246" s="485"/>
      <c r="AP246" s="1135" t="s">
        <v>2365</v>
      </c>
    </row>
    <row r="247" spans="3:42" ht="13.15" customHeight="1">
      <c r="C247" s="485"/>
      <c r="D247" s="485"/>
      <c r="E247" s="2385" t="s">
        <v>958</v>
      </c>
      <c r="F247" s="2846"/>
      <c r="G247" s="2846"/>
      <c r="H247" s="2846"/>
      <c r="I247" s="2846"/>
      <c r="J247" s="2846"/>
      <c r="K247" s="2846"/>
      <c r="L247" s="2846"/>
      <c r="M247" s="2846"/>
      <c r="N247" s="2846"/>
      <c r="O247" s="481"/>
      <c r="P247" s="485"/>
    </row>
    <row r="248" spans="3:42" ht="13.15" customHeight="1">
      <c r="C248" s="485"/>
      <c r="D248" s="485"/>
      <c r="E248" s="2385" t="s">
        <v>2145</v>
      </c>
      <c r="F248" s="2846"/>
      <c r="G248" s="2846"/>
      <c r="H248" s="2846"/>
      <c r="I248" s="2846"/>
      <c r="J248" s="2846"/>
      <c r="K248" s="2846"/>
      <c r="L248" s="2846"/>
      <c r="M248" s="2846"/>
      <c r="N248" s="2846"/>
      <c r="O248" s="481"/>
      <c r="P248" s="485"/>
    </row>
    <row r="249" spans="3:42">
      <c r="C249" s="485"/>
      <c r="D249" s="862"/>
      <c r="E249" s="496"/>
      <c r="F249" s="485"/>
      <c r="G249" s="485"/>
      <c r="H249" s="568"/>
      <c r="I249" s="568"/>
      <c r="J249" s="568"/>
      <c r="K249" s="568"/>
      <c r="L249" s="568"/>
      <c r="M249" s="485"/>
      <c r="N249" s="485"/>
      <c r="O249" s="481"/>
      <c r="P249" s="485"/>
    </row>
    <row r="250" spans="3:42" ht="15.6" customHeight="1">
      <c r="C250" s="507" t="s">
        <v>10</v>
      </c>
      <c r="D250" s="2408" t="s">
        <v>1880</v>
      </c>
      <c r="E250" s="2408"/>
      <c r="F250" s="2408"/>
      <c r="G250" s="2408"/>
      <c r="H250" s="2408"/>
      <c r="I250" s="2408"/>
      <c r="J250" s="2408"/>
      <c r="K250" s="2408"/>
      <c r="L250" s="2408"/>
      <c r="M250" s="2408"/>
      <c r="N250" s="2408"/>
      <c r="O250" s="481"/>
      <c r="P250" s="485"/>
      <c r="Q250" s="1117"/>
    </row>
    <row r="251" spans="3:42" ht="5.0999999999999996" customHeight="1">
      <c r="C251" s="467"/>
      <c r="D251" s="467"/>
      <c r="E251" s="467"/>
      <c r="F251" s="467"/>
      <c r="G251" s="467"/>
      <c r="H251" s="467"/>
      <c r="I251" s="467"/>
      <c r="J251" s="467"/>
      <c r="K251" s="467"/>
      <c r="L251" s="467"/>
      <c r="M251" s="481"/>
      <c r="N251" s="481"/>
      <c r="O251" s="481"/>
      <c r="P251" s="485"/>
      <c r="Q251" s="1117"/>
    </row>
    <row r="252" spans="3:42" ht="13.9" customHeight="1">
      <c r="C252" s="559">
        <v>1</v>
      </c>
      <c r="D252" s="2482" t="s">
        <v>261</v>
      </c>
      <c r="E252" s="2400"/>
      <c r="F252" s="2400"/>
      <c r="G252" s="2400"/>
      <c r="H252" s="2400"/>
      <c r="I252" s="2400"/>
      <c r="J252" s="2400"/>
      <c r="K252" s="2400"/>
      <c r="L252" s="2400"/>
      <c r="M252" s="2400"/>
      <c r="N252" s="2400"/>
      <c r="O252" s="481"/>
      <c r="P252" s="485"/>
    </row>
    <row r="253" spans="3:42" ht="5.0999999999999996" customHeight="1">
      <c r="C253" s="467"/>
      <c r="D253" s="467"/>
      <c r="E253" s="467"/>
      <c r="F253" s="467"/>
      <c r="G253" s="467"/>
      <c r="H253" s="467"/>
      <c r="I253" s="467"/>
      <c r="J253" s="467"/>
      <c r="K253" s="467"/>
      <c r="L253" s="467"/>
      <c r="M253" s="481"/>
      <c r="N253" s="481"/>
      <c r="O253" s="481"/>
      <c r="P253" s="485"/>
      <c r="Q253" s="1117"/>
    </row>
    <row r="254" spans="3:42" ht="13.15" customHeight="1">
      <c r="C254" s="485"/>
      <c r="D254" s="482" t="s">
        <v>400</v>
      </c>
      <c r="E254" s="2373" t="s">
        <v>2535</v>
      </c>
      <c r="F254" s="2400"/>
      <c r="G254" s="2400"/>
      <c r="H254" s="2400"/>
      <c r="I254" s="2400"/>
      <c r="J254" s="2400"/>
      <c r="K254" s="2400"/>
      <c r="L254" s="2585"/>
      <c r="M254" s="2878" t="str">
        <f>c_ALR2025!I66</f>
        <v/>
      </c>
      <c r="N254" s="2879"/>
      <c r="O254" s="481"/>
      <c r="P254" s="1119"/>
      <c r="Y254" s="1140" t="b">
        <f>OR(CNTR_Incumbent=FALSE,CTRL_InputMethodNIMsvalues=2)</f>
        <v>0</v>
      </c>
    </row>
    <row r="255" spans="3:42">
      <c r="C255" s="485"/>
      <c r="D255" s="482"/>
      <c r="E255" s="497"/>
      <c r="F255" s="497"/>
      <c r="G255" s="497"/>
      <c r="H255" s="497"/>
      <c r="I255" s="497"/>
      <c r="J255" s="497"/>
      <c r="K255" s="497"/>
      <c r="L255" s="497"/>
      <c r="M255" s="2880"/>
      <c r="N255" s="2881"/>
      <c r="O255" s="481"/>
      <c r="P255" s="10"/>
      <c r="Y255" s="1140" t="b">
        <f>CTRL_InputMethodNIMsvalues=1</f>
        <v>1</v>
      </c>
    </row>
    <row r="256" spans="3:42">
      <c r="C256" s="485"/>
      <c r="D256" s="482"/>
      <c r="E256" s="497"/>
      <c r="F256" s="497"/>
      <c r="G256" s="497"/>
      <c r="H256" s="497"/>
      <c r="I256" s="497"/>
      <c r="J256" s="497"/>
      <c r="K256" s="497"/>
      <c r="L256" s="497"/>
      <c r="M256" s="2882" t="str">
        <f>IF(M254 &amp; M255 = "","",IF(M255="",M254,M255))</f>
        <v/>
      </c>
      <c r="N256" s="2883">
        <f>IF(K255="",K254,K255)</f>
        <v>0</v>
      </c>
      <c r="O256" s="481"/>
      <c r="P256" s="485"/>
      <c r="S256" s="1186"/>
      <c r="T256" s="1186"/>
      <c r="X256" s="1137" t="s">
        <v>1954</v>
      </c>
      <c r="Y256" s="1140" t="b">
        <f>AND(CNTR_HasEntries_A_I,M256="")</f>
        <v>0</v>
      </c>
      <c r="AP256" s="1135" t="s">
        <v>2366</v>
      </c>
    </row>
    <row r="257" spans="3:42" ht="49.5" customHeight="1">
      <c r="C257" s="485"/>
      <c r="D257" s="485"/>
      <c r="E257" s="2850" t="s">
        <v>2729</v>
      </c>
      <c r="F257" s="2850"/>
      <c r="G257" s="2850"/>
      <c r="H257" s="2850"/>
      <c r="I257" s="2850"/>
      <c r="J257" s="2850"/>
      <c r="K257" s="2850"/>
      <c r="L257" s="2850"/>
      <c r="M257" s="2850"/>
      <c r="N257" s="2850"/>
      <c r="O257" s="481"/>
      <c r="P257" s="485"/>
    </row>
    <row r="258" spans="3:42" ht="5.0999999999999996" customHeight="1">
      <c r="C258" s="467"/>
      <c r="D258" s="467"/>
      <c r="E258" s="467"/>
      <c r="F258" s="467"/>
      <c r="G258" s="467"/>
      <c r="H258" s="467"/>
      <c r="I258" s="467"/>
      <c r="J258" s="467"/>
      <c r="K258" s="467"/>
      <c r="L258" s="467"/>
      <c r="M258" s="481"/>
      <c r="N258" s="481"/>
      <c r="O258" s="481"/>
      <c r="P258" s="485"/>
      <c r="Q258" s="1117"/>
    </row>
    <row r="259" spans="3:42" ht="30" customHeight="1">
      <c r="C259" s="485"/>
      <c r="D259" s="482" t="s">
        <v>876</v>
      </c>
      <c r="E259" s="2373" t="s">
        <v>2200</v>
      </c>
      <c r="F259" s="2400"/>
      <c r="G259" s="2400"/>
      <c r="H259" s="2400"/>
      <c r="I259" s="2400"/>
      <c r="J259" s="2400"/>
      <c r="K259" s="2400"/>
      <c r="L259" s="2585"/>
      <c r="M259" s="2878" t="str">
        <f>c_ALR2025!M66</f>
        <v/>
      </c>
      <c r="N259" s="2879"/>
      <c r="O259" s="481"/>
      <c r="P259" s="1119"/>
      <c r="Y259" s="1140" t="b">
        <f>OR(CNTR_Incumbent=FALSE,CTRL_InputMethodNIMsvalues=2)</f>
        <v>0</v>
      </c>
    </row>
    <row r="260" spans="3:42">
      <c r="C260" s="485"/>
      <c r="D260" s="482"/>
      <c r="E260" s="485"/>
      <c r="F260" s="485"/>
      <c r="G260" s="485"/>
      <c r="H260" s="485"/>
      <c r="I260" s="485"/>
      <c r="J260" s="485"/>
      <c r="K260" s="485"/>
      <c r="L260" s="485"/>
      <c r="M260" s="2880"/>
      <c r="N260" s="2881"/>
      <c r="O260" s="481"/>
      <c r="P260" s="10"/>
      <c r="Y260" s="1140" t="b">
        <f>CTRL_InputMethodNIMsvalues=1</f>
        <v>1</v>
      </c>
    </row>
    <row r="261" spans="3:42">
      <c r="C261" s="485"/>
      <c r="D261" s="482"/>
      <c r="E261" s="485"/>
      <c r="F261" s="485"/>
      <c r="G261" s="485"/>
      <c r="H261" s="485"/>
      <c r="I261" s="485"/>
      <c r="J261" s="485"/>
      <c r="K261" s="485"/>
      <c r="L261" s="485"/>
      <c r="M261" s="2882" t="str">
        <f>IF(M259 &amp; M260 = "","",IF(M260="",M259,M260))</f>
        <v/>
      </c>
      <c r="N261" s="2883">
        <f>IF(K260="",K259,K260)</f>
        <v>0</v>
      </c>
      <c r="O261" s="481"/>
      <c r="P261" s="485"/>
      <c r="X261" s="1137" t="s">
        <v>1954</v>
      </c>
      <c r="Y261" s="1140" t="b">
        <f>AND(CNTR_HasEntries_A_I,M261="")</f>
        <v>0</v>
      </c>
      <c r="AP261" s="1135" t="s">
        <v>2367</v>
      </c>
    </row>
    <row r="262" spans="3:42" ht="5.0999999999999996" customHeight="1">
      <c r="C262" s="467"/>
      <c r="D262" s="467"/>
      <c r="E262" s="467"/>
      <c r="F262" s="467"/>
      <c r="G262" s="467"/>
      <c r="H262" s="467"/>
      <c r="I262" s="467"/>
      <c r="J262" s="467"/>
      <c r="K262" s="467"/>
      <c r="L262" s="467"/>
      <c r="M262" s="481"/>
      <c r="N262" s="481"/>
      <c r="O262" s="481"/>
      <c r="P262" s="485"/>
      <c r="Q262" s="1117"/>
    </row>
    <row r="263" spans="3:42" ht="13.15" customHeight="1">
      <c r="C263" s="485"/>
      <c r="D263" s="482" t="s">
        <v>48</v>
      </c>
      <c r="E263" s="2373" t="s">
        <v>2536</v>
      </c>
      <c r="F263" s="2400"/>
      <c r="G263" s="2400"/>
      <c r="H263" s="2400"/>
      <c r="I263" s="2400"/>
      <c r="J263" s="2400"/>
      <c r="K263" s="2400"/>
      <c r="L263" s="2585"/>
      <c r="M263" s="2882" t="str">
        <f>IF(AND(M256="",M261=""),"",IF(OR(M256,M261),TRUE,FALSE))</f>
        <v/>
      </c>
      <c r="N263" s="2883"/>
      <c r="O263" s="481"/>
      <c r="P263" s="485"/>
      <c r="AP263" s="1135" t="s">
        <v>2357</v>
      </c>
    </row>
    <row r="264" spans="3:42" ht="13.15" customHeight="1">
      <c r="C264" s="485"/>
      <c r="D264" s="485"/>
      <c r="E264" s="2385" t="s">
        <v>1075</v>
      </c>
      <c r="F264" s="2846"/>
      <c r="G264" s="2846"/>
      <c r="H264" s="2846"/>
      <c r="I264" s="2846"/>
      <c r="J264" s="2846"/>
      <c r="K264" s="2846"/>
      <c r="L264" s="2846"/>
      <c r="M264" s="2846"/>
      <c r="N264" s="2846"/>
      <c r="O264" s="481"/>
      <c r="P264" s="485"/>
    </row>
    <row r="265" spans="3:42" ht="25.5" customHeight="1">
      <c r="C265" s="485"/>
      <c r="D265" s="485"/>
      <c r="E265" s="2385" t="s">
        <v>2537</v>
      </c>
      <c r="F265" s="2846"/>
      <c r="G265" s="2846"/>
      <c r="H265" s="2846"/>
      <c r="I265" s="2846"/>
      <c r="J265" s="2846"/>
      <c r="K265" s="2846"/>
      <c r="L265" s="2846"/>
      <c r="M265" s="2846"/>
      <c r="N265" s="2846"/>
      <c r="O265" s="481"/>
      <c r="P265" s="485"/>
      <c r="Q265" s="1137"/>
    </row>
    <row r="266" spans="3:42" ht="5.0999999999999996" customHeight="1">
      <c r="C266" s="467"/>
      <c r="D266" s="467"/>
      <c r="E266" s="467"/>
      <c r="F266" s="467"/>
      <c r="G266" s="467"/>
      <c r="H266" s="467"/>
      <c r="I266" s="467"/>
      <c r="J266" s="467"/>
      <c r="K266" s="467"/>
      <c r="L266" s="467"/>
      <c r="M266" s="481"/>
      <c r="N266" s="481"/>
      <c r="O266" s="481"/>
      <c r="P266" s="485"/>
      <c r="Q266" s="1117"/>
    </row>
    <row r="267" spans="3:42" ht="13.15" customHeight="1">
      <c r="C267" s="485"/>
      <c r="D267" s="482" t="s">
        <v>881</v>
      </c>
      <c r="E267" s="2373" t="s">
        <v>1158</v>
      </c>
      <c r="F267" s="2400"/>
      <c r="G267" s="2400"/>
      <c r="H267" s="2400"/>
      <c r="I267" s="2400"/>
      <c r="J267" s="2400"/>
      <c r="K267" s="2400"/>
      <c r="L267" s="2585"/>
      <c r="M267" s="2878" t="str">
        <f>c_ALR2025!M67</f>
        <v/>
      </c>
      <c r="N267" s="2879"/>
      <c r="O267" s="481"/>
      <c r="P267" s="1119"/>
      <c r="Y267" s="1140" t="b">
        <f>OR(CNTR_Incumbent=FALSE,CTRL_InputMethodNIMsvalues=2)</f>
        <v>0</v>
      </c>
    </row>
    <row r="268" spans="3:42">
      <c r="C268" s="485"/>
      <c r="D268" s="482"/>
      <c r="E268" s="485"/>
      <c r="F268" s="485"/>
      <c r="G268" s="485"/>
      <c r="H268" s="485"/>
      <c r="I268" s="485"/>
      <c r="J268" s="485"/>
      <c r="K268" s="485"/>
      <c r="L268" s="485"/>
      <c r="M268" s="2880"/>
      <c r="N268" s="2881"/>
      <c r="O268" s="481"/>
      <c r="P268" s="10"/>
      <c r="Y268" s="1140" t="b">
        <f>CTRL_InputMethodNIMsvalues=1</f>
        <v>1</v>
      </c>
    </row>
    <row r="269" spans="3:42">
      <c r="C269" s="485"/>
      <c r="D269" s="482"/>
      <c r="E269" s="485"/>
      <c r="F269" s="485"/>
      <c r="G269" s="485"/>
      <c r="H269" s="485"/>
      <c r="I269" s="485"/>
      <c r="J269" s="485"/>
      <c r="K269" s="485"/>
      <c r="L269" s="485"/>
      <c r="M269" s="2882" t="str">
        <f>IF(M267 &amp; M268 = "","",IF(M268="",M267,M268))</f>
        <v/>
      </c>
      <c r="N269" s="2883">
        <f>IF(K268="",K267,K268)</f>
        <v>0</v>
      </c>
      <c r="O269" s="481"/>
      <c r="P269" s="485"/>
      <c r="X269" s="1137" t="s">
        <v>1954</v>
      </c>
      <c r="Y269" s="1140" t="b">
        <f>AND(CNTR_HasEntries_A_I,M269="")</f>
        <v>0</v>
      </c>
      <c r="AP269" s="1135" t="s">
        <v>2356</v>
      </c>
    </row>
    <row r="270" spans="3:42" ht="5.0999999999999996" customHeight="1">
      <c r="C270" s="467"/>
      <c r="D270" s="467"/>
      <c r="E270" s="467"/>
      <c r="F270" s="467"/>
      <c r="G270" s="467"/>
      <c r="H270" s="467"/>
      <c r="I270" s="467"/>
      <c r="J270" s="467"/>
      <c r="K270" s="467"/>
      <c r="L270" s="467"/>
      <c r="M270" s="481"/>
      <c r="N270" s="481"/>
      <c r="O270" s="481"/>
      <c r="P270" s="485"/>
      <c r="Q270" s="1117"/>
    </row>
    <row r="271" spans="3:42">
      <c r="C271" s="485"/>
      <c r="D271" s="485"/>
      <c r="E271" s="2871" t="str">
        <f>IF(CNTR_HasEntries_A_I,IF(COUNTA(M256,M261,M269)&lt;3,EUconst_ERR_Mandatory_abd,""),"")</f>
        <v/>
      </c>
      <c r="F271" s="2871"/>
      <c r="G271" s="2871"/>
      <c r="H271" s="2871"/>
      <c r="I271" s="2871"/>
      <c r="J271" s="2871"/>
      <c r="K271" s="2871"/>
      <c r="L271" s="2871"/>
      <c r="M271" s="2871"/>
      <c r="N271" s="2871"/>
      <c r="O271" s="481"/>
      <c r="P271" s="485"/>
    </row>
    <row r="272" spans="3:42" ht="5.0999999999999996" customHeight="1">
      <c r="C272" s="467"/>
      <c r="D272" s="467"/>
      <c r="E272" s="467"/>
      <c r="F272" s="467"/>
      <c r="G272" s="467"/>
      <c r="H272" s="467"/>
      <c r="I272" s="467"/>
      <c r="J272" s="467"/>
      <c r="K272" s="467"/>
      <c r="L272" s="467"/>
      <c r="M272" s="481"/>
      <c r="N272" s="481"/>
      <c r="O272" s="481"/>
      <c r="P272" s="485"/>
      <c r="Q272" s="1117"/>
    </row>
    <row r="273" spans="1:42" ht="13.5" thickBot="1">
      <c r="C273" s="485"/>
      <c r="D273" s="485"/>
      <c r="E273" s="485"/>
      <c r="F273" s="485"/>
      <c r="G273" s="485"/>
      <c r="H273" s="485"/>
      <c r="I273" s="485"/>
      <c r="J273" s="485"/>
      <c r="K273" s="485"/>
      <c r="L273" s="485"/>
      <c r="M273" s="485"/>
      <c r="N273" s="485"/>
      <c r="O273" s="481"/>
      <c r="P273" s="485"/>
    </row>
    <row r="274" spans="1:42" ht="5.0999999999999996" customHeight="1">
      <c r="C274" s="534"/>
      <c r="D274" s="535"/>
      <c r="E274" s="535"/>
      <c r="F274" s="535"/>
      <c r="G274" s="535"/>
      <c r="H274" s="535"/>
      <c r="I274" s="535"/>
      <c r="J274" s="535"/>
      <c r="K274" s="535"/>
      <c r="L274" s="535"/>
      <c r="M274" s="536"/>
      <c r="N274" s="536"/>
      <c r="O274" s="537"/>
      <c r="P274" s="485"/>
    </row>
    <row r="275" spans="1:42" ht="24.4" customHeight="1">
      <c r="C275" s="539"/>
      <c r="D275" s="482" t="s">
        <v>57</v>
      </c>
      <c r="E275" s="2373" t="s">
        <v>2201</v>
      </c>
      <c r="F275" s="2400"/>
      <c r="G275" s="2400"/>
      <c r="H275" s="2400"/>
      <c r="I275" s="2400"/>
      <c r="J275" s="2400"/>
      <c r="K275" s="2400"/>
      <c r="L275" s="2400"/>
      <c r="M275" s="2400"/>
      <c r="N275" s="2400"/>
      <c r="O275" s="1187"/>
      <c r="P275" s="485"/>
    </row>
    <row r="276" spans="1:42" ht="5.0999999999999996" customHeight="1">
      <c r="C276" s="538"/>
      <c r="D276" s="467"/>
      <c r="E276" s="467"/>
      <c r="F276" s="467"/>
      <c r="G276" s="467"/>
      <c r="H276" s="467"/>
      <c r="I276" s="467"/>
      <c r="J276" s="467"/>
      <c r="K276" s="467"/>
      <c r="L276" s="467"/>
      <c r="M276" s="481"/>
      <c r="N276" s="481"/>
      <c r="O276" s="1187"/>
      <c r="P276" s="485"/>
    </row>
    <row r="277" spans="1:42" ht="25.5" customHeight="1">
      <c r="C277" s="539"/>
      <c r="D277" s="485"/>
      <c r="E277" s="2870" t="s">
        <v>2146</v>
      </c>
      <c r="F277" s="2870"/>
      <c r="G277" s="2870"/>
      <c r="H277" s="2870"/>
      <c r="I277" s="2870"/>
      <c r="J277" s="2870"/>
      <c r="K277" s="2870"/>
      <c r="L277" s="2870"/>
      <c r="M277" s="2870"/>
      <c r="N277" s="2870"/>
      <c r="O277" s="1187"/>
      <c r="P277" s="485"/>
    </row>
    <row r="278" spans="1:42">
      <c r="C278" s="539"/>
      <c r="D278" s="485"/>
      <c r="E278" s="2885"/>
      <c r="F278" s="2886"/>
      <c r="G278" s="2886"/>
      <c r="H278" s="2886"/>
      <c r="I278" s="2886"/>
      <c r="J278" s="2886"/>
      <c r="K278" s="2886"/>
      <c r="L278" s="2886"/>
      <c r="M278" s="2886"/>
      <c r="N278" s="2887"/>
      <c r="O278" s="1187"/>
      <c r="P278" s="485"/>
      <c r="AP278" s="1135" t="s">
        <v>2368</v>
      </c>
    </row>
    <row r="279" spans="1:42" ht="5.0999999999999996" customHeight="1">
      <c r="C279" s="538"/>
      <c r="D279" s="467"/>
      <c r="E279" s="467"/>
      <c r="F279" s="467"/>
      <c r="G279" s="467"/>
      <c r="H279" s="467"/>
      <c r="I279" s="467"/>
      <c r="J279" s="467"/>
      <c r="K279" s="467"/>
      <c r="L279" s="467"/>
      <c r="M279" s="481"/>
      <c r="N279" s="481"/>
      <c r="O279" s="1187"/>
      <c r="P279" s="485"/>
    </row>
    <row r="280" spans="1:42">
      <c r="C280" s="539"/>
      <c r="D280" s="485"/>
      <c r="E280" s="2884" t="s">
        <v>1077</v>
      </c>
      <c r="F280" s="2400"/>
      <c r="G280" s="2400"/>
      <c r="H280" s="2400"/>
      <c r="I280" s="2400"/>
      <c r="J280" s="2400"/>
      <c r="K280" s="2400"/>
      <c r="L280" s="2400"/>
      <c r="M280" s="2400"/>
      <c r="N280" s="2400"/>
      <c r="O280" s="1187"/>
      <c r="P280" s="485"/>
    </row>
    <row r="281" spans="1:42" ht="40.15" customHeight="1">
      <c r="C281" s="539"/>
      <c r="D281" s="485"/>
      <c r="E281" s="2870" t="s">
        <v>2538</v>
      </c>
      <c r="F281" s="2870"/>
      <c r="G281" s="2870"/>
      <c r="H281" s="2870"/>
      <c r="I281" s="2870"/>
      <c r="J281" s="2870"/>
      <c r="K281" s="2870"/>
      <c r="L281" s="2870"/>
      <c r="M281" s="2870"/>
      <c r="N281" s="2870"/>
      <c r="O281" s="1187"/>
      <c r="P281" s="485"/>
    </row>
    <row r="282" spans="1:42" ht="16.5" customHeight="1">
      <c r="C282" s="539"/>
      <c r="D282" s="485"/>
      <c r="E282" s="2870" t="s">
        <v>2539</v>
      </c>
      <c r="F282" s="2870"/>
      <c r="G282" s="2870"/>
      <c r="H282" s="2870"/>
      <c r="I282" s="2870"/>
      <c r="J282" s="2870"/>
      <c r="K282" s="2870"/>
      <c r="L282" s="2870"/>
      <c r="M282" s="2870"/>
      <c r="N282" s="2870"/>
      <c r="O282" s="1187"/>
      <c r="P282" s="485"/>
    </row>
    <row r="283" spans="1:42" ht="25.5" hidden="1" customHeight="1">
      <c r="A283" s="1116" t="s">
        <v>2289</v>
      </c>
      <c r="C283" s="539"/>
      <c r="D283" s="485"/>
      <c r="E283" s="2870" t="s">
        <v>2254</v>
      </c>
      <c r="F283" s="2870"/>
      <c r="G283" s="2870"/>
      <c r="H283" s="2870"/>
      <c r="I283" s="2870"/>
      <c r="J283" s="2870"/>
      <c r="K283" s="2870"/>
      <c r="L283" s="2870"/>
      <c r="M283" s="2870"/>
      <c r="N283" s="2870"/>
      <c r="O283" s="1187"/>
      <c r="P283" s="485"/>
    </row>
    <row r="284" spans="1:42" hidden="1">
      <c r="A284" s="1116" t="s">
        <v>2289</v>
      </c>
      <c r="C284" s="539"/>
      <c r="D284" s="485"/>
      <c r="E284" s="485"/>
      <c r="F284" s="485"/>
      <c r="G284" s="485"/>
      <c r="H284" s="485"/>
      <c r="I284" s="485"/>
      <c r="J284" s="485"/>
      <c r="K284" s="485"/>
      <c r="L284" s="485"/>
      <c r="M284" s="485"/>
      <c r="N284" s="485"/>
      <c r="O284" s="1187"/>
      <c r="P284" s="485"/>
    </row>
    <row r="285" spans="1:42" ht="13.15" customHeight="1">
      <c r="C285" s="539"/>
      <c r="D285" s="482" t="s">
        <v>58</v>
      </c>
      <c r="E285" s="2373" t="s">
        <v>2540</v>
      </c>
      <c r="F285" s="2400"/>
      <c r="G285" s="2400"/>
      <c r="H285" s="2400"/>
      <c r="I285" s="2400"/>
      <c r="J285" s="2400"/>
      <c r="K285" s="2400"/>
      <c r="L285" s="2400"/>
      <c r="M285" s="2400"/>
      <c r="N285" s="2400"/>
      <c r="O285" s="1187"/>
      <c r="P285" s="485"/>
    </row>
    <row r="286" spans="1:42" ht="5.0999999999999996" customHeight="1">
      <c r="C286" s="538"/>
      <c r="D286" s="467"/>
      <c r="E286" s="467"/>
      <c r="F286" s="467"/>
      <c r="G286" s="467"/>
      <c r="H286" s="467"/>
      <c r="I286" s="467"/>
      <c r="J286" s="467"/>
      <c r="K286" s="467"/>
      <c r="L286" s="467"/>
      <c r="M286" s="481"/>
      <c r="N286" s="481"/>
      <c r="O286" s="1187"/>
      <c r="P286" s="485"/>
    </row>
    <row r="287" spans="1:42" ht="30" customHeight="1">
      <c r="C287" s="539"/>
      <c r="D287" s="485"/>
      <c r="E287" s="2870" t="s">
        <v>2730</v>
      </c>
      <c r="F287" s="2870"/>
      <c r="G287" s="2870"/>
      <c r="H287" s="2870"/>
      <c r="I287" s="2870"/>
      <c r="J287" s="2870"/>
      <c r="K287" s="2870"/>
      <c r="L287" s="2870"/>
      <c r="M287" s="2870"/>
      <c r="N287" s="2870"/>
      <c r="O287" s="1187"/>
      <c r="P287" s="485"/>
    </row>
    <row r="288" spans="1:42">
      <c r="C288" s="539"/>
      <c r="D288" s="485"/>
      <c r="E288" s="2875"/>
      <c r="F288" s="2876"/>
      <c r="G288" s="2876"/>
      <c r="H288" s="2876"/>
      <c r="I288" s="2876"/>
      <c r="J288" s="2876"/>
      <c r="K288" s="2876"/>
      <c r="L288" s="2876"/>
      <c r="M288" s="2876"/>
      <c r="N288" s="2877"/>
      <c r="O288" s="1187"/>
      <c r="P288" s="485"/>
      <c r="AP288" s="1135" t="s">
        <v>2369</v>
      </c>
    </row>
    <row r="289" spans="1:42" ht="5.0999999999999996" customHeight="1">
      <c r="C289" s="539"/>
      <c r="D289" s="485"/>
      <c r="E289" s="485"/>
      <c r="F289" s="485"/>
      <c r="G289" s="485"/>
      <c r="H289" s="485"/>
      <c r="I289" s="485"/>
      <c r="J289" s="485"/>
      <c r="K289" s="485"/>
      <c r="L289" s="485"/>
      <c r="M289" s="485"/>
      <c r="N289" s="485"/>
      <c r="O289" s="1187"/>
      <c r="P289" s="485"/>
    </row>
    <row r="290" spans="1:42">
      <c r="C290" s="539"/>
      <c r="D290" s="485"/>
      <c r="E290" s="2871" t="str">
        <f>IF(CNTR_HasEntries_A_I,IF(OR(AND(E278="",E288=""),AND(E278&lt;&gt;"",E288&lt;&gt;"")),EUconst_ERR_Mandatory_ef,""),"")</f>
        <v/>
      </c>
      <c r="F290" s="2871"/>
      <c r="G290" s="2871"/>
      <c r="H290" s="2871"/>
      <c r="I290" s="2871"/>
      <c r="J290" s="2871"/>
      <c r="K290" s="2871"/>
      <c r="L290" s="2871"/>
      <c r="M290" s="2871"/>
      <c r="N290" s="2871"/>
      <c r="O290" s="1187"/>
      <c r="P290" s="485"/>
      <c r="X290" s="1137" t="s">
        <v>1954</v>
      </c>
      <c r="Y290" s="1140" t="b">
        <f>AND(CNTR_HasEntries_A_I,E290&lt;&gt;"")</f>
        <v>0</v>
      </c>
    </row>
    <row r="291" spans="1:42" ht="5.0999999999999996" customHeight="1" thickBot="1">
      <c r="C291" s="552"/>
      <c r="D291" s="553"/>
      <c r="E291" s="553"/>
      <c r="F291" s="553"/>
      <c r="G291" s="553"/>
      <c r="H291" s="553"/>
      <c r="I291" s="553"/>
      <c r="J291" s="553"/>
      <c r="K291" s="553"/>
      <c r="L291" s="553"/>
      <c r="M291" s="554"/>
      <c r="N291" s="554"/>
      <c r="O291" s="555"/>
      <c r="P291" s="485"/>
      <c r="Q291" s="1117"/>
    </row>
    <row r="292" spans="1:42" ht="13.5" thickBot="1">
      <c r="C292" s="485"/>
      <c r="D292" s="485"/>
      <c r="E292" s="485"/>
      <c r="F292" s="485"/>
      <c r="G292" s="485"/>
      <c r="H292" s="485"/>
      <c r="I292" s="485"/>
      <c r="J292" s="485"/>
      <c r="K292" s="485"/>
      <c r="L292" s="485"/>
      <c r="M292" s="485"/>
      <c r="N292" s="485"/>
      <c r="O292" s="481"/>
      <c r="P292" s="485"/>
    </row>
    <row r="293" spans="1:42" s="562" customFormat="1" ht="4.5" customHeight="1">
      <c r="A293" s="618"/>
      <c r="C293" s="534"/>
      <c r="D293" s="535"/>
      <c r="E293" s="535" t="s">
        <v>1935</v>
      </c>
      <c r="F293" s="535"/>
      <c r="G293" s="535"/>
      <c r="H293" s="535"/>
      <c r="I293" s="535"/>
      <c r="J293" s="535"/>
      <c r="K293" s="535"/>
      <c r="L293" s="535"/>
      <c r="M293" s="536"/>
      <c r="N293" s="536"/>
      <c r="O293" s="537"/>
      <c r="P293" s="485"/>
      <c r="Q293" s="1117"/>
      <c r="R293" s="1137"/>
      <c r="S293" s="1137"/>
      <c r="T293" s="1137"/>
      <c r="U293" s="1137"/>
      <c r="V293" s="1137"/>
      <c r="W293" s="1137"/>
      <c r="X293" s="1137"/>
      <c r="Y293" s="1137"/>
      <c r="AP293" s="1135"/>
    </row>
    <row r="294" spans="1:42" s="562" customFormat="1" ht="13.15" customHeight="1">
      <c r="A294" s="618"/>
      <c r="C294" s="539"/>
      <c r="D294" s="482" t="s">
        <v>266</v>
      </c>
      <c r="E294" s="2373" t="s">
        <v>296</v>
      </c>
      <c r="F294" s="2400"/>
      <c r="G294" s="2400"/>
      <c r="H294" s="2400"/>
      <c r="I294" s="2400"/>
      <c r="J294" s="2400"/>
      <c r="K294" s="2400"/>
      <c r="L294" s="2400"/>
      <c r="M294" s="2400"/>
      <c r="N294" s="2400"/>
      <c r="O294" s="1187"/>
      <c r="P294" s="485"/>
      <c r="Q294" s="1137"/>
      <c r="R294" s="1137"/>
      <c r="S294" s="1137"/>
      <c r="T294" s="1137"/>
      <c r="U294" s="1137"/>
      <c r="V294" s="1137"/>
      <c r="W294" s="1137"/>
      <c r="X294" s="1137"/>
      <c r="Y294" s="1137"/>
      <c r="AP294" s="1135"/>
    </row>
    <row r="295" spans="1:42" s="562" customFormat="1" ht="51" customHeight="1">
      <c r="A295" s="618"/>
      <c r="C295" s="539"/>
      <c r="D295" s="485"/>
      <c r="E295" s="2870" t="s">
        <v>2323</v>
      </c>
      <c r="F295" s="2870"/>
      <c r="G295" s="2870"/>
      <c r="H295" s="2870"/>
      <c r="I295" s="2870"/>
      <c r="J295" s="2870"/>
      <c r="K295" s="2870"/>
      <c r="L295" s="2870"/>
      <c r="M295" s="2870"/>
      <c r="N295" s="2870"/>
      <c r="O295" s="1187"/>
      <c r="P295" s="485"/>
      <c r="Q295" s="1137"/>
      <c r="R295" s="1137"/>
      <c r="S295" s="1137"/>
      <c r="T295" s="1137"/>
      <c r="U295" s="1137"/>
      <c r="V295" s="1137"/>
      <c r="W295" s="1137"/>
      <c r="X295" s="1137"/>
      <c r="Y295" s="1137"/>
      <c r="AP295" s="1135"/>
    </row>
    <row r="296" spans="1:42" s="562" customFormat="1" ht="15" customHeight="1">
      <c r="A296" s="618"/>
      <c r="C296" s="539"/>
      <c r="D296" s="485"/>
      <c r="E296" s="2870" t="s">
        <v>1535</v>
      </c>
      <c r="F296" s="2870"/>
      <c r="G296" s="2870"/>
      <c r="H296" s="2870"/>
      <c r="I296" s="2870"/>
      <c r="J296" s="2870"/>
      <c r="K296" s="2870"/>
      <c r="L296" s="2870"/>
      <c r="M296" s="2870"/>
      <c r="N296" s="2870"/>
      <c r="O296" s="1187"/>
      <c r="P296" s="485"/>
      <c r="Q296" s="1137"/>
      <c r="R296" s="1137"/>
      <c r="S296" s="1137"/>
      <c r="T296" s="1137"/>
      <c r="U296" s="1137"/>
      <c r="V296" s="1137"/>
      <c r="W296" s="1137"/>
      <c r="X296" s="1137"/>
      <c r="Y296" s="1137"/>
      <c r="AP296" s="1135"/>
    </row>
    <row r="297" spans="1:42" s="562" customFormat="1">
      <c r="A297" s="618"/>
      <c r="C297" s="539"/>
      <c r="D297" s="485"/>
      <c r="E297" s="2872" t="str">
        <f>IF(AND(E278="",E288=""),"",EUconst_ConfirmAllowUseOfData)</f>
        <v/>
      </c>
      <c r="F297" s="2873"/>
      <c r="G297" s="2873"/>
      <c r="H297" s="2873"/>
      <c r="I297" s="2873"/>
      <c r="J297" s="2873"/>
      <c r="K297" s="2873"/>
      <c r="L297" s="2873"/>
      <c r="M297" s="2873"/>
      <c r="N297" s="2874"/>
      <c r="O297" s="1187"/>
      <c r="P297" s="485"/>
      <c r="Q297" s="1137"/>
      <c r="R297" s="1137"/>
      <c r="S297" s="1137"/>
      <c r="T297" s="1137"/>
      <c r="U297" s="1137"/>
      <c r="V297" s="1137"/>
      <c r="W297" s="1137"/>
      <c r="X297" s="1137"/>
      <c r="Y297" s="1137"/>
      <c r="AP297" s="1135"/>
    </row>
    <row r="298" spans="1:42" s="562" customFormat="1" ht="5.0999999999999996" customHeight="1" thickBot="1">
      <c r="A298" s="618"/>
      <c r="C298" s="552"/>
      <c r="D298" s="553"/>
      <c r="E298" s="553"/>
      <c r="F298" s="553"/>
      <c r="G298" s="553"/>
      <c r="H298" s="553"/>
      <c r="I298" s="553"/>
      <c r="J298" s="553"/>
      <c r="K298" s="553"/>
      <c r="L298" s="553"/>
      <c r="M298" s="554"/>
      <c r="N298" s="554"/>
      <c r="O298" s="555"/>
      <c r="P298" s="485"/>
      <c r="Q298" s="1117"/>
      <c r="R298" s="1137"/>
      <c r="S298" s="1137"/>
      <c r="T298" s="1137"/>
      <c r="U298" s="1137"/>
      <c r="V298" s="1137"/>
      <c r="W298" s="1137"/>
      <c r="X298" s="1137"/>
      <c r="Y298" s="1137"/>
      <c r="AP298" s="1135"/>
    </row>
    <row r="299" spans="1:42">
      <c r="C299" s="485"/>
      <c r="D299" s="485"/>
      <c r="E299" s="485"/>
      <c r="F299" s="485"/>
      <c r="G299" s="485"/>
      <c r="H299" s="485"/>
      <c r="I299" s="485"/>
      <c r="J299" s="485"/>
      <c r="K299" s="485"/>
      <c r="L299" s="485"/>
      <c r="M299" s="485"/>
      <c r="N299" s="485"/>
      <c r="O299" s="481"/>
      <c r="P299" s="485"/>
    </row>
    <row r="300" spans="1:42" ht="15.6" customHeight="1">
      <c r="C300" s="507" t="s">
        <v>636</v>
      </c>
      <c r="D300" s="2408" t="s">
        <v>152</v>
      </c>
      <c r="E300" s="2408"/>
      <c r="F300" s="2408"/>
      <c r="G300" s="2408"/>
      <c r="H300" s="2408"/>
      <c r="I300" s="2408"/>
      <c r="J300" s="2408"/>
      <c r="K300" s="2408"/>
      <c r="L300" s="2408"/>
      <c r="M300" s="2408"/>
      <c r="N300" s="2408"/>
      <c r="O300" s="481"/>
      <c r="P300" s="485"/>
      <c r="Q300" s="1117"/>
    </row>
    <row r="301" spans="1:42" ht="5.0999999999999996" customHeight="1">
      <c r="C301" s="467"/>
      <c r="D301" s="467"/>
      <c r="E301" s="467"/>
      <c r="F301" s="467"/>
      <c r="G301" s="467"/>
      <c r="H301" s="467"/>
      <c r="I301" s="467"/>
      <c r="J301" s="467"/>
      <c r="K301" s="467"/>
      <c r="L301" s="467"/>
      <c r="M301" s="481"/>
      <c r="N301" s="481"/>
      <c r="O301" s="481"/>
      <c r="P301" s="485"/>
      <c r="Q301" s="1117"/>
    </row>
    <row r="302" spans="1:42" ht="13.15" customHeight="1">
      <c r="C302" s="485"/>
      <c r="D302" s="482" t="s">
        <v>400</v>
      </c>
      <c r="E302" s="2373" t="s">
        <v>523</v>
      </c>
      <c r="F302" s="2400"/>
      <c r="G302" s="2400"/>
      <c r="H302" s="2400"/>
      <c r="I302" s="2400"/>
      <c r="J302" s="2400"/>
      <c r="K302" s="2400"/>
      <c r="L302" s="2400"/>
      <c r="M302" s="2400"/>
      <c r="N302" s="2400"/>
      <c r="O302" s="481"/>
      <c r="P302" s="485"/>
    </row>
    <row r="303" spans="1:42" s="562" customFormat="1" ht="13.15" customHeight="1">
      <c r="A303" s="618"/>
      <c r="C303" s="485"/>
      <c r="D303" s="485"/>
      <c r="E303" s="2850" t="s">
        <v>1837</v>
      </c>
      <c r="F303" s="2380"/>
      <c r="G303" s="2380"/>
      <c r="H303" s="2380"/>
      <c r="I303" s="2380"/>
      <c r="J303" s="2380"/>
      <c r="K303" s="2380"/>
      <c r="L303" s="2380"/>
      <c r="M303" s="2380"/>
      <c r="N303" s="2380"/>
      <c r="O303" s="1124"/>
      <c r="P303" s="485"/>
      <c r="Q303" s="1137"/>
      <c r="R303" s="1137"/>
      <c r="S303" s="1137"/>
      <c r="T303" s="1117"/>
      <c r="U303" s="1118"/>
      <c r="V303" s="1118"/>
      <c r="W303" s="1118"/>
      <c r="X303" s="1118"/>
      <c r="Y303" s="1118"/>
      <c r="AP303" s="1135"/>
    </row>
    <row r="304" spans="1:42" ht="5.0999999999999996" customHeight="1">
      <c r="C304" s="467"/>
      <c r="D304" s="466"/>
      <c r="E304" s="467"/>
      <c r="F304" s="467"/>
      <c r="G304" s="467"/>
      <c r="H304" s="467"/>
      <c r="I304" s="467"/>
      <c r="J304" s="467"/>
      <c r="K304" s="467"/>
      <c r="L304" s="467"/>
      <c r="M304" s="481"/>
      <c r="N304" s="481"/>
      <c r="O304" s="481"/>
      <c r="P304" s="485"/>
      <c r="Q304" s="1117"/>
    </row>
    <row r="305" spans="3:25" ht="12.75" customHeight="1">
      <c r="C305" s="467"/>
      <c r="D305" s="466"/>
      <c r="E305" s="869" t="s">
        <v>522</v>
      </c>
      <c r="F305" s="2614" t="s">
        <v>524</v>
      </c>
      <c r="G305" s="2837"/>
      <c r="H305" s="2836"/>
      <c r="I305" s="2614" t="s">
        <v>525</v>
      </c>
      <c r="J305" s="2836"/>
      <c r="K305" s="2614" t="s">
        <v>526</v>
      </c>
      <c r="L305" s="2836"/>
      <c r="M305" s="2614" t="s">
        <v>527</v>
      </c>
      <c r="N305" s="2837"/>
      <c r="O305" s="481"/>
      <c r="P305" s="485"/>
      <c r="Q305" s="1117"/>
    </row>
    <row r="306" spans="3:25" ht="12.75" customHeight="1">
      <c r="C306" s="467"/>
      <c r="D306" s="466"/>
      <c r="E306" s="1188">
        <v>1</v>
      </c>
      <c r="F306" s="2860" t="str">
        <f>c_ALR2025!F2639</f>
        <v/>
      </c>
      <c r="G306" s="2862"/>
      <c r="H306" s="2861"/>
      <c r="I306" s="2860" t="str">
        <f>c_ALR2025!I2639</f>
        <v/>
      </c>
      <c r="J306" s="2869"/>
      <c r="K306" s="2860" t="str">
        <f>c_ALR2025!K2639</f>
        <v/>
      </c>
      <c r="L306" s="2861"/>
      <c r="M306" s="2867" t="str">
        <f>c_ALR2025!M2639</f>
        <v/>
      </c>
      <c r="N306" s="2868"/>
      <c r="O306" s="481"/>
      <c r="P306" s="485"/>
      <c r="Q306" s="1117"/>
      <c r="Y306" s="1140" t="b">
        <f t="shared" ref="Y306:Y315" si="15">OR(CNTR_Incumbent=FALSE,CTRL_InputMethodNIMsvalues=2)</f>
        <v>0</v>
      </c>
    </row>
    <row r="307" spans="3:25">
      <c r="C307" s="467"/>
      <c r="D307" s="466"/>
      <c r="E307" s="1189">
        <v>2</v>
      </c>
      <c r="F307" s="2853" t="str">
        <f>c_ALR2025!F2640</f>
        <v/>
      </c>
      <c r="G307" s="2855"/>
      <c r="H307" s="2854"/>
      <c r="I307" s="2853" t="str">
        <f>c_ALR2025!I2640</f>
        <v/>
      </c>
      <c r="J307" s="2854"/>
      <c r="K307" s="2853" t="str">
        <f>c_ALR2025!K2640</f>
        <v/>
      </c>
      <c r="L307" s="2854"/>
      <c r="M307" s="2865" t="str">
        <f>c_ALR2025!M2640</f>
        <v/>
      </c>
      <c r="N307" s="2866"/>
      <c r="O307" s="481"/>
      <c r="P307" s="485"/>
      <c r="Q307" s="1117"/>
      <c r="Y307" s="1140" t="b">
        <f t="shared" si="15"/>
        <v>0</v>
      </c>
    </row>
    <row r="308" spans="3:25">
      <c r="C308" s="467"/>
      <c r="D308" s="466"/>
      <c r="E308" s="1189">
        <v>3</v>
      </c>
      <c r="F308" s="2853" t="str">
        <f>c_ALR2025!F2641</f>
        <v/>
      </c>
      <c r="G308" s="2855"/>
      <c r="H308" s="2854"/>
      <c r="I308" s="2853" t="str">
        <f>c_ALR2025!I2641</f>
        <v/>
      </c>
      <c r="J308" s="2854"/>
      <c r="K308" s="2853" t="str">
        <f>c_ALR2025!K2641</f>
        <v/>
      </c>
      <c r="L308" s="2854"/>
      <c r="M308" s="2865" t="str">
        <f>c_ALR2025!M2641</f>
        <v/>
      </c>
      <c r="N308" s="2866"/>
      <c r="O308" s="481"/>
      <c r="P308" s="485"/>
      <c r="Q308" s="1117"/>
      <c r="Y308" s="1140" t="b">
        <f t="shared" si="15"/>
        <v>0</v>
      </c>
    </row>
    <row r="309" spans="3:25">
      <c r="C309" s="467"/>
      <c r="D309" s="466"/>
      <c r="E309" s="1189">
        <v>4</v>
      </c>
      <c r="F309" s="2853" t="str">
        <f>c_ALR2025!F2642</f>
        <v/>
      </c>
      <c r="G309" s="2855"/>
      <c r="H309" s="2854"/>
      <c r="I309" s="2853" t="str">
        <f>c_ALR2025!I2642</f>
        <v/>
      </c>
      <c r="J309" s="2854"/>
      <c r="K309" s="2853" t="str">
        <f>c_ALR2025!K2642</f>
        <v/>
      </c>
      <c r="L309" s="2854"/>
      <c r="M309" s="2865" t="str">
        <f>c_ALR2025!M2642</f>
        <v/>
      </c>
      <c r="N309" s="2866"/>
      <c r="O309" s="481"/>
      <c r="P309" s="485"/>
      <c r="Q309" s="1117"/>
      <c r="Y309" s="1140" t="b">
        <f t="shared" si="15"/>
        <v>0</v>
      </c>
    </row>
    <row r="310" spans="3:25">
      <c r="C310" s="467"/>
      <c r="D310" s="466"/>
      <c r="E310" s="1189">
        <v>5</v>
      </c>
      <c r="F310" s="2853" t="str">
        <f>c_ALR2025!F2643</f>
        <v/>
      </c>
      <c r="G310" s="2855"/>
      <c r="H310" s="2854"/>
      <c r="I310" s="2853" t="str">
        <f>c_ALR2025!I2643</f>
        <v/>
      </c>
      <c r="J310" s="2854"/>
      <c r="K310" s="2853" t="str">
        <f>c_ALR2025!K2643</f>
        <v/>
      </c>
      <c r="L310" s="2854"/>
      <c r="M310" s="2865" t="str">
        <f>c_ALR2025!M2643</f>
        <v/>
      </c>
      <c r="N310" s="2866"/>
      <c r="O310" s="481"/>
      <c r="P310" s="485"/>
      <c r="Q310" s="1117"/>
      <c r="Y310" s="1140" t="b">
        <f t="shared" si="15"/>
        <v>0</v>
      </c>
    </row>
    <row r="311" spans="3:25">
      <c r="C311" s="467"/>
      <c r="D311" s="466"/>
      <c r="E311" s="1189">
        <v>6</v>
      </c>
      <c r="F311" s="2853" t="str">
        <f>c_ALR2025!F2644</f>
        <v/>
      </c>
      <c r="G311" s="2855"/>
      <c r="H311" s="2854"/>
      <c r="I311" s="2853" t="str">
        <f>c_ALR2025!I2644</f>
        <v/>
      </c>
      <c r="J311" s="2854"/>
      <c r="K311" s="2853" t="str">
        <f>c_ALR2025!K2644</f>
        <v/>
      </c>
      <c r="L311" s="2854"/>
      <c r="M311" s="2865" t="str">
        <f>c_ALR2025!M2644</f>
        <v/>
      </c>
      <c r="N311" s="2866"/>
      <c r="O311" s="481"/>
      <c r="P311" s="485"/>
      <c r="Q311" s="1117"/>
      <c r="Y311" s="1140" t="b">
        <f t="shared" si="15"/>
        <v>0</v>
      </c>
    </row>
    <row r="312" spans="3:25">
      <c r="C312" s="467"/>
      <c r="D312" s="466"/>
      <c r="E312" s="1189">
        <v>7</v>
      </c>
      <c r="F312" s="2853" t="str">
        <f>c_ALR2025!F2645</f>
        <v/>
      </c>
      <c r="G312" s="2855"/>
      <c r="H312" s="2854"/>
      <c r="I312" s="2853" t="str">
        <f>c_ALR2025!I2645</f>
        <v/>
      </c>
      <c r="J312" s="2854"/>
      <c r="K312" s="2853" t="str">
        <f>c_ALR2025!K2645</f>
        <v/>
      </c>
      <c r="L312" s="2854"/>
      <c r="M312" s="2865" t="str">
        <f>c_ALR2025!M2645</f>
        <v/>
      </c>
      <c r="N312" s="2866"/>
      <c r="O312" s="481"/>
      <c r="P312" s="485"/>
      <c r="Q312" s="1117"/>
      <c r="Y312" s="1140" t="b">
        <f t="shared" si="15"/>
        <v>0</v>
      </c>
    </row>
    <row r="313" spans="3:25">
      <c r="C313" s="467"/>
      <c r="D313" s="466"/>
      <c r="E313" s="1189">
        <v>8</v>
      </c>
      <c r="F313" s="2853" t="str">
        <f>c_ALR2025!F2646</f>
        <v/>
      </c>
      <c r="G313" s="2855"/>
      <c r="H313" s="2854"/>
      <c r="I313" s="2853" t="str">
        <f>c_ALR2025!I2646</f>
        <v/>
      </c>
      <c r="J313" s="2854"/>
      <c r="K313" s="2853" t="str">
        <f>c_ALR2025!K2646</f>
        <v/>
      </c>
      <c r="L313" s="2854"/>
      <c r="M313" s="2865" t="str">
        <f>c_ALR2025!M2646</f>
        <v/>
      </c>
      <c r="N313" s="2866"/>
      <c r="O313" s="481"/>
      <c r="P313" s="485"/>
      <c r="Q313" s="1117"/>
      <c r="Y313" s="1140" t="b">
        <f t="shared" si="15"/>
        <v>0</v>
      </c>
    </row>
    <row r="314" spans="3:25">
      <c r="C314" s="467"/>
      <c r="D314" s="466"/>
      <c r="E314" s="1189">
        <v>9</v>
      </c>
      <c r="F314" s="2853" t="str">
        <f>c_ALR2025!F2647</f>
        <v/>
      </c>
      <c r="G314" s="2855"/>
      <c r="H314" s="2854"/>
      <c r="I314" s="2853" t="str">
        <f>c_ALR2025!I2647</f>
        <v/>
      </c>
      <c r="J314" s="2854"/>
      <c r="K314" s="2853" t="str">
        <f>c_ALR2025!K2647</f>
        <v/>
      </c>
      <c r="L314" s="2854"/>
      <c r="M314" s="2865" t="str">
        <f>c_ALR2025!M2647</f>
        <v/>
      </c>
      <c r="N314" s="2866"/>
      <c r="O314" s="481"/>
      <c r="P314" s="485"/>
      <c r="Q314" s="1117"/>
      <c r="Y314" s="1140" t="b">
        <f t="shared" si="15"/>
        <v>0</v>
      </c>
    </row>
    <row r="315" spans="3:25">
      <c r="C315" s="467"/>
      <c r="D315" s="466"/>
      <c r="E315" s="1190">
        <v>10</v>
      </c>
      <c r="F315" s="2840" t="str">
        <f>c_ALR2025!F2648</f>
        <v/>
      </c>
      <c r="G315" s="2842"/>
      <c r="H315" s="2841"/>
      <c r="I315" s="2840" t="str">
        <f>c_ALR2025!I2648</f>
        <v/>
      </c>
      <c r="J315" s="2841"/>
      <c r="K315" s="2840" t="str">
        <f>c_ALR2025!K2648</f>
        <v/>
      </c>
      <c r="L315" s="2841"/>
      <c r="M315" s="2863" t="str">
        <f>c_ALR2025!M2648</f>
        <v/>
      </c>
      <c r="N315" s="2864"/>
      <c r="O315" s="481"/>
      <c r="P315" s="485"/>
      <c r="Q315" s="1117"/>
      <c r="Y315" s="1140" t="b">
        <f t="shared" si="15"/>
        <v>0</v>
      </c>
    </row>
    <row r="316" spans="3:25" ht="5.0999999999999996" customHeight="1">
      <c r="C316" s="467"/>
      <c r="D316" s="466"/>
      <c r="E316" s="876"/>
      <c r="F316" s="876"/>
      <c r="G316" s="876"/>
      <c r="H316" s="876"/>
      <c r="I316" s="876"/>
      <c r="J316" s="876"/>
      <c r="K316" s="876"/>
      <c r="L316" s="876"/>
      <c r="M316" s="876"/>
      <c r="N316" s="876"/>
      <c r="O316" s="481"/>
      <c r="P316" s="485"/>
      <c r="Q316" s="1117"/>
    </row>
    <row r="317" spans="3:25" ht="25.5" customHeight="1">
      <c r="C317" s="467"/>
      <c r="D317" s="466"/>
      <c r="E317" s="877" t="s">
        <v>522</v>
      </c>
      <c r="F317" s="2614" t="s">
        <v>2147</v>
      </c>
      <c r="G317" s="2836"/>
      <c r="H317" s="2614" t="s">
        <v>1069</v>
      </c>
      <c r="I317" s="2836"/>
      <c r="J317" s="2623" t="s">
        <v>529</v>
      </c>
      <c r="K317" s="2837"/>
      <c r="L317" s="2836"/>
      <c r="M317" s="2614" t="s">
        <v>528</v>
      </c>
      <c r="N317" s="2615"/>
      <c r="O317" s="481"/>
      <c r="P317" s="485"/>
      <c r="Q317" s="1117"/>
    </row>
    <row r="318" spans="3:25" ht="12.75" customHeight="1">
      <c r="C318" s="467"/>
      <c r="D318" s="466"/>
      <c r="E318" s="1191">
        <v>1</v>
      </c>
      <c r="F318" s="2858" t="str">
        <f>c_ALR2025!F2652</f>
        <v/>
      </c>
      <c r="G318" s="2859"/>
      <c r="H318" s="2860" t="str">
        <f>c_ALR2025!H2652</f>
        <v/>
      </c>
      <c r="I318" s="2861"/>
      <c r="J318" s="2860" t="str">
        <f>c_ALR2025!J2652</f>
        <v/>
      </c>
      <c r="K318" s="2862"/>
      <c r="L318" s="2861"/>
      <c r="M318" s="2860" t="str">
        <f>c_ALR2025!M2652</f>
        <v/>
      </c>
      <c r="N318" s="2862"/>
      <c r="O318" s="481"/>
      <c r="P318" s="1156"/>
      <c r="Q318" s="1117"/>
      <c r="Y318" s="1140" t="b">
        <f t="shared" ref="Y318:Y327" si="16">OR(CNTR_Incumbent=FALSE,CTRL_InputMethodNIMsvalues=2)</f>
        <v>0</v>
      </c>
    </row>
    <row r="319" spans="3:25">
      <c r="C319" s="467"/>
      <c r="D319" s="466"/>
      <c r="E319" s="1189">
        <v>2</v>
      </c>
      <c r="F319" s="2851" t="str">
        <f>c_ALR2025!F2653</f>
        <v/>
      </c>
      <c r="G319" s="2852"/>
      <c r="H319" s="2853" t="str">
        <f>c_ALR2025!H2653</f>
        <v/>
      </c>
      <c r="I319" s="2854"/>
      <c r="J319" s="2853" t="str">
        <f>c_ALR2025!J2653</f>
        <v/>
      </c>
      <c r="K319" s="2855"/>
      <c r="L319" s="2854"/>
      <c r="M319" s="2853" t="str">
        <f>c_ALR2025!M2653</f>
        <v/>
      </c>
      <c r="N319" s="2855"/>
      <c r="O319" s="481"/>
      <c r="P319" s="485"/>
      <c r="Q319" s="1117"/>
      <c r="Y319" s="1140" t="b">
        <f t="shared" si="16"/>
        <v>0</v>
      </c>
    </row>
    <row r="320" spans="3:25">
      <c r="C320" s="467"/>
      <c r="D320" s="466"/>
      <c r="E320" s="1189">
        <v>3</v>
      </c>
      <c r="F320" s="2851" t="str">
        <f>c_ALR2025!F2654</f>
        <v/>
      </c>
      <c r="G320" s="2852"/>
      <c r="H320" s="2853" t="str">
        <f>c_ALR2025!H2654</f>
        <v/>
      </c>
      <c r="I320" s="2854"/>
      <c r="J320" s="2853" t="str">
        <f>c_ALR2025!J2654</f>
        <v/>
      </c>
      <c r="K320" s="2855"/>
      <c r="L320" s="2854"/>
      <c r="M320" s="2853" t="str">
        <f>c_ALR2025!M2654</f>
        <v/>
      </c>
      <c r="N320" s="2855"/>
      <c r="O320" s="481"/>
      <c r="P320" s="485"/>
      <c r="Q320" s="1117"/>
      <c r="Y320" s="1140" t="b">
        <f t="shared" si="16"/>
        <v>0</v>
      </c>
    </row>
    <row r="321" spans="3:25">
      <c r="C321" s="467"/>
      <c r="D321" s="466"/>
      <c r="E321" s="1189">
        <v>4</v>
      </c>
      <c r="F321" s="2851" t="str">
        <f>c_ALR2025!F2655</f>
        <v/>
      </c>
      <c r="G321" s="2852"/>
      <c r="H321" s="2853" t="str">
        <f>c_ALR2025!H2655</f>
        <v/>
      </c>
      <c r="I321" s="2854"/>
      <c r="J321" s="2853" t="str">
        <f>c_ALR2025!J2655</f>
        <v/>
      </c>
      <c r="K321" s="2855"/>
      <c r="L321" s="2854"/>
      <c r="M321" s="2853" t="str">
        <f>c_ALR2025!M2655</f>
        <v/>
      </c>
      <c r="N321" s="2855"/>
      <c r="O321" s="481"/>
      <c r="P321" s="485"/>
      <c r="Q321" s="1117"/>
      <c r="Y321" s="1140" t="b">
        <f t="shared" si="16"/>
        <v>0</v>
      </c>
    </row>
    <row r="322" spans="3:25">
      <c r="C322" s="467"/>
      <c r="D322" s="466"/>
      <c r="E322" s="1189">
        <v>5</v>
      </c>
      <c r="F322" s="2851" t="str">
        <f>c_ALR2025!F2656</f>
        <v/>
      </c>
      <c r="G322" s="2852"/>
      <c r="H322" s="2853" t="str">
        <f>c_ALR2025!H2656</f>
        <v/>
      </c>
      <c r="I322" s="2854"/>
      <c r="J322" s="2853" t="str">
        <f>c_ALR2025!J2656</f>
        <v/>
      </c>
      <c r="K322" s="2855"/>
      <c r="L322" s="2854"/>
      <c r="M322" s="2853" t="str">
        <f>c_ALR2025!M2656</f>
        <v/>
      </c>
      <c r="N322" s="2855"/>
      <c r="O322" s="481"/>
      <c r="P322" s="485"/>
      <c r="Q322" s="1117"/>
      <c r="Y322" s="1140" t="b">
        <f t="shared" si="16"/>
        <v>0</v>
      </c>
    </row>
    <row r="323" spans="3:25">
      <c r="C323" s="467"/>
      <c r="D323" s="466"/>
      <c r="E323" s="1189">
        <v>6</v>
      </c>
      <c r="F323" s="2851" t="str">
        <f>c_ALR2025!F2657</f>
        <v/>
      </c>
      <c r="G323" s="2852"/>
      <c r="H323" s="2853" t="str">
        <f>c_ALR2025!H2657</f>
        <v/>
      </c>
      <c r="I323" s="2854"/>
      <c r="J323" s="2853" t="str">
        <f>c_ALR2025!J2657</f>
        <v/>
      </c>
      <c r="K323" s="2855"/>
      <c r="L323" s="2854"/>
      <c r="M323" s="2853" t="str">
        <f>c_ALR2025!M2657</f>
        <v/>
      </c>
      <c r="N323" s="2855"/>
      <c r="O323" s="481"/>
      <c r="P323" s="485"/>
      <c r="Q323" s="1117"/>
      <c r="Y323" s="1140" t="b">
        <f t="shared" si="16"/>
        <v>0</v>
      </c>
    </row>
    <row r="324" spans="3:25">
      <c r="C324" s="467"/>
      <c r="D324" s="466"/>
      <c r="E324" s="1189">
        <v>7</v>
      </c>
      <c r="F324" s="2851" t="str">
        <f>c_ALR2025!F2658</f>
        <v/>
      </c>
      <c r="G324" s="2852"/>
      <c r="H324" s="2853" t="str">
        <f>c_ALR2025!H2658</f>
        <v/>
      </c>
      <c r="I324" s="2854"/>
      <c r="J324" s="2853" t="str">
        <f>c_ALR2025!J2658</f>
        <v/>
      </c>
      <c r="K324" s="2855"/>
      <c r="L324" s="2854"/>
      <c r="M324" s="2853" t="str">
        <f>c_ALR2025!M2658</f>
        <v/>
      </c>
      <c r="N324" s="2855"/>
      <c r="O324" s="481"/>
      <c r="P324" s="485"/>
      <c r="Q324" s="1117"/>
      <c r="Y324" s="1140" t="b">
        <f t="shared" si="16"/>
        <v>0</v>
      </c>
    </row>
    <row r="325" spans="3:25">
      <c r="C325" s="467"/>
      <c r="D325" s="466"/>
      <c r="E325" s="1189">
        <v>8</v>
      </c>
      <c r="F325" s="2851" t="str">
        <f>c_ALR2025!F2659</f>
        <v/>
      </c>
      <c r="G325" s="2852"/>
      <c r="H325" s="2853" t="str">
        <f>c_ALR2025!H2659</f>
        <v/>
      </c>
      <c r="I325" s="2854"/>
      <c r="J325" s="2853" t="str">
        <f>c_ALR2025!J2659</f>
        <v/>
      </c>
      <c r="K325" s="2855"/>
      <c r="L325" s="2854"/>
      <c r="M325" s="2853" t="str">
        <f>c_ALR2025!M2659</f>
        <v/>
      </c>
      <c r="N325" s="2855"/>
      <c r="O325" s="481"/>
      <c r="P325" s="485"/>
      <c r="Q325" s="1117"/>
      <c r="Y325" s="1140" t="b">
        <f t="shared" si="16"/>
        <v>0</v>
      </c>
    </row>
    <row r="326" spans="3:25">
      <c r="C326" s="467"/>
      <c r="D326" s="466"/>
      <c r="E326" s="1189">
        <v>9</v>
      </c>
      <c r="F326" s="2851" t="str">
        <f>c_ALR2025!F2660</f>
        <v/>
      </c>
      <c r="G326" s="2852"/>
      <c r="H326" s="2853" t="str">
        <f>c_ALR2025!H2660</f>
        <v/>
      </c>
      <c r="I326" s="2854"/>
      <c r="J326" s="2853" t="str">
        <f>c_ALR2025!J2660</f>
        <v/>
      </c>
      <c r="K326" s="2855"/>
      <c r="L326" s="2854"/>
      <c r="M326" s="2853" t="str">
        <f>c_ALR2025!M2660</f>
        <v/>
      </c>
      <c r="N326" s="2855"/>
      <c r="O326" s="481"/>
      <c r="P326" s="485"/>
      <c r="Q326" s="1117"/>
      <c r="Y326" s="1140" t="b">
        <f t="shared" si="16"/>
        <v>0</v>
      </c>
    </row>
    <row r="327" spans="3:25">
      <c r="C327" s="467"/>
      <c r="D327" s="466"/>
      <c r="E327" s="1190">
        <v>10</v>
      </c>
      <c r="F327" s="2856" t="str">
        <f>c_ALR2025!F2661</f>
        <v/>
      </c>
      <c r="G327" s="2857"/>
      <c r="H327" s="2840" t="str">
        <f>c_ALR2025!H2661</f>
        <v/>
      </c>
      <c r="I327" s="2841"/>
      <c r="J327" s="2840" t="str">
        <f>c_ALR2025!J2661</f>
        <v/>
      </c>
      <c r="K327" s="2842"/>
      <c r="L327" s="2841"/>
      <c r="M327" s="2840" t="str">
        <f>c_ALR2025!M2661</f>
        <v/>
      </c>
      <c r="N327" s="2842"/>
      <c r="O327" s="481"/>
      <c r="P327" s="485"/>
      <c r="Q327" s="1117"/>
      <c r="Y327" s="1140" t="b">
        <f t="shared" si="16"/>
        <v>0</v>
      </c>
    </row>
    <row r="328" spans="3:25" ht="5.0999999999999996" customHeight="1">
      <c r="C328" s="467"/>
      <c r="D328" s="466"/>
      <c r="E328" s="467"/>
      <c r="F328" s="467"/>
      <c r="G328" s="467"/>
      <c r="H328" s="467"/>
      <c r="I328" s="467"/>
      <c r="J328" s="467"/>
      <c r="K328" s="467"/>
      <c r="L328" s="467"/>
      <c r="M328" s="481"/>
      <c r="N328" s="481"/>
      <c r="O328" s="481"/>
      <c r="P328" s="485"/>
      <c r="Q328" s="1137"/>
      <c r="R328" s="1137"/>
      <c r="S328" s="1137"/>
      <c r="T328" s="1137"/>
    </row>
    <row r="329" spans="3:25" ht="13.15" customHeight="1">
      <c r="C329" s="485"/>
      <c r="D329" s="482" t="s">
        <v>876</v>
      </c>
      <c r="E329" s="2373" t="s">
        <v>523</v>
      </c>
      <c r="F329" s="2400"/>
      <c r="G329" s="2400"/>
      <c r="H329" s="2400"/>
      <c r="I329" s="2400"/>
      <c r="J329" s="2400"/>
      <c r="K329" s="2400"/>
      <c r="L329" s="2400"/>
      <c r="M329" s="2400"/>
      <c r="N329" s="2400"/>
      <c r="O329" s="481"/>
      <c r="P329" s="485"/>
    </row>
    <row r="330" spans="3:25" ht="25.5" customHeight="1">
      <c r="C330" s="485"/>
      <c r="D330" s="484"/>
      <c r="E330" s="2850" t="s">
        <v>1873</v>
      </c>
      <c r="F330" s="2380"/>
      <c r="G330" s="2380"/>
      <c r="H330" s="2380"/>
      <c r="I330" s="2380"/>
      <c r="J330" s="2380"/>
      <c r="K330" s="2380"/>
      <c r="L330" s="2380"/>
      <c r="M330" s="2380"/>
      <c r="N330" s="2380"/>
      <c r="O330" s="481"/>
      <c r="P330" s="485"/>
    </row>
    <row r="331" spans="3:25" ht="13.15" customHeight="1">
      <c r="C331" s="485"/>
      <c r="D331" s="484"/>
      <c r="E331" s="2850" t="s">
        <v>2202</v>
      </c>
      <c r="F331" s="2380"/>
      <c r="G331" s="2380"/>
      <c r="H331" s="2380"/>
      <c r="I331" s="2380"/>
      <c r="J331" s="2380"/>
      <c r="K331" s="2380"/>
      <c r="L331" s="2380"/>
      <c r="M331" s="2380"/>
      <c r="N331" s="2380"/>
      <c r="O331" s="481"/>
      <c r="P331" s="485"/>
    </row>
    <row r="332" spans="3:25" ht="13.15" customHeight="1">
      <c r="C332" s="485"/>
      <c r="D332" s="484"/>
      <c r="E332" s="2850" t="s">
        <v>1225</v>
      </c>
      <c r="F332" s="2380"/>
      <c r="G332" s="2380"/>
      <c r="H332" s="2380"/>
      <c r="I332" s="2380"/>
      <c r="J332" s="2380"/>
      <c r="K332" s="2380"/>
      <c r="L332" s="2380"/>
      <c r="M332" s="2380"/>
      <c r="N332" s="2380"/>
      <c r="O332" s="481"/>
      <c r="P332" s="485"/>
    </row>
    <row r="333" spans="3:25" ht="13.15" customHeight="1">
      <c r="C333" s="485"/>
      <c r="D333" s="484"/>
      <c r="E333" s="2850" t="s">
        <v>104</v>
      </c>
      <c r="F333" s="2380"/>
      <c r="G333" s="2380"/>
      <c r="H333" s="2380"/>
      <c r="I333" s="2380"/>
      <c r="J333" s="2380"/>
      <c r="K333" s="2380"/>
      <c r="L333" s="2380"/>
      <c r="M333" s="2380"/>
      <c r="N333" s="2380"/>
      <c r="O333" s="481"/>
      <c r="P333" s="485"/>
    </row>
    <row r="334" spans="3:25" ht="13.15" customHeight="1">
      <c r="C334" s="485"/>
      <c r="D334" s="484"/>
      <c r="E334" s="2850" t="s">
        <v>105</v>
      </c>
      <c r="F334" s="2380"/>
      <c r="G334" s="2380"/>
      <c r="H334" s="2380"/>
      <c r="I334" s="2380"/>
      <c r="J334" s="2380"/>
      <c r="K334" s="2380"/>
      <c r="L334" s="2380"/>
      <c r="M334" s="2380"/>
      <c r="N334" s="2380"/>
      <c r="O334" s="481"/>
      <c r="P334" s="485"/>
    </row>
    <row r="335" spans="3:25" ht="13.15" customHeight="1">
      <c r="C335" s="485"/>
      <c r="D335" s="484"/>
      <c r="E335" s="2850" t="s">
        <v>1010</v>
      </c>
      <c r="F335" s="2380"/>
      <c r="G335" s="2380"/>
      <c r="H335" s="2380"/>
      <c r="I335" s="2380"/>
      <c r="J335" s="2380"/>
      <c r="K335" s="2380"/>
      <c r="L335" s="2380"/>
      <c r="M335" s="2380"/>
      <c r="N335" s="2380"/>
      <c r="O335" s="481"/>
      <c r="P335" s="485"/>
    </row>
    <row r="336" spans="3:25" ht="13.15" customHeight="1">
      <c r="C336" s="485"/>
      <c r="D336" s="484"/>
      <c r="E336" s="1088" t="s">
        <v>1021</v>
      </c>
      <c r="F336" s="2817" t="s">
        <v>2097</v>
      </c>
      <c r="G336" s="2817"/>
      <c r="H336" s="2817"/>
      <c r="I336" s="2817"/>
      <c r="J336" s="2817"/>
      <c r="K336" s="2817"/>
      <c r="L336" s="2817"/>
      <c r="M336" s="2817"/>
      <c r="N336" s="2817"/>
      <c r="O336" s="481"/>
      <c r="P336" s="485"/>
    </row>
    <row r="337" spans="3:16" ht="13.15" customHeight="1">
      <c r="C337" s="485"/>
      <c r="D337" s="484"/>
      <c r="E337" s="1088" t="s">
        <v>1021</v>
      </c>
      <c r="F337" s="2385" t="s">
        <v>531</v>
      </c>
      <c r="G337" s="2846"/>
      <c r="H337" s="2846"/>
      <c r="I337" s="2846"/>
      <c r="J337" s="2846"/>
      <c r="K337" s="2846"/>
      <c r="L337" s="2846"/>
      <c r="M337" s="2846"/>
      <c r="N337" s="2846"/>
      <c r="O337" s="481"/>
      <c r="P337" s="485"/>
    </row>
    <row r="338" spans="3:16" ht="13.15" customHeight="1">
      <c r="C338" s="485"/>
      <c r="D338" s="484"/>
      <c r="E338" s="1088" t="s">
        <v>1021</v>
      </c>
      <c r="F338" s="2385" t="s">
        <v>1009</v>
      </c>
      <c r="G338" s="2846"/>
      <c r="H338" s="2846"/>
      <c r="I338" s="2846"/>
      <c r="J338" s="2846"/>
      <c r="K338" s="2846"/>
      <c r="L338" s="2846"/>
      <c r="M338" s="2846"/>
      <c r="N338" s="2846"/>
      <c r="O338" s="481"/>
      <c r="P338" s="485"/>
    </row>
    <row r="339" spans="3:16" ht="13.15" customHeight="1">
      <c r="C339" s="485"/>
      <c r="D339" s="484"/>
      <c r="E339" s="1088" t="s">
        <v>1021</v>
      </c>
      <c r="F339" s="2385" t="s">
        <v>532</v>
      </c>
      <c r="G339" s="2846"/>
      <c r="H339" s="2846"/>
      <c r="I339" s="2846"/>
      <c r="J339" s="2846"/>
      <c r="K339" s="2846"/>
      <c r="L339" s="2846"/>
      <c r="M339" s="2846"/>
      <c r="N339" s="2846"/>
      <c r="O339" s="481"/>
      <c r="P339" s="485"/>
    </row>
    <row r="340" spans="3:16">
      <c r="C340" s="485"/>
      <c r="D340" s="484"/>
      <c r="E340" s="2850" t="s">
        <v>1012</v>
      </c>
      <c r="F340" s="2380"/>
      <c r="G340" s="2380"/>
      <c r="H340" s="2380"/>
      <c r="I340" s="2380"/>
      <c r="J340" s="2380"/>
      <c r="K340" s="2380"/>
      <c r="L340" s="2380"/>
      <c r="M340" s="2380"/>
      <c r="N340" s="2380"/>
      <c r="O340" s="481"/>
      <c r="P340" s="485"/>
    </row>
    <row r="341" spans="3:16" ht="13.15" customHeight="1">
      <c r="C341" s="485"/>
      <c r="D341" s="484"/>
      <c r="E341" s="1088" t="s">
        <v>1021</v>
      </c>
      <c r="F341" s="2385" t="s">
        <v>569</v>
      </c>
      <c r="G341" s="2846"/>
      <c r="H341" s="2846"/>
      <c r="I341" s="2846"/>
      <c r="J341" s="2846"/>
      <c r="K341" s="2846"/>
      <c r="L341" s="2846"/>
      <c r="M341" s="2846"/>
      <c r="N341" s="2846"/>
      <c r="O341" s="481"/>
      <c r="P341" s="485"/>
    </row>
    <row r="342" spans="3:16" ht="13.15" customHeight="1">
      <c r="C342" s="485"/>
      <c r="D342" s="484"/>
      <c r="E342" s="1088" t="s">
        <v>1021</v>
      </c>
      <c r="F342" s="2385" t="s">
        <v>1011</v>
      </c>
      <c r="G342" s="2846"/>
      <c r="H342" s="2846"/>
      <c r="I342" s="2846"/>
      <c r="J342" s="2846"/>
      <c r="K342" s="2846"/>
      <c r="L342" s="2846"/>
      <c r="M342" s="2846"/>
      <c r="N342" s="2846"/>
      <c r="O342" s="481"/>
      <c r="P342" s="485"/>
    </row>
    <row r="343" spans="3:16" ht="13.15" customHeight="1">
      <c r="C343" s="485"/>
      <c r="D343" s="484"/>
      <c r="E343" s="1088" t="s">
        <v>1021</v>
      </c>
      <c r="F343" s="2385" t="s">
        <v>570</v>
      </c>
      <c r="G343" s="2846"/>
      <c r="H343" s="2846"/>
      <c r="I343" s="2846"/>
      <c r="J343" s="2846"/>
      <c r="K343" s="2846"/>
      <c r="L343" s="2846"/>
      <c r="M343" s="2846"/>
      <c r="N343" s="2846"/>
      <c r="O343" s="481"/>
      <c r="P343" s="485"/>
    </row>
    <row r="344" spans="3:16">
      <c r="C344" s="485"/>
      <c r="D344" s="484"/>
      <c r="E344" s="2850" t="s">
        <v>781</v>
      </c>
      <c r="F344" s="2380"/>
      <c r="G344" s="2380"/>
      <c r="H344" s="2380"/>
      <c r="I344" s="2380"/>
      <c r="J344" s="2380"/>
      <c r="K344" s="2380"/>
      <c r="L344" s="2380"/>
      <c r="M344" s="2380"/>
      <c r="N344" s="2380"/>
      <c r="O344" s="481"/>
      <c r="P344" s="485"/>
    </row>
    <row r="345" spans="3:16">
      <c r="C345" s="485"/>
      <c r="D345" s="484"/>
      <c r="E345" s="1088" t="s">
        <v>1021</v>
      </c>
      <c r="F345" s="2385" t="s">
        <v>49</v>
      </c>
      <c r="G345" s="2846"/>
      <c r="H345" s="2846"/>
      <c r="I345" s="2846"/>
      <c r="J345" s="2846"/>
      <c r="K345" s="2846"/>
      <c r="L345" s="2846"/>
      <c r="M345" s="2846"/>
      <c r="N345" s="2846"/>
      <c r="O345" s="481"/>
      <c r="P345" s="485"/>
    </row>
    <row r="346" spans="3:16">
      <c r="C346" s="485"/>
      <c r="D346" s="484"/>
      <c r="E346" s="1088" t="s">
        <v>1021</v>
      </c>
      <c r="F346" s="2385" t="s">
        <v>533</v>
      </c>
      <c r="G346" s="2846"/>
      <c r="H346" s="2846"/>
      <c r="I346" s="2846"/>
      <c r="J346" s="2846"/>
      <c r="K346" s="2846"/>
      <c r="L346" s="2846"/>
      <c r="M346" s="2846"/>
      <c r="N346" s="2846"/>
      <c r="O346" s="481"/>
      <c r="P346" s="485"/>
    </row>
    <row r="347" spans="3:16">
      <c r="C347" s="485"/>
      <c r="D347" s="484"/>
      <c r="E347" s="1088" t="s">
        <v>1021</v>
      </c>
      <c r="F347" s="2385" t="s">
        <v>1530</v>
      </c>
      <c r="G347" s="2846"/>
      <c r="H347" s="2846"/>
      <c r="I347" s="2846"/>
      <c r="J347" s="2846"/>
      <c r="K347" s="2846"/>
      <c r="L347" s="2846"/>
      <c r="M347" s="2846"/>
      <c r="N347" s="2846"/>
      <c r="O347" s="481"/>
      <c r="P347" s="485"/>
    </row>
    <row r="348" spans="3:16" ht="12.75" customHeight="1">
      <c r="C348" s="485"/>
      <c r="D348" s="484"/>
      <c r="E348" s="1088" t="s">
        <v>1021</v>
      </c>
      <c r="F348" s="2385" t="s">
        <v>2324</v>
      </c>
      <c r="G348" s="2846"/>
      <c r="H348" s="2846"/>
      <c r="I348" s="2846"/>
      <c r="J348" s="2846"/>
      <c r="K348" s="2846"/>
      <c r="L348" s="2846"/>
      <c r="M348" s="2846"/>
      <c r="N348" s="2846"/>
      <c r="O348" s="481"/>
      <c r="P348" s="485"/>
    </row>
    <row r="349" spans="3:16" ht="13.15" customHeight="1">
      <c r="C349" s="485"/>
      <c r="D349" s="484"/>
      <c r="E349" s="2850" t="s">
        <v>305</v>
      </c>
      <c r="F349" s="2380"/>
      <c r="G349" s="2380"/>
      <c r="H349" s="2380"/>
      <c r="I349" s="2380"/>
      <c r="J349" s="2380"/>
      <c r="K349" s="2380"/>
      <c r="L349" s="2380"/>
      <c r="M349" s="2380"/>
      <c r="N349" s="2380"/>
      <c r="O349" s="481"/>
      <c r="P349" s="485"/>
    </row>
    <row r="350" spans="3:16" ht="13.15" customHeight="1">
      <c r="C350" s="485"/>
      <c r="D350" s="484"/>
      <c r="E350" s="1088" t="s">
        <v>1021</v>
      </c>
      <c r="F350" s="2385" t="s">
        <v>306</v>
      </c>
      <c r="G350" s="2846"/>
      <c r="H350" s="2846"/>
      <c r="I350" s="2846"/>
      <c r="J350" s="2846"/>
      <c r="K350" s="2846"/>
      <c r="L350" s="2846"/>
      <c r="M350" s="2846"/>
      <c r="N350" s="2846"/>
      <c r="O350" s="481"/>
      <c r="P350" s="485"/>
    </row>
    <row r="351" spans="3:16" ht="13.15" customHeight="1">
      <c r="C351" s="485"/>
      <c r="D351" s="484"/>
      <c r="E351" s="1088" t="s">
        <v>1021</v>
      </c>
      <c r="F351" s="2385" t="s">
        <v>307</v>
      </c>
      <c r="G351" s="2846"/>
      <c r="H351" s="2846"/>
      <c r="I351" s="2846"/>
      <c r="J351" s="2846"/>
      <c r="K351" s="2846"/>
      <c r="L351" s="2846"/>
      <c r="M351" s="2846"/>
      <c r="N351" s="2846"/>
      <c r="O351" s="481"/>
      <c r="P351" s="485"/>
    </row>
    <row r="352" spans="3:16" ht="5.0999999999999996" customHeight="1">
      <c r="C352" s="467"/>
      <c r="D352" s="466"/>
      <c r="E352" s="467"/>
      <c r="F352" s="467"/>
      <c r="G352" s="467"/>
      <c r="H352" s="467"/>
      <c r="I352" s="467"/>
      <c r="J352" s="467"/>
      <c r="K352" s="467"/>
      <c r="L352" s="467"/>
      <c r="M352" s="481"/>
      <c r="N352" s="481"/>
      <c r="O352" s="481"/>
      <c r="P352" s="485"/>
    </row>
    <row r="353" spans="1:42" s="562" customFormat="1" ht="13.9" customHeight="1" thickBot="1">
      <c r="A353" s="618"/>
      <c r="C353" s="485"/>
      <c r="D353" s="484"/>
      <c r="E353" s="869" t="s">
        <v>522</v>
      </c>
      <c r="F353" s="2614" t="s">
        <v>524</v>
      </c>
      <c r="G353" s="2837"/>
      <c r="H353" s="2836"/>
      <c r="I353" s="2614" t="s">
        <v>525</v>
      </c>
      <c r="J353" s="2836"/>
      <c r="K353" s="2614" t="s">
        <v>526</v>
      </c>
      <c r="L353" s="2836"/>
      <c r="M353" s="2614" t="s">
        <v>527</v>
      </c>
      <c r="N353" s="2837"/>
      <c r="P353" s="485"/>
      <c r="Q353" s="1185"/>
      <c r="R353" s="1118"/>
      <c r="S353" s="1192" t="s">
        <v>1872</v>
      </c>
      <c r="T353" s="1137"/>
      <c r="U353" s="1137"/>
      <c r="V353" s="1137"/>
      <c r="W353" s="1137"/>
      <c r="X353" s="1137"/>
      <c r="Y353" s="1137"/>
      <c r="AP353" s="1135"/>
    </row>
    <row r="354" spans="1:42">
      <c r="C354" s="485"/>
      <c r="D354" s="484"/>
      <c r="E354" s="1188">
        <v>1</v>
      </c>
      <c r="F354" s="3006"/>
      <c r="G354" s="3008"/>
      <c r="H354" s="3007"/>
      <c r="I354" s="3006"/>
      <c r="J354" s="3009"/>
      <c r="K354" s="3006"/>
      <c r="L354" s="3007"/>
      <c r="M354" s="3010"/>
      <c r="N354" s="3011"/>
      <c r="O354" s="481"/>
      <c r="P354" s="10"/>
      <c r="Q354" s="1193"/>
      <c r="S354" s="1194" t="str">
        <f t="shared" ref="S354:S363" si="17">IF(ISBLANK(I354),"",OR(MATCH(I354,EUconst_ConnectedEntityTypes,0)=1,MATCH(I354,EUconst_ConnectedEntityTypes,0)=3))</f>
        <v/>
      </c>
      <c r="Y354" s="1140" t="b">
        <f t="shared" ref="Y354:Y363" si="18">CTRL_InputMethodNIMsvalues=1</f>
        <v>1</v>
      </c>
    </row>
    <row r="355" spans="1:42">
      <c r="C355" s="485"/>
      <c r="D355" s="484"/>
      <c r="E355" s="1189">
        <f t="shared" ref="E355:E363" si="19">E354+1</f>
        <v>2</v>
      </c>
      <c r="F355" s="2843"/>
      <c r="G355" s="2844"/>
      <c r="H355" s="2845"/>
      <c r="I355" s="2843"/>
      <c r="J355" s="2849"/>
      <c r="K355" s="2843"/>
      <c r="L355" s="2845"/>
      <c r="M355" s="2847"/>
      <c r="N355" s="2848"/>
      <c r="O355" s="481"/>
      <c r="P355" s="10"/>
      <c r="Q355" s="1193"/>
      <c r="S355" s="1195" t="str">
        <f t="shared" si="17"/>
        <v/>
      </c>
      <c r="Y355" s="1140" t="b">
        <f t="shared" si="18"/>
        <v>1</v>
      </c>
    </row>
    <row r="356" spans="1:42">
      <c r="C356" s="485"/>
      <c r="D356" s="484"/>
      <c r="E356" s="1189">
        <f t="shared" si="19"/>
        <v>3</v>
      </c>
      <c r="F356" s="2843"/>
      <c r="G356" s="2844"/>
      <c r="H356" s="2845"/>
      <c r="I356" s="2843"/>
      <c r="J356" s="2849"/>
      <c r="K356" s="2843"/>
      <c r="L356" s="2845"/>
      <c r="M356" s="2847"/>
      <c r="N356" s="2848"/>
      <c r="O356" s="481"/>
      <c r="P356" s="10"/>
      <c r="Q356" s="1193"/>
      <c r="S356" s="1195" t="str">
        <f t="shared" si="17"/>
        <v/>
      </c>
      <c r="Y356" s="1140" t="b">
        <f t="shared" si="18"/>
        <v>1</v>
      </c>
    </row>
    <row r="357" spans="1:42">
      <c r="C357" s="485"/>
      <c r="D357" s="484"/>
      <c r="E357" s="1189">
        <f t="shared" si="19"/>
        <v>4</v>
      </c>
      <c r="F357" s="2843"/>
      <c r="G357" s="2844"/>
      <c r="H357" s="2845"/>
      <c r="I357" s="2843"/>
      <c r="J357" s="2849"/>
      <c r="K357" s="2843"/>
      <c r="L357" s="2845"/>
      <c r="M357" s="2847"/>
      <c r="N357" s="2848"/>
      <c r="O357" s="481"/>
      <c r="P357" s="10"/>
      <c r="Q357" s="1193"/>
      <c r="S357" s="1195" t="str">
        <f t="shared" si="17"/>
        <v/>
      </c>
      <c r="Y357" s="1140" t="b">
        <f t="shared" si="18"/>
        <v>1</v>
      </c>
    </row>
    <row r="358" spans="1:42">
      <c r="C358" s="485"/>
      <c r="D358" s="484"/>
      <c r="E358" s="1189">
        <f t="shared" si="19"/>
        <v>5</v>
      </c>
      <c r="F358" s="2843"/>
      <c r="G358" s="2844"/>
      <c r="H358" s="2845"/>
      <c r="I358" s="2843"/>
      <c r="J358" s="2849"/>
      <c r="K358" s="2843"/>
      <c r="L358" s="2845"/>
      <c r="M358" s="2847"/>
      <c r="N358" s="2848"/>
      <c r="O358" s="481"/>
      <c r="P358" s="10"/>
      <c r="Q358" s="1193"/>
      <c r="S358" s="1195" t="str">
        <f t="shared" si="17"/>
        <v/>
      </c>
      <c r="Y358" s="1140" t="b">
        <f t="shared" si="18"/>
        <v>1</v>
      </c>
    </row>
    <row r="359" spans="1:42">
      <c r="C359" s="485"/>
      <c r="D359" s="484"/>
      <c r="E359" s="1189">
        <f t="shared" si="19"/>
        <v>6</v>
      </c>
      <c r="F359" s="2843"/>
      <c r="G359" s="2844"/>
      <c r="H359" s="2845"/>
      <c r="I359" s="2843"/>
      <c r="J359" s="2849"/>
      <c r="K359" s="2843"/>
      <c r="L359" s="2845"/>
      <c r="M359" s="2847"/>
      <c r="N359" s="2848"/>
      <c r="O359" s="481"/>
      <c r="P359" s="10"/>
      <c r="Q359" s="1193"/>
      <c r="S359" s="1195" t="str">
        <f t="shared" si="17"/>
        <v/>
      </c>
      <c r="Y359" s="1140" t="b">
        <f t="shared" si="18"/>
        <v>1</v>
      </c>
    </row>
    <row r="360" spans="1:42">
      <c r="C360" s="485"/>
      <c r="D360" s="484"/>
      <c r="E360" s="1189">
        <f t="shared" si="19"/>
        <v>7</v>
      </c>
      <c r="F360" s="2843"/>
      <c r="G360" s="2844"/>
      <c r="H360" s="2845"/>
      <c r="I360" s="2843"/>
      <c r="J360" s="2849"/>
      <c r="K360" s="2843"/>
      <c r="L360" s="2845"/>
      <c r="M360" s="2847"/>
      <c r="N360" s="2848"/>
      <c r="O360" s="481"/>
      <c r="P360" s="10"/>
      <c r="Q360" s="1193"/>
      <c r="S360" s="1195" t="str">
        <f t="shared" si="17"/>
        <v/>
      </c>
      <c r="Y360" s="1140" t="b">
        <f t="shared" si="18"/>
        <v>1</v>
      </c>
    </row>
    <row r="361" spans="1:42">
      <c r="C361" s="485"/>
      <c r="D361" s="484"/>
      <c r="E361" s="1189">
        <f t="shared" si="19"/>
        <v>8</v>
      </c>
      <c r="F361" s="2843"/>
      <c r="G361" s="2844"/>
      <c r="H361" s="2845"/>
      <c r="I361" s="2843"/>
      <c r="J361" s="2849"/>
      <c r="K361" s="2843"/>
      <c r="L361" s="2845"/>
      <c r="M361" s="2847"/>
      <c r="N361" s="2848"/>
      <c r="O361" s="481"/>
      <c r="P361" s="10"/>
      <c r="Q361" s="1193"/>
      <c r="S361" s="1195" t="str">
        <f t="shared" si="17"/>
        <v/>
      </c>
      <c r="Y361" s="1140" t="b">
        <f t="shared" si="18"/>
        <v>1</v>
      </c>
    </row>
    <row r="362" spans="1:42">
      <c r="C362" s="485"/>
      <c r="D362" s="484"/>
      <c r="E362" s="1189">
        <f t="shared" si="19"/>
        <v>9</v>
      </c>
      <c r="F362" s="2843"/>
      <c r="G362" s="2844"/>
      <c r="H362" s="2845"/>
      <c r="I362" s="2843"/>
      <c r="J362" s="2849"/>
      <c r="K362" s="2843"/>
      <c r="L362" s="2845"/>
      <c r="M362" s="2847"/>
      <c r="N362" s="2848"/>
      <c r="O362" s="481"/>
      <c r="P362" s="10"/>
      <c r="Q362" s="1193"/>
      <c r="S362" s="1195" t="str">
        <f t="shared" si="17"/>
        <v/>
      </c>
      <c r="Y362" s="1140" t="b">
        <f t="shared" si="18"/>
        <v>1</v>
      </c>
    </row>
    <row r="363" spans="1:42" ht="13.5" thickBot="1">
      <c r="C363" s="485"/>
      <c r="D363" s="484"/>
      <c r="E363" s="1190">
        <f t="shared" si="19"/>
        <v>10</v>
      </c>
      <c r="F363" s="3016"/>
      <c r="G363" s="3017"/>
      <c r="H363" s="3018"/>
      <c r="I363" s="3016"/>
      <c r="J363" s="3020"/>
      <c r="K363" s="3016"/>
      <c r="L363" s="3018"/>
      <c r="M363" s="3024"/>
      <c r="N363" s="3025"/>
      <c r="O363" s="481"/>
      <c r="P363" s="10"/>
      <c r="Q363" s="1193"/>
      <c r="S363" s="1196" t="str">
        <f t="shared" si="17"/>
        <v/>
      </c>
      <c r="Y363" s="1140" t="b">
        <f t="shared" si="18"/>
        <v>1</v>
      </c>
    </row>
    <row r="364" spans="1:42">
      <c r="C364" s="485"/>
      <c r="D364" s="484"/>
      <c r="E364" s="876"/>
      <c r="F364" s="876"/>
      <c r="G364" s="876"/>
      <c r="H364" s="876"/>
      <c r="I364" s="876"/>
      <c r="J364" s="876"/>
      <c r="K364" s="876"/>
      <c r="L364" s="876"/>
      <c r="M364" s="876"/>
      <c r="N364" s="876"/>
      <c r="O364" s="481"/>
      <c r="P364" s="485"/>
    </row>
    <row r="365" spans="1:42" ht="13.15" customHeight="1">
      <c r="C365" s="485"/>
      <c r="D365" s="482"/>
      <c r="E365" s="2373" t="s">
        <v>1070</v>
      </c>
      <c r="F365" s="2400"/>
      <c r="G365" s="2400"/>
      <c r="H365" s="2400"/>
      <c r="I365" s="2400"/>
      <c r="J365" s="2400"/>
      <c r="K365" s="2400"/>
      <c r="L365" s="2400"/>
      <c r="M365" s="2400"/>
      <c r="N365" s="2400"/>
      <c r="O365" s="481"/>
      <c r="P365" s="485"/>
    </row>
    <row r="366" spans="1:42" ht="25.5" customHeight="1">
      <c r="C366" s="485"/>
      <c r="D366" s="485"/>
      <c r="E366" s="2817" t="s">
        <v>2203</v>
      </c>
      <c r="F366" s="2817"/>
      <c r="G366" s="2817"/>
      <c r="H366" s="2817"/>
      <c r="I366" s="2817"/>
      <c r="J366" s="2817"/>
      <c r="K366" s="2817"/>
      <c r="L366" s="2817"/>
      <c r="M366" s="2817"/>
      <c r="N366" s="2817"/>
      <c r="O366" s="481"/>
      <c r="P366" s="485"/>
    </row>
    <row r="367" spans="1:42" ht="12.75" customHeight="1">
      <c r="C367" s="485"/>
      <c r="D367" s="485"/>
      <c r="E367" s="2817" t="s">
        <v>2098</v>
      </c>
      <c r="F367" s="2817"/>
      <c r="G367" s="2817"/>
      <c r="H367" s="2817"/>
      <c r="I367" s="2817"/>
      <c r="J367" s="2817"/>
      <c r="K367" s="2817"/>
      <c r="L367" s="2817"/>
      <c r="M367" s="2817"/>
      <c r="N367" s="2817"/>
      <c r="O367" s="481"/>
      <c r="P367" s="485"/>
    </row>
    <row r="368" spans="1:42" ht="25.5" customHeight="1" thickBot="1">
      <c r="C368" s="485"/>
      <c r="D368" s="485"/>
      <c r="E368" s="877" t="s">
        <v>522</v>
      </c>
      <c r="F368" s="2614" t="s">
        <v>2147</v>
      </c>
      <c r="G368" s="2836"/>
      <c r="H368" s="2614" t="s">
        <v>1069</v>
      </c>
      <c r="I368" s="2836"/>
      <c r="J368" s="2623" t="s">
        <v>529</v>
      </c>
      <c r="K368" s="2837"/>
      <c r="L368" s="2836"/>
      <c r="M368" s="2614" t="s">
        <v>528</v>
      </c>
      <c r="N368" s="2615"/>
      <c r="O368" s="481"/>
      <c r="P368" s="485"/>
      <c r="R368" s="1197" t="s">
        <v>1871</v>
      </c>
    </row>
    <row r="369" spans="3:42">
      <c r="C369" s="485"/>
      <c r="D369" s="485"/>
      <c r="E369" s="1191">
        <v>1</v>
      </c>
      <c r="F369" s="3022"/>
      <c r="G369" s="3023"/>
      <c r="H369" s="3006"/>
      <c r="I369" s="3007"/>
      <c r="J369" s="3006"/>
      <c r="K369" s="3008"/>
      <c r="L369" s="3007"/>
      <c r="M369" s="3006"/>
      <c r="N369" s="3007"/>
      <c r="O369" s="481"/>
      <c r="P369" s="10"/>
      <c r="R369" s="1194" t="b">
        <f>COUNTA(F354:N354,F369:N369)&gt;0</f>
        <v>0</v>
      </c>
      <c r="Y369" s="1140" t="b">
        <f t="shared" ref="Y369:Y378" si="20">CTRL_InputMethodNIMsvalues=1</f>
        <v>1</v>
      </c>
    </row>
    <row r="370" spans="3:42">
      <c r="C370" s="485"/>
      <c r="D370" s="485"/>
      <c r="E370" s="1189">
        <f t="shared" ref="E370:E378" si="21">E369+1</f>
        <v>2</v>
      </c>
      <c r="F370" s="3012"/>
      <c r="G370" s="3013"/>
      <c r="H370" s="2843"/>
      <c r="I370" s="2845"/>
      <c r="J370" s="2843"/>
      <c r="K370" s="2844"/>
      <c r="L370" s="2845"/>
      <c r="M370" s="2843"/>
      <c r="N370" s="2845"/>
      <c r="O370" s="481"/>
      <c r="P370" s="10"/>
      <c r="R370" s="1195" t="b">
        <f t="shared" ref="R370:R378" si="22">COUNTA(F355:N355,F370:N370)&gt;0</f>
        <v>0</v>
      </c>
      <c r="Y370" s="1140" t="b">
        <f t="shared" si="20"/>
        <v>1</v>
      </c>
    </row>
    <row r="371" spans="3:42">
      <c r="C371" s="485"/>
      <c r="D371" s="485"/>
      <c r="E371" s="1189">
        <f t="shared" si="21"/>
        <v>3</v>
      </c>
      <c r="F371" s="3012"/>
      <c r="G371" s="3013"/>
      <c r="H371" s="2843"/>
      <c r="I371" s="2845"/>
      <c r="J371" s="2843"/>
      <c r="K371" s="2844"/>
      <c r="L371" s="2845"/>
      <c r="M371" s="2843"/>
      <c r="N371" s="2845"/>
      <c r="O371" s="481"/>
      <c r="P371" s="10"/>
      <c r="R371" s="1195" t="b">
        <f t="shared" si="22"/>
        <v>0</v>
      </c>
      <c r="Y371" s="1140" t="b">
        <f t="shared" si="20"/>
        <v>1</v>
      </c>
    </row>
    <row r="372" spans="3:42">
      <c r="C372" s="485"/>
      <c r="D372" s="485"/>
      <c r="E372" s="1189">
        <f t="shared" si="21"/>
        <v>4</v>
      </c>
      <c r="F372" s="3012"/>
      <c r="G372" s="3013"/>
      <c r="H372" s="2843"/>
      <c r="I372" s="2845"/>
      <c r="J372" s="2843"/>
      <c r="K372" s="2844"/>
      <c r="L372" s="2845"/>
      <c r="M372" s="2843"/>
      <c r="N372" s="2845"/>
      <c r="O372" s="481"/>
      <c r="P372" s="10"/>
      <c r="R372" s="1195" t="b">
        <f t="shared" si="22"/>
        <v>0</v>
      </c>
      <c r="Y372" s="1140" t="b">
        <f t="shared" si="20"/>
        <v>1</v>
      </c>
    </row>
    <row r="373" spans="3:42">
      <c r="C373" s="485"/>
      <c r="D373" s="485"/>
      <c r="E373" s="1189">
        <f t="shared" si="21"/>
        <v>5</v>
      </c>
      <c r="F373" s="3012"/>
      <c r="G373" s="3013"/>
      <c r="H373" s="2843"/>
      <c r="I373" s="2845"/>
      <c r="J373" s="2843"/>
      <c r="K373" s="2844"/>
      <c r="L373" s="2845"/>
      <c r="M373" s="2843"/>
      <c r="N373" s="2845"/>
      <c r="O373" s="481"/>
      <c r="P373" s="10"/>
      <c r="R373" s="1195" t="b">
        <f t="shared" si="22"/>
        <v>0</v>
      </c>
      <c r="Y373" s="1140" t="b">
        <f t="shared" si="20"/>
        <v>1</v>
      </c>
    </row>
    <row r="374" spans="3:42">
      <c r="C374" s="485"/>
      <c r="D374" s="485"/>
      <c r="E374" s="1189">
        <f t="shared" si="21"/>
        <v>6</v>
      </c>
      <c r="F374" s="3012"/>
      <c r="G374" s="3013"/>
      <c r="H374" s="2843"/>
      <c r="I374" s="2845"/>
      <c r="J374" s="2843"/>
      <c r="K374" s="2844"/>
      <c r="L374" s="2845"/>
      <c r="M374" s="2843"/>
      <c r="N374" s="2845"/>
      <c r="O374" s="481"/>
      <c r="P374" s="10"/>
      <c r="R374" s="1195" t="b">
        <f t="shared" si="22"/>
        <v>0</v>
      </c>
      <c r="Y374" s="1140" t="b">
        <f t="shared" si="20"/>
        <v>1</v>
      </c>
    </row>
    <row r="375" spans="3:42">
      <c r="C375" s="485"/>
      <c r="D375" s="485"/>
      <c r="E375" s="1189">
        <f t="shared" si="21"/>
        <v>7</v>
      </c>
      <c r="F375" s="3012"/>
      <c r="G375" s="3013"/>
      <c r="H375" s="2843"/>
      <c r="I375" s="2845"/>
      <c r="J375" s="2843"/>
      <c r="K375" s="2844"/>
      <c r="L375" s="2845"/>
      <c r="M375" s="2843"/>
      <c r="N375" s="2845"/>
      <c r="O375" s="481"/>
      <c r="P375" s="10"/>
      <c r="R375" s="1195" t="b">
        <f t="shared" si="22"/>
        <v>0</v>
      </c>
      <c r="Y375" s="1140" t="b">
        <f t="shared" si="20"/>
        <v>1</v>
      </c>
    </row>
    <row r="376" spans="3:42">
      <c r="C376" s="485"/>
      <c r="D376" s="485"/>
      <c r="E376" s="1189">
        <f t="shared" si="21"/>
        <v>8</v>
      </c>
      <c r="F376" s="3012"/>
      <c r="G376" s="3013"/>
      <c r="H376" s="2843"/>
      <c r="I376" s="2845"/>
      <c r="J376" s="2843"/>
      <c r="K376" s="2844"/>
      <c r="L376" s="2845"/>
      <c r="M376" s="2843"/>
      <c r="N376" s="2845"/>
      <c r="O376" s="481"/>
      <c r="P376" s="10"/>
      <c r="R376" s="1195" t="b">
        <f t="shared" si="22"/>
        <v>0</v>
      </c>
      <c r="Y376" s="1140" t="b">
        <f t="shared" si="20"/>
        <v>1</v>
      </c>
    </row>
    <row r="377" spans="3:42">
      <c r="C377" s="485"/>
      <c r="D377" s="485"/>
      <c r="E377" s="1189">
        <f t="shared" si="21"/>
        <v>9</v>
      </c>
      <c r="F377" s="3012"/>
      <c r="G377" s="3013"/>
      <c r="H377" s="2843"/>
      <c r="I377" s="2845"/>
      <c r="J377" s="2843"/>
      <c r="K377" s="2844"/>
      <c r="L377" s="2845"/>
      <c r="M377" s="2843"/>
      <c r="N377" s="2845"/>
      <c r="O377" s="481"/>
      <c r="P377" s="10"/>
      <c r="R377" s="1195" t="b">
        <f t="shared" si="22"/>
        <v>0</v>
      </c>
      <c r="Y377" s="1140" t="b">
        <f t="shared" si="20"/>
        <v>1</v>
      </c>
    </row>
    <row r="378" spans="3:42" ht="13.5" thickBot="1">
      <c r="C378" s="485"/>
      <c r="D378" s="485"/>
      <c r="E378" s="1190">
        <f t="shared" si="21"/>
        <v>10</v>
      </c>
      <c r="F378" s="3014"/>
      <c r="G378" s="3015"/>
      <c r="H378" s="3016"/>
      <c r="I378" s="3018"/>
      <c r="J378" s="3016"/>
      <c r="K378" s="3017"/>
      <c r="L378" s="3018"/>
      <c r="M378" s="3016"/>
      <c r="N378" s="3018"/>
      <c r="O378" s="481"/>
      <c r="P378" s="10"/>
      <c r="R378" s="1196" t="b">
        <f t="shared" si="22"/>
        <v>0</v>
      </c>
      <c r="Y378" s="1140" t="b">
        <f t="shared" si="20"/>
        <v>1</v>
      </c>
    </row>
    <row r="379" spans="3:42" ht="5.0999999999999996" customHeight="1">
      <c r="C379" s="467"/>
      <c r="D379" s="466"/>
      <c r="E379" s="467"/>
      <c r="F379" s="467"/>
      <c r="G379" s="467"/>
      <c r="H379" s="467"/>
      <c r="I379" s="467"/>
      <c r="J379" s="467"/>
      <c r="K379" s="467"/>
      <c r="L379" s="467"/>
      <c r="M379" s="481"/>
      <c r="N379" s="481"/>
      <c r="O379" s="481"/>
      <c r="P379" s="485"/>
      <c r="Q379" s="1117"/>
    </row>
    <row r="380" spans="3:42">
      <c r="C380" s="485"/>
      <c r="D380" s="482" t="s">
        <v>48</v>
      </c>
      <c r="E380" s="2373" t="s">
        <v>1983</v>
      </c>
      <c r="F380" s="2400"/>
      <c r="G380" s="2400"/>
      <c r="H380" s="2400"/>
      <c r="I380" s="2400"/>
      <c r="J380" s="2400"/>
      <c r="K380" s="2400"/>
      <c r="L380" s="2400"/>
      <c r="M380" s="2400"/>
      <c r="N380" s="2400"/>
      <c r="O380" s="481"/>
      <c r="P380" s="485"/>
    </row>
    <row r="381" spans="3:42" ht="5.0999999999999996" customHeight="1">
      <c r="C381" s="485"/>
      <c r="D381" s="485"/>
      <c r="E381" s="467"/>
      <c r="F381" s="467"/>
      <c r="G381" s="467"/>
      <c r="H381" s="467"/>
      <c r="I381" s="467"/>
      <c r="J381" s="467"/>
      <c r="K381" s="467"/>
      <c r="L381" s="467"/>
      <c r="M381" s="481"/>
      <c r="N381" s="481"/>
      <c r="O381" s="481"/>
      <c r="P381" s="485"/>
    </row>
    <row r="382" spans="3:42" ht="12.75" customHeight="1" thickBot="1">
      <c r="C382" s="485"/>
      <c r="D382" s="485"/>
      <c r="E382" s="869" t="s">
        <v>522</v>
      </c>
      <c r="F382" s="3005" t="s">
        <v>524</v>
      </c>
      <c r="G382" s="3004"/>
      <c r="H382" s="3019"/>
      <c r="I382" s="3005" t="s">
        <v>525</v>
      </c>
      <c r="J382" s="3019"/>
      <c r="K382" s="3005" t="s">
        <v>526</v>
      </c>
      <c r="L382" s="3019"/>
      <c r="M382" s="3005" t="s">
        <v>527</v>
      </c>
      <c r="N382" s="3004"/>
      <c r="O382" s="481"/>
      <c r="P382" s="485"/>
      <c r="R382" s="1185" t="s">
        <v>287</v>
      </c>
      <c r="S382" s="1192" t="s">
        <v>1872</v>
      </c>
    </row>
    <row r="383" spans="3:42">
      <c r="C383" s="485"/>
      <c r="D383" s="485"/>
      <c r="E383" s="1188">
        <v>1</v>
      </c>
      <c r="F383" s="2830" t="str">
        <f>IF(F306 &amp; F354 = "","",IF(F354="",F306,F354))</f>
        <v/>
      </c>
      <c r="G383" s="2832"/>
      <c r="H383" s="2833"/>
      <c r="I383" s="2830" t="str">
        <f t="shared" ref="I383:I392" si="23">IF(I306 &amp; I354 = "","",IF(I354="",IF(AND(I306&lt;&gt;"",COUNTIF(EUconst_ConnectedEntityTypes,I306)=0),EUconst_ERR_LinkToNIMs,I306),I354))</f>
        <v/>
      </c>
      <c r="J383" s="2831"/>
      <c r="K383" s="2830" t="str">
        <f t="shared" ref="K383:K392" si="24">IF(K306 &amp; K354 = "","", IF(K354="",IF(AND(K306&lt;&gt;"",COUNTIF(EUconst_ConnectionTypes,K306)=0),EUconst_ERR_LinkToNIMs,K306),K354))</f>
        <v/>
      </c>
      <c r="L383" s="2833"/>
      <c r="M383" s="2922" t="str">
        <f t="shared" ref="M383:M392" si="25">IF(M306 &amp; M354 = "","",IF(M354="",IF(AND(M306&lt;&gt;"",COUNTIF(EUconst_ConnectionTransferTypes,M306)=0),EUconst_ERR_LinkToNIMs,M306),M354))</f>
        <v/>
      </c>
      <c r="N383" s="3021"/>
      <c r="O383" s="481"/>
      <c r="P383" s="485"/>
      <c r="R383" s="1194" t="str">
        <f>IF(F383&lt;&gt;"",ROWS($F$383:F383)-COUNTIF($F$383:F383,""),"")</f>
        <v/>
      </c>
      <c r="S383" s="1194" t="str">
        <f t="shared" ref="S383:S392" si="26">IF(I383="","",OR(MATCH(I383,EUconst_ConnectedEntityTypes,0)=1,MATCH(I383,EUconst_ConnectedEntityTypes,0)=3))</f>
        <v/>
      </c>
      <c r="AP383" s="1135" t="s">
        <v>2635</v>
      </c>
    </row>
    <row r="384" spans="3:42">
      <c r="C384" s="485"/>
      <c r="D384" s="485"/>
      <c r="E384" s="1189">
        <f t="shared" ref="E384:E392" si="27">E383+1</f>
        <v>2</v>
      </c>
      <c r="F384" s="2825" t="str">
        <f t="shared" ref="F384:F392" si="28">IF(F307 &amp; F355 = "","",IF(F355="",F307,F355))</f>
        <v/>
      </c>
      <c r="G384" s="2827"/>
      <c r="H384" s="2826"/>
      <c r="I384" s="2825" t="str">
        <f t="shared" si="23"/>
        <v/>
      </c>
      <c r="J384" s="2826"/>
      <c r="K384" s="2825" t="str">
        <f t="shared" si="24"/>
        <v/>
      </c>
      <c r="L384" s="2826"/>
      <c r="M384" s="2838" t="str">
        <f t="shared" si="25"/>
        <v/>
      </c>
      <c r="N384" s="2839"/>
      <c r="O384" s="481"/>
      <c r="P384" s="485"/>
      <c r="R384" s="1195" t="str">
        <f>IF(F384&lt;&gt;"",ROWS($F$383:F384)-COUNTIF($F$383:F384,""),"")</f>
        <v/>
      </c>
      <c r="S384" s="1195" t="str">
        <f t="shared" si="26"/>
        <v/>
      </c>
      <c r="AP384" s="1135" t="s">
        <v>2636</v>
      </c>
    </row>
    <row r="385" spans="3:42">
      <c r="C385" s="485"/>
      <c r="D385" s="485"/>
      <c r="E385" s="1189">
        <f t="shared" si="27"/>
        <v>3</v>
      </c>
      <c r="F385" s="2825" t="str">
        <f t="shared" si="28"/>
        <v/>
      </c>
      <c r="G385" s="2827"/>
      <c r="H385" s="2826"/>
      <c r="I385" s="2825" t="str">
        <f t="shared" si="23"/>
        <v/>
      </c>
      <c r="J385" s="2826"/>
      <c r="K385" s="2825" t="str">
        <f t="shared" si="24"/>
        <v/>
      </c>
      <c r="L385" s="2826"/>
      <c r="M385" s="2838" t="str">
        <f t="shared" si="25"/>
        <v/>
      </c>
      <c r="N385" s="2839"/>
      <c r="O385" s="481"/>
      <c r="P385" s="485"/>
      <c r="R385" s="1195" t="str">
        <f>IF(F385&lt;&gt;"",ROWS($F$383:F385)-COUNTIF($F$383:F385,""),"")</f>
        <v/>
      </c>
      <c r="S385" s="1195" t="str">
        <f t="shared" si="26"/>
        <v/>
      </c>
      <c r="AP385" s="1135" t="s">
        <v>2637</v>
      </c>
    </row>
    <row r="386" spans="3:42">
      <c r="C386" s="485"/>
      <c r="D386" s="485"/>
      <c r="E386" s="1189">
        <f t="shared" si="27"/>
        <v>4</v>
      </c>
      <c r="F386" s="2825" t="str">
        <f t="shared" si="28"/>
        <v/>
      </c>
      <c r="G386" s="2827"/>
      <c r="H386" s="2826"/>
      <c r="I386" s="2825" t="str">
        <f t="shared" si="23"/>
        <v/>
      </c>
      <c r="J386" s="2826"/>
      <c r="K386" s="2825" t="str">
        <f t="shared" si="24"/>
        <v/>
      </c>
      <c r="L386" s="2826"/>
      <c r="M386" s="2838" t="str">
        <f t="shared" si="25"/>
        <v/>
      </c>
      <c r="N386" s="2839"/>
      <c r="O386" s="481"/>
      <c r="P386" s="485"/>
      <c r="R386" s="1195" t="str">
        <f>IF(F386&lt;&gt;"",ROWS($F$383:F386)-COUNTIF($F$383:F386,""),"")</f>
        <v/>
      </c>
      <c r="S386" s="1195" t="str">
        <f t="shared" si="26"/>
        <v/>
      </c>
      <c r="AP386" s="1135" t="s">
        <v>2638</v>
      </c>
    </row>
    <row r="387" spans="3:42">
      <c r="C387" s="485"/>
      <c r="D387" s="485"/>
      <c r="E387" s="1189">
        <f t="shared" si="27"/>
        <v>5</v>
      </c>
      <c r="F387" s="2825" t="str">
        <f t="shared" si="28"/>
        <v/>
      </c>
      <c r="G387" s="2827"/>
      <c r="H387" s="2826"/>
      <c r="I387" s="2825" t="str">
        <f t="shared" si="23"/>
        <v/>
      </c>
      <c r="J387" s="2826"/>
      <c r="K387" s="2825" t="str">
        <f t="shared" si="24"/>
        <v/>
      </c>
      <c r="L387" s="2826"/>
      <c r="M387" s="2838" t="str">
        <f t="shared" si="25"/>
        <v/>
      </c>
      <c r="N387" s="2839"/>
      <c r="O387" s="481"/>
      <c r="P387" s="485"/>
      <c r="R387" s="1195" t="str">
        <f>IF(F387&lt;&gt;"",ROWS($F$383:F387)-COUNTIF($F$383:F387,""),"")</f>
        <v/>
      </c>
      <c r="S387" s="1195" t="str">
        <f t="shared" si="26"/>
        <v/>
      </c>
      <c r="AP387" s="1135" t="s">
        <v>2639</v>
      </c>
    </row>
    <row r="388" spans="3:42">
      <c r="C388" s="485"/>
      <c r="D388" s="485"/>
      <c r="E388" s="1189">
        <f t="shared" si="27"/>
        <v>6</v>
      </c>
      <c r="F388" s="2825" t="str">
        <f t="shared" si="28"/>
        <v/>
      </c>
      <c r="G388" s="2827"/>
      <c r="H388" s="2826"/>
      <c r="I388" s="2825" t="str">
        <f t="shared" si="23"/>
        <v/>
      </c>
      <c r="J388" s="2826"/>
      <c r="K388" s="2825" t="str">
        <f t="shared" si="24"/>
        <v/>
      </c>
      <c r="L388" s="2826"/>
      <c r="M388" s="2838" t="str">
        <f t="shared" si="25"/>
        <v/>
      </c>
      <c r="N388" s="2839"/>
      <c r="O388" s="481"/>
      <c r="P388" s="485"/>
      <c r="R388" s="1195" t="str">
        <f>IF(F388&lt;&gt;"",ROWS($F$383:F388)-COUNTIF($F$383:F388,""),"")</f>
        <v/>
      </c>
      <c r="S388" s="1195" t="str">
        <f t="shared" si="26"/>
        <v/>
      </c>
      <c r="AP388" s="1135" t="s">
        <v>2640</v>
      </c>
    </row>
    <row r="389" spans="3:42">
      <c r="C389" s="485"/>
      <c r="D389" s="485"/>
      <c r="E389" s="1189">
        <f t="shared" si="27"/>
        <v>7</v>
      </c>
      <c r="F389" s="2825" t="str">
        <f t="shared" si="28"/>
        <v/>
      </c>
      <c r="G389" s="2827"/>
      <c r="H389" s="2826"/>
      <c r="I389" s="2825" t="str">
        <f t="shared" si="23"/>
        <v/>
      </c>
      <c r="J389" s="2826"/>
      <c r="K389" s="2825" t="str">
        <f t="shared" si="24"/>
        <v/>
      </c>
      <c r="L389" s="2826"/>
      <c r="M389" s="2838" t="str">
        <f t="shared" si="25"/>
        <v/>
      </c>
      <c r="N389" s="2839"/>
      <c r="O389" s="481"/>
      <c r="P389" s="485"/>
      <c r="R389" s="1195" t="str">
        <f>IF(F389&lt;&gt;"",ROWS($F$383:F389)-COUNTIF($F$383:F389,""),"")</f>
        <v/>
      </c>
      <c r="S389" s="1195" t="str">
        <f t="shared" si="26"/>
        <v/>
      </c>
      <c r="AP389" s="1135" t="s">
        <v>2641</v>
      </c>
    </row>
    <row r="390" spans="3:42">
      <c r="C390" s="485"/>
      <c r="D390" s="485"/>
      <c r="E390" s="1189">
        <f t="shared" si="27"/>
        <v>8</v>
      </c>
      <c r="F390" s="2825" t="str">
        <f t="shared" si="28"/>
        <v/>
      </c>
      <c r="G390" s="2827"/>
      <c r="H390" s="2826"/>
      <c r="I390" s="2825" t="str">
        <f t="shared" si="23"/>
        <v/>
      </c>
      <c r="J390" s="2826"/>
      <c r="K390" s="2825" t="str">
        <f t="shared" si="24"/>
        <v/>
      </c>
      <c r="L390" s="2826"/>
      <c r="M390" s="2838" t="str">
        <f t="shared" si="25"/>
        <v/>
      </c>
      <c r="N390" s="2839"/>
      <c r="O390" s="481"/>
      <c r="P390" s="485"/>
      <c r="R390" s="1195" t="str">
        <f>IF(F390&lt;&gt;"",ROWS($F$383:F390)-COUNTIF($F$383:F390,""),"")</f>
        <v/>
      </c>
      <c r="S390" s="1195" t="str">
        <f t="shared" si="26"/>
        <v/>
      </c>
      <c r="AP390" s="1135" t="s">
        <v>2642</v>
      </c>
    </row>
    <row r="391" spans="3:42">
      <c r="C391" s="485"/>
      <c r="D391" s="485"/>
      <c r="E391" s="1189">
        <f t="shared" si="27"/>
        <v>9</v>
      </c>
      <c r="F391" s="2825" t="str">
        <f t="shared" si="28"/>
        <v/>
      </c>
      <c r="G391" s="2827"/>
      <c r="H391" s="2826"/>
      <c r="I391" s="2825" t="str">
        <f t="shared" si="23"/>
        <v/>
      </c>
      <c r="J391" s="2826"/>
      <c r="K391" s="2825" t="str">
        <f t="shared" si="24"/>
        <v/>
      </c>
      <c r="L391" s="2826"/>
      <c r="M391" s="2838" t="str">
        <f t="shared" si="25"/>
        <v/>
      </c>
      <c r="N391" s="2839"/>
      <c r="O391" s="481"/>
      <c r="P391" s="485"/>
      <c r="R391" s="1195" t="str">
        <f>IF(F391&lt;&gt;"",ROWS($F$383:F391)-COUNTIF($F$383:F391,""),"")</f>
        <v/>
      </c>
      <c r="S391" s="1195" t="str">
        <f t="shared" si="26"/>
        <v/>
      </c>
      <c r="AP391" s="1135" t="s">
        <v>2643</v>
      </c>
    </row>
    <row r="392" spans="3:42" ht="12.75" customHeight="1" thickBot="1">
      <c r="C392" s="485"/>
      <c r="D392" s="485"/>
      <c r="E392" s="1190">
        <f t="shared" si="27"/>
        <v>10</v>
      </c>
      <c r="F392" s="2820" t="str">
        <f t="shared" si="28"/>
        <v/>
      </c>
      <c r="G392" s="2822"/>
      <c r="H392" s="2821"/>
      <c r="I392" s="2820" t="str">
        <f t="shared" si="23"/>
        <v/>
      </c>
      <c r="J392" s="2821"/>
      <c r="K392" s="2820" t="str">
        <f t="shared" si="24"/>
        <v/>
      </c>
      <c r="L392" s="2821"/>
      <c r="M392" s="2834" t="str">
        <f t="shared" si="25"/>
        <v/>
      </c>
      <c r="N392" s="2835"/>
      <c r="O392" s="481"/>
      <c r="P392" s="485"/>
      <c r="R392" s="1196" t="str">
        <f>IF(F392&lt;&gt;"",ROWS($F$383:F392)-COUNTIF($F$383:F392,""),"")</f>
        <v/>
      </c>
      <c r="S392" s="1196" t="str">
        <f t="shared" si="26"/>
        <v/>
      </c>
      <c r="AP392" s="1135" t="s">
        <v>2644</v>
      </c>
    </row>
    <row r="393" spans="3:42" ht="12.75" customHeight="1">
      <c r="C393" s="485"/>
      <c r="D393" s="485"/>
      <c r="E393" s="876"/>
      <c r="F393" s="876"/>
      <c r="G393" s="876"/>
      <c r="H393" s="876"/>
      <c r="I393" s="876"/>
      <c r="J393" s="876"/>
      <c r="K393" s="876"/>
      <c r="L393" s="876"/>
      <c r="M393" s="876"/>
      <c r="N393" s="876"/>
      <c r="O393" s="481"/>
      <c r="P393" s="485"/>
    </row>
    <row r="394" spans="3:42" ht="25.5" customHeight="1">
      <c r="C394" s="485"/>
      <c r="D394" s="485"/>
      <c r="E394" s="877" t="s">
        <v>522</v>
      </c>
      <c r="F394" s="2614" t="s">
        <v>2099</v>
      </c>
      <c r="G394" s="2614"/>
      <c r="H394" s="2614" t="s">
        <v>1069</v>
      </c>
      <c r="I394" s="2836"/>
      <c r="J394" s="2623" t="s">
        <v>529</v>
      </c>
      <c r="K394" s="2837"/>
      <c r="L394" s="2836"/>
      <c r="M394" s="2614" t="s">
        <v>528</v>
      </c>
      <c r="N394" s="2615"/>
      <c r="O394" s="481"/>
      <c r="P394" s="485"/>
    </row>
    <row r="395" spans="3:42">
      <c r="C395" s="485"/>
      <c r="D395" s="485"/>
      <c r="E395" s="1191">
        <v>1</v>
      </c>
      <c r="F395" s="2828" t="str">
        <f>IF(F318 &amp; F369 = "","",IF(F369="",F318,F369))</f>
        <v/>
      </c>
      <c r="G395" s="2829"/>
      <c r="H395" s="2830" t="str">
        <f>IF(H318 &amp; H369 = "","",IF(H369="",H318,H369))</f>
        <v/>
      </c>
      <c r="I395" s="2831"/>
      <c r="J395" s="2830" t="str">
        <f>IF(J318 &amp; J369 = "","",IF(J369="",J318,J369))</f>
        <v/>
      </c>
      <c r="K395" s="2832"/>
      <c r="L395" s="2833"/>
      <c r="M395" s="2830" t="str">
        <f>IF(M318 &amp; M369 = "","",IF(M369="",M318,M369))</f>
        <v/>
      </c>
      <c r="N395" s="2832"/>
      <c r="O395" s="481"/>
      <c r="P395" s="485"/>
      <c r="AP395" s="1135" t="s">
        <v>2590</v>
      </c>
    </row>
    <row r="396" spans="3:42">
      <c r="C396" s="485"/>
      <c r="D396" s="485"/>
      <c r="E396" s="1189">
        <f t="shared" ref="E396:E404" si="29">E395+1</f>
        <v>2</v>
      </c>
      <c r="F396" s="2823" t="str">
        <f t="shared" ref="F396:F404" si="30">IF(F319 &amp; F370 = "","",IF(F370="",F319,F370))</f>
        <v/>
      </c>
      <c r="G396" s="2824"/>
      <c r="H396" s="2825" t="str">
        <f t="shared" ref="H396:H404" si="31">IF(H319 &amp; H370 = "","",IF(H370="",H319,H370))</f>
        <v/>
      </c>
      <c r="I396" s="2826"/>
      <c r="J396" s="2825" t="str">
        <f t="shared" ref="J396:J404" si="32">IF(J319 &amp; J370 = "","",IF(J370="",J319,J370))</f>
        <v/>
      </c>
      <c r="K396" s="2827"/>
      <c r="L396" s="2826"/>
      <c r="M396" s="2825" t="str">
        <f t="shared" ref="M396:M404" si="33">IF(M319 &amp; M370 = "","",IF(M370="",M319,M370))</f>
        <v/>
      </c>
      <c r="N396" s="2827"/>
      <c r="O396" s="481"/>
      <c r="P396" s="485"/>
      <c r="AP396" s="1135" t="s">
        <v>2591</v>
      </c>
    </row>
    <row r="397" spans="3:42">
      <c r="C397" s="485"/>
      <c r="D397" s="485"/>
      <c r="E397" s="1189">
        <f t="shared" si="29"/>
        <v>3</v>
      </c>
      <c r="F397" s="2823" t="str">
        <f t="shared" si="30"/>
        <v/>
      </c>
      <c r="G397" s="2824"/>
      <c r="H397" s="2825" t="str">
        <f t="shared" si="31"/>
        <v/>
      </c>
      <c r="I397" s="2826"/>
      <c r="J397" s="2825" t="str">
        <f t="shared" si="32"/>
        <v/>
      </c>
      <c r="K397" s="2827"/>
      <c r="L397" s="2826"/>
      <c r="M397" s="2825" t="str">
        <f t="shared" si="33"/>
        <v/>
      </c>
      <c r="N397" s="2827"/>
      <c r="O397" s="481"/>
      <c r="P397" s="485"/>
      <c r="AP397" s="1135" t="s">
        <v>2592</v>
      </c>
    </row>
    <row r="398" spans="3:42">
      <c r="C398" s="485"/>
      <c r="D398" s="485"/>
      <c r="E398" s="1189">
        <f t="shared" si="29"/>
        <v>4</v>
      </c>
      <c r="F398" s="2823" t="str">
        <f t="shared" si="30"/>
        <v/>
      </c>
      <c r="G398" s="2824"/>
      <c r="H398" s="2825" t="str">
        <f t="shared" si="31"/>
        <v/>
      </c>
      <c r="I398" s="2826"/>
      <c r="J398" s="2825" t="str">
        <f t="shared" si="32"/>
        <v/>
      </c>
      <c r="K398" s="2827"/>
      <c r="L398" s="2826"/>
      <c r="M398" s="2825" t="str">
        <f t="shared" si="33"/>
        <v/>
      </c>
      <c r="N398" s="2827"/>
      <c r="O398" s="481"/>
      <c r="P398" s="485"/>
      <c r="AP398" s="1135" t="s">
        <v>2593</v>
      </c>
    </row>
    <row r="399" spans="3:42">
      <c r="C399" s="485"/>
      <c r="D399" s="485"/>
      <c r="E399" s="1189">
        <f t="shared" si="29"/>
        <v>5</v>
      </c>
      <c r="F399" s="2823" t="str">
        <f t="shared" si="30"/>
        <v/>
      </c>
      <c r="G399" s="2824"/>
      <c r="H399" s="2825" t="str">
        <f t="shared" si="31"/>
        <v/>
      </c>
      <c r="I399" s="2826"/>
      <c r="J399" s="2825" t="str">
        <f t="shared" si="32"/>
        <v/>
      </c>
      <c r="K399" s="2827"/>
      <c r="L399" s="2826"/>
      <c r="M399" s="2825" t="str">
        <f t="shared" si="33"/>
        <v/>
      </c>
      <c r="N399" s="2827"/>
      <c r="O399" s="481"/>
      <c r="P399" s="485"/>
      <c r="AP399" s="1135" t="s">
        <v>2594</v>
      </c>
    </row>
    <row r="400" spans="3:42">
      <c r="C400" s="485"/>
      <c r="D400" s="485"/>
      <c r="E400" s="1189">
        <f t="shared" si="29"/>
        <v>6</v>
      </c>
      <c r="F400" s="2823" t="str">
        <f t="shared" si="30"/>
        <v/>
      </c>
      <c r="G400" s="2824"/>
      <c r="H400" s="2825" t="str">
        <f t="shared" si="31"/>
        <v/>
      </c>
      <c r="I400" s="2826"/>
      <c r="J400" s="2825" t="str">
        <f t="shared" si="32"/>
        <v/>
      </c>
      <c r="K400" s="2827"/>
      <c r="L400" s="2826"/>
      <c r="M400" s="2825" t="str">
        <f t="shared" si="33"/>
        <v/>
      </c>
      <c r="N400" s="2827"/>
      <c r="O400" s="481"/>
      <c r="P400" s="485"/>
      <c r="AP400" s="1135" t="s">
        <v>2595</v>
      </c>
    </row>
    <row r="401" spans="2:42">
      <c r="B401" s="1124"/>
      <c r="C401" s="485"/>
      <c r="D401" s="485"/>
      <c r="E401" s="1189">
        <f t="shared" si="29"/>
        <v>7</v>
      </c>
      <c r="F401" s="2823" t="str">
        <f t="shared" si="30"/>
        <v/>
      </c>
      <c r="G401" s="2824"/>
      <c r="H401" s="2825" t="str">
        <f t="shared" si="31"/>
        <v/>
      </c>
      <c r="I401" s="2826"/>
      <c r="J401" s="2825" t="str">
        <f t="shared" si="32"/>
        <v/>
      </c>
      <c r="K401" s="2827"/>
      <c r="L401" s="2826"/>
      <c r="M401" s="2825" t="str">
        <f t="shared" si="33"/>
        <v/>
      </c>
      <c r="N401" s="2827"/>
      <c r="O401" s="481"/>
      <c r="P401" s="485"/>
      <c r="AP401" s="1135" t="s">
        <v>2596</v>
      </c>
    </row>
    <row r="402" spans="2:42">
      <c r="B402" s="1124"/>
      <c r="C402" s="485"/>
      <c r="D402" s="485"/>
      <c r="E402" s="1189">
        <f t="shared" si="29"/>
        <v>8</v>
      </c>
      <c r="F402" s="2823" t="str">
        <f t="shared" si="30"/>
        <v/>
      </c>
      <c r="G402" s="2824"/>
      <c r="H402" s="2825" t="str">
        <f t="shared" si="31"/>
        <v/>
      </c>
      <c r="I402" s="2826"/>
      <c r="J402" s="2825" t="str">
        <f t="shared" si="32"/>
        <v/>
      </c>
      <c r="K402" s="2827"/>
      <c r="L402" s="2826"/>
      <c r="M402" s="2825" t="str">
        <f t="shared" si="33"/>
        <v/>
      </c>
      <c r="N402" s="2827"/>
      <c r="O402" s="481"/>
      <c r="P402" s="485"/>
      <c r="AP402" s="1135" t="s">
        <v>2597</v>
      </c>
    </row>
    <row r="403" spans="2:42">
      <c r="B403" s="1124"/>
      <c r="C403" s="485"/>
      <c r="D403" s="485"/>
      <c r="E403" s="1189">
        <f t="shared" si="29"/>
        <v>9</v>
      </c>
      <c r="F403" s="2823" t="str">
        <f t="shared" si="30"/>
        <v/>
      </c>
      <c r="G403" s="2824"/>
      <c r="H403" s="2825" t="str">
        <f t="shared" si="31"/>
        <v/>
      </c>
      <c r="I403" s="2826"/>
      <c r="J403" s="2825" t="str">
        <f t="shared" si="32"/>
        <v/>
      </c>
      <c r="K403" s="2827"/>
      <c r="L403" s="2826"/>
      <c r="M403" s="2825" t="str">
        <f t="shared" si="33"/>
        <v/>
      </c>
      <c r="N403" s="2827"/>
      <c r="O403" s="481"/>
      <c r="P403" s="485"/>
      <c r="AP403" s="1135" t="s">
        <v>2598</v>
      </c>
    </row>
    <row r="404" spans="2:42">
      <c r="B404" s="1124"/>
      <c r="C404" s="485"/>
      <c r="D404" s="485"/>
      <c r="E404" s="1190">
        <f t="shared" si="29"/>
        <v>10</v>
      </c>
      <c r="F404" s="2818" t="str">
        <f t="shared" si="30"/>
        <v/>
      </c>
      <c r="G404" s="2819"/>
      <c r="H404" s="2820" t="str">
        <f t="shared" si="31"/>
        <v/>
      </c>
      <c r="I404" s="2821"/>
      <c r="J404" s="2820" t="str">
        <f t="shared" si="32"/>
        <v/>
      </c>
      <c r="K404" s="2822"/>
      <c r="L404" s="2821"/>
      <c r="M404" s="2820" t="str">
        <f t="shared" si="33"/>
        <v/>
      </c>
      <c r="N404" s="2822"/>
      <c r="O404" s="481"/>
      <c r="P404" s="485"/>
      <c r="AP404" s="1135" t="s">
        <v>2599</v>
      </c>
    </row>
    <row r="405" spans="2:42" ht="5.0999999999999996" customHeight="1">
      <c r="B405" s="1124"/>
      <c r="C405" s="485"/>
      <c r="D405" s="485"/>
      <c r="E405" s="467"/>
      <c r="F405" s="467"/>
      <c r="G405" s="467"/>
      <c r="H405" s="467"/>
      <c r="I405" s="467"/>
      <c r="J405" s="467"/>
      <c r="K405" s="467"/>
      <c r="L405" s="467"/>
      <c r="M405" s="481"/>
      <c r="N405" s="481"/>
      <c r="O405" s="481"/>
      <c r="P405" s="485"/>
      <c r="AP405" s="1135"/>
    </row>
    <row r="406" spans="2:42" ht="5.0999999999999996" customHeight="1">
      <c r="B406" s="467"/>
      <c r="C406" s="467"/>
      <c r="D406" s="466"/>
      <c r="E406" s="467"/>
      <c r="F406" s="467"/>
      <c r="G406" s="467"/>
      <c r="H406" s="467"/>
      <c r="I406" s="467"/>
      <c r="J406" s="467"/>
      <c r="K406" s="467"/>
      <c r="L406" s="467"/>
      <c r="M406" s="481"/>
      <c r="N406" s="481"/>
      <c r="O406" s="481"/>
      <c r="P406" s="485"/>
      <c r="Q406" s="1137"/>
      <c r="R406" s="1137"/>
      <c r="S406" s="1137"/>
      <c r="T406" s="1137"/>
    </row>
    <row r="407" spans="2:42">
      <c r="B407" s="1124"/>
      <c r="C407" s="485"/>
      <c r="D407" s="2419" t="s">
        <v>1014</v>
      </c>
      <c r="E407" s="2419"/>
      <c r="F407" s="2419"/>
      <c r="G407" s="2419"/>
      <c r="H407" s="2419"/>
      <c r="I407" s="2419"/>
      <c r="J407" s="2419"/>
      <c r="K407" s="2419"/>
      <c r="L407" s="2419"/>
      <c r="M407" s="2419"/>
      <c r="N407" s="2419"/>
      <c r="O407" s="481"/>
      <c r="P407" s="485"/>
    </row>
    <row r="408" spans="2:42">
      <c r="B408" s="1124"/>
      <c r="C408" s="1124"/>
      <c r="D408" s="1124"/>
      <c r="E408" s="1124"/>
      <c r="F408" s="1124"/>
      <c r="G408" s="1124"/>
      <c r="H408" s="1124"/>
      <c r="I408" s="1124"/>
      <c r="J408" s="1124"/>
      <c r="K408" s="1124"/>
      <c r="L408" s="1124"/>
      <c r="M408" s="1124"/>
      <c r="N408" s="1124"/>
      <c r="O408" s="481"/>
      <c r="P408" s="485"/>
    </row>
    <row r="409" spans="2:42" hidden="1">
      <c r="B409" s="1198" t="s">
        <v>873</v>
      </c>
      <c r="C409" s="1198" t="s">
        <v>873</v>
      </c>
      <c r="D409" s="1198" t="s">
        <v>873</v>
      </c>
      <c r="E409" s="1198" t="s">
        <v>873</v>
      </c>
      <c r="F409" s="1198" t="s">
        <v>873</v>
      </c>
      <c r="G409" s="1198" t="s">
        <v>873</v>
      </c>
      <c r="H409" s="1198" t="s">
        <v>873</v>
      </c>
      <c r="I409" s="1198" t="s">
        <v>873</v>
      </c>
      <c r="J409" s="1198" t="s">
        <v>873</v>
      </c>
      <c r="K409" s="1198" t="s">
        <v>873</v>
      </c>
      <c r="L409" s="1198" t="s">
        <v>873</v>
      </c>
      <c r="M409" s="1198" t="s">
        <v>873</v>
      </c>
      <c r="N409" s="1198" t="s">
        <v>873</v>
      </c>
      <c r="O409" s="1198" t="s">
        <v>873</v>
      </c>
      <c r="P409" s="1198" t="s">
        <v>873</v>
      </c>
      <c r="Q409" s="1118" t="s">
        <v>873</v>
      </c>
      <c r="R409" s="1118" t="s">
        <v>873</v>
      </c>
      <c r="S409" s="1118" t="s">
        <v>873</v>
      </c>
      <c r="T409" s="1118" t="s">
        <v>873</v>
      </c>
      <c r="U409" s="1118" t="s">
        <v>873</v>
      </c>
      <c r="V409" s="1118" t="s">
        <v>873</v>
      </c>
      <c r="W409" s="1118" t="s">
        <v>873</v>
      </c>
      <c r="X409" s="1118" t="s">
        <v>873</v>
      </c>
      <c r="Y409" s="1118" t="s">
        <v>873</v>
      </c>
    </row>
    <row r="410" spans="2:42" hidden="1">
      <c r="B410" s="1116"/>
      <c r="C410" s="1116"/>
      <c r="D410" s="1116"/>
      <c r="E410" s="1116"/>
      <c r="F410" s="1116"/>
      <c r="G410" s="1116"/>
      <c r="H410" s="1116"/>
      <c r="I410" s="1116"/>
      <c r="J410" s="1116"/>
      <c r="K410" s="1116"/>
      <c r="L410" s="1116"/>
      <c r="M410" s="1116"/>
      <c r="N410" s="1116"/>
      <c r="O410" s="1116"/>
    </row>
    <row r="411" spans="2:42" ht="13.5" hidden="1" thickBot="1">
      <c r="B411" s="1116"/>
      <c r="C411" s="1116"/>
      <c r="D411" s="483" t="s">
        <v>874</v>
      </c>
      <c r="E411" s="1116"/>
      <c r="F411" s="1116"/>
      <c r="G411" s="1116"/>
      <c r="H411" s="1116"/>
      <c r="I411" s="1116" t="s">
        <v>378</v>
      </c>
      <c r="J411" s="1116"/>
      <c r="K411" s="1116"/>
      <c r="L411" s="1116"/>
      <c r="M411" s="1116"/>
      <c r="N411" s="1116"/>
      <c r="O411" s="1116"/>
    </row>
    <row r="412" spans="2:42" hidden="1">
      <c r="B412" s="1116"/>
      <c r="C412" s="1116"/>
      <c r="D412" s="483"/>
      <c r="E412" s="1199" t="s">
        <v>545</v>
      </c>
      <c r="F412" s="1200"/>
      <c r="G412" s="1200"/>
      <c r="H412" s="1200"/>
      <c r="I412" s="1200"/>
      <c r="J412" s="1200"/>
      <c r="K412" s="1200"/>
      <c r="L412" s="1200"/>
      <c r="M412" s="1200"/>
      <c r="N412" s="1201"/>
      <c r="O412" s="1116"/>
    </row>
    <row r="413" spans="2:42" hidden="1">
      <c r="B413" s="1116"/>
      <c r="C413" s="1116"/>
      <c r="D413" s="1116"/>
      <c r="E413" s="1202" t="s">
        <v>877</v>
      </c>
      <c r="F413" s="1203"/>
      <c r="G413" s="1203"/>
      <c r="H413" s="1204"/>
      <c r="I413" s="1204"/>
      <c r="J413" s="1204">
        <v>1</v>
      </c>
      <c r="K413" s="1204">
        <v>2</v>
      </c>
      <c r="L413" s="1204">
        <v>3</v>
      </c>
      <c r="M413" s="1204">
        <v>4</v>
      </c>
      <c r="N413" s="1205">
        <v>5</v>
      </c>
      <c r="O413" s="1116"/>
    </row>
    <row r="414" spans="2:42" hidden="1">
      <c r="B414" s="1116"/>
      <c r="C414" s="1116"/>
      <c r="D414" s="1116"/>
      <c r="E414" s="1206" t="s">
        <v>1132</v>
      </c>
      <c r="F414" s="1203"/>
      <c r="G414" s="1203"/>
      <c r="H414" s="1204">
        <f>I414-1</f>
        <v>2019</v>
      </c>
      <c r="I414" s="1204">
        <f>J414-1</f>
        <v>2020</v>
      </c>
      <c r="J414" s="1204">
        <f>INDEX(EUconst_ReportingYears,J413)</f>
        <v>2021</v>
      </c>
      <c r="K414" s="1204">
        <f>INDEX(EUconst_ReportingYears,K413)</f>
        <v>2022</v>
      </c>
      <c r="L414" s="1204">
        <f>INDEX(EUconst_ReportingYears,L413)</f>
        <v>2023</v>
      </c>
      <c r="M414" s="1204">
        <f>INDEX(EUconst_ReportingYears,M413)</f>
        <v>2024</v>
      </c>
      <c r="N414" s="1205">
        <f>INDEX(EUconst_ReportingYears,N413)</f>
        <v>2025</v>
      </c>
      <c r="O414" s="1116"/>
    </row>
    <row r="415" spans="2:42" hidden="1">
      <c r="B415" s="1116"/>
      <c r="C415" s="1116"/>
      <c r="D415" s="1116"/>
      <c r="E415" s="1206" t="s">
        <v>1131</v>
      </c>
      <c r="F415" s="1207"/>
      <c r="G415" s="1207"/>
      <c r="H415" s="1208">
        <f>I415-1</f>
        <v>2024</v>
      </c>
      <c r="I415" s="1208">
        <f>J415-1</f>
        <v>2025</v>
      </c>
      <c r="J415" s="1208">
        <f>IF(CNTR_SubPeriod=EUconst_NA,J414,INDEX(EUconst_ReportingYears,J413)+(CNTR_SubPeriod-1)*5)</f>
        <v>2026</v>
      </c>
      <c r="K415" s="1208">
        <f>IF(CNTR_SubPeriod=EUconst_NA,K414,INDEX(EUconst_ReportingYears,K413)+(CNTR_SubPeriod-1)*5)</f>
        <v>2027</v>
      </c>
      <c r="L415" s="1208">
        <f>IF(CNTR_SubPeriod=EUconst_NA,L414,INDEX(EUconst_ReportingYears,L413)+(CNTR_SubPeriod-1)*5)</f>
        <v>2028</v>
      </c>
      <c r="M415" s="1208">
        <f>IF(CNTR_SubPeriod=EUconst_NA,M414,INDEX(EUconst_ReportingYears,M413)+(CNTR_SubPeriod-1)*5)</f>
        <v>2029</v>
      </c>
      <c r="N415" s="1209">
        <f>IF(CNTR_SubPeriod=EUconst_NA,N414,INDEX(EUconst_ReportingYears,N413)+(CNTR_SubPeriod-1)*5)</f>
        <v>2030</v>
      </c>
      <c r="O415" s="1116"/>
    </row>
    <row r="416" spans="2:42" hidden="1">
      <c r="B416" s="1116"/>
      <c r="C416" s="1116"/>
      <c r="D416" s="1116"/>
      <c r="E416" s="1206" t="s">
        <v>544</v>
      </c>
      <c r="F416" s="1207"/>
      <c r="G416" s="1207"/>
      <c r="H416" s="1207"/>
      <c r="I416" s="1207"/>
      <c r="J416" s="1208">
        <v>1</v>
      </c>
      <c r="K416" s="1208">
        <v>1</v>
      </c>
      <c r="L416" s="1208">
        <v>1</v>
      </c>
      <c r="M416" s="1208">
        <v>1</v>
      </c>
      <c r="N416" s="1209">
        <v>1</v>
      </c>
      <c r="O416" s="1116"/>
    </row>
    <row r="417" spans="2:15" hidden="1">
      <c r="B417" s="1116"/>
      <c r="C417" s="1116"/>
      <c r="D417" s="1116"/>
      <c r="E417" s="1206" t="s">
        <v>2541</v>
      </c>
      <c r="F417" s="1207"/>
      <c r="G417" s="1207"/>
      <c r="H417" s="1210" t="b">
        <v>1</v>
      </c>
      <c r="I417" s="1210" t="b">
        <v>1</v>
      </c>
      <c r="J417" s="1210" t="b">
        <v>1</v>
      </c>
      <c r="K417" s="1210" t="b">
        <v>1</v>
      </c>
      <c r="L417" s="1210" t="b">
        <v>1</v>
      </c>
      <c r="M417" s="1210" t="b">
        <v>1</v>
      </c>
      <c r="N417" s="1211" t="b">
        <v>1</v>
      </c>
      <c r="O417" s="1116"/>
    </row>
    <row r="418" spans="2:15" ht="13.5" hidden="1" thickBot="1">
      <c r="B418" s="1116"/>
      <c r="C418" s="1116"/>
      <c r="D418" s="1116"/>
      <c r="E418" s="1212" t="s">
        <v>543</v>
      </c>
      <c r="F418" s="1213"/>
      <c r="G418" s="1213"/>
      <c r="H418" s="1214" t="b">
        <f t="shared" ref="H418:N418" si="34">IF(CNTR_HasEntries_A_I,H415&lt;=MAX(CNTR_ReportingYear,2021+(CNTR_SubPeriod-1)*5),TRUE)</f>
        <v>1</v>
      </c>
      <c r="I418" s="1214" t="b">
        <f t="shared" si="34"/>
        <v>1</v>
      </c>
      <c r="J418" s="1214" t="b">
        <f t="shared" si="34"/>
        <v>1</v>
      </c>
      <c r="K418" s="1214" t="b">
        <f t="shared" si="34"/>
        <v>1</v>
      </c>
      <c r="L418" s="1214" t="b">
        <f t="shared" si="34"/>
        <v>1</v>
      </c>
      <c r="M418" s="1214" t="b">
        <f t="shared" si="34"/>
        <v>1</v>
      </c>
      <c r="N418" s="1215" t="b">
        <f t="shared" si="34"/>
        <v>1</v>
      </c>
      <c r="O418" s="1116"/>
    </row>
    <row r="419" spans="2:15" ht="13.5" hidden="1" thickBot="1">
      <c r="B419" s="1116"/>
      <c r="C419" s="1116"/>
      <c r="D419" s="1116"/>
      <c r="E419" s="1116"/>
      <c r="F419" s="1116"/>
      <c r="G419" s="1116"/>
      <c r="H419" s="1116"/>
      <c r="I419" s="483"/>
      <c r="J419" s="483"/>
      <c r="K419" s="483"/>
      <c r="L419" s="483"/>
      <c r="M419" s="483"/>
      <c r="N419" s="483"/>
      <c r="O419" s="1116"/>
    </row>
    <row r="420" spans="2:15" ht="13.5" hidden="1" thickBot="1">
      <c r="B420" s="1116"/>
      <c r="C420" s="1116"/>
      <c r="D420" s="1116"/>
      <c r="E420" s="483" t="s">
        <v>797</v>
      </c>
      <c r="F420" s="1116"/>
      <c r="G420" s="1216" t="b">
        <f>0&lt;(SUM(LEN(J14)+LEN(J21)))</f>
        <v>0</v>
      </c>
      <c r="H420" s="1116" t="s">
        <v>798</v>
      </c>
      <c r="I420" s="483"/>
      <c r="J420" s="483"/>
      <c r="K420" s="483"/>
      <c r="L420" s="483"/>
      <c r="M420" s="483"/>
      <c r="N420" s="483"/>
      <c r="O420" s="1116"/>
    </row>
    <row r="421" spans="2:15" hidden="1">
      <c r="B421" s="1116"/>
      <c r="C421" s="1116"/>
      <c r="D421" s="1116"/>
      <c r="E421" s="1116"/>
      <c r="F421" s="1116"/>
      <c r="G421" s="1217"/>
      <c r="H421" s="1116"/>
      <c r="I421" s="483"/>
      <c r="J421" s="483"/>
      <c r="K421" s="483"/>
      <c r="L421" s="483"/>
      <c r="M421" s="483"/>
      <c r="N421" s="483"/>
      <c r="O421" s="1116"/>
    </row>
    <row r="422" spans="2:15" hidden="1">
      <c r="B422" s="1116"/>
      <c r="C422" s="1116"/>
      <c r="D422" s="1116"/>
      <c r="E422" s="1116"/>
      <c r="F422" s="1116"/>
      <c r="G422" s="1116"/>
      <c r="H422" s="1116"/>
      <c r="I422" s="1116"/>
      <c r="J422" s="1116"/>
      <c r="K422" s="1116"/>
      <c r="L422" s="1116"/>
      <c r="M422" s="1116"/>
      <c r="N422" s="1116"/>
      <c r="O422" s="1116"/>
    </row>
    <row r="423" spans="2:15" ht="13.5" hidden="1" thickBot="1">
      <c r="B423" s="1116"/>
      <c r="C423" s="1116"/>
      <c r="D423" s="1116"/>
      <c r="E423" s="483" t="s">
        <v>621</v>
      </c>
      <c r="F423" s="1116"/>
      <c r="G423" s="1116"/>
      <c r="H423" s="1116"/>
      <c r="I423" s="1116"/>
      <c r="J423" s="1116"/>
      <c r="K423" s="1116"/>
      <c r="L423" s="1116"/>
      <c r="M423" s="1116"/>
      <c r="N423" s="1116"/>
      <c r="O423" s="1116"/>
    </row>
    <row r="424" spans="2:15" hidden="1">
      <c r="B424" s="1116"/>
      <c r="C424" s="1116"/>
      <c r="D424" s="1116"/>
      <c r="E424" s="1218"/>
      <c r="F424" s="1219" t="s">
        <v>622</v>
      </c>
      <c r="G424" s="1220" t="s">
        <v>623</v>
      </c>
      <c r="H424" s="1219" t="s">
        <v>624</v>
      </c>
      <c r="I424" s="1219"/>
      <c r="J424" s="1221" t="s">
        <v>1361</v>
      </c>
      <c r="K424" s="1222" t="s">
        <v>525</v>
      </c>
      <c r="L424" s="1223"/>
      <c r="M424" s="1219"/>
      <c r="N424" s="1224"/>
      <c r="O424" s="1116"/>
    </row>
    <row r="425" spans="2:15" hidden="1">
      <c r="B425" s="1116"/>
      <c r="C425" s="1116"/>
      <c r="D425" s="1116"/>
      <c r="E425" s="1202">
        <v>0</v>
      </c>
      <c r="F425" s="1225"/>
      <c r="G425" s="1226"/>
      <c r="H425" s="1227" t="str">
        <f>EUconst_WithinInst</f>
        <v>Within installation</v>
      </c>
      <c r="I425" s="1225"/>
      <c r="J425" s="1203"/>
      <c r="K425" s="1203"/>
      <c r="L425" s="1228"/>
      <c r="M425" s="1225"/>
      <c r="N425" s="1229"/>
      <c r="O425" s="1116"/>
    </row>
    <row r="426" spans="2:15" hidden="1">
      <c r="B426" s="1116"/>
      <c r="C426" s="1116"/>
      <c r="D426" s="1116"/>
      <c r="E426" s="1230">
        <v>1</v>
      </c>
      <c r="F426" s="1231" t="str">
        <f>IF(ISNUMBER(MATCH($E426,A_InstallationData!$R$383:$R$392,0)),MATCH($E426,A_InstallationData!$R$383:$R$392,0),EUconst_NA)</f>
        <v>N.A.</v>
      </c>
      <c r="G426" s="1232" t="str">
        <f>IFERROR(IF(AND(ISNUMBER($F426),NOT(ISBLANK(INDEX(A_InstallationData!$K$383:$K$392,$F426)))),INDEX(EUconst_ConnectionShortTypes,MATCH(INDEX(A_InstallationData!$K$383:$K$392,$F426),EUconst_ConnectionTypes,0)),EUconst_NA),EUconst_ERR_LinkToNIMs)</f>
        <v>N.A.</v>
      </c>
      <c r="H426" s="1233" t="str">
        <f>IF(NOT(ISNUMBER(F426)),EUconst_NA,CONCATENATE(INDEX(A_InstallationData!$F$383:$F$392,$F426),": ",G426," ",IF(ISBLANK(INDEX(A_InstallationData!$M$383:$M$392,$F426)),EUconst_NA,INDEX(A_InstallationData!$M$383:$M$392,$F426))))</f>
        <v>N.A.</v>
      </c>
      <c r="I426" s="1116"/>
      <c r="J426" s="1234" t="str">
        <f>IF(ISNUMBER($F426),IF(ISBLANK(INDEX(A_InstallationData!$F$395:$F$404,$F426)),"",INDEX(A_InstallationData!$F$395:$F$404,$F426)),"")</f>
        <v/>
      </c>
      <c r="K426" s="1234" t="str">
        <f>IF(ISNUMBER($F426),IF(ISBLANK(INDEX(A_InstallationData!$I$383:$I$392,$F426)),"",INDEX(A_InstallationData!$I$383:$I$392,$F426)),"")</f>
        <v/>
      </c>
      <c r="L426" s="1235"/>
      <c r="M426" s="1116"/>
      <c r="N426" s="1236"/>
      <c r="O426" s="1116"/>
    </row>
    <row r="427" spans="2:15" hidden="1">
      <c r="B427" s="1116"/>
      <c r="C427" s="1116"/>
      <c r="D427" s="1116"/>
      <c r="E427" s="1230">
        <f>E426+1</f>
        <v>2</v>
      </c>
      <c r="F427" s="1231" t="str">
        <f>IF(ISNUMBER(MATCH($E427,A_InstallationData!$R$383:$R$392,0)),MATCH($E427,A_InstallationData!$R$383:$R$392,0),EUconst_NA)</f>
        <v>N.A.</v>
      </c>
      <c r="G427" s="1232" t="str">
        <f>IFERROR(IF(AND(ISNUMBER($F427),NOT(ISBLANK(INDEX(A_InstallationData!$K$383:$K$392,$F427)))),INDEX(EUconst_ConnectionShortTypes,MATCH(INDEX(A_InstallationData!$K$383:$K$392,$F427),EUconst_ConnectionTypes,0)),EUconst_NA),EUconst_ERR_LinkToNIMs)</f>
        <v>N.A.</v>
      </c>
      <c r="H427" s="1233" t="str">
        <f>IF(NOT(ISNUMBER(F427)),EUconst_NA,CONCATENATE(INDEX(A_InstallationData!$F$383:$F$392,$F427),": ",G427," ",IF(ISBLANK(INDEX(A_InstallationData!$M$383:$M$392,$F427)),EUconst_NA,INDEX(A_InstallationData!$M$383:$M$392,$F427))))</f>
        <v>N.A.</v>
      </c>
      <c r="I427" s="1116"/>
      <c r="J427" s="1234" t="str">
        <f>IF(ISNUMBER($F427),IF(ISBLANK(INDEX(A_InstallationData!$F$395:$F$404,$F427)),"",INDEX(A_InstallationData!$F$395:$F$404,$F427)),"")</f>
        <v/>
      </c>
      <c r="K427" s="1234" t="str">
        <f>IF(ISNUMBER($F427),IF(ISBLANK(INDEX(A_InstallationData!$I$383:$I$392,$F427)),"",INDEX(A_InstallationData!$I$383:$I$392,$F427)),"")</f>
        <v/>
      </c>
      <c r="L427" s="1235"/>
      <c r="M427" s="1116"/>
      <c r="N427" s="1236"/>
      <c r="O427" s="1116"/>
    </row>
    <row r="428" spans="2:15" hidden="1">
      <c r="B428" s="1116"/>
      <c r="C428" s="1116"/>
      <c r="D428" s="1116"/>
      <c r="E428" s="1230">
        <f t="shared" ref="E428:E435" si="35">E427+1</f>
        <v>3</v>
      </c>
      <c r="F428" s="1231" t="str">
        <f>IF(ISNUMBER(MATCH($E428,A_InstallationData!$R$383:$R$392,0)),MATCH($E428,A_InstallationData!$R$383:$R$392,0),EUconst_NA)</f>
        <v>N.A.</v>
      </c>
      <c r="G428" s="1232" t="str">
        <f>IFERROR(IF(AND(ISNUMBER($F428),NOT(ISBLANK(INDEX(A_InstallationData!$K$383:$K$392,$F428)))),INDEX(EUconst_ConnectionShortTypes,MATCH(INDEX(A_InstallationData!$K$383:$K$392,$F428),EUconst_ConnectionTypes,0)),EUconst_NA),EUconst_ERR_LinkToNIMs)</f>
        <v>N.A.</v>
      </c>
      <c r="H428" s="1233" t="str">
        <f>IF(NOT(ISNUMBER(F428)),EUconst_NA,CONCATENATE(INDEX(A_InstallationData!$F$383:$F$392,$F428),": ",G428," ",IF(ISBLANK(INDEX(A_InstallationData!$M$383:$M$392,$F428)),EUconst_NA,INDEX(A_InstallationData!$M$383:$M$392,$F428))))</f>
        <v>N.A.</v>
      </c>
      <c r="I428" s="1116"/>
      <c r="J428" s="1234" t="str">
        <f>IF(ISNUMBER($F428),IF(ISBLANK(INDEX(A_InstallationData!$F$395:$F$404,$F428)),"",INDEX(A_InstallationData!$F$395:$F$404,$F428)),"")</f>
        <v/>
      </c>
      <c r="K428" s="1234" t="str">
        <f>IF(ISNUMBER($F428),IF(ISBLANK(INDEX(A_InstallationData!$I$383:$I$392,$F428)),"",INDEX(A_InstallationData!$I$383:$I$392,$F428)),"")</f>
        <v/>
      </c>
      <c r="L428" s="1235"/>
      <c r="M428" s="1116"/>
      <c r="N428" s="1236"/>
      <c r="O428" s="1116"/>
    </row>
    <row r="429" spans="2:15" hidden="1">
      <c r="B429" s="1116"/>
      <c r="C429" s="1116"/>
      <c r="D429" s="1116"/>
      <c r="E429" s="1230">
        <f t="shared" si="35"/>
        <v>4</v>
      </c>
      <c r="F429" s="1231" t="str">
        <f>IF(ISNUMBER(MATCH($E429,A_InstallationData!$R$383:$R$392,0)),MATCH($E429,A_InstallationData!$R$383:$R$392,0),EUconst_NA)</f>
        <v>N.A.</v>
      </c>
      <c r="G429" s="1232" t="str">
        <f>IFERROR(IF(AND(ISNUMBER($F429),NOT(ISBLANK(INDEX(A_InstallationData!$K$383:$K$392,$F429)))),INDEX(EUconst_ConnectionShortTypes,MATCH(INDEX(A_InstallationData!$K$383:$K$392,$F429),EUconst_ConnectionTypes,0)),EUconst_NA),EUconst_ERR_LinkToNIMs)</f>
        <v>N.A.</v>
      </c>
      <c r="H429" s="1233" t="str">
        <f>IF(NOT(ISNUMBER(F429)),EUconst_NA,CONCATENATE(INDEX(A_InstallationData!$F$383:$F$392,$F429),": ",G429," ",IF(ISBLANK(INDEX(A_InstallationData!$M$383:$M$392,$F429)),EUconst_NA,INDEX(A_InstallationData!$M$383:$M$392,$F429))))</f>
        <v>N.A.</v>
      </c>
      <c r="I429" s="1116"/>
      <c r="J429" s="1234" t="str">
        <f>IF(ISNUMBER($F429),IF(ISBLANK(INDEX(A_InstallationData!$F$395:$F$404,$F429)),"",INDEX(A_InstallationData!$F$395:$F$404,$F429)),"")</f>
        <v/>
      </c>
      <c r="K429" s="1234" t="str">
        <f>IF(ISNUMBER($F429),IF(ISBLANK(INDEX(A_InstallationData!$I$383:$I$392,$F429)),"",INDEX(A_InstallationData!$I$383:$I$392,$F429)),"")</f>
        <v/>
      </c>
      <c r="L429" s="1235"/>
      <c r="M429" s="1116"/>
      <c r="N429" s="1236"/>
      <c r="O429" s="1116"/>
    </row>
    <row r="430" spans="2:15" hidden="1">
      <c r="B430" s="1116"/>
      <c r="C430" s="1116"/>
      <c r="D430" s="1116"/>
      <c r="E430" s="1230">
        <f t="shared" si="35"/>
        <v>5</v>
      </c>
      <c r="F430" s="1231" t="str">
        <f>IF(ISNUMBER(MATCH($E430,A_InstallationData!$R$383:$R$392,0)),MATCH($E430,A_InstallationData!$R$383:$R$392,0),EUconst_NA)</f>
        <v>N.A.</v>
      </c>
      <c r="G430" s="1232" t="str">
        <f>IFERROR(IF(AND(ISNUMBER($F430),NOT(ISBLANK(INDEX(A_InstallationData!$K$383:$K$392,$F430)))),INDEX(EUconst_ConnectionShortTypes,MATCH(INDEX(A_InstallationData!$K$383:$K$392,$F430),EUconst_ConnectionTypes,0)),EUconst_NA),EUconst_ERR_LinkToNIMs)</f>
        <v>N.A.</v>
      </c>
      <c r="H430" s="1233" t="str">
        <f>IF(NOT(ISNUMBER(F430)),EUconst_NA,CONCATENATE(INDEX(A_InstallationData!$F$383:$F$392,$F430),": ",G430," ",IF(ISBLANK(INDEX(A_InstallationData!$M$383:$M$392,$F430)),EUconst_NA,INDEX(A_InstallationData!$M$383:$M$392,$F430))))</f>
        <v>N.A.</v>
      </c>
      <c r="I430" s="1116"/>
      <c r="J430" s="1234" t="str">
        <f>IF(ISNUMBER($F430),IF(ISBLANK(INDEX(A_InstallationData!$F$395:$F$404,$F430)),"",INDEX(A_InstallationData!$F$395:$F$404,$F430)),"")</f>
        <v/>
      </c>
      <c r="K430" s="1234" t="str">
        <f>IF(ISNUMBER($F430),IF(ISBLANK(INDEX(A_InstallationData!$I$383:$I$392,$F430)),"",INDEX(A_InstallationData!$I$383:$I$392,$F430)),"")</f>
        <v/>
      </c>
      <c r="L430" s="1235"/>
      <c r="M430" s="1116"/>
      <c r="N430" s="1236"/>
      <c r="O430" s="1116"/>
    </row>
    <row r="431" spans="2:15" hidden="1">
      <c r="B431" s="1116"/>
      <c r="C431" s="1116"/>
      <c r="D431" s="1116"/>
      <c r="E431" s="1230">
        <f t="shared" si="35"/>
        <v>6</v>
      </c>
      <c r="F431" s="1231" t="str">
        <f>IF(ISNUMBER(MATCH($E431,A_InstallationData!$R$383:$R$392,0)),MATCH($E431,A_InstallationData!$R$383:$R$392,0),EUconst_NA)</f>
        <v>N.A.</v>
      </c>
      <c r="G431" s="1232" t="str">
        <f>IFERROR(IF(AND(ISNUMBER($F431),NOT(ISBLANK(INDEX(A_InstallationData!$K$383:$K$392,$F431)))),INDEX(EUconst_ConnectionShortTypes,MATCH(INDEX(A_InstallationData!$K$383:$K$392,$F431),EUconst_ConnectionTypes,0)),EUconst_NA),EUconst_ERR_LinkToNIMs)</f>
        <v>N.A.</v>
      </c>
      <c r="H431" s="1233" t="str">
        <f>IF(NOT(ISNUMBER(F431)),EUconst_NA,CONCATENATE(INDEX(A_InstallationData!$F$383:$F$392,$F431),": ",G431," ",IF(ISBLANK(INDEX(A_InstallationData!$M$383:$M$392,$F431)),EUconst_NA,INDEX(A_InstallationData!$M$383:$M$392,$F431))))</f>
        <v>N.A.</v>
      </c>
      <c r="I431" s="1116"/>
      <c r="J431" s="1234" t="str">
        <f>IF(ISNUMBER($F431),IF(ISBLANK(INDEX(A_InstallationData!$F$395:$F$404,$F431)),"",INDEX(A_InstallationData!$F$395:$F$404,$F431)),"")</f>
        <v/>
      </c>
      <c r="K431" s="1234" t="str">
        <f>IF(ISNUMBER($F431),IF(ISBLANK(INDEX(A_InstallationData!$I$383:$I$392,$F431)),"",INDEX(A_InstallationData!$I$383:$I$392,$F431)),"")</f>
        <v/>
      </c>
      <c r="L431" s="1235"/>
      <c r="M431" s="1116"/>
      <c r="N431" s="1236"/>
      <c r="O431" s="1116"/>
    </row>
    <row r="432" spans="2:15" hidden="1">
      <c r="B432" s="1116"/>
      <c r="C432" s="1116"/>
      <c r="D432" s="1116"/>
      <c r="E432" s="1230">
        <f t="shared" si="35"/>
        <v>7</v>
      </c>
      <c r="F432" s="1231" t="str">
        <f>IF(ISNUMBER(MATCH($E432,A_InstallationData!$R$383:$R$392,0)),MATCH($E432,A_InstallationData!$R$383:$R$392,0),EUconst_NA)</f>
        <v>N.A.</v>
      </c>
      <c r="G432" s="1232" t="str">
        <f>IFERROR(IF(AND(ISNUMBER($F432),NOT(ISBLANK(INDEX(A_InstallationData!$K$383:$K$392,$F432)))),INDEX(EUconst_ConnectionShortTypes,MATCH(INDEX(A_InstallationData!$K$383:$K$392,$F432),EUconst_ConnectionTypes,0)),EUconst_NA),EUconst_ERR_LinkToNIMs)</f>
        <v>N.A.</v>
      </c>
      <c r="H432" s="1233" t="str">
        <f>IF(NOT(ISNUMBER(F432)),EUconst_NA,CONCATENATE(INDEX(A_InstallationData!$F$383:$F$392,$F432),": ",G432," ",IF(ISBLANK(INDEX(A_InstallationData!$M$383:$M$392,$F432)),EUconst_NA,INDEX(A_InstallationData!$M$383:$M$392,$F432))))</f>
        <v>N.A.</v>
      </c>
      <c r="I432" s="1116"/>
      <c r="J432" s="1234" t="str">
        <f>IF(ISNUMBER($F432),IF(ISBLANK(INDEX(A_InstallationData!$F$395:$F$404,$F432)),"",INDEX(A_InstallationData!$F$395:$F$404,$F432)),"")</f>
        <v/>
      </c>
      <c r="K432" s="1234" t="str">
        <f>IF(ISNUMBER($F432),IF(ISBLANK(INDEX(A_InstallationData!$I$383:$I$392,$F432)),"",INDEX(A_InstallationData!$I$383:$I$392,$F432)),"")</f>
        <v/>
      </c>
      <c r="L432" s="1235"/>
      <c r="M432" s="1116"/>
      <c r="N432" s="1236"/>
      <c r="O432" s="1116"/>
    </row>
    <row r="433" spans="2:17" hidden="1">
      <c r="B433" s="1116"/>
      <c r="C433" s="1116"/>
      <c r="D433" s="1116"/>
      <c r="E433" s="1230">
        <f t="shared" si="35"/>
        <v>8</v>
      </c>
      <c r="F433" s="1231" t="str">
        <f>IF(ISNUMBER(MATCH($E433,A_InstallationData!$R$383:$R$392,0)),MATCH($E433,A_InstallationData!$R$383:$R$392,0),EUconst_NA)</f>
        <v>N.A.</v>
      </c>
      <c r="G433" s="1232" t="str">
        <f>IFERROR(IF(AND(ISNUMBER($F433),NOT(ISBLANK(INDEX(A_InstallationData!$K$383:$K$392,$F433)))),INDEX(EUconst_ConnectionShortTypes,MATCH(INDEX(A_InstallationData!$K$383:$K$392,$F433),EUconst_ConnectionTypes,0)),EUconst_NA),EUconst_ERR_LinkToNIMs)</f>
        <v>N.A.</v>
      </c>
      <c r="H433" s="1233" t="str">
        <f>IF(NOT(ISNUMBER(F433)),EUconst_NA,CONCATENATE(INDEX(A_InstallationData!$F$383:$F$392,$F433),": ",G433," ",IF(ISBLANK(INDEX(A_InstallationData!$M$383:$M$392,$F433)),EUconst_NA,INDEX(A_InstallationData!$M$383:$M$392,$F433))))</f>
        <v>N.A.</v>
      </c>
      <c r="I433" s="1116"/>
      <c r="J433" s="1234" t="str">
        <f>IF(ISNUMBER($F433),IF(ISBLANK(INDEX(A_InstallationData!$F$395:$F$404,$F433)),"",INDEX(A_InstallationData!$F$395:$F$404,$F433)),"")</f>
        <v/>
      </c>
      <c r="K433" s="1234" t="str">
        <f>IF(ISNUMBER($F433),IF(ISBLANK(INDEX(A_InstallationData!$I$383:$I$392,$F433)),"",INDEX(A_InstallationData!$I$383:$I$392,$F433)),"")</f>
        <v/>
      </c>
      <c r="L433" s="1235"/>
      <c r="M433" s="1116"/>
      <c r="N433" s="1236"/>
      <c r="O433" s="1116"/>
    </row>
    <row r="434" spans="2:17" hidden="1">
      <c r="B434" s="1116"/>
      <c r="C434" s="1116"/>
      <c r="D434" s="1116"/>
      <c r="E434" s="1230">
        <f t="shared" si="35"/>
        <v>9</v>
      </c>
      <c r="F434" s="1231" t="str">
        <f>IF(ISNUMBER(MATCH($E434,A_InstallationData!$R$383:$R$392,0)),MATCH($E434,A_InstallationData!$R$383:$R$392,0),EUconst_NA)</f>
        <v>N.A.</v>
      </c>
      <c r="G434" s="1232" t="str">
        <f>IFERROR(IF(AND(ISNUMBER($F434),NOT(ISBLANK(INDEX(A_InstallationData!$K$383:$K$392,$F434)))),INDEX(EUconst_ConnectionShortTypes,MATCH(INDEX(A_InstallationData!$K$383:$K$392,$F434),EUconst_ConnectionTypes,0)),EUconst_NA),EUconst_ERR_LinkToNIMs)</f>
        <v>N.A.</v>
      </c>
      <c r="H434" s="1233" t="str">
        <f>IF(NOT(ISNUMBER(F434)),EUconst_NA,CONCATENATE(INDEX(A_InstallationData!$F$383:$F$392,$F434),": ",G434," ",IF(ISBLANK(INDEX(A_InstallationData!$M$383:$M$392,$F434)),EUconst_NA,INDEX(A_InstallationData!$M$383:$M$392,$F434))))</f>
        <v>N.A.</v>
      </c>
      <c r="I434" s="1116"/>
      <c r="J434" s="1234" t="str">
        <f>IF(ISNUMBER($F434),IF(ISBLANK(INDEX(A_InstallationData!$F$395:$F$404,$F434)),"",INDEX(A_InstallationData!$F$395:$F$404,$F434)),"")</f>
        <v/>
      </c>
      <c r="K434" s="1234" t="str">
        <f>IF(ISNUMBER($F434),IF(ISBLANK(INDEX(A_InstallationData!$I$383:$I$392,$F434)),"",INDEX(A_InstallationData!$I$383:$I$392,$F434)),"")</f>
        <v/>
      </c>
      <c r="L434" s="1235"/>
      <c r="M434" s="1116"/>
      <c r="N434" s="1236"/>
      <c r="O434" s="1116"/>
    </row>
    <row r="435" spans="2:17" ht="13.5" hidden="1" thickBot="1">
      <c r="B435" s="1116"/>
      <c r="C435" s="1116"/>
      <c r="D435" s="1116"/>
      <c r="E435" s="1237">
        <f t="shared" si="35"/>
        <v>10</v>
      </c>
      <c r="F435" s="1238" t="str">
        <f>IF(ISNUMBER(MATCH($E435,A_InstallationData!$R$383:$R$392,0)),MATCH($E435,A_InstallationData!$R$383:$R$392,0),EUconst_NA)</f>
        <v>N.A.</v>
      </c>
      <c r="G435" s="1239" t="str">
        <f>IFERROR(IF(AND(ISNUMBER($F435),NOT(ISBLANK(INDEX(A_InstallationData!$K$383:$K$392,$F435)))),INDEX(EUconst_ConnectionShortTypes,MATCH(INDEX(A_InstallationData!$K$383:$K$392,$F435),EUconst_ConnectionTypes,0)),EUconst_NA),EUconst_ERR_LinkToNIMs)</f>
        <v>N.A.</v>
      </c>
      <c r="H435" s="1240" t="str">
        <f>IF(NOT(ISNUMBER(F435)),EUconst_NA,CONCATENATE(INDEX(A_InstallationData!$F$383:$F$392,$F435),": ",G435," ",IF(ISBLANK(INDEX(A_InstallationData!$M$383:$M$392,$F435)),EUconst_NA,INDEX(A_InstallationData!$M$383:$M$392,$F435))))</f>
        <v>N.A.</v>
      </c>
      <c r="I435" s="1241"/>
      <c r="J435" s="1242" t="str">
        <f>IF(ISNUMBER($F435),IF(ISBLANK(INDEX(A_InstallationData!$F$395:$F$404,$F435)),"",INDEX(A_InstallationData!$F$395:$F$404,$F435)),"")</f>
        <v/>
      </c>
      <c r="K435" s="1242" t="str">
        <f>IF(ISNUMBER($F435),IF(ISBLANK(INDEX(A_InstallationData!$I$383:$I$392,$F435)),"",INDEX(A_InstallationData!$I$383:$I$392,$F435)),"")</f>
        <v/>
      </c>
      <c r="L435" s="1243"/>
      <c r="M435" s="1241"/>
      <c r="N435" s="1244"/>
      <c r="O435" s="1116"/>
    </row>
    <row r="436" spans="2:17" hidden="1">
      <c r="B436" s="1116"/>
      <c r="C436" s="1116"/>
      <c r="D436" s="1116"/>
      <c r="E436" s="1116"/>
      <c r="F436" s="1116"/>
      <c r="G436" s="1116"/>
      <c r="H436" s="1116"/>
      <c r="I436" s="1116"/>
      <c r="J436" s="1116"/>
      <c r="K436" s="1116"/>
      <c r="L436" s="1116"/>
      <c r="M436" s="1116"/>
      <c r="N436" s="1116"/>
      <c r="O436" s="1116"/>
    </row>
    <row r="437" spans="2:17" hidden="1">
      <c r="B437" s="1116"/>
      <c r="C437" s="1116"/>
      <c r="D437" s="1116"/>
      <c r="E437" s="1116" t="s">
        <v>793</v>
      </c>
      <c r="F437" s="1116"/>
      <c r="G437" s="1116"/>
      <c r="H437" s="1116"/>
      <c r="I437" s="1116"/>
      <c r="J437" s="1116"/>
      <c r="K437" s="1116"/>
      <c r="L437" s="1116"/>
      <c r="M437" s="1116"/>
      <c r="N437" s="1116"/>
      <c r="O437" s="1116"/>
    </row>
    <row r="438" spans="2:17" hidden="1">
      <c r="B438" s="1116"/>
      <c r="C438" s="1116"/>
      <c r="D438" s="1116"/>
      <c r="E438" s="1116" t="s">
        <v>794</v>
      </c>
      <c r="F438" s="1116"/>
      <c r="G438" s="1245" t="b">
        <f>COUNTA(A_InstallationData!$F$354:$F$363)&gt;0</f>
        <v>0</v>
      </c>
      <c r="H438" s="1116"/>
      <c r="I438" s="1116"/>
      <c r="J438" s="1116"/>
      <c r="K438" s="1116"/>
      <c r="L438" s="1116"/>
      <c r="M438" s="1116"/>
      <c r="N438" s="1116"/>
      <c r="O438" s="1116"/>
    </row>
    <row r="439" spans="2:17" hidden="1">
      <c r="B439" s="1116"/>
      <c r="C439" s="1116"/>
      <c r="D439" s="1116"/>
      <c r="E439" s="1116"/>
      <c r="F439" s="1116"/>
      <c r="G439" s="1116"/>
      <c r="H439" s="1116"/>
      <c r="I439" s="1116"/>
      <c r="J439" s="1116"/>
      <c r="K439" s="1116"/>
      <c r="L439" s="1116"/>
      <c r="M439" s="1116"/>
      <c r="N439" s="1116"/>
      <c r="O439" s="1116"/>
    </row>
    <row r="440" spans="2:17" hidden="1">
      <c r="B440" s="1116"/>
      <c r="C440" s="1116"/>
      <c r="D440" s="1116"/>
      <c r="E440" s="1116"/>
      <c r="F440" s="1116"/>
      <c r="G440" s="1116"/>
      <c r="H440" s="1116"/>
      <c r="I440" s="1116"/>
      <c r="J440" s="1116"/>
      <c r="K440" s="1116"/>
      <c r="L440" s="1116"/>
      <c r="M440" s="1116"/>
      <c r="N440" s="1116"/>
      <c r="O440" s="1116"/>
    </row>
    <row r="441" spans="2:17" hidden="1">
      <c r="B441" s="1116"/>
      <c r="C441" s="1116"/>
      <c r="D441" s="1116"/>
      <c r="E441" s="1116" t="s">
        <v>795</v>
      </c>
      <c r="F441" s="1116"/>
      <c r="G441" s="1116"/>
      <c r="H441" s="1116"/>
      <c r="I441" s="1116"/>
      <c r="J441" s="1116"/>
      <c r="K441" s="1116"/>
      <c r="L441" s="1116"/>
      <c r="M441" s="1116"/>
      <c r="N441" s="1116"/>
      <c r="O441" s="1116"/>
      <c r="Q441" s="1118" t="str">
        <f>EUconst_ERR_LinkToNIMs</f>
        <v>Translation from NIMs file not successful. Please select manually!</v>
      </c>
    </row>
    <row r="442" spans="2:17" hidden="1">
      <c r="B442" s="1116"/>
      <c r="C442" s="1116"/>
      <c r="D442" s="1116"/>
      <c r="E442" s="1116"/>
      <c r="F442" s="618" t="s">
        <v>1965</v>
      </c>
      <c r="G442" s="1245" t="b">
        <f>OR(Y256,Y261,Y269,Y290)</f>
        <v>0</v>
      </c>
      <c r="H442" s="1116" t="s">
        <v>892</v>
      </c>
      <c r="I442" s="1116"/>
      <c r="J442" s="1116"/>
      <c r="K442" s="1116"/>
      <c r="L442" s="1116"/>
      <c r="M442" s="1116"/>
      <c r="N442" s="1116"/>
      <c r="O442" s="1116"/>
    </row>
    <row r="443" spans="2:17" hidden="1">
      <c r="B443" s="1116"/>
      <c r="C443" s="1116"/>
      <c r="D443" s="1116"/>
      <c r="E443" s="1116"/>
      <c r="F443" s="618" t="s">
        <v>1966</v>
      </c>
      <c r="G443" s="1245" t="b">
        <f>IF(CNTR_HasEntries_A_I,COUNTA(J11,J14,J21)&lt;3,FALSE)</f>
        <v>0</v>
      </c>
      <c r="H443" s="1116"/>
      <c r="I443" s="1116"/>
      <c r="J443" s="1116"/>
      <c r="K443" s="1116"/>
      <c r="L443" s="1116"/>
      <c r="M443" s="1116"/>
      <c r="N443" s="1116"/>
      <c r="O443" s="1116"/>
    </row>
    <row r="444" spans="2:17" hidden="1">
      <c r="B444" s="1116"/>
      <c r="C444" s="1116"/>
      <c r="D444" s="1116"/>
      <c r="E444" s="1116"/>
      <c r="F444" s="618" t="s">
        <v>1967</v>
      </c>
      <c r="G444" s="1245" t="b">
        <f>IF(CNTR_HasEntries_A_I,AND(Y31=FALSE,J31=""),FALSE)</f>
        <v>0</v>
      </c>
      <c r="H444" s="1116"/>
      <c r="I444" s="1116"/>
      <c r="J444" s="1116"/>
      <c r="K444" s="1116"/>
      <c r="L444" s="1116"/>
      <c r="M444" s="1116"/>
      <c r="N444" s="1116"/>
      <c r="O444" s="1116"/>
    </row>
    <row r="445" spans="2:17" hidden="1">
      <c r="B445" s="1116"/>
      <c r="C445" s="1116"/>
      <c r="D445" s="1116"/>
      <c r="E445" s="1116"/>
      <c r="F445" s="618" t="s">
        <v>1968</v>
      </c>
      <c r="G445" s="1245" t="b">
        <f>IF(CNTR_HasEntries_A_I,OR(J53="",J53=EUconst_ERR_LinkToNIMs,CNTR_UniqueID="",J72="",J80="",J88="",J120=""),FALSE)</f>
        <v>0</v>
      </c>
      <c r="H445" s="1116"/>
      <c r="I445" s="1116"/>
      <c r="J445" s="1116"/>
      <c r="K445" s="1116"/>
      <c r="L445" s="1116"/>
      <c r="M445" s="1116"/>
      <c r="N445" s="1116"/>
      <c r="O445" s="1116"/>
    </row>
    <row r="446" spans="2:17" hidden="1">
      <c r="B446" s="1116"/>
      <c r="C446" s="1116"/>
      <c r="D446" s="1116"/>
      <c r="E446" s="1116"/>
      <c r="F446" s="618" t="s">
        <v>1970</v>
      </c>
      <c r="G446" s="1245" t="b">
        <f>IF(CNTR_HasEntries_A_I,OR(J177="",J178="",J179=""),FALSE)</f>
        <v>0</v>
      </c>
      <c r="H446" s="1116"/>
      <c r="I446" s="1116"/>
      <c r="J446" s="1116"/>
      <c r="K446" s="1116"/>
      <c r="L446" s="1116"/>
      <c r="M446" s="1116"/>
      <c r="N446" s="1116"/>
      <c r="O446" s="1116"/>
    </row>
    <row r="447" spans="2:17" hidden="1">
      <c r="B447" s="1116"/>
      <c r="C447" s="1116"/>
      <c r="D447" s="1116"/>
      <c r="E447" s="1116"/>
      <c r="F447" s="618" t="s">
        <v>1971</v>
      </c>
      <c r="G447" s="1245" t="b">
        <f>IF(CNTR_HasEntries_A_I,OR(J191="",J199="",J205="",J206="",J207=""),FALSE)</f>
        <v>0</v>
      </c>
      <c r="H447" s="1116"/>
      <c r="I447" s="1116"/>
      <c r="J447" s="1116"/>
      <c r="K447" s="1116"/>
      <c r="L447" s="1116"/>
      <c r="M447" s="1116"/>
      <c r="N447" s="1116"/>
      <c r="O447" s="1116"/>
    </row>
    <row r="448" spans="2:17" hidden="1">
      <c r="B448" s="1116"/>
      <c r="C448" s="1116"/>
      <c r="D448" s="1116"/>
      <c r="E448" s="1116"/>
      <c r="F448" s="618" t="s">
        <v>1969</v>
      </c>
      <c r="G448" s="1245" t="b">
        <f>IF(CNTR_HasEntries_A_I,OR(F227="",COUNTIF(F227:N233,EUconst_ERR_LinkToNIMs)&gt;0),FALSE)</f>
        <v>0</v>
      </c>
      <c r="H448" s="1116"/>
      <c r="I448" s="1116"/>
      <c r="J448" s="1116"/>
      <c r="K448" s="1116"/>
      <c r="L448" s="1116"/>
      <c r="M448" s="1116"/>
      <c r="N448" s="1116"/>
      <c r="O448" s="1116"/>
    </row>
    <row r="449" spans="2:15" ht="13.5" hidden="1" thickBot="1">
      <c r="B449" s="1116"/>
      <c r="C449" s="1116"/>
      <c r="D449" s="1116"/>
      <c r="E449" s="1116"/>
      <c r="F449" s="618" t="s">
        <v>1972</v>
      </c>
      <c r="G449" s="1245" t="b">
        <f>OR(COUNTIF(F383:N392,EUconst_ERR_LinkToNIMs)&gt;0,COUNTIF(F395:N404,EUconst_ERR_LinkToNIMs)&gt;0)</f>
        <v>0</v>
      </c>
      <c r="H449" s="1116"/>
      <c r="I449" s="1116"/>
      <c r="J449" s="1116"/>
      <c r="K449" s="1116"/>
      <c r="L449" s="1116"/>
      <c r="M449" s="1116"/>
      <c r="N449" s="1116"/>
      <c r="O449" s="1116"/>
    </row>
    <row r="450" spans="2:15" ht="13.5" hidden="1" thickBot="1">
      <c r="B450" s="1116"/>
      <c r="C450" s="1116"/>
      <c r="D450" s="1116"/>
      <c r="E450" s="1116"/>
      <c r="F450" s="483" t="s">
        <v>796</v>
      </c>
      <c r="G450" s="576" t="b">
        <f>OR(G442:G444)</f>
        <v>0</v>
      </c>
      <c r="H450" s="1116"/>
      <c r="I450" s="1116"/>
      <c r="J450" s="1116"/>
      <c r="K450" s="1116"/>
      <c r="L450" s="1116"/>
      <c r="M450" s="1116"/>
      <c r="N450" s="1116"/>
      <c r="O450" s="1116"/>
    </row>
    <row r="451" spans="2:15" hidden="1">
      <c r="B451" s="1116"/>
      <c r="C451" s="1116"/>
      <c r="D451" s="1116"/>
      <c r="E451" s="1116"/>
      <c r="F451" s="1116"/>
      <c r="G451" s="1116"/>
      <c r="H451" s="1116"/>
      <c r="I451" s="1116"/>
      <c r="J451" s="1116"/>
      <c r="K451" s="1116"/>
      <c r="L451" s="1116"/>
      <c r="M451" s="1116"/>
      <c r="N451" s="1116"/>
      <c r="O451" s="1116"/>
    </row>
    <row r="452" spans="2:15" hidden="1">
      <c r="B452" s="1116"/>
      <c r="C452" s="1116"/>
      <c r="D452" s="1116"/>
      <c r="E452" s="1116"/>
      <c r="F452" s="1116"/>
      <c r="G452" s="1116"/>
      <c r="H452" s="1116"/>
      <c r="I452" s="1116"/>
      <c r="J452" s="1116"/>
      <c r="K452" s="1116"/>
      <c r="L452" s="1116"/>
      <c r="M452" s="1116"/>
      <c r="N452" s="1116"/>
      <c r="O452" s="1116"/>
    </row>
  </sheetData>
  <sheetProtection algorithmName="SHA-512" hashValue="NsWRGqGpKHo61yo3w/zDczEDUC8X/bAvQmw5f1ecPqeS2zoZLA2zHZ3K6kVBQUVDXVJLuhZdjGesBaux0nRanw==" saltValue="m/5GZkIY5kAd+ySZIrzEUg==" spinCount="100000" sheet="1" formatCells="0" formatColumns="0" formatRows="0" insertHyperlinks="0"/>
  <mergeCells count="635">
    <mergeCell ref="K41:L41"/>
    <mergeCell ref="E53:I53"/>
    <mergeCell ref="E58:I58"/>
    <mergeCell ref="J58:N58"/>
    <mergeCell ref="E59:N59"/>
    <mergeCell ref="E12:N12"/>
    <mergeCell ref="J11:L11"/>
    <mergeCell ref="E15:N15"/>
    <mergeCell ref="E30:N30"/>
    <mergeCell ref="F36:N36"/>
    <mergeCell ref="D51:N51"/>
    <mergeCell ref="B2:D4"/>
    <mergeCell ref="J14:L14"/>
    <mergeCell ref="F34:N34"/>
    <mergeCell ref="D6:N6"/>
    <mergeCell ref="E11:I11"/>
    <mergeCell ref="D10:N10"/>
    <mergeCell ref="D9:N9"/>
    <mergeCell ref="E19:N19"/>
    <mergeCell ref="F16:N16"/>
    <mergeCell ref="F17:N17"/>
    <mergeCell ref="E14:I14"/>
    <mergeCell ref="E28:N28"/>
    <mergeCell ref="J31:L31"/>
    <mergeCell ref="E29:N29"/>
    <mergeCell ref="E32:N32"/>
    <mergeCell ref="E31:I31"/>
    <mergeCell ref="E18:N18"/>
    <mergeCell ref="I2:J2"/>
    <mergeCell ref="K2:L2"/>
    <mergeCell ref="G2:H2"/>
    <mergeCell ref="M3:N3"/>
    <mergeCell ref="M2:N2"/>
    <mergeCell ref="E23:N23"/>
    <mergeCell ref="D25:N25"/>
    <mergeCell ref="G108:I108"/>
    <mergeCell ref="F95:I95"/>
    <mergeCell ref="J103:N103"/>
    <mergeCell ref="G101:I101"/>
    <mergeCell ref="J96:N96"/>
    <mergeCell ref="J104:N104"/>
    <mergeCell ref="J101:N101"/>
    <mergeCell ref="G104:I104"/>
    <mergeCell ref="J64:N64"/>
    <mergeCell ref="E75:I75"/>
    <mergeCell ref="E68:N68"/>
    <mergeCell ref="J70:N70"/>
    <mergeCell ref="F91:I91"/>
    <mergeCell ref="F96:I96"/>
    <mergeCell ref="J88:N88"/>
    <mergeCell ref="J87:N87"/>
    <mergeCell ref="F86:I86"/>
    <mergeCell ref="E99:N99"/>
    <mergeCell ref="G100:I100"/>
    <mergeCell ref="G106:I106"/>
    <mergeCell ref="E98:N98"/>
    <mergeCell ref="G105:I105"/>
    <mergeCell ref="E78:N78"/>
    <mergeCell ref="E70:I70"/>
    <mergeCell ref="J102:N102"/>
    <mergeCell ref="J95:N95"/>
    <mergeCell ref="F92:I92"/>
    <mergeCell ref="F94:N94"/>
    <mergeCell ref="J86:N86"/>
    <mergeCell ref="J91:N91"/>
    <mergeCell ref="J92:N92"/>
    <mergeCell ref="J105:N105"/>
    <mergeCell ref="H102:I102"/>
    <mergeCell ref="J100:N100"/>
    <mergeCell ref="G90:N90"/>
    <mergeCell ref="D163:N163"/>
    <mergeCell ref="G174:I174"/>
    <mergeCell ref="G115:I115"/>
    <mergeCell ref="G175:I175"/>
    <mergeCell ref="J173:N173"/>
    <mergeCell ref="J112:N112"/>
    <mergeCell ref="G110:I110"/>
    <mergeCell ref="G113:I113"/>
    <mergeCell ref="J113:N113"/>
    <mergeCell ref="H112:I112"/>
    <mergeCell ref="J120:N120"/>
    <mergeCell ref="G136:I136"/>
    <mergeCell ref="J136:N136"/>
    <mergeCell ref="G133:I133"/>
    <mergeCell ref="J133:N133"/>
    <mergeCell ref="G138:I138"/>
    <mergeCell ref="G139:I139"/>
    <mergeCell ref="J142:N142"/>
    <mergeCell ref="G134:I134"/>
    <mergeCell ref="J116:N116"/>
    <mergeCell ref="G117:I117"/>
    <mergeCell ref="J117:N117"/>
    <mergeCell ref="J118:N118"/>
    <mergeCell ref="G118:I118"/>
    <mergeCell ref="J184:N184"/>
    <mergeCell ref="G114:I114"/>
    <mergeCell ref="J114:N114"/>
    <mergeCell ref="G125:I125"/>
    <mergeCell ref="J125:N125"/>
    <mergeCell ref="G126:I126"/>
    <mergeCell ref="G184:I184"/>
    <mergeCell ref="G173:I173"/>
    <mergeCell ref="J150:N150"/>
    <mergeCell ref="J152:N152"/>
    <mergeCell ref="G183:I183"/>
    <mergeCell ref="J153:N153"/>
    <mergeCell ref="E146:N146"/>
    <mergeCell ref="J183:N183"/>
    <mergeCell ref="E149:N149"/>
    <mergeCell ref="J159:N159"/>
    <mergeCell ref="J156:N156"/>
    <mergeCell ref="G177:I177"/>
    <mergeCell ref="G172:I172"/>
    <mergeCell ref="J144:N144"/>
    <mergeCell ref="G143:I143"/>
    <mergeCell ref="J134:N134"/>
    <mergeCell ref="G120:I120"/>
    <mergeCell ref="G116:I116"/>
    <mergeCell ref="F228:N228"/>
    <mergeCell ref="E190:N190"/>
    <mergeCell ref="G192:I192"/>
    <mergeCell ref="D188:N188"/>
    <mergeCell ref="G193:I193"/>
    <mergeCell ref="G201:I201"/>
    <mergeCell ref="E197:N197"/>
    <mergeCell ref="J193:N193"/>
    <mergeCell ref="F217:N217"/>
    <mergeCell ref="J200:N200"/>
    <mergeCell ref="J195:N195"/>
    <mergeCell ref="E198:N198"/>
    <mergeCell ref="G205:I205"/>
    <mergeCell ref="J202:N202"/>
    <mergeCell ref="H194:I194"/>
    <mergeCell ref="G199:I199"/>
    <mergeCell ref="J201:N201"/>
    <mergeCell ref="J205:N205"/>
    <mergeCell ref="G202:I202"/>
    <mergeCell ref="E204:N204"/>
    <mergeCell ref="J186:N186"/>
    <mergeCell ref="J199:N199"/>
    <mergeCell ref="G191:I191"/>
    <mergeCell ref="G207:I207"/>
    <mergeCell ref="J192:N192"/>
    <mergeCell ref="K361:L361"/>
    <mergeCell ref="I361:J361"/>
    <mergeCell ref="K363:L363"/>
    <mergeCell ref="M369:N369"/>
    <mergeCell ref="H369:I369"/>
    <mergeCell ref="H368:I368"/>
    <mergeCell ref="F368:G368"/>
    <mergeCell ref="E344:N344"/>
    <mergeCell ref="M359:N359"/>
    <mergeCell ref="I359:J359"/>
    <mergeCell ref="F359:H359"/>
    <mergeCell ref="I355:J355"/>
    <mergeCell ref="M362:N362"/>
    <mergeCell ref="F361:H361"/>
    <mergeCell ref="K362:L362"/>
    <mergeCell ref="M361:N361"/>
    <mergeCell ref="M356:N356"/>
    <mergeCell ref="F356:H356"/>
    <mergeCell ref="F350:N350"/>
    <mergeCell ref="H370:I370"/>
    <mergeCell ref="F369:G369"/>
    <mergeCell ref="J369:L369"/>
    <mergeCell ref="F363:H363"/>
    <mergeCell ref="J370:L370"/>
    <mergeCell ref="M363:N363"/>
    <mergeCell ref="M370:N370"/>
    <mergeCell ref="M368:N368"/>
    <mergeCell ref="M375:N375"/>
    <mergeCell ref="F373:G373"/>
    <mergeCell ref="H377:I377"/>
    <mergeCell ref="J377:L377"/>
    <mergeCell ref="F372:G372"/>
    <mergeCell ref="F371:G371"/>
    <mergeCell ref="E365:N365"/>
    <mergeCell ref="I363:J363"/>
    <mergeCell ref="F370:G370"/>
    <mergeCell ref="J368:L368"/>
    <mergeCell ref="I385:J385"/>
    <mergeCell ref="J371:L371"/>
    <mergeCell ref="M371:N371"/>
    <mergeCell ref="H374:I374"/>
    <mergeCell ref="J374:L374"/>
    <mergeCell ref="H373:I373"/>
    <mergeCell ref="H376:I376"/>
    <mergeCell ref="J376:L376"/>
    <mergeCell ref="J372:L372"/>
    <mergeCell ref="M372:N372"/>
    <mergeCell ref="K385:L385"/>
    <mergeCell ref="M385:N385"/>
    <mergeCell ref="M383:N383"/>
    <mergeCell ref="J373:L373"/>
    <mergeCell ref="H371:I371"/>
    <mergeCell ref="H372:I372"/>
    <mergeCell ref="M384:N384"/>
    <mergeCell ref="F385:H385"/>
    <mergeCell ref="F374:G374"/>
    <mergeCell ref="F376:G376"/>
    <mergeCell ref="M377:N377"/>
    <mergeCell ref="M373:N373"/>
    <mergeCell ref="M374:N374"/>
    <mergeCell ref="J375:L375"/>
    <mergeCell ref="D407:N407"/>
    <mergeCell ref="M376:N376"/>
    <mergeCell ref="F375:G375"/>
    <mergeCell ref="H375:I375"/>
    <mergeCell ref="F378:G378"/>
    <mergeCell ref="J378:L378"/>
    <mergeCell ref="E380:N380"/>
    <mergeCell ref="F383:H383"/>
    <mergeCell ref="I383:J383"/>
    <mergeCell ref="K383:L383"/>
    <mergeCell ref="M378:N378"/>
    <mergeCell ref="H378:I378"/>
    <mergeCell ref="F377:G377"/>
    <mergeCell ref="F382:H382"/>
    <mergeCell ref="I382:J382"/>
    <mergeCell ref="K382:L382"/>
    <mergeCell ref="M382:N382"/>
    <mergeCell ref="F384:H384"/>
    <mergeCell ref="I384:J384"/>
    <mergeCell ref="K384:L384"/>
    <mergeCell ref="F386:H386"/>
    <mergeCell ref="I386:J386"/>
    <mergeCell ref="K386:L386"/>
    <mergeCell ref="M386:N386"/>
    <mergeCell ref="K353:L353"/>
    <mergeCell ref="K355:L355"/>
    <mergeCell ref="I356:J356"/>
    <mergeCell ref="M358:N358"/>
    <mergeCell ref="I360:J360"/>
    <mergeCell ref="K354:L354"/>
    <mergeCell ref="F354:H354"/>
    <mergeCell ref="I354:J354"/>
    <mergeCell ref="M353:N353"/>
    <mergeCell ref="F353:H353"/>
    <mergeCell ref="M354:N354"/>
    <mergeCell ref="K359:L359"/>
    <mergeCell ref="F357:H357"/>
    <mergeCell ref="M355:N355"/>
    <mergeCell ref="I362:J362"/>
    <mergeCell ref="F362:H362"/>
    <mergeCell ref="F348:N348"/>
    <mergeCell ref="F346:N346"/>
    <mergeCell ref="M360:N360"/>
    <mergeCell ref="K357:L357"/>
    <mergeCell ref="K360:L360"/>
    <mergeCell ref="K356:L356"/>
    <mergeCell ref="F355:H355"/>
    <mergeCell ref="I353:J353"/>
    <mergeCell ref="K358:L358"/>
    <mergeCell ref="J111:N111"/>
    <mergeCell ref="G111:I111"/>
    <mergeCell ref="J115:N115"/>
    <mergeCell ref="E3:F3"/>
    <mergeCell ref="G3:H3"/>
    <mergeCell ref="I3:J3"/>
    <mergeCell ref="K3:L3"/>
    <mergeCell ref="G4:H4"/>
    <mergeCell ref="I4:J4"/>
    <mergeCell ref="K4:L4"/>
    <mergeCell ref="M4:N4"/>
    <mergeCell ref="J61:N61"/>
    <mergeCell ref="J72:N72"/>
    <mergeCell ref="J65:N65"/>
    <mergeCell ref="J71:N71"/>
    <mergeCell ref="J63:N63"/>
    <mergeCell ref="D52:N52"/>
    <mergeCell ref="F41:J41"/>
    <mergeCell ref="J110:N110"/>
    <mergeCell ref="J107:N107"/>
    <mergeCell ref="G107:I107"/>
    <mergeCell ref="J108:N108"/>
    <mergeCell ref="J106:N106"/>
    <mergeCell ref="G103:I103"/>
    <mergeCell ref="E2:F2"/>
    <mergeCell ref="E21:I21"/>
    <mergeCell ref="J21:L21"/>
    <mergeCell ref="E22:N22"/>
    <mergeCell ref="E40:N40"/>
    <mergeCell ref="F38:N38"/>
    <mergeCell ref="E84:N84"/>
    <mergeCell ref="E54:N54"/>
    <mergeCell ref="E80:I80"/>
    <mergeCell ref="F37:N37"/>
    <mergeCell ref="F35:M35"/>
    <mergeCell ref="E56:I56"/>
    <mergeCell ref="E63:I63"/>
    <mergeCell ref="K42:L42"/>
    <mergeCell ref="E66:N66"/>
    <mergeCell ref="E73:N73"/>
    <mergeCell ref="J57:N57"/>
    <mergeCell ref="J56:N56"/>
    <mergeCell ref="E4:F4"/>
    <mergeCell ref="F33:N33"/>
    <mergeCell ref="K43:L43"/>
    <mergeCell ref="F43:J43"/>
    <mergeCell ref="F44:N44"/>
    <mergeCell ref="F42:J42"/>
    <mergeCell ref="G178:I178"/>
    <mergeCell ref="J178:N178"/>
    <mergeCell ref="J161:N161"/>
    <mergeCell ref="G151:I151"/>
    <mergeCell ref="J132:N132"/>
    <mergeCell ref="E130:N130"/>
    <mergeCell ref="G121:I121"/>
    <mergeCell ref="E148:N148"/>
    <mergeCell ref="J151:N151"/>
    <mergeCell ref="J127:N127"/>
    <mergeCell ref="J139:N139"/>
    <mergeCell ref="E164:N164"/>
    <mergeCell ref="G169:I169"/>
    <mergeCell ref="J169:N169"/>
    <mergeCell ref="G168:I168"/>
    <mergeCell ref="J168:N168"/>
    <mergeCell ref="G167:I167"/>
    <mergeCell ref="J126:N126"/>
    <mergeCell ref="G127:I127"/>
    <mergeCell ref="G123:I123"/>
    <mergeCell ref="J123:N123"/>
    <mergeCell ref="G124:I124"/>
    <mergeCell ref="J124:N124"/>
    <mergeCell ref="J167:N167"/>
    <mergeCell ref="P2:P4"/>
    <mergeCell ref="J53:N53"/>
    <mergeCell ref="J141:N141"/>
    <mergeCell ref="E147:N147"/>
    <mergeCell ref="G152:H161"/>
    <mergeCell ref="J155:N155"/>
    <mergeCell ref="G141:I141"/>
    <mergeCell ref="J160:N160"/>
    <mergeCell ref="J138:N138"/>
    <mergeCell ref="J143:N143"/>
    <mergeCell ref="J157:N157"/>
    <mergeCell ref="J121:N121"/>
    <mergeCell ref="G122:I122"/>
    <mergeCell ref="J122:N122"/>
    <mergeCell ref="G128:I128"/>
    <mergeCell ref="J128:N128"/>
    <mergeCell ref="G131:I131"/>
    <mergeCell ref="J131:N131"/>
    <mergeCell ref="G132:I132"/>
    <mergeCell ref="E67:N67"/>
    <mergeCell ref="E83:N83"/>
    <mergeCell ref="E81:N81"/>
    <mergeCell ref="E61:I61"/>
    <mergeCell ref="E85:N85"/>
    <mergeCell ref="E166:N166"/>
    <mergeCell ref="J170:N170"/>
    <mergeCell ref="J154:N154"/>
    <mergeCell ref="G150:I150"/>
    <mergeCell ref="G185:I185"/>
    <mergeCell ref="J194:N194"/>
    <mergeCell ref="D209:N209"/>
    <mergeCell ref="F227:N227"/>
    <mergeCell ref="F225:N225"/>
    <mergeCell ref="F215:N215"/>
    <mergeCell ref="F216:N216"/>
    <mergeCell ref="G206:I206"/>
    <mergeCell ref="J206:N206"/>
    <mergeCell ref="J207:N207"/>
    <mergeCell ref="F226:N226"/>
    <mergeCell ref="F219:N219"/>
    <mergeCell ref="F220:N220"/>
    <mergeCell ref="F221:N221"/>
    <mergeCell ref="E211:N211"/>
    <mergeCell ref="F224:N224"/>
    <mergeCell ref="F222:N222"/>
    <mergeCell ref="E213:N213"/>
    <mergeCell ref="G195:I195"/>
    <mergeCell ref="E212:N212"/>
    <mergeCell ref="M254:N254"/>
    <mergeCell ref="E257:N257"/>
    <mergeCell ref="M256:N256"/>
    <mergeCell ref="M255:N255"/>
    <mergeCell ref="E254:L254"/>
    <mergeCell ref="G200:I200"/>
    <mergeCell ref="J137:N137"/>
    <mergeCell ref="E182:N182"/>
    <mergeCell ref="J174:N174"/>
    <mergeCell ref="J185:N185"/>
    <mergeCell ref="J172:N172"/>
    <mergeCell ref="G179:I179"/>
    <mergeCell ref="J179:N179"/>
    <mergeCell ref="J177:N177"/>
    <mergeCell ref="G180:I180"/>
    <mergeCell ref="J180:N180"/>
    <mergeCell ref="J175:N175"/>
    <mergeCell ref="J158:N158"/>
    <mergeCell ref="H137:I137"/>
    <mergeCell ref="H142:I142"/>
    <mergeCell ref="J191:N191"/>
    <mergeCell ref="G186:I186"/>
    <mergeCell ref="G144:I144"/>
    <mergeCell ref="G170:I170"/>
    <mergeCell ref="E239:N239"/>
    <mergeCell ref="F218:N218"/>
    <mergeCell ref="D252:N252"/>
    <mergeCell ref="E247:N247"/>
    <mergeCell ref="F229:N229"/>
    <mergeCell ref="F223:N223"/>
    <mergeCell ref="E237:N237"/>
    <mergeCell ref="L246:N246"/>
    <mergeCell ref="E240:K240"/>
    <mergeCell ref="L245:N245"/>
    <mergeCell ref="L241:N241"/>
    <mergeCell ref="E234:N234"/>
    <mergeCell ref="L242:N242"/>
    <mergeCell ref="E235:N235"/>
    <mergeCell ref="E238:N238"/>
    <mergeCell ref="F231:N231"/>
    <mergeCell ref="E236:N236"/>
    <mergeCell ref="F232:N232"/>
    <mergeCell ref="F230:N230"/>
    <mergeCell ref="E244:K244"/>
    <mergeCell ref="L244:N244"/>
    <mergeCell ref="L240:N240"/>
    <mergeCell ref="E248:N248"/>
    <mergeCell ref="D250:N250"/>
    <mergeCell ref="M259:N259"/>
    <mergeCell ref="E277:N277"/>
    <mergeCell ref="E264:N264"/>
    <mergeCell ref="E263:L263"/>
    <mergeCell ref="E287:N287"/>
    <mergeCell ref="M260:N260"/>
    <mergeCell ref="M263:N263"/>
    <mergeCell ref="M267:N267"/>
    <mergeCell ref="E271:N271"/>
    <mergeCell ref="E275:N275"/>
    <mergeCell ref="E280:N280"/>
    <mergeCell ref="E259:L259"/>
    <mergeCell ref="M261:N261"/>
    <mergeCell ref="E278:N278"/>
    <mergeCell ref="E281:N281"/>
    <mergeCell ref="E265:N265"/>
    <mergeCell ref="M268:N268"/>
    <mergeCell ref="M269:N269"/>
    <mergeCell ref="E267:L267"/>
    <mergeCell ref="K306:L306"/>
    <mergeCell ref="M306:N306"/>
    <mergeCell ref="I306:J306"/>
    <mergeCell ref="E294:N294"/>
    <mergeCell ref="F306:H306"/>
    <mergeCell ref="I305:J305"/>
    <mergeCell ref="K305:L305"/>
    <mergeCell ref="M305:N305"/>
    <mergeCell ref="E282:N282"/>
    <mergeCell ref="F305:H305"/>
    <mergeCell ref="E302:N302"/>
    <mergeCell ref="D300:N300"/>
    <mergeCell ref="E303:N303"/>
    <mergeCell ref="E285:N285"/>
    <mergeCell ref="E283:N283"/>
    <mergeCell ref="E290:N290"/>
    <mergeCell ref="E295:N295"/>
    <mergeCell ref="E296:N296"/>
    <mergeCell ref="E297:N297"/>
    <mergeCell ref="E288:N288"/>
    <mergeCell ref="F307:H307"/>
    <mergeCell ref="I307:J307"/>
    <mergeCell ref="K307:L307"/>
    <mergeCell ref="M307:N307"/>
    <mergeCell ref="F309:H309"/>
    <mergeCell ref="I309:J309"/>
    <mergeCell ref="K309:L309"/>
    <mergeCell ref="M309:N309"/>
    <mergeCell ref="F310:H310"/>
    <mergeCell ref="I310:J310"/>
    <mergeCell ref="K310:L310"/>
    <mergeCell ref="M310:N310"/>
    <mergeCell ref="F308:H308"/>
    <mergeCell ref="I308:J308"/>
    <mergeCell ref="K308:L308"/>
    <mergeCell ref="M308:N308"/>
    <mergeCell ref="F313:H313"/>
    <mergeCell ref="I313:J313"/>
    <mergeCell ref="K313:L313"/>
    <mergeCell ref="M313:N313"/>
    <mergeCell ref="F314:H314"/>
    <mergeCell ref="I314:J314"/>
    <mergeCell ref="K314:L314"/>
    <mergeCell ref="M314:N314"/>
    <mergeCell ref="F311:H311"/>
    <mergeCell ref="I311:J311"/>
    <mergeCell ref="K311:L311"/>
    <mergeCell ref="M311:N311"/>
    <mergeCell ref="F312:H312"/>
    <mergeCell ref="I312:J312"/>
    <mergeCell ref="K312:L312"/>
    <mergeCell ref="M312:N312"/>
    <mergeCell ref="F318:G318"/>
    <mergeCell ref="H318:I318"/>
    <mergeCell ref="J318:L318"/>
    <mergeCell ref="M318:N318"/>
    <mergeCell ref="F319:G319"/>
    <mergeCell ref="H319:I319"/>
    <mergeCell ref="J319:L319"/>
    <mergeCell ref="M319:N319"/>
    <mergeCell ref="F315:H315"/>
    <mergeCell ref="I315:J315"/>
    <mergeCell ref="K315:L315"/>
    <mergeCell ref="M315:N315"/>
    <mergeCell ref="F317:G317"/>
    <mergeCell ref="H317:I317"/>
    <mergeCell ref="J317:L317"/>
    <mergeCell ref="M317:N317"/>
    <mergeCell ref="J326:L326"/>
    <mergeCell ref="M326:N326"/>
    <mergeCell ref="F327:G327"/>
    <mergeCell ref="F320:G320"/>
    <mergeCell ref="H320:I320"/>
    <mergeCell ref="J320:L320"/>
    <mergeCell ref="M320:N320"/>
    <mergeCell ref="F321:G321"/>
    <mergeCell ref="H321:I321"/>
    <mergeCell ref="J321:L321"/>
    <mergeCell ref="M321:N321"/>
    <mergeCell ref="F343:N343"/>
    <mergeCell ref="F338:N338"/>
    <mergeCell ref="F342:N342"/>
    <mergeCell ref="E330:N330"/>
    <mergeCell ref="E331:N331"/>
    <mergeCell ref="F322:G322"/>
    <mergeCell ref="H322:I322"/>
    <mergeCell ref="J322:L322"/>
    <mergeCell ref="M322:N322"/>
    <mergeCell ref="F323:G323"/>
    <mergeCell ref="H323:I323"/>
    <mergeCell ref="J323:L323"/>
    <mergeCell ref="M323:N323"/>
    <mergeCell ref="F324:G324"/>
    <mergeCell ref="H324:I324"/>
    <mergeCell ref="J324:L324"/>
    <mergeCell ref="M324:N324"/>
    <mergeCell ref="F325:G325"/>
    <mergeCell ref="H325:I325"/>
    <mergeCell ref="J325:L325"/>
    <mergeCell ref="M325:N325"/>
    <mergeCell ref="E329:N329"/>
    <mergeCell ref="F326:G326"/>
    <mergeCell ref="H326:I326"/>
    <mergeCell ref="F387:H387"/>
    <mergeCell ref="I387:J387"/>
    <mergeCell ref="K387:L387"/>
    <mergeCell ref="M387:N387"/>
    <mergeCell ref="H327:I327"/>
    <mergeCell ref="J327:L327"/>
    <mergeCell ref="M327:N327"/>
    <mergeCell ref="F360:H360"/>
    <mergeCell ref="F345:N345"/>
    <mergeCell ref="F358:H358"/>
    <mergeCell ref="F337:N337"/>
    <mergeCell ref="M357:N357"/>
    <mergeCell ref="I357:J357"/>
    <mergeCell ref="I358:J358"/>
    <mergeCell ref="E333:N333"/>
    <mergeCell ref="E332:N332"/>
    <mergeCell ref="E340:N340"/>
    <mergeCell ref="E334:N334"/>
    <mergeCell ref="F351:N351"/>
    <mergeCell ref="E349:N349"/>
    <mergeCell ref="F347:N347"/>
    <mergeCell ref="F339:N339"/>
    <mergeCell ref="E335:N335"/>
    <mergeCell ref="F341:N341"/>
    <mergeCell ref="F390:H390"/>
    <mergeCell ref="I390:J390"/>
    <mergeCell ref="K390:L390"/>
    <mergeCell ref="M390:N390"/>
    <mergeCell ref="F391:H391"/>
    <mergeCell ref="I391:J391"/>
    <mergeCell ref="K391:L391"/>
    <mergeCell ref="M391:N391"/>
    <mergeCell ref="F388:H388"/>
    <mergeCell ref="I388:J388"/>
    <mergeCell ref="K388:L388"/>
    <mergeCell ref="M388:N388"/>
    <mergeCell ref="F389:H389"/>
    <mergeCell ref="I389:J389"/>
    <mergeCell ref="K389:L389"/>
    <mergeCell ref="M389:N389"/>
    <mergeCell ref="F395:G395"/>
    <mergeCell ref="H395:I395"/>
    <mergeCell ref="J395:L395"/>
    <mergeCell ref="M395:N395"/>
    <mergeCell ref="F396:G396"/>
    <mergeCell ref="H396:I396"/>
    <mergeCell ref="J396:L396"/>
    <mergeCell ref="M396:N396"/>
    <mergeCell ref="F392:H392"/>
    <mergeCell ref="I392:J392"/>
    <mergeCell ref="K392:L392"/>
    <mergeCell ref="M392:N392"/>
    <mergeCell ref="F394:G394"/>
    <mergeCell ref="H394:I394"/>
    <mergeCell ref="J394:L394"/>
    <mergeCell ref="M394:N394"/>
    <mergeCell ref="F401:G401"/>
    <mergeCell ref="H401:I401"/>
    <mergeCell ref="J401:L401"/>
    <mergeCell ref="M401:N401"/>
    <mergeCell ref="F397:G397"/>
    <mergeCell ref="H397:I397"/>
    <mergeCell ref="J397:L397"/>
    <mergeCell ref="M397:N397"/>
    <mergeCell ref="F398:G398"/>
    <mergeCell ref="H398:I398"/>
    <mergeCell ref="J398:L398"/>
    <mergeCell ref="M398:N398"/>
    <mergeCell ref="AP2:AP4"/>
    <mergeCell ref="F336:N336"/>
    <mergeCell ref="E366:N366"/>
    <mergeCell ref="E367:N367"/>
    <mergeCell ref="F404:G404"/>
    <mergeCell ref="H404:I404"/>
    <mergeCell ref="J404:L404"/>
    <mergeCell ref="M404:N404"/>
    <mergeCell ref="F402:G402"/>
    <mergeCell ref="H402:I402"/>
    <mergeCell ref="J402:L402"/>
    <mergeCell ref="M402:N402"/>
    <mergeCell ref="F403:G403"/>
    <mergeCell ref="H403:I403"/>
    <mergeCell ref="F399:G399"/>
    <mergeCell ref="H399:I399"/>
    <mergeCell ref="J399:L399"/>
    <mergeCell ref="M399:N399"/>
    <mergeCell ref="J403:L403"/>
    <mergeCell ref="M403:N403"/>
    <mergeCell ref="F400:G400"/>
    <mergeCell ref="H400:I400"/>
    <mergeCell ref="J400:L400"/>
    <mergeCell ref="M400:N400"/>
  </mergeCells>
  <phoneticPr fontId="33" type="noConversion"/>
  <conditionalFormatting sqref="B2:D4">
    <cfRule type="expression" dxfId="833" priority="39" stopIfTrue="1">
      <formula>CNTR_HasErrors_A</formula>
    </cfRule>
  </conditionalFormatting>
  <conditionalFormatting sqref="D27:N40 D41:K43 M41:N43 D44:N45">
    <cfRule type="expression" dxfId="832" priority="21" stopIfTrue="1">
      <formula>$Y$31</formula>
    </cfRule>
  </conditionalFormatting>
  <conditionalFormatting sqref="F369:G378">
    <cfRule type="expression" dxfId="831" priority="34" stopIfTrue="1">
      <formula>($S354=FALSE)</formula>
    </cfRule>
  </conditionalFormatting>
  <conditionalFormatting sqref="F215:N220">
    <cfRule type="expression" dxfId="830" priority="13" stopIfTrue="1">
      <formula>$Y215</formula>
    </cfRule>
  </conditionalFormatting>
  <conditionalFormatting sqref="F221:N226">
    <cfRule type="expression" dxfId="829" priority="20" stopIfTrue="1">
      <formula>$Y221</formula>
    </cfRule>
  </conditionalFormatting>
  <conditionalFormatting sqref="F227:N227 F228:F232">
    <cfRule type="containsText" dxfId="828" priority="12" stopIfTrue="1" operator="containsText" text="!">
      <formula>NOT(ISERROR(SEARCH("!",F227)))</formula>
    </cfRule>
  </conditionalFormatting>
  <conditionalFormatting sqref="F306:N315 F318:N327">
    <cfRule type="expression" dxfId="827" priority="17" stopIfTrue="1">
      <formula>$Y306</formula>
    </cfRule>
  </conditionalFormatting>
  <conditionalFormatting sqref="F369:N378 F354:N363">
    <cfRule type="expression" dxfId="826" priority="36" stopIfTrue="1">
      <formula>$Y354</formula>
    </cfRule>
  </conditionalFormatting>
  <conditionalFormatting sqref="F369:N378">
    <cfRule type="expression" dxfId="825" priority="22" stopIfTrue="1">
      <formula>AND(CNTR_ExistConnectionEntries,ISBLANK($F354))</formula>
    </cfRule>
  </conditionalFormatting>
  <conditionalFormatting sqref="G3:H3">
    <cfRule type="expression" dxfId="824" priority="77" stopIfTrue="1">
      <formula>$G$443</formula>
    </cfRule>
  </conditionalFormatting>
  <conditionalFormatting sqref="G4:H4">
    <cfRule type="expression" dxfId="823" priority="43" stopIfTrue="1">
      <formula>$G$447</formula>
    </cfRule>
  </conditionalFormatting>
  <conditionalFormatting sqref="H369:N378">
    <cfRule type="expression" dxfId="822" priority="35" stopIfTrue="1">
      <formula>($S354=FALSE)</formula>
    </cfRule>
  </conditionalFormatting>
  <conditionalFormatting sqref="I3:J3">
    <cfRule type="expression" dxfId="821" priority="46" stopIfTrue="1">
      <formula>$G$444</formula>
    </cfRule>
  </conditionalFormatting>
  <conditionalFormatting sqref="I4:J4">
    <cfRule type="expression" dxfId="820" priority="42" stopIfTrue="1">
      <formula>$G$448</formula>
    </cfRule>
  </conditionalFormatting>
  <conditionalFormatting sqref="I383:N392">
    <cfRule type="containsText" dxfId="819" priority="11" stopIfTrue="1" operator="containsText" text="!">
      <formula>NOT(ISERROR(SEARCH("!",I383)))</formula>
    </cfRule>
  </conditionalFormatting>
  <conditionalFormatting sqref="J57 J71 L241 M255">
    <cfRule type="expression" dxfId="818" priority="33" stopIfTrue="1">
      <formula>$Y57</formula>
    </cfRule>
  </conditionalFormatting>
  <conditionalFormatting sqref="J64">
    <cfRule type="expression" dxfId="817" priority="10" stopIfTrue="1">
      <formula>$Y64</formula>
    </cfRule>
  </conditionalFormatting>
  <conditionalFormatting sqref="J75">
    <cfRule type="expression" dxfId="816" priority="28" stopIfTrue="1">
      <formula>$Y75</formula>
    </cfRule>
  </conditionalFormatting>
  <conditionalFormatting sqref="J76">
    <cfRule type="expression" dxfId="815" priority="38" stopIfTrue="1">
      <formula>$Y$76</formula>
    </cfRule>
  </conditionalFormatting>
  <conditionalFormatting sqref="J87">
    <cfRule type="expression" dxfId="814" priority="8" stopIfTrue="1">
      <formula>$Y87</formula>
    </cfRule>
  </conditionalFormatting>
  <conditionalFormatting sqref="J110:J117">
    <cfRule type="expression" dxfId="813" priority="6" stopIfTrue="1">
      <formula>$Y110</formula>
    </cfRule>
  </conditionalFormatting>
  <conditionalFormatting sqref="J136:J138">
    <cfRule type="expression" dxfId="812" priority="5" stopIfTrue="1">
      <formula>$Y136</formula>
    </cfRule>
  </conditionalFormatting>
  <conditionalFormatting sqref="J172:J174">
    <cfRule type="expression" dxfId="811" priority="4" stopIfTrue="1">
      <formula>$Y172</formula>
    </cfRule>
  </conditionalFormatting>
  <conditionalFormatting sqref="J53:N53">
    <cfRule type="containsText" dxfId="810" priority="1" stopIfTrue="1" operator="containsText" text="!">
      <formula>NOT(ISERROR(SEARCH("!",J53)))</formula>
    </cfRule>
  </conditionalFormatting>
  <conditionalFormatting sqref="J56:N56">
    <cfRule type="expression" dxfId="809" priority="32" stopIfTrue="1">
      <formula>$Y56</formula>
    </cfRule>
  </conditionalFormatting>
  <conditionalFormatting sqref="J63:N63">
    <cfRule type="expression" dxfId="808" priority="9" stopIfTrue="1">
      <formula>$Y63</formula>
    </cfRule>
  </conditionalFormatting>
  <conditionalFormatting sqref="J70:N70">
    <cfRule type="expression" dxfId="807" priority="31" stopIfTrue="1">
      <formula>$Y70</formula>
    </cfRule>
  </conditionalFormatting>
  <conditionalFormatting sqref="J86:N86">
    <cfRule type="expression" dxfId="806" priority="7" stopIfTrue="1">
      <formula>$Y86</formula>
    </cfRule>
  </conditionalFormatting>
  <conditionalFormatting sqref="J91:N92">
    <cfRule type="expression" dxfId="805" priority="37" stopIfTrue="1">
      <formula>(MSconst_RequirePermitInfo=FALSE)</formula>
    </cfRule>
  </conditionalFormatting>
  <conditionalFormatting sqref="J100:N107">
    <cfRule type="expression" dxfId="804" priority="3" stopIfTrue="1">
      <formula>$Y100</formula>
    </cfRule>
  </conditionalFormatting>
  <conditionalFormatting sqref="J120:N120">
    <cfRule type="expression" dxfId="803" priority="19" stopIfTrue="1">
      <formula>$Y120</formula>
    </cfRule>
  </conditionalFormatting>
  <conditionalFormatting sqref="J131:N134">
    <cfRule type="expression" dxfId="802" priority="2" stopIfTrue="1">
      <formula>$Y131</formula>
    </cfRule>
  </conditionalFormatting>
  <conditionalFormatting sqref="J141:N141">
    <cfRule type="expression" dxfId="801" priority="18" stopIfTrue="1">
      <formula>$Y141</formula>
    </cfRule>
  </conditionalFormatting>
  <conditionalFormatting sqref="K41">
    <cfRule type="expression" dxfId="800" priority="30" stopIfTrue="1">
      <formula>$Y41</formula>
    </cfRule>
  </conditionalFormatting>
  <conditionalFormatting sqref="K42">
    <cfRule type="expression" dxfId="799" priority="29" stopIfTrue="1">
      <formula>$Y42</formula>
    </cfRule>
  </conditionalFormatting>
  <conditionalFormatting sqref="K3:L3">
    <cfRule type="expression" dxfId="798" priority="45" stopIfTrue="1">
      <formula>$G$445</formula>
    </cfRule>
  </conditionalFormatting>
  <conditionalFormatting sqref="K4:L4">
    <cfRule type="expression" dxfId="797" priority="79" stopIfTrue="1">
      <formula>$G$442</formula>
    </cfRule>
  </conditionalFormatting>
  <conditionalFormatting sqref="L245">
    <cfRule type="expression" dxfId="796" priority="24" stopIfTrue="1">
      <formula>$Y245</formula>
    </cfRule>
  </conditionalFormatting>
  <conditionalFormatting sqref="L240:N240">
    <cfRule type="expression" dxfId="795" priority="27" stopIfTrue="1">
      <formula>$Y240</formula>
    </cfRule>
  </conditionalFormatting>
  <conditionalFormatting sqref="L244:N244">
    <cfRule type="expression" dxfId="794" priority="23" stopIfTrue="1">
      <formula>$Y244</formula>
    </cfRule>
  </conditionalFormatting>
  <conditionalFormatting sqref="M260">
    <cfRule type="expression" dxfId="793" priority="26" stopIfTrue="1">
      <formula>$Y260</formula>
    </cfRule>
  </conditionalFormatting>
  <conditionalFormatting sqref="M268">
    <cfRule type="expression" dxfId="792" priority="25" stopIfTrue="1">
      <formula>$Y268</formula>
    </cfRule>
  </conditionalFormatting>
  <conditionalFormatting sqref="M3:N3">
    <cfRule type="expression" dxfId="791" priority="44" stopIfTrue="1">
      <formula>$G$446</formula>
    </cfRule>
  </conditionalFormatting>
  <conditionalFormatting sqref="M4:N4">
    <cfRule type="expression" dxfId="790" priority="41" stopIfTrue="1">
      <formula>$G$449</formula>
    </cfRule>
  </conditionalFormatting>
  <conditionalFormatting sqref="M254:N254">
    <cfRule type="expression" dxfId="789" priority="16" stopIfTrue="1">
      <formula>$Y254</formula>
    </cfRule>
  </conditionalFormatting>
  <conditionalFormatting sqref="M259:N259">
    <cfRule type="expression" dxfId="788" priority="15" stopIfTrue="1">
      <formula>$Y259</formula>
    </cfRule>
  </conditionalFormatting>
  <conditionalFormatting sqref="M267:N267">
    <cfRule type="expression" dxfId="787" priority="14" stopIfTrue="1">
      <formula>$Y267</formula>
    </cfRule>
  </conditionalFormatting>
  <dataValidations disablePrompts="1" count="13">
    <dataValidation type="list" allowBlank="1" showInputMessage="1" showErrorMessage="1" sqref="M255:N255 M260:N260 M268:N268 J14 J21" xr:uid="{00000000-0002-0000-0400-000000000000}">
      <formula1>Euconst_TrueFalse</formula1>
    </dataValidation>
    <dataValidation type="list" allowBlank="1" showInputMessage="1" showErrorMessage="1" sqref="E278:N278" xr:uid="{00000000-0002-0000-0400-000001000000}">
      <formula1>EUconst_ConfirmationNotEligible</formula1>
    </dataValidation>
    <dataValidation type="list" allowBlank="1" showInputMessage="1" showErrorMessage="1" sqref="E288:N288" xr:uid="{00000000-0002-0000-0400-000002000000}">
      <formula1>EUconst_ConfirmApplicationForAlloc</formula1>
    </dataValidation>
    <dataValidation type="list" allowBlank="1" showInputMessage="1" showErrorMessage="1" sqref="F221:N226" xr:uid="{00000000-0002-0000-0400-000003000000}">
      <formula1>EUconst_AnnexIActivities</formula1>
    </dataValidation>
    <dataValidation type="list" allowBlank="1" showInputMessage="1" showErrorMessage="1" sqref="J114:N114 J205:N205 J139:N139 J195:N195" xr:uid="{00000000-0002-0000-0400-000004000000}">
      <formula1>EUconst_MSlist</formula1>
    </dataValidation>
    <dataValidation type="whole" allowBlank="1" showErrorMessage="1" error="! EUTL ID as natural number !" sqref="J57:N57" xr:uid="{00000000-0002-0000-0400-000006000000}">
      <formula1>0</formula1>
      <formula2>1000000000000000</formula2>
    </dataValidation>
    <dataValidation errorStyle="warning" operator="equal" allowBlank="1" showInputMessage="1" sqref="L245:N245" xr:uid="{00000000-0002-0000-0400-000008000000}"/>
    <dataValidation errorStyle="warning" operator="equal" allowBlank="1" showInputMessage="1" showErrorMessage="1" sqref="L240:N240 L242 S242 L244:N244 L246" xr:uid="{00000000-0002-0000-0400-000009000000}"/>
    <dataValidation type="list" allowBlank="1" showInputMessage="1" showErrorMessage="1" sqref="I354:J363" xr:uid="{00000000-0002-0000-0400-00000A000000}">
      <formula1>EUconst_ConnectedEntityTypes</formula1>
    </dataValidation>
    <dataValidation type="list" allowBlank="1" showInputMessage="1" showErrorMessage="1" sqref="K354:L363" xr:uid="{00000000-0002-0000-0400-00000B000000}">
      <formula1>EUconst_ConnectionTypes</formula1>
    </dataValidation>
    <dataValidation type="list" allowBlank="1" showInputMessage="1" showErrorMessage="1" sqref="M354:N363" xr:uid="{00000000-0002-0000-0400-00000C000000}">
      <formula1>EUconst_ConnectionTransferTypes</formula1>
    </dataValidation>
    <dataValidation type="date" allowBlank="1" showInputMessage="1" showErrorMessage="1" error="! Date format not recognised !" sqref="J76" xr:uid="{00000000-0002-0000-0400-00000D000000}">
      <formula1>1</formula1>
      <formula2>47848</formula2>
    </dataValidation>
    <dataValidation type="textLength" errorStyle="warning" operator="equal" allowBlank="1" showInputMessage="1" showErrorMessage="1" error="! NACE code should be 4-digit number !" sqref="L241:N241" xr:uid="{00000000-0002-0000-0400-00000E000000}">
      <formula1>4</formula1>
    </dataValidation>
  </dataValidations>
  <hyperlinks>
    <hyperlink ref="F46:N46" location="JUMP_K_III2" display="Upon entries made below, the attributable emissions are calculated in section K.III.2 of the summary sheet." xr:uid="{00000000-0004-0000-0400-00000A000000}"/>
    <hyperlink ref="F35:M35" location="c_ALR2025!A1" display="Further instructions can be found in the &quot;ALR 2025&quot; sheet of this template." xr:uid="{00000000-0004-0000-0400-00000B000000}"/>
    <hyperlink ref="J7:K7" location="JUMP_A_II2" display="Baseline period" xr:uid="{00000000-0004-0000-0400-00000C000000}"/>
    <hyperlink ref="F7:G7" location="JUMP_A_II2" display="Baseline period" xr:uid="{00000000-0004-0000-0400-00000E000000}"/>
    <hyperlink ref="K2:L2" location="'B+C_SubInstallations'!A5" display="Next sheet" xr:uid="{B113FEA5-8F6F-408B-AC17-B748D58C2AED}"/>
    <hyperlink ref="M2:N2" location="K_Summary!B5" display="Summary" xr:uid="{B939D53D-812A-400B-B137-1803CF5CBD1B}"/>
    <hyperlink ref="I2:J2" location="c_ALR2025!B5" display="Previous sheet" xr:uid="{06D311FF-9258-4A57-8704-4DFD9237670D}"/>
    <hyperlink ref="G2:H2" location="a_Contents!B5" display="Table of contents" xr:uid="{69D4FA30-2F26-424B-A4CC-065763E9B42E}"/>
    <hyperlink ref="E3:F3" location="A_InstallationData!B5" display="Top of sheet" xr:uid="{C4294C31-4236-486A-BC27-871615CDF240}"/>
    <hyperlink ref="E4:F4" location="A_InstallationData!B407" display="End of sheet" xr:uid="{08C77327-D1B9-41A7-BB36-2BFE8785E227}"/>
    <hyperlink ref="G3:H3" location="A_InstallationData!D9" display="Reporting details" xr:uid="{AE298715-439B-40BB-9590-91C19B39DD20}"/>
    <hyperlink ref="G4:H4" location="A_InstallationData!D188" display="Verifier" xr:uid="{7D85E323-D1E5-4EAF-AF3A-D0A4C5FFE489}"/>
    <hyperlink ref="K3:L3" location="A_InstallationData!D51" display="Installation ID" xr:uid="{3373E423-96FB-48EA-8764-6CEBC9D2EAE4}"/>
    <hyperlink ref="K4:L4" location="A_InstallationData!D252" display="Eligibility" xr:uid="{57A809E8-BC2A-4F1D-9D75-703F8E375138}"/>
    <hyperlink ref="I4:J4" location="A_InstallationData!D209" display="Further information" xr:uid="{66F1EBDF-4D93-45FA-96BF-7911B07AF891}"/>
    <hyperlink ref="I3:J3" location="A_InstallationData!D25" display="NIMs data" xr:uid="{97362E10-AB89-4716-A519-1A71424DA22F}"/>
    <hyperlink ref="M3:N3" location="A_InstallationData!D163" display="Contact persons" xr:uid="{976CB1EB-2E4F-463F-B9C6-1C1D526C5721}"/>
    <hyperlink ref="M4:N4" location="A_InstallationData!D300" display="Technical connections" xr:uid="{AD8B8806-95EF-465A-9A06-C9048C3AC54F}"/>
    <hyperlink ref="D407:N407" location="'B+C_SubInstallations'!B5" display="&lt;&lt;&lt; Click here to proceed to next sheet &gt;&gt;&gt; " xr:uid="{6E0CE24F-290B-4EAC-9F19-FA5CD08BA9AE}"/>
  </hyperlinks>
  <pageMargins left="0.78740157480314965" right="0.78740157480314965" top="0.78740157480314965" bottom="0.78740157480314965" header="0.51181102362204722" footer="0.51181102362204722"/>
  <pageSetup paperSize="9" scale="48" fitToHeight="10" orientation="portrait" r:id="rId1"/>
  <headerFooter alignWithMargins="0">
    <oddHeader>&amp;L&amp;F; &amp;A&amp;R&amp;D; &amp;T</oddHeader>
    <oddFooter>&amp;C&amp;P / &amp;N</oddFooter>
  </headerFooter>
  <rowBreaks count="3" manualBreakCount="3">
    <brk id="128" min="2" max="15" man="1"/>
    <brk id="207" min="2" max="15" man="1"/>
    <brk id="299" min="2"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tabColor rgb="FFCCFFCC"/>
    <pageSetUpPr fitToPage="1"/>
  </sheetPr>
  <dimension ref="A1:AP204"/>
  <sheetViews>
    <sheetView topLeftCell="B1" zoomScaleNormal="100" zoomScaleSheetLayoutView="85" workbookViewId="0">
      <pane ySplit="4" topLeftCell="A5" activePane="bottomLeft" state="frozen"/>
      <selection pane="bottomLeft" activeCell="B5" sqref="B5"/>
    </sheetView>
  </sheetViews>
  <sheetFormatPr defaultColWidth="0" defaultRowHeight="12.75" zeroHeight="1"/>
  <cols>
    <col min="1" max="1" width="3.42578125" hidden="1" customWidth="1"/>
    <col min="2" max="2" width="2.7109375" style="500" customWidth="1"/>
    <col min="3" max="3" width="5.7109375" style="1367" customWidth="1"/>
    <col min="4" max="4" width="4.7109375" style="500" customWidth="1"/>
    <col min="5" max="5" width="30.7109375" style="500" customWidth="1"/>
    <col min="6" max="14" width="13.7109375" style="500" customWidth="1"/>
    <col min="15" max="15" width="4.7109375" style="500" customWidth="1"/>
    <col min="16" max="16" width="25.7109375" style="500" customWidth="1"/>
    <col min="17" max="27" width="11.42578125" style="1248" hidden="1" customWidth="1"/>
    <col min="28" max="28" width="11.5703125" style="500" hidden="1" customWidth="1"/>
    <col min="29" max="29" width="12.28515625" style="500" hidden="1" customWidth="1"/>
    <col min="30" max="30" width="11.5703125" style="500" hidden="1" customWidth="1"/>
    <col min="31" max="31" width="12.7109375" style="500" hidden="1" customWidth="1"/>
    <col min="32" max="41" width="9.140625" style="500" hidden="1" customWidth="1"/>
    <col min="42" max="42" width="34.140625" style="1366" hidden="1" customWidth="1"/>
    <col min="43" max="16384" width="9.140625" style="500" hidden="1"/>
  </cols>
  <sheetData>
    <row r="1" spans="1:42" customFormat="1" ht="13.5" hidden="1" thickBot="1">
      <c r="A1" s="528"/>
      <c r="C1" s="531"/>
    </row>
    <row r="2" spans="1:42" ht="13.5" customHeight="1" thickBot="1">
      <c r="B2" s="2348" t="s">
        <v>2072</v>
      </c>
      <c r="C2" s="3114"/>
      <c r="D2" s="3115"/>
      <c r="E2" s="2357" t="s">
        <v>572</v>
      </c>
      <c r="F2" s="2358"/>
      <c r="G2" s="2360" t="s">
        <v>573</v>
      </c>
      <c r="H2" s="2451"/>
      <c r="I2" s="2451" t="s">
        <v>578</v>
      </c>
      <c r="J2" s="2451"/>
      <c r="K2" s="2451" t="s">
        <v>574</v>
      </c>
      <c r="L2" s="2451"/>
      <c r="M2" s="2451" t="s">
        <v>575</v>
      </c>
      <c r="N2" s="2451"/>
      <c r="O2" s="481"/>
      <c r="P2" s="2940" t="s">
        <v>1987</v>
      </c>
      <c r="AP2" s="2815" t="s">
        <v>2268</v>
      </c>
    </row>
    <row r="3" spans="1:42" ht="13.5" customHeight="1" thickBot="1">
      <c r="B3" s="2445"/>
      <c r="C3" s="2446"/>
      <c r="D3" s="3116"/>
      <c r="E3" s="2451" t="s">
        <v>576</v>
      </c>
      <c r="F3" s="2454"/>
      <c r="G3" s="2455" t="s">
        <v>593</v>
      </c>
      <c r="H3" s="2456"/>
      <c r="I3" s="2456" t="s">
        <v>1767</v>
      </c>
      <c r="J3" s="2456"/>
      <c r="K3" s="2456"/>
      <c r="L3" s="2456"/>
      <c r="M3" s="2456"/>
      <c r="N3" s="2456"/>
      <c r="O3" s="481"/>
      <c r="P3" s="2941"/>
      <c r="AP3" s="2816"/>
    </row>
    <row r="4" spans="1:42" ht="13.5" thickBot="1">
      <c r="B4" s="2448"/>
      <c r="C4" s="2449"/>
      <c r="D4" s="2450"/>
      <c r="E4" s="2451" t="s">
        <v>577</v>
      </c>
      <c r="F4" s="2451"/>
      <c r="G4" s="2452"/>
      <c r="H4" s="2453"/>
      <c r="I4" s="2453"/>
      <c r="J4" s="2453"/>
      <c r="K4" s="2363"/>
      <c r="L4" s="2362"/>
      <c r="M4" s="2453"/>
      <c r="N4" s="2453"/>
      <c r="O4" s="481"/>
      <c r="P4" s="2942"/>
      <c r="AP4" s="2816"/>
    </row>
    <row r="5" spans="1:42" s="1119" customFormat="1">
      <c r="A5" s="1116"/>
      <c r="B5" s="467"/>
      <c r="C5" s="1120"/>
      <c r="D5" s="467"/>
      <c r="E5" s="467"/>
      <c r="F5" s="466"/>
      <c r="G5" s="466"/>
      <c r="H5" s="466"/>
      <c r="I5" s="467"/>
      <c r="J5" s="467"/>
      <c r="K5" s="467"/>
      <c r="L5" s="467"/>
      <c r="M5" s="481"/>
      <c r="N5" s="481"/>
      <c r="O5" s="481"/>
      <c r="P5" s="485"/>
      <c r="Q5" s="1249"/>
      <c r="R5" s="1249"/>
      <c r="S5" s="1249"/>
      <c r="T5" s="1249"/>
      <c r="U5" s="1249"/>
      <c r="V5" s="1249"/>
      <c r="W5" s="1249"/>
      <c r="X5" s="1249"/>
      <c r="Y5" s="1249"/>
      <c r="Z5" s="1118"/>
      <c r="AA5" s="1118"/>
      <c r="AP5" s="1121"/>
    </row>
    <row r="6" spans="1:42" s="1119" customFormat="1" ht="23.25" customHeight="1">
      <c r="A6" s="1116"/>
      <c r="B6" s="467"/>
      <c r="C6" s="1250" t="s">
        <v>1546</v>
      </c>
      <c r="D6" s="2655" t="s">
        <v>2073</v>
      </c>
      <c r="E6" s="2442"/>
      <c r="F6" s="2442"/>
      <c r="G6" s="2442"/>
      <c r="H6" s="2442"/>
      <c r="I6" s="2442"/>
      <c r="J6" s="2442"/>
      <c r="K6" s="2442"/>
      <c r="L6" s="2442"/>
      <c r="M6" s="2442"/>
      <c r="N6" s="2442"/>
      <c r="O6" s="481"/>
      <c r="P6" s="485"/>
      <c r="Q6" s="1251" t="s">
        <v>228</v>
      </c>
      <c r="R6" s="1251" t="s">
        <v>228</v>
      </c>
      <c r="S6" s="1251" t="s">
        <v>228</v>
      </c>
      <c r="T6" s="1251" t="s">
        <v>228</v>
      </c>
      <c r="U6" s="1251" t="s">
        <v>228</v>
      </c>
      <c r="V6" s="1251" t="s">
        <v>228</v>
      </c>
      <c r="W6" s="1251" t="s">
        <v>228</v>
      </c>
      <c r="X6" s="1251" t="s">
        <v>228</v>
      </c>
      <c r="Y6" s="1251" t="s">
        <v>228</v>
      </c>
      <c r="Z6" s="1251" t="s">
        <v>228</v>
      </c>
      <c r="AA6" s="1251" t="s">
        <v>228</v>
      </c>
      <c r="AP6" s="1121"/>
    </row>
    <row r="7" spans="1:42" s="1119" customFormat="1" ht="13.15" customHeight="1">
      <c r="A7" s="1116"/>
      <c r="B7" s="1124"/>
      <c r="C7" s="1252"/>
      <c r="D7" s="1252"/>
      <c r="E7" s="1252"/>
      <c r="F7" s="1252"/>
      <c r="G7" s="1252"/>
      <c r="H7" s="1252"/>
      <c r="I7" s="1252"/>
      <c r="J7" s="1252"/>
      <c r="K7" s="1252"/>
      <c r="L7" s="1252"/>
      <c r="M7" s="1252"/>
      <c r="N7" s="1252"/>
      <c r="O7" s="1124"/>
      <c r="P7" s="485"/>
      <c r="Q7" s="1253" t="s">
        <v>720</v>
      </c>
      <c r="R7" s="1253" t="s">
        <v>720</v>
      </c>
      <c r="S7" s="1253" t="s">
        <v>720</v>
      </c>
      <c r="T7" s="1253" t="s">
        <v>720</v>
      </c>
      <c r="U7" s="1253" t="s">
        <v>720</v>
      </c>
      <c r="V7" s="1253" t="s">
        <v>720</v>
      </c>
      <c r="W7" s="1253" t="s">
        <v>720</v>
      </c>
      <c r="X7" s="1253" t="s">
        <v>720</v>
      </c>
      <c r="Y7" s="1253" t="s">
        <v>720</v>
      </c>
      <c r="Z7" s="1253" t="s">
        <v>720</v>
      </c>
      <c r="AA7" s="1253" t="s">
        <v>720</v>
      </c>
      <c r="AP7" s="1121"/>
    </row>
    <row r="8" spans="1:42" s="1119" customFormat="1" ht="15.6" customHeight="1">
      <c r="A8" s="1116"/>
      <c r="B8" s="467"/>
      <c r="C8" s="507" t="s">
        <v>1018</v>
      </c>
      <c r="D8" s="2408" t="s">
        <v>151</v>
      </c>
      <c r="E8" s="2408"/>
      <c r="F8" s="2408"/>
      <c r="G8" s="2408"/>
      <c r="H8" s="2408"/>
      <c r="I8" s="2408"/>
      <c r="J8" s="2408"/>
      <c r="K8" s="2408"/>
      <c r="L8" s="2408"/>
      <c r="M8" s="2408"/>
      <c r="N8" s="2408"/>
      <c r="O8" s="481"/>
      <c r="P8" s="485"/>
      <c r="Q8" s="1117"/>
      <c r="R8" s="1118"/>
      <c r="S8" s="1118"/>
      <c r="T8" s="1118"/>
      <c r="U8" s="1118"/>
      <c r="V8" s="1118"/>
      <c r="W8" s="1118"/>
      <c r="X8" s="1118"/>
      <c r="Y8" s="1118"/>
      <c r="Z8" s="1118"/>
      <c r="AA8" s="1118"/>
      <c r="AP8" s="1121"/>
    </row>
    <row r="9" spans="1:42" s="1119" customFormat="1" ht="5.0999999999999996" customHeight="1">
      <c r="A9" s="1116"/>
      <c r="B9" s="467"/>
      <c r="C9" s="467"/>
      <c r="D9" s="467"/>
      <c r="E9" s="467"/>
      <c r="F9" s="467"/>
      <c r="G9" s="467"/>
      <c r="H9" s="467"/>
      <c r="I9" s="467"/>
      <c r="J9" s="467"/>
      <c r="K9" s="467"/>
      <c r="L9" s="467"/>
      <c r="M9" s="481"/>
      <c r="N9" s="481"/>
      <c r="O9" s="481"/>
      <c r="P9" s="485"/>
      <c r="Q9" s="1117"/>
      <c r="R9" s="1118"/>
      <c r="S9" s="1118"/>
      <c r="T9" s="1118"/>
      <c r="U9" s="1118"/>
      <c r="V9" s="1118"/>
      <c r="W9" s="1118"/>
      <c r="X9" s="1118"/>
      <c r="Y9" s="1118"/>
      <c r="Z9" s="1118"/>
      <c r="AA9" s="1118"/>
      <c r="AP9" s="1121"/>
    </row>
    <row r="10" spans="1:42" s="1132" customFormat="1" ht="13.9" customHeight="1">
      <c r="A10" s="1125"/>
      <c r="B10" s="1126"/>
      <c r="C10" s="1254">
        <v>1</v>
      </c>
      <c r="D10" s="3119" t="s">
        <v>153</v>
      </c>
      <c r="E10" s="2577"/>
      <c r="F10" s="2577"/>
      <c r="G10" s="2577"/>
      <c r="H10" s="2577"/>
      <c r="I10" s="2577"/>
      <c r="J10" s="2577"/>
      <c r="K10" s="2577"/>
      <c r="L10" s="2577"/>
      <c r="M10" s="2577"/>
      <c r="N10" s="2577"/>
      <c r="O10" s="1127"/>
      <c r="P10" s="1127"/>
      <c r="Q10" s="1131"/>
      <c r="R10" s="1131"/>
      <c r="S10" s="1131"/>
      <c r="T10" s="1131"/>
      <c r="U10" s="1131"/>
      <c r="V10" s="1131"/>
      <c r="W10" s="1131"/>
      <c r="X10" s="1131"/>
      <c r="Y10" s="1131"/>
      <c r="Z10" s="1131"/>
      <c r="AA10" s="1131"/>
      <c r="AP10" s="1167"/>
    </row>
    <row r="11" spans="1:42" s="1119" customFormat="1" ht="5.0999999999999996" customHeight="1">
      <c r="A11" s="1116"/>
      <c r="B11" s="467"/>
      <c r="C11" s="467"/>
      <c r="D11" s="467"/>
      <c r="E11" s="467"/>
      <c r="F11" s="467"/>
      <c r="G11" s="467"/>
      <c r="H11" s="467"/>
      <c r="I11" s="467"/>
      <c r="J11" s="467"/>
      <c r="K11" s="467"/>
      <c r="L11" s="467"/>
      <c r="M11" s="481"/>
      <c r="N11" s="481"/>
      <c r="O11" s="481"/>
      <c r="P11" s="485"/>
      <c r="Q11" s="1117"/>
      <c r="R11" s="1118"/>
      <c r="S11" s="1118"/>
      <c r="T11" s="1118"/>
      <c r="U11" s="1118"/>
      <c r="V11" s="1118"/>
      <c r="W11" s="1118"/>
      <c r="X11" s="1118"/>
      <c r="Y11" s="1118"/>
      <c r="Z11" s="1118"/>
      <c r="AA11" s="1118"/>
      <c r="AP11" s="1121"/>
    </row>
    <row r="12" spans="1:42" s="1119" customFormat="1" ht="13.15" customHeight="1">
      <c r="A12" s="1116"/>
      <c r="B12" s="1124"/>
      <c r="C12" s="485"/>
      <c r="D12" s="496"/>
      <c r="E12" s="2373" t="s">
        <v>241</v>
      </c>
      <c r="F12" s="2400"/>
      <c r="G12" s="2400"/>
      <c r="H12" s="2400"/>
      <c r="I12" s="2400"/>
      <c r="J12" s="2400"/>
      <c r="K12" s="2400"/>
      <c r="L12" s="2400"/>
      <c r="M12" s="2400"/>
      <c r="N12" s="2400"/>
      <c r="O12" s="481"/>
      <c r="P12" s="485"/>
      <c r="Q12" s="1118"/>
      <c r="R12" s="1118"/>
      <c r="S12" s="1118"/>
      <c r="T12" s="1118"/>
      <c r="U12" s="1255" t="s">
        <v>2600</v>
      </c>
      <c r="V12" s="1256"/>
      <c r="W12" s="1257"/>
      <c r="X12" s="1118"/>
      <c r="Y12" s="1118"/>
      <c r="Z12" s="1118"/>
      <c r="AA12" s="1118"/>
      <c r="AP12" s="1121"/>
    </row>
    <row r="13" spans="1:42" s="1119" customFormat="1" ht="12.75" customHeight="1">
      <c r="A13" s="1116"/>
      <c r="B13" s="1124"/>
      <c r="C13" s="485"/>
      <c r="D13" s="485"/>
      <c r="E13" s="3089" t="s">
        <v>2325</v>
      </c>
      <c r="F13" s="3089"/>
      <c r="G13" s="3089"/>
      <c r="H13" s="3089"/>
      <c r="I13" s="3089"/>
      <c r="J13" s="3089"/>
      <c r="K13" s="3089"/>
      <c r="L13" s="3089"/>
      <c r="M13" s="3089"/>
      <c r="N13" s="3089"/>
      <c r="O13" s="481"/>
      <c r="P13" s="485"/>
      <c r="Q13" s="1118"/>
      <c r="R13" s="1118"/>
      <c r="S13" s="1118"/>
      <c r="T13" s="1118"/>
      <c r="U13" s="1259" t="str">
        <f t="shared" ref="U13:U22" si="0">U26</f>
        <v/>
      </c>
      <c r="V13" s="1131"/>
      <c r="W13" s="1260"/>
      <c r="X13" s="1118"/>
      <c r="Y13" s="1118"/>
      <c r="Z13" s="1118"/>
      <c r="AA13" s="1118"/>
      <c r="AP13" s="1133" t="s">
        <v>2611</v>
      </c>
    </row>
    <row r="14" spans="1:42" s="1119" customFormat="1" ht="25.5" customHeight="1">
      <c r="A14" s="1116"/>
      <c r="B14" s="1124"/>
      <c r="C14" s="485"/>
      <c r="D14" s="496"/>
      <c r="E14" s="517" t="s">
        <v>1832</v>
      </c>
      <c r="F14" s="1261" t="s">
        <v>1893</v>
      </c>
      <c r="G14" s="3110" t="s">
        <v>2204</v>
      </c>
      <c r="H14" s="3110"/>
      <c r="I14" s="3110"/>
      <c r="J14" s="3110"/>
      <c r="K14" s="3110"/>
      <c r="L14" s="3110"/>
      <c r="M14" s="3110"/>
      <c r="N14" s="3110"/>
      <c r="O14" s="481"/>
      <c r="P14" s="485"/>
      <c r="Q14" s="1118"/>
      <c r="R14" s="1118"/>
      <c r="S14" s="1118"/>
      <c r="T14" s="1118"/>
      <c r="U14" s="1259" t="str">
        <f t="shared" si="0"/>
        <v/>
      </c>
      <c r="V14" s="1118"/>
      <c r="W14" s="1263"/>
      <c r="X14" s="1118"/>
      <c r="Y14" s="1118"/>
      <c r="Z14" s="1118"/>
      <c r="AA14" s="1118"/>
      <c r="AP14" s="1133" t="s">
        <v>2612</v>
      </c>
    </row>
    <row r="15" spans="1:42" s="1119" customFormat="1" ht="12.75" customHeight="1">
      <c r="A15" s="1116"/>
      <c r="B15" s="1124"/>
      <c r="C15" s="485"/>
      <c r="D15" s="496"/>
      <c r="E15" s="1264"/>
      <c r="F15" s="1261" t="s">
        <v>1894</v>
      </c>
      <c r="G15" s="3110" t="s">
        <v>1898</v>
      </c>
      <c r="H15" s="3110"/>
      <c r="I15" s="3110"/>
      <c r="J15" s="3110"/>
      <c r="K15" s="3110"/>
      <c r="L15" s="3110"/>
      <c r="M15" s="3110"/>
      <c r="N15" s="3110"/>
      <c r="O15" s="481"/>
      <c r="P15" s="485"/>
      <c r="Q15" s="1118"/>
      <c r="R15" s="1118"/>
      <c r="S15" s="1118"/>
      <c r="T15" s="1118"/>
      <c r="U15" s="1259" t="str">
        <f t="shared" si="0"/>
        <v/>
      </c>
      <c r="V15" s="1118"/>
      <c r="W15" s="1263"/>
      <c r="X15" s="1118"/>
      <c r="Y15" s="1118"/>
      <c r="Z15" s="1118"/>
      <c r="AA15" s="1118"/>
      <c r="AP15" s="1133" t="s">
        <v>2613</v>
      </c>
    </row>
    <row r="16" spans="1:42" s="1119" customFormat="1" ht="25.5" customHeight="1">
      <c r="A16" s="1116"/>
      <c r="B16" s="1124"/>
      <c r="C16" s="485"/>
      <c r="D16" s="496"/>
      <c r="E16" s="517" t="s">
        <v>1833</v>
      </c>
      <c r="F16" s="1261" t="s">
        <v>1893</v>
      </c>
      <c r="G16" s="3110" t="s">
        <v>2149</v>
      </c>
      <c r="H16" s="3110"/>
      <c r="I16" s="3110"/>
      <c r="J16" s="3110"/>
      <c r="K16" s="3110"/>
      <c r="L16" s="3110"/>
      <c r="M16" s="3110"/>
      <c r="N16" s="3110"/>
      <c r="O16" s="481"/>
      <c r="P16" s="485"/>
      <c r="Q16" s="1118"/>
      <c r="R16" s="1118"/>
      <c r="S16" s="1118"/>
      <c r="T16" s="1118"/>
      <c r="U16" s="1259" t="str">
        <f t="shared" si="0"/>
        <v/>
      </c>
      <c r="V16" s="1118"/>
      <c r="W16" s="1263"/>
      <c r="X16" s="1118"/>
      <c r="Y16" s="1118"/>
      <c r="Z16" s="1118"/>
      <c r="AA16" s="1118"/>
      <c r="AP16" s="1133" t="s">
        <v>2614</v>
      </c>
    </row>
    <row r="17" spans="1:42" s="1119" customFormat="1" ht="12.75" customHeight="1">
      <c r="A17" s="1116"/>
      <c r="C17" s="485"/>
      <c r="D17" s="496"/>
      <c r="E17" s="1264"/>
      <c r="F17" s="1261" t="s">
        <v>1894</v>
      </c>
      <c r="G17" s="3110" t="s">
        <v>1895</v>
      </c>
      <c r="H17" s="3110"/>
      <c r="I17" s="3110"/>
      <c r="J17" s="3110"/>
      <c r="K17" s="3110"/>
      <c r="L17" s="3110"/>
      <c r="M17" s="3110"/>
      <c r="N17" s="3110"/>
      <c r="O17" s="481"/>
      <c r="P17" s="485"/>
      <c r="Q17" s="1118"/>
      <c r="R17" s="1118"/>
      <c r="S17" s="1118"/>
      <c r="T17" s="1118"/>
      <c r="U17" s="1259" t="str">
        <f t="shared" si="0"/>
        <v/>
      </c>
      <c r="V17" s="1118"/>
      <c r="W17" s="1263"/>
      <c r="X17" s="1118"/>
      <c r="Y17" s="1118"/>
      <c r="Z17" s="1118"/>
      <c r="AA17" s="1118"/>
      <c r="AP17" s="1133" t="s">
        <v>2615</v>
      </c>
    </row>
    <row r="18" spans="1:42" s="1119" customFormat="1" ht="25.5" customHeight="1">
      <c r="A18" s="1116"/>
      <c r="C18" s="485"/>
      <c r="D18" s="496"/>
      <c r="E18" s="517" t="s">
        <v>1420</v>
      </c>
      <c r="F18" s="1261" t="s">
        <v>1893</v>
      </c>
      <c r="G18" s="3110" t="s">
        <v>1896</v>
      </c>
      <c r="H18" s="3110"/>
      <c r="I18" s="3110"/>
      <c r="J18" s="3110"/>
      <c r="K18" s="3110"/>
      <c r="L18" s="3110"/>
      <c r="M18" s="3110"/>
      <c r="N18" s="3110"/>
      <c r="O18" s="481"/>
      <c r="P18" s="485"/>
      <c r="Q18" s="1118"/>
      <c r="R18" s="1118"/>
      <c r="S18" s="1118"/>
      <c r="T18" s="1118"/>
      <c r="U18" s="1259" t="str">
        <f t="shared" si="0"/>
        <v/>
      </c>
      <c r="V18" s="1118"/>
      <c r="W18" s="1263"/>
      <c r="X18" s="1118"/>
      <c r="Y18" s="1118"/>
      <c r="Z18" s="1118"/>
      <c r="AA18" s="1118"/>
      <c r="AP18" s="1133" t="s">
        <v>2616</v>
      </c>
    </row>
    <row r="19" spans="1:42" s="1119" customFormat="1" ht="13.15" customHeight="1">
      <c r="A19" s="1116"/>
      <c r="C19" s="485"/>
      <c r="D19" s="496"/>
      <c r="E19" s="1264"/>
      <c r="F19" s="1261" t="s">
        <v>1894</v>
      </c>
      <c r="G19" s="3110" t="s">
        <v>1897</v>
      </c>
      <c r="H19" s="3110"/>
      <c r="I19" s="3110"/>
      <c r="J19" s="3110"/>
      <c r="K19" s="3110"/>
      <c r="L19" s="3110"/>
      <c r="M19" s="3110"/>
      <c r="N19" s="3110"/>
      <c r="O19" s="481"/>
      <c r="P19" s="485"/>
      <c r="Q19" s="1118"/>
      <c r="R19" s="1118"/>
      <c r="S19" s="1118"/>
      <c r="T19" s="1118"/>
      <c r="U19" s="1259" t="str">
        <f t="shared" si="0"/>
        <v/>
      </c>
      <c r="V19" s="1118"/>
      <c r="W19" s="1263"/>
      <c r="X19" s="1118"/>
      <c r="Y19" s="1118"/>
      <c r="Z19" s="1118"/>
      <c r="AA19" s="1118"/>
      <c r="AP19" s="1133" t="s">
        <v>2617</v>
      </c>
    </row>
    <row r="20" spans="1:42" s="1119" customFormat="1" ht="13.15" customHeight="1">
      <c r="A20" s="1116"/>
      <c r="C20" s="485"/>
      <c r="D20" s="496"/>
      <c r="E20" s="1264" t="s">
        <v>1834</v>
      </c>
      <c r="F20" s="3142" t="s">
        <v>1899</v>
      </c>
      <c r="G20" s="3142"/>
      <c r="H20" s="3142"/>
      <c r="I20" s="3142"/>
      <c r="J20" s="3142"/>
      <c r="K20" s="3142"/>
      <c r="L20" s="3142"/>
      <c r="M20" s="3142"/>
      <c r="N20" s="3142"/>
      <c r="O20" s="481"/>
      <c r="P20" s="485"/>
      <c r="Q20" s="1118"/>
      <c r="R20" s="1118"/>
      <c r="S20" s="1118"/>
      <c r="T20" s="1118"/>
      <c r="U20" s="1259" t="str">
        <f t="shared" si="0"/>
        <v/>
      </c>
      <c r="V20" s="1118"/>
      <c r="W20" s="1263"/>
      <c r="X20" s="1118"/>
      <c r="Y20" s="1118"/>
      <c r="Z20" s="1118"/>
      <c r="AA20" s="1118"/>
      <c r="AP20" s="1133" t="s">
        <v>2618</v>
      </c>
    </row>
    <row r="21" spans="1:42" s="1119" customFormat="1" ht="13.15" customHeight="1">
      <c r="A21" s="1116"/>
      <c r="C21" s="485"/>
      <c r="D21" s="496"/>
      <c r="E21" s="1264" t="s">
        <v>1808</v>
      </c>
      <c r="F21" s="3142" t="s">
        <v>1835</v>
      </c>
      <c r="G21" s="3142"/>
      <c r="H21" s="3142"/>
      <c r="I21" s="3142"/>
      <c r="J21" s="3142"/>
      <c r="K21" s="3142"/>
      <c r="L21" s="3142"/>
      <c r="M21" s="3142"/>
      <c r="N21" s="3142"/>
      <c r="O21" s="481"/>
      <c r="P21" s="485"/>
      <c r="Q21" s="1118"/>
      <c r="R21" s="1118"/>
      <c r="S21" s="1118"/>
      <c r="T21" s="1118"/>
      <c r="U21" s="1259" t="str">
        <f t="shared" si="0"/>
        <v/>
      </c>
      <c r="V21" s="1118"/>
      <c r="W21" s="1263"/>
      <c r="X21" s="1118"/>
      <c r="Y21" s="1118"/>
      <c r="Z21" s="1118"/>
      <c r="AA21" s="1118"/>
      <c r="AP21" s="1133" t="s">
        <v>2619</v>
      </c>
    </row>
    <row r="22" spans="1:42" s="1119" customFormat="1" ht="13.15" customHeight="1">
      <c r="A22" s="1116"/>
      <c r="C22" s="485"/>
      <c r="D22" s="496"/>
      <c r="E22" s="1262" t="s">
        <v>1836</v>
      </c>
      <c r="F22" s="1258" t="s">
        <v>2100</v>
      </c>
      <c r="G22" s="3142"/>
      <c r="H22" s="3142"/>
      <c r="I22" s="3142"/>
      <c r="J22" s="3142"/>
      <c r="K22" s="3142"/>
      <c r="L22" s="3142"/>
      <c r="M22" s="3142"/>
      <c r="N22" s="3142"/>
      <c r="O22" s="481"/>
      <c r="P22" s="485"/>
      <c r="Q22" s="1118"/>
      <c r="R22" s="1118"/>
      <c r="S22" s="1118"/>
      <c r="T22" s="1118"/>
      <c r="U22" s="1265" t="str">
        <f t="shared" si="0"/>
        <v/>
      </c>
      <c r="V22" s="1266"/>
      <c r="W22" s="1267"/>
      <c r="X22" s="1118"/>
      <c r="Y22" s="1118"/>
      <c r="Z22" s="1118"/>
      <c r="AA22" s="1118"/>
      <c r="AP22" s="1133" t="s">
        <v>2620</v>
      </c>
    </row>
    <row r="23" spans="1:42" s="1132" customFormat="1" ht="20.100000000000001" customHeight="1">
      <c r="A23" s="1125"/>
      <c r="C23" s="1127"/>
      <c r="D23" s="1127"/>
      <c r="E23" s="3143" t="s">
        <v>242</v>
      </c>
      <c r="F23" s="3143"/>
      <c r="G23" s="3143"/>
      <c r="H23" s="3143"/>
      <c r="I23" s="3143"/>
      <c r="J23" s="3143"/>
      <c r="K23" s="3143"/>
      <c r="L23" s="3143"/>
      <c r="M23" s="3143"/>
      <c r="N23" s="3143"/>
      <c r="O23" s="1127"/>
      <c r="P23" s="1127"/>
      <c r="Q23" s="1131"/>
      <c r="R23" s="1131"/>
      <c r="S23" s="1131"/>
      <c r="T23" s="1131"/>
      <c r="U23" s="1131"/>
      <c r="V23" s="1131"/>
      <c r="W23" s="1131"/>
      <c r="X23" s="1268"/>
      <c r="Y23" s="1131"/>
      <c r="Z23" s="1131"/>
      <c r="AA23" s="1131"/>
      <c r="AP23" s="1167"/>
    </row>
    <row r="24" spans="1:42" s="1119" customFormat="1" ht="5.0999999999999996" customHeight="1">
      <c r="A24" s="1116"/>
      <c r="C24" s="467"/>
      <c r="D24" s="467"/>
      <c r="E24" s="467"/>
      <c r="F24" s="467"/>
      <c r="G24" s="467"/>
      <c r="H24" s="467"/>
      <c r="I24" s="467"/>
      <c r="J24" s="467"/>
      <c r="K24" s="467"/>
      <c r="L24" s="467"/>
      <c r="M24" s="481"/>
      <c r="N24" s="481"/>
      <c r="O24" s="481"/>
      <c r="P24" s="485"/>
      <c r="Q24" s="1117"/>
      <c r="R24" s="1118"/>
      <c r="S24" s="1118"/>
      <c r="T24" s="1118"/>
      <c r="U24" s="1118"/>
      <c r="V24" s="1118"/>
      <c r="W24" s="1118"/>
      <c r="X24" s="1118"/>
      <c r="Y24" s="1118"/>
      <c r="Z24" s="1118"/>
      <c r="AA24" s="1118"/>
      <c r="AP24" s="1121"/>
    </row>
    <row r="25" spans="1:42" s="1119" customFormat="1" ht="38.85" customHeight="1" thickBot="1">
      <c r="A25" s="1116"/>
      <c r="C25" s="485"/>
      <c r="D25" s="1269" t="s">
        <v>522</v>
      </c>
      <c r="E25" s="2634" t="s">
        <v>1821</v>
      </c>
      <c r="F25" s="2635"/>
      <c r="G25" s="2634" t="s">
        <v>1822</v>
      </c>
      <c r="H25" s="3080"/>
      <c r="I25" s="3144" t="s">
        <v>1420</v>
      </c>
      <c r="J25" s="3145"/>
      <c r="K25" s="3146"/>
      <c r="L25" s="1270" t="s">
        <v>274</v>
      </c>
      <c r="M25" s="485"/>
      <c r="N25" s="520"/>
      <c r="O25" s="481"/>
      <c r="P25" s="485"/>
      <c r="Q25" s="1271" t="s">
        <v>828</v>
      </c>
      <c r="R25" s="1271" t="s">
        <v>287</v>
      </c>
      <c r="S25" s="1271" t="s">
        <v>884</v>
      </c>
      <c r="T25" s="1272" t="s">
        <v>2370</v>
      </c>
      <c r="U25" s="1272" t="s">
        <v>1823</v>
      </c>
      <c r="V25" s="1273" t="s">
        <v>1890</v>
      </c>
      <c r="W25" s="1158" t="s">
        <v>1830</v>
      </c>
      <c r="X25" s="1158" t="s">
        <v>1826</v>
      </c>
      <c r="Y25" s="1158" t="s">
        <v>1827</v>
      </c>
      <c r="Z25" s="1158" t="s">
        <v>1828</v>
      </c>
      <c r="AA25" s="1158" t="s">
        <v>1829</v>
      </c>
      <c r="AP25" s="1121"/>
    </row>
    <row r="26" spans="1:42" s="1119" customFormat="1" ht="12.75" customHeight="1">
      <c r="A26" s="1116"/>
      <c r="C26" s="485"/>
      <c r="D26" s="1274">
        <v>1</v>
      </c>
      <c r="E26" s="3117" t="str">
        <f>IFERROR(IF(CTRL_InputMethodNIMsvalues=1,INDEX(EUconst_BMlistNames,MATCH(INDEX(c_ALR2025!$L$491:$L$1975,MATCH(D26,c_ALR2025!$C$491:$C$1975,0)+3),EUconst_BMlistNumberOfBM,0)),""),"")</f>
        <v/>
      </c>
      <c r="F26" s="3118"/>
      <c r="G26" s="3140"/>
      <c r="H26" s="3141"/>
      <c r="I26" s="3147"/>
      <c r="J26" s="3148"/>
      <c r="K26" s="3149"/>
      <c r="L26" s="1275" t="str">
        <f t="shared" ref="L26:L35" si="1">IF(Q26=EUconst_NA,EUconst_NA,INDEX(EUconst_BMlistCLstatus,Q26))</f>
        <v>N.A.</v>
      </c>
      <c r="M26" s="3131" t="str">
        <f t="shared" ref="M26:M35" si="2">IF(U26="","",IF(COUNTIF(CNTR_AnnexIActivities,INDEX(EUconst_BMlistNumberOfActivity,Q26))=0,EUconst_ERR_ActivityMissing,""))</f>
        <v/>
      </c>
      <c r="N26" s="3132"/>
      <c r="O26" s="481"/>
      <c r="P26" s="10"/>
      <c r="Q26" s="1194" t="str">
        <f>IF(AND($E26="",$G26=""),EUconst_NA,MATCH(IF($G26="",$E26,$G26),EUconst_BMlistNames,0))</f>
        <v>N.A.</v>
      </c>
      <c r="R26" s="1194" t="str">
        <f>IF(ISNUMBER(Q26),COUNT(Q$26:Q26),"")</f>
        <v/>
      </c>
      <c r="S26" s="1276" t="str">
        <f t="shared" ref="S26:S35" si="3">IF(Q26=EUconst_NA,EUconst_Tons,INDEX(EUconst_BMlistUnits,Q26))</f>
        <v>tonnes</v>
      </c>
      <c r="T26" s="1194" t="str">
        <f>IF(U26="","",COUNTIF($U$26:$U$35,U26))</f>
        <v/>
      </c>
      <c r="U26" s="1277" t="str">
        <f>IF(G26="",IF(E26="","",E26),G26)</f>
        <v/>
      </c>
      <c r="V26" s="1118"/>
      <c r="W26" s="1401">
        <f>IF(OR(CTRL_InputMethodNIMsvalues=2,CNTR_Incumbent=FALSE),0,2)</f>
        <v>2</v>
      </c>
      <c r="X26" s="1401">
        <f t="shared" ref="X26:X35" si="4">IF(AND(CNTR_Incumbent,CTRL_InputMethodNIMsvalues&lt;&gt;2,E26&lt;&gt;""),0,IF(AND(CNTR_Incumbent,CTRL_InputMethodNIMsvalues=1,E26=""),1,2))</f>
        <v>1</v>
      </c>
      <c r="Y26" s="1401">
        <f t="shared" ref="Y26:Y35" si="5">IF(CNTR_HasEntries_A_I,IF(AND(G26="",U26=""),0,IF(AND(CNTR_Incumbent,G26=""),1,2)),2)</f>
        <v>2</v>
      </c>
      <c r="Z26" s="1401">
        <f t="shared" ref="Z26:Z35" si="6">IF(CNTR_HasEntries_A_I,IF(AND(CNTR_Cessation,U26&lt;&gt;""),2,0),2)</f>
        <v>2</v>
      </c>
      <c r="AA26" s="1278">
        <f t="shared" ref="AA26:AA35" si="7">Z26</f>
        <v>2</v>
      </c>
      <c r="AP26" s="1135" t="s">
        <v>2601</v>
      </c>
    </row>
    <row r="27" spans="1:42" s="1119" customFormat="1">
      <c r="A27" s="1116"/>
      <c r="C27" s="485"/>
      <c r="D27" s="1279">
        <f t="shared" ref="D27:D35" si="8">D26+1</f>
        <v>2</v>
      </c>
      <c r="E27" s="3108" t="str">
        <f>IFERROR(IF(CTRL_InputMethodNIMsvalues=1,INDEX(EUconst_BMlistNames,MATCH(INDEX(c_ALR2025!$L$491:$L$1975,MATCH(D27,c_ALR2025!$C$491:$C$1975,0)+3),EUconst_BMlistNumberOfBM,0)),""),"")</f>
        <v/>
      </c>
      <c r="F27" s="3109"/>
      <c r="G27" s="3106"/>
      <c r="H27" s="3107"/>
      <c r="I27" s="3111"/>
      <c r="J27" s="3112"/>
      <c r="K27" s="3113"/>
      <c r="L27" s="1280" t="str">
        <f>IF(Q27=EUconst_NA,EUconst_NA,INDEX(EUconst_BMlistCLstatus,Q27))</f>
        <v>N.A.</v>
      </c>
      <c r="M27" s="3104" t="str">
        <f t="shared" si="2"/>
        <v/>
      </c>
      <c r="N27" s="3105"/>
      <c r="O27" s="481"/>
      <c r="P27" s="10"/>
      <c r="Q27" s="1195" t="str">
        <f t="shared" ref="Q27:Q35" si="9">IF(AND($E27="",$G27=""),EUconst_NA,MATCH(IF($G27="",$E27,$G27),EUconst_BMlistNames,0))</f>
        <v>N.A.</v>
      </c>
      <c r="R27" s="1195" t="str">
        <f>IF(ISNUMBER(Q27),COUNT(Q$26:Q27),"")</f>
        <v/>
      </c>
      <c r="S27" s="1281" t="str">
        <f t="shared" si="3"/>
        <v>tonnes</v>
      </c>
      <c r="T27" s="1195" t="str">
        <f t="shared" ref="T27:T35" si="10">IF(U27="","",COUNTIF($U$26:$U$35,U27))</f>
        <v/>
      </c>
      <c r="U27" s="1282" t="str">
        <f t="shared" ref="U27:U35" si="11">IF(G27="",IF(E27="","",E27),G27)</f>
        <v/>
      </c>
      <c r="V27" s="1118"/>
      <c r="W27" s="1278">
        <f t="shared" ref="W27:W35" si="12">W26</f>
        <v>2</v>
      </c>
      <c r="X27" s="1278">
        <f t="shared" si="4"/>
        <v>1</v>
      </c>
      <c r="Y27" s="1278">
        <f t="shared" si="5"/>
        <v>2</v>
      </c>
      <c r="Z27" s="1278">
        <f t="shared" si="6"/>
        <v>2</v>
      </c>
      <c r="AA27" s="1278">
        <f t="shared" si="7"/>
        <v>2</v>
      </c>
      <c r="AP27" s="1135" t="s">
        <v>2602</v>
      </c>
    </row>
    <row r="28" spans="1:42" s="1119" customFormat="1">
      <c r="A28" s="1116"/>
      <c r="C28" s="485"/>
      <c r="D28" s="1279">
        <f t="shared" si="8"/>
        <v>3</v>
      </c>
      <c r="E28" s="3108" t="str">
        <f>IFERROR(IF(CTRL_InputMethodNIMsvalues=1,INDEX(EUconst_BMlistNames,MATCH(INDEX(c_ALR2025!$L$491:$L$1975,MATCH(D28,c_ALR2025!$C$491:$C$1975,0)+3),EUconst_BMlistNumberOfBM,0)),""),"")</f>
        <v/>
      </c>
      <c r="F28" s="3109"/>
      <c r="G28" s="3106"/>
      <c r="H28" s="3107"/>
      <c r="I28" s="3111"/>
      <c r="J28" s="3112"/>
      <c r="K28" s="3113"/>
      <c r="L28" s="1280" t="str">
        <f t="shared" si="1"/>
        <v>N.A.</v>
      </c>
      <c r="M28" s="3104" t="str">
        <f t="shared" si="2"/>
        <v/>
      </c>
      <c r="N28" s="3105"/>
      <c r="O28" s="481"/>
      <c r="P28" s="10"/>
      <c r="Q28" s="1195" t="str">
        <f t="shared" si="9"/>
        <v>N.A.</v>
      </c>
      <c r="R28" s="1195" t="str">
        <f>IF(ISNUMBER(Q28),COUNT(Q$26:Q28),"")</f>
        <v/>
      </c>
      <c r="S28" s="1281" t="str">
        <f t="shared" si="3"/>
        <v>tonnes</v>
      </c>
      <c r="T28" s="1195" t="str">
        <f t="shared" si="10"/>
        <v/>
      </c>
      <c r="U28" s="1282" t="str">
        <f t="shared" si="11"/>
        <v/>
      </c>
      <c r="V28" s="1118"/>
      <c r="W28" s="1278">
        <f t="shared" si="12"/>
        <v>2</v>
      </c>
      <c r="X28" s="1278">
        <f t="shared" si="4"/>
        <v>1</v>
      </c>
      <c r="Y28" s="1278">
        <f t="shared" si="5"/>
        <v>2</v>
      </c>
      <c r="Z28" s="1278">
        <f t="shared" si="6"/>
        <v>2</v>
      </c>
      <c r="AA28" s="1278">
        <f t="shared" si="7"/>
        <v>2</v>
      </c>
      <c r="AP28" s="1135" t="s">
        <v>2603</v>
      </c>
    </row>
    <row r="29" spans="1:42" s="1119" customFormat="1">
      <c r="A29" s="1116"/>
      <c r="C29" s="485"/>
      <c r="D29" s="1279">
        <f t="shared" si="8"/>
        <v>4</v>
      </c>
      <c r="E29" s="3108" t="str">
        <f>IFERROR(IF(CTRL_InputMethodNIMsvalues=1,INDEX(EUconst_BMlistNames,MATCH(INDEX(c_ALR2025!$L$491:$L$1975,MATCH(D29,c_ALR2025!$C$491:$C$1975,0)+3),EUconst_BMlistNumberOfBM,0)),""),"")</f>
        <v/>
      </c>
      <c r="F29" s="3109"/>
      <c r="G29" s="3106"/>
      <c r="H29" s="3107"/>
      <c r="I29" s="3111"/>
      <c r="J29" s="3112"/>
      <c r="K29" s="3113"/>
      <c r="L29" s="1280" t="str">
        <f t="shared" si="1"/>
        <v>N.A.</v>
      </c>
      <c r="M29" s="3104" t="str">
        <f t="shared" si="2"/>
        <v/>
      </c>
      <c r="N29" s="3105"/>
      <c r="O29" s="481"/>
      <c r="P29" s="10"/>
      <c r="Q29" s="1195" t="str">
        <f t="shared" si="9"/>
        <v>N.A.</v>
      </c>
      <c r="R29" s="1195" t="str">
        <f>IF(ISNUMBER(Q29),COUNT(Q$26:Q29),"")</f>
        <v/>
      </c>
      <c r="S29" s="1281" t="str">
        <f t="shared" si="3"/>
        <v>tonnes</v>
      </c>
      <c r="T29" s="1195" t="str">
        <f t="shared" si="10"/>
        <v/>
      </c>
      <c r="U29" s="1282" t="str">
        <f t="shared" si="11"/>
        <v/>
      </c>
      <c r="V29" s="1118"/>
      <c r="W29" s="1278">
        <f t="shared" si="12"/>
        <v>2</v>
      </c>
      <c r="X29" s="1278">
        <f t="shared" si="4"/>
        <v>1</v>
      </c>
      <c r="Y29" s="1278">
        <f t="shared" si="5"/>
        <v>2</v>
      </c>
      <c r="Z29" s="1278">
        <f t="shared" si="6"/>
        <v>2</v>
      </c>
      <c r="AA29" s="1278">
        <f t="shared" si="7"/>
        <v>2</v>
      </c>
      <c r="AP29" s="1135" t="s">
        <v>2604</v>
      </c>
    </row>
    <row r="30" spans="1:42" s="1119" customFormat="1">
      <c r="A30" s="1116"/>
      <c r="C30" s="485"/>
      <c r="D30" s="1279">
        <f t="shared" si="8"/>
        <v>5</v>
      </c>
      <c r="E30" s="3108" t="str">
        <f>IFERROR(IF(CTRL_InputMethodNIMsvalues=1,INDEX(EUconst_BMlistNames,MATCH(INDEX(c_ALR2025!$L$491:$L$1975,MATCH(D30,c_ALR2025!$C$491:$C$1975,0)+3),EUconst_BMlistNumberOfBM,0)),""),"")</f>
        <v/>
      </c>
      <c r="F30" s="3109"/>
      <c r="G30" s="3106"/>
      <c r="H30" s="3107"/>
      <c r="I30" s="3111"/>
      <c r="J30" s="3112"/>
      <c r="K30" s="3113"/>
      <c r="L30" s="1280" t="str">
        <f t="shared" si="1"/>
        <v>N.A.</v>
      </c>
      <c r="M30" s="3104" t="str">
        <f t="shared" si="2"/>
        <v/>
      </c>
      <c r="N30" s="3105"/>
      <c r="O30" s="481"/>
      <c r="P30" s="10"/>
      <c r="Q30" s="1195" t="str">
        <f t="shared" si="9"/>
        <v>N.A.</v>
      </c>
      <c r="R30" s="1195" t="str">
        <f>IF(ISNUMBER(Q30),COUNT(Q$26:Q30),"")</f>
        <v/>
      </c>
      <c r="S30" s="1281" t="str">
        <f t="shared" si="3"/>
        <v>tonnes</v>
      </c>
      <c r="T30" s="1195" t="str">
        <f t="shared" si="10"/>
        <v/>
      </c>
      <c r="U30" s="1282" t="str">
        <f t="shared" si="11"/>
        <v/>
      </c>
      <c r="V30" s="1118"/>
      <c r="W30" s="1278">
        <f t="shared" si="12"/>
        <v>2</v>
      </c>
      <c r="X30" s="1278">
        <f t="shared" si="4"/>
        <v>1</v>
      </c>
      <c r="Y30" s="1278">
        <f t="shared" si="5"/>
        <v>2</v>
      </c>
      <c r="Z30" s="1278">
        <f t="shared" si="6"/>
        <v>2</v>
      </c>
      <c r="AA30" s="1278">
        <f t="shared" si="7"/>
        <v>2</v>
      </c>
      <c r="AP30" s="1135" t="s">
        <v>2605</v>
      </c>
    </row>
    <row r="31" spans="1:42" s="1119" customFormat="1">
      <c r="A31" s="1116"/>
      <c r="C31" s="485"/>
      <c r="D31" s="1279">
        <f t="shared" si="8"/>
        <v>6</v>
      </c>
      <c r="E31" s="3108" t="str">
        <f>IFERROR(IF(CTRL_InputMethodNIMsvalues=1,INDEX(EUconst_BMlistNames,MATCH(INDEX(c_ALR2025!$L$491:$L$1975,MATCH(D31,c_ALR2025!$C$491:$C$1975,0)+3),EUconst_BMlistNumberOfBM,0)),""),"")</f>
        <v/>
      </c>
      <c r="F31" s="3109"/>
      <c r="G31" s="3106"/>
      <c r="H31" s="3107"/>
      <c r="I31" s="3111"/>
      <c r="J31" s="3112"/>
      <c r="K31" s="3113"/>
      <c r="L31" s="1280" t="str">
        <f t="shared" si="1"/>
        <v>N.A.</v>
      </c>
      <c r="M31" s="3104" t="str">
        <f t="shared" si="2"/>
        <v/>
      </c>
      <c r="N31" s="3105"/>
      <c r="O31" s="481"/>
      <c r="P31" s="10"/>
      <c r="Q31" s="1195" t="str">
        <f t="shared" si="9"/>
        <v>N.A.</v>
      </c>
      <c r="R31" s="1195" t="str">
        <f>IF(ISNUMBER(Q31),COUNT(Q$26:Q31),"")</f>
        <v/>
      </c>
      <c r="S31" s="1281" t="str">
        <f t="shared" si="3"/>
        <v>tonnes</v>
      </c>
      <c r="T31" s="1195" t="str">
        <f t="shared" si="10"/>
        <v/>
      </c>
      <c r="U31" s="1282" t="str">
        <f t="shared" si="11"/>
        <v/>
      </c>
      <c r="V31" s="1118"/>
      <c r="W31" s="1278">
        <f t="shared" si="12"/>
        <v>2</v>
      </c>
      <c r="X31" s="1278">
        <f t="shared" si="4"/>
        <v>1</v>
      </c>
      <c r="Y31" s="1278">
        <f t="shared" si="5"/>
        <v>2</v>
      </c>
      <c r="Z31" s="1278">
        <f t="shared" si="6"/>
        <v>2</v>
      </c>
      <c r="AA31" s="1278">
        <f t="shared" si="7"/>
        <v>2</v>
      </c>
      <c r="AP31" s="1135" t="s">
        <v>2606</v>
      </c>
    </row>
    <row r="32" spans="1:42" s="1119" customFormat="1">
      <c r="A32" s="1116"/>
      <c r="C32" s="485"/>
      <c r="D32" s="1279">
        <f t="shared" si="8"/>
        <v>7</v>
      </c>
      <c r="E32" s="3108" t="str">
        <f>IFERROR(IF(CTRL_InputMethodNIMsvalues=1,INDEX(EUconst_BMlistNames,MATCH(INDEX(c_ALR2025!$L$491:$L$1975,MATCH(D32,c_ALR2025!$C$491:$C$1975,0)+3),EUconst_BMlistNumberOfBM,0)),""),"")</f>
        <v/>
      </c>
      <c r="F32" s="3109"/>
      <c r="G32" s="3106"/>
      <c r="H32" s="3107"/>
      <c r="I32" s="3111"/>
      <c r="J32" s="3112"/>
      <c r="K32" s="3113"/>
      <c r="L32" s="1280" t="str">
        <f t="shared" si="1"/>
        <v>N.A.</v>
      </c>
      <c r="M32" s="3104" t="str">
        <f t="shared" si="2"/>
        <v/>
      </c>
      <c r="N32" s="3105"/>
      <c r="O32" s="481"/>
      <c r="P32" s="10"/>
      <c r="Q32" s="1195" t="str">
        <f t="shared" si="9"/>
        <v>N.A.</v>
      </c>
      <c r="R32" s="1195" t="str">
        <f>IF(ISNUMBER(Q32),COUNT(Q$26:Q32),"")</f>
        <v/>
      </c>
      <c r="S32" s="1281" t="str">
        <f t="shared" si="3"/>
        <v>tonnes</v>
      </c>
      <c r="T32" s="1195" t="str">
        <f t="shared" si="10"/>
        <v/>
      </c>
      <c r="U32" s="1282" t="str">
        <f t="shared" si="11"/>
        <v/>
      </c>
      <c r="V32" s="1118"/>
      <c r="W32" s="1278">
        <f t="shared" si="12"/>
        <v>2</v>
      </c>
      <c r="X32" s="1278">
        <f t="shared" si="4"/>
        <v>1</v>
      </c>
      <c r="Y32" s="1278">
        <f t="shared" si="5"/>
        <v>2</v>
      </c>
      <c r="Z32" s="1278">
        <f t="shared" si="6"/>
        <v>2</v>
      </c>
      <c r="AA32" s="1278">
        <f t="shared" si="7"/>
        <v>2</v>
      </c>
      <c r="AP32" s="1135" t="s">
        <v>2607</v>
      </c>
    </row>
    <row r="33" spans="1:42" s="1119" customFormat="1">
      <c r="A33" s="1116"/>
      <c r="C33" s="485"/>
      <c r="D33" s="1279">
        <f t="shared" si="8"/>
        <v>8</v>
      </c>
      <c r="E33" s="3108" t="str">
        <f>IFERROR(IF(CTRL_InputMethodNIMsvalues=1,INDEX(EUconst_BMlistNames,MATCH(INDEX(c_ALR2025!$L$491:$L$1975,MATCH(D33,c_ALR2025!$C$491:$C$1975,0)+3),EUconst_BMlistNumberOfBM,0)),""),"")</f>
        <v/>
      </c>
      <c r="F33" s="3109"/>
      <c r="G33" s="3106"/>
      <c r="H33" s="3107"/>
      <c r="I33" s="3111"/>
      <c r="J33" s="3112"/>
      <c r="K33" s="3113"/>
      <c r="L33" s="1280" t="str">
        <f t="shared" si="1"/>
        <v>N.A.</v>
      </c>
      <c r="M33" s="3104" t="str">
        <f t="shared" si="2"/>
        <v/>
      </c>
      <c r="N33" s="3105"/>
      <c r="O33" s="481"/>
      <c r="P33" s="10"/>
      <c r="Q33" s="1195" t="str">
        <f t="shared" si="9"/>
        <v>N.A.</v>
      </c>
      <c r="R33" s="1195" t="str">
        <f>IF(ISNUMBER(Q33),COUNT(Q$26:Q33),"")</f>
        <v/>
      </c>
      <c r="S33" s="1281" t="str">
        <f t="shared" si="3"/>
        <v>tonnes</v>
      </c>
      <c r="T33" s="1195" t="str">
        <f t="shared" si="10"/>
        <v/>
      </c>
      <c r="U33" s="1282" t="str">
        <f t="shared" si="11"/>
        <v/>
      </c>
      <c r="V33" s="1118"/>
      <c r="W33" s="1278">
        <f t="shared" si="12"/>
        <v>2</v>
      </c>
      <c r="X33" s="1278">
        <f t="shared" si="4"/>
        <v>1</v>
      </c>
      <c r="Y33" s="1278">
        <f t="shared" si="5"/>
        <v>2</v>
      </c>
      <c r="Z33" s="1278">
        <f t="shared" si="6"/>
        <v>2</v>
      </c>
      <c r="AA33" s="1278">
        <f t="shared" si="7"/>
        <v>2</v>
      </c>
      <c r="AP33" s="1135" t="s">
        <v>2608</v>
      </c>
    </row>
    <row r="34" spans="1:42" s="1119" customFormat="1">
      <c r="A34" s="1116"/>
      <c r="C34" s="485"/>
      <c r="D34" s="1279">
        <f t="shared" si="8"/>
        <v>9</v>
      </c>
      <c r="E34" s="3108" t="str">
        <f>IFERROR(IF(CTRL_InputMethodNIMsvalues=1,INDEX(EUconst_BMlistNames,MATCH(INDEX(c_ALR2025!$L$491:$L$1975,MATCH(D34,c_ALR2025!$C$491:$C$1975,0)+3),EUconst_BMlistNumberOfBM,0)),""),"")</f>
        <v/>
      </c>
      <c r="F34" s="3109"/>
      <c r="G34" s="3106"/>
      <c r="H34" s="3107"/>
      <c r="I34" s="3111"/>
      <c r="J34" s="3112"/>
      <c r="K34" s="3113"/>
      <c r="L34" s="1280" t="str">
        <f t="shared" si="1"/>
        <v>N.A.</v>
      </c>
      <c r="M34" s="3104" t="str">
        <f t="shared" si="2"/>
        <v/>
      </c>
      <c r="N34" s="3105"/>
      <c r="O34" s="481"/>
      <c r="P34" s="10"/>
      <c r="Q34" s="1195" t="str">
        <f t="shared" si="9"/>
        <v>N.A.</v>
      </c>
      <c r="R34" s="1195" t="str">
        <f>IF(ISNUMBER(Q34),COUNT(Q$26:Q34),"")</f>
        <v/>
      </c>
      <c r="S34" s="1281" t="str">
        <f t="shared" si="3"/>
        <v>tonnes</v>
      </c>
      <c r="T34" s="1195" t="str">
        <f t="shared" si="10"/>
        <v/>
      </c>
      <c r="U34" s="1282" t="str">
        <f t="shared" si="11"/>
        <v/>
      </c>
      <c r="V34" s="1118"/>
      <c r="W34" s="1278">
        <f t="shared" si="12"/>
        <v>2</v>
      </c>
      <c r="X34" s="1278">
        <f t="shared" si="4"/>
        <v>1</v>
      </c>
      <c r="Y34" s="1278">
        <f t="shared" si="5"/>
        <v>2</v>
      </c>
      <c r="Z34" s="1278">
        <f t="shared" si="6"/>
        <v>2</v>
      </c>
      <c r="AA34" s="1278">
        <f t="shared" si="7"/>
        <v>2</v>
      </c>
      <c r="AP34" s="1135" t="s">
        <v>2609</v>
      </c>
    </row>
    <row r="35" spans="1:42" s="1119" customFormat="1" ht="13.5" thickBot="1">
      <c r="A35" s="1116"/>
      <c r="C35" s="485"/>
      <c r="D35" s="1283">
        <f t="shared" si="8"/>
        <v>10</v>
      </c>
      <c r="E35" s="3138" t="str">
        <f>IFERROR(IF(CTRL_InputMethodNIMsvalues=1,INDEX(EUconst_BMlistNames,MATCH(INDEX(c_ALR2025!$L$491:$L$1975,MATCH(D35,c_ALR2025!$C$491:$C$1975,0)+3),EUconst_BMlistNumberOfBM,0)),""),"")</f>
        <v/>
      </c>
      <c r="F35" s="3139"/>
      <c r="G35" s="3133"/>
      <c r="H35" s="3134"/>
      <c r="I35" s="3135"/>
      <c r="J35" s="3136"/>
      <c r="K35" s="3137"/>
      <c r="L35" s="1284" t="str">
        <f t="shared" si="1"/>
        <v>N.A.</v>
      </c>
      <c r="M35" s="3102" t="str">
        <f t="shared" si="2"/>
        <v/>
      </c>
      <c r="N35" s="3103"/>
      <c r="O35" s="481"/>
      <c r="P35" s="10"/>
      <c r="Q35" s="1196" t="str">
        <f t="shared" si="9"/>
        <v>N.A.</v>
      </c>
      <c r="R35" s="1196" t="str">
        <f>IF(ISNUMBER(Q35),COUNT(Q$26:Q35),"")</f>
        <v/>
      </c>
      <c r="S35" s="1285" t="str">
        <f t="shared" si="3"/>
        <v>tonnes</v>
      </c>
      <c r="T35" s="1196" t="str">
        <f t="shared" si="10"/>
        <v/>
      </c>
      <c r="U35" s="1286" t="str">
        <f t="shared" si="11"/>
        <v/>
      </c>
      <c r="V35" s="1118"/>
      <c r="W35" s="1278">
        <f t="shared" si="12"/>
        <v>2</v>
      </c>
      <c r="X35" s="1278">
        <f t="shared" si="4"/>
        <v>1</v>
      </c>
      <c r="Y35" s="1278">
        <f t="shared" si="5"/>
        <v>2</v>
      </c>
      <c r="Z35" s="1278">
        <f t="shared" si="6"/>
        <v>2</v>
      </c>
      <c r="AA35" s="1278">
        <f t="shared" si="7"/>
        <v>2</v>
      </c>
      <c r="AP35" s="1135" t="s">
        <v>2610</v>
      </c>
    </row>
    <row r="36" spans="1:42" s="1119" customFormat="1">
      <c r="A36" s="1116"/>
      <c r="C36" s="485"/>
      <c r="D36" s="1287"/>
      <c r="E36" s="3083" t="str">
        <f>IF(MAX(T26:T35)&gt;1,EUconst_ERR_DoubleBMentry,"")</f>
        <v/>
      </c>
      <c r="F36" s="3084"/>
      <c r="G36" s="3084"/>
      <c r="H36" s="3084"/>
      <c r="I36" s="3084"/>
      <c r="J36" s="3084"/>
      <c r="K36" s="3085"/>
      <c r="L36" s="485"/>
      <c r="M36" s="485"/>
      <c r="N36" s="485"/>
      <c r="O36" s="481"/>
      <c r="P36" s="485"/>
      <c r="Q36" s="1118"/>
      <c r="R36" s="1288"/>
      <c r="S36" s="1118"/>
      <c r="T36" s="1118"/>
      <c r="U36" s="1118"/>
      <c r="V36" s="1118"/>
      <c r="W36" s="1118"/>
      <c r="X36" s="1118"/>
      <c r="Y36" s="1118"/>
      <c r="Z36" s="1118"/>
      <c r="AA36" s="1118"/>
      <c r="AP36" s="1121"/>
    </row>
    <row r="37" spans="1:42" s="1119" customFormat="1" ht="5.0999999999999996" customHeight="1">
      <c r="A37" s="1116"/>
      <c r="C37" s="485"/>
      <c r="D37" s="485"/>
      <c r="E37" s="485"/>
      <c r="F37" s="485"/>
      <c r="G37" s="485"/>
      <c r="H37" s="485"/>
      <c r="I37" s="485"/>
      <c r="J37" s="485"/>
      <c r="K37" s="485"/>
      <c r="L37" s="485"/>
      <c r="M37" s="485"/>
      <c r="N37" s="485"/>
      <c r="O37" s="481"/>
      <c r="P37" s="485"/>
      <c r="Q37" s="1118"/>
      <c r="R37" s="1289"/>
      <c r="S37" s="1118"/>
      <c r="T37" s="1118"/>
      <c r="U37" s="1118"/>
      <c r="V37" s="1118"/>
      <c r="W37" s="1118"/>
      <c r="X37" s="1118"/>
      <c r="Y37" s="1118"/>
      <c r="Z37" s="1118"/>
      <c r="AA37" s="1118"/>
      <c r="AP37" s="1121"/>
    </row>
    <row r="38" spans="1:42" s="1119" customFormat="1">
      <c r="A38" s="1116"/>
      <c r="C38" s="485"/>
      <c r="D38" s="3126" t="str">
        <f>IF(CNTR_HasEntries_A_I,IF(AND(A_InstallationData!E288&lt;&gt;"",MAX(R26:R61)&lt;1),EUconst_ERR_MissingSubInstEntry,""),"")</f>
        <v/>
      </c>
      <c r="E38" s="3127"/>
      <c r="F38" s="3127"/>
      <c r="G38" s="3127"/>
      <c r="H38" s="3127"/>
      <c r="I38" s="3127"/>
      <c r="J38" s="3127"/>
      <c r="K38" s="3127"/>
      <c r="L38" s="3127"/>
      <c r="M38" s="3127"/>
      <c r="N38" s="3128"/>
      <c r="O38" s="481"/>
      <c r="P38" s="485"/>
      <c r="Q38" s="1118"/>
      <c r="R38" s="1289"/>
      <c r="S38" s="1118"/>
      <c r="T38" s="1118"/>
      <c r="U38" s="1118"/>
      <c r="V38" s="1118"/>
      <c r="W38" s="1118"/>
      <c r="X38" s="1118"/>
      <c r="Y38" s="1118"/>
      <c r="Z38" s="1118"/>
      <c r="AA38" s="1118"/>
      <c r="AP38" s="1121"/>
    </row>
    <row r="39" spans="1:42" s="1119" customFormat="1">
      <c r="A39" s="1116"/>
      <c r="C39" s="485"/>
      <c r="D39" s="485"/>
      <c r="E39" s="485"/>
      <c r="F39" s="485"/>
      <c r="G39" s="485"/>
      <c r="H39" s="485"/>
      <c r="I39" s="485"/>
      <c r="J39" s="485"/>
      <c r="K39" s="485"/>
      <c r="L39" s="485"/>
      <c r="M39" s="485"/>
      <c r="N39" s="485"/>
      <c r="O39" s="481"/>
      <c r="P39" s="485"/>
      <c r="Q39" s="1118"/>
      <c r="R39" s="1289"/>
      <c r="S39" s="1118"/>
      <c r="T39" s="1118"/>
      <c r="U39" s="1118"/>
      <c r="V39" s="1118"/>
      <c r="W39" s="1118"/>
      <c r="X39" s="1118"/>
      <c r="Y39" s="1118"/>
      <c r="Z39" s="1118"/>
      <c r="AA39" s="1118"/>
      <c r="AP39" s="1121"/>
    </row>
    <row r="40" spans="1:42" s="1132" customFormat="1" ht="13.9" customHeight="1">
      <c r="A40" s="1125"/>
      <c r="C40" s="1254">
        <v>2</v>
      </c>
      <c r="D40" s="3119" t="s">
        <v>243</v>
      </c>
      <c r="E40" s="2577"/>
      <c r="F40" s="2577"/>
      <c r="G40" s="2577"/>
      <c r="H40" s="2577"/>
      <c r="I40" s="2577"/>
      <c r="J40" s="2577"/>
      <c r="K40" s="2577"/>
      <c r="L40" s="2577"/>
      <c r="M40" s="2577"/>
      <c r="N40" s="2577"/>
      <c r="O40" s="1127"/>
      <c r="P40" s="1127"/>
      <c r="Q40" s="1131"/>
      <c r="R40" s="1290"/>
      <c r="S40" s="1131"/>
      <c r="T40" s="1131"/>
      <c r="U40" s="1131"/>
      <c r="V40" s="1131"/>
      <c r="W40" s="1131"/>
      <c r="X40" s="1131"/>
      <c r="Y40" s="1131"/>
      <c r="Z40" s="1131"/>
      <c r="AA40" s="1131"/>
      <c r="AP40" s="1133"/>
    </row>
    <row r="41" spans="1:42" s="1119" customFormat="1" ht="13.15" customHeight="1">
      <c r="A41" s="1116"/>
      <c r="C41" s="485"/>
      <c r="D41" s="496"/>
      <c r="E41" s="2373" t="s">
        <v>521</v>
      </c>
      <c r="F41" s="2400"/>
      <c r="G41" s="2400"/>
      <c r="H41" s="2400"/>
      <c r="I41" s="2400"/>
      <c r="J41" s="2400"/>
      <c r="K41" s="2400"/>
      <c r="L41" s="2400"/>
      <c r="M41" s="2400"/>
      <c r="N41" s="2400"/>
      <c r="O41" s="481"/>
      <c r="P41" s="485"/>
      <c r="Q41" s="1118"/>
      <c r="R41" s="1289"/>
      <c r="S41" s="1118"/>
      <c r="T41" s="1118"/>
      <c r="U41" s="1118"/>
      <c r="V41" s="1118"/>
      <c r="W41" s="1118"/>
      <c r="X41" s="1118"/>
      <c r="Y41" s="1118"/>
      <c r="Z41" s="1118"/>
      <c r="AA41" s="1118"/>
      <c r="AP41" s="1133"/>
    </row>
    <row r="42" spans="1:42" s="1119" customFormat="1" ht="13.15" customHeight="1">
      <c r="A42" s="1116"/>
      <c r="C42" s="485"/>
      <c r="D42" s="485"/>
      <c r="E42" s="2385" t="s">
        <v>629</v>
      </c>
      <c r="F42" s="2846"/>
      <c r="G42" s="2846"/>
      <c r="H42" s="2846"/>
      <c r="I42" s="2846"/>
      <c r="J42" s="2846"/>
      <c r="K42" s="2846"/>
      <c r="L42" s="2846"/>
      <c r="M42" s="2846"/>
      <c r="N42" s="2846"/>
      <c r="O42" s="481"/>
      <c r="P42" s="485"/>
      <c r="Q42" s="1118"/>
      <c r="R42" s="1289"/>
      <c r="S42" s="1118"/>
      <c r="T42" s="1118"/>
      <c r="U42" s="1118"/>
      <c r="V42" s="1118"/>
      <c r="W42" s="1118"/>
      <c r="X42" s="1118"/>
      <c r="Y42" s="1118"/>
      <c r="Z42" s="1118"/>
      <c r="AA42" s="1118"/>
      <c r="AP42" s="1133"/>
    </row>
    <row r="43" spans="1:42" s="1119" customFormat="1" ht="13.15" customHeight="1">
      <c r="A43" s="1116"/>
      <c r="C43" s="485"/>
      <c r="D43" s="485"/>
      <c r="E43" s="2385" t="s">
        <v>2205</v>
      </c>
      <c r="F43" s="2846"/>
      <c r="G43" s="2846"/>
      <c r="H43" s="2846"/>
      <c r="I43" s="2846"/>
      <c r="J43" s="2846"/>
      <c r="K43" s="2846"/>
      <c r="L43" s="2846"/>
      <c r="M43" s="2846"/>
      <c r="N43" s="2846"/>
      <c r="O43" s="481"/>
      <c r="P43" s="485"/>
      <c r="Q43" s="1118"/>
      <c r="R43" s="1289"/>
      <c r="S43" s="1118"/>
      <c r="T43" s="1118"/>
      <c r="U43" s="1118"/>
      <c r="V43" s="1118"/>
      <c r="W43" s="1118"/>
      <c r="X43" s="1118"/>
      <c r="Y43" s="1118"/>
      <c r="Z43" s="1118"/>
      <c r="AA43" s="1118"/>
      <c r="AP43" s="1133"/>
    </row>
    <row r="44" spans="1:42" s="1119" customFormat="1" ht="13.15" customHeight="1">
      <c r="A44" s="1116"/>
      <c r="C44" s="485"/>
      <c r="D44" s="485"/>
      <c r="E44" s="2385" t="s">
        <v>628</v>
      </c>
      <c r="F44" s="2846"/>
      <c r="G44" s="2846"/>
      <c r="H44" s="2846"/>
      <c r="I44" s="2846"/>
      <c r="J44" s="2846"/>
      <c r="K44" s="2846"/>
      <c r="L44" s="2846"/>
      <c r="M44" s="2846"/>
      <c r="N44" s="2846"/>
      <c r="O44" s="481"/>
      <c r="P44" s="485"/>
      <c r="Q44" s="1118"/>
      <c r="R44" s="1289"/>
      <c r="S44" s="1118"/>
      <c r="T44" s="1118"/>
      <c r="U44" s="1255" t="s">
        <v>2600</v>
      </c>
      <c r="V44" s="1256"/>
      <c r="W44" s="1257"/>
      <c r="X44" s="1118"/>
      <c r="Y44" s="1118"/>
      <c r="Z44" s="1118"/>
      <c r="AA44" s="1118"/>
      <c r="AP44" s="1133"/>
    </row>
    <row r="45" spans="1:42" s="1119" customFormat="1" ht="25.5" customHeight="1">
      <c r="A45" s="1116"/>
      <c r="C45" s="485"/>
      <c r="D45" s="496"/>
      <c r="E45" s="517" t="s">
        <v>1833</v>
      </c>
      <c r="F45" s="1261" t="s">
        <v>1893</v>
      </c>
      <c r="G45" s="3110" t="s">
        <v>2204</v>
      </c>
      <c r="H45" s="3110"/>
      <c r="I45" s="3110"/>
      <c r="J45" s="3110"/>
      <c r="K45" s="3110"/>
      <c r="L45" s="3110"/>
      <c r="M45" s="3110"/>
      <c r="N45" s="3110"/>
      <c r="O45" s="481"/>
      <c r="P45" s="485"/>
      <c r="Q45" s="1118"/>
      <c r="R45" s="1289"/>
      <c r="S45" s="1118"/>
      <c r="T45" s="1118"/>
      <c r="U45" s="1291" t="str">
        <f t="shared" ref="U45:U51" si="13">T55</f>
        <v/>
      </c>
      <c r="V45" s="1131"/>
      <c r="W45" s="1260"/>
      <c r="X45" s="1118"/>
      <c r="Y45" s="1118"/>
      <c r="Z45" s="1118"/>
      <c r="AA45" s="1118"/>
      <c r="AP45" s="1292" t="s">
        <v>2628</v>
      </c>
    </row>
    <row r="46" spans="1:42" s="1119" customFormat="1" ht="12.75" customHeight="1">
      <c r="A46" s="1116"/>
      <c r="C46" s="485"/>
      <c r="D46" s="496"/>
      <c r="E46" s="1293"/>
      <c r="F46" s="1261" t="s">
        <v>1894</v>
      </c>
      <c r="G46" s="3110" t="s">
        <v>1898</v>
      </c>
      <c r="H46" s="3110"/>
      <c r="I46" s="3110"/>
      <c r="J46" s="3110"/>
      <c r="K46" s="3110"/>
      <c r="L46" s="3110"/>
      <c r="M46" s="3110"/>
      <c r="N46" s="3110"/>
      <c r="O46" s="481"/>
      <c r="P46" s="485"/>
      <c r="Q46" s="1118"/>
      <c r="R46" s="1289"/>
      <c r="S46" s="1118"/>
      <c r="T46" s="1118"/>
      <c r="U46" s="1291" t="str">
        <f t="shared" si="13"/>
        <v/>
      </c>
      <c r="V46" s="1118"/>
      <c r="W46" s="1263"/>
      <c r="X46" s="1118"/>
      <c r="Y46" s="1118"/>
      <c r="Z46" s="1118"/>
      <c r="AA46" s="1118"/>
      <c r="AP46" s="1292" t="s">
        <v>2629</v>
      </c>
    </row>
    <row r="47" spans="1:42" s="1119" customFormat="1" ht="25.5" customHeight="1">
      <c r="A47" s="1116"/>
      <c r="C47" s="485"/>
      <c r="D47" s="496"/>
      <c r="E47" s="517" t="s">
        <v>1939</v>
      </c>
      <c r="F47" s="1261" t="s">
        <v>1893</v>
      </c>
      <c r="G47" s="3110" t="s">
        <v>2150</v>
      </c>
      <c r="H47" s="3110"/>
      <c r="I47" s="3110"/>
      <c r="J47" s="3110"/>
      <c r="K47" s="3110"/>
      <c r="L47" s="3110"/>
      <c r="M47" s="3110"/>
      <c r="N47" s="3110"/>
      <c r="O47" s="481"/>
      <c r="P47" s="485"/>
      <c r="Q47" s="1118"/>
      <c r="R47" s="1289"/>
      <c r="S47" s="1118"/>
      <c r="T47" s="1118"/>
      <c r="U47" s="1291" t="str">
        <f t="shared" si="13"/>
        <v/>
      </c>
      <c r="V47" s="1118"/>
      <c r="W47" s="1263"/>
      <c r="X47" s="1118"/>
      <c r="Y47" s="1118"/>
      <c r="Z47" s="1118"/>
      <c r="AA47" s="1118"/>
      <c r="AP47" s="1292" t="s">
        <v>2630</v>
      </c>
    </row>
    <row r="48" spans="1:42" s="1119" customFormat="1" ht="12.75" customHeight="1">
      <c r="A48" s="1116"/>
      <c r="C48" s="485"/>
      <c r="D48" s="496"/>
      <c r="E48" s="1293"/>
      <c r="F48" s="1261" t="s">
        <v>1894</v>
      </c>
      <c r="G48" s="3110" t="s">
        <v>1895</v>
      </c>
      <c r="H48" s="3110"/>
      <c r="I48" s="3110"/>
      <c r="J48" s="3110"/>
      <c r="K48" s="3110"/>
      <c r="L48" s="3110"/>
      <c r="M48" s="3110"/>
      <c r="N48" s="3110"/>
      <c r="O48" s="481"/>
      <c r="P48" s="485"/>
      <c r="Q48" s="1118"/>
      <c r="R48" s="1289"/>
      <c r="S48" s="1118"/>
      <c r="T48" s="1118"/>
      <c r="U48" s="1291" t="str">
        <f t="shared" si="13"/>
        <v/>
      </c>
      <c r="V48" s="1118"/>
      <c r="W48" s="1263"/>
      <c r="X48" s="1118"/>
      <c r="Y48" s="1118"/>
      <c r="Z48" s="1118"/>
      <c r="AA48" s="1118"/>
      <c r="AP48" s="1292" t="s">
        <v>2631</v>
      </c>
    </row>
    <row r="49" spans="1:42" s="1119" customFormat="1" ht="25.5" customHeight="1">
      <c r="A49" s="1116"/>
      <c r="C49" s="485"/>
      <c r="D49" s="496"/>
      <c r="E49" s="517" t="s">
        <v>1420</v>
      </c>
      <c r="F49" s="1261" t="s">
        <v>1893</v>
      </c>
      <c r="G49" s="3110" t="s">
        <v>1896</v>
      </c>
      <c r="H49" s="3110"/>
      <c r="I49" s="3110"/>
      <c r="J49" s="3110"/>
      <c r="K49" s="3110"/>
      <c r="L49" s="3110"/>
      <c r="M49" s="3110"/>
      <c r="N49" s="3110"/>
      <c r="O49" s="481"/>
      <c r="P49" s="485"/>
      <c r="Q49" s="1118"/>
      <c r="R49" s="1289"/>
      <c r="S49" s="1118"/>
      <c r="T49" s="1118"/>
      <c r="U49" s="1291" t="str">
        <f t="shared" si="13"/>
        <v/>
      </c>
      <c r="V49" s="1118"/>
      <c r="W49" s="1263"/>
      <c r="X49" s="1118"/>
      <c r="Y49" s="1118"/>
      <c r="Z49" s="1118"/>
      <c r="AA49" s="1118"/>
      <c r="AP49" s="1292" t="s">
        <v>2632</v>
      </c>
    </row>
    <row r="50" spans="1:42" s="1119" customFormat="1" ht="13.15" customHeight="1">
      <c r="A50" s="1116"/>
      <c r="C50" s="485"/>
      <c r="D50" s="496"/>
      <c r="E50" s="1293"/>
      <c r="F50" s="1261" t="s">
        <v>1894</v>
      </c>
      <c r="G50" s="3110" t="s">
        <v>1897</v>
      </c>
      <c r="H50" s="3110"/>
      <c r="I50" s="3110"/>
      <c r="J50" s="3110"/>
      <c r="K50" s="3110"/>
      <c r="L50" s="3110"/>
      <c r="M50" s="3110"/>
      <c r="N50" s="3110"/>
      <c r="O50" s="481"/>
      <c r="P50" s="485"/>
      <c r="Q50" s="1118"/>
      <c r="R50" s="1289"/>
      <c r="S50" s="1118"/>
      <c r="T50" s="1118"/>
      <c r="U50" s="1291" t="str">
        <f t="shared" si="13"/>
        <v/>
      </c>
      <c r="V50" s="1118"/>
      <c r="W50" s="1263"/>
      <c r="X50" s="1118"/>
      <c r="Y50" s="1118"/>
      <c r="Z50" s="1118"/>
      <c r="AA50" s="1118"/>
      <c r="AP50" s="1292" t="s">
        <v>2633</v>
      </c>
    </row>
    <row r="51" spans="1:42" s="1119" customFormat="1" ht="27.75" customHeight="1">
      <c r="A51" s="1116"/>
      <c r="C51" s="485"/>
      <c r="D51" s="496"/>
      <c r="E51" s="1262" t="s">
        <v>1836</v>
      </c>
      <c r="F51" s="1294"/>
      <c r="G51" s="3129" t="s">
        <v>1845</v>
      </c>
      <c r="H51" s="3129"/>
      <c r="I51" s="3129"/>
      <c r="J51" s="3129"/>
      <c r="K51" s="3129"/>
      <c r="L51" s="3129"/>
      <c r="M51" s="3129"/>
      <c r="N51" s="3129"/>
      <c r="O51" s="481"/>
      <c r="P51" s="485"/>
      <c r="Q51" s="1118"/>
      <c r="R51" s="1289"/>
      <c r="S51" s="1118"/>
      <c r="T51" s="1118"/>
      <c r="U51" s="1295" t="str">
        <f t="shared" si="13"/>
        <v/>
      </c>
      <c r="V51" s="1266"/>
      <c r="W51" s="1267"/>
      <c r="X51" s="1118"/>
      <c r="Y51" s="1118"/>
      <c r="Z51" s="1118"/>
      <c r="AA51" s="1118"/>
      <c r="AP51" s="1292" t="s">
        <v>2634</v>
      </c>
    </row>
    <row r="52" spans="1:42" s="1119" customFormat="1" ht="12.75" customHeight="1">
      <c r="A52" s="1116"/>
      <c r="C52" s="485"/>
      <c r="D52" s="485"/>
      <c r="E52" s="2385" t="s">
        <v>242</v>
      </c>
      <c r="F52" s="2846"/>
      <c r="G52" s="2846"/>
      <c r="H52" s="2846"/>
      <c r="I52" s="2846"/>
      <c r="J52" s="2846"/>
      <c r="K52" s="2846"/>
      <c r="L52" s="2846"/>
      <c r="M52" s="2846"/>
      <c r="N52" s="2846"/>
      <c r="O52" s="481"/>
      <c r="P52" s="485"/>
      <c r="Q52" s="1118"/>
      <c r="R52" s="1289"/>
      <c r="S52" s="1118"/>
      <c r="T52" s="1118"/>
      <c r="U52" s="1118"/>
      <c r="V52" s="1118"/>
      <c r="W52" s="1118"/>
      <c r="X52" s="1118"/>
      <c r="Y52" s="1118"/>
      <c r="Z52" s="1118"/>
      <c r="AA52" s="1118"/>
      <c r="AP52" s="1121"/>
    </row>
    <row r="53" spans="1:42" s="1119" customFormat="1" ht="5.0999999999999996" customHeight="1" thickBot="1">
      <c r="A53" s="1116"/>
      <c r="C53" s="467"/>
      <c r="D53" s="467"/>
      <c r="E53" s="467"/>
      <c r="F53" s="467"/>
      <c r="G53" s="467"/>
      <c r="H53" s="467"/>
      <c r="I53" s="467"/>
      <c r="J53" s="467"/>
      <c r="K53" s="467"/>
      <c r="L53" s="467"/>
      <c r="M53" s="481"/>
      <c r="N53" s="481"/>
      <c r="O53" s="481"/>
      <c r="P53" s="485"/>
      <c r="Q53" s="1117"/>
      <c r="R53" s="1289"/>
      <c r="S53" s="1118"/>
      <c r="T53" s="1118"/>
      <c r="U53" s="1118"/>
      <c r="V53" s="1118"/>
      <c r="W53" s="1118"/>
      <c r="X53" s="1118"/>
      <c r="Y53" s="1118"/>
      <c r="Z53" s="1118"/>
      <c r="AA53" s="1118"/>
      <c r="AP53" s="1121"/>
    </row>
    <row r="54" spans="1:42" s="1119" customFormat="1" ht="38.85" customHeight="1" thickBot="1">
      <c r="A54" s="1116"/>
      <c r="C54" s="485"/>
      <c r="D54" s="1296" t="s">
        <v>522</v>
      </c>
      <c r="E54" s="2634" t="s">
        <v>273</v>
      </c>
      <c r="F54" s="3080"/>
      <c r="G54" s="1297" t="s">
        <v>1879</v>
      </c>
      <c r="H54" s="1297" t="s">
        <v>1974</v>
      </c>
      <c r="I54" s="3175" t="s">
        <v>1420</v>
      </c>
      <c r="J54" s="3176"/>
      <c r="K54" s="3177"/>
      <c r="L54" s="1298" t="s">
        <v>274</v>
      </c>
      <c r="M54" s="485"/>
      <c r="N54" s="485"/>
      <c r="O54" s="481"/>
      <c r="P54" s="485"/>
      <c r="Q54" s="1299" t="s">
        <v>828</v>
      </c>
      <c r="R54" s="1299" t="s">
        <v>287</v>
      </c>
      <c r="S54" s="1299" t="s">
        <v>884</v>
      </c>
      <c r="T54" s="1299" t="s">
        <v>1825</v>
      </c>
      <c r="U54" s="1272" t="s">
        <v>1823</v>
      </c>
      <c r="V54" s="1273" t="s">
        <v>1890</v>
      </c>
      <c r="W54" s="1158" t="s">
        <v>1891</v>
      </c>
      <c r="X54" s="1158" t="s">
        <v>1892</v>
      </c>
      <c r="Y54" s="1158" t="s">
        <v>1827</v>
      </c>
      <c r="Z54" s="1158" t="s">
        <v>1828</v>
      </c>
      <c r="AA54" s="1158" t="s">
        <v>1829</v>
      </c>
      <c r="AP54" s="1121"/>
    </row>
    <row r="55" spans="1:42" s="1119" customFormat="1" ht="12.75" customHeight="1">
      <c r="A55" s="1116"/>
      <c r="C55" s="485"/>
      <c r="D55" s="1274">
        <v>11</v>
      </c>
      <c r="E55" s="3081" t="str">
        <f t="shared" ref="E55:E61" si="14">INDEX(EUconst_FallBackListNames,D55-10)</f>
        <v>Heat benchmark sub-installation, CL</v>
      </c>
      <c r="F55" s="3082"/>
      <c r="G55" s="1300" t="str">
        <f>IF(OR(CTRL_InputMethodNIMsvalues&lt;&gt;1,c_ALR2025!M2133=""),"",SUM(c_ALR2025!M2136)&gt;0)</f>
        <v/>
      </c>
      <c r="H55" s="1402"/>
      <c r="I55" s="3178"/>
      <c r="J55" s="3179"/>
      <c r="K55" s="3180"/>
      <c r="L55" s="1301"/>
      <c r="M55" s="485"/>
      <c r="N55" s="484"/>
      <c r="O55" s="481"/>
      <c r="P55" s="10"/>
      <c r="Q55" s="1302" t="str">
        <f t="shared" ref="Q55:Q61" si="15">IF(AND($H55="",$G55=""),EUconst_NA,IF(IF($H55="",IF($G55="","",$G55),$H55),INDEX(EUconst_FallBackListNumber,MATCH($E55,EUconst_FallBackListNames,0)),EUconst_NA))</f>
        <v>N.A.</v>
      </c>
      <c r="R55" s="1194" t="str">
        <f>IF(ISNUMBER(Q55),COUNT(Q$55:Q55)+MAX($R$26:$R$35),"")</f>
        <v/>
      </c>
      <c r="S55" s="1302" t="str">
        <f t="shared" ref="S55:S61" si="16">INDEX(EUconst_FallBackListUnits,MATCH($E55,EUconst_FallBackListNames,0))</f>
        <v>TJ</v>
      </c>
      <c r="T55" s="1302" t="str">
        <f>IF(H55="",IF(G55="","",G55),H55)</f>
        <v/>
      </c>
      <c r="U55" s="1277" t="str">
        <f>IF(E55="",IF(G55="","",G55),E55)</f>
        <v>Heat benchmark sub-installation, CL</v>
      </c>
      <c r="V55" s="1118"/>
      <c r="W55" s="1401">
        <f>IF(OR(CTRL_InputMethodNIMsvalues=2,CNTR_Incumbent=FALSE),0,2)</f>
        <v>2</v>
      </c>
      <c r="X55" s="1401">
        <f t="shared" ref="X55:X61" si="17">IF(AND(CNTR_Incumbent,CTRL_InputMethodNIMsvalues&lt;&gt;2,G55=TRUE),0,IF(AND(CNTR_Incumbent,CTRL_InputMethodNIMsvalues=1,G55&lt;&gt;""),1,2))</f>
        <v>2</v>
      </c>
      <c r="Y55" s="1401">
        <f t="shared" ref="Y55:Y61" si="18">IF(CNTR_HasEntries_A_I,IF(AND(H55&lt;&gt;TRUE,T55&lt;&gt;TRUE),0,IF(AND(CNTR_Incumbent,H55=""),1,2)),2)</f>
        <v>2</v>
      </c>
      <c r="Z55" s="1401">
        <f t="shared" ref="Z55:Z61" si="19">IF(CNTR_HasEntries_A_I,IF(AND(CNTR_Cessation,T55=TRUE),2,0),2)</f>
        <v>2</v>
      </c>
      <c r="AA55" s="1303">
        <f t="shared" ref="AA55:AA61" si="20">Z55</f>
        <v>2</v>
      </c>
      <c r="AP55" s="1135" t="s">
        <v>2627</v>
      </c>
    </row>
    <row r="56" spans="1:42" s="1119" customFormat="1" ht="12.75" customHeight="1">
      <c r="A56" s="1116"/>
      <c r="C56" s="485"/>
      <c r="D56" s="1279">
        <f>D55+1</f>
        <v>12</v>
      </c>
      <c r="E56" s="3078" t="str">
        <f t="shared" si="14"/>
        <v>Heat benchmark sub-installation, non-CL</v>
      </c>
      <c r="F56" s="3079"/>
      <c r="G56" s="1304" t="str">
        <f>IF(OR(CTRL_InputMethodNIMsvalues&lt;&gt;1,c_ALR2025!M2200=""),"",SUM(c_ALR2025!M2203)&gt;0)</f>
        <v/>
      </c>
      <c r="H56" s="1403"/>
      <c r="I56" s="3111"/>
      <c r="J56" s="3112"/>
      <c r="K56" s="3113"/>
      <c r="L56" s="1305"/>
      <c r="M56" s="485"/>
      <c r="N56" s="484"/>
      <c r="O56" s="481"/>
      <c r="P56" s="10"/>
      <c r="Q56" s="1195" t="str">
        <f t="shared" si="15"/>
        <v>N.A.</v>
      </c>
      <c r="R56" s="1195" t="str">
        <f>IF(ISNUMBER(Q56),COUNT(Q$55:Q56)+MAX($R$26:$R$35),"")</f>
        <v/>
      </c>
      <c r="S56" s="1195" t="str">
        <f t="shared" si="16"/>
        <v>TJ</v>
      </c>
      <c r="T56" s="1195" t="str">
        <f t="shared" ref="T56:T61" si="21">IF(H56="",IF(G56="","",G56),H56)</f>
        <v/>
      </c>
      <c r="U56" s="1282" t="str">
        <f t="shared" ref="U56:U61" si="22">IF(E56="",IF(G56="","",G56),E56)</f>
        <v>Heat benchmark sub-installation, non-CL</v>
      </c>
      <c r="V56" s="1118"/>
      <c r="W56" s="1278">
        <f t="shared" ref="W56:W61" si="23">W55</f>
        <v>2</v>
      </c>
      <c r="X56" s="1278">
        <f t="shared" si="17"/>
        <v>2</v>
      </c>
      <c r="Y56" s="1278">
        <f t="shared" si="18"/>
        <v>2</v>
      </c>
      <c r="Z56" s="1278">
        <f t="shared" si="19"/>
        <v>2</v>
      </c>
      <c r="AA56" s="1303">
        <f t="shared" si="20"/>
        <v>2</v>
      </c>
      <c r="AP56" s="1135" t="s">
        <v>2622</v>
      </c>
    </row>
    <row r="57" spans="1:42" s="1119" customFormat="1" ht="12.75" customHeight="1">
      <c r="A57" s="1116"/>
      <c r="C57" s="485"/>
      <c r="D57" s="1279">
        <f>D56+1</f>
        <v>13</v>
      </c>
      <c r="E57" s="3078" t="str">
        <f t="shared" si="14"/>
        <v>District heating sub-installation</v>
      </c>
      <c r="F57" s="3079"/>
      <c r="G57" s="1304" t="str">
        <f>IF(OR(CTRL_InputMethodNIMsvalues&lt;&gt;1,c_ALR2025!M2267=""),"",SUM(c_ALR2025!M2270)&gt;0)</f>
        <v/>
      </c>
      <c r="H57" s="1403"/>
      <c r="I57" s="3111"/>
      <c r="J57" s="3112"/>
      <c r="K57" s="3113"/>
      <c r="L57" s="1305"/>
      <c r="M57" s="485"/>
      <c r="N57" s="484"/>
      <c r="O57" s="481"/>
      <c r="P57" s="10"/>
      <c r="Q57" s="1195" t="str">
        <f t="shared" si="15"/>
        <v>N.A.</v>
      </c>
      <c r="R57" s="1195" t="str">
        <f>IF(ISNUMBER(Q57),COUNT(Q$55:Q57)+MAX($R$26:$R$35),"")</f>
        <v/>
      </c>
      <c r="S57" s="1195" t="str">
        <f t="shared" si="16"/>
        <v>TJ</v>
      </c>
      <c r="T57" s="1195" t="str">
        <f t="shared" si="21"/>
        <v/>
      </c>
      <c r="U57" s="1282" t="str">
        <f t="shared" si="22"/>
        <v>District heating sub-installation</v>
      </c>
      <c r="V57" s="1118"/>
      <c r="W57" s="1278">
        <f t="shared" si="23"/>
        <v>2</v>
      </c>
      <c r="X57" s="1278">
        <f t="shared" si="17"/>
        <v>2</v>
      </c>
      <c r="Y57" s="1278">
        <f t="shared" si="18"/>
        <v>2</v>
      </c>
      <c r="Z57" s="1278">
        <f t="shared" si="19"/>
        <v>2</v>
      </c>
      <c r="AA57" s="1303">
        <f t="shared" si="20"/>
        <v>2</v>
      </c>
      <c r="AP57" s="1135" t="s">
        <v>2621</v>
      </c>
    </row>
    <row r="58" spans="1:42" s="1119" customFormat="1" ht="12.75" customHeight="1">
      <c r="A58" s="1116"/>
      <c r="C58" s="485"/>
      <c r="D58" s="1279">
        <f>D57+1</f>
        <v>14</v>
      </c>
      <c r="E58" s="3078" t="str">
        <f t="shared" si="14"/>
        <v>Fuel benchmark sub-installation, CL</v>
      </c>
      <c r="F58" s="3079"/>
      <c r="G58" s="1304" t="str">
        <f>IF(OR(CTRL_InputMethodNIMsvalues&lt;&gt;1,c_ALR2025!M2326=""),"",SUM(c_ALR2025!M2329)&gt;0)</f>
        <v/>
      </c>
      <c r="H58" s="1403"/>
      <c r="I58" s="3111"/>
      <c r="J58" s="3112"/>
      <c r="K58" s="3113"/>
      <c r="L58" s="1305"/>
      <c r="M58" s="485"/>
      <c r="N58" s="484"/>
      <c r="O58" s="481"/>
      <c r="P58" s="10"/>
      <c r="Q58" s="1195" t="str">
        <f t="shared" si="15"/>
        <v>N.A.</v>
      </c>
      <c r="R58" s="1195" t="str">
        <f>IF(ISNUMBER(Q58),COUNT(Q$55:Q58)+MAX($R$26:$R$35),"")</f>
        <v/>
      </c>
      <c r="S58" s="1195" t="str">
        <f t="shared" si="16"/>
        <v>TJ</v>
      </c>
      <c r="T58" s="1195" t="str">
        <f t="shared" si="21"/>
        <v/>
      </c>
      <c r="U58" s="1282" t="str">
        <f t="shared" si="22"/>
        <v>Fuel benchmark sub-installation, CL</v>
      </c>
      <c r="V58" s="1118"/>
      <c r="W58" s="1278">
        <f t="shared" si="23"/>
        <v>2</v>
      </c>
      <c r="X58" s="1278">
        <f t="shared" si="17"/>
        <v>2</v>
      </c>
      <c r="Y58" s="1278">
        <f t="shared" si="18"/>
        <v>2</v>
      </c>
      <c r="Z58" s="1278">
        <f t="shared" si="19"/>
        <v>2</v>
      </c>
      <c r="AA58" s="1303">
        <f t="shared" si="20"/>
        <v>2</v>
      </c>
      <c r="AP58" s="1135" t="s">
        <v>2623</v>
      </c>
    </row>
    <row r="59" spans="1:42" s="1119" customFormat="1" ht="12.75" customHeight="1">
      <c r="A59" s="1116"/>
      <c r="C59" s="485"/>
      <c r="D59" s="1279">
        <f>D58+1</f>
        <v>15</v>
      </c>
      <c r="E59" s="3078" t="str">
        <f t="shared" si="14"/>
        <v>Fuel benchmark sub-installation, non-CL</v>
      </c>
      <c r="F59" s="3079"/>
      <c r="G59" s="1304" t="str">
        <f>IF(OR(CTRL_InputMethodNIMsvalues&lt;&gt;1,c_ALR2025!M2383=""),"",SUM(c_ALR2025!M2386)&gt;0)</f>
        <v/>
      </c>
      <c r="H59" s="1403"/>
      <c r="I59" s="3111"/>
      <c r="J59" s="3112"/>
      <c r="K59" s="3113"/>
      <c r="L59" s="1305"/>
      <c r="M59" s="485"/>
      <c r="N59" s="484"/>
      <c r="O59" s="481"/>
      <c r="P59" s="10"/>
      <c r="Q59" s="1195" t="str">
        <f t="shared" si="15"/>
        <v>N.A.</v>
      </c>
      <c r="R59" s="1195" t="str">
        <f>IF(ISNUMBER(Q59),COUNT(Q$55:Q59)+MAX($R$26:$R$35),"")</f>
        <v/>
      </c>
      <c r="S59" s="1195" t="str">
        <f t="shared" si="16"/>
        <v>TJ</v>
      </c>
      <c r="T59" s="1195" t="str">
        <f t="shared" si="21"/>
        <v/>
      </c>
      <c r="U59" s="1282" t="str">
        <f t="shared" si="22"/>
        <v>Fuel benchmark sub-installation, non-CL</v>
      </c>
      <c r="V59" s="1118"/>
      <c r="W59" s="1278">
        <f t="shared" si="23"/>
        <v>2</v>
      </c>
      <c r="X59" s="1278">
        <f t="shared" si="17"/>
        <v>2</v>
      </c>
      <c r="Y59" s="1278">
        <f t="shared" si="18"/>
        <v>2</v>
      </c>
      <c r="Z59" s="1278">
        <f t="shared" si="19"/>
        <v>2</v>
      </c>
      <c r="AA59" s="1303">
        <f t="shared" si="20"/>
        <v>2</v>
      </c>
      <c r="AP59" s="1135" t="s">
        <v>2624</v>
      </c>
    </row>
    <row r="60" spans="1:42" s="1119" customFormat="1" ht="12.75" customHeight="1">
      <c r="A60" s="1116"/>
      <c r="C60" s="485"/>
      <c r="D60" s="1279">
        <f>D59+1</f>
        <v>16</v>
      </c>
      <c r="E60" s="3078" t="str">
        <f t="shared" si="14"/>
        <v>Process emissions sub-installation, CL</v>
      </c>
      <c r="F60" s="3079"/>
      <c r="G60" s="1306" t="str">
        <f>IF(OR(CTRL_InputMethodNIMsvalues&lt;&gt;1,c_ALR2025!M2440=""),"",SUM(c_ALR2025!M2443)&gt;0)</f>
        <v/>
      </c>
      <c r="H60" s="1404"/>
      <c r="I60" s="3111"/>
      <c r="J60" s="3112"/>
      <c r="K60" s="3113"/>
      <c r="L60" s="1305"/>
      <c r="M60" s="485"/>
      <c r="N60" s="484"/>
      <c r="O60" s="481"/>
      <c r="P60" s="10"/>
      <c r="Q60" s="1195" t="str">
        <f t="shared" si="15"/>
        <v>N.A.</v>
      </c>
      <c r="R60" s="1195" t="str">
        <f>IF(ISNUMBER(Q60),COUNT(Q$55:Q60)+MAX($R$26:$R$35),"")</f>
        <v/>
      </c>
      <c r="S60" s="1195" t="str">
        <f t="shared" si="16"/>
        <v>t CO2e</v>
      </c>
      <c r="T60" s="1195" t="str">
        <f t="shared" si="21"/>
        <v/>
      </c>
      <c r="U60" s="1282" t="str">
        <f t="shared" si="22"/>
        <v>Process emissions sub-installation, CL</v>
      </c>
      <c r="V60" s="1118"/>
      <c r="W60" s="1278">
        <f t="shared" si="23"/>
        <v>2</v>
      </c>
      <c r="X60" s="1278">
        <f t="shared" si="17"/>
        <v>2</v>
      </c>
      <c r="Y60" s="1278">
        <f t="shared" si="18"/>
        <v>2</v>
      </c>
      <c r="Z60" s="1278">
        <f t="shared" si="19"/>
        <v>2</v>
      </c>
      <c r="AA60" s="1303">
        <f t="shared" si="20"/>
        <v>2</v>
      </c>
      <c r="AP60" s="1135" t="s">
        <v>2625</v>
      </c>
    </row>
    <row r="61" spans="1:42" s="1119" customFormat="1" ht="13.5" customHeight="1" thickBot="1">
      <c r="A61" s="1116"/>
      <c r="C61" s="485"/>
      <c r="D61" s="1283">
        <v>17</v>
      </c>
      <c r="E61" s="3094" t="str">
        <f t="shared" si="14"/>
        <v>Process emissions sub-installation, non-CL</v>
      </c>
      <c r="F61" s="3095"/>
      <c r="G61" s="1307" t="str">
        <f>IF(OR(CTRL_InputMethodNIMsvalues&lt;&gt;1,c_ALR2025!M2479=""),"",SUM(c_ALR2025!M2482)&gt;0)</f>
        <v/>
      </c>
      <c r="H61" s="1405"/>
      <c r="I61" s="3181"/>
      <c r="J61" s="3182"/>
      <c r="K61" s="3183"/>
      <c r="L61" s="1308"/>
      <c r="M61" s="485"/>
      <c r="N61" s="484"/>
      <c r="O61" s="481"/>
      <c r="P61" s="10"/>
      <c r="Q61" s="1196" t="str">
        <f t="shared" si="15"/>
        <v>N.A.</v>
      </c>
      <c r="R61" s="1196" t="str">
        <f>IF(ISNUMBER(Q61),COUNT(Q$55:Q61)+MAX($R$26:$R$35),"")</f>
        <v/>
      </c>
      <c r="S61" s="1196" t="str">
        <f t="shared" si="16"/>
        <v>t CO2e</v>
      </c>
      <c r="T61" s="1196" t="str">
        <f t="shared" si="21"/>
        <v/>
      </c>
      <c r="U61" s="1286" t="str">
        <f t="shared" si="22"/>
        <v>Process emissions sub-installation, non-CL</v>
      </c>
      <c r="V61" s="1118"/>
      <c r="W61" s="1278">
        <f t="shared" si="23"/>
        <v>2</v>
      </c>
      <c r="X61" s="1278">
        <f t="shared" si="17"/>
        <v>2</v>
      </c>
      <c r="Y61" s="1278">
        <f t="shared" si="18"/>
        <v>2</v>
      </c>
      <c r="Z61" s="1278">
        <f t="shared" si="19"/>
        <v>2</v>
      </c>
      <c r="AA61" s="1303">
        <f t="shared" si="20"/>
        <v>2</v>
      </c>
      <c r="AP61" s="1135" t="s">
        <v>2626</v>
      </c>
    </row>
    <row r="62" spans="1:42" s="1119" customFormat="1">
      <c r="A62" s="1116"/>
      <c r="C62" s="485"/>
      <c r="D62" s="1287"/>
      <c r="E62" s="3083" t="str">
        <f>IF(CNTR_HasEntries_A_I,IF(COUNTIF(CNTR_FallBackSubInstRelevant,"")&gt;0,EUconst_ERR_MissingFallBackEntry,""),"")</f>
        <v/>
      </c>
      <c r="F62" s="3084"/>
      <c r="G62" s="3084"/>
      <c r="H62" s="3084"/>
      <c r="I62" s="3084"/>
      <c r="J62" s="3084"/>
      <c r="K62" s="3085"/>
      <c r="L62" s="485"/>
      <c r="M62" s="485"/>
      <c r="N62" s="485"/>
      <c r="O62" s="481"/>
      <c r="P62" s="485"/>
      <c r="Q62" s="1118"/>
      <c r="R62" s="1118"/>
      <c r="S62" s="1118"/>
      <c r="T62" s="1118"/>
      <c r="U62" s="1118"/>
      <c r="V62" s="1118"/>
      <c r="W62" s="1118"/>
      <c r="X62" s="1118"/>
      <c r="Y62" s="1118"/>
      <c r="Z62" s="1118"/>
      <c r="AA62" s="1118"/>
      <c r="AP62" s="1121"/>
    </row>
    <row r="63" spans="1:42" s="1119" customFormat="1" ht="5.0999999999999996" customHeight="1">
      <c r="A63" s="1116"/>
      <c r="C63" s="485"/>
      <c r="D63" s="485"/>
      <c r="E63" s="485"/>
      <c r="F63" s="485"/>
      <c r="G63" s="485"/>
      <c r="H63" s="485"/>
      <c r="I63" s="485"/>
      <c r="J63" s="485"/>
      <c r="K63" s="485"/>
      <c r="L63" s="485"/>
      <c r="M63" s="485"/>
      <c r="N63" s="485"/>
      <c r="O63" s="481"/>
      <c r="P63" s="485"/>
      <c r="Q63" s="1118"/>
      <c r="R63" s="1118"/>
      <c r="S63" s="1118"/>
      <c r="T63" s="1118"/>
      <c r="U63" s="1118"/>
      <c r="V63" s="1118"/>
      <c r="W63" s="1118"/>
      <c r="X63" s="1118"/>
      <c r="Y63" s="1118"/>
      <c r="Z63" s="1118"/>
      <c r="AA63" s="1118"/>
      <c r="AP63" s="1121"/>
    </row>
    <row r="64" spans="1:42" s="1119" customFormat="1">
      <c r="A64" s="1116"/>
      <c r="C64" s="485"/>
      <c r="D64" s="3126" t="str">
        <f>D38</f>
        <v/>
      </c>
      <c r="E64" s="3127"/>
      <c r="F64" s="3127"/>
      <c r="G64" s="3127"/>
      <c r="H64" s="3127"/>
      <c r="I64" s="3127"/>
      <c r="J64" s="3127"/>
      <c r="K64" s="3127"/>
      <c r="L64" s="3127"/>
      <c r="M64" s="3127"/>
      <c r="N64" s="3128"/>
      <c r="O64" s="481"/>
      <c r="P64" s="485"/>
      <c r="Q64" s="1118"/>
      <c r="R64" s="1118"/>
      <c r="S64" s="1118"/>
      <c r="T64" s="1118"/>
      <c r="U64" s="1118"/>
      <c r="V64" s="1118"/>
      <c r="W64" s="1118"/>
      <c r="X64" s="1118"/>
      <c r="Y64" s="1118"/>
      <c r="Z64" s="1118"/>
      <c r="AA64" s="1118"/>
      <c r="AP64" s="1121"/>
    </row>
    <row r="65" spans="1:42" s="1119" customFormat="1">
      <c r="A65" s="1116"/>
      <c r="C65" s="485"/>
      <c r="D65" s="485"/>
      <c r="E65" s="485"/>
      <c r="F65" s="485"/>
      <c r="G65" s="485"/>
      <c r="H65" s="485"/>
      <c r="I65" s="485"/>
      <c r="J65" s="485"/>
      <c r="K65" s="485"/>
      <c r="L65" s="485"/>
      <c r="M65" s="485"/>
      <c r="N65" s="485"/>
      <c r="O65" s="481"/>
      <c r="P65" s="485"/>
      <c r="Q65" s="1118"/>
      <c r="R65" s="1118"/>
      <c r="S65" s="1118"/>
      <c r="T65" s="1118"/>
      <c r="U65" s="1118"/>
      <c r="V65" s="1118"/>
      <c r="W65" s="1118"/>
      <c r="X65" s="1118"/>
      <c r="Y65" s="1118"/>
      <c r="Z65" s="1118"/>
      <c r="AA65" s="1118"/>
      <c r="AP65" s="1121"/>
    </row>
    <row r="66" spans="1:42" s="1132" customFormat="1" ht="13.9" customHeight="1">
      <c r="A66" s="1125"/>
      <c r="C66" s="1254">
        <v>3</v>
      </c>
      <c r="D66" s="3088" t="s">
        <v>2077</v>
      </c>
      <c r="E66" s="3088"/>
      <c r="F66" s="3088"/>
      <c r="G66" s="3088"/>
      <c r="H66" s="3088"/>
      <c r="I66" s="3088"/>
      <c r="J66" s="3088"/>
      <c r="K66" s="3088"/>
      <c r="L66" s="3088"/>
      <c r="M66" s="3088"/>
      <c r="N66" s="3088"/>
      <c r="O66" s="1127"/>
      <c r="P66" s="1127"/>
      <c r="Q66" s="1131"/>
      <c r="R66" s="1131"/>
      <c r="S66" s="1131"/>
      <c r="T66" s="1131"/>
      <c r="U66" s="1131"/>
      <c r="V66" s="1131"/>
      <c r="W66" s="1131"/>
      <c r="X66" s="1131"/>
      <c r="Y66" s="1131"/>
      <c r="Z66" s="1131"/>
      <c r="AA66" s="1131"/>
      <c r="AP66" s="1167"/>
    </row>
    <row r="67" spans="1:42" s="1119" customFormat="1" ht="148.5" customHeight="1">
      <c r="A67" s="1116"/>
      <c r="C67" s="559"/>
      <c r="D67" s="560"/>
      <c r="E67" s="1262" t="s">
        <v>1834</v>
      </c>
      <c r="F67" s="3089" t="s">
        <v>2542</v>
      </c>
      <c r="G67" s="3089"/>
      <c r="H67" s="3089"/>
      <c r="I67" s="3089"/>
      <c r="J67" s="3089"/>
      <c r="K67" s="3089"/>
      <c r="L67" s="3089"/>
      <c r="M67" s="3089"/>
      <c r="N67" s="3089"/>
      <c r="O67" s="481"/>
      <c r="P67" s="485"/>
      <c r="Q67" s="1118"/>
      <c r="R67" s="1118"/>
      <c r="S67" s="1118"/>
      <c r="T67" s="1118"/>
      <c r="U67" s="1118"/>
      <c r="V67" s="1118"/>
      <c r="W67" s="1118"/>
      <c r="X67" s="1118"/>
      <c r="Y67" s="1118"/>
      <c r="Z67" s="1118"/>
      <c r="AA67" s="1118"/>
      <c r="AP67" s="1121"/>
    </row>
    <row r="68" spans="1:42" s="1119" customFormat="1" ht="16.5" customHeight="1" thickBot="1">
      <c r="A68" s="1116"/>
      <c r="C68" s="559"/>
      <c r="D68" s="560"/>
      <c r="E68" s="1262" t="s">
        <v>1834</v>
      </c>
      <c r="F68" s="3089" t="s">
        <v>2543</v>
      </c>
      <c r="G68" s="3089"/>
      <c r="H68" s="3089"/>
      <c r="I68" s="3089"/>
      <c r="J68" s="3089"/>
      <c r="K68" s="3089"/>
      <c r="L68" s="3089"/>
      <c r="M68" s="3089"/>
      <c r="N68" s="3089"/>
      <c r="O68" s="481"/>
      <c r="P68" s="485"/>
      <c r="Q68" s="1118"/>
      <c r="R68" s="1118"/>
      <c r="S68" s="1118"/>
      <c r="T68" s="1118"/>
      <c r="U68" s="1118"/>
      <c r="V68" s="1118"/>
      <c r="W68" s="1118"/>
      <c r="X68" s="1118"/>
      <c r="Y68" s="1118"/>
      <c r="Z68" s="1118"/>
      <c r="AA68" s="1118"/>
      <c r="AP68" s="1121"/>
    </row>
    <row r="69" spans="1:42" s="1119" customFormat="1" ht="18.75" customHeight="1" thickBot="1">
      <c r="A69" s="1116"/>
      <c r="C69" s="559"/>
      <c r="D69" s="560"/>
      <c r="E69" s="1262" t="s">
        <v>1808</v>
      </c>
      <c r="F69" s="3089" t="s">
        <v>2544</v>
      </c>
      <c r="G69" s="3089"/>
      <c r="H69" s="3089"/>
      <c r="I69" s="3089"/>
      <c r="J69" s="3089"/>
      <c r="K69" s="3089"/>
      <c r="L69" s="3089"/>
      <c r="M69" s="3089"/>
      <c r="N69" s="3089"/>
      <c r="O69" s="481"/>
      <c r="P69" s="485"/>
      <c r="Q69" s="1118"/>
      <c r="R69" s="1118"/>
      <c r="S69" s="1118"/>
      <c r="T69" s="1309" t="s">
        <v>2512</v>
      </c>
      <c r="U69" s="1118"/>
      <c r="V69" s="3065" t="s">
        <v>2513</v>
      </c>
      <c r="W69" s="3066"/>
      <c r="X69" s="3066"/>
      <c r="Y69" s="3066"/>
      <c r="Z69" s="3066"/>
      <c r="AA69" s="3067"/>
      <c r="AP69" s="1121"/>
    </row>
    <row r="70" spans="1:42" s="1119" customFormat="1" ht="30" customHeight="1" thickBot="1">
      <c r="A70" s="1116"/>
      <c r="C70" s="559"/>
      <c r="D70" s="560"/>
      <c r="E70" s="1262" t="s">
        <v>2048</v>
      </c>
      <c r="F70" s="3089" t="s">
        <v>2545</v>
      </c>
      <c r="G70" s="3089"/>
      <c r="H70" s="3089"/>
      <c r="I70" s="3089"/>
      <c r="J70" s="3089"/>
      <c r="K70" s="3089"/>
      <c r="L70" s="3089"/>
      <c r="M70" s="3089"/>
      <c r="N70" s="3089"/>
      <c r="O70" s="481"/>
      <c r="P70" s="485"/>
      <c r="Q70" s="1118"/>
      <c r="R70" s="1118"/>
      <c r="S70" s="1118"/>
      <c r="T70" s="1310" t="s">
        <v>2067</v>
      </c>
      <c r="U70" s="1118"/>
      <c r="V70" s="3068"/>
      <c r="W70" s="3069"/>
      <c r="X70" s="3069"/>
      <c r="Y70" s="3069"/>
      <c r="Z70" s="3069"/>
      <c r="AA70" s="3070"/>
      <c r="AP70" s="1121"/>
    </row>
    <row r="71" spans="1:42" s="1119" customFormat="1" ht="18" customHeight="1" thickBot="1">
      <c r="A71" s="1116"/>
      <c r="C71" s="559"/>
      <c r="D71" s="560"/>
      <c r="E71" s="1262" t="s">
        <v>2050</v>
      </c>
      <c r="F71" s="3089" t="s">
        <v>2546</v>
      </c>
      <c r="G71" s="3089"/>
      <c r="H71" s="3089"/>
      <c r="I71" s="3089"/>
      <c r="J71" s="3089"/>
      <c r="K71" s="3089"/>
      <c r="L71" s="3089"/>
      <c r="M71" s="3089"/>
      <c r="N71" s="3089"/>
      <c r="O71" s="481"/>
      <c r="P71" s="485"/>
      <c r="Q71" s="1118"/>
      <c r="R71" s="1118"/>
      <c r="S71" s="1118"/>
      <c r="T71" s="1310" t="s">
        <v>2068</v>
      </c>
      <c r="U71" s="1118"/>
      <c r="V71" s="3071"/>
      <c r="W71" s="3072"/>
      <c r="X71" s="3072"/>
      <c r="Y71" s="3072"/>
      <c r="Z71" s="3072"/>
      <c r="AA71" s="3073"/>
      <c r="AP71" s="1121"/>
    </row>
    <row r="72" spans="1:42" s="1119" customFormat="1" ht="42.75" customHeight="1">
      <c r="A72" s="1116"/>
      <c r="C72" s="559"/>
      <c r="D72" s="560"/>
      <c r="E72" s="1311" t="s">
        <v>2014</v>
      </c>
      <c r="F72" s="3129" t="s">
        <v>2547</v>
      </c>
      <c r="G72" s="3129"/>
      <c r="H72" s="3129"/>
      <c r="I72" s="3129"/>
      <c r="J72" s="3129"/>
      <c r="K72" s="3129"/>
      <c r="L72" s="3129"/>
      <c r="M72" s="3129"/>
      <c r="N72" s="3129"/>
      <c r="O72" s="481"/>
      <c r="P72" s="485"/>
      <c r="Q72" s="1118"/>
      <c r="R72" s="1118"/>
      <c r="S72" s="3173"/>
      <c r="T72" s="3174"/>
      <c r="U72" s="3174"/>
      <c r="V72" s="3174"/>
      <c r="W72" s="3174"/>
      <c r="X72" s="3174"/>
      <c r="Y72" s="1118"/>
      <c r="Z72" s="1118"/>
      <c r="AA72" s="1118"/>
      <c r="AP72" s="1121"/>
    </row>
    <row r="73" spans="1:42" s="1119" customFormat="1" ht="38.1" customHeight="1" thickBot="1">
      <c r="A73" s="1116"/>
      <c r="C73" s="485"/>
      <c r="D73" s="485"/>
      <c r="E73" s="1311" t="s">
        <v>2548</v>
      </c>
      <c r="F73" s="3129" t="s">
        <v>2581</v>
      </c>
      <c r="G73" s="3129"/>
      <c r="H73" s="3129"/>
      <c r="I73" s="3129"/>
      <c r="J73" s="3129"/>
      <c r="K73" s="3129"/>
      <c r="L73" s="3129"/>
      <c r="M73" s="3129"/>
      <c r="N73" s="3129"/>
      <c r="O73" s="481"/>
      <c r="P73" s="485"/>
      <c r="Q73" s="1118"/>
      <c r="R73" s="1118"/>
      <c r="S73" s="3171" t="s">
        <v>2057</v>
      </c>
      <c r="T73" s="3172"/>
      <c r="U73" s="3172"/>
      <c r="V73" s="3172"/>
      <c r="W73" s="3172"/>
      <c r="X73" s="3172"/>
      <c r="Y73" s="1118"/>
      <c r="Z73" s="1118"/>
      <c r="AA73" s="1118"/>
      <c r="AP73" s="1121"/>
    </row>
    <row r="74" spans="1:42" s="1119" customFormat="1" ht="66.599999999999994" customHeight="1" thickBot="1">
      <c r="A74" s="1116"/>
      <c r="C74" s="485"/>
      <c r="D74" s="1296" t="s">
        <v>522</v>
      </c>
      <c r="E74" s="2634" t="s">
        <v>273</v>
      </c>
      <c r="F74" s="3080"/>
      <c r="G74" s="1313" t="s">
        <v>1678</v>
      </c>
      <c r="H74" s="3090" t="s">
        <v>1808</v>
      </c>
      <c r="I74" s="3090"/>
      <c r="J74" s="3090"/>
      <c r="K74" s="1314" t="s">
        <v>2048</v>
      </c>
      <c r="L74" s="1314" t="s">
        <v>2049</v>
      </c>
      <c r="M74" s="1314" t="s">
        <v>2013</v>
      </c>
      <c r="N74" s="1315" t="s">
        <v>2548</v>
      </c>
      <c r="O74" s="481"/>
      <c r="P74" s="485"/>
      <c r="Q74" s="1118"/>
      <c r="R74" s="1316" t="s">
        <v>2012</v>
      </c>
      <c r="S74" s="1316" t="s">
        <v>2051</v>
      </c>
      <c r="T74" s="1316" t="s">
        <v>2052</v>
      </c>
      <c r="U74" s="1316" t="s">
        <v>2053</v>
      </c>
      <c r="V74" s="1316" t="s">
        <v>2056</v>
      </c>
      <c r="W74" s="1316" t="s">
        <v>2054</v>
      </c>
      <c r="X74" s="1316" t="s">
        <v>2055</v>
      </c>
      <c r="Y74" s="1316" t="s">
        <v>2371</v>
      </c>
      <c r="Z74" s="1317" t="s">
        <v>2373</v>
      </c>
      <c r="AA74" s="1317" t="s">
        <v>2372</v>
      </c>
      <c r="AB74" s="1317" t="s">
        <v>2374</v>
      </c>
      <c r="AC74" s="1317" t="s">
        <v>2069</v>
      </c>
      <c r="AD74" s="1317" t="s">
        <v>2065</v>
      </c>
      <c r="AE74" s="1317" t="s">
        <v>2066</v>
      </c>
      <c r="AP74" s="1121"/>
    </row>
    <row r="75" spans="1:42" s="1119" customFormat="1">
      <c r="A75" s="1116"/>
      <c r="C75" s="485"/>
      <c r="D75" s="1274">
        <v>1</v>
      </c>
      <c r="E75" s="3096" t="str">
        <f>IF(E158 = "","",E158)</f>
        <v/>
      </c>
      <c r="F75" s="3097"/>
      <c r="G75" s="1406"/>
      <c r="H75" s="3130"/>
      <c r="I75" s="3130"/>
      <c r="J75" s="3130"/>
      <c r="K75" s="1407"/>
      <c r="L75" s="1408"/>
      <c r="M75" s="1409"/>
      <c r="N75" s="1410"/>
      <c r="O75" s="481"/>
      <c r="P75" s="485"/>
      <c r="Q75" s="1118"/>
      <c r="R75" s="1318" t="str">
        <f t="shared" ref="R75:R84" si="24">R26</f>
        <v/>
      </c>
      <c r="S75" s="1140" t="b">
        <f t="shared" ref="S75:S84" si="25">IF(AND(CNTR_HasEntries_A_I,CNTR_Cessation,E75&lt;&gt;""),FALSE, TRUE)</f>
        <v>1</v>
      </c>
      <c r="T75" s="1140" t="b">
        <f>IF(G75 = "",TRUE, FALSE)</f>
        <v>1</v>
      </c>
      <c r="U75" s="1140" t="b">
        <f>IF(Y75 = TRUE, FALSE, TRUE)</f>
        <v>1</v>
      </c>
      <c r="V75" s="1140" t="b">
        <f>IF(K75 = "TRUE",FALSE,TRUE)</f>
        <v>1</v>
      </c>
      <c r="W75" s="1140" t="b">
        <f>V75</f>
        <v>1</v>
      </c>
      <c r="X75" s="1140" t="b">
        <f>W75</f>
        <v>1</v>
      </c>
      <c r="Y75" s="1140" t="str">
        <f>IF(G75 = "","",IF(G75&gt;DATE(2025,2,5),TRUE,FALSE))</f>
        <v/>
      </c>
      <c r="Z75" s="1319" t="str">
        <f>IF(G75 = "","",IF(Y75 = FALSE,G75,""))</f>
        <v/>
      </c>
      <c r="AA75" s="1319" t="str">
        <f t="shared" ref="AA75:AA91" si="26">IF(Y75 = TRUE, IF(K75 = "FALSE",G75,IF(AND(K75 = "TRUE",N75 &lt;&gt;""),G75,"")),"")</f>
        <v/>
      </c>
      <c r="AB75" s="1319" t="str">
        <f>IF(Y75 = TRUE,AA75,IF(Y75 = FALSE,Z75,""))</f>
        <v/>
      </c>
      <c r="AC75" s="1320" t="str">
        <f t="shared" ref="AC75:AC91" si="27">IF(AA75 &lt;&gt; "",YEAR(G75),"")</f>
        <v/>
      </c>
      <c r="AD75" s="1320">
        <f>IF(AND(Y75 = FALSE, H75 = ""),1,IF(Y75 = TRUE,IF(LEN(H75)*LEN(K75)=0,1,0),0))</f>
        <v>0</v>
      </c>
      <c r="AE75" s="1320">
        <f t="shared" ref="AE75:AE91" si="28">IF(K75 = "TRUE",IF(LEN(L75) * LEN(M75) = 0,1,0),0)</f>
        <v>0</v>
      </c>
      <c r="AP75" s="1133" t="s">
        <v>2645</v>
      </c>
    </row>
    <row r="76" spans="1:42" s="1119" customFormat="1">
      <c r="A76" s="1116"/>
      <c r="C76" s="485"/>
      <c r="D76" s="1279">
        <f t="shared" ref="D76:D84" si="29">D75+1</f>
        <v>2</v>
      </c>
      <c r="E76" s="3098" t="str">
        <f t="shared" ref="E76:E84" si="30">IF(E159 = "","",E159)</f>
        <v/>
      </c>
      <c r="F76" s="3099"/>
      <c r="G76" s="1411"/>
      <c r="H76" s="3086"/>
      <c r="I76" s="3086"/>
      <c r="J76" s="3086"/>
      <c r="K76" s="1407"/>
      <c r="L76" s="1408"/>
      <c r="M76" s="1409"/>
      <c r="N76" s="1412"/>
      <c r="O76" s="481"/>
      <c r="P76" s="485"/>
      <c r="Q76" s="1118"/>
      <c r="R76" s="1318" t="str">
        <f t="shared" si="24"/>
        <v/>
      </c>
      <c r="S76" s="1140" t="b">
        <f t="shared" si="25"/>
        <v>1</v>
      </c>
      <c r="T76" s="1140" t="b">
        <f t="shared" ref="T76:T91" si="31">IF(G76 = "",TRUE, FALSE)</f>
        <v>1</v>
      </c>
      <c r="U76" s="1140" t="b">
        <f t="shared" ref="U76:U91" si="32">IF(Y76 = TRUE, FALSE, TRUE)</f>
        <v>1</v>
      </c>
      <c r="V76" s="1140" t="b">
        <f t="shared" ref="V76:V91" si="33">IF(K76 = "TRUE",FALSE,TRUE)</f>
        <v>1</v>
      </c>
      <c r="W76" s="1140" t="b">
        <f t="shared" ref="W76:X91" si="34">V76</f>
        <v>1</v>
      </c>
      <c r="X76" s="1140" t="b">
        <f t="shared" si="34"/>
        <v>1</v>
      </c>
      <c r="Y76" s="1140" t="str">
        <f t="shared" ref="Y76:Y91" si="35">IF(G76 = "","",IF(G76&gt;DATE(2025,2,5),TRUE,FALSE))</f>
        <v/>
      </c>
      <c r="Z76" s="1319" t="str">
        <f t="shared" ref="Z76:Z91" si="36">IF(G76 = "","",IF(Y76 = FALSE,G76,""))</f>
        <v/>
      </c>
      <c r="AA76" s="1319" t="str">
        <f t="shared" si="26"/>
        <v/>
      </c>
      <c r="AB76" s="1319" t="str">
        <f t="shared" ref="AB76:AB91" si="37">IF(Y76 = TRUE,AA76,IF(Y76 = FALSE,Z76,""))</f>
        <v/>
      </c>
      <c r="AC76" s="1320" t="str">
        <f t="shared" si="27"/>
        <v/>
      </c>
      <c r="AD76" s="1320">
        <f t="shared" ref="AD76:AD91" si="38">IF(AND(Y76 = FALSE, H76 = ""),1,IF(Y76 = TRUE,IF(LEN(H76)*LEN(K76)=0,1,0),0))</f>
        <v>0</v>
      </c>
      <c r="AE76" s="1320">
        <f t="shared" si="28"/>
        <v>0</v>
      </c>
      <c r="AP76" s="1133" t="s">
        <v>2647</v>
      </c>
    </row>
    <row r="77" spans="1:42" s="1119" customFormat="1">
      <c r="A77" s="1116"/>
      <c r="C77" s="485"/>
      <c r="D77" s="1279">
        <f t="shared" si="29"/>
        <v>3</v>
      </c>
      <c r="E77" s="3098" t="str">
        <f t="shared" si="30"/>
        <v/>
      </c>
      <c r="F77" s="3099"/>
      <c r="G77" s="1411"/>
      <c r="H77" s="3086"/>
      <c r="I77" s="3086"/>
      <c r="J77" s="3086"/>
      <c r="K77" s="1407"/>
      <c r="L77" s="1408"/>
      <c r="M77" s="1409"/>
      <c r="N77" s="1412"/>
      <c r="O77" s="481"/>
      <c r="P77" s="485"/>
      <c r="Q77" s="1118"/>
      <c r="R77" s="1318" t="str">
        <f t="shared" si="24"/>
        <v/>
      </c>
      <c r="S77" s="1140" t="b">
        <f t="shared" si="25"/>
        <v>1</v>
      </c>
      <c r="T77" s="1140" t="b">
        <f t="shared" si="31"/>
        <v>1</v>
      </c>
      <c r="U77" s="1140" t="b">
        <f t="shared" si="32"/>
        <v>1</v>
      </c>
      <c r="V77" s="1140" t="b">
        <f t="shared" si="33"/>
        <v>1</v>
      </c>
      <c r="W77" s="1140" t="b">
        <f t="shared" si="34"/>
        <v>1</v>
      </c>
      <c r="X77" s="1140" t="b">
        <f t="shared" si="34"/>
        <v>1</v>
      </c>
      <c r="Y77" s="1140" t="str">
        <f t="shared" si="35"/>
        <v/>
      </c>
      <c r="Z77" s="1319" t="str">
        <f t="shared" si="36"/>
        <v/>
      </c>
      <c r="AA77" s="1319" t="str">
        <f t="shared" si="26"/>
        <v/>
      </c>
      <c r="AB77" s="1319" t="str">
        <f t="shared" si="37"/>
        <v/>
      </c>
      <c r="AC77" s="1320" t="str">
        <f t="shared" si="27"/>
        <v/>
      </c>
      <c r="AD77" s="1320">
        <f t="shared" si="38"/>
        <v>0</v>
      </c>
      <c r="AE77" s="1320">
        <f t="shared" si="28"/>
        <v>0</v>
      </c>
      <c r="AP77" s="1133" t="s">
        <v>2646</v>
      </c>
    </row>
    <row r="78" spans="1:42" s="1119" customFormat="1">
      <c r="A78" s="1116"/>
      <c r="C78" s="485"/>
      <c r="D78" s="1279">
        <f t="shared" si="29"/>
        <v>4</v>
      </c>
      <c r="E78" s="3098" t="str">
        <f t="shared" si="30"/>
        <v/>
      </c>
      <c r="F78" s="3099"/>
      <c r="G78" s="1411"/>
      <c r="H78" s="3086"/>
      <c r="I78" s="3086"/>
      <c r="J78" s="3086"/>
      <c r="K78" s="1407"/>
      <c r="L78" s="1408"/>
      <c r="M78" s="1409"/>
      <c r="N78" s="1412"/>
      <c r="O78" s="481"/>
      <c r="P78" s="485"/>
      <c r="Q78" s="1118"/>
      <c r="R78" s="1318" t="str">
        <f t="shared" si="24"/>
        <v/>
      </c>
      <c r="S78" s="1140" t="b">
        <f t="shared" si="25"/>
        <v>1</v>
      </c>
      <c r="T78" s="1140" t="b">
        <f t="shared" si="31"/>
        <v>1</v>
      </c>
      <c r="U78" s="1140" t="b">
        <f t="shared" si="32"/>
        <v>1</v>
      </c>
      <c r="V78" s="1140" t="b">
        <f t="shared" si="33"/>
        <v>1</v>
      </c>
      <c r="W78" s="1140" t="b">
        <f t="shared" si="34"/>
        <v>1</v>
      </c>
      <c r="X78" s="1140" t="b">
        <f t="shared" si="34"/>
        <v>1</v>
      </c>
      <c r="Y78" s="1140" t="str">
        <f t="shared" si="35"/>
        <v/>
      </c>
      <c r="Z78" s="1319" t="str">
        <f t="shared" si="36"/>
        <v/>
      </c>
      <c r="AA78" s="1319" t="str">
        <f t="shared" si="26"/>
        <v/>
      </c>
      <c r="AB78" s="1319" t="str">
        <f t="shared" si="37"/>
        <v/>
      </c>
      <c r="AC78" s="1320" t="str">
        <f t="shared" si="27"/>
        <v/>
      </c>
      <c r="AD78" s="1320">
        <f t="shared" si="38"/>
        <v>0</v>
      </c>
      <c r="AE78" s="1320">
        <f t="shared" si="28"/>
        <v>0</v>
      </c>
      <c r="AP78" s="1133" t="s">
        <v>2648</v>
      </c>
    </row>
    <row r="79" spans="1:42" s="1119" customFormat="1">
      <c r="A79" s="1116"/>
      <c r="C79" s="485"/>
      <c r="D79" s="1279">
        <f t="shared" si="29"/>
        <v>5</v>
      </c>
      <c r="E79" s="3098" t="str">
        <f t="shared" si="30"/>
        <v/>
      </c>
      <c r="F79" s="3099"/>
      <c r="G79" s="1411"/>
      <c r="H79" s="3086"/>
      <c r="I79" s="3086"/>
      <c r="J79" s="3086"/>
      <c r="K79" s="1407"/>
      <c r="L79" s="1408"/>
      <c r="M79" s="1409"/>
      <c r="N79" s="1412"/>
      <c r="O79" s="481"/>
      <c r="P79" s="485"/>
      <c r="Q79" s="1118"/>
      <c r="R79" s="1318" t="str">
        <f t="shared" si="24"/>
        <v/>
      </c>
      <c r="S79" s="1140" t="b">
        <f t="shared" si="25"/>
        <v>1</v>
      </c>
      <c r="T79" s="1140" t="b">
        <f t="shared" si="31"/>
        <v>1</v>
      </c>
      <c r="U79" s="1140" t="b">
        <f t="shared" si="32"/>
        <v>1</v>
      </c>
      <c r="V79" s="1140" t="b">
        <f t="shared" si="33"/>
        <v>1</v>
      </c>
      <c r="W79" s="1140" t="b">
        <f t="shared" si="34"/>
        <v>1</v>
      </c>
      <c r="X79" s="1140" t="b">
        <f t="shared" si="34"/>
        <v>1</v>
      </c>
      <c r="Y79" s="1140" t="str">
        <f t="shared" si="35"/>
        <v/>
      </c>
      <c r="Z79" s="1319" t="str">
        <f t="shared" si="36"/>
        <v/>
      </c>
      <c r="AA79" s="1319" t="str">
        <f t="shared" si="26"/>
        <v/>
      </c>
      <c r="AB79" s="1319" t="str">
        <f t="shared" si="37"/>
        <v/>
      </c>
      <c r="AC79" s="1320" t="str">
        <f t="shared" si="27"/>
        <v/>
      </c>
      <c r="AD79" s="1320">
        <f t="shared" si="38"/>
        <v>0</v>
      </c>
      <c r="AE79" s="1320">
        <f t="shared" si="28"/>
        <v>0</v>
      </c>
      <c r="AP79" s="1133" t="s">
        <v>2649</v>
      </c>
    </row>
    <row r="80" spans="1:42" s="1119" customFormat="1">
      <c r="A80" s="1116"/>
      <c r="C80" s="485"/>
      <c r="D80" s="1279">
        <f t="shared" si="29"/>
        <v>6</v>
      </c>
      <c r="E80" s="3098" t="str">
        <f t="shared" si="30"/>
        <v/>
      </c>
      <c r="F80" s="3099"/>
      <c r="G80" s="1411"/>
      <c r="H80" s="3086"/>
      <c r="I80" s="3086"/>
      <c r="J80" s="3086"/>
      <c r="K80" s="1407"/>
      <c r="L80" s="1408"/>
      <c r="M80" s="1409"/>
      <c r="N80" s="1412"/>
      <c r="O80" s="481"/>
      <c r="P80" s="485"/>
      <c r="Q80" s="1118"/>
      <c r="R80" s="1318" t="str">
        <f t="shared" si="24"/>
        <v/>
      </c>
      <c r="S80" s="1140" t="b">
        <f t="shared" si="25"/>
        <v>1</v>
      </c>
      <c r="T80" s="1140" t="b">
        <f t="shared" si="31"/>
        <v>1</v>
      </c>
      <c r="U80" s="1140" t="b">
        <f t="shared" si="32"/>
        <v>1</v>
      </c>
      <c r="V80" s="1140" t="b">
        <f t="shared" si="33"/>
        <v>1</v>
      </c>
      <c r="W80" s="1140" t="b">
        <f t="shared" si="34"/>
        <v>1</v>
      </c>
      <c r="X80" s="1140" t="b">
        <f t="shared" si="34"/>
        <v>1</v>
      </c>
      <c r="Y80" s="1140" t="str">
        <f t="shared" si="35"/>
        <v/>
      </c>
      <c r="Z80" s="1319" t="str">
        <f t="shared" si="36"/>
        <v/>
      </c>
      <c r="AA80" s="1319" t="str">
        <f t="shared" si="26"/>
        <v/>
      </c>
      <c r="AB80" s="1319" t="str">
        <f t="shared" si="37"/>
        <v/>
      </c>
      <c r="AC80" s="1320" t="str">
        <f t="shared" si="27"/>
        <v/>
      </c>
      <c r="AD80" s="1320">
        <f t="shared" si="38"/>
        <v>0</v>
      </c>
      <c r="AE80" s="1320">
        <f t="shared" si="28"/>
        <v>0</v>
      </c>
      <c r="AP80" s="1133" t="s">
        <v>2650</v>
      </c>
    </row>
    <row r="81" spans="1:42" s="1119" customFormat="1">
      <c r="A81" s="1116"/>
      <c r="C81" s="485"/>
      <c r="D81" s="1279">
        <f t="shared" si="29"/>
        <v>7</v>
      </c>
      <c r="E81" s="3098" t="str">
        <f t="shared" si="30"/>
        <v/>
      </c>
      <c r="F81" s="3099"/>
      <c r="G81" s="1411"/>
      <c r="H81" s="3086"/>
      <c r="I81" s="3086"/>
      <c r="J81" s="3086"/>
      <c r="K81" s="1407"/>
      <c r="L81" s="1408"/>
      <c r="M81" s="1409"/>
      <c r="N81" s="1412"/>
      <c r="O81" s="481"/>
      <c r="P81" s="485"/>
      <c r="Q81" s="1118"/>
      <c r="R81" s="1318" t="str">
        <f t="shared" si="24"/>
        <v/>
      </c>
      <c r="S81" s="1140" t="b">
        <f t="shared" si="25"/>
        <v>1</v>
      </c>
      <c r="T81" s="1140" t="b">
        <f t="shared" si="31"/>
        <v>1</v>
      </c>
      <c r="U81" s="1140" t="b">
        <f t="shared" si="32"/>
        <v>1</v>
      </c>
      <c r="V81" s="1140" t="b">
        <f t="shared" si="33"/>
        <v>1</v>
      </c>
      <c r="W81" s="1140" t="b">
        <f t="shared" si="34"/>
        <v>1</v>
      </c>
      <c r="X81" s="1140" t="b">
        <f t="shared" si="34"/>
        <v>1</v>
      </c>
      <c r="Y81" s="1140" t="str">
        <f t="shared" si="35"/>
        <v/>
      </c>
      <c r="Z81" s="1319" t="str">
        <f t="shared" si="36"/>
        <v/>
      </c>
      <c r="AA81" s="1319" t="str">
        <f t="shared" si="26"/>
        <v/>
      </c>
      <c r="AB81" s="1319" t="str">
        <f t="shared" si="37"/>
        <v/>
      </c>
      <c r="AC81" s="1320" t="str">
        <f t="shared" si="27"/>
        <v/>
      </c>
      <c r="AD81" s="1320">
        <f t="shared" si="38"/>
        <v>0</v>
      </c>
      <c r="AE81" s="1320">
        <f t="shared" si="28"/>
        <v>0</v>
      </c>
      <c r="AP81" s="1133" t="s">
        <v>2651</v>
      </c>
    </row>
    <row r="82" spans="1:42" s="1119" customFormat="1">
      <c r="A82" s="1116"/>
      <c r="C82" s="485"/>
      <c r="D82" s="1279">
        <f t="shared" si="29"/>
        <v>8</v>
      </c>
      <c r="E82" s="3098" t="str">
        <f t="shared" si="30"/>
        <v/>
      </c>
      <c r="F82" s="3099"/>
      <c r="G82" s="1411"/>
      <c r="H82" s="3086"/>
      <c r="I82" s="3086"/>
      <c r="J82" s="3086"/>
      <c r="K82" s="1407"/>
      <c r="L82" s="1408"/>
      <c r="M82" s="1409"/>
      <c r="N82" s="1412"/>
      <c r="O82" s="481"/>
      <c r="P82" s="485"/>
      <c r="Q82" s="1118"/>
      <c r="R82" s="1318" t="str">
        <f t="shared" si="24"/>
        <v/>
      </c>
      <c r="S82" s="1140" t="b">
        <f t="shared" si="25"/>
        <v>1</v>
      </c>
      <c r="T82" s="1140" t="b">
        <f t="shared" si="31"/>
        <v>1</v>
      </c>
      <c r="U82" s="1140" t="b">
        <f t="shared" si="32"/>
        <v>1</v>
      </c>
      <c r="V82" s="1140" t="b">
        <f t="shared" si="33"/>
        <v>1</v>
      </c>
      <c r="W82" s="1140" t="b">
        <f t="shared" si="34"/>
        <v>1</v>
      </c>
      <c r="X82" s="1140" t="b">
        <f t="shared" si="34"/>
        <v>1</v>
      </c>
      <c r="Y82" s="1140" t="str">
        <f t="shared" si="35"/>
        <v/>
      </c>
      <c r="Z82" s="1319" t="str">
        <f t="shared" si="36"/>
        <v/>
      </c>
      <c r="AA82" s="1319" t="str">
        <f t="shared" si="26"/>
        <v/>
      </c>
      <c r="AB82" s="1319" t="str">
        <f t="shared" si="37"/>
        <v/>
      </c>
      <c r="AC82" s="1320" t="str">
        <f t="shared" si="27"/>
        <v/>
      </c>
      <c r="AD82" s="1320">
        <f t="shared" si="38"/>
        <v>0</v>
      </c>
      <c r="AE82" s="1320">
        <f t="shared" si="28"/>
        <v>0</v>
      </c>
      <c r="AP82" s="1133" t="s">
        <v>2652</v>
      </c>
    </row>
    <row r="83" spans="1:42" s="1119" customFormat="1">
      <c r="A83" s="1116"/>
      <c r="C83" s="485"/>
      <c r="D83" s="1279">
        <f t="shared" si="29"/>
        <v>9</v>
      </c>
      <c r="E83" s="3098" t="str">
        <f t="shared" si="30"/>
        <v/>
      </c>
      <c r="F83" s="3099"/>
      <c r="G83" s="1411"/>
      <c r="H83" s="3086"/>
      <c r="I83" s="3086"/>
      <c r="J83" s="3086"/>
      <c r="K83" s="1407"/>
      <c r="L83" s="1408"/>
      <c r="M83" s="1409"/>
      <c r="N83" s="1412"/>
      <c r="O83" s="481"/>
      <c r="P83" s="485"/>
      <c r="Q83" s="1118"/>
      <c r="R83" s="1318" t="str">
        <f t="shared" si="24"/>
        <v/>
      </c>
      <c r="S83" s="1140" t="b">
        <f t="shared" si="25"/>
        <v>1</v>
      </c>
      <c r="T83" s="1140" t="b">
        <f t="shared" si="31"/>
        <v>1</v>
      </c>
      <c r="U83" s="1140" t="b">
        <f t="shared" si="32"/>
        <v>1</v>
      </c>
      <c r="V83" s="1140" t="b">
        <f t="shared" si="33"/>
        <v>1</v>
      </c>
      <c r="W83" s="1140" t="b">
        <f t="shared" si="34"/>
        <v>1</v>
      </c>
      <c r="X83" s="1140" t="b">
        <f t="shared" si="34"/>
        <v>1</v>
      </c>
      <c r="Y83" s="1140" t="str">
        <f t="shared" si="35"/>
        <v/>
      </c>
      <c r="Z83" s="1319" t="str">
        <f t="shared" si="36"/>
        <v/>
      </c>
      <c r="AA83" s="1319" t="str">
        <f t="shared" si="26"/>
        <v/>
      </c>
      <c r="AB83" s="1319" t="str">
        <f t="shared" si="37"/>
        <v/>
      </c>
      <c r="AC83" s="1320" t="str">
        <f t="shared" si="27"/>
        <v/>
      </c>
      <c r="AD83" s="1320">
        <f t="shared" si="38"/>
        <v>0</v>
      </c>
      <c r="AE83" s="1320">
        <f t="shared" si="28"/>
        <v>0</v>
      </c>
      <c r="AP83" s="1133" t="s">
        <v>2653</v>
      </c>
    </row>
    <row r="84" spans="1:42" s="1119" customFormat="1" ht="13.5" thickBot="1">
      <c r="A84" s="1116"/>
      <c r="C84" s="485"/>
      <c r="D84" s="1283">
        <f t="shared" si="29"/>
        <v>10</v>
      </c>
      <c r="E84" s="3100" t="str">
        <f t="shared" si="30"/>
        <v/>
      </c>
      <c r="F84" s="3101"/>
      <c r="G84" s="1413"/>
      <c r="H84" s="3087"/>
      <c r="I84" s="3087"/>
      <c r="J84" s="3087"/>
      <c r="K84" s="1414"/>
      <c r="L84" s="1415"/>
      <c r="M84" s="1416"/>
      <c r="N84" s="1417"/>
      <c r="O84" s="481"/>
      <c r="P84" s="485"/>
      <c r="Q84" s="1118"/>
      <c r="R84" s="1318" t="str">
        <f t="shared" si="24"/>
        <v/>
      </c>
      <c r="S84" s="1321" t="b">
        <f t="shared" si="25"/>
        <v>1</v>
      </c>
      <c r="T84" s="1321" t="b">
        <f t="shared" si="31"/>
        <v>1</v>
      </c>
      <c r="U84" s="1321" t="b">
        <f t="shared" si="32"/>
        <v>1</v>
      </c>
      <c r="V84" s="1321" t="b">
        <f t="shared" si="33"/>
        <v>1</v>
      </c>
      <c r="W84" s="1321" t="b">
        <f t="shared" si="34"/>
        <v>1</v>
      </c>
      <c r="X84" s="1321" t="b">
        <f t="shared" si="34"/>
        <v>1</v>
      </c>
      <c r="Y84" s="1321" t="str">
        <f t="shared" si="35"/>
        <v/>
      </c>
      <c r="Z84" s="1322" t="str">
        <f t="shared" si="36"/>
        <v/>
      </c>
      <c r="AA84" s="1322" t="str">
        <f t="shared" si="26"/>
        <v/>
      </c>
      <c r="AB84" s="1322" t="str">
        <f t="shared" si="37"/>
        <v/>
      </c>
      <c r="AC84" s="1323" t="str">
        <f t="shared" si="27"/>
        <v/>
      </c>
      <c r="AD84" s="1323">
        <f t="shared" si="38"/>
        <v>0</v>
      </c>
      <c r="AE84" s="1323">
        <f t="shared" si="28"/>
        <v>0</v>
      </c>
      <c r="AP84" s="1133" t="s">
        <v>2654</v>
      </c>
    </row>
    <row r="85" spans="1:42" s="1119" customFormat="1" ht="13.15" customHeight="1">
      <c r="A85" s="1116"/>
      <c r="C85" s="485"/>
      <c r="D85" s="1274">
        <v>11</v>
      </c>
      <c r="E85" s="3081" t="str">
        <f t="shared" ref="E85:E91" si="39">INDEX(EUconst_FallBackListNames,D85-10)</f>
        <v>Heat benchmark sub-installation, CL</v>
      </c>
      <c r="F85" s="3082"/>
      <c r="G85" s="1406"/>
      <c r="H85" s="3130"/>
      <c r="I85" s="3130"/>
      <c r="J85" s="3130"/>
      <c r="K85" s="1407"/>
      <c r="L85" s="1418"/>
      <c r="M85" s="1409"/>
      <c r="N85" s="1419"/>
      <c r="O85" s="481"/>
      <c r="P85" s="485"/>
      <c r="Q85" s="1118"/>
      <c r="R85" s="1318" t="str">
        <f t="shared" ref="R85:R91" si="40">R55</f>
        <v/>
      </c>
      <c r="S85" s="1324" t="b">
        <f t="shared" ref="S85:S91" si="41">IF(AND(CNTR_HasEntries_A_I,CNTR_Cessation,T55=TRUE),FALSE, TRUE)</f>
        <v>1</v>
      </c>
      <c r="T85" s="1324" t="b">
        <f t="shared" si="31"/>
        <v>1</v>
      </c>
      <c r="U85" s="1324" t="b">
        <f t="shared" si="32"/>
        <v>1</v>
      </c>
      <c r="V85" s="1324" t="b">
        <f t="shared" si="33"/>
        <v>1</v>
      </c>
      <c r="W85" s="1324" t="b">
        <f t="shared" si="34"/>
        <v>1</v>
      </c>
      <c r="X85" s="1324" t="b">
        <f t="shared" si="34"/>
        <v>1</v>
      </c>
      <c r="Y85" s="1324" t="str">
        <f t="shared" si="35"/>
        <v/>
      </c>
      <c r="Z85" s="1325" t="str">
        <f t="shared" si="36"/>
        <v/>
      </c>
      <c r="AA85" s="1325" t="str">
        <f t="shared" si="26"/>
        <v/>
      </c>
      <c r="AB85" s="1325" t="str">
        <f t="shared" si="37"/>
        <v/>
      </c>
      <c r="AC85" s="1326" t="str">
        <f t="shared" si="27"/>
        <v/>
      </c>
      <c r="AD85" s="1326">
        <f t="shared" si="38"/>
        <v>0</v>
      </c>
      <c r="AE85" s="1326">
        <f t="shared" si="28"/>
        <v>0</v>
      </c>
      <c r="AP85" s="1292" t="s">
        <v>2655</v>
      </c>
    </row>
    <row r="86" spans="1:42" s="1119" customFormat="1" ht="13.15" customHeight="1">
      <c r="A86" s="1116"/>
      <c r="C86" s="485"/>
      <c r="D86" s="1279">
        <f>D85+1</f>
        <v>12</v>
      </c>
      <c r="E86" s="3078" t="str">
        <f t="shared" si="39"/>
        <v>Heat benchmark sub-installation, non-CL</v>
      </c>
      <c r="F86" s="3079"/>
      <c r="G86" s="1411"/>
      <c r="H86" s="3086"/>
      <c r="I86" s="3086"/>
      <c r="J86" s="3086"/>
      <c r="K86" s="1407"/>
      <c r="L86" s="1408"/>
      <c r="M86" s="1409"/>
      <c r="N86" s="1412"/>
      <c r="O86" s="481"/>
      <c r="P86" s="485"/>
      <c r="Q86" s="1118"/>
      <c r="R86" s="1318" t="str">
        <f t="shared" si="40"/>
        <v/>
      </c>
      <c r="S86" s="1140" t="b">
        <f t="shared" si="41"/>
        <v>1</v>
      </c>
      <c r="T86" s="1140" t="b">
        <f t="shared" si="31"/>
        <v>1</v>
      </c>
      <c r="U86" s="1140" t="b">
        <f t="shared" si="32"/>
        <v>1</v>
      </c>
      <c r="V86" s="1140" t="b">
        <f t="shared" si="33"/>
        <v>1</v>
      </c>
      <c r="W86" s="1140" t="b">
        <f t="shared" si="34"/>
        <v>1</v>
      </c>
      <c r="X86" s="1140" t="b">
        <f t="shared" si="34"/>
        <v>1</v>
      </c>
      <c r="Y86" s="1140" t="str">
        <f t="shared" si="35"/>
        <v/>
      </c>
      <c r="Z86" s="1319" t="str">
        <f t="shared" si="36"/>
        <v/>
      </c>
      <c r="AA86" s="1319" t="str">
        <f t="shared" si="26"/>
        <v/>
      </c>
      <c r="AB86" s="1319" t="str">
        <f t="shared" si="37"/>
        <v/>
      </c>
      <c r="AC86" s="1320" t="str">
        <f t="shared" si="27"/>
        <v/>
      </c>
      <c r="AD86" s="1320">
        <f t="shared" si="38"/>
        <v>0</v>
      </c>
      <c r="AE86" s="1320">
        <f t="shared" si="28"/>
        <v>0</v>
      </c>
      <c r="AP86" s="1292" t="s">
        <v>2656</v>
      </c>
    </row>
    <row r="87" spans="1:42" s="1119" customFormat="1">
      <c r="A87" s="1116"/>
      <c r="C87" s="485"/>
      <c r="D87" s="1279">
        <f>D86+1</f>
        <v>13</v>
      </c>
      <c r="E87" s="3078" t="str">
        <f t="shared" si="39"/>
        <v>District heating sub-installation</v>
      </c>
      <c r="F87" s="3079"/>
      <c r="G87" s="1411"/>
      <c r="H87" s="3086"/>
      <c r="I87" s="3086"/>
      <c r="J87" s="3086"/>
      <c r="K87" s="1407"/>
      <c r="L87" s="1408"/>
      <c r="M87" s="1409"/>
      <c r="N87" s="1412"/>
      <c r="O87" s="481"/>
      <c r="P87" s="485"/>
      <c r="Q87" s="1118"/>
      <c r="R87" s="1318" t="str">
        <f t="shared" si="40"/>
        <v/>
      </c>
      <c r="S87" s="1140" t="b">
        <f t="shared" si="41"/>
        <v>1</v>
      </c>
      <c r="T87" s="1140" t="b">
        <f t="shared" si="31"/>
        <v>1</v>
      </c>
      <c r="U87" s="1140" t="b">
        <f t="shared" si="32"/>
        <v>1</v>
      </c>
      <c r="V87" s="1140" t="b">
        <f t="shared" si="33"/>
        <v>1</v>
      </c>
      <c r="W87" s="1140" t="b">
        <f t="shared" si="34"/>
        <v>1</v>
      </c>
      <c r="X87" s="1140" t="b">
        <f t="shared" si="34"/>
        <v>1</v>
      </c>
      <c r="Y87" s="1140" t="str">
        <f t="shared" si="35"/>
        <v/>
      </c>
      <c r="Z87" s="1319" t="str">
        <f t="shared" si="36"/>
        <v/>
      </c>
      <c r="AA87" s="1319" t="str">
        <f t="shared" si="26"/>
        <v/>
      </c>
      <c r="AB87" s="1319" t="str">
        <f t="shared" si="37"/>
        <v/>
      </c>
      <c r="AC87" s="1320" t="str">
        <f t="shared" si="27"/>
        <v/>
      </c>
      <c r="AD87" s="1320">
        <f t="shared" si="38"/>
        <v>0</v>
      </c>
      <c r="AE87" s="1320">
        <f t="shared" si="28"/>
        <v>0</v>
      </c>
      <c r="AP87" s="1292" t="s">
        <v>2657</v>
      </c>
    </row>
    <row r="88" spans="1:42" s="1119" customFormat="1">
      <c r="A88" s="1116"/>
      <c r="C88" s="485"/>
      <c r="D88" s="1279">
        <f>D87+1</f>
        <v>14</v>
      </c>
      <c r="E88" s="3078" t="str">
        <f t="shared" si="39"/>
        <v>Fuel benchmark sub-installation, CL</v>
      </c>
      <c r="F88" s="3079"/>
      <c r="G88" s="1411"/>
      <c r="H88" s="3086"/>
      <c r="I88" s="3086"/>
      <c r="J88" s="3086"/>
      <c r="K88" s="1407"/>
      <c r="L88" s="1408"/>
      <c r="M88" s="1409"/>
      <c r="N88" s="1412"/>
      <c r="O88" s="481"/>
      <c r="P88" s="485"/>
      <c r="Q88" s="1118"/>
      <c r="R88" s="1318" t="str">
        <f t="shared" si="40"/>
        <v/>
      </c>
      <c r="S88" s="1140" t="b">
        <f t="shared" si="41"/>
        <v>1</v>
      </c>
      <c r="T88" s="1140" t="b">
        <f t="shared" si="31"/>
        <v>1</v>
      </c>
      <c r="U88" s="1140" t="b">
        <f t="shared" si="32"/>
        <v>1</v>
      </c>
      <c r="V88" s="1140" t="b">
        <f t="shared" si="33"/>
        <v>1</v>
      </c>
      <c r="W88" s="1140" t="b">
        <f t="shared" si="34"/>
        <v>1</v>
      </c>
      <c r="X88" s="1140" t="b">
        <f t="shared" si="34"/>
        <v>1</v>
      </c>
      <c r="Y88" s="1140" t="str">
        <f t="shared" si="35"/>
        <v/>
      </c>
      <c r="Z88" s="1319" t="str">
        <f t="shared" si="36"/>
        <v/>
      </c>
      <c r="AA88" s="1319" t="str">
        <f t="shared" si="26"/>
        <v/>
      </c>
      <c r="AB88" s="1319" t="str">
        <f t="shared" si="37"/>
        <v/>
      </c>
      <c r="AC88" s="1320" t="str">
        <f t="shared" si="27"/>
        <v/>
      </c>
      <c r="AD88" s="1320">
        <f t="shared" si="38"/>
        <v>0</v>
      </c>
      <c r="AE88" s="1320">
        <f t="shared" si="28"/>
        <v>0</v>
      </c>
      <c r="AP88" s="1292" t="s">
        <v>2658</v>
      </c>
    </row>
    <row r="89" spans="1:42" s="1119" customFormat="1" ht="13.15" customHeight="1">
      <c r="A89" s="1116"/>
      <c r="C89" s="485"/>
      <c r="D89" s="1279">
        <f>D88+1</f>
        <v>15</v>
      </c>
      <c r="E89" s="3078" t="str">
        <f t="shared" si="39"/>
        <v>Fuel benchmark sub-installation, non-CL</v>
      </c>
      <c r="F89" s="3079"/>
      <c r="G89" s="1411"/>
      <c r="H89" s="3086"/>
      <c r="I89" s="3086"/>
      <c r="J89" s="3086"/>
      <c r="K89" s="1407"/>
      <c r="L89" s="1408"/>
      <c r="M89" s="1409"/>
      <c r="N89" s="1412"/>
      <c r="O89" s="481"/>
      <c r="P89" s="485"/>
      <c r="Q89" s="1118"/>
      <c r="R89" s="1318" t="str">
        <f t="shared" si="40"/>
        <v/>
      </c>
      <c r="S89" s="1140" t="b">
        <f t="shared" si="41"/>
        <v>1</v>
      </c>
      <c r="T89" s="1140" t="b">
        <f t="shared" si="31"/>
        <v>1</v>
      </c>
      <c r="U89" s="1140" t="b">
        <f t="shared" si="32"/>
        <v>1</v>
      </c>
      <c r="V89" s="1140" t="b">
        <f t="shared" si="33"/>
        <v>1</v>
      </c>
      <c r="W89" s="1140" t="b">
        <f t="shared" si="34"/>
        <v>1</v>
      </c>
      <c r="X89" s="1140" t="b">
        <f t="shared" si="34"/>
        <v>1</v>
      </c>
      <c r="Y89" s="1140" t="str">
        <f t="shared" si="35"/>
        <v/>
      </c>
      <c r="Z89" s="1319" t="str">
        <f t="shared" si="36"/>
        <v/>
      </c>
      <c r="AA89" s="1319" t="str">
        <f t="shared" si="26"/>
        <v/>
      </c>
      <c r="AB89" s="1319" t="str">
        <f t="shared" si="37"/>
        <v/>
      </c>
      <c r="AC89" s="1320" t="str">
        <f t="shared" si="27"/>
        <v/>
      </c>
      <c r="AD89" s="1320">
        <f t="shared" si="38"/>
        <v>0</v>
      </c>
      <c r="AE89" s="1320">
        <f t="shared" si="28"/>
        <v>0</v>
      </c>
      <c r="AP89" s="1292" t="s">
        <v>2659</v>
      </c>
    </row>
    <row r="90" spans="1:42" s="1119" customFormat="1" ht="13.15" customHeight="1">
      <c r="A90" s="1116"/>
      <c r="C90" s="485"/>
      <c r="D90" s="1279">
        <f>D89+1</f>
        <v>16</v>
      </c>
      <c r="E90" s="3078" t="str">
        <f t="shared" si="39"/>
        <v>Process emissions sub-installation, CL</v>
      </c>
      <c r="F90" s="3079"/>
      <c r="G90" s="1411"/>
      <c r="H90" s="3086"/>
      <c r="I90" s="3086"/>
      <c r="J90" s="3086"/>
      <c r="K90" s="1420"/>
      <c r="L90" s="1408"/>
      <c r="M90" s="1421"/>
      <c r="N90" s="1412"/>
      <c r="O90" s="481"/>
      <c r="P90" s="485"/>
      <c r="Q90" s="1118"/>
      <c r="R90" s="1318" t="str">
        <f t="shared" si="40"/>
        <v/>
      </c>
      <c r="S90" s="1140" t="b">
        <f t="shared" si="41"/>
        <v>1</v>
      </c>
      <c r="T90" s="1140" t="b">
        <f t="shared" si="31"/>
        <v>1</v>
      </c>
      <c r="U90" s="1140" t="b">
        <f t="shared" si="32"/>
        <v>1</v>
      </c>
      <c r="V90" s="1140" t="b">
        <f t="shared" si="33"/>
        <v>1</v>
      </c>
      <c r="W90" s="1140" t="b">
        <f t="shared" si="34"/>
        <v>1</v>
      </c>
      <c r="X90" s="1140" t="b">
        <f t="shared" si="34"/>
        <v>1</v>
      </c>
      <c r="Y90" s="1140" t="str">
        <f t="shared" si="35"/>
        <v/>
      </c>
      <c r="Z90" s="1319" t="str">
        <f t="shared" si="36"/>
        <v/>
      </c>
      <c r="AA90" s="1319" t="str">
        <f t="shared" si="26"/>
        <v/>
      </c>
      <c r="AB90" s="1319" t="str">
        <f t="shared" si="37"/>
        <v/>
      </c>
      <c r="AC90" s="1320" t="str">
        <f t="shared" si="27"/>
        <v/>
      </c>
      <c r="AD90" s="1320">
        <f t="shared" si="38"/>
        <v>0</v>
      </c>
      <c r="AE90" s="1320">
        <f t="shared" si="28"/>
        <v>0</v>
      </c>
      <c r="AP90" s="1292" t="s">
        <v>2660</v>
      </c>
    </row>
    <row r="91" spans="1:42" s="1119" customFormat="1" ht="13.9" customHeight="1" thickBot="1">
      <c r="A91" s="1116"/>
      <c r="C91" s="485"/>
      <c r="D91" s="1283">
        <v>17</v>
      </c>
      <c r="E91" s="3094" t="str">
        <f t="shared" si="39"/>
        <v>Process emissions sub-installation, non-CL</v>
      </c>
      <c r="F91" s="3095"/>
      <c r="G91" s="1413"/>
      <c r="H91" s="3087"/>
      <c r="I91" s="3087"/>
      <c r="J91" s="3087"/>
      <c r="K91" s="1414"/>
      <c r="L91" s="1415"/>
      <c r="M91" s="1422"/>
      <c r="N91" s="1417"/>
      <c r="O91" s="481"/>
      <c r="P91" s="485"/>
      <c r="Q91" s="1118"/>
      <c r="R91" s="1278" t="str">
        <f t="shared" si="40"/>
        <v/>
      </c>
      <c r="S91" s="1140" t="b">
        <f t="shared" si="41"/>
        <v>1</v>
      </c>
      <c r="T91" s="1140" t="b">
        <f t="shared" si="31"/>
        <v>1</v>
      </c>
      <c r="U91" s="1140" t="b">
        <f t="shared" si="32"/>
        <v>1</v>
      </c>
      <c r="V91" s="1140" t="b">
        <f t="shared" si="33"/>
        <v>1</v>
      </c>
      <c r="W91" s="1140" t="b">
        <f t="shared" si="34"/>
        <v>1</v>
      </c>
      <c r="X91" s="1140" t="b">
        <f t="shared" si="34"/>
        <v>1</v>
      </c>
      <c r="Y91" s="1140" t="str">
        <f t="shared" si="35"/>
        <v/>
      </c>
      <c r="Z91" s="1319" t="str">
        <f t="shared" si="36"/>
        <v/>
      </c>
      <c r="AA91" s="1319" t="str">
        <f t="shared" si="26"/>
        <v/>
      </c>
      <c r="AB91" s="1319" t="str">
        <f t="shared" si="37"/>
        <v/>
      </c>
      <c r="AC91" s="1320" t="str">
        <f t="shared" si="27"/>
        <v/>
      </c>
      <c r="AD91" s="1320">
        <f t="shared" si="38"/>
        <v>0</v>
      </c>
      <c r="AE91" s="1320">
        <f t="shared" si="28"/>
        <v>0</v>
      </c>
      <c r="AP91" s="1292" t="s">
        <v>2661</v>
      </c>
    </row>
    <row r="92" spans="1:42" s="1119" customFormat="1">
      <c r="A92" s="1116"/>
      <c r="C92" s="485"/>
      <c r="D92" s="1327"/>
      <c r="E92" s="1328"/>
      <c r="F92" s="485"/>
      <c r="G92" s="485"/>
      <c r="H92" s="485"/>
      <c r="I92" s="485"/>
      <c r="J92" s="485"/>
      <c r="K92" s="485"/>
      <c r="L92" s="485"/>
      <c r="M92" s="485"/>
      <c r="N92" s="485"/>
      <c r="O92" s="481"/>
      <c r="P92" s="485"/>
      <c r="Q92" s="1118"/>
      <c r="R92" s="1193"/>
      <c r="S92" s="1118"/>
      <c r="T92" s="1118"/>
      <c r="U92" s="1118"/>
      <c r="V92" s="1118"/>
      <c r="W92" s="1118"/>
      <c r="X92" s="1118"/>
      <c r="Y92" s="1118"/>
      <c r="Z92" s="1118"/>
      <c r="AA92" s="1118"/>
      <c r="AB92" s="1118"/>
      <c r="AC92" s="1118"/>
      <c r="AD92" s="3171" t="s">
        <v>456</v>
      </c>
      <c r="AE92" s="3172"/>
      <c r="AP92" s="1121"/>
    </row>
    <row r="93" spans="1:42" s="1119" customFormat="1">
      <c r="A93" s="1116"/>
      <c r="C93" s="485"/>
      <c r="D93" s="3123" t="str">
        <f>IF(AD93 = TRUE,"Missing details from the table above. When a cessation date is set, all dark yellow fields must be answered.","")</f>
        <v/>
      </c>
      <c r="E93" s="3124"/>
      <c r="F93" s="3124"/>
      <c r="G93" s="3124"/>
      <c r="H93" s="3124"/>
      <c r="I93" s="3124"/>
      <c r="J93" s="3124"/>
      <c r="K93" s="3124"/>
      <c r="L93" s="3124"/>
      <c r="M93" s="3124"/>
      <c r="N93" s="3125"/>
      <c r="O93" s="481"/>
      <c r="P93" s="485"/>
      <c r="Q93" s="1118"/>
      <c r="R93" s="1329"/>
      <c r="S93" s="1118"/>
      <c r="T93" s="1118"/>
      <c r="U93" s="1118"/>
      <c r="V93" s="1118"/>
      <c r="W93" s="1118"/>
      <c r="X93" s="1118"/>
      <c r="Y93" s="1118"/>
      <c r="Z93" s="1118"/>
      <c r="AA93" s="1118"/>
      <c r="AB93" s="1118"/>
      <c r="AC93" s="1118"/>
      <c r="AD93" s="3171" t="b">
        <f>IF(SUM(AD75:AE91) &gt; 0,TRUE, FALSE)</f>
        <v>0</v>
      </c>
      <c r="AE93" s="3172"/>
      <c r="AP93" s="1121"/>
    </row>
    <row r="94" spans="1:42" s="1119" customFormat="1">
      <c r="A94" s="1116"/>
      <c r="C94" s="485"/>
      <c r="D94" s="485"/>
      <c r="E94" s="485"/>
      <c r="F94" s="485"/>
      <c r="G94" s="485"/>
      <c r="H94" s="485"/>
      <c r="I94" s="485"/>
      <c r="J94" s="485"/>
      <c r="K94" s="485"/>
      <c r="L94" s="485"/>
      <c r="M94" s="485"/>
      <c r="N94" s="485"/>
      <c r="O94" s="481"/>
      <c r="P94" s="485"/>
      <c r="Q94" s="1118"/>
      <c r="R94" s="1118"/>
      <c r="S94" s="1118"/>
      <c r="T94" s="1118"/>
      <c r="U94" s="1118"/>
      <c r="V94" s="1118"/>
      <c r="W94" s="1118"/>
      <c r="X94" s="1118"/>
      <c r="Y94" s="1118"/>
      <c r="Z94" s="1118"/>
      <c r="AA94" s="1118"/>
      <c r="AP94" s="1121"/>
    </row>
    <row r="95" spans="1:42" s="1119" customFormat="1" ht="15.6" customHeight="1">
      <c r="A95" s="1116"/>
      <c r="C95" s="507" t="s">
        <v>875</v>
      </c>
      <c r="D95" s="2408" t="s">
        <v>1767</v>
      </c>
      <c r="E95" s="2408"/>
      <c r="F95" s="2408"/>
      <c r="G95" s="2408"/>
      <c r="H95" s="2408"/>
      <c r="I95" s="2408"/>
      <c r="J95" s="2408"/>
      <c r="K95" s="2408"/>
      <c r="L95" s="2408"/>
      <c r="M95" s="2408"/>
      <c r="N95" s="2408"/>
      <c r="O95" s="481"/>
      <c r="P95" s="485"/>
      <c r="Q95" s="1117"/>
      <c r="R95" s="1118"/>
      <c r="S95" s="1118"/>
      <c r="T95" s="1118"/>
      <c r="U95" s="1118"/>
      <c r="V95" s="1118"/>
      <c r="W95" s="1118"/>
      <c r="X95" s="1118"/>
      <c r="Y95" s="1118"/>
      <c r="Z95" s="1118"/>
      <c r="AA95" s="1118"/>
      <c r="AP95" s="1121"/>
    </row>
    <row r="96" spans="1:42" s="562" customFormat="1" ht="5.0999999999999996" customHeight="1">
      <c r="A96" s="618"/>
      <c r="C96" s="467"/>
      <c r="D96" s="485"/>
      <c r="E96" s="2466"/>
      <c r="F96" s="2467"/>
      <c r="G96" s="2467"/>
      <c r="H96" s="2467"/>
      <c r="I96" s="2467"/>
      <c r="J96" s="2467"/>
      <c r="K96" s="2467"/>
      <c r="L96" s="2467"/>
      <c r="M96" s="2467"/>
      <c r="N96" s="2467"/>
      <c r="O96" s="481"/>
      <c r="P96" s="485"/>
      <c r="Q96" s="1118"/>
      <c r="R96" s="1118"/>
      <c r="S96" s="1330"/>
      <c r="T96" s="1118"/>
      <c r="U96" s="1118"/>
      <c r="V96" s="1118"/>
      <c r="W96" s="1118"/>
      <c r="X96" s="1118"/>
      <c r="Y96" s="1118"/>
      <c r="Z96" s="1137"/>
      <c r="AA96" s="1137"/>
      <c r="AP96" s="1135"/>
    </row>
    <row r="97" spans="1:42" s="1119" customFormat="1" ht="13.15" customHeight="1">
      <c r="A97" s="1116"/>
      <c r="C97" s="485"/>
      <c r="D97" s="482" t="s">
        <v>400</v>
      </c>
      <c r="E97" s="2373" t="s">
        <v>2206</v>
      </c>
      <c r="F97" s="2400"/>
      <c r="G97" s="2400"/>
      <c r="H97" s="2400"/>
      <c r="I97" s="2400"/>
      <c r="J97" s="2400"/>
      <c r="K97" s="2400"/>
      <c r="L97" s="2400"/>
      <c r="M97" s="2400"/>
      <c r="N97" s="2400"/>
      <c r="O97" s="481"/>
      <c r="P97" s="485"/>
      <c r="Q97" s="1118"/>
      <c r="R97" s="1118"/>
      <c r="S97" s="1118"/>
      <c r="AP97" s="1121"/>
    </row>
    <row r="98" spans="1:42" s="1119" customFormat="1" ht="13.15" customHeight="1">
      <c r="A98" s="1116"/>
      <c r="C98" s="485"/>
      <c r="D98" s="484"/>
      <c r="E98" s="2850" t="s">
        <v>1837</v>
      </c>
      <c r="F98" s="2380"/>
      <c r="G98" s="2380"/>
      <c r="H98" s="2380"/>
      <c r="I98" s="2380"/>
      <c r="J98" s="2380"/>
      <c r="K98" s="2380"/>
      <c r="L98" s="2380"/>
      <c r="M98" s="2380"/>
      <c r="N98" s="2380"/>
      <c r="O98" s="481"/>
      <c r="P98" s="485"/>
      <c r="Q98" s="1118"/>
      <c r="R98" s="1118"/>
      <c r="S98" s="1118"/>
      <c r="AP98" s="1121"/>
    </row>
    <row r="99" spans="1:42" s="1119" customFormat="1" ht="25.5" customHeight="1">
      <c r="A99" s="1116"/>
      <c r="C99" s="485"/>
      <c r="D99" s="2630" t="s">
        <v>522</v>
      </c>
      <c r="E99" s="3074" t="s">
        <v>825</v>
      </c>
      <c r="F99" s="2633"/>
      <c r="G99" s="2633"/>
      <c r="H99" s="2630"/>
      <c r="I99" s="879" t="s">
        <v>1646</v>
      </c>
      <c r="J99" s="879" t="s">
        <v>303</v>
      </c>
      <c r="K99" s="879" t="s">
        <v>1761</v>
      </c>
      <c r="L99" s="879" t="s">
        <v>1389</v>
      </c>
      <c r="M99" s="879" t="s">
        <v>1840</v>
      </c>
      <c r="N99" s="1331" t="s">
        <v>1391</v>
      </c>
      <c r="O99" s="481"/>
      <c r="P99" s="485"/>
      <c r="Q99" s="1118"/>
      <c r="R99" s="1118"/>
      <c r="S99" s="1137"/>
      <c r="AP99" s="1121"/>
    </row>
    <row r="100" spans="1:42" s="1119" customFormat="1">
      <c r="A100" s="1116"/>
      <c r="C100" s="485"/>
      <c r="D100" s="2631"/>
      <c r="E100" s="2634"/>
      <c r="F100" s="2635"/>
      <c r="G100" s="2635"/>
      <c r="H100" s="2636"/>
      <c r="I100" s="1332"/>
      <c r="J100" s="883" t="s">
        <v>2090</v>
      </c>
      <c r="K100" s="883" t="s">
        <v>2090</v>
      </c>
      <c r="L100" s="1333" t="s">
        <v>1021</v>
      </c>
      <c r="M100" s="883" t="s">
        <v>2090</v>
      </c>
      <c r="N100" s="1333" t="s">
        <v>1021</v>
      </c>
      <c r="O100" s="476"/>
      <c r="P100" s="485"/>
      <c r="Q100" s="1118"/>
      <c r="R100" s="1118"/>
      <c r="S100" s="1334" t="s">
        <v>717</v>
      </c>
      <c r="AP100" s="1121"/>
    </row>
    <row r="101" spans="1:42" s="1119" customFormat="1">
      <c r="A101" s="1116"/>
      <c r="C101" s="485"/>
      <c r="D101" s="1274">
        <v>1</v>
      </c>
      <c r="E101" s="3165" t="str">
        <f>IF(CTRL_InputMethodNIMsvalues&lt;&gt;1,"",c_ALR2025!E2670)</f>
        <v/>
      </c>
      <c r="F101" s="3166"/>
      <c r="G101" s="3166"/>
      <c r="H101" s="3167"/>
      <c r="I101" s="1335" t="str">
        <f>IF(CTRL_InputMethodNIMsvalues&lt;&gt;1,"",c_ALR2025!I2670)</f>
        <v/>
      </c>
      <c r="J101" s="1336" t="str">
        <f>IF(CTRL_InputMethodNIMsvalues&lt;&gt;1,"",c_ALR2025!J2670)</f>
        <v/>
      </c>
      <c r="K101" s="1336" t="str">
        <f>IF(CTRL_InputMethodNIMsvalues&lt;&gt;1,"",c_ALR2025!K2670)</f>
        <v/>
      </c>
      <c r="L101" s="1337" t="str">
        <f>IF(CTRL_InputMethodNIMsvalues&lt;&gt;1,"",c_ALR2025!L2670)</f>
        <v/>
      </c>
      <c r="M101" s="1336" t="str">
        <f>IF(CTRL_InputMethodNIMsvalues&lt;&gt;1,"",c_ALR2025!M2670)</f>
        <v/>
      </c>
      <c r="N101" s="1337" t="str">
        <f>IF(CTRL_InputMethodNIMsvalues&lt;&gt;1,"",c_ALR2025!N2670)</f>
        <v/>
      </c>
      <c r="O101" s="481"/>
      <c r="P101" s="10"/>
      <c r="Q101" s="1118"/>
      <c r="R101" s="1118"/>
      <c r="S101" s="1423" t="b">
        <f>OR(CTRL_InputMethodNIMsvalues=2,CNTR_Incumbent=FALSE)</f>
        <v>0</v>
      </c>
      <c r="AP101" s="1121"/>
    </row>
    <row r="102" spans="1:42" s="1119" customFormat="1">
      <c r="A102" s="1116"/>
      <c r="C102" s="485"/>
      <c r="D102" s="1279">
        <f t="shared" ref="D102:D110" si="42">D101+1</f>
        <v>2</v>
      </c>
      <c r="E102" s="3075" t="str">
        <f>IF(CTRL_InputMethodNIMsvalues&lt;&gt;1,"",c_ALR2025!E2671)</f>
        <v/>
      </c>
      <c r="F102" s="3076"/>
      <c r="G102" s="3076"/>
      <c r="H102" s="3077"/>
      <c r="I102" s="1338" t="str">
        <f>IF(CTRL_InputMethodNIMsvalues&lt;&gt;1,"",c_ALR2025!I2671)</f>
        <v/>
      </c>
      <c r="J102" s="1339" t="str">
        <f>IF(CTRL_InputMethodNIMsvalues&lt;&gt;1,"",c_ALR2025!J2671)</f>
        <v/>
      </c>
      <c r="K102" s="1339" t="str">
        <f>IF(CTRL_InputMethodNIMsvalues&lt;&gt;1,"",c_ALR2025!K2671)</f>
        <v/>
      </c>
      <c r="L102" s="1340" t="str">
        <f>IF(CTRL_InputMethodNIMsvalues&lt;&gt;1,"",c_ALR2025!L2671)</f>
        <v/>
      </c>
      <c r="M102" s="1339" t="str">
        <f>IF(CTRL_InputMethodNIMsvalues&lt;&gt;1,"",c_ALR2025!M2671)</f>
        <v/>
      </c>
      <c r="N102" s="1340" t="str">
        <f>IF(CTRL_InputMethodNIMsvalues&lt;&gt;1,"",c_ALR2025!N2671)</f>
        <v/>
      </c>
      <c r="O102" s="481"/>
      <c r="P102" s="10"/>
      <c r="Q102" s="1118"/>
      <c r="R102" s="1137"/>
      <c r="S102" s="1140" t="b">
        <f>S101</f>
        <v>0</v>
      </c>
      <c r="AP102" s="1121"/>
    </row>
    <row r="103" spans="1:42" s="1119" customFormat="1">
      <c r="A103" s="1116"/>
      <c r="C103" s="485"/>
      <c r="D103" s="1279">
        <f t="shared" si="42"/>
        <v>3</v>
      </c>
      <c r="E103" s="3075" t="str">
        <f>IF(CTRL_InputMethodNIMsvalues&lt;&gt;1,"",c_ALR2025!E2672)</f>
        <v/>
      </c>
      <c r="F103" s="3076"/>
      <c r="G103" s="3076"/>
      <c r="H103" s="3077"/>
      <c r="I103" s="1338" t="str">
        <f>IF(CTRL_InputMethodNIMsvalues&lt;&gt;1,"",c_ALR2025!I2672)</f>
        <v/>
      </c>
      <c r="J103" s="1339" t="str">
        <f>IF(CTRL_InputMethodNIMsvalues&lt;&gt;1,"",c_ALR2025!J2672)</f>
        <v/>
      </c>
      <c r="K103" s="1339" t="str">
        <f>IF(CTRL_InputMethodNIMsvalues&lt;&gt;1,"",c_ALR2025!K2672)</f>
        <v/>
      </c>
      <c r="L103" s="1340" t="str">
        <f>IF(CTRL_InputMethodNIMsvalues&lt;&gt;1,"",c_ALR2025!L2672)</f>
        <v/>
      </c>
      <c r="M103" s="1339" t="str">
        <f>IF(CTRL_InputMethodNIMsvalues&lt;&gt;1,"",c_ALR2025!M2672)</f>
        <v/>
      </c>
      <c r="N103" s="1340" t="str">
        <f>IF(CTRL_InputMethodNIMsvalues&lt;&gt;1,"",c_ALR2025!N2672)</f>
        <v/>
      </c>
      <c r="O103" s="481"/>
      <c r="P103" s="10"/>
      <c r="Q103" s="1118"/>
      <c r="R103" s="1137"/>
      <c r="S103" s="1140" t="b">
        <f t="shared" ref="S103:S110" si="43">S102</f>
        <v>0</v>
      </c>
      <c r="AP103" s="1121"/>
    </row>
    <row r="104" spans="1:42" s="1119" customFormat="1">
      <c r="A104" s="1116"/>
      <c r="C104" s="485"/>
      <c r="D104" s="1279">
        <f t="shared" si="42"/>
        <v>4</v>
      </c>
      <c r="E104" s="3075" t="str">
        <f>IF(CTRL_InputMethodNIMsvalues&lt;&gt;1,"",c_ALR2025!E2673)</f>
        <v/>
      </c>
      <c r="F104" s="3076"/>
      <c r="G104" s="3076"/>
      <c r="H104" s="3077"/>
      <c r="I104" s="1338" t="str">
        <f>IF(CTRL_InputMethodNIMsvalues&lt;&gt;1,"",c_ALR2025!I2673)</f>
        <v/>
      </c>
      <c r="J104" s="1339" t="str">
        <f>IF(CTRL_InputMethodNIMsvalues&lt;&gt;1,"",c_ALR2025!J2673)</f>
        <v/>
      </c>
      <c r="K104" s="1339" t="str">
        <f>IF(CTRL_InputMethodNIMsvalues&lt;&gt;1,"",c_ALR2025!K2673)</f>
        <v/>
      </c>
      <c r="L104" s="1340" t="str">
        <f>IF(CTRL_InputMethodNIMsvalues&lt;&gt;1,"",c_ALR2025!L2673)</f>
        <v/>
      </c>
      <c r="M104" s="1339" t="str">
        <f>IF(CTRL_InputMethodNIMsvalues&lt;&gt;1,"",c_ALR2025!M2673)</f>
        <v/>
      </c>
      <c r="N104" s="1340" t="str">
        <f>IF(CTRL_InputMethodNIMsvalues&lt;&gt;1,"",c_ALR2025!N2673)</f>
        <v/>
      </c>
      <c r="O104" s="481"/>
      <c r="P104" s="10"/>
      <c r="Q104" s="1118"/>
      <c r="R104" s="1137"/>
      <c r="S104" s="1140" t="b">
        <f t="shared" si="43"/>
        <v>0</v>
      </c>
      <c r="AP104" s="1121"/>
    </row>
    <row r="105" spans="1:42" s="1119" customFormat="1">
      <c r="A105" s="1116"/>
      <c r="C105" s="485"/>
      <c r="D105" s="1279">
        <f t="shared" si="42"/>
        <v>5</v>
      </c>
      <c r="E105" s="3075" t="str">
        <f>IF(CTRL_InputMethodNIMsvalues&lt;&gt;1,"",c_ALR2025!E2674)</f>
        <v/>
      </c>
      <c r="F105" s="3076"/>
      <c r="G105" s="3076"/>
      <c r="H105" s="3077"/>
      <c r="I105" s="1338" t="str">
        <f>IF(CTRL_InputMethodNIMsvalues&lt;&gt;1,"",c_ALR2025!I2674)</f>
        <v/>
      </c>
      <c r="J105" s="1339" t="str">
        <f>IF(CTRL_InputMethodNIMsvalues&lt;&gt;1,"",c_ALR2025!J2674)</f>
        <v/>
      </c>
      <c r="K105" s="1339" t="str">
        <f>IF(CTRL_InputMethodNIMsvalues&lt;&gt;1,"",c_ALR2025!K2674)</f>
        <v/>
      </c>
      <c r="L105" s="1340" t="str">
        <f>IF(CTRL_InputMethodNIMsvalues&lt;&gt;1,"",c_ALR2025!L2674)</f>
        <v/>
      </c>
      <c r="M105" s="1339" t="str">
        <f>IF(CTRL_InputMethodNIMsvalues&lt;&gt;1,"",c_ALR2025!M2674)</f>
        <v/>
      </c>
      <c r="N105" s="1340" t="str">
        <f>IF(CTRL_InputMethodNIMsvalues&lt;&gt;1,"",c_ALR2025!N2674)</f>
        <v/>
      </c>
      <c r="O105" s="481"/>
      <c r="P105" s="10"/>
      <c r="Q105" s="1118"/>
      <c r="R105" s="1137"/>
      <c r="S105" s="1140" t="b">
        <f t="shared" si="43"/>
        <v>0</v>
      </c>
      <c r="AP105" s="1121"/>
    </row>
    <row r="106" spans="1:42" s="1119" customFormat="1">
      <c r="A106" s="1116"/>
      <c r="C106" s="485"/>
      <c r="D106" s="1279">
        <f t="shared" si="42"/>
        <v>6</v>
      </c>
      <c r="E106" s="3075" t="str">
        <f>IF(CTRL_InputMethodNIMsvalues&lt;&gt;1,"",c_ALR2025!E2675)</f>
        <v/>
      </c>
      <c r="F106" s="3076"/>
      <c r="G106" s="3076"/>
      <c r="H106" s="3077"/>
      <c r="I106" s="1338" t="str">
        <f>IF(CTRL_InputMethodNIMsvalues&lt;&gt;1,"",c_ALR2025!I2675)</f>
        <v/>
      </c>
      <c r="J106" s="1339" t="str">
        <f>IF(CTRL_InputMethodNIMsvalues&lt;&gt;1,"",c_ALR2025!J2675)</f>
        <v/>
      </c>
      <c r="K106" s="1339" t="str">
        <f>IF(CTRL_InputMethodNIMsvalues&lt;&gt;1,"",c_ALR2025!K2675)</f>
        <v/>
      </c>
      <c r="L106" s="1340" t="str">
        <f>IF(CTRL_InputMethodNIMsvalues&lt;&gt;1,"",c_ALR2025!L2675)</f>
        <v/>
      </c>
      <c r="M106" s="1339" t="str">
        <f>IF(CTRL_InputMethodNIMsvalues&lt;&gt;1,"",c_ALR2025!M2675)</f>
        <v/>
      </c>
      <c r="N106" s="1340" t="str">
        <f>IF(CTRL_InputMethodNIMsvalues&lt;&gt;1,"",c_ALR2025!N2675)</f>
        <v/>
      </c>
      <c r="O106" s="481"/>
      <c r="P106" s="10"/>
      <c r="Q106" s="1118"/>
      <c r="R106" s="1137"/>
      <c r="S106" s="1140" t="b">
        <f t="shared" si="43"/>
        <v>0</v>
      </c>
      <c r="AP106" s="1121"/>
    </row>
    <row r="107" spans="1:42" s="1119" customFormat="1">
      <c r="A107" s="1116"/>
      <c r="C107" s="485"/>
      <c r="D107" s="1279">
        <f t="shared" si="42"/>
        <v>7</v>
      </c>
      <c r="E107" s="3075" t="str">
        <f>IF(CTRL_InputMethodNIMsvalues&lt;&gt;1,"",c_ALR2025!E2676)</f>
        <v/>
      </c>
      <c r="F107" s="3076"/>
      <c r="G107" s="3076"/>
      <c r="H107" s="3077"/>
      <c r="I107" s="1338" t="str">
        <f>IF(CTRL_InputMethodNIMsvalues&lt;&gt;1,"",c_ALR2025!I2676)</f>
        <v/>
      </c>
      <c r="J107" s="1339" t="str">
        <f>IF(CTRL_InputMethodNIMsvalues&lt;&gt;1,"",c_ALR2025!J2676)</f>
        <v/>
      </c>
      <c r="K107" s="1339" t="str">
        <f>IF(CTRL_InputMethodNIMsvalues&lt;&gt;1,"",c_ALR2025!K2676)</f>
        <v/>
      </c>
      <c r="L107" s="1340" t="str">
        <f>IF(CTRL_InputMethodNIMsvalues&lt;&gt;1,"",c_ALR2025!L2676)</f>
        <v/>
      </c>
      <c r="M107" s="1339" t="str">
        <f>IF(CTRL_InputMethodNIMsvalues&lt;&gt;1,"",c_ALR2025!M2676)</f>
        <v/>
      </c>
      <c r="N107" s="1340" t="str">
        <f>IF(CTRL_InputMethodNIMsvalues&lt;&gt;1,"",c_ALR2025!N2676)</f>
        <v/>
      </c>
      <c r="O107" s="481"/>
      <c r="P107" s="10"/>
      <c r="Q107" s="1118"/>
      <c r="R107" s="1137"/>
      <c r="S107" s="1140" t="b">
        <f t="shared" si="43"/>
        <v>0</v>
      </c>
      <c r="AP107" s="1121"/>
    </row>
    <row r="108" spans="1:42" s="1119" customFormat="1">
      <c r="A108" s="1116"/>
      <c r="C108" s="485"/>
      <c r="D108" s="1279">
        <f t="shared" si="42"/>
        <v>8</v>
      </c>
      <c r="E108" s="3075" t="str">
        <f>IF(CTRL_InputMethodNIMsvalues&lt;&gt;1,"",c_ALR2025!E2677)</f>
        <v/>
      </c>
      <c r="F108" s="3076"/>
      <c r="G108" s="3076"/>
      <c r="H108" s="3077"/>
      <c r="I108" s="1338" t="str">
        <f>IF(CTRL_InputMethodNIMsvalues&lt;&gt;1,"",c_ALR2025!I2677)</f>
        <v/>
      </c>
      <c r="J108" s="1339" t="str">
        <f>IF(CTRL_InputMethodNIMsvalues&lt;&gt;1,"",c_ALR2025!J2677)</f>
        <v/>
      </c>
      <c r="K108" s="1339" t="str">
        <f>IF(CTRL_InputMethodNIMsvalues&lt;&gt;1,"",c_ALR2025!K2677)</f>
        <v/>
      </c>
      <c r="L108" s="1340" t="str">
        <f>IF(CTRL_InputMethodNIMsvalues&lt;&gt;1,"",c_ALR2025!L2677)</f>
        <v/>
      </c>
      <c r="M108" s="1339" t="str">
        <f>IF(CTRL_InputMethodNIMsvalues&lt;&gt;1,"",c_ALR2025!M2677)</f>
        <v/>
      </c>
      <c r="N108" s="1340" t="str">
        <f>IF(CTRL_InputMethodNIMsvalues&lt;&gt;1,"",c_ALR2025!N2677)</f>
        <v/>
      </c>
      <c r="O108" s="481"/>
      <c r="P108" s="10"/>
      <c r="Q108" s="1118"/>
      <c r="R108" s="1137"/>
      <c r="S108" s="1140" t="b">
        <f t="shared" si="43"/>
        <v>0</v>
      </c>
      <c r="AP108" s="1121"/>
    </row>
    <row r="109" spans="1:42" s="1119" customFormat="1">
      <c r="A109" s="1116"/>
      <c r="C109" s="485"/>
      <c r="D109" s="1279">
        <f t="shared" si="42"/>
        <v>9</v>
      </c>
      <c r="E109" s="3075" t="str">
        <f>IF(CTRL_InputMethodNIMsvalues&lt;&gt;1,"",c_ALR2025!E2678)</f>
        <v/>
      </c>
      <c r="F109" s="3076"/>
      <c r="G109" s="3076"/>
      <c r="H109" s="3077"/>
      <c r="I109" s="1338" t="str">
        <f>IF(CTRL_InputMethodNIMsvalues&lt;&gt;1,"",c_ALR2025!I2678)</f>
        <v/>
      </c>
      <c r="J109" s="1339" t="str">
        <f>IF(CTRL_InputMethodNIMsvalues&lt;&gt;1,"",c_ALR2025!J2678)</f>
        <v/>
      </c>
      <c r="K109" s="1339" t="str">
        <f>IF(CTRL_InputMethodNIMsvalues&lt;&gt;1,"",c_ALR2025!K2678)</f>
        <v/>
      </c>
      <c r="L109" s="1340" t="str">
        <f>IF(CTRL_InputMethodNIMsvalues&lt;&gt;1,"",c_ALR2025!L2678)</f>
        <v/>
      </c>
      <c r="M109" s="1339" t="str">
        <f>IF(CTRL_InputMethodNIMsvalues&lt;&gt;1,"",c_ALR2025!M2678)</f>
        <v/>
      </c>
      <c r="N109" s="1340" t="str">
        <f>IF(CTRL_InputMethodNIMsvalues&lt;&gt;1,"",c_ALR2025!N2678)</f>
        <v/>
      </c>
      <c r="O109" s="481"/>
      <c r="P109" s="10"/>
      <c r="Q109" s="1118"/>
      <c r="R109" s="1137"/>
      <c r="S109" s="1140" t="b">
        <f t="shared" si="43"/>
        <v>0</v>
      </c>
      <c r="AP109" s="1121"/>
    </row>
    <row r="110" spans="1:42" s="1119" customFormat="1">
      <c r="A110" s="1116"/>
      <c r="C110" s="485"/>
      <c r="D110" s="1283">
        <f t="shared" si="42"/>
        <v>10</v>
      </c>
      <c r="E110" s="3168" t="str">
        <f>IF(CTRL_InputMethodNIMsvalues&lt;&gt;1,"",c_ALR2025!E2679)</f>
        <v/>
      </c>
      <c r="F110" s="3169"/>
      <c r="G110" s="3169"/>
      <c r="H110" s="3170"/>
      <c r="I110" s="1341" t="str">
        <f>IF(CTRL_InputMethodNIMsvalues&lt;&gt;1,"",c_ALR2025!I2679)</f>
        <v/>
      </c>
      <c r="J110" s="1342" t="str">
        <f>IF(CTRL_InputMethodNIMsvalues&lt;&gt;1,"",c_ALR2025!J2679)</f>
        <v/>
      </c>
      <c r="K110" s="1342" t="str">
        <f>IF(CTRL_InputMethodNIMsvalues&lt;&gt;1,"",c_ALR2025!K2679)</f>
        <v/>
      </c>
      <c r="L110" s="1343" t="str">
        <f>IF(CTRL_InputMethodNIMsvalues&lt;&gt;1,"",c_ALR2025!L2679)</f>
        <v/>
      </c>
      <c r="M110" s="1342" t="str">
        <f>IF(CTRL_InputMethodNIMsvalues&lt;&gt;1,"",c_ALR2025!M2679)</f>
        <v/>
      </c>
      <c r="N110" s="1343" t="str">
        <f>IF(CTRL_InputMethodNIMsvalues&lt;&gt;1,"",c_ALR2025!N2679)</f>
        <v/>
      </c>
      <c r="O110" s="481"/>
      <c r="P110" s="10"/>
      <c r="Q110" s="1118"/>
      <c r="R110" s="1137"/>
      <c r="S110" s="1140" t="b">
        <f t="shared" si="43"/>
        <v>0</v>
      </c>
      <c r="AP110" s="1121"/>
    </row>
    <row r="111" spans="1:42" s="1119" customFormat="1" ht="12.75" customHeight="1">
      <c r="A111" s="1116"/>
      <c r="C111" s="485"/>
      <c r="D111" s="1274">
        <v>11</v>
      </c>
      <c r="E111" s="3156" t="str">
        <f t="shared" ref="E111:E117" si="44">INDEX(EUconst_FallBackListNames,D111-10)</f>
        <v>Heat benchmark sub-installation, CL</v>
      </c>
      <c r="F111" s="2661"/>
      <c r="G111" s="2661"/>
      <c r="H111" s="2662"/>
      <c r="I111" s="1335" t="str">
        <f>IF(CTRL_InputMethodNIMsvalues&lt;&gt;1,"",c_ALR2025!I2680)</f>
        <v/>
      </c>
      <c r="J111" s="1344"/>
      <c r="K111" s="1345"/>
      <c r="L111" s="1345"/>
      <c r="M111" s="1345"/>
      <c r="N111" s="1346"/>
      <c r="O111" s="481"/>
      <c r="P111" s="10"/>
      <c r="Q111" s="1118"/>
      <c r="R111" s="1137"/>
      <c r="S111" s="1140" t="b">
        <f t="shared" ref="S111:S117" si="45">S110</f>
        <v>0</v>
      </c>
      <c r="AP111" s="1121"/>
    </row>
    <row r="112" spans="1:42" s="1119" customFormat="1" ht="12.75" customHeight="1">
      <c r="A112" s="1116"/>
      <c r="C112" s="485"/>
      <c r="D112" s="1279">
        <f>D111+1</f>
        <v>12</v>
      </c>
      <c r="E112" s="3122" t="str">
        <f t="shared" si="44"/>
        <v>Heat benchmark sub-installation, non-CL</v>
      </c>
      <c r="F112" s="2664"/>
      <c r="G112" s="2664"/>
      <c r="H112" s="2665"/>
      <c r="I112" s="1338" t="str">
        <f>IF(CTRL_InputMethodNIMsvalues&lt;&gt;1,"",c_ALR2025!I2681)</f>
        <v/>
      </c>
      <c r="J112" s="1347"/>
      <c r="K112" s="1348"/>
      <c r="L112" s="1348"/>
      <c r="M112" s="1348"/>
      <c r="N112" s="1349"/>
      <c r="O112" s="481"/>
      <c r="P112" s="10"/>
      <c r="Q112" s="1118"/>
      <c r="R112" s="1137"/>
      <c r="S112" s="1140" t="b">
        <f t="shared" si="45"/>
        <v>0</v>
      </c>
      <c r="AP112" s="1121"/>
    </row>
    <row r="113" spans="1:42" s="1119" customFormat="1" ht="12.75" customHeight="1">
      <c r="A113" s="1116"/>
      <c r="C113" s="485"/>
      <c r="D113" s="1279">
        <f>D112+1</f>
        <v>13</v>
      </c>
      <c r="E113" s="3122" t="str">
        <f t="shared" si="44"/>
        <v>District heating sub-installation</v>
      </c>
      <c r="F113" s="2664"/>
      <c r="G113" s="2664"/>
      <c r="H113" s="2665"/>
      <c r="I113" s="1338" t="str">
        <f>IF(CTRL_InputMethodNIMsvalues&lt;&gt;1,"",c_ALR2025!I2682)</f>
        <v/>
      </c>
      <c r="J113" s="1347"/>
      <c r="K113" s="1348"/>
      <c r="L113" s="1348"/>
      <c r="M113" s="1348"/>
      <c r="N113" s="1349"/>
      <c r="O113" s="481"/>
      <c r="P113" s="10"/>
      <c r="Q113" s="1118"/>
      <c r="R113" s="1137"/>
      <c r="S113" s="1140" t="b">
        <f t="shared" si="45"/>
        <v>0</v>
      </c>
      <c r="AP113" s="1121"/>
    </row>
    <row r="114" spans="1:42" s="1119" customFormat="1" ht="12.75" customHeight="1">
      <c r="A114" s="1116"/>
      <c r="C114" s="485"/>
      <c r="D114" s="1279">
        <f>D113+1</f>
        <v>14</v>
      </c>
      <c r="E114" s="3122" t="str">
        <f t="shared" si="44"/>
        <v>Fuel benchmark sub-installation, CL</v>
      </c>
      <c r="F114" s="2664"/>
      <c r="G114" s="2664"/>
      <c r="H114" s="2665"/>
      <c r="I114" s="1338" t="str">
        <f>IF(CTRL_InputMethodNIMsvalues&lt;&gt;1,"",c_ALR2025!I2683)</f>
        <v/>
      </c>
      <c r="J114" s="1347"/>
      <c r="K114" s="1348"/>
      <c r="L114" s="1348"/>
      <c r="M114" s="1348"/>
      <c r="N114" s="1349"/>
      <c r="O114" s="481"/>
      <c r="P114" s="10"/>
      <c r="Q114" s="1118"/>
      <c r="R114" s="1137"/>
      <c r="S114" s="1140" t="b">
        <f t="shared" si="45"/>
        <v>0</v>
      </c>
      <c r="AP114" s="1121"/>
    </row>
    <row r="115" spans="1:42" s="1119" customFormat="1" ht="12.75" customHeight="1">
      <c r="A115" s="1116"/>
      <c r="C115" s="485"/>
      <c r="D115" s="1279">
        <f>D114+1</f>
        <v>15</v>
      </c>
      <c r="E115" s="3122" t="str">
        <f t="shared" si="44"/>
        <v>Fuel benchmark sub-installation, non-CL</v>
      </c>
      <c r="F115" s="2664"/>
      <c r="G115" s="2664"/>
      <c r="H115" s="2665"/>
      <c r="I115" s="1338" t="str">
        <f>IF(CTRL_InputMethodNIMsvalues&lt;&gt;1,"",c_ALR2025!I2684)</f>
        <v/>
      </c>
      <c r="J115" s="1347"/>
      <c r="K115" s="1348"/>
      <c r="L115" s="1348"/>
      <c r="M115" s="1348"/>
      <c r="N115" s="1349"/>
      <c r="O115" s="481"/>
      <c r="P115" s="10"/>
      <c r="Q115" s="1118"/>
      <c r="R115" s="1137"/>
      <c r="S115" s="1140" t="b">
        <f t="shared" si="45"/>
        <v>0</v>
      </c>
      <c r="AP115" s="1121"/>
    </row>
    <row r="116" spans="1:42" s="1119" customFormat="1" ht="12.75" customHeight="1">
      <c r="A116" s="1116"/>
      <c r="C116" s="485"/>
      <c r="D116" s="1279">
        <f>D115+1</f>
        <v>16</v>
      </c>
      <c r="E116" s="3122" t="str">
        <f t="shared" si="44"/>
        <v>Process emissions sub-installation, CL</v>
      </c>
      <c r="F116" s="2664"/>
      <c r="G116" s="2664"/>
      <c r="H116" s="2665"/>
      <c r="I116" s="1338" t="str">
        <f>IF(CTRL_InputMethodNIMsvalues&lt;&gt;1,"",c_ALR2025!I2685)</f>
        <v/>
      </c>
      <c r="J116" s="1347"/>
      <c r="K116" s="1348"/>
      <c r="L116" s="1348"/>
      <c r="M116" s="1348"/>
      <c r="N116" s="1349"/>
      <c r="O116" s="481"/>
      <c r="P116" s="10"/>
      <c r="Q116" s="1118"/>
      <c r="R116" s="1137"/>
      <c r="S116" s="1140" t="b">
        <f t="shared" si="45"/>
        <v>0</v>
      </c>
      <c r="AP116" s="1121"/>
    </row>
    <row r="117" spans="1:42" s="1119" customFormat="1" ht="13.5" customHeight="1">
      <c r="A117" s="1116"/>
      <c r="C117" s="485"/>
      <c r="D117" s="1283">
        <v>17</v>
      </c>
      <c r="E117" s="3153" t="str">
        <f t="shared" si="44"/>
        <v>Process emissions sub-installation, non-CL</v>
      </c>
      <c r="F117" s="2667"/>
      <c r="G117" s="2667"/>
      <c r="H117" s="2668"/>
      <c r="I117" s="1341" t="str">
        <f>IF(CTRL_InputMethodNIMsvalues&lt;&gt;1,"",c_ALR2025!I2686)</f>
        <v/>
      </c>
      <c r="J117" s="1350"/>
      <c r="K117" s="1351"/>
      <c r="L117" s="1351"/>
      <c r="M117" s="1351"/>
      <c r="N117" s="1352"/>
      <c r="O117" s="481"/>
      <c r="P117" s="10"/>
      <c r="Q117" s="1118"/>
      <c r="R117" s="1137"/>
      <c r="S117" s="1140" t="b">
        <f t="shared" si="45"/>
        <v>0</v>
      </c>
      <c r="AP117" s="1121"/>
    </row>
    <row r="118" spans="1:42" s="1119" customFormat="1">
      <c r="A118" s="1116"/>
      <c r="C118" s="485"/>
      <c r="D118" s="485"/>
      <c r="E118" s="485"/>
      <c r="F118" s="485"/>
      <c r="G118" s="485"/>
      <c r="H118" s="485"/>
      <c r="I118" s="485"/>
      <c r="J118" s="485"/>
      <c r="K118" s="485"/>
      <c r="L118" s="485"/>
      <c r="M118" s="485"/>
      <c r="N118" s="485"/>
      <c r="O118" s="481"/>
      <c r="P118" s="485"/>
      <c r="Q118" s="1118"/>
      <c r="R118" s="1137"/>
      <c r="S118" s="1330"/>
      <c r="AP118" s="1121"/>
    </row>
    <row r="119" spans="1:42" s="1119" customFormat="1">
      <c r="A119" s="1116"/>
      <c r="C119" s="485"/>
      <c r="D119" s="482" t="s">
        <v>876</v>
      </c>
      <c r="E119" s="2373" t="s">
        <v>1838</v>
      </c>
      <c r="F119" s="2400"/>
      <c r="G119" s="2400"/>
      <c r="H119" s="2400"/>
      <c r="I119" s="2400"/>
      <c r="J119" s="2400"/>
      <c r="K119" s="2400"/>
      <c r="L119" s="2400"/>
      <c r="M119" s="2400"/>
      <c r="N119" s="2400"/>
      <c r="O119" s="481"/>
      <c r="P119" s="485"/>
      <c r="Q119" s="1118"/>
      <c r="R119" s="1118"/>
      <c r="S119" s="1118"/>
      <c r="AP119" s="1121"/>
    </row>
    <row r="120" spans="1:42" s="1119" customFormat="1" ht="32.450000000000003" customHeight="1">
      <c r="A120" s="1116"/>
      <c r="C120" s="485"/>
      <c r="D120" s="484"/>
      <c r="E120" s="2850" t="s">
        <v>2549</v>
      </c>
      <c r="F120" s="2380"/>
      <c r="G120" s="2380"/>
      <c r="H120" s="2380"/>
      <c r="I120" s="2380"/>
      <c r="J120" s="2380"/>
      <c r="K120" s="2380"/>
      <c r="L120" s="2380"/>
      <c r="M120" s="2380"/>
      <c r="N120" s="2380"/>
      <c r="O120" s="481"/>
      <c r="P120" s="485"/>
      <c r="Q120" s="1118"/>
      <c r="R120" s="1118"/>
      <c r="S120" s="1118"/>
      <c r="AP120" s="1121"/>
    </row>
    <row r="121" spans="1:42" s="1119" customFormat="1" ht="12.75" customHeight="1">
      <c r="A121" s="1116"/>
      <c r="C121" s="485"/>
      <c r="D121" s="484"/>
      <c r="E121" s="1353" t="s">
        <v>1839</v>
      </c>
      <c r="F121" s="2979" t="s">
        <v>1831</v>
      </c>
      <c r="G121" s="2979"/>
      <c r="H121" s="2979"/>
      <c r="I121" s="2979"/>
      <c r="J121" s="2979"/>
      <c r="K121" s="2979"/>
      <c r="L121" s="2979"/>
      <c r="M121" s="2979"/>
      <c r="N121" s="2979"/>
      <c r="O121" s="481"/>
      <c r="P121" s="485"/>
      <c r="Q121" s="1118"/>
      <c r="R121" s="1118"/>
      <c r="S121" s="1118"/>
      <c r="AP121" s="1121"/>
    </row>
    <row r="122" spans="1:42" s="1119" customFormat="1" ht="40.5" customHeight="1">
      <c r="A122" s="1116"/>
      <c r="C122" s="485"/>
      <c r="D122" s="484"/>
      <c r="E122" s="596"/>
      <c r="F122" s="2850" t="s">
        <v>2550</v>
      </c>
      <c r="G122" s="2850"/>
      <c r="H122" s="2850"/>
      <c r="I122" s="2850"/>
      <c r="J122" s="2850"/>
      <c r="K122" s="2850"/>
      <c r="L122" s="2850"/>
      <c r="M122" s="2850"/>
      <c r="N122" s="2850"/>
      <c r="O122" s="481"/>
      <c r="P122" s="485"/>
      <c r="Q122" s="1118"/>
      <c r="R122" s="1118"/>
      <c r="S122" s="1118"/>
      <c r="AP122" s="1121"/>
    </row>
    <row r="123" spans="1:42" s="1119" customFormat="1" ht="12.75" customHeight="1">
      <c r="A123" s="1116"/>
      <c r="C123" s="485"/>
      <c r="D123" s="484"/>
      <c r="E123" s="1353" t="s">
        <v>303</v>
      </c>
      <c r="F123" s="2979" t="s">
        <v>1423</v>
      </c>
      <c r="G123" s="2979"/>
      <c r="H123" s="2979"/>
      <c r="I123" s="2979"/>
      <c r="J123" s="2979"/>
      <c r="K123" s="2979"/>
      <c r="L123" s="2979"/>
      <c r="M123" s="2979"/>
      <c r="N123" s="2979"/>
      <c r="O123" s="481"/>
      <c r="P123" s="485"/>
      <c r="Q123" s="1118"/>
      <c r="R123" s="1118"/>
      <c r="S123" s="1118"/>
      <c r="AP123" s="1121"/>
    </row>
    <row r="124" spans="1:42" s="1119" customFormat="1" ht="13.15" customHeight="1">
      <c r="A124" s="1116"/>
      <c r="C124" s="485"/>
      <c r="D124" s="484"/>
      <c r="E124" s="596"/>
      <c r="F124" s="2850" t="s">
        <v>2551</v>
      </c>
      <c r="G124" s="2850"/>
      <c r="H124" s="2850"/>
      <c r="I124" s="2850"/>
      <c r="J124" s="2850"/>
      <c r="K124" s="2850"/>
      <c r="L124" s="2850"/>
      <c r="M124" s="2850"/>
      <c r="N124" s="2850"/>
      <c r="O124" s="481"/>
      <c r="P124" s="485"/>
      <c r="Q124" s="1118"/>
      <c r="R124" s="1118"/>
      <c r="S124" s="1118"/>
      <c r="AP124" s="1121"/>
    </row>
    <row r="125" spans="1:42" s="1119" customFormat="1" ht="25.5" customHeight="1">
      <c r="A125" s="1116"/>
      <c r="C125" s="485"/>
      <c r="D125" s="484"/>
      <c r="E125" s="1353" t="s">
        <v>1761</v>
      </c>
      <c r="F125" s="2979" t="s">
        <v>2229</v>
      </c>
      <c r="G125" s="2979"/>
      <c r="H125" s="2979"/>
      <c r="I125" s="2979"/>
      <c r="J125" s="2979"/>
      <c r="K125" s="2979"/>
      <c r="L125" s="2979"/>
      <c r="M125" s="2979"/>
      <c r="N125" s="2979"/>
      <c r="O125" s="481"/>
      <c r="P125" s="485"/>
      <c r="Q125" s="1118"/>
      <c r="R125" s="1118"/>
      <c r="S125" s="1118"/>
      <c r="AP125" s="1121"/>
    </row>
    <row r="126" spans="1:42" s="1119" customFormat="1" ht="13.15" customHeight="1">
      <c r="A126" s="1116"/>
      <c r="C126" s="485"/>
      <c r="D126" s="484"/>
      <c r="E126" s="1354"/>
      <c r="F126" s="2850" t="s">
        <v>2552</v>
      </c>
      <c r="G126" s="2850"/>
      <c r="H126" s="2850"/>
      <c r="I126" s="2850"/>
      <c r="J126" s="2850"/>
      <c r="K126" s="2850"/>
      <c r="L126" s="2850"/>
      <c r="M126" s="2850"/>
      <c r="N126" s="2850"/>
      <c r="O126" s="481"/>
      <c r="P126" s="485"/>
      <c r="Q126" s="1118"/>
      <c r="R126" s="1118"/>
      <c r="S126" s="1118"/>
      <c r="AP126" s="1121"/>
    </row>
    <row r="127" spans="1:42" s="1119" customFormat="1" ht="12.75" customHeight="1">
      <c r="A127" s="1116"/>
      <c r="C127" s="485"/>
      <c r="D127" s="484"/>
      <c r="E127" s="1353" t="s">
        <v>1389</v>
      </c>
      <c r="F127" s="2979" t="s">
        <v>1592</v>
      </c>
      <c r="G127" s="2979"/>
      <c r="H127" s="2979"/>
      <c r="I127" s="2979"/>
      <c r="J127" s="2979"/>
      <c r="K127" s="2979"/>
      <c r="L127" s="2979"/>
      <c r="M127" s="2979"/>
      <c r="N127" s="2979"/>
      <c r="O127" s="481"/>
      <c r="P127" s="485"/>
      <c r="Q127" s="1118"/>
      <c r="R127" s="1118"/>
      <c r="S127" s="1118"/>
      <c r="AP127" s="1121"/>
    </row>
    <row r="128" spans="1:42" s="1119" customFormat="1" ht="13.15" customHeight="1">
      <c r="A128" s="1116"/>
      <c r="C128" s="485"/>
      <c r="D128" s="484"/>
      <c r="E128" s="1354"/>
      <c r="F128" s="2850" t="s">
        <v>2553</v>
      </c>
      <c r="G128" s="2850"/>
      <c r="H128" s="2850"/>
      <c r="I128" s="2850"/>
      <c r="J128" s="2850"/>
      <c r="K128" s="2850"/>
      <c r="L128" s="2850"/>
      <c r="M128" s="2850"/>
      <c r="N128" s="2850"/>
      <c r="O128" s="481"/>
      <c r="P128" s="485"/>
      <c r="Q128" s="1118"/>
      <c r="R128" s="1118"/>
      <c r="S128" s="1118"/>
      <c r="AP128" s="1121"/>
    </row>
    <row r="129" spans="1:42" s="1119" customFormat="1" ht="12.75" customHeight="1">
      <c r="A129" s="1116"/>
      <c r="C129" s="485"/>
      <c r="D129" s="484"/>
      <c r="E129" s="1353" t="s">
        <v>1840</v>
      </c>
      <c r="F129" s="2979" t="s">
        <v>1398</v>
      </c>
      <c r="G129" s="2979"/>
      <c r="H129" s="2979"/>
      <c r="I129" s="2979"/>
      <c r="J129" s="2979"/>
      <c r="K129" s="2979"/>
      <c r="L129" s="2979"/>
      <c r="M129" s="2979"/>
      <c r="N129" s="2979"/>
      <c r="O129" s="481"/>
      <c r="P129" s="485"/>
      <c r="Q129" s="1118"/>
      <c r="R129" s="1118"/>
      <c r="S129" s="1118"/>
      <c r="T129" s="1118"/>
      <c r="U129" s="1118"/>
      <c r="V129" s="1118"/>
      <c r="W129" s="1118"/>
      <c r="X129" s="1118"/>
      <c r="Y129" s="1118"/>
      <c r="Z129" s="1118"/>
      <c r="AA129" s="1118"/>
      <c r="AP129" s="1121"/>
    </row>
    <row r="130" spans="1:42" s="1119" customFormat="1" ht="13.15" customHeight="1">
      <c r="A130" s="1116"/>
      <c r="C130" s="485"/>
      <c r="D130" s="484"/>
      <c r="E130" s="1354"/>
      <c r="F130" s="2850" t="s">
        <v>2554</v>
      </c>
      <c r="G130" s="2850"/>
      <c r="H130" s="2850"/>
      <c r="I130" s="2850"/>
      <c r="J130" s="2850"/>
      <c r="K130" s="2850"/>
      <c r="L130" s="2850"/>
      <c r="M130" s="2850"/>
      <c r="N130" s="2850"/>
      <c r="O130" s="481"/>
      <c r="P130" s="485"/>
      <c r="Q130" s="1118"/>
      <c r="R130" s="1118"/>
      <c r="S130" s="1118"/>
      <c r="T130" s="1118"/>
      <c r="U130" s="1118"/>
      <c r="V130" s="1118"/>
      <c r="W130" s="1118"/>
      <c r="X130" s="1118"/>
      <c r="Y130" s="1118"/>
      <c r="Z130" s="1118"/>
      <c r="AA130" s="1118"/>
      <c r="AP130" s="1121"/>
    </row>
    <row r="131" spans="1:42" s="1119" customFormat="1" ht="12.75" customHeight="1">
      <c r="A131" s="1116"/>
      <c r="C131" s="485"/>
      <c r="D131" s="484"/>
      <c r="E131" s="1353" t="s">
        <v>1391</v>
      </c>
      <c r="F131" s="2979" t="s">
        <v>1397</v>
      </c>
      <c r="G131" s="2979"/>
      <c r="H131" s="2979"/>
      <c r="I131" s="2979"/>
      <c r="J131" s="2979"/>
      <c r="K131" s="2979"/>
      <c r="L131" s="2979"/>
      <c r="M131" s="2979"/>
      <c r="N131" s="2979"/>
      <c r="O131" s="481"/>
      <c r="P131" s="485"/>
      <c r="Q131" s="1118"/>
      <c r="R131" s="1118"/>
      <c r="S131" s="1118"/>
      <c r="T131" s="1118"/>
      <c r="U131" s="1118"/>
      <c r="V131" s="1118"/>
      <c r="W131" s="1118"/>
      <c r="X131" s="1118"/>
      <c r="Y131" s="1118"/>
      <c r="Z131" s="1118"/>
      <c r="AA131" s="1118"/>
      <c r="AP131" s="1121"/>
    </row>
    <row r="132" spans="1:42" s="1119" customFormat="1" ht="13.15" customHeight="1">
      <c r="A132" s="1116"/>
      <c r="C132" s="485"/>
      <c r="D132" s="484"/>
      <c r="E132" s="1354"/>
      <c r="F132" s="2850" t="s">
        <v>2555</v>
      </c>
      <c r="G132" s="2850"/>
      <c r="H132" s="2850"/>
      <c r="I132" s="2850"/>
      <c r="J132" s="2850"/>
      <c r="K132" s="2850"/>
      <c r="L132" s="2850"/>
      <c r="M132" s="2850"/>
      <c r="N132" s="2850"/>
      <c r="O132" s="481"/>
      <c r="P132" s="485"/>
      <c r="Q132" s="1118"/>
      <c r="R132" s="1118"/>
      <c r="S132" s="1118"/>
      <c r="T132" s="1118"/>
      <c r="U132" s="1118"/>
      <c r="V132" s="1118"/>
      <c r="W132" s="1118"/>
      <c r="X132" s="1118"/>
      <c r="Y132" s="1118"/>
      <c r="Z132" s="1118"/>
      <c r="AA132" s="1118"/>
      <c r="AP132" s="1121"/>
    </row>
    <row r="133" spans="1:42" s="1119" customFormat="1" ht="44.1" customHeight="1">
      <c r="A133" s="1116"/>
      <c r="C133" s="485"/>
      <c r="D133" s="484"/>
      <c r="E133" s="3164" t="s">
        <v>2556</v>
      </c>
      <c r="F133" s="3164"/>
      <c r="G133" s="3164"/>
      <c r="H133" s="3164"/>
      <c r="I133" s="3164"/>
      <c r="J133" s="3164"/>
      <c r="K133" s="3164"/>
      <c r="L133" s="3164"/>
      <c r="M133" s="3164"/>
      <c r="N133" s="3164"/>
      <c r="O133" s="481"/>
      <c r="P133" s="485"/>
      <c r="Q133" s="1118"/>
      <c r="R133" s="1118"/>
      <c r="S133" s="1137"/>
      <c r="T133" s="1118"/>
      <c r="U133" s="1118"/>
      <c r="V133" s="1118"/>
      <c r="W133" s="1118"/>
      <c r="X133" s="1118"/>
      <c r="Y133" s="1118"/>
      <c r="Z133" s="1118"/>
      <c r="AA133" s="1118"/>
      <c r="AP133" s="1121"/>
    </row>
    <row r="134" spans="1:42" s="1119" customFormat="1" ht="12.75" customHeight="1">
      <c r="A134" s="1116"/>
      <c r="C134" s="485"/>
      <c r="D134" s="2630" t="s">
        <v>522</v>
      </c>
      <c r="E134" s="3074" t="s">
        <v>825</v>
      </c>
      <c r="F134" s="2633"/>
      <c r="G134" s="2630"/>
      <c r="H134" s="3120" t="s">
        <v>884</v>
      </c>
      <c r="I134" s="879" t="s">
        <v>1646</v>
      </c>
      <c r="J134" s="880" t="str">
        <f t="shared" ref="J134:N135" si="46">J99</f>
        <v>non-ETS heat</v>
      </c>
      <c r="K134" s="880" t="str">
        <f t="shared" si="46"/>
        <v>WG flared</v>
      </c>
      <c r="L134" s="880" t="str">
        <f t="shared" si="46"/>
        <v>ElExch-F</v>
      </c>
      <c r="M134" s="880" t="str">
        <f t="shared" si="46"/>
        <v>HVC-corr</v>
      </c>
      <c r="N134" s="881" t="str">
        <f t="shared" si="46"/>
        <v>VCM-F</v>
      </c>
      <c r="O134" s="481"/>
      <c r="P134" s="485"/>
      <c r="Q134" s="1118"/>
      <c r="R134" s="1118"/>
      <c r="S134" s="1334" t="s">
        <v>717</v>
      </c>
      <c r="T134" s="1140" t="s">
        <v>1714</v>
      </c>
      <c r="U134" s="1140" t="s">
        <v>303</v>
      </c>
      <c r="V134" s="1355" t="s">
        <v>1761</v>
      </c>
      <c r="W134" s="1355" t="s">
        <v>1389</v>
      </c>
      <c r="X134" s="1355" t="s">
        <v>1715</v>
      </c>
      <c r="Y134" s="1355" t="s">
        <v>1391</v>
      </c>
      <c r="Z134" s="1118"/>
      <c r="AA134" s="1118"/>
      <c r="AP134" s="1121"/>
    </row>
    <row r="135" spans="1:42" s="1119" customFormat="1" ht="12.75" customHeight="1" thickBot="1">
      <c r="A135" s="1116"/>
      <c r="C135" s="485"/>
      <c r="D135" s="2636"/>
      <c r="E135" s="3074"/>
      <c r="F135" s="2633"/>
      <c r="G135" s="2630"/>
      <c r="H135" s="3121"/>
      <c r="I135" s="1332"/>
      <c r="J135" s="1332" t="str">
        <f t="shared" si="46"/>
        <v>UKA</v>
      </c>
      <c r="K135" s="883" t="str">
        <f t="shared" si="46"/>
        <v>UKA</v>
      </c>
      <c r="L135" s="1333" t="str">
        <f t="shared" si="46"/>
        <v>-</v>
      </c>
      <c r="M135" s="883" t="str">
        <f t="shared" si="46"/>
        <v>UKA</v>
      </c>
      <c r="N135" s="1333" t="str">
        <f t="shared" si="46"/>
        <v>-</v>
      </c>
      <c r="O135" s="481"/>
      <c r="P135" s="485"/>
      <c r="Q135" s="1118"/>
      <c r="R135" s="1118"/>
      <c r="S135" s="1118"/>
      <c r="T135" s="1140"/>
      <c r="U135" s="1140"/>
      <c r="V135" s="1355"/>
      <c r="W135" s="1355"/>
      <c r="X135" s="1355"/>
      <c r="Y135" s="1355"/>
      <c r="Z135" s="1118"/>
      <c r="AA135" s="1118"/>
      <c r="AP135" s="1121"/>
    </row>
    <row r="136" spans="1:42" s="1119" customFormat="1">
      <c r="A136" s="1116"/>
      <c r="C136" s="485"/>
      <c r="D136" s="1274">
        <v>1</v>
      </c>
      <c r="E136" s="3150" t="str">
        <f t="shared" ref="E136:E145" si="47">IF(OR(CTRL_InputMethodNIMsvalues=2,CNTR_Incumbent=FALSE),U26,"")</f>
        <v/>
      </c>
      <c r="F136" s="3151"/>
      <c r="G136" s="3152"/>
      <c r="H136" s="1356" t="str">
        <f t="shared" ref="H136:H145" si="48">IF(E136="","",INDEX(CNTR_SubInstListHALUnit,MATCH(E136,CNTR_SubInstListNames,0)))</f>
        <v/>
      </c>
      <c r="I136" s="1424"/>
      <c r="J136" s="1425"/>
      <c r="K136" s="1425"/>
      <c r="L136" s="1426"/>
      <c r="M136" s="1425"/>
      <c r="N136" s="1426"/>
      <c r="O136" s="481"/>
      <c r="P136" s="10"/>
      <c r="Q136" s="1118"/>
      <c r="R136" s="1118"/>
      <c r="S136" s="1118"/>
      <c r="T136" s="1140" t="b">
        <f t="shared" ref="T136:T145" si="49">OR(CTRL_InputMethodNIMsvalues=1,CNTR_Incumbent=FALSE,SUM(I26)&gt;DATE(2018,1,1),AND(CNTR_ExistSubInstEntries,$E136="",$G26=""))</f>
        <v>1</v>
      </c>
      <c r="U136" s="1140" t="b">
        <f>T136</f>
        <v>1</v>
      </c>
      <c r="V136" s="1140" t="b">
        <f>U136</f>
        <v>1</v>
      </c>
      <c r="W136" s="1158" t="b">
        <f t="shared" ref="W136:W145" si="50">IF(CNTR_ExistSubInstEntries,IF(OR(T136,E136="",CTRL_InputMethodNIMsvalues&lt;&gt;2),TRUE,INDEX(EUconst_BMlistElExchangability,MATCH($E136,EUconst_BMlistNames,0))=FALSE),FALSE)</f>
        <v>0</v>
      </c>
      <c r="X136" s="1158" t="b">
        <f t="shared" ref="X136:X145" si="51">IF(CNTR_ExistSubInstEntries,IF(OR(T136,$E136="",CTRL_InputMethodNIMsvalues&lt;&gt;2),TRUE,INDEX(EUconst_BMlistNumberOfBM,MATCH(E136,EUconst_BMlistNames,0))&lt;&gt;42),FALSE)</f>
        <v>0</v>
      </c>
      <c r="Y136" s="1158" t="b">
        <f t="shared" ref="Y136:Y145" si="52">IF(CNTR_ExistSubInstEntries,IF(OR(T136,$E136="",CTRL_InputMethodNIMsvalues&lt;&gt;2),TRUE,INDEX(EUconst_BMlistNumberOfBM,MATCH(E136,EUconst_BMlistNames,0))&lt;&gt;47),FALSE)</f>
        <v>0</v>
      </c>
      <c r="Z136" s="1161" t="s">
        <v>1954</v>
      </c>
      <c r="AA136" s="1194" t="str">
        <f t="shared" ref="AA136:AA145" si="53">IF(AND(CNTR_ExistSubInstEntries,COUNTIFS(T136:Y136,FALSE,I136:N136,"")&gt;0),2,"")</f>
        <v/>
      </c>
      <c r="AP136" s="1121"/>
    </row>
    <row r="137" spans="1:42" s="1119" customFormat="1">
      <c r="A137" s="1116"/>
      <c r="C137" s="485"/>
      <c r="D137" s="1279">
        <f t="shared" ref="D137:D145" si="54">D136+1</f>
        <v>2</v>
      </c>
      <c r="E137" s="3091" t="str">
        <f t="shared" si="47"/>
        <v/>
      </c>
      <c r="F137" s="3092"/>
      <c r="G137" s="3093"/>
      <c r="H137" s="1357" t="str">
        <f t="shared" si="48"/>
        <v/>
      </c>
      <c r="I137" s="1427"/>
      <c r="J137" s="1428"/>
      <c r="K137" s="1428"/>
      <c r="L137" s="1429"/>
      <c r="M137" s="1428"/>
      <c r="N137" s="1429"/>
      <c r="O137" s="481"/>
      <c r="P137" s="10"/>
      <c r="Q137" s="1118"/>
      <c r="R137" s="1118"/>
      <c r="S137" s="1118"/>
      <c r="T137" s="1140" t="b">
        <f t="shared" si="49"/>
        <v>1</v>
      </c>
      <c r="U137" s="1140" t="b">
        <f t="shared" ref="U137:U145" si="55">T137</f>
        <v>1</v>
      </c>
      <c r="V137" s="1140" t="b">
        <f t="shared" ref="V137:V145" si="56">U137</f>
        <v>1</v>
      </c>
      <c r="W137" s="1158" t="b">
        <f t="shared" si="50"/>
        <v>0</v>
      </c>
      <c r="X137" s="1158" t="b">
        <f t="shared" si="51"/>
        <v>0</v>
      </c>
      <c r="Y137" s="1158" t="b">
        <f t="shared" si="52"/>
        <v>0</v>
      </c>
      <c r="Z137" s="1161" t="s">
        <v>1954</v>
      </c>
      <c r="AA137" s="1195" t="str">
        <f t="shared" si="53"/>
        <v/>
      </c>
      <c r="AP137" s="1121"/>
    </row>
    <row r="138" spans="1:42" s="1119" customFormat="1">
      <c r="A138" s="1116"/>
      <c r="C138" s="485"/>
      <c r="D138" s="1279">
        <f t="shared" si="54"/>
        <v>3</v>
      </c>
      <c r="E138" s="3091" t="str">
        <f t="shared" si="47"/>
        <v/>
      </c>
      <c r="F138" s="3092"/>
      <c r="G138" s="3093"/>
      <c r="H138" s="1357" t="str">
        <f t="shared" si="48"/>
        <v/>
      </c>
      <c r="I138" s="1427"/>
      <c r="J138" s="1428"/>
      <c r="K138" s="1428"/>
      <c r="L138" s="1429"/>
      <c r="M138" s="1428"/>
      <c r="N138" s="1429"/>
      <c r="O138" s="481"/>
      <c r="P138" s="10"/>
      <c r="Q138" s="1118"/>
      <c r="R138" s="1118"/>
      <c r="S138" s="1118"/>
      <c r="T138" s="1140" t="b">
        <f t="shared" si="49"/>
        <v>1</v>
      </c>
      <c r="U138" s="1140" t="b">
        <f t="shared" si="55"/>
        <v>1</v>
      </c>
      <c r="V138" s="1140" t="b">
        <f t="shared" si="56"/>
        <v>1</v>
      </c>
      <c r="W138" s="1158" t="b">
        <f t="shared" si="50"/>
        <v>0</v>
      </c>
      <c r="X138" s="1158" t="b">
        <f t="shared" si="51"/>
        <v>0</v>
      </c>
      <c r="Y138" s="1158" t="b">
        <f t="shared" si="52"/>
        <v>0</v>
      </c>
      <c r="Z138" s="1161" t="s">
        <v>1954</v>
      </c>
      <c r="AA138" s="1195" t="str">
        <f t="shared" si="53"/>
        <v/>
      </c>
      <c r="AP138" s="1121"/>
    </row>
    <row r="139" spans="1:42" s="1119" customFormat="1">
      <c r="A139" s="1116"/>
      <c r="C139" s="485"/>
      <c r="D139" s="1279">
        <f t="shared" si="54"/>
        <v>4</v>
      </c>
      <c r="E139" s="3091" t="str">
        <f t="shared" si="47"/>
        <v/>
      </c>
      <c r="F139" s="3092"/>
      <c r="G139" s="3093"/>
      <c r="H139" s="1357" t="str">
        <f t="shared" si="48"/>
        <v/>
      </c>
      <c r="I139" s="1427"/>
      <c r="J139" s="1428"/>
      <c r="K139" s="1428"/>
      <c r="L139" s="1429"/>
      <c r="M139" s="1428"/>
      <c r="N139" s="1429"/>
      <c r="O139" s="481"/>
      <c r="P139" s="10"/>
      <c r="Q139" s="1118"/>
      <c r="R139" s="1118"/>
      <c r="S139" s="1118"/>
      <c r="T139" s="1140" t="b">
        <f t="shared" si="49"/>
        <v>1</v>
      </c>
      <c r="U139" s="1140" t="b">
        <f t="shared" si="55"/>
        <v>1</v>
      </c>
      <c r="V139" s="1140" t="b">
        <f t="shared" si="56"/>
        <v>1</v>
      </c>
      <c r="W139" s="1158" t="b">
        <f t="shared" si="50"/>
        <v>0</v>
      </c>
      <c r="X139" s="1158" t="b">
        <f t="shared" si="51"/>
        <v>0</v>
      </c>
      <c r="Y139" s="1158" t="b">
        <f t="shared" si="52"/>
        <v>0</v>
      </c>
      <c r="Z139" s="1161" t="s">
        <v>1954</v>
      </c>
      <c r="AA139" s="1195" t="str">
        <f t="shared" si="53"/>
        <v/>
      </c>
      <c r="AP139" s="1121"/>
    </row>
    <row r="140" spans="1:42" s="1119" customFormat="1">
      <c r="A140" s="1116"/>
      <c r="C140" s="485"/>
      <c r="D140" s="1279">
        <f t="shared" si="54"/>
        <v>5</v>
      </c>
      <c r="E140" s="3091" t="str">
        <f t="shared" si="47"/>
        <v/>
      </c>
      <c r="F140" s="3092"/>
      <c r="G140" s="3093"/>
      <c r="H140" s="1357" t="str">
        <f t="shared" si="48"/>
        <v/>
      </c>
      <c r="I140" s="1427"/>
      <c r="J140" s="1428"/>
      <c r="K140" s="1428"/>
      <c r="L140" s="1429"/>
      <c r="M140" s="1428"/>
      <c r="N140" s="1429"/>
      <c r="O140" s="481"/>
      <c r="P140" s="10"/>
      <c r="Q140" s="1118"/>
      <c r="R140" s="1118"/>
      <c r="S140" s="1118"/>
      <c r="T140" s="1140" t="b">
        <f t="shared" si="49"/>
        <v>1</v>
      </c>
      <c r="U140" s="1140" t="b">
        <f t="shared" si="55"/>
        <v>1</v>
      </c>
      <c r="V140" s="1140" t="b">
        <f t="shared" si="56"/>
        <v>1</v>
      </c>
      <c r="W140" s="1158" t="b">
        <f t="shared" si="50"/>
        <v>0</v>
      </c>
      <c r="X140" s="1158" t="b">
        <f t="shared" si="51"/>
        <v>0</v>
      </c>
      <c r="Y140" s="1158" t="b">
        <f t="shared" si="52"/>
        <v>0</v>
      </c>
      <c r="Z140" s="1161" t="s">
        <v>1954</v>
      </c>
      <c r="AA140" s="1195" t="str">
        <f t="shared" si="53"/>
        <v/>
      </c>
      <c r="AP140" s="1121"/>
    </row>
    <row r="141" spans="1:42" s="1119" customFormat="1">
      <c r="A141" s="1116"/>
      <c r="C141" s="485"/>
      <c r="D141" s="1279">
        <f t="shared" si="54"/>
        <v>6</v>
      </c>
      <c r="E141" s="3091" t="str">
        <f t="shared" si="47"/>
        <v/>
      </c>
      <c r="F141" s="3092"/>
      <c r="G141" s="3093"/>
      <c r="H141" s="1357" t="str">
        <f t="shared" si="48"/>
        <v/>
      </c>
      <c r="I141" s="1427"/>
      <c r="J141" s="1428"/>
      <c r="K141" s="1428"/>
      <c r="L141" s="1429"/>
      <c r="M141" s="1428"/>
      <c r="N141" s="1429"/>
      <c r="O141" s="481"/>
      <c r="P141" s="10"/>
      <c r="Q141" s="1118"/>
      <c r="R141" s="1118"/>
      <c r="S141" s="1118"/>
      <c r="T141" s="1140" t="b">
        <f t="shared" si="49"/>
        <v>1</v>
      </c>
      <c r="U141" s="1140" t="b">
        <f t="shared" si="55"/>
        <v>1</v>
      </c>
      <c r="V141" s="1140" t="b">
        <f t="shared" si="56"/>
        <v>1</v>
      </c>
      <c r="W141" s="1158" t="b">
        <f t="shared" si="50"/>
        <v>0</v>
      </c>
      <c r="X141" s="1158" t="b">
        <f t="shared" si="51"/>
        <v>0</v>
      </c>
      <c r="Y141" s="1158" t="b">
        <f t="shared" si="52"/>
        <v>0</v>
      </c>
      <c r="Z141" s="1161" t="s">
        <v>1954</v>
      </c>
      <c r="AA141" s="1195" t="str">
        <f t="shared" si="53"/>
        <v/>
      </c>
      <c r="AP141" s="1121"/>
    </row>
    <row r="142" spans="1:42" s="1119" customFormat="1">
      <c r="A142" s="1116"/>
      <c r="C142" s="485"/>
      <c r="D142" s="1279">
        <f t="shared" si="54"/>
        <v>7</v>
      </c>
      <c r="E142" s="3091" t="str">
        <f t="shared" si="47"/>
        <v/>
      </c>
      <c r="F142" s="3092"/>
      <c r="G142" s="3093"/>
      <c r="H142" s="1357" t="str">
        <f t="shared" si="48"/>
        <v/>
      </c>
      <c r="I142" s="1427"/>
      <c r="J142" s="1428"/>
      <c r="K142" s="1428"/>
      <c r="L142" s="1429"/>
      <c r="M142" s="1428"/>
      <c r="N142" s="1429"/>
      <c r="O142" s="481"/>
      <c r="P142" s="10"/>
      <c r="Q142" s="1118"/>
      <c r="R142" s="1118"/>
      <c r="S142" s="1118"/>
      <c r="T142" s="1140" t="b">
        <f t="shared" si="49"/>
        <v>1</v>
      </c>
      <c r="U142" s="1140" t="b">
        <f t="shared" si="55"/>
        <v>1</v>
      </c>
      <c r="V142" s="1140" t="b">
        <f t="shared" si="56"/>
        <v>1</v>
      </c>
      <c r="W142" s="1158" t="b">
        <f t="shared" si="50"/>
        <v>0</v>
      </c>
      <c r="X142" s="1158" t="b">
        <f t="shared" si="51"/>
        <v>0</v>
      </c>
      <c r="Y142" s="1158" t="b">
        <f t="shared" si="52"/>
        <v>0</v>
      </c>
      <c r="Z142" s="1161" t="s">
        <v>1954</v>
      </c>
      <c r="AA142" s="1195" t="str">
        <f t="shared" si="53"/>
        <v/>
      </c>
      <c r="AP142" s="1121"/>
    </row>
    <row r="143" spans="1:42" s="1119" customFormat="1">
      <c r="A143" s="1116"/>
      <c r="C143" s="485"/>
      <c r="D143" s="1279">
        <f t="shared" si="54"/>
        <v>8</v>
      </c>
      <c r="E143" s="3091" t="str">
        <f t="shared" si="47"/>
        <v/>
      </c>
      <c r="F143" s="3092"/>
      <c r="G143" s="3093"/>
      <c r="H143" s="1357" t="str">
        <f t="shared" si="48"/>
        <v/>
      </c>
      <c r="I143" s="1427"/>
      <c r="J143" s="1428"/>
      <c r="K143" s="1428"/>
      <c r="L143" s="1429"/>
      <c r="M143" s="1428"/>
      <c r="N143" s="1429"/>
      <c r="O143" s="481"/>
      <c r="P143" s="10"/>
      <c r="Q143" s="1118"/>
      <c r="R143" s="1118"/>
      <c r="S143" s="1118"/>
      <c r="T143" s="1140" t="b">
        <f t="shared" si="49"/>
        <v>1</v>
      </c>
      <c r="U143" s="1140" t="b">
        <f t="shared" si="55"/>
        <v>1</v>
      </c>
      <c r="V143" s="1140" t="b">
        <f t="shared" si="56"/>
        <v>1</v>
      </c>
      <c r="W143" s="1158" t="b">
        <f t="shared" si="50"/>
        <v>0</v>
      </c>
      <c r="X143" s="1158" t="b">
        <f t="shared" si="51"/>
        <v>0</v>
      </c>
      <c r="Y143" s="1158" t="b">
        <f t="shared" si="52"/>
        <v>0</v>
      </c>
      <c r="Z143" s="1161" t="s">
        <v>1954</v>
      </c>
      <c r="AA143" s="1195" t="str">
        <f t="shared" si="53"/>
        <v/>
      </c>
      <c r="AP143" s="1121"/>
    </row>
    <row r="144" spans="1:42" s="1119" customFormat="1">
      <c r="A144" s="1116"/>
      <c r="C144" s="485"/>
      <c r="D144" s="1279">
        <f t="shared" si="54"/>
        <v>9</v>
      </c>
      <c r="E144" s="3091" t="str">
        <f t="shared" si="47"/>
        <v/>
      </c>
      <c r="F144" s="3092"/>
      <c r="G144" s="3093"/>
      <c r="H144" s="1357" t="str">
        <f t="shared" si="48"/>
        <v/>
      </c>
      <c r="I144" s="1427"/>
      <c r="J144" s="1428"/>
      <c r="K144" s="1428"/>
      <c r="L144" s="1429"/>
      <c r="M144" s="1428"/>
      <c r="N144" s="1429"/>
      <c r="O144" s="481"/>
      <c r="P144" s="10"/>
      <c r="Q144" s="1118"/>
      <c r="R144" s="1118"/>
      <c r="S144" s="1118"/>
      <c r="T144" s="1140" t="b">
        <f t="shared" si="49"/>
        <v>1</v>
      </c>
      <c r="U144" s="1140" t="b">
        <f t="shared" si="55"/>
        <v>1</v>
      </c>
      <c r="V144" s="1140" t="b">
        <f t="shared" si="56"/>
        <v>1</v>
      </c>
      <c r="W144" s="1158" t="b">
        <f t="shared" si="50"/>
        <v>0</v>
      </c>
      <c r="X144" s="1158" t="b">
        <f t="shared" si="51"/>
        <v>0</v>
      </c>
      <c r="Y144" s="1158" t="b">
        <f t="shared" si="52"/>
        <v>0</v>
      </c>
      <c r="Z144" s="1161" t="s">
        <v>1954</v>
      </c>
      <c r="AA144" s="1195" t="str">
        <f t="shared" si="53"/>
        <v/>
      </c>
      <c r="AP144" s="1121"/>
    </row>
    <row r="145" spans="1:42" s="1119" customFormat="1" ht="13.5" thickBot="1">
      <c r="A145" s="1116"/>
      <c r="C145" s="485"/>
      <c r="D145" s="1283">
        <f t="shared" si="54"/>
        <v>10</v>
      </c>
      <c r="E145" s="3159" t="str">
        <f t="shared" si="47"/>
        <v/>
      </c>
      <c r="F145" s="3157"/>
      <c r="G145" s="3158"/>
      <c r="H145" s="1358" t="str">
        <f t="shared" si="48"/>
        <v/>
      </c>
      <c r="I145" s="1430"/>
      <c r="J145" s="1431"/>
      <c r="K145" s="1431"/>
      <c r="L145" s="1432"/>
      <c r="M145" s="1431"/>
      <c r="N145" s="1432"/>
      <c r="O145" s="481"/>
      <c r="P145" s="10"/>
      <c r="Q145" s="1118"/>
      <c r="R145" s="1118"/>
      <c r="S145" s="1118"/>
      <c r="T145" s="1140" t="b">
        <f t="shared" si="49"/>
        <v>1</v>
      </c>
      <c r="U145" s="1140" t="b">
        <f t="shared" si="55"/>
        <v>1</v>
      </c>
      <c r="V145" s="1140" t="b">
        <f t="shared" si="56"/>
        <v>1</v>
      </c>
      <c r="W145" s="1158" t="b">
        <f t="shared" si="50"/>
        <v>0</v>
      </c>
      <c r="X145" s="1158" t="b">
        <f t="shared" si="51"/>
        <v>0</v>
      </c>
      <c r="Y145" s="1158" t="b">
        <f t="shared" si="52"/>
        <v>0</v>
      </c>
      <c r="Z145" s="1161" t="s">
        <v>1954</v>
      </c>
      <c r="AA145" s="1196" t="str">
        <f t="shared" si="53"/>
        <v/>
      </c>
      <c r="AP145" s="1121"/>
    </row>
    <row r="146" spans="1:42" s="1119" customFormat="1" ht="12.75" customHeight="1">
      <c r="A146" s="1116"/>
      <c r="C146" s="485"/>
      <c r="D146" s="1274">
        <v>11</v>
      </c>
      <c r="E146" s="3081" t="str">
        <f t="shared" ref="E146:E152" si="57">INDEX(EUconst_FallBackListNames,D146-10)</f>
        <v>Heat benchmark sub-installation, CL</v>
      </c>
      <c r="F146" s="3160"/>
      <c r="G146" s="3152"/>
      <c r="H146" s="1359" t="str">
        <f>EUconst_TJ</f>
        <v>TJ</v>
      </c>
      <c r="I146" s="1424"/>
      <c r="J146" s="1344"/>
      <c r="K146" s="1345"/>
      <c r="L146" s="1345"/>
      <c r="M146" s="1345"/>
      <c r="N146" s="1346"/>
      <c r="O146" s="481"/>
      <c r="P146" s="10"/>
      <c r="Q146" s="1118"/>
      <c r="R146" s="1118"/>
      <c r="S146" s="1118"/>
      <c r="T146" s="1140" t="b">
        <f t="shared" ref="T146:T152" si="58">OR(CTRL_InputMethodNIMsvalues=1,CNTR_Incumbent=FALSE,SUM(I55)&gt;DATE(2018,1,1),AND(CNTR_ExistSubInstEntries,H55&lt;&gt;TRUE))</f>
        <v>1</v>
      </c>
      <c r="U146" s="1118"/>
      <c r="V146" s="1118"/>
      <c r="W146" s="1118"/>
      <c r="X146" s="1118"/>
      <c r="Y146" s="1118"/>
      <c r="Z146" s="1161" t="s">
        <v>1954</v>
      </c>
      <c r="AA146" s="1194" t="str">
        <f t="shared" ref="AA146:AA152" si="59">IF(AND(CNTR_ExistSubInstEntries,COUNTIFS(T146,FALSE,I146,"")&gt;0),2,"")</f>
        <v/>
      </c>
      <c r="AP146" s="1121"/>
    </row>
    <row r="147" spans="1:42" s="1119" customFormat="1" ht="12.75" customHeight="1">
      <c r="A147" s="1116"/>
      <c r="C147" s="485"/>
      <c r="D147" s="1279">
        <f>D146+1</f>
        <v>12</v>
      </c>
      <c r="E147" s="3078" t="str">
        <f t="shared" si="57"/>
        <v>Heat benchmark sub-installation, non-CL</v>
      </c>
      <c r="F147" s="3092"/>
      <c r="G147" s="3093"/>
      <c r="H147" s="1360" t="str">
        <f>EUconst_TJ</f>
        <v>TJ</v>
      </c>
      <c r="I147" s="1427"/>
      <c r="J147" s="1347"/>
      <c r="K147" s="1348"/>
      <c r="L147" s="1348"/>
      <c r="M147" s="1348"/>
      <c r="N147" s="1349"/>
      <c r="O147" s="481"/>
      <c r="P147" s="10"/>
      <c r="Q147" s="1118"/>
      <c r="R147" s="1118"/>
      <c r="S147" s="1118"/>
      <c r="T147" s="1140" t="b">
        <f t="shared" si="58"/>
        <v>1</v>
      </c>
      <c r="U147" s="1118"/>
      <c r="V147" s="1118"/>
      <c r="W147" s="1118"/>
      <c r="X147" s="1118"/>
      <c r="Y147" s="1118"/>
      <c r="Z147" s="1161" t="s">
        <v>1954</v>
      </c>
      <c r="AA147" s="1195" t="str">
        <f t="shared" si="59"/>
        <v/>
      </c>
      <c r="AP147" s="1121"/>
    </row>
    <row r="148" spans="1:42" s="1119" customFormat="1" ht="12.75" customHeight="1">
      <c r="A148" s="1116"/>
      <c r="C148" s="485"/>
      <c r="D148" s="1279">
        <f>D147+1</f>
        <v>13</v>
      </c>
      <c r="E148" s="3078" t="str">
        <f t="shared" si="57"/>
        <v>District heating sub-installation</v>
      </c>
      <c r="F148" s="3092"/>
      <c r="G148" s="3093"/>
      <c r="H148" s="1360" t="str">
        <f>EUconst_TJ</f>
        <v>TJ</v>
      </c>
      <c r="I148" s="1427"/>
      <c r="J148" s="1347"/>
      <c r="K148" s="1348"/>
      <c r="L148" s="1348"/>
      <c r="M148" s="1348"/>
      <c r="N148" s="1349"/>
      <c r="O148" s="481"/>
      <c r="P148" s="10"/>
      <c r="Q148" s="1118"/>
      <c r="R148" s="1118"/>
      <c r="S148" s="1118"/>
      <c r="T148" s="1140" t="b">
        <f t="shared" si="58"/>
        <v>1</v>
      </c>
      <c r="U148" s="1118"/>
      <c r="V148" s="1118"/>
      <c r="W148" s="1118"/>
      <c r="X148" s="1118"/>
      <c r="Y148" s="1118"/>
      <c r="Z148" s="1161" t="s">
        <v>1954</v>
      </c>
      <c r="AA148" s="1195" t="str">
        <f t="shared" si="59"/>
        <v/>
      </c>
      <c r="AP148" s="1121"/>
    </row>
    <row r="149" spans="1:42" s="1119" customFormat="1" ht="12.75" customHeight="1">
      <c r="A149" s="1116"/>
      <c r="C149" s="485"/>
      <c r="D149" s="1279">
        <f>D148+1</f>
        <v>14</v>
      </c>
      <c r="E149" s="3078" t="str">
        <f t="shared" si="57"/>
        <v>Fuel benchmark sub-installation, CL</v>
      </c>
      <c r="F149" s="3092"/>
      <c r="G149" s="3093"/>
      <c r="H149" s="1360" t="str">
        <f>EUconst_TJ</f>
        <v>TJ</v>
      </c>
      <c r="I149" s="1427"/>
      <c r="J149" s="1347"/>
      <c r="K149" s="1348"/>
      <c r="L149" s="1348"/>
      <c r="M149" s="1348"/>
      <c r="N149" s="1349"/>
      <c r="O149" s="481"/>
      <c r="P149" s="10"/>
      <c r="Q149" s="1118"/>
      <c r="R149" s="1118"/>
      <c r="S149" s="1118"/>
      <c r="T149" s="1140" t="b">
        <f t="shared" si="58"/>
        <v>1</v>
      </c>
      <c r="U149" s="1118"/>
      <c r="V149" s="1118"/>
      <c r="W149" s="1118"/>
      <c r="X149" s="1118"/>
      <c r="Y149" s="1118"/>
      <c r="Z149" s="1161" t="s">
        <v>1954</v>
      </c>
      <c r="AA149" s="1195" t="str">
        <f t="shared" si="59"/>
        <v/>
      </c>
      <c r="AP149" s="1121"/>
    </row>
    <row r="150" spans="1:42" s="1119" customFormat="1" ht="12.75" customHeight="1">
      <c r="A150" s="1116"/>
      <c r="C150" s="485"/>
      <c r="D150" s="1279">
        <f>D149+1</f>
        <v>15</v>
      </c>
      <c r="E150" s="3078" t="str">
        <f t="shared" si="57"/>
        <v>Fuel benchmark sub-installation, non-CL</v>
      </c>
      <c r="F150" s="3092"/>
      <c r="G150" s="3093"/>
      <c r="H150" s="1360" t="str">
        <f>EUconst_TJ</f>
        <v>TJ</v>
      </c>
      <c r="I150" s="1427"/>
      <c r="J150" s="1347"/>
      <c r="K150" s="1348"/>
      <c r="L150" s="1348"/>
      <c r="M150" s="1348"/>
      <c r="N150" s="1349"/>
      <c r="O150" s="481"/>
      <c r="P150" s="10"/>
      <c r="Q150" s="1118"/>
      <c r="R150" s="1118"/>
      <c r="S150" s="1118"/>
      <c r="T150" s="1140" t="b">
        <f t="shared" si="58"/>
        <v>1</v>
      </c>
      <c r="U150" s="1118"/>
      <c r="V150" s="1118"/>
      <c r="W150" s="1118"/>
      <c r="X150" s="1118"/>
      <c r="Y150" s="1118"/>
      <c r="Z150" s="1161" t="s">
        <v>1954</v>
      </c>
      <c r="AA150" s="1195" t="str">
        <f t="shared" si="59"/>
        <v/>
      </c>
      <c r="AP150" s="1121"/>
    </row>
    <row r="151" spans="1:42" s="1119" customFormat="1" ht="12.75" customHeight="1">
      <c r="A151" s="1116"/>
      <c r="C151" s="485"/>
      <c r="D151" s="1279">
        <f>D150+1</f>
        <v>16</v>
      </c>
      <c r="E151" s="3078" t="str">
        <f t="shared" si="57"/>
        <v>Process emissions sub-installation, CL</v>
      </c>
      <c r="F151" s="3092"/>
      <c r="G151" s="3093"/>
      <c r="H151" s="1360" t="str">
        <f>EUconst_tCO2e</f>
        <v>t CO2e</v>
      </c>
      <c r="I151" s="1427"/>
      <c r="J151" s="1347"/>
      <c r="K151" s="1348"/>
      <c r="L151" s="1348"/>
      <c r="M151" s="1348"/>
      <c r="N151" s="1349"/>
      <c r="O151" s="481"/>
      <c r="P151" s="10"/>
      <c r="Q151" s="1118"/>
      <c r="R151" s="1118"/>
      <c r="S151" s="1118"/>
      <c r="T151" s="1140" t="b">
        <f t="shared" si="58"/>
        <v>1</v>
      </c>
      <c r="U151" s="1118"/>
      <c r="V151" s="1118"/>
      <c r="W151" s="1118"/>
      <c r="X151" s="1118"/>
      <c r="Y151" s="1118"/>
      <c r="Z151" s="1161" t="s">
        <v>1954</v>
      </c>
      <c r="AA151" s="1195" t="str">
        <f t="shared" si="59"/>
        <v/>
      </c>
      <c r="AP151" s="1121"/>
    </row>
    <row r="152" spans="1:42" s="1119" customFormat="1" ht="13.5" customHeight="1" thickBot="1">
      <c r="A152" s="1116"/>
      <c r="C152" s="485"/>
      <c r="D152" s="1283">
        <v>17</v>
      </c>
      <c r="E152" s="3094" t="str">
        <f t="shared" si="57"/>
        <v>Process emissions sub-installation, non-CL</v>
      </c>
      <c r="F152" s="3157"/>
      <c r="G152" s="3158"/>
      <c r="H152" s="1361" t="str">
        <f>EUconst_tCO2e</f>
        <v>t CO2e</v>
      </c>
      <c r="I152" s="1430"/>
      <c r="J152" s="1350"/>
      <c r="K152" s="1351"/>
      <c r="L152" s="1351"/>
      <c r="M152" s="1351"/>
      <c r="N152" s="1352"/>
      <c r="O152" s="481"/>
      <c r="P152" s="10"/>
      <c r="Q152" s="1118"/>
      <c r="R152" s="1118"/>
      <c r="S152" s="1118"/>
      <c r="T152" s="1140" t="b">
        <f t="shared" si="58"/>
        <v>1</v>
      </c>
      <c r="U152" s="1118"/>
      <c r="V152" s="1118"/>
      <c r="W152" s="1118"/>
      <c r="X152" s="1118"/>
      <c r="Y152" s="1118"/>
      <c r="Z152" s="1161" t="s">
        <v>1954</v>
      </c>
      <c r="AA152" s="1196" t="str">
        <f t="shared" si="59"/>
        <v/>
      </c>
      <c r="AP152" s="1121"/>
    </row>
    <row r="153" spans="1:42" s="1119" customFormat="1">
      <c r="A153" s="1116"/>
      <c r="C153" s="485"/>
      <c r="D153" s="485"/>
      <c r="E153" s="485"/>
      <c r="F153" s="485"/>
      <c r="G153" s="485"/>
      <c r="H153" s="485"/>
      <c r="I153" s="485"/>
      <c r="J153" s="485"/>
      <c r="K153" s="485"/>
      <c r="L153" s="485"/>
      <c r="M153" s="485"/>
      <c r="N153" s="485"/>
      <c r="O153" s="481"/>
      <c r="P153" s="485"/>
      <c r="Q153" s="1118"/>
      <c r="R153" s="1118"/>
      <c r="S153" s="1118"/>
      <c r="T153" s="1118"/>
      <c r="U153" s="1118"/>
      <c r="V153" s="1118"/>
      <c r="W153" s="1118"/>
      <c r="X153" s="1118"/>
      <c r="Y153" s="1118"/>
      <c r="Z153" s="1118"/>
      <c r="AA153" s="1118"/>
      <c r="AP153" s="1121"/>
    </row>
    <row r="154" spans="1:42" s="1119" customFormat="1" ht="13.15" customHeight="1">
      <c r="A154" s="1116"/>
      <c r="C154" s="485"/>
      <c r="D154" s="482" t="s">
        <v>48</v>
      </c>
      <c r="E154" s="2373" t="s">
        <v>2557</v>
      </c>
      <c r="F154" s="2400"/>
      <c r="G154" s="2400"/>
      <c r="H154" s="2400"/>
      <c r="I154" s="2400"/>
      <c r="J154" s="2400"/>
      <c r="K154" s="2400"/>
      <c r="L154" s="2400"/>
      <c r="M154" s="2400"/>
      <c r="N154" s="2400"/>
      <c r="O154" s="481"/>
      <c r="P154" s="485"/>
      <c r="Q154" s="1118"/>
      <c r="R154" s="1118"/>
      <c r="S154" s="1118"/>
      <c r="T154" s="1118"/>
      <c r="U154" s="1118"/>
      <c r="V154" s="1118"/>
      <c r="W154" s="1118"/>
      <c r="X154" s="1118"/>
      <c r="Y154" s="1118"/>
      <c r="Z154" s="1118"/>
      <c r="AA154" s="1118"/>
      <c r="AP154" s="1121"/>
    </row>
    <row r="155" spans="1:42" s="1119" customFormat="1" ht="13.15" customHeight="1">
      <c r="A155" s="1116"/>
      <c r="C155" s="485"/>
      <c r="D155" s="484"/>
      <c r="E155" s="2850" t="s">
        <v>2731</v>
      </c>
      <c r="F155" s="2380"/>
      <c r="G155" s="2380"/>
      <c r="H155" s="2380"/>
      <c r="I155" s="2380"/>
      <c r="J155" s="2380"/>
      <c r="K155" s="2380"/>
      <c r="L155" s="2380"/>
      <c r="M155" s="2380"/>
      <c r="N155" s="2380"/>
      <c r="O155" s="481"/>
      <c r="P155" s="485"/>
      <c r="Q155" s="1118"/>
      <c r="R155" s="1118"/>
      <c r="S155" s="1118"/>
      <c r="T155" s="1118"/>
      <c r="U155" s="1118"/>
      <c r="V155" s="1118"/>
      <c r="W155" s="1118"/>
      <c r="X155" s="1118"/>
      <c r="Y155" s="1118"/>
      <c r="Z155" s="1118"/>
      <c r="AA155" s="1118"/>
      <c r="AP155" s="1121"/>
    </row>
    <row r="156" spans="1:42" s="1119" customFormat="1" ht="12.75" customHeight="1">
      <c r="A156" s="1116"/>
      <c r="C156" s="485"/>
      <c r="D156" s="2630" t="s">
        <v>522</v>
      </c>
      <c r="E156" s="3074" t="s">
        <v>825</v>
      </c>
      <c r="F156" s="2633"/>
      <c r="G156" s="2633"/>
      <c r="H156" s="2630"/>
      <c r="I156" s="879" t="str">
        <f t="shared" ref="I156:N156" si="60">I134</f>
        <v>HAL</v>
      </c>
      <c r="J156" s="880" t="str">
        <f t="shared" si="60"/>
        <v>non-ETS heat</v>
      </c>
      <c r="K156" s="880" t="str">
        <f t="shared" si="60"/>
        <v>WG flared</v>
      </c>
      <c r="L156" s="880" t="str">
        <f t="shared" si="60"/>
        <v>ElExch-F</v>
      </c>
      <c r="M156" s="880" t="str">
        <f t="shared" si="60"/>
        <v>HVC-corr</v>
      </c>
      <c r="N156" s="881" t="str">
        <f t="shared" si="60"/>
        <v>VCM-F</v>
      </c>
      <c r="O156" s="481"/>
      <c r="P156" s="485"/>
      <c r="Q156" s="1118"/>
      <c r="R156" s="1118"/>
      <c r="S156" s="1330" t="s">
        <v>1741</v>
      </c>
      <c r="T156" s="1118"/>
      <c r="U156" s="1118"/>
      <c r="V156" s="1118"/>
      <c r="W156" s="1118"/>
      <c r="X156" s="1118"/>
      <c r="Y156" s="1118"/>
      <c r="Z156" s="1118"/>
      <c r="AA156" s="1118"/>
      <c r="AP156" s="1121"/>
    </row>
    <row r="157" spans="1:42" s="1119" customFormat="1">
      <c r="A157" s="1116"/>
      <c r="C157" s="485"/>
      <c r="D157" s="2631"/>
      <c r="E157" s="2634"/>
      <c r="F157" s="2635"/>
      <c r="G157" s="2635"/>
      <c r="H157" s="2636"/>
      <c r="I157" s="882"/>
      <c r="J157" s="883" t="str">
        <f>J135</f>
        <v>UKA</v>
      </c>
      <c r="K157" s="883" t="str">
        <f>K135</f>
        <v>UKA</v>
      </c>
      <c r="L157" s="883" t="str">
        <f>L135</f>
        <v>-</v>
      </c>
      <c r="M157" s="883" t="str">
        <f>M135</f>
        <v>UKA</v>
      </c>
      <c r="N157" s="883" t="str">
        <f>N135</f>
        <v>-</v>
      </c>
      <c r="O157" s="481"/>
      <c r="P157" s="485"/>
      <c r="Q157" s="1118"/>
      <c r="R157" s="1118"/>
      <c r="S157" s="1330"/>
      <c r="T157" s="1118"/>
      <c r="U157" s="1118"/>
      <c r="V157" s="1118"/>
      <c r="W157" s="1118"/>
      <c r="X157" s="1118"/>
      <c r="Y157" s="1118"/>
      <c r="Z157" s="1118"/>
      <c r="AA157" s="1118"/>
      <c r="AP157" s="1121"/>
    </row>
    <row r="158" spans="1:42" s="1119" customFormat="1">
      <c r="A158" s="1116"/>
      <c r="C158" s="485"/>
      <c r="D158" s="1274">
        <v>1</v>
      </c>
      <c r="E158" s="3161" t="str">
        <f t="shared" ref="E158:E167" si="61">U26</f>
        <v/>
      </c>
      <c r="F158" s="3162"/>
      <c r="G158" s="3162"/>
      <c r="H158" s="3163"/>
      <c r="I158" s="885" t="str">
        <f t="shared" ref="I158:M167" si="62">IF($E158="","",SUM(IF(I136="",I101,I136)))</f>
        <v/>
      </c>
      <c r="J158" s="1362" t="str">
        <f t="shared" si="62"/>
        <v/>
      </c>
      <c r="K158" s="1362" t="str">
        <f t="shared" si="62"/>
        <v/>
      </c>
      <c r="L158" s="1363" t="str">
        <f>IF($E158="","",SUM(IF(L136="",IF(L101="",1,L101),L136)))</f>
        <v/>
      </c>
      <c r="M158" s="1362" t="str">
        <f t="shared" si="62"/>
        <v/>
      </c>
      <c r="N158" s="1363" t="str">
        <f>IF($E158="","",SUM(IF(N136="",IF(N101="",1,N101),N136)))</f>
        <v/>
      </c>
      <c r="O158" s="481"/>
      <c r="P158" s="485"/>
      <c r="Q158" s="1118"/>
      <c r="R158" s="1118"/>
      <c r="S158" s="1140" t="str">
        <f t="shared" ref="S158:S174" si="63">EUconst_AllocPrelim &amp; $E158</f>
        <v>AllocPrelim_</v>
      </c>
      <c r="T158" s="1140" t="str">
        <f t="shared" ref="T158:T174" si="64">EUconst_CNTR_HALinitial &amp; $E158</f>
        <v>HALini_</v>
      </c>
      <c r="U158" s="1140" t="str">
        <f t="shared" ref="U158:U167" si="65">EUconst_CNTR_HEATInitial &amp; $E158</f>
        <v>HEATIni_</v>
      </c>
      <c r="V158" s="1140" t="str">
        <f t="shared" ref="V158:V167" si="66">EUconst_CNTR_HALinitial &amp; EUconst_CNTR_WGFlared &amp; E158</f>
        <v>HALini_WasteGasFlare_</v>
      </c>
      <c r="W158" s="1140" t="str">
        <f t="shared" ref="W158:W167" si="67">EUconst_CNTR_HAL &amp; EUconst_CNTR_ELEXCHInitial &amp; $E158</f>
        <v>HAL_ELEXCHIni_</v>
      </c>
      <c r="X158" s="1140" t="str">
        <f t="shared" ref="X158:X167" si="68">EUconst_CNTR_HVCInitial &amp; $E158</f>
        <v>HVCIni_</v>
      </c>
      <c r="Y158" s="1140" t="str">
        <f t="shared" ref="Y158:Y167" si="69">EUconst_CNTR_VCMInitial &amp; $E158</f>
        <v>VCMIni_</v>
      </c>
      <c r="Z158" s="1118"/>
      <c r="AA158" s="1118"/>
      <c r="AP158" s="1133" t="s">
        <v>2662</v>
      </c>
    </row>
    <row r="159" spans="1:42" s="1119" customFormat="1">
      <c r="A159" s="1116"/>
      <c r="C159" s="485"/>
      <c r="D159" s="1279">
        <f t="shared" ref="D159:D167" si="70">D158+1</f>
        <v>2</v>
      </c>
      <c r="E159" s="3154" t="str">
        <f t="shared" si="61"/>
        <v/>
      </c>
      <c r="F159" s="2664"/>
      <c r="G159" s="2664"/>
      <c r="H159" s="2665"/>
      <c r="I159" s="888" t="str">
        <f t="shared" si="62"/>
        <v/>
      </c>
      <c r="J159" s="886" t="str">
        <f t="shared" si="62"/>
        <v/>
      </c>
      <c r="K159" s="886" t="str">
        <f t="shared" si="62"/>
        <v/>
      </c>
      <c r="L159" s="1364" t="str">
        <f t="shared" ref="L159:L167" si="71">IF($E159="","",SUM(IF(L137="",IF(L102="",1,L102),L137)))</f>
        <v/>
      </c>
      <c r="M159" s="886" t="str">
        <f t="shared" si="62"/>
        <v/>
      </c>
      <c r="N159" s="1364" t="str">
        <f t="shared" ref="N159:N167" si="72">IF($E159="","",SUM(IF(N137="",IF(N102="",1,N102),N137)))</f>
        <v/>
      </c>
      <c r="O159" s="481"/>
      <c r="P159" s="485"/>
      <c r="Q159" s="1118"/>
      <c r="R159" s="1118"/>
      <c r="S159" s="1140" t="str">
        <f t="shared" si="63"/>
        <v>AllocPrelim_</v>
      </c>
      <c r="T159" s="1140" t="str">
        <f t="shared" si="64"/>
        <v>HALini_</v>
      </c>
      <c r="U159" s="1140" t="str">
        <f t="shared" si="65"/>
        <v>HEATIni_</v>
      </c>
      <c r="V159" s="1140" t="str">
        <f t="shared" si="66"/>
        <v>HALini_WasteGasFlare_</v>
      </c>
      <c r="W159" s="1140" t="str">
        <f t="shared" si="67"/>
        <v>HAL_ELEXCHIni_</v>
      </c>
      <c r="X159" s="1140" t="str">
        <f t="shared" si="68"/>
        <v>HVCIni_</v>
      </c>
      <c r="Y159" s="1140" t="str">
        <f t="shared" si="69"/>
        <v>VCMIni_</v>
      </c>
      <c r="Z159" s="1118"/>
      <c r="AA159" s="1118"/>
      <c r="AP159" s="1133" t="s">
        <v>2663</v>
      </c>
    </row>
    <row r="160" spans="1:42" s="1119" customFormat="1">
      <c r="A160" s="1116"/>
      <c r="C160" s="485"/>
      <c r="D160" s="1279">
        <f t="shared" si="70"/>
        <v>3</v>
      </c>
      <c r="E160" s="3154" t="str">
        <f t="shared" si="61"/>
        <v/>
      </c>
      <c r="F160" s="2664"/>
      <c r="G160" s="2664"/>
      <c r="H160" s="2665"/>
      <c r="I160" s="888" t="str">
        <f t="shared" si="62"/>
        <v/>
      </c>
      <c r="J160" s="886" t="str">
        <f t="shared" si="62"/>
        <v/>
      </c>
      <c r="K160" s="886" t="str">
        <f t="shared" si="62"/>
        <v/>
      </c>
      <c r="L160" s="1364" t="str">
        <f t="shared" si="71"/>
        <v/>
      </c>
      <c r="M160" s="886" t="str">
        <f t="shared" si="62"/>
        <v/>
      </c>
      <c r="N160" s="1364" t="str">
        <f t="shared" si="72"/>
        <v/>
      </c>
      <c r="O160" s="481"/>
      <c r="P160" s="485"/>
      <c r="Q160" s="1118"/>
      <c r="R160" s="1118"/>
      <c r="S160" s="1140" t="str">
        <f t="shared" si="63"/>
        <v>AllocPrelim_</v>
      </c>
      <c r="T160" s="1140" t="str">
        <f t="shared" si="64"/>
        <v>HALini_</v>
      </c>
      <c r="U160" s="1140" t="str">
        <f t="shared" si="65"/>
        <v>HEATIni_</v>
      </c>
      <c r="V160" s="1140" t="str">
        <f t="shared" si="66"/>
        <v>HALini_WasteGasFlare_</v>
      </c>
      <c r="W160" s="1140" t="str">
        <f t="shared" si="67"/>
        <v>HAL_ELEXCHIni_</v>
      </c>
      <c r="X160" s="1140" t="str">
        <f t="shared" si="68"/>
        <v>HVCIni_</v>
      </c>
      <c r="Y160" s="1140" t="str">
        <f t="shared" si="69"/>
        <v>VCMIni_</v>
      </c>
      <c r="Z160" s="1118"/>
      <c r="AA160" s="1118"/>
      <c r="AP160" s="1133" t="s">
        <v>2664</v>
      </c>
    </row>
    <row r="161" spans="1:42" s="1119" customFormat="1">
      <c r="A161" s="1116"/>
      <c r="C161" s="485"/>
      <c r="D161" s="1279">
        <f t="shared" si="70"/>
        <v>4</v>
      </c>
      <c r="E161" s="3154" t="str">
        <f t="shared" si="61"/>
        <v/>
      </c>
      <c r="F161" s="2664"/>
      <c r="G161" s="2664"/>
      <c r="H161" s="2665"/>
      <c r="I161" s="888" t="str">
        <f t="shared" si="62"/>
        <v/>
      </c>
      <c r="J161" s="886" t="str">
        <f t="shared" si="62"/>
        <v/>
      </c>
      <c r="K161" s="886" t="str">
        <f t="shared" si="62"/>
        <v/>
      </c>
      <c r="L161" s="1364" t="str">
        <f t="shared" si="71"/>
        <v/>
      </c>
      <c r="M161" s="886" t="str">
        <f t="shared" si="62"/>
        <v/>
      </c>
      <c r="N161" s="1364" t="str">
        <f t="shared" si="72"/>
        <v/>
      </c>
      <c r="O161" s="481"/>
      <c r="P161" s="485"/>
      <c r="Q161" s="1118"/>
      <c r="R161" s="1118"/>
      <c r="S161" s="1140" t="str">
        <f t="shared" si="63"/>
        <v>AllocPrelim_</v>
      </c>
      <c r="T161" s="1140" t="str">
        <f t="shared" si="64"/>
        <v>HALini_</v>
      </c>
      <c r="U161" s="1140" t="str">
        <f t="shared" si="65"/>
        <v>HEATIni_</v>
      </c>
      <c r="V161" s="1140" t="str">
        <f t="shared" si="66"/>
        <v>HALini_WasteGasFlare_</v>
      </c>
      <c r="W161" s="1140" t="str">
        <f t="shared" si="67"/>
        <v>HAL_ELEXCHIni_</v>
      </c>
      <c r="X161" s="1140" t="str">
        <f t="shared" si="68"/>
        <v>HVCIni_</v>
      </c>
      <c r="Y161" s="1140" t="str">
        <f t="shared" si="69"/>
        <v>VCMIni_</v>
      </c>
      <c r="AP161" s="1133" t="s">
        <v>2665</v>
      </c>
    </row>
    <row r="162" spans="1:42" s="1119" customFormat="1">
      <c r="A162" s="1116"/>
      <c r="C162" s="485"/>
      <c r="D162" s="1279">
        <f t="shared" si="70"/>
        <v>5</v>
      </c>
      <c r="E162" s="3154" t="str">
        <f t="shared" si="61"/>
        <v/>
      </c>
      <c r="F162" s="2664"/>
      <c r="G162" s="2664"/>
      <c r="H162" s="2665"/>
      <c r="I162" s="888" t="str">
        <f t="shared" si="62"/>
        <v/>
      </c>
      <c r="J162" s="886" t="str">
        <f t="shared" si="62"/>
        <v/>
      </c>
      <c r="K162" s="886" t="str">
        <f t="shared" si="62"/>
        <v/>
      </c>
      <c r="L162" s="1364" t="str">
        <f t="shared" si="71"/>
        <v/>
      </c>
      <c r="M162" s="886" t="str">
        <f t="shared" si="62"/>
        <v/>
      </c>
      <c r="N162" s="1364" t="str">
        <f t="shared" si="72"/>
        <v/>
      </c>
      <c r="O162" s="481"/>
      <c r="P162" s="485"/>
      <c r="Q162" s="1118"/>
      <c r="R162" s="1118"/>
      <c r="S162" s="1140" t="str">
        <f t="shared" si="63"/>
        <v>AllocPrelim_</v>
      </c>
      <c r="T162" s="1140" t="str">
        <f t="shared" si="64"/>
        <v>HALini_</v>
      </c>
      <c r="U162" s="1140" t="str">
        <f t="shared" si="65"/>
        <v>HEATIni_</v>
      </c>
      <c r="V162" s="1140" t="str">
        <f t="shared" si="66"/>
        <v>HALini_WasteGasFlare_</v>
      </c>
      <c r="W162" s="1140" t="str">
        <f t="shared" si="67"/>
        <v>HAL_ELEXCHIni_</v>
      </c>
      <c r="X162" s="1140" t="str">
        <f t="shared" si="68"/>
        <v>HVCIni_</v>
      </c>
      <c r="Y162" s="1140" t="str">
        <f t="shared" si="69"/>
        <v>VCMIni_</v>
      </c>
      <c r="AP162" s="1133" t="s">
        <v>2666</v>
      </c>
    </row>
    <row r="163" spans="1:42" s="1119" customFormat="1">
      <c r="A163" s="1116"/>
      <c r="C163" s="485"/>
      <c r="D163" s="1279">
        <f t="shared" si="70"/>
        <v>6</v>
      </c>
      <c r="E163" s="3154" t="str">
        <f t="shared" si="61"/>
        <v/>
      </c>
      <c r="F163" s="2664"/>
      <c r="G163" s="2664"/>
      <c r="H163" s="2665"/>
      <c r="I163" s="888" t="str">
        <f t="shared" si="62"/>
        <v/>
      </c>
      <c r="J163" s="886" t="str">
        <f t="shared" si="62"/>
        <v/>
      </c>
      <c r="K163" s="886" t="str">
        <f t="shared" si="62"/>
        <v/>
      </c>
      <c r="L163" s="1364" t="str">
        <f t="shared" si="71"/>
        <v/>
      </c>
      <c r="M163" s="886" t="str">
        <f t="shared" si="62"/>
        <v/>
      </c>
      <c r="N163" s="1364" t="str">
        <f t="shared" si="72"/>
        <v/>
      </c>
      <c r="O163" s="481"/>
      <c r="P163" s="485"/>
      <c r="Q163" s="1118"/>
      <c r="R163" s="1118"/>
      <c r="S163" s="1140" t="str">
        <f t="shared" si="63"/>
        <v>AllocPrelim_</v>
      </c>
      <c r="T163" s="1140" t="str">
        <f t="shared" si="64"/>
        <v>HALini_</v>
      </c>
      <c r="U163" s="1140" t="str">
        <f t="shared" si="65"/>
        <v>HEATIni_</v>
      </c>
      <c r="V163" s="1140" t="str">
        <f t="shared" si="66"/>
        <v>HALini_WasteGasFlare_</v>
      </c>
      <c r="W163" s="1140" t="str">
        <f t="shared" si="67"/>
        <v>HAL_ELEXCHIni_</v>
      </c>
      <c r="X163" s="1140" t="str">
        <f t="shared" si="68"/>
        <v>HVCIni_</v>
      </c>
      <c r="Y163" s="1140" t="str">
        <f t="shared" si="69"/>
        <v>VCMIni_</v>
      </c>
      <c r="AP163" s="1133" t="s">
        <v>2667</v>
      </c>
    </row>
    <row r="164" spans="1:42" s="1119" customFormat="1">
      <c r="A164" s="1116"/>
      <c r="C164" s="485"/>
      <c r="D164" s="1279">
        <f t="shared" si="70"/>
        <v>7</v>
      </c>
      <c r="E164" s="3154" t="str">
        <f t="shared" si="61"/>
        <v/>
      </c>
      <c r="F164" s="2664"/>
      <c r="G164" s="2664"/>
      <c r="H164" s="2665"/>
      <c r="I164" s="888" t="str">
        <f t="shared" si="62"/>
        <v/>
      </c>
      <c r="J164" s="886" t="str">
        <f t="shared" si="62"/>
        <v/>
      </c>
      <c r="K164" s="886" t="str">
        <f t="shared" si="62"/>
        <v/>
      </c>
      <c r="L164" s="1364" t="str">
        <f t="shared" si="71"/>
        <v/>
      </c>
      <c r="M164" s="886" t="str">
        <f t="shared" si="62"/>
        <v/>
      </c>
      <c r="N164" s="1364" t="str">
        <f t="shared" si="72"/>
        <v/>
      </c>
      <c r="O164" s="481"/>
      <c r="P164" s="485"/>
      <c r="Q164" s="1118"/>
      <c r="R164" s="1118"/>
      <c r="S164" s="1140" t="str">
        <f t="shared" si="63"/>
        <v>AllocPrelim_</v>
      </c>
      <c r="T164" s="1140" t="str">
        <f t="shared" si="64"/>
        <v>HALini_</v>
      </c>
      <c r="U164" s="1140" t="str">
        <f t="shared" si="65"/>
        <v>HEATIni_</v>
      </c>
      <c r="V164" s="1140" t="str">
        <f t="shared" si="66"/>
        <v>HALini_WasteGasFlare_</v>
      </c>
      <c r="W164" s="1140" t="str">
        <f t="shared" si="67"/>
        <v>HAL_ELEXCHIni_</v>
      </c>
      <c r="X164" s="1140" t="str">
        <f t="shared" si="68"/>
        <v>HVCIni_</v>
      </c>
      <c r="Y164" s="1140" t="str">
        <f t="shared" si="69"/>
        <v>VCMIni_</v>
      </c>
      <c r="AP164" s="1133" t="s">
        <v>2668</v>
      </c>
    </row>
    <row r="165" spans="1:42" s="1119" customFormat="1">
      <c r="A165" s="1116"/>
      <c r="C165" s="485"/>
      <c r="D165" s="1279">
        <f t="shared" si="70"/>
        <v>8</v>
      </c>
      <c r="E165" s="3154" t="str">
        <f t="shared" si="61"/>
        <v/>
      </c>
      <c r="F165" s="2664"/>
      <c r="G165" s="2664"/>
      <c r="H165" s="2665"/>
      <c r="I165" s="888" t="str">
        <f t="shared" si="62"/>
        <v/>
      </c>
      <c r="J165" s="886" t="str">
        <f t="shared" si="62"/>
        <v/>
      </c>
      <c r="K165" s="886" t="str">
        <f t="shared" si="62"/>
        <v/>
      </c>
      <c r="L165" s="1364" t="str">
        <f t="shared" si="71"/>
        <v/>
      </c>
      <c r="M165" s="886" t="str">
        <f t="shared" si="62"/>
        <v/>
      </c>
      <c r="N165" s="1364" t="str">
        <f t="shared" si="72"/>
        <v/>
      </c>
      <c r="O165" s="481"/>
      <c r="P165" s="485"/>
      <c r="Q165" s="1118"/>
      <c r="R165" s="1118"/>
      <c r="S165" s="1140" t="str">
        <f t="shared" si="63"/>
        <v>AllocPrelim_</v>
      </c>
      <c r="T165" s="1140" t="str">
        <f t="shared" si="64"/>
        <v>HALini_</v>
      </c>
      <c r="U165" s="1140" t="str">
        <f t="shared" si="65"/>
        <v>HEATIni_</v>
      </c>
      <c r="V165" s="1140" t="str">
        <f t="shared" si="66"/>
        <v>HALini_WasteGasFlare_</v>
      </c>
      <c r="W165" s="1140" t="str">
        <f t="shared" si="67"/>
        <v>HAL_ELEXCHIni_</v>
      </c>
      <c r="X165" s="1140" t="str">
        <f t="shared" si="68"/>
        <v>HVCIni_</v>
      </c>
      <c r="Y165" s="1140" t="str">
        <f t="shared" si="69"/>
        <v>VCMIni_</v>
      </c>
      <c r="AP165" s="1133" t="s">
        <v>2669</v>
      </c>
    </row>
    <row r="166" spans="1:42" s="1119" customFormat="1">
      <c r="A166" s="1116"/>
      <c r="C166" s="485"/>
      <c r="D166" s="1279">
        <f t="shared" si="70"/>
        <v>9</v>
      </c>
      <c r="E166" s="3154" t="str">
        <f t="shared" si="61"/>
        <v/>
      </c>
      <c r="F166" s="2664"/>
      <c r="G166" s="2664"/>
      <c r="H166" s="2665"/>
      <c r="I166" s="888" t="str">
        <f t="shared" si="62"/>
        <v/>
      </c>
      <c r="J166" s="886" t="str">
        <f t="shared" si="62"/>
        <v/>
      </c>
      <c r="K166" s="886" t="str">
        <f t="shared" si="62"/>
        <v/>
      </c>
      <c r="L166" s="1364" t="str">
        <f t="shared" si="71"/>
        <v/>
      </c>
      <c r="M166" s="886" t="str">
        <f t="shared" si="62"/>
        <v/>
      </c>
      <c r="N166" s="1364" t="str">
        <f t="shared" si="72"/>
        <v/>
      </c>
      <c r="O166" s="481"/>
      <c r="P166" s="485"/>
      <c r="Q166" s="1118"/>
      <c r="R166" s="1118"/>
      <c r="S166" s="1140" t="str">
        <f t="shared" si="63"/>
        <v>AllocPrelim_</v>
      </c>
      <c r="T166" s="1140" t="str">
        <f t="shared" si="64"/>
        <v>HALini_</v>
      </c>
      <c r="U166" s="1140" t="str">
        <f t="shared" si="65"/>
        <v>HEATIni_</v>
      </c>
      <c r="V166" s="1140" t="str">
        <f t="shared" si="66"/>
        <v>HALini_WasteGasFlare_</v>
      </c>
      <c r="W166" s="1140" t="str">
        <f t="shared" si="67"/>
        <v>HAL_ELEXCHIni_</v>
      </c>
      <c r="X166" s="1140" t="str">
        <f t="shared" si="68"/>
        <v>HVCIni_</v>
      </c>
      <c r="Y166" s="1140" t="str">
        <f t="shared" si="69"/>
        <v>VCMIni_</v>
      </c>
      <c r="AP166" s="1133" t="s">
        <v>2670</v>
      </c>
    </row>
    <row r="167" spans="1:42" s="1119" customFormat="1">
      <c r="A167" s="1116"/>
      <c r="C167" s="485"/>
      <c r="D167" s="1283">
        <f t="shared" si="70"/>
        <v>10</v>
      </c>
      <c r="E167" s="3155" t="str">
        <f t="shared" si="61"/>
        <v/>
      </c>
      <c r="F167" s="2667"/>
      <c r="G167" s="2667"/>
      <c r="H167" s="2668"/>
      <c r="I167" s="890" t="str">
        <f t="shared" si="62"/>
        <v/>
      </c>
      <c r="J167" s="891" t="str">
        <f t="shared" si="62"/>
        <v/>
      </c>
      <c r="K167" s="891" t="str">
        <f t="shared" si="62"/>
        <v/>
      </c>
      <c r="L167" s="1365" t="str">
        <f t="shared" si="71"/>
        <v/>
      </c>
      <c r="M167" s="891" t="str">
        <f t="shared" si="62"/>
        <v/>
      </c>
      <c r="N167" s="1365" t="str">
        <f t="shared" si="72"/>
        <v/>
      </c>
      <c r="O167" s="481"/>
      <c r="P167" s="485"/>
      <c r="Q167" s="1118"/>
      <c r="R167" s="1118"/>
      <c r="S167" s="1140" t="str">
        <f t="shared" si="63"/>
        <v>AllocPrelim_</v>
      </c>
      <c r="T167" s="1140" t="str">
        <f t="shared" si="64"/>
        <v>HALini_</v>
      </c>
      <c r="U167" s="1140" t="str">
        <f t="shared" si="65"/>
        <v>HEATIni_</v>
      </c>
      <c r="V167" s="1140" t="str">
        <f t="shared" si="66"/>
        <v>HALini_WasteGasFlare_</v>
      </c>
      <c r="W167" s="1140" t="str">
        <f t="shared" si="67"/>
        <v>HAL_ELEXCHIni_</v>
      </c>
      <c r="X167" s="1140" t="str">
        <f t="shared" si="68"/>
        <v>HVCIni_</v>
      </c>
      <c r="Y167" s="1140" t="str">
        <f t="shared" si="69"/>
        <v>VCMIni_</v>
      </c>
      <c r="AP167" s="1133" t="s">
        <v>2671</v>
      </c>
    </row>
    <row r="168" spans="1:42" s="1119" customFormat="1" ht="12.75" customHeight="1">
      <c r="A168" s="1116"/>
      <c r="C168" s="485"/>
      <c r="D168" s="1274">
        <v>11</v>
      </c>
      <c r="E168" s="3156" t="str">
        <f t="shared" ref="E168:E174" si="73">INDEX(EUconst_FallBackListNames,D168-10)</f>
        <v>Heat benchmark sub-installation, CL</v>
      </c>
      <c r="F168" s="2661"/>
      <c r="G168" s="2661"/>
      <c r="H168" s="2662"/>
      <c r="I168" s="885" t="str">
        <f t="shared" ref="I168:I174" si="74">IF(I146="",IF($T55=TRUE,SUM(I111),""),I146)</f>
        <v/>
      </c>
      <c r="J168" s="1344"/>
      <c r="K168" s="1345"/>
      <c r="L168" s="1345"/>
      <c r="M168" s="1345"/>
      <c r="N168" s="1346"/>
      <c r="O168" s="481"/>
      <c r="P168" s="485"/>
      <c r="Q168" s="1118"/>
      <c r="R168" s="1118"/>
      <c r="S168" s="1140" t="str">
        <f t="shared" si="63"/>
        <v>AllocPrelim_Heat benchmark sub-installation, CL</v>
      </c>
      <c r="T168" s="1140" t="str">
        <f t="shared" si="64"/>
        <v>HALini_Heat benchmark sub-installation, CL</v>
      </c>
      <c r="U168" s="1118"/>
      <c r="V168" s="1118"/>
      <c r="W168" s="1118"/>
      <c r="X168" s="1118"/>
      <c r="Y168" s="1118"/>
      <c r="AP168" s="1292" t="s">
        <v>2672</v>
      </c>
    </row>
    <row r="169" spans="1:42" s="1119" customFormat="1" ht="12.75" customHeight="1">
      <c r="A169" s="1116"/>
      <c r="C169" s="485"/>
      <c r="D169" s="1279">
        <f>D168+1</f>
        <v>12</v>
      </c>
      <c r="E169" s="3122" t="str">
        <f t="shared" si="73"/>
        <v>Heat benchmark sub-installation, non-CL</v>
      </c>
      <c r="F169" s="2664"/>
      <c r="G169" s="2664"/>
      <c r="H169" s="2665"/>
      <c r="I169" s="888" t="str">
        <f t="shared" si="74"/>
        <v/>
      </c>
      <c r="J169" s="1347"/>
      <c r="K169" s="1348"/>
      <c r="L169" s="1348"/>
      <c r="M169" s="1348"/>
      <c r="N169" s="1349"/>
      <c r="O169" s="481"/>
      <c r="P169" s="485"/>
      <c r="Q169" s="1118"/>
      <c r="R169" s="1118"/>
      <c r="S169" s="1140" t="str">
        <f t="shared" si="63"/>
        <v>AllocPrelim_Heat benchmark sub-installation, non-CL</v>
      </c>
      <c r="T169" s="1140" t="str">
        <f t="shared" si="64"/>
        <v>HALini_Heat benchmark sub-installation, non-CL</v>
      </c>
      <c r="U169" s="1118"/>
      <c r="V169" s="1118"/>
      <c r="W169" s="1118"/>
      <c r="X169" s="1118"/>
      <c r="Y169" s="1118"/>
      <c r="AP169" s="1292" t="s">
        <v>2673</v>
      </c>
    </row>
    <row r="170" spans="1:42" s="1119" customFormat="1" ht="12.75" customHeight="1">
      <c r="A170" s="1116"/>
      <c r="C170" s="485"/>
      <c r="D170" s="1279">
        <f>D169+1</f>
        <v>13</v>
      </c>
      <c r="E170" s="3122" t="str">
        <f t="shared" si="73"/>
        <v>District heating sub-installation</v>
      </c>
      <c r="F170" s="2664"/>
      <c r="G170" s="2664"/>
      <c r="H170" s="2665"/>
      <c r="I170" s="888" t="str">
        <f t="shared" si="74"/>
        <v/>
      </c>
      <c r="J170" s="1347"/>
      <c r="K170" s="1348"/>
      <c r="L170" s="1348"/>
      <c r="M170" s="1348"/>
      <c r="N170" s="1349"/>
      <c r="O170" s="481"/>
      <c r="P170" s="485"/>
      <c r="Q170" s="1118"/>
      <c r="R170" s="1118"/>
      <c r="S170" s="1140" t="str">
        <f t="shared" si="63"/>
        <v>AllocPrelim_District heating sub-installation</v>
      </c>
      <c r="T170" s="1140" t="str">
        <f t="shared" si="64"/>
        <v>HALini_District heating sub-installation</v>
      </c>
      <c r="U170" s="1118"/>
      <c r="V170" s="1118"/>
      <c r="W170" s="1118"/>
      <c r="X170" s="1118"/>
      <c r="Y170" s="1118"/>
      <c r="AP170" s="1292" t="s">
        <v>2674</v>
      </c>
    </row>
    <row r="171" spans="1:42" s="1119" customFormat="1" ht="12.75" customHeight="1">
      <c r="A171" s="1116"/>
      <c r="C171" s="485"/>
      <c r="D171" s="1279">
        <f>D170+1</f>
        <v>14</v>
      </c>
      <c r="E171" s="3122" t="str">
        <f t="shared" si="73"/>
        <v>Fuel benchmark sub-installation, CL</v>
      </c>
      <c r="F171" s="2664"/>
      <c r="G171" s="2664"/>
      <c r="H171" s="2665"/>
      <c r="I171" s="888" t="str">
        <f t="shared" si="74"/>
        <v/>
      </c>
      <c r="J171" s="1347"/>
      <c r="K171" s="1348"/>
      <c r="L171" s="1348"/>
      <c r="M171" s="1348"/>
      <c r="N171" s="1349"/>
      <c r="O171" s="481"/>
      <c r="P171" s="485"/>
      <c r="Q171" s="1118"/>
      <c r="R171" s="1118"/>
      <c r="S171" s="1140" t="str">
        <f t="shared" si="63"/>
        <v>AllocPrelim_Fuel benchmark sub-installation, CL</v>
      </c>
      <c r="T171" s="1140" t="str">
        <f t="shared" si="64"/>
        <v>HALini_Fuel benchmark sub-installation, CL</v>
      </c>
      <c r="U171" s="1118"/>
      <c r="V171" s="1118"/>
      <c r="W171" s="1118"/>
      <c r="X171" s="1118"/>
      <c r="Y171" s="1118"/>
      <c r="AP171" s="1292" t="s">
        <v>2675</v>
      </c>
    </row>
    <row r="172" spans="1:42" s="1119" customFormat="1" ht="12.75" customHeight="1">
      <c r="A172" s="1116"/>
      <c r="C172" s="485"/>
      <c r="D172" s="1279">
        <f>D171+1</f>
        <v>15</v>
      </c>
      <c r="E172" s="3122" t="str">
        <f t="shared" si="73"/>
        <v>Fuel benchmark sub-installation, non-CL</v>
      </c>
      <c r="F172" s="2664"/>
      <c r="G172" s="2664"/>
      <c r="H172" s="2665"/>
      <c r="I172" s="888" t="str">
        <f t="shared" si="74"/>
        <v/>
      </c>
      <c r="J172" s="1347"/>
      <c r="K172" s="1348"/>
      <c r="L172" s="1348"/>
      <c r="M172" s="1348"/>
      <c r="N172" s="1349"/>
      <c r="O172" s="481"/>
      <c r="P172" s="485"/>
      <c r="Q172" s="1118"/>
      <c r="R172" s="1118"/>
      <c r="S172" s="1140" t="str">
        <f t="shared" si="63"/>
        <v>AllocPrelim_Fuel benchmark sub-installation, non-CL</v>
      </c>
      <c r="T172" s="1140" t="str">
        <f t="shared" si="64"/>
        <v>HALini_Fuel benchmark sub-installation, non-CL</v>
      </c>
      <c r="U172" s="1118"/>
      <c r="V172" s="1118"/>
      <c r="W172" s="1118"/>
      <c r="X172" s="1118"/>
      <c r="Y172" s="1118"/>
      <c r="AP172" s="1292" t="s">
        <v>2676</v>
      </c>
    </row>
    <row r="173" spans="1:42" s="1119" customFormat="1" ht="12.75" customHeight="1">
      <c r="A173" s="1116"/>
      <c r="C173" s="485"/>
      <c r="D173" s="1279">
        <f>D172+1</f>
        <v>16</v>
      </c>
      <c r="E173" s="3122" t="str">
        <f t="shared" si="73"/>
        <v>Process emissions sub-installation, CL</v>
      </c>
      <c r="F173" s="2664"/>
      <c r="G173" s="2664"/>
      <c r="H173" s="2665"/>
      <c r="I173" s="888" t="str">
        <f t="shared" si="74"/>
        <v/>
      </c>
      <c r="J173" s="1347"/>
      <c r="K173" s="1348"/>
      <c r="L173" s="1348"/>
      <c r="M173" s="1348"/>
      <c r="N173" s="1349"/>
      <c r="O173" s="481"/>
      <c r="P173" s="485"/>
      <c r="Q173" s="1118"/>
      <c r="R173" s="1118"/>
      <c r="S173" s="1140" t="str">
        <f t="shared" si="63"/>
        <v>AllocPrelim_Process emissions sub-installation, CL</v>
      </c>
      <c r="T173" s="1140" t="str">
        <f t="shared" si="64"/>
        <v>HALini_Process emissions sub-installation, CL</v>
      </c>
      <c r="U173" s="1118"/>
      <c r="V173" s="1118"/>
      <c r="W173" s="1118"/>
      <c r="X173" s="1118"/>
      <c r="Y173" s="1118"/>
      <c r="AP173" s="1292" t="s">
        <v>2677</v>
      </c>
    </row>
    <row r="174" spans="1:42" s="1119" customFormat="1" ht="13.5" customHeight="1">
      <c r="A174" s="1116"/>
      <c r="C174" s="485"/>
      <c r="D174" s="1283">
        <v>17</v>
      </c>
      <c r="E174" s="3153" t="str">
        <f t="shared" si="73"/>
        <v>Process emissions sub-installation, non-CL</v>
      </c>
      <c r="F174" s="2667"/>
      <c r="G174" s="2667"/>
      <c r="H174" s="2668"/>
      <c r="I174" s="890" t="str">
        <f t="shared" si="74"/>
        <v/>
      </c>
      <c r="J174" s="1350"/>
      <c r="K174" s="1351"/>
      <c r="L174" s="1351"/>
      <c r="M174" s="1351"/>
      <c r="N174" s="1352"/>
      <c r="O174" s="481"/>
      <c r="P174" s="485"/>
      <c r="Q174" s="1118"/>
      <c r="R174" s="1118"/>
      <c r="S174" s="1140" t="str">
        <f t="shared" si="63"/>
        <v>AllocPrelim_Process emissions sub-installation, non-CL</v>
      </c>
      <c r="T174" s="1140" t="str">
        <f t="shared" si="64"/>
        <v>HALini_Process emissions sub-installation, non-CL</v>
      </c>
      <c r="U174" s="1118"/>
      <c r="V174" s="1118"/>
      <c r="W174" s="1118"/>
      <c r="X174" s="1118"/>
      <c r="Y174" s="1118"/>
      <c r="AP174" s="1292" t="s">
        <v>2678</v>
      </c>
    </row>
    <row r="175" spans="1:42">
      <c r="C175" s="466"/>
      <c r="D175" s="467"/>
      <c r="E175" s="467"/>
      <c r="F175" s="467"/>
      <c r="G175" s="467"/>
      <c r="H175" s="467"/>
      <c r="I175" s="467"/>
      <c r="J175" s="467"/>
      <c r="K175" s="467"/>
      <c r="L175" s="467"/>
      <c r="M175" s="467"/>
      <c r="N175" s="467"/>
      <c r="O175" s="481"/>
    </row>
    <row r="176" spans="1:42" s="1119" customFormat="1">
      <c r="A176" s="1116"/>
      <c r="C176" s="485"/>
      <c r="D176" s="2419" t="s">
        <v>1014</v>
      </c>
      <c r="E176" s="2419"/>
      <c r="F176" s="2419"/>
      <c r="G176" s="2419"/>
      <c r="H176" s="2419"/>
      <c r="I176" s="2419"/>
      <c r="J176" s="2419"/>
      <c r="K176" s="2419"/>
      <c r="L176" s="2419"/>
      <c r="M176" s="2419"/>
      <c r="N176" s="2419"/>
      <c r="O176" s="481"/>
      <c r="P176" s="485"/>
      <c r="Q176" s="1118"/>
      <c r="R176" s="1118"/>
      <c r="S176" s="1118"/>
      <c r="T176" s="1118"/>
      <c r="U176" s="1118"/>
      <c r="V176" s="1118"/>
      <c r="W176" s="1118"/>
      <c r="X176" s="1118"/>
      <c r="Y176" s="1118"/>
      <c r="AP176" s="1121"/>
    </row>
    <row r="177" spans="1:42"/>
    <row r="178" spans="1:42" s="1119" customFormat="1" hidden="1">
      <c r="A178" s="1116"/>
      <c r="B178" s="1198" t="s">
        <v>873</v>
      </c>
      <c r="C178" s="1198" t="s">
        <v>873</v>
      </c>
      <c r="D178" s="1198" t="s">
        <v>873</v>
      </c>
      <c r="E178" s="1198" t="s">
        <v>873</v>
      </c>
      <c r="F178" s="1198" t="s">
        <v>873</v>
      </c>
      <c r="G178" s="1198" t="s">
        <v>873</v>
      </c>
      <c r="H178" s="1198" t="s">
        <v>873</v>
      </c>
      <c r="I178" s="1198" t="s">
        <v>873</v>
      </c>
      <c r="J178" s="1198" t="s">
        <v>873</v>
      </c>
      <c r="K178" s="1198" t="s">
        <v>873</v>
      </c>
      <c r="L178" s="1198" t="s">
        <v>873</v>
      </c>
      <c r="M178" s="1198" t="s">
        <v>873</v>
      </c>
      <c r="N178" s="1198" t="s">
        <v>873</v>
      </c>
      <c r="O178" s="1198" t="s">
        <v>873</v>
      </c>
      <c r="P178" s="1198" t="s">
        <v>873</v>
      </c>
      <c r="Q178" s="1118" t="s">
        <v>873</v>
      </c>
      <c r="R178" s="1118" t="s">
        <v>873</v>
      </c>
      <c r="S178" s="1118" t="s">
        <v>873</v>
      </c>
      <c r="T178" s="1118" t="s">
        <v>873</v>
      </c>
      <c r="U178" s="1118" t="s">
        <v>873</v>
      </c>
      <c r="V178" s="1118" t="s">
        <v>873</v>
      </c>
      <c r="W178" s="1118" t="s">
        <v>873</v>
      </c>
      <c r="X178" s="1118" t="s">
        <v>873</v>
      </c>
      <c r="Y178" s="1118" t="s">
        <v>873</v>
      </c>
      <c r="Z178" s="1118" t="s">
        <v>873</v>
      </c>
      <c r="AA178" s="1118" t="s">
        <v>873</v>
      </c>
      <c r="AP178" s="1121"/>
    </row>
    <row r="179" spans="1:42" hidden="1">
      <c r="A179" s="1116"/>
      <c r="B179" s="467"/>
      <c r="C179" s="466"/>
      <c r="D179" s="467"/>
      <c r="E179" s="467"/>
      <c r="F179" s="467"/>
      <c r="G179" s="467"/>
      <c r="H179" s="467"/>
      <c r="I179" s="467"/>
      <c r="J179" s="467"/>
      <c r="K179" s="467"/>
      <c r="L179" s="467"/>
      <c r="M179" s="467"/>
      <c r="N179" s="467"/>
      <c r="O179" s="467"/>
      <c r="P179" s="467"/>
      <c r="Q179" s="1118"/>
      <c r="R179" s="1118"/>
      <c r="S179" s="1118"/>
      <c r="T179" s="1118"/>
      <c r="U179" s="1118"/>
      <c r="V179" s="1118"/>
      <c r="W179" s="1118"/>
      <c r="X179" s="1118"/>
      <c r="Y179" s="1118"/>
    </row>
    <row r="180" spans="1:42" s="1119" customFormat="1" ht="13.5" hidden="1" thickBot="1">
      <c r="A180" s="1116"/>
      <c r="B180" s="1116"/>
      <c r="C180" s="1116"/>
      <c r="D180" s="1116"/>
      <c r="E180" s="483" t="s">
        <v>520</v>
      </c>
      <c r="F180" s="1116"/>
      <c r="G180" s="1116"/>
      <c r="H180" s="1116"/>
      <c r="I180" s="1116"/>
      <c r="J180" s="1116"/>
      <c r="K180" s="1116"/>
      <c r="L180" s="1116"/>
      <c r="M180" s="1116"/>
      <c r="N180" s="1116"/>
      <c r="O180" s="467"/>
      <c r="P180" s="467"/>
      <c r="Q180" s="1118"/>
      <c r="R180" s="1118"/>
      <c r="S180" s="1118"/>
      <c r="T180" s="1118"/>
      <c r="U180" s="1118"/>
      <c r="V180" s="1118"/>
      <c r="W180" s="1118"/>
      <c r="X180" s="1118"/>
      <c r="Y180" s="1118"/>
      <c r="Z180" s="1118"/>
      <c r="AA180" s="1118"/>
      <c r="AP180" s="1121"/>
    </row>
    <row r="181" spans="1:42" s="1119" customFormat="1" hidden="1">
      <c r="A181" s="1116"/>
      <c r="B181" s="1116"/>
      <c r="C181" s="1116"/>
      <c r="D181" s="1116"/>
      <c r="E181" s="1368"/>
      <c r="F181" s="1200" t="s">
        <v>273</v>
      </c>
      <c r="G181" s="1200"/>
      <c r="H181" s="1369" t="s">
        <v>625</v>
      </c>
      <c r="I181" s="1370" t="s">
        <v>115</v>
      </c>
      <c r="J181" s="1371" t="s">
        <v>1421</v>
      </c>
      <c r="K181" s="1371" t="s">
        <v>1679</v>
      </c>
      <c r="L181" s="1372"/>
      <c r="M181" s="1201" t="s">
        <v>274</v>
      </c>
      <c r="N181" s="1201" t="s">
        <v>919</v>
      </c>
      <c r="O181" s="467"/>
      <c r="P181" s="467"/>
      <c r="Q181" s="1118"/>
      <c r="R181" s="1118"/>
      <c r="S181" s="1118"/>
      <c r="T181" s="1118"/>
      <c r="U181" s="1118"/>
      <c r="V181" s="1118"/>
      <c r="W181" s="1118"/>
      <c r="X181" s="1118"/>
      <c r="Y181" s="1118"/>
      <c r="Z181" s="1118"/>
      <c r="AA181" s="1118"/>
      <c r="AP181" s="1121"/>
    </row>
    <row r="182" spans="1:42" s="1119" customFormat="1" hidden="1">
      <c r="A182" s="1116"/>
      <c r="B182" s="1116"/>
      <c r="C182" s="1116"/>
      <c r="D182" s="1116"/>
      <c r="E182" s="1373">
        <v>1</v>
      </c>
      <c r="F182" s="1374" t="str">
        <f t="shared" ref="F182:F198" si="75">IF($E182&gt;MAX($R$26:$R$61),EUconst_NA,INDEX(U$26:U$61,MATCH($E182,$R$26:$R$61,0)))</f>
        <v>N.A.</v>
      </c>
      <c r="G182" s="1375"/>
      <c r="H182" s="1376" t="b">
        <f t="shared" ref="H182:H187" si="76">(E182&lt;=MAX($R$26:$R$35))</f>
        <v>0</v>
      </c>
      <c r="I182" s="1377" t="str">
        <f t="shared" ref="I182:I187" si="77">IF(H182,MATCH(F182,EUconst_BMlistNames,0),"")</f>
        <v/>
      </c>
      <c r="J182" s="1378" t="str">
        <f t="shared" ref="J182:J198" si="78">IF($E182&gt;MAX($R$26:$R$61),EUconst_NA,IF(ISBLANK(INDEX(I$26:I$61,MATCH($E182,$R$26:$R$61,0))),0,INDEX(I$26:I$61,MATCH($E182,$R$26:$R$61,0))))</f>
        <v>N.A.</v>
      </c>
      <c r="K182" s="1378" t="str">
        <f t="shared" ref="K182:K198" si="79">IF($E182&gt;MAX($R$75:$R$91),EUconst_NA,IF(ISBLANK(INDEX(AB$75:AB$91,MATCH($E182,$R$75:$R$91,0))),0,INDEX(AB$75:AB$91,MATCH($E182,$R$75:$R$91,0))))</f>
        <v>N.A.</v>
      </c>
      <c r="L182" s="1379"/>
      <c r="M182" s="1380" t="str">
        <f t="shared" ref="M182:M198" si="80">IF($E182&gt;MAX($R$26:$R$61),EUconst_NA,INDEX(L$26:L$61,MATCH($E182,$R$26:$R$61,0)))</f>
        <v>N.A.</v>
      </c>
      <c r="N182" s="1381" t="str">
        <f t="shared" ref="N182:N198" si="81">IF($E182&gt;MAX($R$26:$R$61),EUconst_NA,INDEX(S$26:S$61,MATCH($E182,$R$26:$R$61,0)))</f>
        <v>N.A.</v>
      </c>
      <c r="O182" s="467"/>
      <c r="P182" s="467"/>
      <c r="Q182" s="1118"/>
      <c r="R182" s="1118"/>
      <c r="S182" s="1118"/>
      <c r="T182" s="1118"/>
      <c r="U182" s="1118"/>
      <c r="V182" s="1118"/>
      <c r="W182" s="1118"/>
      <c r="X182" s="1118"/>
      <c r="Y182" s="1118"/>
      <c r="Z182" s="1118"/>
      <c r="AA182" s="1118"/>
      <c r="AP182" s="1121"/>
    </row>
    <row r="183" spans="1:42" s="1119" customFormat="1" hidden="1">
      <c r="A183" s="1116"/>
      <c r="B183" s="1116"/>
      <c r="C183" s="1116"/>
      <c r="D183" s="1116"/>
      <c r="E183" s="1382">
        <f t="shared" ref="E183:E198" si="82">E182+1</f>
        <v>2</v>
      </c>
      <c r="F183" s="1383" t="str">
        <f t="shared" si="75"/>
        <v>N.A.</v>
      </c>
      <c r="G183" s="1384"/>
      <c r="H183" s="1385" t="b">
        <f t="shared" si="76"/>
        <v>0</v>
      </c>
      <c r="I183" s="1386" t="str">
        <f t="shared" si="77"/>
        <v/>
      </c>
      <c r="J183" s="1387" t="str">
        <f t="shared" si="78"/>
        <v>N.A.</v>
      </c>
      <c r="K183" s="1387" t="str">
        <f t="shared" si="79"/>
        <v>N.A.</v>
      </c>
      <c r="L183" s="1388"/>
      <c r="M183" s="1389" t="str">
        <f t="shared" si="80"/>
        <v>N.A.</v>
      </c>
      <c r="N183" s="1390" t="str">
        <f t="shared" si="81"/>
        <v>N.A.</v>
      </c>
      <c r="O183" s="467"/>
      <c r="P183" s="1391"/>
      <c r="Q183" s="1118"/>
      <c r="R183" s="1118"/>
      <c r="S183" s="1118"/>
      <c r="T183" s="1118"/>
      <c r="U183" s="1118"/>
      <c r="V183" s="1118"/>
      <c r="W183" s="1118"/>
      <c r="X183" s="1118"/>
      <c r="Y183" s="1118"/>
      <c r="Z183" s="1118"/>
      <c r="AA183" s="1118"/>
      <c r="AP183" s="1121"/>
    </row>
    <row r="184" spans="1:42" s="1119" customFormat="1" hidden="1">
      <c r="A184" s="1116"/>
      <c r="B184" s="1116"/>
      <c r="C184" s="1116"/>
      <c r="D184" s="1116"/>
      <c r="E184" s="1382">
        <f t="shared" si="82"/>
        <v>3</v>
      </c>
      <c r="F184" s="1383" t="str">
        <f t="shared" si="75"/>
        <v>N.A.</v>
      </c>
      <c r="G184" s="1384"/>
      <c r="H184" s="1385" t="b">
        <f t="shared" si="76"/>
        <v>0</v>
      </c>
      <c r="I184" s="1386" t="str">
        <f t="shared" si="77"/>
        <v/>
      </c>
      <c r="J184" s="1387" t="str">
        <f t="shared" si="78"/>
        <v>N.A.</v>
      </c>
      <c r="K184" s="1387" t="str">
        <f t="shared" si="79"/>
        <v>N.A.</v>
      </c>
      <c r="L184" s="1388"/>
      <c r="M184" s="1389" t="str">
        <f t="shared" si="80"/>
        <v>N.A.</v>
      </c>
      <c r="N184" s="1390" t="str">
        <f t="shared" si="81"/>
        <v>N.A.</v>
      </c>
      <c r="O184" s="467"/>
      <c r="P184" s="467"/>
      <c r="Q184" s="1118"/>
      <c r="R184" s="1118"/>
      <c r="S184" s="1118"/>
      <c r="T184" s="1118"/>
      <c r="U184" s="1118"/>
      <c r="V184" s="1118"/>
      <c r="W184" s="1118"/>
      <c r="X184" s="1118"/>
      <c r="Y184" s="1118"/>
      <c r="Z184" s="1118"/>
      <c r="AA184" s="1118"/>
      <c r="AP184" s="1121"/>
    </row>
    <row r="185" spans="1:42" s="1119" customFormat="1" hidden="1">
      <c r="A185" s="1116"/>
      <c r="B185" s="1116"/>
      <c r="C185" s="1116"/>
      <c r="D185" s="1116"/>
      <c r="E185" s="1382">
        <f t="shared" si="82"/>
        <v>4</v>
      </c>
      <c r="F185" s="1383" t="str">
        <f t="shared" si="75"/>
        <v>N.A.</v>
      </c>
      <c r="G185" s="1384"/>
      <c r="H185" s="1385" t="b">
        <f t="shared" si="76"/>
        <v>0</v>
      </c>
      <c r="I185" s="1386" t="str">
        <f t="shared" si="77"/>
        <v/>
      </c>
      <c r="J185" s="1387" t="str">
        <f t="shared" si="78"/>
        <v>N.A.</v>
      </c>
      <c r="K185" s="1387" t="str">
        <f t="shared" si="79"/>
        <v>N.A.</v>
      </c>
      <c r="L185" s="1388"/>
      <c r="M185" s="1389" t="str">
        <f t="shared" si="80"/>
        <v>N.A.</v>
      </c>
      <c r="N185" s="1390" t="str">
        <f t="shared" si="81"/>
        <v>N.A.</v>
      </c>
      <c r="O185" s="467"/>
      <c r="P185" s="467"/>
      <c r="Q185" s="1118"/>
      <c r="R185" s="1118"/>
      <c r="S185" s="1118"/>
      <c r="T185" s="1118"/>
      <c r="U185" s="1118"/>
      <c r="V185" s="1118"/>
      <c r="W185" s="1118"/>
      <c r="X185" s="1118"/>
      <c r="Y185" s="1118"/>
      <c r="Z185" s="1118"/>
      <c r="AA185" s="1118"/>
      <c r="AP185" s="1121"/>
    </row>
    <row r="186" spans="1:42" s="1119" customFormat="1" hidden="1">
      <c r="A186" s="1116"/>
      <c r="B186" s="1116"/>
      <c r="C186" s="1116"/>
      <c r="D186" s="1116"/>
      <c r="E186" s="1382">
        <f t="shared" si="82"/>
        <v>5</v>
      </c>
      <c r="F186" s="1383" t="str">
        <f t="shared" si="75"/>
        <v>N.A.</v>
      </c>
      <c r="G186" s="1384"/>
      <c r="H186" s="1385" t="b">
        <f t="shared" si="76"/>
        <v>0</v>
      </c>
      <c r="I186" s="1386" t="str">
        <f t="shared" si="77"/>
        <v/>
      </c>
      <c r="J186" s="1387" t="str">
        <f t="shared" si="78"/>
        <v>N.A.</v>
      </c>
      <c r="K186" s="1387" t="str">
        <f t="shared" si="79"/>
        <v>N.A.</v>
      </c>
      <c r="L186" s="1388"/>
      <c r="M186" s="1389" t="str">
        <f t="shared" si="80"/>
        <v>N.A.</v>
      </c>
      <c r="N186" s="1390" t="str">
        <f t="shared" si="81"/>
        <v>N.A.</v>
      </c>
      <c r="O186" s="467"/>
      <c r="P186" s="467"/>
      <c r="Q186" s="1118"/>
      <c r="R186" s="1118"/>
      <c r="S186" s="1118"/>
      <c r="T186" s="1118"/>
      <c r="U186" s="1118"/>
      <c r="V186" s="1118"/>
      <c r="W186" s="1118"/>
      <c r="X186" s="1118"/>
      <c r="Y186" s="1118"/>
      <c r="Z186" s="1118"/>
      <c r="AA186" s="1118"/>
      <c r="AP186" s="1121"/>
    </row>
    <row r="187" spans="1:42" s="1119" customFormat="1" hidden="1">
      <c r="A187" s="1116"/>
      <c r="B187" s="1116"/>
      <c r="C187" s="1116"/>
      <c r="D187" s="1116"/>
      <c r="E187" s="1382">
        <f t="shared" si="82"/>
        <v>6</v>
      </c>
      <c r="F187" s="1383" t="str">
        <f t="shared" si="75"/>
        <v>N.A.</v>
      </c>
      <c r="G187" s="1384"/>
      <c r="H187" s="1385" t="b">
        <f t="shared" si="76"/>
        <v>0</v>
      </c>
      <c r="I187" s="1386" t="str">
        <f t="shared" si="77"/>
        <v/>
      </c>
      <c r="J187" s="1387" t="str">
        <f t="shared" si="78"/>
        <v>N.A.</v>
      </c>
      <c r="K187" s="1387" t="str">
        <f t="shared" si="79"/>
        <v>N.A.</v>
      </c>
      <c r="L187" s="1388"/>
      <c r="M187" s="1389" t="str">
        <f t="shared" si="80"/>
        <v>N.A.</v>
      </c>
      <c r="N187" s="1390" t="str">
        <f t="shared" si="81"/>
        <v>N.A.</v>
      </c>
      <c r="O187" s="467"/>
      <c r="P187" s="467"/>
      <c r="Q187" s="1118"/>
      <c r="R187" s="1118"/>
      <c r="S187" s="1118"/>
      <c r="T187" s="1118"/>
      <c r="U187" s="1118"/>
      <c r="V187" s="1118"/>
      <c r="W187" s="1118"/>
      <c r="X187" s="1118"/>
      <c r="Y187" s="1118"/>
      <c r="Z187" s="1118"/>
      <c r="AA187" s="1118"/>
      <c r="AP187" s="1121"/>
    </row>
    <row r="188" spans="1:42" s="1119" customFormat="1" hidden="1">
      <c r="A188" s="1116"/>
      <c r="B188" s="1116"/>
      <c r="C188" s="1116"/>
      <c r="D188" s="1116"/>
      <c r="E188" s="1382">
        <f t="shared" si="82"/>
        <v>7</v>
      </c>
      <c r="F188" s="1383" t="str">
        <f t="shared" si="75"/>
        <v>N.A.</v>
      </c>
      <c r="G188" s="1384"/>
      <c r="H188" s="1385" t="b">
        <f t="shared" ref="H188:H198" si="83">(E188&lt;=MAX($R$26:$R$35))</f>
        <v>0</v>
      </c>
      <c r="I188" s="1386" t="str">
        <f t="shared" ref="I188:I198" si="84">IF(H188,MATCH(F188,EUconst_BMlistNames,0),"")</f>
        <v/>
      </c>
      <c r="J188" s="1387" t="str">
        <f t="shared" si="78"/>
        <v>N.A.</v>
      </c>
      <c r="K188" s="1387" t="str">
        <f t="shared" si="79"/>
        <v>N.A.</v>
      </c>
      <c r="L188" s="1388"/>
      <c r="M188" s="1389" t="str">
        <f t="shared" si="80"/>
        <v>N.A.</v>
      </c>
      <c r="N188" s="1390" t="str">
        <f t="shared" si="81"/>
        <v>N.A.</v>
      </c>
      <c r="O188" s="467"/>
      <c r="P188" s="467"/>
      <c r="Q188" s="1118"/>
      <c r="R188" s="1118"/>
      <c r="S188" s="1118"/>
      <c r="T188" s="1118"/>
      <c r="U188" s="1118"/>
      <c r="V188" s="1118"/>
      <c r="W188" s="1118"/>
      <c r="X188" s="1118"/>
      <c r="Y188" s="1118"/>
      <c r="Z188" s="1118"/>
      <c r="AA188" s="1118"/>
      <c r="AP188" s="1121"/>
    </row>
    <row r="189" spans="1:42" s="1119" customFormat="1" hidden="1">
      <c r="A189" s="1116"/>
      <c r="B189" s="1116"/>
      <c r="C189" s="1116"/>
      <c r="D189" s="1116"/>
      <c r="E189" s="1382">
        <f t="shared" si="82"/>
        <v>8</v>
      </c>
      <c r="F189" s="1383" t="str">
        <f t="shared" si="75"/>
        <v>N.A.</v>
      </c>
      <c r="G189" s="1384"/>
      <c r="H189" s="1385" t="b">
        <f t="shared" si="83"/>
        <v>0</v>
      </c>
      <c r="I189" s="1386" t="str">
        <f t="shared" si="84"/>
        <v/>
      </c>
      <c r="J189" s="1387" t="str">
        <f t="shared" si="78"/>
        <v>N.A.</v>
      </c>
      <c r="K189" s="1387" t="str">
        <f t="shared" si="79"/>
        <v>N.A.</v>
      </c>
      <c r="L189" s="1388"/>
      <c r="M189" s="1389" t="str">
        <f t="shared" si="80"/>
        <v>N.A.</v>
      </c>
      <c r="N189" s="1390" t="str">
        <f t="shared" si="81"/>
        <v>N.A.</v>
      </c>
      <c r="O189" s="467"/>
      <c r="P189" s="467"/>
      <c r="Q189" s="1118"/>
      <c r="R189" s="1118"/>
      <c r="S189" s="1118"/>
      <c r="T189" s="1118"/>
      <c r="U189" s="1118"/>
      <c r="V189" s="1118"/>
      <c r="W189" s="1118"/>
      <c r="X189" s="1118"/>
      <c r="Y189" s="1118"/>
      <c r="Z189" s="1118"/>
      <c r="AA189" s="1118"/>
      <c r="AP189" s="1121"/>
    </row>
    <row r="190" spans="1:42" s="1119" customFormat="1" hidden="1">
      <c r="A190" s="1116"/>
      <c r="B190" s="1116"/>
      <c r="C190" s="1116"/>
      <c r="D190" s="1116"/>
      <c r="E190" s="1382">
        <f t="shared" si="82"/>
        <v>9</v>
      </c>
      <c r="F190" s="1383" t="str">
        <f t="shared" si="75"/>
        <v>N.A.</v>
      </c>
      <c r="G190" s="1384"/>
      <c r="H190" s="1385" t="b">
        <f t="shared" si="83"/>
        <v>0</v>
      </c>
      <c r="I190" s="1386" t="str">
        <f t="shared" si="84"/>
        <v/>
      </c>
      <c r="J190" s="1387" t="str">
        <f t="shared" si="78"/>
        <v>N.A.</v>
      </c>
      <c r="K190" s="1387" t="str">
        <f t="shared" si="79"/>
        <v>N.A.</v>
      </c>
      <c r="L190" s="1388"/>
      <c r="M190" s="1389" t="str">
        <f t="shared" si="80"/>
        <v>N.A.</v>
      </c>
      <c r="N190" s="1390" t="str">
        <f t="shared" si="81"/>
        <v>N.A.</v>
      </c>
      <c r="O190" s="467"/>
      <c r="P190" s="467"/>
      <c r="Q190" s="1118"/>
      <c r="R190" s="1118"/>
      <c r="S190" s="1118"/>
      <c r="T190" s="1118"/>
      <c r="U190" s="1118"/>
      <c r="V190" s="1118"/>
      <c r="W190" s="1118"/>
      <c r="X190" s="1118"/>
      <c r="Y190" s="1118"/>
      <c r="Z190" s="1118"/>
      <c r="AA190" s="1118"/>
      <c r="AP190" s="1121"/>
    </row>
    <row r="191" spans="1:42" s="1119" customFormat="1" hidden="1">
      <c r="A191" s="1116"/>
      <c r="B191" s="1116"/>
      <c r="C191" s="1116"/>
      <c r="D191" s="1116"/>
      <c r="E191" s="1382">
        <f t="shared" si="82"/>
        <v>10</v>
      </c>
      <c r="F191" s="1383" t="str">
        <f t="shared" si="75"/>
        <v>N.A.</v>
      </c>
      <c r="G191" s="1384"/>
      <c r="H191" s="1385" t="b">
        <f t="shared" si="83"/>
        <v>0</v>
      </c>
      <c r="I191" s="1386" t="str">
        <f t="shared" si="84"/>
        <v/>
      </c>
      <c r="J191" s="1387" t="str">
        <f t="shared" si="78"/>
        <v>N.A.</v>
      </c>
      <c r="K191" s="1387" t="str">
        <f t="shared" si="79"/>
        <v>N.A.</v>
      </c>
      <c r="L191" s="1388"/>
      <c r="M191" s="1389" t="str">
        <f t="shared" si="80"/>
        <v>N.A.</v>
      </c>
      <c r="N191" s="1390" t="str">
        <f t="shared" si="81"/>
        <v>N.A.</v>
      </c>
      <c r="O191" s="467"/>
      <c r="P191" s="467"/>
      <c r="Q191" s="1118"/>
      <c r="R191" s="1118"/>
      <c r="S191" s="1118"/>
      <c r="T191" s="1118"/>
      <c r="U191" s="1118"/>
      <c r="V191" s="1118"/>
      <c r="W191" s="1118"/>
      <c r="X191" s="1118"/>
      <c r="Y191" s="1118"/>
      <c r="Z191" s="1118"/>
      <c r="AA191" s="1118"/>
      <c r="AP191" s="1121"/>
    </row>
    <row r="192" spans="1:42" s="1119" customFormat="1" hidden="1">
      <c r="A192" s="1116"/>
      <c r="B192" s="1116"/>
      <c r="C192" s="1116"/>
      <c r="D192" s="1116"/>
      <c r="E192" s="1382">
        <f t="shared" si="82"/>
        <v>11</v>
      </c>
      <c r="F192" s="1383" t="str">
        <f t="shared" si="75"/>
        <v>N.A.</v>
      </c>
      <c r="G192" s="1384"/>
      <c r="H192" s="1385" t="b">
        <f t="shared" si="83"/>
        <v>0</v>
      </c>
      <c r="I192" s="1386" t="str">
        <f t="shared" si="84"/>
        <v/>
      </c>
      <c r="J192" s="1387" t="str">
        <f t="shared" si="78"/>
        <v>N.A.</v>
      </c>
      <c r="K192" s="1387" t="str">
        <f t="shared" si="79"/>
        <v>N.A.</v>
      </c>
      <c r="L192" s="1388"/>
      <c r="M192" s="1389" t="str">
        <f t="shared" si="80"/>
        <v>N.A.</v>
      </c>
      <c r="N192" s="1390" t="str">
        <f t="shared" si="81"/>
        <v>N.A.</v>
      </c>
      <c r="O192" s="467"/>
      <c r="P192" s="467"/>
      <c r="Q192" s="1118"/>
      <c r="R192" s="1118"/>
      <c r="S192" s="1118"/>
      <c r="T192" s="1118"/>
      <c r="U192" s="1118"/>
      <c r="V192" s="1118"/>
      <c r="W192" s="1118"/>
      <c r="X192" s="1118"/>
      <c r="Y192" s="1118"/>
      <c r="Z192" s="1118"/>
      <c r="AA192" s="1118"/>
      <c r="AP192" s="1121"/>
    </row>
    <row r="193" spans="1:42" s="1119" customFormat="1" hidden="1">
      <c r="A193" s="1116"/>
      <c r="B193" s="1116"/>
      <c r="C193" s="1116"/>
      <c r="D193" s="1116"/>
      <c r="E193" s="1382">
        <f t="shared" si="82"/>
        <v>12</v>
      </c>
      <c r="F193" s="1383" t="str">
        <f t="shared" si="75"/>
        <v>N.A.</v>
      </c>
      <c r="G193" s="1384"/>
      <c r="H193" s="1385" t="b">
        <f t="shared" si="83"/>
        <v>0</v>
      </c>
      <c r="I193" s="1386" t="str">
        <f t="shared" si="84"/>
        <v/>
      </c>
      <c r="J193" s="1387" t="str">
        <f t="shared" si="78"/>
        <v>N.A.</v>
      </c>
      <c r="K193" s="1387" t="str">
        <f t="shared" si="79"/>
        <v>N.A.</v>
      </c>
      <c r="L193" s="1388"/>
      <c r="M193" s="1389" t="str">
        <f t="shared" si="80"/>
        <v>N.A.</v>
      </c>
      <c r="N193" s="1390" t="str">
        <f t="shared" si="81"/>
        <v>N.A.</v>
      </c>
      <c r="O193" s="467"/>
      <c r="P193" s="467"/>
      <c r="Q193" s="1118"/>
      <c r="R193" s="1118"/>
      <c r="S193" s="1118"/>
      <c r="T193" s="1118"/>
      <c r="U193" s="1118"/>
      <c r="V193" s="1118"/>
      <c r="W193" s="1118"/>
      <c r="X193" s="1118"/>
      <c r="Y193" s="1118"/>
      <c r="Z193" s="1118"/>
      <c r="AA193" s="1118"/>
      <c r="AP193" s="1121"/>
    </row>
    <row r="194" spans="1:42" s="1119" customFormat="1" hidden="1">
      <c r="A194" s="1116"/>
      <c r="B194" s="1116"/>
      <c r="C194" s="1116"/>
      <c r="D194" s="1116"/>
      <c r="E194" s="1382">
        <f t="shared" si="82"/>
        <v>13</v>
      </c>
      <c r="F194" s="1383" t="str">
        <f t="shared" si="75"/>
        <v>N.A.</v>
      </c>
      <c r="G194" s="1384"/>
      <c r="H194" s="1385" t="b">
        <f t="shared" si="83"/>
        <v>0</v>
      </c>
      <c r="I194" s="1386" t="str">
        <f t="shared" si="84"/>
        <v/>
      </c>
      <c r="J194" s="1387" t="str">
        <f t="shared" si="78"/>
        <v>N.A.</v>
      </c>
      <c r="K194" s="1387" t="str">
        <f t="shared" si="79"/>
        <v>N.A.</v>
      </c>
      <c r="L194" s="1388"/>
      <c r="M194" s="1389" t="str">
        <f t="shared" si="80"/>
        <v>N.A.</v>
      </c>
      <c r="N194" s="1390" t="str">
        <f t="shared" si="81"/>
        <v>N.A.</v>
      </c>
      <c r="O194" s="467"/>
      <c r="P194" s="467"/>
      <c r="Q194" s="1118"/>
      <c r="R194" s="1118"/>
      <c r="S194" s="1118"/>
      <c r="T194" s="1118"/>
      <c r="U194" s="1118"/>
      <c r="V194" s="1118"/>
      <c r="W194" s="1118"/>
      <c r="X194" s="1118"/>
      <c r="Y194" s="1118"/>
      <c r="Z194" s="1118"/>
      <c r="AA194" s="1118"/>
      <c r="AP194" s="1121"/>
    </row>
    <row r="195" spans="1:42" s="1119" customFormat="1" hidden="1">
      <c r="A195" s="1116"/>
      <c r="B195" s="1116"/>
      <c r="C195" s="1116"/>
      <c r="D195" s="1116"/>
      <c r="E195" s="1382">
        <f t="shared" si="82"/>
        <v>14</v>
      </c>
      <c r="F195" s="1383" t="str">
        <f t="shared" si="75"/>
        <v>N.A.</v>
      </c>
      <c r="G195" s="1384"/>
      <c r="H195" s="1385" t="b">
        <f t="shared" si="83"/>
        <v>0</v>
      </c>
      <c r="I195" s="1386" t="str">
        <f t="shared" si="84"/>
        <v/>
      </c>
      <c r="J195" s="1387" t="str">
        <f t="shared" si="78"/>
        <v>N.A.</v>
      </c>
      <c r="K195" s="1387" t="str">
        <f t="shared" si="79"/>
        <v>N.A.</v>
      </c>
      <c r="L195" s="1388"/>
      <c r="M195" s="1389" t="str">
        <f t="shared" si="80"/>
        <v>N.A.</v>
      </c>
      <c r="N195" s="1390" t="str">
        <f t="shared" si="81"/>
        <v>N.A.</v>
      </c>
      <c r="O195" s="467"/>
      <c r="P195" s="467"/>
      <c r="Q195" s="1118"/>
      <c r="R195" s="1118"/>
      <c r="S195" s="1118"/>
      <c r="T195" s="1118"/>
      <c r="U195" s="1118"/>
      <c r="V195" s="1118"/>
      <c r="W195" s="1118"/>
      <c r="X195" s="1118"/>
      <c r="Y195" s="1118"/>
      <c r="Z195" s="1118"/>
      <c r="AA195" s="1118"/>
      <c r="AP195" s="1121"/>
    </row>
    <row r="196" spans="1:42" s="1119" customFormat="1" hidden="1">
      <c r="A196" s="1116"/>
      <c r="B196" s="1116"/>
      <c r="C196" s="1116"/>
      <c r="D196" s="1116"/>
      <c r="E196" s="1382">
        <f t="shared" si="82"/>
        <v>15</v>
      </c>
      <c r="F196" s="1383" t="str">
        <f t="shared" si="75"/>
        <v>N.A.</v>
      </c>
      <c r="G196" s="1384"/>
      <c r="H196" s="1385" t="b">
        <f t="shared" si="83"/>
        <v>0</v>
      </c>
      <c r="I196" s="1386" t="str">
        <f t="shared" si="84"/>
        <v/>
      </c>
      <c r="J196" s="1387" t="str">
        <f t="shared" si="78"/>
        <v>N.A.</v>
      </c>
      <c r="K196" s="1387" t="str">
        <f t="shared" si="79"/>
        <v>N.A.</v>
      </c>
      <c r="L196" s="1388"/>
      <c r="M196" s="1389" t="str">
        <f t="shared" si="80"/>
        <v>N.A.</v>
      </c>
      <c r="N196" s="1390" t="str">
        <f t="shared" si="81"/>
        <v>N.A.</v>
      </c>
      <c r="O196" s="467"/>
      <c r="P196" s="467"/>
      <c r="Q196" s="1118"/>
      <c r="R196" s="1118"/>
      <c r="S196" s="1118"/>
      <c r="T196" s="1118"/>
      <c r="U196" s="1118"/>
      <c r="V196" s="1118"/>
      <c r="W196" s="1118"/>
      <c r="X196" s="1118"/>
      <c r="Y196" s="1118"/>
      <c r="Z196" s="1118"/>
      <c r="AA196" s="1118"/>
      <c r="AP196" s="1121"/>
    </row>
    <row r="197" spans="1:42" s="1119" customFormat="1" hidden="1">
      <c r="A197" s="1116"/>
      <c r="B197" s="1116"/>
      <c r="C197" s="1116"/>
      <c r="D197" s="1116"/>
      <c r="E197" s="1382">
        <f t="shared" si="82"/>
        <v>16</v>
      </c>
      <c r="F197" s="1383" t="str">
        <f t="shared" si="75"/>
        <v>N.A.</v>
      </c>
      <c r="G197" s="1384"/>
      <c r="H197" s="1385" t="b">
        <f t="shared" si="83"/>
        <v>0</v>
      </c>
      <c r="I197" s="1386" t="str">
        <f t="shared" si="84"/>
        <v/>
      </c>
      <c r="J197" s="1387" t="str">
        <f t="shared" si="78"/>
        <v>N.A.</v>
      </c>
      <c r="K197" s="1387" t="str">
        <f t="shared" si="79"/>
        <v>N.A.</v>
      </c>
      <c r="L197" s="1388"/>
      <c r="M197" s="1389" t="str">
        <f t="shared" si="80"/>
        <v>N.A.</v>
      </c>
      <c r="N197" s="1390" t="str">
        <f t="shared" si="81"/>
        <v>N.A.</v>
      </c>
      <c r="O197" s="467"/>
      <c r="P197" s="467"/>
      <c r="Q197" s="1118"/>
      <c r="R197" s="1118"/>
      <c r="S197" s="1118"/>
      <c r="T197" s="1118"/>
      <c r="U197" s="1118"/>
      <c r="V197" s="1118"/>
      <c r="W197" s="1118"/>
      <c r="X197" s="1118"/>
      <c r="Y197" s="1118"/>
      <c r="Z197" s="1118"/>
      <c r="AA197" s="1118"/>
      <c r="AP197" s="1121"/>
    </row>
    <row r="198" spans="1:42" s="1119" customFormat="1" ht="13.5" hidden="1" thickBot="1">
      <c r="A198" s="1116"/>
      <c r="B198" s="1116"/>
      <c r="C198" s="1116"/>
      <c r="D198" s="1116"/>
      <c r="E198" s="1392">
        <f t="shared" si="82"/>
        <v>17</v>
      </c>
      <c r="F198" s="1393" t="str">
        <f t="shared" si="75"/>
        <v>N.A.</v>
      </c>
      <c r="G198" s="1394"/>
      <c r="H198" s="1395" t="b">
        <f t="shared" si="83"/>
        <v>0</v>
      </c>
      <c r="I198" s="1396" t="str">
        <f t="shared" si="84"/>
        <v/>
      </c>
      <c r="J198" s="1397" t="str">
        <f t="shared" si="78"/>
        <v>N.A.</v>
      </c>
      <c r="K198" s="1397" t="str">
        <f t="shared" si="79"/>
        <v>N.A.</v>
      </c>
      <c r="L198" s="1398"/>
      <c r="M198" s="1399" t="str">
        <f t="shared" si="80"/>
        <v>N.A.</v>
      </c>
      <c r="N198" s="1400" t="str">
        <f t="shared" si="81"/>
        <v>N.A.</v>
      </c>
      <c r="O198" s="467"/>
      <c r="P198" s="467"/>
      <c r="Q198" s="1118"/>
      <c r="R198" s="1118"/>
      <c r="S198" s="1118"/>
      <c r="T198" s="1118"/>
      <c r="U198" s="1118"/>
      <c r="V198" s="1118"/>
      <c r="W198" s="1118"/>
      <c r="X198" s="1118"/>
      <c r="Y198" s="1118"/>
      <c r="Z198" s="1118"/>
      <c r="AA198" s="1118"/>
      <c r="AP198" s="1121"/>
    </row>
    <row r="199" spans="1:42" s="1119" customFormat="1" hidden="1">
      <c r="A199" s="1116"/>
      <c r="B199" s="1116"/>
      <c r="C199" s="1116"/>
      <c r="D199" s="1116"/>
      <c r="E199" s="1116"/>
      <c r="F199" s="1116"/>
      <c r="G199" s="1116"/>
      <c r="H199" s="1116"/>
      <c r="I199" s="483"/>
      <c r="J199" s="483"/>
      <c r="K199" s="483"/>
      <c r="L199" s="483"/>
      <c r="M199" s="483"/>
      <c r="N199" s="483"/>
      <c r="O199" s="467"/>
      <c r="P199" s="467"/>
      <c r="Q199" s="1118"/>
      <c r="R199" s="1118"/>
      <c r="S199" s="1118"/>
      <c r="T199" s="1118"/>
      <c r="U199" s="1118"/>
      <c r="V199" s="1118"/>
      <c r="W199" s="1118"/>
      <c r="X199" s="1118"/>
      <c r="Y199" s="1118"/>
      <c r="Z199" s="1118"/>
      <c r="AA199" s="1118"/>
      <c r="AP199" s="1121"/>
    </row>
    <row r="200" spans="1:42" s="1119" customFormat="1" hidden="1">
      <c r="A200" s="1116"/>
      <c r="B200" s="1116"/>
      <c r="C200" s="1116"/>
      <c r="D200" s="1116"/>
      <c r="E200" s="618" t="s">
        <v>1824</v>
      </c>
      <c r="F200" s="1116"/>
      <c r="G200" s="1116"/>
      <c r="H200" s="1116"/>
      <c r="I200" s="1116"/>
      <c r="J200" s="1116"/>
      <c r="K200" s="1116"/>
      <c r="L200" s="1116"/>
      <c r="M200" s="1116"/>
      <c r="N200" s="1116"/>
      <c r="O200" s="467"/>
      <c r="P200" s="467"/>
      <c r="Q200" s="1118"/>
      <c r="R200" s="1118"/>
      <c r="S200" s="1118"/>
      <c r="T200" s="1118"/>
      <c r="U200" s="1118"/>
      <c r="V200" s="1118"/>
      <c r="W200" s="1118"/>
      <c r="X200" s="1118"/>
      <c r="Y200" s="1118"/>
      <c r="Z200" s="1118"/>
      <c r="AA200" s="1118"/>
      <c r="AP200" s="1121"/>
    </row>
    <row r="201" spans="1:42" s="1119" customFormat="1" hidden="1">
      <c r="A201" s="1116"/>
      <c r="B201" s="1116"/>
      <c r="C201" s="1116"/>
      <c r="D201" s="1116"/>
      <c r="E201" s="1116" t="s">
        <v>792</v>
      </c>
      <c r="F201" s="1116"/>
      <c r="G201" s="1245" t="b">
        <f>OR(COUNTIF(E158:E167,"")&lt;10,COUNTIF(CNTR_FallBackSubInstRelevant,"")&lt;7)</f>
        <v>0</v>
      </c>
      <c r="H201" s="1116"/>
      <c r="I201" s="618" t="s">
        <v>1460</v>
      </c>
      <c r="J201" s="1245" t="b">
        <f>OR(CNTR_SubInstListIsProdBM)</f>
        <v>0</v>
      </c>
      <c r="K201" s="1116"/>
      <c r="L201" s="1116"/>
      <c r="M201" s="1116"/>
      <c r="N201" s="1116"/>
      <c r="O201" s="467"/>
      <c r="P201" s="467"/>
      <c r="Q201" s="1118"/>
      <c r="R201" s="1118"/>
      <c r="S201" s="1118"/>
      <c r="T201" s="1118"/>
      <c r="U201" s="1118"/>
      <c r="V201" s="1118"/>
      <c r="W201" s="1118"/>
      <c r="X201" s="1118"/>
      <c r="Y201" s="1118"/>
      <c r="Z201" s="1118"/>
      <c r="AA201" s="1118"/>
      <c r="AP201" s="1121"/>
    </row>
    <row r="202" spans="1:42" hidden="1">
      <c r="A202" s="1116"/>
      <c r="B202" s="467"/>
      <c r="C202" s="466"/>
      <c r="D202" s="467"/>
      <c r="E202" s="467"/>
      <c r="F202" s="467"/>
      <c r="G202" s="467"/>
      <c r="H202" s="467"/>
      <c r="I202" s="467"/>
      <c r="J202" s="467"/>
      <c r="K202" s="467"/>
      <c r="L202" s="467"/>
      <c r="M202" s="467"/>
      <c r="O202" s="467"/>
      <c r="P202" s="467"/>
    </row>
    <row r="203" spans="1:42" hidden="1">
      <c r="A203" s="1116"/>
      <c r="E203" s="1116" t="s">
        <v>795</v>
      </c>
      <c r="F203" s="1116"/>
      <c r="G203" s="1116"/>
      <c r="H203" s="1116"/>
    </row>
    <row r="204" spans="1:42" hidden="1">
      <c r="A204" s="1116"/>
      <c r="C204" s="500"/>
      <c r="E204" s="1116"/>
      <c r="F204" s="618" t="s">
        <v>1943</v>
      </c>
      <c r="G204" s="1245" t="b">
        <f>OR(10-COUNTIF(M26:M35,"")&gt;0,E36&lt;&gt;"",D38&lt;&gt;"",E62&lt;&gt;"",D64&lt;&gt;"")</f>
        <v>0</v>
      </c>
      <c r="H204" s="1116" t="s">
        <v>892</v>
      </c>
    </row>
  </sheetData>
  <sheetProtection algorithmName="SHA-512" hashValue="uGaXT4O/Qwuau/bEh4SQ/hhd80y5cU10i+0Sf3K04GMkx7u/hgpCMO5YIDRODNFE2spbqi0ZYk4ldWMdLgAIPQ==" saltValue="jktFK3rO1tOdRCaSUWP6eA==" spinCount="100000" sheet="1" formatCells="0" formatColumns="0" formatRows="0" insertHyperlinks="0"/>
  <mergeCells count="239">
    <mergeCell ref="H77:J77"/>
    <mergeCell ref="AP2:AP4"/>
    <mergeCell ref="G22:N22"/>
    <mergeCell ref="AD92:AE92"/>
    <mergeCell ref="AD93:AE93"/>
    <mergeCell ref="F72:N72"/>
    <mergeCell ref="S73:X73"/>
    <mergeCell ref="S72:X72"/>
    <mergeCell ref="H80:J80"/>
    <mergeCell ref="H81:J81"/>
    <mergeCell ref="H82:J82"/>
    <mergeCell ref="H83:J83"/>
    <mergeCell ref="H84:J84"/>
    <mergeCell ref="H85:J85"/>
    <mergeCell ref="I54:K54"/>
    <mergeCell ref="I55:K55"/>
    <mergeCell ref="I56:K56"/>
    <mergeCell ref="I57:K57"/>
    <mergeCell ref="I58:K58"/>
    <mergeCell ref="I59:K59"/>
    <mergeCell ref="I60:K60"/>
    <mergeCell ref="I61:K61"/>
    <mergeCell ref="F67:N67"/>
    <mergeCell ref="F68:N68"/>
    <mergeCell ref="F129:N129"/>
    <mergeCell ref="E112:H112"/>
    <mergeCell ref="E114:H114"/>
    <mergeCell ref="F122:N122"/>
    <mergeCell ref="E101:H101"/>
    <mergeCell ref="E102:H102"/>
    <mergeCell ref="E103:H103"/>
    <mergeCell ref="E111:H111"/>
    <mergeCell ref="F128:N128"/>
    <mergeCell ref="E108:H108"/>
    <mergeCell ref="E109:H109"/>
    <mergeCell ref="E110:H110"/>
    <mergeCell ref="E117:H117"/>
    <mergeCell ref="E119:N119"/>
    <mergeCell ref="F124:N124"/>
    <mergeCell ref="F126:N126"/>
    <mergeCell ref="E120:N120"/>
    <mergeCell ref="E113:H113"/>
    <mergeCell ref="E115:H115"/>
    <mergeCell ref="E107:H107"/>
    <mergeCell ref="E104:H104"/>
    <mergeCell ref="E105:H105"/>
    <mergeCell ref="F69:N69"/>
    <mergeCell ref="E172:H172"/>
    <mergeCell ref="E160:H160"/>
    <mergeCell ref="E161:H161"/>
    <mergeCell ref="E162:H162"/>
    <mergeCell ref="E150:G150"/>
    <mergeCell ref="E151:G151"/>
    <mergeCell ref="E152:G152"/>
    <mergeCell ref="E148:G148"/>
    <mergeCell ref="E149:G149"/>
    <mergeCell ref="E165:H165"/>
    <mergeCell ref="E155:N155"/>
    <mergeCell ref="E164:H164"/>
    <mergeCell ref="E144:G144"/>
    <mergeCell ref="E145:G145"/>
    <mergeCell ref="E146:G146"/>
    <mergeCell ref="E156:H157"/>
    <mergeCell ref="E158:H158"/>
    <mergeCell ref="E159:H159"/>
    <mergeCell ref="E154:N154"/>
    <mergeCell ref="E163:H163"/>
    <mergeCell ref="E133:N133"/>
    <mergeCell ref="E142:G142"/>
    <mergeCell ref="E143:G143"/>
    <mergeCell ref="E138:G138"/>
    <mergeCell ref="E147:G147"/>
    <mergeCell ref="E134:G135"/>
    <mergeCell ref="E139:G139"/>
    <mergeCell ref="E136:G136"/>
    <mergeCell ref="E137:G137"/>
    <mergeCell ref="E141:G141"/>
    <mergeCell ref="E173:H173"/>
    <mergeCell ref="E174:H174"/>
    <mergeCell ref="E166:H166"/>
    <mergeCell ref="E167:H167"/>
    <mergeCell ref="E168:H168"/>
    <mergeCell ref="E169:H169"/>
    <mergeCell ref="E170:H170"/>
    <mergeCell ref="E171:H171"/>
    <mergeCell ref="P2:P4"/>
    <mergeCell ref="E13:N13"/>
    <mergeCell ref="G14:N14"/>
    <mergeCell ref="G15:N15"/>
    <mergeCell ref="F20:N20"/>
    <mergeCell ref="F21:N21"/>
    <mergeCell ref="M32:N32"/>
    <mergeCell ref="G17:N17"/>
    <mergeCell ref="G18:N18"/>
    <mergeCell ref="G19:N19"/>
    <mergeCell ref="E23:N23"/>
    <mergeCell ref="I25:K25"/>
    <mergeCell ref="I26:K26"/>
    <mergeCell ref="I27:K27"/>
    <mergeCell ref="I28:K28"/>
    <mergeCell ref="I29:K29"/>
    <mergeCell ref="G27:H27"/>
    <mergeCell ref="G47:N47"/>
    <mergeCell ref="G48:N48"/>
    <mergeCell ref="G49:N49"/>
    <mergeCell ref="G50:N50"/>
    <mergeCell ref="E52:N52"/>
    <mergeCell ref="K2:L2"/>
    <mergeCell ref="M2:N2"/>
    <mergeCell ref="E3:F3"/>
    <mergeCell ref="K3:L3"/>
    <mergeCell ref="M3:N3"/>
    <mergeCell ref="G3:H3"/>
    <mergeCell ref="I3:J3"/>
    <mergeCell ref="K4:L4"/>
    <mergeCell ref="E2:F2"/>
    <mergeCell ref="G4:H4"/>
    <mergeCell ref="I4:J4"/>
    <mergeCell ref="I2:J2"/>
    <mergeCell ref="D38:N38"/>
    <mergeCell ref="D10:N10"/>
    <mergeCell ref="M4:N4"/>
    <mergeCell ref="D6:N6"/>
    <mergeCell ref="E12:N12"/>
    <mergeCell ref="G32:H32"/>
    <mergeCell ref="G26:H26"/>
    <mergeCell ref="D64:N64"/>
    <mergeCell ref="E57:F57"/>
    <mergeCell ref="G51:N51"/>
    <mergeCell ref="E74:F74"/>
    <mergeCell ref="H75:J75"/>
    <mergeCell ref="F73:N73"/>
    <mergeCell ref="E36:K36"/>
    <mergeCell ref="M26:N26"/>
    <mergeCell ref="M27:N27"/>
    <mergeCell ref="G31:H31"/>
    <mergeCell ref="G30:H30"/>
    <mergeCell ref="G35:H35"/>
    <mergeCell ref="I33:K33"/>
    <mergeCell ref="I34:K34"/>
    <mergeCell ref="I35:K35"/>
    <mergeCell ref="E31:F31"/>
    <mergeCell ref="E32:F32"/>
    <mergeCell ref="E61:F61"/>
    <mergeCell ref="E44:N44"/>
    <mergeCell ref="E35:F35"/>
    <mergeCell ref="E41:N41"/>
    <mergeCell ref="E42:N42"/>
    <mergeCell ref="G45:N45"/>
    <mergeCell ref="G46:N46"/>
    <mergeCell ref="D176:N176"/>
    <mergeCell ref="G28:H28"/>
    <mergeCell ref="E26:F26"/>
    <mergeCell ref="E27:F27"/>
    <mergeCell ref="E59:F59"/>
    <mergeCell ref="E33:F33"/>
    <mergeCell ref="E60:F60"/>
    <mergeCell ref="E43:N43"/>
    <mergeCell ref="M28:N28"/>
    <mergeCell ref="M29:N29"/>
    <mergeCell ref="D40:N40"/>
    <mergeCell ref="G29:H29"/>
    <mergeCell ref="E34:F34"/>
    <mergeCell ref="E29:F29"/>
    <mergeCell ref="E30:F30"/>
    <mergeCell ref="D134:D135"/>
    <mergeCell ref="D156:D157"/>
    <mergeCell ref="D99:D100"/>
    <mergeCell ref="H134:H135"/>
    <mergeCell ref="E97:N97"/>
    <mergeCell ref="E116:H116"/>
    <mergeCell ref="F132:N132"/>
    <mergeCell ref="D93:N93"/>
    <mergeCell ref="M33:N33"/>
    <mergeCell ref="M35:N35"/>
    <mergeCell ref="M30:N30"/>
    <mergeCell ref="M31:N31"/>
    <mergeCell ref="M34:N34"/>
    <mergeCell ref="G34:H34"/>
    <mergeCell ref="E4:F4"/>
    <mergeCell ref="E25:F25"/>
    <mergeCell ref="E28:F28"/>
    <mergeCell ref="G33:H33"/>
    <mergeCell ref="D8:N8"/>
    <mergeCell ref="G16:N16"/>
    <mergeCell ref="I30:K30"/>
    <mergeCell ref="I31:K31"/>
    <mergeCell ref="I32:K32"/>
    <mergeCell ref="B2:D4"/>
    <mergeCell ref="G2:H2"/>
    <mergeCell ref="G25:H25"/>
    <mergeCell ref="F131:N131"/>
    <mergeCell ref="F130:N130"/>
    <mergeCell ref="E140:G140"/>
    <mergeCell ref="E90:F90"/>
    <mergeCell ref="E91:F91"/>
    <mergeCell ref="E75:F75"/>
    <mergeCell ref="E76:F76"/>
    <mergeCell ref="E77:F77"/>
    <mergeCell ref="E78:F78"/>
    <mergeCell ref="E79:F79"/>
    <mergeCell ref="E80:F80"/>
    <mergeCell ref="E81:F81"/>
    <mergeCell ref="F121:N121"/>
    <mergeCell ref="F123:N123"/>
    <mergeCell ref="F125:N125"/>
    <mergeCell ref="F127:N127"/>
    <mergeCell ref="D95:N95"/>
    <mergeCell ref="H87:J87"/>
    <mergeCell ref="E85:F85"/>
    <mergeCell ref="E86:F86"/>
    <mergeCell ref="E82:F82"/>
    <mergeCell ref="E83:F83"/>
    <mergeCell ref="E84:F84"/>
    <mergeCell ref="H76:J76"/>
    <mergeCell ref="V69:AA71"/>
    <mergeCell ref="E99:H100"/>
    <mergeCell ref="E106:H106"/>
    <mergeCell ref="E96:N96"/>
    <mergeCell ref="E58:F58"/>
    <mergeCell ref="E54:F54"/>
    <mergeCell ref="E55:F55"/>
    <mergeCell ref="E56:F56"/>
    <mergeCell ref="E62:K62"/>
    <mergeCell ref="E98:N98"/>
    <mergeCell ref="H89:J89"/>
    <mergeCell ref="H86:J86"/>
    <mergeCell ref="H78:J78"/>
    <mergeCell ref="H79:J79"/>
    <mergeCell ref="E87:F87"/>
    <mergeCell ref="E88:F88"/>
    <mergeCell ref="E89:F89"/>
    <mergeCell ref="H90:J90"/>
    <mergeCell ref="H91:J91"/>
    <mergeCell ref="H88:J88"/>
    <mergeCell ref="D66:N66"/>
    <mergeCell ref="F70:N70"/>
    <mergeCell ref="F71:N71"/>
    <mergeCell ref="H74:J74"/>
  </mergeCells>
  <conditionalFormatting sqref="B2:D4">
    <cfRule type="expression" dxfId="786" priority="39" stopIfTrue="1">
      <formula>$G$204</formula>
    </cfRule>
  </conditionalFormatting>
  <conditionalFormatting sqref="E101 I101:N110 E102:G110 I111:I117">
    <cfRule type="expression" dxfId="785" priority="10" stopIfTrue="1">
      <formula>$S101</formula>
    </cfRule>
  </conditionalFormatting>
  <conditionalFormatting sqref="E26:F35">
    <cfRule type="expression" dxfId="784" priority="11" stopIfTrue="1">
      <formula>$W26=0</formula>
    </cfRule>
  </conditionalFormatting>
  <conditionalFormatting sqref="G75:G91">
    <cfRule type="expression" dxfId="783" priority="6">
      <formula>$S75</formula>
    </cfRule>
  </conditionalFormatting>
  <conditionalFormatting sqref="G3:H3">
    <cfRule type="expression" dxfId="782" priority="28" stopIfTrue="1">
      <formula>$G$204</formula>
    </cfRule>
  </conditionalFormatting>
  <conditionalFormatting sqref="G26:H35">
    <cfRule type="expression" dxfId="781" priority="9" stopIfTrue="1">
      <formula>$X26=0</formula>
    </cfRule>
    <cfRule type="expression" dxfId="780" priority="13" stopIfTrue="1">
      <formula>$X26=1</formula>
    </cfRule>
  </conditionalFormatting>
  <conditionalFormatting sqref="G4:L4">
    <cfRule type="expression" dxfId="779" priority="1522" stopIfTrue="1">
      <formula>#REF!</formula>
    </cfRule>
  </conditionalFormatting>
  <conditionalFormatting sqref="H75:J91">
    <cfRule type="expression" dxfId="778" priority="5">
      <formula>$T75</formula>
    </cfRule>
  </conditionalFormatting>
  <conditionalFormatting sqref="I26:I35 G55:I61">
    <cfRule type="expression" dxfId="777" priority="7" stopIfTrue="1">
      <formula>W26=1</formula>
    </cfRule>
    <cfRule type="expression" dxfId="776" priority="8" stopIfTrue="1">
      <formula>W26=0</formula>
    </cfRule>
  </conditionalFormatting>
  <conditionalFormatting sqref="I3:J3">
    <cfRule type="expression" dxfId="775" priority="27" stopIfTrue="1">
      <formula>COUNTIF($AA$136:$AA$152,2)&gt;0</formula>
    </cfRule>
  </conditionalFormatting>
  <conditionalFormatting sqref="I136:N145 I146:I152">
    <cfRule type="expression" dxfId="774" priority="12" stopIfTrue="1">
      <formula>T136</formula>
    </cfRule>
  </conditionalFormatting>
  <conditionalFormatting sqref="K75:K91">
    <cfRule type="expression" dxfId="773" priority="4">
      <formula>$U75</formula>
    </cfRule>
  </conditionalFormatting>
  <conditionalFormatting sqref="L75:L91">
    <cfRule type="expression" dxfId="772" priority="3">
      <formula>$V75</formula>
    </cfRule>
  </conditionalFormatting>
  <conditionalFormatting sqref="M75:M91">
    <cfRule type="expression" dxfId="771" priority="2">
      <formula>$W75</formula>
    </cfRule>
  </conditionalFormatting>
  <conditionalFormatting sqref="N75:N91">
    <cfRule type="expression" dxfId="770" priority="1">
      <formula>$X75</formula>
    </cfRule>
  </conditionalFormatting>
  <dataValidations disablePrompts="1" count="8">
    <dataValidation type="decimal" operator="greaterThanOrEqual" allowBlank="1" showInputMessage="1" showErrorMessage="1" sqref="M136:M145 I136:K145 I168:I174 I146:I152" xr:uid="{00000000-0002-0000-0500-000001000000}">
      <formula1>0</formula1>
    </dataValidation>
    <dataValidation type="decimal" allowBlank="1" showInputMessage="1" showErrorMessage="1" sqref="L136:L145 N136:N145" xr:uid="{00000000-0002-0000-0500-000002000000}">
      <formula1>0</formula1>
      <formula2>1</formula2>
    </dataValidation>
    <dataValidation type="list" allowBlank="1" showInputMessage="1" showErrorMessage="1" sqref="G26:G35" xr:uid="{00000000-0002-0000-0500-000003000000}">
      <formula1>EUconst_BMlistNames</formula1>
    </dataValidation>
    <dataValidation type="list" allowBlank="1" showInputMessage="1" showErrorMessage="1" sqref="H55:H61 M75:M91" xr:uid="{00000000-0002-0000-0500-000004000000}">
      <formula1>Euconst_TrueFalse</formula1>
    </dataValidation>
    <dataValidation type="date" operator="greaterThan" allowBlank="1" showInputMessage="1" showErrorMessage="1" error="! No valid date format !" sqref="I26:I35 L75:L91 I55:I61 G75:G91" xr:uid="{00000000-0002-0000-0500-000005000000}">
      <formula1>1</formula1>
    </dataValidation>
    <dataValidation type="date" operator="greaterThan" allowBlank="1" showInputMessage="1" showErrorMessage="1" sqref="N75:N91" xr:uid="{C21E00EF-C84F-4A79-B4E9-7FF94C9BE443}">
      <formula1>45658</formula1>
    </dataValidation>
    <dataValidation type="list" allowBlank="1" showInputMessage="1" showErrorMessage="1" sqref="K75:K91" xr:uid="{71E31AA6-DE36-4D1E-AB2E-A77A29B4A4C4}">
      <formula1>$T$70:$T$71</formula1>
    </dataValidation>
    <dataValidation operator="greaterThan" allowBlank="1" showInputMessage="1" showErrorMessage="1" sqref="H75:J91" xr:uid="{61DE7E3A-0B56-43EE-A5D7-4A281BAADBF3}"/>
  </dataValidations>
  <hyperlinks>
    <hyperlink ref="E3:F3" location="'B+C_SubInstallations'!B5" display="Top of sheet" xr:uid="{760AEF10-BE50-4D05-9653-2F5E6B6DEB72}"/>
    <hyperlink ref="E4:F4" location="'B+C_SubInstallations'!B176" display="End of sheet" xr:uid="{0748429E-D76B-494D-8875-F9C6F5BA96E7}"/>
    <hyperlink ref="I2:J2" location="A_InstallationData!B5" display="Previous sheet" xr:uid="{A219C406-7010-4952-9D49-DB1573988C4D}"/>
    <hyperlink ref="K2:L2" location="D_Emissions!B5" display="Next sheet" xr:uid="{99D61D42-0650-444B-B435-2BF8280F2F6F}"/>
    <hyperlink ref="M2:N2" location="K_Summary!B5" display="Summary" xr:uid="{4C6797CE-2F0A-4F17-A2B3-9A8BDF9DEA7E}"/>
    <hyperlink ref="G2:H2" location="a_Contents!B5" display="Table of contents" xr:uid="{4A052297-A3C1-40A0-AD6B-D157FDECEE17}"/>
    <hyperlink ref="G3:H3" location="'B+C_SubInstallations'!D8" display="Sub-installations" xr:uid="{45DEFB0B-2F5B-4D38-9810-A5E65D318E3D}"/>
    <hyperlink ref="I3:J3" location="'B+C_SubInstallations'!D95" display="Initial NIMs allocation" xr:uid="{D1D74C53-9A20-42EF-BA81-0E4F77FF6891}"/>
    <hyperlink ref="D176:N176" location="D_Emissions!B5" display="&lt;&lt;&lt; Click here to proceed to next sheet &gt;&gt;&gt; " xr:uid="{871FBF35-2B86-4256-9AD5-54685CF7BC4A}"/>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13" max="1048575" man="1"/>
  </colBreaks>
  <ignoredErrors>
    <ignoredError sqref="V75:V76 V77:V9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tabColor indexed="52"/>
  </sheetPr>
  <dimension ref="A1:AP286"/>
  <sheetViews>
    <sheetView showGridLines="0" topLeftCell="B1" zoomScaleNormal="100" zoomScaleSheetLayoutView="100" workbookViewId="0">
      <pane ySplit="4" topLeftCell="A5" activePane="bottomLeft" state="frozen"/>
      <selection pane="bottomLeft" activeCell="B5" sqref="B5"/>
    </sheetView>
  </sheetViews>
  <sheetFormatPr defaultColWidth="0" defaultRowHeight="12.75" zeroHeight="1"/>
  <cols>
    <col min="1" max="1" width="3.7109375" style="1116" hidden="1" customWidth="1"/>
    <col min="2" max="2" width="2.7109375" style="1116" customWidth="1"/>
    <col min="3" max="3" width="5.7109375" style="1116" customWidth="1"/>
    <col min="4" max="4" width="4.7109375" style="1116" customWidth="1"/>
    <col min="5" max="5" width="30.7109375" style="1116" customWidth="1"/>
    <col min="6" max="14" width="13.7109375" style="1116" customWidth="1"/>
    <col min="15" max="15" width="4.7109375" style="1116" customWidth="1"/>
    <col min="16" max="16" width="25.7109375" style="1116" customWidth="1"/>
    <col min="17" max="17" width="12.7109375" style="1198" hidden="1" customWidth="1"/>
    <col min="18" max="25" width="11.42578125" style="1198" hidden="1" customWidth="1"/>
    <col min="26" max="37" width="11.42578125" style="1118" hidden="1" customWidth="1"/>
    <col min="38" max="41" width="9.140625" style="1119" hidden="1" customWidth="1"/>
    <col min="42" max="42" width="34.85546875" style="1121" hidden="1" customWidth="1"/>
    <col min="43" max="16384" width="9.140625" style="1119" hidden="1"/>
  </cols>
  <sheetData>
    <row r="1" spans="2:42" s="1116" customFormat="1" ht="13.5" hidden="1" thickBot="1"/>
    <row r="2" spans="2:42" ht="13.5" customHeight="1" thickBot="1">
      <c r="B2" s="2348" t="s">
        <v>579</v>
      </c>
      <c r="C2" s="3114"/>
      <c r="D2" s="3115"/>
      <c r="E2" s="2357" t="s">
        <v>572</v>
      </c>
      <c r="F2" s="2358"/>
      <c r="G2" s="2360" t="s">
        <v>573</v>
      </c>
      <c r="H2" s="2451"/>
      <c r="I2" s="2451" t="s">
        <v>578</v>
      </c>
      <c r="J2" s="2451"/>
      <c r="K2" s="2451" t="s">
        <v>574</v>
      </c>
      <c r="L2" s="2451"/>
      <c r="M2" s="2451" t="s">
        <v>575</v>
      </c>
      <c r="N2" s="2451"/>
      <c r="O2" s="481"/>
      <c r="P2" s="2940" t="s">
        <v>1987</v>
      </c>
      <c r="Q2" s="1249"/>
      <c r="R2" s="1249"/>
      <c r="S2" s="1249"/>
      <c r="T2" s="1249"/>
      <c r="U2" s="1249"/>
      <c r="V2" s="1249"/>
      <c r="W2" s="1249"/>
      <c r="X2" s="1249"/>
      <c r="Y2" s="1249"/>
      <c r="AP2" s="2815" t="s">
        <v>2268</v>
      </c>
    </row>
    <row r="3" spans="2:42" ht="13.5" thickBot="1">
      <c r="B3" s="2445"/>
      <c r="C3" s="2446"/>
      <c r="D3" s="3116"/>
      <c r="E3" s="2451" t="s">
        <v>576</v>
      </c>
      <c r="F3" s="2454"/>
      <c r="G3" s="2455" t="s">
        <v>596</v>
      </c>
      <c r="H3" s="2456"/>
      <c r="I3" s="2456" t="s">
        <v>597</v>
      </c>
      <c r="J3" s="2456"/>
      <c r="K3" s="2456" t="s">
        <v>1359</v>
      </c>
      <c r="L3" s="2456"/>
      <c r="M3" s="2456" t="s">
        <v>1360</v>
      </c>
      <c r="N3" s="2456"/>
      <c r="O3" s="481"/>
      <c r="P3" s="2941"/>
      <c r="Q3" s="1249"/>
      <c r="R3" s="1249"/>
      <c r="S3" s="1249"/>
      <c r="T3" s="1249"/>
      <c r="U3" s="1249"/>
      <c r="V3" s="1249"/>
      <c r="W3" s="1249"/>
      <c r="X3" s="1249"/>
      <c r="Y3" s="1249"/>
      <c r="AP3" s="2816"/>
    </row>
    <row r="4" spans="2:42" ht="13.5" thickBot="1">
      <c r="B4" s="2448"/>
      <c r="C4" s="2449"/>
      <c r="D4" s="2450"/>
      <c r="E4" s="2451" t="s">
        <v>577</v>
      </c>
      <c r="F4" s="2451"/>
      <c r="G4" s="2452" t="s">
        <v>598</v>
      </c>
      <c r="H4" s="2453"/>
      <c r="I4" s="2453" t="s">
        <v>599</v>
      </c>
      <c r="J4" s="2453"/>
      <c r="K4" s="2453"/>
      <c r="L4" s="2453"/>
      <c r="M4" s="2453"/>
      <c r="N4" s="2453"/>
      <c r="O4" s="481"/>
      <c r="P4" s="2942"/>
      <c r="Q4" s="1249"/>
      <c r="R4" s="1249"/>
      <c r="S4" s="1249"/>
      <c r="T4" s="1249"/>
      <c r="U4" s="1249"/>
      <c r="V4" s="1249"/>
      <c r="W4" s="1249"/>
      <c r="X4" s="1249"/>
      <c r="Y4" s="1249"/>
      <c r="AP4" s="2816"/>
    </row>
    <row r="5" spans="2:42">
      <c r="B5" s="81"/>
      <c r="C5" s="1120"/>
      <c r="D5" s="467"/>
      <c r="E5" s="467"/>
      <c r="F5" s="466"/>
      <c r="G5" s="466"/>
      <c r="H5" s="466"/>
      <c r="I5" s="467"/>
      <c r="J5" s="467"/>
      <c r="K5" s="467"/>
      <c r="L5" s="467"/>
      <c r="M5" s="481"/>
      <c r="N5" s="481"/>
      <c r="O5" s="481"/>
      <c r="P5" s="485"/>
      <c r="Q5" s="1249"/>
      <c r="R5" s="1249"/>
      <c r="S5" s="1249"/>
      <c r="T5" s="1249"/>
      <c r="U5" s="1249"/>
      <c r="V5" s="1249"/>
      <c r="W5" s="1249"/>
      <c r="X5" s="1249"/>
      <c r="Y5" s="1249"/>
    </row>
    <row r="6" spans="2:42" ht="23.25" customHeight="1">
      <c r="B6" s="467"/>
      <c r="C6" s="478" t="s">
        <v>676</v>
      </c>
      <c r="D6" s="2424" t="s">
        <v>677</v>
      </c>
      <c r="E6" s="2400"/>
      <c r="F6" s="2400"/>
      <c r="G6" s="2400"/>
      <c r="H6" s="2400"/>
      <c r="I6" s="2400"/>
      <c r="J6" s="2400"/>
      <c r="K6" s="2400"/>
      <c r="L6" s="2400"/>
      <c r="M6" s="2400"/>
      <c r="N6" s="2400"/>
      <c r="O6" s="481"/>
      <c r="P6" s="485"/>
      <c r="Q6" s="1251" t="s">
        <v>228</v>
      </c>
      <c r="R6" s="1251" t="s">
        <v>228</v>
      </c>
      <c r="S6" s="1251" t="s">
        <v>228</v>
      </c>
      <c r="T6" s="1251" t="s">
        <v>228</v>
      </c>
      <c r="U6" s="1251" t="s">
        <v>228</v>
      </c>
      <c r="V6" s="1251" t="s">
        <v>228</v>
      </c>
      <c r="W6" s="1251" t="s">
        <v>228</v>
      </c>
      <c r="X6" s="1251" t="s">
        <v>228</v>
      </c>
      <c r="Y6" s="1251" t="s">
        <v>228</v>
      </c>
      <c r="Z6" s="1251" t="s">
        <v>228</v>
      </c>
      <c r="AA6" s="1251" t="s">
        <v>228</v>
      </c>
      <c r="AB6" s="1251" t="s">
        <v>228</v>
      </c>
      <c r="AC6" s="1251" t="s">
        <v>228</v>
      </c>
      <c r="AD6" s="1251" t="s">
        <v>228</v>
      </c>
      <c r="AE6" s="1251" t="s">
        <v>228</v>
      </c>
      <c r="AF6" s="1251" t="s">
        <v>228</v>
      </c>
      <c r="AG6" s="1251" t="s">
        <v>228</v>
      </c>
      <c r="AH6" s="1251" t="s">
        <v>228</v>
      </c>
      <c r="AI6" s="1251" t="s">
        <v>228</v>
      </c>
      <c r="AJ6" s="1251" t="s">
        <v>228</v>
      </c>
      <c r="AK6" s="1251" t="s">
        <v>228</v>
      </c>
    </row>
    <row r="7" spans="2:42">
      <c r="B7" s="1124"/>
      <c r="C7" s="1252"/>
      <c r="D7" s="1252"/>
      <c r="E7" s="1252"/>
      <c r="F7" s="1252"/>
      <c r="G7" s="1252"/>
      <c r="H7" s="1252"/>
      <c r="I7" s="1252"/>
      <c r="J7" s="1252"/>
      <c r="K7" s="1252"/>
      <c r="L7" s="1252"/>
      <c r="M7" s="1252"/>
      <c r="N7" s="1252"/>
      <c r="O7" s="1124"/>
      <c r="P7" s="485"/>
      <c r="Q7" s="1253" t="s">
        <v>720</v>
      </c>
      <c r="R7" s="1253" t="s">
        <v>720</v>
      </c>
      <c r="S7" s="1253" t="s">
        <v>720</v>
      </c>
      <c r="T7" s="1253" t="s">
        <v>720</v>
      </c>
      <c r="U7" s="1253" t="s">
        <v>720</v>
      </c>
      <c r="V7" s="1253" t="s">
        <v>720</v>
      </c>
      <c r="W7" s="1253" t="s">
        <v>720</v>
      </c>
      <c r="X7" s="1253" t="s">
        <v>720</v>
      </c>
      <c r="Y7" s="1253" t="s">
        <v>720</v>
      </c>
      <c r="Z7" s="1253" t="s">
        <v>720</v>
      </c>
      <c r="AA7" s="1253" t="s">
        <v>720</v>
      </c>
      <c r="AB7" s="1253" t="s">
        <v>720</v>
      </c>
      <c r="AC7" s="1253" t="s">
        <v>720</v>
      </c>
      <c r="AD7" s="1253" t="s">
        <v>720</v>
      </c>
      <c r="AE7" s="1253" t="s">
        <v>720</v>
      </c>
      <c r="AF7" s="1253" t="s">
        <v>720</v>
      </c>
      <c r="AG7" s="1253" t="s">
        <v>720</v>
      </c>
      <c r="AH7" s="1253" t="s">
        <v>720</v>
      </c>
      <c r="AI7" s="1253" t="s">
        <v>720</v>
      </c>
      <c r="AJ7" s="1253" t="s">
        <v>720</v>
      </c>
      <c r="AK7" s="1253" t="s">
        <v>720</v>
      </c>
    </row>
    <row r="8" spans="2:42" ht="15.6" customHeight="1">
      <c r="B8" s="467"/>
      <c r="C8" s="507" t="s">
        <v>1018</v>
      </c>
      <c r="D8" s="2408" t="s">
        <v>932</v>
      </c>
      <c r="E8" s="2408"/>
      <c r="F8" s="2408"/>
      <c r="G8" s="2408"/>
      <c r="H8" s="2408"/>
      <c r="I8" s="2408"/>
      <c r="J8" s="2408"/>
      <c r="K8" s="2408"/>
      <c r="L8" s="2408"/>
      <c r="M8" s="2408"/>
      <c r="N8" s="2408"/>
      <c r="O8" s="481"/>
      <c r="P8" s="485"/>
      <c r="Q8" s="1249"/>
      <c r="R8" s="1249"/>
      <c r="S8" s="1249"/>
      <c r="T8" s="1249"/>
      <c r="U8" s="1249"/>
      <c r="V8" s="1249"/>
      <c r="Y8" s="1249"/>
    </row>
    <row r="9" spans="2:42" ht="5.0999999999999996" customHeight="1">
      <c r="B9" s="467"/>
      <c r="C9" s="467"/>
      <c r="D9" s="467"/>
      <c r="E9" s="467"/>
      <c r="F9" s="467"/>
      <c r="G9" s="467"/>
      <c r="H9" s="467"/>
      <c r="I9" s="467"/>
      <c r="J9" s="467"/>
      <c r="K9" s="467"/>
      <c r="L9" s="467"/>
      <c r="M9" s="481"/>
      <c r="N9" s="481"/>
      <c r="O9" s="481"/>
      <c r="P9" s="485"/>
      <c r="Q9" s="1249"/>
      <c r="R9" s="1249"/>
    </row>
    <row r="10" spans="2:42" ht="12.75" customHeight="1">
      <c r="B10" s="1124"/>
      <c r="C10" s="485"/>
      <c r="D10" s="485"/>
      <c r="E10" s="2508" t="s">
        <v>2151</v>
      </c>
      <c r="F10" s="2508"/>
      <c r="G10" s="2508"/>
      <c r="H10" s="2508"/>
      <c r="I10" s="2508"/>
      <c r="J10" s="2508"/>
      <c r="K10" s="2508"/>
      <c r="L10" s="2508"/>
      <c r="M10" s="2508"/>
      <c r="N10" s="2508"/>
      <c r="O10" s="481"/>
      <c r="P10" s="485"/>
    </row>
    <row r="11" spans="2:42" ht="12.75" customHeight="1">
      <c r="B11" s="1124"/>
      <c r="C11" s="485"/>
      <c r="D11" s="485"/>
      <c r="E11" s="1088" t="s">
        <v>1021</v>
      </c>
      <c r="F11" s="2850" t="s">
        <v>1465</v>
      </c>
      <c r="G11" s="2850"/>
      <c r="H11" s="2850"/>
      <c r="I11" s="2850"/>
      <c r="J11" s="2850"/>
      <c r="K11" s="2850"/>
      <c r="L11" s="2850"/>
      <c r="M11" s="2850"/>
      <c r="N11" s="2850"/>
      <c r="O11" s="481"/>
      <c r="P11" s="485"/>
    </row>
    <row r="12" spans="2:42" ht="12.75" customHeight="1">
      <c r="B12" s="1124"/>
      <c r="C12" s="485"/>
      <c r="D12" s="485"/>
      <c r="E12" s="1088" t="s">
        <v>1021</v>
      </c>
      <c r="F12" s="2850" t="s">
        <v>1466</v>
      </c>
      <c r="G12" s="2850"/>
      <c r="H12" s="2850"/>
      <c r="I12" s="2850"/>
      <c r="J12" s="2850"/>
      <c r="K12" s="2850"/>
      <c r="L12" s="2850"/>
      <c r="M12" s="2850"/>
      <c r="N12" s="2850"/>
      <c r="O12" s="481"/>
      <c r="P12" s="485"/>
    </row>
    <row r="13" spans="2:42" ht="12.75" customHeight="1">
      <c r="B13" s="1124"/>
      <c r="C13" s="485"/>
      <c r="D13" s="485"/>
      <c r="E13" s="1088" t="s">
        <v>1021</v>
      </c>
      <c r="F13" s="2850" t="s">
        <v>1467</v>
      </c>
      <c r="G13" s="2850"/>
      <c r="H13" s="2850"/>
      <c r="I13" s="2850"/>
      <c r="J13" s="2850"/>
      <c r="K13" s="2850"/>
      <c r="L13" s="2850"/>
      <c r="M13" s="2850"/>
      <c r="N13" s="2850"/>
      <c r="O13" s="481"/>
      <c r="P13" s="485"/>
    </row>
    <row r="14" spans="2:42" ht="12.75" customHeight="1">
      <c r="B14" s="1124"/>
      <c r="C14" s="485"/>
      <c r="D14" s="485"/>
      <c r="E14" s="1088" t="s">
        <v>1021</v>
      </c>
      <c r="F14" s="2850" t="s">
        <v>1468</v>
      </c>
      <c r="G14" s="2850"/>
      <c r="H14" s="2850"/>
      <c r="I14" s="2850"/>
      <c r="J14" s="2850"/>
      <c r="K14" s="2850"/>
      <c r="L14" s="2850"/>
      <c r="M14" s="2850"/>
      <c r="N14" s="2850"/>
      <c r="O14" s="481"/>
      <c r="P14" s="485"/>
    </row>
    <row r="15" spans="2:42" ht="12.75" customHeight="1">
      <c r="B15" s="1124"/>
      <c r="C15" s="485"/>
      <c r="D15" s="485"/>
      <c r="E15" s="1088" t="s">
        <v>1021</v>
      </c>
      <c r="F15" s="2850" t="s">
        <v>1601</v>
      </c>
      <c r="G15" s="2850"/>
      <c r="H15" s="2850"/>
      <c r="I15" s="2850"/>
      <c r="J15" s="2850"/>
      <c r="K15" s="2850"/>
      <c r="L15" s="2850"/>
      <c r="M15" s="2850"/>
      <c r="N15" s="2850"/>
      <c r="O15" s="481"/>
      <c r="P15" s="485"/>
    </row>
    <row r="16" spans="2:42" ht="12.75" customHeight="1">
      <c r="B16" s="1124"/>
      <c r="C16" s="485"/>
      <c r="D16" s="485"/>
      <c r="E16" s="1088" t="s">
        <v>1021</v>
      </c>
      <c r="F16" s="2850" t="s">
        <v>1518</v>
      </c>
      <c r="G16" s="2850"/>
      <c r="H16" s="2850"/>
      <c r="I16" s="2850"/>
      <c r="J16" s="2850"/>
      <c r="K16" s="2850"/>
      <c r="L16" s="2850"/>
      <c r="M16" s="2850"/>
      <c r="N16" s="2850"/>
      <c r="O16" s="481"/>
      <c r="P16" s="485"/>
      <c r="S16" s="1118"/>
      <c r="T16" s="1118"/>
      <c r="U16" s="1118"/>
      <c r="V16" s="1118"/>
      <c r="W16" s="1118"/>
      <c r="X16" s="1118"/>
      <c r="Y16" s="1118"/>
    </row>
    <row r="17" spans="1:42" ht="15" customHeight="1">
      <c r="C17" s="1252"/>
      <c r="D17" s="485"/>
      <c r="E17" s="3190" t="s">
        <v>2250</v>
      </c>
      <c r="F17" s="3190"/>
      <c r="G17" s="3190"/>
      <c r="H17" s="3190"/>
      <c r="I17" s="3190"/>
      <c r="J17" s="3190"/>
      <c r="K17" s="3190"/>
      <c r="L17" s="3190"/>
      <c r="M17" s="3190"/>
      <c r="N17" s="3190"/>
      <c r="O17" s="481"/>
      <c r="P17" s="485"/>
      <c r="Q17" s="1249"/>
    </row>
    <row r="18" spans="1:42" ht="15" customHeight="1">
      <c r="C18" s="1252"/>
      <c r="D18" s="1433"/>
      <c r="E18" s="3190" t="s">
        <v>2256</v>
      </c>
      <c r="F18" s="3190"/>
      <c r="G18" s="3190"/>
      <c r="H18" s="3190"/>
      <c r="I18" s="3190"/>
      <c r="J18" s="3190"/>
      <c r="K18" s="3190"/>
      <c r="L18" s="3190"/>
      <c r="M18" s="3190"/>
      <c r="N18" s="3190"/>
      <c r="O18" s="481"/>
      <c r="P18" s="485"/>
      <c r="Q18" s="1249"/>
    </row>
    <row r="19" spans="1:42" ht="5.0999999999999996" customHeight="1" thickBot="1">
      <c r="C19" s="467"/>
      <c r="D19" s="467"/>
      <c r="E19" s="467"/>
      <c r="F19" s="467"/>
      <c r="G19" s="467"/>
      <c r="H19" s="467"/>
      <c r="I19" s="467"/>
      <c r="J19" s="467"/>
      <c r="K19" s="467"/>
      <c r="L19" s="467"/>
      <c r="M19" s="481"/>
      <c r="N19" s="481"/>
      <c r="O19" s="481"/>
      <c r="P19" s="485"/>
      <c r="Q19" s="1249"/>
      <c r="R19" s="1249"/>
      <c r="S19" s="1118"/>
      <c r="T19" s="1118"/>
      <c r="U19" s="1118"/>
      <c r="V19" s="1118"/>
      <c r="W19" s="1118"/>
      <c r="X19" s="1118"/>
      <c r="Y19" s="1118"/>
    </row>
    <row r="20" spans="1:42" ht="13.15" customHeight="1" thickBot="1">
      <c r="C20" s="467"/>
      <c r="D20" s="482"/>
      <c r="E20" s="2509" t="s">
        <v>937</v>
      </c>
      <c r="F20" s="2509"/>
      <c r="G20" s="577" t="str">
        <f>EUconst_Unit</f>
        <v>Unit</v>
      </c>
      <c r="H20" s="578">
        <f t="shared" ref="H20:N20" si="0">H$278</f>
        <v>2024</v>
      </c>
      <c r="I20" s="578">
        <f t="shared" si="0"/>
        <v>2025</v>
      </c>
      <c r="J20" s="1434">
        <f t="shared" si="0"/>
        <v>2026</v>
      </c>
      <c r="K20" s="1434">
        <f t="shared" si="0"/>
        <v>2027</v>
      </c>
      <c r="L20" s="1434">
        <f t="shared" si="0"/>
        <v>2028</v>
      </c>
      <c r="M20" s="1434">
        <f t="shared" si="0"/>
        <v>2029</v>
      </c>
      <c r="N20" s="1434">
        <f t="shared" si="0"/>
        <v>2030</v>
      </c>
      <c r="O20" s="481"/>
      <c r="P20" s="485"/>
      <c r="Q20" s="1435" t="s">
        <v>1847</v>
      </c>
      <c r="S20" s="1436">
        <f t="shared" ref="S20:Y20" si="1">H$278</f>
        <v>2024</v>
      </c>
      <c r="T20" s="1436">
        <f t="shared" si="1"/>
        <v>2025</v>
      </c>
      <c r="U20" s="1436">
        <f t="shared" si="1"/>
        <v>2026</v>
      </c>
      <c r="V20" s="1436">
        <f t="shared" si="1"/>
        <v>2027</v>
      </c>
      <c r="W20" s="1436">
        <f t="shared" si="1"/>
        <v>2028</v>
      </c>
      <c r="X20" s="1436">
        <f t="shared" si="1"/>
        <v>2029</v>
      </c>
      <c r="Y20" s="1436">
        <f t="shared" si="1"/>
        <v>2030</v>
      </c>
      <c r="AA20" s="1437" t="s">
        <v>1807</v>
      </c>
      <c r="AB20" s="1438">
        <f t="shared" ref="AB20:AH20" si="2">H20</f>
        <v>2024</v>
      </c>
      <c r="AC20" s="1438">
        <f t="shared" si="2"/>
        <v>2025</v>
      </c>
      <c r="AD20" s="1438">
        <f t="shared" si="2"/>
        <v>2026</v>
      </c>
      <c r="AE20" s="1439">
        <f t="shared" si="2"/>
        <v>2027</v>
      </c>
      <c r="AF20" s="1439">
        <f t="shared" si="2"/>
        <v>2028</v>
      </c>
      <c r="AG20" s="1439">
        <f t="shared" si="2"/>
        <v>2029</v>
      </c>
      <c r="AH20" s="1440">
        <f t="shared" si="2"/>
        <v>2030</v>
      </c>
    </row>
    <row r="21" spans="1:42" ht="12.6" customHeight="1">
      <c r="C21" s="485"/>
      <c r="D21" s="485"/>
      <c r="E21" s="2606" t="s">
        <v>935</v>
      </c>
      <c r="F21" s="2472"/>
      <c r="G21" s="579" t="str">
        <f>EUconst_tCO2pa</f>
        <v>t CO2 / year</v>
      </c>
      <c r="H21" s="1441" t="str">
        <f>c_ALR2025!M79</f>
        <v/>
      </c>
      <c r="I21" s="1520"/>
      <c r="J21" s="1442"/>
      <c r="K21" s="1442"/>
      <c r="L21" s="1442"/>
      <c r="M21" s="1442"/>
      <c r="N21" s="1442"/>
      <c r="O21" s="481"/>
      <c r="P21" s="9"/>
      <c r="Q21" s="1443" t="b">
        <f>COUNTIF('B+C_SubInstallations'!T60:T61,TRUE)&gt;0</f>
        <v>0</v>
      </c>
      <c r="S21" s="1444" t="str">
        <f t="shared" ref="S21:Y24" si="3">IF(ISNUMBER(H21),H21,"")</f>
        <v/>
      </c>
      <c r="T21" s="1445" t="str">
        <f t="shared" si="3"/>
        <v/>
      </c>
      <c r="U21" s="1445" t="str">
        <f t="shared" si="3"/>
        <v/>
      </c>
      <c r="V21" s="1445" t="str">
        <f t="shared" si="3"/>
        <v/>
      </c>
      <c r="W21" s="1445" t="str">
        <f t="shared" si="3"/>
        <v/>
      </c>
      <c r="X21" s="1445" t="str">
        <f t="shared" si="3"/>
        <v/>
      </c>
      <c r="Y21" s="1446" t="str">
        <f t="shared" si="3"/>
        <v/>
      </c>
      <c r="AB21" s="1312" t="b">
        <f t="shared" ref="AB21:AH21" si="4">IF(CNTR_HasEntries_A_I,OR(AB20&gt;=CNTR_ReportingYear,COUNTIF(CNTR_SubInstStartDate,"&lt;="&amp;DATE(AB20,12,31))=0),FALSE)</f>
        <v>0</v>
      </c>
      <c r="AC21" s="1140" t="b">
        <f t="shared" si="4"/>
        <v>0</v>
      </c>
      <c r="AD21" s="1140" t="b">
        <f t="shared" si="4"/>
        <v>0</v>
      </c>
      <c r="AE21" s="1140" t="b">
        <f t="shared" si="4"/>
        <v>0</v>
      </c>
      <c r="AF21" s="1140" t="b">
        <f t="shared" si="4"/>
        <v>0</v>
      </c>
      <c r="AG21" s="1140" t="b">
        <f t="shared" si="4"/>
        <v>0</v>
      </c>
      <c r="AH21" s="1140" t="b">
        <f t="shared" si="4"/>
        <v>0</v>
      </c>
      <c r="AJ21" s="1161" t="s">
        <v>1954</v>
      </c>
      <c r="AK21" s="1303" t="str">
        <f>IF(AND(CNTR_HasEntries_A_I,OR(MSconst_RequireEmissionTotals,$Q$21),COUNTIFS($AB$21:$AH$21,FALSE,H21:N21,"")&gt;0),1,"")</f>
        <v/>
      </c>
      <c r="AP21" s="1135" t="s">
        <v>2679</v>
      </c>
    </row>
    <row r="22" spans="1:42" s="562" customFormat="1" ht="13.15" customHeight="1">
      <c r="A22" s="618"/>
      <c r="B22" s="618"/>
      <c r="C22" s="485"/>
      <c r="D22" s="485"/>
      <c r="E22" s="2609" t="s">
        <v>1603</v>
      </c>
      <c r="F22" s="3189"/>
      <c r="G22" s="582" t="str">
        <f>EUconst_tCO2pa</f>
        <v>t CO2 / year</v>
      </c>
      <c r="H22" s="1447" t="str">
        <f>c_ALR2025!M80</f>
        <v/>
      </c>
      <c r="I22" s="1521"/>
      <c r="J22" s="1442"/>
      <c r="K22" s="1442"/>
      <c r="L22" s="1442"/>
      <c r="M22" s="1442"/>
      <c r="N22" s="1442"/>
      <c r="O22" s="481"/>
      <c r="P22" s="9"/>
      <c r="Q22" s="1435"/>
      <c r="R22" s="1435"/>
      <c r="S22" s="1448" t="str">
        <f t="shared" si="3"/>
        <v/>
      </c>
      <c r="T22" s="1449" t="str">
        <f t="shared" si="3"/>
        <v/>
      </c>
      <c r="U22" s="1449" t="str">
        <f t="shared" si="3"/>
        <v/>
      </c>
      <c r="V22" s="1449" t="str">
        <f t="shared" si="3"/>
        <v/>
      </c>
      <c r="W22" s="1449" t="str">
        <f t="shared" si="3"/>
        <v/>
      </c>
      <c r="X22" s="1449" t="str">
        <f t="shared" si="3"/>
        <v/>
      </c>
      <c r="Y22" s="1450" t="str">
        <f t="shared" si="3"/>
        <v/>
      </c>
      <c r="Z22" s="1137"/>
      <c r="AA22" s="1137"/>
      <c r="AB22" s="1137"/>
      <c r="AC22" s="1137"/>
      <c r="AD22" s="1137"/>
      <c r="AE22" s="1137"/>
      <c r="AF22" s="1137"/>
      <c r="AG22" s="1137"/>
      <c r="AH22" s="1137"/>
      <c r="AI22" s="1137"/>
      <c r="AJ22" s="1161" t="s">
        <v>1954</v>
      </c>
      <c r="AK22" s="1312" t="str">
        <f>IF(AND(CNTR_HasEntries_A_I,OR(MSconst_RequireEmissionTotals,$Q$21),COUNTIFS($AB$21:$AH$21,FALSE,H22:N22,"")&gt;0),1,"")</f>
        <v/>
      </c>
      <c r="AP22" s="1135" t="s">
        <v>2680</v>
      </c>
    </row>
    <row r="23" spans="1:42" ht="12.6" customHeight="1">
      <c r="C23" s="485"/>
      <c r="D23" s="485"/>
      <c r="E23" s="2609" t="s">
        <v>933</v>
      </c>
      <c r="F23" s="2608"/>
      <c r="G23" s="582" t="str">
        <f>EUconst_tCO2epa</f>
        <v>t CO2e/year</v>
      </c>
      <c r="H23" s="1447" t="str">
        <f>c_ALR2025!M81</f>
        <v/>
      </c>
      <c r="I23" s="1521"/>
      <c r="J23" s="1442"/>
      <c r="K23" s="1442"/>
      <c r="L23" s="1442"/>
      <c r="M23" s="1442"/>
      <c r="N23" s="1442"/>
      <c r="O23" s="481"/>
      <c r="P23" s="9"/>
      <c r="S23" s="1451" t="str">
        <f t="shared" si="3"/>
        <v/>
      </c>
      <c r="T23" s="1452" t="str">
        <f t="shared" si="3"/>
        <v/>
      </c>
      <c r="U23" s="1452" t="str">
        <f t="shared" si="3"/>
        <v/>
      </c>
      <c r="V23" s="1452" t="str">
        <f t="shared" si="3"/>
        <v/>
      </c>
      <c r="W23" s="1452" t="str">
        <f t="shared" si="3"/>
        <v/>
      </c>
      <c r="X23" s="1452" t="str">
        <f t="shared" si="3"/>
        <v/>
      </c>
      <c r="Y23" s="1453" t="str">
        <f t="shared" si="3"/>
        <v/>
      </c>
      <c r="AJ23" s="1161" t="s">
        <v>1954</v>
      </c>
      <c r="AK23" s="1303" t="str">
        <f>IF(AND(CNTR_HasEntries_A_I,OR(MSconst_RequireEmissionTotals,$Q$21),COUNTIFS($AB$21:$AH$21,FALSE,H23:N23,"")&gt;0),1,"")</f>
        <v/>
      </c>
      <c r="AP23" s="1135" t="s">
        <v>2681</v>
      </c>
    </row>
    <row r="24" spans="1:42" ht="12.6" customHeight="1" thickBot="1">
      <c r="C24" s="485"/>
      <c r="D24" s="485"/>
      <c r="E24" s="2586" t="s">
        <v>934</v>
      </c>
      <c r="F24" s="2474"/>
      <c r="G24" s="584" t="str">
        <f>EUconst_tCO2epa</f>
        <v>t CO2e/year</v>
      </c>
      <c r="H24" s="1454" t="str">
        <f>c_ALR2025!M82</f>
        <v/>
      </c>
      <c r="I24" s="1522"/>
      <c r="J24" s="1442"/>
      <c r="K24" s="1442"/>
      <c r="L24" s="1442"/>
      <c r="M24" s="1442"/>
      <c r="N24" s="1442"/>
      <c r="O24" s="481"/>
      <c r="P24" s="9"/>
      <c r="S24" s="1455" t="str">
        <f t="shared" si="3"/>
        <v/>
      </c>
      <c r="T24" s="1456" t="str">
        <f t="shared" si="3"/>
        <v/>
      </c>
      <c r="U24" s="1456" t="str">
        <f t="shared" si="3"/>
        <v/>
      </c>
      <c r="V24" s="1456" t="str">
        <f t="shared" si="3"/>
        <v/>
      </c>
      <c r="W24" s="1456" t="str">
        <f t="shared" si="3"/>
        <v/>
      </c>
      <c r="X24" s="1456" t="str">
        <f t="shared" si="3"/>
        <v/>
      </c>
      <c r="Y24" s="1457" t="str">
        <f t="shared" si="3"/>
        <v/>
      </c>
      <c r="AJ24" s="1161" t="s">
        <v>1954</v>
      </c>
      <c r="AK24" s="1303" t="str">
        <f>IF(AND(CNTR_HasEntries_A_I,OR(MSconst_RequireEmissionTotals,$Q$21),COUNTIFS($AB$21:$AH$21,FALSE,H24:N24,"")&gt;0),1,"")</f>
        <v/>
      </c>
      <c r="AP24" s="1135" t="s">
        <v>2682</v>
      </c>
    </row>
    <row r="25" spans="1:42" ht="13.15" customHeight="1" thickBot="1">
      <c r="C25" s="485"/>
      <c r="D25" s="485"/>
      <c r="E25" s="2587" t="s">
        <v>1274</v>
      </c>
      <c r="F25" s="2410"/>
      <c r="G25" s="586" t="str">
        <f>EUconst_tCO2epa</f>
        <v>t CO2e/year</v>
      </c>
      <c r="H25" s="1458" t="str">
        <f t="shared" ref="H25:N25" si="5">IF(COUNT(H21,H23:H24)&gt;0,SUM(H21,H23:H24),"")</f>
        <v/>
      </c>
      <c r="I25" s="1459" t="str">
        <f t="shared" si="5"/>
        <v/>
      </c>
      <c r="J25" s="1442" t="str">
        <f t="shared" si="5"/>
        <v/>
      </c>
      <c r="K25" s="1460" t="str">
        <f t="shared" si="5"/>
        <v/>
      </c>
      <c r="L25" s="1460" t="str">
        <f t="shared" si="5"/>
        <v/>
      </c>
      <c r="M25" s="1460" t="str">
        <f t="shared" si="5"/>
        <v/>
      </c>
      <c r="N25" s="1460" t="str">
        <f t="shared" si="5"/>
        <v/>
      </c>
      <c r="O25" s="481"/>
      <c r="P25" s="485"/>
      <c r="S25" s="1461" t="str">
        <f t="shared" ref="S25:Y25" si="6">IF(COUNT(S21,S23:S24)&gt;0,SUM(S21,S23:S24),"")</f>
        <v/>
      </c>
      <c r="T25" s="1462" t="str">
        <f t="shared" si="6"/>
        <v/>
      </c>
      <c r="U25" s="1462" t="str">
        <f t="shared" si="6"/>
        <v/>
      </c>
      <c r="V25" s="1463" t="str">
        <f t="shared" si="6"/>
        <v/>
      </c>
      <c r="W25" s="1463" t="str">
        <f t="shared" si="6"/>
        <v/>
      </c>
      <c r="X25" s="1463" t="str">
        <f t="shared" si="6"/>
        <v/>
      </c>
      <c r="Y25" s="1464" t="str">
        <f t="shared" si="6"/>
        <v/>
      </c>
      <c r="AK25" s="1193"/>
    </row>
    <row r="26" spans="1:42" ht="13.15" customHeight="1" thickBot="1">
      <c r="C26" s="485"/>
      <c r="D26" s="485"/>
      <c r="E26" s="2588" t="s">
        <v>1273</v>
      </c>
      <c r="F26" s="2589"/>
      <c r="G26" s="588" t="str">
        <f>EUconst_tCO2pa</f>
        <v>t CO2 / year</v>
      </c>
      <c r="H26" s="1465" t="str">
        <f>c_ALR2025!M84</f>
        <v/>
      </c>
      <c r="I26" s="1523"/>
      <c r="J26" s="1442"/>
      <c r="K26" s="1442"/>
      <c r="L26" s="1442"/>
      <c r="M26" s="1442"/>
      <c r="N26" s="1442"/>
      <c r="O26" s="481"/>
      <c r="P26" s="9"/>
      <c r="S26" s="1466" t="str">
        <f t="shared" ref="S26:Y26" si="7">IF(ISNUMBER(H26),H26,"")</f>
        <v/>
      </c>
      <c r="T26" s="1467" t="str">
        <f t="shared" si="7"/>
        <v/>
      </c>
      <c r="U26" s="1467" t="str">
        <f t="shared" si="7"/>
        <v/>
      </c>
      <c r="V26" s="1468" t="str">
        <f t="shared" si="7"/>
        <v/>
      </c>
      <c r="W26" s="1468" t="str">
        <f t="shared" si="7"/>
        <v/>
      </c>
      <c r="X26" s="1468" t="str">
        <f t="shared" si="7"/>
        <v/>
      </c>
      <c r="Y26" s="1469" t="str">
        <f t="shared" si="7"/>
        <v/>
      </c>
      <c r="AJ26" s="1161" t="s">
        <v>1954</v>
      </c>
      <c r="AK26" s="1303" t="str">
        <f>IF(AND(CNTR_HasEntries_A_I,OR(MSconst_RequireEmissionTotals,$Q$21),COUNTIFS($AB$21:$AH$21,FALSE,H26:N26,"")&gt;0),1,"")</f>
        <v/>
      </c>
      <c r="AP26" s="1135" t="s">
        <v>2683</v>
      </c>
    </row>
    <row r="27" spans="1:42" ht="12.75" customHeight="1" thickBot="1">
      <c r="C27" s="485"/>
      <c r="D27" s="485"/>
      <c r="E27" s="2590" t="s">
        <v>915</v>
      </c>
      <c r="F27" s="2591"/>
      <c r="G27" s="590" t="str">
        <f>EUconst_tCO2epa</f>
        <v>t CO2e/year</v>
      </c>
      <c r="H27" s="1470" t="str">
        <f t="shared" ref="H27:N27" si="8">IF(COUNT(H25:H26)&gt;0,SUM(H25:H26),"")</f>
        <v/>
      </c>
      <c r="I27" s="1471" t="str">
        <f t="shared" si="8"/>
        <v/>
      </c>
      <c r="J27" s="1460" t="str">
        <f t="shared" si="8"/>
        <v/>
      </c>
      <c r="K27" s="1460" t="str">
        <f t="shared" si="8"/>
        <v/>
      </c>
      <c r="L27" s="1460" t="str">
        <f t="shared" si="8"/>
        <v/>
      </c>
      <c r="M27" s="1460" t="str">
        <f t="shared" si="8"/>
        <v/>
      </c>
      <c r="N27" s="1460" t="str">
        <f t="shared" si="8"/>
        <v/>
      </c>
      <c r="O27" s="481"/>
      <c r="P27" s="485"/>
      <c r="S27" s="1472" t="str">
        <f t="shared" ref="S27:Y27" si="9">IF(COUNT(S25:S26)&gt;0,SUM(S25:S26),"")</f>
        <v/>
      </c>
      <c r="T27" s="1473" t="str">
        <f t="shared" si="9"/>
        <v/>
      </c>
      <c r="U27" s="1473" t="str">
        <f t="shared" si="9"/>
        <v/>
      </c>
      <c r="V27" s="1473" t="str">
        <f t="shared" si="9"/>
        <v/>
      </c>
      <c r="W27" s="1473" t="str">
        <f t="shared" si="9"/>
        <v/>
      </c>
      <c r="X27" s="1473" t="str">
        <f t="shared" si="9"/>
        <v/>
      </c>
      <c r="Y27" s="1474" t="str">
        <f t="shared" si="9"/>
        <v/>
      </c>
    </row>
    <row r="28" spans="1:42" ht="12.75" customHeight="1" thickBot="1">
      <c r="C28" s="485"/>
      <c r="D28" s="496"/>
      <c r="E28" s="2590" t="s">
        <v>938</v>
      </c>
      <c r="F28" s="2591"/>
      <c r="G28" s="590" t="str">
        <f>EUconst_TJpa</f>
        <v>TJ / year</v>
      </c>
      <c r="H28" s="1475" t="str">
        <f>c_ALR2025!M86</f>
        <v/>
      </c>
      <c r="I28" s="1524"/>
      <c r="J28" s="1460"/>
      <c r="K28" s="1460"/>
      <c r="L28" s="1460"/>
      <c r="M28" s="1460"/>
      <c r="N28" s="1460"/>
      <c r="O28" s="481"/>
      <c r="P28" s="9"/>
      <c r="S28" s="1472" t="str">
        <f t="shared" ref="S28:Y28" si="10">IF(ISNUMBER(H28),H28,"")</f>
        <v/>
      </c>
      <c r="T28" s="1473" t="str">
        <f t="shared" si="10"/>
        <v/>
      </c>
      <c r="U28" s="1473" t="str">
        <f t="shared" si="10"/>
        <v/>
      </c>
      <c r="V28" s="1473" t="str">
        <f t="shared" si="10"/>
        <v/>
      </c>
      <c r="W28" s="1473" t="str">
        <f t="shared" si="10"/>
        <v/>
      </c>
      <c r="X28" s="1473" t="str">
        <f t="shared" si="10"/>
        <v/>
      </c>
      <c r="Y28" s="1474" t="str">
        <f t="shared" si="10"/>
        <v/>
      </c>
      <c r="AP28" s="1135" t="s">
        <v>2684</v>
      </c>
    </row>
    <row r="29" spans="1:42">
      <c r="C29" s="1252"/>
      <c r="D29" s="1252"/>
      <c r="E29" s="1252"/>
      <c r="F29" s="1252"/>
      <c r="G29" s="1252"/>
      <c r="H29" s="1252"/>
      <c r="I29" s="1252"/>
      <c r="J29" s="1252"/>
      <c r="K29" s="1252"/>
      <c r="L29" s="1252"/>
      <c r="M29" s="1252"/>
      <c r="N29" s="1252"/>
      <c r="O29" s="481"/>
      <c r="P29" s="485"/>
      <c r="Q29" s="1249"/>
    </row>
    <row r="30" spans="1:42" ht="15.75" customHeight="1">
      <c r="C30" s="507" t="s">
        <v>875</v>
      </c>
      <c r="D30" s="2408" t="s">
        <v>913</v>
      </c>
      <c r="E30" s="2408"/>
      <c r="F30" s="2408"/>
      <c r="G30" s="2408"/>
      <c r="H30" s="2408"/>
      <c r="I30" s="2408"/>
      <c r="J30" s="2408"/>
      <c r="K30" s="2408"/>
      <c r="L30" s="2408"/>
      <c r="M30" s="2408"/>
      <c r="N30" s="2408"/>
      <c r="O30" s="481"/>
      <c r="P30" s="485"/>
      <c r="Q30" s="1249"/>
    </row>
    <row r="31" spans="1:42" ht="5.0999999999999996" customHeight="1">
      <c r="C31" s="467"/>
      <c r="D31" s="467"/>
      <c r="E31" s="467"/>
      <c r="F31" s="467"/>
      <c r="G31" s="467"/>
      <c r="H31" s="467"/>
      <c r="I31" s="467"/>
      <c r="J31" s="467"/>
      <c r="K31" s="467"/>
      <c r="L31" s="467"/>
      <c r="M31" s="481"/>
      <c r="N31" s="481"/>
      <c r="O31" s="481"/>
      <c r="P31" s="485"/>
      <c r="Q31" s="1249"/>
    </row>
    <row r="32" spans="1:42" ht="15" customHeight="1">
      <c r="C32" s="559">
        <v>1</v>
      </c>
      <c r="D32" s="2482" t="s">
        <v>1841</v>
      </c>
      <c r="E32" s="2482"/>
      <c r="F32" s="2482"/>
      <c r="G32" s="2482"/>
      <c r="H32" s="2482"/>
      <c r="I32" s="2482"/>
      <c r="J32" s="2482"/>
      <c r="K32" s="2482"/>
      <c r="L32" s="2482"/>
      <c r="M32" s="2482"/>
      <c r="N32" s="2482"/>
      <c r="O32" s="481"/>
      <c r="P32" s="485"/>
      <c r="Q32" s="1249"/>
    </row>
    <row r="33" spans="3:16" ht="5.0999999999999996" customHeight="1">
      <c r="C33" s="467"/>
      <c r="D33" s="467"/>
      <c r="E33" s="467"/>
      <c r="F33" s="467"/>
      <c r="G33" s="467"/>
      <c r="H33" s="467"/>
      <c r="I33" s="467"/>
      <c r="J33" s="467"/>
      <c r="K33" s="467"/>
      <c r="L33" s="467"/>
      <c r="M33" s="481"/>
      <c r="N33" s="481"/>
      <c r="O33" s="481"/>
      <c r="P33" s="485"/>
    </row>
    <row r="34" spans="3:16" ht="12.75" customHeight="1">
      <c r="C34" s="467"/>
      <c r="D34" s="482"/>
      <c r="E34" s="927" t="s">
        <v>937</v>
      </c>
      <c r="F34" s="927"/>
      <c r="G34" s="956" t="str">
        <f>EUconst_Unit</f>
        <v>Unit</v>
      </c>
      <c r="H34" s="578">
        <f t="shared" ref="H34:N34" si="11">H$278</f>
        <v>2024</v>
      </c>
      <c r="I34" s="578">
        <f t="shared" si="11"/>
        <v>2025</v>
      </c>
      <c r="J34" s="1476">
        <f t="shared" si="11"/>
        <v>2026</v>
      </c>
      <c r="K34" s="1476">
        <f t="shared" si="11"/>
        <v>2027</v>
      </c>
      <c r="L34" s="1476">
        <f t="shared" si="11"/>
        <v>2028</v>
      </c>
      <c r="M34" s="1476">
        <f t="shared" si="11"/>
        <v>2029</v>
      </c>
      <c r="N34" s="1476">
        <f t="shared" si="11"/>
        <v>2030</v>
      </c>
      <c r="O34" s="481"/>
      <c r="P34" s="485"/>
    </row>
    <row r="35" spans="3:16" ht="12.75" customHeight="1">
      <c r="C35" s="485"/>
      <c r="D35" s="485"/>
      <c r="E35" s="2587" t="s">
        <v>904</v>
      </c>
      <c r="F35" s="2587"/>
      <c r="G35" s="586" t="str">
        <f>EUconst_tCO2epa</f>
        <v>t CO2e/year</v>
      </c>
      <c r="H35" s="853" t="str">
        <f>IF(ISNUMBER(S$27),S$27,"")</f>
        <v/>
      </c>
      <c r="I35" s="853" t="str">
        <f t="shared" ref="I35:N35" si="12">IF(ISNUMBER(T$27),T$27,"")</f>
        <v/>
      </c>
      <c r="J35" s="1477" t="str">
        <f t="shared" si="12"/>
        <v/>
      </c>
      <c r="K35" s="1477" t="str">
        <f t="shared" si="12"/>
        <v/>
      </c>
      <c r="L35" s="1477" t="str">
        <f t="shared" si="12"/>
        <v/>
      </c>
      <c r="M35" s="1477" t="str">
        <f t="shared" si="12"/>
        <v/>
      </c>
      <c r="N35" s="1477" t="str">
        <f t="shared" si="12"/>
        <v/>
      </c>
      <c r="O35" s="481"/>
      <c r="P35" s="485"/>
    </row>
    <row r="36" spans="3:16" ht="5.0999999999999996" customHeight="1">
      <c r="C36" s="467"/>
      <c r="D36" s="467"/>
      <c r="E36" s="467"/>
      <c r="F36" s="467"/>
      <c r="G36" s="467"/>
      <c r="H36" s="467"/>
      <c r="I36" s="467"/>
      <c r="J36" s="467"/>
      <c r="K36" s="467"/>
      <c r="L36" s="467"/>
      <c r="M36" s="481"/>
      <c r="N36" s="481"/>
      <c r="O36" s="481"/>
      <c r="P36" s="485"/>
    </row>
    <row r="37" spans="3:16" ht="15" customHeight="1">
      <c r="C37" s="559">
        <v>2</v>
      </c>
      <c r="D37" s="2482" t="s">
        <v>224</v>
      </c>
      <c r="E37" s="2482"/>
      <c r="F37" s="2482"/>
      <c r="G37" s="2482"/>
      <c r="H37" s="2482"/>
      <c r="I37" s="2482"/>
      <c r="J37" s="2482"/>
      <c r="K37" s="2482"/>
      <c r="L37" s="2482"/>
      <c r="M37" s="2482"/>
      <c r="N37" s="2482"/>
      <c r="O37" s="481"/>
      <c r="P37" s="485"/>
    </row>
    <row r="38" spans="3:16" ht="5.0999999999999996" customHeight="1">
      <c r="C38" s="467"/>
      <c r="D38" s="467"/>
      <c r="E38" s="467"/>
      <c r="F38" s="467"/>
      <c r="G38" s="467"/>
      <c r="H38" s="467"/>
      <c r="I38" s="467"/>
      <c r="J38" s="467"/>
      <c r="K38" s="467"/>
      <c r="L38" s="467"/>
      <c r="M38" s="467"/>
      <c r="N38" s="467"/>
      <c r="O38" s="481"/>
      <c r="P38" s="485"/>
    </row>
    <row r="39" spans="3:16" ht="12.75" customHeight="1">
      <c r="C39" s="467"/>
      <c r="D39" s="467"/>
      <c r="E39" s="2817" t="s">
        <v>2326</v>
      </c>
      <c r="F39" s="2817"/>
      <c r="G39" s="2817"/>
      <c r="H39" s="2817"/>
      <c r="I39" s="2817"/>
      <c r="J39" s="2817"/>
      <c r="K39" s="2817"/>
      <c r="L39" s="2817"/>
      <c r="M39" s="2817"/>
      <c r="N39" s="2817"/>
      <c r="O39" s="481"/>
      <c r="P39" s="485"/>
    </row>
    <row r="40" spans="3:16" ht="12.75" customHeight="1">
      <c r="C40" s="467"/>
      <c r="D40" s="467"/>
      <c r="E40" s="2385" t="s">
        <v>1461</v>
      </c>
      <c r="F40" s="2846"/>
      <c r="G40" s="2846"/>
      <c r="H40" s="2846"/>
      <c r="I40" s="2846"/>
      <c r="J40" s="2846"/>
      <c r="K40" s="2846"/>
      <c r="L40" s="2846"/>
      <c r="M40" s="2846"/>
      <c r="N40" s="2846"/>
      <c r="O40" s="481"/>
      <c r="P40" s="485"/>
    </row>
    <row r="41" spans="3:16" ht="12.75" customHeight="1">
      <c r="C41" s="485"/>
      <c r="D41" s="485"/>
      <c r="E41" s="3188" t="str">
        <f>CONCATENATE(EUconst_MsgAttrEm," (K.III.2)")</f>
        <v>The attribution of emissions to sub-installations can be found in the summary sheet. (K.III.2)</v>
      </c>
      <c r="F41" s="3188"/>
      <c r="G41" s="3188"/>
      <c r="H41" s="3188"/>
      <c r="I41" s="3188"/>
      <c r="J41" s="3188"/>
      <c r="K41" s="3188"/>
      <c r="L41" s="3188"/>
      <c r="M41" s="3188"/>
      <c r="N41" s="3188"/>
      <c r="O41" s="481"/>
      <c r="P41" s="485"/>
    </row>
    <row r="42" spans="3:16" ht="12.75" customHeight="1">
      <c r="C42" s="485"/>
      <c r="D42" s="485"/>
      <c r="E42" s="485"/>
      <c r="F42" s="485"/>
      <c r="G42" s="485"/>
      <c r="H42" s="485"/>
      <c r="I42" s="485"/>
      <c r="J42" s="485"/>
      <c r="K42" s="485"/>
      <c r="L42" s="485"/>
      <c r="M42" s="485"/>
      <c r="N42" s="485"/>
      <c r="O42" s="481"/>
      <c r="P42" s="485"/>
    </row>
    <row r="43" spans="3:16" ht="15.6" customHeight="1">
      <c r="C43" s="507" t="s">
        <v>883</v>
      </c>
      <c r="D43" s="2408" t="s">
        <v>1254</v>
      </c>
      <c r="E43" s="2408"/>
      <c r="F43" s="2408"/>
      <c r="G43" s="2408"/>
      <c r="H43" s="2408"/>
      <c r="I43" s="2408"/>
      <c r="J43" s="2408"/>
      <c r="K43" s="2408"/>
      <c r="L43" s="2408"/>
      <c r="M43" s="2408"/>
      <c r="N43" s="2408"/>
      <c r="O43" s="481"/>
      <c r="P43" s="485"/>
    </row>
    <row r="44" spans="3:16" ht="5.0999999999999996" customHeight="1">
      <c r="C44" s="467"/>
      <c r="D44" s="467"/>
      <c r="E44" s="467"/>
      <c r="F44" s="467"/>
      <c r="G44" s="467"/>
      <c r="H44" s="467"/>
      <c r="I44" s="467"/>
      <c r="J44" s="467"/>
      <c r="K44" s="467"/>
      <c r="L44" s="467"/>
      <c r="M44" s="481"/>
      <c r="N44" s="481"/>
      <c r="O44" s="481"/>
      <c r="P44" s="485"/>
    </row>
    <row r="45" spans="3:16" ht="12.75" customHeight="1">
      <c r="C45" s="467"/>
      <c r="D45" s="467"/>
      <c r="E45" s="2508" t="s">
        <v>1284</v>
      </c>
      <c r="F45" s="2508"/>
      <c r="G45" s="2508"/>
      <c r="H45" s="2508"/>
      <c r="I45" s="2508"/>
      <c r="J45" s="2508"/>
      <c r="K45" s="2508"/>
      <c r="L45" s="2580"/>
      <c r="M45" s="1478" t="str">
        <f>c_ALR2025!M148</f>
        <v/>
      </c>
      <c r="N45" s="481"/>
      <c r="O45" s="481"/>
      <c r="P45" s="9"/>
    </row>
    <row r="46" spans="3:16" ht="12.75" customHeight="1">
      <c r="C46" s="467"/>
      <c r="D46" s="467"/>
      <c r="E46" s="2385" t="s">
        <v>1280</v>
      </c>
      <c r="F46" s="2846"/>
      <c r="G46" s="2846"/>
      <c r="H46" s="2846"/>
      <c r="I46" s="2846"/>
      <c r="J46" s="2846"/>
      <c r="K46" s="2846"/>
      <c r="L46" s="2846"/>
      <c r="M46" s="2846"/>
      <c r="N46" s="2846"/>
      <c r="O46" s="481"/>
      <c r="P46" s="485"/>
    </row>
    <row r="47" spans="3:16" ht="12.75" customHeight="1">
      <c r="C47" s="467"/>
      <c r="D47" s="467"/>
      <c r="E47" s="2385" t="s">
        <v>1281</v>
      </c>
      <c r="F47" s="2846"/>
      <c r="G47" s="2846"/>
      <c r="H47" s="2846"/>
      <c r="I47" s="2846"/>
      <c r="J47" s="2846"/>
      <c r="K47" s="2846"/>
      <c r="L47" s="2846"/>
      <c r="M47" s="2846"/>
      <c r="N47" s="2846"/>
      <c r="O47" s="481"/>
      <c r="P47" s="485"/>
    </row>
    <row r="48" spans="3:16" ht="25.5" customHeight="1">
      <c r="C48" s="467"/>
      <c r="D48" s="467"/>
      <c r="E48" s="2385" t="s">
        <v>1364</v>
      </c>
      <c r="F48" s="2846"/>
      <c r="G48" s="2846"/>
      <c r="H48" s="2846"/>
      <c r="I48" s="2846"/>
      <c r="J48" s="2846"/>
      <c r="K48" s="2846"/>
      <c r="L48" s="2846"/>
      <c r="M48" s="2846"/>
      <c r="N48" s="2846"/>
      <c r="O48" s="481"/>
      <c r="P48" s="485"/>
    </row>
    <row r="49" spans="3:37" ht="12.75" customHeight="1">
      <c r="C49" s="467"/>
      <c r="D49" s="485"/>
      <c r="E49" s="2385" t="s">
        <v>1464</v>
      </c>
      <c r="F49" s="2846"/>
      <c r="G49" s="2846"/>
      <c r="H49" s="2846"/>
      <c r="I49" s="2846"/>
      <c r="J49" s="2846"/>
      <c r="K49" s="2846"/>
      <c r="L49" s="2846"/>
      <c r="M49" s="2846"/>
      <c r="N49" s="2846"/>
      <c r="O49" s="481"/>
      <c r="P49" s="485"/>
      <c r="Q49" s="1249"/>
    </row>
    <row r="50" spans="3:37" ht="25.5" customHeight="1">
      <c r="C50" s="467"/>
      <c r="D50" s="485"/>
      <c r="E50" s="2385" t="s">
        <v>1358</v>
      </c>
      <c r="F50" s="2846"/>
      <c r="G50" s="2846"/>
      <c r="H50" s="2846"/>
      <c r="I50" s="2846"/>
      <c r="J50" s="2846"/>
      <c r="K50" s="2846"/>
      <c r="L50" s="2846"/>
      <c r="M50" s="2846"/>
      <c r="N50" s="2846"/>
      <c r="O50" s="481"/>
      <c r="P50" s="485"/>
      <c r="Q50" s="1249"/>
    </row>
    <row r="51" spans="3:37" ht="5.0999999999999996" customHeight="1">
      <c r="C51" s="467"/>
      <c r="D51" s="467"/>
      <c r="E51" s="467"/>
      <c r="F51" s="467"/>
      <c r="G51" s="467"/>
      <c r="H51" s="467"/>
      <c r="I51" s="467"/>
      <c r="J51" s="467"/>
      <c r="K51" s="467"/>
      <c r="L51" s="467"/>
      <c r="M51" s="481"/>
      <c r="N51" s="481"/>
      <c r="O51" s="481"/>
      <c r="P51" s="485"/>
      <c r="Q51" s="1249"/>
    </row>
    <row r="52" spans="3:37" ht="13.9" customHeight="1">
      <c r="C52" s="559">
        <v>1</v>
      </c>
      <c r="D52" s="2482" t="s">
        <v>1140</v>
      </c>
      <c r="E52" s="2400"/>
      <c r="F52" s="2400"/>
      <c r="G52" s="2400"/>
      <c r="H52" s="2400"/>
      <c r="I52" s="2400"/>
      <c r="J52" s="2400"/>
      <c r="K52" s="2400"/>
      <c r="L52" s="2400"/>
      <c r="M52" s="2400"/>
      <c r="N52" s="2400"/>
      <c r="O52" s="481"/>
      <c r="P52" s="485"/>
      <c r="Q52" s="1249"/>
    </row>
    <row r="53" spans="3:37" ht="5.0999999999999996" customHeight="1">
      <c r="C53" s="467"/>
      <c r="D53" s="467"/>
      <c r="E53" s="467"/>
      <c r="F53" s="467"/>
      <c r="G53" s="467"/>
      <c r="H53" s="467"/>
      <c r="I53" s="467"/>
      <c r="J53" s="467"/>
      <c r="K53" s="467"/>
      <c r="L53" s="467"/>
      <c r="M53" s="481"/>
      <c r="N53" s="481"/>
      <c r="O53" s="481"/>
      <c r="P53" s="485"/>
      <c r="Q53" s="1249"/>
    </row>
    <row r="54" spans="3:37" ht="13.15" customHeight="1">
      <c r="C54" s="467"/>
      <c r="D54" s="482" t="s">
        <v>400</v>
      </c>
      <c r="E54" s="2373" t="s">
        <v>1128</v>
      </c>
      <c r="F54" s="2400"/>
      <c r="G54" s="2400"/>
      <c r="H54" s="2400"/>
      <c r="I54" s="2400"/>
      <c r="J54" s="2400"/>
      <c r="K54" s="2400"/>
      <c r="L54" s="2400"/>
      <c r="M54" s="2400"/>
      <c r="N54" s="2400"/>
      <c r="O54" s="481"/>
      <c r="P54" s="485"/>
      <c r="Q54" s="1249"/>
    </row>
    <row r="55" spans="3:37" ht="13.15" customHeight="1">
      <c r="C55" s="467"/>
      <c r="D55" s="485"/>
      <c r="E55" s="2385" t="s">
        <v>1166</v>
      </c>
      <c r="F55" s="2846"/>
      <c r="G55" s="2846"/>
      <c r="H55" s="2846"/>
      <c r="I55" s="2846"/>
      <c r="J55" s="2846"/>
      <c r="K55" s="2846"/>
      <c r="L55" s="2846"/>
      <c r="M55" s="2846"/>
      <c r="N55" s="2846"/>
      <c r="O55" s="481"/>
      <c r="P55" s="485"/>
      <c r="Q55" s="1249"/>
    </row>
    <row r="56" spans="3:37" ht="13.5" thickBot="1">
      <c r="C56" s="485"/>
      <c r="D56" s="485"/>
      <c r="E56" s="927"/>
      <c r="F56" s="518"/>
      <c r="G56" s="577" t="str">
        <f>EUconst_Unit</f>
        <v>Unit</v>
      </c>
      <c r="H56" s="578">
        <f t="shared" ref="H56:N56" si="13">H$278</f>
        <v>2024</v>
      </c>
      <c r="I56" s="578">
        <f t="shared" si="13"/>
        <v>2025</v>
      </c>
      <c r="J56" s="1476">
        <f t="shared" si="13"/>
        <v>2026</v>
      </c>
      <c r="K56" s="1476">
        <f t="shared" si="13"/>
        <v>2027</v>
      </c>
      <c r="L56" s="1476">
        <f t="shared" si="13"/>
        <v>2028</v>
      </c>
      <c r="M56" s="1476">
        <f t="shared" si="13"/>
        <v>2029</v>
      </c>
      <c r="N56" s="1476">
        <f t="shared" si="13"/>
        <v>2030</v>
      </c>
      <c r="O56" s="481"/>
      <c r="P56" s="485"/>
      <c r="Y56" s="1435" t="s">
        <v>1117</v>
      </c>
    </row>
    <row r="57" spans="3:37" ht="12.6" customHeight="1">
      <c r="C57" s="485"/>
      <c r="D57" s="485"/>
      <c r="E57" s="2587" t="s">
        <v>1121</v>
      </c>
      <c r="F57" s="2410"/>
      <c r="G57" s="730" t="str">
        <f>EUconst_TJpa</f>
        <v>TJ / year</v>
      </c>
      <c r="H57" s="1479" t="str">
        <f>c_ALR2025!M151</f>
        <v/>
      </c>
      <c r="I57" s="1525"/>
      <c r="J57" s="1480"/>
      <c r="K57" s="1480"/>
      <c r="L57" s="1480"/>
      <c r="M57" s="1480"/>
      <c r="N57" s="1480"/>
      <c r="O57" s="481"/>
      <c r="P57" s="9"/>
      <c r="Q57" s="1249"/>
      <c r="Y57" s="1526" t="b">
        <f>AND(M45&lt;&gt;"",M45=FALSE)</f>
        <v>0</v>
      </c>
      <c r="AJ57" s="1161" t="s">
        <v>1954</v>
      </c>
      <c r="AK57" s="1303" t="str">
        <f>IF(AND(CNTR_HasEntries_A_I,MSconst_RequireEmissionTotals,Y57=FALSE,COUNTIFS($AB$21:$AH$21,FALSE,H57:N57,"")&gt;0),3,"")</f>
        <v/>
      </c>
    </row>
    <row r="58" spans="3:37" ht="5.0999999999999996" customHeight="1">
      <c r="C58" s="485"/>
      <c r="D58" s="485"/>
      <c r="E58" s="485"/>
      <c r="F58" s="485"/>
      <c r="G58" s="485"/>
      <c r="H58" s="485"/>
      <c r="I58" s="485"/>
      <c r="J58" s="485"/>
      <c r="K58" s="485"/>
      <c r="L58" s="485"/>
      <c r="M58" s="485"/>
      <c r="N58" s="485"/>
      <c r="O58" s="481"/>
      <c r="P58" s="485"/>
      <c r="Y58" s="1481"/>
    </row>
    <row r="59" spans="3:37" ht="13.15" customHeight="1">
      <c r="C59" s="467"/>
      <c r="D59" s="482" t="s">
        <v>876</v>
      </c>
      <c r="E59" s="2508" t="s">
        <v>1122</v>
      </c>
      <c r="F59" s="2508"/>
      <c r="G59" s="2508"/>
      <c r="H59" s="2508"/>
      <c r="I59" s="2508"/>
      <c r="J59" s="2508"/>
      <c r="K59" s="2508"/>
      <c r="L59" s="2508"/>
      <c r="M59" s="2508"/>
      <c r="N59" s="2508"/>
      <c r="O59" s="481"/>
      <c r="P59" s="485"/>
      <c r="Q59" s="1249"/>
      <c r="Y59" s="1481"/>
    </row>
    <row r="60" spans="3:37" ht="12.6" customHeight="1">
      <c r="C60" s="467"/>
      <c r="D60" s="485"/>
      <c r="E60" s="2850" t="s">
        <v>1842</v>
      </c>
      <c r="F60" s="2380"/>
      <c r="G60" s="2380"/>
      <c r="H60" s="2380"/>
      <c r="I60" s="2380"/>
      <c r="J60" s="2380"/>
      <c r="K60" s="2380"/>
      <c r="L60" s="2380"/>
      <c r="M60" s="2380"/>
      <c r="N60" s="2380"/>
      <c r="O60" s="481"/>
      <c r="P60" s="485"/>
      <c r="Q60" s="1249"/>
      <c r="Y60" s="1481"/>
    </row>
    <row r="61" spans="3:37">
      <c r="C61" s="467"/>
      <c r="D61" s="485"/>
      <c r="E61" s="927"/>
      <c r="F61" s="518"/>
      <c r="G61" s="577" t="str">
        <f>EUconst_Unit</f>
        <v>Unit</v>
      </c>
      <c r="H61" s="578">
        <f t="shared" ref="H61:N61" si="14">H$278</f>
        <v>2024</v>
      </c>
      <c r="I61" s="578">
        <f t="shared" si="14"/>
        <v>2025</v>
      </c>
      <c r="J61" s="1476">
        <f t="shared" si="14"/>
        <v>2026</v>
      </c>
      <c r="K61" s="1476">
        <f t="shared" si="14"/>
        <v>2027</v>
      </c>
      <c r="L61" s="1476">
        <f t="shared" si="14"/>
        <v>2028</v>
      </c>
      <c r="M61" s="1476">
        <f t="shared" si="14"/>
        <v>2029</v>
      </c>
      <c r="N61" s="1476">
        <f t="shared" si="14"/>
        <v>2030</v>
      </c>
      <c r="O61" s="481"/>
      <c r="P61" s="485"/>
      <c r="Q61" s="1249"/>
      <c r="Y61" s="1481"/>
    </row>
    <row r="62" spans="3:37" ht="12.6" customHeight="1">
      <c r="C62" s="485"/>
      <c r="D62" s="485"/>
      <c r="E62" s="2587" t="s">
        <v>1122</v>
      </c>
      <c r="F62" s="2410"/>
      <c r="G62" s="730" t="str">
        <f>EUconst_TJpa</f>
        <v>TJ / year</v>
      </c>
      <c r="H62" s="1479" t="str">
        <f>c_ALR2025!M152</f>
        <v/>
      </c>
      <c r="I62" s="1525"/>
      <c r="J62" s="1480"/>
      <c r="K62" s="1480"/>
      <c r="L62" s="1480"/>
      <c r="M62" s="1480"/>
      <c r="N62" s="1480"/>
      <c r="O62" s="481"/>
      <c r="P62" s="9"/>
      <c r="Y62" s="1482" t="b">
        <f>Y57</f>
        <v>0</v>
      </c>
      <c r="AJ62" s="1161" t="s">
        <v>1954</v>
      </c>
      <c r="AK62" s="1303" t="str">
        <f>IF(AND(CNTR_HasEntries_A_I,MSconst_RequireEmissionTotals,Y62=FALSE,COUNTIFS($AB$21:$AH$21,FALSE,H62:N62,"")&gt;0),3,"")</f>
        <v/>
      </c>
    </row>
    <row r="63" spans="3:37" ht="5.0999999999999996" customHeight="1">
      <c r="C63" s="485"/>
      <c r="D63" s="485"/>
      <c r="E63" s="485"/>
      <c r="F63" s="485"/>
      <c r="G63" s="485"/>
      <c r="H63" s="485"/>
      <c r="I63" s="485"/>
      <c r="J63" s="485"/>
      <c r="K63" s="485"/>
      <c r="L63" s="485"/>
      <c r="M63" s="485"/>
      <c r="N63" s="485"/>
      <c r="O63" s="481"/>
      <c r="P63" s="485"/>
      <c r="Y63" s="1481"/>
    </row>
    <row r="64" spans="3:37" ht="13.15" customHeight="1">
      <c r="C64" s="467"/>
      <c r="D64" s="482" t="s">
        <v>48</v>
      </c>
      <c r="E64" s="2508" t="s">
        <v>1123</v>
      </c>
      <c r="F64" s="2391"/>
      <c r="G64" s="2391"/>
      <c r="H64" s="2391"/>
      <c r="I64" s="2391"/>
      <c r="J64" s="2391"/>
      <c r="K64" s="2391"/>
      <c r="L64" s="2391"/>
      <c r="M64" s="2391"/>
      <c r="N64" s="2391"/>
      <c r="O64" s="481"/>
      <c r="P64" s="485"/>
      <c r="Q64" s="1249"/>
      <c r="Y64" s="1481"/>
    </row>
    <row r="65" spans="3:37" ht="12.75" customHeight="1">
      <c r="C65" s="467"/>
      <c r="D65" s="485"/>
      <c r="E65" s="2850" t="s">
        <v>1843</v>
      </c>
      <c r="F65" s="2380"/>
      <c r="G65" s="2380"/>
      <c r="H65" s="2380"/>
      <c r="I65" s="2380"/>
      <c r="J65" s="2380"/>
      <c r="K65" s="2380"/>
      <c r="L65" s="2380"/>
      <c r="M65" s="2380"/>
      <c r="N65" s="2380"/>
      <c r="O65" s="481"/>
      <c r="P65" s="485"/>
      <c r="Q65" s="1249"/>
      <c r="Y65" s="1481"/>
    </row>
    <row r="66" spans="3:37">
      <c r="C66" s="467"/>
      <c r="D66" s="485"/>
      <c r="E66" s="927"/>
      <c r="F66" s="518"/>
      <c r="G66" s="577" t="str">
        <f>EUconst_Unit</f>
        <v>Unit</v>
      </c>
      <c r="H66" s="578">
        <f t="shared" ref="H66:N66" si="15">H$278</f>
        <v>2024</v>
      </c>
      <c r="I66" s="578">
        <f t="shared" si="15"/>
        <v>2025</v>
      </c>
      <c r="J66" s="1476">
        <f t="shared" si="15"/>
        <v>2026</v>
      </c>
      <c r="K66" s="1476">
        <f t="shared" si="15"/>
        <v>2027</v>
      </c>
      <c r="L66" s="1476">
        <f t="shared" si="15"/>
        <v>2028</v>
      </c>
      <c r="M66" s="1476">
        <f t="shared" si="15"/>
        <v>2029</v>
      </c>
      <c r="N66" s="1476">
        <f t="shared" si="15"/>
        <v>2030</v>
      </c>
      <c r="O66" s="481"/>
      <c r="P66" s="485"/>
      <c r="Q66" s="1249"/>
      <c r="Y66" s="1481"/>
    </row>
    <row r="67" spans="3:37" ht="12.6" customHeight="1">
      <c r="C67" s="467"/>
      <c r="D67" s="485"/>
      <c r="E67" s="2587" t="s">
        <v>1424</v>
      </c>
      <c r="F67" s="2410"/>
      <c r="G67" s="730" t="str">
        <f>EUconst_MWhpa</f>
        <v>MWh / year</v>
      </c>
      <c r="H67" s="646" t="str">
        <f>IF(H68="","",H68 * 277.7777)</f>
        <v/>
      </c>
      <c r="I67" s="1525"/>
      <c r="J67" s="1480"/>
      <c r="K67" s="1480"/>
      <c r="L67" s="1480"/>
      <c r="M67" s="1480"/>
      <c r="N67" s="1480"/>
      <c r="O67" s="481"/>
      <c r="P67" s="9"/>
      <c r="Q67" s="1249"/>
      <c r="Y67" s="1482" t="b">
        <f>Y62</f>
        <v>0</v>
      </c>
      <c r="AJ67" s="1161" t="s">
        <v>1954</v>
      </c>
      <c r="AK67" s="1303" t="str">
        <f>IF(AND(CNTR_HasEntries_A_I,MSconst_RequireEmissionTotals,Y67=FALSE,COUNTIFS($AB$21:$AH$21,FALSE,H67:N67,"")&gt;0),3,"")</f>
        <v/>
      </c>
    </row>
    <row r="68" spans="3:37" ht="12.6" customHeight="1">
      <c r="C68" s="485"/>
      <c r="D68" s="485"/>
      <c r="E68" s="2587" t="s">
        <v>1424</v>
      </c>
      <c r="F68" s="2410"/>
      <c r="G68" s="730" t="str">
        <f>EUconst_TJpa</f>
        <v>TJ / year</v>
      </c>
      <c r="H68" s="1479" t="str">
        <f>c_ALR2025!M153</f>
        <v/>
      </c>
      <c r="I68" s="646" t="str">
        <f t="shared" ref="I68:N68" si="16">IF(ISBLANK(I67),"",I67*3.6/1000)</f>
        <v/>
      </c>
      <c r="J68" s="1480" t="str">
        <f t="shared" si="16"/>
        <v/>
      </c>
      <c r="K68" s="1480" t="str">
        <f t="shared" si="16"/>
        <v/>
      </c>
      <c r="L68" s="1480" t="str">
        <f t="shared" si="16"/>
        <v/>
      </c>
      <c r="M68" s="1480" t="str">
        <f t="shared" si="16"/>
        <v/>
      </c>
      <c r="N68" s="1480" t="str">
        <f t="shared" si="16"/>
        <v/>
      </c>
      <c r="O68" s="481"/>
      <c r="P68" s="485"/>
      <c r="Y68" s="1482" t="b">
        <f>Y62</f>
        <v>0</v>
      </c>
      <c r="AJ68" s="1161" t="s">
        <v>1954</v>
      </c>
      <c r="AK68" s="1303" t="str">
        <f>IF(AND(CNTR_HasEntries_A_I,MSconst_RequireEmissionTotals,Y68=FALSE,COUNTIFS($AB$21:$AH$21,FALSE,H68:N68,"")&gt;0),3,"")</f>
        <v/>
      </c>
    </row>
    <row r="69" spans="3:37" ht="5.0999999999999996" customHeight="1">
      <c r="C69" s="485"/>
      <c r="D69" s="485"/>
      <c r="E69" s="485"/>
      <c r="F69" s="485"/>
      <c r="G69" s="485"/>
      <c r="H69" s="485"/>
      <c r="I69" s="485"/>
      <c r="J69" s="485"/>
      <c r="K69" s="485"/>
      <c r="L69" s="485"/>
      <c r="M69" s="485"/>
      <c r="N69" s="485"/>
      <c r="O69" s="481"/>
      <c r="P69" s="485"/>
      <c r="Y69" s="1481"/>
    </row>
    <row r="70" spans="3:37" ht="13.15" customHeight="1">
      <c r="C70" s="467"/>
      <c r="D70" s="482" t="s">
        <v>881</v>
      </c>
      <c r="E70" s="2508" t="s">
        <v>1238</v>
      </c>
      <c r="F70" s="2391"/>
      <c r="G70" s="2391"/>
      <c r="H70" s="2391"/>
      <c r="I70" s="2391"/>
      <c r="J70" s="2391"/>
      <c r="K70" s="2391"/>
      <c r="L70" s="2391"/>
      <c r="M70" s="2391"/>
      <c r="N70" s="2391"/>
      <c r="O70" s="481"/>
      <c r="P70" s="485"/>
      <c r="Q70" s="1249"/>
      <c r="Y70" s="1481"/>
    </row>
    <row r="71" spans="3:37" ht="12.6" customHeight="1">
      <c r="C71" s="467"/>
      <c r="D71" s="485"/>
      <c r="E71" s="2850" t="s">
        <v>1297</v>
      </c>
      <c r="F71" s="2380"/>
      <c r="G71" s="2380"/>
      <c r="H71" s="2380"/>
      <c r="I71" s="2380"/>
      <c r="J71" s="2380"/>
      <c r="K71" s="2380"/>
      <c r="L71" s="2380"/>
      <c r="M71" s="2380"/>
      <c r="N71" s="2380"/>
      <c r="O71" s="481"/>
      <c r="P71" s="485"/>
      <c r="Q71" s="1249"/>
      <c r="Y71" s="1481"/>
    </row>
    <row r="72" spans="3:37">
      <c r="C72" s="467"/>
      <c r="D72" s="485"/>
      <c r="E72" s="927"/>
      <c r="F72" s="518"/>
      <c r="G72" s="577" t="str">
        <f>EUconst_Unit</f>
        <v>Unit</v>
      </c>
      <c r="H72" s="578">
        <f t="shared" ref="H72:N72" si="17">H$278</f>
        <v>2024</v>
      </c>
      <c r="I72" s="578">
        <f t="shared" si="17"/>
        <v>2025</v>
      </c>
      <c r="J72" s="1476">
        <f t="shared" si="17"/>
        <v>2026</v>
      </c>
      <c r="K72" s="1476">
        <f t="shared" si="17"/>
        <v>2027</v>
      </c>
      <c r="L72" s="1476">
        <f t="shared" si="17"/>
        <v>2028</v>
      </c>
      <c r="M72" s="1476">
        <f t="shared" si="17"/>
        <v>2029</v>
      </c>
      <c r="N72" s="1476">
        <f t="shared" si="17"/>
        <v>2030</v>
      </c>
      <c r="O72" s="481"/>
      <c r="P72" s="485"/>
      <c r="Q72" s="1249"/>
      <c r="Y72" s="1481"/>
    </row>
    <row r="73" spans="3:37" ht="12.6" customHeight="1">
      <c r="C73" s="485"/>
      <c r="D73" s="485"/>
      <c r="E73" s="2587" t="s">
        <v>1167</v>
      </c>
      <c r="F73" s="2410"/>
      <c r="G73" s="730" t="str">
        <f>EUconst_tCO2pa</f>
        <v>t CO2 / year</v>
      </c>
      <c r="H73" s="1479" t="str">
        <f>c_ALR2025!M156</f>
        <v/>
      </c>
      <c r="I73" s="1525"/>
      <c r="J73" s="1480"/>
      <c r="K73" s="1480"/>
      <c r="L73" s="1480"/>
      <c r="M73" s="1480"/>
      <c r="N73" s="1480"/>
      <c r="O73" s="481"/>
      <c r="P73" s="9"/>
      <c r="Y73" s="1482" t="b">
        <f>Y68</f>
        <v>0</v>
      </c>
      <c r="AJ73" s="1161" t="s">
        <v>1954</v>
      </c>
      <c r="AK73" s="1303" t="str">
        <f>IF(AND(CNTR_HasEntries_A_I,MSconst_RequireEmissionTotals,Y73=FALSE,COUNTIFS($AB$21:$AH$21,FALSE,H73:N73,"")&gt;0),3,"")</f>
        <v/>
      </c>
    </row>
    <row r="74" spans="3:37" ht="12.6" customHeight="1">
      <c r="C74" s="485"/>
      <c r="D74" s="485"/>
      <c r="E74" s="2587" t="s">
        <v>1168</v>
      </c>
      <c r="F74" s="2410"/>
      <c r="G74" s="730" t="str">
        <f>EUconst_tCO2pa</f>
        <v>t CO2 / year</v>
      </c>
      <c r="H74" s="1479" t="str">
        <f>c_ALR2025!M157</f>
        <v/>
      </c>
      <c r="I74" s="1525"/>
      <c r="J74" s="1480"/>
      <c r="K74" s="1480"/>
      <c r="L74" s="1480"/>
      <c r="M74" s="1480"/>
      <c r="N74" s="1480"/>
      <c r="O74" s="481"/>
      <c r="P74" s="9"/>
      <c r="Y74" s="1482" t="b">
        <f>Y73</f>
        <v>0</v>
      </c>
      <c r="AJ74" s="1161" t="s">
        <v>1954</v>
      </c>
      <c r="AK74" s="1303" t="str">
        <f>IF(AND(CNTR_HasEntries_A_I,MSconst_RequireEmissionTotals,Y74=FALSE,COUNTIFS($AB$21:$AH$21,FALSE,H74:N74,"")&gt;0),3,"")</f>
        <v/>
      </c>
    </row>
    <row r="75" spans="3:37" ht="12.6" customHeight="1">
      <c r="C75" s="485"/>
      <c r="D75" s="485"/>
      <c r="E75" s="2587" t="s">
        <v>203</v>
      </c>
      <c r="F75" s="2410"/>
      <c r="G75" s="730" t="str">
        <f>EUconst_tCO2pa</f>
        <v>t CO2 / year</v>
      </c>
      <c r="H75" s="646" t="str">
        <f t="shared" ref="H75:N75" si="18">IF(COUNT(H73:H74)&gt;0,SUM(H73:H74),"")</f>
        <v/>
      </c>
      <c r="I75" s="646" t="str">
        <f t="shared" si="18"/>
        <v/>
      </c>
      <c r="J75" s="1480" t="str">
        <f t="shared" si="18"/>
        <v/>
      </c>
      <c r="K75" s="1480" t="str">
        <f t="shared" si="18"/>
        <v/>
      </c>
      <c r="L75" s="1480" t="str">
        <f t="shared" si="18"/>
        <v/>
      </c>
      <c r="M75" s="1480" t="str">
        <f t="shared" si="18"/>
        <v/>
      </c>
      <c r="N75" s="1480" t="str">
        <f t="shared" si="18"/>
        <v/>
      </c>
      <c r="O75" s="481"/>
      <c r="P75" s="485"/>
      <c r="Y75" s="1481"/>
    </row>
    <row r="76" spans="3:37" ht="5.0999999999999996" customHeight="1">
      <c r="C76" s="485"/>
      <c r="D76" s="485"/>
      <c r="E76" s="485"/>
      <c r="F76" s="485"/>
      <c r="G76" s="485"/>
      <c r="H76" s="485"/>
      <c r="I76" s="485"/>
      <c r="J76" s="485"/>
      <c r="K76" s="485"/>
      <c r="L76" s="485"/>
      <c r="M76" s="485"/>
      <c r="N76" s="485"/>
      <c r="O76" s="481"/>
      <c r="P76" s="485"/>
      <c r="Y76" s="1481"/>
    </row>
    <row r="77" spans="3:37" ht="12.75" customHeight="1">
      <c r="C77" s="485"/>
      <c r="D77" s="482" t="s">
        <v>57</v>
      </c>
      <c r="E77" s="2508" t="s">
        <v>1293</v>
      </c>
      <c r="F77" s="2391"/>
      <c r="G77" s="2391"/>
      <c r="H77" s="2391"/>
      <c r="I77" s="2391"/>
      <c r="J77" s="1483" t="s">
        <v>1291</v>
      </c>
      <c r="K77" s="1484">
        <v>0.55000000000000004</v>
      </c>
      <c r="L77" s="485"/>
      <c r="M77" s="1483" t="s">
        <v>1315</v>
      </c>
      <c r="N77" s="1484">
        <f>25%</f>
        <v>0.25</v>
      </c>
      <c r="O77" s="481"/>
      <c r="P77" s="485"/>
      <c r="Y77" s="1481"/>
    </row>
    <row r="78" spans="3:37" ht="5.0999999999999996" customHeight="1">
      <c r="C78" s="485"/>
      <c r="D78" s="485"/>
      <c r="E78" s="485"/>
      <c r="F78" s="485"/>
      <c r="G78" s="485"/>
      <c r="H78" s="485"/>
      <c r="I78" s="485"/>
      <c r="J78" s="485"/>
      <c r="K78" s="485"/>
      <c r="L78" s="485"/>
      <c r="M78" s="485"/>
      <c r="N78" s="485"/>
      <c r="O78" s="481"/>
      <c r="P78" s="485"/>
      <c r="Y78" s="1481"/>
    </row>
    <row r="79" spans="3:37" ht="13.15" customHeight="1">
      <c r="C79" s="467"/>
      <c r="D79" s="482" t="s">
        <v>58</v>
      </c>
      <c r="E79" s="2508" t="s">
        <v>1295</v>
      </c>
      <c r="F79" s="2391"/>
      <c r="G79" s="2391"/>
      <c r="H79" s="2391"/>
      <c r="I79" s="2391"/>
      <c r="J79" s="2391"/>
      <c r="K79" s="2391"/>
      <c r="L79" s="2391"/>
      <c r="M79" s="2391"/>
      <c r="N79" s="2391"/>
      <c r="O79" s="481"/>
      <c r="P79" s="485"/>
      <c r="Q79" s="1249"/>
      <c r="Y79" s="1481"/>
    </row>
    <row r="80" spans="3:37" ht="12.75" customHeight="1">
      <c r="C80" s="467"/>
      <c r="D80" s="485"/>
      <c r="E80" s="2850" t="s">
        <v>1294</v>
      </c>
      <c r="F80" s="2380"/>
      <c r="G80" s="2380"/>
      <c r="H80" s="2380"/>
      <c r="I80" s="2380"/>
      <c r="J80" s="2380"/>
      <c r="K80" s="2380"/>
      <c r="L80" s="2380"/>
      <c r="M80" s="2380"/>
      <c r="N80" s="2380"/>
      <c r="O80" s="481"/>
      <c r="P80" s="485"/>
      <c r="Q80" s="1249"/>
      <c r="Y80" s="1481"/>
    </row>
    <row r="81" spans="3:37" ht="25.5" customHeight="1">
      <c r="C81" s="467"/>
      <c r="D81" s="485"/>
      <c r="E81" s="2850" t="s">
        <v>1296</v>
      </c>
      <c r="F81" s="2380"/>
      <c r="G81" s="2380"/>
      <c r="H81" s="2380"/>
      <c r="I81" s="2380"/>
      <c r="J81" s="2380"/>
      <c r="K81" s="2380"/>
      <c r="L81" s="2380"/>
      <c r="M81" s="2380"/>
      <c r="N81" s="2380"/>
      <c r="O81" s="481"/>
      <c r="P81" s="485"/>
      <c r="Q81" s="1249"/>
      <c r="Y81" s="1481"/>
    </row>
    <row r="82" spans="3:37">
      <c r="C82" s="485"/>
      <c r="D82" s="485"/>
      <c r="E82" s="927"/>
      <c r="F82" s="518"/>
      <c r="G82" s="577" t="str">
        <f>EUconst_Unit</f>
        <v>Unit</v>
      </c>
      <c r="H82" s="578">
        <f t="shared" ref="H82:N82" si="19">H$278</f>
        <v>2024</v>
      </c>
      <c r="I82" s="578">
        <f t="shared" si="19"/>
        <v>2025</v>
      </c>
      <c r="J82" s="1476">
        <f t="shared" si="19"/>
        <v>2026</v>
      </c>
      <c r="K82" s="1476">
        <f t="shared" si="19"/>
        <v>2027</v>
      </c>
      <c r="L82" s="1476">
        <f t="shared" si="19"/>
        <v>2028</v>
      </c>
      <c r="M82" s="1476">
        <f t="shared" si="19"/>
        <v>2029</v>
      </c>
      <c r="N82" s="1476">
        <f t="shared" si="19"/>
        <v>2030</v>
      </c>
      <c r="O82" s="481"/>
      <c r="P82" s="485"/>
      <c r="Y82" s="1481"/>
    </row>
    <row r="83" spans="3:37" ht="12.75" customHeight="1">
      <c r="C83" s="485"/>
      <c r="D83" s="485"/>
      <c r="E83" s="2587" t="s">
        <v>1126</v>
      </c>
      <c r="F83" s="2410"/>
      <c r="G83" s="1109" t="s">
        <v>1021</v>
      </c>
      <c r="H83" s="860" t="str">
        <f>IF(AND(ISNUMBER(H57),ISNUMBER(H62)),IF(H57=0,0,H62/H57),IF(ISNUMBER(H75),$K77,""))</f>
        <v/>
      </c>
      <c r="I83" s="860" t="str">
        <f t="shared" ref="I83:N83" si="20">IF(AND(ISNUMBER(I57),ISNUMBER(I62)),IF(I57=0,0,I62/I57),IF(ISNUMBER(I75),$K77,""))</f>
        <v/>
      </c>
      <c r="J83" s="1485" t="str">
        <f t="shared" si="20"/>
        <v/>
      </c>
      <c r="K83" s="1485" t="str">
        <f t="shared" si="20"/>
        <v/>
      </c>
      <c r="L83" s="1485" t="str">
        <f t="shared" si="20"/>
        <v/>
      </c>
      <c r="M83" s="1485" t="str">
        <f t="shared" si="20"/>
        <v/>
      </c>
      <c r="N83" s="1485" t="str">
        <f t="shared" si="20"/>
        <v/>
      </c>
      <c r="O83" s="481"/>
      <c r="P83" s="485"/>
      <c r="Y83" s="1481"/>
    </row>
    <row r="84" spans="3:37" ht="12.75" customHeight="1">
      <c r="C84" s="485"/>
      <c r="D84" s="485"/>
      <c r="E84" s="2587" t="s">
        <v>1127</v>
      </c>
      <c r="F84" s="2410"/>
      <c r="G84" s="1109" t="s">
        <v>1021</v>
      </c>
      <c r="H84" s="860" t="str">
        <f>IF(AND(ISNUMBER(H57),ISNUMBER(H68)),IF(H57=0,0,H68/H57),IF(ISNUMBER(H75),$N77,""))</f>
        <v/>
      </c>
      <c r="I84" s="860" t="str">
        <f t="shared" ref="I84:N84" si="21">IF(AND(ISNUMBER(I57),ISNUMBER(I68)),IF(I57=0,0,I68/I57),IF(ISNUMBER(I75),$N77,""))</f>
        <v/>
      </c>
      <c r="J84" s="1485" t="str">
        <f t="shared" si="21"/>
        <v/>
      </c>
      <c r="K84" s="1485" t="str">
        <f t="shared" si="21"/>
        <v/>
      </c>
      <c r="L84" s="1485" t="str">
        <f t="shared" si="21"/>
        <v/>
      </c>
      <c r="M84" s="1485" t="str">
        <f t="shared" si="21"/>
        <v/>
      </c>
      <c r="N84" s="1485" t="str">
        <f t="shared" si="21"/>
        <v/>
      </c>
      <c r="O84" s="481"/>
      <c r="P84" s="485"/>
      <c r="Y84" s="1481"/>
    </row>
    <row r="85" spans="3:37" ht="5.0999999999999996" customHeight="1">
      <c r="C85" s="485"/>
      <c r="D85" s="485"/>
      <c r="E85" s="485"/>
      <c r="F85" s="485"/>
      <c r="G85" s="485"/>
      <c r="H85" s="485"/>
      <c r="I85" s="485"/>
      <c r="J85" s="485"/>
      <c r="K85" s="485"/>
      <c r="L85" s="485"/>
      <c r="M85" s="485"/>
      <c r="N85" s="485"/>
      <c r="O85" s="481"/>
      <c r="P85" s="485"/>
      <c r="Y85" s="1481"/>
    </row>
    <row r="86" spans="3:37" ht="13.15" customHeight="1">
      <c r="C86" s="467"/>
      <c r="D86" s="482" t="s">
        <v>266</v>
      </c>
      <c r="E86" s="2508" t="s">
        <v>1125</v>
      </c>
      <c r="F86" s="2391"/>
      <c r="G86" s="2391"/>
      <c r="H86" s="2391"/>
      <c r="I86" s="2391"/>
      <c r="J86" s="2391"/>
      <c r="K86" s="2391"/>
      <c r="L86" s="2391"/>
      <c r="M86" s="2391"/>
      <c r="N86" s="2391"/>
      <c r="O86" s="481"/>
      <c r="P86" s="485"/>
      <c r="Q86" s="1249"/>
      <c r="Y86" s="1481"/>
    </row>
    <row r="87" spans="3:37" ht="12.75" customHeight="1">
      <c r="C87" s="467"/>
      <c r="D87" s="485"/>
      <c r="E87" s="2850" t="s">
        <v>1427</v>
      </c>
      <c r="F87" s="2380"/>
      <c r="G87" s="2380"/>
      <c r="H87" s="2380"/>
      <c r="I87" s="2380"/>
      <c r="J87" s="2380"/>
      <c r="K87" s="2380"/>
      <c r="L87" s="2380"/>
      <c r="M87" s="2380"/>
      <c r="N87" s="2380"/>
      <c r="O87" s="481"/>
      <c r="P87" s="485"/>
      <c r="Q87" s="1249"/>
      <c r="Y87" s="1481"/>
    </row>
    <row r="88" spans="3:37" ht="13.15" customHeight="1">
      <c r="C88" s="467"/>
      <c r="D88" s="485"/>
      <c r="E88" s="2850" t="s">
        <v>2101</v>
      </c>
      <c r="F88" s="2850"/>
      <c r="G88" s="2850"/>
      <c r="H88" s="2850"/>
      <c r="I88" s="2850"/>
      <c r="J88" s="2850"/>
      <c r="K88" s="2850"/>
      <c r="L88" s="2850"/>
      <c r="M88" s="2850"/>
      <c r="N88" s="2850"/>
      <c r="O88" s="481"/>
      <c r="P88" s="485"/>
      <c r="Q88" s="1249"/>
      <c r="Y88" s="1481"/>
    </row>
    <row r="89" spans="3:37" ht="12.75" customHeight="1">
      <c r="C89" s="467"/>
      <c r="D89" s="485"/>
      <c r="E89" s="2406" t="s">
        <v>2102</v>
      </c>
      <c r="F89" s="2406"/>
      <c r="G89" s="2406"/>
      <c r="H89" s="2406"/>
      <c r="I89" s="2406"/>
      <c r="J89" s="2406"/>
      <c r="K89" s="2406"/>
      <c r="L89" s="2406"/>
      <c r="M89" s="2406"/>
      <c r="N89" s="2406"/>
      <c r="O89" s="481"/>
      <c r="P89" s="485"/>
      <c r="Q89" s="1249"/>
      <c r="Y89" s="1481"/>
    </row>
    <row r="90" spans="3:37" ht="12.75" customHeight="1">
      <c r="C90" s="467"/>
      <c r="D90" s="485"/>
      <c r="E90" s="2850" t="s">
        <v>1463</v>
      </c>
      <c r="F90" s="2380"/>
      <c r="G90" s="2380"/>
      <c r="H90" s="2380"/>
      <c r="I90" s="2380"/>
      <c r="J90" s="2380"/>
      <c r="K90" s="2380"/>
      <c r="L90" s="2380"/>
      <c r="M90" s="2380"/>
      <c r="N90" s="2380"/>
      <c r="O90" s="481"/>
      <c r="P90" s="485"/>
      <c r="Q90" s="1249"/>
      <c r="Y90" s="1481"/>
    </row>
    <row r="91" spans="3:37">
      <c r="C91" s="485"/>
      <c r="D91" s="485"/>
      <c r="E91" s="927"/>
      <c r="F91" s="518"/>
      <c r="G91" s="577" t="str">
        <f>EUconst_Unit</f>
        <v>Unit</v>
      </c>
      <c r="H91" s="578">
        <f t="shared" ref="H91:N91" si="22">H$278</f>
        <v>2024</v>
      </c>
      <c r="I91" s="578">
        <f t="shared" si="22"/>
        <v>2025</v>
      </c>
      <c r="J91" s="1476">
        <f t="shared" si="22"/>
        <v>2026</v>
      </c>
      <c r="K91" s="1476">
        <f t="shared" si="22"/>
        <v>2027</v>
      </c>
      <c r="L91" s="1476">
        <f t="shared" si="22"/>
        <v>2028</v>
      </c>
      <c r="M91" s="1476">
        <f t="shared" si="22"/>
        <v>2029</v>
      </c>
      <c r="N91" s="1476">
        <f t="shared" si="22"/>
        <v>2030</v>
      </c>
      <c r="O91" s="481"/>
      <c r="P91" s="485"/>
      <c r="Y91" s="1481"/>
    </row>
    <row r="92" spans="3:37" ht="12.75" customHeight="1">
      <c r="C92" s="485"/>
      <c r="D92" s="485"/>
      <c r="E92" s="2587" t="s">
        <v>1126</v>
      </c>
      <c r="F92" s="2410"/>
      <c r="G92" s="1109" t="s">
        <v>1021</v>
      </c>
      <c r="H92" s="1486" t="str">
        <f>c_ALR2025!M163</f>
        <v/>
      </c>
      <c r="I92" s="1527"/>
      <c r="J92" s="1487"/>
      <c r="K92" s="1487"/>
      <c r="L92" s="1487"/>
      <c r="M92" s="1487"/>
      <c r="N92" s="1487"/>
      <c r="O92" s="481"/>
      <c r="P92" s="9"/>
      <c r="Y92" s="1482" t="b">
        <f>Y74</f>
        <v>0</v>
      </c>
      <c r="AJ92" s="1161" t="s">
        <v>1954</v>
      </c>
      <c r="AK92" s="1303" t="str">
        <f>IF(AND(CNTR_HasEntries_A_I,MSconst_RequireEmissionTotals,Y92=FALSE,COUNTIFS($AB$21:$AH$21,FALSE,H92:N92,"")&gt;0),3,"")</f>
        <v/>
      </c>
    </row>
    <row r="93" spans="3:37" ht="12.75" customHeight="1">
      <c r="C93" s="485"/>
      <c r="D93" s="485"/>
      <c r="E93" s="2587" t="s">
        <v>1127</v>
      </c>
      <c r="F93" s="2410"/>
      <c r="G93" s="1109" t="s">
        <v>1021</v>
      </c>
      <c r="H93" s="1486" t="str">
        <f>c_ALR2025!M164</f>
        <v/>
      </c>
      <c r="I93" s="1527"/>
      <c r="J93" s="1487"/>
      <c r="K93" s="1487"/>
      <c r="L93" s="1487"/>
      <c r="M93" s="1487"/>
      <c r="N93" s="1487"/>
      <c r="O93" s="481"/>
      <c r="P93" s="9"/>
      <c r="Y93" s="1482" t="b">
        <f>Y92</f>
        <v>0</v>
      </c>
      <c r="AJ93" s="1161" t="s">
        <v>1954</v>
      </c>
      <c r="AK93" s="1303" t="str">
        <f>IF(AND(CNTR_HasEntries_A_I,MSconst_RequireEmissionTotals,Y93=FALSE,COUNTIFS($AB$21:$AH$21,FALSE,H93:N93,"")&gt;0),3,"")</f>
        <v/>
      </c>
    </row>
    <row r="94" spans="3:37" ht="5.0999999999999996" customHeight="1">
      <c r="C94" s="485"/>
      <c r="D94" s="485"/>
      <c r="E94" s="485"/>
      <c r="F94" s="485"/>
      <c r="G94" s="485"/>
      <c r="H94" s="485"/>
      <c r="I94" s="485"/>
      <c r="J94" s="485"/>
      <c r="K94" s="485"/>
      <c r="L94" s="485"/>
      <c r="M94" s="485"/>
      <c r="N94" s="485"/>
      <c r="O94" s="481"/>
      <c r="P94" s="485"/>
      <c r="Y94" s="1481"/>
    </row>
    <row r="95" spans="3:37" ht="13.15" customHeight="1">
      <c r="C95" s="467"/>
      <c r="D95" s="482" t="s">
        <v>269</v>
      </c>
      <c r="E95" s="2508" t="s">
        <v>1239</v>
      </c>
      <c r="F95" s="2391"/>
      <c r="G95" s="2391"/>
      <c r="H95" s="2391"/>
      <c r="I95" s="2391"/>
      <c r="J95" s="2391"/>
      <c r="K95" s="2391"/>
      <c r="L95" s="2391"/>
      <c r="M95" s="2391"/>
      <c r="N95" s="2391"/>
      <c r="O95" s="481"/>
      <c r="P95" s="485"/>
      <c r="Q95" s="1249"/>
      <c r="Y95" s="1481"/>
    </row>
    <row r="96" spans="3:37" ht="12.6" customHeight="1">
      <c r="C96" s="467"/>
      <c r="D96" s="485"/>
      <c r="E96" s="2850" t="s">
        <v>1298</v>
      </c>
      <c r="F96" s="2380"/>
      <c r="G96" s="2380"/>
      <c r="H96" s="2380"/>
      <c r="I96" s="2380"/>
      <c r="J96" s="2380"/>
      <c r="K96" s="2380"/>
      <c r="L96" s="2380"/>
      <c r="M96" s="2380"/>
      <c r="N96" s="2380"/>
      <c r="O96" s="481"/>
      <c r="P96" s="485"/>
      <c r="Q96" s="1249"/>
      <c r="Y96" s="1481"/>
    </row>
    <row r="97" spans="3:18" ht="12.6" customHeight="1">
      <c r="C97" s="467"/>
      <c r="D97" s="485"/>
      <c r="E97" s="2850" t="s">
        <v>1299</v>
      </c>
      <c r="F97" s="2380"/>
      <c r="G97" s="2380"/>
      <c r="H97" s="2380"/>
      <c r="I97" s="2380"/>
      <c r="J97" s="2380"/>
      <c r="K97" s="2380"/>
      <c r="L97" s="2380"/>
      <c r="M97" s="2380"/>
      <c r="N97" s="2380"/>
      <c r="O97" s="481"/>
      <c r="P97" s="485"/>
      <c r="Q97" s="1249"/>
    </row>
    <row r="98" spans="3:18" ht="12.6" customHeight="1">
      <c r="C98" s="467"/>
      <c r="D98" s="485"/>
      <c r="E98" s="2850" t="s">
        <v>227</v>
      </c>
      <c r="F98" s="2380"/>
      <c r="G98" s="2380"/>
      <c r="H98" s="2380"/>
      <c r="I98" s="2380"/>
      <c r="J98" s="2380"/>
      <c r="K98" s="2380"/>
      <c r="L98" s="2380"/>
      <c r="M98" s="2380"/>
      <c r="N98" s="2380"/>
      <c r="O98" s="481"/>
      <c r="P98" s="485"/>
      <c r="Q98" s="1249"/>
    </row>
    <row r="99" spans="3:18">
      <c r="C99" s="485"/>
      <c r="D99" s="485"/>
      <c r="E99" s="927"/>
      <c r="F99" s="518"/>
      <c r="G99" s="577" t="str">
        <f>EUconst_Unit</f>
        <v>Unit</v>
      </c>
      <c r="H99" s="578">
        <f t="shared" ref="H99:N99" si="23">H$278</f>
        <v>2024</v>
      </c>
      <c r="I99" s="578">
        <f t="shared" si="23"/>
        <v>2025</v>
      </c>
      <c r="J99" s="1476">
        <f t="shared" si="23"/>
        <v>2026</v>
      </c>
      <c r="K99" s="1476">
        <f t="shared" si="23"/>
        <v>2027</v>
      </c>
      <c r="L99" s="1476">
        <f t="shared" si="23"/>
        <v>2028</v>
      </c>
      <c r="M99" s="1476">
        <f t="shared" si="23"/>
        <v>2029</v>
      </c>
      <c r="N99" s="1476">
        <f t="shared" si="23"/>
        <v>2030</v>
      </c>
      <c r="O99" s="481"/>
      <c r="P99" s="485"/>
    </row>
    <row r="100" spans="3:18" ht="12.6" customHeight="1">
      <c r="C100" s="485"/>
      <c r="D100" s="485"/>
      <c r="E100" s="2587" t="s">
        <v>1120</v>
      </c>
      <c r="F100" s="2410"/>
      <c r="G100" s="730" t="str">
        <f>EUconst_tCO2pa</f>
        <v>t CO2 / year</v>
      </c>
      <c r="H100" s="668" t="str">
        <f>IF(AND(ISNUMBER(H83),ISNUMBER(H84),ISNUMBER(H92),ISNUMBER(H93)),IFERROR(H83/H92/(H83/H92+H84/H93),0)*SUM(H75),"")</f>
        <v/>
      </c>
      <c r="I100" s="668" t="str">
        <f t="shared" ref="I100:N100" si="24">IF(AND(ISNUMBER(I83),ISNUMBER(I84),ISNUMBER(I92),ISNUMBER(I93)),IFERROR(I83/I92/(I83/I92+I84/I93),0)*SUM(I75),"")</f>
        <v/>
      </c>
      <c r="J100" s="1480" t="str">
        <f t="shared" si="24"/>
        <v/>
      </c>
      <c r="K100" s="1480" t="str">
        <f t="shared" si="24"/>
        <v/>
      </c>
      <c r="L100" s="1480" t="str">
        <f t="shared" si="24"/>
        <v/>
      </c>
      <c r="M100" s="1480" t="str">
        <f t="shared" si="24"/>
        <v/>
      </c>
      <c r="N100" s="1480" t="str">
        <f t="shared" si="24"/>
        <v/>
      </c>
      <c r="O100" s="481"/>
      <c r="P100" s="485"/>
    </row>
    <row r="101" spans="3:18" ht="12.6" customHeight="1">
      <c r="C101" s="485"/>
      <c r="D101" s="485"/>
      <c r="E101" s="2587" t="s">
        <v>1292</v>
      </c>
      <c r="F101" s="2410"/>
      <c r="G101" s="730" t="str">
        <f>EUconst_tCO2pTJ</f>
        <v>t CO2 / TJ</v>
      </c>
      <c r="H101" s="668" t="str">
        <f>IF(AND(ISNUMBER(H62),ISNUMBER(H100)),IFERROR(H100/H62,""),"")</f>
        <v/>
      </c>
      <c r="I101" s="668" t="str">
        <f t="shared" ref="I101:N101" si="25">IF(AND(ISNUMBER(I62),ISNUMBER(I100)),IFERROR(I100/I62,""),"")</f>
        <v/>
      </c>
      <c r="J101" s="1480" t="str">
        <f t="shared" si="25"/>
        <v/>
      </c>
      <c r="K101" s="1480" t="str">
        <f t="shared" si="25"/>
        <v/>
      </c>
      <c r="L101" s="1480" t="str">
        <f t="shared" si="25"/>
        <v/>
      </c>
      <c r="M101" s="1480" t="str">
        <f t="shared" si="25"/>
        <v/>
      </c>
      <c r="N101" s="1480" t="str">
        <f t="shared" si="25"/>
        <v/>
      </c>
      <c r="O101" s="481"/>
      <c r="P101" s="485"/>
    </row>
    <row r="102" spans="3:18" ht="5.0999999999999996" customHeight="1">
      <c r="C102" s="485"/>
      <c r="D102" s="485"/>
      <c r="E102" s="485"/>
      <c r="F102" s="485"/>
      <c r="G102" s="485"/>
      <c r="H102" s="485"/>
      <c r="I102" s="485"/>
      <c r="J102" s="485"/>
      <c r="K102" s="485"/>
      <c r="L102" s="485"/>
      <c r="M102" s="485"/>
      <c r="N102" s="485"/>
      <c r="O102" s="481"/>
      <c r="P102" s="485"/>
    </row>
    <row r="103" spans="3:18" ht="13.15" customHeight="1">
      <c r="C103" s="467"/>
      <c r="D103" s="482" t="s">
        <v>271</v>
      </c>
      <c r="E103" s="2508" t="s">
        <v>1345</v>
      </c>
      <c r="F103" s="2391"/>
      <c r="G103" s="2391"/>
      <c r="H103" s="2391"/>
      <c r="I103" s="2391"/>
      <c r="J103" s="2391"/>
      <c r="K103" s="2391"/>
      <c r="L103" s="2391"/>
      <c r="M103" s="2391"/>
      <c r="N103" s="2391"/>
      <c r="O103" s="481"/>
      <c r="P103" s="485"/>
      <c r="Q103" s="1249"/>
    </row>
    <row r="104" spans="3:18" ht="12.75" customHeight="1">
      <c r="C104" s="467"/>
      <c r="D104" s="485"/>
      <c r="E104" s="2850" t="s">
        <v>1543</v>
      </c>
      <c r="F104" s="2380"/>
      <c r="G104" s="2380"/>
      <c r="H104" s="2380"/>
      <c r="I104" s="2380"/>
      <c r="J104" s="2380"/>
      <c r="K104" s="2380"/>
      <c r="L104" s="2380"/>
      <c r="M104" s="2380"/>
      <c r="N104" s="2380"/>
      <c r="O104" s="481"/>
      <c r="P104" s="485"/>
      <c r="Q104" s="1249"/>
    </row>
    <row r="105" spans="3:18">
      <c r="C105" s="485"/>
      <c r="D105" s="485"/>
      <c r="E105" s="927"/>
      <c r="F105" s="518"/>
      <c r="G105" s="577" t="str">
        <f>EUconst_Unit</f>
        <v>Unit</v>
      </c>
      <c r="H105" s="578">
        <f t="shared" ref="H105:N105" si="26">H$278</f>
        <v>2024</v>
      </c>
      <c r="I105" s="578">
        <f t="shared" si="26"/>
        <v>2025</v>
      </c>
      <c r="J105" s="1476">
        <f t="shared" si="26"/>
        <v>2026</v>
      </c>
      <c r="K105" s="1476">
        <f t="shared" si="26"/>
        <v>2027</v>
      </c>
      <c r="L105" s="1476">
        <f t="shared" si="26"/>
        <v>2028</v>
      </c>
      <c r="M105" s="1476">
        <f t="shared" si="26"/>
        <v>2029</v>
      </c>
      <c r="N105" s="1476">
        <f t="shared" si="26"/>
        <v>2030</v>
      </c>
      <c r="O105" s="481"/>
      <c r="P105" s="485"/>
    </row>
    <row r="106" spans="3:18" ht="12.6" customHeight="1">
      <c r="C106" s="485"/>
      <c r="D106" s="485"/>
      <c r="E106" s="2587" t="s">
        <v>1346</v>
      </c>
      <c r="F106" s="2410"/>
      <c r="G106" s="730" t="str">
        <f>EUconst_TJpa</f>
        <v>TJ / year</v>
      </c>
      <c r="H106" s="668" t="str">
        <f>IF(ISNUMBER(H100),IFERROR(H83/H92/(H83/H92+H84/H93)*SUM(H57),0),"")</f>
        <v/>
      </c>
      <c r="I106" s="668" t="str">
        <f t="shared" ref="I106:N106" si="27">IF(ISNUMBER(I100),IFERROR(I83/I92/(I83/I92+I84/I93)*SUM(I57),0),"")</f>
        <v/>
      </c>
      <c r="J106" s="1480" t="str">
        <f t="shared" si="27"/>
        <v/>
      </c>
      <c r="K106" s="1480" t="str">
        <f t="shared" si="27"/>
        <v/>
      </c>
      <c r="L106" s="1480" t="str">
        <f t="shared" si="27"/>
        <v/>
      </c>
      <c r="M106" s="1480" t="str">
        <f t="shared" si="27"/>
        <v/>
      </c>
      <c r="N106" s="1480" t="str">
        <f t="shared" si="27"/>
        <v/>
      </c>
      <c r="O106" s="481"/>
      <c r="P106" s="485"/>
    </row>
    <row r="107" spans="3:18" ht="12.6" customHeight="1">
      <c r="C107" s="485"/>
      <c r="D107" s="485"/>
      <c r="E107" s="2587" t="s">
        <v>1347</v>
      </c>
      <c r="F107" s="2410"/>
      <c r="G107" s="730" t="str">
        <f>EUconst_TJpa</f>
        <v>TJ / year</v>
      </c>
      <c r="H107" s="668" t="str">
        <f>IF(ISNUMBER(H106),SUM(H57)-SUM(H106),"")</f>
        <v/>
      </c>
      <c r="I107" s="668" t="str">
        <f t="shared" ref="I107:N107" si="28">IF(ISNUMBER(I106),SUM(I57)-SUM(I106),"")</f>
        <v/>
      </c>
      <c r="J107" s="1480" t="str">
        <f t="shared" si="28"/>
        <v/>
      </c>
      <c r="K107" s="1480" t="str">
        <f t="shared" si="28"/>
        <v/>
      </c>
      <c r="L107" s="1480" t="str">
        <f t="shared" si="28"/>
        <v/>
      </c>
      <c r="M107" s="1480" t="str">
        <f t="shared" si="28"/>
        <v/>
      </c>
      <c r="N107" s="1480" t="str">
        <f t="shared" si="28"/>
        <v/>
      </c>
      <c r="O107" s="481"/>
      <c r="P107" s="485"/>
    </row>
    <row r="108" spans="3:18">
      <c r="C108" s="485"/>
      <c r="D108" s="485"/>
      <c r="E108" s="952"/>
      <c r="F108" s="485"/>
      <c r="G108" s="485"/>
      <c r="H108" s="485"/>
      <c r="I108" s="485"/>
      <c r="J108" s="485"/>
      <c r="K108" s="485"/>
      <c r="L108" s="485"/>
      <c r="M108" s="485"/>
      <c r="N108" s="485"/>
      <c r="O108" s="481"/>
      <c r="P108" s="485"/>
    </row>
    <row r="109" spans="3:18" ht="14.1" customHeight="1">
      <c r="C109" s="559">
        <v>2</v>
      </c>
      <c r="D109" s="2464" t="s">
        <v>1140</v>
      </c>
      <c r="E109" s="2391"/>
      <c r="F109" s="2391"/>
      <c r="G109" s="2391"/>
      <c r="H109" s="2391"/>
      <c r="I109" s="2391"/>
      <c r="J109" s="2391"/>
      <c r="K109" s="2391"/>
      <c r="L109" s="2391"/>
      <c r="M109" s="2391"/>
      <c r="N109" s="2391"/>
      <c r="O109" s="481"/>
      <c r="P109" s="485"/>
      <c r="Q109" s="1249"/>
    </row>
    <row r="110" spans="3:18" ht="5.0999999999999996" customHeight="1">
      <c r="C110" s="467"/>
      <c r="D110" s="467"/>
      <c r="E110" s="467"/>
      <c r="F110" s="467"/>
      <c r="G110" s="467"/>
      <c r="H110" s="467"/>
      <c r="I110" s="467"/>
      <c r="J110" s="467"/>
      <c r="K110" s="467"/>
      <c r="L110" s="467"/>
      <c r="M110" s="467"/>
      <c r="N110" s="481"/>
      <c r="O110" s="481"/>
      <c r="P110" s="485"/>
      <c r="Q110" s="1249"/>
    </row>
    <row r="111" spans="3:18" ht="13.15" customHeight="1">
      <c r="C111" s="485"/>
      <c r="D111" s="485"/>
      <c r="E111" s="3188" t="str">
        <f>HYPERLINK(R111,CONCATENATE(EUconst_MsgSeeFirst," (D.III.1)"))</f>
        <v>Detailed instructions for data entries in this tool can be found at the first copy of this tool.  (D.III.1)</v>
      </c>
      <c r="F111" s="2391"/>
      <c r="G111" s="2391"/>
      <c r="H111" s="2391"/>
      <c r="I111" s="2391"/>
      <c r="J111" s="2391"/>
      <c r="K111" s="2391"/>
      <c r="L111" s="2391"/>
      <c r="M111" s="2391"/>
      <c r="N111" s="2391"/>
      <c r="O111" s="481"/>
      <c r="P111" s="485"/>
      <c r="Q111" s="1198" t="s">
        <v>441</v>
      </c>
      <c r="R111" s="1488" t="str">
        <f>"#"&amp;ADDRESS(ROW(C52),COLUMN(C52))</f>
        <v>#$C$52</v>
      </c>
    </row>
    <row r="112" spans="3:18" ht="5.0999999999999996" customHeight="1">
      <c r="C112" s="467"/>
      <c r="D112" s="467"/>
      <c r="E112" s="467"/>
      <c r="F112" s="467"/>
      <c r="G112" s="467"/>
      <c r="H112" s="467"/>
      <c r="I112" s="467"/>
      <c r="J112" s="467"/>
      <c r="K112" s="467"/>
      <c r="L112" s="467"/>
      <c r="M112" s="467"/>
      <c r="N112" s="481"/>
      <c r="O112" s="481"/>
      <c r="P112" s="485"/>
      <c r="Q112" s="1249"/>
    </row>
    <row r="113" spans="3:37" ht="13.15" customHeight="1">
      <c r="C113" s="467"/>
      <c r="D113" s="482" t="s">
        <v>400</v>
      </c>
      <c r="E113" s="2508" t="s">
        <v>1128</v>
      </c>
      <c r="F113" s="2391"/>
      <c r="G113" s="2391"/>
      <c r="H113" s="2391"/>
      <c r="I113" s="2391"/>
      <c r="J113" s="2391"/>
      <c r="K113" s="2391"/>
      <c r="L113" s="2391"/>
      <c r="M113" s="2391"/>
      <c r="N113" s="2391"/>
      <c r="O113" s="481"/>
      <c r="P113" s="485"/>
      <c r="Q113" s="1249"/>
      <c r="Y113" s="1481"/>
    </row>
    <row r="114" spans="3:37">
      <c r="C114" s="485"/>
      <c r="D114" s="485"/>
      <c r="E114" s="927"/>
      <c r="F114" s="518"/>
      <c r="G114" s="577" t="str">
        <f>EUconst_Unit</f>
        <v>Unit</v>
      </c>
      <c r="H114" s="578">
        <f t="shared" ref="H114:N114" si="29">H$278</f>
        <v>2024</v>
      </c>
      <c r="I114" s="578">
        <f t="shared" si="29"/>
        <v>2025</v>
      </c>
      <c r="J114" s="1489">
        <f>J$278</f>
        <v>2026</v>
      </c>
      <c r="K114" s="1490">
        <f t="shared" si="29"/>
        <v>2027</v>
      </c>
      <c r="L114" s="1490">
        <f t="shared" si="29"/>
        <v>2028</v>
      </c>
      <c r="M114" s="1490">
        <f t="shared" si="29"/>
        <v>2029</v>
      </c>
      <c r="N114" s="1490">
        <f t="shared" si="29"/>
        <v>2030</v>
      </c>
      <c r="O114" s="481"/>
      <c r="P114" s="485"/>
      <c r="Y114" s="1481"/>
    </row>
    <row r="115" spans="3:37" ht="12.6" customHeight="1">
      <c r="C115" s="485"/>
      <c r="D115" s="485"/>
      <c r="E115" s="2587" t="s">
        <v>1121</v>
      </c>
      <c r="F115" s="2410"/>
      <c r="G115" s="730" t="str">
        <f>EUconst_TJpa</f>
        <v>TJ / year</v>
      </c>
      <c r="H115" s="1479" t="str">
        <f>c_ALR2025!M176</f>
        <v/>
      </c>
      <c r="I115" s="1525"/>
      <c r="J115" s="1491"/>
      <c r="K115" s="1492"/>
      <c r="L115" s="1492"/>
      <c r="M115" s="1492"/>
      <c r="N115" s="1492"/>
      <c r="O115" s="481"/>
      <c r="P115" s="9"/>
      <c r="Q115" s="1249"/>
      <c r="Y115" s="1482" t="b">
        <f>Y93</f>
        <v>0</v>
      </c>
      <c r="AJ115" s="1161" t="s">
        <v>1954</v>
      </c>
      <c r="AK115" s="1303" t="str">
        <f>IF(AND(CNTR_HasEntries_A_I,MSconst_RequireEmissionTotals,Y115=FALSE,COUNTIFS($AB$21:$AH$21,FALSE,H115:N115,"")&gt;0),3,"")</f>
        <v/>
      </c>
    </row>
    <row r="116" spans="3:37" ht="5.0999999999999996" customHeight="1">
      <c r="C116" s="485"/>
      <c r="D116" s="485"/>
      <c r="E116" s="485"/>
      <c r="F116" s="485"/>
      <c r="G116" s="485"/>
      <c r="H116" s="485"/>
      <c r="I116" s="485"/>
      <c r="J116" s="485"/>
      <c r="K116" s="485"/>
      <c r="L116" s="485"/>
      <c r="M116" s="485"/>
      <c r="N116" s="485"/>
      <c r="O116" s="481"/>
      <c r="P116" s="485"/>
      <c r="Y116" s="1481"/>
    </row>
    <row r="117" spans="3:37" ht="13.15" customHeight="1">
      <c r="C117" s="467"/>
      <c r="D117" s="482" t="s">
        <v>876</v>
      </c>
      <c r="E117" s="2508" t="s">
        <v>1122</v>
      </c>
      <c r="F117" s="2391"/>
      <c r="G117" s="2391"/>
      <c r="H117" s="2391"/>
      <c r="I117" s="2391"/>
      <c r="J117" s="2391"/>
      <c r="K117" s="2391"/>
      <c r="L117" s="2391"/>
      <c r="M117" s="2391"/>
      <c r="N117" s="2391"/>
      <c r="O117" s="481"/>
      <c r="P117" s="485"/>
      <c r="Q117" s="1249"/>
      <c r="Y117" s="1481"/>
    </row>
    <row r="118" spans="3:37">
      <c r="C118" s="467"/>
      <c r="D118" s="485"/>
      <c r="E118" s="927"/>
      <c r="F118" s="518"/>
      <c r="G118" s="577" t="str">
        <f>EUconst_Unit</f>
        <v>Unit</v>
      </c>
      <c r="H118" s="578">
        <f t="shared" ref="H118:N118" si="30">H$278</f>
        <v>2024</v>
      </c>
      <c r="I118" s="578">
        <f t="shared" si="30"/>
        <v>2025</v>
      </c>
      <c r="J118" s="1489">
        <f t="shared" si="30"/>
        <v>2026</v>
      </c>
      <c r="K118" s="1490">
        <f t="shared" si="30"/>
        <v>2027</v>
      </c>
      <c r="L118" s="1490">
        <f t="shared" si="30"/>
        <v>2028</v>
      </c>
      <c r="M118" s="1490">
        <f t="shared" si="30"/>
        <v>2029</v>
      </c>
      <c r="N118" s="1490">
        <f t="shared" si="30"/>
        <v>2030</v>
      </c>
      <c r="O118" s="481"/>
      <c r="P118" s="485"/>
      <c r="Q118" s="1249"/>
      <c r="Y118" s="1481"/>
    </row>
    <row r="119" spans="3:37" ht="12.6" customHeight="1">
      <c r="C119" s="485"/>
      <c r="D119" s="485"/>
      <c r="E119" s="2587" t="s">
        <v>1122</v>
      </c>
      <c r="F119" s="2410"/>
      <c r="G119" s="730" t="str">
        <f>EUconst_TJpa</f>
        <v>TJ / year</v>
      </c>
      <c r="H119" s="1479" t="str">
        <f>c_ALR2025!M177</f>
        <v/>
      </c>
      <c r="I119" s="1525"/>
      <c r="J119" s="1491"/>
      <c r="K119" s="1492"/>
      <c r="L119" s="1492"/>
      <c r="M119" s="1492"/>
      <c r="N119" s="1492"/>
      <c r="O119" s="481"/>
      <c r="P119" s="9"/>
      <c r="Y119" s="1482" t="b">
        <f>Y115</f>
        <v>0</v>
      </c>
      <c r="AJ119" s="1161" t="s">
        <v>1954</v>
      </c>
      <c r="AK119" s="1303" t="str">
        <f>IF(AND(CNTR_HasEntries_A_I,MSconst_RequireEmissionTotals,Y119=FALSE,COUNTIFS($AB$21:$AH$21,FALSE,H119:N119,"")&gt;0),3,"")</f>
        <v/>
      </c>
    </row>
    <row r="120" spans="3:37" ht="5.0999999999999996" customHeight="1">
      <c r="C120" s="485"/>
      <c r="D120" s="485"/>
      <c r="E120" s="485"/>
      <c r="F120" s="485"/>
      <c r="G120" s="485"/>
      <c r="H120" s="485"/>
      <c r="I120" s="485"/>
      <c r="J120" s="485"/>
      <c r="K120" s="485"/>
      <c r="L120" s="485"/>
      <c r="M120" s="485"/>
      <c r="N120" s="485"/>
      <c r="O120" s="481"/>
      <c r="P120" s="485"/>
      <c r="Y120" s="1481"/>
    </row>
    <row r="121" spans="3:37" ht="13.15" customHeight="1">
      <c r="C121" s="467"/>
      <c r="D121" s="482" t="s">
        <v>48</v>
      </c>
      <c r="E121" s="2508" t="s">
        <v>1123</v>
      </c>
      <c r="F121" s="2391"/>
      <c r="G121" s="2391"/>
      <c r="H121" s="2391"/>
      <c r="I121" s="2391"/>
      <c r="J121" s="2391"/>
      <c r="K121" s="2391"/>
      <c r="L121" s="2391"/>
      <c r="M121" s="2391"/>
      <c r="N121" s="2391"/>
      <c r="O121" s="481"/>
      <c r="P121" s="485"/>
      <c r="Q121" s="1249"/>
      <c r="Y121" s="1481"/>
    </row>
    <row r="122" spans="3:37">
      <c r="C122" s="467"/>
      <c r="D122" s="485"/>
      <c r="E122" s="927"/>
      <c r="F122" s="518"/>
      <c r="G122" s="577" t="str">
        <f>EUconst_Unit</f>
        <v>Unit</v>
      </c>
      <c r="H122" s="578">
        <f t="shared" ref="H122:N122" si="31">H$278</f>
        <v>2024</v>
      </c>
      <c r="I122" s="697">
        <f t="shared" si="31"/>
        <v>2025</v>
      </c>
      <c r="J122" s="1489">
        <f t="shared" si="31"/>
        <v>2026</v>
      </c>
      <c r="K122" s="1490">
        <f t="shared" si="31"/>
        <v>2027</v>
      </c>
      <c r="L122" s="1490">
        <f t="shared" si="31"/>
        <v>2028</v>
      </c>
      <c r="M122" s="1490">
        <f t="shared" si="31"/>
        <v>2029</v>
      </c>
      <c r="N122" s="1490">
        <f t="shared" si="31"/>
        <v>2030</v>
      </c>
      <c r="O122" s="481"/>
      <c r="P122" s="485"/>
      <c r="Q122" s="1249"/>
      <c r="Y122" s="1481"/>
    </row>
    <row r="123" spans="3:37" ht="12.6" customHeight="1">
      <c r="C123" s="467"/>
      <c r="D123" s="485"/>
      <c r="E123" s="2587" t="s">
        <v>1424</v>
      </c>
      <c r="F123" s="2410"/>
      <c r="G123" s="730" t="str">
        <f>EUconst_MWhpa</f>
        <v>MWh / year</v>
      </c>
      <c r="H123" s="646" t="str">
        <f>IFERROR(H124 * 277.7777,"")</f>
        <v/>
      </c>
      <c r="I123" s="1528"/>
      <c r="J123" s="1491"/>
      <c r="K123" s="1492"/>
      <c r="L123" s="1492"/>
      <c r="M123" s="1492"/>
      <c r="N123" s="1492"/>
      <c r="O123" s="481"/>
      <c r="P123" s="9"/>
      <c r="Q123" s="1249"/>
      <c r="Y123" s="1482" t="b">
        <f>Y119</f>
        <v>0</v>
      </c>
      <c r="AJ123" s="1161" t="s">
        <v>1954</v>
      </c>
      <c r="AK123" s="1303" t="str">
        <f>IF(AND(CNTR_HasEntries_A_I,MSconst_RequireEmissionTotals,Y123=FALSE,COUNTIFS($AB$21:$AH$21,FALSE,H123:N123,"")&gt;0),3,"")</f>
        <v/>
      </c>
    </row>
    <row r="124" spans="3:37" ht="12.6" customHeight="1">
      <c r="C124" s="485"/>
      <c r="D124" s="485"/>
      <c r="E124" s="2587" t="s">
        <v>1424</v>
      </c>
      <c r="F124" s="2410"/>
      <c r="G124" s="730" t="str">
        <f>EUconst_TJpa</f>
        <v>TJ / year</v>
      </c>
      <c r="H124" s="1479" t="str">
        <f>c_ALR2025!M178</f>
        <v/>
      </c>
      <c r="I124" s="949" t="str">
        <f t="shared" ref="I124:N124" si="32">IF(ISBLANK(I123),"",I123*3.6/1000)</f>
        <v/>
      </c>
      <c r="J124" s="1491" t="str">
        <f t="shared" si="32"/>
        <v/>
      </c>
      <c r="K124" s="1492" t="str">
        <f t="shared" si="32"/>
        <v/>
      </c>
      <c r="L124" s="1492" t="str">
        <f t="shared" si="32"/>
        <v/>
      </c>
      <c r="M124" s="1492" t="str">
        <f t="shared" si="32"/>
        <v/>
      </c>
      <c r="N124" s="1492" t="str">
        <f t="shared" si="32"/>
        <v/>
      </c>
      <c r="O124" s="481"/>
      <c r="P124" s="485"/>
      <c r="Y124" s="1482" t="b">
        <f>Y119</f>
        <v>0</v>
      </c>
      <c r="AJ124" s="1161" t="s">
        <v>1954</v>
      </c>
      <c r="AK124" s="1303" t="str">
        <f>IF(AND(CNTR_HasEntries_A_I,MSconst_RequireEmissionTotals,Y124=FALSE,COUNTIFS($AB$21:$AH$21,FALSE,H124:N124,"")&gt;0),3,"")</f>
        <v/>
      </c>
    </row>
    <row r="125" spans="3:37" ht="5.0999999999999996" customHeight="1">
      <c r="C125" s="485"/>
      <c r="D125" s="485"/>
      <c r="E125" s="485"/>
      <c r="F125" s="485"/>
      <c r="G125" s="485"/>
      <c r="H125" s="485"/>
      <c r="I125" s="485"/>
      <c r="J125" s="485"/>
      <c r="K125" s="485"/>
      <c r="L125" s="485"/>
      <c r="M125" s="485"/>
      <c r="N125" s="485"/>
      <c r="O125" s="481"/>
      <c r="P125" s="485"/>
      <c r="Y125" s="1481"/>
    </row>
    <row r="126" spans="3:37" ht="13.15" customHeight="1">
      <c r="C126" s="467"/>
      <c r="D126" s="482" t="s">
        <v>881</v>
      </c>
      <c r="E126" s="2508" t="s">
        <v>1238</v>
      </c>
      <c r="F126" s="2391"/>
      <c r="G126" s="2391"/>
      <c r="H126" s="2391"/>
      <c r="I126" s="2391"/>
      <c r="J126" s="2391"/>
      <c r="K126" s="2391"/>
      <c r="L126" s="2391"/>
      <c r="M126" s="2391"/>
      <c r="N126" s="2391"/>
      <c r="O126" s="481"/>
      <c r="P126" s="485"/>
      <c r="Q126" s="1249"/>
      <c r="Y126" s="1481"/>
    </row>
    <row r="127" spans="3:37">
      <c r="C127" s="467"/>
      <c r="D127" s="485"/>
      <c r="E127" s="927"/>
      <c r="F127" s="518"/>
      <c r="G127" s="577" t="str">
        <f>EUconst_Unit</f>
        <v>Unit</v>
      </c>
      <c r="H127" s="578">
        <f t="shared" ref="H127:N127" si="33">H$278</f>
        <v>2024</v>
      </c>
      <c r="I127" s="697">
        <f t="shared" si="33"/>
        <v>2025</v>
      </c>
      <c r="J127" s="1489">
        <f t="shared" si="33"/>
        <v>2026</v>
      </c>
      <c r="K127" s="1490">
        <f t="shared" si="33"/>
        <v>2027</v>
      </c>
      <c r="L127" s="1490">
        <f t="shared" si="33"/>
        <v>2028</v>
      </c>
      <c r="M127" s="1490">
        <f t="shared" si="33"/>
        <v>2029</v>
      </c>
      <c r="N127" s="1490">
        <f t="shared" si="33"/>
        <v>2030</v>
      </c>
      <c r="O127" s="481"/>
      <c r="P127" s="485"/>
      <c r="Q127" s="1249"/>
      <c r="Y127" s="1481"/>
    </row>
    <row r="128" spans="3:37" ht="12.6" customHeight="1">
      <c r="C128" s="485"/>
      <c r="D128" s="561" t="s">
        <v>6</v>
      </c>
      <c r="E128" s="2587" t="s">
        <v>1167</v>
      </c>
      <c r="F128" s="2410"/>
      <c r="G128" s="730" t="str">
        <f>EUconst_tCO2pa</f>
        <v>t CO2 / year</v>
      </c>
      <c r="H128" s="1479" t="str">
        <f>c_ALR2025!M181</f>
        <v/>
      </c>
      <c r="I128" s="1528"/>
      <c r="J128" s="1491"/>
      <c r="K128" s="1492"/>
      <c r="L128" s="1492"/>
      <c r="M128" s="1492"/>
      <c r="N128" s="1492"/>
      <c r="O128" s="481"/>
      <c r="P128" s="9"/>
      <c r="Y128" s="1482" t="b">
        <f>Y124</f>
        <v>0</v>
      </c>
      <c r="AJ128" s="1161" t="s">
        <v>1954</v>
      </c>
      <c r="AK128" s="1303" t="str">
        <f>IF(AND(CNTR_HasEntries_A_I,MSconst_RequireEmissionTotals,Y128=FALSE,COUNTIFS($AB$21:$AH$21,FALSE,H128:N128,"")&gt;0),3,"")</f>
        <v/>
      </c>
    </row>
    <row r="129" spans="3:37" ht="12.6" customHeight="1">
      <c r="C129" s="485"/>
      <c r="D129" s="561" t="s">
        <v>7</v>
      </c>
      <c r="E129" s="2587" t="s">
        <v>1168</v>
      </c>
      <c r="F129" s="2410"/>
      <c r="G129" s="730" t="str">
        <f>EUconst_tCO2pa</f>
        <v>t CO2 / year</v>
      </c>
      <c r="H129" s="1479" t="str">
        <f>c_ALR2025!M182</f>
        <v/>
      </c>
      <c r="I129" s="1528"/>
      <c r="J129" s="1491"/>
      <c r="K129" s="1492"/>
      <c r="L129" s="1492"/>
      <c r="M129" s="1492"/>
      <c r="N129" s="1492"/>
      <c r="O129" s="481"/>
      <c r="P129" s="9"/>
      <c r="Y129" s="1482" t="b">
        <f>Y128</f>
        <v>0</v>
      </c>
      <c r="AJ129" s="1161" t="s">
        <v>1954</v>
      </c>
      <c r="AK129" s="1303" t="str">
        <f>IF(AND(CNTR_HasEntries_A_I,MSconst_RequireEmissionTotals,Y129=FALSE,COUNTIFS($AB$21:$AH$21,FALSE,H129:N129,"")&gt;0),3,"")</f>
        <v/>
      </c>
    </row>
    <row r="130" spans="3:37" ht="12.6" customHeight="1">
      <c r="C130" s="485"/>
      <c r="D130" s="561" t="s">
        <v>8</v>
      </c>
      <c r="E130" s="2587" t="s">
        <v>203</v>
      </c>
      <c r="F130" s="2410"/>
      <c r="G130" s="730" t="str">
        <f>EUconst_tCO2pa</f>
        <v>t CO2 / year</v>
      </c>
      <c r="H130" s="646" t="str">
        <f t="shared" ref="H130:N130" si="34">IF(COUNT(H128:H129)&gt;0,SUM(H128:H129),"")</f>
        <v/>
      </c>
      <c r="I130" s="949" t="str">
        <f t="shared" si="34"/>
        <v/>
      </c>
      <c r="J130" s="1491" t="str">
        <f t="shared" si="34"/>
        <v/>
      </c>
      <c r="K130" s="1492" t="str">
        <f t="shared" si="34"/>
        <v/>
      </c>
      <c r="L130" s="1492" t="str">
        <f t="shared" si="34"/>
        <v/>
      </c>
      <c r="M130" s="1492" t="str">
        <f t="shared" si="34"/>
        <v/>
      </c>
      <c r="N130" s="1492" t="str">
        <f t="shared" si="34"/>
        <v/>
      </c>
      <c r="O130" s="481"/>
      <c r="P130" s="485"/>
      <c r="Y130" s="1481"/>
    </row>
    <row r="131" spans="3:37" ht="5.0999999999999996" customHeight="1">
      <c r="C131" s="485"/>
      <c r="D131" s="485"/>
      <c r="E131" s="485"/>
      <c r="F131" s="485"/>
      <c r="G131" s="485"/>
      <c r="H131" s="485"/>
      <c r="I131" s="485"/>
      <c r="J131" s="485"/>
      <c r="K131" s="485"/>
      <c r="L131" s="485"/>
      <c r="M131" s="485"/>
      <c r="N131" s="485"/>
      <c r="O131" s="481"/>
      <c r="P131" s="485"/>
      <c r="Y131" s="1481"/>
    </row>
    <row r="132" spans="3:37" ht="12.75" customHeight="1">
      <c r="C132" s="485"/>
      <c r="D132" s="482" t="s">
        <v>57</v>
      </c>
      <c r="E132" s="2508" t="s">
        <v>1293</v>
      </c>
      <c r="F132" s="2391"/>
      <c r="G132" s="2391"/>
      <c r="H132" s="2391"/>
      <c r="I132" s="2391"/>
      <c r="J132" s="1483" t="s">
        <v>1291</v>
      </c>
      <c r="K132" s="1484">
        <f>55%</f>
        <v>0.55000000000000004</v>
      </c>
      <c r="L132" s="485"/>
      <c r="M132" s="1483" t="s">
        <v>1315</v>
      </c>
      <c r="N132" s="1484">
        <f>25%</f>
        <v>0.25</v>
      </c>
      <c r="O132" s="481"/>
      <c r="P132" s="485"/>
      <c r="Y132" s="1481"/>
    </row>
    <row r="133" spans="3:37" ht="5.0999999999999996" customHeight="1">
      <c r="C133" s="485"/>
      <c r="D133" s="485"/>
      <c r="E133" s="485"/>
      <c r="F133" s="485"/>
      <c r="G133" s="485"/>
      <c r="H133" s="485"/>
      <c r="I133" s="485"/>
      <c r="J133" s="485"/>
      <c r="K133" s="485"/>
      <c r="L133" s="485"/>
      <c r="M133" s="485"/>
      <c r="N133" s="485"/>
      <c r="O133" s="481"/>
      <c r="P133" s="485"/>
      <c r="Y133" s="1481"/>
    </row>
    <row r="134" spans="3:37" ht="13.15" customHeight="1">
      <c r="C134" s="467"/>
      <c r="D134" s="482" t="s">
        <v>58</v>
      </c>
      <c r="E134" s="2508" t="s">
        <v>1295</v>
      </c>
      <c r="F134" s="2391"/>
      <c r="G134" s="2391"/>
      <c r="H134" s="2391"/>
      <c r="I134" s="2391"/>
      <c r="J134" s="2391"/>
      <c r="K134" s="2391"/>
      <c r="L134" s="2391"/>
      <c r="M134" s="2391"/>
      <c r="N134" s="2391"/>
      <c r="O134" s="481"/>
      <c r="P134" s="485"/>
      <c r="Q134" s="1249"/>
      <c r="Y134" s="1481"/>
    </row>
    <row r="135" spans="3:37">
      <c r="C135" s="485"/>
      <c r="D135" s="485"/>
      <c r="E135" s="927"/>
      <c r="F135" s="518"/>
      <c r="G135" s="577" t="str">
        <f>EUconst_Unit</f>
        <v>Unit</v>
      </c>
      <c r="H135" s="578">
        <f t="shared" ref="H135:N135" si="35">H$278</f>
        <v>2024</v>
      </c>
      <c r="I135" s="697">
        <f t="shared" si="35"/>
        <v>2025</v>
      </c>
      <c r="J135" s="1489">
        <f t="shared" si="35"/>
        <v>2026</v>
      </c>
      <c r="K135" s="1490">
        <f t="shared" si="35"/>
        <v>2027</v>
      </c>
      <c r="L135" s="1490">
        <f t="shared" si="35"/>
        <v>2028</v>
      </c>
      <c r="M135" s="1490">
        <f t="shared" si="35"/>
        <v>2029</v>
      </c>
      <c r="N135" s="1490">
        <f t="shared" si="35"/>
        <v>2030</v>
      </c>
      <c r="O135" s="481"/>
      <c r="P135" s="485"/>
      <c r="Y135" s="1481"/>
    </row>
    <row r="136" spans="3:37" ht="12.75" customHeight="1">
      <c r="C136" s="485"/>
      <c r="D136" s="561" t="s">
        <v>6</v>
      </c>
      <c r="E136" s="2587" t="s">
        <v>1126</v>
      </c>
      <c r="F136" s="2410"/>
      <c r="G136" s="1109" t="s">
        <v>1021</v>
      </c>
      <c r="H136" s="860" t="str">
        <f>IF(AND(ISNUMBER(H115),ISNUMBER(H119)),IF(H115=0,0,H119/H115),IF(ISNUMBER(H130),$K132,""))</f>
        <v/>
      </c>
      <c r="I136" s="1493" t="str">
        <f t="shared" ref="I136:N136" si="36">IF(AND(ISNUMBER(I115),ISNUMBER(I119)),IF(I115=0,0,I119/I115),IF(ISNUMBER(I130),$K132,""))</f>
        <v/>
      </c>
      <c r="J136" s="1494" t="str">
        <f t="shared" si="36"/>
        <v/>
      </c>
      <c r="K136" s="1495" t="str">
        <f t="shared" si="36"/>
        <v/>
      </c>
      <c r="L136" s="1495" t="str">
        <f t="shared" si="36"/>
        <v/>
      </c>
      <c r="M136" s="1495" t="str">
        <f t="shared" si="36"/>
        <v/>
      </c>
      <c r="N136" s="1495" t="str">
        <f t="shared" si="36"/>
        <v/>
      </c>
      <c r="O136" s="481"/>
      <c r="P136" s="485"/>
      <c r="Y136" s="1481"/>
    </row>
    <row r="137" spans="3:37" ht="12.75" customHeight="1">
      <c r="C137" s="485"/>
      <c r="D137" s="561" t="s">
        <v>7</v>
      </c>
      <c r="E137" s="2587" t="s">
        <v>1127</v>
      </c>
      <c r="F137" s="2410"/>
      <c r="G137" s="1109" t="s">
        <v>1021</v>
      </c>
      <c r="H137" s="860" t="str">
        <f>IF(AND(ISNUMBER(H115),ISNUMBER(H124)),IF(H115=0,0,H124/H115),IF(ISNUMBER(H130),$N132,""))</f>
        <v/>
      </c>
      <c r="I137" s="1493" t="str">
        <f t="shared" ref="I137:N137" si="37">IF(AND(ISNUMBER(I115),ISNUMBER(I124)),IF(I115=0,0,I124/I115),IF(ISNUMBER(I130),$N132,""))</f>
        <v/>
      </c>
      <c r="J137" s="1494" t="str">
        <f t="shared" si="37"/>
        <v/>
      </c>
      <c r="K137" s="1495" t="str">
        <f t="shared" si="37"/>
        <v/>
      </c>
      <c r="L137" s="1495" t="str">
        <f t="shared" si="37"/>
        <v/>
      </c>
      <c r="M137" s="1495" t="str">
        <f t="shared" si="37"/>
        <v/>
      </c>
      <c r="N137" s="1495" t="str">
        <f t="shared" si="37"/>
        <v/>
      </c>
      <c r="O137" s="481"/>
      <c r="P137" s="485"/>
      <c r="Y137" s="1481"/>
    </row>
    <row r="138" spans="3:37" ht="5.0999999999999996" customHeight="1">
      <c r="C138" s="485"/>
      <c r="D138" s="485"/>
      <c r="E138" s="485"/>
      <c r="F138" s="485"/>
      <c r="G138" s="485"/>
      <c r="H138" s="485"/>
      <c r="I138" s="485"/>
      <c r="J138" s="485"/>
      <c r="K138" s="485"/>
      <c r="L138" s="485"/>
      <c r="M138" s="485"/>
      <c r="N138" s="485"/>
      <c r="O138" s="481"/>
      <c r="P138" s="485"/>
      <c r="Y138" s="1481"/>
    </row>
    <row r="139" spans="3:37" ht="13.15" customHeight="1">
      <c r="C139" s="467"/>
      <c r="D139" s="482" t="s">
        <v>266</v>
      </c>
      <c r="E139" s="2508" t="s">
        <v>1125</v>
      </c>
      <c r="F139" s="2391"/>
      <c r="G139" s="2391"/>
      <c r="H139" s="2391"/>
      <c r="I139" s="2391"/>
      <c r="J139" s="2391"/>
      <c r="K139" s="2391"/>
      <c r="L139" s="2391"/>
      <c r="M139" s="2391"/>
      <c r="N139" s="2391"/>
      <c r="O139" s="481"/>
      <c r="P139" s="485"/>
      <c r="Q139" s="1249"/>
      <c r="Y139" s="1481"/>
    </row>
    <row r="140" spans="3:37">
      <c r="C140" s="485"/>
      <c r="D140" s="485"/>
      <c r="E140" s="927"/>
      <c r="F140" s="518"/>
      <c r="G140" s="577" t="str">
        <f>EUconst_Unit</f>
        <v>Unit</v>
      </c>
      <c r="H140" s="578">
        <f t="shared" ref="H140:N140" si="38">H$278</f>
        <v>2024</v>
      </c>
      <c r="I140" s="697">
        <f t="shared" si="38"/>
        <v>2025</v>
      </c>
      <c r="J140" s="1489">
        <f t="shared" si="38"/>
        <v>2026</v>
      </c>
      <c r="K140" s="1490">
        <f t="shared" si="38"/>
        <v>2027</v>
      </c>
      <c r="L140" s="1490">
        <f t="shared" si="38"/>
        <v>2028</v>
      </c>
      <c r="M140" s="1490">
        <f t="shared" si="38"/>
        <v>2029</v>
      </c>
      <c r="N140" s="1490">
        <f t="shared" si="38"/>
        <v>2030</v>
      </c>
      <c r="O140" s="481"/>
      <c r="P140" s="485"/>
      <c r="Y140" s="1481"/>
    </row>
    <row r="141" spans="3:37" ht="12.75" customHeight="1">
      <c r="C141" s="485"/>
      <c r="D141" s="561" t="s">
        <v>6</v>
      </c>
      <c r="E141" s="2587" t="s">
        <v>1126</v>
      </c>
      <c r="F141" s="2410"/>
      <c r="G141" s="1109" t="s">
        <v>1021</v>
      </c>
      <c r="H141" s="1486" t="str">
        <f>c_ALR2025!M188</f>
        <v/>
      </c>
      <c r="I141" s="1529"/>
      <c r="J141" s="1496"/>
      <c r="K141" s="1497"/>
      <c r="L141" s="1497"/>
      <c r="M141" s="1497"/>
      <c r="N141" s="1497"/>
      <c r="O141" s="481"/>
      <c r="P141" s="9"/>
      <c r="Y141" s="1482" t="b">
        <f>Y129</f>
        <v>0</v>
      </c>
      <c r="AJ141" s="1161" t="s">
        <v>1954</v>
      </c>
      <c r="AK141" s="1303" t="str">
        <f>IF(AND(CNTR_HasEntries_A_I,MSconst_RequireEmissionTotals,Y141=FALSE,COUNTIFS($AB$21:$AH$21,FALSE,H141:N141,"")&gt;0),3,"")</f>
        <v/>
      </c>
    </row>
    <row r="142" spans="3:37" ht="12.75" customHeight="1" thickBot="1">
      <c r="C142" s="485"/>
      <c r="D142" s="561" t="s">
        <v>7</v>
      </c>
      <c r="E142" s="2587" t="s">
        <v>1127</v>
      </c>
      <c r="F142" s="2410"/>
      <c r="G142" s="1109" t="s">
        <v>1021</v>
      </c>
      <c r="H142" s="1486" t="str">
        <f>c_ALR2025!M189</f>
        <v/>
      </c>
      <c r="I142" s="1529"/>
      <c r="J142" s="1496"/>
      <c r="K142" s="1497"/>
      <c r="L142" s="1497"/>
      <c r="M142" s="1497"/>
      <c r="N142" s="1497"/>
      <c r="O142" s="481"/>
      <c r="P142" s="9"/>
      <c r="Y142" s="1498" t="b">
        <f>Y141</f>
        <v>0</v>
      </c>
      <c r="AJ142" s="1161" t="s">
        <v>1954</v>
      </c>
      <c r="AK142" s="1303" t="str">
        <f>IF(AND(CNTR_HasEntries_A_I,MSconst_RequireEmissionTotals,Y142=FALSE,COUNTIFS($AB$21:$AH$21,FALSE,H142:N142,"")&gt;0),3,"")</f>
        <v/>
      </c>
    </row>
    <row r="143" spans="3:37" ht="5.0999999999999996" customHeight="1">
      <c r="C143" s="485"/>
      <c r="D143" s="485"/>
      <c r="E143" s="485"/>
      <c r="F143" s="485"/>
      <c r="G143" s="485"/>
      <c r="H143" s="485"/>
      <c r="I143" s="485"/>
      <c r="J143" s="485"/>
      <c r="K143" s="485"/>
      <c r="L143" s="485"/>
      <c r="M143" s="485"/>
      <c r="N143" s="485"/>
      <c r="O143" s="481"/>
      <c r="P143" s="485"/>
    </row>
    <row r="144" spans="3:37" ht="13.15" customHeight="1">
      <c r="C144" s="467"/>
      <c r="D144" s="482" t="s">
        <v>269</v>
      </c>
      <c r="E144" s="2508" t="s">
        <v>1239</v>
      </c>
      <c r="F144" s="2391"/>
      <c r="G144" s="2391"/>
      <c r="H144" s="2391"/>
      <c r="I144" s="2391"/>
      <c r="J144" s="2391"/>
      <c r="K144" s="2391"/>
      <c r="L144" s="2391"/>
      <c r="M144" s="2391"/>
      <c r="N144" s="2391"/>
      <c r="O144" s="481"/>
      <c r="P144" s="485"/>
      <c r="Q144" s="1249"/>
    </row>
    <row r="145" spans="3:16">
      <c r="C145" s="485"/>
      <c r="D145" s="485"/>
      <c r="E145" s="927"/>
      <c r="F145" s="518"/>
      <c r="G145" s="577" t="str">
        <f>EUconst_Unit</f>
        <v>Unit</v>
      </c>
      <c r="H145" s="578">
        <f t="shared" ref="H145:N145" si="39">H$278</f>
        <v>2024</v>
      </c>
      <c r="I145" s="697">
        <f t="shared" si="39"/>
        <v>2025</v>
      </c>
      <c r="J145" s="1489">
        <f t="shared" si="39"/>
        <v>2026</v>
      </c>
      <c r="K145" s="1490">
        <f t="shared" si="39"/>
        <v>2027</v>
      </c>
      <c r="L145" s="1490">
        <f t="shared" si="39"/>
        <v>2028</v>
      </c>
      <c r="M145" s="1490">
        <f t="shared" si="39"/>
        <v>2029</v>
      </c>
      <c r="N145" s="1490">
        <f t="shared" si="39"/>
        <v>2030</v>
      </c>
      <c r="O145" s="481"/>
      <c r="P145" s="485"/>
    </row>
    <row r="146" spans="3:16" ht="12.6" customHeight="1">
      <c r="C146" s="485"/>
      <c r="D146" s="561" t="s">
        <v>6</v>
      </c>
      <c r="E146" s="2587" t="s">
        <v>1120</v>
      </c>
      <c r="F146" s="2410"/>
      <c r="G146" s="730" t="str">
        <f>EUconst_tCO2pa</f>
        <v>t CO2 / year</v>
      </c>
      <c r="H146" s="668" t="str">
        <f>IF(AND(ISNUMBER(H136),ISNUMBER(H137),ISNUMBER(H141),ISNUMBER(H142)),IFERROR(H136/H141/(H136/H141+H137/H142)*H130,0),"")</f>
        <v/>
      </c>
      <c r="I146" s="1021" t="str">
        <f t="shared" ref="I146:N146" si="40">IF(AND(ISNUMBER(I136),ISNUMBER(I137),ISNUMBER(I141),ISNUMBER(I142)),IFERROR(I136/I141/(I136/I141+I137/I142)*I130,0),"")</f>
        <v/>
      </c>
      <c r="J146" s="1491" t="str">
        <f t="shared" si="40"/>
        <v/>
      </c>
      <c r="K146" s="1492" t="str">
        <f t="shared" si="40"/>
        <v/>
      </c>
      <c r="L146" s="1492" t="str">
        <f t="shared" si="40"/>
        <v/>
      </c>
      <c r="M146" s="1492" t="str">
        <f t="shared" si="40"/>
        <v/>
      </c>
      <c r="N146" s="1492" t="str">
        <f t="shared" si="40"/>
        <v/>
      </c>
      <c r="O146" s="481"/>
      <c r="P146" s="485"/>
    </row>
    <row r="147" spans="3:16" ht="12.6" customHeight="1">
      <c r="C147" s="485"/>
      <c r="D147" s="561" t="s">
        <v>7</v>
      </c>
      <c r="E147" s="2587" t="s">
        <v>1292</v>
      </c>
      <c r="F147" s="2410"/>
      <c r="G147" s="730" t="str">
        <f>EUconst_tCO2pTJ</f>
        <v>t CO2 / TJ</v>
      </c>
      <c r="H147" s="668" t="str">
        <f>IF(AND(ISNUMBER(H119),ISNUMBER(H146)),IFERROR(H146/H119,""),"")</f>
        <v/>
      </c>
      <c r="I147" s="1021" t="str">
        <f t="shared" ref="I147:N147" si="41">IF(AND(ISNUMBER(I119),ISNUMBER(I146)),IFERROR(I146/I119,""),"")</f>
        <v/>
      </c>
      <c r="J147" s="1491" t="str">
        <f t="shared" si="41"/>
        <v/>
      </c>
      <c r="K147" s="1492" t="str">
        <f t="shared" si="41"/>
        <v/>
      </c>
      <c r="L147" s="1492" t="str">
        <f t="shared" si="41"/>
        <v/>
      </c>
      <c r="M147" s="1492" t="str">
        <f t="shared" si="41"/>
        <v/>
      </c>
      <c r="N147" s="1492" t="str">
        <f t="shared" si="41"/>
        <v/>
      </c>
      <c r="O147" s="481"/>
      <c r="P147" s="485"/>
    </row>
    <row r="148" spans="3:16" ht="5.0999999999999996" customHeight="1">
      <c r="C148" s="485"/>
      <c r="D148" s="485"/>
      <c r="E148" s="485"/>
      <c r="F148" s="485"/>
      <c r="G148" s="485"/>
      <c r="H148" s="485"/>
      <c r="I148" s="485"/>
      <c r="J148" s="485"/>
      <c r="K148" s="485"/>
      <c r="L148" s="485"/>
      <c r="M148" s="485"/>
      <c r="N148" s="485"/>
      <c r="O148" s="481"/>
      <c r="P148" s="485"/>
    </row>
    <row r="149" spans="3:16" ht="13.15" customHeight="1">
      <c r="C149" s="467"/>
      <c r="D149" s="482" t="s">
        <v>271</v>
      </c>
      <c r="E149" s="2508" t="s">
        <v>1345</v>
      </c>
      <c r="F149" s="2391"/>
      <c r="G149" s="2391"/>
      <c r="H149" s="2391"/>
      <c r="I149" s="2391"/>
      <c r="J149" s="2391"/>
      <c r="K149" s="2391"/>
      <c r="L149" s="2391"/>
      <c r="M149" s="2391"/>
      <c r="N149" s="2391"/>
      <c r="O149" s="481"/>
      <c r="P149" s="485"/>
    </row>
    <row r="150" spans="3:16">
      <c r="C150" s="485"/>
      <c r="D150" s="485"/>
      <c r="E150" s="927"/>
      <c r="F150" s="518"/>
      <c r="G150" s="577" t="str">
        <f>EUconst_Unit</f>
        <v>Unit</v>
      </c>
      <c r="H150" s="578">
        <f t="shared" ref="H150:N150" si="42">H$278</f>
        <v>2024</v>
      </c>
      <c r="I150" s="697">
        <f t="shared" si="42"/>
        <v>2025</v>
      </c>
      <c r="J150" s="1489">
        <f t="shared" si="42"/>
        <v>2026</v>
      </c>
      <c r="K150" s="1490">
        <f t="shared" si="42"/>
        <v>2027</v>
      </c>
      <c r="L150" s="1490">
        <f t="shared" si="42"/>
        <v>2028</v>
      </c>
      <c r="M150" s="1490">
        <f t="shared" si="42"/>
        <v>2029</v>
      </c>
      <c r="N150" s="1490">
        <f t="shared" si="42"/>
        <v>2030</v>
      </c>
      <c r="O150" s="481"/>
      <c r="P150" s="485"/>
    </row>
    <row r="151" spans="3:16" ht="12.6" customHeight="1">
      <c r="C151" s="485"/>
      <c r="D151" s="561" t="s">
        <v>6</v>
      </c>
      <c r="E151" s="2587" t="s">
        <v>1346</v>
      </c>
      <c r="F151" s="2410"/>
      <c r="G151" s="730" t="str">
        <f>EUconst_TJpa</f>
        <v>TJ / year</v>
      </c>
      <c r="H151" s="668" t="str">
        <f>IF(ISNUMBER(H146),IFERROR(H136/H141/(H136/H141+H137/H142)*H115,0),"")</f>
        <v/>
      </c>
      <c r="I151" s="1021" t="str">
        <f t="shared" ref="I151:N151" si="43">IF(ISNUMBER(I146),IFERROR(I136/I141/(I136/I141+I137/I142)*I115,0),"")</f>
        <v/>
      </c>
      <c r="J151" s="1491" t="str">
        <f t="shared" si="43"/>
        <v/>
      </c>
      <c r="K151" s="1492" t="str">
        <f t="shared" si="43"/>
        <v/>
      </c>
      <c r="L151" s="1492" t="str">
        <f t="shared" si="43"/>
        <v/>
      </c>
      <c r="M151" s="1492" t="str">
        <f t="shared" si="43"/>
        <v/>
      </c>
      <c r="N151" s="1492" t="str">
        <f t="shared" si="43"/>
        <v/>
      </c>
      <c r="O151" s="481"/>
      <c r="P151" s="485"/>
    </row>
    <row r="152" spans="3:16" ht="12.6" customHeight="1">
      <c r="C152" s="485"/>
      <c r="D152" s="561" t="s">
        <v>7</v>
      </c>
      <c r="E152" s="2587" t="s">
        <v>1347</v>
      </c>
      <c r="F152" s="2410"/>
      <c r="G152" s="730" t="str">
        <f>EUconst_TJpa</f>
        <v>TJ / year</v>
      </c>
      <c r="H152" s="668" t="str">
        <f>IF(ISNUMBER(H151),SUM(H115)-SUM(H151),"")</f>
        <v/>
      </c>
      <c r="I152" s="1021" t="str">
        <f t="shared" ref="I152:N152" si="44">IF(ISNUMBER(I151),SUM(I115)-SUM(I151),"")</f>
        <v/>
      </c>
      <c r="J152" s="1491" t="str">
        <f t="shared" si="44"/>
        <v/>
      </c>
      <c r="K152" s="1492" t="str">
        <f t="shared" si="44"/>
        <v/>
      </c>
      <c r="L152" s="1492" t="str">
        <f t="shared" si="44"/>
        <v/>
      </c>
      <c r="M152" s="1492" t="str">
        <f t="shared" si="44"/>
        <v/>
      </c>
      <c r="N152" s="1492" t="str">
        <f t="shared" si="44"/>
        <v/>
      </c>
      <c r="O152" s="481"/>
      <c r="P152" s="485"/>
    </row>
    <row r="153" spans="3:16">
      <c r="C153" s="485"/>
      <c r="D153" s="485"/>
      <c r="E153" s="952"/>
      <c r="F153" s="485"/>
      <c r="G153" s="485"/>
      <c r="H153" s="485"/>
      <c r="I153" s="485"/>
      <c r="J153" s="485"/>
      <c r="K153" s="485"/>
      <c r="L153" s="485"/>
      <c r="M153" s="485"/>
      <c r="N153" s="485"/>
      <c r="O153" s="481"/>
      <c r="P153" s="485"/>
    </row>
    <row r="154" spans="3:16" ht="15.6" customHeight="1">
      <c r="C154" s="507" t="s">
        <v>10</v>
      </c>
      <c r="D154" s="2408" t="s">
        <v>1244</v>
      </c>
      <c r="E154" s="2408"/>
      <c r="F154" s="2408"/>
      <c r="G154" s="2408"/>
      <c r="H154" s="2408"/>
      <c r="I154" s="2408"/>
      <c r="J154" s="2408"/>
      <c r="K154" s="2408"/>
      <c r="L154" s="2408"/>
      <c r="M154" s="2408"/>
      <c r="N154" s="2408"/>
      <c r="O154" s="481"/>
      <c r="P154" s="485"/>
    </row>
    <row r="155" spans="3:16" ht="5.0999999999999996" customHeight="1">
      <c r="C155" s="467"/>
      <c r="D155" s="467"/>
      <c r="E155" s="467"/>
      <c r="F155" s="467"/>
      <c r="G155" s="467"/>
      <c r="H155" s="467"/>
      <c r="I155" s="467"/>
      <c r="J155" s="467"/>
      <c r="K155" s="467"/>
      <c r="L155" s="467"/>
      <c r="M155" s="481"/>
      <c r="N155" s="481"/>
      <c r="O155" s="481"/>
      <c r="P155" s="485"/>
    </row>
    <row r="156" spans="3:16" ht="12.75" customHeight="1">
      <c r="C156" s="467"/>
      <c r="D156" s="1499"/>
      <c r="E156" s="2508" t="s">
        <v>1442</v>
      </c>
      <c r="F156" s="2508"/>
      <c r="G156" s="2508"/>
      <c r="H156" s="2508"/>
      <c r="I156" s="2508"/>
      <c r="J156" s="2508"/>
      <c r="K156" s="2508"/>
      <c r="L156" s="2580"/>
      <c r="M156" s="1247"/>
      <c r="N156" s="481"/>
      <c r="O156" s="481"/>
      <c r="P156" s="9"/>
    </row>
    <row r="157" spans="3:16" ht="13.15" customHeight="1">
      <c r="C157" s="467"/>
      <c r="D157" s="485"/>
      <c r="E157" s="2385" t="s">
        <v>1632</v>
      </c>
      <c r="F157" s="2846"/>
      <c r="G157" s="2846"/>
      <c r="H157" s="2846"/>
      <c r="I157" s="2846"/>
      <c r="J157" s="2846"/>
      <c r="K157" s="2846"/>
      <c r="L157" s="2846"/>
      <c r="M157" s="2846"/>
      <c r="N157" s="2846"/>
      <c r="O157" s="481"/>
      <c r="P157" s="485"/>
    </row>
    <row r="158" spans="3:16" ht="13.15" customHeight="1">
      <c r="C158" s="467"/>
      <c r="D158" s="485"/>
      <c r="E158" s="2385" t="s">
        <v>1060</v>
      </c>
      <c r="F158" s="2846"/>
      <c r="G158" s="2846"/>
      <c r="H158" s="2846"/>
      <c r="I158" s="2846"/>
      <c r="J158" s="2846"/>
      <c r="K158" s="2846"/>
      <c r="L158" s="2846"/>
      <c r="M158" s="2846"/>
      <c r="N158" s="2846"/>
      <c r="O158" s="481"/>
      <c r="P158" s="485"/>
    </row>
    <row r="159" spans="3:16" ht="13.15" customHeight="1">
      <c r="C159" s="467"/>
      <c r="D159" s="485"/>
      <c r="E159" s="2385" t="s">
        <v>1425</v>
      </c>
      <c r="F159" s="2846"/>
      <c r="G159" s="2846"/>
      <c r="H159" s="2846"/>
      <c r="I159" s="2846"/>
      <c r="J159" s="2846"/>
      <c r="K159" s="2846"/>
      <c r="L159" s="2846"/>
      <c r="M159" s="2846"/>
      <c r="N159" s="2846"/>
      <c r="O159" s="481"/>
      <c r="P159" s="485"/>
    </row>
    <row r="160" spans="3:16" ht="13.15" customHeight="1">
      <c r="C160" s="467"/>
      <c r="D160" s="485"/>
      <c r="E160" s="2385" t="s">
        <v>1061</v>
      </c>
      <c r="F160" s="2846"/>
      <c r="G160" s="2846"/>
      <c r="H160" s="2846"/>
      <c r="I160" s="2846"/>
      <c r="J160" s="2846"/>
      <c r="K160" s="2846"/>
      <c r="L160" s="2846"/>
      <c r="M160" s="2846"/>
      <c r="N160" s="2846"/>
      <c r="O160" s="481"/>
      <c r="P160" s="485"/>
    </row>
    <row r="161" spans="3:37" ht="25.5" customHeight="1">
      <c r="C161" s="467"/>
      <c r="D161" s="485"/>
      <c r="E161" s="1088" t="s">
        <v>1021</v>
      </c>
      <c r="F161" s="2850" t="s">
        <v>374</v>
      </c>
      <c r="G161" s="3048"/>
      <c r="H161" s="3048"/>
      <c r="I161" s="3048"/>
      <c r="J161" s="3048"/>
      <c r="K161" s="3048"/>
      <c r="L161" s="3048"/>
      <c r="M161" s="3048"/>
      <c r="N161" s="3048"/>
      <c r="O161" s="481"/>
      <c r="P161" s="485"/>
      <c r="Q161" s="1249"/>
    </row>
    <row r="162" spans="3:37" ht="13.15" customHeight="1">
      <c r="C162" s="467"/>
      <c r="D162" s="485"/>
      <c r="E162" s="1088" t="s">
        <v>1021</v>
      </c>
      <c r="F162" s="2385" t="s">
        <v>1066</v>
      </c>
      <c r="G162" s="2846"/>
      <c r="H162" s="2846"/>
      <c r="I162" s="2846"/>
      <c r="J162" s="2846"/>
      <c r="K162" s="2846"/>
      <c r="L162" s="2846"/>
      <c r="M162" s="2846"/>
      <c r="N162" s="2846"/>
      <c r="O162" s="481"/>
      <c r="P162" s="485"/>
      <c r="Q162" s="1249"/>
    </row>
    <row r="163" spans="3:37" ht="13.15" customHeight="1">
      <c r="C163" s="467"/>
      <c r="D163" s="485"/>
      <c r="E163" s="1088" t="s">
        <v>1021</v>
      </c>
      <c r="F163" s="2385" t="s">
        <v>1065</v>
      </c>
      <c r="G163" s="2846"/>
      <c r="H163" s="2846"/>
      <c r="I163" s="2846"/>
      <c r="J163" s="2846"/>
      <c r="K163" s="2846"/>
      <c r="L163" s="2846"/>
      <c r="M163" s="2846"/>
      <c r="N163" s="2846"/>
      <c r="O163" s="481"/>
      <c r="P163" s="485"/>
      <c r="Q163" s="1249"/>
    </row>
    <row r="164" spans="3:37" ht="25.5" customHeight="1">
      <c r="C164" s="467"/>
      <c r="D164" s="485"/>
      <c r="E164" s="1088" t="s">
        <v>1021</v>
      </c>
      <c r="F164" s="2850" t="s">
        <v>1633</v>
      </c>
      <c r="G164" s="3048"/>
      <c r="H164" s="3048"/>
      <c r="I164" s="3048"/>
      <c r="J164" s="3048"/>
      <c r="K164" s="3048"/>
      <c r="L164" s="3048"/>
      <c r="M164" s="3048"/>
      <c r="N164" s="3048"/>
      <c r="O164" s="481"/>
      <c r="P164" s="485"/>
      <c r="Q164" s="1249"/>
    </row>
    <row r="165" spans="3:37" ht="13.15" customHeight="1">
      <c r="C165" s="467"/>
      <c r="D165" s="485"/>
      <c r="E165" s="1088" t="s">
        <v>1021</v>
      </c>
      <c r="F165" s="2385" t="s">
        <v>1064</v>
      </c>
      <c r="G165" s="2846"/>
      <c r="H165" s="2846"/>
      <c r="I165" s="2846"/>
      <c r="J165" s="2846"/>
      <c r="K165" s="2846"/>
      <c r="L165" s="2846"/>
      <c r="M165" s="2846"/>
      <c r="N165" s="2846"/>
      <c r="O165" s="481"/>
      <c r="P165" s="485"/>
      <c r="Q165" s="1249"/>
    </row>
    <row r="166" spans="3:37" ht="13.15" customHeight="1">
      <c r="C166" s="485"/>
      <c r="D166" s="485"/>
      <c r="E166" s="2385" t="s">
        <v>782</v>
      </c>
      <c r="F166" s="2846"/>
      <c r="G166" s="2846"/>
      <c r="H166" s="2846"/>
      <c r="I166" s="2846"/>
      <c r="J166" s="2846"/>
      <c r="K166" s="2846"/>
      <c r="L166" s="2846"/>
      <c r="M166" s="2846"/>
      <c r="N166" s="2846"/>
      <c r="O166" s="481"/>
      <c r="P166" s="485"/>
    </row>
    <row r="167" spans="3:37" ht="5.0999999999999996" customHeight="1">
      <c r="C167" s="467"/>
      <c r="D167" s="467"/>
      <c r="E167" s="467"/>
      <c r="F167" s="467"/>
      <c r="G167" s="467"/>
      <c r="H167" s="467"/>
      <c r="I167" s="467"/>
      <c r="J167" s="467"/>
      <c r="K167" s="467"/>
      <c r="L167" s="467"/>
      <c r="M167" s="481"/>
      <c r="N167" s="481"/>
      <c r="O167" s="481"/>
      <c r="P167" s="485"/>
      <c r="Q167" s="1249"/>
    </row>
    <row r="168" spans="3:37" ht="15" customHeight="1">
      <c r="C168" s="559">
        <v>1</v>
      </c>
      <c r="D168" s="2482" t="s">
        <v>1328</v>
      </c>
      <c r="E168" s="2400"/>
      <c r="F168" s="2400"/>
      <c r="G168" s="2400"/>
      <c r="H168" s="2400"/>
      <c r="I168" s="2400"/>
      <c r="J168" s="2400"/>
      <c r="K168" s="2400"/>
      <c r="L168" s="2400"/>
      <c r="M168" s="2400"/>
      <c r="N168" s="2400"/>
      <c r="O168" s="481"/>
      <c r="P168" s="485"/>
      <c r="Q168" s="1249"/>
      <c r="Y168" s="1435" t="s">
        <v>1117</v>
      </c>
    </row>
    <row r="169" spans="3:37" ht="5.0999999999999996" customHeight="1" thickBot="1">
      <c r="C169" s="467"/>
      <c r="D169" s="467"/>
      <c r="E169" s="467"/>
      <c r="F169" s="467"/>
      <c r="G169" s="467"/>
      <c r="H169" s="467"/>
      <c r="I169" s="467"/>
      <c r="J169" s="467"/>
      <c r="K169" s="467"/>
      <c r="L169" s="467"/>
      <c r="M169" s="481"/>
      <c r="N169" s="481"/>
      <c r="O169" s="481"/>
      <c r="P169" s="485"/>
      <c r="Q169" s="1249"/>
    </row>
    <row r="170" spans="3:37" ht="13.9" customHeight="1">
      <c r="C170" s="467"/>
      <c r="D170" s="482" t="s">
        <v>400</v>
      </c>
      <c r="E170" s="2373" t="s">
        <v>992</v>
      </c>
      <c r="F170" s="2373"/>
      <c r="G170" s="2373"/>
      <c r="H170" s="2373"/>
      <c r="I170" s="2373"/>
      <c r="J170" s="2373"/>
      <c r="K170" s="2604"/>
      <c r="L170" s="3185" t="str">
        <f>c_ALR2025!L200</f>
        <v/>
      </c>
      <c r="M170" s="3186"/>
      <c r="N170" s="3187"/>
      <c r="O170" s="481"/>
      <c r="P170" s="9"/>
      <c r="Q170" s="1249"/>
      <c r="Y170" s="1526" t="b">
        <f>AND(M156&lt;&gt;"",M156=FALSE)</f>
        <v>0</v>
      </c>
      <c r="AJ170" s="1161" t="s">
        <v>1954</v>
      </c>
      <c r="AK170" s="1303" t="str">
        <f>IF(AND(CNTR_HasEntries_A_I,Y170=FALSE,L170=""),4,"")</f>
        <v/>
      </c>
    </row>
    <row r="171" spans="3:37" ht="13.15" customHeight="1">
      <c r="C171" s="485"/>
      <c r="D171" s="485"/>
      <c r="E171" s="2385" t="s">
        <v>783</v>
      </c>
      <c r="F171" s="2846"/>
      <c r="G171" s="2846"/>
      <c r="H171" s="2846"/>
      <c r="I171" s="2846"/>
      <c r="J171" s="2846"/>
      <c r="K171" s="2846"/>
      <c r="L171" s="2846"/>
      <c r="M171" s="2846"/>
      <c r="N171" s="2846"/>
      <c r="O171" s="481"/>
      <c r="P171" s="485"/>
      <c r="Y171" s="1481"/>
    </row>
    <row r="172" spans="3:37" ht="13.15" customHeight="1">
      <c r="C172" s="485"/>
      <c r="D172" s="485"/>
      <c r="E172" s="2385" t="s">
        <v>655</v>
      </c>
      <c r="F172" s="2846"/>
      <c r="G172" s="2846"/>
      <c r="H172" s="2846"/>
      <c r="I172" s="2846"/>
      <c r="J172" s="2846"/>
      <c r="K172" s="2846"/>
      <c r="L172" s="2846"/>
      <c r="M172" s="2846"/>
      <c r="N172" s="2846"/>
      <c r="O172" s="481"/>
      <c r="P172" s="485"/>
      <c r="Y172" s="1481"/>
    </row>
    <row r="173" spans="3:37" ht="5.0999999999999996" customHeight="1">
      <c r="C173" s="467"/>
      <c r="D173" s="467"/>
      <c r="E173" s="467"/>
      <c r="F173" s="467"/>
      <c r="G173" s="467"/>
      <c r="H173" s="467"/>
      <c r="I173" s="467"/>
      <c r="J173" s="467"/>
      <c r="K173" s="467"/>
      <c r="L173" s="467"/>
      <c r="M173" s="481"/>
      <c r="N173" s="481"/>
      <c r="O173" s="481"/>
      <c r="P173" s="485"/>
      <c r="Q173" s="1249"/>
      <c r="Y173" s="1481"/>
    </row>
    <row r="174" spans="3:37" ht="13.9" customHeight="1">
      <c r="C174" s="467"/>
      <c r="D174" s="482" t="s">
        <v>876</v>
      </c>
      <c r="E174" s="2373" t="s">
        <v>993</v>
      </c>
      <c r="F174" s="2373"/>
      <c r="G174" s="2373"/>
      <c r="H174" s="2373"/>
      <c r="I174" s="2373"/>
      <c r="J174" s="2373"/>
      <c r="K174" s="2604"/>
      <c r="L174" s="3200"/>
      <c r="M174" s="3201"/>
      <c r="N174" s="3202"/>
      <c r="O174" s="481"/>
      <c r="P174" s="9"/>
      <c r="Q174" s="1249"/>
      <c r="Y174" s="1500" t="b">
        <f>Y170</f>
        <v>0</v>
      </c>
      <c r="AJ174" s="1161" t="s">
        <v>1954</v>
      </c>
      <c r="AK174" s="1303" t="str">
        <f>IF(AND(CNTR_HasEntries_A_I,Y174=FALSE,L174=""),4,"")</f>
        <v/>
      </c>
    </row>
    <row r="175" spans="3:37" ht="5.0999999999999996" customHeight="1">
      <c r="C175" s="467"/>
      <c r="D175" s="467"/>
      <c r="E175" s="467"/>
      <c r="F175" s="467"/>
      <c r="G175" s="467"/>
      <c r="H175" s="467"/>
      <c r="I175" s="467"/>
      <c r="J175" s="467"/>
      <c r="K175" s="467"/>
      <c r="L175" s="467"/>
      <c r="M175" s="481"/>
      <c r="N175" s="481"/>
      <c r="O175" s="481"/>
      <c r="P175" s="485"/>
      <c r="Q175" s="1249"/>
      <c r="Y175" s="1481"/>
    </row>
    <row r="176" spans="3:37">
      <c r="C176" s="467"/>
      <c r="D176" s="482" t="s">
        <v>48</v>
      </c>
      <c r="E176" s="2373" t="s">
        <v>1062</v>
      </c>
      <c r="F176" s="2400"/>
      <c r="G176" s="2585"/>
      <c r="H176" s="3191" t="str">
        <f>c_ALR2025!H201</f>
        <v/>
      </c>
      <c r="I176" s="3192"/>
      <c r="J176" s="3192"/>
      <c r="K176" s="3192"/>
      <c r="L176" s="3192"/>
      <c r="M176" s="3192"/>
      <c r="N176" s="3193"/>
      <c r="O176" s="481"/>
      <c r="P176" s="9"/>
      <c r="Q176" s="1249"/>
      <c r="Y176" s="1500" t="b">
        <f>Y174</f>
        <v>0</v>
      </c>
      <c r="AJ176" s="1161" t="s">
        <v>1954</v>
      </c>
      <c r="AK176" s="1303" t="str">
        <f>IF(AND(CNTR_HasEntries_A_I,Y176=FALSE,H176=""),4,"")</f>
        <v/>
      </c>
    </row>
    <row r="177" spans="3:37" ht="13.15" customHeight="1">
      <c r="C177" s="485"/>
      <c r="D177" s="485"/>
      <c r="E177" s="2385" t="s">
        <v>571</v>
      </c>
      <c r="F177" s="2846"/>
      <c r="G177" s="2846"/>
      <c r="H177" s="2846"/>
      <c r="I177" s="2846"/>
      <c r="J177" s="2846"/>
      <c r="K177" s="2846"/>
      <c r="L177" s="2846"/>
      <c r="M177" s="2846"/>
      <c r="N177" s="2846"/>
      <c r="O177" s="481"/>
      <c r="P177" s="485"/>
      <c r="Y177" s="1481"/>
    </row>
    <row r="178" spans="3:37" ht="13.15" customHeight="1">
      <c r="C178" s="485"/>
      <c r="D178" s="485"/>
      <c r="E178" s="3203" t="s">
        <v>1536</v>
      </c>
      <c r="F178" s="3204"/>
      <c r="G178" s="3204"/>
      <c r="H178" s="3204"/>
      <c r="I178" s="3204"/>
      <c r="J178" s="3204"/>
      <c r="K178" s="3204"/>
      <c r="L178" s="3204"/>
      <c r="M178" s="3204"/>
      <c r="N178" s="3204"/>
      <c r="O178" s="481"/>
      <c r="P178" s="485"/>
      <c r="Y178" s="1481"/>
    </row>
    <row r="179" spans="3:37">
      <c r="C179" s="467"/>
      <c r="D179" s="482"/>
      <c r="E179" s="3194"/>
      <c r="F179" s="3195"/>
      <c r="G179" s="3195"/>
      <c r="H179" s="3195"/>
      <c r="I179" s="3195"/>
      <c r="J179" s="3195"/>
      <c r="K179" s="3195"/>
      <c r="L179" s="3195"/>
      <c r="M179" s="3195"/>
      <c r="N179" s="3196"/>
      <c r="O179" s="481"/>
      <c r="P179" s="9"/>
      <c r="Q179" s="1249"/>
      <c r="Y179" s="1500" t="b">
        <f>Y176</f>
        <v>0</v>
      </c>
    </row>
    <row r="180" spans="3:37">
      <c r="C180" s="467"/>
      <c r="D180" s="482"/>
      <c r="E180" s="3197"/>
      <c r="F180" s="3198"/>
      <c r="G180" s="3198"/>
      <c r="H180" s="3198"/>
      <c r="I180" s="3198"/>
      <c r="J180" s="3198"/>
      <c r="K180" s="3198"/>
      <c r="L180" s="3198"/>
      <c r="M180" s="3198"/>
      <c r="N180" s="3199"/>
      <c r="O180" s="481"/>
      <c r="P180" s="485"/>
      <c r="Q180" s="1249"/>
      <c r="Y180" s="1500" t="b">
        <f>Y179</f>
        <v>0</v>
      </c>
    </row>
    <row r="181" spans="3:37" ht="5.0999999999999996" customHeight="1">
      <c r="C181" s="467"/>
      <c r="D181" s="467"/>
      <c r="E181" s="467"/>
      <c r="F181" s="467"/>
      <c r="G181" s="467"/>
      <c r="H181" s="467"/>
      <c r="I181" s="467"/>
      <c r="J181" s="467"/>
      <c r="K181" s="467"/>
      <c r="L181" s="467"/>
      <c r="M181" s="481"/>
      <c r="N181" s="481"/>
      <c r="O181" s="481"/>
      <c r="P181" s="485"/>
      <c r="Q181" s="1249"/>
      <c r="Y181" s="1481"/>
    </row>
    <row r="182" spans="3:37" ht="13.15" customHeight="1">
      <c r="C182" s="467"/>
      <c r="D182" s="482" t="s">
        <v>881</v>
      </c>
      <c r="E182" s="2373" t="s">
        <v>225</v>
      </c>
      <c r="F182" s="2400"/>
      <c r="G182" s="2400"/>
      <c r="H182" s="2400"/>
      <c r="I182" s="2400"/>
      <c r="J182" s="2400"/>
      <c r="K182" s="2400"/>
      <c r="L182" s="2400"/>
      <c r="M182" s="2400"/>
      <c r="N182" s="2400"/>
      <c r="O182" s="481"/>
      <c r="P182" s="485"/>
      <c r="Q182" s="1249"/>
      <c r="Y182" s="1481"/>
    </row>
    <row r="183" spans="3:37" ht="13.15" customHeight="1">
      <c r="C183" s="467"/>
      <c r="D183" s="485"/>
      <c r="E183" s="2385" t="s">
        <v>1511</v>
      </c>
      <c r="F183" s="2846"/>
      <c r="G183" s="2846"/>
      <c r="H183" s="2846"/>
      <c r="I183" s="2846"/>
      <c r="J183" s="2846"/>
      <c r="K183" s="2846"/>
      <c r="L183" s="2846"/>
      <c r="M183" s="2846"/>
      <c r="N183" s="2846"/>
      <c r="O183" s="481"/>
      <c r="P183" s="485"/>
      <c r="Q183" s="1249"/>
      <c r="Y183" s="1481"/>
    </row>
    <row r="184" spans="3:37">
      <c r="C184" s="485"/>
      <c r="D184" s="482"/>
      <c r="E184" s="636"/>
      <c r="F184" s="637"/>
      <c r="G184" s="577" t="str">
        <f>EUconst_Unit</f>
        <v>Unit</v>
      </c>
      <c r="H184" s="578">
        <f t="shared" ref="H184:N184" si="45">H$278</f>
        <v>2024</v>
      </c>
      <c r="I184" s="697">
        <f t="shared" si="45"/>
        <v>2025</v>
      </c>
      <c r="J184" s="1489">
        <f t="shared" si="45"/>
        <v>2026</v>
      </c>
      <c r="K184" s="1490">
        <f t="shared" si="45"/>
        <v>2027</v>
      </c>
      <c r="L184" s="1490">
        <f t="shared" si="45"/>
        <v>2028</v>
      </c>
      <c r="M184" s="1490">
        <f t="shared" si="45"/>
        <v>2029</v>
      </c>
      <c r="N184" s="1490">
        <f t="shared" si="45"/>
        <v>2030</v>
      </c>
      <c r="O184" s="481"/>
      <c r="P184" s="485"/>
      <c r="Y184" s="1481"/>
    </row>
    <row r="185" spans="3:37" ht="12.6" customHeight="1">
      <c r="C185" s="485"/>
      <c r="D185" s="485"/>
      <c r="E185" s="2788" t="s">
        <v>373</v>
      </c>
      <c r="F185" s="2410"/>
      <c r="G185" s="730" t="str">
        <f>EUconst_tCO2epa</f>
        <v>t CO2e/year</v>
      </c>
      <c r="H185" s="1479" t="str">
        <f>c_ALR2025!M203</f>
        <v/>
      </c>
      <c r="I185" s="1530"/>
      <c r="J185" s="1491"/>
      <c r="K185" s="1492"/>
      <c r="L185" s="1492"/>
      <c r="M185" s="1492"/>
      <c r="N185" s="1492"/>
      <c r="O185" s="481"/>
      <c r="P185" s="9"/>
      <c r="Y185" s="1500" t="b">
        <f>Y180</f>
        <v>0</v>
      </c>
      <c r="AJ185" s="1161" t="s">
        <v>1954</v>
      </c>
      <c r="AK185" s="1303" t="str">
        <f>IF(AND(CNTR_HasEntries_A_I,Y185=FALSE,COUNTIFS($AB$21:$AH$21,FALSE,H185:N185,"")&gt;0),4,"")</f>
        <v/>
      </c>
    </row>
    <row r="186" spans="3:37" ht="5.0999999999999996" customHeight="1">
      <c r="C186" s="467"/>
      <c r="D186" s="467"/>
      <c r="E186" s="467"/>
      <c r="F186" s="467"/>
      <c r="G186" s="467"/>
      <c r="H186" s="467"/>
      <c r="I186" s="467"/>
      <c r="J186" s="467"/>
      <c r="K186" s="467"/>
      <c r="L186" s="467"/>
      <c r="M186" s="467"/>
      <c r="N186" s="481"/>
      <c r="O186" s="481"/>
      <c r="P186" s="485"/>
      <c r="Q186" s="1249"/>
      <c r="Y186" s="1481"/>
    </row>
    <row r="187" spans="3:37" ht="13.15" customHeight="1">
      <c r="C187" s="467"/>
      <c r="D187" s="482" t="s">
        <v>57</v>
      </c>
      <c r="E187" s="2508" t="s">
        <v>656</v>
      </c>
      <c r="F187" s="2391"/>
      <c r="G187" s="2391"/>
      <c r="H187" s="2391"/>
      <c r="I187" s="2391"/>
      <c r="J187" s="2391"/>
      <c r="K187" s="2391"/>
      <c r="L187" s="2391"/>
      <c r="M187" s="2391"/>
      <c r="N187" s="2391"/>
      <c r="O187" s="481"/>
      <c r="P187" s="485"/>
      <c r="Q187" s="1249"/>
      <c r="Y187" s="1481"/>
    </row>
    <row r="188" spans="3:37" ht="12.6" customHeight="1">
      <c r="C188" s="467"/>
      <c r="D188" s="485"/>
      <c r="E188" s="2850" t="s">
        <v>658</v>
      </c>
      <c r="F188" s="2380"/>
      <c r="G188" s="2380"/>
      <c r="H188" s="2380"/>
      <c r="I188" s="2380"/>
      <c r="J188" s="2380"/>
      <c r="K188" s="2380"/>
      <c r="L188" s="2380"/>
      <c r="M188" s="2380"/>
      <c r="N188" s="2380"/>
      <c r="O188" s="481"/>
      <c r="P188" s="485"/>
      <c r="Q188" s="1249"/>
      <c r="Y188" s="1481"/>
    </row>
    <row r="189" spans="3:37" ht="12.6" customHeight="1">
      <c r="C189" s="467"/>
      <c r="D189" s="485"/>
      <c r="E189" s="2850" t="s">
        <v>764</v>
      </c>
      <c r="F189" s="2380"/>
      <c r="G189" s="2380"/>
      <c r="H189" s="2380"/>
      <c r="I189" s="2380"/>
      <c r="J189" s="2380"/>
      <c r="K189" s="2380"/>
      <c r="L189" s="2380"/>
      <c r="M189" s="2380"/>
      <c r="N189" s="2380"/>
      <c r="O189" s="481"/>
      <c r="P189" s="485"/>
      <c r="Q189" s="1249"/>
      <c r="Y189" s="1481"/>
    </row>
    <row r="190" spans="3:37" ht="13.15" customHeight="1">
      <c r="C190" s="485"/>
      <c r="D190" s="482"/>
      <c r="E190" s="2509" t="s">
        <v>657</v>
      </c>
      <c r="F190" s="2493"/>
      <c r="G190" s="577" t="str">
        <f>EUconst_Unit</f>
        <v>Unit</v>
      </c>
      <c r="H190" s="578">
        <f t="shared" ref="H190:N190" si="46">H$278</f>
        <v>2024</v>
      </c>
      <c r="I190" s="697">
        <f t="shared" si="46"/>
        <v>2025</v>
      </c>
      <c r="J190" s="1489">
        <f t="shared" si="46"/>
        <v>2026</v>
      </c>
      <c r="K190" s="1490">
        <f t="shared" si="46"/>
        <v>2027</v>
      </c>
      <c r="L190" s="1490">
        <f t="shared" si="46"/>
        <v>2028</v>
      </c>
      <c r="M190" s="1490">
        <f t="shared" si="46"/>
        <v>2029</v>
      </c>
      <c r="N190" s="1490">
        <f t="shared" si="46"/>
        <v>2030</v>
      </c>
      <c r="O190" s="481"/>
      <c r="P190" s="485"/>
      <c r="Y190" s="1481"/>
    </row>
    <row r="191" spans="3:37" ht="12.6" customHeight="1">
      <c r="C191" s="485"/>
      <c r="D191" s="485"/>
      <c r="E191" s="2788" t="s">
        <v>375</v>
      </c>
      <c r="F191" s="2410"/>
      <c r="G191" s="730" t="str">
        <f>EUconst_tCO2epa</f>
        <v>t CO2e/year</v>
      </c>
      <c r="H191" s="1479" t="str">
        <f>c_ALR2025!M204</f>
        <v/>
      </c>
      <c r="I191" s="1531"/>
      <c r="J191" s="1491"/>
      <c r="K191" s="1492"/>
      <c r="L191" s="1492"/>
      <c r="M191" s="1492"/>
      <c r="N191" s="1492"/>
      <c r="O191" s="481"/>
      <c r="P191" s="9"/>
      <c r="Y191" s="1500" t="b">
        <f>Y185</f>
        <v>0</v>
      </c>
    </row>
    <row r="192" spans="3:37" ht="5.0999999999999996" customHeight="1">
      <c r="C192" s="467"/>
      <c r="D192" s="467"/>
      <c r="E192" s="467"/>
      <c r="F192" s="467"/>
      <c r="G192" s="467"/>
      <c r="H192" s="467"/>
      <c r="I192" s="467"/>
      <c r="J192" s="467"/>
      <c r="K192" s="467"/>
      <c r="L192" s="467"/>
      <c r="M192" s="467"/>
      <c r="N192" s="481"/>
      <c r="O192" s="481"/>
      <c r="P192" s="485"/>
      <c r="Q192" s="1249"/>
      <c r="Y192" s="1481"/>
    </row>
    <row r="193" spans="3:37" ht="13.15" customHeight="1">
      <c r="C193" s="467"/>
      <c r="D193" s="482" t="s">
        <v>58</v>
      </c>
      <c r="E193" s="2508" t="s">
        <v>226</v>
      </c>
      <c r="F193" s="2391"/>
      <c r="G193" s="2391"/>
      <c r="H193" s="2391"/>
      <c r="I193" s="2391"/>
      <c r="J193" s="2391"/>
      <c r="K193" s="2391"/>
      <c r="L193" s="2391"/>
      <c r="M193" s="2391"/>
      <c r="N193" s="2391"/>
      <c r="O193" s="481"/>
      <c r="P193" s="485"/>
      <c r="Q193" s="1249"/>
      <c r="Y193" s="1481"/>
    </row>
    <row r="194" spans="3:37" ht="12.75" customHeight="1">
      <c r="C194" s="467"/>
      <c r="D194" s="485"/>
      <c r="E194" s="2850" t="s">
        <v>1511</v>
      </c>
      <c r="F194" s="2380"/>
      <c r="G194" s="2380"/>
      <c r="H194" s="2380"/>
      <c r="I194" s="2380"/>
      <c r="J194" s="2380"/>
      <c r="K194" s="2380"/>
      <c r="L194" s="2380"/>
      <c r="M194" s="2380"/>
      <c r="N194" s="2380"/>
      <c r="O194" s="481"/>
      <c r="P194" s="485"/>
      <c r="Q194" s="1249"/>
      <c r="Y194" s="1481"/>
    </row>
    <row r="195" spans="3:37" ht="12.6" customHeight="1">
      <c r="C195" s="467"/>
      <c r="D195" s="485"/>
      <c r="E195" s="2850" t="s">
        <v>765</v>
      </c>
      <c r="F195" s="2380"/>
      <c r="G195" s="2380"/>
      <c r="H195" s="2380"/>
      <c r="I195" s="2380"/>
      <c r="J195" s="2380"/>
      <c r="K195" s="2380"/>
      <c r="L195" s="2380"/>
      <c r="M195" s="2380"/>
      <c r="N195" s="2380"/>
      <c r="O195" s="481"/>
      <c r="P195" s="485"/>
      <c r="Q195" s="1249"/>
      <c r="Y195" s="1481"/>
    </row>
    <row r="196" spans="3:37" ht="12.6" customHeight="1">
      <c r="C196" s="467"/>
      <c r="D196" s="485"/>
      <c r="E196" s="2850" t="s">
        <v>95</v>
      </c>
      <c r="F196" s="2380"/>
      <c r="G196" s="2380"/>
      <c r="H196" s="2380"/>
      <c r="I196" s="2380"/>
      <c r="J196" s="2380"/>
      <c r="K196" s="2380"/>
      <c r="L196" s="2380"/>
      <c r="M196" s="2380"/>
      <c r="N196" s="2380"/>
      <c r="O196" s="481"/>
      <c r="P196" s="485"/>
      <c r="Q196" s="1249"/>
      <c r="Y196" s="1481"/>
    </row>
    <row r="197" spans="3:37" ht="13.15" customHeight="1">
      <c r="C197" s="485"/>
      <c r="D197" s="482"/>
      <c r="E197" s="2509" t="s">
        <v>376</v>
      </c>
      <c r="F197" s="2493"/>
      <c r="G197" s="577" t="str">
        <f>EUconst_Unit</f>
        <v>Unit</v>
      </c>
      <c r="H197" s="578">
        <f t="shared" ref="H197:N197" si="47">H$278</f>
        <v>2024</v>
      </c>
      <c r="I197" s="697">
        <f t="shared" si="47"/>
        <v>2025</v>
      </c>
      <c r="J197" s="1489">
        <f t="shared" si="47"/>
        <v>2026</v>
      </c>
      <c r="K197" s="1490">
        <f t="shared" si="47"/>
        <v>2027</v>
      </c>
      <c r="L197" s="1490">
        <f t="shared" si="47"/>
        <v>2028</v>
      </c>
      <c r="M197" s="1490">
        <f t="shared" si="47"/>
        <v>2029</v>
      </c>
      <c r="N197" s="1490">
        <f t="shared" si="47"/>
        <v>2030</v>
      </c>
      <c r="O197" s="481"/>
      <c r="P197" s="485"/>
      <c r="Y197" s="1481"/>
    </row>
    <row r="198" spans="3:37" ht="12.6" customHeight="1">
      <c r="C198" s="485"/>
      <c r="D198" s="485"/>
      <c r="E198" s="2788" t="s">
        <v>375</v>
      </c>
      <c r="F198" s="2410"/>
      <c r="G198" s="1501" t="str">
        <f>c_ALR2025!G205</f>
        <v/>
      </c>
      <c r="H198" s="1479" t="str">
        <f>c_ALR2025!M205</f>
        <v/>
      </c>
      <c r="I198" s="1530"/>
      <c r="J198" s="1491"/>
      <c r="K198" s="1492"/>
      <c r="L198" s="1492"/>
      <c r="M198" s="1492"/>
      <c r="N198" s="1492"/>
      <c r="O198" s="481"/>
      <c r="P198" s="9"/>
      <c r="Y198" s="1500" t="b">
        <f>Y191</f>
        <v>0</v>
      </c>
      <c r="AJ198" s="1161" t="s">
        <v>1954</v>
      </c>
      <c r="AK198" s="1303" t="str">
        <f>IF(AND(CNTR_HasEntries_A_I,Y198=FALSE,COUNTIFS($AB$21:$AH$21,FALSE,H198:N198,"")&gt;0),4,"")</f>
        <v/>
      </c>
    </row>
    <row r="199" spans="3:37" ht="5.0999999999999996" customHeight="1">
      <c r="C199" s="467"/>
      <c r="D199" s="467"/>
      <c r="E199" s="467"/>
      <c r="F199" s="467"/>
      <c r="G199" s="467"/>
      <c r="H199" s="467"/>
      <c r="I199" s="467"/>
      <c r="J199" s="467"/>
      <c r="K199" s="467"/>
      <c r="L199" s="467"/>
      <c r="M199" s="467"/>
      <c r="N199" s="481"/>
      <c r="O199" s="481"/>
      <c r="P199" s="485"/>
      <c r="Q199" s="1249"/>
      <c r="Y199" s="1481"/>
    </row>
    <row r="200" spans="3:37" ht="13.15" customHeight="1">
      <c r="C200" s="467"/>
      <c r="D200" s="482" t="s">
        <v>266</v>
      </c>
      <c r="E200" s="2508" t="s">
        <v>1063</v>
      </c>
      <c r="F200" s="2391"/>
      <c r="G200" s="2391"/>
      <c r="H200" s="2391"/>
      <c r="I200" s="2391"/>
      <c r="J200" s="2391"/>
      <c r="K200" s="2391"/>
      <c r="L200" s="2391"/>
      <c r="M200" s="2391"/>
      <c r="N200" s="2391"/>
      <c r="O200" s="481"/>
      <c r="P200" s="485"/>
      <c r="Q200" s="1249"/>
      <c r="Y200" s="1481"/>
    </row>
    <row r="201" spans="3:37" ht="12.6" customHeight="1">
      <c r="C201" s="467"/>
      <c r="D201" s="485"/>
      <c r="E201" s="2850" t="s">
        <v>662</v>
      </c>
      <c r="F201" s="2380"/>
      <c r="G201" s="2380"/>
      <c r="H201" s="2380"/>
      <c r="I201" s="2380"/>
      <c r="J201" s="2380"/>
      <c r="K201" s="2380"/>
      <c r="L201" s="2380"/>
      <c r="M201" s="2380"/>
      <c r="N201" s="2380"/>
      <c r="O201" s="481"/>
      <c r="P201" s="485"/>
      <c r="Q201" s="1249"/>
      <c r="R201" s="1502" t="s">
        <v>1330</v>
      </c>
      <c r="Y201" s="1481"/>
    </row>
    <row r="202" spans="3:37">
      <c r="C202" s="485"/>
      <c r="D202" s="482"/>
      <c r="E202" s="637"/>
      <c r="F202" s="637"/>
      <c r="G202" s="577" t="str">
        <f>EUconst_Unit</f>
        <v>Unit</v>
      </c>
      <c r="H202" s="578">
        <f t="shared" ref="H202:N202" si="48">H$278</f>
        <v>2024</v>
      </c>
      <c r="I202" s="697">
        <f t="shared" si="48"/>
        <v>2025</v>
      </c>
      <c r="J202" s="1489">
        <f t="shared" si="48"/>
        <v>2026</v>
      </c>
      <c r="K202" s="1490">
        <f t="shared" si="48"/>
        <v>2027</v>
      </c>
      <c r="L202" s="1490">
        <f t="shared" si="48"/>
        <v>2028</v>
      </c>
      <c r="M202" s="1490">
        <f t="shared" si="48"/>
        <v>2029</v>
      </c>
      <c r="N202" s="1490">
        <f t="shared" si="48"/>
        <v>2030</v>
      </c>
      <c r="O202" s="481"/>
      <c r="P202" s="485"/>
      <c r="R202" s="1503">
        <f t="shared" ref="R202:X202" si="49">H202</f>
        <v>2024</v>
      </c>
      <c r="S202" s="1503">
        <f t="shared" si="49"/>
        <v>2025</v>
      </c>
      <c r="T202" s="1503">
        <f t="shared" si="49"/>
        <v>2026</v>
      </c>
      <c r="U202" s="1503">
        <f t="shared" si="49"/>
        <v>2027</v>
      </c>
      <c r="V202" s="1503">
        <f t="shared" si="49"/>
        <v>2028</v>
      </c>
      <c r="W202" s="1503">
        <f t="shared" si="49"/>
        <v>2029</v>
      </c>
      <c r="X202" s="1503">
        <f t="shared" si="49"/>
        <v>2030</v>
      </c>
      <c r="Y202" s="1481"/>
    </row>
    <row r="203" spans="3:37" ht="13.15" customHeight="1">
      <c r="C203" s="485"/>
      <c r="D203" s="485"/>
      <c r="E203" s="2788" t="s">
        <v>661</v>
      </c>
      <c r="F203" s="2410"/>
      <c r="G203" s="898" t="str">
        <f>IF(G198="",EUconst_GJperUnit,INDEX(EUconst_GJperTorKNm3,MATCH(G198,EUconst_TonnesOrkNm3pa,0)))</f>
        <v>GJ / Unit</v>
      </c>
      <c r="H203" s="1479" t="str">
        <f>c_ALR2025!M206</f>
        <v/>
      </c>
      <c r="I203" s="1530"/>
      <c r="J203" s="1491"/>
      <c r="K203" s="1492"/>
      <c r="L203" s="1492"/>
      <c r="M203" s="1492"/>
      <c r="N203" s="1492"/>
      <c r="O203" s="481"/>
      <c r="P203" s="9"/>
      <c r="Q203" s="1140" t="str">
        <f>EUconst_CNTR_WGProduced &amp; C168</f>
        <v>WasteGasProd_1</v>
      </c>
      <c r="R203" s="1443" t="str">
        <f t="shared" ref="R203:X203" si="50">IF(COUNT(H198,H203)&gt;0,H198*H203/1000,"")</f>
        <v/>
      </c>
      <c r="S203" s="1443" t="str">
        <f t="shared" si="50"/>
        <v/>
      </c>
      <c r="T203" s="1443" t="str">
        <f t="shared" si="50"/>
        <v/>
      </c>
      <c r="U203" s="1443" t="str">
        <f t="shared" si="50"/>
        <v/>
      </c>
      <c r="V203" s="1443" t="str">
        <f t="shared" si="50"/>
        <v/>
      </c>
      <c r="W203" s="1443" t="str">
        <f t="shared" si="50"/>
        <v/>
      </c>
      <c r="X203" s="1504" t="str">
        <f t="shared" si="50"/>
        <v/>
      </c>
      <c r="Y203" s="1500" t="b">
        <f>Y198</f>
        <v>0</v>
      </c>
      <c r="AJ203" s="1161" t="s">
        <v>1954</v>
      </c>
      <c r="AK203" s="1303" t="str">
        <f>IF(AND(CNTR_HasEntries_A_I,Y203=FALSE,COUNTIFS($AB$21:$AH$21,FALSE,H203:N203,"")&gt;0),4,"")</f>
        <v/>
      </c>
    </row>
    <row r="204" spans="3:37" ht="5.0999999999999996" customHeight="1">
      <c r="C204" s="467"/>
      <c r="D204" s="467"/>
      <c r="E204" s="467"/>
      <c r="F204" s="467"/>
      <c r="G204" s="467"/>
      <c r="H204" s="467"/>
      <c r="I204" s="467"/>
      <c r="J204" s="467"/>
      <c r="K204" s="467"/>
      <c r="L204" s="467"/>
      <c r="M204" s="481"/>
      <c r="N204" s="481"/>
      <c r="O204" s="481"/>
      <c r="P204" s="485"/>
      <c r="Q204" s="1249"/>
      <c r="Y204" s="1481"/>
    </row>
    <row r="205" spans="3:37" ht="13.15" customHeight="1">
      <c r="C205" s="467"/>
      <c r="D205" s="482" t="s">
        <v>269</v>
      </c>
      <c r="E205" s="2508" t="s">
        <v>666</v>
      </c>
      <c r="F205" s="2391"/>
      <c r="G205" s="2391"/>
      <c r="H205" s="2391"/>
      <c r="I205" s="2391"/>
      <c r="J205" s="2391"/>
      <c r="K205" s="2391"/>
      <c r="L205" s="2391"/>
      <c r="M205" s="2391"/>
      <c r="N205" s="2391"/>
      <c r="O205" s="481"/>
      <c r="P205" s="485"/>
      <c r="Q205" s="1249"/>
      <c r="Y205" s="1481"/>
    </row>
    <row r="206" spans="3:37" ht="12.6" customHeight="1">
      <c r="C206" s="485"/>
      <c r="D206" s="485"/>
      <c r="E206" s="2401" t="s">
        <v>667</v>
      </c>
      <c r="F206" s="2401"/>
      <c r="G206" s="2401"/>
      <c r="H206" s="573"/>
      <c r="I206" s="643"/>
      <c r="J206" s="643" t="s">
        <v>668</v>
      </c>
      <c r="K206" s="1484">
        <v>0.52500000000000002</v>
      </c>
      <c r="L206" s="645"/>
      <c r="M206" s="643" t="s">
        <v>669</v>
      </c>
      <c r="N206" s="1484">
        <v>0.35</v>
      </c>
      <c r="O206" s="481"/>
      <c r="P206" s="9"/>
      <c r="Y206" s="1481"/>
      <c r="AJ206" s="1161" t="s">
        <v>1954</v>
      </c>
      <c r="AK206" s="1303" t="str">
        <f>IF(AND(CNTR_HasEntries_A_I,COUNT(H212:N212)&gt;0,OR(K206="",N206="")),4,"")</f>
        <v/>
      </c>
    </row>
    <row r="207" spans="3:37" ht="12.6" customHeight="1">
      <c r="C207" s="485"/>
      <c r="D207" s="485"/>
      <c r="E207" s="2575" t="s">
        <v>670</v>
      </c>
      <c r="F207" s="2575"/>
      <c r="G207" s="3209"/>
      <c r="H207" s="1505">
        <f>EUconst_NGEFvalue</f>
        <v>56.1</v>
      </c>
      <c r="I207" s="645" t="str">
        <f>EUconst_tCO2pTJ</f>
        <v>t CO2 / TJ</v>
      </c>
      <c r="J207" s="485"/>
      <c r="K207" s="485"/>
      <c r="L207" s="485"/>
      <c r="M207" s="485"/>
      <c r="N207" s="485"/>
      <c r="O207" s="481"/>
      <c r="P207" s="485"/>
      <c r="Y207" s="1481"/>
    </row>
    <row r="208" spans="3:37" ht="5.0999999999999996" customHeight="1">
      <c r="C208" s="467"/>
      <c r="D208" s="467"/>
      <c r="E208" s="467"/>
      <c r="F208" s="467"/>
      <c r="G208" s="467"/>
      <c r="H208" s="467"/>
      <c r="I208" s="467"/>
      <c r="J208" s="467"/>
      <c r="K208" s="467"/>
      <c r="L208" s="467"/>
      <c r="M208" s="481"/>
      <c r="N208" s="481"/>
      <c r="O208" s="481"/>
      <c r="P208" s="485"/>
      <c r="Q208" s="1249"/>
      <c r="Y208" s="1481"/>
    </row>
    <row r="209" spans="3:18" ht="13.15" customHeight="1">
      <c r="C209" s="467"/>
      <c r="D209" s="482" t="s">
        <v>271</v>
      </c>
      <c r="E209" s="2508" t="s">
        <v>671</v>
      </c>
      <c r="F209" s="2508"/>
      <c r="G209" s="2508"/>
      <c r="H209" s="2508"/>
      <c r="I209" s="2508"/>
      <c r="J209" s="2508"/>
      <c r="K209" s="2508"/>
      <c r="L209" s="2508"/>
      <c r="M209" s="2508"/>
      <c r="N209" s="2508"/>
      <c r="O209" s="481"/>
      <c r="P209" s="485"/>
      <c r="Q209" s="1249"/>
    </row>
    <row r="210" spans="3:18" ht="12.6" customHeight="1">
      <c r="C210" s="467"/>
      <c r="D210" s="485"/>
      <c r="E210" s="2850" t="s">
        <v>2207</v>
      </c>
      <c r="F210" s="2380"/>
      <c r="G210" s="2380"/>
      <c r="H210" s="2380"/>
      <c r="I210" s="2380"/>
      <c r="J210" s="2380"/>
      <c r="K210" s="2380"/>
      <c r="L210" s="2380"/>
      <c r="M210" s="2380"/>
      <c r="N210" s="2380"/>
      <c r="O210" s="481"/>
      <c r="P210" s="485"/>
      <c r="Q210" s="1249"/>
    </row>
    <row r="211" spans="3:18" ht="13.15" customHeight="1">
      <c r="C211" s="485"/>
      <c r="D211" s="482"/>
      <c r="E211" s="2509" t="s">
        <v>377</v>
      </c>
      <c r="F211" s="2493"/>
      <c r="G211" s="577" t="str">
        <f>EUconst_Unit</f>
        <v>Unit</v>
      </c>
      <c r="H211" s="578">
        <f t="shared" ref="H211:N211" si="51">H$278</f>
        <v>2024</v>
      </c>
      <c r="I211" s="697">
        <f t="shared" si="51"/>
        <v>2025</v>
      </c>
      <c r="J211" s="1489">
        <f t="shared" si="51"/>
        <v>2026</v>
      </c>
      <c r="K211" s="1490">
        <f t="shared" si="51"/>
        <v>2027</v>
      </c>
      <c r="L211" s="1490">
        <f t="shared" si="51"/>
        <v>2028</v>
      </c>
      <c r="M211" s="1490">
        <f t="shared" si="51"/>
        <v>2029</v>
      </c>
      <c r="N211" s="1490">
        <f t="shared" si="51"/>
        <v>2030</v>
      </c>
      <c r="O211" s="481"/>
      <c r="P211" s="485"/>
    </row>
    <row r="212" spans="3:18" ht="12.6" customHeight="1">
      <c r="C212" s="485"/>
      <c r="D212" s="485"/>
      <c r="E212" s="2788" t="s">
        <v>375</v>
      </c>
      <c r="F212" s="2410"/>
      <c r="G212" s="730" t="str">
        <f>EUconst_tCO2pa</f>
        <v>t CO2 / year</v>
      </c>
      <c r="H212" s="668" t="str">
        <f>IF(AND(ISNUMBER(H198),ISNUMBER(H203)),IFERROR((H198*H203/1000)*$H207*$N206/$K206,0),"")</f>
        <v/>
      </c>
      <c r="I212" s="1021" t="str">
        <f t="shared" ref="I212:N212" si="52">IF(AND(ISNUMBER(I198),ISNUMBER(I203)),IFERROR((I198*I203/1000)*$H207*$N206/$K206,0),"")</f>
        <v/>
      </c>
      <c r="J212" s="1491" t="str">
        <f t="shared" si="52"/>
        <v/>
      </c>
      <c r="K212" s="1492" t="str">
        <f t="shared" si="52"/>
        <v/>
      </c>
      <c r="L212" s="1492" t="str">
        <f t="shared" si="52"/>
        <v/>
      </c>
      <c r="M212" s="1492" t="str">
        <f t="shared" si="52"/>
        <v/>
      </c>
      <c r="N212" s="1492" t="str">
        <f t="shared" si="52"/>
        <v/>
      </c>
      <c r="O212" s="481"/>
      <c r="P212" s="485"/>
    </row>
    <row r="213" spans="3:18">
      <c r="C213" s="485"/>
      <c r="D213" s="485"/>
      <c r="E213" s="485"/>
      <c r="F213" s="485"/>
      <c r="G213" s="485"/>
      <c r="H213" s="485"/>
      <c r="I213" s="485"/>
      <c r="J213" s="485"/>
      <c r="K213" s="485"/>
      <c r="L213" s="485"/>
      <c r="M213" s="485"/>
      <c r="N213" s="485"/>
      <c r="O213" s="481"/>
      <c r="P213" s="485"/>
    </row>
    <row r="214" spans="3:18" ht="13.15" customHeight="1">
      <c r="C214" s="467"/>
      <c r="D214" s="482" t="s">
        <v>478</v>
      </c>
      <c r="E214" s="2508" t="s">
        <v>672</v>
      </c>
      <c r="F214" s="2391"/>
      <c r="G214" s="2391"/>
      <c r="H214" s="2391"/>
      <c r="I214" s="2391"/>
      <c r="J214" s="2391"/>
      <c r="K214" s="2391"/>
      <c r="L214" s="2391"/>
      <c r="M214" s="2391"/>
      <c r="N214" s="2391"/>
      <c r="O214" s="481"/>
      <c r="P214" s="485"/>
      <c r="Q214" s="1249"/>
    </row>
    <row r="215" spans="3:18" ht="13.15" customHeight="1">
      <c r="C215" s="467"/>
      <c r="D215" s="485"/>
      <c r="E215" s="2850" t="s">
        <v>1426</v>
      </c>
      <c r="F215" s="2380"/>
      <c r="G215" s="2380"/>
      <c r="H215" s="2380"/>
      <c r="I215" s="2380"/>
      <c r="J215" s="2380"/>
      <c r="K215" s="2380"/>
      <c r="L215" s="2380"/>
      <c r="M215" s="2380"/>
      <c r="N215" s="2380"/>
      <c r="O215" s="481"/>
      <c r="P215" s="485"/>
      <c r="Q215" s="1249"/>
    </row>
    <row r="216" spans="3:18" ht="12.6" customHeight="1">
      <c r="C216" s="467"/>
      <c r="D216" s="485"/>
      <c r="E216" s="2850" t="s">
        <v>227</v>
      </c>
      <c r="F216" s="2380"/>
      <c r="G216" s="2380"/>
      <c r="H216" s="2380"/>
      <c r="I216" s="2380"/>
      <c r="J216" s="2380"/>
      <c r="K216" s="2380"/>
      <c r="L216" s="2380"/>
      <c r="M216" s="2380"/>
      <c r="N216" s="2380"/>
      <c r="O216" s="481"/>
      <c r="P216" s="485"/>
      <c r="Q216" s="1249"/>
    </row>
    <row r="217" spans="3:18" ht="12.6" customHeight="1">
      <c r="C217" s="467"/>
      <c r="D217" s="485"/>
      <c r="E217" s="2850" t="s">
        <v>106</v>
      </c>
      <c r="F217" s="2380"/>
      <c r="G217" s="2380"/>
      <c r="H217" s="2380"/>
      <c r="I217" s="2380"/>
      <c r="J217" s="2380"/>
      <c r="K217" s="2380"/>
      <c r="L217" s="2380"/>
      <c r="M217" s="2380"/>
      <c r="N217" s="2380"/>
      <c r="O217" s="481"/>
      <c r="P217" s="485"/>
      <c r="Q217" s="1249"/>
    </row>
    <row r="218" spans="3:18">
      <c r="C218" s="485"/>
      <c r="D218" s="482"/>
      <c r="E218" s="637"/>
      <c r="F218" s="637"/>
      <c r="G218" s="577" t="str">
        <f>EUconst_Unit</f>
        <v>Unit</v>
      </c>
      <c r="H218" s="578">
        <f t="shared" ref="H218:N218" si="53">H$278</f>
        <v>2024</v>
      </c>
      <c r="I218" s="697">
        <f t="shared" si="53"/>
        <v>2025</v>
      </c>
      <c r="J218" s="1489">
        <f t="shared" si="53"/>
        <v>2026</v>
      </c>
      <c r="K218" s="1490">
        <f t="shared" si="53"/>
        <v>2027</v>
      </c>
      <c r="L218" s="1490">
        <f t="shared" si="53"/>
        <v>2028</v>
      </c>
      <c r="M218" s="1490">
        <f t="shared" si="53"/>
        <v>2029</v>
      </c>
      <c r="N218" s="1490">
        <f t="shared" si="53"/>
        <v>2030</v>
      </c>
      <c r="O218" s="481"/>
      <c r="P218" s="485"/>
    </row>
    <row r="219" spans="3:18" ht="12.6" customHeight="1">
      <c r="C219" s="485"/>
      <c r="D219" s="485"/>
      <c r="E219" s="2788" t="s">
        <v>673</v>
      </c>
      <c r="F219" s="2410"/>
      <c r="G219" s="1506" t="str">
        <f>EUconst_tCO2pa</f>
        <v>t CO2 / year</v>
      </c>
      <c r="H219" s="668" t="str">
        <f t="shared" ref="H219:N219" si="54">IF(ISNUMBER(H212),IF((IF(ISNUMBER(H185),H185,0)-SUM(H212))&lt;0,0,IF(ISNUMBER(H185),H185,0)-SUM(H212)),"")</f>
        <v/>
      </c>
      <c r="I219" s="1021" t="str">
        <f t="shared" si="54"/>
        <v/>
      </c>
      <c r="J219" s="1491" t="str">
        <f t="shared" si="54"/>
        <v/>
      </c>
      <c r="K219" s="1492" t="str">
        <f t="shared" si="54"/>
        <v/>
      </c>
      <c r="L219" s="1492" t="str">
        <f t="shared" si="54"/>
        <v/>
      </c>
      <c r="M219" s="1492" t="str">
        <f t="shared" si="54"/>
        <v/>
      </c>
      <c r="N219" s="1492" t="str">
        <f t="shared" si="54"/>
        <v/>
      </c>
      <c r="O219" s="481"/>
      <c r="P219" s="485"/>
    </row>
    <row r="220" spans="3:18">
      <c r="C220" s="485"/>
      <c r="D220" s="485"/>
      <c r="E220" s="485"/>
      <c r="F220" s="485"/>
      <c r="G220" s="485"/>
      <c r="H220" s="485"/>
      <c r="I220" s="485"/>
      <c r="J220" s="485"/>
      <c r="K220" s="485"/>
      <c r="L220" s="485"/>
      <c r="M220" s="485"/>
      <c r="N220" s="485"/>
      <c r="O220" s="481"/>
      <c r="P220" s="485"/>
    </row>
    <row r="221" spans="3:18" ht="5.0999999999999996" customHeight="1">
      <c r="C221" s="467"/>
      <c r="D221" s="467"/>
      <c r="E221" s="467"/>
      <c r="F221" s="467"/>
      <c r="G221" s="467"/>
      <c r="H221" s="467"/>
      <c r="I221" s="467"/>
      <c r="J221" s="467"/>
      <c r="K221" s="467"/>
      <c r="L221" s="467"/>
      <c r="M221" s="481"/>
      <c r="N221" s="481"/>
      <c r="O221" s="481"/>
      <c r="P221" s="485"/>
      <c r="Q221" s="1249"/>
    </row>
    <row r="222" spans="3:18" ht="14.1" customHeight="1">
      <c r="C222" s="559">
        <v>2</v>
      </c>
      <c r="D222" s="2464" t="s">
        <v>1328</v>
      </c>
      <c r="E222" s="2391"/>
      <c r="F222" s="2391"/>
      <c r="G222" s="2391"/>
      <c r="H222" s="2391"/>
      <c r="I222" s="2391"/>
      <c r="J222" s="2391"/>
      <c r="K222" s="2391"/>
      <c r="L222" s="2391"/>
      <c r="M222" s="2391"/>
      <c r="N222" s="2391"/>
      <c r="O222" s="481"/>
      <c r="P222" s="485"/>
      <c r="Q222" s="1249"/>
    </row>
    <row r="223" spans="3:18" ht="5.0999999999999996" customHeight="1">
      <c r="C223" s="467"/>
      <c r="D223" s="467"/>
      <c r="E223" s="467"/>
      <c r="F223" s="467"/>
      <c r="G223" s="467"/>
      <c r="H223" s="467"/>
      <c r="I223" s="467"/>
      <c r="J223" s="467"/>
      <c r="K223" s="467"/>
      <c r="L223" s="467"/>
      <c r="M223" s="481"/>
      <c r="N223" s="481"/>
      <c r="O223" s="481"/>
      <c r="P223" s="485"/>
      <c r="Q223" s="1249"/>
    </row>
    <row r="224" spans="3:18" ht="13.15" customHeight="1">
      <c r="C224" s="485"/>
      <c r="D224" s="485"/>
      <c r="E224" s="3188" t="str">
        <f>HYPERLINK($R224,CONCATENATE(EUconst_MsgSeeFirst," (D.IV.1)"))</f>
        <v>Detailed instructions for data entries in this tool can be found at the first copy of this tool.  (D.IV.1)</v>
      </c>
      <c r="F224" s="2391"/>
      <c r="G224" s="2391"/>
      <c r="H224" s="2391"/>
      <c r="I224" s="2391"/>
      <c r="J224" s="2391"/>
      <c r="K224" s="2391"/>
      <c r="L224" s="2391"/>
      <c r="M224" s="2391"/>
      <c r="N224" s="2391"/>
      <c r="O224" s="481"/>
      <c r="P224" s="485"/>
      <c r="Q224" s="1198" t="s">
        <v>441</v>
      </c>
      <c r="R224" s="1488" t="str">
        <f>"#"&amp;ADDRESS(ROW(C168),COLUMN(C168))</f>
        <v>#$C$168</v>
      </c>
    </row>
    <row r="225" spans="3:25" ht="5.0999999999999996" customHeight="1">
      <c r="C225" s="467"/>
      <c r="D225" s="467"/>
      <c r="E225" s="467"/>
      <c r="F225" s="467"/>
      <c r="G225" s="467"/>
      <c r="H225" s="467"/>
      <c r="I225" s="467"/>
      <c r="J225" s="467"/>
      <c r="K225" s="467"/>
      <c r="L225" s="467"/>
      <c r="M225" s="481"/>
      <c r="N225" s="481"/>
      <c r="O225" s="481"/>
      <c r="P225" s="485"/>
      <c r="Q225" s="1249"/>
      <c r="Y225" s="1481"/>
    </row>
    <row r="226" spans="3:25" ht="14.1" customHeight="1">
      <c r="C226" s="467"/>
      <c r="D226" s="482" t="s">
        <v>400</v>
      </c>
      <c r="E226" s="2508" t="s">
        <v>992</v>
      </c>
      <c r="F226" s="2391"/>
      <c r="G226" s="2391"/>
      <c r="H226" s="2391"/>
      <c r="I226" s="2391"/>
      <c r="J226" s="2391"/>
      <c r="K226" s="2512"/>
      <c r="L226" s="3205" t="str">
        <f>c_ALR2025!L212</f>
        <v/>
      </c>
      <c r="M226" s="3206"/>
      <c r="N226" s="3207"/>
      <c r="O226" s="481"/>
      <c r="P226" s="9"/>
      <c r="Q226" s="1249"/>
      <c r="Y226" s="1500" t="b">
        <f>Y203</f>
        <v>0</v>
      </c>
    </row>
    <row r="227" spans="3:25" ht="5.0999999999999996" customHeight="1">
      <c r="C227" s="467"/>
      <c r="D227" s="467"/>
      <c r="E227" s="467"/>
      <c r="F227" s="467"/>
      <c r="G227" s="467"/>
      <c r="H227" s="467"/>
      <c r="I227" s="467"/>
      <c r="J227" s="467"/>
      <c r="K227" s="467"/>
      <c r="L227" s="467"/>
      <c r="M227" s="481"/>
      <c r="N227" s="481"/>
      <c r="O227" s="481"/>
      <c r="P227" s="485"/>
      <c r="Q227" s="1249"/>
      <c r="Y227" s="1481"/>
    </row>
    <row r="228" spans="3:25" ht="14.1" customHeight="1">
      <c r="C228" s="467"/>
      <c r="D228" s="482" t="s">
        <v>876</v>
      </c>
      <c r="E228" s="2508" t="s">
        <v>993</v>
      </c>
      <c r="F228" s="2391"/>
      <c r="G228" s="2391"/>
      <c r="H228" s="2391"/>
      <c r="I228" s="2391"/>
      <c r="J228" s="2391"/>
      <c r="K228" s="2512"/>
      <c r="L228" s="3208"/>
      <c r="M228" s="2488"/>
      <c r="N228" s="2686"/>
      <c r="O228" s="481"/>
      <c r="P228" s="9"/>
      <c r="Q228" s="1249"/>
      <c r="Y228" s="1500" t="b">
        <f>Y226</f>
        <v>0</v>
      </c>
    </row>
    <row r="229" spans="3:25" ht="5.0999999999999996" customHeight="1">
      <c r="C229" s="467"/>
      <c r="D229" s="467"/>
      <c r="E229" s="467"/>
      <c r="F229" s="467"/>
      <c r="G229" s="467"/>
      <c r="H229" s="467"/>
      <c r="I229" s="467"/>
      <c r="J229" s="467"/>
      <c r="K229" s="467"/>
      <c r="L229" s="467"/>
      <c r="M229" s="481"/>
      <c r="N229" s="481"/>
      <c r="O229" s="481"/>
      <c r="P229" s="485"/>
      <c r="Q229" s="1249"/>
      <c r="Y229" s="1481"/>
    </row>
    <row r="230" spans="3:25" ht="13.15" customHeight="1">
      <c r="C230" s="467"/>
      <c r="D230" s="482" t="s">
        <v>48</v>
      </c>
      <c r="E230" s="497" t="s">
        <v>1062</v>
      </c>
      <c r="F230" s="515"/>
      <c r="G230" s="574"/>
      <c r="H230" s="3211" t="str">
        <f>c_ALR2025!H213</f>
        <v/>
      </c>
      <c r="I230" s="3206"/>
      <c r="J230" s="3206"/>
      <c r="K230" s="3206"/>
      <c r="L230" s="3206"/>
      <c r="M230" s="3206"/>
      <c r="N230" s="3207"/>
      <c r="O230" s="481"/>
      <c r="P230" s="9"/>
      <c r="Q230" s="1249"/>
      <c r="Y230" s="1500" t="b">
        <f>Y228</f>
        <v>0</v>
      </c>
    </row>
    <row r="231" spans="3:25" ht="5.0999999999999996" customHeight="1">
      <c r="C231" s="467"/>
      <c r="D231" s="467"/>
      <c r="E231" s="467"/>
      <c r="F231" s="467"/>
      <c r="G231" s="467"/>
      <c r="H231" s="467"/>
      <c r="I231" s="467"/>
      <c r="J231" s="467"/>
      <c r="K231" s="467"/>
      <c r="L231" s="467"/>
      <c r="M231" s="481"/>
      <c r="N231" s="481"/>
      <c r="O231" s="481"/>
      <c r="P231" s="485"/>
      <c r="Q231" s="1249"/>
      <c r="Y231" s="1481"/>
    </row>
    <row r="232" spans="3:25">
      <c r="C232" s="467"/>
      <c r="D232" s="482"/>
      <c r="E232" s="3194"/>
      <c r="F232" s="3212"/>
      <c r="G232" s="3212"/>
      <c r="H232" s="3212"/>
      <c r="I232" s="3212"/>
      <c r="J232" s="3212"/>
      <c r="K232" s="3212"/>
      <c r="L232" s="3212"/>
      <c r="M232" s="3212"/>
      <c r="N232" s="3213"/>
      <c r="O232" s="481"/>
      <c r="P232" s="9"/>
      <c r="Q232" s="1249"/>
      <c r="Y232" s="1500" t="b">
        <f>Y230</f>
        <v>0</v>
      </c>
    </row>
    <row r="233" spans="3:25">
      <c r="C233" s="467"/>
      <c r="D233" s="482"/>
      <c r="E233" s="3214"/>
      <c r="F233" s="3215"/>
      <c r="G233" s="3215"/>
      <c r="H233" s="3215"/>
      <c r="I233" s="3215"/>
      <c r="J233" s="3215"/>
      <c r="K233" s="3215"/>
      <c r="L233" s="3215"/>
      <c r="M233" s="3215"/>
      <c r="N233" s="3216"/>
      <c r="O233" s="481"/>
      <c r="P233" s="485"/>
      <c r="Q233" s="1249"/>
      <c r="Y233" s="1500" t="b">
        <f>Y232</f>
        <v>0</v>
      </c>
    </row>
    <row r="234" spans="3:25" ht="5.0999999999999996" customHeight="1">
      <c r="C234" s="467"/>
      <c r="D234" s="467"/>
      <c r="E234" s="467"/>
      <c r="F234" s="467"/>
      <c r="G234" s="467"/>
      <c r="H234" s="467"/>
      <c r="I234" s="467"/>
      <c r="J234" s="467"/>
      <c r="K234" s="467"/>
      <c r="L234" s="467"/>
      <c r="M234" s="481"/>
      <c r="N234" s="481"/>
      <c r="O234" s="481"/>
      <c r="P234" s="485"/>
      <c r="Q234" s="1249"/>
      <c r="Y234" s="1481"/>
    </row>
    <row r="235" spans="3:25" ht="13.15" customHeight="1">
      <c r="C235" s="467"/>
      <c r="D235" s="482" t="s">
        <v>881</v>
      </c>
      <c r="E235" s="2508" t="s">
        <v>225</v>
      </c>
      <c r="F235" s="2391"/>
      <c r="G235" s="2391"/>
      <c r="H235" s="2391"/>
      <c r="I235" s="2391"/>
      <c r="J235" s="2391"/>
      <c r="K235" s="2391"/>
      <c r="L235" s="2391"/>
      <c r="M235" s="2391"/>
      <c r="N235" s="2391"/>
      <c r="O235" s="481"/>
      <c r="P235" s="485"/>
      <c r="Q235" s="1249"/>
      <c r="Y235" s="1481"/>
    </row>
    <row r="236" spans="3:25" ht="5.0999999999999996" customHeight="1">
      <c r="C236" s="467"/>
      <c r="D236" s="467"/>
      <c r="E236" s="467"/>
      <c r="F236" s="467"/>
      <c r="G236" s="467"/>
      <c r="H236" s="467"/>
      <c r="I236" s="467"/>
      <c r="J236" s="467"/>
      <c r="K236" s="467"/>
      <c r="L236" s="467"/>
      <c r="M236" s="481"/>
      <c r="N236" s="481"/>
      <c r="O236" s="481"/>
      <c r="P236" s="485"/>
      <c r="Q236" s="1249"/>
      <c r="Y236" s="1481"/>
    </row>
    <row r="237" spans="3:25">
      <c r="C237" s="485"/>
      <c r="D237" s="482"/>
      <c r="E237" s="636"/>
      <c r="F237" s="637"/>
      <c r="G237" s="577" t="str">
        <f>EUconst_Unit</f>
        <v>Unit</v>
      </c>
      <c r="H237" s="578">
        <f t="shared" ref="H237:N237" si="55">H$278</f>
        <v>2024</v>
      </c>
      <c r="I237" s="697">
        <f t="shared" si="55"/>
        <v>2025</v>
      </c>
      <c r="J237" s="1489">
        <f t="shared" si="55"/>
        <v>2026</v>
      </c>
      <c r="K237" s="1490">
        <f t="shared" si="55"/>
        <v>2027</v>
      </c>
      <c r="L237" s="1490">
        <f t="shared" si="55"/>
        <v>2028</v>
      </c>
      <c r="M237" s="1490">
        <f t="shared" si="55"/>
        <v>2029</v>
      </c>
      <c r="N237" s="1490">
        <f t="shared" si="55"/>
        <v>2030</v>
      </c>
      <c r="O237" s="481"/>
      <c r="P237" s="485"/>
      <c r="Y237" s="1481"/>
    </row>
    <row r="238" spans="3:25" ht="12.6" customHeight="1">
      <c r="C238" s="485"/>
      <c r="D238" s="485"/>
      <c r="E238" s="2788" t="s">
        <v>373</v>
      </c>
      <c r="F238" s="2410"/>
      <c r="G238" s="730" t="str">
        <f>EUconst_tCO2epa</f>
        <v>t CO2e/year</v>
      </c>
      <c r="H238" s="1479" t="str">
        <f>c_ALR2025!M215</f>
        <v/>
      </c>
      <c r="I238" s="1530"/>
      <c r="J238" s="1491"/>
      <c r="K238" s="1492"/>
      <c r="L238" s="1492"/>
      <c r="M238" s="1492"/>
      <c r="N238" s="1492"/>
      <c r="O238" s="481"/>
      <c r="P238" s="9"/>
      <c r="Y238" s="1500" t="b">
        <f>Y233</f>
        <v>0</v>
      </c>
    </row>
    <row r="239" spans="3:25" ht="5.0999999999999996" customHeight="1">
      <c r="C239" s="467"/>
      <c r="D239" s="467"/>
      <c r="E239" s="467"/>
      <c r="F239" s="467"/>
      <c r="G239" s="467"/>
      <c r="H239" s="618"/>
      <c r="I239" s="618"/>
      <c r="J239" s="467"/>
      <c r="K239" s="467"/>
      <c r="L239" s="467"/>
      <c r="M239" s="467"/>
      <c r="N239" s="481"/>
      <c r="O239" s="481"/>
      <c r="P239" s="485"/>
      <c r="Q239" s="1249"/>
      <c r="Y239" s="1481"/>
    </row>
    <row r="240" spans="3:25" ht="13.15" customHeight="1">
      <c r="C240" s="467"/>
      <c r="D240" s="482" t="s">
        <v>57</v>
      </c>
      <c r="E240" s="2508" t="s">
        <v>656</v>
      </c>
      <c r="F240" s="2391"/>
      <c r="G240" s="2391"/>
      <c r="H240" s="2391"/>
      <c r="I240" s="2391"/>
      <c r="J240" s="2391"/>
      <c r="K240" s="2391"/>
      <c r="L240" s="2391"/>
      <c r="M240" s="2391"/>
      <c r="N240" s="2391"/>
      <c r="O240" s="481"/>
      <c r="P240" s="485"/>
      <c r="Q240" s="1249"/>
      <c r="Y240" s="1481"/>
    </row>
    <row r="241" spans="3:25" ht="5.0999999999999996" customHeight="1">
      <c r="C241" s="467"/>
      <c r="D241" s="467"/>
      <c r="E241" s="467"/>
      <c r="F241" s="467"/>
      <c r="G241" s="467"/>
      <c r="H241" s="618"/>
      <c r="I241" s="618"/>
      <c r="J241" s="467"/>
      <c r="K241" s="467"/>
      <c r="L241" s="467"/>
      <c r="M241" s="467"/>
      <c r="N241" s="481"/>
      <c r="O241" s="481"/>
      <c r="P241" s="485"/>
      <c r="Q241" s="1249"/>
      <c r="Y241" s="1481"/>
    </row>
    <row r="242" spans="3:25" ht="13.15" customHeight="1">
      <c r="C242" s="485"/>
      <c r="D242" s="482"/>
      <c r="E242" s="2509" t="s">
        <v>657</v>
      </c>
      <c r="F242" s="2493"/>
      <c r="G242" s="577" t="str">
        <f>EUconst_Unit</f>
        <v>Unit</v>
      </c>
      <c r="H242" s="578">
        <f t="shared" ref="H242:N242" si="56">H$278</f>
        <v>2024</v>
      </c>
      <c r="I242" s="697">
        <f t="shared" si="56"/>
        <v>2025</v>
      </c>
      <c r="J242" s="1489">
        <f t="shared" si="56"/>
        <v>2026</v>
      </c>
      <c r="K242" s="1490">
        <f t="shared" si="56"/>
        <v>2027</v>
      </c>
      <c r="L242" s="1490">
        <f t="shared" si="56"/>
        <v>2028</v>
      </c>
      <c r="M242" s="1490">
        <f t="shared" si="56"/>
        <v>2029</v>
      </c>
      <c r="N242" s="1490">
        <f t="shared" si="56"/>
        <v>2030</v>
      </c>
      <c r="O242" s="481"/>
      <c r="P242" s="485"/>
      <c r="Y242" s="1481"/>
    </row>
    <row r="243" spans="3:25" ht="12.6" customHeight="1">
      <c r="C243" s="485"/>
      <c r="D243" s="485"/>
      <c r="E243" s="2788" t="s">
        <v>375</v>
      </c>
      <c r="F243" s="2410"/>
      <c r="G243" s="730" t="str">
        <f>EUconst_tCO2epa</f>
        <v>t CO2e/year</v>
      </c>
      <c r="H243" s="1479" t="str">
        <f>c_ALR2025!M216</f>
        <v/>
      </c>
      <c r="I243" s="1532"/>
      <c r="J243" s="1491"/>
      <c r="K243" s="1492"/>
      <c r="L243" s="1492"/>
      <c r="M243" s="1492"/>
      <c r="N243" s="1492"/>
      <c r="O243" s="481"/>
      <c r="P243" s="9"/>
      <c r="Y243" s="1500" t="b">
        <f>Y238</f>
        <v>0</v>
      </c>
    </row>
    <row r="244" spans="3:25" ht="5.0999999999999996" customHeight="1">
      <c r="C244" s="467"/>
      <c r="D244" s="467"/>
      <c r="E244" s="467"/>
      <c r="F244" s="467"/>
      <c r="G244" s="467"/>
      <c r="H244" s="618"/>
      <c r="I244" s="618"/>
      <c r="J244" s="467"/>
      <c r="K244" s="467"/>
      <c r="L244" s="467"/>
      <c r="M244" s="467"/>
      <c r="N244" s="481"/>
      <c r="O244" s="481"/>
      <c r="P244" s="485"/>
      <c r="Q244" s="1249"/>
      <c r="Y244" s="1481"/>
    </row>
    <row r="245" spans="3:25" ht="13.15" customHeight="1">
      <c r="C245" s="467"/>
      <c r="D245" s="482" t="s">
        <v>58</v>
      </c>
      <c r="E245" s="2508" t="s">
        <v>226</v>
      </c>
      <c r="F245" s="2391"/>
      <c r="G245" s="2391"/>
      <c r="H245" s="2391"/>
      <c r="I245" s="2391"/>
      <c r="J245" s="2391"/>
      <c r="K245" s="2391"/>
      <c r="L245" s="2391"/>
      <c r="M245" s="2391"/>
      <c r="N245" s="2391"/>
      <c r="O245" s="481"/>
      <c r="P245" s="485"/>
      <c r="Q245" s="1249"/>
      <c r="Y245" s="1481"/>
    </row>
    <row r="246" spans="3:25" ht="5.0999999999999996" customHeight="1">
      <c r="C246" s="467"/>
      <c r="D246" s="467"/>
      <c r="E246" s="467"/>
      <c r="F246" s="467"/>
      <c r="G246" s="467"/>
      <c r="H246" s="618"/>
      <c r="I246" s="618"/>
      <c r="J246" s="467"/>
      <c r="K246" s="467"/>
      <c r="L246" s="467"/>
      <c r="M246" s="467"/>
      <c r="N246" s="481"/>
      <c r="O246" s="481"/>
      <c r="P246" s="485"/>
      <c r="Q246" s="1249"/>
      <c r="Y246" s="1481"/>
    </row>
    <row r="247" spans="3:25" ht="13.15" customHeight="1">
      <c r="C247" s="485"/>
      <c r="D247" s="482"/>
      <c r="E247" s="2509" t="s">
        <v>376</v>
      </c>
      <c r="F247" s="2493"/>
      <c r="G247" s="577" t="str">
        <f>EUconst_Unit</f>
        <v>Unit</v>
      </c>
      <c r="H247" s="578">
        <f t="shared" ref="H247:N247" si="57">H$278</f>
        <v>2024</v>
      </c>
      <c r="I247" s="697">
        <f t="shared" si="57"/>
        <v>2025</v>
      </c>
      <c r="J247" s="1489">
        <f t="shared" si="57"/>
        <v>2026</v>
      </c>
      <c r="K247" s="1490">
        <f t="shared" si="57"/>
        <v>2027</v>
      </c>
      <c r="L247" s="1490">
        <f t="shared" si="57"/>
        <v>2028</v>
      </c>
      <c r="M247" s="1490">
        <f t="shared" si="57"/>
        <v>2029</v>
      </c>
      <c r="N247" s="1490">
        <f t="shared" si="57"/>
        <v>2030</v>
      </c>
      <c r="O247" s="481"/>
      <c r="P247" s="485"/>
      <c r="Y247" s="1481"/>
    </row>
    <row r="248" spans="3:25" ht="12.6" customHeight="1">
      <c r="C248" s="485"/>
      <c r="D248" s="485"/>
      <c r="E248" s="2788" t="s">
        <v>375</v>
      </c>
      <c r="F248" s="2410"/>
      <c r="G248" s="1501" t="str">
        <f>c_ALR2025!G217</f>
        <v/>
      </c>
      <c r="H248" s="1479" t="str">
        <f>c_ALR2025!M217</f>
        <v/>
      </c>
      <c r="I248" s="1530"/>
      <c r="J248" s="1491"/>
      <c r="K248" s="1492"/>
      <c r="L248" s="1492"/>
      <c r="M248" s="1492"/>
      <c r="N248" s="1492"/>
      <c r="O248" s="481"/>
      <c r="P248" s="9"/>
      <c r="Y248" s="1500" t="b">
        <f>Y243</f>
        <v>0</v>
      </c>
    </row>
    <row r="249" spans="3:25" ht="5.0999999999999996" customHeight="1">
      <c r="C249" s="467"/>
      <c r="D249" s="467"/>
      <c r="E249" s="467"/>
      <c r="F249" s="467"/>
      <c r="G249" s="467"/>
      <c r="H249" s="618"/>
      <c r="I249" s="618"/>
      <c r="J249" s="467"/>
      <c r="K249" s="467"/>
      <c r="L249" s="467"/>
      <c r="M249" s="467"/>
      <c r="N249" s="481"/>
      <c r="O249" s="481"/>
      <c r="P249" s="485"/>
      <c r="Q249" s="1249"/>
      <c r="R249" s="1502"/>
      <c r="Y249" s="1481"/>
    </row>
    <row r="250" spans="3:25" ht="13.15" customHeight="1">
      <c r="C250" s="467"/>
      <c r="D250" s="482" t="s">
        <v>266</v>
      </c>
      <c r="E250" s="2508" t="s">
        <v>1063</v>
      </c>
      <c r="F250" s="2391"/>
      <c r="G250" s="2391"/>
      <c r="H250" s="2391"/>
      <c r="I250" s="2391"/>
      <c r="J250" s="2391"/>
      <c r="K250" s="2391"/>
      <c r="L250" s="2391"/>
      <c r="M250" s="2391"/>
      <c r="N250" s="2391"/>
      <c r="O250" s="481"/>
      <c r="P250" s="485"/>
      <c r="Q250" s="1249"/>
      <c r="Y250" s="1481"/>
    </row>
    <row r="251" spans="3:25">
      <c r="C251" s="485"/>
      <c r="D251" s="482"/>
      <c r="E251" s="637"/>
      <c r="F251" s="637"/>
      <c r="G251" s="577" t="str">
        <f>EUconst_Unit</f>
        <v>Unit</v>
      </c>
      <c r="H251" s="578">
        <f t="shared" ref="H251:N251" si="58">H$278</f>
        <v>2024</v>
      </c>
      <c r="I251" s="697">
        <f t="shared" si="58"/>
        <v>2025</v>
      </c>
      <c r="J251" s="1489">
        <f t="shared" si="58"/>
        <v>2026</v>
      </c>
      <c r="K251" s="1490">
        <f t="shared" si="58"/>
        <v>2027</v>
      </c>
      <c r="L251" s="1490">
        <f t="shared" si="58"/>
        <v>2028</v>
      </c>
      <c r="M251" s="1490">
        <f t="shared" si="58"/>
        <v>2029</v>
      </c>
      <c r="N251" s="1490">
        <f t="shared" si="58"/>
        <v>2030</v>
      </c>
      <c r="O251" s="481"/>
      <c r="P251" s="485"/>
      <c r="R251" s="1503">
        <f t="shared" ref="R251:X251" si="59">H251</f>
        <v>2024</v>
      </c>
      <c r="S251" s="1503">
        <f t="shared" si="59"/>
        <v>2025</v>
      </c>
      <c r="T251" s="1503">
        <f t="shared" si="59"/>
        <v>2026</v>
      </c>
      <c r="U251" s="1503">
        <f t="shared" si="59"/>
        <v>2027</v>
      </c>
      <c r="V251" s="1503">
        <f t="shared" si="59"/>
        <v>2028</v>
      </c>
      <c r="W251" s="1503">
        <f t="shared" si="59"/>
        <v>2029</v>
      </c>
      <c r="X251" s="1503">
        <f t="shared" si="59"/>
        <v>2030</v>
      </c>
      <c r="Y251" s="1481"/>
    </row>
    <row r="252" spans="3:25" ht="13.5" customHeight="1" thickBot="1">
      <c r="C252" s="485"/>
      <c r="D252" s="485"/>
      <c r="E252" s="2788" t="s">
        <v>661</v>
      </c>
      <c r="F252" s="2410"/>
      <c r="G252" s="898" t="str">
        <f>IF(G248="",EUconst_GJperUnit,INDEX(EUconst_GJperTorKNm3,MATCH(G248,EUconst_TonnesOrkNm3pa,0)))</f>
        <v>GJ / Unit</v>
      </c>
      <c r="H252" s="1479" t="str">
        <f>c_ALR2025!M218</f>
        <v/>
      </c>
      <c r="I252" s="1530"/>
      <c r="J252" s="1491"/>
      <c r="K252" s="1492"/>
      <c r="L252" s="1492"/>
      <c r="M252" s="1492"/>
      <c r="N252" s="1492"/>
      <c r="O252" s="481"/>
      <c r="P252" s="9"/>
      <c r="Q252" s="1140" t="str">
        <f>EUconst_CNTR_WGProduced &amp; C222</f>
        <v>WasteGasProd_2</v>
      </c>
      <c r="R252" s="1443" t="str">
        <f t="shared" ref="R252:X252" si="60">IF(COUNT(H248,H252)&gt;0,H248*H252/1000,"")</f>
        <v/>
      </c>
      <c r="S252" s="1443" t="str">
        <f t="shared" si="60"/>
        <v/>
      </c>
      <c r="T252" s="1443" t="str">
        <f t="shared" si="60"/>
        <v/>
      </c>
      <c r="U252" s="1443" t="str">
        <f t="shared" si="60"/>
        <v/>
      </c>
      <c r="V252" s="1443" t="str">
        <f t="shared" si="60"/>
        <v/>
      </c>
      <c r="W252" s="1443" t="str">
        <f t="shared" si="60"/>
        <v/>
      </c>
      <c r="X252" s="1504" t="str">
        <f t="shared" si="60"/>
        <v/>
      </c>
      <c r="Y252" s="1507" t="b">
        <f>Y248</f>
        <v>0</v>
      </c>
    </row>
    <row r="253" spans="3:25" ht="5.0999999999999996" customHeight="1">
      <c r="C253" s="467"/>
      <c r="D253" s="467"/>
      <c r="E253" s="467"/>
      <c r="F253" s="467"/>
      <c r="G253" s="467"/>
      <c r="H253" s="467"/>
      <c r="I253" s="467"/>
      <c r="J253" s="467"/>
      <c r="K253" s="467"/>
      <c r="L253" s="467"/>
      <c r="M253" s="481"/>
      <c r="N253" s="481"/>
      <c r="O253" s="481"/>
      <c r="P253" s="485"/>
      <c r="Q253" s="1249"/>
    </row>
    <row r="254" spans="3:25" ht="13.15" customHeight="1">
      <c r="C254" s="467"/>
      <c r="D254" s="482" t="s">
        <v>269</v>
      </c>
      <c r="E254" s="2508" t="s">
        <v>666</v>
      </c>
      <c r="F254" s="2391"/>
      <c r="G254" s="2391"/>
      <c r="H254" s="2391"/>
      <c r="I254" s="2391"/>
      <c r="J254" s="2391"/>
      <c r="K254" s="2391"/>
      <c r="L254" s="2391"/>
      <c r="M254" s="2391"/>
      <c r="N254" s="2391"/>
      <c r="O254" s="481"/>
      <c r="P254" s="485"/>
      <c r="Q254" s="1249"/>
    </row>
    <row r="255" spans="3:25" ht="5.0999999999999996" customHeight="1">
      <c r="C255" s="467"/>
      <c r="D255" s="467"/>
      <c r="E255" s="467"/>
      <c r="F255" s="467"/>
      <c r="G255" s="467"/>
      <c r="H255" s="467"/>
      <c r="I255" s="467"/>
      <c r="J255" s="467"/>
      <c r="K255" s="467"/>
      <c r="L255" s="467"/>
      <c r="M255" s="481"/>
      <c r="N255" s="481"/>
      <c r="O255" s="481"/>
      <c r="P255" s="485"/>
      <c r="Q255" s="1249"/>
    </row>
    <row r="256" spans="3:25" ht="12.6" customHeight="1">
      <c r="C256" s="485"/>
      <c r="D256" s="485"/>
      <c r="E256" s="2401" t="s">
        <v>667</v>
      </c>
      <c r="F256" s="2401"/>
      <c r="G256" s="2401"/>
      <c r="H256" s="573"/>
      <c r="I256" s="643"/>
      <c r="J256" s="643" t="s">
        <v>668</v>
      </c>
      <c r="K256" s="1484">
        <v>0.52500000000000002</v>
      </c>
      <c r="L256" s="645"/>
      <c r="M256" s="643" t="s">
        <v>669</v>
      </c>
      <c r="N256" s="1484">
        <v>0.35</v>
      </c>
      <c r="O256" s="481"/>
      <c r="P256" s="9"/>
    </row>
    <row r="257" spans="2:25" ht="12.6" customHeight="1">
      <c r="B257" s="1124"/>
      <c r="C257" s="485"/>
      <c r="D257" s="485"/>
      <c r="E257" s="2575" t="s">
        <v>670</v>
      </c>
      <c r="F257" s="2578"/>
      <c r="G257" s="3210"/>
      <c r="H257" s="1505">
        <f>EUconst_NGEFvalue</f>
        <v>56.1</v>
      </c>
      <c r="I257" s="645" t="str">
        <f>EUconst_tCO2pTJ</f>
        <v>t CO2 / TJ</v>
      </c>
      <c r="J257" s="485"/>
      <c r="K257" s="485"/>
      <c r="L257" s="485"/>
      <c r="M257" s="485"/>
      <c r="N257" s="485"/>
      <c r="O257" s="481"/>
      <c r="P257" s="485"/>
    </row>
    <row r="258" spans="2:25" ht="5.0999999999999996" customHeight="1">
      <c r="B258" s="467"/>
      <c r="C258" s="467"/>
      <c r="D258" s="467"/>
      <c r="E258" s="467"/>
      <c r="F258" s="467"/>
      <c r="G258" s="467"/>
      <c r="H258" s="467"/>
      <c r="I258" s="467"/>
      <c r="J258" s="467"/>
      <c r="K258" s="467"/>
      <c r="L258" s="467"/>
      <c r="M258" s="481"/>
      <c r="N258" s="481"/>
      <c r="O258" s="481"/>
      <c r="P258" s="485"/>
      <c r="Q258" s="1249"/>
    </row>
    <row r="259" spans="2:25" ht="13.15" customHeight="1">
      <c r="B259" s="467"/>
      <c r="C259" s="467"/>
      <c r="D259" s="482" t="s">
        <v>271</v>
      </c>
      <c r="E259" s="2508" t="s">
        <v>671</v>
      </c>
      <c r="F259" s="2391"/>
      <c r="G259" s="2391"/>
      <c r="H259" s="2391"/>
      <c r="I259" s="2391"/>
      <c r="J259" s="2391"/>
      <c r="K259" s="2391"/>
      <c r="L259" s="2391"/>
      <c r="M259" s="2391"/>
      <c r="N259" s="2391"/>
      <c r="O259" s="481"/>
      <c r="P259" s="485"/>
      <c r="Q259" s="1249"/>
    </row>
    <row r="260" spans="2:25" ht="5.0999999999999996" customHeight="1">
      <c r="B260" s="467"/>
      <c r="C260" s="467"/>
      <c r="D260" s="467"/>
      <c r="E260" s="467"/>
      <c r="F260" s="467"/>
      <c r="G260" s="467"/>
      <c r="H260" s="467"/>
      <c r="I260" s="467"/>
      <c r="J260" s="467"/>
      <c r="K260" s="467"/>
      <c r="L260" s="467"/>
      <c r="M260" s="481"/>
      <c r="N260" s="481"/>
      <c r="O260" s="481"/>
      <c r="P260" s="485"/>
      <c r="Q260" s="1249"/>
    </row>
    <row r="261" spans="2:25" ht="13.15" customHeight="1">
      <c r="B261" s="1124"/>
      <c r="C261" s="485"/>
      <c r="D261" s="482"/>
      <c r="E261" s="2509" t="s">
        <v>377</v>
      </c>
      <c r="F261" s="2493"/>
      <c r="G261" s="577" t="str">
        <f>EUconst_Unit</f>
        <v>Unit</v>
      </c>
      <c r="H261" s="578">
        <f t="shared" ref="H261:N261" si="61">H$278</f>
        <v>2024</v>
      </c>
      <c r="I261" s="697">
        <f t="shared" si="61"/>
        <v>2025</v>
      </c>
      <c r="J261" s="1489">
        <f t="shared" si="61"/>
        <v>2026</v>
      </c>
      <c r="K261" s="1490">
        <f t="shared" si="61"/>
        <v>2027</v>
      </c>
      <c r="L261" s="1490">
        <f t="shared" si="61"/>
        <v>2028</v>
      </c>
      <c r="M261" s="1490">
        <f t="shared" si="61"/>
        <v>2029</v>
      </c>
      <c r="N261" s="1490">
        <f t="shared" si="61"/>
        <v>2030</v>
      </c>
      <c r="O261" s="481"/>
      <c r="P261" s="485"/>
    </row>
    <row r="262" spans="2:25" ht="12.6" customHeight="1">
      <c r="B262" s="1124"/>
      <c r="C262" s="485"/>
      <c r="D262" s="485"/>
      <c r="E262" s="2788" t="s">
        <v>375</v>
      </c>
      <c r="F262" s="2410"/>
      <c r="G262" s="730" t="str">
        <f>EUconst_tCO2pa</f>
        <v>t CO2 / year</v>
      </c>
      <c r="H262" s="668" t="str">
        <f>IF(AND(ISNUMBER(H248),ISNUMBER(H252)),IFERROR((H248*H252/1000)*$H257*$N256/$K256,0),"")</f>
        <v/>
      </c>
      <c r="I262" s="1021" t="str">
        <f t="shared" ref="I262:N262" si="62">IF(AND(ISNUMBER(I248),ISNUMBER(I252)),IFERROR((I248*I252/1000)*$H257*$N256/$K256,0),"")</f>
        <v/>
      </c>
      <c r="J262" s="1491" t="str">
        <f t="shared" si="62"/>
        <v/>
      </c>
      <c r="K262" s="1492" t="str">
        <f t="shared" si="62"/>
        <v/>
      </c>
      <c r="L262" s="1492" t="str">
        <f t="shared" si="62"/>
        <v/>
      </c>
      <c r="M262" s="1492" t="str">
        <f t="shared" si="62"/>
        <v/>
      </c>
      <c r="N262" s="1492" t="str">
        <f t="shared" si="62"/>
        <v/>
      </c>
      <c r="O262" s="481"/>
      <c r="P262" s="485"/>
    </row>
    <row r="263" spans="2:25" ht="5.0999999999999996" customHeight="1">
      <c r="B263" s="467"/>
      <c r="C263" s="467"/>
      <c r="D263" s="467"/>
      <c r="E263" s="467"/>
      <c r="F263" s="467"/>
      <c r="G263" s="467"/>
      <c r="H263" s="618"/>
      <c r="I263" s="618"/>
      <c r="J263" s="467"/>
      <c r="K263" s="467"/>
      <c r="L263" s="467"/>
      <c r="M263" s="467"/>
      <c r="N263" s="481"/>
      <c r="O263" s="481"/>
      <c r="P263" s="485"/>
      <c r="Q263" s="1249"/>
    </row>
    <row r="264" spans="2:25" ht="13.15" customHeight="1">
      <c r="B264" s="467"/>
      <c r="C264" s="467"/>
      <c r="D264" s="482" t="s">
        <v>478</v>
      </c>
      <c r="E264" s="2508" t="s">
        <v>672</v>
      </c>
      <c r="F264" s="2391"/>
      <c r="G264" s="2391"/>
      <c r="H264" s="2391"/>
      <c r="I264" s="2391"/>
      <c r="J264" s="2391"/>
      <c r="K264" s="2391"/>
      <c r="L264" s="2391"/>
      <c r="M264" s="2391"/>
      <c r="N264" s="2391"/>
      <c r="O264" s="481"/>
      <c r="P264" s="485"/>
      <c r="Q264" s="1249"/>
    </row>
    <row r="265" spans="2:25" ht="5.0999999999999996" customHeight="1">
      <c r="B265" s="467"/>
      <c r="C265" s="467"/>
      <c r="D265" s="467"/>
      <c r="E265" s="467"/>
      <c r="F265" s="467"/>
      <c r="G265" s="467"/>
      <c r="H265" s="618"/>
      <c r="I265" s="618"/>
      <c r="J265" s="467"/>
      <c r="K265" s="467"/>
      <c r="L265" s="467"/>
      <c r="M265" s="467"/>
      <c r="N265" s="481"/>
      <c r="O265" s="481"/>
      <c r="P265" s="485"/>
      <c r="Q265" s="1249"/>
    </row>
    <row r="266" spans="2:25">
      <c r="B266" s="1124"/>
      <c r="C266" s="485"/>
      <c r="D266" s="482"/>
      <c r="E266" s="637"/>
      <c r="F266" s="637"/>
      <c r="G266" s="577" t="str">
        <f>EUconst_Unit</f>
        <v>Unit</v>
      </c>
      <c r="H266" s="578">
        <f t="shared" ref="H266:N266" si="63">H$278</f>
        <v>2024</v>
      </c>
      <c r="I266" s="697">
        <f t="shared" si="63"/>
        <v>2025</v>
      </c>
      <c r="J266" s="1489">
        <f t="shared" si="63"/>
        <v>2026</v>
      </c>
      <c r="K266" s="1490">
        <f t="shared" si="63"/>
        <v>2027</v>
      </c>
      <c r="L266" s="1490">
        <f t="shared" si="63"/>
        <v>2028</v>
      </c>
      <c r="M266" s="1490">
        <f t="shared" si="63"/>
        <v>2029</v>
      </c>
      <c r="N266" s="1490">
        <f t="shared" si="63"/>
        <v>2030</v>
      </c>
      <c r="O266" s="481"/>
      <c r="P266" s="485"/>
    </row>
    <row r="267" spans="2:25" ht="12.6" customHeight="1">
      <c r="B267" s="1124"/>
      <c r="C267" s="485"/>
      <c r="D267" s="485"/>
      <c r="E267" s="2788" t="s">
        <v>673</v>
      </c>
      <c r="F267" s="2410"/>
      <c r="G267" s="1506" t="str">
        <f>EUconst_tCO2pa</f>
        <v>t CO2 / year</v>
      </c>
      <c r="H267" s="668" t="str">
        <f t="shared" ref="H267:N267" si="64">IF(ISNUMBER(H262),IF((IF(ISNUMBER(H238),H238,0)-SUM(H262))&lt;0,0,IF(ISNUMBER(H238),H238,0)-SUM(H262)),"")</f>
        <v/>
      </c>
      <c r="I267" s="1021" t="str">
        <f t="shared" si="64"/>
        <v/>
      </c>
      <c r="J267" s="1491" t="str">
        <f t="shared" si="64"/>
        <v/>
      </c>
      <c r="K267" s="1492" t="str">
        <f t="shared" si="64"/>
        <v/>
      </c>
      <c r="L267" s="1492" t="str">
        <f t="shared" si="64"/>
        <v/>
      </c>
      <c r="M267" s="1492" t="str">
        <f t="shared" si="64"/>
        <v/>
      </c>
      <c r="N267" s="1492" t="str">
        <f t="shared" si="64"/>
        <v/>
      </c>
      <c r="O267" s="481"/>
      <c r="P267" s="485"/>
    </row>
    <row r="268" spans="2:25">
      <c r="B268" s="1124"/>
      <c r="C268" s="485"/>
      <c r="D268" s="485"/>
      <c r="E268" s="485"/>
      <c r="F268" s="485"/>
      <c r="G268" s="485"/>
      <c r="H268" s="485"/>
      <c r="I268" s="485"/>
      <c r="J268" s="485"/>
      <c r="K268" s="485"/>
      <c r="L268" s="485"/>
      <c r="M268" s="485"/>
      <c r="N268" s="485"/>
      <c r="O268" s="481"/>
      <c r="P268" s="485"/>
    </row>
    <row r="269" spans="2:25" ht="13.15" customHeight="1">
      <c r="B269" s="1124"/>
      <c r="C269" s="485"/>
      <c r="D269" s="3184" t="s">
        <v>1014</v>
      </c>
      <c r="E269" s="3184"/>
      <c r="F269" s="3184"/>
      <c r="G269" s="3184"/>
      <c r="H269" s="3184"/>
      <c r="I269" s="3184"/>
      <c r="J269" s="3184"/>
      <c r="K269" s="3184"/>
      <c r="L269" s="3184"/>
      <c r="M269" s="3184"/>
      <c r="N269" s="3184"/>
      <c r="O269" s="481"/>
      <c r="P269" s="485"/>
    </row>
    <row r="270" spans="2:25">
      <c r="B270" s="1124"/>
      <c r="C270" s="1124"/>
      <c r="D270" s="1124"/>
      <c r="E270" s="1124"/>
      <c r="F270" s="1124"/>
      <c r="G270" s="1124"/>
      <c r="H270" s="1124"/>
      <c r="I270" s="1124"/>
      <c r="J270" s="1124"/>
      <c r="K270" s="1124"/>
      <c r="L270" s="1124"/>
      <c r="M270" s="1124"/>
      <c r="N270" s="1124"/>
      <c r="O270" s="481"/>
      <c r="P270" s="485"/>
    </row>
    <row r="271" spans="2:25" hidden="1">
      <c r="B271" s="1198" t="s">
        <v>873</v>
      </c>
      <c r="C271" s="1198" t="s">
        <v>873</v>
      </c>
      <c r="D271" s="1198" t="s">
        <v>873</v>
      </c>
      <c r="E271" s="1198" t="s">
        <v>873</v>
      </c>
      <c r="F271" s="1198" t="s">
        <v>873</v>
      </c>
      <c r="G271" s="1198" t="s">
        <v>873</v>
      </c>
      <c r="H271" s="1198" t="s">
        <v>873</v>
      </c>
      <c r="I271" s="1198" t="s">
        <v>873</v>
      </c>
      <c r="J271" s="1198" t="s">
        <v>873</v>
      </c>
      <c r="K271" s="1198" t="s">
        <v>873</v>
      </c>
      <c r="L271" s="1198" t="s">
        <v>873</v>
      </c>
      <c r="M271" s="1198" t="s">
        <v>873</v>
      </c>
      <c r="N271" s="1198" t="s">
        <v>873</v>
      </c>
      <c r="O271" s="1198" t="s">
        <v>873</v>
      </c>
      <c r="P271" s="1198" t="s">
        <v>873</v>
      </c>
      <c r="Q271" s="1198" t="s">
        <v>873</v>
      </c>
      <c r="R271" s="1198" t="s">
        <v>873</v>
      </c>
      <c r="S271" s="1198" t="s">
        <v>873</v>
      </c>
      <c r="T271" s="1198" t="s">
        <v>873</v>
      </c>
      <c r="U271" s="1198" t="s">
        <v>873</v>
      </c>
      <c r="V271" s="1198" t="s">
        <v>873</v>
      </c>
      <c r="W271" s="1198" t="s">
        <v>873</v>
      </c>
      <c r="X271" s="1198" t="s">
        <v>873</v>
      </c>
      <c r="Y271" s="1198" t="s">
        <v>873</v>
      </c>
    </row>
    <row r="272" spans="2:25" hidden="1">
      <c r="P272" s="485"/>
    </row>
    <row r="273" spans="2:16" hidden="1">
      <c r="B273" s="1198"/>
      <c r="C273" s="1198"/>
      <c r="D273" s="1503" t="s">
        <v>874</v>
      </c>
      <c r="E273" s="1198"/>
      <c r="F273" s="1198"/>
      <c r="G273" s="1198"/>
      <c r="H273" s="1198"/>
      <c r="I273" s="1198"/>
      <c r="J273" s="1198"/>
      <c r="K273" s="1198"/>
      <c r="L273" s="1198"/>
      <c r="M273" s="1198"/>
      <c r="N273" s="1198"/>
      <c r="O273" s="1198"/>
      <c r="P273" s="485"/>
    </row>
    <row r="274" spans="2:16" ht="13.5" hidden="1" thickBot="1">
      <c r="P274" s="485"/>
    </row>
    <row r="275" spans="2:16" hidden="1">
      <c r="E275" s="1199" t="s">
        <v>545</v>
      </c>
      <c r="F275" s="1200"/>
      <c r="G275" s="1200"/>
      <c r="H275" s="1200"/>
      <c r="I275" s="1200"/>
      <c r="J275" s="1200"/>
      <c r="K275" s="1200"/>
      <c r="L275" s="1200"/>
      <c r="M275" s="1200"/>
      <c r="N275" s="1201"/>
      <c r="P275" s="485"/>
    </row>
    <row r="276" spans="2:16" hidden="1">
      <c r="E276" s="1202" t="s">
        <v>877</v>
      </c>
      <c r="F276" s="1203"/>
      <c r="G276" s="1203"/>
      <c r="H276" s="1204">
        <f>A_InstallationData!H413</f>
        <v>0</v>
      </c>
      <c r="I276" s="1204">
        <f>A_InstallationData!I413</f>
        <v>0</v>
      </c>
      <c r="J276" s="1204">
        <f>A_InstallationData!J413</f>
        <v>1</v>
      </c>
      <c r="K276" s="1204">
        <f>A_InstallationData!K413</f>
        <v>2</v>
      </c>
      <c r="L276" s="1204">
        <f>A_InstallationData!L413</f>
        <v>3</v>
      </c>
      <c r="M276" s="1204">
        <f>A_InstallationData!M413</f>
        <v>4</v>
      </c>
      <c r="N276" s="1205">
        <f>A_InstallationData!N413</f>
        <v>5</v>
      </c>
      <c r="P276" s="485"/>
    </row>
    <row r="277" spans="2:16" hidden="1">
      <c r="E277" s="1206" t="s">
        <v>1132</v>
      </c>
      <c r="F277" s="1203"/>
      <c r="G277" s="1203"/>
      <c r="H277" s="1204">
        <f>A_InstallationData!H414</f>
        <v>2019</v>
      </c>
      <c r="I277" s="1204">
        <f>A_InstallationData!I414</f>
        <v>2020</v>
      </c>
      <c r="J277" s="1204">
        <f>A_InstallationData!J414</f>
        <v>2021</v>
      </c>
      <c r="K277" s="1204">
        <f>A_InstallationData!K414</f>
        <v>2022</v>
      </c>
      <c r="L277" s="1204">
        <f>A_InstallationData!L414</f>
        <v>2023</v>
      </c>
      <c r="M277" s="1204">
        <f>A_InstallationData!M414</f>
        <v>2024</v>
      </c>
      <c r="N277" s="1205">
        <f>A_InstallationData!N414</f>
        <v>2025</v>
      </c>
      <c r="P277" s="485"/>
    </row>
    <row r="278" spans="2:16" hidden="1">
      <c r="E278" s="1206" t="s">
        <v>1131</v>
      </c>
      <c r="F278" s="1207"/>
      <c r="G278" s="1207"/>
      <c r="H278" s="1208">
        <f>A_InstallationData!H415</f>
        <v>2024</v>
      </c>
      <c r="I278" s="1208">
        <f>A_InstallationData!I415</f>
        <v>2025</v>
      </c>
      <c r="J278" s="1208">
        <f>A_InstallationData!J415</f>
        <v>2026</v>
      </c>
      <c r="K278" s="1208">
        <f>A_InstallationData!K415</f>
        <v>2027</v>
      </c>
      <c r="L278" s="1208">
        <f>A_InstallationData!L415</f>
        <v>2028</v>
      </c>
      <c r="M278" s="1208">
        <f>A_InstallationData!M415</f>
        <v>2029</v>
      </c>
      <c r="N278" s="1209">
        <f>A_InstallationData!N415</f>
        <v>2030</v>
      </c>
      <c r="O278" s="1124"/>
      <c r="P278" s="485"/>
    </row>
    <row r="279" spans="2:16" hidden="1">
      <c r="E279" s="1206" t="s">
        <v>544</v>
      </c>
      <c r="F279" s="1207"/>
      <c r="G279" s="1207"/>
      <c r="H279" s="1208">
        <f>A_InstallationData!H416</f>
        <v>0</v>
      </c>
      <c r="I279" s="1208">
        <f>A_InstallationData!I416</f>
        <v>0</v>
      </c>
      <c r="J279" s="1208">
        <f>A_InstallationData!J416</f>
        <v>1</v>
      </c>
      <c r="K279" s="1208">
        <f>A_InstallationData!K416</f>
        <v>1</v>
      </c>
      <c r="L279" s="1208">
        <f>A_InstallationData!L416</f>
        <v>1</v>
      </c>
      <c r="M279" s="1208">
        <f>A_InstallationData!M416</f>
        <v>1</v>
      </c>
      <c r="N279" s="1209">
        <f>A_InstallationData!N416</f>
        <v>1</v>
      </c>
      <c r="P279" s="485"/>
    </row>
    <row r="280" spans="2:16" hidden="1">
      <c r="E280" s="1206" t="s">
        <v>2541</v>
      </c>
      <c r="F280" s="1207"/>
      <c r="G280" s="1207"/>
      <c r="H280" s="1207" t="b">
        <f>A_InstallationData!H417</f>
        <v>1</v>
      </c>
      <c r="I280" s="1207" t="b">
        <f>A_InstallationData!I417</f>
        <v>1</v>
      </c>
      <c r="J280" s="1207" t="b">
        <f>A_InstallationData!J417</f>
        <v>1</v>
      </c>
      <c r="K280" s="1207" t="b">
        <f>A_InstallationData!K417</f>
        <v>1</v>
      </c>
      <c r="L280" s="1207" t="b">
        <f>A_InstallationData!L417</f>
        <v>1</v>
      </c>
      <c r="M280" s="1207" t="b">
        <f>A_InstallationData!M417</f>
        <v>1</v>
      </c>
      <c r="N280" s="1508" t="b">
        <f>A_InstallationData!N417</f>
        <v>1</v>
      </c>
      <c r="P280" s="485"/>
    </row>
    <row r="281" spans="2:16" ht="13.5" hidden="1" thickBot="1">
      <c r="E281" s="1212" t="s">
        <v>543</v>
      </c>
      <c r="F281" s="1213"/>
      <c r="G281" s="1213"/>
      <c r="H281" s="1213" t="b">
        <f>A_InstallationData!H418</f>
        <v>1</v>
      </c>
      <c r="I281" s="1213" t="b">
        <f>A_InstallationData!I418</f>
        <v>1</v>
      </c>
      <c r="J281" s="1213" t="b">
        <f>A_InstallationData!J418</f>
        <v>1</v>
      </c>
      <c r="K281" s="1213" t="b">
        <f>A_InstallationData!K418</f>
        <v>1</v>
      </c>
      <c r="L281" s="1213" t="b">
        <f>A_InstallationData!L418</f>
        <v>1</v>
      </c>
      <c r="M281" s="1213" t="b">
        <f>A_InstallationData!M418</f>
        <v>1</v>
      </c>
      <c r="N281" s="1509" t="b">
        <f>A_InstallationData!N418</f>
        <v>1</v>
      </c>
      <c r="P281" s="485"/>
    </row>
    <row r="282" spans="2:16" hidden="1">
      <c r="P282" s="485"/>
    </row>
    <row r="283" spans="2:16" ht="13.5" hidden="1" thickBot="1">
      <c r="E283" s="1116" t="s">
        <v>114</v>
      </c>
      <c r="P283" s="485"/>
    </row>
    <row r="284" spans="2:16" hidden="1">
      <c r="D284" s="1116">
        <v>6</v>
      </c>
      <c r="E284" s="1510" t="str">
        <f>INDEX(EUconst_FallBackListNames,D284)</f>
        <v>Process emissions sub-installation, CL</v>
      </c>
      <c r="F284" s="1511"/>
      <c r="G284" s="1512" t="str">
        <f>EUconst_tCO2epa</f>
        <v>t CO2e/year</v>
      </c>
      <c r="H284" s="1513" t="str">
        <f>IF(ISNUMBER(K_Summary!H107),INDEX(K_Summary!G$91:G$129,MATCH(EUconst_CNTR_HAL&amp;$E284,K_Summary!$P$91:$P$129,0)),"")</f>
        <v/>
      </c>
      <c r="I284" s="1513" t="str">
        <f>IF(ISNUMBER(K_Summary!I107),INDEX(K_Summary!H$91:H$129,MATCH(EUconst_CNTR_HAL&amp;$E284,K_Summary!$P$91:$P$129,0)),"")</f>
        <v/>
      </c>
      <c r="J284" s="1513" t="str">
        <f>IF(ISNUMBER(K_Summary!J107),INDEX(K_Summary!I$91:I$129,MATCH(EUconst_CNTR_HAL&amp;$E284,K_Summary!$P$91:$P$129,0)),"")</f>
        <v/>
      </c>
      <c r="K284" s="1513" t="str">
        <f>IF(ISNUMBER(K_Summary!K107),INDEX(K_Summary!J$91:J$129,MATCH(EUconst_CNTR_HAL&amp;$E284,K_Summary!$P$91:$P$129,0)),"")</f>
        <v/>
      </c>
      <c r="L284" s="1513" t="str">
        <f>IF(ISNUMBER(K_Summary!L107),INDEX(K_Summary!K$91:K$129,MATCH(EUconst_CNTR_HAL&amp;$E284,K_Summary!$P$91:$P$129,0)),"")</f>
        <v/>
      </c>
      <c r="M284" s="1513" t="str">
        <f>IF(ISNUMBER(K_Summary!M107),INDEX(K_Summary!L$91:L$129,MATCH(EUconst_CNTR_HAL&amp;$E284,K_Summary!$P$91:$P$129,0)),"")</f>
        <v/>
      </c>
      <c r="N284" s="1514" t="str">
        <f>IF(ISNUMBER(K_Summary!N107),INDEX(K_Summary!M$91:M$129,MATCH(EUconst_CNTR_HAL&amp;$E284,K_Summary!$P$91:$P$129,0)),"")</f>
        <v/>
      </c>
      <c r="P284" s="485"/>
    </row>
    <row r="285" spans="2:16" ht="13.5" hidden="1" thickBot="1">
      <c r="D285" s="1116">
        <v>7</v>
      </c>
      <c r="E285" s="1515" t="str">
        <f>INDEX(EUconst_FallBackListNames,D285)</f>
        <v>Process emissions sub-installation, non-CL</v>
      </c>
      <c r="F285" s="1516"/>
      <c r="G285" s="1517" t="str">
        <f>EUconst_tCO2epa</f>
        <v>t CO2e/year</v>
      </c>
      <c r="H285" s="1518" t="str">
        <f>IF(ISNUMBER(K_Summary!H108),INDEX(K_Summary!G$91:G$129,MATCH(EUconst_CNTR_HAL&amp;$E285,K_Summary!$P$91:$P$129,0)),"")</f>
        <v/>
      </c>
      <c r="I285" s="1518" t="str">
        <f>IF(ISNUMBER(K_Summary!I108),INDEX(K_Summary!H$91:H$129,MATCH(EUconst_CNTR_HAL&amp;$E285,K_Summary!$P$91:$P$129,0)),"")</f>
        <v/>
      </c>
      <c r="J285" s="1518" t="str">
        <f>IF(ISNUMBER(K_Summary!J108),INDEX(K_Summary!I$91:I$129,MATCH(EUconst_CNTR_HAL&amp;$E285,K_Summary!$P$91:$P$129,0)),"")</f>
        <v/>
      </c>
      <c r="K285" s="1518" t="str">
        <f>IF(ISNUMBER(K_Summary!K108),INDEX(K_Summary!J$91:J$129,MATCH(EUconst_CNTR_HAL&amp;$E285,K_Summary!$P$91:$P$129,0)),"")</f>
        <v/>
      </c>
      <c r="L285" s="1518" t="str">
        <f>IF(ISNUMBER(K_Summary!L108),INDEX(K_Summary!K$91:K$129,MATCH(EUconst_CNTR_HAL&amp;$E285,K_Summary!$P$91:$P$129,0)),"")</f>
        <v/>
      </c>
      <c r="M285" s="1518" t="str">
        <f>IF(ISNUMBER(K_Summary!M108),INDEX(K_Summary!L$91:L$129,MATCH(EUconst_CNTR_HAL&amp;$E285,K_Summary!$P$91:$P$129,0)),"")</f>
        <v/>
      </c>
      <c r="N285" s="1519" t="str">
        <f>IF(ISNUMBER(K_Summary!N108),INDEX(K_Summary!M$91:M$129,MATCH(EUconst_CNTR_HAL&amp;$E285,K_Summary!$P$91:$P$129,0)),"")</f>
        <v/>
      </c>
      <c r="P285" s="485"/>
    </row>
    <row r="286" spans="2:16" hidden="1">
      <c r="P286" s="485"/>
    </row>
  </sheetData>
  <sheetProtection algorithmName="SHA-512" hashValue="dKqi5VkNMPyUZlyi74tlpTtUljgtnFL1nXI6/sX2eogUlbn9Hw0i/mDWqFJ2F5+GDgmGIta6SR+dw0+naHU6Pg==" saltValue="prXzqqjumnR+t8Tjv1qLyw==" spinCount="100000" sheet="1" formatCells="0" formatColumns="0" formatRows="0" insertHyperlinks="0"/>
  <mergeCells count="197">
    <mergeCell ref="AP2:AP4"/>
    <mergeCell ref="E256:G256"/>
    <mergeCell ref="E2:F2"/>
    <mergeCell ref="E18:N18"/>
    <mergeCell ref="E207:G207"/>
    <mergeCell ref="E267:F267"/>
    <mergeCell ref="E254:N254"/>
    <mergeCell ref="E257:G257"/>
    <mergeCell ref="E259:N259"/>
    <mergeCell ref="E261:F261"/>
    <mergeCell ref="E262:F262"/>
    <mergeCell ref="H230:N230"/>
    <mergeCell ref="E232:N233"/>
    <mergeCell ref="E235:N235"/>
    <mergeCell ref="E238:F238"/>
    <mergeCell ref="E240:N240"/>
    <mergeCell ref="E242:F242"/>
    <mergeCell ref="E264:N264"/>
    <mergeCell ref="E243:F243"/>
    <mergeCell ref="E245:N245"/>
    <mergeCell ref="E247:F247"/>
    <mergeCell ref="E248:F248"/>
    <mergeCell ref="E250:N250"/>
    <mergeCell ref="E252:F252"/>
    <mergeCell ref="E214:N214"/>
    <mergeCell ref="E215:N215"/>
    <mergeCell ref="E216:N216"/>
    <mergeCell ref="E217:N217"/>
    <mergeCell ref="E219:F219"/>
    <mergeCell ref="D222:N222"/>
    <mergeCell ref="E224:N224"/>
    <mergeCell ref="E226:K226"/>
    <mergeCell ref="E228:K228"/>
    <mergeCell ref="L226:N226"/>
    <mergeCell ref="L228:N228"/>
    <mergeCell ref="E209:N209"/>
    <mergeCell ref="E210:N210"/>
    <mergeCell ref="E211:F211"/>
    <mergeCell ref="E195:N195"/>
    <mergeCell ref="E196:N196"/>
    <mergeCell ref="E197:F197"/>
    <mergeCell ref="E198:F198"/>
    <mergeCell ref="E200:N200"/>
    <mergeCell ref="E212:F212"/>
    <mergeCell ref="E201:N201"/>
    <mergeCell ref="E206:G206"/>
    <mergeCell ref="E194:N194"/>
    <mergeCell ref="E203:F203"/>
    <mergeCell ref="E205:N205"/>
    <mergeCell ref="E149:N149"/>
    <mergeCell ref="E151:F151"/>
    <mergeCell ref="E152:F152"/>
    <mergeCell ref="E185:F185"/>
    <mergeCell ref="F162:N162"/>
    <mergeCell ref="E183:N183"/>
    <mergeCell ref="E172:N172"/>
    <mergeCell ref="E174:K174"/>
    <mergeCell ref="E187:N187"/>
    <mergeCell ref="H176:N176"/>
    <mergeCell ref="E179:N180"/>
    <mergeCell ref="L174:N174"/>
    <mergeCell ref="E166:N166"/>
    <mergeCell ref="E176:G176"/>
    <mergeCell ref="E177:N177"/>
    <mergeCell ref="E178:N178"/>
    <mergeCell ref="E147:F147"/>
    <mergeCell ref="E188:N188"/>
    <mergeCell ref="E189:N189"/>
    <mergeCell ref="E191:F191"/>
    <mergeCell ref="E190:F190"/>
    <mergeCell ref="E182:N182"/>
    <mergeCell ref="F163:N163"/>
    <mergeCell ref="F165:N165"/>
    <mergeCell ref="E193:N193"/>
    <mergeCell ref="D154:N154"/>
    <mergeCell ref="E132:I132"/>
    <mergeCell ref="E134:N134"/>
    <mergeCell ref="E136:F136"/>
    <mergeCell ref="E137:F137"/>
    <mergeCell ref="E139:N139"/>
    <mergeCell ref="E141:F141"/>
    <mergeCell ref="E142:F142"/>
    <mergeCell ref="E144:N144"/>
    <mergeCell ref="E146:F146"/>
    <mergeCell ref="E117:N117"/>
    <mergeCell ref="E119:F119"/>
    <mergeCell ref="E121:N121"/>
    <mergeCell ref="E123:F123"/>
    <mergeCell ref="E124:F124"/>
    <mergeCell ref="E126:N126"/>
    <mergeCell ref="E128:F128"/>
    <mergeCell ref="E129:F129"/>
    <mergeCell ref="E130:F130"/>
    <mergeCell ref="E101:F101"/>
    <mergeCell ref="E103:N103"/>
    <mergeCell ref="E104:N104"/>
    <mergeCell ref="E106:F106"/>
    <mergeCell ref="E107:F107"/>
    <mergeCell ref="D109:N109"/>
    <mergeCell ref="E111:N111"/>
    <mergeCell ref="E113:N113"/>
    <mergeCell ref="E115:F115"/>
    <mergeCell ref="F14:N14"/>
    <mergeCell ref="F16:N16"/>
    <mergeCell ref="F11:N11"/>
    <mergeCell ref="F13:N13"/>
    <mergeCell ref="F12:N12"/>
    <mergeCell ref="E45:L45"/>
    <mergeCell ref="D43:N43"/>
    <mergeCell ref="F15:N15"/>
    <mergeCell ref="D37:N37"/>
    <mergeCell ref="D30:N30"/>
    <mergeCell ref="D32:N32"/>
    <mergeCell ref="E20:F20"/>
    <mergeCell ref="E41:N41"/>
    <mergeCell ref="E21:F21"/>
    <mergeCell ref="E23:F23"/>
    <mergeCell ref="E24:F24"/>
    <mergeCell ref="E25:F25"/>
    <mergeCell ref="E26:F26"/>
    <mergeCell ref="E27:F27"/>
    <mergeCell ref="E28:F28"/>
    <mergeCell ref="E35:F35"/>
    <mergeCell ref="E22:F22"/>
    <mergeCell ref="E17:N17"/>
    <mergeCell ref="E39:N39"/>
    <mergeCell ref="D269:N269"/>
    <mergeCell ref="F164:N164"/>
    <mergeCell ref="F161:N161"/>
    <mergeCell ref="L170:N170"/>
    <mergeCell ref="D168:N168"/>
    <mergeCell ref="E50:N50"/>
    <mergeCell ref="E159:N159"/>
    <mergeCell ref="E157:N157"/>
    <mergeCell ref="E59:N59"/>
    <mergeCell ref="E171:N171"/>
    <mergeCell ref="E156:L156"/>
    <mergeCell ref="D52:N52"/>
    <mergeCell ref="E86:N86"/>
    <mergeCell ref="E60:N60"/>
    <mergeCell ref="E64:N64"/>
    <mergeCell ref="E65:N65"/>
    <mergeCell ref="E70:N70"/>
    <mergeCell ref="E71:N71"/>
    <mergeCell ref="E77:I77"/>
    <mergeCell ref="E90:N90"/>
    <mergeCell ref="E92:F92"/>
    <mergeCell ref="E93:F93"/>
    <mergeCell ref="E98:N98"/>
    <mergeCell ref="E87:N87"/>
    <mergeCell ref="P2:P4"/>
    <mergeCell ref="E170:K170"/>
    <mergeCell ref="E158:N158"/>
    <mergeCell ref="E54:N54"/>
    <mergeCell ref="M4:N4"/>
    <mergeCell ref="K3:L3"/>
    <mergeCell ref="E4:F4"/>
    <mergeCell ref="E160:N160"/>
    <mergeCell ref="G4:H4"/>
    <mergeCell ref="I4:J4"/>
    <mergeCell ref="E3:F3"/>
    <mergeCell ref="G3:H3"/>
    <mergeCell ref="D6:N6"/>
    <mergeCell ref="D8:N8"/>
    <mergeCell ref="B2:D4"/>
    <mergeCell ref="G2:H2"/>
    <mergeCell ref="K2:L2"/>
    <mergeCell ref="I2:J2"/>
    <mergeCell ref="M2:N2"/>
    <mergeCell ref="K4:L4"/>
    <mergeCell ref="M3:N3"/>
    <mergeCell ref="I3:J3"/>
    <mergeCell ref="E55:N55"/>
    <mergeCell ref="E10:N10"/>
    <mergeCell ref="E97:N97"/>
    <mergeCell ref="E49:N49"/>
    <mergeCell ref="E100:F100"/>
    <mergeCell ref="E95:N95"/>
    <mergeCell ref="E96:N96"/>
    <mergeCell ref="E57:F57"/>
    <mergeCell ref="E62:F62"/>
    <mergeCell ref="E67:F67"/>
    <mergeCell ref="E68:F68"/>
    <mergeCell ref="E73:F73"/>
    <mergeCell ref="E74:F74"/>
    <mergeCell ref="E75:F75"/>
    <mergeCell ref="E88:N88"/>
    <mergeCell ref="E89:N89"/>
    <mergeCell ref="E40:N40"/>
    <mergeCell ref="E47:N47"/>
    <mergeCell ref="E46:N46"/>
    <mergeCell ref="E48:N48"/>
    <mergeCell ref="E79:N79"/>
    <mergeCell ref="E80:N80"/>
    <mergeCell ref="E81:N81"/>
    <mergeCell ref="E83:F83"/>
    <mergeCell ref="E84:F84"/>
  </mergeCells>
  <phoneticPr fontId="33" type="noConversion"/>
  <conditionalFormatting sqref="G3:H3">
    <cfRule type="expression" dxfId="769" priority="13" stopIfTrue="1">
      <formula>COUNTIF($AK:$AK,1)&gt;0</formula>
    </cfRule>
  </conditionalFormatting>
  <conditionalFormatting sqref="G4:H4">
    <cfRule type="expression" dxfId="768" priority="11" stopIfTrue="1">
      <formula>COUNTIF($AK:$AK,4)&gt;0</formula>
    </cfRule>
  </conditionalFormatting>
  <conditionalFormatting sqref="H21:I28 I62 I67 I73:I74 I92:I93 H115:I115 H119:I119 I123 H128:I129 H141:I142 H185:I185 H191:I191 H198:I198 H203:I203 H238:I238 H243:I243 H248:I248 H252:I252">
    <cfRule type="expression" dxfId="767" priority="2" stopIfTrue="1">
      <formula>AB$21</formula>
    </cfRule>
  </conditionalFormatting>
  <conditionalFormatting sqref="H128:I129">
    <cfRule type="expression" dxfId="766" priority="7" stopIfTrue="1">
      <formula>$Y128</formula>
    </cfRule>
  </conditionalFormatting>
  <conditionalFormatting sqref="H141:I142">
    <cfRule type="expression" dxfId="765" priority="5" stopIfTrue="1">
      <formula>$Y141</formula>
    </cfRule>
  </conditionalFormatting>
  <conditionalFormatting sqref="H252:I252">
    <cfRule type="expression" dxfId="764" priority="6" stopIfTrue="1">
      <formula>$Y252</formula>
    </cfRule>
  </conditionalFormatting>
  <conditionalFormatting sqref="H75:N75 H130:I130">
    <cfRule type="expression" dxfId="763" priority="10" stopIfTrue="1">
      <formula>AND(NOT(MSconst_RequireAllYears),NOT(INDEX(CNTR_BaselineHighlight,H$278-2004)))</formula>
    </cfRule>
  </conditionalFormatting>
  <conditionalFormatting sqref="I57 I62 I73:I74 I92:I93 H115:I115 H119:I119 H128:I129 H141:I142 I67 I123 H21:I24 H26:I26 M45">
    <cfRule type="expression" dxfId="762" priority="9" stopIfTrue="1">
      <formula>AND((MSconst_RequireEmissionTotals=FALSE),$Q$21=FALSE)</formula>
    </cfRule>
  </conditionalFormatting>
  <conditionalFormatting sqref="I57">
    <cfRule type="expression" dxfId="761" priority="1" stopIfTrue="1">
      <formula>AC$21</formula>
    </cfRule>
  </conditionalFormatting>
  <conditionalFormatting sqref="I62 I73:I74 I92:I93 H115:I115 H119:I119 H185:I185 H191:I191 H198:I198 H203:I203 H238:I238 H243:I243 H248:I248 I57 L170:N170 L174:N174 H176:N176 E179:N180 L226 L228 H230 E232">
    <cfRule type="expression" dxfId="760" priority="8" stopIfTrue="1">
      <formula>$Y57</formula>
    </cfRule>
  </conditionalFormatting>
  <conditionalFormatting sqref="I67:I68">
    <cfRule type="expression" dxfId="759" priority="4" stopIfTrue="1">
      <formula>$Y67</formula>
    </cfRule>
  </conditionalFormatting>
  <conditionalFormatting sqref="I123 H124:I124">
    <cfRule type="expression" dxfId="758" priority="3" stopIfTrue="1">
      <formula>$Y123</formula>
    </cfRule>
  </conditionalFormatting>
  <conditionalFormatting sqref="K3:N3">
    <cfRule type="expression" dxfId="757" priority="12" stopIfTrue="1">
      <formula>COUNTIF($AK:$AK,3)&gt;0</formula>
    </cfRule>
  </conditionalFormatting>
  <conditionalFormatting sqref="S21:Y25 S28:Y28">
    <cfRule type="expression" dxfId="756" priority="526" stopIfTrue="1">
      <formula>AND(ISNUMBER(#REF!),ISNUMBER(H21))</formula>
    </cfRule>
  </conditionalFormatting>
  <conditionalFormatting sqref="S26:Y26">
    <cfRule type="expression" dxfId="755" priority="528" stopIfTrue="1">
      <formula>AND(ISNUMBER(#REF!),ISNUMBER(H25))</formula>
    </cfRule>
  </conditionalFormatting>
  <dataValidations count="7">
    <dataValidation type="list" allowBlank="1" showInputMessage="1" showErrorMessage="1" sqref="L174:N174 L228" xr:uid="{00000000-0002-0000-0600-000001000000}">
      <formula1>EUconst_RelevantNotRelevant</formula1>
    </dataValidation>
    <dataValidation type="list" allowBlank="1" showInputMessage="1" showErrorMessage="1" sqref="M156" xr:uid="{00000000-0002-0000-0600-000003000000}">
      <formula1>Euconst_TrueFalse</formula1>
    </dataValidation>
    <dataValidation type="decimal" allowBlank="1" showInputMessage="1" showErrorMessage="1" errorTitle="0 &lt; value &lt; 1" error="Values should be between 0 and 1" sqref="I92:N93 I141:N142" xr:uid="{00000000-0002-0000-0600-000004000000}">
      <formula1>0</formula1>
      <formula2>1</formula2>
    </dataValidation>
    <dataValidation type="decimal" operator="lessThanOrEqual" allowBlank="1" showInputMessage="1" showErrorMessage="1" errorTitle="Data error!" error="Exported amounts should be reported as negative values." sqref="H26:N26" xr:uid="{00000000-0002-0000-0600-000005000000}">
      <formula1>0</formula1>
    </dataValidation>
    <dataValidation type="decimal" operator="lessThanOrEqual" allowBlank="1" showInputMessage="1" showErrorMessage="1" sqref="S26:Y26" xr:uid="{00000000-0002-0000-0600-000006000000}">
      <formula1>0</formula1>
    </dataValidation>
    <dataValidation type="decimal" operator="greaterThanOrEqual" allowBlank="1" showInputMessage="1" showErrorMessage="1" error="! Numeric value &gt; 0 !" sqref="H28:N28 H21:N24" xr:uid="{00000000-0002-0000-0600-000007000000}">
      <formula1>0</formula1>
    </dataValidation>
    <dataValidation allowBlank="1" showInputMessage="1" showErrorMessage="1" errorTitle="0 &lt; value &lt; 1" error="Values should be between 0 and 1" sqref="H92:H93 H141:H142" xr:uid="{C1B8D6AA-836E-44EF-9A45-12783DA3F64E}"/>
  </dataValidations>
  <hyperlinks>
    <hyperlink ref="E41:M41" location="JUMP_K_III2" display="JUMP_K_III2" xr:uid="{00000000-0004-0000-0600-00000E000000}"/>
    <hyperlink ref="I2:J2" location="'B+C_SubInstallations'!B5" display="Previous sheet" xr:uid="{D9B68A32-8BA7-40F2-AB37-8ED05FC428C2}"/>
    <hyperlink ref="G2:H2" location="a_Contents!B5" display="Table of contents" xr:uid="{ECC68B87-4C85-4C32-B928-A44AF9E473D8}"/>
    <hyperlink ref="K2:L2" location="E_EnergyFlows!B5" display="Next sheet" xr:uid="{9E948A70-8D48-46C2-97B7-F598608E0B73}"/>
    <hyperlink ref="M2:N2" location="K_Summary!B5" display="Summary" xr:uid="{B83737D9-B630-4926-8CE9-DBB4B3BCC96D}"/>
    <hyperlink ref="E3:F3" location="D_Emissions!B5" display="Top of sheet" xr:uid="{BAD314AF-826F-499B-BE9C-39ECC97F9BEA}"/>
    <hyperlink ref="E4:F4" location="D_Emissions!B269" display="End of sheet" xr:uid="{50BF67D9-CA59-4FC4-A97B-9A3E0FE95D72}"/>
    <hyperlink ref="G3:H3" location="D_Emissions!D8" display="Emissions and Energy Input" xr:uid="{4D1047CF-1E9C-4274-A7FB-893059A2BBE6}"/>
    <hyperlink ref="I3:J3" location="D_Emissions!D30" display="Emissions Attribution" xr:uid="{06A45EA3-A9D5-46A4-A324-3438629D9667}"/>
    <hyperlink ref="K3:L3" location="D_Emissions!D52" display="Cogeneration (1)" xr:uid="{EFB4E41E-3553-4AAB-8276-2D5261C62C78}"/>
    <hyperlink ref="M3:N3" location="D_Emissions!D109" display="Cogeneration (2)" xr:uid="{65746FE1-D13B-4410-9B41-A4F54F3F13EB}"/>
    <hyperlink ref="G4:H4" location="D_Emissions!D168" display="Waste gases (1)" xr:uid="{9D2AC2A8-376C-4E18-B3F6-F89E8AFDC667}"/>
    <hyperlink ref="I4:J4" location="D_Emissions!D222" display="Waste gases (2)" xr:uid="{F492F566-4C51-4BA0-9D82-21F79A6130A3}"/>
    <hyperlink ref="D269:N269" location="E_EnergyFlows!B5" display="&lt;&lt;&lt; Click here to proceed to next sheet &gt;&gt;&gt; " xr:uid="{C446DF7D-8CFF-418B-9858-C8FC95D05DBC}"/>
  </hyperlinks>
  <pageMargins left="0.78740157480314965" right="0.78740157480314965" top="0.78740157480314965" bottom="0.78740157480314965" header="0.51181102362204722" footer="0.51181102362204722"/>
  <pageSetup paperSize="9" scale="41" fitToHeight="10" orientation="portrait" r:id="rId1"/>
  <headerFooter alignWithMargins="0">
    <oddHeader>&amp;L&amp;F; &amp;A&amp;R&amp;D; &amp;T</oddHeader>
    <oddFooter>&amp;C&amp;P / &amp;N</oddFooter>
  </headerFooter>
  <rowBreaks count="1" manualBreakCount="1">
    <brk id="152" min="2" max="15" man="1"/>
  </rowBreaks>
  <ignoredErrors>
    <ignoredError sqref="G26" formula="1"/>
    <ignoredError sqref="H21:H28 H57 H62 H73:H74 M45"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tabColor indexed="52"/>
    <pageSetUpPr fitToPage="1"/>
  </sheetPr>
  <dimension ref="A1:AP434"/>
  <sheetViews>
    <sheetView showGridLines="0" topLeftCell="B1" zoomScaleNormal="100" zoomScaleSheetLayoutView="100" workbookViewId="0">
      <pane ySplit="4" topLeftCell="A5" activePane="bottomLeft" state="frozen"/>
      <selection activeCell="B2" sqref="B2"/>
      <selection pane="bottomLeft" activeCell="B5" sqref="B5"/>
    </sheetView>
  </sheetViews>
  <sheetFormatPr defaultColWidth="0" defaultRowHeight="12.75" zeroHeight="1"/>
  <cols>
    <col min="1" max="1" width="4.7109375" style="1116" hidden="1" customWidth="1"/>
    <col min="2" max="2" width="2.7109375" style="1116" customWidth="1"/>
    <col min="3" max="3" width="5.7109375" style="1116" customWidth="1"/>
    <col min="4" max="4" width="4.7109375" style="1116" customWidth="1"/>
    <col min="5" max="5" width="30.7109375" style="1116" customWidth="1"/>
    <col min="6" max="14" width="13.7109375" style="1116" customWidth="1"/>
    <col min="15" max="15" width="4.7109375" style="1116" customWidth="1"/>
    <col min="16" max="16" width="25.7109375" style="1116" customWidth="1"/>
    <col min="17" max="17" width="12.7109375" style="1118" hidden="1" customWidth="1"/>
    <col min="18" max="31" width="11.42578125" style="1118" hidden="1" customWidth="1"/>
    <col min="32" max="41" width="8.7109375" style="1119" hidden="1" customWidth="1"/>
    <col min="42" max="42" width="24.140625" style="1121" hidden="1" customWidth="1"/>
    <col min="43" max="16384" width="9.140625" style="1119" hidden="1"/>
  </cols>
  <sheetData>
    <row r="1" spans="2:42" s="1116" customFormat="1" ht="13.5" hidden="1" thickBot="1"/>
    <row r="2" spans="2:42" ht="13.5" thickBot="1">
      <c r="B2" s="2348" t="s">
        <v>581</v>
      </c>
      <c r="C2" s="3114"/>
      <c r="D2" s="3115"/>
      <c r="E2" s="2357" t="s">
        <v>572</v>
      </c>
      <c r="F2" s="2358"/>
      <c r="G2" s="2360" t="s">
        <v>573</v>
      </c>
      <c r="H2" s="2451"/>
      <c r="I2" s="2451" t="s">
        <v>578</v>
      </c>
      <c r="J2" s="2451"/>
      <c r="K2" s="2451" t="s">
        <v>574</v>
      </c>
      <c r="L2" s="2451"/>
      <c r="M2" s="2451" t="s">
        <v>575</v>
      </c>
      <c r="N2" s="2451"/>
      <c r="O2" s="481"/>
      <c r="P2" s="2940" t="s">
        <v>1987</v>
      </c>
      <c r="Q2" s="1117"/>
      <c r="AP2" s="2815" t="s">
        <v>2268</v>
      </c>
    </row>
    <row r="3" spans="2:42" ht="13.5" customHeight="1" thickBot="1">
      <c r="B3" s="2445"/>
      <c r="C3" s="2446"/>
      <c r="D3" s="3116"/>
      <c r="E3" s="2451" t="s">
        <v>576</v>
      </c>
      <c r="F3" s="2454"/>
      <c r="G3" s="3248" t="s">
        <v>600</v>
      </c>
      <c r="H3" s="3240"/>
      <c r="I3" s="3240" t="s">
        <v>49</v>
      </c>
      <c r="J3" s="3240"/>
      <c r="K3" s="3240" t="s">
        <v>601</v>
      </c>
      <c r="L3" s="3240"/>
      <c r="M3" s="3240" t="s">
        <v>1055</v>
      </c>
      <c r="N3" s="3240"/>
      <c r="O3" s="481"/>
      <c r="P3" s="2941"/>
      <c r="Q3" s="1117"/>
      <c r="AP3" s="2816"/>
    </row>
    <row r="4" spans="2:42" ht="13.5" customHeight="1" thickBot="1">
      <c r="B4" s="2448"/>
      <c r="C4" s="2449"/>
      <c r="D4" s="2450"/>
      <c r="E4" s="2451" t="s">
        <v>577</v>
      </c>
      <c r="F4" s="2451"/>
      <c r="G4" s="2452" t="s">
        <v>129</v>
      </c>
      <c r="H4" s="2453"/>
      <c r="I4" s="2453"/>
      <c r="J4" s="2453"/>
      <c r="K4" s="2453"/>
      <c r="L4" s="2453"/>
      <c r="M4" s="3249"/>
      <c r="N4" s="3249"/>
      <c r="O4" s="481"/>
      <c r="P4" s="2942"/>
      <c r="Q4" s="1117"/>
      <c r="AP4" s="2816"/>
    </row>
    <row r="5" spans="2:42">
      <c r="B5" s="467"/>
      <c r="C5" s="1120"/>
      <c r="D5" s="467"/>
      <c r="E5" s="467"/>
      <c r="F5" s="466"/>
      <c r="G5" s="466"/>
      <c r="H5" s="466"/>
      <c r="I5" s="467"/>
      <c r="J5" s="467"/>
      <c r="K5" s="467"/>
      <c r="L5" s="467"/>
      <c r="M5" s="481"/>
      <c r="N5" s="481"/>
      <c r="O5" s="481"/>
      <c r="P5" s="485"/>
      <c r="Q5" s="1117"/>
    </row>
    <row r="6" spans="2:42" ht="23.25" customHeight="1">
      <c r="B6" s="467"/>
      <c r="C6" s="478" t="s">
        <v>678</v>
      </c>
      <c r="D6" s="2424" t="s">
        <v>679</v>
      </c>
      <c r="E6" s="2400"/>
      <c r="F6" s="2400"/>
      <c r="G6" s="2400"/>
      <c r="H6" s="2400"/>
      <c r="I6" s="2400"/>
      <c r="J6" s="2400"/>
      <c r="K6" s="2400"/>
      <c r="L6" s="2400"/>
      <c r="M6" s="2400"/>
      <c r="N6" s="2400"/>
      <c r="O6" s="481"/>
      <c r="P6" s="485"/>
      <c r="Q6" s="1122" t="s">
        <v>228</v>
      </c>
      <c r="R6" s="1122" t="s">
        <v>228</v>
      </c>
      <c r="S6" s="1122" t="s">
        <v>228</v>
      </c>
      <c r="T6" s="1122" t="s">
        <v>228</v>
      </c>
      <c r="U6" s="1122" t="s">
        <v>228</v>
      </c>
      <c r="V6" s="1122" t="s">
        <v>228</v>
      </c>
      <c r="W6" s="1122" t="s">
        <v>228</v>
      </c>
      <c r="X6" s="1122" t="s">
        <v>228</v>
      </c>
      <c r="Y6" s="1122" t="s">
        <v>228</v>
      </c>
      <c r="Z6" s="1122" t="s">
        <v>228</v>
      </c>
      <c r="AA6" s="1122" t="s">
        <v>228</v>
      </c>
      <c r="AB6" s="1122" t="s">
        <v>228</v>
      </c>
      <c r="AC6" s="1122" t="s">
        <v>228</v>
      </c>
      <c r="AD6" s="1122" t="s">
        <v>228</v>
      </c>
      <c r="AE6" s="1122" t="s">
        <v>228</v>
      </c>
    </row>
    <row r="7" spans="2:42">
      <c r="B7" s="467"/>
      <c r="C7" s="467"/>
      <c r="D7" s="467"/>
      <c r="E7" s="467"/>
      <c r="F7" s="467"/>
      <c r="G7" s="467"/>
      <c r="H7" s="467"/>
      <c r="I7" s="467"/>
      <c r="J7" s="467"/>
      <c r="K7" s="467"/>
      <c r="L7" s="467"/>
      <c r="M7" s="481"/>
      <c r="N7" s="481"/>
      <c r="O7" s="481"/>
      <c r="P7" s="485"/>
      <c r="Q7" s="1123" t="s">
        <v>720</v>
      </c>
      <c r="R7" s="1123" t="s">
        <v>720</v>
      </c>
      <c r="S7" s="1123" t="s">
        <v>720</v>
      </c>
      <c r="T7" s="1123" t="s">
        <v>720</v>
      </c>
      <c r="U7" s="1123" t="s">
        <v>720</v>
      </c>
      <c r="V7" s="1123" t="s">
        <v>720</v>
      </c>
      <c r="W7" s="1123" t="s">
        <v>720</v>
      </c>
      <c r="X7" s="1123" t="s">
        <v>720</v>
      </c>
      <c r="Y7" s="1123" t="s">
        <v>720</v>
      </c>
      <c r="Z7" s="1123" t="s">
        <v>720</v>
      </c>
      <c r="AA7" s="1123" t="s">
        <v>720</v>
      </c>
      <c r="AB7" s="1123" t="s">
        <v>720</v>
      </c>
      <c r="AC7" s="1123" t="s">
        <v>720</v>
      </c>
      <c r="AD7" s="1123" t="s">
        <v>720</v>
      </c>
      <c r="AE7" s="1123" t="s">
        <v>720</v>
      </c>
    </row>
    <row r="8" spans="2:42" ht="15.6" customHeight="1">
      <c r="B8" s="467"/>
      <c r="C8" s="507" t="s">
        <v>1018</v>
      </c>
      <c r="D8" s="2408" t="s">
        <v>40</v>
      </c>
      <c r="E8" s="2408"/>
      <c r="F8" s="2408"/>
      <c r="G8" s="2408"/>
      <c r="H8" s="2408"/>
      <c r="I8" s="2408"/>
      <c r="J8" s="2408"/>
      <c r="K8" s="2408"/>
      <c r="L8" s="2408"/>
      <c r="M8" s="2408"/>
      <c r="N8" s="2408"/>
      <c r="O8" s="481"/>
      <c r="P8" s="485"/>
      <c r="Q8" s="1117"/>
    </row>
    <row r="9" spans="2:42" ht="5.0999999999999996" customHeight="1">
      <c r="B9" s="467"/>
      <c r="C9" s="467"/>
      <c r="D9" s="467"/>
      <c r="E9" s="467"/>
      <c r="F9" s="467"/>
      <c r="G9" s="467"/>
      <c r="H9" s="467"/>
      <c r="I9" s="467"/>
      <c r="J9" s="467"/>
      <c r="K9" s="467"/>
      <c r="L9" s="467"/>
      <c r="M9" s="481"/>
      <c r="N9" s="481"/>
      <c r="O9" s="481"/>
      <c r="P9" s="485"/>
      <c r="Q9" s="1117"/>
    </row>
    <row r="10" spans="2:42" ht="13.9" customHeight="1">
      <c r="B10" s="467"/>
      <c r="C10" s="559">
        <v>1</v>
      </c>
      <c r="D10" s="2482" t="s">
        <v>42</v>
      </c>
      <c r="E10" s="2400"/>
      <c r="F10" s="2400"/>
      <c r="G10" s="2400"/>
      <c r="H10" s="2400"/>
      <c r="I10" s="2400"/>
      <c r="J10" s="2400"/>
      <c r="K10" s="2400"/>
      <c r="L10" s="2400"/>
      <c r="M10" s="2400"/>
      <c r="N10" s="2400"/>
      <c r="O10" s="481"/>
      <c r="P10" s="485"/>
      <c r="Q10" s="1117"/>
    </row>
    <row r="11" spans="2:42" ht="5.0999999999999996" customHeight="1">
      <c r="B11" s="467"/>
      <c r="C11" s="467"/>
      <c r="D11" s="467"/>
      <c r="E11" s="467"/>
      <c r="F11" s="467"/>
      <c r="G11" s="467"/>
      <c r="H11" s="467"/>
      <c r="I11" s="467"/>
      <c r="J11" s="467"/>
      <c r="K11" s="467"/>
      <c r="L11" s="467"/>
      <c r="M11" s="467"/>
      <c r="N11" s="467"/>
      <c r="O11" s="481"/>
      <c r="P11" s="485"/>
      <c r="Q11" s="1117"/>
    </row>
    <row r="12" spans="2:42" ht="5.0999999999999996" customHeight="1">
      <c r="B12" s="467"/>
      <c r="C12" s="467"/>
      <c r="D12" s="467"/>
      <c r="E12" s="467"/>
      <c r="F12" s="467"/>
      <c r="G12" s="467"/>
      <c r="H12" s="467"/>
      <c r="I12" s="467"/>
      <c r="J12" s="467"/>
      <c r="K12" s="467"/>
      <c r="L12" s="467"/>
      <c r="M12" s="467"/>
      <c r="N12" s="467"/>
      <c r="O12" s="481"/>
      <c r="P12" s="485"/>
      <c r="Q12" s="1117"/>
    </row>
    <row r="13" spans="2:42" ht="13.15" customHeight="1">
      <c r="B13" s="467"/>
      <c r="C13" s="467"/>
      <c r="D13" s="482" t="s">
        <v>400</v>
      </c>
      <c r="E13" s="2373" t="s">
        <v>476</v>
      </c>
      <c r="F13" s="2400"/>
      <c r="G13" s="2400"/>
      <c r="H13" s="2400"/>
      <c r="I13" s="2400"/>
      <c r="J13" s="2400"/>
      <c r="K13" s="2400"/>
      <c r="L13" s="2400"/>
      <c r="M13" s="2400"/>
      <c r="N13" s="2400"/>
      <c r="O13" s="481"/>
      <c r="P13" s="485"/>
      <c r="Q13" s="1117"/>
    </row>
    <row r="14" spans="2:42" ht="5.0999999999999996" customHeight="1">
      <c r="B14" s="467"/>
      <c r="C14" s="467"/>
      <c r="D14" s="467"/>
      <c r="E14" s="467"/>
      <c r="F14" s="467"/>
      <c r="G14" s="467"/>
      <c r="H14" s="467"/>
      <c r="I14" s="467"/>
      <c r="J14" s="467"/>
      <c r="K14" s="467"/>
      <c r="L14" s="467"/>
      <c r="M14" s="467"/>
      <c r="N14" s="467"/>
      <c r="O14" s="481"/>
      <c r="P14" s="485"/>
      <c r="Q14" s="1117"/>
    </row>
    <row r="15" spans="2:42">
      <c r="B15" s="1124"/>
      <c r="C15" s="485"/>
      <c r="D15" s="485"/>
      <c r="E15" s="636"/>
      <c r="F15" s="637"/>
      <c r="G15" s="663" t="str">
        <f>EUconst_Unit</f>
        <v>Unit</v>
      </c>
      <c r="H15" s="578">
        <f t="shared" ref="H15:N15" si="0">H$393</f>
        <v>2024</v>
      </c>
      <c r="I15" s="697">
        <f t="shared" si="0"/>
        <v>2025</v>
      </c>
      <c r="J15" s="1489">
        <f t="shared" si="0"/>
        <v>2026</v>
      </c>
      <c r="K15" s="1490">
        <f t="shared" si="0"/>
        <v>2027</v>
      </c>
      <c r="L15" s="1490">
        <f t="shared" si="0"/>
        <v>2028</v>
      </c>
      <c r="M15" s="1490">
        <f t="shared" si="0"/>
        <v>2029</v>
      </c>
      <c r="N15" s="1490">
        <f t="shared" si="0"/>
        <v>2030</v>
      </c>
      <c r="O15" s="481"/>
      <c r="P15" s="485"/>
      <c r="U15" s="1437" t="s">
        <v>1807</v>
      </c>
      <c r="V15" s="1533">
        <f>H15</f>
        <v>2024</v>
      </c>
      <c r="W15" s="1533">
        <f t="shared" ref="W15:AB15" si="1">I15</f>
        <v>2025</v>
      </c>
      <c r="X15" s="1533">
        <f t="shared" si="1"/>
        <v>2026</v>
      </c>
      <c r="Y15" s="1533">
        <f t="shared" si="1"/>
        <v>2027</v>
      </c>
      <c r="Z15" s="1533">
        <f t="shared" si="1"/>
        <v>2028</v>
      </c>
      <c r="AA15" s="1533">
        <f t="shared" si="1"/>
        <v>2029</v>
      </c>
      <c r="AB15" s="1533">
        <f t="shared" si="1"/>
        <v>2030</v>
      </c>
    </row>
    <row r="16" spans="2:42" ht="12.6" customHeight="1">
      <c r="B16" s="1124"/>
      <c r="C16" s="485"/>
      <c r="D16" s="485"/>
      <c r="E16" s="2792" t="s">
        <v>938</v>
      </c>
      <c r="F16" s="3221"/>
      <c r="G16" s="730" t="str">
        <f>EUconst_TJpa</f>
        <v>TJ / year</v>
      </c>
      <c r="H16" s="668" t="str">
        <f>IF(ISNUMBER(D_Emissions!S$28),D_Emissions!S$28,"")</f>
        <v/>
      </c>
      <c r="I16" s="1021" t="str">
        <f>IF(ISNUMBER(D_Emissions!T$28),D_Emissions!T$28,"")</f>
        <v/>
      </c>
      <c r="J16" s="1491" t="str">
        <f>IF(ISNUMBER(D_Emissions!U$28),D_Emissions!U$28,"")</f>
        <v/>
      </c>
      <c r="K16" s="1492" t="str">
        <f>IF(ISNUMBER(D_Emissions!V$28),D_Emissions!V$28,"")</f>
        <v/>
      </c>
      <c r="L16" s="1492" t="str">
        <f>IF(ISNUMBER(D_Emissions!W$28),D_Emissions!W$28,"")</f>
        <v/>
      </c>
      <c r="M16" s="1492" t="str">
        <f>IF(ISNUMBER(D_Emissions!X$28),D_Emissions!X$28,"")</f>
        <v/>
      </c>
      <c r="N16" s="1492" t="str">
        <f>IF(ISNUMBER(D_Emissions!Y$28),D_Emissions!Y$28,"")</f>
        <v/>
      </c>
      <c r="O16" s="481"/>
      <c r="P16" s="485"/>
      <c r="V16" s="1606" t="b">
        <f>IF(CNTR_HasEntries_A_I,OR(V15&gt;=CNTR_ReportingYear,COUNTIF(CNTR_SubInstStartDate,"&lt;="&amp;DATE(V15,12,31))=0),FALSE)</f>
        <v>0</v>
      </c>
      <c r="W16" s="1324" t="b">
        <f t="shared" ref="W16:AB16" si="2">IF(CNTR_HasEntries_A_I,OR(W15&gt;=CNTR_ReportingYear,COUNTIF(CNTR_SubInstStartDate,"&lt;="&amp;DATE(W15,12,31))=0),FALSE)</f>
        <v>0</v>
      </c>
      <c r="X16" s="1324" t="b">
        <f t="shared" si="2"/>
        <v>0</v>
      </c>
      <c r="Y16" s="1324" t="b">
        <f t="shared" si="2"/>
        <v>0</v>
      </c>
      <c r="Z16" s="1324" t="b">
        <f t="shared" si="2"/>
        <v>0</v>
      </c>
      <c r="AA16" s="1324" t="b">
        <f t="shared" si="2"/>
        <v>0</v>
      </c>
      <c r="AB16" s="1324" t="b">
        <f t="shared" si="2"/>
        <v>0</v>
      </c>
    </row>
    <row r="17" spans="1:42" s="562" customFormat="1" ht="5.0999999999999996" customHeight="1" thickBot="1">
      <c r="A17" s="1116"/>
      <c r="B17" s="467"/>
      <c r="C17" s="467"/>
      <c r="D17" s="467"/>
      <c r="E17" s="467"/>
      <c r="F17" s="467"/>
      <c r="G17" s="467"/>
      <c r="H17" s="467"/>
      <c r="I17" s="467"/>
      <c r="J17" s="467"/>
      <c r="K17" s="467"/>
      <c r="L17" s="467"/>
      <c r="M17" s="467"/>
      <c r="N17" s="467"/>
      <c r="O17" s="481"/>
      <c r="P17" s="485"/>
      <c r="Q17" s="1117"/>
      <c r="AP17" s="1135"/>
    </row>
    <row r="18" spans="1:42" s="562" customFormat="1" ht="13.5" thickBot="1">
      <c r="A18" s="1116"/>
      <c r="B18" s="467"/>
      <c r="C18" s="467"/>
      <c r="D18" s="482" t="s">
        <v>876</v>
      </c>
      <c r="E18" s="2373" t="s">
        <v>46</v>
      </c>
      <c r="F18" s="2373"/>
      <c r="G18" s="2373"/>
      <c r="H18" s="2604"/>
      <c r="I18" s="3243" t="str">
        <f>c_ALR2025!I2693</f>
        <v/>
      </c>
      <c r="J18" s="3244"/>
      <c r="K18" s="1534" t="str">
        <f>IF(AND(ISBLANK(I18),COUNT(J35:N38)&gt;0),EUconst_Incomplete,"")</f>
        <v/>
      </c>
      <c r="L18" s="467"/>
      <c r="M18" s="467"/>
      <c r="N18" s="467"/>
      <c r="O18" s="481"/>
      <c r="P18" s="485"/>
      <c r="Q18" s="1139" t="e">
        <f>IF(ISBLANK($I$18),EUconst_NA,MATCH($I$18,EUconst_AbsRel,0))</f>
        <v>#N/A</v>
      </c>
      <c r="AP18" s="1135" t="s">
        <v>2375</v>
      </c>
    </row>
    <row r="19" spans="1:42" s="562" customFormat="1" ht="13.15" customHeight="1">
      <c r="A19" s="1116"/>
      <c r="B19" s="467"/>
      <c r="C19" s="467"/>
      <c r="D19" s="485"/>
      <c r="E19" s="2385" t="s">
        <v>136</v>
      </c>
      <c r="F19" s="2846"/>
      <c r="G19" s="2846"/>
      <c r="H19" s="2846"/>
      <c r="I19" s="2846"/>
      <c r="J19" s="2846"/>
      <c r="K19" s="2846"/>
      <c r="L19" s="2846"/>
      <c r="M19" s="2846"/>
      <c r="N19" s="2846"/>
      <c r="O19" s="481"/>
      <c r="P19" s="485"/>
      <c r="Q19" s="1117" t="s">
        <v>1348</v>
      </c>
      <c r="AP19" s="1135"/>
    </row>
    <row r="20" spans="1:42" s="562" customFormat="1" ht="13.15" customHeight="1">
      <c r="A20" s="1116"/>
      <c r="B20" s="467"/>
      <c r="C20" s="467"/>
      <c r="D20" s="485"/>
      <c r="E20" s="2385" t="s">
        <v>47</v>
      </c>
      <c r="F20" s="2846"/>
      <c r="G20" s="2846"/>
      <c r="H20" s="2846"/>
      <c r="I20" s="2846"/>
      <c r="J20" s="2846"/>
      <c r="K20" s="2846"/>
      <c r="L20" s="2846"/>
      <c r="M20" s="2846"/>
      <c r="N20" s="2846"/>
      <c r="O20" s="481"/>
      <c r="P20" s="485"/>
      <c r="Q20" s="1117"/>
      <c r="AP20" s="1135"/>
    </row>
    <row r="21" spans="1:42" s="562" customFormat="1" ht="5.0999999999999996" customHeight="1">
      <c r="A21" s="1116"/>
      <c r="B21" s="467"/>
      <c r="C21" s="467"/>
      <c r="D21" s="467"/>
      <c r="E21" s="467"/>
      <c r="F21" s="467"/>
      <c r="G21" s="467"/>
      <c r="H21" s="467"/>
      <c r="I21" s="467"/>
      <c r="J21" s="467"/>
      <c r="K21" s="467"/>
      <c r="L21" s="467"/>
      <c r="M21" s="467"/>
      <c r="N21" s="467"/>
      <c r="O21" s="481"/>
      <c r="P21" s="485"/>
      <c r="Q21" s="1117"/>
      <c r="AP21" s="1135"/>
    </row>
    <row r="22" spans="1:42" s="562" customFormat="1" ht="13.15" customHeight="1">
      <c r="A22" s="1116"/>
      <c r="B22" s="467"/>
      <c r="C22" s="467"/>
      <c r="D22" s="482" t="s">
        <v>48</v>
      </c>
      <c r="E22" s="2576" t="s">
        <v>1212</v>
      </c>
      <c r="F22" s="2577"/>
      <c r="G22" s="2577"/>
      <c r="H22" s="2577"/>
      <c r="I22" s="2577"/>
      <c r="J22" s="2577"/>
      <c r="K22" s="2577"/>
      <c r="L22" s="2577"/>
      <c r="M22" s="2577"/>
      <c r="N22" s="2577"/>
      <c r="O22" s="481"/>
      <c r="P22" s="485"/>
      <c r="Q22" s="1117"/>
      <c r="AP22" s="1135"/>
    </row>
    <row r="23" spans="1:42" s="562" customFormat="1" ht="13.15" customHeight="1">
      <c r="A23" s="1116"/>
      <c r="B23" s="467"/>
      <c r="C23" s="467"/>
      <c r="D23" s="485"/>
      <c r="E23" s="2385" t="s">
        <v>1634</v>
      </c>
      <c r="F23" s="2846"/>
      <c r="G23" s="2846"/>
      <c r="H23" s="2846"/>
      <c r="I23" s="2846"/>
      <c r="J23" s="2846"/>
      <c r="K23" s="2846"/>
      <c r="L23" s="2846"/>
      <c r="M23" s="2846"/>
      <c r="N23" s="2846"/>
      <c r="O23" s="481"/>
      <c r="P23" s="485"/>
      <c r="Q23" s="1117"/>
      <c r="AP23" s="1135"/>
    </row>
    <row r="24" spans="1:42" s="562" customFormat="1" ht="13.15" customHeight="1">
      <c r="A24" s="1116"/>
      <c r="B24" s="467"/>
      <c r="C24" s="467"/>
      <c r="D24" s="485"/>
      <c r="E24" s="1088" t="s">
        <v>1021</v>
      </c>
      <c r="F24" s="2850" t="s">
        <v>1469</v>
      </c>
      <c r="G24" s="2850"/>
      <c r="H24" s="2850"/>
      <c r="I24" s="2850"/>
      <c r="J24" s="2850"/>
      <c r="K24" s="2850"/>
      <c r="L24" s="2850"/>
      <c r="M24" s="2850"/>
      <c r="N24" s="2850"/>
      <c r="O24" s="481"/>
      <c r="P24" s="485"/>
      <c r="Q24" s="1117"/>
      <c r="AP24" s="1135"/>
    </row>
    <row r="25" spans="1:42" s="562" customFormat="1" ht="13.15" customHeight="1">
      <c r="A25" s="1116"/>
      <c r="B25" s="467"/>
      <c r="C25" s="467"/>
      <c r="D25" s="485"/>
      <c r="E25" s="1088" t="s">
        <v>1021</v>
      </c>
      <c r="F25" s="2850" t="s">
        <v>1531</v>
      </c>
      <c r="G25" s="2850"/>
      <c r="H25" s="2850"/>
      <c r="I25" s="2850"/>
      <c r="J25" s="2850"/>
      <c r="K25" s="2850"/>
      <c r="L25" s="2850"/>
      <c r="M25" s="2850"/>
      <c r="N25" s="2850"/>
      <c r="O25" s="481"/>
      <c r="P25" s="485"/>
      <c r="Q25" s="1117"/>
      <c r="AP25" s="1135"/>
    </row>
    <row r="26" spans="1:42" s="562" customFormat="1" ht="13.15" customHeight="1">
      <c r="A26" s="1116"/>
      <c r="B26" s="467"/>
      <c r="C26" s="467"/>
      <c r="D26" s="485"/>
      <c r="E26" s="1088" t="s">
        <v>1021</v>
      </c>
      <c r="F26" s="2850" t="s">
        <v>1470</v>
      </c>
      <c r="G26" s="2850"/>
      <c r="H26" s="2850"/>
      <c r="I26" s="2850"/>
      <c r="J26" s="2850"/>
      <c r="K26" s="2850"/>
      <c r="L26" s="2850"/>
      <c r="M26" s="2850"/>
      <c r="N26" s="2850"/>
      <c r="O26" s="481"/>
      <c r="P26" s="485"/>
      <c r="Q26" s="1117"/>
      <c r="AP26" s="1135"/>
    </row>
    <row r="27" spans="1:42" s="562" customFormat="1" ht="25.5" customHeight="1">
      <c r="A27" s="1116"/>
      <c r="B27" s="467"/>
      <c r="C27" s="467"/>
      <c r="D27" s="485"/>
      <c r="E27" s="1088"/>
      <c r="F27" s="2850" t="s">
        <v>1881</v>
      </c>
      <c r="G27" s="2850"/>
      <c r="H27" s="2850"/>
      <c r="I27" s="2850"/>
      <c r="J27" s="2850"/>
      <c r="K27" s="2850"/>
      <c r="L27" s="2850"/>
      <c r="M27" s="2850"/>
      <c r="N27" s="2850"/>
      <c r="O27" s="481"/>
      <c r="P27" s="485"/>
      <c r="Q27" s="1117"/>
      <c r="AP27" s="1135"/>
    </row>
    <row r="28" spans="1:42" s="562" customFormat="1" ht="13.15" customHeight="1">
      <c r="A28" s="1116"/>
      <c r="B28" s="467"/>
      <c r="C28" s="467"/>
      <c r="D28" s="485"/>
      <c r="E28" s="1088" t="s">
        <v>1021</v>
      </c>
      <c r="F28" s="2850" t="s">
        <v>1532</v>
      </c>
      <c r="G28" s="2850"/>
      <c r="H28" s="2850"/>
      <c r="I28" s="2850"/>
      <c r="J28" s="2850"/>
      <c r="K28" s="2850"/>
      <c r="L28" s="2850"/>
      <c r="M28" s="2850"/>
      <c r="N28" s="2850"/>
      <c r="O28" s="481"/>
      <c r="P28" s="485"/>
      <c r="Q28" s="1117"/>
      <c r="AP28" s="1135"/>
    </row>
    <row r="29" spans="1:42" ht="12.75" customHeight="1">
      <c r="B29" s="467"/>
      <c r="C29" s="467"/>
      <c r="D29" s="485"/>
      <c r="E29" s="3246" t="s">
        <v>1527</v>
      </c>
      <c r="F29" s="3246"/>
      <c r="G29" s="3246"/>
      <c r="H29" s="3246"/>
      <c r="I29" s="3246"/>
      <c r="J29" s="3246"/>
      <c r="K29" s="3246"/>
      <c r="L29" s="3246"/>
      <c r="M29" s="3246"/>
      <c r="N29" s="3246"/>
      <c r="O29" s="481"/>
      <c r="P29" s="485"/>
      <c r="Q29" s="1117"/>
    </row>
    <row r="30" spans="1:42" s="562" customFormat="1" ht="13.15" customHeight="1">
      <c r="A30" s="1116"/>
      <c r="B30" s="467"/>
      <c r="C30" s="467"/>
      <c r="D30" s="485"/>
      <c r="E30" s="2385" t="s">
        <v>310</v>
      </c>
      <c r="F30" s="2846"/>
      <c r="G30" s="2846"/>
      <c r="H30" s="2846"/>
      <c r="I30" s="2846"/>
      <c r="J30" s="2846"/>
      <c r="K30" s="2846"/>
      <c r="L30" s="2846"/>
      <c r="M30" s="2846"/>
      <c r="N30" s="2846"/>
      <c r="O30" s="481"/>
      <c r="P30" s="485"/>
      <c r="Q30" s="1117"/>
      <c r="AP30" s="1135"/>
    </row>
    <row r="31" spans="1:42" s="562" customFormat="1" ht="13.15" customHeight="1">
      <c r="A31" s="1116"/>
      <c r="B31" s="467"/>
      <c r="C31" s="467"/>
      <c r="D31" s="485"/>
      <c r="E31" s="2385" t="s">
        <v>311</v>
      </c>
      <c r="F31" s="2846"/>
      <c r="G31" s="2846"/>
      <c r="H31" s="2846"/>
      <c r="I31" s="2846"/>
      <c r="J31" s="2846"/>
      <c r="K31" s="2846"/>
      <c r="L31" s="2846"/>
      <c r="M31" s="2846"/>
      <c r="N31" s="2846"/>
      <c r="O31" s="481"/>
      <c r="P31" s="485"/>
      <c r="Q31" s="1117"/>
      <c r="AP31" s="1135"/>
    </row>
    <row r="32" spans="1:42" s="562" customFormat="1" ht="13.15" customHeight="1">
      <c r="A32" s="1116"/>
      <c r="B32" s="467"/>
      <c r="C32" s="467"/>
      <c r="D32" s="485"/>
      <c r="E32" s="2385" t="s">
        <v>312</v>
      </c>
      <c r="F32" s="2846"/>
      <c r="G32" s="2846"/>
      <c r="H32" s="2846"/>
      <c r="I32" s="2846"/>
      <c r="J32" s="2846"/>
      <c r="K32" s="2846"/>
      <c r="L32" s="2846"/>
      <c r="M32" s="2846"/>
      <c r="N32" s="2846"/>
      <c r="O32" s="481"/>
      <c r="P32" s="485"/>
      <c r="Q32" s="1117"/>
      <c r="AP32" s="1135"/>
    </row>
    <row r="33" spans="1:42" s="562" customFormat="1" ht="5.0999999999999996" customHeight="1">
      <c r="A33" s="1116"/>
      <c r="B33" s="467"/>
      <c r="C33" s="467"/>
      <c r="D33" s="467"/>
      <c r="E33" s="467"/>
      <c r="F33" s="467"/>
      <c r="G33" s="467"/>
      <c r="H33" s="467"/>
      <c r="I33" s="467"/>
      <c r="J33" s="467"/>
      <c r="K33" s="467"/>
      <c r="L33" s="467"/>
      <c r="M33" s="467"/>
      <c r="N33" s="467"/>
      <c r="O33" s="481"/>
      <c r="P33" s="485"/>
      <c r="Q33" s="1117"/>
      <c r="R33" s="1137"/>
      <c r="S33" s="1137"/>
      <c r="T33" s="1137"/>
      <c r="U33" s="1137"/>
      <c r="V33" s="1137"/>
      <c r="W33" s="1137"/>
      <c r="X33" s="1137"/>
      <c r="Y33" s="1137"/>
      <c r="Z33" s="1137"/>
      <c r="AA33" s="1137"/>
      <c r="AB33" s="1137"/>
      <c r="AC33" s="1137"/>
      <c r="AD33" s="1137"/>
      <c r="AE33" s="1137"/>
      <c r="AP33" s="1135"/>
    </row>
    <row r="34" spans="1:42" s="562" customFormat="1" ht="13.5" customHeight="1" thickBot="1">
      <c r="A34" s="1116"/>
      <c r="B34" s="485"/>
      <c r="C34" s="485"/>
      <c r="D34" s="485"/>
      <c r="E34" s="2791" t="s">
        <v>50</v>
      </c>
      <c r="F34" s="2791"/>
      <c r="G34" s="482" t="str">
        <f>EUconst_Unit</f>
        <v>Unit</v>
      </c>
      <c r="H34" s="578">
        <f t="shared" ref="H34:N34" si="3">H$393</f>
        <v>2024</v>
      </c>
      <c r="I34" s="697">
        <f t="shared" si="3"/>
        <v>2025</v>
      </c>
      <c r="J34" s="1489">
        <f t="shared" si="3"/>
        <v>2026</v>
      </c>
      <c r="K34" s="1490">
        <f t="shared" si="3"/>
        <v>2027</v>
      </c>
      <c r="L34" s="1490">
        <f t="shared" si="3"/>
        <v>2028</v>
      </c>
      <c r="M34" s="1490">
        <f t="shared" si="3"/>
        <v>2029</v>
      </c>
      <c r="N34" s="1490">
        <f t="shared" si="3"/>
        <v>2030</v>
      </c>
      <c r="O34" s="481"/>
      <c r="P34" s="485"/>
      <c r="Q34" s="1137"/>
      <c r="R34" s="1137"/>
      <c r="S34" s="1137"/>
      <c r="T34" s="1137" t="s">
        <v>1117</v>
      </c>
      <c r="U34" s="1137"/>
      <c r="V34" s="1137"/>
      <c r="W34" s="1137"/>
      <c r="X34" s="1137"/>
      <c r="Y34" s="1137"/>
      <c r="Z34" s="1137"/>
      <c r="AA34" s="1137"/>
      <c r="AB34" s="1137"/>
      <c r="AC34" s="1137"/>
      <c r="AD34" s="1137"/>
      <c r="AE34" s="1137"/>
      <c r="AP34" s="1135"/>
    </row>
    <row r="35" spans="1:42" s="562" customFormat="1" ht="12.75" customHeight="1">
      <c r="A35" s="1116"/>
      <c r="B35" s="485"/>
      <c r="C35" s="485"/>
      <c r="D35" s="561" t="s">
        <v>6</v>
      </c>
      <c r="E35" s="2792" t="s">
        <v>1349</v>
      </c>
      <c r="F35" s="2793"/>
      <c r="G35" s="699" t="e">
        <f t="shared" ref="G35:G40" si="4">IF(CTRL_InputMethodFuelDistribution=EUconst_NA,EUconst_relOrTJpa,IF(CTRL_InputMethodFuelDistribution=1,EUconst_TJpa,"%"))</f>
        <v>#N/A</v>
      </c>
      <c r="H35" s="1479" t="str">
        <f>c_ALR2025!M2697</f>
        <v/>
      </c>
      <c r="I35" s="1530"/>
      <c r="J35" s="1491"/>
      <c r="K35" s="1492"/>
      <c r="L35" s="1492"/>
      <c r="M35" s="1492"/>
      <c r="N35" s="1492"/>
      <c r="O35" s="481"/>
      <c r="P35" s="10"/>
      <c r="Q35" s="1137"/>
      <c r="R35" s="1137"/>
      <c r="S35" s="1137"/>
      <c r="T35" s="1526" t="b">
        <f>IF(CNTR_HasEntries_A_I,NOT(OR(CNTR_SubInstListIsProdBM)),FALSE)</f>
        <v>0</v>
      </c>
      <c r="U35" s="1137"/>
      <c r="V35" s="1137"/>
      <c r="W35" s="1137"/>
      <c r="X35" s="1137"/>
      <c r="Y35" s="1137"/>
      <c r="Z35" s="1137"/>
      <c r="AA35" s="1137"/>
      <c r="AB35" s="1137"/>
      <c r="AC35" s="1137"/>
      <c r="AD35" s="1161" t="s">
        <v>1954</v>
      </c>
      <c r="AE35" s="1303" t="str">
        <f>IF(AND(CNTR_HasEntries_A_I,T35=FALSE,COUNTIFS($V$16:$AB$16,FALSE,H35:N35,"")&gt;0),1,"")</f>
        <v/>
      </c>
      <c r="AP35" s="1135" t="s">
        <v>2376</v>
      </c>
    </row>
    <row r="36" spans="1:42" s="562" customFormat="1" ht="13.15" customHeight="1" thickBot="1">
      <c r="A36" s="1116"/>
      <c r="B36" s="485"/>
      <c r="C36" s="485"/>
      <c r="D36" s="561" t="s">
        <v>7</v>
      </c>
      <c r="E36" s="2794" t="s">
        <v>11</v>
      </c>
      <c r="F36" s="2795"/>
      <c r="G36" s="699" t="e">
        <f t="shared" si="4"/>
        <v>#N/A</v>
      </c>
      <c r="H36" s="1479" t="str">
        <f>c_ALR2025!M2698</f>
        <v/>
      </c>
      <c r="I36" s="1530"/>
      <c r="J36" s="1491"/>
      <c r="K36" s="1492"/>
      <c r="L36" s="1492"/>
      <c r="M36" s="1492"/>
      <c r="N36" s="1492"/>
      <c r="O36" s="481"/>
      <c r="P36" s="10"/>
      <c r="Q36" s="1137"/>
      <c r="R36" s="1137"/>
      <c r="S36" s="1137"/>
      <c r="T36" s="1535"/>
      <c r="U36" s="1137"/>
      <c r="V36" s="1137"/>
      <c r="W36" s="1137"/>
      <c r="X36" s="1137"/>
      <c r="Y36" s="1137"/>
      <c r="Z36" s="1137"/>
      <c r="AA36" s="1137"/>
      <c r="AB36" s="1137"/>
      <c r="AC36" s="1137"/>
      <c r="AD36" s="1161" t="s">
        <v>1954</v>
      </c>
      <c r="AE36" s="1303" t="str">
        <f>IF(AND(CNTR_HasEntries_A_I,COUNTIFS($V$16:$AB$16,FALSE,H36:N36,"")&gt;0),1,"")</f>
        <v/>
      </c>
      <c r="AP36" s="1135" t="s">
        <v>2377</v>
      </c>
    </row>
    <row r="37" spans="1:42" s="562" customFormat="1" ht="13.15" customHeight="1">
      <c r="A37" s="1116"/>
      <c r="B37" s="485"/>
      <c r="C37" s="485"/>
      <c r="D37" s="561" t="s">
        <v>8</v>
      </c>
      <c r="E37" s="2796" t="str">
        <f>INDEX(EUconst_FallBackListNames,R37)</f>
        <v>Fuel benchmark sub-installation, CL</v>
      </c>
      <c r="F37" s="2797"/>
      <c r="G37" s="892" t="e">
        <f t="shared" si="4"/>
        <v>#N/A</v>
      </c>
      <c r="H37" s="1536" t="str">
        <f>c_ALR2025!M2699</f>
        <v/>
      </c>
      <c r="I37" s="1607"/>
      <c r="J37" s="1537"/>
      <c r="K37" s="1538"/>
      <c r="L37" s="1538"/>
      <c r="M37" s="1538"/>
      <c r="N37" s="1538"/>
      <c r="O37" s="481"/>
      <c r="P37" s="10"/>
      <c r="Q37" s="1526" t="e">
        <f>IF(CTRL_InputMethodFuelDistribution=1,EUconst_CNTR_HAL&amp;E37,"")</f>
        <v>#N/A</v>
      </c>
      <c r="R37" s="1539">
        <v>4</v>
      </c>
      <c r="S37" s="1137"/>
      <c r="T37" s="1526" t="b">
        <f>IF(INDEX(CNTR_FallBackSubInstRelevant,R37)="",FALSE,IF(INDEX(CNTR_FallBackSubInstRelevant,R37),FALSE,TRUE))</f>
        <v>0</v>
      </c>
      <c r="U37" s="1137"/>
      <c r="V37" s="1137"/>
      <c r="W37" s="1137"/>
      <c r="X37" s="1137"/>
      <c r="Y37" s="1137"/>
      <c r="Z37" s="1137"/>
      <c r="AA37" s="1137"/>
      <c r="AB37" s="1137"/>
      <c r="AC37" s="1137"/>
      <c r="AD37" s="1161" t="s">
        <v>1954</v>
      </c>
      <c r="AE37" s="1303" t="str">
        <f>IF(AND(CNTR_HasEntries_A_I,T37=FALSE,COUNTIFS($V$16:$AB$16,FALSE,H37:N37,"")&gt;0),1,"")</f>
        <v/>
      </c>
      <c r="AP37" s="1135" t="s">
        <v>2378</v>
      </c>
    </row>
    <row r="38" spans="1:42" s="562" customFormat="1" ht="13.5" customHeight="1" thickBot="1">
      <c r="A38" s="1116"/>
      <c r="B38" s="485"/>
      <c r="C38" s="485"/>
      <c r="D38" s="561" t="s">
        <v>18</v>
      </c>
      <c r="E38" s="2798" t="str">
        <f>INDEX(EUconst_FallBackListNames,R38)</f>
        <v>Fuel benchmark sub-installation, non-CL</v>
      </c>
      <c r="F38" s="2799"/>
      <c r="G38" s="893" t="e">
        <f t="shared" si="4"/>
        <v>#N/A</v>
      </c>
      <c r="H38" s="1540" t="str">
        <f>c_ALR2025!M2700</f>
        <v/>
      </c>
      <c r="I38" s="1608"/>
      <c r="J38" s="1537"/>
      <c r="K38" s="1538"/>
      <c r="L38" s="1538"/>
      <c r="M38" s="1538"/>
      <c r="N38" s="1538"/>
      <c r="O38" s="481"/>
      <c r="P38" s="10"/>
      <c r="Q38" s="1609" t="e">
        <f>IF(CTRL_InputMethodFuelDistribution=1,EUconst_CNTR_HAL&amp;E38,"")</f>
        <v>#N/A</v>
      </c>
      <c r="R38" s="1541">
        <v>5</v>
      </c>
      <c r="S38" s="1137"/>
      <c r="T38" s="1609" t="b">
        <f>IF(INDEX(CNTR_FallBackSubInstRelevant,R38)="",FALSE,IF(INDEX(CNTR_FallBackSubInstRelevant,R38),FALSE,TRUE))</f>
        <v>0</v>
      </c>
      <c r="U38" s="1137"/>
      <c r="V38" s="1137"/>
      <c r="W38" s="1137"/>
      <c r="X38" s="1137"/>
      <c r="Y38" s="1137"/>
      <c r="Z38" s="1137"/>
      <c r="AA38" s="1137"/>
      <c r="AB38" s="1137"/>
      <c r="AC38" s="1137"/>
      <c r="AD38" s="1161" t="s">
        <v>1954</v>
      </c>
      <c r="AE38" s="1303" t="str">
        <f>IF(AND(CNTR_HasEntries_A_I,T38=FALSE,COUNTIFS($V$16:$AB$16,FALSE,H38:N38,"")&gt;0),1,"")</f>
        <v/>
      </c>
      <c r="AP38" s="1135" t="s">
        <v>2379</v>
      </c>
    </row>
    <row r="39" spans="1:42" s="562" customFormat="1" ht="12.6" customHeight="1">
      <c r="A39" s="1116"/>
      <c r="B39" s="485"/>
      <c r="C39" s="485"/>
      <c r="D39" s="561" t="s">
        <v>787</v>
      </c>
      <c r="E39" s="2800" t="s">
        <v>1532</v>
      </c>
      <c r="F39" s="2801"/>
      <c r="G39" s="894" t="e">
        <f t="shared" si="4"/>
        <v>#N/A</v>
      </c>
      <c r="H39" s="1542" t="str">
        <f>c_ALR2025!M2701</f>
        <v/>
      </c>
      <c r="I39" s="1610"/>
      <c r="J39" s="1491"/>
      <c r="K39" s="1492"/>
      <c r="L39" s="1492"/>
      <c r="M39" s="1492"/>
      <c r="N39" s="1492"/>
      <c r="O39" s="481"/>
      <c r="P39" s="10"/>
      <c r="Q39" s="1535"/>
      <c r="R39" s="1137"/>
      <c r="S39" s="1137"/>
      <c r="T39" s="1137"/>
      <c r="U39" s="1137"/>
      <c r="V39" s="1137"/>
      <c r="W39" s="1137"/>
      <c r="X39" s="1137"/>
      <c r="Y39" s="1137"/>
      <c r="Z39" s="1137"/>
      <c r="AA39" s="1137"/>
      <c r="AB39" s="1137"/>
      <c r="AC39" s="1137"/>
      <c r="AD39" s="1161" t="s">
        <v>1954</v>
      </c>
      <c r="AE39" s="1303" t="str">
        <f>IF(AND(CNTR_HasEntries_A_I,COUNTIFS($V$16:$AB$16,FALSE,H39:N39,"")&gt;0),1,"")</f>
        <v/>
      </c>
      <c r="AP39" s="1135" t="s">
        <v>2380</v>
      </c>
    </row>
    <row r="40" spans="1:42" s="562" customFormat="1">
      <c r="A40" s="1116"/>
      <c r="B40" s="485"/>
      <c r="C40" s="485"/>
      <c r="D40" s="561" t="s">
        <v>788</v>
      </c>
      <c r="E40" s="2792" t="s">
        <v>1004</v>
      </c>
      <c r="F40" s="3221"/>
      <c r="G40" s="1543" t="e">
        <f t="shared" si="4"/>
        <v>#N/A</v>
      </c>
      <c r="H40" s="616" t="str">
        <f t="shared" ref="H40:N40" si="5">IF(AND(COUNT(H35:H39,H16)&gt;0,ISNUMBER(CTRL_InputMethodFuelDistribution)),IF(CTRL_InputMethodFuelDistribution=1,H16-SUM(H35:H39),100-SUM(H35:H39)),"")</f>
        <v/>
      </c>
      <c r="I40" s="1544" t="str">
        <f t="shared" si="5"/>
        <v/>
      </c>
      <c r="J40" s="1491" t="str">
        <f t="shared" si="5"/>
        <v/>
      </c>
      <c r="K40" s="1492" t="str">
        <f t="shared" si="5"/>
        <v/>
      </c>
      <c r="L40" s="1492" t="str">
        <f t="shared" si="5"/>
        <v/>
      </c>
      <c r="M40" s="1492" t="str">
        <f t="shared" si="5"/>
        <v/>
      </c>
      <c r="N40" s="1492" t="str">
        <f t="shared" si="5"/>
        <v/>
      </c>
      <c r="O40" s="481"/>
      <c r="P40" s="485"/>
      <c r="Q40" s="1535"/>
      <c r="R40" s="1137"/>
      <c r="S40" s="1137"/>
      <c r="T40" s="1137"/>
      <c r="U40" s="1137"/>
      <c r="V40" s="1137"/>
      <c r="W40" s="1137"/>
      <c r="X40" s="1137"/>
      <c r="Y40" s="1137"/>
      <c r="Z40" s="1137"/>
      <c r="AA40" s="1137"/>
      <c r="AB40" s="1137"/>
      <c r="AC40" s="1137"/>
      <c r="AD40" s="1137"/>
      <c r="AE40" s="1137"/>
      <c r="AP40" s="1135"/>
    </row>
    <row r="41" spans="1:42" s="562" customFormat="1">
      <c r="A41" s="1116"/>
      <c r="B41" s="485"/>
      <c r="C41" s="485"/>
      <c r="D41" s="485"/>
      <c r="E41" s="485"/>
      <c r="F41" s="485"/>
      <c r="G41" s="485"/>
      <c r="H41" s="485"/>
      <c r="I41" s="485"/>
      <c r="J41" s="485"/>
      <c r="K41" s="485"/>
      <c r="L41" s="485"/>
      <c r="M41" s="485"/>
      <c r="N41" s="485"/>
      <c r="O41" s="481"/>
      <c r="P41" s="485"/>
      <c r="Q41" s="1535"/>
      <c r="R41" s="1137"/>
      <c r="S41" s="1137"/>
      <c r="T41" s="1137"/>
      <c r="U41" s="1137"/>
      <c r="V41" s="1137"/>
      <c r="W41" s="1137"/>
      <c r="X41" s="1137"/>
      <c r="Y41" s="1137"/>
      <c r="Z41" s="1137"/>
      <c r="AA41" s="1137"/>
      <c r="AB41" s="1137"/>
      <c r="AC41" s="1137"/>
      <c r="AD41" s="1137"/>
      <c r="AE41" s="1137"/>
      <c r="AP41" s="1135"/>
    </row>
    <row r="42" spans="1:42" s="562" customFormat="1" ht="12.6" customHeight="1">
      <c r="A42" s="1116"/>
      <c r="B42" s="467"/>
      <c r="C42" s="467"/>
      <c r="D42" s="485"/>
      <c r="E42" s="3058" t="s">
        <v>309</v>
      </c>
      <c r="F42" s="2388"/>
      <c r="G42" s="2388"/>
      <c r="H42" s="2388"/>
      <c r="I42" s="2388"/>
      <c r="J42" s="2388"/>
      <c r="K42" s="2388"/>
      <c r="L42" s="2388"/>
      <c r="M42" s="2388"/>
      <c r="N42" s="2388"/>
      <c r="O42" s="481"/>
      <c r="P42" s="485"/>
      <c r="Q42" s="1545"/>
      <c r="R42" s="1137"/>
      <c r="S42" s="1137"/>
      <c r="T42" s="1137"/>
      <c r="U42" s="1137"/>
      <c r="V42" s="1137"/>
      <c r="W42" s="1137"/>
      <c r="X42" s="1137"/>
      <c r="Y42" s="1137"/>
      <c r="Z42" s="1137"/>
      <c r="AA42" s="1137"/>
      <c r="AB42" s="1137"/>
      <c r="AC42" s="1137"/>
      <c r="AD42" s="1137"/>
      <c r="AE42" s="1137"/>
      <c r="AP42" s="1135"/>
    </row>
    <row r="43" spans="1:42" s="562" customFormat="1" ht="5.0999999999999996" customHeight="1">
      <c r="A43" s="1116"/>
      <c r="B43" s="467"/>
      <c r="C43" s="467"/>
      <c r="D43" s="467"/>
      <c r="E43" s="467"/>
      <c r="F43" s="467"/>
      <c r="G43" s="467"/>
      <c r="H43" s="467"/>
      <c r="I43" s="467"/>
      <c r="J43" s="467"/>
      <c r="K43" s="467"/>
      <c r="L43" s="467"/>
      <c r="M43" s="467"/>
      <c r="N43" s="467"/>
      <c r="O43" s="481"/>
      <c r="P43" s="485"/>
      <c r="Q43" s="1545"/>
      <c r="R43" s="1137"/>
      <c r="S43" s="1137"/>
      <c r="T43" s="1137"/>
      <c r="U43" s="1137"/>
      <c r="V43" s="1137"/>
      <c r="W43" s="1137"/>
      <c r="X43" s="1137"/>
      <c r="Y43" s="1137"/>
      <c r="Z43" s="1137"/>
      <c r="AA43" s="1137"/>
      <c r="AB43" s="1137"/>
      <c r="AC43" s="1137"/>
      <c r="AD43" s="1137"/>
      <c r="AE43" s="1137"/>
      <c r="AP43" s="1135"/>
    </row>
    <row r="44" spans="1:42" s="562" customFormat="1" ht="13.15" customHeight="1">
      <c r="A44" s="1116"/>
      <c r="B44" s="485"/>
      <c r="C44" s="485"/>
      <c r="D44" s="485"/>
      <c r="E44" s="2791" t="str">
        <f t="shared" ref="E44:E50" si="6">E34</f>
        <v>Usage type of fuel input</v>
      </c>
      <c r="F44" s="3222"/>
      <c r="G44" s="482" t="str">
        <f>EUconst_Unit</f>
        <v>Unit</v>
      </c>
      <c r="H44" s="578">
        <f t="shared" ref="H44:N44" si="7">H$393</f>
        <v>2024</v>
      </c>
      <c r="I44" s="697">
        <f t="shared" si="7"/>
        <v>2025</v>
      </c>
      <c r="J44" s="1489">
        <f t="shared" si="7"/>
        <v>2026</v>
      </c>
      <c r="K44" s="1490">
        <f t="shared" si="7"/>
        <v>2027</v>
      </c>
      <c r="L44" s="1490">
        <f t="shared" si="7"/>
        <v>2028</v>
      </c>
      <c r="M44" s="1490">
        <f t="shared" si="7"/>
        <v>2029</v>
      </c>
      <c r="N44" s="1490">
        <f t="shared" si="7"/>
        <v>2030</v>
      </c>
      <c r="O44" s="481"/>
      <c r="P44" s="485"/>
      <c r="Q44" s="1535"/>
      <c r="R44" s="1137"/>
      <c r="S44" s="1137"/>
      <c r="T44" s="1137"/>
      <c r="U44" s="1137"/>
      <c r="V44" s="1137"/>
      <c r="W44" s="1137"/>
      <c r="X44" s="1137"/>
      <c r="Y44" s="1137"/>
      <c r="Z44" s="1137"/>
      <c r="AA44" s="1137"/>
      <c r="AB44" s="1137"/>
      <c r="AC44" s="1137"/>
      <c r="AD44" s="1137"/>
      <c r="AE44" s="1137"/>
      <c r="AP44" s="1135"/>
    </row>
    <row r="45" spans="1:42" s="562" customFormat="1" ht="13.5" customHeight="1">
      <c r="A45" s="1116"/>
      <c r="B45" s="485"/>
      <c r="C45" s="485"/>
      <c r="D45" s="561" t="s">
        <v>789</v>
      </c>
      <c r="E45" s="3247" t="str">
        <f t="shared" si="6"/>
        <v>Fuel input to product BM sub-installations</v>
      </c>
      <c r="F45" s="3221"/>
      <c r="G45" s="699" t="e">
        <f t="shared" ref="G45:G50" si="8">IF(CTRL_InputMethodFuelDistribution=EUconst_NA,EUconst_relOrTJpa,IF(CTRL_InputMethodFuelDistribution=2,EUconst_TJpa,"%"))</f>
        <v>#N/A</v>
      </c>
      <c r="H45" s="646" t="e">
        <f t="shared" ref="H45:N50" si="9">IF(AND(ISNUMBER(H$16),ISNUMBER(H35),CTRL_InputMethodFuelDistribution&lt;&gt;EUconst_NA),IF(CTRL_InputMethodFuelDistribution=1,H35/H$16*100,H35*H$16/100),"")</f>
        <v>#N/A</v>
      </c>
      <c r="I45" s="949" t="e">
        <f t="shared" si="9"/>
        <v>#N/A</v>
      </c>
      <c r="J45" s="1491" t="e">
        <f t="shared" si="9"/>
        <v>#N/A</v>
      </c>
      <c r="K45" s="1492" t="e">
        <f t="shared" si="9"/>
        <v>#N/A</v>
      </c>
      <c r="L45" s="1492" t="e">
        <f t="shared" si="9"/>
        <v>#N/A</v>
      </c>
      <c r="M45" s="1492" t="e">
        <f t="shared" si="9"/>
        <v>#N/A</v>
      </c>
      <c r="N45" s="1492" t="e">
        <f t="shared" si="9"/>
        <v>#N/A</v>
      </c>
      <c r="O45" s="481"/>
      <c r="P45" s="485"/>
      <c r="Q45" s="1535"/>
      <c r="R45" s="1137"/>
      <c r="S45" s="1137"/>
      <c r="T45" s="1137"/>
      <c r="U45" s="1137"/>
      <c r="V45" s="1137"/>
      <c r="W45" s="1137"/>
      <c r="X45" s="1137"/>
      <c r="Y45" s="1137"/>
      <c r="Z45" s="1137"/>
      <c r="AA45" s="1137"/>
      <c r="AB45" s="1137"/>
      <c r="AC45" s="1137"/>
      <c r="AD45" s="1137"/>
      <c r="AE45" s="1137"/>
      <c r="AP45" s="1135"/>
    </row>
    <row r="46" spans="1:42" s="562" customFormat="1" ht="13.15" customHeight="1" thickBot="1">
      <c r="A46" s="1116"/>
      <c r="B46" s="485"/>
      <c r="C46" s="485"/>
      <c r="D46" s="561" t="s">
        <v>790</v>
      </c>
      <c r="E46" s="2794" t="str">
        <f t="shared" si="6"/>
        <v>Fuel input for production of measurable heat</v>
      </c>
      <c r="F46" s="3259"/>
      <c r="G46" s="699" t="e">
        <f t="shared" si="8"/>
        <v>#N/A</v>
      </c>
      <c r="H46" s="646" t="e">
        <f t="shared" si="9"/>
        <v>#N/A</v>
      </c>
      <c r="I46" s="949" t="e">
        <f t="shared" si="9"/>
        <v>#N/A</v>
      </c>
      <c r="J46" s="1491" t="e">
        <f t="shared" si="9"/>
        <v>#N/A</v>
      </c>
      <c r="K46" s="1492" t="e">
        <f t="shared" si="9"/>
        <v>#N/A</v>
      </c>
      <c r="L46" s="1492" t="e">
        <f t="shared" si="9"/>
        <v>#N/A</v>
      </c>
      <c r="M46" s="1492" t="e">
        <f t="shared" si="9"/>
        <v>#N/A</v>
      </c>
      <c r="N46" s="1492" t="e">
        <f t="shared" si="9"/>
        <v>#N/A</v>
      </c>
      <c r="O46" s="481"/>
      <c r="P46" s="485"/>
      <c r="Q46" s="1535"/>
      <c r="R46" s="1137"/>
      <c r="S46" s="1137"/>
      <c r="T46" s="1137"/>
      <c r="U46" s="1137"/>
      <c r="V46" s="1137"/>
      <c r="W46" s="1137"/>
      <c r="X46" s="1137"/>
      <c r="Y46" s="1137"/>
      <c r="Z46" s="1137"/>
      <c r="AA46" s="1137"/>
      <c r="AB46" s="1137"/>
      <c r="AC46" s="1137"/>
      <c r="AD46" s="1137"/>
      <c r="AE46" s="1137"/>
      <c r="AP46" s="1135"/>
    </row>
    <row r="47" spans="1:42" s="562" customFormat="1" ht="13.15" customHeight="1">
      <c r="A47" s="1116"/>
      <c r="B47" s="485"/>
      <c r="C47" s="485"/>
      <c r="D47" s="561" t="s">
        <v>791</v>
      </c>
      <c r="E47" s="2796" t="str">
        <f t="shared" si="6"/>
        <v>Fuel benchmark sub-installation, CL</v>
      </c>
      <c r="F47" s="2806"/>
      <c r="G47" s="892" t="e">
        <f t="shared" si="8"/>
        <v>#N/A</v>
      </c>
      <c r="H47" s="650" t="e">
        <f t="shared" si="9"/>
        <v>#N/A</v>
      </c>
      <c r="I47" s="1546" t="e">
        <f t="shared" si="9"/>
        <v>#N/A</v>
      </c>
      <c r="J47" s="1537" t="e">
        <f t="shared" si="9"/>
        <v>#N/A</v>
      </c>
      <c r="K47" s="1538" t="e">
        <f t="shared" si="9"/>
        <v>#N/A</v>
      </c>
      <c r="L47" s="1538" t="e">
        <f t="shared" si="9"/>
        <v>#N/A</v>
      </c>
      <c r="M47" s="1538" t="e">
        <f t="shared" si="9"/>
        <v>#N/A</v>
      </c>
      <c r="N47" s="1538" t="e">
        <f t="shared" si="9"/>
        <v>#N/A</v>
      </c>
      <c r="O47" s="481"/>
      <c r="P47" s="485"/>
      <c r="Q47" s="1547" t="e">
        <f>IF(CTRL_InputMethodFuelDistribution=2,EUconst_CNTR_HAL&amp;E47,"")</f>
        <v>#N/A</v>
      </c>
      <c r="R47" s="1137"/>
      <c r="S47" s="1137"/>
      <c r="T47" s="1137"/>
      <c r="U47" s="1137"/>
      <c r="V47" s="1137"/>
      <c r="W47" s="1137"/>
      <c r="X47" s="1137"/>
      <c r="Y47" s="1137"/>
      <c r="Z47" s="1137"/>
      <c r="AA47" s="1137"/>
      <c r="AB47" s="1137"/>
      <c r="AC47" s="1137"/>
      <c r="AD47" s="1137"/>
      <c r="AE47" s="1137"/>
      <c r="AP47" s="1135"/>
    </row>
    <row r="48" spans="1:42" s="562" customFormat="1" ht="13.5" customHeight="1" thickBot="1">
      <c r="A48" s="1116"/>
      <c r="B48" s="485"/>
      <c r="C48" s="485"/>
      <c r="D48" s="561" t="s">
        <v>64</v>
      </c>
      <c r="E48" s="2798" t="str">
        <f t="shared" si="6"/>
        <v>Fuel benchmark sub-installation, non-CL</v>
      </c>
      <c r="F48" s="2810"/>
      <c r="G48" s="893" t="e">
        <f t="shared" si="8"/>
        <v>#N/A</v>
      </c>
      <c r="H48" s="615" t="e">
        <f t="shared" si="9"/>
        <v>#N/A</v>
      </c>
      <c r="I48" s="1548" t="e">
        <f t="shared" si="9"/>
        <v>#N/A</v>
      </c>
      <c r="J48" s="1537" t="e">
        <f t="shared" si="9"/>
        <v>#N/A</v>
      </c>
      <c r="K48" s="1538" t="e">
        <f t="shared" si="9"/>
        <v>#N/A</v>
      </c>
      <c r="L48" s="1538" t="e">
        <f t="shared" si="9"/>
        <v>#N/A</v>
      </c>
      <c r="M48" s="1538" t="e">
        <f t="shared" si="9"/>
        <v>#N/A</v>
      </c>
      <c r="N48" s="1538" t="e">
        <f t="shared" si="9"/>
        <v>#N/A</v>
      </c>
      <c r="O48" s="481"/>
      <c r="P48" s="485"/>
      <c r="Q48" s="1549" t="e">
        <f>IF(CTRL_InputMethodFuelDistribution=2,EUconst_CNTR_HAL&amp;E48,"")</f>
        <v>#N/A</v>
      </c>
      <c r="R48" s="1137"/>
      <c r="S48" s="1137"/>
      <c r="T48" s="1137"/>
      <c r="U48" s="1137"/>
      <c r="V48" s="1137"/>
      <c r="W48" s="1137"/>
      <c r="X48" s="1137"/>
      <c r="Y48" s="1137"/>
      <c r="Z48" s="1137"/>
      <c r="AA48" s="1137"/>
      <c r="AB48" s="1137"/>
      <c r="AC48" s="1137"/>
      <c r="AD48" s="1137"/>
      <c r="AE48" s="1137"/>
      <c r="AP48" s="1135"/>
    </row>
    <row r="49" spans="1:42" s="562" customFormat="1" ht="12.6" customHeight="1">
      <c r="A49" s="1116"/>
      <c r="B49" s="485"/>
      <c r="C49" s="485"/>
      <c r="D49" s="561" t="s">
        <v>65</v>
      </c>
      <c r="E49" s="2800" t="str">
        <f t="shared" si="6"/>
        <v>Fuel input for electricity production</v>
      </c>
      <c r="F49" s="3257"/>
      <c r="G49" s="894" t="e">
        <f t="shared" si="8"/>
        <v>#N/A</v>
      </c>
      <c r="H49" s="1550" t="e">
        <f t="shared" si="9"/>
        <v>#N/A</v>
      </c>
      <c r="I49" s="1551" t="e">
        <f t="shared" si="9"/>
        <v>#N/A</v>
      </c>
      <c r="J49" s="1491" t="e">
        <f t="shared" si="9"/>
        <v>#N/A</v>
      </c>
      <c r="K49" s="1492" t="e">
        <f t="shared" si="9"/>
        <v>#N/A</v>
      </c>
      <c r="L49" s="1492" t="e">
        <f t="shared" si="9"/>
        <v>#N/A</v>
      </c>
      <c r="M49" s="1492" t="e">
        <f t="shared" si="9"/>
        <v>#N/A</v>
      </c>
      <c r="N49" s="1492" t="e">
        <f t="shared" si="9"/>
        <v>#N/A</v>
      </c>
      <c r="O49" s="481"/>
      <c r="P49" s="485"/>
      <c r="Q49" s="1137"/>
      <c r="R49" s="1137"/>
      <c r="S49" s="1137"/>
      <c r="T49" s="1137"/>
      <c r="U49" s="1137"/>
      <c r="V49" s="1137"/>
      <c r="W49" s="1137"/>
      <c r="X49" s="1137"/>
      <c r="Y49" s="1137"/>
      <c r="Z49" s="1137"/>
      <c r="AA49" s="1137"/>
      <c r="AB49" s="1137"/>
      <c r="AC49" s="1137"/>
      <c r="AD49" s="1137"/>
      <c r="AE49" s="1137"/>
      <c r="AP49" s="1135"/>
    </row>
    <row r="50" spans="1:42" s="562" customFormat="1">
      <c r="A50" s="1116"/>
      <c r="B50" s="485"/>
      <c r="C50" s="485"/>
      <c r="D50" s="561" t="s">
        <v>66</v>
      </c>
      <c r="E50" s="2792" t="str">
        <f t="shared" si="6"/>
        <v>Rest</v>
      </c>
      <c r="F50" s="3221"/>
      <c r="G50" s="1543" t="e">
        <f t="shared" si="8"/>
        <v>#N/A</v>
      </c>
      <c r="H50" s="616" t="e">
        <f t="shared" si="9"/>
        <v>#N/A</v>
      </c>
      <c r="I50" s="1544" t="e">
        <f t="shared" si="9"/>
        <v>#N/A</v>
      </c>
      <c r="J50" s="1491" t="e">
        <f t="shared" si="9"/>
        <v>#N/A</v>
      </c>
      <c r="K50" s="1492" t="e">
        <f t="shared" si="9"/>
        <v>#N/A</v>
      </c>
      <c r="L50" s="1492" t="e">
        <f t="shared" si="9"/>
        <v>#N/A</v>
      </c>
      <c r="M50" s="1492" t="e">
        <f t="shared" si="9"/>
        <v>#N/A</v>
      </c>
      <c r="N50" s="1492" t="e">
        <f t="shared" si="9"/>
        <v>#N/A</v>
      </c>
      <c r="O50" s="481"/>
      <c r="P50" s="485"/>
      <c r="Q50" s="1137"/>
      <c r="R50" s="1137"/>
      <c r="S50" s="1137"/>
      <c r="T50" s="1137"/>
      <c r="U50" s="1137"/>
      <c r="V50" s="1137"/>
      <c r="W50" s="1137"/>
      <c r="X50" s="1137"/>
      <c r="Y50" s="1137"/>
      <c r="Z50" s="1137"/>
      <c r="AA50" s="1137"/>
      <c r="AB50" s="1137"/>
      <c r="AC50" s="1137"/>
      <c r="AD50" s="1137"/>
      <c r="AE50" s="1137"/>
      <c r="AP50" s="1135"/>
    </row>
    <row r="51" spans="1:42" ht="5.0999999999999996" customHeight="1">
      <c r="B51" s="1124"/>
      <c r="C51" s="485"/>
      <c r="D51" s="485"/>
      <c r="E51" s="485"/>
      <c r="F51" s="485"/>
      <c r="G51" s="485"/>
      <c r="H51" s="485"/>
      <c r="I51" s="485"/>
      <c r="J51" s="485"/>
      <c r="K51" s="485"/>
      <c r="L51" s="485"/>
      <c r="M51" s="485"/>
      <c r="N51" s="485"/>
      <c r="O51" s="481"/>
      <c r="P51" s="485"/>
    </row>
    <row r="52" spans="1:42" s="562" customFormat="1" ht="13.15" customHeight="1">
      <c r="A52" s="1116"/>
      <c r="B52" s="467"/>
      <c r="C52" s="467"/>
      <c r="D52" s="482" t="s">
        <v>881</v>
      </c>
      <c r="E52" s="2576" t="s">
        <v>1800</v>
      </c>
      <c r="F52" s="2577"/>
      <c r="G52" s="2577"/>
      <c r="H52" s="2577"/>
      <c r="I52" s="2577"/>
      <c r="J52" s="2577"/>
      <c r="K52" s="2577"/>
      <c r="L52" s="2577"/>
      <c r="M52" s="2577"/>
      <c r="N52" s="2577"/>
      <c r="O52" s="481"/>
      <c r="P52" s="485"/>
      <c r="Q52" s="1117"/>
      <c r="R52" s="1137"/>
      <c r="S52" s="1137"/>
      <c r="T52" s="1137"/>
      <c r="U52" s="1137"/>
      <c r="V52" s="1137"/>
      <c r="W52" s="1137"/>
      <c r="X52" s="1137"/>
      <c r="Y52" s="1137"/>
      <c r="Z52" s="1137"/>
      <c r="AA52" s="1137"/>
      <c r="AB52" s="1137"/>
      <c r="AC52" s="1137"/>
      <c r="AD52" s="1137"/>
      <c r="AE52" s="1137"/>
      <c r="AP52" s="1135"/>
    </row>
    <row r="53" spans="1:42" s="562" customFormat="1" ht="25.5" customHeight="1">
      <c r="A53" s="1116"/>
      <c r="B53" s="467"/>
      <c r="C53" s="467"/>
      <c r="D53" s="485"/>
      <c r="E53" s="2385" t="s">
        <v>1955</v>
      </c>
      <c r="F53" s="2846"/>
      <c r="G53" s="2846"/>
      <c r="H53" s="2846"/>
      <c r="I53" s="2846"/>
      <c r="J53" s="2846"/>
      <c r="K53" s="2846"/>
      <c r="L53" s="2846"/>
      <c r="M53" s="2846"/>
      <c r="N53" s="2846"/>
      <c r="O53" s="481"/>
      <c r="P53" s="485"/>
      <c r="Q53" s="1117"/>
      <c r="R53" s="1137"/>
      <c r="S53" s="1137"/>
      <c r="T53" s="1137"/>
      <c r="U53" s="1137"/>
      <c r="V53" s="1137"/>
      <c r="W53" s="1137"/>
      <c r="X53" s="1137"/>
      <c r="Y53" s="1137"/>
      <c r="Z53" s="1137"/>
      <c r="AA53" s="1137"/>
      <c r="AB53" s="1137"/>
      <c r="AC53" s="1137"/>
      <c r="AD53" s="1137"/>
      <c r="AE53" s="1137"/>
      <c r="AP53" s="1135"/>
    </row>
    <row r="54" spans="1:42" ht="12.75" customHeight="1">
      <c r="B54" s="467"/>
      <c r="C54" s="467"/>
      <c r="D54" s="485"/>
      <c r="E54" s="3246" t="s">
        <v>1956</v>
      </c>
      <c r="F54" s="3246"/>
      <c r="G54" s="3246"/>
      <c r="H54" s="3246"/>
      <c r="I54" s="3246"/>
      <c r="J54" s="3246"/>
      <c r="K54" s="3246"/>
      <c r="L54" s="3246"/>
      <c r="M54" s="3246"/>
      <c r="N54" s="3246"/>
      <c r="O54" s="481"/>
      <c r="P54" s="485"/>
      <c r="Q54" s="1117"/>
    </row>
    <row r="55" spans="1:42" s="562" customFormat="1" ht="5.0999999999999996" customHeight="1">
      <c r="A55" s="1116"/>
      <c r="B55" s="467"/>
      <c r="C55" s="467"/>
      <c r="D55" s="467"/>
      <c r="E55" s="467"/>
      <c r="F55" s="467"/>
      <c r="G55" s="467"/>
      <c r="H55" s="467"/>
      <c r="I55" s="467"/>
      <c r="J55" s="467"/>
      <c r="K55" s="467"/>
      <c r="L55" s="467"/>
      <c r="M55" s="467"/>
      <c r="N55" s="467"/>
      <c r="O55" s="481"/>
      <c r="P55" s="485"/>
      <c r="Q55" s="1117"/>
      <c r="R55" s="1137"/>
      <c r="S55" s="1137"/>
      <c r="T55" s="1137"/>
      <c r="U55" s="1137"/>
      <c r="V55" s="1137"/>
      <c r="W55" s="1137"/>
      <c r="X55" s="1137"/>
      <c r="Y55" s="1137"/>
      <c r="Z55" s="1137"/>
      <c r="AA55" s="1137"/>
      <c r="AB55" s="1137"/>
      <c r="AC55" s="1137"/>
      <c r="AD55" s="1137"/>
      <c r="AE55" s="1137"/>
      <c r="AP55" s="1135"/>
    </row>
    <row r="56" spans="1:42" s="562" customFormat="1" ht="13.5" customHeight="1">
      <c r="A56" s="1116"/>
      <c r="B56" s="485"/>
      <c r="C56" s="485"/>
      <c r="D56" s="485"/>
      <c r="E56" s="2791" t="s">
        <v>1984</v>
      </c>
      <c r="F56" s="2791"/>
      <c r="G56" s="482" t="str">
        <f>EUconst_Unit</f>
        <v>Unit</v>
      </c>
      <c r="H56" s="578">
        <f t="shared" ref="H56:N56" si="10">H$393</f>
        <v>2024</v>
      </c>
      <c r="I56" s="697">
        <f t="shared" si="10"/>
        <v>2025</v>
      </c>
      <c r="J56" s="1489">
        <f t="shared" si="10"/>
        <v>2026</v>
      </c>
      <c r="K56" s="1490">
        <f t="shared" si="10"/>
        <v>2027</v>
      </c>
      <c r="L56" s="1490">
        <f t="shared" si="10"/>
        <v>2028</v>
      </c>
      <c r="M56" s="1490">
        <f t="shared" si="10"/>
        <v>2029</v>
      </c>
      <c r="N56" s="1490">
        <f t="shared" si="10"/>
        <v>2030</v>
      </c>
      <c r="O56" s="481"/>
      <c r="P56" s="485"/>
      <c r="Q56" s="1137"/>
      <c r="R56" s="1137"/>
      <c r="S56" s="1137"/>
      <c r="T56" s="1137"/>
      <c r="U56" s="1137"/>
      <c r="V56" s="1137"/>
      <c r="W56" s="1137"/>
      <c r="X56" s="1137"/>
      <c r="Y56" s="1137"/>
      <c r="Z56" s="1137"/>
      <c r="AA56" s="1137"/>
      <c r="AB56" s="1137"/>
      <c r="AC56" s="1137"/>
      <c r="AD56" s="1137"/>
      <c r="AE56" s="1137"/>
      <c r="AP56" s="1135"/>
    </row>
    <row r="57" spans="1:42" s="562" customFormat="1" ht="13.5" customHeight="1">
      <c r="A57" s="1116"/>
      <c r="B57" s="485"/>
      <c r="C57" s="485"/>
      <c r="D57" s="561" t="s">
        <v>6</v>
      </c>
      <c r="E57" s="3238" t="s">
        <v>1882</v>
      </c>
      <c r="F57" s="3238"/>
      <c r="G57" s="950" t="str">
        <f>EUconst_tCO2pTJ</f>
        <v>t CO2 / TJ</v>
      </c>
      <c r="H57" s="1552" t="str">
        <f>c_ALR2025!M237</f>
        <v/>
      </c>
      <c r="I57" s="1611"/>
      <c r="J57" s="1491"/>
      <c r="K57" s="1492"/>
      <c r="L57" s="1492"/>
      <c r="M57" s="1492"/>
      <c r="N57" s="1492"/>
      <c r="O57" s="481"/>
      <c r="P57" s="10"/>
      <c r="Q57" s="1137"/>
      <c r="R57" s="1137"/>
      <c r="S57" s="1137"/>
      <c r="T57" s="1137"/>
      <c r="U57" s="1137"/>
      <c r="V57" s="1137"/>
      <c r="W57" s="1137"/>
      <c r="X57" s="1137"/>
      <c r="Y57" s="1137"/>
      <c r="Z57" s="1137"/>
      <c r="AA57" s="1137"/>
      <c r="AB57" s="1137"/>
      <c r="AC57" s="1137"/>
      <c r="AD57" s="1161" t="s">
        <v>1954</v>
      </c>
      <c r="AE57" s="1303" t="str">
        <f>IF(AND(CNTR_HasEntries_A_I,COUNTIFS($V$16:$AB$16,FALSE,H57:N57,"")&gt;0),1,"")</f>
        <v/>
      </c>
      <c r="AP57" s="1135"/>
    </row>
    <row r="58" spans="1:42" s="562" customFormat="1" ht="12.75" customHeight="1">
      <c r="A58" s="1116"/>
      <c r="B58" s="485"/>
      <c r="C58" s="485"/>
      <c r="D58" s="561" t="s">
        <v>7</v>
      </c>
      <c r="E58" s="3260" t="s">
        <v>1802</v>
      </c>
      <c r="F58" s="3260"/>
      <c r="G58" s="1038" t="str">
        <f>EUconst_tCO2pTJ</f>
        <v>t CO2 / TJ</v>
      </c>
      <c r="H58" s="1552" t="str">
        <f>c_ALR2025!M238</f>
        <v/>
      </c>
      <c r="I58" s="1611"/>
      <c r="J58" s="1491"/>
      <c r="K58" s="1492"/>
      <c r="L58" s="1492"/>
      <c r="M58" s="1492"/>
      <c r="N58" s="1492"/>
      <c r="O58" s="481"/>
      <c r="P58" s="10"/>
      <c r="Q58" s="1137"/>
      <c r="R58" s="1137"/>
      <c r="S58" s="1137"/>
      <c r="T58" s="1137"/>
      <c r="U58" s="1137"/>
      <c r="V58" s="1137"/>
      <c r="W58" s="1137"/>
      <c r="X58" s="1137"/>
      <c r="Y58" s="1137"/>
      <c r="Z58" s="1137"/>
      <c r="AA58" s="1137"/>
      <c r="AB58" s="1137"/>
      <c r="AC58" s="1137"/>
      <c r="AD58" s="1161" t="s">
        <v>1954</v>
      </c>
      <c r="AE58" s="1303" t="str">
        <f>IF(AND(CNTR_HasEntries_A_I,COUNTIFS($V$16:$AB$16,FALSE,H58:N58,"")&gt;0),1,"")</f>
        <v/>
      </c>
      <c r="AP58" s="1135"/>
    </row>
    <row r="59" spans="1:42">
      <c r="B59" s="1124"/>
      <c r="C59" s="485"/>
      <c r="D59" s="561" t="s">
        <v>8</v>
      </c>
      <c r="E59" s="3237" t="s">
        <v>1801</v>
      </c>
      <c r="F59" s="3234"/>
      <c r="G59" s="1039" t="str">
        <f>EUconst_tCO2pTJ</f>
        <v>t CO2 / TJ</v>
      </c>
      <c r="H59" s="1552" t="str">
        <f>c_ALR2025!M239</f>
        <v/>
      </c>
      <c r="I59" s="1611"/>
      <c r="J59" s="1491"/>
      <c r="K59" s="1492"/>
      <c r="L59" s="1492"/>
      <c r="M59" s="1492"/>
      <c r="N59" s="1492"/>
      <c r="O59" s="481"/>
      <c r="P59" s="10"/>
      <c r="AD59" s="1161" t="s">
        <v>1954</v>
      </c>
      <c r="AE59" s="1303" t="str">
        <f>IF(AND(CNTR_HasEntries_A_I,COUNTIFS($V$16:$AB$16,FALSE,H59:N59,"")&gt;0),1,"")</f>
        <v/>
      </c>
    </row>
    <row r="60" spans="1:42">
      <c r="B60" s="1124"/>
      <c r="C60" s="485"/>
      <c r="D60" s="485"/>
      <c r="E60" s="485"/>
      <c r="F60" s="485"/>
      <c r="G60" s="485"/>
      <c r="H60" s="485"/>
      <c r="I60" s="485"/>
      <c r="J60" s="485"/>
      <c r="K60" s="485"/>
      <c r="L60" s="485"/>
      <c r="M60" s="485"/>
      <c r="N60" s="485"/>
      <c r="O60" s="481"/>
      <c r="P60" s="485"/>
    </row>
    <row r="61" spans="1:42" ht="15.6" customHeight="1">
      <c r="B61" s="467"/>
      <c r="C61" s="507" t="s">
        <v>875</v>
      </c>
      <c r="D61" s="2813" t="s">
        <v>49</v>
      </c>
      <c r="E61" s="2813"/>
      <c r="F61" s="2813"/>
      <c r="G61" s="2813"/>
      <c r="H61" s="2813"/>
      <c r="I61" s="2813"/>
      <c r="J61" s="2813"/>
      <c r="K61" s="2813"/>
      <c r="L61" s="2813"/>
      <c r="M61" s="2813"/>
      <c r="N61" s="2813"/>
      <c r="O61" s="481"/>
      <c r="P61" s="485"/>
      <c r="Q61" s="1117"/>
    </row>
    <row r="62" spans="1:42" ht="5.0999999999999996" customHeight="1">
      <c r="B62" s="467"/>
      <c r="C62" s="467"/>
      <c r="D62" s="467"/>
      <c r="E62" s="467"/>
      <c r="F62" s="467"/>
      <c r="G62" s="467"/>
      <c r="H62" s="467"/>
      <c r="I62" s="467"/>
      <c r="J62" s="467"/>
      <c r="K62" s="467"/>
      <c r="L62" s="467"/>
      <c r="M62" s="481"/>
      <c r="N62" s="481"/>
      <c r="O62" s="481"/>
      <c r="P62" s="485"/>
      <c r="Q62" s="1117"/>
    </row>
    <row r="63" spans="1:42" ht="13.9" customHeight="1">
      <c r="B63" s="467"/>
      <c r="C63" s="559"/>
      <c r="D63" s="2482" t="s">
        <v>1255</v>
      </c>
      <c r="E63" s="2400"/>
      <c r="F63" s="2400"/>
      <c r="G63" s="2400"/>
      <c r="H63" s="2400"/>
      <c r="I63" s="2400"/>
      <c r="J63" s="2400"/>
      <c r="K63" s="2400"/>
      <c r="L63" s="2400"/>
      <c r="M63" s="2400"/>
      <c r="N63" s="2400"/>
      <c r="O63" s="481"/>
      <c r="P63" s="485"/>
      <c r="Q63" s="1117"/>
    </row>
    <row r="64" spans="1:42" ht="5.0999999999999996" customHeight="1">
      <c r="B64" s="467"/>
      <c r="C64" s="467"/>
      <c r="D64" s="467"/>
      <c r="E64" s="467"/>
      <c r="F64" s="467"/>
      <c r="G64" s="467"/>
      <c r="H64" s="467"/>
      <c r="I64" s="467"/>
      <c r="J64" s="467"/>
      <c r="K64" s="467"/>
      <c r="L64" s="467"/>
      <c r="M64" s="467"/>
      <c r="N64" s="467"/>
      <c r="O64" s="481"/>
      <c r="P64" s="485"/>
      <c r="Q64" s="1117"/>
    </row>
    <row r="65" spans="2:20" ht="12.75" customHeight="1">
      <c r="B65" s="467"/>
      <c r="C65" s="467"/>
      <c r="D65" s="1499"/>
      <c r="E65" s="2508" t="s">
        <v>1595</v>
      </c>
      <c r="F65" s="2508"/>
      <c r="G65" s="2508"/>
      <c r="H65" s="2508"/>
      <c r="I65" s="2508"/>
      <c r="J65" s="2508"/>
      <c r="K65" s="2508"/>
      <c r="L65" s="2580"/>
      <c r="M65" s="565" t="b">
        <f>COUNTIF('B+C_SubInstallations'!$T$55:$T$57,TRUE)&gt;0</f>
        <v>0</v>
      </c>
      <c r="N65" s="481"/>
      <c r="O65" s="481"/>
      <c r="P65" s="485"/>
      <c r="Q65" s="1249"/>
      <c r="R65" s="1198"/>
    </row>
    <row r="66" spans="2:20" ht="12.75" customHeight="1">
      <c r="B66" s="467"/>
      <c r="C66" s="485"/>
      <c r="D66" s="1088"/>
      <c r="E66" s="2385" t="s">
        <v>216</v>
      </c>
      <c r="F66" s="2846"/>
      <c r="G66" s="2846"/>
      <c r="H66" s="2846"/>
      <c r="I66" s="2846"/>
      <c r="J66" s="2846"/>
      <c r="K66" s="2846"/>
      <c r="L66" s="2846"/>
      <c r="M66" s="2846"/>
      <c r="N66" s="3241"/>
      <c r="O66" s="481"/>
      <c r="P66" s="485"/>
      <c r="Q66" s="1117"/>
    </row>
    <row r="67" spans="2:20" ht="12.75" customHeight="1">
      <c r="B67" s="467"/>
      <c r="C67" s="485"/>
      <c r="D67" s="1088"/>
      <c r="E67" s="2385" t="s">
        <v>1596</v>
      </c>
      <c r="F67" s="2846"/>
      <c r="G67" s="2846"/>
      <c r="H67" s="2846"/>
      <c r="I67" s="2846"/>
      <c r="J67" s="2846"/>
      <c r="K67" s="2846"/>
      <c r="L67" s="2846"/>
      <c r="M67" s="2846"/>
      <c r="N67" s="3241"/>
      <c r="O67" s="481"/>
      <c r="P67" s="485"/>
      <c r="Q67" s="1117"/>
    </row>
    <row r="68" spans="2:20" ht="5.0999999999999996" customHeight="1">
      <c r="B68" s="467"/>
      <c r="C68" s="467"/>
      <c r="D68" s="467"/>
      <c r="E68" s="467"/>
      <c r="F68" s="467"/>
      <c r="G68" s="467"/>
      <c r="H68" s="467"/>
      <c r="I68" s="467"/>
      <c r="J68" s="467"/>
      <c r="K68" s="467"/>
      <c r="L68" s="467"/>
      <c r="M68" s="467"/>
      <c r="N68" s="467"/>
      <c r="O68" s="481"/>
      <c r="P68" s="485"/>
      <c r="Q68" s="1117"/>
    </row>
    <row r="69" spans="2:20" ht="12.75" customHeight="1">
      <c r="B69" s="467"/>
      <c r="C69" s="467"/>
      <c r="D69" s="1499"/>
      <c r="E69" s="2508" t="s">
        <v>1478</v>
      </c>
      <c r="F69" s="2508"/>
      <c r="G69" s="2508"/>
      <c r="H69" s="2508"/>
      <c r="I69" s="2508"/>
      <c r="J69" s="2508"/>
      <c r="K69" s="2508"/>
      <c r="L69" s="2580"/>
      <c r="M69" s="1612"/>
      <c r="N69" s="481"/>
      <c r="O69" s="481"/>
      <c r="P69" s="485"/>
      <c r="Q69" s="1249"/>
      <c r="R69" s="1198"/>
      <c r="T69" s="1185" t="s">
        <v>1973</v>
      </c>
    </row>
    <row r="70" spans="2:20" ht="12.75" customHeight="1">
      <c r="B70" s="467"/>
      <c r="C70" s="467"/>
      <c r="D70" s="467"/>
      <c r="E70" s="3250" t="str">
        <f>IF(AND(M69&lt;&gt;"",M69=FALSE),HYPERLINK(R70,EUconst_MsgGoOn),HYPERLINK("",EUconst_MsgEnterThisSection))</f>
        <v>Please enter data in this section!</v>
      </c>
      <c r="F70" s="3251"/>
      <c r="G70" s="3251"/>
      <c r="H70" s="3251"/>
      <c r="I70" s="3251"/>
      <c r="J70" s="3251"/>
      <c r="K70" s="3251"/>
      <c r="L70" s="3251"/>
      <c r="M70" s="3252"/>
      <c r="N70" s="467"/>
      <c r="O70" s="481"/>
      <c r="P70" s="485"/>
      <c r="Q70" s="1198" t="s">
        <v>441</v>
      </c>
      <c r="R70" s="1488" t="str">
        <f>"#"&amp;ADDRESS(ROW(C248),COLUMN(C248))</f>
        <v>#$C$248</v>
      </c>
      <c r="T70" s="1140"/>
    </row>
    <row r="71" spans="2:20" ht="5.0999999999999996" customHeight="1">
      <c r="B71" s="467"/>
      <c r="C71" s="467"/>
      <c r="D71" s="467"/>
      <c r="E71" s="467"/>
      <c r="F71" s="467"/>
      <c r="G71" s="467"/>
      <c r="H71" s="467"/>
      <c r="I71" s="467"/>
      <c r="J71" s="467"/>
      <c r="K71" s="467"/>
      <c r="L71" s="467"/>
      <c r="M71" s="481"/>
      <c r="N71" s="481"/>
      <c r="O71" s="481"/>
      <c r="P71" s="485"/>
      <c r="Q71" s="1117"/>
    </row>
    <row r="72" spans="2:20" ht="13.15" customHeight="1">
      <c r="B72" s="467"/>
      <c r="C72" s="467"/>
      <c r="D72" s="3225" t="s">
        <v>761</v>
      </c>
      <c r="E72" s="3226"/>
      <c r="F72" s="3226"/>
      <c r="G72" s="3226"/>
      <c r="H72" s="3226"/>
      <c r="I72" s="3226"/>
      <c r="J72" s="3226"/>
      <c r="K72" s="3226"/>
      <c r="L72" s="3226"/>
      <c r="M72" s="3226"/>
      <c r="N72" s="3226"/>
      <c r="O72" s="481"/>
      <c r="P72" s="485"/>
      <c r="Q72" s="1117"/>
    </row>
    <row r="73" spans="2:20" ht="5.0999999999999996" customHeight="1">
      <c r="B73" s="467"/>
      <c r="C73" s="467"/>
      <c r="D73" s="467"/>
      <c r="E73" s="467"/>
      <c r="F73" s="467"/>
      <c r="G73" s="467"/>
      <c r="H73" s="467"/>
      <c r="I73" s="467"/>
      <c r="J73" s="467"/>
      <c r="K73" s="467"/>
      <c r="L73" s="481"/>
      <c r="M73" s="481"/>
      <c r="N73" s="467"/>
      <c r="O73" s="481"/>
      <c r="P73" s="485"/>
      <c r="Q73" s="1117"/>
    </row>
    <row r="74" spans="2:20" ht="13.15" customHeight="1">
      <c r="B74" s="467"/>
      <c r="C74" s="485"/>
      <c r="D74" s="3225" t="s">
        <v>68</v>
      </c>
      <c r="E74" s="3226"/>
      <c r="F74" s="3226"/>
      <c r="G74" s="3226"/>
      <c r="H74" s="3226"/>
      <c r="I74" s="3226"/>
      <c r="J74" s="3226"/>
      <c r="K74" s="3226"/>
      <c r="L74" s="3226"/>
      <c r="M74" s="3226"/>
      <c r="N74" s="3226"/>
      <c r="O74" s="481"/>
      <c r="P74" s="485"/>
      <c r="Q74" s="1117"/>
    </row>
    <row r="75" spans="2:20" ht="37.15" customHeight="1">
      <c r="B75" s="467"/>
      <c r="C75" s="485"/>
      <c r="D75" s="2817" t="s">
        <v>2103</v>
      </c>
      <c r="E75" s="2817"/>
      <c r="F75" s="2817"/>
      <c r="G75" s="2817"/>
      <c r="H75" s="2817"/>
      <c r="I75" s="2817"/>
      <c r="J75" s="2817"/>
      <c r="K75" s="2817"/>
      <c r="L75" s="2817"/>
      <c r="M75" s="2817"/>
      <c r="N75" s="2817"/>
      <c r="O75" s="481"/>
      <c r="P75" s="485"/>
      <c r="Q75" s="1117"/>
    </row>
    <row r="76" spans="2:20" ht="13.15" customHeight="1">
      <c r="B76" s="467"/>
      <c r="C76" s="485"/>
      <c r="D76" s="3239" t="s">
        <v>461</v>
      </c>
      <c r="E76" s="3226"/>
      <c r="F76" s="3226"/>
      <c r="G76" s="3226"/>
      <c r="H76" s="3226"/>
      <c r="I76" s="3226"/>
      <c r="J76" s="3226"/>
      <c r="K76" s="3226"/>
      <c r="L76" s="3226"/>
      <c r="M76" s="3226"/>
      <c r="N76" s="3226"/>
      <c r="O76" s="481"/>
      <c r="P76" s="485"/>
      <c r="Q76" s="1117"/>
    </row>
    <row r="77" spans="2:20" ht="25.5" customHeight="1">
      <c r="B77" s="467"/>
      <c r="C77" s="485"/>
      <c r="D77" s="1088" t="s">
        <v>1021</v>
      </c>
      <c r="E77" s="2385" t="s">
        <v>462</v>
      </c>
      <c r="F77" s="2846"/>
      <c r="G77" s="2846"/>
      <c r="H77" s="2846"/>
      <c r="I77" s="2846"/>
      <c r="J77" s="2846"/>
      <c r="K77" s="2846"/>
      <c r="L77" s="2846"/>
      <c r="M77" s="2846"/>
      <c r="N77" s="3241"/>
      <c r="O77" s="481"/>
      <c r="P77" s="485"/>
      <c r="Q77" s="1117"/>
    </row>
    <row r="78" spans="2:20">
      <c r="B78" s="467"/>
      <c r="C78" s="485"/>
      <c r="D78" s="1088" t="s">
        <v>1021</v>
      </c>
      <c r="E78" s="3253" t="s">
        <v>2104</v>
      </c>
      <c r="F78" s="3253"/>
      <c r="G78" s="3253"/>
      <c r="H78" s="3253"/>
      <c r="I78" s="3253"/>
      <c r="J78" s="3253"/>
      <c r="K78" s="3253"/>
      <c r="L78" s="3253"/>
      <c r="M78" s="3253"/>
      <c r="N78" s="3253"/>
      <c r="O78" s="481"/>
      <c r="P78" s="485"/>
      <c r="Q78" s="1117"/>
    </row>
    <row r="79" spans="2:20" ht="13.15" customHeight="1">
      <c r="B79" s="467"/>
      <c r="C79" s="485"/>
      <c r="D79" s="3225" t="s">
        <v>940</v>
      </c>
      <c r="E79" s="3226"/>
      <c r="F79" s="3226"/>
      <c r="G79" s="3226"/>
      <c r="H79" s="3226"/>
      <c r="I79" s="3226"/>
      <c r="J79" s="3226"/>
      <c r="K79" s="3226"/>
      <c r="L79" s="3226"/>
      <c r="M79" s="3226"/>
      <c r="N79" s="3226"/>
      <c r="O79" s="481"/>
      <c r="P79" s="485"/>
      <c r="Q79" s="1117"/>
    </row>
    <row r="80" spans="2:20" ht="13.15" customHeight="1">
      <c r="B80" s="467"/>
      <c r="C80" s="485"/>
      <c r="D80" s="1088" t="s">
        <v>1021</v>
      </c>
      <c r="E80" s="3239" t="s">
        <v>939</v>
      </c>
      <c r="F80" s="3226"/>
      <c r="G80" s="3226"/>
      <c r="H80" s="3226"/>
      <c r="I80" s="3226"/>
      <c r="J80" s="3226"/>
      <c r="K80" s="3226"/>
      <c r="L80" s="3226"/>
      <c r="M80" s="3226"/>
      <c r="N80" s="3226"/>
      <c r="O80" s="481"/>
      <c r="P80" s="485"/>
      <c r="Q80" s="1117"/>
    </row>
    <row r="81" spans="2:31" ht="25.5" customHeight="1">
      <c r="B81" s="467"/>
      <c r="C81" s="485"/>
      <c r="D81" s="1088" t="s">
        <v>1021</v>
      </c>
      <c r="E81" s="2385" t="s">
        <v>1230</v>
      </c>
      <c r="F81" s="2385"/>
      <c r="G81" s="2385"/>
      <c r="H81" s="2385"/>
      <c r="I81" s="2385"/>
      <c r="J81" s="2385"/>
      <c r="K81" s="2385"/>
      <c r="L81" s="2385"/>
      <c r="M81" s="2385"/>
      <c r="N81" s="2385"/>
      <c r="O81" s="481"/>
      <c r="P81" s="485"/>
      <c r="Q81" s="1117"/>
    </row>
    <row r="82" spans="2:31" ht="25.5" customHeight="1">
      <c r="B82" s="467"/>
      <c r="C82" s="485"/>
      <c r="D82" s="1088" t="s">
        <v>1021</v>
      </c>
      <c r="E82" s="2385" t="s">
        <v>1231</v>
      </c>
      <c r="F82" s="3255"/>
      <c r="G82" s="3255"/>
      <c r="H82" s="3255"/>
      <c r="I82" s="3255"/>
      <c r="J82" s="3255"/>
      <c r="K82" s="3255"/>
      <c r="L82" s="3255"/>
      <c r="M82" s="3255"/>
      <c r="N82" s="3256"/>
      <c r="O82" s="481"/>
      <c r="P82" s="485"/>
      <c r="Q82" s="1117"/>
    </row>
    <row r="83" spans="2:31" ht="40.15" customHeight="1">
      <c r="B83" s="467"/>
      <c r="C83" s="485"/>
      <c r="D83" s="1088" t="s">
        <v>1021</v>
      </c>
      <c r="E83" s="2817" t="s">
        <v>2105</v>
      </c>
      <c r="F83" s="2817"/>
      <c r="G83" s="2817"/>
      <c r="H83" s="2817"/>
      <c r="I83" s="2817"/>
      <c r="J83" s="2817"/>
      <c r="K83" s="2817"/>
      <c r="L83" s="2817"/>
      <c r="M83" s="2817"/>
      <c r="N83" s="2817"/>
      <c r="O83" s="481"/>
      <c r="P83" s="485"/>
      <c r="Q83" s="1117"/>
    </row>
    <row r="84" spans="2:31" ht="25.5" customHeight="1">
      <c r="B84" s="467"/>
      <c r="C84" s="485"/>
      <c r="D84" s="1088" t="s">
        <v>1021</v>
      </c>
      <c r="E84" s="2385" t="s">
        <v>187</v>
      </c>
      <c r="F84" s="2846"/>
      <c r="G84" s="2846"/>
      <c r="H84" s="2846"/>
      <c r="I84" s="2846"/>
      <c r="J84" s="2846"/>
      <c r="K84" s="2846"/>
      <c r="L84" s="2846"/>
      <c r="M84" s="2846"/>
      <c r="N84" s="3241"/>
      <c r="O84" s="481"/>
      <c r="P84" s="485"/>
      <c r="Q84" s="1117"/>
    </row>
    <row r="85" spans="2:31" ht="13.15" customHeight="1">
      <c r="B85" s="467"/>
      <c r="C85" s="485"/>
      <c r="D85" s="1088" t="s">
        <v>1021</v>
      </c>
      <c r="E85" s="2385" t="s">
        <v>1200</v>
      </c>
      <c r="F85" s="2846"/>
      <c r="G85" s="2846"/>
      <c r="H85" s="2846"/>
      <c r="I85" s="2846"/>
      <c r="J85" s="2846"/>
      <c r="K85" s="2846"/>
      <c r="L85" s="2846"/>
      <c r="M85" s="2846"/>
      <c r="N85" s="3241"/>
      <c r="O85" s="481"/>
      <c r="P85" s="485"/>
      <c r="Q85" s="1117"/>
    </row>
    <row r="86" spans="2:31">
      <c r="B86" s="467"/>
      <c r="C86" s="485"/>
      <c r="D86" s="1088" t="s">
        <v>1021</v>
      </c>
      <c r="E86" s="3254" t="s">
        <v>1237</v>
      </c>
      <c r="F86" s="3241"/>
      <c r="G86" s="3241"/>
      <c r="H86" s="3241"/>
      <c r="I86" s="3241"/>
      <c r="J86" s="3241"/>
      <c r="K86" s="3241"/>
      <c r="L86" s="3241"/>
      <c r="M86" s="3241"/>
      <c r="N86" s="3241"/>
      <c r="O86" s="481"/>
      <c r="P86" s="485"/>
      <c r="Q86" s="1117"/>
    </row>
    <row r="87" spans="2:31">
      <c r="B87" s="1124"/>
      <c r="C87" s="485"/>
      <c r="D87" s="485"/>
      <c r="E87" s="485"/>
      <c r="F87" s="485"/>
      <c r="G87" s="485"/>
      <c r="H87" s="485"/>
      <c r="I87" s="485"/>
      <c r="J87" s="485"/>
      <c r="K87" s="485"/>
      <c r="L87" s="485"/>
      <c r="M87" s="485"/>
      <c r="N87" s="485"/>
      <c r="O87" s="481"/>
      <c r="P87" s="485"/>
    </row>
    <row r="88" spans="2:31" ht="15">
      <c r="B88" s="467"/>
      <c r="C88" s="559"/>
      <c r="D88" s="1025"/>
      <c r="E88" s="3119" t="s">
        <v>756</v>
      </c>
      <c r="F88" s="2577"/>
      <c r="G88" s="2577"/>
      <c r="H88" s="2577"/>
      <c r="I88" s="2577"/>
      <c r="J88" s="2577"/>
      <c r="K88" s="2577"/>
      <c r="L88" s="2577"/>
      <c r="M88" s="2577"/>
      <c r="N88" s="2577"/>
      <c r="O88" s="481"/>
      <c r="P88" s="485"/>
      <c r="Q88" s="1117"/>
    </row>
    <row r="89" spans="2:31" ht="5.0999999999999996" customHeight="1">
      <c r="B89" s="467"/>
      <c r="C89" s="467"/>
      <c r="D89" s="467"/>
      <c r="E89" s="467"/>
      <c r="F89" s="467"/>
      <c r="G89" s="467"/>
      <c r="H89" s="467"/>
      <c r="I89" s="467"/>
      <c r="J89" s="467"/>
      <c r="K89" s="467"/>
      <c r="L89" s="467"/>
      <c r="M89" s="467"/>
      <c r="N89" s="467"/>
      <c r="O89" s="481"/>
      <c r="P89" s="485"/>
      <c r="Q89" s="1117"/>
    </row>
    <row r="90" spans="2:31" ht="13.15" customHeight="1">
      <c r="B90" s="467"/>
      <c r="C90" s="482"/>
      <c r="D90" s="482" t="s">
        <v>400</v>
      </c>
      <c r="E90" s="2576" t="s">
        <v>51</v>
      </c>
      <c r="F90" s="2577"/>
      <c r="G90" s="2577"/>
      <c r="H90" s="2577"/>
      <c r="I90" s="2577"/>
      <c r="J90" s="2577"/>
      <c r="K90" s="2577"/>
      <c r="L90" s="2577"/>
      <c r="M90" s="2577"/>
      <c r="N90" s="2577"/>
      <c r="O90" s="481"/>
      <c r="P90" s="485"/>
      <c r="Q90" s="1117"/>
    </row>
    <row r="91" spans="2:31" ht="13.15" customHeight="1">
      <c r="B91" s="467"/>
      <c r="C91" s="467"/>
      <c r="D91" s="1555"/>
      <c r="E91" s="3258" t="s">
        <v>761</v>
      </c>
      <c r="F91" s="2846"/>
      <c r="G91" s="2846"/>
      <c r="H91" s="2846"/>
      <c r="I91" s="2846"/>
      <c r="J91" s="2846"/>
      <c r="K91" s="2846"/>
      <c r="L91" s="2846"/>
      <c r="M91" s="2846"/>
      <c r="N91" s="2846"/>
      <c r="O91" s="481"/>
      <c r="P91" s="485"/>
      <c r="Q91" s="1117"/>
    </row>
    <row r="92" spans="2:31" ht="13.15" customHeight="1">
      <c r="B92" s="467"/>
      <c r="C92" s="485"/>
      <c r="D92" s="485"/>
      <c r="E92" s="3239" t="s">
        <v>758</v>
      </c>
      <c r="F92" s="3226"/>
      <c r="G92" s="3226"/>
      <c r="H92" s="3226"/>
      <c r="I92" s="3226"/>
      <c r="J92" s="3226"/>
      <c r="K92" s="3226"/>
      <c r="L92" s="3226"/>
      <c r="M92" s="3226"/>
      <c r="N92" s="3226"/>
      <c r="O92" s="481"/>
      <c r="P92" s="485"/>
      <c r="Q92" s="1117"/>
    </row>
    <row r="93" spans="2:31" ht="13.5" thickBot="1">
      <c r="B93" s="1124"/>
      <c r="C93" s="485"/>
      <c r="D93" s="485"/>
      <c r="E93" s="636"/>
      <c r="F93" s="637"/>
      <c r="G93" s="663" t="str">
        <f>EUconst_Unit</f>
        <v>Unit</v>
      </c>
      <c r="H93" s="578">
        <f t="shared" ref="H93:N93" si="11">H$393</f>
        <v>2024</v>
      </c>
      <c r="I93" s="697">
        <f t="shared" si="11"/>
        <v>2025</v>
      </c>
      <c r="J93" s="1489">
        <f t="shared" si="11"/>
        <v>2026</v>
      </c>
      <c r="K93" s="1490">
        <f t="shared" si="11"/>
        <v>2027</v>
      </c>
      <c r="L93" s="1490">
        <f t="shared" si="11"/>
        <v>2028</v>
      </c>
      <c r="M93" s="1490">
        <f t="shared" si="11"/>
        <v>2029</v>
      </c>
      <c r="N93" s="1490">
        <f t="shared" si="11"/>
        <v>2030</v>
      </c>
      <c r="O93" s="481"/>
      <c r="P93" s="485"/>
      <c r="T93" s="1137" t="s">
        <v>1117</v>
      </c>
    </row>
    <row r="94" spans="2:31" ht="12.6" customHeight="1">
      <c r="B94" s="1124"/>
      <c r="C94" s="485"/>
      <c r="D94" s="485"/>
      <c r="E94" s="2792" t="s">
        <v>52</v>
      </c>
      <c r="F94" s="3221"/>
      <c r="G94" s="730" t="str">
        <f>EUconst_TJpa</f>
        <v>TJ / year</v>
      </c>
      <c r="H94" s="1479" t="str">
        <f>c_ALR2025!M262</f>
        <v/>
      </c>
      <c r="I94" s="1530"/>
      <c r="J94" s="1491"/>
      <c r="K94" s="1492"/>
      <c r="L94" s="1492"/>
      <c r="M94" s="1492"/>
      <c r="N94" s="1492"/>
      <c r="O94" s="481"/>
      <c r="P94" s="10"/>
      <c r="T94" s="1613" t="b">
        <f>AND(M69&lt;&gt;"",M69=FALSE)</f>
        <v>0</v>
      </c>
      <c r="AD94" s="1161" t="s">
        <v>1954</v>
      </c>
      <c r="AE94" s="1303" t="str">
        <f>IF(AND(CNTR_HasEntries_A_I,COUNTIFS($V$16:$AB$16,FALSE,H94:N94,"")&gt;0,$T$94=FALSE),2,"")</f>
        <v/>
      </c>
    </row>
    <row r="95" spans="2:31" ht="5.0999999999999996" customHeight="1">
      <c r="B95" s="467"/>
      <c r="C95" s="467"/>
      <c r="D95" s="467"/>
      <c r="E95" s="467"/>
      <c r="F95" s="467"/>
      <c r="G95" s="467"/>
      <c r="H95" s="467"/>
      <c r="I95" s="467"/>
      <c r="J95" s="467"/>
      <c r="K95" s="467"/>
      <c r="L95" s="467"/>
      <c r="M95" s="467"/>
      <c r="N95" s="467"/>
      <c r="O95" s="481"/>
      <c r="P95" s="485"/>
      <c r="Q95" s="1117"/>
      <c r="T95" s="1556"/>
    </row>
    <row r="96" spans="2:31" ht="13.15" customHeight="1">
      <c r="B96" s="467"/>
      <c r="C96" s="482"/>
      <c r="D96" s="482" t="s">
        <v>876</v>
      </c>
      <c r="E96" s="2802" t="s">
        <v>2087</v>
      </c>
      <c r="F96" s="2802"/>
      <c r="G96" s="2802"/>
      <c r="H96" s="2802"/>
      <c r="I96" s="2802"/>
      <c r="J96" s="2802"/>
      <c r="K96" s="2802"/>
      <c r="L96" s="2802"/>
      <c r="M96" s="2802"/>
      <c r="N96" s="2802"/>
      <c r="O96" s="481"/>
      <c r="P96" s="485"/>
      <c r="Q96" s="1117"/>
      <c r="T96" s="1556"/>
    </row>
    <row r="97" spans="2:31" ht="12.6" customHeight="1">
      <c r="B97" s="467"/>
      <c r="C97" s="485"/>
      <c r="D97" s="485"/>
      <c r="E97" s="3058" t="s">
        <v>2208</v>
      </c>
      <c r="F97" s="3058"/>
      <c r="G97" s="3058"/>
      <c r="H97" s="3058"/>
      <c r="I97" s="3058"/>
      <c r="J97" s="3058"/>
      <c r="K97" s="3058"/>
      <c r="L97" s="3058"/>
      <c r="M97" s="3058"/>
      <c r="N97" s="3058"/>
      <c r="O97" s="481"/>
      <c r="P97" s="485"/>
      <c r="Q97" s="1117"/>
      <c r="T97" s="1556"/>
    </row>
    <row r="98" spans="2:31" ht="12.6" customHeight="1">
      <c r="B98" s="467"/>
      <c r="C98" s="485"/>
      <c r="D98" s="485"/>
      <c r="E98" s="3058" t="s">
        <v>1875</v>
      </c>
      <c r="F98" s="2388"/>
      <c r="G98" s="2388"/>
      <c r="H98" s="2388"/>
      <c r="I98" s="2388"/>
      <c r="J98" s="2388"/>
      <c r="K98" s="2388"/>
      <c r="L98" s="2388"/>
      <c r="M98" s="2388"/>
      <c r="N98" s="2388"/>
      <c r="O98" s="481"/>
      <c r="P98" s="485"/>
      <c r="Q98" s="1117"/>
      <c r="T98" s="1556"/>
    </row>
    <row r="99" spans="2:31" ht="13.15" customHeight="1">
      <c r="B99" s="1124"/>
      <c r="C99" s="485"/>
      <c r="D99" s="485"/>
      <c r="E99" s="2791" t="s">
        <v>54</v>
      </c>
      <c r="F99" s="3222"/>
      <c r="G99" s="663" t="str">
        <f>EUconst_Unit</f>
        <v>Unit</v>
      </c>
      <c r="H99" s="578">
        <f t="shared" ref="H99:N99" si="12">H$393</f>
        <v>2024</v>
      </c>
      <c r="I99" s="697">
        <f t="shared" si="12"/>
        <v>2025</v>
      </c>
      <c r="J99" s="1489">
        <f t="shared" si="12"/>
        <v>2026</v>
      </c>
      <c r="K99" s="1490">
        <f t="shared" si="12"/>
        <v>2027</v>
      </c>
      <c r="L99" s="1490">
        <f t="shared" si="12"/>
        <v>2028</v>
      </c>
      <c r="M99" s="1490">
        <f t="shared" si="12"/>
        <v>2029</v>
      </c>
      <c r="N99" s="1490">
        <f t="shared" si="12"/>
        <v>2030</v>
      </c>
      <c r="O99" s="481"/>
      <c r="P99" s="485"/>
      <c r="T99" s="1556"/>
    </row>
    <row r="100" spans="2:31">
      <c r="B100" s="1124"/>
      <c r="C100" s="561"/>
      <c r="D100" s="561" t="s">
        <v>6</v>
      </c>
      <c r="E100" s="3219" t="str">
        <f>c_ALR2025!E266</f>
        <v/>
      </c>
      <c r="F100" s="3220"/>
      <c r="G100" s="579" t="str">
        <f>EUconst_TJpa</f>
        <v>TJ / year</v>
      </c>
      <c r="H100" s="1552" t="str">
        <f>c_ALR2025!M266</f>
        <v/>
      </c>
      <c r="I100" s="1614"/>
      <c r="J100" s="1491"/>
      <c r="K100" s="1492"/>
      <c r="L100" s="1492"/>
      <c r="M100" s="1492"/>
      <c r="N100" s="1492"/>
      <c r="O100" s="481"/>
      <c r="P100" s="10"/>
      <c r="T100" s="1183" t="b">
        <f>T94</f>
        <v>0</v>
      </c>
      <c r="AD100" s="1161" t="s">
        <v>1954</v>
      </c>
      <c r="AE100" s="1303" t="str">
        <f>IF(AND(CNTR_HasEntries_A_I,E100&lt;&gt;"",COUNTIFS($V$16:$AB$16,FALSE,H100:N100,"")&gt;0),2,"")</f>
        <v/>
      </c>
    </row>
    <row r="101" spans="2:31">
      <c r="B101" s="1124"/>
      <c r="C101" s="561"/>
      <c r="D101" s="561" t="s">
        <v>7</v>
      </c>
      <c r="E101" s="3217" t="str">
        <f>c_ALR2025!E267</f>
        <v/>
      </c>
      <c r="F101" s="3217"/>
      <c r="G101" s="582" t="str">
        <f>EUconst_TJpa</f>
        <v>TJ / year</v>
      </c>
      <c r="H101" s="1557" t="str">
        <f>c_ALR2025!M267</f>
        <v/>
      </c>
      <c r="I101" s="1615"/>
      <c r="J101" s="1491"/>
      <c r="K101" s="1492"/>
      <c r="L101" s="1492"/>
      <c r="M101" s="1492"/>
      <c r="N101" s="1492"/>
      <c r="O101" s="481"/>
      <c r="P101" s="10"/>
      <c r="T101" s="1183" t="b">
        <f>T100</f>
        <v>0</v>
      </c>
      <c r="AD101" s="1161" t="s">
        <v>1954</v>
      </c>
      <c r="AE101" s="1303" t="str">
        <f>IF(AND(CNTR_HasEntries_A_I,E101&lt;&gt;"",COUNTIFS($V$16:$AB$16,FALSE,H101:N101,"")&gt;0),2,"")</f>
        <v/>
      </c>
    </row>
    <row r="102" spans="2:31">
      <c r="B102" s="1124"/>
      <c r="C102" s="561"/>
      <c r="D102" s="561" t="s">
        <v>8</v>
      </c>
      <c r="E102" s="3218" t="str">
        <f>c_ALR2025!E268</f>
        <v/>
      </c>
      <c r="F102" s="3218"/>
      <c r="G102" s="584" t="str">
        <f>EUconst_TJpa</f>
        <v>TJ / year</v>
      </c>
      <c r="H102" s="1558" t="str">
        <f>c_ALR2025!M268</f>
        <v/>
      </c>
      <c r="I102" s="1616"/>
      <c r="J102" s="1491"/>
      <c r="K102" s="1492"/>
      <c r="L102" s="1492"/>
      <c r="M102" s="1492"/>
      <c r="N102" s="1492"/>
      <c r="O102" s="481"/>
      <c r="P102" s="10"/>
      <c r="T102" s="1183" t="b">
        <f>T101</f>
        <v>0</v>
      </c>
      <c r="AD102" s="1161" t="s">
        <v>1954</v>
      </c>
      <c r="AE102" s="1303" t="str">
        <f>IF(AND(CNTR_HasEntries_A_I,E102&lt;&gt;"",COUNTIFS($V$16:$AB$16,FALSE,H102:N102,"")&gt;0),2,"")</f>
        <v/>
      </c>
    </row>
    <row r="103" spans="2:31">
      <c r="B103" s="1124"/>
      <c r="C103" s="561"/>
      <c r="D103" s="561" t="s">
        <v>18</v>
      </c>
      <c r="E103" s="1559" t="s">
        <v>627</v>
      </c>
      <c r="F103" s="1559"/>
      <c r="G103" s="1506" t="str">
        <f>EUconst_TJpa</f>
        <v>TJ / year</v>
      </c>
      <c r="H103" s="668" t="str">
        <f t="shared" ref="H103:N103" si="13">IF(COUNT(H100:H102)&gt;0,SUM(H100:H102),"")</f>
        <v/>
      </c>
      <c r="I103" s="1021" t="str">
        <f t="shared" si="13"/>
        <v/>
      </c>
      <c r="J103" s="1491" t="str">
        <f t="shared" si="13"/>
        <v/>
      </c>
      <c r="K103" s="1492" t="str">
        <f t="shared" si="13"/>
        <v/>
      </c>
      <c r="L103" s="1492" t="str">
        <f t="shared" si="13"/>
        <v/>
      </c>
      <c r="M103" s="1492" t="str">
        <f t="shared" si="13"/>
        <v/>
      </c>
      <c r="N103" s="1492" t="str">
        <f t="shared" si="13"/>
        <v/>
      </c>
      <c r="O103" s="481"/>
      <c r="P103" s="485"/>
      <c r="T103" s="1556"/>
    </row>
    <row r="104" spans="2:31" ht="5.0999999999999996" customHeight="1">
      <c r="B104" s="467"/>
      <c r="C104" s="467"/>
      <c r="D104" s="467"/>
      <c r="E104" s="467"/>
      <c r="F104" s="467"/>
      <c r="G104" s="467"/>
      <c r="H104" s="467"/>
      <c r="I104" s="467"/>
      <c r="J104" s="467"/>
      <c r="K104" s="467"/>
      <c r="L104" s="467"/>
      <c r="M104" s="467"/>
      <c r="N104" s="467"/>
      <c r="O104" s="481"/>
      <c r="P104" s="485"/>
      <c r="Q104" s="1117"/>
      <c r="T104" s="1556"/>
    </row>
    <row r="105" spans="2:31" ht="13.15" customHeight="1">
      <c r="B105" s="467"/>
      <c r="C105" s="482"/>
      <c r="D105" s="482" t="s">
        <v>48</v>
      </c>
      <c r="E105" s="2802" t="s">
        <v>2088</v>
      </c>
      <c r="F105" s="2802"/>
      <c r="G105" s="2802"/>
      <c r="H105" s="2802"/>
      <c r="I105" s="2802"/>
      <c r="J105" s="2802"/>
      <c r="K105" s="2802"/>
      <c r="L105" s="2802"/>
      <c r="M105" s="2802"/>
      <c r="N105" s="2802"/>
      <c r="O105" s="481"/>
      <c r="P105" s="485"/>
      <c r="Q105" s="1117"/>
      <c r="T105" s="1556"/>
    </row>
    <row r="106" spans="2:31" ht="12.6" customHeight="1">
      <c r="B106" s="467"/>
      <c r="C106" s="485"/>
      <c r="D106" s="485"/>
      <c r="E106" s="3058" t="s">
        <v>425</v>
      </c>
      <c r="F106" s="3058"/>
      <c r="G106" s="3058"/>
      <c r="H106" s="3058"/>
      <c r="I106" s="3058"/>
      <c r="J106" s="3058"/>
      <c r="K106" s="3058"/>
      <c r="L106" s="3058"/>
      <c r="M106" s="3058"/>
      <c r="N106" s="3058"/>
      <c r="O106" s="481"/>
      <c r="P106" s="485"/>
      <c r="Q106" s="1117"/>
      <c r="T106" s="1556"/>
    </row>
    <row r="107" spans="2:31" ht="12.6" customHeight="1">
      <c r="B107" s="467"/>
      <c r="C107" s="485"/>
      <c r="D107" s="485"/>
      <c r="E107" s="3058" t="s">
        <v>1876</v>
      </c>
      <c r="F107" s="3058"/>
      <c r="G107" s="3058"/>
      <c r="H107" s="3058"/>
      <c r="I107" s="3058"/>
      <c r="J107" s="3058"/>
      <c r="K107" s="3058"/>
      <c r="L107" s="3058"/>
      <c r="M107" s="3058"/>
      <c r="N107" s="3058"/>
      <c r="O107" s="481"/>
      <c r="P107" s="485"/>
      <c r="Q107" s="1117"/>
      <c r="T107" s="1556"/>
    </row>
    <row r="108" spans="2:31" ht="12.6" customHeight="1">
      <c r="B108" s="467"/>
      <c r="C108" s="485"/>
      <c r="D108" s="485"/>
      <c r="E108" s="3058" t="s">
        <v>1431</v>
      </c>
      <c r="F108" s="2388"/>
      <c r="G108" s="2388"/>
      <c r="H108" s="2388"/>
      <c r="I108" s="2388"/>
      <c r="J108" s="2388"/>
      <c r="K108" s="2388"/>
      <c r="L108" s="2388"/>
      <c r="M108" s="2388"/>
      <c r="N108" s="2388"/>
      <c r="O108" s="481"/>
      <c r="P108" s="485"/>
      <c r="Q108" s="1117"/>
      <c r="T108" s="1556"/>
    </row>
    <row r="109" spans="2:31" ht="12.6" customHeight="1">
      <c r="B109" s="467"/>
      <c r="C109" s="485"/>
      <c r="D109" s="485"/>
      <c r="E109" s="3058" t="s">
        <v>1875</v>
      </c>
      <c r="F109" s="2388"/>
      <c r="G109" s="2388"/>
      <c r="H109" s="2388"/>
      <c r="I109" s="2388"/>
      <c r="J109" s="2388"/>
      <c r="K109" s="2388"/>
      <c r="L109" s="2388"/>
      <c r="M109" s="2388"/>
      <c r="N109" s="2388"/>
      <c r="O109" s="481"/>
      <c r="P109" s="485"/>
      <c r="Q109" s="1117"/>
      <c r="T109" s="1556"/>
    </row>
    <row r="110" spans="2:31" ht="13.15" customHeight="1">
      <c r="B110" s="1124"/>
      <c r="C110" s="485"/>
      <c r="D110" s="485"/>
      <c r="E110" s="2791" t="s">
        <v>524</v>
      </c>
      <c r="F110" s="3222"/>
      <c r="G110" s="663" t="str">
        <f>EUconst_Unit</f>
        <v>Unit</v>
      </c>
      <c r="H110" s="578">
        <f t="shared" ref="H110:N110" si="14">H$393</f>
        <v>2024</v>
      </c>
      <c r="I110" s="697">
        <f t="shared" si="14"/>
        <v>2025</v>
      </c>
      <c r="J110" s="1489">
        <f t="shared" si="14"/>
        <v>2026</v>
      </c>
      <c r="K110" s="1490">
        <f t="shared" si="14"/>
        <v>2027</v>
      </c>
      <c r="L110" s="1490">
        <f t="shared" si="14"/>
        <v>2028</v>
      </c>
      <c r="M110" s="1490">
        <f t="shared" si="14"/>
        <v>2029</v>
      </c>
      <c r="N110" s="1490">
        <f t="shared" si="14"/>
        <v>2030</v>
      </c>
      <c r="O110" s="481"/>
      <c r="P110" s="485"/>
      <c r="T110" s="1556"/>
    </row>
    <row r="111" spans="2:31">
      <c r="B111" s="1124"/>
      <c r="C111" s="561"/>
      <c r="D111" s="561" t="s">
        <v>6</v>
      </c>
      <c r="E111" s="3219" t="str">
        <f>c_ALR2025!E273</f>
        <v/>
      </c>
      <c r="F111" s="3220"/>
      <c r="G111" s="579" t="str">
        <f>EUconst_TJpa</f>
        <v>TJ / year</v>
      </c>
      <c r="H111" s="1552" t="str">
        <f>c_ALR2025!M273</f>
        <v/>
      </c>
      <c r="I111" s="1614"/>
      <c r="J111" s="1491"/>
      <c r="K111" s="1492"/>
      <c r="L111" s="1492"/>
      <c r="M111" s="1492"/>
      <c r="N111" s="1492"/>
      <c r="O111" s="481"/>
      <c r="P111" s="10"/>
      <c r="T111" s="1183" t="b">
        <f>T102</f>
        <v>0</v>
      </c>
      <c r="AD111" s="1161" t="s">
        <v>1954</v>
      </c>
      <c r="AE111" s="1303" t="str">
        <f>IF(AND(CNTR_HasEntries_A_I,E111&lt;&gt;"",COUNTIFS($V$16:$AB$16,FALSE,H111:N111,"")&gt;0),2,"")</f>
        <v/>
      </c>
    </row>
    <row r="112" spans="2:31">
      <c r="B112" s="1124"/>
      <c r="C112" s="561"/>
      <c r="D112" s="561" t="s">
        <v>7</v>
      </c>
      <c r="E112" s="3217" t="str">
        <f>c_ALR2025!E274</f>
        <v/>
      </c>
      <c r="F112" s="3217"/>
      <c r="G112" s="582"/>
      <c r="H112" s="1557" t="str">
        <f>c_ALR2025!M274</f>
        <v/>
      </c>
      <c r="I112" s="1615"/>
      <c r="J112" s="1491"/>
      <c r="K112" s="1492"/>
      <c r="L112" s="1492"/>
      <c r="M112" s="1492"/>
      <c r="N112" s="1492"/>
      <c r="O112" s="481"/>
      <c r="P112" s="10"/>
      <c r="T112" s="1183" t="b">
        <f>T111</f>
        <v>0</v>
      </c>
      <c r="AD112" s="1161" t="s">
        <v>1954</v>
      </c>
      <c r="AE112" s="1303" t="str">
        <f>IF(AND(CNTR_HasEntries_A_I,E112&lt;&gt;"",COUNTIFS($V$16:$AB$16,FALSE,H112:N112,"")&gt;0),2,"")</f>
        <v/>
      </c>
    </row>
    <row r="113" spans="2:31">
      <c r="B113" s="1124"/>
      <c r="C113" s="561"/>
      <c r="D113" s="561" t="s">
        <v>8</v>
      </c>
      <c r="E113" s="3218" t="str">
        <f>c_ALR2025!E275</f>
        <v/>
      </c>
      <c r="F113" s="3218"/>
      <c r="G113" s="584" t="str">
        <f>EUconst_TJpa</f>
        <v>TJ / year</v>
      </c>
      <c r="H113" s="1558" t="str">
        <f>c_ALR2025!M275</f>
        <v/>
      </c>
      <c r="I113" s="1616"/>
      <c r="J113" s="1491"/>
      <c r="K113" s="1492"/>
      <c r="L113" s="1492"/>
      <c r="M113" s="1492"/>
      <c r="N113" s="1492"/>
      <c r="O113" s="481"/>
      <c r="P113" s="10"/>
      <c r="T113" s="1183" t="b">
        <f>T112</f>
        <v>0</v>
      </c>
      <c r="AD113" s="1161" t="s">
        <v>1954</v>
      </c>
      <c r="AE113" s="1303" t="str">
        <f>IF(AND(CNTR_HasEntries_A_I,E113&lt;&gt;"",COUNTIFS($V$16:$AB$16,FALSE,H113:N113,"")&gt;0),2,"")</f>
        <v/>
      </c>
    </row>
    <row r="114" spans="2:31">
      <c r="B114" s="1124"/>
      <c r="C114" s="561"/>
      <c r="D114" s="561" t="s">
        <v>18</v>
      </c>
      <c r="E114" s="1559" t="s">
        <v>627</v>
      </c>
      <c r="F114" s="1559"/>
      <c r="G114" s="1506" t="str">
        <f>EUconst_TJpa</f>
        <v>TJ / year</v>
      </c>
      <c r="H114" s="668" t="str">
        <f t="shared" ref="H114:N114" si="15">IF(COUNT(H111:H113)&gt;0,SUM(H111:H113),"")</f>
        <v/>
      </c>
      <c r="I114" s="1021" t="str">
        <f t="shared" si="15"/>
        <v/>
      </c>
      <c r="J114" s="1491" t="str">
        <f t="shared" si="15"/>
        <v/>
      </c>
      <c r="K114" s="1492" t="str">
        <f t="shared" si="15"/>
        <v/>
      </c>
      <c r="L114" s="1492" t="str">
        <f t="shared" si="15"/>
        <v/>
      </c>
      <c r="M114" s="1492" t="str">
        <f t="shared" si="15"/>
        <v/>
      </c>
      <c r="N114" s="1492" t="str">
        <f t="shared" si="15"/>
        <v/>
      </c>
      <c r="O114" s="481"/>
      <c r="P114" s="485"/>
      <c r="T114" s="1556"/>
    </row>
    <row r="115" spans="2:31" ht="5.0999999999999996" customHeight="1">
      <c r="B115" s="467"/>
      <c r="C115" s="467"/>
      <c r="D115" s="467"/>
      <c r="E115" s="467"/>
      <c r="F115" s="467"/>
      <c r="G115" s="467"/>
      <c r="H115" s="467"/>
      <c r="I115" s="467"/>
      <c r="J115" s="467"/>
      <c r="K115" s="467"/>
      <c r="L115" s="467"/>
      <c r="M115" s="467"/>
      <c r="N115" s="467"/>
      <c r="O115" s="481"/>
      <c r="P115" s="485"/>
      <c r="Q115" s="1117"/>
      <c r="T115" s="1556"/>
    </row>
    <row r="116" spans="2:31" ht="13.15" customHeight="1">
      <c r="B116" s="467"/>
      <c r="C116" s="482"/>
      <c r="D116" s="482" t="s">
        <v>881</v>
      </c>
      <c r="E116" s="2802" t="s">
        <v>1170</v>
      </c>
      <c r="F116" s="2442"/>
      <c r="G116" s="2442"/>
      <c r="H116" s="2442"/>
      <c r="I116" s="2442"/>
      <c r="J116" s="2442"/>
      <c r="K116" s="2442"/>
      <c r="L116" s="2442"/>
      <c r="M116" s="2442"/>
      <c r="N116" s="2442"/>
      <c r="O116" s="481"/>
      <c r="P116" s="485"/>
      <c r="Q116" s="1117"/>
      <c r="T116" s="1556"/>
    </row>
    <row r="117" spans="2:31" ht="25.5" customHeight="1">
      <c r="B117" s="467"/>
      <c r="C117" s="485"/>
      <c r="D117" s="485"/>
      <c r="E117" s="3058" t="s">
        <v>1644</v>
      </c>
      <c r="F117" s="3058"/>
      <c r="G117" s="3058"/>
      <c r="H117" s="3058"/>
      <c r="I117" s="3058"/>
      <c r="J117" s="3058"/>
      <c r="K117" s="3058"/>
      <c r="L117" s="3058"/>
      <c r="M117" s="3058"/>
      <c r="N117" s="3058"/>
      <c r="O117" s="481"/>
      <c r="P117" s="485"/>
      <c r="Q117" s="1117"/>
      <c r="T117" s="1556"/>
    </row>
    <row r="118" spans="2:31">
      <c r="B118" s="1124"/>
      <c r="C118" s="485"/>
      <c r="D118" s="485"/>
      <c r="E118" s="636"/>
      <c r="F118" s="637"/>
      <c r="G118" s="663" t="str">
        <f>EUconst_Unit</f>
        <v>Unit</v>
      </c>
      <c r="H118" s="578">
        <f t="shared" ref="H118:N118" si="16">H$393</f>
        <v>2024</v>
      </c>
      <c r="I118" s="697">
        <f t="shared" si="16"/>
        <v>2025</v>
      </c>
      <c r="J118" s="1489">
        <f t="shared" si="16"/>
        <v>2026</v>
      </c>
      <c r="K118" s="1490">
        <f t="shared" si="16"/>
        <v>2027</v>
      </c>
      <c r="L118" s="1490">
        <f t="shared" si="16"/>
        <v>2028</v>
      </c>
      <c r="M118" s="1490">
        <f t="shared" si="16"/>
        <v>2029</v>
      </c>
      <c r="N118" s="1490">
        <f t="shared" si="16"/>
        <v>2030</v>
      </c>
      <c r="O118" s="481"/>
      <c r="P118" s="485"/>
      <c r="T118" s="1556"/>
    </row>
    <row r="119" spans="2:31" ht="12.6" customHeight="1">
      <c r="B119" s="1124"/>
      <c r="C119" s="485"/>
      <c r="D119" s="485"/>
      <c r="E119" s="2792" t="s">
        <v>1171</v>
      </c>
      <c r="F119" s="3221"/>
      <c r="G119" s="730" t="str">
        <f>EUconst_TJpa</f>
        <v>TJ / year</v>
      </c>
      <c r="H119" s="1479" t="str">
        <f>c_ALR2025!M279</f>
        <v/>
      </c>
      <c r="I119" s="1530"/>
      <c r="J119" s="1491"/>
      <c r="K119" s="1492"/>
      <c r="L119" s="1492"/>
      <c r="M119" s="1492"/>
      <c r="N119" s="1492"/>
      <c r="O119" s="481"/>
      <c r="P119" s="10"/>
      <c r="T119" s="1183" t="b">
        <f>T113</f>
        <v>0</v>
      </c>
      <c r="AD119" s="1161" t="s">
        <v>1954</v>
      </c>
      <c r="AE119" s="1303" t="str">
        <f>IF(AND(CNTR_HasEntries_A_I,COUNTIFS($V$16:$AB$16,FALSE,H119:N119,"")&gt;0,$T$94=FALSE),2,"")</f>
        <v/>
      </c>
    </row>
    <row r="120" spans="2:31" ht="5.0999999999999996" customHeight="1">
      <c r="B120" s="467"/>
      <c r="C120" s="467"/>
      <c r="D120" s="467"/>
      <c r="E120" s="467"/>
      <c r="F120" s="467"/>
      <c r="G120" s="467"/>
      <c r="H120" s="467"/>
      <c r="I120" s="467"/>
      <c r="J120" s="467"/>
      <c r="K120" s="467"/>
      <c r="L120" s="467"/>
      <c r="M120" s="467"/>
      <c r="N120" s="467"/>
      <c r="O120" s="481"/>
      <c r="P120" s="485"/>
      <c r="Q120" s="1117"/>
      <c r="T120" s="1556"/>
    </row>
    <row r="121" spans="2:31" ht="13.15" customHeight="1">
      <c r="B121" s="467"/>
      <c r="C121" s="482"/>
      <c r="D121" s="482" t="s">
        <v>57</v>
      </c>
      <c r="E121" s="2791" t="s">
        <v>56</v>
      </c>
      <c r="F121" s="3222"/>
      <c r="G121" s="3222"/>
      <c r="H121" s="3222"/>
      <c r="I121" s="3222"/>
      <c r="J121" s="2442"/>
      <c r="K121" s="2442"/>
      <c r="L121" s="2442"/>
      <c r="M121" s="2442"/>
      <c r="N121" s="2442"/>
      <c r="O121" s="481"/>
      <c r="P121" s="485"/>
      <c r="Q121" s="1117"/>
      <c r="T121" s="1556"/>
    </row>
    <row r="122" spans="2:31" ht="12.6" customHeight="1">
      <c r="B122" s="1124"/>
      <c r="C122" s="485"/>
      <c r="D122" s="485"/>
      <c r="E122" s="2792" t="s">
        <v>55</v>
      </c>
      <c r="F122" s="3221"/>
      <c r="G122" s="1506" t="str">
        <f>EUconst_TJpa</f>
        <v>TJ / year</v>
      </c>
      <c r="H122" s="668" t="str">
        <f t="shared" ref="H122:N122" si="17">IF(COUNT(H114,H103,H94)&gt;0,SUM(H94,H103,H114),"")</f>
        <v/>
      </c>
      <c r="I122" s="1021" t="str">
        <f t="shared" si="17"/>
        <v/>
      </c>
      <c r="J122" s="1491" t="str">
        <f t="shared" si="17"/>
        <v/>
      </c>
      <c r="K122" s="1492" t="str">
        <f t="shared" si="17"/>
        <v/>
      </c>
      <c r="L122" s="1492" t="str">
        <f t="shared" si="17"/>
        <v/>
      </c>
      <c r="M122" s="1492" t="str">
        <f t="shared" si="17"/>
        <v/>
      </c>
      <c r="N122" s="1492" t="str">
        <f t="shared" si="17"/>
        <v/>
      </c>
      <c r="O122" s="481"/>
      <c r="P122" s="485"/>
      <c r="T122" s="1556"/>
    </row>
    <row r="123" spans="2:31" ht="5.0999999999999996" customHeight="1">
      <c r="B123" s="467"/>
      <c r="C123" s="467"/>
      <c r="D123" s="467"/>
      <c r="E123" s="467"/>
      <c r="F123" s="467"/>
      <c r="G123" s="467"/>
      <c r="H123" s="467"/>
      <c r="I123" s="467"/>
      <c r="J123" s="467"/>
      <c r="K123" s="467"/>
      <c r="L123" s="467"/>
      <c r="M123" s="467"/>
      <c r="N123" s="467"/>
      <c r="O123" s="481"/>
      <c r="P123" s="485"/>
      <c r="Q123" s="1117"/>
      <c r="T123" s="1556"/>
    </row>
    <row r="124" spans="2:31" ht="13.15" customHeight="1">
      <c r="B124" s="467"/>
      <c r="C124" s="482"/>
      <c r="D124" s="482" t="s">
        <v>58</v>
      </c>
      <c r="E124" s="2802" t="s">
        <v>757</v>
      </c>
      <c r="F124" s="2442"/>
      <c r="G124" s="2442"/>
      <c r="H124" s="2442"/>
      <c r="I124" s="2442"/>
      <c r="J124" s="2442"/>
      <c r="K124" s="2442"/>
      <c r="L124" s="2442"/>
      <c r="M124" s="2442"/>
      <c r="N124" s="2442"/>
      <c r="O124" s="481"/>
      <c r="P124" s="485"/>
      <c r="Q124" s="1117"/>
      <c r="T124" s="1556"/>
    </row>
    <row r="125" spans="2:31" ht="12.6" customHeight="1">
      <c r="B125" s="467"/>
      <c r="C125" s="485"/>
      <c r="D125" s="485"/>
      <c r="E125" s="3058" t="s">
        <v>759</v>
      </c>
      <c r="F125" s="2388"/>
      <c r="G125" s="2388"/>
      <c r="H125" s="2388"/>
      <c r="I125" s="2388"/>
      <c r="J125" s="2388"/>
      <c r="K125" s="2388"/>
      <c r="L125" s="2388"/>
      <c r="M125" s="2388"/>
      <c r="N125" s="2388"/>
      <c r="O125" s="481"/>
      <c r="P125" s="485"/>
      <c r="Q125" s="1117"/>
      <c r="T125" s="1556"/>
    </row>
    <row r="126" spans="2:31" ht="12.6" customHeight="1">
      <c r="B126" s="467"/>
      <c r="C126" s="485"/>
      <c r="D126" s="485"/>
      <c r="E126" s="3058" t="s">
        <v>760</v>
      </c>
      <c r="F126" s="2388"/>
      <c r="G126" s="2388"/>
      <c r="H126" s="2388"/>
      <c r="I126" s="2388"/>
      <c r="J126" s="2388"/>
      <c r="K126" s="2388"/>
      <c r="L126" s="2388"/>
      <c r="M126" s="2388"/>
      <c r="N126" s="2388"/>
      <c r="O126" s="481"/>
      <c r="P126" s="485"/>
      <c r="Q126" s="1117"/>
      <c r="T126" s="1556"/>
    </row>
    <row r="127" spans="2:31" ht="5.0999999999999996" customHeight="1">
      <c r="B127" s="467"/>
      <c r="C127" s="467"/>
      <c r="D127" s="467"/>
      <c r="E127" s="467"/>
      <c r="F127" s="467"/>
      <c r="G127" s="467"/>
      <c r="H127" s="467"/>
      <c r="I127" s="467"/>
      <c r="J127" s="467"/>
      <c r="K127" s="467"/>
      <c r="L127" s="467"/>
      <c r="M127" s="467"/>
      <c r="N127" s="467"/>
      <c r="O127" s="481"/>
      <c r="P127" s="485"/>
      <c r="Q127" s="1117"/>
      <c r="T127" s="1556"/>
    </row>
    <row r="128" spans="2:31" ht="12.6" customHeight="1">
      <c r="B128" s="1124"/>
      <c r="C128" s="485"/>
      <c r="D128" s="485"/>
      <c r="E128" s="2792" t="s">
        <v>67</v>
      </c>
      <c r="F128" s="3221"/>
      <c r="G128" s="1506" t="s">
        <v>1022</v>
      </c>
      <c r="H128" s="32" t="str">
        <f t="shared" ref="H128:N128" si="18">IF(AND(COUNT(H94,H103,H114)&gt;0,H122&lt;&gt;0),SUM(H94,H103)/H122*100,"")</f>
        <v/>
      </c>
      <c r="I128" s="33" t="str">
        <f t="shared" si="18"/>
        <v/>
      </c>
      <c r="J128" s="34" t="str">
        <f t="shared" si="18"/>
        <v/>
      </c>
      <c r="K128" s="21" t="str">
        <f t="shared" si="18"/>
        <v/>
      </c>
      <c r="L128" s="21" t="str">
        <f t="shared" si="18"/>
        <v/>
      </c>
      <c r="M128" s="21" t="str">
        <f t="shared" si="18"/>
        <v/>
      </c>
      <c r="N128" s="21" t="str">
        <f t="shared" si="18"/>
        <v/>
      </c>
      <c r="O128" s="481"/>
      <c r="P128" s="485"/>
      <c r="T128" s="1556"/>
    </row>
    <row r="129" spans="2:31">
      <c r="B129" s="467"/>
      <c r="C129" s="467"/>
      <c r="D129" s="467"/>
      <c r="E129" s="467"/>
      <c r="F129" s="467"/>
      <c r="G129" s="467"/>
      <c r="H129" s="467"/>
      <c r="I129" s="467"/>
      <c r="J129" s="467"/>
      <c r="K129" s="467"/>
      <c r="L129" s="467"/>
      <c r="M129" s="467"/>
      <c r="N129" s="467"/>
      <c r="O129" s="481"/>
      <c r="P129" s="485"/>
      <c r="Q129" s="1117"/>
      <c r="T129" s="1556"/>
    </row>
    <row r="130" spans="2:31" ht="14.1" customHeight="1">
      <c r="B130" s="467"/>
      <c r="C130" s="1025"/>
      <c r="D130" s="1025"/>
      <c r="E130" s="3088" t="s">
        <v>1604</v>
      </c>
      <c r="F130" s="2442"/>
      <c r="G130" s="2442"/>
      <c r="H130" s="2442"/>
      <c r="I130" s="2442"/>
      <c r="J130" s="2442"/>
      <c r="K130" s="2442"/>
      <c r="L130" s="2442"/>
      <c r="M130" s="2442"/>
      <c r="N130" s="2442"/>
      <c r="O130" s="481"/>
      <c r="P130" s="485"/>
      <c r="Q130" s="1117"/>
      <c r="T130" s="1556"/>
    </row>
    <row r="131" spans="2:31" ht="12.6" customHeight="1">
      <c r="B131" s="467"/>
      <c r="C131" s="485"/>
      <c r="D131" s="485"/>
      <c r="E131" s="3058" t="s">
        <v>426</v>
      </c>
      <c r="F131" s="2388"/>
      <c r="G131" s="2388"/>
      <c r="H131" s="2388"/>
      <c r="I131" s="2388"/>
      <c r="J131" s="2388"/>
      <c r="K131" s="2388"/>
      <c r="L131" s="2388"/>
      <c r="M131" s="2388"/>
      <c r="N131" s="2388"/>
      <c r="O131" s="481"/>
      <c r="P131" s="485"/>
      <c r="Q131" s="1117"/>
      <c r="T131" s="1556"/>
    </row>
    <row r="132" spans="2:31" ht="12.6" customHeight="1">
      <c r="B132" s="467"/>
      <c r="C132" s="485"/>
      <c r="D132" s="485"/>
      <c r="E132" s="3058" t="s">
        <v>762</v>
      </c>
      <c r="F132" s="2388"/>
      <c r="G132" s="2388"/>
      <c r="H132" s="2388"/>
      <c r="I132" s="2388"/>
      <c r="J132" s="2388"/>
      <c r="K132" s="2388"/>
      <c r="L132" s="2388"/>
      <c r="M132" s="2388"/>
      <c r="N132" s="2388"/>
      <c r="O132" s="481"/>
      <c r="P132" s="485"/>
      <c r="Q132" s="1117"/>
      <c r="T132" s="1556"/>
    </row>
    <row r="133" spans="2:31" ht="12.6" customHeight="1">
      <c r="B133" s="467"/>
      <c r="C133" s="485"/>
      <c r="D133" s="485"/>
      <c r="E133" s="3058" t="s">
        <v>763</v>
      </c>
      <c r="F133" s="2388"/>
      <c r="G133" s="2388"/>
      <c r="H133" s="2388"/>
      <c r="I133" s="2388"/>
      <c r="J133" s="2388"/>
      <c r="K133" s="2388"/>
      <c r="L133" s="2388"/>
      <c r="M133" s="2388"/>
      <c r="N133" s="2388"/>
      <c r="O133" s="481"/>
      <c r="P133" s="485"/>
      <c r="Q133" s="1117"/>
      <c r="T133" s="1556"/>
    </row>
    <row r="134" spans="2:31" ht="5.0999999999999996" customHeight="1">
      <c r="B134" s="467"/>
      <c r="C134" s="467"/>
      <c r="D134" s="467"/>
      <c r="E134" s="467"/>
      <c r="F134" s="467"/>
      <c r="G134" s="467"/>
      <c r="H134" s="467"/>
      <c r="I134" s="467"/>
      <c r="J134" s="467"/>
      <c r="K134" s="467"/>
      <c r="L134" s="467"/>
      <c r="M134" s="467"/>
      <c r="N134" s="467"/>
      <c r="O134" s="481"/>
      <c r="P134" s="485"/>
      <c r="Q134" s="1117"/>
      <c r="T134" s="1556"/>
    </row>
    <row r="135" spans="2:31" ht="13.15" customHeight="1">
      <c r="B135" s="467"/>
      <c r="C135" s="482"/>
      <c r="D135" s="482" t="s">
        <v>266</v>
      </c>
      <c r="E135" s="2802" t="s">
        <v>69</v>
      </c>
      <c r="F135" s="2442"/>
      <c r="G135" s="2442"/>
      <c r="H135" s="2442"/>
      <c r="I135" s="2442"/>
      <c r="J135" s="2442"/>
      <c r="K135" s="2442"/>
      <c r="L135" s="2442"/>
      <c r="M135" s="2442"/>
      <c r="N135" s="2442"/>
      <c r="O135" s="481"/>
      <c r="P135" s="485"/>
      <c r="Q135" s="1117"/>
      <c r="T135" s="1556"/>
    </row>
    <row r="136" spans="2:31" ht="12.6" customHeight="1">
      <c r="B136" s="467"/>
      <c r="C136" s="485"/>
      <c r="D136" s="485"/>
      <c r="E136" s="3058" t="s">
        <v>1201</v>
      </c>
      <c r="F136" s="2388"/>
      <c r="G136" s="2388"/>
      <c r="H136" s="2388"/>
      <c r="I136" s="2388"/>
      <c r="J136" s="2388"/>
      <c r="K136" s="2388"/>
      <c r="L136" s="2388"/>
      <c r="M136" s="2388"/>
      <c r="N136" s="2388"/>
      <c r="O136" s="481"/>
      <c r="P136" s="485"/>
      <c r="Q136" s="1117"/>
      <c r="T136" s="1556"/>
    </row>
    <row r="137" spans="2:31" ht="25.5" customHeight="1">
      <c r="B137" s="467"/>
      <c r="C137" s="485"/>
      <c r="D137" s="485"/>
      <c r="E137" s="3058" t="s">
        <v>60</v>
      </c>
      <c r="F137" s="2388"/>
      <c r="G137" s="2388"/>
      <c r="H137" s="2388"/>
      <c r="I137" s="2388"/>
      <c r="J137" s="2388"/>
      <c r="K137" s="2388"/>
      <c r="L137" s="2388"/>
      <c r="M137" s="2388"/>
      <c r="N137" s="2388"/>
      <c r="O137" s="481"/>
      <c r="P137" s="485"/>
      <c r="Q137" s="1117"/>
      <c r="T137" s="1556"/>
    </row>
    <row r="138" spans="2:31">
      <c r="B138" s="1124"/>
      <c r="C138" s="485"/>
      <c r="D138" s="485"/>
      <c r="E138" s="636"/>
      <c r="F138" s="637"/>
      <c r="G138" s="663" t="str">
        <f>EUconst_Unit</f>
        <v>Unit</v>
      </c>
      <c r="H138" s="578">
        <f t="shared" ref="H138:N138" si="19">H$393</f>
        <v>2024</v>
      </c>
      <c r="I138" s="697">
        <f t="shared" si="19"/>
        <v>2025</v>
      </c>
      <c r="J138" s="1489">
        <f t="shared" si="19"/>
        <v>2026</v>
      </c>
      <c r="K138" s="1490">
        <f t="shared" si="19"/>
        <v>2027</v>
      </c>
      <c r="L138" s="1490">
        <f t="shared" si="19"/>
        <v>2028</v>
      </c>
      <c r="M138" s="1490">
        <f t="shared" si="19"/>
        <v>2029</v>
      </c>
      <c r="N138" s="1490">
        <f t="shared" si="19"/>
        <v>2030</v>
      </c>
      <c r="O138" s="481"/>
      <c r="P138" s="485"/>
      <c r="T138" s="1556"/>
    </row>
    <row r="139" spans="2:31" ht="12.6" customHeight="1">
      <c r="B139" s="1124"/>
      <c r="C139" s="561"/>
      <c r="D139" s="561" t="s">
        <v>6</v>
      </c>
      <c r="E139" s="2792" t="s">
        <v>53</v>
      </c>
      <c r="F139" s="3221"/>
      <c r="G139" s="1506" t="str">
        <f>EUconst_TJpa</f>
        <v>TJ / year</v>
      </c>
      <c r="H139" s="1479" t="str">
        <f>c_ALR2025!M289</f>
        <v/>
      </c>
      <c r="I139" s="1530"/>
      <c r="J139" s="1491"/>
      <c r="K139" s="1492"/>
      <c r="L139" s="1492"/>
      <c r="M139" s="1492"/>
      <c r="N139" s="1492"/>
      <c r="O139" s="481"/>
      <c r="P139" s="10"/>
      <c r="T139" s="1183" t="b">
        <f>T119</f>
        <v>0</v>
      </c>
      <c r="AD139" s="1161" t="s">
        <v>1954</v>
      </c>
      <c r="AE139" s="1303" t="str">
        <f>IF(AND(CNTR_HasEntries_A_I,COUNTIFS($V$16:$AB$16,FALSE,H139:N139,"")&gt;0,$T$94=FALSE),2,"")</f>
        <v/>
      </c>
    </row>
    <row r="140" spans="2:31" ht="12.6" customHeight="1">
      <c r="B140" s="1124"/>
      <c r="C140" s="561"/>
      <c r="D140" s="561" t="s">
        <v>7</v>
      </c>
      <c r="E140" s="2792" t="s">
        <v>427</v>
      </c>
      <c r="F140" s="3221"/>
      <c r="G140" s="939" t="str">
        <f>EUconst_TJpa</f>
        <v>TJ / year</v>
      </c>
      <c r="H140" s="32" t="str">
        <f t="shared" ref="H140:N140" si="20">IF(ISNUMBER(H139),IF(ISNUMBER(H128),IF(H139*(1-H128/100)&lt;SUM(H114),H139*(1-H128/100),SUM(H114)),""),"")</f>
        <v/>
      </c>
      <c r="I140" s="33" t="str">
        <f t="shared" si="20"/>
        <v/>
      </c>
      <c r="J140" s="34" t="str">
        <f t="shared" si="20"/>
        <v/>
      </c>
      <c r="K140" s="21" t="str">
        <f t="shared" si="20"/>
        <v/>
      </c>
      <c r="L140" s="21" t="str">
        <f t="shared" si="20"/>
        <v/>
      </c>
      <c r="M140" s="21" t="str">
        <f t="shared" si="20"/>
        <v/>
      </c>
      <c r="N140" s="21" t="str">
        <f t="shared" si="20"/>
        <v/>
      </c>
      <c r="O140" s="481"/>
      <c r="P140" s="485"/>
      <c r="T140" s="1556"/>
    </row>
    <row r="141" spans="2:31" ht="12.6" customHeight="1">
      <c r="B141" s="1124"/>
      <c r="C141" s="561"/>
      <c r="D141" s="561" t="s">
        <v>8</v>
      </c>
      <c r="E141" s="2792" t="s">
        <v>428</v>
      </c>
      <c r="F141" s="3221"/>
      <c r="G141" s="939" t="str">
        <f>EUconst_TJpa</f>
        <v>TJ / year</v>
      </c>
      <c r="H141" s="1479" t="str">
        <f>c_ALR2025!M291</f>
        <v/>
      </c>
      <c r="I141" s="1531"/>
      <c r="J141" s="1491"/>
      <c r="K141" s="1492"/>
      <c r="L141" s="1492"/>
      <c r="M141" s="1492"/>
      <c r="N141" s="1492"/>
      <c r="O141" s="481"/>
      <c r="P141" s="10"/>
      <c r="T141" s="1183" t="b">
        <f>T139</f>
        <v>0</v>
      </c>
    </row>
    <row r="142" spans="2:31" ht="5.0999999999999996" customHeight="1">
      <c r="B142" s="467"/>
      <c r="C142" s="467"/>
      <c r="D142" s="467"/>
      <c r="E142" s="467"/>
      <c r="F142" s="467"/>
      <c r="G142" s="467"/>
      <c r="H142" s="467"/>
      <c r="I142" s="467"/>
      <c r="J142" s="467"/>
      <c r="K142" s="467"/>
      <c r="L142" s="467"/>
      <c r="M142" s="467"/>
      <c r="N142" s="467"/>
      <c r="O142" s="481"/>
      <c r="P142" s="485"/>
      <c r="Q142" s="1117"/>
      <c r="T142" s="1556"/>
    </row>
    <row r="143" spans="2:31" ht="13.15" customHeight="1">
      <c r="B143" s="467"/>
      <c r="C143" s="482"/>
      <c r="D143" s="482" t="s">
        <v>269</v>
      </c>
      <c r="E143" s="2802" t="s">
        <v>647</v>
      </c>
      <c r="F143" s="2442"/>
      <c r="G143" s="2442"/>
      <c r="H143" s="2442"/>
      <c r="I143" s="2442"/>
      <c r="J143" s="2442"/>
      <c r="K143" s="2442"/>
      <c r="L143" s="2442"/>
      <c r="M143" s="2442"/>
      <c r="N143" s="2442"/>
      <c r="O143" s="481"/>
      <c r="P143" s="485"/>
      <c r="Q143" s="1117"/>
      <c r="T143" s="1556"/>
    </row>
    <row r="144" spans="2:31" ht="25.5" customHeight="1">
      <c r="B144" s="467"/>
      <c r="C144" s="485"/>
      <c r="D144" s="485"/>
      <c r="E144" s="3058" t="s">
        <v>1432</v>
      </c>
      <c r="F144" s="2388"/>
      <c r="G144" s="2388"/>
      <c r="H144" s="2388"/>
      <c r="I144" s="2388"/>
      <c r="J144" s="2388"/>
      <c r="K144" s="2388"/>
      <c r="L144" s="2388"/>
      <c r="M144" s="2388"/>
      <c r="N144" s="2388"/>
      <c r="O144" s="481"/>
      <c r="P144" s="485"/>
      <c r="Q144" s="1117"/>
      <c r="T144" s="1556"/>
    </row>
    <row r="145" spans="2:31" ht="12.6" customHeight="1">
      <c r="B145" s="467"/>
      <c r="C145" s="485"/>
      <c r="D145" s="485"/>
      <c r="E145" s="3058" t="s">
        <v>2209</v>
      </c>
      <c r="F145" s="2388"/>
      <c r="G145" s="2388"/>
      <c r="H145" s="2388"/>
      <c r="I145" s="2388"/>
      <c r="J145" s="2388"/>
      <c r="K145" s="2388"/>
      <c r="L145" s="2388"/>
      <c r="M145" s="2388"/>
      <c r="N145" s="2388"/>
      <c r="O145" s="481"/>
      <c r="P145" s="485"/>
      <c r="Q145" s="1117"/>
      <c r="T145" s="1556"/>
    </row>
    <row r="146" spans="2:31" ht="13.5" thickBot="1">
      <c r="B146" s="1124"/>
      <c r="C146" s="485"/>
      <c r="D146" s="485"/>
      <c r="E146" s="636"/>
      <c r="F146" s="637"/>
      <c r="G146" s="663" t="str">
        <f>EUconst_Unit</f>
        <v>Unit</v>
      </c>
      <c r="H146" s="578">
        <f t="shared" ref="H146:N146" si="21">H$393</f>
        <v>2024</v>
      </c>
      <c r="I146" s="697">
        <f t="shared" si="21"/>
        <v>2025</v>
      </c>
      <c r="J146" s="1489">
        <f t="shared" si="21"/>
        <v>2026</v>
      </c>
      <c r="K146" s="1490">
        <f t="shared" si="21"/>
        <v>2027</v>
      </c>
      <c r="L146" s="1490">
        <f t="shared" si="21"/>
        <v>2028</v>
      </c>
      <c r="M146" s="1490">
        <f t="shared" si="21"/>
        <v>2029</v>
      </c>
      <c r="N146" s="1490">
        <f t="shared" si="21"/>
        <v>2030</v>
      </c>
      <c r="O146" s="481"/>
      <c r="P146" s="485"/>
      <c r="T146" s="1535"/>
    </row>
    <row r="147" spans="2:31" ht="12.75" customHeight="1">
      <c r="B147" s="1124"/>
      <c r="C147" s="485"/>
      <c r="D147" s="561" t="s">
        <v>6</v>
      </c>
      <c r="E147" s="3227" t="str">
        <f t="shared" ref="E147:E156" si="22">IF(INDEX(CNTR_SubInstListIsProdBM,Q147),INDEX(CNTR_SubInstListNames,Q147),"")</f>
        <v/>
      </c>
      <c r="F147" s="3228"/>
      <c r="G147" s="1560" t="str">
        <f t="shared" ref="G147:G157" si="23">EUconst_TJpa</f>
        <v>TJ / year</v>
      </c>
      <c r="H147" s="1552" t="str">
        <f>c_ALR2025!M295</f>
        <v/>
      </c>
      <c r="I147" s="1614"/>
      <c r="J147" s="1491"/>
      <c r="K147" s="1492"/>
      <c r="L147" s="1492"/>
      <c r="M147" s="1492"/>
      <c r="N147" s="1492"/>
      <c r="O147" s="481"/>
      <c r="P147" s="10"/>
      <c r="Q147" s="1561">
        <v>1</v>
      </c>
      <c r="T147" s="1613" t="b">
        <f t="shared" ref="T147:T156" si="24">IF(CNTR_ExistSubInstEntries,OR(E147="",$T$141),FALSE)</f>
        <v>0</v>
      </c>
      <c r="AD147" s="1161" t="s">
        <v>1954</v>
      </c>
      <c r="AE147" s="1303" t="str">
        <f t="shared" ref="AE147:AE156" si="25">IF(AND(CNTR_HasEntries_A_I,T147=FALSE,COUNTIFS($V$16:$AB$16,FALSE,H147:N147,"")&gt;0),2,"")</f>
        <v/>
      </c>
    </row>
    <row r="148" spans="2:31">
      <c r="B148" s="1124"/>
      <c r="C148" s="485"/>
      <c r="D148" s="561" t="s">
        <v>7</v>
      </c>
      <c r="E148" s="3236" t="str">
        <f t="shared" si="22"/>
        <v/>
      </c>
      <c r="F148" s="3232"/>
      <c r="G148" s="1562" t="str">
        <f t="shared" si="23"/>
        <v>TJ / year</v>
      </c>
      <c r="H148" s="1552" t="str">
        <f>c_ALR2025!M296</f>
        <v/>
      </c>
      <c r="I148" s="1614"/>
      <c r="J148" s="1491"/>
      <c r="K148" s="1492"/>
      <c r="L148" s="1492"/>
      <c r="M148" s="1492"/>
      <c r="N148" s="1492"/>
      <c r="O148" s="481"/>
      <c r="P148" s="10"/>
      <c r="Q148" s="1318">
        <v>2</v>
      </c>
      <c r="T148" s="1617" t="b">
        <f t="shared" si="24"/>
        <v>0</v>
      </c>
      <c r="AD148" s="1161" t="s">
        <v>1954</v>
      </c>
      <c r="AE148" s="1303" t="str">
        <f t="shared" si="25"/>
        <v/>
      </c>
    </row>
    <row r="149" spans="2:31" ht="12.75" customHeight="1">
      <c r="B149" s="1124"/>
      <c r="C149" s="485"/>
      <c r="D149" s="561" t="s">
        <v>8</v>
      </c>
      <c r="E149" s="3236" t="str">
        <f t="shared" si="22"/>
        <v/>
      </c>
      <c r="F149" s="3232"/>
      <c r="G149" s="1562" t="str">
        <f t="shared" si="23"/>
        <v>TJ / year</v>
      </c>
      <c r="H149" s="1552" t="str">
        <f>c_ALR2025!M297</f>
        <v/>
      </c>
      <c r="I149" s="1614"/>
      <c r="J149" s="1491"/>
      <c r="K149" s="1492"/>
      <c r="L149" s="1492"/>
      <c r="M149" s="1492"/>
      <c r="N149" s="1492"/>
      <c r="O149" s="481"/>
      <c r="P149" s="10"/>
      <c r="Q149" s="1318">
        <v>3</v>
      </c>
      <c r="T149" s="1617" t="b">
        <f t="shared" si="24"/>
        <v>0</v>
      </c>
      <c r="AD149" s="1161" t="s">
        <v>1954</v>
      </c>
      <c r="AE149" s="1303" t="str">
        <f t="shared" si="25"/>
        <v/>
      </c>
    </row>
    <row r="150" spans="2:31">
      <c r="B150" s="1124"/>
      <c r="C150" s="485"/>
      <c r="D150" s="561" t="s">
        <v>18</v>
      </c>
      <c r="E150" s="3236" t="str">
        <f t="shared" si="22"/>
        <v/>
      </c>
      <c r="F150" s="3232"/>
      <c r="G150" s="1562" t="str">
        <f t="shared" si="23"/>
        <v>TJ / year</v>
      </c>
      <c r="H150" s="1552" t="str">
        <f>c_ALR2025!M298</f>
        <v/>
      </c>
      <c r="I150" s="1614"/>
      <c r="J150" s="1491"/>
      <c r="K150" s="1492"/>
      <c r="L150" s="1492"/>
      <c r="M150" s="1492"/>
      <c r="N150" s="1492"/>
      <c r="O150" s="481"/>
      <c r="P150" s="10"/>
      <c r="Q150" s="1318">
        <v>4</v>
      </c>
      <c r="T150" s="1617" t="b">
        <f t="shared" si="24"/>
        <v>0</v>
      </c>
      <c r="AD150" s="1161" t="s">
        <v>1954</v>
      </c>
      <c r="AE150" s="1303" t="str">
        <f t="shared" si="25"/>
        <v/>
      </c>
    </row>
    <row r="151" spans="2:31">
      <c r="B151" s="1124"/>
      <c r="C151" s="485"/>
      <c r="D151" s="561" t="s">
        <v>787</v>
      </c>
      <c r="E151" s="3236" t="str">
        <f t="shared" si="22"/>
        <v/>
      </c>
      <c r="F151" s="3232"/>
      <c r="G151" s="1562" t="str">
        <f t="shared" si="23"/>
        <v>TJ / year</v>
      </c>
      <c r="H151" s="1552" t="str">
        <f>c_ALR2025!M299</f>
        <v/>
      </c>
      <c r="I151" s="1614"/>
      <c r="J151" s="1491"/>
      <c r="K151" s="1492"/>
      <c r="L151" s="1492"/>
      <c r="M151" s="1492"/>
      <c r="N151" s="1492"/>
      <c r="O151" s="481"/>
      <c r="P151" s="10"/>
      <c r="Q151" s="1318">
        <v>5</v>
      </c>
      <c r="T151" s="1617" t="b">
        <f t="shared" si="24"/>
        <v>0</v>
      </c>
      <c r="AD151" s="1161" t="s">
        <v>1954</v>
      </c>
      <c r="AE151" s="1303" t="str">
        <f t="shared" si="25"/>
        <v/>
      </c>
    </row>
    <row r="152" spans="2:31">
      <c r="B152" s="1124"/>
      <c r="C152" s="485"/>
      <c r="D152" s="561" t="s">
        <v>788</v>
      </c>
      <c r="E152" s="3236" t="str">
        <f t="shared" si="22"/>
        <v/>
      </c>
      <c r="F152" s="3232"/>
      <c r="G152" s="1562" t="str">
        <f t="shared" si="23"/>
        <v>TJ / year</v>
      </c>
      <c r="H152" s="1552" t="str">
        <f>c_ALR2025!M300</f>
        <v/>
      </c>
      <c r="I152" s="1614"/>
      <c r="J152" s="1491"/>
      <c r="K152" s="1492"/>
      <c r="L152" s="1492"/>
      <c r="M152" s="1492"/>
      <c r="N152" s="1492"/>
      <c r="O152" s="481"/>
      <c r="P152" s="10"/>
      <c r="Q152" s="1318">
        <v>6</v>
      </c>
      <c r="T152" s="1617" t="b">
        <f t="shared" si="24"/>
        <v>0</v>
      </c>
      <c r="AD152" s="1161" t="s">
        <v>1954</v>
      </c>
      <c r="AE152" s="1303" t="str">
        <f t="shared" si="25"/>
        <v/>
      </c>
    </row>
    <row r="153" spans="2:31">
      <c r="B153" s="1124"/>
      <c r="C153" s="485"/>
      <c r="D153" s="561" t="s">
        <v>789</v>
      </c>
      <c r="E153" s="3236" t="str">
        <f t="shared" si="22"/>
        <v/>
      </c>
      <c r="F153" s="3232"/>
      <c r="G153" s="1562" t="str">
        <f t="shared" si="23"/>
        <v>TJ / year</v>
      </c>
      <c r="H153" s="1552" t="str">
        <f>c_ALR2025!M301</f>
        <v/>
      </c>
      <c r="I153" s="1614"/>
      <c r="J153" s="1491"/>
      <c r="K153" s="1492"/>
      <c r="L153" s="1492"/>
      <c r="M153" s="1492"/>
      <c r="N153" s="1492"/>
      <c r="O153" s="481"/>
      <c r="P153" s="10"/>
      <c r="Q153" s="1318">
        <v>7</v>
      </c>
      <c r="T153" s="1617" t="b">
        <f t="shared" si="24"/>
        <v>0</v>
      </c>
      <c r="AD153" s="1161" t="s">
        <v>1954</v>
      </c>
      <c r="AE153" s="1303" t="str">
        <f t="shared" si="25"/>
        <v/>
      </c>
    </row>
    <row r="154" spans="2:31">
      <c r="B154" s="1124"/>
      <c r="C154" s="485"/>
      <c r="D154" s="561" t="s">
        <v>790</v>
      </c>
      <c r="E154" s="3236" t="str">
        <f t="shared" si="22"/>
        <v/>
      </c>
      <c r="F154" s="3232"/>
      <c r="G154" s="1562" t="str">
        <f t="shared" si="23"/>
        <v>TJ / year</v>
      </c>
      <c r="H154" s="1552" t="str">
        <f>c_ALR2025!M302</f>
        <v/>
      </c>
      <c r="I154" s="1614"/>
      <c r="J154" s="1491"/>
      <c r="K154" s="1492"/>
      <c r="L154" s="1492"/>
      <c r="M154" s="1492"/>
      <c r="N154" s="1492"/>
      <c r="O154" s="481"/>
      <c r="P154" s="10"/>
      <c r="Q154" s="1318">
        <v>8</v>
      </c>
      <c r="T154" s="1617" t="b">
        <f t="shared" si="24"/>
        <v>0</v>
      </c>
      <c r="AD154" s="1161" t="s">
        <v>1954</v>
      </c>
      <c r="AE154" s="1303" t="str">
        <f t="shared" si="25"/>
        <v/>
      </c>
    </row>
    <row r="155" spans="2:31">
      <c r="B155" s="1124"/>
      <c r="C155" s="485"/>
      <c r="D155" s="561" t="s">
        <v>791</v>
      </c>
      <c r="E155" s="3236" t="str">
        <f t="shared" si="22"/>
        <v/>
      </c>
      <c r="F155" s="3232"/>
      <c r="G155" s="1562" t="str">
        <f t="shared" si="23"/>
        <v>TJ / year</v>
      </c>
      <c r="H155" s="1552" t="str">
        <f>c_ALR2025!M303</f>
        <v/>
      </c>
      <c r="I155" s="1614"/>
      <c r="J155" s="1491"/>
      <c r="K155" s="1492"/>
      <c r="L155" s="1492"/>
      <c r="M155" s="1492"/>
      <c r="N155" s="1492"/>
      <c r="O155" s="481"/>
      <c r="P155" s="10"/>
      <c r="Q155" s="1318">
        <v>9</v>
      </c>
      <c r="T155" s="1617" t="b">
        <f t="shared" si="24"/>
        <v>0</v>
      </c>
      <c r="AD155" s="1161" t="s">
        <v>1954</v>
      </c>
      <c r="AE155" s="1303" t="str">
        <f t="shared" si="25"/>
        <v/>
      </c>
    </row>
    <row r="156" spans="2:31" ht="13.5" thickBot="1">
      <c r="B156" s="1124"/>
      <c r="C156" s="485"/>
      <c r="D156" s="561" t="s">
        <v>64</v>
      </c>
      <c r="E156" s="3242" t="str">
        <f t="shared" si="22"/>
        <v/>
      </c>
      <c r="F156" s="3234"/>
      <c r="G156" s="1563" t="str">
        <f t="shared" si="23"/>
        <v>TJ / year</v>
      </c>
      <c r="H156" s="1552" t="str">
        <f>c_ALR2025!M304</f>
        <v/>
      </c>
      <c r="I156" s="1614"/>
      <c r="J156" s="1491"/>
      <c r="K156" s="1492"/>
      <c r="L156" s="1492"/>
      <c r="M156" s="1492"/>
      <c r="N156" s="1492"/>
      <c r="O156" s="481"/>
      <c r="P156" s="10"/>
      <c r="Q156" s="1278">
        <v>10</v>
      </c>
      <c r="T156" s="1618" t="b">
        <f t="shared" si="24"/>
        <v>0</v>
      </c>
      <c r="AD156" s="1161" t="s">
        <v>1954</v>
      </c>
      <c r="AE156" s="1303" t="str">
        <f t="shared" si="25"/>
        <v/>
      </c>
    </row>
    <row r="157" spans="2:31" ht="12.75" customHeight="1">
      <c r="B157" s="1124"/>
      <c r="C157" s="561"/>
      <c r="D157" s="561" t="s">
        <v>65</v>
      </c>
      <c r="E157" s="2792" t="s">
        <v>627</v>
      </c>
      <c r="F157" s="3221"/>
      <c r="G157" s="584" t="str">
        <f t="shared" si="23"/>
        <v>TJ / year</v>
      </c>
      <c r="H157" s="646" t="str">
        <f t="shared" ref="H157:N157" si="26">IF(COUNT(H147:H156)&gt;0,SUM(H147:H156),"")</f>
        <v/>
      </c>
      <c r="I157" s="949" t="str">
        <f t="shared" si="26"/>
        <v/>
      </c>
      <c r="J157" s="1491" t="str">
        <f t="shared" si="26"/>
        <v/>
      </c>
      <c r="K157" s="1492" t="str">
        <f t="shared" si="26"/>
        <v/>
      </c>
      <c r="L157" s="1492" t="str">
        <f t="shared" si="26"/>
        <v/>
      </c>
      <c r="M157" s="1492" t="str">
        <f t="shared" si="26"/>
        <v/>
      </c>
      <c r="N157" s="1492" t="str">
        <f t="shared" si="26"/>
        <v/>
      </c>
      <c r="O157" s="481"/>
      <c r="P157" s="485"/>
      <c r="T157" s="1556"/>
    </row>
    <row r="158" spans="2:31" ht="5.0999999999999996" customHeight="1">
      <c r="B158" s="467"/>
      <c r="C158" s="467"/>
      <c r="D158" s="467"/>
      <c r="E158" s="467"/>
      <c r="F158" s="467"/>
      <c r="G158" s="467"/>
      <c r="H158" s="467"/>
      <c r="I158" s="467"/>
      <c r="J158" s="467"/>
      <c r="K158" s="467"/>
      <c r="L158" s="467"/>
      <c r="M158" s="467"/>
      <c r="N158" s="467"/>
      <c r="O158" s="481"/>
      <c r="P158" s="485"/>
      <c r="Q158" s="1117"/>
      <c r="T158" s="1556"/>
    </row>
    <row r="159" spans="2:31" ht="12.6" customHeight="1">
      <c r="B159" s="1124"/>
      <c r="C159" s="485"/>
      <c r="D159" s="485"/>
      <c r="E159" s="2791" t="s">
        <v>562</v>
      </c>
      <c r="F159" s="3222"/>
      <c r="G159" s="3222"/>
      <c r="H159" s="3222"/>
      <c r="I159" s="3222"/>
      <c r="J159" s="2442"/>
      <c r="K159" s="2442"/>
      <c r="L159" s="2442"/>
      <c r="M159" s="2442"/>
      <c r="N159" s="2442"/>
      <c r="O159" s="481"/>
      <c r="P159" s="485"/>
      <c r="T159" s="1556"/>
    </row>
    <row r="160" spans="2:31" ht="12.6" customHeight="1">
      <c r="B160" s="1124"/>
      <c r="C160" s="561"/>
      <c r="D160" s="561" t="s">
        <v>66</v>
      </c>
      <c r="E160" s="2792" t="s">
        <v>427</v>
      </c>
      <c r="F160" s="3221"/>
      <c r="G160" s="939" t="str">
        <f>EUconst_TJpa</f>
        <v>TJ / year</v>
      </c>
      <c r="H160" s="32" t="str">
        <f>F_ProductBM!H3250</f>
        <v/>
      </c>
      <c r="I160" s="33" t="str">
        <f>F_ProductBM!I3250</f>
        <v/>
      </c>
      <c r="J160" s="34" t="str">
        <f>F_ProductBM!J3250</f>
        <v/>
      </c>
      <c r="K160" s="21" t="str">
        <f>F_ProductBM!K3250</f>
        <v/>
      </c>
      <c r="L160" s="21" t="str">
        <f>F_ProductBM!L3250</f>
        <v/>
      </c>
      <c r="M160" s="21" t="str">
        <f>F_ProductBM!M3250</f>
        <v/>
      </c>
      <c r="N160" s="21" t="str">
        <f>F_ProductBM!N3250</f>
        <v/>
      </c>
      <c r="O160" s="481"/>
      <c r="P160" s="485"/>
      <c r="T160" s="1556"/>
    </row>
    <row r="161" spans="2:16" ht="5.0999999999999996" customHeight="1">
      <c r="B161" s="467"/>
      <c r="C161" s="467"/>
      <c r="D161" s="467"/>
      <c r="E161" s="467"/>
      <c r="F161" s="467"/>
      <c r="G161" s="467"/>
      <c r="H161" s="467"/>
      <c r="I161" s="467"/>
      <c r="J161" s="467"/>
      <c r="K161" s="467"/>
      <c r="L161" s="467"/>
      <c r="M161" s="467"/>
      <c r="N161" s="467"/>
      <c r="O161" s="481"/>
      <c r="P161" s="485"/>
    </row>
    <row r="162" spans="2:16" ht="12.6" customHeight="1">
      <c r="B162" s="1124"/>
      <c r="C162" s="485"/>
      <c r="D162" s="485"/>
      <c r="E162" s="2802" t="s">
        <v>9</v>
      </c>
      <c r="F162" s="2442"/>
      <c r="G162" s="2442"/>
      <c r="H162" s="2442"/>
      <c r="I162" s="2442"/>
      <c r="J162" s="2442"/>
      <c r="K162" s="2442"/>
      <c r="L162" s="2442"/>
      <c r="M162" s="2442"/>
      <c r="N162" s="2442"/>
      <c r="O162" s="481"/>
      <c r="P162" s="485"/>
    </row>
    <row r="163" spans="2:16" ht="12.6" customHeight="1">
      <c r="B163" s="467"/>
      <c r="C163" s="485"/>
      <c r="D163" s="485"/>
      <c r="E163" s="3229" t="s">
        <v>947</v>
      </c>
      <c r="F163" s="2388"/>
      <c r="G163" s="2388"/>
      <c r="H163" s="2388"/>
      <c r="I163" s="2388"/>
      <c r="J163" s="2388"/>
      <c r="K163" s="2388"/>
      <c r="L163" s="2388"/>
      <c r="M163" s="2388"/>
      <c r="N163" s="2388"/>
      <c r="O163" s="481"/>
      <c r="P163" s="485"/>
    </row>
    <row r="164" spans="2:16" ht="12.6" customHeight="1">
      <c r="B164" s="467"/>
      <c r="C164" s="485"/>
      <c r="D164" s="485"/>
      <c r="E164" s="3229" t="s">
        <v>1471</v>
      </c>
      <c r="F164" s="2388"/>
      <c r="G164" s="2388"/>
      <c r="H164" s="2388"/>
      <c r="I164" s="2388"/>
      <c r="J164" s="2388"/>
      <c r="K164" s="2388"/>
      <c r="L164" s="2388"/>
      <c r="M164" s="2388"/>
      <c r="N164" s="2388"/>
      <c r="O164" s="481"/>
      <c r="P164" s="485"/>
    </row>
    <row r="165" spans="2:16" ht="5.0999999999999996" customHeight="1">
      <c r="B165" s="467"/>
      <c r="C165" s="670"/>
      <c r="D165" s="670"/>
      <c r="E165" s="467"/>
      <c r="F165" s="467"/>
      <c r="G165" s="467"/>
      <c r="H165" s="467"/>
      <c r="I165" s="467"/>
      <c r="J165" s="467"/>
      <c r="K165" s="467"/>
      <c r="L165" s="467"/>
      <c r="M165" s="467"/>
      <c r="N165" s="467"/>
      <c r="O165" s="481"/>
      <c r="P165" s="485"/>
    </row>
    <row r="166" spans="2:16" ht="12.6" customHeight="1">
      <c r="B166" s="1124"/>
      <c r="C166" s="485"/>
      <c r="D166" s="485"/>
      <c r="E166" s="2791" t="s">
        <v>191</v>
      </c>
      <c r="F166" s="3222"/>
      <c r="G166" s="3222"/>
      <c r="H166" s="3222"/>
      <c r="I166" s="3222"/>
      <c r="J166" s="2442"/>
      <c r="K166" s="2442"/>
      <c r="L166" s="2442"/>
      <c r="M166" s="2442"/>
      <c r="N166" s="2442"/>
      <c r="O166" s="481"/>
      <c r="P166" s="485"/>
    </row>
    <row r="167" spans="2:16" ht="12.6" customHeight="1">
      <c r="B167" s="1124"/>
      <c r="C167" s="561"/>
      <c r="D167" s="561" t="s">
        <v>1105</v>
      </c>
      <c r="E167" s="2792" t="s">
        <v>1242</v>
      </c>
      <c r="F167" s="3221"/>
      <c r="G167" s="1506" t="s">
        <v>1022</v>
      </c>
      <c r="H167" s="32" t="str">
        <f t="shared" ref="H167:N167" si="27">IF(AND(ISNUMBER(H157),H157&lt;&gt;0,ISNUMBER(H160)),H160/H157*100,"")</f>
        <v/>
      </c>
      <c r="I167" s="33" t="str">
        <f t="shared" si="27"/>
        <v/>
      </c>
      <c r="J167" s="34" t="str">
        <f t="shared" si="27"/>
        <v/>
      </c>
      <c r="K167" s="21" t="str">
        <f t="shared" si="27"/>
        <v/>
      </c>
      <c r="L167" s="21" t="str">
        <f t="shared" si="27"/>
        <v/>
      </c>
      <c r="M167" s="21" t="str">
        <f t="shared" si="27"/>
        <v/>
      </c>
      <c r="N167" s="21" t="str">
        <f t="shared" si="27"/>
        <v/>
      </c>
      <c r="O167" s="481"/>
      <c r="P167" s="485"/>
    </row>
    <row r="168" spans="2:16" ht="5.0999999999999996" customHeight="1">
      <c r="B168" s="467"/>
      <c r="C168" s="670"/>
      <c r="D168" s="670"/>
      <c r="E168" s="467"/>
      <c r="F168" s="467"/>
      <c r="G168" s="467"/>
      <c r="H168" s="467"/>
      <c r="I168" s="467"/>
      <c r="J168" s="467"/>
      <c r="K168" s="467"/>
      <c r="L168" s="467"/>
      <c r="M168" s="467"/>
      <c r="N168" s="467"/>
      <c r="O168" s="481"/>
      <c r="P168" s="485"/>
    </row>
    <row r="169" spans="2:16" ht="12.6" customHeight="1">
      <c r="B169" s="1124"/>
      <c r="C169" s="561"/>
      <c r="D169" s="561"/>
      <c r="E169" s="2791" t="s">
        <v>190</v>
      </c>
      <c r="F169" s="3222"/>
      <c r="G169" s="3222"/>
      <c r="H169" s="3222"/>
      <c r="I169" s="3222"/>
      <c r="J169" s="2442"/>
      <c r="K169" s="2442"/>
      <c r="L169" s="2442"/>
      <c r="M169" s="2442"/>
      <c r="N169" s="2442"/>
      <c r="O169" s="481"/>
      <c r="P169" s="485"/>
    </row>
    <row r="170" spans="2:16" ht="12.6" customHeight="1">
      <c r="B170" s="1124"/>
      <c r="C170" s="561"/>
      <c r="D170" s="561" t="s">
        <v>1106</v>
      </c>
      <c r="E170" s="2792" t="s">
        <v>1243</v>
      </c>
      <c r="F170" s="3221"/>
      <c r="G170" s="1506" t="s">
        <v>1022</v>
      </c>
      <c r="H170" s="32" t="str">
        <f t="shared" ref="H170:N170" si="28">IF(AND(ISNUMBER(H114),H114&lt;&gt;0,ISNUMBER(H160)),H160/H114*100,"")</f>
        <v/>
      </c>
      <c r="I170" s="33" t="str">
        <f t="shared" si="28"/>
        <v/>
      </c>
      <c r="J170" s="34" t="str">
        <f t="shared" si="28"/>
        <v/>
      </c>
      <c r="K170" s="21" t="str">
        <f t="shared" si="28"/>
        <v/>
      </c>
      <c r="L170" s="21" t="str">
        <f t="shared" si="28"/>
        <v/>
      </c>
      <c r="M170" s="21" t="str">
        <f t="shared" si="28"/>
        <v/>
      </c>
      <c r="N170" s="21" t="str">
        <f t="shared" si="28"/>
        <v/>
      </c>
      <c r="O170" s="481"/>
      <c r="P170" s="485"/>
    </row>
    <row r="171" spans="2:16">
      <c r="B171" s="1124"/>
      <c r="C171" s="485"/>
      <c r="D171" s="485"/>
      <c r="E171" s="485"/>
      <c r="F171" s="485"/>
      <c r="G171" s="485"/>
      <c r="H171" s="485"/>
      <c r="I171" s="485"/>
      <c r="J171" s="485"/>
      <c r="K171" s="485"/>
      <c r="L171" s="485"/>
      <c r="M171" s="485"/>
      <c r="N171" s="485"/>
      <c r="O171" s="481"/>
      <c r="P171" s="485"/>
    </row>
    <row r="172" spans="2:16" ht="13.15" customHeight="1">
      <c r="B172" s="1124"/>
      <c r="C172" s="482"/>
      <c r="D172" s="482" t="s">
        <v>271</v>
      </c>
      <c r="E172" s="2802" t="s">
        <v>264</v>
      </c>
      <c r="F172" s="2442"/>
      <c r="G172" s="2442"/>
      <c r="H172" s="2442"/>
      <c r="I172" s="2442"/>
      <c r="J172" s="2442"/>
      <c r="K172" s="2442"/>
      <c r="L172" s="2442"/>
      <c r="M172" s="2442"/>
      <c r="N172" s="2442"/>
      <c r="O172" s="481"/>
      <c r="P172" s="485"/>
    </row>
    <row r="173" spans="2:16" ht="12.6" customHeight="1">
      <c r="B173" s="467"/>
      <c r="C173" s="485"/>
      <c r="D173" s="485"/>
      <c r="E173" s="3058" t="s">
        <v>780</v>
      </c>
      <c r="F173" s="2388"/>
      <c r="G173" s="2388"/>
      <c r="H173" s="2388"/>
      <c r="I173" s="2388"/>
      <c r="J173" s="2388"/>
      <c r="K173" s="2388"/>
      <c r="L173" s="2388"/>
      <c r="M173" s="2388"/>
      <c r="N173" s="2388"/>
      <c r="O173" s="481"/>
      <c r="P173" s="485"/>
    </row>
    <row r="174" spans="2:16" ht="12.6" customHeight="1">
      <c r="B174" s="467"/>
      <c r="C174" s="485"/>
      <c r="D174" s="485"/>
      <c r="E174" s="3058" t="s">
        <v>2210</v>
      </c>
      <c r="F174" s="2388"/>
      <c r="G174" s="2388"/>
      <c r="H174" s="2388"/>
      <c r="I174" s="2388"/>
      <c r="J174" s="2388"/>
      <c r="K174" s="2388"/>
      <c r="L174" s="2388"/>
      <c r="M174" s="2388"/>
      <c r="N174" s="2388"/>
      <c r="O174" s="481"/>
      <c r="P174" s="485"/>
    </row>
    <row r="175" spans="2:16" ht="12.6" customHeight="1">
      <c r="B175" s="467"/>
      <c r="C175" s="485"/>
      <c r="D175" s="485"/>
      <c r="E175" s="3058" t="s">
        <v>1874</v>
      </c>
      <c r="F175" s="2388"/>
      <c r="G175" s="2388"/>
      <c r="H175" s="2388"/>
      <c r="I175" s="2388"/>
      <c r="J175" s="2388"/>
      <c r="K175" s="2388"/>
      <c r="L175" s="2388"/>
      <c r="M175" s="2388"/>
      <c r="N175" s="2388"/>
      <c r="O175" s="481"/>
      <c r="P175" s="485"/>
    </row>
    <row r="176" spans="2:16" ht="13.15" customHeight="1">
      <c r="B176" s="1124"/>
      <c r="C176" s="485"/>
      <c r="D176" s="485"/>
      <c r="E176" s="2791" t="s">
        <v>54</v>
      </c>
      <c r="F176" s="3222"/>
      <c r="G176" s="663" t="str">
        <f>EUconst_Unit</f>
        <v>Unit</v>
      </c>
      <c r="H176" s="671">
        <f t="shared" ref="H176:N176" si="29">H$393</f>
        <v>2024</v>
      </c>
      <c r="I176" s="1081">
        <f t="shared" si="29"/>
        <v>2025</v>
      </c>
      <c r="J176" s="1489">
        <f t="shared" si="29"/>
        <v>2026</v>
      </c>
      <c r="K176" s="1490">
        <f t="shared" si="29"/>
        <v>2027</v>
      </c>
      <c r="L176" s="1490">
        <f t="shared" si="29"/>
        <v>2028</v>
      </c>
      <c r="M176" s="1490">
        <f t="shared" si="29"/>
        <v>2029</v>
      </c>
      <c r="N176" s="1490">
        <f t="shared" si="29"/>
        <v>2030</v>
      </c>
      <c r="O176" s="481"/>
      <c r="P176" s="485"/>
    </row>
    <row r="177" spans="2:31">
      <c r="B177" s="1124"/>
      <c r="C177" s="561"/>
      <c r="D177" s="561" t="s">
        <v>6</v>
      </c>
      <c r="E177" s="3219" t="str">
        <f>c_ALR2025!E318</f>
        <v/>
      </c>
      <c r="F177" s="3220"/>
      <c r="G177" s="1564" t="str">
        <f t="shared" ref="G177:G182" si="30">EUconst_TJpa</f>
        <v>TJ / year</v>
      </c>
      <c r="H177" s="1565" t="str">
        <f>c_ALR2025!M318</f>
        <v/>
      </c>
      <c r="I177" s="1619"/>
      <c r="J177" s="1491"/>
      <c r="K177" s="1492"/>
      <c r="L177" s="1492"/>
      <c r="M177" s="1492"/>
      <c r="N177" s="1492"/>
      <c r="O177" s="481"/>
      <c r="P177" s="10"/>
      <c r="T177" s="1183" t="b">
        <f>T141</f>
        <v>0</v>
      </c>
      <c r="AD177" s="1161" t="s">
        <v>1954</v>
      </c>
      <c r="AE177" s="1303" t="str">
        <f>IF(AND(CNTR_HasEntries_A_I,E177&lt;&gt;"",COUNTIFS($V$16:$AB$16,FALSE,H177:N177,"")&gt;0),2,"")</f>
        <v/>
      </c>
    </row>
    <row r="178" spans="2:31">
      <c r="B178" s="1124"/>
      <c r="C178" s="561"/>
      <c r="D178" s="561" t="s">
        <v>7</v>
      </c>
      <c r="E178" s="3217" t="str">
        <f>c_ALR2025!E319</f>
        <v/>
      </c>
      <c r="F178" s="3217"/>
      <c r="G178" s="582" t="str">
        <f t="shared" si="30"/>
        <v>TJ / year</v>
      </c>
      <c r="H178" s="1557" t="str">
        <f>c_ALR2025!M319</f>
        <v/>
      </c>
      <c r="I178" s="1615"/>
      <c r="J178" s="1491"/>
      <c r="K178" s="1492"/>
      <c r="L178" s="1492"/>
      <c r="M178" s="1492"/>
      <c r="N178" s="1492"/>
      <c r="O178" s="481"/>
      <c r="P178" s="10"/>
      <c r="T178" s="1183" t="b">
        <f>T177</f>
        <v>0</v>
      </c>
      <c r="AD178" s="1161" t="s">
        <v>1954</v>
      </c>
      <c r="AE178" s="1303" t="str">
        <f>IF(AND(CNTR_HasEntries_A_I,E178&lt;&gt;"",COUNTIFS($V$16:$AB$16,FALSE,H178:N178,"")&gt;0),2,"")</f>
        <v/>
      </c>
    </row>
    <row r="179" spans="2:31">
      <c r="B179" s="1124"/>
      <c r="C179" s="561"/>
      <c r="D179" s="561" t="s">
        <v>8</v>
      </c>
      <c r="E179" s="3217" t="str">
        <f>c_ALR2025!E320</f>
        <v/>
      </c>
      <c r="F179" s="3217"/>
      <c r="G179" s="582" t="str">
        <f t="shared" si="30"/>
        <v>TJ / year</v>
      </c>
      <c r="H179" s="1557" t="str">
        <f>c_ALR2025!M320</f>
        <v/>
      </c>
      <c r="I179" s="1615"/>
      <c r="J179" s="1491"/>
      <c r="K179" s="1492"/>
      <c r="L179" s="1492"/>
      <c r="M179" s="1492"/>
      <c r="N179" s="1492"/>
      <c r="O179" s="481"/>
      <c r="P179" s="10"/>
      <c r="T179" s="1183" t="b">
        <f>T178</f>
        <v>0</v>
      </c>
      <c r="AD179" s="1161" t="s">
        <v>1954</v>
      </c>
      <c r="AE179" s="1303" t="str">
        <f>IF(AND(CNTR_HasEntries_A_I,E179&lt;&gt;"",COUNTIFS($V$16:$AB$16,FALSE,H179:N179,"")&gt;0),2,"")</f>
        <v/>
      </c>
    </row>
    <row r="180" spans="2:31">
      <c r="B180" s="1124"/>
      <c r="C180" s="561"/>
      <c r="D180" s="561" t="s">
        <v>18</v>
      </c>
      <c r="E180" s="3217" t="str">
        <f>c_ALR2025!E321</f>
        <v/>
      </c>
      <c r="F180" s="3217"/>
      <c r="G180" s="582" t="str">
        <f t="shared" si="30"/>
        <v>TJ / year</v>
      </c>
      <c r="H180" s="1557" t="str">
        <f>c_ALR2025!M321</f>
        <v/>
      </c>
      <c r="I180" s="1615"/>
      <c r="J180" s="1491"/>
      <c r="K180" s="1492"/>
      <c r="L180" s="1492"/>
      <c r="M180" s="1492"/>
      <c r="N180" s="1492"/>
      <c r="O180" s="481"/>
      <c r="P180" s="10"/>
      <c r="T180" s="1183" t="b">
        <f>T179</f>
        <v>0</v>
      </c>
      <c r="AD180" s="1161" t="s">
        <v>1954</v>
      </c>
      <c r="AE180" s="1303" t="str">
        <f>IF(AND(CNTR_HasEntries_A_I,E180&lt;&gt;"",COUNTIFS($V$16:$AB$16,FALSE,H180:N180,"")&gt;0),2,"")</f>
        <v/>
      </c>
    </row>
    <row r="181" spans="2:31">
      <c r="B181" s="1124"/>
      <c r="C181" s="561"/>
      <c r="D181" s="561" t="s">
        <v>787</v>
      </c>
      <c r="E181" s="3218" t="str">
        <f>c_ALR2025!E322</f>
        <v/>
      </c>
      <c r="F181" s="3218"/>
      <c r="G181" s="584" t="str">
        <f t="shared" si="30"/>
        <v>TJ / year</v>
      </c>
      <c r="H181" s="1558" t="str">
        <f>c_ALR2025!M322</f>
        <v/>
      </c>
      <c r="I181" s="1616"/>
      <c r="J181" s="1491"/>
      <c r="K181" s="1492"/>
      <c r="L181" s="1492"/>
      <c r="M181" s="1492"/>
      <c r="N181" s="1492"/>
      <c r="O181" s="481"/>
      <c r="P181" s="10"/>
      <c r="T181" s="1183" t="b">
        <f>T180</f>
        <v>0</v>
      </c>
      <c r="AD181" s="1161" t="s">
        <v>1954</v>
      </c>
      <c r="AE181" s="1303" t="str">
        <f>IF(AND(CNTR_HasEntries_A_I,E181&lt;&gt;"",COUNTIFS($V$16:$AB$16,FALSE,H181:N181,"")&gt;0),2,"")</f>
        <v/>
      </c>
    </row>
    <row r="182" spans="2:31" ht="12.6" customHeight="1">
      <c r="B182" s="1124"/>
      <c r="C182" s="561"/>
      <c r="D182" s="561" t="s">
        <v>788</v>
      </c>
      <c r="E182" s="2792" t="s">
        <v>59</v>
      </c>
      <c r="F182" s="3221"/>
      <c r="G182" s="586" t="str">
        <f t="shared" si="30"/>
        <v>TJ / year</v>
      </c>
      <c r="H182" s="616" t="str">
        <f>IF(COUNT(H177:H181)&gt;0,SUM(H177:H181),"")</f>
        <v/>
      </c>
      <c r="I182" s="1544" t="str">
        <f t="shared" ref="I182:N182" si="31">IF(COUNT(I177:I181)&gt;0,SUM(I177:I181),"")</f>
        <v/>
      </c>
      <c r="J182" s="1491" t="str">
        <f t="shared" si="31"/>
        <v/>
      </c>
      <c r="K182" s="1492" t="str">
        <f t="shared" si="31"/>
        <v/>
      </c>
      <c r="L182" s="1492" t="str">
        <f t="shared" si="31"/>
        <v/>
      </c>
      <c r="M182" s="1492" t="str">
        <f t="shared" si="31"/>
        <v/>
      </c>
      <c r="N182" s="1492" t="str">
        <f t="shared" si="31"/>
        <v/>
      </c>
      <c r="O182" s="481"/>
      <c r="P182" s="485"/>
      <c r="T182" s="1556"/>
    </row>
    <row r="183" spans="2:31">
      <c r="B183" s="1124"/>
      <c r="C183" s="485"/>
      <c r="D183" s="485"/>
      <c r="E183" s="485"/>
      <c r="F183" s="485"/>
      <c r="G183" s="485"/>
      <c r="H183" s="485"/>
      <c r="I183" s="485"/>
      <c r="J183" s="485"/>
      <c r="K183" s="485"/>
      <c r="L183" s="485"/>
      <c r="M183" s="485"/>
      <c r="N183" s="485"/>
      <c r="O183" s="481"/>
      <c r="P183" s="485"/>
      <c r="T183" s="1556"/>
    </row>
    <row r="184" spans="2:31" ht="14.1" customHeight="1">
      <c r="B184" s="467"/>
      <c r="C184" s="1025"/>
      <c r="D184" s="1025"/>
      <c r="E184" s="3088" t="s">
        <v>1331</v>
      </c>
      <c r="F184" s="2442"/>
      <c r="G184" s="2442"/>
      <c r="H184" s="2442"/>
      <c r="I184" s="2442"/>
      <c r="J184" s="2442"/>
      <c r="K184" s="2442"/>
      <c r="L184" s="2442"/>
      <c r="M184" s="2442"/>
      <c r="N184" s="2442"/>
      <c r="O184" s="481"/>
      <c r="P184" s="485"/>
      <c r="Q184" s="1117"/>
      <c r="T184" s="1556"/>
    </row>
    <row r="185" spans="2:31" ht="5.0999999999999996" customHeight="1">
      <c r="B185" s="467"/>
      <c r="C185" s="467"/>
      <c r="D185" s="467"/>
      <c r="E185" s="467"/>
      <c r="F185" s="467"/>
      <c r="G185" s="467"/>
      <c r="H185" s="467"/>
      <c r="I185" s="467"/>
      <c r="J185" s="467"/>
      <c r="K185" s="467"/>
      <c r="L185" s="467"/>
      <c r="M185" s="467"/>
      <c r="N185" s="467"/>
      <c r="O185" s="481"/>
      <c r="P185" s="485"/>
      <c r="Q185" s="1117"/>
      <c r="T185" s="1556"/>
    </row>
    <row r="186" spans="2:31" ht="13.15" customHeight="1">
      <c r="B186" s="467"/>
      <c r="C186" s="482"/>
      <c r="D186" s="482" t="s">
        <v>478</v>
      </c>
      <c r="E186" s="2802" t="s">
        <v>1332</v>
      </c>
      <c r="F186" s="2442"/>
      <c r="G186" s="2442"/>
      <c r="H186" s="2442"/>
      <c r="I186" s="2442"/>
      <c r="J186" s="2442"/>
      <c r="K186" s="2442"/>
      <c r="L186" s="2442"/>
      <c r="M186" s="2442"/>
      <c r="N186" s="2442"/>
      <c r="O186" s="481"/>
      <c r="P186" s="485"/>
      <c r="Q186" s="1117"/>
      <c r="T186" s="1556"/>
    </row>
    <row r="187" spans="2:31" ht="5.0999999999999996" customHeight="1">
      <c r="B187" s="467"/>
      <c r="C187" s="467"/>
      <c r="D187" s="467"/>
      <c r="E187" s="467"/>
      <c r="F187" s="467"/>
      <c r="G187" s="467"/>
      <c r="H187" s="467"/>
      <c r="I187" s="467"/>
      <c r="J187" s="467"/>
      <c r="K187" s="467"/>
      <c r="L187" s="467"/>
      <c r="M187" s="467"/>
      <c r="N187" s="467"/>
      <c r="O187" s="481"/>
      <c r="P187" s="485"/>
      <c r="Q187" s="1117"/>
      <c r="T187" s="1556"/>
    </row>
    <row r="188" spans="2:31">
      <c r="B188" s="1124"/>
      <c r="C188" s="485"/>
      <c r="D188" s="485"/>
      <c r="E188" s="636"/>
      <c r="F188" s="637"/>
      <c r="G188" s="663" t="str">
        <f>EUconst_Unit</f>
        <v>Unit</v>
      </c>
      <c r="H188" s="578">
        <f t="shared" ref="H188:N188" si="32">H$393</f>
        <v>2024</v>
      </c>
      <c r="I188" s="697">
        <f t="shared" si="32"/>
        <v>2025</v>
      </c>
      <c r="J188" s="1489">
        <f t="shared" si="32"/>
        <v>2026</v>
      </c>
      <c r="K188" s="1490">
        <f t="shared" si="32"/>
        <v>2027</v>
      </c>
      <c r="L188" s="1490">
        <f t="shared" si="32"/>
        <v>2028</v>
      </c>
      <c r="M188" s="1490">
        <f t="shared" si="32"/>
        <v>2029</v>
      </c>
      <c r="N188" s="1490">
        <f t="shared" si="32"/>
        <v>2030</v>
      </c>
      <c r="O188" s="481"/>
      <c r="P188" s="485"/>
      <c r="T188" s="1556"/>
    </row>
    <row r="189" spans="2:31">
      <c r="B189" s="1124"/>
      <c r="C189" s="561"/>
      <c r="D189" s="561" t="s">
        <v>6</v>
      </c>
      <c r="E189" s="2792" t="s">
        <v>265</v>
      </c>
      <c r="F189" s="3221"/>
      <c r="G189" s="1506" t="str">
        <f>EUconst_TJpa</f>
        <v>TJ / year</v>
      </c>
      <c r="H189" s="668" t="str">
        <f t="shared" ref="H189:N189" si="33">IF(COUNT(H122,H139,H157,H182)&gt;0,SUM(H122)-SUM(H139)-SUM(H157)-SUM(H182),"")</f>
        <v/>
      </c>
      <c r="I189" s="1021" t="str">
        <f t="shared" si="33"/>
        <v/>
      </c>
      <c r="J189" s="1491" t="str">
        <f t="shared" si="33"/>
        <v/>
      </c>
      <c r="K189" s="1492" t="str">
        <f t="shared" si="33"/>
        <v/>
      </c>
      <c r="L189" s="1492" t="str">
        <f t="shared" si="33"/>
        <v/>
      </c>
      <c r="M189" s="1492" t="str">
        <f t="shared" si="33"/>
        <v/>
      </c>
      <c r="N189" s="1492" t="str">
        <f t="shared" si="33"/>
        <v/>
      </c>
      <c r="O189" s="481"/>
      <c r="P189" s="485"/>
      <c r="T189" s="1556"/>
    </row>
    <row r="190" spans="2:31" ht="5.0999999999999996" customHeight="1">
      <c r="B190" s="467"/>
      <c r="C190" s="467"/>
      <c r="D190" s="467"/>
      <c r="E190" s="467"/>
      <c r="F190" s="467"/>
      <c r="G190" s="467"/>
      <c r="H190" s="467"/>
      <c r="I190" s="467"/>
      <c r="J190" s="467"/>
      <c r="K190" s="467"/>
      <c r="L190" s="467"/>
      <c r="M190" s="467"/>
      <c r="N190" s="467"/>
      <c r="O190" s="481"/>
      <c r="P190" s="485"/>
      <c r="Q190" s="1117"/>
      <c r="T190" s="1556"/>
    </row>
    <row r="191" spans="2:31" ht="12.6" customHeight="1">
      <c r="B191" s="467"/>
      <c r="C191" s="485"/>
      <c r="D191" s="485"/>
      <c r="E191" s="3058" t="s">
        <v>1433</v>
      </c>
      <c r="F191" s="2388"/>
      <c r="G191" s="2388"/>
      <c r="H191" s="2388"/>
      <c r="I191" s="2388"/>
      <c r="J191" s="2388"/>
      <c r="K191" s="2388"/>
      <c r="L191" s="2388"/>
      <c r="M191" s="2388"/>
      <c r="N191" s="2388"/>
      <c r="O191" s="481"/>
      <c r="P191" s="485"/>
      <c r="Q191" s="1117"/>
      <c r="T191" s="1556"/>
    </row>
    <row r="192" spans="2:31" ht="12.6" customHeight="1">
      <c r="B192" s="467"/>
      <c r="C192" s="485"/>
      <c r="D192" s="485"/>
      <c r="E192" s="3223" t="s">
        <v>1202</v>
      </c>
      <c r="F192" s="3224"/>
      <c r="G192" s="3224"/>
      <c r="H192" s="3224"/>
      <c r="I192" s="3224"/>
      <c r="J192" s="2388"/>
      <c r="K192" s="2388"/>
      <c r="L192" s="2388"/>
      <c r="M192" s="2388"/>
      <c r="N192" s="2388"/>
      <c r="O192" s="481"/>
      <c r="P192" s="485"/>
      <c r="Q192" s="1117"/>
      <c r="T192" s="1556"/>
    </row>
    <row r="193" spans="2:31" ht="12.6" customHeight="1">
      <c r="B193" s="1124"/>
      <c r="C193" s="561"/>
      <c r="D193" s="561" t="s">
        <v>7</v>
      </c>
      <c r="E193" s="3238" t="s">
        <v>188</v>
      </c>
      <c r="F193" s="3228"/>
      <c r="G193" s="579" t="str">
        <f>EUconst_TJpa</f>
        <v>TJ / year</v>
      </c>
      <c r="H193" s="600" t="str">
        <f>IF(ISNUMBER(H$189),H433,"")</f>
        <v/>
      </c>
      <c r="I193" s="1566" t="str">
        <f t="shared" ref="H193:N194" si="34">IF(ISNUMBER(I$189),I433,"")</f>
        <v/>
      </c>
      <c r="J193" s="1491" t="str">
        <f t="shared" si="34"/>
        <v/>
      </c>
      <c r="K193" s="1492" t="str">
        <f t="shared" si="34"/>
        <v/>
      </c>
      <c r="L193" s="1492" t="str">
        <f t="shared" si="34"/>
        <v/>
      </c>
      <c r="M193" s="1492" t="str">
        <f t="shared" si="34"/>
        <v/>
      </c>
      <c r="N193" s="1492" t="str">
        <f t="shared" si="34"/>
        <v/>
      </c>
      <c r="O193" s="481"/>
      <c r="P193" s="485"/>
      <c r="T193" s="1556"/>
    </row>
    <row r="194" spans="2:31" ht="12.6" customHeight="1">
      <c r="B194" s="1124"/>
      <c r="C194" s="561"/>
      <c r="D194" s="561" t="s">
        <v>8</v>
      </c>
      <c r="E194" s="3237" t="s">
        <v>189</v>
      </c>
      <c r="F194" s="3234"/>
      <c r="G194" s="584" t="str">
        <f>EUconst_TJpa</f>
        <v>TJ / year</v>
      </c>
      <c r="H194" s="605" t="str">
        <f t="shared" si="34"/>
        <v/>
      </c>
      <c r="I194" s="973" t="str">
        <f t="shared" si="34"/>
        <v/>
      </c>
      <c r="J194" s="1491" t="str">
        <f t="shared" si="34"/>
        <v/>
      </c>
      <c r="K194" s="1492" t="str">
        <f t="shared" si="34"/>
        <v/>
      </c>
      <c r="L194" s="1492" t="str">
        <f t="shared" si="34"/>
        <v/>
      </c>
      <c r="M194" s="1492" t="str">
        <f t="shared" si="34"/>
        <v/>
      </c>
      <c r="N194" s="1492" t="str">
        <f t="shared" si="34"/>
        <v/>
      </c>
      <c r="O194" s="481"/>
      <c r="P194" s="485"/>
      <c r="T194" s="1556"/>
    </row>
    <row r="195" spans="2:31">
      <c r="B195" s="1124"/>
      <c r="C195" s="485"/>
      <c r="D195" s="485"/>
      <c r="E195" s="485"/>
      <c r="F195" s="485"/>
      <c r="G195" s="485"/>
      <c r="H195" s="485"/>
      <c r="I195" s="485"/>
      <c r="J195" s="485"/>
      <c r="K195" s="485"/>
      <c r="L195" s="485"/>
      <c r="M195" s="485"/>
      <c r="N195" s="485"/>
      <c r="O195" s="481"/>
      <c r="P195" s="485"/>
      <c r="T195" s="1556"/>
    </row>
    <row r="196" spans="2:31" ht="13.15" customHeight="1">
      <c r="B196" s="467"/>
      <c r="C196" s="482"/>
      <c r="D196" s="482" t="s">
        <v>479</v>
      </c>
      <c r="E196" s="2791" t="s">
        <v>1232</v>
      </c>
      <c r="F196" s="3222"/>
      <c r="G196" s="3222"/>
      <c r="H196" s="3222"/>
      <c r="I196" s="3222"/>
      <c r="J196" s="2442"/>
      <c r="K196" s="2442"/>
      <c r="L196" s="2442"/>
      <c r="M196" s="2442"/>
      <c r="N196" s="2442"/>
      <c r="O196" s="481"/>
      <c r="P196" s="485"/>
      <c r="Q196" s="1117"/>
      <c r="T196" s="1556"/>
    </row>
    <row r="197" spans="2:31" ht="13.15" customHeight="1">
      <c r="B197" s="1124"/>
      <c r="C197" s="561"/>
      <c r="D197" s="561"/>
      <c r="E197" s="3235" t="s">
        <v>1233</v>
      </c>
      <c r="F197" s="3221"/>
      <c r="G197" s="1567" t="s">
        <v>1022</v>
      </c>
      <c r="H197" s="641" t="str">
        <f t="shared" ref="H197:N197" si="35">IF(AND(ISNUMBER(H189),SUM(H193:H194)&lt;&gt;0),H193/SUM(H193:H194)*100,"")</f>
        <v/>
      </c>
      <c r="I197" s="1568" t="str">
        <f t="shared" si="35"/>
        <v/>
      </c>
      <c r="J197" s="1537" t="str">
        <f t="shared" si="35"/>
        <v/>
      </c>
      <c r="K197" s="1538" t="str">
        <f t="shared" si="35"/>
        <v/>
      </c>
      <c r="L197" s="1538" t="str">
        <f t="shared" si="35"/>
        <v/>
      </c>
      <c r="M197" s="1538" t="str">
        <f t="shared" si="35"/>
        <v/>
      </c>
      <c r="N197" s="1538" t="str">
        <f t="shared" si="35"/>
        <v/>
      </c>
      <c r="O197" s="481"/>
      <c r="P197" s="485"/>
      <c r="T197" s="1556"/>
    </row>
    <row r="198" spans="2:31" ht="5.0999999999999996" customHeight="1">
      <c r="B198" s="467"/>
      <c r="C198" s="467"/>
      <c r="D198" s="467"/>
      <c r="E198" s="467"/>
      <c r="F198" s="467"/>
      <c r="G198" s="467"/>
      <c r="H198" s="467"/>
      <c r="I198" s="467"/>
      <c r="J198" s="467"/>
      <c r="K198" s="467"/>
      <c r="L198" s="467"/>
      <c r="M198" s="467"/>
      <c r="N198" s="467"/>
      <c r="O198" s="481"/>
      <c r="P198" s="485"/>
      <c r="Q198" s="1117"/>
      <c r="T198" s="1556"/>
    </row>
    <row r="199" spans="2:31" ht="13.15" customHeight="1">
      <c r="B199" s="467"/>
      <c r="C199" s="482"/>
      <c r="D199" s="482" t="s">
        <v>481</v>
      </c>
      <c r="E199" s="2802" t="s">
        <v>626</v>
      </c>
      <c r="F199" s="2442"/>
      <c r="G199" s="2442"/>
      <c r="H199" s="2442"/>
      <c r="I199" s="2442"/>
      <c r="J199" s="2442"/>
      <c r="K199" s="2442"/>
      <c r="L199" s="2442"/>
      <c r="M199" s="2442"/>
      <c r="N199" s="2442"/>
      <c r="O199" s="481"/>
      <c r="P199" s="485"/>
      <c r="Q199" s="1117"/>
      <c r="T199" s="1556"/>
    </row>
    <row r="200" spans="2:31" ht="12.6" customHeight="1">
      <c r="B200" s="467"/>
      <c r="C200" s="485"/>
      <c r="D200" s="485"/>
      <c r="E200" s="3223" t="s">
        <v>1203</v>
      </c>
      <c r="F200" s="3224"/>
      <c r="G200" s="3224"/>
      <c r="H200" s="3224"/>
      <c r="I200" s="3224"/>
      <c r="J200" s="2388"/>
      <c r="K200" s="2388"/>
      <c r="L200" s="2388"/>
      <c r="M200" s="2388"/>
      <c r="N200" s="2388"/>
      <c r="O200" s="481"/>
      <c r="P200" s="485"/>
      <c r="Q200" s="1117"/>
      <c r="T200" s="1556"/>
    </row>
    <row r="201" spans="2:31" ht="12.6" customHeight="1">
      <c r="B201" s="1124"/>
      <c r="C201" s="485"/>
      <c r="D201" s="485"/>
      <c r="E201" s="2792" t="s">
        <v>214</v>
      </c>
      <c r="F201" s="3221"/>
      <c r="G201" s="1506" t="str">
        <f>EUconst_TJpa</f>
        <v>TJ / year</v>
      </c>
      <c r="H201" s="1479" t="str">
        <f>c_ALR2025!M337</f>
        <v/>
      </c>
      <c r="I201" s="1530"/>
      <c r="J201" s="1491"/>
      <c r="K201" s="1492"/>
      <c r="L201" s="1492"/>
      <c r="M201" s="1492"/>
      <c r="N201" s="1492"/>
      <c r="O201" s="481"/>
      <c r="P201" s="10"/>
      <c r="T201" s="1183" t="b">
        <f>T181</f>
        <v>0</v>
      </c>
      <c r="AD201" s="1161" t="s">
        <v>1954</v>
      </c>
      <c r="AE201" s="1303" t="str">
        <f>IF(AND(CNTR_HasEntries_A_I,COUNTIFS($V$16:$AB$16,FALSE,H201:N201,"")&gt;0,$T$94=FALSE),2,"")</f>
        <v/>
      </c>
    </row>
    <row r="202" spans="2:31" ht="5.0999999999999996" customHeight="1">
      <c r="B202" s="467"/>
      <c r="C202" s="467"/>
      <c r="D202" s="467"/>
      <c r="E202" s="467"/>
      <c r="F202" s="467"/>
      <c r="G202" s="467"/>
      <c r="H202" s="467"/>
      <c r="I202" s="467"/>
      <c r="J202" s="467"/>
      <c r="K202" s="467"/>
      <c r="L202" s="467"/>
      <c r="M202" s="467"/>
      <c r="N202" s="467"/>
      <c r="O202" s="481"/>
      <c r="P202" s="485"/>
      <c r="Q202" s="1117"/>
      <c r="T202" s="1556"/>
    </row>
    <row r="203" spans="2:31" ht="13.15" customHeight="1">
      <c r="B203" s="1124"/>
      <c r="C203" s="482"/>
      <c r="D203" s="482" t="s">
        <v>482</v>
      </c>
      <c r="E203" s="2802" t="s">
        <v>2089</v>
      </c>
      <c r="F203" s="2802"/>
      <c r="G203" s="2802"/>
      <c r="H203" s="2802"/>
      <c r="I203" s="2802"/>
      <c r="J203" s="2802"/>
      <c r="K203" s="2802"/>
      <c r="L203" s="2802"/>
      <c r="M203" s="2802"/>
      <c r="N203" s="2802"/>
      <c r="O203" s="481"/>
      <c r="P203" s="485"/>
      <c r="T203" s="1556"/>
    </row>
    <row r="204" spans="2:31" ht="12.6" customHeight="1">
      <c r="B204" s="467"/>
      <c r="C204" s="485"/>
      <c r="D204" s="485"/>
      <c r="E204" s="3058" t="s">
        <v>2210</v>
      </c>
      <c r="F204" s="2388"/>
      <c r="G204" s="2388"/>
      <c r="H204" s="2388"/>
      <c r="I204" s="2388"/>
      <c r="J204" s="2388"/>
      <c r="K204" s="2388"/>
      <c r="L204" s="2388"/>
      <c r="M204" s="2388"/>
      <c r="N204" s="2388"/>
      <c r="O204" s="481"/>
      <c r="P204" s="485"/>
      <c r="Q204" s="1117"/>
      <c r="T204" s="1556"/>
    </row>
    <row r="205" spans="2:31" ht="12.6" customHeight="1">
      <c r="B205" s="467"/>
      <c r="C205" s="485"/>
      <c r="D205" s="485"/>
      <c r="E205" s="3058" t="s">
        <v>1874</v>
      </c>
      <c r="F205" s="2388"/>
      <c r="G205" s="2388"/>
      <c r="H205" s="2388"/>
      <c r="I205" s="2388"/>
      <c r="J205" s="2388"/>
      <c r="K205" s="2388"/>
      <c r="L205" s="2388"/>
      <c r="M205" s="2388"/>
      <c r="N205" s="2388"/>
      <c r="O205" s="481"/>
      <c r="P205" s="485"/>
      <c r="Q205" s="1117"/>
      <c r="T205" s="1556"/>
    </row>
    <row r="206" spans="2:31" ht="13.15" customHeight="1">
      <c r="B206" s="1124"/>
      <c r="C206" s="485"/>
      <c r="D206" s="485"/>
      <c r="E206" s="2791" t="s">
        <v>267</v>
      </c>
      <c r="F206" s="3222"/>
      <c r="G206" s="663" t="str">
        <f>EUconst_Unit</f>
        <v>Unit</v>
      </c>
      <c r="H206" s="671">
        <f t="shared" ref="H206:N206" si="36">H$393</f>
        <v>2024</v>
      </c>
      <c r="I206" s="1081">
        <f t="shared" si="36"/>
        <v>2025</v>
      </c>
      <c r="J206" s="1489">
        <f t="shared" si="36"/>
        <v>2026</v>
      </c>
      <c r="K206" s="1490">
        <f t="shared" si="36"/>
        <v>2027</v>
      </c>
      <c r="L206" s="1490">
        <f t="shared" si="36"/>
        <v>2028</v>
      </c>
      <c r="M206" s="1490">
        <f t="shared" si="36"/>
        <v>2029</v>
      </c>
      <c r="N206" s="1490">
        <f t="shared" si="36"/>
        <v>2030</v>
      </c>
      <c r="O206" s="481"/>
      <c r="P206" s="485"/>
      <c r="T206" s="1556"/>
    </row>
    <row r="207" spans="2:31">
      <c r="B207" s="1124"/>
      <c r="C207" s="561"/>
      <c r="D207" s="561" t="s">
        <v>6</v>
      </c>
      <c r="E207" s="3219" t="str">
        <f>c_ALR2025!E341</f>
        <v/>
      </c>
      <c r="F207" s="3220"/>
      <c r="G207" s="582" t="str">
        <f t="shared" ref="G207:G212" si="37">EUconst_TJpa</f>
        <v>TJ / year</v>
      </c>
      <c r="H207" s="1565" t="str">
        <f>c_ALR2025!M341</f>
        <v/>
      </c>
      <c r="I207" s="1619"/>
      <c r="J207" s="1491"/>
      <c r="K207" s="1492"/>
      <c r="L207" s="1492"/>
      <c r="M207" s="1492"/>
      <c r="N207" s="1492"/>
      <c r="O207" s="481"/>
      <c r="P207" s="10"/>
      <c r="T207" s="1183" t="b">
        <f>T201</f>
        <v>0</v>
      </c>
      <c r="AD207" s="1161" t="s">
        <v>1954</v>
      </c>
      <c r="AE207" s="1303" t="str">
        <f>IF(AND(CNTR_HasEntries_A_I,E207&lt;&gt;"",COUNTIFS($V$16:$AB$16,FALSE,H207:N207,"")&gt;0),2,"")</f>
        <v/>
      </c>
    </row>
    <row r="208" spans="2:31">
      <c r="B208" s="1124"/>
      <c r="C208" s="561"/>
      <c r="D208" s="561" t="s">
        <v>7</v>
      </c>
      <c r="E208" s="3217" t="str">
        <f>c_ALR2025!E342</f>
        <v/>
      </c>
      <c r="F208" s="3217"/>
      <c r="G208" s="582" t="str">
        <f t="shared" si="37"/>
        <v>TJ / year</v>
      </c>
      <c r="H208" s="1557" t="str">
        <f>c_ALR2025!M342</f>
        <v/>
      </c>
      <c r="I208" s="1615"/>
      <c r="J208" s="1491"/>
      <c r="K208" s="1492"/>
      <c r="L208" s="1492"/>
      <c r="M208" s="1492"/>
      <c r="N208" s="1492"/>
      <c r="O208" s="481"/>
      <c r="P208" s="10"/>
      <c r="T208" s="1183" t="b">
        <f>T207</f>
        <v>0</v>
      </c>
      <c r="AD208" s="1161" t="s">
        <v>1954</v>
      </c>
      <c r="AE208" s="1303" t="str">
        <f>IF(AND(CNTR_HasEntries_A_I,E208&lt;&gt;"",COUNTIFS($V$16:$AB$16,FALSE,H208:N208,"")&gt;0),2,"")</f>
        <v/>
      </c>
    </row>
    <row r="209" spans="2:31">
      <c r="B209" s="1124"/>
      <c r="C209" s="561"/>
      <c r="D209" s="561" t="s">
        <v>8</v>
      </c>
      <c r="E209" s="3217" t="str">
        <f>c_ALR2025!E343</f>
        <v/>
      </c>
      <c r="F209" s="3217"/>
      <c r="G209" s="582" t="str">
        <f t="shared" si="37"/>
        <v>TJ / year</v>
      </c>
      <c r="H209" s="1557" t="str">
        <f>c_ALR2025!M343</f>
        <v/>
      </c>
      <c r="I209" s="1615"/>
      <c r="J209" s="1491"/>
      <c r="K209" s="1492"/>
      <c r="L209" s="1492"/>
      <c r="M209" s="1492"/>
      <c r="N209" s="1492"/>
      <c r="O209" s="481"/>
      <c r="P209" s="10"/>
      <c r="T209" s="1183" t="b">
        <f>T208</f>
        <v>0</v>
      </c>
      <c r="AD209" s="1161" t="s">
        <v>1954</v>
      </c>
      <c r="AE209" s="1303" t="str">
        <f>IF(AND(CNTR_HasEntries_A_I,E209&lt;&gt;"",COUNTIFS($V$16:$AB$16,FALSE,H209:N209,"")&gt;0),2,"")</f>
        <v/>
      </c>
    </row>
    <row r="210" spans="2:31">
      <c r="B210" s="1124"/>
      <c r="C210" s="561"/>
      <c r="D210" s="561" t="s">
        <v>18</v>
      </c>
      <c r="E210" s="3217" t="str">
        <f>c_ALR2025!E344</f>
        <v/>
      </c>
      <c r="F210" s="3217"/>
      <c r="G210" s="582" t="str">
        <f t="shared" si="37"/>
        <v>TJ / year</v>
      </c>
      <c r="H210" s="1557" t="str">
        <f>c_ALR2025!M344</f>
        <v/>
      </c>
      <c r="I210" s="1615"/>
      <c r="J210" s="1491"/>
      <c r="K210" s="1492"/>
      <c r="L210" s="1492"/>
      <c r="M210" s="1492"/>
      <c r="N210" s="1492"/>
      <c r="O210" s="481"/>
      <c r="P210" s="10"/>
      <c r="T210" s="1183" t="b">
        <f>T209</f>
        <v>0</v>
      </c>
      <c r="AD210" s="1161" t="s">
        <v>1954</v>
      </c>
      <c r="AE210" s="1303" t="str">
        <f>IF(AND(CNTR_HasEntries_A_I,E210&lt;&gt;"",COUNTIFS($V$16:$AB$16,FALSE,H210:N210,"")&gt;0),2,"")</f>
        <v/>
      </c>
    </row>
    <row r="211" spans="2:31">
      <c r="B211" s="1124"/>
      <c r="C211" s="561"/>
      <c r="D211" s="561" t="s">
        <v>787</v>
      </c>
      <c r="E211" s="3218" t="str">
        <f>c_ALR2025!E345</f>
        <v/>
      </c>
      <c r="F211" s="3218"/>
      <c r="G211" s="584" t="str">
        <f t="shared" si="37"/>
        <v>TJ / year</v>
      </c>
      <c r="H211" s="1558" t="str">
        <f>c_ALR2025!M345</f>
        <v/>
      </c>
      <c r="I211" s="1616"/>
      <c r="J211" s="1491"/>
      <c r="K211" s="1492"/>
      <c r="L211" s="1492"/>
      <c r="M211" s="1492"/>
      <c r="N211" s="1492"/>
      <c r="O211" s="481"/>
      <c r="P211" s="10"/>
      <c r="T211" s="1183" t="b">
        <f>T210</f>
        <v>0</v>
      </c>
      <c r="AD211" s="1161" t="s">
        <v>1954</v>
      </c>
      <c r="AE211" s="1303" t="str">
        <f>IF(AND(CNTR_HasEntries_A_I,E211&lt;&gt;"",COUNTIFS($V$16:$AB$16,FALSE,H211:N211,"")&gt;0),2,"")</f>
        <v/>
      </c>
    </row>
    <row r="212" spans="2:31" ht="12.6" customHeight="1">
      <c r="B212" s="1124"/>
      <c r="C212" s="561"/>
      <c r="D212" s="561" t="s">
        <v>788</v>
      </c>
      <c r="E212" s="2792" t="s">
        <v>268</v>
      </c>
      <c r="F212" s="3221"/>
      <c r="G212" s="586" t="str">
        <f t="shared" si="37"/>
        <v>TJ / year</v>
      </c>
      <c r="H212" s="616" t="str">
        <f t="shared" ref="H212:N212" si="38">IF(COUNT(H207:H211)&gt;0,SUM(H207:H211),"")</f>
        <v/>
      </c>
      <c r="I212" s="1544" t="str">
        <f t="shared" si="38"/>
        <v/>
      </c>
      <c r="J212" s="1491" t="str">
        <f t="shared" si="38"/>
        <v/>
      </c>
      <c r="K212" s="1492" t="str">
        <f t="shared" si="38"/>
        <v/>
      </c>
      <c r="L212" s="1492" t="str">
        <f t="shared" si="38"/>
        <v/>
      </c>
      <c r="M212" s="1492" t="str">
        <f t="shared" si="38"/>
        <v/>
      </c>
      <c r="N212" s="1492" t="str">
        <f t="shared" si="38"/>
        <v/>
      </c>
      <c r="O212" s="481"/>
      <c r="P212" s="485"/>
      <c r="T212" s="1556"/>
    </row>
    <row r="213" spans="2:31" ht="5.0999999999999996" customHeight="1">
      <c r="B213" s="467"/>
      <c r="C213" s="467"/>
      <c r="D213" s="467"/>
      <c r="E213" s="467"/>
      <c r="F213" s="467"/>
      <c r="G213" s="467"/>
      <c r="H213" s="467"/>
      <c r="I213" s="467"/>
      <c r="J213" s="467"/>
      <c r="K213" s="467"/>
      <c r="L213" s="467"/>
      <c r="M213" s="467"/>
      <c r="N213" s="467"/>
      <c r="O213" s="481"/>
      <c r="P213" s="485"/>
      <c r="Q213" s="1117"/>
      <c r="T213" s="1556"/>
    </row>
    <row r="214" spans="2:31" ht="13.15" customHeight="1">
      <c r="B214" s="1124"/>
      <c r="C214" s="482"/>
      <c r="D214" s="482" t="s">
        <v>245</v>
      </c>
      <c r="E214" s="2802" t="s">
        <v>1234</v>
      </c>
      <c r="F214" s="2442"/>
      <c r="G214" s="2442"/>
      <c r="H214" s="2442"/>
      <c r="I214" s="2442"/>
      <c r="J214" s="2442"/>
      <c r="K214" s="2442"/>
      <c r="L214" s="2442"/>
      <c r="M214" s="2442"/>
      <c r="N214" s="2442"/>
      <c r="O214" s="481"/>
      <c r="P214" s="485"/>
      <c r="T214" s="1556"/>
    </row>
    <row r="215" spans="2:31" ht="12.6" customHeight="1">
      <c r="B215" s="467"/>
      <c r="C215" s="485"/>
      <c r="D215" s="485"/>
      <c r="E215" s="3058" t="s">
        <v>1204</v>
      </c>
      <c r="F215" s="2388"/>
      <c r="G215" s="2388"/>
      <c r="H215" s="2388"/>
      <c r="I215" s="2388"/>
      <c r="J215" s="2388"/>
      <c r="K215" s="2388"/>
      <c r="L215" s="2388"/>
      <c r="M215" s="2388"/>
      <c r="N215" s="2388"/>
      <c r="O215" s="481"/>
      <c r="P215" s="485"/>
      <c r="Q215" s="1117"/>
      <c r="T215" s="1556"/>
    </row>
    <row r="216" spans="2:31" ht="12.6" customHeight="1">
      <c r="B216" s="467"/>
      <c r="C216" s="485"/>
      <c r="D216" s="485"/>
      <c r="E216" s="3058" t="s">
        <v>649</v>
      </c>
      <c r="F216" s="2388"/>
      <c r="G216" s="2388"/>
      <c r="H216" s="2388"/>
      <c r="I216" s="2388"/>
      <c r="J216" s="2388"/>
      <c r="K216" s="2388"/>
      <c r="L216" s="2388"/>
      <c r="M216" s="2388"/>
      <c r="N216" s="2388"/>
      <c r="O216" s="481"/>
      <c r="P216" s="485"/>
      <c r="Q216" s="1117"/>
      <c r="T216" s="1556"/>
    </row>
    <row r="217" spans="2:31">
      <c r="B217" s="1124"/>
      <c r="C217" s="485"/>
      <c r="D217" s="485"/>
      <c r="E217" s="636"/>
      <c r="F217" s="637"/>
      <c r="G217" s="663" t="str">
        <f>EUconst_Unit</f>
        <v>Unit</v>
      </c>
      <c r="H217" s="578">
        <f t="shared" ref="H217:N217" si="39">H$393</f>
        <v>2024</v>
      </c>
      <c r="I217" s="697">
        <f t="shared" si="39"/>
        <v>2025</v>
      </c>
      <c r="J217" s="1489">
        <f t="shared" si="39"/>
        <v>2026</v>
      </c>
      <c r="K217" s="1490">
        <f t="shared" si="39"/>
        <v>2027</v>
      </c>
      <c r="L217" s="1490">
        <f t="shared" si="39"/>
        <v>2028</v>
      </c>
      <c r="M217" s="1490">
        <f t="shared" si="39"/>
        <v>2029</v>
      </c>
      <c r="N217" s="1490">
        <f t="shared" si="39"/>
        <v>2030</v>
      </c>
      <c r="O217" s="481"/>
      <c r="P217" s="485"/>
      <c r="T217" s="1556"/>
    </row>
    <row r="218" spans="2:31" ht="12.6" customHeight="1">
      <c r="B218" s="1124"/>
      <c r="C218" s="485"/>
      <c r="D218" s="561" t="s">
        <v>6</v>
      </c>
      <c r="E218" s="2792" t="s">
        <v>648</v>
      </c>
      <c r="F218" s="3221"/>
      <c r="G218" s="1506" t="str">
        <f>EUconst_TJpa</f>
        <v>TJ / year</v>
      </c>
      <c r="H218" s="668" t="str">
        <f t="shared" ref="H218:N218" si="40">IF(COUNT(H189,H201,H212)&gt;0,SUM(H189)-SUM(H201)-SUM(H212),"")</f>
        <v/>
      </c>
      <c r="I218" s="1021" t="str">
        <f t="shared" si="40"/>
        <v/>
      </c>
      <c r="J218" s="1491" t="str">
        <f t="shared" si="40"/>
        <v/>
      </c>
      <c r="K218" s="1492" t="str">
        <f t="shared" si="40"/>
        <v/>
      </c>
      <c r="L218" s="1492" t="str">
        <f t="shared" si="40"/>
        <v/>
      </c>
      <c r="M218" s="1492" t="str">
        <f t="shared" si="40"/>
        <v/>
      </c>
      <c r="N218" s="1492" t="str">
        <f t="shared" si="40"/>
        <v/>
      </c>
      <c r="O218" s="481"/>
      <c r="P218" s="485"/>
      <c r="T218" s="1556"/>
    </row>
    <row r="219" spans="2:31" ht="12.6" customHeight="1">
      <c r="B219" s="1124"/>
      <c r="C219" s="485"/>
      <c r="D219" s="561" t="s">
        <v>7</v>
      </c>
      <c r="E219" s="2792" t="s">
        <v>1235</v>
      </c>
      <c r="F219" s="3221"/>
      <c r="G219" s="1506" t="s">
        <v>1022</v>
      </c>
      <c r="H219" s="668" t="str">
        <f t="shared" ref="H219:N219" si="41">IF(AND(ISNUMBER(H218),ISNUMBER(H122),SUM(H122)&lt;&gt;0),H218/H122*100,"")</f>
        <v/>
      </c>
      <c r="I219" s="1021" t="str">
        <f t="shared" si="41"/>
        <v/>
      </c>
      <c r="J219" s="1491" t="str">
        <f t="shared" si="41"/>
        <v/>
      </c>
      <c r="K219" s="1492" t="str">
        <f t="shared" si="41"/>
        <v/>
      </c>
      <c r="L219" s="1492" t="str">
        <f t="shared" si="41"/>
        <v/>
      </c>
      <c r="M219" s="1492" t="str">
        <f t="shared" si="41"/>
        <v/>
      </c>
      <c r="N219" s="1492" t="str">
        <f t="shared" si="41"/>
        <v/>
      </c>
      <c r="O219" s="481"/>
      <c r="P219" s="485"/>
      <c r="T219" s="1556"/>
    </row>
    <row r="220" spans="2:31">
      <c r="B220" s="1124"/>
      <c r="C220" s="485"/>
      <c r="D220" s="485"/>
      <c r="E220" s="485"/>
      <c r="F220" s="485"/>
      <c r="G220" s="485"/>
      <c r="H220" s="485"/>
      <c r="I220" s="485"/>
      <c r="J220" s="485"/>
      <c r="K220" s="485"/>
      <c r="L220" s="485"/>
      <c r="M220" s="485"/>
      <c r="N220" s="485"/>
      <c r="O220" s="481"/>
      <c r="P220" s="485"/>
      <c r="T220" s="1556"/>
    </row>
    <row r="221" spans="2:31" ht="13.15" customHeight="1">
      <c r="B221" s="467"/>
      <c r="C221" s="482"/>
      <c r="D221" s="482" t="s">
        <v>832</v>
      </c>
      <c r="E221" s="2802" t="s">
        <v>1333</v>
      </c>
      <c r="F221" s="2802"/>
      <c r="G221" s="2802"/>
      <c r="H221" s="2802"/>
      <c r="I221" s="2802"/>
      <c r="J221" s="2802"/>
      <c r="K221" s="2802"/>
      <c r="L221" s="2802"/>
      <c r="M221" s="2802"/>
      <c r="N221" s="2802"/>
      <c r="O221" s="481"/>
      <c r="P221" s="485"/>
      <c r="Q221" s="1117"/>
      <c r="T221" s="1556"/>
    </row>
    <row r="222" spans="2:31" ht="12.6" customHeight="1">
      <c r="B222" s="1124"/>
      <c r="C222" s="485"/>
      <c r="D222" s="485"/>
      <c r="E222" s="2792" t="s">
        <v>270</v>
      </c>
      <c r="F222" s="3221"/>
      <c r="G222" s="1506" t="str">
        <f>EUconst_TJpa</f>
        <v>TJ / year</v>
      </c>
      <c r="H222" s="668" t="str">
        <f t="shared" ref="H222:N222" si="42">IF(COUNT(H212,H201)&gt;0,SUM(H201,H212),"")</f>
        <v/>
      </c>
      <c r="I222" s="1021" t="str">
        <f t="shared" si="42"/>
        <v/>
      </c>
      <c r="J222" s="1491" t="str">
        <f t="shared" si="42"/>
        <v/>
      </c>
      <c r="K222" s="1492" t="str">
        <f t="shared" si="42"/>
        <v/>
      </c>
      <c r="L222" s="1492" t="str">
        <f t="shared" si="42"/>
        <v/>
      </c>
      <c r="M222" s="1492" t="str">
        <f t="shared" si="42"/>
        <v/>
      </c>
      <c r="N222" s="1492" t="str">
        <f t="shared" si="42"/>
        <v/>
      </c>
      <c r="O222" s="481"/>
      <c r="P222" s="485"/>
      <c r="T222" s="1556"/>
    </row>
    <row r="223" spans="2:31" ht="5.0999999999999996" customHeight="1">
      <c r="B223" s="467"/>
      <c r="C223" s="467"/>
      <c r="D223" s="467"/>
      <c r="E223" s="467"/>
      <c r="F223" s="467"/>
      <c r="G223" s="467"/>
      <c r="H223" s="467"/>
      <c r="I223" s="467"/>
      <c r="J223" s="467"/>
      <c r="K223" s="467"/>
      <c r="L223" s="467"/>
      <c r="M223" s="467"/>
      <c r="N223" s="467"/>
      <c r="O223" s="481"/>
      <c r="P223" s="485"/>
      <c r="Q223" s="1117"/>
      <c r="T223" s="1556"/>
    </row>
    <row r="224" spans="2:31" ht="13.15" customHeight="1">
      <c r="B224" s="467"/>
      <c r="C224" s="482"/>
      <c r="D224" s="482" t="s">
        <v>833</v>
      </c>
      <c r="E224" s="2802" t="s">
        <v>1334</v>
      </c>
      <c r="F224" s="2442"/>
      <c r="G224" s="2442"/>
      <c r="H224" s="2442"/>
      <c r="I224" s="2442"/>
      <c r="J224" s="2442"/>
      <c r="K224" s="2442"/>
      <c r="L224" s="2442"/>
      <c r="M224" s="2442"/>
      <c r="N224" s="2442"/>
      <c r="O224" s="481"/>
      <c r="P224" s="485"/>
      <c r="Q224" s="1117"/>
      <c r="T224" s="1556"/>
    </row>
    <row r="225" spans="2:31" ht="12.6" customHeight="1">
      <c r="B225" s="467"/>
      <c r="C225" s="485"/>
      <c r="D225" s="485"/>
      <c r="E225" s="3229" t="s">
        <v>1205</v>
      </c>
      <c r="F225" s="2388"/>
      <c r="G225" s="2388"/>
      <c r="H225" s="2388"/>
      <c r="I225" s="2388"/>
      <c r="J225" s="2388"/>
      <c r="K225" s="2388"/>
      <c r="L225" s="2388"/>
      <c r="M225" s="2388"/>
      <c r="N225" s="2388"/>
      <c r="O225" s="481"/>
      <c r="P225" s="485"/>
      <c r="Q225" s="1117"/>
      <c r="T225" s="1556"/>
    </row>
    <row r="226" spans="2:31" ht="12.6" customHeight="1">
      <c r="B226" s="467"/>
      <c r="C226" s="485"/>
      <c r="D226" s="485"/>
      <c r="E226" s="3229" t="s">
        <v>1443</v>
      </c>
      <c r="F226" s="2388"/>
      <c r="G226" s="2388"/>
      <c r="H226" s="2388"/>
      <c r="I226" s="2388"/>
      <c r="J226" s="2388"/>
      <c r="K226" s="2388"/>
      <c r="L226" s="2388"/>
      <c r="M226" s="2388"/>
      <c r="N226" s="2388"/>
      <c r="O226" s="481"/>
      <c r="P226" s="485"/>
      <c r="Q226" s="1117"/>
      <c r="T226" s="1556"/>
    </row>
    <row r="227" spans="2:31">
      <c r="B227" s="1124"/>
      <c r="C227" s="485"/>
      <c r="D227" s="485"/>
      <c r="E227" s="636"/>
      <c r="F227" s="637"/>
      <c r="G227" s="663" t="str">
        <f>EUconst_Unit</f>
        <v>Unit</v>
      </c>
      <c r="H227" s="578">
        <f t="shared" ref="H227:N227" si="43">H$393</f>
        <v>2024</v>
      </c>
      <c r="I227" s="697">
        <f t="shared" si="43"/>
        <v>2025</v>
      </c>
      <c r="J227" s="1489">
        <f t="shared" si="43"/>
        <v>2026</v>
      </c>
      <c r="K227" s="1490">
        <f t="shared" si="43"/>
        <v>2027</v>
      </c>
      <c r="L227" s="1490">
        <f t="shared" si="43"/>
        <v>2028</v>
      </c>
      <c r="M227" s="1490">
        <f t="shared" si="43"/>
        <v>2029</v>
      </c>
      <c r="N227" s="1490">
        <f t="shared" si="43"/>
        <v>2030</v>
      </c>
      <c r="O227" s="481"/>
      <c r="P227" s="485"/>
      <c r="T227" s="1556"/>
    </row>
    <row r="228" spans="2:31" ht="25.5" customHeight="1">
      <c r="B228" s="1124"/>
      <c r="C228" s="485"/>
      <c r="D228" s="485"/>
      <c r="E228" s="2792" t="s">
        <v>1260</v>
      </c>
      <c r="F228" s="3221"/>
      <c r="G228" s="1569" t="str">
        <f>EUconst_TJpa</f>
        <v>TJ / year</v>
      </c>
      <c r="H228" s="641" t="str">
        <f t="shared" ref="H228:N228" si="44">IF(ISNUMBER(H222),IF(H193&gt;=H222*SUM(H197)/100,H222*SUM(H197)/100,H193),IF(ISNUMBER(H193),H193,""))</f>
        <v/>
      </c>
      <c r="I228" s="1568" t="str">
        <f t="shared" si="44"/>
        <v/>
      </c>
      <c r="J228" s="1537" t="str">
        <f t="shared" si="44"/>
        <v/>
      </c>
      <c r="K228" s="1538" t="str">
        <f t="shared" si="44"/>
        <v/>
      </c>
      <c r="L228" s="1538" t="str">
        <f t="shared" si="44"/>
        <v/>
      </c>
      <c r="M228" s="1538" t="str">
        <f t="shared" si="44"/>
        <v/>
      </c>
      <c r="N228" s="1538" t="str">
        <f t="shared" si="44"/>
        <v/>
      </c>
      <c r="O228" s="481"/>
      <c r="P228" s="485"/>
      <c r="T228" s="1556"/>
    </row>
    <row r="229" spans="2:31" ht="13.5" thickBot="1">
      <c r="B229" s="1124"/>
      <c r="C229" s="485"/>
      <c r="D229" s="485"/>
      <c r="E229" s="485"/>
      <c r="F229" s="485"/>
      <c r="G229" s="485"/>
      <c r="H229" s="485"/>
      <c r="I229" s="485"/>
      <c r="J229" s="485"/>
      <c r="K229" s="485"/>
      <c r="L229" s="485"/>
      <c r="M229" s="485"/>
      <c r="N229" s="485"/>
      <c r="O229" s="481"/>
      <c r="P229" s="485"/>
      <c r="T229" s="1556"/>
    </row>
    <row r="230" spans="2:31" ht="13.9" customHeight="1" thickBot="1">
      <c r="B230" s="467"/>
      <c r="C230" s="482"/>
      <c r="D230" s="482" t="s">
        <v>834</v>
      </c>
      <c r="E230" s="2576" t="s">
        <v>483</v>
      </c>
      <c r="F230" s="2576"/>
      <c r="G230" s="2576"/>
      <c r="H230" s="2814"/>
      <c r="I230" s="3243" t="str">
        <f>c_ALR2025!I2705</f>
        <v/>
      </c>
      <c r="J230" s="3244"/>
      <c r="K230" s="1534" t="str">
        <f>IF(AND(ISBLANK(I230),COUNT(J240:N242)&gt;0),EUconst_Incomplete,"")</f>
        <v/>
      </c>
      <c r="L230" s="467"/>
      <c r="M230" s="467"/>
      <c r="N230" s="467"/>
      <c r="O230" s="481"/>
      <c r="P230" s="485"/>
      <c r="Q230" s="1139" t="e">
        <f>IF(ISBLANK($I$230),EUconst_NA,MATCH($I$230,EUconst_AbsRel,0))</f>
        <v>#N/A</v>
      </c>
      <c r="T230" s="1618" t="b">
        <f>OR(T211,AND(T240:T242))</f>
        <v>0</v>
      </c>
    </row>
    <row r="231" spans="2:31" ht="13.15" customHeight="1">
      <c r="B231" s="467"/>
      <c r="C231" s="485"/>
      <c r="D231" s="485"/>
      <c r="E231" s="3239" t="s">
        <v>1444</v>
      </c>
      <c r="F231" s="3226"/>
      <c r="G231" s="3226"/>
      <c r="H231" s="3226"/>
      <c r="I231" s="3226"/>
      <c r="J231" s="3226"/>
      <c r="K231" s="3226"/>
      <c r="L231" s="3226"/>
      <c r="M231" s="3226"/>
      <c r="N231" s="3226"/>
      <c r="O231" s="481"/>
      <c r="P231" s="485"/>
      <c r="Q231" s="1118" t="s">
        <v>256</v>
      </c>
    </row>
    <row r="232" spans="2:31" ht="13.15" customHeight="1">
      <c r="B232" s="467"/>
      <c r="C232" s="485"/>
      <c r="D232" s="485"/>
      <c r="E232" s="3239" t="s">
        <v>47</v>
      </c>
      <c r="F232" s="3226"/>
      <c r="G232" s="3226"/>
      <c r="H232" s="3226"/>
      <c r="I232" s="3226"/>
      <c r="J232" s="3226"/>
      <c r="K232" s="3226"/>
      <c r="L232" s="3226"/>
      <c r="M232" s="3226"/>
      <c r="N232" s="3226"/>
      <c r="O232" s="481"/>
      <c r="P232" s="485"/>
      <c r="Q232" s="1117"/>
    </row>
    <row r="233" spans="2:31" ht="5.0999999999999996" customHeight="1">
      <c r="B233" s="467"/>
      <c r="C233" s="467"/>
      <c r="D233" s="467"/>
      <c r="E233" s="467"/>
      <c r="F233" s="467"/>
      <c r="G233" s="467"/>
      <c r="H233" s="467"/>
      <c r="I233" s="467"/>
      <c r="J233" s="467"/>
      <c r="K233" s="467"/>
      <c r="L233" s="467"/>
      <c r="M233" s="467"/>
      <c r="N233" s="467"/>
      <c r="O233" s="481"/>
      <c r="P233" s="485"/>
      <c r="Q233" s="1117"/>
    </row>
    <row r="234" spans="2:31" ht="13.15" customHeight="1">
      <c r="B234" s="467"/>
      <c r="C234" s="482"/>
      <c r="D234" s="482" t="s">
        <v>1188</v>
      </c>
      <c r="E234" s="2576" t="s">
        <v>484</v>
      </c>
      <c r="F234" s="2577"/>
      <c r="G234" s="2577"/>
      <c r="H234" s="2577"/>
      <c r="I234" s="2577"/>
      <c r="J234" s="2577"/>
      <c r="K234" s="2577"/>
      <c r="L234" s="2577"/>
      <c r="M234" s="2577"/>
      <c r="N234" s="2577"/>
      <c r="O234" s="481"/>
      <c r="P234" s="485"/>
      <c r="Q234" s="1117"/>
    </row>
    <row r="235" spans="2:31" ht="13.15" customHeight="1">
      <c r="B235" s="467"/>
      <c r="C235" s="485"/>
      <c r="D235" s="485"/>
      <c r="E235" s="3239" t="s">
        <v>1445</v>
      </c>
      <c r="F235" s="3226"/>
      <c r="G235" s="3226"/>
      <c r="H235" s="3226"/>
      <c r="I235" s="3226"/>
      <c r="J235" s="3226"/>
      <c r="K235" s="3226"/>
      <c r="L235" s="3226"/>
      <c r="M235" s="3226"/>
      <c r="N235" s="3226"/>
      <c r="O235" s="481"/>
      <c r="P235" s="485"/>
      <c r="Q235" s="1117"/>
    </row>
    <row r="236" spans="2:31" ht="25.5" customHeight="1">
      <c r="B236" s="467"/>
      <c r="C236" s="485"/>
      <c r="D236" s="485"/>
      <c r="E236" s="3239" t="s">
        <v>1206</v>
      </c>
      <c r="F236" s="3226"/>
      <c r="G236" s="3226"/>
      <c r="H236" s="3226"/>
      <c r="I236" s="3226"/>
      <c r="J236" s="3226"/>
      <c r="K236" s="3226"/>
      <c r="L236" s="3226"/>
      <c r="M236" s="3226"/>
      <c r="N236" s="3226"/>
      <c r="O236" s="481"/>
      <c r="P236" s="485"/>
      <c r="Q236" s="1117"/>
    </row>
    <row r="237" spans="2:31" ht="12.75" customHeight="1">
      <c r="B237" s="467"/>
      <c r="C237" s="485"/>
      <c r="D237" s="485"/>
      <c r="E237" s="3225" t="s">
        <v>429</v>
      </c>
      <c r="F237" s="3226"/>
      <c r="G237" s="3226"/>
      <c r="H237" s="3226"/>
      <c r="I237" s="3226"/>
      <c r="J237" s="3226"/>
      <c r="K237" s="3226"/>
      <c r="L237" s="3226"/>
      <c r="M237" s="3226"/>
      <c r="N237" s="3226"/>
      <c r="O237" s="481"/>
      <c r="P237" s="485"/>
      <c r="Q237" s="1117"/>
    </row>
    <row r="238" spans="2:31" ht="5.0999999999999996" customHeight="1">
      <c r="B238" s="467"/>
      <c r="C238" s="467"/>
      <c r="D238" s="467"/>
      <c r="E238" s="467"/>
      <c r="F238" s="467"/>
      <c r="G238" s="467"/>
      <c r="H238" s="467"/>
      <c r="I238" s="467"/>
      <c r="J238" s="467"/>
      <c r="K238" s="467"/>
      <c r="L238" s="467"/>
      <c r="M238" s="467"/>
      <c r="N238" s="467"/>
      <c r="O238" s="481"/>
      <c r="P238" s="485"/>
      <c r="Q238" s="1117"/>
    </row>
    <row r="239" spans="2:31" ht="13.5" customHeight="1" thickBot="1">
      <c r="B239" s="1124"/>
      <c r="C239" s="485"/>
      <c r="D239" s="485"/>
      <c r="E239" s="2803" t="s">
        <v>49</v>
      </c>
      <c r="F239" s="2804"/>
      <c r="G239" s="663" t="str">
        <f>EUconst_Unit</f>
        <v>Unit</v>
      </c>
      <c r="H239" s="578">
        <f t="shared" ref="H239:N239" si="45">H$393</f>
        <v>2024</v>
      </c>
      <c r="I239" s="697">
        <f t="shared" si="45"/>
        <v>2025</v>
      </c>
      <c r="J239" s="1489">
        <f t="shared" si="45"/>
        <v>2026</v>
      </c>
      <c r="K239" s="1490">
        <f t="shared" si="45"/>
        <v>2027</v>
      </c>
      <c r="L239" s="1490">
        <f t="shared" si="45"/>
        <v>2028</v>
      </c>
      <c r="M239" s="1490">
        <f t="shared" si="45"/>
        <v>2029</v>
      </c>
      <c r="N239" s="1490">
        <f t="shared" si="45"/>
        <v>2030</v>
      </c>
      <c r="O239" s="481"/>
      <c r="P239" s="485"/>
      <c r="T239" s="1137" t="s">
        <v>1117</v>
      </c>
    </row>
    <row r="240" spans="2:31" ht="12.6" customHeight="1">
      <c r="B240" s="1124"/>
      <c r="C240" s="561"/>
      <c r="D240" s="561" t="s">
        <v>6</v>
      </c>
      <c r="E240" s="2805" t="str">
        <f>E400</f>
        <v>Heat benchmark sub-installation, CL</v>
      </c>
      <c r="F240" s="2806"/>
      <c r="G240" s="1570" t="e">
        <f>IF(CTRL_InputMethodHeatSubInstSplit=EUconst_NA,EUconst_relOrTJpa,IF(CTRL_InputMethodHeatSubInstSplit=1,EUconst_TJpa,"%"))</f>
        <v>#N/A</v>
      </c>
      <c r="H240" s="1571" t="str">
        <f>c_ALR2025!M2710</f>
        <v/>
      </c>
      <c r="I240" s="1620"/>
      <c r="J240" s="1491"/>
      <c r="K240" s="1492"/>
      <c r="L240" s="1492"/>
      <c r="M240" s="1492"/>
      <c r="N240" s="1492"/>
      <c r="O240" s="481"/>
      <c r="P240" s="10"/>
      <c r="Q240" s="1140" t="e">
        <f>IF(CTRL_InputMethodHeatSubInstSplit=1,EUconst_CNTR_HAL&amp;E240,"")</f>
        <v>#N/A</v>
      </c>
      <c r="R240" s="1561">
        <v>1</v>
      </c>
      <c r="T240" s="1613" t="b">
        <f>IF(INDEX(CNTR_FallBackSubInstRelevant,R240)="",FALSE,IF(INDEX(CNTR_FallBackSubInstRelevant,R240),FALSE,TRUE))</f>
        <v>0</v>
      </c>
      <c r="AD240" s="1161" t="s">
        <v>1954</v>
      </c>
      <c r="AE240" s="1303" t="str">
        <f>IF(AND(CNTR_HasEntries_A_I,T240=FALSE,COUNTIFS($V$16:$AB$16,FALSE,H240:N240,"")&gt;0,$T$94=FALSE),3,"")</f>
        <v/>
      </c>
    </row>
    <row r="241" spans="2:31" ht="12.6" customHeight="1">
      <c r="B241" s="1124"/>
      <c r="C241" s="561"/>
      <c r="D241" s="561" t="s">
        <v>7</v>
      </c>
      <c r="E241" s="2807" t="str">
        <f>E401</f>
        <v>Heat benchmark sub-installation, non-CL</v>
      </c>
      <c r="F241" s="2808"/>
      <c r="G241" s="1572" t="e">
        <f>IF(CTRL_InputMethodHeatSubInstSplit=EUconst_NA,EUconst_relOrTJpa,IF(CTRL_InputMethodHeatSubInstSplit=1,EUconst_TJpa,"%"))</f>
        <v>#N/A</v>
      </c>
      <c r="H241" s="1557" t="str">
        <f>c_ALR2025!M2711</f>
        <v/>
      </c>
      <c r="I241" s="1615"/>
      <c r="J241" s="1491"/>
      <c r="K241" s="1492"/>
      <c r="L241" s="1492"/>
      <c r="M241" s="1492"/>
      <c r="N241" s="1492"/>
      <c r="O241" s="481"/>
      <c r="P241" s="10"/>
      <c r="Q241" s="1140" t="e">
        <f>IF(CTRL_InputMethodHeatSubInstSplit=1,EUconst_CNTR_HAL&amp;E241,"")</f>
        <v>#N/A</v>
      </c>
      <c r="R241" s="1318">
        <v>2</v>
      </c>
      <c r="T241" s="1617" t="b">
        <f>IF(INDEX(CNTR_FallBackSubInstRelevant,R241)="",FALSE,IF(INDEX(CNTR_FallBackSubInstRelevant,R241),FALSE,TRUE))</f>
        <v>0</v>
      </c>
      <c r="AD241" s="1161" t="s">
        <v>1954</v>
      </c>
      <c r="AE241" s="1303" t="str">
        <f>IF(AND(CNTR_HasEntries_A_I,T241=FALSE,COUNTIFS($V$16:$AB$16,FALSE,H241:N241,"")&gt;0,$T$94=FALSE),3,"")</f>
        <v/>
      </c>
    </row>
    <row r="242" spans="2:31" ht="13.15" customHeight="1" thickBot="1">
      <c r="B242" s="1124"/>
      <c r="C242" s="561"/>
      <c r="D242" s="561" t="s">
        <v>8</v>
      </c>
      <c r="E242" s="2809" t="str">
        <f>E402</f>
        <v>District heating sub-installation</v>
      </c>
      <c r="F242" s="2810"/>
      <c r="G242" s="1573" t="e">
        <f>IF(CTRL_InputMethodHeatSubInstSplit=EUconst_NA,EUconst_relOrTJpa,IF(CTRL_InputMethodHeatSubInstSplit=1,EUconst_TJpa,"%"))</f>
        <v>#N/A</v>
      </c>
      <c r="H242" s="1574" t="str">
        <f>c_ALR2025!M2712</f>
        <v/>
      </c>
      <c r="I242" s="1621"/>
      <c r="J242" s="1491"/>
      <c r="K242" s="1492"/>
      <c r="L242" s="1492"/>
      <c r="M242" s="1492"/>
      <c r="N242" s="1492"/>
      <c r="O242" s="481"/>
      <c r="P242" s="10"/>
      <c r="Q242" s="1140" t="e">
        <f>IF(CTRL_InputMethodHeatSubInstSplit=1,EUconst_CNTR_HAL&amp;E242,"")</f>
        <v>#N/A</v>
      </c>
      <c r="R242" s="1278">
        <v>3</v>
      </c>
      <c r="T242" s="1618" t="b">
        <f>IF(INDEX(CNTR_FallBackSubInstRelevant,R242)="",FALSE,IF(INDEX(CNTR_FallBackSubInstRelevant,R242),FALSE,TRUE))</f>
        <v>0</v>
      </c>
      <c r="AD242" s="1161" t="s">
        <v>1954</v>
      </c>
      <c r="AE242" s="1303" t="str">
        <f>IF(AND(CNTR_HasEntries_A_I,T242=FALSE,COUNTIFS($V$16:$AB$16,FALSE,H242:N242,"")&gt;0,$T$94=FALSE),3,"")</f>
        <v/>
      </c>
    </row>
    <row r="243" spans="2:31" ht="12.6" customHeight="1">
      <c r="B243" s="1124"/>
      <c r="C243" s="561"/>
      <c r="D243" s="561"/>
      <c r="E243" s="1575" t="s">
        <v>480</v>
      </c>
      <c r="F243" s="1576"/>
      <c r="G243" s="852"/>
      <c r="H243" s="1577"/>
      <c r="I243" s="760"/>
      <c r="J243" s="485"/>
      <c r="K243" s="485"/>
      <c r="L243" s="485"/>
      <c r="M243" s="485"/>
      <c r="N243" s="485"/>
      <c r="O243" s="481"/>
      <c r="P243" s="485"/>
      <c r="Q243" s="1256"/>
    </row>
    <row r="244" spans="2:31" ht="12.6" customHeight="1">
      <c r="B244" s="1124"/>
      <c r="C244" s="561"/>
      <c r="D244" s="561" t="s">
        <v>18</v>
      </c>
      <c r="E244" s="3230" t="str">
        <f>E240</f>
        <v>Heat benchmark sub-installation, CL</v>
      </c>
      <c r="F244" s="3228"/>
      <c r="G244" s="1016" t="e">
        <f>IF(CTRL_InputMethodHeatSubInstSplit=EUconst_NA,EUconst_relOrTJpa,IF(CTRL_InputMethodHeatSubInstSplit=2,EUconst_TJpa,"%"))</f>
        <v>#N/A</v>
      </c>
      <c r="H244" s="600" t="e">
        <f>IF(AND(ISNUMBER(H$228),ISNUMBER(H240),CTRL_InputMethodHeatSubInstSplit&lt;&gt;EUconst_NA),IF(CTRL_InputMethodHeatSubInstSplit=1,H240/H$228*100,H240*H$228/100),"")</f>
        <v>#N/A</v>
      </c>
      <c r="I244" s="1566" t="e">
        <f t="shared" ref="H244:I246" si="46">IF(AND(ISNUMBER(I$228),ISNUMBER(I240),CTRL_InputMethodHeatSubInstSplit&lt;&gt;EUconst_NA),IF(CTRL_InputMethodHeatSubInstSplit=1,I240/I$228*100,I240*I$228/100),"")</f>
        <v>#N/A</v>
      </c>
      <c r="J244" s="1491" t="e">
        <f t="shared" ref="J244:N246" si="47">IF(AND(ISNUMBER(J$228),ISNUMBER(J240),CTRL_InputMethodHeatSubInstSplit&lt;&gt;EUconst_NA),IF(CTRL_InputMethodHeatSubInstSplit=1,J240/J$228*100,J240*J$228/100),"")</f>
        <v>#N/A</v>
      </c>
      <c r="K244" s="1492" t="e">
        <f t="shared" si="47"/>
        <v>#N/A</v>
      </c>
      <c r="L244" s="1492" t="e">
        <f t="shared" si="47"/>
        <v>#N/A</v>
      </c>
      <c r="M244" s="1492" t="e">
        <f t="shared" si="47"/>
        <v>#N/A</v>
      </c>
      <c r="N244" s="1492" t="e">
        <f t="shared" si="47"/>
        <v>#N/A</v>
      </c>
      <c r="O244" s="481"/>
      <c r="P244" s="485"/>
      <c r="Q244" s="1140" t="e">
        <f>IF(CTRL_InputMethodHeatSubInstSplit=2,EUconst_CNTR_HAL&amp;E244,"")</f>
        <v>#N/A</v>
      </c>
    </row>
    <row r="245" spans="2:31" ht="12.6" customHeight="1">
      <c r="B245" s="1124"/>
      <c r="C245" s="561"/>
      <c r="D245" s="561" t="s">
        <v>787</v>
      </c>
      <c r="E245" s="3231" t="str">
        <f>E241</f>
        <v>Heat benchmark sub-installation, non-CL</v>
      </c>
      <c r="F245" s="3232"/>
      <c r="G245" s="1578" t="e">
        <f>IF(CTRL_InputMethodHeatSubInstSplit=EUconst_NA,EUconst_relOrTJpa,IF(CTRL_InputMethodHeatSubInstSplit=2,EUconst_TJpa,"%"))</f>
        <v>#N/A</v>
      </c>
      <c r="H245" s="648" t="e">
        <f t="shared" si="46"/>
        <v>#N/A</v>
      </c>
      <c r="I245" s="1579" t="e">
        <f t="shared" si="46"/>
        <v>#N/A</v>
      </c>
      <c r="J245" s="1491" t="e">
        <f t="shared" si="47"/>
        <v>#N/A</v>
      </c>
      <c r="K245" s="1492" t="e">
        <f t="shared" si="47"/>
        <v>#N/A</v>
      </c>
      <c r="L245" s="1492" t="e">
        <f t="shared" si="47"/>
        <v>#N/A</v>
      </c>
      <c r="M245" s="1492" t="e">
        <f t="shared" si="47"/>
        <v>#N/A</v>
      </c>
      <c r="N245" s="1492" t="e">
        <f t="shared" si="47"/>
        <v>#N/A</v>
      </c>
      <c r="O245" s="481"/>
      <c r="P245" s="485"/>
      <c r="Q245" s="1140" t="e">
        <f>IF(CTRL_InputMethodHeatSubInstSplit=2,EUconst_CNTR_HAL&amp;E245,"")</f>
        <v>#N/A</v>
      </c>
    </row>
    <row r="246" spans="2:31" ht="12.6" customHeight="1">
      <c r="B246" s="1124"/>
      <c r="C246" s="561"/>
      <c r="D246" s="561" t="s">
        <v>788</v>
      </c>
      <c r="E246" s="3233" t="str">
        <f>E242</f>
        <v>District heating sub-installation</v>
      </c>
      <c r="F246" s="3234"/>
      <c r="G246" s="1580" t="e">
        <f>IF(CTRL_InputMethodHeatSubInstSplit=EUconst_NA,EUconst_relOrTJpa,IF(CTRL_InputMethodHeatSubInstSplit=2,EUconst_TJpa,"%"))</f>
        <v>#N/A</v>
      </c>
      <c r="H246" s="605" t="e">
        <f t="shared" si="46"/>
        <v>#N/A</v>
      </c>
      <c r="I246" s="973" t="e">
        <f t="shared" si="46"/>
        <v>#N/A</v>
      </c>
      <c r="J246" s="1491" t="e">
        <f t="shared" si="47"/>
        <v>#N/A</v>
      </c>
      <c r="K246" s="1492" t="e">
        <f t="shared" si="47"/>
        <v>#N/A</v>
      </c>
      <c r="L246" s="1492" t="e">
        <f t="shared" si="47"/>
        <v>#N/A</v>
      </c>
      <c r="M246" s="1492" t="e">
        <f t="shared" si="47"/>
        <v>#N/A</v>
      </c>
      <c r="N246" s="1492" t="e">
        <f t="shared" si="47"/>
        <v>#N/A</v>
      </c>
      <c r="O246" s="481"/>
      <c r="P246" s="485"/>
      <c r="Q246" s="1140" t="e">
        <f>IF(CTRL_InputMethodHeatSubInstSplit=2,EUconst_CNTR_HAL&amp;E246,"")</f>
        <v>#N/A</v>
      </c>
    </row>
    <row r="247" spans="2:31">
      <c r="B247" s="1124"/>
      <c r="C247" s="485"/>
      <c r="D247" s="485"/>
      <c r="E247" s="485"/>
      <c r="F247" s="485"/>
      <c r="G247" s="485"/>
      <c r="H247" s="485"/>
      <c r="I247" s="485"/>
      <c r="J247" s="485"/>
      <c r="K247" s="485"/>
      <c r="L247" s="485"/>
      <c r="M247" s="485"/>
      <c r="N247" s="485"/>
      <c r="O247" s="481"/>
      <c r="P247" s="485"/>
    </row>
    <row r="248" spans="2:31" ht="15.6" customHeight="1">
      <c r="B248" s="467"/>
      <c r="C248" s="507" t="s">
        <v>883</v>
      </c>
      <c r="D248" s="2813" t="s">
        <v>1172</v>
      </c>
      <c r="E248" s="2813"/>
      <c r="F248" s="2813"/>
      <c r="G248" s="2813"/>
      <c r="H248" s="2813"/>
      <c r="I248" s="2813"/>
      <c r="J248" s="2813"/>
      <c r="K248" s="2813"/>
      <c r="L248" s="2813"/>
      <c r="M248" s="2813"/>
      <c r="N248" s="2813"/>
      <c r="O248" s="481"/>
      <c r="P248" s="485"/>
      <c r="Q248" s="1117"/>
    </row>
    <row r="249" spans="2:31" ht="5.0999999999999996" customHeight="1">
      <c r="B249" s="467"/>
      <c r="C249" s="467"/>
      <c r="D249" s="467"/>
      <c r="E249" s="467"/>
      <c r="F249" s="467"/>
      <c r="G249" s="467"/>
      <c r="H249" s="467"/>
      <c r="I249" s="467"/>
      <c r="J249" s="467"/>
      <c r="K249" s="467"/>
      <c r="L249" s="467"/>
      <c r="M249" s="481"/>
      <c r="N249" s="481"/>
      <c r="O249" s="481"/>
      <c r="P249" s="485"/>
      <c r="Q249" s="1117"/>
    </row>
    <row r="250" spans="2:31" ht="15" customHeight="1">
      <c r="B250" s="467"/>
      <c r="C250" s="559"/>
      <c r="D250" s="2482" t="s">
        <v>1187</v>
      </c>
      <c r="E250" s="2400"/>
      <c r="F250" s="2400"/>
      <c r="G250" s="2400"/>
      <c r="H250" s="2400"/>
      <c r="I250" s="2400"/>
      <c r="J250" s="2400"/>
      <c r="K250" s="2400"/>
      <c r="L250" s="2400"/>
      <c r="M250" s="2400"/>
      <c r="N250" s="2400"/>
      <c r="O250" s="481"/>
      <c r="P250" s="485"/>
      <c r="Q250" s="1117"/>
    </row>
    <row r="251" spans="2:31" ht="25.5" customHeight="1">
      <c r="B251" s="467"/>
      <c r="C251" s="467"/>
      <c r="D251" s="3225" t="s">
        <v>1537</v>
      </c>
      <c r="E251" s="3226"/>
      <c r="F251" s="3226"/>
      <c r="G251" s="3226"/>
      <c r="H251" s="3226"/>
      <c r="I251" s="3226"/>
      <c r="J251" s="3226"/>
      <c r="K251" s="3226"/>
      <c r="L251" s="3226"/>
      <c r="M251" s="3226"/>
      <c r="N251" s="3226"/>
      <c r="O251" s="481"/>
      <c r="P251" s="485"/>
      <c r="Q251" s="1117"/>
    </row>
    <row r="252" spans="2:31" ht="12.75" customHeight="1">
      <c r="B252" s="467"/>
      <c r="C252" s="467"/>
      <c r="D252" s="3225" t="s">
        <v>1607</v>
      </c>
      <c r="E252" s="3226"/>
      <c r="F252" s="3226"/>
      <c r="G252" s="3226"/>
      <c r="H252" s="3226"/>
      <c r="I252" s="3226"/>
      <c r="J252" s="3226"/>
      <c r="K252" s="3226"/>
      <c r="L252" s="3226"/>
      <c r="M252" s="3226"/>
      <c r="N252" s="3226"/>
      <c r="O252" s="481"/>
      <c r="P252" s="485"/>
      <c r="Q252" s="1117"/>
    </row>
    <row r="253" spans="2:31" ht="5.0999999999999996" customHeight="1">
      <c r="B253" s="467"/>
      <c r="C253" s="467"/>
      <c r="D253" s="467"/>
      <c r="E253" s="467"/>
      <c r="F253" s="467"/>
      <c r="G253" s="467"/>
      <c r="H253" s="467"/>
      <c r="I253" s="467"/>
      <c r="J253" s="467"/>
      <c r="K253" s="467"/>
      <c r="L253" s="467"/>
      <c r="M253" s="467"/>
      <c r="N253" s="467"/>
      <c r="O253" s="481"/>
      <c r="P253" s="485"/>
      <c r="Q253" s="1117"/>
    </row>
    <row r="254" spans="2:31" ht="12.75" customHeight="1">
      <c r="B254" s="467"/>
      <c r="C254" s="467"/>
      <c r="D254" s="1499"/>
      <c r="E254" s="2508" t="s">
        <v>1479</v>
      </c>
      <c r="F254" s="2508"/>
      <c r="G254" s="2508"/>
      <c r="H254" s="2508"/>
      <c r="I254" s="2508"/>
      <c r="J254" s="2508"/>
      <c r="K254" s="2508"/>
      <c r="L254" s="2580"/>
      <c r="M254" s="1612"/>
      <c r="N254" s="481"/>
      <c r="O254" s="481"/>
      <c r="P254" s="485"/>
      <c r="Q254" s="1249"/>
      <c r="R254" s="1198"/>
      <c r="S254" s="1198"/>
      <c r="T254" s="1198"/>
    </row>
    <row r="255" spans="2:31" ht="12.75" customHeight="1">
      <c r="B255" s="467"/>
      <c r="C255" s="467"/>
      <c r="D255" s="467"/>
      <c r="E255" s="3250" t="str">
        <f>IF(AND(M254&lt;&gt;"",M254=FALSE),HYPERLINK(R255,EUconst_MsgGoOn),HYPERLINK("",EUconst_MsgEnterThisSection))</f>
        <v>Please enter data in this section!</v>
      </c>
      <c r="F255" s="3251"/>
      <c r="G255" s="3251"/>
      <c r="H255" s="3251"/>
      <c r="I255" s="3251"/>
      <c r="J255" s="3251"/>
      <c r="K255" s="3251"/>
      <c r="L255" s="3251"/>
      <c r="M255" s="3252"/>
      <c r="N255" s="467"/>
      <c r="O255" s="481"/>
      <c r="P255" s="485"/>
      <c r="Q255" s="1198" t="s">
        <v>441</v>
      </c>
      <c r="R255" s="1488" t="str">
        <f>"#"&amp;ADDRESS(ROW(C354),COLUMN(C354))</f>
        <v>#$C$354</v>
      </c>
    </row>
    <row r="256" spans="2:31" ht="13.15" customHeight="1">
      <c r="B256" s="1124"/>
      <c r="C256" s="485"/>
      <c r="D256" s="485"/>
      <c r="E256" s="2385" t="s">
        <v>1517</v>
      </c>
      <c r="F256" s="2846"/>
      <c r="G256" s="2846"/>
      <c r="H256" s="2846"/>
      <c r="I256" s="2846"/>
      <c r="J256" s="2846"/>
      <c r="K256" s="2846"/>
      <c r="L256" s="2846"/>
      <c r="M256" s="2846"/>
      <c r="N256" s="2846"/>
      <c r="O256" s="481"/>
      <c r="P256" s="485"/>
      <c r="Q256" s="1137"/>
    </row>
    <row r="257" spans="2:17" ht="5.0999999999999996" customHeight="1">
      <c r="B257" s="467"/>
      <c r="C257" s="467"/>
      <c r="D257" s="467"/>
      <c r="E257" s="467"/>
      <c r="F257" s="467"/>
      <c r="G257" s="467"/>
      <c r="H257" s="467"/>
      <c r="I257" s="467"/>
      <c r="J257" s="467"/>
      <c r="K257" s="467"/>
      <c r="L257" s="467"/>
      <c r="M257" s="481"/>
      <c r="N257" s="481"/>
      <c r="O257" s="481"/>
      <c r="P257" s="485"/>
      <c r="Q257" s="1117"/>
    </row>
    <row r="258" spans="2:17" ht="13.15" customHeight="1">
      <c r="B258" s="467"/>
      <c r="C258" s="482"/>
      <c r="D258" s="482" t="s">
        <v>400</v>
      </c>
      <c r="E258" s="2576" t="s">
        <v>1193</v>
      </c>
      <c r="F258" s="2577"/>
      <c r="G258" s="2577"/>
      <c r="H258" s="2577"/>
      <c r="I258" s="2577"/>
      <c r="J258" s="2577"/>
      <c r="K258" s="2577"/>
      <c r="L258" s="2577"/>
      <c r="M258" s="2577"/>
      <c r="N258" s="2577"/>
      <c r="O258" s="481"/>
      <c r="P258" s="485"/>
      <c r="Q258" s="1117"/>
    </row>
    <row r="259" spans="2:17" ht="12.75" customHeight="1">
      <c r="B259" s="467"/>
      <c r="C259" s="485"/>
      <c r="D259" s="485"/>
      <c r="E259" s="3239" t="s">
        <v>1472</v>
      </c>
      <c r="F259" s="3226"/>
      <c r="G259" s="3226"/>
      <c r="H259" s="3226"/>
      <c r="I259" s="3226"/>
      <c r="J259" s="3226"/>
      <c r="K259" s="3226"/>
      <c r="L259" s="3226"/>
      <c r="M259" s="3226"/>
      <c r="N259" s="3226"/>
      <c r="O259" s="481"/>
      <c r="P259" s="485"/>
      <c r="Q259" s="1117"/>
    </row>
    <row r="260" spans="2:17" ht="13.15" customHeight="1">
      <c r="B260" s="1124"/>
      <c r="C260" s="485"/>
      <c r="D260" s="485"/>
      <c r="E260" s="2791" t="s">
        <v>831</v>
      </c>
      <c r="F260" s="3222"/>
      <c r="G260" s="663" t="str">
        <f>EUconst_Unit</f>
        <v>Unit</v>
      </c>
      <c r="H260" s="578">
        <f t="shared" ref="H260:N260" si="48">H$393</f>
        <v>2024</v>
      </c>
      <c r="I260" s="697">
        <f t="shared" si="48"/>
        <v>2025</v>
      </c>
      <c r="J260" s="1489">
        <f t="shared" si="48"/>
        <v>2026</v>
      </c>
      <c r="K260" s="1490">
        <f t="shared" si="48"/>
        <v>2027</v>
      </c>
      <c r="L260" s="1490">
        <f t="shared" si="48"/>
        <v>2028</v>
      </c>
      <c r="M260" s="1490">
        <f t="shared" si="48"/>
        <v>2029</v>
      </c>
      <c r="N260" s="1490">
        <f t="shared" si="48"/>
        <v>2030</v>
      </c>
      <c r="O260" s="481"/>
      <c r="P260" s="485"/>
    </row>
    <row r="261" spans="2:17" ht="12.6" customHeight="1">
      <c r="B261" s="1124"/>
      <c r="C261" s="485"/>
      <c r="D261" s="561" t="s">
        <v>6</v>
      </c>
      <c r="E261" s="3227" t="str">
        <f t="shared" ref="E261:E270" si="49">E147</f>
        <v/>
      </c>
      <c r="F261" s="3228"/>
      <c r="G261" s="721" t="str">
        <f t="shared" ref="G261:G271" si="50">EUconst_TJpa</f>
        <v>TJ / year</v>
      </c>
      <c r="H261" s="656" t="str">
        <f>IF(SUMIF(F_ProductBM!$Q:$Q,$Q261,F_ProductBM!H:H)&gt;0,SUMIF(F_ProductBM!$Q:$Q,$Q261,F_ProductBM!H:H),"")</f>
        <v/>
      </c>
      <c r="I261" s="962" t="str">
        <f>IF(SUMIF(F_ProductBM!$Q:$Q,$Q261,F_ProductBM!I:I)&gt;0,SUMIF(F_ProductBM!$Q:$Q,$Q261,F_ProductBM!I:I),"")</f>
        <v/>
      </c>
      <c r="J261" s="1491" t="str">
        <f>IF(SUMIF(F_ProductBM!$Q:$Q,$Q261,F_ProductBM!J:J)&gt;0,SUMIF(F_ProductBM!$Q:$Q,$Q261,F_ProductBM!J:J),"")</f>
        <v/>
      </c>
      <c r="K261" s="1492" t="str">
        <f>IF(SUMIF(F_ProductBM!$Q:$Q,$Q261,F_ProductBM!K:K)&gt;0,SUMIF(F_ProductBM!$Q:$Q,$Q261,F_ProductBM!K:K),"")</f>
        <v/>
      </c>
      <c r="L261" s="1492" t="str">
        <f>IF(SUMIF(F_ProductBM!$Q:$Q,$Q261,F_ProductBM!L:L)&gt;0,SUMIF(F_ProductBM!$Q:$Q,$Q261,F_ProductBM!L:L),"")</f>
        <v/>
      </c>
      <c r="M261" s="1492" t="str">
        <f>IF(SUMIF(F_ProductBM!$Q:$Q,$Q261,F_ProductBM!M:M)&gt;0,SUMIF(F_ProductBM!$Q:$Q,$Q261,F_ProductBM!M:M),"")</f>
        <v/>
      </c>
      <c r="N261" s="1492" t="str">
        <f>IF(SUMIF(F_ProductBM!$Q:$Q,$Q261,F_ProductBM!N:N)&gt;0,SUMIF(F_ProductBM!$Q:$Q,$Q261,F_ProductBM!N:N),"")</f>
        <v/>
      </c>
      <c r="O261" s="481"/>
      <c r="P261" s="485"/>
      <c r="Q261" s="1140" t="str">
        <f t="shared" ref="Q261:Q270" si="51">EUconst_CNTR_WGProduced &amp; E261</f>
        <v>WasteGasProd_</v>
      </c>
    </row>
    <row r="262" spans="2:17">
      <c r="B262" s="1124"/>
      <c r="C262" s="485"/>
      <c r="D262" s="561" t="s">
        <v>7</v>
      </c>
      <c r="E262" s="3236" t="str">
        <f t="shared" si="49"/>
        <v/>
      </c>
      <c r="F262" s="3232"/>
      <c r="G262" s="724" t="str">
        <f t="shared" si="50"/>
        <v>TJ / year</v>
      </c>
      <c r="H262" s="658" t="str">
        <f>IF(SUMIF(F_ProductBM!$Q:$Q,$Q262,F_ProductBM!H:H)&gt;0,SUMIF(F_ProductBM!$Q:$Q,$Q262,F_ProductBM!H:H),"")</f>
        <v/>
      </c>
      <c r="I262" s="965" t="str">
        <f>IF(SUMIF(F_ProductBM!$Q:$Q,$Q262,F_ProductBM!I:I)&gt;0,SUMIF(F_ProductBM!$Q:$Q,$Q262,F_ProductBM!I:I),"")</f>
        <v/>
      </c>
      <c r="J262" s="1491" t="str">
        <f>IF(SUMIF(F_ProductBM!$Q:$Q,$Q262,F_ProductBM!J:J)&gt;0,SUMIF(F_ProductBM!$Q:$Q,$Q262,F_ProductBM!J:J),"")</f>
        <v/>
      </c>
      <c r="K262" s="1492" t="str">
        <f>IF(SUMIF(F_ProductBM!$Q:$Q,$Q262,F_ProductBM!K:K)&gt;0,SUMIF(F_ProductBM!$Q:$Q,$Q262,F_ProductBM!K:K),"")</f>
        <v/>
      </c>
      <c r="L262" s="1492" t="str">
        <f>IF(SUMIF(F_ProductBM!$Q:$Q,$Q262,F_ProductBM!L:L)&gt;0,SUMIF(F_ProductBM!$Q:$Q,$Q262,F_ProductBM!L:L),"")</f>
        <v/>
      </c>
      <c r="M262" s="1492" t="str">
        <f>IF(SUMIF(F_ProductBM!$Q:$Q,$Q262,F_ProductBM!M:M)&gt;0,SUMIF(F_ProductBM!$Q:$Q,$Q262,F_ProductBM!M:M),"")</f>
        <v/>
      </c>
      <c r="N262" s="1492" t="str">
        <f>IF(SUMIF(F_ProductBM!$Q:$Q,$Q262,F_ProductBM!N:N)&gt;0,SUMIF(F_ProductBM!$Q:$Q,$Q262,F_ProductBM!N:N),"")</f>
        <v/>
      </c>
      <c r="O262" s="481"/>
      <c r="P262" s="485"/>
      <c r="Q262" s="1140" t="str">
        <f t="shared" si="51"/>
        <v>WasteGasProd_</v>
      </c>
    </row>
    <row r="263" spans="2:17">
      <c r="B263" s="1124"/>
      <c r="C263" s="485"/>
      <c r="D263" s="561" t="s">
        <v>8</v>
      </c>
      <c r="E263" s="3236" t="str">
        <f t="shared" si="49"/>
        <v/>
      </c>
      <c r="F263" s="3232"/>
      <c r="G263" s="724" t="str">
        <f t="shared" si="50"/>
        <v>TJ / year</v>
      </c>
      <c r="H263" s="658" t="str">
        <f>IF(SUMIF(F_ProductBM!$Q:$Q,$Q263,F_ProductBM!H:H)&gt;0,SUMIF(F_ProductBM!$Q:$Q,$Q263,F_ProductBM!H:H),"")</f>
        <v/>
      </c>
      <c r="I263" s="965" t="str">
        <f>IF(SUMIF(F_ProductBM!$Q:$Q,$Q263,F_ProductBM!I:I)&gt;0,SUMIF(F_ProductBM!$Q:$Q,$Q263,F_ProductBM!I:I),"")</f>
        <v/>
      </c>
      <c r="J263" s="1491" t="str">
        <f>IF(SUMIF(F_ProductBM!$Q:$Q,$Q263,F_ProductBM!J:J)&gt;0,SUMIF(F_ProductBM!$Q:$Q,$Q263,F_ProductBM!J:J),"")</f>
        <v/>
      </c>
      <c r="K263" s="1492" t="str">
        <f>IF(SUMIF(F_ProductBM!$Q:$Q,$Q263,F_ProductBM!K:K)&gt;0,SUMIF(F_ProductBM!$Q:$Q,$Q263,F_ProductBM!K:K),"")</f>
        <v/>
      </c>
      <c r="L263" s="1492" t="str">
        <f>IF(SUMIF(F_ProductBM!$Q:$Q,$Q263,F_ProductBM!L:L)&gt;0,SUMIF(F_ProductBM!$Q:$Q,$Q263,F_ProductBM!L:L),"")</f>
        <v/>
      </c>
      <c r="M263" s="1492" t="str">
        <f>IF(SUMIF(F_ProductBM!$Q:$Q,$Q263,F_ProductBM!M:M)&gt;0,SUMIF(F_ProductBM!$Q:$Q,$Q263,F_ProductBM!M:M),"")</f>
        <v/>
      </c>
      <c r="N263" s="1492" t="str">
        <f>IF(SUMIF(F_ProductBM!$Q:$Q,$Q263,F_ProductBM!N:N)&gt;0,SUMIF(F_ProductBM!$Q:$Q,$Q263,F_ProductBM!N:N),"")</f>
        <v/>
      </c>
      <c r="O263" s="481"/>
      <c r="P263" s="485"/>
      <c r="Q263" s="1140" t="str">
        <f t="shared" si="51"/>
        <v>WasteGasProd_</v>
      </c>
    </row>
    <row r="264" spans="2:17">
      <c r="B264" s="1124"/>
      <c r="C264" s="485"/>
      <c r="D264" s="561" t="s">
        <v>18</v>
      </c>
      <c r="E264" s="3236" t="str">
        <f t="shared" si="49"/>
        <v/>
      </c>
      <c r="F264" s="3232"/>
      <c r="G264" s="724" t="str">
        <f t="shared" si="50"/>
        <v>TJ / year</v>
      </c>
      <c r="H264" s="658" t="str">
        <f>IF(SUMIF(F_ProductBM!$Q:$Q,$Q264,F_ProductBM!H:H)&gt;0,SUMIF(F_ProductBM!$Q:$Q,$Q264,F_ProductBM!H:H),"")</f>
        <v/>
      </c>
      <c r="I264" s="965" t="str">
        <f>IF(SUMIF(F_ProductBM!$Q:$Q,$Q264,F_ProductBM!I:I)&gt;0,SUMIF(F_ProductBM!$Q:$Q,$Q264,F_ProductBM!I:I),"")</f>
        <v/>
      </c>
      <c r="J264" s="1491" t="str">
        <f>IF(SUMIF(F_ProductBM!$Q:$Q,$Q264,F_ProductBM!J:J)&gt;0,SUMIF(F_ProductBM!$Q:$Q,$Q264,F_ProductBM!J:J),"")</f>
        <v/>
      </c>
      <c r="K264" s="1492" t="str">
        <f>IF(SUMIF(F_ProductBM!$Q:$Q,$Q264,F_ProductBM!K:K)&gt;0,SUMIF(F_ProductBM!$Q:$Q,$Q264,F_ProductBM!K:K),"")</f>
        <v/>
      </c>
      <c r="L264" s="1492" t="str">
        <f>IF(SUMIF(F_ProductBM!$Q:$Q,$Q264,F_ProductBM!L:L)&gt;0,SUMIF(F_ProductBM!$Q:$Q,$Q264,F_ProductBM!L:L),"")</f>
        <v/>
      </c>
      <c r="M264" s="1492" t="str">
        <f>IF(SUMIF(F_ProductBM!$Q:$Q,$Q264,F_ProductBM!M:M)&gt;0,SUMIF(F_ProductBM!$Q:$Q,$Q264,F_ProductBM!M:M),"")</f>
        <v/>
      </c>
      <c r="N264" s="1492" t="str">
        <f>IF(SUMIF(F_ProductBM!$Q:$Q,$Q264,F_ProductBM!N:N)&gt;0,SUMIF(F_ProductBM!$Q:$Q,$Q264,F_ProductBM!N:N),"")</f>
        <v/>
      </c>
      <c r="O264" s="481"/>
      <c r="P264" s="485"/>
      <c r="Q264" s="1140" t="str">
        <f t="shared" si="51"/>
        <v>WasteGasProd_</v>
      </c>
    </row>
    <row r="265" spans="2:17">
      <c r="B265" s="1124"/>
      <c r="C265" s="485"/>
      <c r="D265" s="561" t="s">
        <v>787</v>
      </c>
      <c r="E265" s="3236" t="str">
        <f t="shared" si="49"/>
        <v/>
      </c>
      <c r="F265" s="3232"/>
      <c r="G265" s="724" t="str">
        <f t="shared" si="50"/>
        <v>TJ / year</v>
      </c>
      <c r="H265" s="658" t="str">
        <f>IF(SUMIF(F_ProductBM!$Q:$Q,$Q265,F_ProductBM!H:H)&gt;0,SUMIF(F_ProductBM!$Q:$Q,$Q265,F_ProductBM!H:H),"")</f>
        <v/>
      </c>
      <c r="I265" s="965" t="str">
        <f>IF(SUMIF(F_ProductBM!$Q:$Q,$Q265,F_ProductBM!I:I)&gt;0,SUMIF(F_ProductBM!$Q:$Q,$Q265,F_ProductBM!I:I),"")</f>
        <v/>
      </c>
      <c r="J265" s="1491" t="str">
        <f>IF(SUMIF(F_ProductBM!$Q:$Q,$Q265,F_ProductBM!J:J)&gt;0,SUMIF(F_ProductBM!$Q:$Q,$Q265,F_ProductBM!J:J),"")</f>
        <v/>
      </c>
      <c r="K265" s="1492" t="str">
        <f>IF(SUMIF(F_ProductBM!$Q:$Q,$Q265,F_ProductBM!K:K)&gt;0,SUMIF(F_ProductBM!$Q:$Q,$Q265,F_ProductBM!K:K),"")</f>
        <v/>
      </c>
      <c r="L265" s="1492" t="str">
        <f>IF(SUMIF(F_ProductBM!$Q:$Q,$Q265,F_ProductBM!L:L)&gt;0,SUMIF(F_ProductBM!$Q:$Q,$Q265,F_ProductBM!L:L),"")</f>
        <v/>
      </c>
      <c r="M265" s="1492" t="str">
        <f>IF(SUMIF(F_ProductBM!$Q:$Q,$Q265,F_ProductBM!M:M)&gt;0,SUMIF(F_ProductBM!$Q:$Q,$Q265,F_ProductBM!M:M),"")</f>
        <v/>
      </c>
      <c r="N265" s="1492" t="str">
        <f>IF(SUMIF(F_ProductBM!$Q:$Q,$Q265,F_ProductBM!N:N)&gt;0,SUMIF(F_ProductBM!$Q:$Q,$Q265,F_ProductBM!N:N),"")</f>
        <v/>
      </c>
      <c r="O265" s="481"/>
      <c r="P265" s="485"/>
      <c r="Q265" s="1140" t="str">
        <f t="shared" si="51"/>
        <v>WasteGasProd_</v>
      </c>
    </row>
    <row r="266" spans="2:17">
      <c r="B266" s="1124"/>
      <c r="C266" s="485"/>
      <c r="D266" s="561" t="s">
        <v>788</v>
      </c>
      <c r="E266" s="3236" t="str">
        <f t="shared" si="49"/>
        <v/>
      </c>
      <c r="F266" s="3232"/>
      <c r="G266" s="724" t="str">
        <f t="shared" si="50"/>
        <v>TJ / year</v>
      </c>
      <c r="H266" s="658" t="str">
        <f>IF(SUMIF(F_ProductBM!$Q:$Q,$Q266,F_ProductBM!H:H)&gt;0,SUMIF(F_ProductBM!$Q:$Q,$Q266,F_ProductBM!H:H),"")</f>
        <v/>
      </c>
      <c r="I266" s="965" t="str">
        <f>IF(SUMIF(F_ProductBM!$Q:$Q,$Q266,F_ProductBM!I:I)&gt;0,SUMIF(F_ProductBM!$Q:$Q,$Q266,F_ProductBM!I:I),"")</f>
        <v/>
      </c>
      <c r="J266" s="1491" t="str">
        <f>IF(SUMIF(F_ProductBM!$Q:$Q,$Q266,F_ProductBM!J:J)&gt;0,SUMIF(F_ProductBM!$Q:$Q,$Q266,F_ProductBM!J:J),"")</f>
        <v/>
      </c>
      <c r="K266" s="1492" t="str">
        <f>IF(SUMIF(F_ProductBM!$Q:$Q,$Q266,F_ProductBM!K:K)&gt;0,SUMIF(F_ProductBM!$Q:$Q,$Q266,F_ProductBM!K:K),"")</f>
        <v/>
      </c>
      <c r="L266" s="1492" t="str">
        <f>IF(SUMIF(F_ProductBM!$Q:$Q,$Q266,F_ProductBM!L:L)&gt;0,SUMIF(F_ProductBM!$Q:$Q,$Q266,F_ProductBM!L:L),"")</f>
        <v/>
      </c>
      <c r="M266" s="1492" t="str">
        <f>IF(SUMIF(F_ProductBM!$Q:$Q,$Q266,F_ProductBM!M:M)&gt;0,SUMIF(F_ProductBM!$Q:$Q,$Q266,F_ProductBM!M:M),"")</f>
        <v/>
      </c>
      <c r="N266" s="1492" t="str">
        <f>IF(SUMIF(F_ProductBM!$Q:$Q,$Q266,F_ProductBM!N:N)&gt;0,SUMIF(F_ProductBM!$Q:$Q,$Q266,F_ProductBM!N:N),"")</f>
        <v/>
      </c>
      <c r="O266" s="481"/>
      <c r="P266" s="485"/>
      <c r="Q266" s="1140" t="str">
        <f t="shared" si="51"/>
        <v>WasteGasProd_</v>
      </c>
    </row>
    <row r="267" spans="2:17">
      <c r="B267" s="1124"/>
      <c r="C267" s="485"/>
      <c r="D267" s="561" t="s">
        <v>789</v>
      </c>
      <c r="E267" s="3236" t="str">
        <f t="shared" si="49"/>
        <v/>
      </c>
      <c r="F267" s="3232"/>
      <c r="G267" s="724" t="str">
        <f t="shared" si="50"/>
        <v>TJ / year</v>
      </c>
      <c r="H267" s="658" t="str">
        <f>IF(SUMIF(F_ProductBM!$Q:$Q,$Q267,F_ProductBM!H:H)&gt;0,SUMIF(F_ProductBM!$Q:$Q,$Q267,F_ProductBM!H:H),"")</f>
        <v/>
      </c>
      <c r="I267" s="965" t="str">
        <f>IF(SUMIF(F_ProductBM!$Q:$Q,$Q267,F_ProductBM!I:I)&gt;0,SUMIF(F_ProductBM!$Q:$Q,$Q267,F_ProductBM!I:I),"")</f>
        <v/>
      </c>
      <c r="J267" s="1491" t="str">
        <f>IF(SUMIF(F_ProductBM!$Q:$Q,$Q267,F_ProductBM!J:J)&gt;0,SUMIF(F_ProductBM!$Q:$Q,$Q267,F_ProductBM!J:J),"")</f>
        <v/>
      </c>
      <c r="K267" s="1492" t="str">
        <f>IF(SUMIF(F_ProductBM!$Q:$Q,$Q267,F_ProductBM!K:K)&gt;0,SUMIF(F_ProductBM!$Q:$Q,$Q267,F_ProductBM!K:K),"")</f>
        <v/>
      </c>
      <c r="L267" s="1492" t="str">
        <f>IF(SUMIF(F_ProductBM!$Q:$Q,$Q267,F_ProductBM!L:L)&gt;0,SUMIF(F_ProductBM!$Q:$Q,$Q267,F_ProductBM!L:L),"")</f>
        <v/>
      </c>
      <c r="M267" s="1492" t="str">
        <f>IF(SUMIF(F_ProductBM!$Q:$Q,$Q267,F_ProductBM!M:M)&gt;0,SUMIF(F_ProductBM!$Q:$Q,$Q267,F_ProductBM!M:M),"")</f>
        <v/>
      </c>
      <c r="N267" s="1492" t="str">
        <f>IF(SUMIF(F_ProductBM!$Q:$Q,$Q267,F_ProductBM!N:N)&gt;0,SUMIF(F_ProductBM!$Q:$Q,$Q267,F_ProductBM!N:N),"")</f>
        <v/>
      </c>
      <c r="O267" s="481"/>
      <c r="P267" s="485"/>
      <c r="Q267" s="1140" t="str">
        <f t="shared" si="51"/>
        <v>WasteGasProd_</v>
      </c>
    </row>
    <row r="268" spans="2:17">
      <c r="B268" s="1124"/>
      <c r="C268" s="485"/>
      <c r="D268" s="561" t="s">
        <v>790</v>
      </c>
      <c r="E268" s="3236" t="str">
        <f t="shared" si="49"/>
        <v/>
      </c>
      <c r="F268" s="3232"/>
      <c r="G268" s="724" t="str">
        <f t="shared" si="50"/>
        <v>TJ / year</v>
      </c>
      <c r="H268" s="658" t="str">
        <f>IF(SUMIF(F_ProductBM!$Q:$Q,$Q268,F_ProductBM!H:H)&gt;0,SUMIF(F_ProductBM!$Q:$Q,$Q268,F_ProductBM!H:H),"")</f>
        <v/>
      </c>
      <c r="I268" s="965" t="str">
        <f>IF(SUMIF(F_ProductBM!$Q:$Q,$Q268,F_ProductBM!I:I)&gt;0,SUMIF(F_ProductBM!$Q:$Q,$Q268,F_ProductBM!I:I),"")</f>
        <v/>
      </c>
      <c r="J268" s="1491" t="str">
        <f>IF(SUMIF(F_ProductBM!$Q:$Q,$Q268,F_ProductBM!J:J)&gt;0,SUMIF(F_ProductBM!$Q:$Q,$Q268,F_ProductBM!J:J),"")</f>
        <v/>
      </c>
      <c r="K268" s="1492" t="str">
        <f>IF(SUMIF(F_ProductBM!$Q:$Q,$Q268,F_ProductBM!K:K)&gt;0,SUMIF(F_ProductBM!$Q:$Q,$Q268,F_ProductBM!K:K),"")</f>
        <v/>
      </c>
      <c r="L268" s="1492" t="str">
        <f>IF(SUMIF(F_ProductBM!$Q:$Q,$Q268,F_ProductBM!L:L)&gt;0,SUMIF(F_ProductBM!$Q:$Q,$Q268,F_ProductBM!L:L),"")</f>
        <v/>
      </c>
      <c r="M268" s="1492" t="str">
        <f>IF(SUMIF(F_ProductBM!$Q:$Q,$Q268,F_ProductBM!M:M)&gt;0,SUMIF(F_ProductBM!$Q:$Q,$Q268,F_ProductBM!M:M),"")</f>
        <v/>
      </c>
      <c r="N268" s="1492" t="str">
        <f>IF(SUMIF(F_ProductBM!$Q:$Q,$Q268,F_ProductBM!N:N)&gt;0,SUMIF(F_ProductBM!$Q:$Q,$Q268,F_ProductBM!N:N),"")</f>
        <v/>
      </c>
      <c r="O268" s="481"/>
      <c r="P268" s="485"/>
      <c r="Q268" s="1140" t="str">
        <f t="shared" si="51"/>
        <v>WasteGasProd_</v>
      </c>
    </row>
    <row r="269" spans="2:17">
      <c r="B269" s="1124"/>
      <c r="C269" s="485"/>
      <c r="D269" s="561" t="s">
        <v>791</v>
      </c>
      <c r="E269" s="3236" t="str">
        <f t="shared" si="49"/>
        <v/>
      </c>
      <c r="F269" s="3232"/>
      <c r="G269" s="724" t="str">
        <f t="shared" si="50"/>
        <v>TJ / year</v>
      </c>
      <c r="H269" s="658" t="str">
        <f>IF(SUMIF(F_ProductBM!$Q:$Q,$Q269,F_ProductBM!H:H)&gt;0,SUMIF(F_ProductBM!$Q:$Q,$Q269,F_ProductBM!H:H),"")</f>
        <v/>
      </c>
      <c r="I269" s="965" t="str">
        <f>IF(SUMIF(F_ProductBM!$Q:$Q,$Q269,F_ProductBM!I:I)&gt;0,SUMIF(F_ProductBM!$Q:$Q,$Q269,F_ProductBM!I:I),"")</f>
        <v/>
      </c>
      <c r="J269" s="1491" t="str">
        <f>IF(SUMIF(F_ProductBM!$Q:$Q,$Q269,F_ProductBM!J:J)&gt;0,SUMIF(F_ProductBM!$Q:$Q,$Q269,F_ProductBM!J:J),"")</f>
        <v/>
      </c>
      <c r="K269" s="1492" t="str">
        <f>IF(SUMIF(F_ProductBM!$Q:$Q,$Q269,F_ProductBM!K:K)&gt;0,SUMIF(F_ProductBM!$Q:$Q,$Q269,F_ProductBM!K:K),"")</f>
        <v/>
      </c>
      <c r="L269" s="1492" t="str">
        <f>IF(SUMIF(F_ProductBM!$Q:$Q,$Q269,F_ProductBM!L:L)&gt;0,SUMIF(F_ProductBM!$Q:$Q,$Q269,F_ProductBM!L:L),"")</f>
        <v/>
      </c>
      <c r="M269" s="1492" t="str">
        <f>IF(SUMIF(F_ProductBM!$Q:$Q,$Q269,F_ProductBM!M:M)&gt;0,SUMIF(F_ProductBM!$Q:$Q,$Q269,F_ProductBM!M:M),"")</f>
        <v/>
      </c>
      <c r="N269" s="1492" t="str">
        <f>IF(SUMIF(F_ProductBM!$Q:$Q,$Q269,F_ProductBM!N:N)&gt;0,SUMIF(F_ProductBM!$Q:$Q,$Q269,F_ProductBM!N:N),"")</f>
        <v/>
      </c>
      <c r="O269" s="481"/>
      <c r="P269" s="485"/>
      <c r="Q269" s="1140" t="str">
        <f t="shared" si="51"/>
        <v>WasteGasProd_</v>
      </c>
    </row>
    <row r="270" spans="2:17">
      <c r="B270" s="1124"/>
      <c r="C270" s="485"/>
      <c r="D270" s="561" t="s">
        <v>64</v>
      </c>
      <c r="E270" s="3242" t="str">
        <f t="shared" si="49"/>
        <v/>
      </c>
      <c r="F270" s="3234"/>
      <c r="G270" s="728" t="str">
        <f t="shared" si="50"/>
        <v>TJ / year</v>
      </c>
      <c r="H270" s="660" t="str">
        <f>IF(SUMIF(F_ProductBM!$Q:$Q,$Q270,F_ProductBM!H:H)&gt;0,SUMIF(F_ProductBM!$Q:$Q,$Q270,F_ProductBM!H:H),"")</f>
        <v/>
      </c>
      <c r="I270" s="969" t="str">
        <f>IF(SUMIF(F_ProductBM!$Q:$Q,$Q270,F_ProductBM!I:I)&gt;0,SUMIF(F_ProductBM!$Q:$Q,$Q270,F_ProductBM!I:I),"")</f>
        <v/>
      </c>
      <c r="J270" s="1491" t="str">
        <f>IF(SUMIF(F_ProductBM!$Q:$Q,$Q270,F_ProductBM!J:J)&gt;0,SUMIF(F_ProductBM!$Q:$Q,$Q270,F_ProductBM!J:J),"")</f>
        <v/>
      </c>
      <c r="K270" s="1492" t="str">
        <f>IF(SUMIF(F_ProductBM!$Q:$Q,$Q270,F_ProductBM!K:K)&gt;0,SUMIF(F_ProductBM!$Q:$Q,$Q270,F_ProductBM!K:K),"")</f>
        <v/>
      </c>
      <c r="L270" s="1492" t="str">
        <f>IF(SUMIF(F_ProductBM!$Q:$Q,$Q270,F_ProductBM!L:L)&gt;0,SUMIF(F_ProductBM!$Q:$Q,$Q270,F_ProductBM!L:L),"")</f>
        <v/>
      </c>
      <c r="M270" s="1492" t="str">
        <f>IF(SUMIF(F_ProductBM!$Q:$Q,$Q270,F_ProductBM!M:M)&gt;0,SUMIF(F_ProductBM!$Q:$Q,$Q270,F_ProductBM!M:M),"")</f>
        <v/>
      </c>
      <c r="N270" s="1492" t="str">
        <f>IF(SUMIF(F_ProductBM!$Q:$Q,$Q270,F_ProductBM!N:N)&gt;0,SUMIF(F_ProductBM!$Q:$Q,$Q270,F_ProductBM!N:N),"")</f>
        <v/>
      </c>
      <c r="O270" s="481"/>
      <c r="P270" s="485"/>
      <c r="Q270" s="1140" t="str">
        <f t="shared" si="51"/>
        <v>WasteGasProd_</v>
      </c>
    </row>
    <row r="271" spans="2:17" ht="12.75" customHeight="1">
      <c r="B271" s="1124"/>
      <c r="C271" s="485"/>
      <c r="D271" s="561" t="s">
        <v>65</v>
      </c>
      <c r="E271" s="2792" t="s">
        <v>627</v>
      </c>
      <c r="F271" s="3221"/>
      <c r="G271" s="730" t="str">
        <f t="shared" si="50"/>
        <v>TJ / year</v>
      </c>
      <c r="H271" s="668" t="str">
        <f t="shared" ref="H271:N271" si="52">IF(COUNT(H261:H270)&gt;0,SUM(H261:H270),"")</f>
        <v/>
      </c>
      <c r="I271" s="1021" t="str">
        <f t="shared" si="52"/>
        <v/>
      </c>
      <c r="J271" s="1491" t="str">
        <f t="shared" si="52"/>
        <v/>
      </c>
      <c r="K271" s="1492" t="str">
        <f t="shared" si="52"/>
        <v/>
      </c>
      <c r="L271" s="1492" t="str">
        <f t="shared" si="52"/>
        <v/>
      </c>
      <c r="M271" s="1492" t="str">
        <f t="shared" si="52"/>
        <v/>
      </c>
      <c r="N271" s="1492" t="str">
        <f t="shared" si="52"/>
        <v/>
      </c>
      <c r="O271" s="481"/>
      <c r="P271" s="485"/>
    </row>
    <row r="272" spans="2:17" ht="5.0999999999999996" customHeight="1">
      <c r="B272" s="467"/>
      <c r="C272" s="467"/>
      <c r="D272" s="467"/>
      <c r="E272" s="467"/>
      <c r="F272" s="467"/>
      <c r="G272" s="467"/>
      <c r="H272" s="467"/>
      <c r="I272" s="467"/>
      <c r="J272" s="467"/>
      <c r="K272" s="467"/>
      <c r="L272" s="467"/>
      <c r="M272" s="467"/>
      <c r="N272" s="467"/>
      <c r="O272" s="481"/>
      <c r="P272" s="485"/>
      <c r="Q272" s="1117"/>
    </row>
    <row r="273" spans="2:31" ht="12.75" customHeight="1">
      <c r="B273" s="467"/>
      <c r="C273" s="482"/>
      <c r="D273" s="482" t="s">
        <v>876</v>
      </c>
      <c r="E273" s="2802" t="s">
        <v>1194</v>
      </c>
      <c r="F273" s="2442"/>
      <c r="G273" s="2442"/>
      <c r="H273" s="2442"/>
      <c r="I273" s="2442"/>
      <c r="J273" s="2442"/>
      <c r="K273" s="2442"/>
      <c r="L273" s="2442"/>
      <c r="M273" s="2442"/>
      <c r="N273" s="2442"/>
      <c r="O273" s="481"/>
      <c r="P273" s="485"/>
      <c r="Q273" s="1117"/>
    </row>
    <row r="274" spans="2:31" ht="12.75" customHeight="1">
      <c r="B274" s="467"/>
      <c r="C274" s="485"/>
      <c r="D274" s="485"/>
      <c r="E274" s="2462" t="s">
        <v>1446</v>
      </c>
      <c r="F274" s="2388"/>
      <c r="G274" s="2388"/>
      <c r="H274" s="2388"/>
      <c r="I274" s="2388"/>
      <c r="J274" s="2388"/>
      <c r="K274" s="2388"/>
      <c r="L274" s="2388"/>
      <c r="M274" s="2388"/>
      <c r="N274" s="2388"/>
      <c r="O274" s="481"/>
      <c r="P274" s="485"/>
      <c r="Q274" s="1117"/>
    </row>
    <row r="275" spans="2:31" ht="12.75" customHeight="1">
      <c r="B275" s="467"/>
      <c r="C275" s="485"/>
      <c r="D275" s="485"/>
      <c r="E275" s="3058" t="s">
        <v>1513</v>
      </c>
      <c r="F275" s="2388"/>
      <c r="G275" s="2388"/>
      <c r="H275" s="2388"/>
      <c r="I275" s="2388"/>
      <c r="J275" s="2388"/>
      <c r="K275" s="2388"/>
      <c r="L275" s="2388"/>
      <c r="M275" s="2388"/>
      <c r="N275" s="2388"/>
      <c r="O275" s="481"/>
      <c r="P275" s="485"/>
      <c r="Q275" s="1117"/>
    </row>
    <row r="276" spans="2:31" ht="13.15" customHeight="1">
      <c r="B276" s="1124"/>
      <c r="C276" s="485"/>
      <c r="D276" s="485"/>
      <c r="E276" s="2791" t="s">
        <v>1320</v>
      </c>
      <c r="F276" s="3222"/>
      <c r="G276" s="663" t="str">
        <f>EUconst_Unit</f>
        <v>Unit</v>
      </c>
      <c r="H276" s="578">
        <f t="shared" ref="H276:N276" si="53">H$393</f>
        <v>2024</v>
      </c>
      <c r="I276" s="697">
        <f t="shared" si="53"/>
        <v>2025</v>
      </c>
      <c r="J276" s="1489">
        <f t="shared" si="53"/>
        <v>2026</v>
      </c>
      <c r="K276" s="1490">
        <f t="shared" si="53"/>
        <v>2027</v>
      </c>
      <c r="L276" s="1490">
        <f t="shared" si="53"/>
        <v>2028</v>
      </c>
      <c r="M276" s="1490">
        <f t="shared" si="53"/>
        <v>2029</v>
      </c>
      <c r="N276" s="1490">
        <f t="shared" si="53"/>
        <v>2030</v>
      </c>
      <c r="O276" s="481"/>
      <c r="P276" s="485"/>
    </row>
    <row r="277" spans="2:31">
      <c r="B277" s="1124"/>
      <c r="C277" s="485"/>
      <c r="D277" s="561" t="s">
        <v>6</v>
      </c>
      <c r="E277" s="3265" t="s">
        <v>1318</v>
      </c>
      <c r="F277" s="3228"/>
      <c r="G277" s="721" t="str">
        <f>EUconst_TJpa</f>
        <v>TJ / year</v>
      </c>
      <c r="H277" s="656" t="str">
        <f>IF(SUMIF(D_Emissions!$Q$203:$Q$252,$Q277,D_Emissions!R$203:R$252)&gt;0,SUMIF(D_Emissions!$Q$203:$Q$252,$Q277,D_Emissions!R$203:R$252),"")</f>
        <v/>
      </c>
      <c r="I277" s="962" t="str">
        <f>IF(SUMIF(D_Emissions!$Q$203:$Q$252,$Q277,D_Emissions!S$203:S$252)&gt;0,SUMIF(D_Emissions!$Q$203:$Q$252,$Q277,D_Emissions!S$203:S$252),"")</f>
        <v/>
      </c>
      <c r="J277" s="1491" t="str">
        <f>IF(SUMIF(D_Emissions!$Q$203:$Q$252,$Q277,D_Emissions!T$203:T$252)&gt;0,SUMIF(D_Emissions!$Q$203:$Q$252,$Q277,D_Emissions!T$203:T$252),"")</f>
        <v/>
      </c>
      <c r="K277" s="1492" t="str">
        <f>IF(SUMIF(D_Emissions!$Q$203:$Q$252,$Q277,D_Emissions!U$203:U$252)&gt;0,SUMIF(D_Emissions!$Q$203:$Q$252,$Q277,D_Emissions!U$203:U$252),"")</f>
        <v/>
      </c>
      <c r="L277" s="1492" t="str">
        <f>IF(SUMIF(D_Emissions!$Q$203:$Q$252,$Q277,D_Emissions!V$203:V$252)&gt;0,SUMIF(D_Emissions!$Q$203:$Q$252,$Q277,D_Emissions!V$203:V$252),"")</f>
        <v/>
      </c>
      <c r="M277" s="1492" t="str">
        <f>IF(SUMIF(D_Emissions!$Q$203:$Q$252,$Q277,D_Emissions!W$203:W$252)&gt;0,SUMIF(D_Emissions!$Q$203:$Q$252,$Q277,D_Emissions!W$203:W$252),"")</f>
        <v/>
      </c>
      <c r="N277" s="1492" t="str">
        <f>IF(SUMIF(D_Emissions!$Q$203:$Q$252,$Q277,D_Emissions!X$203:X$252)&gt;0,SUMIF(D_Emissions!$Q$203:$Q$252,$Q277,D_Emissions!X$203:X$252),"")</f>
        <v/>
      </c>
      <c r="O277" s="481"/>
      <c r="P277" s="485"/>
      <c r="Q277" s="1581" t="str">
        <f>EUconst_CNTR_WGProduced &amp; R277</f>
        <v>WasteGasProd_1</v>
      </c>
      <c r="R277" s="1140">
        <v>1</v>
      </c>
    </row>
    <row r="278" spans="2:31">
      <c r="B278" s="1124"/>
      <c r="C278" s="485"/>
      <c r="D278" s="561" t="s">
        <v>7</v>
      </c>
      <c r="E278" s="3245" t="s">
        <v>1319</v>
      </c>
      <c r="F278" s="3234"/>
      <c r="G278" s="724" t="str">
        <f>EUconst_TJpa</f>
        <v>TJ / year</v>
      </c>
      <c r="H278" s="660" t="str">
        <f>IF(SUMIF(D_Emissions!$Q$203:$Q$252,$Q278,D_Emissions!R$203:R$252)&gt;0,SUMIF(D_Emissions!$Q$203:$Q$252,$Q278,D_Emissions!R$203:R$252),"")</f>
        <v/>
      </c>
      <c r="I278" s="969" t="str">
        <f>IF(SUMIF(D_Emissions!$Q$203:$Q$252,$Q278,D_Emissions!S$203:S$252)&gt;0,SUMIF(D_Emissions!$Q$203:$Q$252,$Q278,D_Emissions!S$203:S$252),"")</f>
        <v/>
      </c>
      <c r="J278" s="1491" t="str">
        <f>IF(SUMIF(D_Emissions!$Q$203:$Q$252,$Q278,D_Emissions!T$203:T$252)&gt;0,SUMIF(D_Emissions!$Q$203:$Q$252,$Q278,D_Emissions!T$203:T$252),"")</f>
        <v/>
      </c>
      <c r="K278" s="1492" t="str">
        <f>IF(SUMIF(D_Emissions!$Q$203:$Q$252,$Q278,D_Emissions!U$203:U$252)&gt;0,SUMIF(D_Emissions!$Q$203:$Q$252,$Q278,D_Emissions!U$203:U$252),"")</f>
        <v/>
      </c>
      <c r="L278" s="1492" t="str">
        <f>IF(SUMIF(D_Emissions!$Q$203:$Q$252,$Q278,D_Emissions!V$203:V$252)&gt;0,SUMIF(D_Emissions!$Q$203:$Q$252,$Q278,D_Emissions!V$203:V$252),"")</f>
        <v/>
      </c>
      <c r="M278" s="1492" t="str">
        <f>IF(SUMIF(D_Emissions!$Q$203:$Q$252,$Q278,D_Emissions!W$203:W$252)&gt;0,SUMIF(D_Emissions!$Q$203:$Q$252,$Q278,D_Emissions!W$203:W$252),"")</f>
        <v/>
      </c>
      <c r="N278" s="1492" t="str">
        <f>IF(SUMIF(D_Emissions!$Q$203:$Q$252,$Q278,D_Emissions!X$203:X$252)&gt;0,SUMIF(D_Emissions!$Q$203:$Q$252,$Q278,D_Emissions!X$203:X$252),"")</f>
        <v/>
      </c>
      <c r="O278" s="481"/>
      <c r="P278" s="485"/>
      <c r="Q278" s="1581" t="str">
        <f>EUconst_CNTR_WGProduced &amp; R278</f>
        <v>WasteGasProd_2</v>
      </c>
      <c r="R278" s="1140">
        <v>2</v>
      </c>
    </row>
    <row r="279" spans="2:31" ht="12.75" customHeight="1">
      <c r="B279" s="1124"/>
      <c r="C279" s="485"/>
      <c r="D279" s="561" t="s">
        <v>8</v>
      </c>
      <c r="E279" s="2792" t="s">
        <v>627</v>
      </c>
      <c r="F279" s="3221"/>
      <c r="G279" s="730" t="str">
        <f>EUconst_TJpa</f>
        <v>TJ / year</v>
      </c>
      <c r="H279" s="668" t="str">
        <f t="shared" ref="H279:N279" si="54">IF(COUNT(H277:H278)&gt;0,SUM(H277:H278),"")</f>
        <v/>
      </c>
      <c r="I279" s="1021" t="str">
        <f t="shared" si="54"/>
        <v/>
      </c>
      <c r="J279" s="1491" t="str">
        <f t="shared" si="54"/>
        <v/>
      </c>
      <c r="K279" s="1492" t="str">
        <f t="shared" si="54"/>
        <v/>
      </c>
      <c r="L279" s="1492" t="str">
        <f t="shared" si="54"/>
        <v/>
      </c>
      <c r="M279" s="1492" t="str">
        <f t="shared" si="54"/>
        <v/>
      </c>
      <c r="N279" s="1492" t="str">
        <f t="shared" si="54"/>
        <v/>
      </c>
      <c r="O279" s="481"/>
      <c r="P279" s="485"/>
    </row>
    <row r="280" spans="2:31" ht="5.0999999999999996" customHeight="1">
      <c r="B280" s="467"/>
      <c r="C280" s="467"/>
      <c r="D280" s="467"/>
      <c r="E280" s="467"/>
      <c r="F280" s="467"/>
      <c r="G280" s="467"/>
      <c r="H280" s="467"/>
      <c r="I280" s="467"/>
      <c r="J280" s="467"/>
      <c r="K280" s="467"/>
      <c r="L280" s="467"/>
      <c r="M280" s="467"/>
      <c r="N280" s="467"/>
      <c r="O280" s="481"/>
      <c r="P280" s="485"/>
      <c r="Q280" s="1117"/>
    </row>
    <row r="281" spans="2:31" ht="13.15" customHeight="1">
      <c r="B281" s="467"/>
      <c r="C281" s="482"/>
      <c r="D281" s="482" t="s">
        <v>48</v>
      </c>
      <c r="E281" s="2791" t="s">
        <v>1512</v>
      </c>
      <c r="F281" s="2791"/>
      <c r="G281" s="2791"/>
      <c r="H281" s="2791"/>
      <c r="I281" s="2791"/>
      <c r="J281" s="2802"/>
      <c r="K281" s="2802"/>
      <c r="L281" s="2802"/>
      <c r="M281" s="2802"/>
      <c r="N281" s="2802"/>
      <c r="O281" s="481"/>
      <c r="P281" s="485"/>
      <c r="Q281" s="1117"/>
    </row>
    <row r="282" spans="2:31" ht="12.6" customHeight="1">
      <c r="B282" s="1124"/>
      <c r="C282" s="485"/>
      <c r="D282" s="485"/>
      <c r="E282" s="2792" t="s">
        <v>1192</v>
      </c>
      <c r="F282" s="3221"/>
      <c r="G282" s="1506" t="str">
        <f>EUconst_TJpa</f>
        <v>TJ / year</v>
      </c>
      <c r="H282" s="668" t="str">
        <f t="shared" ref="H282:N282" si="55">IF(COUNT(H271,H279)&gt;0,SUM(H271,H279),"")</f>
        <v/>
      </c>
      <c r="I282" s="1021" t="str">
        <f t="shared" si="55"/>
        <v/>
      </c>
      <c r="J282" s="1491" t="str">
        <f t="shared" si="55"/>
        <v/>
      </c>
      <c r="K282" s="1492" t="str">
        <f t="shared" si="55"/>
        <v/>
      </c>
      <c r="L282" s="1492" t="str">
        <f t="shared" si="55"/>
        <v/>
      </c>
      <c r="M282" s="1492" t="str">
        <f t="shared" si="55"/>
        <v/>
      </c>
      <c r="N282" s="1492" t="str">
        <f t="shared" si="55"/>
        <v/>
      </c>
      <c r="O282" s="481"/>
      <c r="P282" s="485"/>
    </row>
    <row r="283" spans="2:31" ht="5.0999999999999996" customHeight="1">
      <c r="B283" s="1124"/>
      <c r="C283" s="485"/>
      <c r="D283" s="485"/>
      <c r="E283" s="485"/>
      <c r="F283" s="485"/>
      <c r="G283" s="485"/>
      <c r="H283" s="485"/>
      <c r="I283" s="485"/>
      <c r="J283" s="485"/>
      <c r="K283" s="485"/>
      <c r="L283" s="485"/>
      <c r="M283" s="485"/>
      <c r="N283" s="485"/>
      <c r="O283" s="481"/>
      <c r="P283" s="485"/>
    </row>
    <row r="284" spans="2:31" ht="13.15" customHeight="1">
      <c r="B284" s="467"/>
      <c r="C284" s="482"/>
      <c r="D284" s="482" t="s">
        <v>881</v>
      </c>
      <c r="E284" s="2802" t="s">
        <v>1173</v>
      </c>
      <c r="F284" s="2442"/>
      <c r="G284" s="2442"/>
      <c r="H284" s="2442"/>
      <c r="I284" s="2442"/>
      <c r="J284" s="2442"/>
      <c r="K284" s="2442"/>
      <c r="L284" s="2442"/>
      <c r="M284" s="2442"/>
      <c r="N284" s="2442"/>
      <c r="O284" s="481"/>
      <c r="P284" s="485"/>
      <c r="Q284" s="1117"/>
    </row>
    <row r="285" spans="2:31" ht="12.75" customHeight="1">
      <c r="B285" s="467"/>
      <c r="C285" s="485"/>
      <c r="D285" s="485"/>
      <c r="E285" s="3058" t="s">
        <v>2210</v>
      </c>
      <c r="F285" s="2388"/>
      <c r="G285" s="2388"/>
      <c r="H285" s="2388"/>
      <c r="I285" s="2388"/>
      <c r="J285" s="2388"/>
      <c r="K285" s="2388"/>
      <c r="L285" s="2388"/>
      <c r="M285" s="2388"/>
      <c r="N285" s="2388"/>
      <c r="O285" s="481"/>
      <c r="P285" s="485"/>
      <c r="Q285" s="1117"/>
    </row>
    <row r="286" spans="2:31" ht="12.75" customHeight="1">
      <c r="B286" s="467"/>
      <c r="C286" s="485"/>
      <c r="D286" s="485"/>
      <c r="E286" s="3058" t="s">
        <v>1473</v>
      </c>
      <c r="F286" s="2388"/>
      <c r="G286" s="2388"/>
      <c r="H286" s="2388"/>
      <c r="I286" s="2388"/>
      <c r="J286" s="2388"/>
      <c r="K286" s="2388"/>
      <c r="L286" s="2388"/>
      <c r="M286" s="2388"/>
      <c r="N286" s="2388"/>
      <c r="O286" s="481"/>
      <c r="P286" s="485"/>
      <c r="Q286" s="1117"/>
    </row>
    <row r="287" spans="2:31" ht="12.75" customHeight="1" thickBot="1">
      <c r="B287" s="1124"/>
      <c r="C287" s="485"/>
      <c r="D287" s="485"/>
      <c r="E287" s="2791" t="s">
        <v>524</v>
      </c>
      <c r="F287" s="3222"/>
      <c r="G287" s="663" t="str">
        <f>EUconst_Unit</f>
        <v>Unit</v>
      </c>
      <c r="H287" s="578">
        <f t="shared" ref="H287:N287" si="56">H$393</f>
        <v>2024</v>
      </c>
      <c r="I287" s="697">
        <f t="shared" si="56"/>
        <v>2025</v>
      </c>
      <c r="J287" s="1489">
        <f t="shared" si="56"/>
        <v>2026</v>
      </c>
      <c r="K287" s="1490">
        <f t="shared" si="56"/>
        <v>2027</v>
      </c>
      <c r="L287" s="1490">
        <f t="shared" si="56"/>
        <v>2028</v>
      </c>
      <c r="M287" s="1490">
        <f t="shared" si="56"/>
        <v>2029</v>
      </c>
      <c r="N287" s="1490">
        <f t="shared" si="56"/>
        <v>2030</v>
      </c>
      <c r="O287" s="481"/>
      <c r="P287" s="485"/>
      <c r="T287" s="1137" t="s">
        <v>1117</v>
      </c>
    </row>
    <row r="288" spans="2:31">
      <c r="B288" s="1124"/>
      <c r="C288" s="561"/>
      <c r="D288" s="561" t="s">
        <v>6</v>
      </c>
      <c r="E288" s="3219" t="str">
        <f>c_ALR2025!E393</f>
        <v/>
      </c>
      <c r="F288" s="3220"/>
      <c r="G288" s="579" t="str">
        <f>EUconst_TJpa</f>
        <v>TJ / year</v>
      </c>
      <c r="H288" s="1552" t="str">
        <f>c_ALR2025!M393</f>
        <v/>
      </c>
      <c r="I288" s="1614"/>
      <c r="J288" s="1491"/>
      <c r="K288" s="1492"/>
      <c r="L288" s="1492"/>
      <c r="M288" s="1492"/>
      <c r="N288" s="1492"/>
      <c r="O288" s="481"/>
      <c r="P288" s="10"/>
      <c r="T288" s="1613" t="b">
        <f>AND(M254&lt;&gt;"",M254=FALSE)</f>
        <v>0</v>
      </c>
      <c r="AD288" s="1161" t="s">
        <v>1954</v>
      </c>
      <c r="AE288" s="1303" t="str">
        <f>IF(AND(CNTR_HasEntries_A_I,E288&lt;&gt;"",T288=FALSE,COUNTIFS($V$16:$AB$16,FALSE,H288:N288,"")&gt;0),4,"")</f>
        <v/>
      </c>
    </row>
    <row r="289" spans="2:31">
      <c r="B289" s="1124"/>
      <c r="C289" s="561"/>
      <c r="D289" s="561" t="s">
        <v>7</v>
      </c>
      <c r="E289" s="3217" t="str">
        <f>c_ALR2025!E394</f>
        <v/>
      </c>
      <c r="F289" s="3217"/>
      <c r="G289" s="582" t="str">
        <f>EUconst_TJpa</f>
        <v>TJ / year</v>
      </c>
      <c r="H289" s="1557" t="str">
        <f>c_ALR2025!M394</f>
        <v/>
      </c>
      <c r="I289" s="1615"/>
      <c r="J289" s="1491"/>
      <c r="K289" s="1492"/>
      <c r="L289" s="1492"/>
      <c r="M289" s="1492"/>
      <c r="N289" s="1492"/>
      <c r="O289" s="481"/>
      <c r="P289" s="10"/>
      <c r="T289" s="1183" t="b">
        <f>T288</f>
        <v>0</v>
      </c>
      <c r="AD289" s="1161" t="s">
        <v>1954</v>
      </c>
      <c r="AE289" s="1303" t="str">
        <f>IF(AND(CNTR_HasEntries_A_I,E289&lt;&gt;"",T289=FALSE,COUNTIFS($V$16:$AB$16,FALSE,H289:N289,"")&gt;0),4,"")</f>
        <v/>
      </c>
    </row>
    <row r="290" spans="2:31">
      <c r="B290" s="1124"/>
      <c r="C290" s="561"/>
      <c r="D290" s="561" t="s">
        <v>8</v>
      </c>
      <c r="E290" s="3218" t="str">
        <f>c_ALR2025!E395</f>
        <v/>
      </c>
      <c r="F290" s="3218"/>
      <c r="G290" s="584" t="str">
        <f>EUconst_TJpa</f>
        <v>TJ / year</v>
      </c>
      <c r="H290" s="1558" t="str">
        <f>c_ALR2025!M395</f>
        <v/>
      </c>
      <c r="I290" s="1616"/>
      <c r="J290" s="1491"/>
      <c r="K290" s="1492"/>
      <c r="L290" s="1492"/>
      <c r="M290" s="1492"/>
      <c r="N290" s="1492"/>
      <c r="O290" s="481"/>
      <c r="P290" s="10"/>
      <c r="T290" s="1183" t="b">
        <f>T289</f>
        <v>0</v>
      </c>
      <c r="AD290" s="1161" t="s">
        <v>1954</v>
      </c>
      <c r="AE290" s="1303" t="str">
        <f>IF(AND(CNTR_HasEntries_A_I,E290&lt;&gt;"",T290=FALSE,COUNTIFS($V$16:$AB$16,FALSE,H290:N290,"")&gt;0),4,"")</f>
        <v/>
      </c>
    </row>
    <row r="291" spans="2:31">
      <c r="B291" s="1124"/>
      <c r="C291" s="561"/>
      <c r="D291" s="561" t="s">
        <v>18</v>
      </c>
      <c r="E291" s="1559" t="s">
        <v>627</v>
      </c>
      <c r="F291" s="1559"/>
      <c r="G291" s="1506" t="str">
        <f>EUconst_TJpa</f>
        <v>TJ / year</v>
      </c>
      <c r="H291" s="668" t="str">
        <f t="shared" ref="H291:N291" si="57">IF(COUNT(H288:H290)&gt;0,SUM(H288:H290),"")</f>
        <v/>
      </c>
      <c r="I291" s="1021" t="str">
        <f t="shared" si="57"/>
        <v/>
      </c>
      <c r="J291" s="1491" t="str">
        <f t="shared" si="57"/>
        <v/>
      </c>
      <c r="K291" s="1492" t="str">
        <f t="shared" si="57"/>
        <v/>
      </c>
      <c r="L291" s="1492" t="str">
        <f t="shared" si="57"/>
        <v/>
      </c>
      <c r="M291" s="1492" t="str">
        <f t="shared" si="57"/>
        <v/>
      </c>
      <c r="N291" s="1492" t="str">
        <f t="shared" si="57"/>
        <v/>
      </c>
      <c r="O291" s="481"/>
      <c r="P291" s="485"/>
      <c r="T291" s="1556"/>
    </row>
    <row r="292" spans="2:31" ht="5.0999999999999996" customHeight="1">
      <c r="B292" s="467"/>
      <c r="C292" s="467"/>
      <c r="D292" s="467"/>
      <c r="E292" s="467"/>
      <c r="F292" s="467"/>
      <c r="G292" s="467"/>
      <c r="H292" s="467"/>
      <c r="I292" s="467"/>
      <c r="J292" s="467"/>
      <c r="K292" s="467"/>
      <c r="L292" s="467"/>
      <c r="M292" s="467"/>
      <c r="N292" s="467"/>
      <c r="O292" s="481"/>
      <c r="P292" s="485"/>
      <c r="Q292" s="1117"/>
      <c r="T292" s="1556"/>
    </row>
    <row r="293" spans="2:31" ht="12.75" customHeight="1">
      <c r="B293" s="467"/>
      <c r="C293" s="482"/>
      <c r="D293" s="482" t="s">
        <v>57</v>
      </c>
      <c r="E293" s="2802" t="s">
        <v>1174</v>
      </c>
      <c r="F293" s="2442"/>
      <c r="G293" s="2442"/>
      <c r="H293" s="2442"/>
      <c r="I293" s="2442"/>
      <c r="J293" s="2442"/>
      <c r="K293" s="2442"/>
      <c r="L293" s="2442"/>
      <c r="M293" s="2442"/>
      <c r="N293" s="2442"/>
      <c r="O293" s="481"/>
      <c r="P293" s="485"/>
      <c r="Q293" s="1117"/>
      <c r="T293" s="1556"/>
    </row>
    <row r="294" spans="2:31" ht="12.75" customHeight="1">
      <c r="B294" s="467"/>
      <c r="C294" s="485"/>
      <c r="D294" s="485"/>
      <c r="E294" s="3058" t="s">
        <v>2210</v>
      </c>
      <c r="F294" s="2388"/>
      <c r="G294" s="2388"/>
      <c r="H294" s="2388"/>
      <c r="I294" s="2388"/>
      <c r="J294" s="2388"/>
      <c r="K294" s="2388"/>
      <c r="L294" s="2388"/>
      <c r="M294" s="2388"/>
      <c r="N294" s="2388"/>
      <c r="O294" s="481"/>
      <c r="P294" s="485"/>
      <c r="Q294" s="1117"/>
      <c r="T294" s="1556"/>
    </row>
    <row r="295" spans="2:31" ht="13.15" customHeight="1">
      <c r="B295" s="1124"/>
      <c r="C295" s="485"/>
      <c r="D295" s="485"/>
      <c r="E295" s="2791" t="s">
        <v>524</v>
      </c>
      <c r="F295" s="3222"/>
      <c r="G295" s="663" t="str">
        <f>EUconst_Unit</f>
        <v>Unit</v>
      </c>
      <c r="H295" s="578">
        <f t="shared" ref="H295:N295" si="58">H$393</f>
        <v>2024</v>
      </c>
      <c r="I295" s="697">
        <f t="shared" si="58"/>
        <v>2025</v>
      </c>
      <c r="J295" s="1489">
        <f t="shared" si="58"/>
        <v>2026</v>
      </c>
      <c r="K295" s="1490">
        <f t="shared" si="58"/>
        <v>2027</v>
      </c>
      <c r="L295" s="1490">
        <f t="shared" si="58"/>
        <v>2028</v>
      </c>
      <c r="M295" s="1490">
        <f t="shared" si="58"/>
        <v>2029</v>
      </c>
      <c r="N295" s="1490">
        <f t="shared" si="58"/>
        <v>2030</v>
      </c>
      <c r="O295" s="481"/>
      <c r="P295" s="485"/>
      <c r="T295" s="1556"/>
    </row>
    <row r="296" spans="2:31">
      <c r="B296" s="1124"/>
      <c r="C296" s="561"/>
      <c r="D296" s="561" t="s">
        <v>6</v>
      </c>
      <c r="E296" s="3219" t="str">
        <f>c_ALR2025!E400</f>
        <v/>
      </c>
      <c r="F296" s="3220"/>
      <c r="G296" s="579" t="str">
        <f>EUconst_TJpa</f>
        <v>TJ / year</v>
      </c>
      <c r="H296" s="1552" t="str">
        <f>c_ALR2025!M400</f>
        <v/>
      </c>
      <c r="I296" s="1614"/>
      <c r="J296" s="1491"/>
      <c r="K296" s="1492"/>
      <c r="L296" s="1492"/>
      <c r="M296" s="1492"/>
      <c r="N296" s="1492"/>
      <c r="O296" s="481"/>
      <c r="P296" s="10"/>
      <c r="T296" s="1183" t="b">
        <f>T290</f>
        <v>0</v>
      </c>
      <c r="AD296" s="1161" t="s">
        <v>1954</v>
      </c>
      <c r="AE296" s="1303" t="str">
        <f>IF(AND(CNTR_HasEntries_A_I,E296&lt;&gt;"",T296=FALSE,COUNTIFS($V$16:$AB$16,FALSE,H296:N296,"")&gt;0),4,"")</f>
        <v/>
      </c>
    </row>
    <row r="297" spans="2:31">
      <c r="B297" s="1124"/>
      <c r="C297" s="561"/>
      <c r="D297" s="561" t="s">
        <v>7</v>
      </c>
      <c r="E297" s="3217" t="str">
        <f>c_ALR2025!E401</f>
        <v/>
      </c>
      <c r="F297" s="3217"/>
      <c r="G297" s="582" t="str">
        <f>EUconst_TJpa</f>
        <v>TJ / year</v>
      </c>
      <c r="H297" s="1557" t="str">
        <f>c_ALR2025!M401</f>
        <v/>
      </c>
      <c r="I297" s="1615"/>
      <c r="J297" s="1491"/>
      <c r="K297" s="1492"/>
      <c r="L297" s="1492"/>
      <c r="M297" s="1492"/>
      <c r="N297" s="1492"/>
      <c r="O297" s="481"/>
      <c r="P297" s="10"/>
      <c r="T297" s="1183" t="b">
        <f>T296</f>
        <v>0</v>
      </c>
      <c r="AD297" s="1161" t="s">
        <v>1954</v>
      </c>
      <c r="AE297" s="1303" t="str">
        <f>IF(AND(CNTR_HasEntries_A_I,E297&lt;&gt;"",T297=FALSE,COUNTIFS($V$16:$AB$16,FALSE,H297:N297,"")&gt;0),4,"")</f>
        <v/>
      </c>
    </row>
    <row r="298" spans="2:31">
      <c r="B298" s="1124"/>
      <c r="C298" s="561"/>
      <c r="D298" s="561" t="s">
        <v>8</v>
      </c>
      <c r="E298" s="3218" t="str">
        <f>c_ALR2025!E402</f>
        <v/>
      </c>
      <c r="F298" s="3218"/>
      <c r="G298" s="584" t="str">
        <f>EUconst_TJpa</f>
        <v>TJ / year</v>
      </c>
      <c r="H298" s="1558" t="str">
        <f>c_ALR2025!M402</f>
        <v/>
      </c>
      <c r="I298" s="1616"/>
      <c r="J298" s="1491"/>
      <c r="K298" s="1492"/>
      <c r="L298" s="1492"/>
      <c r="M298" s="1492"/>
      <c r="N298" s="1492"/>
      <c r="O298" s="481"/>
      <c r="P298" s="10"/>
      <c r="T298" s="1183" t="b">
        <f>T297</f>
        <v>0</v>
      </c>
      <c r="AD298" s="1161" t="s">
        <v>1954</v>
      </c>
      <c r="AE298" s="1303" t="str">
        <f>IF(AND(CNTR_HasEntries_A_I,E298&lt;&gt;"",T298=FALSE,COUNTIFS($V$16:$AB$16,FALSE,H298:N298,"")&gt;0),4,"")</f>
        <v/>
      </c>
    </row>
    <row r="299" spans="2:31">
      <c r="B299" s="1124"/>
      <c r="C299" s="561"/>
      <c r="D299" s="561" t="s">
        <v>18</v>
      </c>
      <c r="E299" s="1559" t="s">
        <v>627</v>
      </c>
      <c r="F299" s="1559"/>
      <c r="G299" s="1506" t="str">
        <f>EUconst_TJpa</f>
        <v>TJ / year</v>
      </c>
      <c r="H299" s="668" t="str">
        <f t="shared" ref="H299:N299" si="59">IF(COUNT(H296:H298)&gt;0,SUM(H296:H298),"")</f>
        <v/>
      </c>
      <c r="I299" s="1021" t="str">
        <f t="shared" si="59"/>
        <v/>
      </c>
      <c r="J299" s="1491" t="str">
        <f t="shared" si="59"/>
        <v/>
      </c>
      <c r="K299" s="1492" t="str">
        <f t="shared" si="59"/>
        <v/>
      </c>
      <c r="L299" s="1492" t="str">
        <f t="shared" si="59"/>
        <v/>
      </c>
      <c r="M299" s="1492" t="str">
        <f t="shared" si="59"/>
        <v/>
      </c>
      <c r="N299" s="1492" t="str">
        <f t="shared" si="59"/>
        <v/>
      </c>
      <c r="O299" s="481"/>
      <c r="P299" s="485"/>
      <c r="T299" s="1556"/>
    </row>
    <row r="300" spans="2:31" ht="5.0999999999999996" customHeight="1">
      <c r="B300" s="467"/>
      <c r="C300" s="467"/>
      <c r="D300" s="467"/>
      <c r="E300" s="467"/>
      <c r="F300" s="467"/>
      <c r="G300" s="467"/>
      <c r="H300" s="467"/>
      <c r="I300" s="467"/>
      <c r="J300" s="467"/>
      <c r="K300" s="467"/>
      <c r="L300" s="467"/>
      <c r="M300" s="467"/>
      <c r="N300" s="467"/>
      <c r="O300" s="481"/>
      <c r="P300" s="485"/>
      <c r="Q300" s="1117"/>
      <c r="T300" s="1556"/>
    </row>
    <row r="301" spans="2:31" ht="13.15" customHeight="1">
      <c r="B301" s="467"/>
      <c r="C301" s="482"/>
      <c r="D301" s="482" t="s">
        <v>58</v>
      </c>
      <c r="E301" s="2791" t="s">
        <v>1195</v>
      </c>
      <c r="F301" s="3222"/>
      <c r="G301" s="3222"/>
      <c r="H301" s="3222"/>
      <c r="I301" s="3222"/>
      <c r="J301" s="2442"/>
      <c r="K301" s="2442"/>
      <c r="L301" s="2442"/>
      <c r="M301" s="2442"/>
      <c r="N301" s="2442"/>
      <c r="O301" s="481"/>
      <c r="P301" s="485"/>
      <c r="Q301" s="1117"/>
      <c r="T301" s="1556"/>
    </row>
    <row r="302" spans="2:31" ht="12.6" customHeight="1">
      <c r="B302" s="1124"/>
      <c r="C302" s="485"/>
      <c r="D302" s="485"/>
      <c r="E302" s="2792" t="s">
        <v>1175</v>
      </c>
      <c r="F302" s="3221"/>
      <c r="G302" s="1506" t="str">
        <f>EUconst_TJpa</f>
        <v>TJ / year</v>
      </c>
      <c r="H302" s="668" t="str">
        <f t="shared" ref="H302:N302" si="60">IF(COUNT(H282,H291,H299)&gt;0,SUM(H282,H291)-SUM(H299),"")</f>
        <v/>
      </c>
      <c r="I302" s="1021" t="str">
        <f t="shared" si="60"/>
        <v/>
      </c>
      <c r="J302" s="1491" t="str">
        <f t="shared" si="60"/>
        <v/>
      </c>
      <c r="K302" s="1492" t="str">
        <f t="shared" si="60"/>
        <v/>
      </c>
      <c r="L302" s="1492" t="str">
        <f t="shared" si="60"/>
        <v/>
      </c>
      <c r="M302" s="1492" t="str">
        <f t="shared" si="60"/>
        <v/>
      </c>
      <c r="N302" s="1492" t="str">
        <f t="shared" si="60"/>
        <v/>
      </c>
      <c r="O302" s="481"/>
      <c r="P302" s="485"/>
      <c r="T302" s="1556"/>
    </row>
    <row r="303" spans="2:31" ht="5.0999999999999996" customHeight="1">
      <c r="B303" s="1124"/>
      <c r="C303" s="485"/>
      <c r="D303" s="485"/>
      <c r="E303" s="485"/>
      <c r="F303" s="485"/>
      <c r="G303" s="485"/>
      <c r="H303" s="485"/>
      <c r="I303" s="485"/>
      <c r="J303" s="485"/>
      <c r="K303" s="485"/>
      <c r="L303" s="485"/>
      <c r="M303" s="485"/>
      <c r="N303" s="485"/>
      <c r="O303" s="481"/>
      <c r="P303" s="485"/>
      <c r="T303" s="1556"/>
    </row>
    <row r="304" spans="2:31" ht="13.15" customHeight="1">
      <c r="B304" s="467"/>
      <c r="C304" s="482"/>
      <c r="D304" s="482" t="s">
        <v>266</v>
      </c>
      <c r="E304" s="2802" t="s">
        <v>1183</v>
      </c>
      <c r="F304" s="2442"/>
      <c r="G304" s="2442"/>
      <c r="H304" s="2442"/>
      <c r="I304" s="2442"/>
      <c r="J304" s="2442"/>
      <c r="K304" s="2442"/>
      <c r="L304" s="2442"/>
      <c r="M304" s="2442"/>
      <c r="N304" s="2442"/>
      <c r="O304" s="481"/>
      <c r="P304" s="485"/>
      <c r="Q304" s="1117"/>
      <c r="T304" s="1556"/>
    </row>
    <row r="305" spans="2:17" ht="12.75" customHeight="1">
      <c r="B305" s="467"/>
      <c r="C305" s="485"/>
      <c r="D305" s="485"/>
      <c r="E305" s="3058" t="s">
        <v>2211</v>
      </c>
      <c r="F305" s="2388"/>
      <c r="G305" s="2388"/>
      <c r="H305" s="2388"/>
      <c r="I305" s="2388"/>
      <c r="J305" s="2388"/>
      <c r="K305" s="2388"/>
      <c r="L305" s="2388"/>
      <c r="M305" s="2388"/>
      <c r="N305" s="2388"/>
      <c r="O305" s="481"/>
      <c r="P305" s="485"/>
      <c r="Q305" s="1117"/>
    </row>
    <row r="306" spans="2:17" ht="13.15" customHeight="1">
      <c r="B306" s="1124"/>
      <c r="C306" s="485"/>
      <c r="D306" s="485"/>
      <c r="E306" s="2791" t="s">
        <v>1184</v>
      </c>
      <c r="F306" s="3222"/>
      <c r="G306" s="663" t="str">
        <f>EUconst_Unit</f>
        <v>Unit</v>
      </c>
      <c r="H306" s="578">
        <f t="shared" ref="H306:N306" si="61">H$393</f>
        <v>2024</v>
      </c>
      <c r="I306" s="697">
        <f t="shared" si="61"/>
        <v>2025</v>
      </c>
      <c r="J306" s="1489">
        <f t="shared" si="61"/>
        <v>2026</v>
      </c>
      <c r="K306" s="1490">
        <f t="shared" si="61"/>
        <v>2027</v>
      </c>
      <c r="L306" s="1490">
        <f t="shared" si="61"/>
        <v>2028</v>
      </c>
      <c r="M306" s="1490">
        <f t="shared" si="61"/>
        <v>2029</v>
      </c>
      <c r="N306" s="1490">
        <f t="shared" si="61"/>
        <v>2030</v>
      </c>
      <c r="O306" s="481"/>
      <c r="P306" s="485"/>
    </row>
    <row r="307" spans="2:17" ht="12.75" customHeight="1">
      <c r="B307" s="1124"/>
      <c r="C307" s="485"/>
      <c r="D307" s="561" t="s">
        <v>6</v>
      </c>
      <c r="E307" s="3227" t="str">
        <f t="shared" ref="E307:E316" si="62">E261</f>
        <v/>
      </c>
      <c r="F307" s="3228"/>
      <c r="G307" s="1560" t="str">
        <f t="shared" ref="G307:G317" si="63">EUconst_TJpa</f>
        <v>TJ / year</v>
      </c>
      <c r="H307" s="656" t="str">
        <f>IF(SUMIF(F_ProductBM!$Q:$Q,$Q307,F_ProductBM!H:H)&gt;0,SUMIF(F_ProductBM!$Q:$Q,$Q307,F_ProductBM!H:H),"")</f>
        <v/>
      </c>
      <c r="I307" s="962" t="str">
        <f>IF(SUMIF(F_ProductBM!$Q:$Q,$Q307,F_ProductBM!I:I)&gt;0,SUMIF(F_ProductBM!$Q:$Q,$Q307,F_ProductBM!I:I),"")</f>
        <v/>
      </c>
      <c r="J307" s="1491" t="str">
        <f>IF(SUMIF(F_ProductBM!$Q:$Q,$Q307,F_ProductBM!J:J)&gt;0,SUMIF(F_ProductBM!$Q:$Q,$Q307,F_ProductBM!J:J),"")</f>
        <v/>
      </c>
      <c r="K307" s="1492" t="str">
        <f>IF(SUMIF(F_ProductBM!$Q:$Q,$Q307,F_ProductBM!K:K)&gt;0,SUMIF(F_ProductBM!$Q:$Q,$Q307,F_ProductBM!K:K),"")</f>
        <v/>
      </c>
      <c r="L307" s="1492" t="str">
        <f>IF(SUMIF(F_ProductBM!$Q:$Q,$Q307,F_ProductBM!L:L)&gt;0,SUMIF(F_ProductBM!$Q:$Q,$Q307,F_ProductBM!L:L),"")</f>
        <v/>
      </c>
      <c r="M307" s="1492" t="str">
        <f>IF(SUMIF(F_ProductBM!$Q:$Q,$Q307,F_ProductBM!M:M)&gt;0,SUMIF(F_ProductBM!$Q:$Q,$Q307,F_ProductBM!M:M),"")</f>
        <v/>
      </c>
      <c r="N307" s="1492" t="str">
        <f>IF(SUMIF(F_ProductBM!$Q:$Q,$Q307,F_ProductBM!N:N)&gt;0,SUMIF(F_ProductBM!$Q:$Q,$Q307,F_ProductBM!N:N),"")</f>
        <v/>
      </c>
      <c r="O307" s="481"/>
      <c r="P307" s="485"/>
      <c r="Q307" s="1140" t="str">
        <f t="shared" ref="Q307:Q316" si="64">EUconst_CNTR_WGConsumed &amp; E307</f>
        <v>WasteGasCons_</v>
      </c>
    </row>
    <row r="308" spans="2:17">
      <c r="B308" s="1124"/>
      <c r="C308" s="485"/>
      <c r="D308" s="561" t="s">
        <v>7</v>
      </c>
      <c r="E308" s="3236" t="str">
        <f t="shared" si="62"/>
        <v/>
      </c>
      <c r="F308" s="3232"/>
      <c r="G308" s="1562" t="str">
        <f t="shared" si="63"/>
        <v>TJ / year</v>
      </c>
      <c r="H308" s="658" t="str">
        <f>IF(SUMIF(F_ProductBM!$Q:$Q,$Q308,F_ProductBM!H:H)&gt;0,SUMIF(F_ProductBM!$Q:$Q,$Q308,F_ProductBM!H:H),"")</f>
        <v/>
      </c>
      <c r="I308" s="965" t="str">
        <f>IF(SUMIF(F_ProductBM!$Q:$Q,$Q308,F_ProductBM!I:I)&gt;0,SUMIF(F_ProductBM!$Q:$Q,$Q308,F_ProductBM!I:I),"")</f>
        <v/>
      </c>
      <c r="J308" s="1491" t="str">
        <f>IF(SUMIF(F_ProductBM!$Q:$Q,$Q308,F_ProductBM!J:J)&gt;0,SUMIF(F_ProductBM!$Q:$Q,$Q308,F_ProductBM!J:J),"")</f>
        <v/>
      </c>
      <c r="K308" s="1492" t="str">
        <f>IF(SUMIF(F_ProductBM!$Q:$Q,$Q308,F_ProductBM!K:K)&gt;0,SUMIF(F_ProductBM!$Q:$Q,$Q308,F_ProductBM!K:K),"")</f>
        <v/>
      </c>
      <c r="L308" s="1492" t="str">
        <f>IF(SUMIF(F_ProductBM!$Q:$Q,$Q308,F_ProductBM!L:L)&gt;0,SUMIF(F_ProductBM!$Q:$Q,$Q308,F_ProductBM!L:L),"")</f>
        <v/>
      </c>
      <c r="M308" s="1492" t="str">
        <f>IF(SUMIF(F_ProductBM!$Q:$Q,$Q308,F_ProductBM!M:M)&gt;0,SUMIF(F_ProductBM!$Q:$Q,$Q308,F_ProductBM!M:M),"")</f>
        <v/>
      </c>
      <c r="N308" s="1492" t="str">
        <f>IF(SUMIF(F_ProductBM!$Q:$Q,$Q308,F_ProductBM!N:N)&gt;0,SUMIF(F_ProductBM!$Q:$Q,$Q308,F_ProductBM!N:N),"")</f>
        <v/>
      </c>
      <c r="O308" s="481"/>
      <c r="P308" s="485"/>
      <c r="Q308" s="1140" t="str">
        <f t="shared" si="64"/>
        <v>WasteGasCons_</v>
      </c>
    </row>
    <row r="309" spans="2:17" ht="12.75" customHeight="1">
      <c r="B309" s="1124"/>
      <c r="C309" s="485"/>
      <c r="D309" s="561" t="s">
        <v>8</v>
      </c>
      <c r="E309" s="3236" t="str">
        <f t="shared" si="62"/>
        <v/>
      </c>
      <c r="F309" s="3232"/>
      <c r="G309" s="1562" t="str">
        <f t="shared" si="63"/>
        <v>TJ / year</v>
      </c>
      <c r="H309" s="658" t="str">
        <f>IF(SUMIF(F_ProductBM!$Q:$Q,$Q309,F_ProductBM!H:H)&gt;0,SUMIF(F_ProductBM!$Q:$Q,$Q309,F_ProductBM!H:H),"")</f>
        <v/>
      </c>
      <c r="I309" s="965" t="str">
        <f>IF(SUMIF(F_ProductBM!$Q:$Q,$Q309,F_ProductBM!I:I)&gt;0,SUMIF(F_ProductBM!$Q:$Q,$Q309,F_ProductBM!I:I),"")</f>
        <v/>
      </c>
      <c r="J309" s="1491" t="str">
        <f>IF(SUMIF(F_ProductBM!$Q:$Q,$Q309,F_ProductBM!J:J)&gt;0,SUMIF(F_ProductBM!$Q:$Q,$Q309,F_ProductBM!J:J),"")</f>
        <v/>
      </c>
      <c r="K309" s="1492" t="str">
        <f>IF(SUMIF(F_ProductBM!$Q:$Q,$Q309,F_ProductBM!K:K)&gt;0,SUMIF(F_ProductBM!$Q:$Q,$Q309,F_ProductBM!K:K),"")</f>
        <v/>
      </c>
      <c r="L309" s="1492" t="str">
        <f>IF(SUMIF(F_ProductBM!$Q:$Q,$Q309,F_ProductBM!L:L)&gt;0,SUMIF(F_ProductBM!$Q:$Q,$Q309,F_ProductBM!L:L),"")</f>
        <v/>
      </c>
      <c r="M309" s="1492" t="str">
        <f>IF(SUMIF(F_ProductBM!$Q:$Q,$Q309,F_ProductBM!M:M)&gt;0,SUMIF(F_ProductBM!$Q:$Q,$Q309,F_ProductBM!M:M),"")</f>
        <v/>
      </c>
      <c r="N309" s="1492" t="str">
        <f>IF(SUMIF(F_ProductBM!$Q:$Q,$Q309,F_ProductBM!N:N)&gt;0,SUMIF(F_ProductBM!$Q:$Q,$Q309,F_ProductBM!N:N),"")</f>
        <v/>
      </c>
      <c r="O309" s="481"/>
      <c r="P309" s="485"/>
      <c r="Q309" s="1140" t="str">
        <f t="shared" si="64"/>
        <v>WasteGasCons_</v>
      </c>
    </row>
    <row r="310" spans="2:17">
      <c r="B310" s="1124"/>
      <c r="C310" s="485"/>
      <c r="D310" s="561" t="s">
        <v>18</v>
      </c>
      <c r="E310" s="3236" t="str">
        <f t="shared" si="62"/>
        <v/>
      </c>
      <c r="F310" s="3232"/>
      <c r="G310" s="1562" t="str">
        <f t="shared" si="63"/>
        <v>TJ / year</v>
      </c>
      <c r="H310" s="658" t="str">
        <f>IF(SUMIF(F_ProductBM!$Q:$Q,$Q310,F_ProductBM!H:H)&gt;0,SUMIF(F_ProductBM!$Q:$Q,$Q310,F_ProductBM!H:H),"")</f>
        <v/>
      </c>
      <c r="I310" s="965" t="str">
        <f>IF(SUMIF(F_ProductBM!$Q:$Q,$Q310,F_ProductBM!I:I)&gt;0,SUMIF(F_ProductBM!$Q:$Q,$Q310,F_ProductBM!I:I),"")</f>
        <v/>
      </c>
      <c r="J310" s="1491" t="str">
        <f>IF(SUMIF(F_ProductBM!$Q:$Q,$Q310,F_ProductBM!J:J)&gt;0,SUMIF(F_ProductBM!$Q:$Q,$Q310,F_ProductBM!J:J),"")</f>
        <v/>
      </c>
      <c r="K310" s="1492" t="str">
        <f>IF(SUMIF(F_ProductBM!$Q:$Q,$Q310,F_ProductBM!K:K)&gt;0,SUMIF(F_ProductBM!$Q:$Q,$Q310,F_ProductBM!K:K),"")</f>
        <v/>
      </c>
      <c r="L310" s="1492" t="str">
        <f>IF(SUMIF(F_ProductBM!$Q:$Q,$Q310,F_ProductBM!L:L)&gt;0,SUMIF(F_ProductBM!$Q:$Q,$Q310,F_ProductBM!L:L),"")</f>
        <v/>
      </c>
      <c r="M310" s="1492" t="str">
        <f>IF(SUMIF(F_ProductBM!$Q:$Q,$Q310,F_ProductBM!M:M)&gt;0,SUMIF(F_ProductBM!$Q:$Q,$Q310,F_ProductBM!M:M),"")</f>
        <v/>
      </c>
      <c r="N310" s="1492" t="str">
        <f>IF(SUMIF(F_ProductBM!$Q:$Q,$Q310,F_ProductBM!N:N)&gt;0,SUMIF(F_ProductBM!$Q:$Q,$Q310,F_ProductBM!N:N),"")</f>
        <v/>
      </c>
      <c r="O310" s="481"/>
      <c r="P310" s="485"/>
      <c r="Q310" s="1140" t="str">
        <f t="shared" si="64"/>
        <v>WasteGasCons_</v>
      </c>
    </row>
    <row r="311" spans="2:17">
      <c r="B311" s="1124"/>
      <c r="C311" s="485"/>
      <c r="D311" s="561" t="s">
        <v>787</v>
      </c>
      <c r="E311" s="3236" t="str">
        <f t="shared" si="62"/>
        <v/>
      </c>
      <c r="F311" s="3232"/>
      <c r="G311" s="1562" t="str">
        <f t="shared" si="63"/>
        <v>TJ / year</v>
      </c>
      <c r="H311" s="658" t="str">
        <f>IF(SUMIF(F_ProductBM!$Q:$Q,$Q311,F_ProductBM!H:H)&gt;0,SUMIF(F_ProductBM!$Q:$Q,$Q311,F_ProductBM!H:H),"")</f>
        <v/>
      </c>
      <c r="I311" s="965" t="str">
        <f>IF(SUMIF(F_ProductBM!$Q:$Q,$Q311,F_ProductBM!I:I)&gt;0,SUMIF(F_ProductBM!$Q:$Q,$Q311,F_ProductBM!I:I),"")</f>
        <v/>
      </c>
      <c r="J311" s="1491" t="str">
        <f>IF(SUMIF(F_ProductBM!$Q:$Q,$Q311,F_ProductBM!J:J)&gt;0,SUMIF(F_ProductBM!$Q:$Q,$Q311,F_ProductBM!J:J),"")</f>
        <v/>
      </c>
      <c r="K311" s="1492" t="str">
        <f>IF(SUMIF(F_ProductBM!$Q:$Q,$Q311,F_ProductBM!K:K)&gt;0,SUMIF(F_ProductBM!$Q:$Q,$Q311,F_ProductBM!K:K),"")</f>
        <v/>
      </c>
      <c r="L311" s="1492" t="str">
        <f>IF(SUMIF(F_ProductBM!$Q:$Q,$Q311,F_ProductBM!L:L)&gt;0,SUMIF(F_ProductBM!$Q:$Q,$Q311,F_ProductBM!L:L),"")</f>
        <v/>
      </c>
      <c r="M311" s="1492" t="str">
        <f>IF(SUMIF(F_ProductBM!$Q:$Q,$Q311,F_ProductBM!M:M)&gt;0,SUMIF(F_ProductBM!$Q:$Q,$Q311,F_ProductBM!M:M),"")</f>
        <v/>
      </c>
      <c r="N311" s="1492" t="str">
        <f>IF(SUMIF(F_ProductBM!$Q:$Q,$Q311,F_ProductBM!N:N)&gt;0,SUMIF(F_ProductBM!$Q:$Q,$Q311,F_ProductBM!N:N),"")</f>
        <v/>
      </c>
      <c r="O311" s="481"/>
      <c r="P311" s="485"/>
      <c r="Q311" s="1140" t="str">
        <f t="shared" si="64"/>
        <v>WasteGasCons_</v>
      </c>
    </row>
    <row r="312" spans="2:17">
      <c r="B312" s="1124"/>
      <c r="C312" s="485"/>
      <c r="D312" s="561" t="s">
        <v>788</v>
      </c>
      <c r="E312" s="3236" t="str">
        <f t="shared" si="62"/>
        <v/>
      </c>
      <c r="F312" s="3232"/>
      <c r="G312" s="1562" t="str">
        <f t="shared" si="63"/>
        <v>TJ / year</v>
      </c>
      <c r="H312" s="658" t="str">
        <f>IF(SUMIF(F_ProductBM!$Q:$Q,$Q312,F_ProductBM!H:H)&gt;0,SUMIF(F_ProductBM!$Q:$Q,$Q312,F_ProductBM!H:H),"")</f>
        <v/>
      </c>
      <c r="I312" s="965" t="str">
        <f>IF(SUMIF(F_ProductBM!$Q:$Q,$Q312,F_ProductBM!I:I)&gt;0,SUMIF(F_ProductBM!$Q:$Q,$Q312,F_ProductBM!I:I),"")</f>
        <v/>
      </c>
      <c r="J312" s="1491" t="str">
        <f>IF(SUMIF(F_ProductBM!$Q:$Q,$Q312,F_ProductBM!J:J)&gt;0,SUMIF(F_ProductBM!$Q:$Q,$Q312,F_ProductBM!J:J),"")</f>
        <v/>
      </c>
      <c r="K312" s="1492" t="str">
        <f>IF(SUMIF(F_ProductBM!$Q:$Q,$Q312,F_ProductBM!K:K)&gt;0,SUMIF(F_ProductBM!$Q:$Q,$Q312,F_ProductBM!K:K),"")</f>
        <v/>
      </c>
      <c r="L312" s="1492" t="str">
        <f>IF(SUMIF(F_ProductBM!$Q:$Q,$Q312,F_ProductBM!L:L)&gt;0,SUMIF(F_ProductBM!$Q:$Q,$Q312,F_ProductBM!L:L),"")</f>
        <v/>
      </c>
      <c r="M312" s="1492" t="str">
        <f>IF(SUMIF(F_ProductBM!$Q:$Q,$Q312,F_ProductBM!M:M)&gt;0,SUMIF(F_ProductBM!$Q:$Q,$Q312,F_ProductBM!M:M),"")</f>
        <v/>
      </c>
      <c r="N312" s="1492" t="str">
        <f>IF(SUMIF(F_ProductBM!$Q:$Q,$Q312,F_ProductBM!N:N)&gt;0,SUMIF(F_ProductBM!$Q:$Q,$Q312,F_ProductBM!N:N),"")</f>
        <v/>
      </c>
      <c r="O312" s="481"/>
      <c r="P312" s="485"/>
      <c r="Q312" s="1140" t="str">
        <f t="shared" si="64"/>
        <v>WasteGasCons_</v>
      </c>
    </row>
    <row r="313" spans="2:17">
      <c r="B313" s="1124"/>
      <c r="C313" s="485"/>
      <c r="D313" s="561" t="s">
        <v>789</v>
      </c>
      <c r="E313" s="3236" t="str">
        <f t="shared" si="62"/>
        <v/>
      </c>
      <c r="F313" s="3232"/>
      <c r="G313" s="1562" t="str">
        <f t="shared" si="63"/>
        <v>TJ / year</v>
      </c>
      <c r="H313" s="658" t="str">
        <f>IF(SUMIF(F_ProductBM!$Q:$Q,$Q313,F_ProductBM!H:H)&gt;0,SUMIF(F_ProductBM!$Q:$Q,$Q313,F_ProductBM!H:H),"")</f>
        <v/>
      </c>
      <c r="I313" s="965" t="str">
        <f>IF(SUMIF(F_ProductBM!$Q:$Q,$Q313,F_ProductBM!I:I)&gt;0,SUMIF(F_ProductBM!$Q:$Q,$Q313,F_ProductBM!I:I),"")</f>
        <v/>
      </c>
      <c r="J313" s="1491" t="str">
        <f>IF(SUMIF(F_ProductBM!$Q:$Q,$Q313,F_ProductBM!J:J)&gt;0,SUMIF(F_ProductBM!$Q:$Q,$Q313,F_ProductBM!J:J),"")</f>
        <v/>
      </c>
      <c r="K313" s="1492" t="str">
        <f>IF(SUMIF(F_ProductBM!$Q:$Q,$Q313,F_ProductBM!K:K)&gt;0,SUMIF(F_ProductBM!$Q:$Q,$Q313,F_ProductBM!K:K),"")</f>
        <v/>
      </c>
      <c r="L313" s="1492" t="str">
        <f>IF(SUMIF(F_ProductBM!$Q:$Q,$Q313,F_ProductBM!L:L)&gt;0,SUMIF(F_ProductBM!$Q:$Q,$Q313,F_ProductBM!L:L),"")</f>
        <v/>
      </c>
      <c r="M313" s="1492" t="str">
        <f>IF(SUMIF(F_ProductBM!$Q:$Q,$Q313,F_ProductBM!M:M)&gt;0,SUMIF(F_ProductBM!$Q:$Q,$Q313,F_ProductBM!M:M),"")</f>
        <v/>
      </c>
      <c r="N313" s="1492" t="str">
        <f>IF(SUMIF(F_ProductBM!$Q:$Q,$Q313,F_ProductBM!N:N)&gt;0,SUMIF(F_ProductBM!$Q:$Q,$Q313,F_ProductBM!N:N),"")</f>
        <v/>
      </c>
      <c r="O313" s="481"/>
      <c r="P313" s="485"/>
      <c r="Q313" s="1140" t="str">
        <f t="shared" si="64"/>
        <v>WasteGasCons_</v>
      </c>
    </row>
    <row r="314" spans="2:17">
      <c r="B314" s="1124"/>
      <c r="C314" s="485"/>
      <c r="D314" s="561" t="s">
        <v>790</v>
      </c>
      <c r="E314" s="3236" t="str">
        <f t="shared" si="62"/>
        <v/>
      </c>
      <c r="F314" s="3232"/>
      <c r="G314" s="1562" t="str">
        <f t="shared" si="63"/>
        <v>TJ / year</v>
      </c>
      <c r="H314" s="658" t="str">
        <f>IF(SUMIF(F_ProductBM!$Q:$Q,$Q314,F_ProductBM!H:H)&gt;0,SUMIF(F_ProductBM!$Q:$Q,$Q314,F_ProductBM!H:H),"")</f>
        <v/>
      </c>
      <c r="I314" s="965" t="str">
        <f>IF(SUMIF(F_ProductBM!$Q:$Q,$Q314,F_ProductBM!I:I)&gt;0,SUMIF(F_ProductBM!$Q:$Q,$Q314,F_ProductBM!I:I),"")</f>
        <v/>
      </c>
      <c r="J314" s="1491" t="str">
        <f>IF(SUMIF(F_ProductBM!$Q:$Q,$Q314,F_ProductBM!J:J)&gt;0,SUMIF(F_ProductBM!$Q:$Q,$Q314,F_ProductBM!J:J),"")</f>
        <v/>
      </c>
      <c r="K314" s="1492" t="str">
        <f>IF(SUMIF(F_ProductBM!$Q:$Q,$Q314,F_ProductBM!K:K)&gt;0,SUMIF(F_ProductBM!$Q:$Q,$Q314,F_ProductBM!K:K),"")</f>
        <v/>
      </c>
      <c r="L314" s="1492" t="str">
        <f>IF(SUMIF(F_ProductBM!$Q:$Q,$Q314,F_ProductBM!L:L)&gt;0,SUMIF(F_ProductBM!$Q:$Q,$Q314,F_ProductBM!L:L),"")</f>
        <v/>
      </c>
      <c r="M314" s="1492" t="str">
        <f>IF(SUMIF(F_ProductBM!$Q:$Q,$Q314,F_ProductBM!M:M)&gt;0,SUMIF(F_ProductBM!$Q:$Q,$Q314,F_ProductBM!M:M),"")</f>
        <v/>
      </c>
      <c r="N314" s="1492" t="str">
        <f>IF(SUMIF(F_ProductBM!$Q:$Q,$Q314,F_ProductBM!N:N)&gt;0,SUMIF(F_ProductBM!$Q:$Q,$Q314,F_ProductBM!N:N),"")</f>
        <v/>
      </c>
      <c r="O314" s="481"/>
      <c r="P314" s="485"/>
      <c r="Q314" s="1140" t="str">
        <f t="shared" si="64"/>
        <v>WasteGasCons_</v>
      </c>
    </row>
    <row r="315" spans="2:17">
      <c r="B315" s="1124"/>
      <c r="C315" s="485"/>
      <c r="D315" s="561" t="s">
        <v>791</v>
      </c>
      <c r="E315" s="3236" t="str">
        <f t="shared" si="62"/>
        <v/>
      </c>
      <c r="F315" s="3232"/>
      <c r="G315" s="1562" t="str">
        <f t="shared" si="63"/>
        <v>TJ / year</v>
      </c>
      <c r="H315" s="658" t="str">
        <f>IF(SUMIF(F_ProductBM!$Q:$Q,$Q315,F_ProductBM!H:H)&gt;0,SUMIF(F_ProductBM!$Q:$Q,$Q315,F_ProductBM!H:H),"")</f>
        <v/>
      </c>
      <c r="I315" s="965" t="str">
        <f>IF(SUMIF(F_ProductBM!$Q:$Q,$Q315,F_ProductBM!I:I)&gt;0,SUMIF(F_ProductBM!$Q:$Q,$Q315,F_ProductBM!I:I),"")</f>
        <v/>
      </c>
      <c r="J315" s="1491" t="str">
        <f>IF(SUMIF(F_ProductBM!$Q:$Q,$Q315,F_ProductBM!J:J)&gt;0,SUMIF(F_ProductBM!$Q:$Q,$Q315,F_ProductBM!J:J),"")</f>
        <v/>
      </c>
      <c r="K315" s="1492" t="str">
        <f>IF(SUMIF(F_ProductBM!$Q:$Q,$Q315,F_ProductBM!K:K)&gt;0,SUMIF(F_ProductBM!$Q:$Q,$Q315,F_ProductBM!K:K),"")</f>
        <v/>
      </c>
      <c r="L315" s="1492" t="str">
        <f>IF(SUMIF(F_ProductBM!$Q:$Q,$Q315,F_ProductBM!L:L)&gt;0,SUMIF(F_ProductBM!$Q:$Q,$Q315,F_ProductBM!L:L),"")</f>
        <v/>
      </c>
      <c r="M315" s="1492" t="str">
        <f>IF(SUMIF(F_ProductBM!$Q:$Q,$Q315,F_ProductBM!M:M)&gt;0,SUMIF(F_ProductBM!$Q:$Q,$Q315,F_ProductBM!M:M),"")</f>
        <v/>
      </c>
      <c r="N315" s="1492" t="str">
        <f>IF(SUMIF(F_ProductBM!$Q:$Q,$Q315,F_ProductBM!N:N)&gt;0,SUMIF(F_ProductBM!$Q:$Q,$Q315,F_ProductBM!N:N),"")</f>
        <v/>
      </c>
      <c r="O315" s="481"/>
      <c r="P315" s="485"/>
      <c r="Q315" s="1140" t="str">
        <f t="shared" si="64"/>
        <v>WasteGasCons_</v>
      </c>
    </row>
    <row r="316" spans="2:17">
      <c r="B316" s="1124"/>
      <c r="C316" s="485"/>
      <c r="D316" s="561" t="s">
        <v>64</v>
      </c>
      <c r="E316" s="3242" t="str">
        <f t="shared" si="62"/>
        <v/>
      </c>
      <c r="F316" s="3234"/>
      <c r="G316" s="1563" t="str">
        <f t="shared" si="63"/>
        <v>TJ / year</v>
      </c>
      <c r="H316" s="660" t="str">
        <f>IF(SUMIF(F_ProductBM!$Q:$Q,$Q316,F_ProductBM!H:H)&gt;0,SUMIF(F_ProductBM!$Q:$Q,$Q316,F_ProductBM!H:H),"")</f>
        <v/>
      </c>
      <c r="I316" s="969" t="str">
        <f>IF(SUMIF(F_ProductBM!$Q:$Q,$Q316,F_ProductBM!I:I)&gt;0,SUMIF(F_ProductBM!$Q:$Q,$Q316,F_ProductBM!I:I),"")</f>
        <v/>
      </c>
      <c r="J316" s="1491" t="str">
        <f>IF(SUMIF(F_ProductBM!$Q:$Q,$Q316,F_ProductBM!J:J)&gt;0,SUMIF(F_ProductBM!$Q:$Q,$Q316,F_ProductBM!J:J),"")</f>
        <v/>
      </c>
      <c r="K316" s="1492" t="str">
        <f>IF(SUMIF(F_ProductBM!$Q:$Q,$Q316,F_ProductBM!K:K)&gt;0,SUMIF(F_ProductBM!$Q:$Q,$Q316,F_ProductBM!K:K),"")</f>
        <v/>
      </c>
      <c r="L316" s="1492" t="str">
        <f>IF(SUMIF(F_ProductBM!$Q:$Q,$Q316,F_ProductBM!L:L)&gt;0,SUMIF(F_ProductBM!$Q:$Q,$Q316,F_ProductBM!L:L),"")</f>
        <v/>
      </c>
      <c r="M316" s="1492" t="str">
        <f>IF(SUMIF(F_ProductBM!$Q:$Q,$Q316,F_ProductBM!M:M)&gt;0,SUMIF(F_ProductBM!$Q:$Q,$Q316,F_ProductBM!M:M),"")</f>
        <v/>
      </c>
      <c r="N316" s="1492" t="str">
        <f>IF(SUMIF(F_ProductBM!$Q:$Q,$Q316,F_ProductBM!N:N)&gt;0,SUMIF(F_ProductBM!$Q:$Q,$Q316,F_ProductBM!N:N),"")</f>
        <v/>
      </c>
      <c r="O316" s="481"/>
      <c r="P316" s="485"/>
      <c r="Q316" s="1140" t="str">
        <f t="shared" si="64"/>
        <v>WasteGasCons_</v>
      </c>
    </row>
    <row r="317" spans="2:17" ht="12.75" customHeight="1">
      <c r="B317" s="1124"/>
      <c r="C317" s="561"/>
      <c r="D317" s="561" t="s">
        <v>65</v>
      </c>
      <c r="E317" s="2792" t="s">
        <v>627</v>
      </c>
      <c r="F317" s="3221"/>
      <c r="G317" s="584" t="str">
        <f t="shared" si="63"/>
        <v>TJ / year</v>
      </c>
      <c r="H317" s="646" t="str">
        <f t="shared" ref="H317:N317" si="65">IF(COUNT(H307:H316)&gt;0,SUM(H307:H316),"")</f>
        <v/>
      </c>
      <c r="I317" s="949" t="str">
        <f t="shared" si="65"/>
        <v/>
      </c>
      <c r="J317" s="1491" t="str">
        <f t="shared" si="65"/>
        <v/>
      </c>
      <c r="K317" s="1492" t="str">
        <f t="shared" si="65"/>
        <v/>
      </c>
      <c r="L317" s="1492" t="str">
        <f t="shared" si="65"/>
        <v/>
      </c>
      <c r="M317" s="1492" t="str">
        <f t="shared" si="65"/>
        <v/>
      </c>
      <c r="N317" s="1492" t="str">
        <f t="shared" si="65"/>
        <v/>
      </c>
      <c r="O317" s="481"/>
      <c r="P317" s="485"/>
    </row>
    <row r="318" spans="2:17" ht="5.0999999999999996" customHeight="1">
      <c r="B318" s="467"/>
      <c r="C318" s="467"/>
      <c r="D318" s="467"/>
      <c r="E318" s="467"/>
      <c r="F318" s="467"/>
      <c r="G318" s="467"/>
      <c r="H318" s="467"/>
      <c r="I318" s="467"/>
      <c r="J318" s="467"/>
      <c r="K318" s="467"/>
      <c r="L318" s="467"/>
      <c r="M318" s="467"/>
      <c r="N318" s="467"/>
      <c r="O318" s="481"/>
      <c r="P318" s="485"/>
      <c r="Q318" s="1117"/>
    </row>
    <row r="319" spans="2:17" ht="13.15" customHeight="1">
      <c r="B319" s="467"/>
      <c r="C319" s="482"/>
      <c r="D319" s="482" t="s">
        <v>269</v>
      </c>
      <c r="E319" s="2802" t="s">
        <v>1176</v>
      </c>
      <c r="F319" s="2442"/>
      <c r="G319" s="2442"/>
      <c r="H319" s="2442"/>
      <c r="I319" s="2442"/>
      <c r="J319" s="2442"/>
      <c r="K319" s="2442"/>
      <c r="L319" s="2442"/>
      <c r="M319" s="2442"/>
      <c r="N319" s="2442"/>
      <c r="O319" s="481"/>
      <c r="P319" s="485"/>
      <c r="Q319" s="1117"/>
    </row>
    <row r="320" spans="2:17" ht="12.75" customHeight="1">
      <c r="B320" s="467"/>
      <c r="C320" s="485"/>
      <c r="D320" s="485"/>
      <c r="E320" s="3058" t="s">
        <v>1485</v>
      </c>
      <c r="F320" s="2388"/>
      <c r="G320" s="2388"/>
      <c r="H320" s="2388"/>
      <c r="I320" s="2388"/>
      <c r="J320" s="2388"/>
      <c r="K320" s="2388"/>
      <c r="L320" s="2388"/>
      <c r="M320" s="2388"/>
      <c r="N320" s="2388"/>
      <c r="O320" s="481"/>
      <c r="P320" s="485"/>
      <c r="Q320" s="1117"/>
    </row>
    <row r="321" spans="2:31" ht="13.15" customHeight="1">
      <c r="B321" s="1124"/>
      <c r="C321" s="485"/>
      <c r="D321" s="485"/>
      <c r="E321" s="2791" t="s">
        <v>1185</v>
      </c>
      <c r="F321" s="3222"/>
      <c r="G321" s="482" t="str">
        <f>EUconst_Unit</f>
        <v>Unit</v>
      </c>
      <c r="H321" s="578">
        <f t="shared" ref="H321:N321" si="66">H$393</f>
        <v>2024</v>
      </c>
      <c r="I321" s="697">
        <f t="shared" si="66"/>
        <v>2025</v>
      </c>
      <c r="J321" s="1489">
        <f t="shared" si="66"/>
        <v>2026</v>
      </c>
      <c r="K321" s="1490">
        <f t="shared" si="66"/>
        <v>2027</v>
      </c>
      <c r="L321" s="1490">
        <f t="shared" si="66"/>
        <v>2028</v>
      </c>
      <c r="M321" s="1490">
        <f t="shared" si="66"/>
        <v>2029</v>
      </c>
      <c r="N321" s="1490">
        <f t="shared" si="66"/>
        <v>2030</v>
      </c>
      <c r="O321" s="481"/>
      <c r="P321" s="485"/>
      <c r="T321" s="1556"/>
    </row>
    <row r="322" spans="2:31" ht="12.75" customHeight="1">
      <c r="B322" s="1124"/>
      <c r="C322" s="485"/>
      <c r="D322" s="561" t="s">
        <v>6</v>
      </c>
      <c r="E322" s="3238" t="str">
        <f>INDEX(EUconst_FallBackListNames,R322)</f>
        <v>Heat benchmark sub-installation, CL</v>
      </c>
      <c r="F322" s="3228"/>
      <c r="G322" s="1560" t="str">
        <f t="shared" ref="G322:G327" si="67">EUconst_TJpa</f>
        <v>TJ / year</v>
      </c>
      <c r="H322" s="656" t="str">
        <f>IF(SUMIF('G_Fall-back'!$Q:$Q,$Q322,'G_Fall-back'!H:H)&gt;0,SUMIF('G_Fall-back'!$Q:$Q,$Q322,'G_Fall-back'!H:H),"")</f>
        <v/>
      </c>
      <c r="I322" s="962" t="str">
        <f>IF(SUMIF('G_Fall-back'!$Q:$Q,$Q322,'G_Fall-back'!I:I)&gt;0,SUMIF('G_Fall-back'!$Q:$Q,$Q322,'G_Fall-back'!I:I),"")</f>
        <v/>
      </c>
      <c r="J322" s="1491" t="str">
        <f>IF(SUMIF('G_Fall-back'!$Q:$Q,$Q322,'G_Fall-back'!J:J)&gt;0,SUMIF('G_Fall-back'!$Q:$Q,$Q322,'G_Fall-back'!J:J),"")</f>
        <v/>
      </c>
      <c r="K322" s="1492" t="str">
        <f>IF(SUMIF('G_Fall-back'!$Q:$Q,$Q322,'G_Fall-back'!K:K)&gt;0,SUMIF('G_Fall-back'!$Q:$Q,$Q322,'G_Fall-back'!K:K),"")</f>
        <v/>
      </c>
      <c r="L322" s="1492" t="str">
        <f>IF(SUMIF('G_Fall-back'!$Q:$Q,$Q322,'G_Fall-back'!L:L)&gt;0,SUMIF('G_Fall-back'!$Q:$Q,$Q322,'G_Fall-back'!L:L),"")</f>
        <v/>
      </c>
      <c r="M322" s="1492" t="str">
        <f>IF(SUMIF('G_Fall-back'!$Q:$Q,$Q322,'G_Fall-back'!M:M)&gt;0,SUMIF('G_Fall-back'!$Q:$Q,$Q322,'G_Fall-back'!M:M),"")</f>
        <v/>
      </c>
      <c r="N322" s="1492" t="str">
        <f>IF(SUMIF('G_Fall-back'!$Q:$Q,$Q322,'G_Fall-back'!N:N)&gt;0,SUMIF('G_Fall-back'!$Q:$Q,$Q322,'G_Fall-back'!N:N),"")</f>
        <v/>
      </c>
      <c r="O322" s="481"/>
      <c r="P322" s="485"/>
      <c r="Q322" s="1140" t="str">
        <f>EUconst_CNTR_WGConsumed &amp; E322</f>
        <v>WasteGasCons_Heat benchmark sub-installation, CL</v>
      </c>
      <c r="R322" s="1303">
        <v>1</v>
      </c>
      <c r="T322" s="1556"/>
    </row>
    <row r="323" spans="2:31" ht="12.75" customHeight="1">
      <c r="B323" s="1124"/>
      <c r="C323" s="485"/>
      <c r="D323" s="561" t="s">
        <v>7</v>
      </c>
      <c r="E323" s="3260" t="str">
        <f>INDEX(EUconst_FallBackListNames,R323)</f>
        <v>Heat benchmark sub-installation, non-CL</v>
      </c>
      <c r="F323" s="3232"/>
      <c r="G323" s="1562" t="str">
        <f t="shared" si="67"/>
        <v>TJ / year</v>
      </c>
      <c r="H323" s="658" t="str">
        <f>IF(SUMIF('G_Fall-back'!$Q:$Q,$Q323,'G_Fall-back'!H:H)&gt;0,SUMIF('G_Fall-back'!$Q:$Q,$Q323,'G_Fall-back'!H:H),"")</f>
        <v/>
      </c>
      <c r="I323" s="965" t="str">
        <f>IF(SUMIF('G_Fall-back'!$Q:$Q,$Q323,'G_Fall-back'!I:I)&gt;0,SUMIF('G_Fall-back'!$Q:$Q,$Q323,'G_Fall-back'!I:I),"")</f>
        <v/>
      </c>
      <c r="J323" s="1491" t="str">
        <f>IF(SUMIF('G_Fall-back'!$Q:$Q,$Q323,'G_Fall-back'!J:J)&gt;0,SUMIF('G_Fall-back'!$Q:$Q,$Q323,'G_Fall-back'!J:J),"")</f>
        <v/>
      </c>
      <c r="K323" s="1492" t="str">
        <f>IF(SUMIF('G_Fall-back'!$Q:$Q,$Q323,'G_Fall-back'!K:K)&gt;0,SUMIF('G_Fall-back'!$Q:$Q,$Q323,'G_Fall-back'!K:K),"")</f>
        <v/>
      </c>
      <c r="L323" s="1492" t="str">
        <f>IF(SUMIF('G_Fall-back'!$Q:$Q,$Q323,'G_Fall-back'!L:L)&gt;0,SUMIF('G_Fall-back'!$Q:$Q,$Q323,'G_Fall-back'!L:L),"")</f>
        <v/>
      </c>
      <c r="M323" s="1492" t="str">
        <f>IF(SUMIF('G_Fall-back'!$Q:$Q,$Q323,'G_Fall-back'!M:M)&gt;0,SUMIF('G_Fall-back'!$Q:$Q,$Q323,'G_Fall-back'!M:M),"")</f>
        <v/>
      </c>
      <c r="N323" s="1492" t="str">
        <f>IF(SUMIF('G_Fall-back'!$Q:$Q,$Q323,'G_Fall-back'!N:N)&gt;0,SUMIF('G_Fall-back'!$Q:$Q,$Q323,'G_Fall-back'!N:N),"")</f>
        <v/>
      </c>
      <c r="O323" s="481"/>
      <c r="P323" s="485"/>
      <c r="Q323" s="1140" t="str">
        <f>EUconst_CNTR_WGConsumed &amp; E323</f>
        <v>WasteGasCons_Heat benchmark sub-installation, non-CL</v>
      </c>
      <c r="R323" s="1303">
        <v>2</v>
      </c>
      <c r="T323" s="1556"/>
    </row>
    <row r="324" spans="2:31" ht="12.75" customHeight="1">
      <c r="B324" s="1124"/>
      <c r="C324" s="485"/>
      <c r="D324" s="561" t="s">
        <v>8</v>
      </c>
      <c r="E324" s="3260" t="str">
        <f>INDEX(EUconst_FallBackListNames,R324)</f>
        <v>District heating sub-installation</v>
      </c>
      <c r="F324" s="3232"/>
      <c r="G324" s="1562" t="str">
        <f t="shared" si="67"/>
        <v>TJ / year</v>
      </c>
      <c r="H324" s="658" t="str">
        <f>IF(SUMIF('G_Fall-back'!$Q:$Q,$Q324,'G_Fall-back'!H:H)&gt;0,SUMIF('G_Fall-back'!$Q:$Q,$Q324,'G_Fall-back'!H:H),"")</f>
        <v/>
      </c>
      <c r="I324" s="965" t="str">
        <f>IF(SUMIF('G_Fall-back'!$Q:$Q,$Q324,'G_Fall-back'!I:I)&gt;0,SUMIF('G_Fall-back'!$Q:$Q,$Q324,'G_Fall-back'!I:I),"")</f>
        <v/>
      </c>
      <c r="J324" s="1491" t="str">
        <f>IF(SUMIF('G_Fall-back'!$Q:$Q,$Q324,'G_Fall-back'!J:J)&gt;0,SUMIF('G_Fall-back'!$Q:$Q,$Q324,'G_Fall-back'!J:J),"")</f>
        <v/>
      </c>
      <c r="K324" s="1492" t="str">
        <f>IF(SUMIF('G_Fall-back'!$Q:$Q,$Q324,'G_Fall-back'!K:K)&gt;0,SUMIF('G_Fall-back'!$Q:$Q,$Q324,'G_Fall-back'!K:K),"")</f>
        <v/>
      </c>
      <c r="L324" s="1492" t="str">
        <f>IF(SUMIF('G_Fall-back'!$Q:$Q,$Q324,'G_Fall-back'!L:L)&gt;0,SUMIF('G_Fall-back'!$Q:$Q,$Q324,'G_Fall-back'!L:L),"")</f>
        <v/>
      </c>
      <c r="M324" s="1492" t="str">
        <f>IF(SUMIF('G_Fall-back'!$Q:$Q,$Q324,'G_Fall-back'!M:M)&gt;0,SUMIF('G_Fall-back'!$Q:$Q,$Q324,'G_Fall-back'!M:M),"")</f>
        <v/>
      </c>
      <c r="N324" s="1492" t="str">
        <f>IF(SUMIF('G_Fall-back'!$Q:$Q,$Q324,'G_Fall-back'!N:N)&gt;0,SUMIF('G_Fall-back'!$Q:$Q,$Q324,'G_Fall-back'!N:N),"")</f>
        <v/>
      </c>
      <c r="O324" s="481"/>
      <c r="P324" s="485"/>
      <c r="Q324" s="1140" t="str">
        <f>EUconst_CNTR_WGConsumed &amp; E324</f>
        <v>WasteGasCons_District heating sub-installation</v>
      </c>
      <c r="R324" s="1303">
        <v>3</v>
      </c>
      <c r="T324" s="1556"/>
    </row>
    <row r="325" spans="2:31" ht="12.75" customHeight="1">
      <c r="B325" s="1124"/>
      <c r="C325" s="485"/>
      <c r="D325" s="561" t="s">
        <v>18</v>
      </c>
      <c r="E325" s="3260" t="str">
        <f>INDEX(EUconst_FallBackListNames,R325)</f>
        <v>Fuel benchmark sub-installation, CL</v>
      </c>
      <c r="F325" s="3232"/>
      <c r="G325" s="1562" t="str">
        <f t="shared" si="67"/>
        <v>TJ / year</v>
      </c>
      <c r="H325" s="658" t="str">
        <f>IF(SUMIF('G_Fall-back'!$Q:$Q,$Q325,'G_Fall-back'!H:H)&gt;0,SUMIF('G_Fall-back'!$Q:$Q,$Q325,'G_Fall-back'!H:H),"")</f>
        <v/>
      </c>
      <c r="I325" s="965" t="str">
        <f>IF(SUMIF('G_Fall-back'!$Q:$Q,$Q325,'G_Fall-back'!I:I)&gt;0,SUMIF('G_Fall-back'!$Q:$Q,$Q325,'G_Fall-back'!I:I),"")</f>
        <v/>
      </c>
      <c r="J325" s="1491" t="str">
        <f>IF(SUMIF('G_Fall-back'!$Q:$Q,$Q325,'G_Fall-back'!J:J)&gt;0,SUMIF('G_Fall-back'!$Q:$Q,$Q325,'G_Fall-back'!J:J),"")</f>
        <v/>
      </c>
      <c r="K325" s="1492" t="str">
        <f>IF(SUMIF('G_Fall-back'!$Q:$Q,$Q325,'G_Fall-back'!K:K)&gt;0,SUMIF('G_Fall-back'!$Q:$Q,$Q325,'G_Fall-back'!K:K),"")</f>
        <v/>
      </c>
      <c r="L325" s="1492" t="str">
        <f>IF(SUMIF('G_Fall-back'!$Q:$Q,$Q325,'G_Fall-back'!L:L)&gt;0,SUMIF('G_Fall-back'!$Q:$Q,$Q325,'G_Fall-back'!L:L),"")</f>
        <v/>
      </c>
      <c r="M325" s="1492" t="str">
        <f>IF(SUMIF('G_Fall-back'!$Q:$Q,$Q325,'G_Fall-back'!M:M)&gt;0,SUMIF('G_Fall-back'!$Q:$Q,$Q325,'G_Fall-back'!M:M),"")</f>
        <v/>
      </c>
      <c r="N325" s="1492" t="str">
        <f>IF(SUMIF('G_Fall-back'!$Q:$Q,$Q325,'G_Fall-back'!N:N)&gt;0,SUMIF('G_Fall-back'!$Q:$Q,$Q325,'G_Fall-back'!N:N),"")</f>
        <v/>
      </c>
      <c r="O325" s="481"/>
      <c r="P325" s="485"/>
      <c r="Q325" s="1140" t="str">
        <f>EUconst_CNTR_WGConsumed &amp; E325</f>
        <v>WasteGasCons_Fuel benchmark sub-installation, CL</v>
      </c>
      <c r="R325" s="1303">
        <v>4</v>
      </c>
      <c r="T325" s="1556"/>
    </row>
    <row r="326" spans="2:31" ht="12.75" customHeight="1">
      <c r="B326" s="1124"/>
      <c r="C326" s="485"/>
      <c r="D326" s="561" t="s">
        <v>787</v>
      </c>
      <c r="E326" s="3266" t="str">
        <f>INDEX(EUconst_FallBackListNames,R326)</f>
        <v>Fuel benchmark sub-installation, non-CL</v>
      </c>
      <c r="F326" s="3234"/>
      <c r="G326" s="1563" t="str">
        <f t="shared" si="67"/>
        <v>TJ / year</v>
      </c>
      <c r="H326" s="660" t="str">
        <f>IF(SUMIF('G_Fall-back'!$Q:$Q,$Q326,'G_Fall-back'!H:H)&gt;0,SUMIF('G_Fall-back'!$Q:$Q,$Q326,'G_Fall-back'!H:H),"")</f>
        <v/>
      </c>
      <c r="I326" s="969" t="str">
        <f>IF(SUMIF('G_Fall-back'!$Q:$Q,$Q326,'G_Fall-back'!I:I)&gt;0,SUMIF('G_Fall-back'!$Q:$Q,$Q326,'G_Fall-back'!I:I),"")</f>
        <v/>
      </c>
      <c r="J326" s="1491" t="str">
        <f>IF(SUMIF('G_Fall-back'!$Q:$Q,$Q326,'G_Fall-back'!J:J)&gt;0,SUMIF('G_Fall-back'!$Q:$Q,$Q326,'G_Fall-back'!J:J),"")</f>
        <v/>
      </c>
      <c r="K326" s="1492" t="str">
        <f>IF(SUMIF('G_Fall-back'!$Q:$Q,$Q326,'G_Fall-back'!K:K)&gt;0,SUMIF('G_Fall-back'!$Q:$Q,$Q326,'G_Fall-back'!K:K),"")</f>
        <v/>
      </c>
      <c r="L326" s="1492" t="str">
        <f>IF(SUMIF('G_Fall-back'!$Q:$Q,$Q326,'G_Fall-back'!L:L)&gt;0,SUMIF('G_Fall-back'!$Q:$Q,$Q326,'G_Fall-back'!L:L),"")</f>
        <v/>
      </c>
      <c r="M326" s="1492" t="str">
        <f>IF(SUMIF('G_Fall-back'!$Q:$Q,$Q326,'G_Fall-back'!M:M)&gt;0,SUMIF('G_Fall-back'!$Q:$Q,$Q326,'G_Fall-back'!M:M),"")</f>
        <v/>
      </c>
      <c r="N326" s="1492" t="str">
        <f>IF(SUMIF('G_Fall-back'!$Q:$Q,$Q326,'G_Fall-back'!N:N)&gt;0,SUMIF('G_Fall-back'!$Q:$Q,$Q326,'G_Fall-back'!N:N),"")</f>
        <v/>
      </c>
      <c r="O326" s="481"/>
      <c r="P326" s="485"/>
      <c r="Q326" s="1140" t="str">
        <f>EUconst_CNTR_WGConsumed &amp; E326</f>
        <v>WasteGasCons_Fuel benchmark sub-installation, non-CL</v>
      </c>
      <c r="R326" s="1303">
        <v>5</v>
      </c>
      <c r="T326" s="1556"/>
    </row>
    <row r="327" spans="2:31" ht="12.75" customHeight="1">
      <c r="B327" s="1124"/>
      <c r="C327" s="485"/>
      <c r="D327" s="561" t="s">
        <v>788</v>
      </c>
      <c r="E327" s="2792" t="s">
        <v>627</v>
      </c>
      <c r="F327" s="3221"/>
      <c r="G327" s="750" t="str">
        <f t="shared" si="67"/>
        <v>TJ / year</v>
      </c>
      <c r="H327" s="616" t="str">
        <f t="shared" ref="H327:N327" si="68">IF(COUNT(H322:H326)&gt;0,SUM(H322:H326),"")</f>
        <v/>
      </c>
      <c r="I327" s="1544" t="str">
        <f t="shared" si="68"/>
        <v/>
      </c>
      <c r="J327" s="1491" t="str">
        <f t="shared" si="68"/>
        <v/>
      </c>
      <c r="K327" s="1492" t="str">
        <f t="shared" si="68"/>
        <v/>
      </c>
      <c r="L327" s="1492" t="str">
        <f t="shared" si="68"/>
        <v/>
      </c>
      <c r="M327" s="1492" t="str">
        <f t="shared" si="68"/>
        <v/>
      </c>
      <c r="N327" s="1492" t="str">
        <f t="shared" si="68"/>
        <v/>
      </c>
      <c r="O327" s="481"/>
      <c r="P327" s="485"/>
      <c r="T327" s="1556"/>
    </row>
    <row r="328" spans="2:31" ht="5.0999999999999996" customHeight="1">
      <c r="B328" s="1124"/>
      <c r="C328" s="485"/>
      <c r="D328" s="485"/>
      <c r="E328" s="485"/>
      <c r="F328" s="485"/>
      <c r="G328" s="485"/>
      <c r="H328" s="485"/>
      <c r="I328" s="485"/>
      <c r="J328" s="485"/>
      <c r="K328" s="485"/>
      <c r="L328" s="485"/>
      <c r="M328" s="485"/>
      <c r="N328" s="485"/>
      <c r="O328" s="481"/>
      <c r="P328" s="485"/>
      <c r="T328" s="1556"/>
    </row>
    <row r="329" spans="2:31" ht="13.15" customHeight="1">
      <c r="B329" s="467"/>
      <c r="C329" s="482"/>
      <c r="D329" s="482" t="s">
        <v>271</v>
      </c>
      <c r="E329" s="2791" t="s">
        <v>1177</v>
      </c>
      <c r="F329" s="2791"/>
      <c r="G329" s="2791"/>
      <c r="H329" s="2791"/>
      <c r="I329" s="2791"/>
      <c r="J329" s="2802"/>
      <c r="K329" s="2802"/>
      <c r="L329" s="2802"/>
      <c r="M329" s="2802"/>
      <c r="N329" s="2802"/>
      <c r="O329" s="481"/>
      <c r="P329" s="485"/>
      <c r="Q329" s="1117"/>
      <c r="T329" s="1556"/>
    </row>
    <row r="330" spans="2:31" ht="12.6" customHeight="1">
      <c r="B330" s="1124"/>
      <c r="C330" s="485"/>
      <c r="D330" s="485"/>
      <c r="E330" s="2792" t="s">
        <v>1178</v>
      </c>
      <c r="F330" s="3221"/>
      <c r="G330" s="1506" t="str">
        <f>EUconst_TJpa</f>
        <v>TJ / year</v>
      </c>
      <c r="H330" s="1479" t="str">
        <f>c_ALR2025!M432</f>
        <v/>
      </c>
      <c r="I330" s="1530"/>
      <c r="J330" s="1491"/>
      <c r="K330" s="1492"/>
      <c r="L330" s="1492"/>
      <c r="M330" s="1492"/>
      <c r="N330" s="1492"/>
      <c r="O330" s="481"/>
      <c r="P330" s="10"/>
      <c r="T330" s="1183" t="b">
        <f>T298</f>
        <v>0</v>
      </c>
      <c r="AD330" s="1161" t="s">
        <v>1954</v>
      </c>
      <c r="AE330" s="1303" t="str">
        <f>IF(AND(CNTR_HasEntries_A_I,T330=FALSE,COUNTIFS($V$16:$AB$16,FALSE,H330:N330,"")&gt;0,$T$288=FALSE),4,"")</f>
        <v/>
      </c>
    </row>
    <row r="331" spans="2:31" ht="5.0999999999999996" customHeight="1">
      <c r="B331" s="467"/>
      <c r="C331" s="467"/>
      <c r="D331" s="467"/>
      <c r="E331" s="467"/>
      <c r="F331" s="467"/>
      <c r="G331" s="467"/>
      <c r="H331" s="467"/>
      <c r="I331" s="467"/>
      <c r="J331" s="467"/>
      <c r="K331" s="467"/>
      <c r="L331" s="467"/>
      <c r="M331" s="467"/>
      <c r="N331" s="467"/>
      <c r="O331" s="481"/>
      <c r="P331" s="485"/>
      <c r="Q331" s="1117"/>
      <c r="T331" s="1556"/>
    </row>
    <row r="332" spans="2:31" ht="12.75" customHeight="1">
      <c r="B332" s="467"/>
      <c r="C332" s="482"/>
      <c r="D332" s="482" t="s">
        <v>478</v>
      </c>
      <c r="E332" s="2802" t="s">
        <v>1181</v>
      </c>
      <c r="F332" s="2802"/>
      <c r="G332" s="2802"/>
      <c r="H332" s="2802"/>
      <c r="I332" s="2802"/>
      <c r="J332" s="2802"/>
      <c r="K332" s="2802"/>
      <c r="L332" s="2802"/>
      <c r="M332" s="2802"/>
      <c r="N332" s="2802"/>
      <c r="O332" s="481"/>
      <c r="P332" s="485"/>
      <c r="Q332" s="1117"/>
      <c r="T332" s="1556"/>
    </row>
    <row r="333" spans="2:31" ht="12.6" customHeight="1">
      <c r="B333" s="467"/>
      <c r="C333" s="485"/>
      <c r="D333" s="485"/>
      <c r="E333" s="3058" t="s">
        <v>1515</v>
      </c>
      <c r="F333" s="2388"/>
      <c r="G333" s="2388"/>
      <c r="H333" s="2388"/>
      <c r="I333" s="2388"/>
      <c r="J333" s="2388"/>
      <c r="K333" s="2388"/>
      <c r="L333" s="2388"/>
      <c r="M333" s="2388"/>
      <c r="N333" s="2388"/>
      <c r="O333" s="481"/>
      <c r="P333" s="485"/>
      <c r="Q333" s="1117"/>
      <c r="T333" s="1556"/>
    </row>
    <row r="334" spans="2:31" ht="12.6" customHeight="1">
      <c r="B334" s="467"/>
      <c r="C334" s="485"/>
      <c r="D334" s="485"/>
      <c r="E334" s="3058" t="s">
        <v>1516</v>
      </c>
      <c r="F334" s="2388"/>
      <c r="G334" s="2388"/>
      <c r="H334" s="2388"/>
      <c r="I334" s="2388"/>
      <c r="J334" s="2388"/>
      <c r="K334" s="2388"/>
      <c r="L334" s="2388"/>
      <c r="M334" s="2388"/>
      <c r="N334" s="2388"/>
      <c r="O334" s="481"/>
      <c r="P334" s="485"/>
      <c r="Q334" s="1117"/>
      <c r="T334" s="1556"/>
    </row>
    <row r="335" spans="2:31" ht="13.15" customHeight="1">
      <c r="B335" s="1124"/>
      <c r="C335" s="485"/>
      <c r="D335" s="485"/>
      <c r="E335" s="2791" t="s">
        <v>831</v>
      </c>
      <c r="F335" s="3222"/>
      <c r="G335" s="663" t="str">
        <f>EUconst_Unit</f>
        <v>Unit</v>
      </c>
      <c r="H335" s="671">
        <f t="shared" ref="H335:N335" si="69">H$393</f>
        <v>2024</v>
      </c>
      <c r="I335" s="1081">
        <f t="shared" si="69"/>
        <v>2025</v>
      </c>
      <c r="J335" s="1489">
        <f t="shared" si="69"/>
        <v>2026</v>
      </c>
      <c r="K335" s="1490">
        <f t="shared" si="69"/>
        <v>2027</v>
      </c>
      <c r="L335" s="1490">
        <f t="shared" si="69"/>
        <v>2028</v>
      </c>
      <c r="M335" s="1490">
        <f t="shared" si="69"/>
        <v>2029</v>
      </c>
      <c r="N335" s="1490">
        <f t="shared" si="69"/>
        <v>2030</v>
      </c>
      <c r="O335" s="481"/>
      <c r="P335" s="485"/>
      <c r="T335" s="1556"/>
    </row>
    <row r="336" spans="2:31" ht="12.75" customHeight="1">
      <c r="B336" s="1124"/>
      <c r="C336" s="485"/>
      <c r="D336" s="561" t="s">
        <v>6</v>
      </c>
      <c r="E336" s="3227" t="str">
        <f t="shared" ref="E336:E345" si="70">E307</f>
        <v/>
      </c>
      <c r="F336" s="3228"/>
      <c r="G336" s="1560" t="str">
        <f t="shared" ref="G336:G345" si="71">EUconst_TJpa</f>
        <v>TJ / year</v>
      </c>
      <c r="H336" s="656" t="str">
        <f>IF(SUMIF(F_ProductBM!$Q:$Q,$Q336,F_ProductBM!H:H)&gt;0,SUMIF(F_ProductBM!$Q:$Q,$Q336,F_ProductBM!H:H),"")</f>
        <v/>
      </c>
      <c r="I336" s="962" t="str">
        <f>IF(SUMIF(F_ProductBM!$Q:$Q,$Q336,F_ProductBM!I:I)&gt;0,SUMIF(F_ProductBM!$Q:$Q,$Q336,F_ProductBM!I:I),"")</f>
        <v/>
      </c>
      <c r="J336" s="1491" t="str">
        <f>IF(SUMIF(F_ProductBM!$Q:$Q,$Q336,F_ProductBM!J:J)&gt;0,SUMIF(F_ProductBM!$Q:$Q,$Q336,F_ProductBM!J:J),"")</f>
        <v/>
      </c>
      <c r="K336" s="1492" t="str">
        <f>IF(SUMIF(F_ProductBM!$Q:$Q,$Q336,F_ProductBM!K:K)&gt;0,SUMIF(F_ProductBM!$Q:$Q,$Q336,F_ProductBM!K:K),"")</f>
        <v/>
      </c>
      <c r="L336" s="1492" t="str">
        <f>IF(SUMIF(F_ProductBM!$Q:$Q,$Q336,F_ProductBM!L:L)&gt;0,SUMIF(F_ProductBM!$Q:$Q,$Q336,F_ProductBM!L:L),"")</f>
        <v/>
      </c>
      <c r="M336" s="1492" t="str">
        <f>IF(SUMIF(F_ProductBM!$Q:$Q,$Q336,F_ProductBM!M:M)&gt;0,SUMIF(F_ProductBM!$Q:$Q,$Q336,F_ProductBM!M:M),"")</f>
        <v/>
      </c>
      <c r="N336" s="1492" t="str">
        <f>IF(SUMIF(F_ProductBM!$Q:$Q,$Q336,F_ProductBM!N:N)&gt;0,SUMIF(F_ProductBM!$Q:$Q,$Q336,F_ProductBM!N:N),"")</f>
        <v/>
      </c>
      <c r="O336" s="481"/>
      <c r="P336" s="485"/>
      <c r="Q336" s="1140" t="str">
        <f t="shared" ref="Q336:Q345" si="72">EUconst_CNTR_WGFlared &amp; E336</f>
        <v>WasteGasFlare_</v>
      </c>
      <c r="T336" s="1556"/>
    </row>
    <row r="337" spans="2:31" ht="12.75" customHeight="1">
      <c r="B337" s="1124"/>
      <c r="C337" s="485"/>
      <c r="D337" s="561" t="s">
        <v>7</v>
      </c>
      <c r="E337" s="3236" t="str">
        <f t="shared" si="70"/>
        <v/>
      </c>
      <c r="F337" s="3232"/>
      <c r="G337" s="1562" t="str">
        <f t="shared" si="71"/>
        <v>TJ / year</v>
      </c>
      <c r="H337" s="658" t="str">
        <f>IF(SUMIF(F_ProductBM!$Q:$Q,$Q337,F_ProductBM!H:H)&gt;0,SUMIF(F_ProductBM!$Q:$Q,$Q337,F_ProductBM!H:H),"")</f>
        <v/>
      </c>
      <c r="I337" s="965" t="str">
        <f>IF(SUMIF(F_ProductBM!$Q:$Q,$Q337,F_ProductBM!I:I)&gt;0,SUMIF(F_ProductBM!$Q:$Q,$Q337,F_ProductBM!I:I),"")</f>
        <v/>
      </c>
      <c r="J337" s="1491" t="str">
        <f>IF(SUMIF(F_ProductBM!$Q:$Q,$Q337,F_ProductBM!J:J)&gt;0,SUMIF(F_ProductBM!$Q:$Q,$Q337,F_ProductBM!J:J),"")</f>
        <v/>
      </c>
      <c r="K337" s="1492" t="str">
        <f>IF(SUMIF(F_ProductBM!$Q:$Q,$Q337,F_ProductBM!K:K)&gt;0,SUMIF(F_ProductBM!$Q:$Q,$Q337,F_ProductBM!K:K),"")</f>
        <v/>
      </c>
      <c r="L337" s="1492" t="str">
        <f>IF(SUMIF(F_ProductBM!$Q:$Q,$Q337,F_ProductBM!L:L)&gt;0,SUMIF(F_ProductBM!$Q:$Q,$Q337,F_ProductBM!L:L),"")</f>
        <v/>
      </c>
      <c r="M337" s="1492" t="str">
        <f>IF(SUMIF(F_ProductBM!$Q:$Q,$Q337,F_ProductBM!M:M)&gt;0,SUMIF(F_ProductBM!$Q:$Q,$Q337,F_ProductBM!M:M),"")</f>
        <v/>
      </c>
      <c r="N337" s="1492" t="str">
        <f>IF(SUMIF(F_ProductBM!$Q:$Q,$Q337,F_ProductBM!N:N)&gt;0,SUMIF(F_ProductBM!$Q:$Q,$Q337,F_ProductBM!N:N),"")</f>
        <v/>
      </c>
      <c r="O337" s="481"/>
      <c r="P337" s="485"/>
      <c r="Q337" s="1140" t="str">
        <f t="shared" si="72"/>
        <v>WasteGasFlare_</v>
      </c>
      <c r="T337" s="1556"/>
    </row>
    <row r="338" spans="2:31" ht="12.75" customHeight="1">
      <c r="B338" s="1124"/>
      <c r="C338" s="485"/>
      <c r="D338" s="561" t="s">
        <v>8</v>
      </c>
      <c r="E338" s="3236" t="str">
        <f t="shared" si="70"/>
        <v/>
      </c>
      <c r="F338" s="3232"/>
      <c r="G338" s="1562" t="str">
        <f t="shared" si="71"/>
        <v>TJ / year</v>
      </c>
      <c r="H338" s="658" t="str">
        <f>IF(SUMIF(F_ProductBM!$Q:$Q,$Q338,F_ProductBM!H:H)&gt;0,SUMIF(F_ProductBM!$Q:$Q,$Q338,F_ProductBM!H:H),"")</f>
        <v/>
      </c>
      <c r="I338" s="965" t="str">
        <f>IF(SUMIF(F_ProductBM!$Q:$Q,$Q338,F_ProductBM!I:I)&gt;0,SUMIF(F_ProductBM!$Q:$Q,$Q338,F_ProductBM!I:I),"")</f>
        <v/>
      </c>
      <c r="J338" s="1491" t="str">
        <f>IF(SUMIF(F_ProductBM!$Q:$Q,$Q338,F_ProductBM!J:J)&gt;0,SUMIF(F_ProductBM!$Q:$Q,$Q338,F_ProductBM!J:J),"")</f>
        <v/>
      </c>
      <c r="K338" s="1492" t="str">
        <f>IF(SUMIF(F_ProductBM!$Q:$Q,$Q338,F_ProductBM!K:K)&gt;0,SUMIF(F_ProductBM!$Q:$Q,$Q338,F_ProductBM!K:K),"")</f>
        <v/>
      </c>
      <c r="L338" s="1492" t="str">
        <f>IF(SUMIF(F_ProductBM!$Q:$Q,$Q338,F_ProductBM!L:L)&gt;0,SUMIF(F_ProductBM!$Q:$Q,$Q338,F_ProductBM!L:L),"")</f>
        <v/>
      </c>
      <c r="M338" s="1492" t="str">
        <f>IF(SUMIF(F_ProductBM!$Q:$Q,$Q338,F_ProductBM!M:M)&gt;0,SUMIF(F_ProductBM!$Q:$Q,$Q338,F_ProductBM!M:M),"")</f>
        <v/>
      </c>
      <c r="N338" s="1492" t="str">
        <f>IF(SUMIF(F_ProductBM!$Q:$Q,$Q338,F_ProductBM!N:N)&gt;0,SUMIF(F_ProductBM!$Q:$Q,$Q338,F_ProductBM!N:N),"")</f>
        <v/>
      </c>
      <c r="O338" s="481"/>
      <c r="P338" s="485"/>
      <c r="Q338" s="1140" t="str">
        <f t="shared" si="72"/>
        <v>WasteGasFlare_</v>
      </c>
      <c r="T338" s="1556"/>
    </row>
    <row r="339" spans="2:31" ht="12.75" customHeight="1">
      <c r="B339" s="1124"/>
      <c r="C339" s="485"/>
      <c r="D339" s="561" t="s">
        <v>18</v>
      </c>
      <c r="E339" s="3236" t="str">
        <f t="shared" si="70"/>
        <v/>
      </c>
      <c r="F339" s="3232"/>
      <c r="G339" s="1562" t="str">
        <f t="shared" si="71"/>
        <v>TJ / year</v>
      </c>
      <c r="H339" s="658" t="str">
        <f>IF(SUMIF(F_ProductBM!$Q:$Q,$Q339,F_ProductBM!H:H)&gt;0,SUMIF(F_ProductBM!$Q:$Q,$Q339,F_ProductBM!H:H),"")</f>
        <v/>
      </c>
      <c r="I339" s="965" t="str">
        <f>IF(SUMIF(F_ProductBM!$Q:$Q,$Q339,F_ProductBM!I:I)&gt;0,SUMIF(F_ProductBM!$Q:$Q,$Q339,F_ProductBM!I:I),"")</f>
        <v/>
      </c>
      <c r="J339" s="1491" t="str">
        <f>IF(SUMIF(F_ProductBM!$Q:$Q,$Q339,F_ProductBM!J:J)&gt;0,SUMIF(F_ProductBM!$Q:$Q,$Q339,F_ProductBM!J:J),"")</f>
        <v/>
      </c>
      <c r="K339" s="1492" t="str">
        <f>IF(SUMIF(F_ProductBM!$Q:$Q,$Q339,F_ProductBM!K:K)&gt;0,SUMIF(F_ProductBM!$Q:$Q,$Q339,F_ProductBM!K:K),"")</f>
        <v/>
      </c>
      <c r="L339" s="1492" t="str">
        <f>IF(SUMIF(F_ProductBM!$Q:$Q,$Q339,F_ProductBM!L:L)&gt;0,SUMIF(F_ProductBM!$Q:$Q,$Q339,F_ProductBM!L:L),"")</f>
        <v/>
      </c>
      <c r="M339" s="1492" t="str">
        <f>IF(SUMIF(F_ProductBM!$Q:$Q,$Q339,F_ProductBM!M:M)&gt;0,SUMIF(F_ProductBM!$Q:$Q,$Q339,F_ProductBM!M:M),"")</f>
        <v/>
      </c>
      <c r="N339" s="1492" t="str">
        <f>IF(SUMIF(F_ProductBM!$Q:$Q,$Q339,F_ProductBM!N:N)&gt;0,SUMIF(F_ProductBM!$Q:$Q,$Q339,F_ProductBM!N:N),"")</f>
        <v/>
      </c>
      <c r="O339" s="481"/>
      <c r="P339" s="485"/>
      <c r="Q339" s="1140" t="str">
        <f t="shared" si="72"/>
        <v>WasteGasFlare_</v>
      </c>
      <c r="T339" s="1556"/>
    </row>
    <row r="340" spans="2:31" ht="12.75" customHeight="1">
      <c r="B340" s="1124"/>
      <c r="C340" s="485"/>
      <c r="D340" s="561" t="s">
        <v>787</v>
      </c>
      <c r="E340" s="3236" t="str">
        <f t="shared" si="70"/>
        <v/>
      </c>
      <c r="F340" s="3232"/>
      <c r="G340" s="1562" t="str">
        <f t="shared" si="71"/>
        <v>TJ / year</v>
      </c>
      <c r="H340" s="658" t="str">
        <f>IF(SUMIF(F_ProductBM!$Q:$Q,$Q340,F_ProductBM!H:H)&gt;0,SUMIF(F_ProductBM!$Q:$Q,$Q340,F_ProductBM!H:H),"")</f>
        <v/>
      </c>
      <c r="I340" s="965" t="str">
        <f>IF(SUMIF(F_ProductBM!$Q:$Q,$Q340,F_ProductBM!I:I)&gt;0,SUMIF(F_ProductBM!$Q:$Q,$Q340,F_ProductBM!I:I),"")</f>
        <v/>
      </c>
      <c r="J340" s="1491" t="str">
        <f>IF(SUMIF(F_ProductBM!$Q:$Q,$Q340,F_ProductBM!J:J)&gt;0,SUMIF(F_ProductBM!$Q:$Q,$Q340,F_ProductBM!J:J),"")</f>
        <v/>
      </c>
      <c r="K340" s="1492" t="str">
        <f>IF(SUMIF(F_ProductBM!$Q:$Q,$Q340,F_ProductBM!K:K)&gt;0,SUMIF(F_ProductBM!$Q:$Q,$Q340,F_ProductBM!K:K),"")</f>
        <v/>
      </c>
      <c r="L340" s="1492" t="str">
        <f>IF(SUMIF(F_ProductBM!$Q:$Q,$Q340,F_ProductBM!L:L)&gt;0,SUMIF(F_ProductBM!$Q:$Q,$Q340,F_ProductBM!L:L),"")</f>
        <v/>
      </c>
      <c r="M340" s="1492" t="str">
        <f>IF(SUMIF(F_ProductBM!$Q:$Q,$Q340,F_ProductBM!M:M)&gt;0,SUMIF(F_ProductBM!$Q:$Q,$Q340,F_ProductBM!M:M),"")</f>
        <v/>
      </c>
      <c r="N340" s="1492" t="str">
        <f>IF(SUMIF(F_ProductBM!$Q:$Q,$Q340,F_ProductBM!N:N)&gt;0,SUMIF(F_ProductBM!$Q:$Q,$Q340,F_ProductBM!N:N),"")</f>
        <v/>
      </c>
      <c r="O340" s="481"/>
      <c r="P340" s="485"/>
      <c r="Q340" s="1140" t="str">
        <f t="shared" si="72"/>
        <v>WasteGasFlare_</v>
      </c>
      <c r="T340" s="1556"/>
    </row>
    <row r="341" spans="2:31" ht="12.75" customHeight="1">
      <c r="B341" s="1124"/>
      <c r="C341" s="485"/>
      <c r="D341" s="561" t="s">
        <v>788</v>
      </c>
      <c r="E341" s="3236" t="str">
        <f t="shared" si="70"/>
        <v/>
      </c>
      <c r="F341" s="3232"/>
      <c r="G341" s="1562" t="str">
        <f t="shared" si="71"/>
        <v>TJ / year</v>
      </c>
      <c r="H341" s="658" t="str">
        <f>IF(SUMIF(F_ProductBM!$Q:$Q,$Q341,F_ProductBM!H:H)&gt;0,SUMIF(F_ProductBM!$Q:$Q,$Q341,F_ProductBM!H:H),"")</f>
        <v/>
      </c>
      <c r="I341" s="965" t="str">
        <f>IF(SUMIF(F_ProductBM!$Q:$Q,$Q341,F_ProductBM!I:I)&gt;0,SUMIF(F_ProductBM!$Q:$Q,$Q341,F_ProductBM!I:I),"")</f>
        <v/>
      </c>
      <c r="J341" s="1491" t="str">
        <f>IF(SUMIF(F_ProductBM!$Q:$Q,$Q341,F_ProductBM!J:J)&gt;0,SUMIF(F_ProductBM!$Q:$Q,$Q341,F_ProductBM!J:J),"")</f>
        <v/>
      </c>
      <c r="K341" s="1492" t="str">
        <f>IF(SUMIF(F_ProductBM!$Q:$Q,$Q341,F_ProductBM!K:K)&gt;0,SUMIF(F_ProductBM!$Q:$Q,$Q341,F_ProductBM!K:K),"")</f>
        <v/>
      </c>
      <c r="L341" s="1492" t="str">
        <f>IF(SUMIF(F_ProductBM!$Q:$Q,$Q341,F_ProductBM!L:L)&gt;0,SUMIF(F_ProductBM!$Q:$Q,$Q341,F_ProductBM!L:L),"")</f>
        <v/>
      </c>
      <c r="M341" s="1492" t="str">
        <f>IF(SUMIF(F_ProductBM!$Q:$Q,$Q341,F_ProductBM!M:M)&gt;0,SUMIF(F_ProductBM!$Q:$Q,$Q341,F_ProductBM!M:M),"")</f>
        <v/>
      </c>
      <c r="N341" s="1492" t="str">
        <f>IF(SUMIF(F_ProductBM!$Q:$Q,$Q341,F_ProductBM!N:N)&gt;0,SUMIF(F_ProductBM!$Q:$Q,$Q341,F_ProductBM!N:N),"")</f>
        <v/>
      </c>
      <c r="O341" s="481"/>
      <c r="P341" s="485"/>
      <c r="Q341" s="1140" t="str">
        <f t="shared" si="72"/>
        <v>WasteGasFlare_</v>
      </c>
      <c r="T341" s="1556"/>
    </row>
    <row r="342" spans="2:31" ht="12.75" customHeight="1">
      <c r="B342" s="1124"/>
      <c r="C342" s="485"/>
      <c r="D342" s="561" t="s">
        <v>789</v>
      </c>
      <c r="E342" s="3236" t="str">
        <f t="shared" si="70"/>
        <v/>
      </c>
      <c r="F342" s="3232"/>
      <c r="G342" s="1562" t="str">
        <f t="shared" si="71"/>
        <v>TJ / year</v>
      </c>
      <c r="H342" s="658" t="str">
        <f>IF(SUMIF(F_ProductBM!$Q:$Q,$Q342,F_ProductBM!H:H)&gt;0,SUMIF(F_ProductBM!$Q:$Q,$Q342,F_ProductBM!H:H),"")</f>
        <v/>
      </c>
      <c r="I342" s="965" t="str">
        <f>IF(SUMIF(F_ProductBM!$Q:$Q,$Q342,F_ProductBM!I:I)&gt;0,SUMIF(F_ProductBM!$Q:$Q,$Q342,F_ProductBM!I:I),"")</f>
        <v/>
      </c>
      <c r="J342" s="1491" t="str">
        <f>IF(SUMIF(F_ProductBM!$Q:$Q,$Q342,F_ProductBM!J:J)&gt;0,SUMIF(F_ProductBM!$Q:$Q,$Q342,F_ProductBM!J:J),"")</f>
        <v/>
      </c>
      <c r="K342" s="1492" t="str">
        <f>IF(SUMIF(F_ProductBM!$Q:$Q,$Q342,F_ProductBM!K:K)&gt;0,SUMIF(F_ProductBM!$Q:$Q,$Q342,F_ProductBM!K:K),"")</f>
        <v/>
      </c>
      <c r="L342" s="1492" t="str">
        <f>IF(SUMIF(F_ProductBM!$Q:$Q,$Q342,F_ProductBM!L:L)&gt;0,SUMIF(F_ProductBM!$Q:$Q,$Q342,F_ProductBM!L:L),"")</f>
        <v/>
      </c>
      <c r="M342" s="1492" t="str">
        <f>IF(SUMIF(F_ProductBM!$Q:$Q,$Q342,F_ProductBM!M:M)&gt;0,SUMIF(F_ProductBM!$Q:$Q,$Q342,F_ProductBM!M:M),"")</f>
        <v/>
      </c>
      <c r="N342" s="1492" t="str">
        <f>IF(SUMIF(F_ProductBM!$Q:$Q,$Q342,F_ProductBM!N:N)&gt;0,SUMIF(F_ProductBM!$Q:$Q,$Q342,F_ProductBM!N:N),"")</f>
        <v/>
      </c>
      <c r="O342" s="481"/>
      <c r="P342" s="485"/>
      <c r="Q342" s="1140" t="str">
        <f t="shared" si="72"/>
        <v>WasteGasFlare_</v>
      </c>
      <c r="T342" s="1556"/>
    </row>
    <row r="343" spans="2:31" ht="12.75" customHeight="1">
      <c r="B343" s="1124"/>
      <c r="C343" s="485"/>
      <c r="D343" s="561" t="s">
        <v>790</v>
      </c>
      <c r="E343" s="3236" t="str">
        <f t="shared" si="70"/>
        <v/>
      </c>
      <c r="F343" s="3232"/>
      <c r="G343" s="1562" t="str">
        <f t="shared" si="71"/>
        <v>TJ / year</v>
      </c>
      <c r="H343" s="658" t="str">
        <f>IF(SUMIF(F_ProductBM!$Q:$Q,$Q343,F_ProductBM!H:H)&gt;0,SUMIF(F_ProductBM!$Q:$Q,$Q343,F_ProductBM!H:H),"")</f>
        <v/>
      </c>
      <c r="I343" s="965" t="str">
        <f>IF(SUMIF(F_ProductBM!$Q:$Q,$Q343,F_ProductBM!I:I)&gt;0,SUMIF(F_ProductBM!$Q:$Q,$Q343,F_ProductBM!I:I),"")</f>
        <v/>
      </c>
      <c r="J343" s="1491" t="str">
        <f>IF(SUMIF(F_ProductBM!$Q:$Q,$Q343,F_ProductBM!J:J)&gt;0,SUMIF(F_ProductBM!$Q:$Q,$Q343,F_ProductBM!J:J),"")</f>
        <v/>
      </c>
      <c r="K343" s="1492" t="str">
        <f>IF(SUMIF(F_ProductBM!$Q:$Q,$Q343,F_ProductBM!K:K)&gt;0,SUMIF(F_ProductBM!$Q:$Q,$Q343,F_ProductBM!K:K),"")</f>
        <v/>
      </c>
      <c r="L343" s="1492" t="str">
        <f>IF(SUMIF(F_ProductBM!$Q:$Q,$Q343,F_ProductBM!L:L)&gt;0,SUMIF(F_ProductBM!$Q:$Q,$Q343,F_ProductBM!L:L),"")</f>
        <v/>
      </c>
      <c r="M343" s="1492" t="str">
        <f>IF(SUMIF(F_ProductBM!$Q:$Q,$Q343,F_ProductBM!M:M)&gt;0,SUMIF(F_ProductBM!$Q:$Q,$Q343,F_ProductBM!M:M),"")</f>
        <v/>
      </c>
      <c r="N343" s="1492" t="str">
        <f>IF(SUMIF(F_ProductBM!$Q:$Q,$Q343,F_ProductBM!N:N)&gt;0,SUMIF(F_ProductBM!$Q:$Q,$Q343,F_ProductBM!N:N),"")</f>
        <v/>
      </c>
      <c r="O343" s="481"/>
      <c r="P343" s="485"/>
      <c r="Q343" s="1140" t="str">
        <f t="shared" si="72"/>
        <v>WasteGasFlare_</v>
      </c>
      <c r="T343" s="1556"/>
    </row>
    <row r="344" spans="2:31" ht="12.75" customHeight="1">
      <c r="B344" s="1124"/>
      <c r="C344" s="485"/>
      <c r="D344" s="561" t="s">
        <v>791</v>
      </c>
      <c r="E344" s="3236" t="str">
        <f t="shared" si="70"/>
        <v/>
      </c>
      <c r="F344" s="3232"/>
      <c r="G344" s="1562" t="str">
        <f t="shared" si="71"/>
        <v>TJ / year</v>
      </c>
      <c r="H344" s="658" t="str">
        <f>IF(SUMIF(F_ProductBM!$Q:$Q,$Q344,F_ProductBM!H:H)&gt;0,SUMIF(F_ProductBM!$Q:$Q,$Q344,F_ProductBM!H:H),"")</f>
        <v/>
      </c>
      <c r="I344" s="965" t="str">
        <f>IF(SUMIF(F_ProductBM!$Q:$Q,$Q344,F_ProductBM!I:I)&gt;0,SUMIF(F_ProductBM!$Q:$Q,$Q344,F_ProductBM!I:I),"")</f>
        <v/>
      </c>
      <c r="J344" s="1491" t="str">
        <f>IF(SUMIF(F_ProductBM!$Q:$Q,$Q344,F_ProductBM!J:J)&gt;0,SUMIF(F_ProductBM!$Q:$Q,$Q344,F_ProductBM!J:J),"")</f>
        <v/>
      </c>
      <c r="K344" s="1492" t="str">
        <f>IF(SUMIF(F_ProductBM!$Q:$Q,$Q344,F_ProductBM!K:K)&gt;0,SUMIF(F_ProductBM!$Q:$Q,$Q344,F_ProductBM!K:K),"")</f>
        <v/>
      </c>
      <c r="L344" s="1492" t="str">
        <f>IF(SUMIF(F_ProductBM!$Q:$Q,$Q344,F_ProductBM!L:L)&gt;0,SUMIF(F_ProductBM!$Q:$Q,$Q344,F_ProductBM!L:L),"")</f>
        <v/>
      </c>
      <c r="M344" s="1492" t="str">
        <f>IF(SUMIF(F_ProductBM!$Q:$Q,$Q344,F_ProductBM!M:M)&gt;0,SUMIF(F_ProductBM!$Q:$Q,$Q344,F_ProductBM!M:M),"")</f>
        <v/>
      </c>
      <c r="N344" s="1492" t="str">
        <f>IF(SUMIF(F_ProductBM!$Q:$Q,$Q344,F_ProductBM!N:N)&gt;0,SUMIF(F_ProductBM!$Q:$Q,$Q344,F_ProductBM!N:N),"")</f>
        <v/>
      </c>
      <c r="O344" s="481"/>
      <c r="P344" s="485"/>
      <c r="Q344" s="1140" t="str">
        <f t="shared" si="72"/>
        <v>WasteGasFlare_</v>
      </c>
      <c r="T344" s="1556"/>
    </row>
    <row r="345" spans="2:31" ht="12.75" customHeight="1">
      <c r="B345" s="1124"/>
      <c r="C345" s="485"/>
      <c r="D345" s="561" t="s">
        <v>64</v>
      </c>
      <c r="E345" s="3242" t="str">
        <f t="shared" si="70"/>
        <v/>
      </c>
      <c r="F345" s="3234"/>
      <c r="G345" s="1563" t="str">
        <f t="shared" si="71"/>
        <v>TJ / year</v>
      </c>
      <c r="H345" s="660" t="str">
        <f>IF(SUMIF(F_ProductBM!$Q:$Q,$Q345,F_ProductBM!H:H)&gt;0,SUMIF(F_ProductBM!$Q:$Q,$Q345,F_ProductBM!H:H),"")</f>
        <v/>
      </c>
      <c r="I345" s="969" t="str">
        <f>IF(SUMIF(F_ProductBM!$Q:$Q,$Q345,F_ProductBM!I:I)&gt;0,SUMIF(F_ProductBM!$Q:$Q,$Q345,F_ProductBM!I:I),"")</f>
        <v/>
      </c>
      <c r="J345" s="1491" t="str">
        <f>IF(SUMIF(F_ProductBM!$Q:$Q,$Q345,F_ProductBM!J:J)&gt;0,SUMIF(F_ProductBM!$Q:$Q,$Q345,F_ProductBM!J:J),"")</f>
        <v/>
      </c>
      <c r="K345" s="1492" t="str">
        <f>IF(SUMIF(F_ProductBM!$Q:$Q,$Q345,F_ProductBM!K:K)&gt;0,SUMIF(F_ProductBM!$Q:$Q,$Q345,F_ProductBM!K:K),"")</f>
        <v/>
      </c>
      <c r="L345" s="1492" t="str">
        <f>IF(SUMIF(F_ProductBM!$Q:$Q,$Q345,F_ProductBM!L:L)&gt;0,SUMIF(F_ProductBM!$Q:$Q,$Q345,F_ProductBM!L:L),"")</f>
        <v/>
      </c>
      <c r="M345" s="1492" t="str">
        <f>IF(SUMIF(F_ProductBM!$Q:$Q,$Q345,F_ProductBM!M:M)&gt;0,SUMIF(F_ProductBM!$Q:$Q,$Q345,F_ProductBM!M:M),"")</f>
        <v/>
      </c>
      <c r="N345" s="1492" t="str">
        <f>IF(SUMIF(F_ProductBM!$Q:$Q,$Q345,F_ProductBM!N:N)&gt;0,SUMIF(F_ProductBM!$Q:$Q,$Q345,F_ProductBM!N:N),"")</f>
        <v/>
      </c>
      <c r="O345" s="481"/>
      <c r="P345" s="485"/>
      <c r="Q345" s="1140" t="str">
        <f t="shared" si="72"/>
        <v>WasteGasFlare_</v>
      </c>
      <c r="T345" s="1556"/>
    </row>
    <row r="346" spans="2:31" ht="25.5" customHeight="1" thickBot="1">
      <c r="B346" s="1124"/>
      <c r="C346" s="485"/>
      <c r="D346" s="561" t="s">
        <v>65</v>
      </c>
      <c r="E346" s="2792" t="s">
        <v>1186</v>
      </c>
      <c r="F346" s="3221"/>
      <c r="G346" s="586" t="str">
        <f>EUconst_TJpa</f>
        <v>TJ / year</v>
      </c>
      <c r="H346" s="1582" t="str">
        <f>c_ALR2025!M446</f>
        <v/>
      </c>
      <c r="I346" s="1622"/>
      <c r="J346" s="1491"/>
      <c r="K346" s="1492"/>
      <c r="L346" s="1492"/>
      <c r="M346" s="1492"/>
      <c r="N346" s="1492"/>
      <c r="O346" s="481"/>
      <c r="P346" s="10"/>
      <c r="T346" s="1184" t="b">
        <f>T330</f>
        <v>0</v>
      </c>
      <c r="AD346" s="1161" t="s">
        <v>1954</v>
      </c>
      <c r="AE346" s="1303" t="str">
        <f>IF(AND(CNTR_HasEntries_A_I,T346=FALSE,COUNTIFS($V$16:$AB$16,FALSE,H346:N346,"")&gt;0,$T$288=FALSE),4,"")</f>
        <v/>
      </c>
    </row>
    <row r="347" spans="2:31" ht="12.75" customHeight="1">
      <c r="B347" s="1124"/>
      <c r="C347" s="485"/>
      <c r="D347" s="561" t="s">
        <v>66</v>
      </c>
      <c r="E347" s="2792" t="s">
        <v>627</v>
      </c>
      <c r="F347" s="3221"/>
      <c r="G347" s="1506" t="str">
        <f>EUconst_TJpa</f>
        <v>TJ / year</v>
      </c>
      <c r="H347" s="668" t="str">
        <f t="shared" ref="H347:N347" si="73">IF(COUNT(H336:H346)&gt;0,SUM(H336:H346),"")</f>
        <v/>
      </c>
      <c r="I347" s="1021" t="str">
        <f t="shared" si="73"/>
        <v/>
      </c>
      <c r="J347" s="1491" t="str">
        <f t="shared" si="73"/>
        <v/>
      </c>
      <c r="K347" s="1492" t="str">
        <f t="shared" si="73"/>
        <v/>
      </c>
      <c r="L347" s="1492" t="str">
        <f t="shared" si="73"/>
        <v/>
      </c>
      <c r="M347" s="1492" t="str">
        <f t="shared" si="73"/>
        <v/>
      </c>
      <c r="N347" s="1492" t="str">
        <f t="shared" si="73"/>
        <v/>
      </c>
      <c r="O347" s="481"/>
      <c r="P347" s="485"/>
    </row>
    <row r="348" spans="2:31" ht="5.0999999999999996" customHeight="1">
      <c r="B348" s="467"/>
      <c r="C348" s="467"/>
      <c r="D348" s="467"/>
      <c r="E348" s="467"/>
      <c r="F348" s="467"/>
      <c r="G348" s="467"/>
      <c r="H348" s="467"/>
      <c r="I348" s="467"/>
      <c r="J348" s="467"/>
      <c r="K348" s="467"/>
      <c r="L348" s="467"/>
      <c r="M348" s="467"/>
      <c r="N348" s="467"/>
      <c r="O348" s="481"/>
      <c r="P348" s="485"/>
      <c r="Q348" s="1117"/>
    </row>
    <row r="349" spans="2:31" ht="12.75" customHeight="1">
      <c r="B349" s="467"/>
      <c r="C349" s="482"/>
      <c r="D349" s="482" t="s">
        <v>479</v>
      </c>
      <c r="E349" s="2802" t="s">
        <v>1179</v>
      </c>
      <c r="F349" s="2442"/>
      <c r="G349" s="2442"/>
      <c r="H349" s="2442"/>
      <c r="I349" s="2442"/>
      <c r="J349" s="2442"/>
      <c r="K349" s="2442"/>
      <c r="L349" s="2442"/>
      <c r="M349" s="2442"/>
      <c r="N349" s="2442"/>
      <c r="O349" s="481"/>
      <c r="P349" s="485"/>
      <c r="Q349" s="1117"/>
    </row>
    <row r="350" spans="2:31" ht="12.6" customHeight="1">
      <c r="B350" s="467"/>
      <c r="C350" s="485"/>
      <c r="D350" s="485"/>
      <c r="E350" s="3223" t="s">
        <v>1514</v>
      </c>
      <c r="F350" s="3224"/>
      <c r="G350" s="3224"/>
      <c r="H350" s="3224"/>
      <c r="I350" s="3224"/>
      <c r="J350" s="2388"/>
      <c r="K350" s="2388"/>
      <c r="L350" s="2388"/>
      <c r="M350" s="2388"/>
      <c r="N350" s="2388"/>
      <c r="O350" s="481"/>
      <c r="P350" s="485"/>
      <c r="Q350" s="1117"/>
    </row>
    <row r="351" spans="2:31" ht="12.75" customHeight="1">
      <c r="B351" s="1124"/>
      <c r="C351" s="485"/>
      <c r="D351" s="561" t="s">
        <v>6</v>
      </c>
      <c r="E351" s="2792" t="s">
        <v>1180</v>
      </c>
      <c r="F351" s="3221"/>
      <c r="G351" s="1506" t="str">
        <f>EUconst_TJpa</f>
        <v>TJ / year</v>
      </c>
      <c r="H351" s="668" t="str">
        <f t="shared" ref="H351:N351" si="74">IF(COUNT(H302)&gt;0,H302-SUM(H317,H327,H330,H347),"")</f>
        <v/>
      </c>
      <c r="I351" s="1021" t="str">
        <f t="shared" si="74"/>
        <v/>
      </c>
      <c r="J351" s="1491" t="str">
        <f t="shared" si="74"/>
        <v/>
      </c>
      <c r="K351" s="1492" t="str">
        <f t="shared" si="74"/>
        <v/>
      </c>
      <c r="L351" s="1492" t="str">
        <f t="shared" si="74"/>
        <v/>
      </c>
      <c r="M351" s="1492" t="str">
        <f t="shared" si="74"/>
        <v/>
      </c>
      <c r="N351" s="1492" t="str">
        <f t="shared" si="74"/>
        <v/>
      </c>
      <c r="O351" s="481"/>
      <c r="P351" s="485"/>
    </row>
    <row r="352" spans="2:31" ht="12.75" customHeight="1">
      <c r="B352" s="1124"/>
      <c r="C352" s="485"/>
      <c r="D352" s="561" t="s">
        <v>7</v>
      </c>
      <c r="E352" s="2792" t="s">
        <v>1335</v>
      </c>
      <c r="F352" s="3221"/>
      <c r="G352" s="1506" t="s">
        <v>1022</v>
      </c>
      <c r="H352" s="616" t="str">
        <f t="shared" ref="H352:N352" si="75">IF(H351="","",IF(H302=0,0,H351/H302*100))</f>
        <v/>
      </c>
      <c r="I352" s="1544" t="str">
        <f t="shared" si="75"/>
        <v/>
      </c>
      <c r="J352" s="1491" t="str">
        <f t="shared" si="75"/>
        <v/>
      </c>
      <c r="K352" s="1492" t="str">
        <f t="shared" si="75"/>
        <v/>
      </c>
      <c r="L352" s="1492" t="str">
        <f t="shared" si="75"/>
        <v/>
      </c>
      <c r="M352" s="1492" t="str">
        <f t="shared" si="75"/>
        <v/>
      </c>
      <c r="N352" s="1492" t="str">
        <f t="shared" si="75"/>
        <v/>
      </c>
      <c r="O352" s="481"/>
      <c r="P352" s="485"/>
    </row>
    <row r="353" spans="2:31">
      <c r="B353" s="1124"/>
      <c r="C353" s="485"/>
      <c r="D353" s="485"/>
      <c r="E353" s="485"/>
      <c r="F353" s="485"/>
      <c r="G353" s="485"/>
      <c r="H353" s="485"/>
      <c r="I353" s="485"/>
      <c r="J353" s="485"/>
      <c r="K353" s="485"/>
      <c r="L353" s="485"/>
      <c r="M353" s="485"/>
      <c r="N353" s="485"/>
      <c r="O353" s="481"/>
      <c r="P353" s="485"/>
    </row>
    <row r="354" spans="2:31" ht="15.6" customHeight="1">
      <c r="B354" s="467"/>
      <c r="C354" s="507" t="s">
        <v>10</v>
      </c>
      <c r="D354" s="2813" t="s">
        <v>129</v>
      </c>
      <c r="E354" s="2813"/>
      <c r="F354" s="2813"/>
      <c r="G354" s="2813"/>
      <c r="H354" s="2813"/>
      <c r="I354" s="2813"/>
      <c r="J354" s="2813"/>
      <c r="K354" s="2813"/>
      <c r="L354" s="2813"/>
      <c r="M354" s="2813"/>
      <c r="N354" s="2813"/>
      <c r="O354" s="481"/>
      <c r="P354" s="485"/>
      <c r="Q354" s="1117"/>
    </row>
    <row r="355" spans="2:31" ht="5.0999999999999996" customHeight="1">
      <c r="B355" s="467"/>
      <c r="C355" s="467"/>
      <c r="D355" s="467"/>
      <c r="E355" s="467"/>
      <c r="F355" s="467"/>
      <c r="G355" s="467"/>
      <c r="H355" s="467"/>
      <c r="I355" s="467"/>
      <c r="J355" s="467"/>
      <c r="K355" s="467"/>
      <c r="L355" s="467"/>
      <c r="M355" s="481"/>
      <c r="N355" s="481"/>
      <c r="O355" s="481"/>
      <c r="P355" s="485"/>
      <c r="Q355" s="1117"/>
    </row>
    <row r="356" spans="2:31" ht="13.9" customHeight="1">
      <c r="B356" s="467"/>
      <c r="C356" s="559"/>
      <c r="D356" s="3119" t="s">
        <v>434</v>
      </c>
      <c r="E356" s="2577"/>
      <c r="F356" s="2577"/>
      <c r="G356" s="2577"/>
      <c r="H356" s="2577"/>
      <c r="I356" s="2577"/>
      <c r="J356" s="2577"/>
      <c r="K356" s="2577"/>
      <c r="L356" s="2577"/>
      <c r="M356" s="2577"/>
      <c r="N356" s="2577"/>
      <c r="O356" s="481"/>
      <c r="P356" s="485"/>
      <c r="Q356" s="1117"/>
    </row>
    <row r="357" spans="2:31" ht="5.0999999999999996" customHeight="1" thickBot="1">
      <c r="B357" s="467"/>
      <c r="C357" s="467"/>
      <c r="D357" s="467"/>
      <c r="E357" s="467"/>
      <c r="F357" s="467"/>
      <c r="G357" s="467"/>
      <c r="H357" s="467"/>
      <c r="I357" s="467"/>
      <c r="J357" s="467"/>
      <c r="K357" s="467"/>
      <c r="L357" s="467"/>
      <c r="M357" s="467"/>
      <c r="N357" s="467"/>
      <c r="O357" s="481"/>
      <c r="P357" s="485"/>
      <c r="Q357" s="1117"/>
    </row>
    <row r="358" spans="2:31" ht="13.5" customHeight="1" thickBot="1">
      <c r="B358" s="1124"/>
      <c r="C358" s="485"/>
      <c r="D358" s="482" t="s">
        <v>400</v>
      </c>
      <c r="E358" s="2508" t="s">
        <v>1163</v>
      </c>
      <c r="F358" s="2508"/>
      <c r="G358" s="2508"/>
      <c r="H358" s="2508"/>
      <c r="I358" s="2508"/>
      <c r="J358" s="2508"/>
      <c r="K358" s="2508"/>
      <c r="L358" s="2580"/>
      <c r="M358" s="1583" t="str">
        <f>c_ALR2025!M455</f>
        <v/>
      </c>
      <c r="N358" s="562"/>
      <c r="O358" s="481"/>
      <c r="P358" s="485"/>
      <c r="Q358" s="1584" t="s">
        <v>1164</v>
      </c>
    </row>
    <row r="359" spans="2:31" ht="25.5" customHeight="1">
      <c r="B359" s="1124"/>
      <c r="C359" s="485"/>
      <c r="D359" s="485"/>
      <c r="E359" s="2817" t="s">
        <v>2558</v>
      </c>
      <c r="F359" s="2817"/>
      <c r="G359" s="2817"/>
      <c r="H359" s="2817"/>
      <c r="I359" s="2817"/>
      <c r="J359" s="2817"/>
      <c r="K359" s="2817"/>
      <c r="L359" s="2817"/>
      <c r="M359" s="2817"/>
      <c r="N359" s="2817"/>
      <c r="O359" s="481"/>
      <c r="P359" s="485"/>
      <c r="Q359" s="1137"/>
    </row>
    <row r="360" spans="2:31" ht="5.0999999999999996" customHeight="1">
      <c r="B360" s="467"/>
      <c r="C360" s="467"/>
      <c r="D360" s="485"/>
      <c r="E360" s="485"/>
      <c r="F360" s="485"/>
      <c r="G360" s="485"/>
      <c r="H360" s="485"/>
      <c r="I360" s="485"/>
      <c r="J360" s="485"/>
      <c r="K360" s="485"/>
      <c r="L360" s="485"/>
      <c r="M360" s="485"/>
      <c r="N360" s="485"/>
      <c r="O360" s="481"/>
      <c r="P360" s="485"/>
      <c r="Q360" s="1117"/>
      <c r="S360" s="1117"/>
      <c r="T360" s="1117"/>
    </row>
    <row r="361" spans="2:31" ht="13.15" customHeight="1">
      <c r="B361" s="467"/>
      <c r="C361" s="467"/>
      <c r="D361" s="482" t="s">
        <v>876</v>
      </c>
      <c r="E361" s="2576" t="s">
        <v>130</v>
      </c>
      <c r="F361" s="2577"/>
      <c r="G361" s="2577"/>
      <c r="H361" s="2577"/>
      <c r="I361" s="2577"/>
      <c r="J361" s="2577"/>
      <c r="K361" s="2577"/>
      <c r="L361" s="2577"/>
      <c r="M361" s="2577"/>
      <c r="N361" s="2577"/>
      <c r="O361" s="481"/>
      <c r="P361" s="485"/>
      <c r="Q361" s="1117"/>
    </row>
    <row r="362" spans="2:31" ht="13.15" customHeight="1">
      <c r="B362" s="467"/>
      <c r="C362" s="467"/>
      <c r="D362" s="485"/>
      <c r="E362" s="3239" t="s">
        <v>435</v>
      </c>
      <c r="F362" s="3226"/>
      <c r="G362" s="3226"/>
      <c r="H362" s="3226"/>
      <c r="I362" s="3226"/>
      <c r="J362" s="3226"/>
      <c r="K362" s="3226"/>
      <c r="L362" s="3226"/>
      <c r="M362" s="3226"/>
      <c r="N362" s="3226"/>
      <c r="O362" s="481"/>
      <c r="P362" s="485"/>
      <c r="Q362" s="1117"/>
    </row>
    <row r="363" spans="2:31" ht="13.5" thickBot="1">
      <c r="B363" s="1124"/>
      <c r="C363" s="485"/>
      <c r="D363" s="485"/>
      <c r="E363" s="636"/>
      <c r="F363" s="637"/>
      <c r="G363" s="663" t="str">
        <f>EUconst_Unit</f>
        <v>Unit</v>
      </c>
      <c r="H363" s="578">
        <f t="shared" ref="H363:N363" si="76">H$393</f>
        <v>2024</v>
      </c>
      <c r="I363" s="697">
        <f t="shared" si="76"/>
        <v>2025</v>
      </c>
      <c r="J363" s="1489">
        <f t="shared" si="76"/>
        <v>2026</v>
      </c>
      <c r="K363" s="1490">
        <f t="shared" si="76"/>
        <v>2027</v>
      </c>
      <c r="L363" s="1490">
        <f t="shared" si="76"/>
        <v>2028</v>
      </c>
      <c r="M363" s="1490">
        <f t="shared" si="76"/>
        <v>2029</v>
      </c>
      <c r="N363" s="1490">
        <f t="shared" si="76"/>
        <v>2030</v>
      </c>
      <c r="O363" s="481"/>
      <c r="P363" s="485"/>
      <c r="T363" s="1137" t="s">
        <v>1279</v>
      </c>
    </row>
    <row r="364" spans="2:31" ht="12.6" customHeight="1">
      <c r="B364" s="1124"/>
      <c r="C364" s="485"/>
      <c r="D364" s="561" t="s">
        <v>6</v>
      </c>
      <c r="E364" s="2792" t="s">
        <v>12</v>
      </c>
      <c r="F364" s="3221"/>
      <c r="G364" s="730" t="str">
        <f>EUconst_MWhpa</f>
        <v>MWh / year</v>
      </c>
      <c r="H364" s="1479" t="str">
        <f>c_ALR2025!M458</f>
        <v/>
      </c>
      <c r="I364" s="1530"/>
      <c r="J364" s="1491"/>
      <c r="K364" s="1492"/>
      <c r="L364" s="1492"/>
      <c r="M364" s="1492"/>
      <c r="N364" s="1492"/>
      <c r="O364" s="481"/>
      <c r="P364" s="10"/>
      <c r="T364" s="1613" t="e">
        <f>IF(ISBLANK(CNTR_ProdElec),"",NOT(CNTR_ProdElec))</f>
        <v>#VALUE!</v>
      </c>
      <c r="AD364" s="1161" t="s">
        <v>1954</v>
      </c>
      <c r="AE364" s="1303" t="e">
        <f>IF(AND(CNTR_HasEntries_A_I,COUNTIFS($V$16:$AB$16,FALSE,H364:N364,"")&gt;0,$T$364&lt;&gt;TRUE),5,"")</f>
        <v>#VALUE!</v>
      </c>
    </row>
    <row r="365" spans="2:31" ht="12.6" customHeight="1">
      <c r="B365" s="1124"/>
      <c r="C365" s="485"/>
      <c r="D365" s="561" t="s">
        <v>7</v>
      </c>
      <c r="E365" s="2792" t="s">
        <v>134</v>
      </c>
      <c r="F365" s="3221"/>
      <c r="G365" s="730" t="str">
        <f>EUconst_MWhpa</f>
        <v>MWh / year</v>
      </c>
      <c r="H365" s="1479" t="str">
        <f>c_ALR2025!M459</f>
        <v/>
      </c>
      <c r="I365" s="1530"/>
      <c r="J365" s="1491"/>
      <c r="K365" s="1492"/>
      <c r="L365" s="1492"/>
      <c r="M365" s="1492"/>
      <c r="N365" s="1492"/>
      <c r="O365" s="481"/>
      <c r="P365" s="10"/>
      <c r="T365" s="1183" t="e">
        <f>T364</f>
        <v>#VALUE!</v>
      </c>
      <c r="AD365" s="1161" t="s">
        <v>1954</v>
      </c>
      <c r="AE365" s="1303" t="e">
        <f>IF(AND(CNTR_HasEntries_A_I,COUNTIFS($V$16:$AB$16,FALSE,H365:N365,"")&gt;0,$T$364&lt;&gt;TRUE),5,"")</f>
        <v>#VALUE!</v>
      </c>
    </row>
    <row r="366" spans="2:31" ht="5.0999999999999996" customHeight="1">
      <c r="B366" s="467"/>
      <c r="C366" s="467"/>
      <c r="D366" s="561"/>
      <c r="E366" s="467"/>
      <c r="F366" s="467"/>
      <c r="G366" s="467"/>
      <c r="H366" s="467"/>
      <c r="I366" s="467"/>
      <c r="J366" s="467"/>
      <c r="K366" s="467"/>
      <c r="L366" s="467"/>
      <c r="M366" s="467"/>
      <c r="N366" s="467"/>
      <c r="O366" s="481"/>
      <c r="P366" s="485"/>
      <c r="Q366" s="1117"/>
      <c r="T366" s="1556"/>
    </row>
    <row r="367" spans="2:31" ht="13.15" customHeight="1">
      <c r="B367" s="467"/>
      <c r="C367" s="467"/>
      <c r="D367" s="482" t="s">
        <v>48</v>
      </c>
      <c r="E367" s="3261" t="s">
        <v>131</v>
      </c>
      <c r="F367" s="3261"/>
      <c r="G367" s="3261"/>
      <c r="H367" s="3261"/>
      <c r="I367" s="3261"/>
      <c r="J367" s="3262"/>
      <c r="K367" s="3262"/>
      <c r="L367" s="3262"/>
      <c r="M367" s="3262"/>
      <c r="N367" s="3262"/>
      <c r="O367" s="481"/>
      <c r="P367" s="485"/>
      <c r="Q367" s="1117"/>
      <c r="T367" s="1556"/>
    </row>
    <row r="368" spans="2:31" ht="12.6" customHeight="1">
      <c r="B368" s="1124"/>
      <c r="C368" s="485"/>
      <c r="D368" s="485"/>
      <c r="E368" s="2792" t="s">
        <v>132</v>
      </c>
      <c r="F368" s="3221"/>
      <c r="G368" s="730" t="str">
        <f>EUconst_MWhpa</f>
        <v>MWh / year</v>
      </c>
      <c r="H368" s="1479" t="str">
        <f>c_ALR2025!M460</f>
        <v/>
      </c>
      <c r="I368" s="1530"/>
      <c r="J368" s="1491"/>
      <c r="K368" s="1492"/>
      <c r="L368" s="1492"/>
      <c r="M368" s="1492"/>
      <c r="N368" s="1492"/>
      <c r="O368" s="481"/>
      <c r="P368" s="10"/>
      <c r="T368" s="1183" t="e">
        <f>T364</f>
        <v>#VALUE!</v>
      </c>
      <c r="AD368" s="1161" t="s">
        <v>1954</v>
      </c>
      <c r="AE368" s="1303" t="e">
        <f>IF(AND(CNTR_HasEntries_A_I,COUNTIFS($V$16:$AB$16,FALSE,H368:N368,"")&gt;0,$T$364&lt;&gt;TRUE),5,"")</f>
        <v>#VALUE!</v>
      </c>
    </row>
    <row r="369" spans="2:31" ht="5.0999999999999996" customHeight="1">
      <c r="B369" s="467"/>
      <c r="C369" s="467"/>
      <c r="D369" s="467"/>
      <c r="E369" s="467"/>
      <c r="F369" s="467"/>
      <c r="G369" s="467"/>
      <c r="H369" s="467"/>
      <c r="I369" s="467"/>
      <c r="J369" s="467"/>
      <c r="K369" s="467"/>
      <c r="L369" s="467"/>
      <c r="M369" s="467"/>
      <c r="N369" s="467"/>
      <c r="O369" s="481"/>
      <c r="P369" s="485"/>
      <c r="Q369" s="1117"/>
      <c r="T369" s="1556"/>
    </row>
    <row r="370" spans="2:31" ht="13.15" customHeight="1">
      <c r="B370" s="467"/>
      <c r="C370" s="467"/>
      <c r="D370" s="482" t="s">
        <v>881</v>
      </c>
      <c r="E370" s="3261" t="s">
        <v>133</v>
      </c>
      <c r="F370" s="3263"/>
      <c r="G370" s="3263"/>
      <c r="H370" s="3263"/>
      <c r="I370" s="3263"/>
      <c r="J370" s="3264"/>
      <c r="K370" s="3264"/>
      <c r="L370" s="3264"/>
      <c r="M370" s="3264"/>
      <c r="N370" s="3264"/>
      <c r="O370" s="481"/>
      <c r="P370" s="485"/>
      <c r="Q370" s="1117"/>
      <c r="T370" s="1556"/>
    </row>
    <row r="371" spans="2:31" ht="12.6" customHeight="1">
      <c r="B371" s="1124"/>
      <c r="C371" s="485"/>
      <c r="D371" s="485"/>
      <c r="E371" s="2792" t="s">
        <v>1067</v>
      </c>
      <c r="F371" s="3221"/>
      <c r="G371" s="730" t="str">
        <f>EUconst_MWhpa</f>
        <v>MWh / year</v>
      </c>
      <c r="H371" s="1479" t="str">
        <f>c_ALR2025!M461</f>
        <v/>
      </c>
      <c r="I371" s="1530"/>
      <c r="J371" s="1491"/>
      <c r="K371" s="1492"/>
      <c r="L371" s="1492"/>
      <c r="M371" s="1492"/>
      <c r="N371" s="1492"/>
      <c r="O371" s="481"/>
      <c r="P371" s="10"/>
      <c r="T371" s="1183" t="e">
        <f>T364</f>
        <v>#VALUE!</v>
      </c>
      <c r="AD371" s="1161" t="s">
        <v>1954</v>
      </c>
      <c r="AE371" s="1303" t="e">
        <f>IF(AND(CNTR_HasEntries_A_I,COUNTIFS($V$16:$AB$16,FALSE,H371:N371,"")&gt;0,$T$364&lt;&gt;TRUE),5,"")</f>
        <v>#VALUE!</v>
      </c>
    </row>
    <row r="372" spans="2:31" ht="5.0999999999999996" customHeight="1">
      <c r="B372" s="467"/>
      <c r="C372" s="467"/>
      <c r="D372" s="467"/>
      <c r="E372" s="467"/>
      <c r="F372" s="467"/>
      <c r="G372" s="467"/>
      <c r="H372" s="467"/>
      <c r="I372" s="467"/>
      <c r="J372" s="467"/>
      <c r="K372" s="467"/>
      <c r="L372" s="467"/>
      <c r="M372" s="467"/>
      <c r="N372" s="467"/>
      <c r="O372" s="481"/>
      <c r="P372" s="485"/>
      <c r="Q372" s="1117"/>
      <c r="T372" s="1556"/>
    </row>
    <row r="373" spans="2:31" ht="13.15" customHeight="1">
      <c r="B373" s="467"/>
      <c r="C373" s="467"/>
      <c r="D373" s="482" t="s">
        <v>57</v>
      </c>
      <c r="E373" s="3261" t="s">
        <v>1259</v>
      </c>
      <c r="F373" s="3263"/>
      <c r="G373" s="3263"/>
      <c r="H373" s="3263"/>
      <c r="I373" s="3263"/>
      <c r="J373" s="3264"/>
      <c r="K373" s="3264"/>
      <c r="L373" s="3264"/>
      <c r="M373" s="3264"/>
      <c r="N373" s="3264"/>
      <c r="O373" s="481"/>
      <c r="P373" s="485"/>
      <c r="Q373" s="1117"/>
      <c r="T373" s="1556"/>
    </row>
    <row r="374" spans="2:31" ht="12.6" customHeight="1">
      <c r="B374" s="1124"/>
      <c r="C374" s="485"/>
      <c r="D374" s="485"/>
      <c r="E374" s="2792" t="s">
        <v>135</v>
      </c>
      <c r="F374" s="3221"/>
      <c r="G374" s="730" t="str">
        <f>EUconst_MWhpa</f>
        <v>MWh / year</v>
      </c>
      <c r="H374" s="668" t="str">
        <f t="shared" ref="H374:N374" si="77">IF(COUNT(H364:H365,H368,H371)&gt;0,SUM(H364:H365,H368,-H371),"")</f>
        <v/>
      </c>
      <c r="I374" s="1021" t="str">
        <f t="shared" si="77"/>
        <v/>
      </c>
      <c r="J374" s="1491" t="str">
        <f t="shared" si="77"/>
        <v/>
      </c>
      <c r="K374" s="1492" t="str">
        <f t="shared" si="77"/>
        <v/>
      </c>
      <c r="L374" s="1492" t="str">
        <f t="shared" si="77"/>
        <v/>
      </c>
      <c r="M374" s="1492" t="str">
        <f t="shared" si="77"/>
        <v/>
      </c>
      <c r="N374" s="1492" t="str">
        <f t="shared" si="77"/>
        <v/>
      </c>
      <c r="O374" s="481"/>
      <c r="P374" s="485"/>
      <c r="T374" s="1556"/>
    </row>
    <row r="375" spans="2:31" ht="5.0999999999999996" customHeight="1">
      <c r="B375" s="467"/>
      <c r="C375" s="467"/>
      <c r="D375" s="467"/>
      <c r="E375" s="467"/>
      <c r="F375" s="467"/>
      <c r="G375" s="467"/>
      <c r="H375" s="467"/>
      <c r="I375" s="467"/>
      <c r="J375" s="467"/>
      <c r="K375" s="467"/>
      <c r="L375" s="467"/>
      <c r="M375" s="467"/>
      <c r="N375" s="467"/>
      <c r="O375" s="481"/>
      <c r="P375" s="485"/>
      <c r="Q375" s="1117"/>
      <c r="T375" s="1556"/>
    </row>
    <row r="376" spans="2:31" ht="13.15" customHeight="1">
      <c r="B376" s="467"/>
      <c r="C376" s="467"/>
      <c r="D376" s="482" t="s">
        <v>58</v>
      </c>
      <c r="E376" s="3261" t="s">
        <v>436</v>
      </c>
      <c r="F376" s="3263"/>
      <c r="G376" s="3263"/>
      <c r="H376" s="3263"/>
      <c r="I376" s="3263"/>
      <c r="J376" s="3264"/>
      <c r="K376" s="3264"/>
      <c r="L376" s="3264"/>
      <c r="M376" s="3264"/>
      <c r="N376" s="3264"/>
      <c r="O376" s="481"/>
      <c r="P376" s="485"/>
      <c r="Q376" s="1117"/>
      <c r="T376" s="1556"/>
    </row>
    <row r="377" spans="2:31" ht="13.15" customHeight="1" thickBot="1">
      <c r="B377" s="1124"/>
      <c r="C377" s="485"/>
      <c r="D377" s="485"/>
      <c r="E377" s="2792" t="s">
        <v>437</v>
      </c>
      <c r="F377" s="3221"/>
      <c r="G377" s="730" t="str">
        <f>EUconst_MWhpa</f>
        <v>MWh / year</v>
      </c>
      <c r="H377" s="1479" t="str">
        <f>c_ALR2025!M463</f>
        <v/>
      </c>
      <c r="I377" s="1530"/>
      <c r="J377" s="1491"/>
      <c r="K377" s="1492"/>
      <c r="L377" s="1492"/>
      <c r="M377" s="1492"/>
      <c r="N377" s="1492"/>
      <c r="O377" s="481"/>
      <c r="P377" s="10"/>
      <c r="T377" s="1184" t="e">
        <f>T364</f>
        <v>#VALUE!</v>
      </c>
      <c r="AD377" s="1161" t="s">
        <v>1954</v>
      </c>
      <c r="AE377" s="1303" t="e">
        <f>IF(AND(CNTR_HasEntries_A_I,COUNTIFS($V$16:$AB$16,FALSE,H377:N377,"")&gt;0,$T$364&lt;&gt;TRUE),5,"")</f>
        <v>#VALUE!</v>
      </c>
    </row>
    <row r="378" spans="2:31" ht="5.0999999999999996" customHeight="1">
      <c r="B378" s="467"/>
      <c r="C378" s="467"/>
      <c r="D378" s="467"/>
      <c r="E378" s="467"/>
      <c r="F378" s="467"/>
      <c r="G378" s="467"/>
      <c r="H378" s="467"/>
      <c r="I378" s="467"/>
      <c r="J378" s="467"/>
      <c r="K378" s="467"/>
      <c r="L378" s="467"/>
      <c r="M378" s="467"/>
      <c r="N378" s="467"/>
      <c r="O378" s="481"/>
      <c r="P378" s="485"/>
      <c r="Q378" s="1117"/>
    </row>
    <row r="379" spans="2:31" ht="13.15" customHeight="1">
      <c r="B379" s="467"/>
      <c r="C379" s="467"/>
      <c r="D379" s="482" t="s">
        <v>266</v>
      </c>
      <c r="E379" s="3261" t="s">
        <v>2559</v>
      </c>
      <c r="F379" s="3263"/>
      <c r="G379" s="3263"/>
      <c r="H379" s="3263"/>
      <c r="I379" s="3263"/>
      <c r="J379" s="3264"/>
      <c r="K379" s="3264"/>
      <c r="L379" s="3264"/>
      <c r="M379" s="3264"/>
      <c r="N379" s="3264"/>
      <c r="O379" s="481"/>
      <c r="P379" s="485"/>
      <c r="Q379" s="1117"/>
    </row>
    <row r="380" spans="2:31" ht="12.6" customHeight="1">
      <c r="B380" s="1124"/>
      <c r="C380" s="485"/>
      <c r="D380" s="561" t="s">
        <v>6</v>
      </c>
      <c r="E380" s="2792" t="s">
        <v>564</v>
      </c>
      <c r="F380" s="3221"/>
      <c r="G380" s="730" t="str">
        <f>EUconst_MWhpa</f>
        <v>MWh / year</v>
      </c>
      <c r="H380" s="668" t="str">
        <f>F_ProductBM!H3255</f>
        <v/>
      </c>
      <c r="I380" s="1021" t="str">
        <f>F_ProductBM!I3255</f>
        <v/>
      </c>
      <c r="J380" s="1491" t="str">
        <f>F_ProductBM!J3255</f>
        <v/>
      </c>
      <c r="K380" s="1492" t="str">
        <f>F_ProductBM!K3255</f>
        <v/>
      </c>
      <c r="L380" s="1492" t="str">
        <f>F_ProductBM!L3255</f>
        <v/>
      </c>
      <c r="M380" s="1492" t="str">
        <f>F_ProductBM!M3255</f>
        <v/>
      </c>
      <c r="N380" s="1492" t="str">
        <f>F_ProductBM!N3255</f>
        <v/>
      </c>
      <c r="O380" s="481"/>
      <c r="P380" s="485"/>
    </row>
    <row r="381" spans="2:31">
      <c r="B381" s="1124"/>
      <c r="C381" s="485"/>
      <c r="D381" s="561" t="s">
        <v>7</v>
      </c>
      <c r="E381" s="2792" t="s">
        <v>1236</v>
      </c>
      <c r="F381" s="3221"/>
      <c r="G381" s="730" t="s">
        <v>1022</v>
      </c>
      <c r="H381" s="668" t="str">
        <f t="shared" ref="H381:N381" si="78">IF(AND(COUNT(H377,H380)=2,H377&lt;&gt;0),H380/H377*100,"")</f>
        <v/>
      </c>
      <c r="I381" s="1021" t="str">
        <f t="shared" si="78"/>
        <v/>
      </c>
      <c r="J381" s="1491" t="str">
        <f t="shared" si="78"/>
        <v/>
      </c>
      <c r="K381" s="1492" t="str">
        <f t="shared" si="78"/>
        <v/>
      </c>
      <c r="L381" s="1492" t="str">
        <f t="shared" si="78"/>
        <v/>
      </c>
      <c r="M381" s="1492" t="str">
        <f t="shared" si="78"/>
        <v/>
      </c>
      <c r="N381" s="1492" t="str">
        <f t="shared" si="78"/>
        <v/>
      </c>
      <c r="O381" s="481"/>
      <c r="P381" s="485"/>
    </row>
    <row r="382" spans="2:31" ht="5.0999999999999996" customHeight="1">
      <c r="B382" s="467"/>
      <c r="C382" s="467"/>
      <c r="D382" s="467"/>
      <c r="E382" s="467"/>
      <c r="F382" s="467"/>
      <c r="G382" s="467"/>
      <c r="H382" s="467"/>
      <c r="I382" s="467"/>
      <c r="J382" s="467"/>
      <c r="K382" s="467"/>
      <c r="L382" s="467"/>
      <c r="M382" s="467"/>
      <c r="N382" s="467"/>
      <c r="O382" s="481"/>
      <c r="P382" s="485"/>
      <c r="Q382" s="1117"/>
    </row>
    <row r="383" spans="2:31">
      <c r="B383" s="1124"/>
      <c r="C383" s="485"/>
      <c r="D383" s="485"/>
      <c r="E383" s="485"/>
      <c r="F383" s="485"/>
      <c r="G383" s="485"/>
      <c r="H383" s="485"/>
      <c r="I383" s="485"/>
      <c r="J383" s="485"/>
      <c r="K383" s="485"/>
      <c r="L383" s="485"/>
      <c r="M383" s="485"/>
      <c r="N383" s="485"/>
      <c r="O383" s="481"/>
      <c r="P383" s="485"/>
    </row>
    <row r="384" spans="2:31" ht="13.15" customHeight="1">
      <c r="B384" s="1124"/>
      <c r="C384" s="485"/>
      <c r="D384" s="3184" t="s">
        <v>1014</v>
      </c>
      <c r="E384" s="3184"/>
      <c r="F384" s="3184"/>
      <c r="G384" s="3184"/>
      <c r="H384" s="3184"/>
      <c r="I384" s="3184"/>
      <c r="J384" s="3184"/>
      <c r="K384" s="3184"/>
      <c r="L384" s="3184"/>
      <c r="M384" s="3184"/>
      <c r="N384" s="3184"/>
      <c r="O384" s="481"/>
      <c r="P384" s="485"/>
    </row>
    <row r="385" spans="2:28"/>
    <row r="386" spans="2:28" hidden="1">
      <c r="B386" s="1198" t="s">
        <v>873</v>
      </c>
      <c r="C386" s="1198" t="s">
        <v>873</v>
      </c>
      <c r="D386" s="1198" t="s">
        <v>873</v>
      </c>
      <c r="E386" s="1198" t="s">
        <v>873</v>
      </c>
      <c r="F386" s="1198" t="s">
        <v>873</v>
      </c>
      <c r="G386" s="1198"/>
      <c r="H386" s="1198" t="s">
        <v>873</v>
      </c>
      <c r="I386" s="1198" t="s">
        <v>873</v>
      </c>
      <c r="J386" s="1198" t="s">
        <v>873</v>
      </c>
      <c r="K386" s="1198" t="s">
        <v>873</v>
      </c>
      <c r="L386" s="1198" t="s">
        <v>873</v>
      </c>
      <c r="M386" s="1198" t="s">
        <v>873</v>
      </c>
      <c r="N386" s="1198" t="s">
        <v>873</v>
      </c>
      <c r="O386" s="1198" t="s">
        <v>873</v>
      </c>
      <c r="P386" s="1198" t="s">
        <v>873</v>
      </c>
      <c r="Q386" s="1198" t="s">
        <v>873</v>
      </c>
      <c r="R386" s="1198" t="s">
        <v>873</v>
      </c>
      <c r="S386" s="1198" t="s">
        <v>873</v>
      </c>
      <c r="T386" s="1198" t="s">
        <v>873</v>
      </c>
      <c r="U386" s="1198" t="s">
        <v>873</v>
      </c>
      <c r="V386" s="1198" t="s">
        <v>873</v>
      </c>
      <c r="W386" s="1198" t="s">
        <v>873</v>
      </c>
      <c r="X386" s="1198" t="s">
        <v>873</v>
      </c>
      <c r="Y386" s="1198" t="s">
        <v>873</v>
      </c>
      <c r="Z386" s="1198" t="s">
        <v>873</v>
      </c>
      <c r="AA386" s="1198" t="s">
        <v>873</v>
      </c>
      <c r="AB386" s="1198" t="s">
        <v>873</v>
      </c>
    </row>
    <row r="388" spans="2:28" hidden="1">
      <c r="B388" s="1198"/>
      <c r="C388" s="1198"/>
      <c r="D388" s="1503" t="s">
        <v>874</v>
      </c>
      <c r="E388" s="1198"/>
      <c r="F388" s="1198"/>
      <c r="G388" s="1198"/>
      <c r="H388" s="1198"/>
      <c r="I388" s="1198"/>
      <c r="J388" s="1198"/>
      <c r="K388" s="1198"/>
      <c r="L388" s="1198"/>
      <c r="M388" s="1198"/>
      <c r="N388" s="1198"/>
      <c r="O388" s="1198"/>
    </row>
    <row r="389" spans="2:28" ht="13.5" hidden="1" thickBot="1"/>
    <row r="390" spans="2:28" hidden="1">
      <c r="E390" s="1199" t="s">
        <v>545</v>
      </c>
      <c r="F390" s="1200"/>
      <c r="G390" s="1200"/>
      <c r="H390" s="1200"/>
      <c r="I390" s="1200"/>
      <c r="J390" s="1200"/>
      <c r="K390" s="1200"/>
      <c r="L390" s="1200"/>
      <c r="M390" s="1200"/>
      <c r="N390" s="1201"/>
    </row>
    <row r="391" spans="2:28" hidden="1">
      <c r="E391" s="1202" t="s">
        <v>877</v>
      </c>
      <c r="F391" s="1203"/>
      <c r="H391" s="1203"/>
      <c r="I391" s="1203"/>
      <c r="J391" s="1204">
        <v>1</v>
      </c>
      <c r="K391" s="1204">
        <v>2</v>
      </c>
      <c r="L391" s="1204">
        <v>3</v>
      </c>
      <c r="M391" s="1204">
        <v>4</v>
      </c>
      <c r="N391" s="1204">
        <v>5</v>
      </c>
    </row>
    <row r="392" spans="2:28" hidden="1">
      <c r="E392" s="1206" t="s">
        <v>1132</v>
      </c>
      <c r="F392" s="1203"/>
      <c r="H392" s="1204">
        <f>A_InstallationData!H414</f>
        <v>2019</v>
      </c>
      <c r="I392" s="1204">
        <f>A_InstallationData!I414</f>
        <v>2020</v>
      </c>
      <c r="J392" s="1204">
        <f>A_InstallationData!J414</f>
        <v>2021</v>
      </c>
      <c r="K392" s="1204">
        <f>A_InstallationData!K414</f>
        <v>2022</v>
      </c>
      <c r="L392" s="1204">
        <f>A_InstallationData!L414</f>
        <v>2023</v>
      </c>
      <c r="M392" s="1204">
        <f>A_InstallationData!M414</f>
        <v>2024</v>
      </c>
      <c r="N392" s="1204">
        <f>A_InstallationData!N414</f>
        <v>2025</v>
      </c>
    </row>
    <row r="393" spans="2:28" hidden="1">
      <c r="E393" s="1206" t="s">
        <v>1131</v>
      </c>
      <c r="F393" s="1207"/>
      <c r="H393" s="1208">
        <f>A_InstallationData!H415</f>
        <v>2024</v>
      </c>
      <c r="I393" s="1208">
        <f>A_InstallationData!I415</f>
        <v>2025</v>
      </c>
      <c r="J393" s="1208">
        <f>A_InstallationData!J415</f>
        <v>2026</v>
      </c>
      <c r="K393" s="1208">
        <f>A_InstallationData!K415</f>
        <v>2027</v>
      </c>
      <c r="L393" s="1208">
        <f>A_InstallationData!L415</f>
        <v>2028</v>
      </c>
      <c r="M393" s="1208">
        <f>A_InstallationData!M415</f>
        <v>2029</v>
      </c>
      <c r="N393" s="1208">
        <f>A_InstallationData!N415</f>
        <v>2030</v>
      </c>
      <c r="O393" s="1124"/>
    </row>
    <row r="394" spans="2:28" hidden="1">
      <c r="E394" s="1206" t="s">
        <v>544</v>
      </c>
      <c r="F394" s="1207"/>
      <c r="H394" s="1207"/>
      <c r="I394" s="1207"/>
      <c r="J394" s="1208"/>
      <c r="K394" s="1208"/>
      <c r="L394" s="1208"/>
      <c r="M394" s="1208"/>
      <c r="N394" s="1208"/>
    </row>
    <row r="395" spans="2:28" hidden="1">
      <c r="E395" s="1206" t="s">
        <v>2541</v>
      </c>
      <c r="F395" s="1207"/>
      <c r="H395" s="1207"/>
      <c r="I395" s="1207"/>
      <c r="J395" s="1207"/>
      <c r="K395" s="1207"/>
      <c r="L395" s="1207"/>
      <c r="M395" s="1207"/>
      <c r="N395" s="1207"/>
    </row>
    <row r="396" spans="2:28" ht="13.5" hidden="1" thickBot="1">
      <c r="E396" s="1212" t="s">
        <v>543</v>
      </c>
      <c r="F396" s="1213"/>
      <c r="H396" s="1213"/>
      <c r="I396" s="1213"/>
      <c r="J396" s="1213"/>
      <c r="K396" s="1213"/>
      <c r="L396" s="1213"/>
      <c r="M396" s="1213"/>
      <c r="N396" s="1213"/>
    </row>
    <row r="399" spans="2:28" ht="13.5" hidden="1" thickBot="1">
      <c r="E399" s="618" t="s">
        <v>1350</v>
      </c>
    </row>
    <row r="400" spans="2:28" hidden="1">
      <c r="D400" s="1116">
        <v>1</v>
      </c>
      <c r="E400" s="1585" t="str">
        <f>INDEX(EUconst_FallBackListNames,D400)</f>
        <v>Heat benchmark sub-installation, CL</v>
      </c>
      <c r="F400" s="1586"/>
      <c r="G400" s="1512" t="str">
        <f>EUconst_TJpa</f>
        <v>TJ / year</v>
      </c>
      <c r="H400" s="1587" t="str">
        <f t="shared" ref="H400:N402" si="79">IF(ISNUMBER(H240),INDEX(H$240:H$246,MATCH(EUconst_CNTR_HAL&amp;$E400,$Q$240:$Q$246,0)),"")</f>
        <v/>
      </c>
      <c r="I400" s="1587" t="str">
        <f t="shared" si="79"/>
        <v/>
      </c>
      <c r="J400" s="1587" t="str">
        <f t="shared" si="79"/>
        <v/>
      </c>
      <c r="K400" s="1587" t="str">
        <f t="shared" si="79"/>
        <v/>
      </c>
      <c r="L400" s="1587" t="str">
        <f t="shared" si="79"/>
        <v/>
      </c>
      <c r="M400" s="1587" t="str">
        <f t="shared" si="79"/>
        <v/>
      </c>
      <c r="N400" s="1588" t="str">
        <f t="shared" si="79"/>
        <v/>
      </c>
      <c r="Q400" s="1118" t="s">
        <v>252</v>
      </c>
    </row>
    <row r="401" spans="2:17" hidden="1">
      <c r="D401" s="1116">
        <v>2</v>
      </c>
      <c r="E401" s="1589" t="str">
        <f>INDEX(EUconst_FallBackListNames,D401)</f>
        <v>Heat benchmark sub-installation, non-CL</v>
      </c>
      <c r="F401" s="1590"/>
      <c r="G401" s="1591" t="str">
        <f>EUconst_TJpa</f>
        <v>TJ / year</v>
      </c>
      <c r="H401" s="1592" t="str">
        <f t="shared" si="79"/>
        <v/>
      </c>
      <c r="I401" s="1592" t="str">
        <f t="shared" si="79"/>
        <v/>
      </c>
      <c r="J401" s="1592" t="str">
        <f t="shared" si="79"/>
        <v/>
      </c>
      <c r="K401" s="1592" t="str">
        <f t="shared" si="79"/>
        <v/>
      </c>
      <c r="L401" s="1592" t="str">
        <f t="shared" si="79"/>
        <v/>
      </c>
      <c r="M401" s="1592" t="str">
        <f t="shared" si="79"/>
        <v/>
      </c>
      <c r="N401" s="1593" t="str">
        <f t="shared" si="79"/>
        <v/>
      </c>
    </row>
    <row r="402" spans="2:17" ht="13.5" hidden="1" thickBot="1">
      <c r="D402" s="1116">
        <v>3</v>
      </c>
      <c r="E402" s="1515" t="str">
        <f>INDEX(EUconst_FallBackListNames,D402)</f>
        <v>District heating sub-installation</v>
      </c>
      <c r="F402" s="1516"/>
      <c r="G402" s="1517" t="str">
        <f>EUconst_TJpa</f>
        <v>TJ / year</v>
      </c>
      <c r="H402" s="1518" t="str">
        <f t="shared" si="79"/>
        <v/>
      </c>
      <c r="I402" s="1518" t="str">
        <f t="shared" si="79"/>
        <v/>
      </c>
      <c r="J402" s="1518" t="str">
        <f t="shared" si="79"/>
        <v/>
      </c>
      <c r="K402" s="1518" t="str">
        <f t="shared" si="79"/>
        <v/>
      </c>
      <c r="L402" s="1518" t="str">
        <f t="shared" si="79"/>
        <v/>
      </c>
      <c r="M402" s="1518" t="str">
        <f t="shared" si="79"/>
        <v/>
      </c>
      <c r="N402" s="1519" t="str">
        <f t="shared" si="79"/>
        <v/>
      </c>
      <c r="Q402" s="1118" t="s">
        <v>253</v>
      </c>
    </row>
    <row r="404" spans="2:17" ht="13.5" hidden="1" thickBot="1">
      <c r="E404" s="1116" t="s">
        <v>251</v>
      </c>
    </row>
    <row r="405" spans="2:17" hidden="1">
      <c r="D405" s="1116">
        <v>4</v>
      </c>
      <c r="E405" s="1510" t="str">
        <f>INDEX(EUconst_FallBackListNames,D405)</f>
        <v>Fuel benchmark sub-installation, CL</v>
      </c>
      <c r="F405" s="1511"/>
      <c r="G405" s="1512" t="str">
        <f>EUconst_TJpa</f>
        <v>TJ / year</v>
      </c>
      <c r="H405" s="1513" t="str">
        <f t="shared" ref="H405:N406" si="80">IF(ISNUMBER(H37),INDEX(H$37:H$48,MATCH(EUconst_CNTR_HAL&amp;$E405,$Q$37:$Q$48,0)),"")</f>
        <v/>
      </c>
      <c r="I405" s="1513" t="str">
        <f t="shared" si="80"/>
        <v/>
      </c>
      <c r="J405" s="1513" t="str">
        <f t="shared" si="80"/>
        <v/>
      </c>
      <c r="K405" s="1513" t="str">
        <f t="shared" si="80"/>
        <v/>
      </c>
      <c r="L405" s="1513" t="str">
        <f t="shared" si="80"/>
        <v/>
      </c>
      <c r="M405" s="1513" t="str">
        <f t="shared" si="80"/>
        <v/>
      </c>
      <c r="N405" s="1514" t="str">
        <f t="shared" si="80"/>
        <v/>
      </c>
      <c r="Q405" s="1118" t="s">
        <v>254</v>
      </c>
    </row>
    <row r="406" spans="2:17" ht="13.5" hidden="1" thickBot="1">
      <c r="D406" s="1116">
        <v>5</v>
      </c>
      <c r="E406" s="1515" t="str">
        <f>INDEX(EUconst_FallBackListNames,D406)</f>
        <v>Fuel benchmark sub-installation, non-CL</v>
      </c>
      <c r="F406" s="1516"/>
      <c r="G406" s="1517" t="str">
        <f>EUconst_TJpa</f>
        <v>TJ / year</v>
      </c>
      <c r="H406" s="1518" t="str">
        <f t="shared" si="80"/>
        <v/>
      </c>
      <c r="I406" s="1518" t="str">
        <f t="shared" si="80"/>
        <v/>
      </c>
      <c r="J406" s="1518" t="str">
        <f t="shared" si="80"/>
        <v/>
      </c>
      <c r="K406" s="1518" t="str">
        <f t="shared" si="80"/>
        <v/>
      </c>
      <c r="L406" s="1518" t="str">
        <f t="shared" si="80"/>
        <v/>
      </c>
      <c r="M406" s="1518" t="str">
        <f t="shared" si="80"/>
        <v/>
      </c>
      <c r="N406" s="1519" t="str">
        <f t="shared" si="80"/>
        <v/>
      </c>
      <c r="Q406" s="1118" t="s">
        <v>255</v>
      </c>
    </row>
    <row r="408" spans="2:17" ht="5.0999999999999996" hidden="1" customHeight="1">
      <c r="B408"/>
      <c r="C408"/>
      <c r="D408"/>
      <c r="E408"/>
      <c r="F408"/>
      <c r="G408"/>
      <c r="H408"/>
      <c r="I408"/>
      <c r="J408"/>
      <c r="K408"/>
      <c r="L408"/>
      <c r="M408"/>
      <c r="N408"/>
      <c r="O408" s="528"/>
      <c r="Q408" s="1117"/>
    </row>
    <row r="409" spans="2:17" ht="5.0999999999999996" hidden="1" customHeight="1">
      <c r="B409"/>
      <c r="C409"/>
      <c r="D409"/>
      <c r="E409"/>
      <c r="F409"/>
      <c r="G409"/>
      <c r="H409"/>
      <c r="I409"/>
      <c r="J409"/>
      <c r="K409"/>
      <c r="L409"/>
      <c r="M409"/>
      <c r="N409"/>
      <c r="O409" s="528"/>
      <c r="Q409" s="1117"/>
    </row>
    <row r="410" spans="2:17" hidden="1">
      <c r="E410" s="1594" t="s">
        <v>1336</v>
      </c>
    </row>
    <row r="411" spans="2:17" hidden="1">
      <c r="E411" s="1116" t="s">
        <v>192</v>
      </c>
      <c r="H411" s="1595">
        <f t="shared" ref="H411:N411" si="81">H$393</f>
        <v>2024</v>
      </c>
      <c r="I411" s="1595">
        <f t="shared" si="81"/>
        <v>2025</v>
      </c>
      <c r="J411" s="1595">
        <f t="shared" si="81"/>
        <v>2026</v>
      </c>
      <c r="K411" s="1595">
        <f t="shared" si="81"/>
        <v>2027</v>
      </c>
      <c r="L411" s="1595">
        <f t="shared" si="81"/>
        <v>2028</v>
      </c>
      <c r="M411" s="1595">
        <f t="shared" si="81"/>
        <v>2029</v>
      </c>
      <c r="N411" s="1595">
        <f t="shared" si="81"/>
        <v>2030</v>
      </c>
    </row>
    <row r="412" spans="2:17" hidden="1">
      <c r="D412" s="1116" t="s">
        <v>881</v>
      </c>
      <c r="E412" s="1203" t="s">
        <v>193</v>
      </c>
      <c r="G412" s="1204" t="str">
        <f>EUconst_TJpa</f>
        <v>TJ / year</v>
      </c>
      <c r="H412" s="1203">
        <f t="shared" ref="H412:N412" si="82">IF(ISNUMBER(H122),H122*(SUM(H128)/100),0)</f>
        <v>0</v>
      </c>
      <c r="I412" s="1203">
        <f t="shared" si="82"/>
        <v>0</v>
      </c>
      <c r="J412" s="1203">
        <f t="shared" si="82"/>
        <v>0</v>
      </c>
      <c r="K412" s="1203">
        <f t="shared" si="82"/>
        <v>0</v>
      </c>
      <c r="L412" s="1203">
        <f t="shared" si="82"/>
        <v>0</v>
      </c>
      <c r="M412" s="1203">
        <f t="shared" si="82"/>
        <v>0</v>
      </c>
      <c r="N412" s="1203">
        <f t="shared" si="82"/>
        <v>0</v>
      </c>
    </row>
    <row r="413" spans="2:17" hidden="1">
      <c r="E413" s="1116" t="s">
        <v>194</v>
      </c>
      <c r="G413" s="1204" t="str">
        <f>EUconst_TJpa</f>
        <v>TJ / year</v>
      </c>
      <c r="H413" s="1203">
        <f t="shared" ref="H413:N413" si="83">IF(ISNUMBER(H122),H122*(1-SUM(H128)/100),0)</f>
        <v>0</v>
      </c>
      <c r="I413" s="1203">
        <f t="shared" si="83"/>
        <v>0</v>
      </c>
      <c r="J413" s="1203">
        <f t="shared" si="83"/>
        <v>0</v>
      </c>
      <c r="K413" s="1203">
        <f t="shared" si="83"/>
        <v>0</v>
      </c>
      <c r="L413" s="1203">
        <f t="shared" si="83"/>
        <v>0</v>
      </c>
      <c r="M413" s="1203">
        <f t="shared" si="83"/>
        <v>0</v>
      </c>
      <c r="N413" s="1203">
        <f t="shared" si="83"/>
        <v>0</v>
      </c>
    </row>
    <row r="415" spans="2:17" hidden="1">
      <c r="D415" s="1116" t="s">
        <v>58</v>
      </c>
      <c r="E415" s="1116" t="s">
        <v>196</v>
      </c>
    </row>
    <row r="416" spans="2:17" hidden="1">
      <c r="E416" s="1203" t="s">
        <v>195</v>
      </c>
      <c r="G416" s="1204" t="str">
        <f>EUconst_TJpa</f>
        <v>TJ / year</v>
      </c>
      <c r="H416" s="1203">
        <f t="shared" ref="H416:N416" si="84">IF(ISNUMBER(H139),H139-H417,0)</f>
        <v>0</v>
      </c>
      <c r="I416" s="1203">
        <f t="shared" si="84"/>
        <v>0</v>
      </c>
      <c r="J416" s="1203">
        <f t="shared" si="84"/>
        <v>0</v>
      </c>
      <c r="K416" s="1203">
        <f t="shared" si="84"/>
        <v>0</v>
      </c>
      <c r="L416" s="1203">
        <f t="shared" si="84"/>
        <v>0</v>
      </c>
      <c r="M416" s="1203">
        <f t="shared" si="84"/>
        <v>0</v>
      </c>
      <c r="N416" s="1203">
        <f t="shared" si="84"/>
        <v>0</v>
      </c>
    </row>
    <row r="417" spans="4:14" hidden="1">
      <c r="E417" s="1116" t="s">
        <v>194</v>
      </c>
      <c r="G417" s="1204" t="str">
        <f>EUconst_TJpa</f>
        <v>TJ / year</v>
      </c>
      <c r="H417" s="1203">
        <f t="shared" ref="H417:N417" si="85">IF(ISNUMBER(H141),IF(H141&lt;H413,H141,H413),IF(ISNUMBER(H140),H140,0))</f>
        <v>0</v>
      </c>
      <c r="I417" s="1203">
        <f t="shared" si="85"/>
        <v>0</v>
      </c>
      <c r="J417" s="1203">
        <f t="shared" si="85"/>
        <v>0</v>
      </c>
      <c r="K417" s="1203">
        <f t="shared" si="85"/>
        <v>0</v>
      </c>
      <c r="L417" s="1203">
        <f t="shared" si="85"/>
        <v>0</v>
      </c>
      <c r="M417" s="1203">
        <f t="shared" si="85"/>
        <v>0</v>
      </c>
      <c r="N417" s="1203">
        <f t="shared" si="85"/>
        <v>0</v>
      </c>
    </row>
    <row r="418" spans="4:14" hidden="1">
      <c r="E418" s="1116" t="s">
        <v>197</v>
      </c>
    </row>
    <row r="419" spans="4:14" hidden="1">
      <c r="E419" s="1203" t="s">
        <v>195</v>
      </c>
      <c r="G419" s="1204" t="str">
        <f>EUconst_TJpa</f>
        <v>TJ / year</v>
      </c>
      <c r="H419" s="1203">
        <f t="shared" ref="H419:N419" si="86">IF(H416&lt;H412,H412-H416-IF(H417&gt;H413,H417-H413,0),0)</f>
        <v>0</v>
      </c>
      <c r="I419" s="1203">
        <f t="shared" si="86"/>
        <v>0</v>
      </c>
      <c r="J419" s="1203">
        <f t="shared" si="86"/>
        <v>0</v>
      </c>
      <c r="K419" s="1203">
        <f t="shared" si="86"/>
        <v>0</v>
      </c>
      <c r="L419" s="1203">
        <f t="shared" si="86"/>
        <v>0</v>
      </c>
      <c r="M419" s="1203">
        <f t="shared" si="86"/>
        <v>0</v>
      </c>
      <c r="N419" s="1203">
        <f t="shared" si="86"/>
        <v>0</v>
      </c>
    </row>
    <row r="420" spans="4:14" hidden="1">
      <c r="E420" s="1116" t="s">
        <v>194</v>
      </c>
      <c r="G420" s="1204" t="str">
        <f>EUconst_TJpa</f>
        <v>TJ / year</v>
      </c>
      <c r="H420" s="1203">
        <f t="shared" ref="H420:N420" si="87">IF(H417&lt;H413,H413-H417-IF(H416&gt;H412,H416-H412,0),0)</f>
        <v>0</v>
      </c>
      <c r="I420" s="1203">
        <f t="shared" si="87"/>
        <v>0</v>
      </c>
      <c r="J420" s="1203">
        <f t="shared" si="87"/>
        <v>0</v>
      </c>
      <c r="K420" s="1203">
        <f t="shared" si="87"/>
        <v>0</v>
      </c>
      <c r="L420" s="1203">
        <f t="shared" si="87"/>
        <v>0</v>
      </c>
      <c r="M420" s="1203">
        <f t="shared" si="87"/>
        <v>0</v>
      </c>
      <c r="N420" s="1203">
        <f t="shared" si="87"/>
        <v>0</v>
      </c>
    </row>
    <row r="422" spans="4:14" hidden="1">
      <c r="D422" s="1116" t="s">
        <v>266</v>
      </c>
      <c r="E422" s="1116" t="s">
        <v>198</v>
      </c>
    </row>
    <row r="423" spans="4:14" hidden="1">
      <c r="E423" s="1203" t="s">
        <v>195</v>
      </c>
      <c r="G423" s="1204" t="str">
        <f>EUconst_TJpa</f>
        <v>TJ / year</v>
      </c>
      <c r="H423" s="1203">
        <f t="shared" ref="H423:N423" si="88">IF(ISNUMBER(H157),H157-H424,0)</f>
        <v>0</v>
      </c>
      <c r="I423" s="1203">
        <f t="shared" si="88"/>
        <v>0</v>
      </c>
      <c r="J423" s="1203">
        <f t="shared" si="88"/>
        <v>0</v>
      </c>
      <c r="K423" s="1203">
        <f t="shared" si="88"/>
        <v>0</v>
      </c>
      <c r="L423" s="1203">
        <f t="shared" si="88"/>
        <v>0</v>
      </c>
      <c r="M423" s="1203">
        <f t="shared" si="88"/>
        <v>0</v>
      </c>
      <c r="N423" s="1203">
        <f t="shared" si="88"/>
        <v>0</v>
      </c>
    </row>
    <row r="424" spans="4:14" hidden="1">
      <c r="E424" s="1116" t="s">
        <v>194</v>
      </c>
      <c r="G424" s="1204" t="str">
        <f>EUconst_TJpa</f>
        <v>TJ / year</v>
      </c>
      <c r="H424" s="1203">
        <f t="shared" ref="H424:N424" si="89">IF(ISNUMBER(H160),IF(H160&lt;H420,H160,H420),0)</f>
        <v>0</v>
      </c>
      <c r="I424" s="1203">
        <f t="shared" si="89"/>
        <v>0</v>
      </c>
      <c r="J424" s="1203">
        <f t="shared" si="89"/>
        <v>0</v>
      </c>
      <c r="K424" s="1203">
        <f t="shared" si="89"/>
        <v>0</v>
      </c>
      <c r="L424" s="1203">
        <f t="shared" si="89"/>
        <v>0</v>
      </c>
      <c r="M424" s="1203">
        <f t="shared" si="89"/>
        <v>0</v>
      </c>
      <c r="N424" s="1203">
        <f t="shared" si="89"/>
        <v>0</v>
      </c>
    </row>
    <row r="425" spans="4:14" hidden="1">
      <c r="E425" s="1116" t="s">
        <v>199</v>
      </c>
    </row>
    <row r="426" spans="4:14" hidden="1">
      <c r="E426" s="1203" t="s">
        <v>195</v>
      </c>
      <c r="G426" s="1204" t="str">
        <f>EUconst_TJpa</f>
        <v>TJ / year</v>
      </c>
      <c r="H426" s="1203">
        <f t="shared" ref="H426:N426" si="90">IF(H423&lt;H419,H419-H423-IF(H424&gt;H420,H424-H420,0),0)</f>
        <v>0</v>
      </c>
      <c r="I426" s="1203">
        <f t="shared" si="90"/>
        <v>0</v>
      </c>
      <c r="J426" s="1203">
        <f t="shared" si="90"/>
        <v>0</v>
      </c>
      <c r="K426" s="1203">
        <f t="shared" si="90"/>
        <v>0</v>
      </c>
      <c r="L426" s="1203">
        <f t="shared" si="90"/>
        <v>0</v>
      </c>
      <c r="M426" s="1203">
        <f t="shared" si="90"/>
        <v>0</v>
      </c>
      <c r="N426" s="1203">
        <f t="shared" si="90"/>
        <v>0</v>
      </c>
    </row>
    <row r="427" spans="4:14" hidden="1">
      <c r="E427" s="1116" t="s">
        <v>194</v>
      </c>
      <c r="G427" s="1204" t="str">
        <f>EUconst_TJpa</f>
        <v>TJ / year</v>
      </c>
      <c r="H427" s="1203">
        <f t="shared" ref="H427:N427" si="91">IF(H424&lt;H420,H420-H424-IF(H423&gt;H419,H423-H419,0),0)</f>
        <v>0</v>
      </c>
      <c r="I427" s="1203">
        <f t="shared" si="91"/>
        <v>0</v>
      </c>
      <c r="J427" s="1203">
        <f t="shared" si="91"/>
        <v>0</v>
      </c>
      <c r="K427" s="1203">
        <f t="shared" si="91"/>
        <v>0</v>
      </c>
      <c r="L427" s="1203">
        <f t="shared" si="91"/>
        <v>0</v>
      </c>
      <c r="M427" s="1203">
        <f t="shared" si="91"/>
        <v>0</v>
      </c>
      <c r="N427" s="1203">
        <f t="shared" si="91"/>
        <v>0</v>
      </c>
    </row>
    <row r="429" spans="4:14" hidden="1">
      <c r="D429" s="1116" t="s">
        <v>269</v>
      </c>
      <c r="E429" s="1116" t="s">
        <v>201</v>
      </c>
    </row>
    <row r="430" spans="4:14" hidden="1">
      <c r="E430" s="1203" t="s">
        <v>195</v>
      </c>
      <c r="G430" s="1204" t="str">
        <f>EUconst_TJpa</f>
        <v>TJ / year</v>
      </c>
      <c r="H430" s="1203">
        <f t="shared" ref="H430:N430" si="92">IF(ISNUMBER(H182),H182,0)</f>
        <v>0</v>
      </c>
      <c r="I430" s="1203">
        <f t="shared" si="92"/>
        <v>0</v>
      </c>
      <c r="J430" s="1203">
        <f t="shared" si="92"/>
        <v>0</v>
      </c>
      <c r="K430" s="1203">
        <f t="shared" si="92"/>
        <v>0</v>
      </c>
      <c r="L430" s="1203">
        <f t="shared" si="92"/>
        <v>0</v>
      </c>
      <c r="M430" s="1203">
        <f t="shared" si="92"/>
        <v>0</v>
      </c>
      <c r="N430" s="1203">
        <f t="shared" si="92"/>
        <v>0</v>
      </c>
    </row>
    <row r="431" spans="4:14" hidden="1">
      <c r="E431" s="1116" t="s">
        <v>194</v>
      </c>
      <c r="G431" s="1204" t="str">
        <f>EUconst_TJpa</f>
        <v>TJ / year</v>
      </c>
      <c r="H431" s="1203"/>
      <c r="I431" s="1203"/>
      <c r="J431" s="1203"/>
      <c r="K431" s="1203"/>
      <c r="L431" s="1203"/>
      <c r="M431" s="1203"/>
      <c r="N431" s="1203"/>
    </row>
    <row r="432" spans="4:14" ht="13.5" hidden="1" thickBot="1">
      <c r="E432" s="1116" t="s">
        <v>200</v>
      </c>
    </row>
    <row r="433" spans="5:14" hidden="1">
      <c r="E433" s="1596" t="s">
        <v>195</v>
      </c>
      <c r="F433" s="1597"/>
      <c r="G433" s="1598" t="str">
        <f>EUconst_TJpa</f>
        <v>TJ / year</v>
      </c>
      <c r="H433" s="1599">
        <f t="shared" ref="H433:N433" si="93">IF(H430&lt;H426,H426-H430-IF(H431&gt;H427,H431-H427,0),0)</f>
        <v>0</v>
      </c>
      <c r="I433" s="1599">
        <f t="shared" si="93"/>
        <v>0</v>
      </c>
      <c r="J433" s="1599">
        <f t="shared" si="93"/>
        <v>0</v>
      </c>
      <c r="K433" s="1599">
        <f t="shared" si="93"/>
        <v>0</v>
      </c>
      <c r="L433" s="1599">
        <f t="shared" si="93"/>
        <v>0</v>
      </c>
      <c r="M433" s="1599">
        <f t="shared" si="93"/>
        <v>0</v>
      </c>
      <c r="N433" s="1600">
        <f t="shared" si="93"/>
        <v>0</v>
      </c>
    </row>
    <row r="434" spans="5:14" ht="13.5" hidden="1" thickBot="1">
      <c r="E434" s="1601" t="s">
        <v>194</v>
      </c>
      <c r="F434" s="1602"/>
      <c r="G434" s="1603" t="str">
        <f>EUconst_TJpa</f>
        <v>TJ / year</v>
      </c>
      <c r="H434" s="1604">
        <f t="shared" ref="H434:N434" si="94">IF(H431&lt;H427,H427-H431-IF(H430&gt;H426,H430-H426,0),0)</f>
        <v>0</v>
      </c>
      <c r="I434" s="1604">
        <f t="shared" si="94"/>
        <v>0</v>
      </c>
      <c r="J434" s="1604">
        <f t="shared" si="94"/>
        <v>0</v>
      </c>
      <c r="K434" s="1604">
        <f t="shared" si="94"/>
        <v>0</v>
      </c>
      <c r="L434" s="1604">
        <f t="shared" si="94"/>
        <v>0</v>
      </c>
      <c r="M434" s="1604">
        <f t="shared" si="94"/>
        <v>0</v>
      </c>
      <c r="N434" s="1605">
        <f t="shared" si="94"/>
        <v>0</v>
      </c>
    </row>
  </sheetData>
  <sheetProtection algorithmName="SHA-512" hashValue="DmmG8CgG2csFHHRxVXZyaISBZ1NfFq783uaYSw18tyynkSkpP8BTOoqFWoKMOHCs0iJOaEM9TZYg8hSnVAT/iQ==" saltValue="Zla3nmLT+WhddmpgdZKqzg==" spinCount="100000" sheet="1" formatCells="0" formatColumns="0" formatRows="0" insertHyperlinks="0"/>
  <mergeCells count="313">
    <mergeCell ref="E209:F209"/>
    <mergeCell ref="E326:F326"/>
    <mergeCell ref="E96:N96"/>
    <mergeCell ref="E203:N203"/>
    <mergeCell ref="E199:N199"/>
    <mergeCell ref="E200:N200"/>
    <mergeCell ref="E205:N205"/>
    <mergeCell ref="E273:N273"/>
    <mergeCell ref="E275:N275"/>
    <mergeCell ref="E274:N274"/>
    <mergeCell ref="E276:F276"/>
    <mergeCell ref="E267:F267"/>
    <mergeCell ref="E268:F268"/>
    <mergeCell ref="E269:F269"/>
    <mergeCell ref="E270:F270"/>
    <mergeCell ref="E271:F271"/>
    <mergeCell ref="E261:F261"/>
    <mergeCell ref="E260:F260"/>
    <mergeCell ref="E256:N256"/>
    <mergeCell ref="E254:L254"/>
    <mergeCell ref="E255:M255"/>
    <mergeCell ref="E225:N225"/>
    <mergeCell ref="E226:N226"/>
    <mergeCell ref="E235:N235"/>
    <mergeCell ref="E208:F208"/>
    <mergeCell ref="D354:N354"/>
    <mergeCell ref="E210:F210"/>
    <mergeCell ref="E211:F211"/>
    <mergeCell ref="E277:F277"/>
    <mergeCell ref="E281:N281"/>
    <mergeCell ref="E284:N284"/>
    <mergeCell ref="E285:N285"/>
    <mergeCell ref="E377:F377"/>
    <mergeCell ref="E337:F337"/>
    <mergeCell ref="E338:F338"/>
    <mergeCell ref="E339:F339"/>
    <mergeCell ref="E332:N332"/>
    <mergeCell ref="E333:N333"/>
    <mergeCell ref="E334:N334"/>
    <mergeCell ref="E361:N361"/>
    <mergeCell ref="E312:F312"/>
    <mergeCell ref="E313:F313"/>
    <mergeCell ref="E314:F314"/>
    <mergeCell ref="E315:F315"/>
    <mergeCell ref="E316:F316"/>
    <mergeCell ref="E317:F317"/>
    <mergeCell ref="E321:F321"/>
    <mergeCell ref="E322:F322"/>
    <mergeCell ref="E346:F346"/>
    <mergeCell ref="E347:F347"/>
    <mergeCell ref="E351:F351"/>
    <mergeCell ref="E352:F352"/>
    <mergeCell ref="E286:N286"/>
    <mergeCell ref="E364:F364"/>
    <mergeCell ref="E365:F365"/>
    <mergeCell ref="E362:N362"/>
    <mergeCell ref="E358:L358"/>
    <mergeCell ref="E340:F340"/>
    <mergeCell ref="E341:F341"/>
    <mergeCell ref="E342:F342"/>
    <mergeCell ref="E343:F343"/>
    <mergeCell ref="E344:F344"/>
    <mergeCell ref="E325:F325"/>
    <mergeCell ref="E323:F323"/>
    <mergeCell ref="E324:F324"/>
    <mergeCell ref="E327:F327"/>
    <mergeCell ref="E329:N329"/>
    <mergeCell ref="E345:F345"/>
    <mergeCell ref="E330:F330"/>
    <mergeCell ref="E335:F335"/>
    <mergeCell ref="E336:F336"/>
    <mergeCell ref="E319:N319"/>
    <mergeCell ref="E381:F381"/>
    <mergeCell ref="E367:N367"/>
    <mergeCell ref="E370:N370"/>
    <mergeCell ref="E373:N373"/>
    <mergeCell ref="E376:N376"/>
    <mergeCell ref="E379:N379"/>
    <mergeCell ref="E368:F368"/>
    <mergeCell ref="E371:F371"/>
    <mergeCell ref="E374:F374"/>
    <mergeCell ref="E380:F380"/>
    <mergeCell ref="E320:N320"/>
    <mergeCell ref="E215:N215"/>
    <mergeCell ref="E216:N216"/>
    <mergeCell ref="E224:N224"/>
    <mergeCell ref="E305:N305"/>
    <mergeCell ref="E301:N301"/>
    <mergeCell ref="E308:F308"/>
    <mergeCell ref="E309:F309"/>
    <mergeCell ref="E310:F310"/>
    <mergeCell ref="E311:F311"/>
    <mergeCell ref="E259:N259"/>
    <mergeCell ref="E241:F241"/>
    <mergeCell ref="E231:N231"/>
    <mergeCell ref="E219:F219"/>
    <mergeCell ref="E222:F222"/>
    <mergeCell ref="E228:F228"/>
    <mergeCell ref="E97:N97"/>
    <mergeCell ref="E32:N32"/>
    <mergeCell ref="E49:F49"/>
    <mergeCell ref="E54:N54"/>
    <mergeCell ref="E34:F34"/>
    <mergeCell ref="E35:F35"/>
    <mergeCell ref="E36:F36"/>
    <mergeCell ref="E56:F56"/>
    <mergeCell ref="E113:F113"/>
    <mergeCell ref="E91:N91"/>
    <mergeCell ref="D74:N74"/>
    <mergeCell ref="E37:F37"/>
    <mergeCell ref="E69:L69"/>
    <mergeCell ref="E46:F46"/>
    <mergeCell ref="E59:F59"/>
    <mergeCell ref="E48:F48"/>
    <mergeCell ref="E65:L65"/>
    <mergeCell ref="D72:N72"/>
    <mergeCell ref="E44:F44"/>
    <mergeCell ref="E58:F58"/>
    <mergeCell ref="E38:F38"/>
    <mergeCell ref="E39:F39"/>
    <mergeCell ref="E42:N42"/>
    <mergeCell ref="E212:F212"/>
    <mergeCell ref="E218:F218"/>
    <mergeCell ref="E66:N66"/>
    <mergeCell ref="E53:N53"/>
    <mergeCell ref="E50:F50"/>
    <mergeCell ref="E90:N90"/>
    <mergeCell ref="D61:N61"/>
    <mergeCell ref="E81:N81"/>
    <mergeCell ref="E88:N88"/>
    <mergeCell ref="E57:F57"/>
    <mergeCell ref="D63:N63"/>
    <mergeCell ref="E70:M70"/>
    <mergeCell ref="D75:N75"/>
    <mergeCell ref="E83:N83"/>
    <mergeCell ref="E78:N78"/>
    <mergeCell ref="E77:N77"/>
    <mergeCell ref="D76:N76"/>
    <mergeCell ref="E86:N86"/>
    <mergeCell ref="E82:N82"/>
    <mergeCell ref="D79:N79"/>
    <mergeCell ref="E80:N80"/>
    <mergeCell ref="E67:N67"/>
    <mergeCell ref="E139:F139"/>
    <mergeCell ref="E151:F151"/>
    <mergeCell ref="E30:N30"/>
    <mergeCell ref="E2:F2"/>
    <mergeCell ref="E16:F16"/>
    <mergeCell ref="E29:N29"/>
    <mergeCell ref="E23:N23"/>
    <mergeCell ref="F27:N27"/>
    <mergeCell ref="E52:N52"/>
    <mergeCell ref="E40:F40"/>
    <mergeCell ref="E45:F45"/>
    <mergeCell ref="E47:F47"/>
    <mergeCell ref="G3:H3"/>
    <mergeCell ref="I3:J3"/>
    <mergeCell ref="K3:L3"/>
    <mergeCell ref="E13:N13"/>
    <mergeCell ref="D8:N8"/>
    <mergeCell ref="M4:N4"/>
    <mergeCell ref="I18:J18"/>
    <mergeCell ref="E19:N19"/>
    <mergeCell ref="E22:N22"/>
    <mergeCell ref="D6:N6"/>
    <mergeCell ref="K4:L4"/>
    <mergeCell ref="D10:N10"/>
    <mergeCell ref="E31:N31"/>
    <mergeCell ref="B2:D4"/>
    <mergeCell ref="D384:N384"/>
    <mergeCell ref="E262:F262"/>
    <mergeCell ref="E263:F263"/>
    <mergeCell ref="E264:F264"/>
    <mergeCell ref="E265:F265"/>
    <mergeCell ref="E278:F278"/>
    <mergeCell ref="E279:F279"/>
    <mergeCell ref="E282:F282"/>
    <mergeCell ref="E266:F266"/>
    <mergeCell ref="D356:N356"/>
    <mergeCell ref="E287:F287"/>
    <mergeCell ref="E288:F288"/>
    <mergeCell ref="E289:F289"/>
    <mergeCell ref="E290:F290"/>
    <mergeCell ref="E295:F295"/>
    <mergeCell ref="E296:F296"/>
    <mergeCell ref="E293:N293"/>
    <mergeCell ref="E294:N294"/>
    <mergeCell ref="E297:F297"/>
    <mergeCell ref="E298:F298"/>
    <mergeCell ref="E302:F302"/>
    <mergeCell ref="E306:F306"/>
    <mergeCell ref="E307:F307"/>
    <mergeCell ref="E304:N304"/>
    <mergeCell ref="E349:N349"/>
    <mergeCell ref="E84:N84"/>
    <mergeCell ref="E99:F99"/>
    <mergeCell ref="E117:N117"/>
    <mergeCell ref="E92:N92"/>
    <mergeCell ref="E109:N109"/>
    <mergeCell ref="E100:F100"/>
    <mergeCell ref="E94:F94"/>
    <mergeCell ref="E98:N98"/>
    <mergeCell ref="E119:F119"/>
    <mergeCell ref="E122:F122"/>
    <mergeCell ref="E107:N107"/>
    <mergeCell ref="E236:N236"/>
    <mergeCell ref="E176:F176"/>
    <mergeCell ref="E156:F156"/>
    <mergeCell ref="E157:F157"/>
    <mergeCell ref="I230:J230"/>
    <mergeCell ref="E85:N85"/>
    <mergeCell ref="E239:F239"/>
    <mergeCell ref="E240:F240"/>
    <mergeCell ref="E159:N159"/>
    <mergeCell ref="E162:N162"/>
    <mergeCell ref="E121:N121"/>
    <mergeCell ref="E124:N124"/>
    <mergeCell ref="E152:F152"/>
    <mergeCell ref="E153:F153"/>
    <mergeCell ref="E154:F154"/>
    <mergeCell ref="E155:F155"/>
    <mergeCell ref="E177:F177"/>
    <mergeCell ref="E178:F178"/>
    <mergeCell ref="P2:P4"/>
    <mergeCell ref="G2:H2"/>
    <mergeCell ref="M2:N2"/>
    <mergeCell ref="K2:L2"/>
    <mergeCell ref="I2:J2"/>
    <mergeCell ref="E4:F4"/>
    <mergeCell ref="G4:H4"/>
    <mergeCell ref="I4:J4"/>
    <mergeCell ref="F28:N28"/>
    <mergeCell ref="M3:N3"/>
    <mergeCell ref="E3:F3"/>
    <mergeCell ref="E18:H18"/>
    <mergeCell ref="F24:N24"/>
    <mergeCell ref="F25:N25"/>
    <mergeCell ref="E20:N20"/>
    <mergeCell ref="F26:N26"/>
    <mergeCell ref="E140:F140"/>
    <mergeCell ref="E141:F141"/>
    <mergeCell ref="E148:F148"/>
    <mergeCell ref="E149:F149"/>
    <mergeCell ref="E150:F150"/>
    <mergeCell ref="E234:N234"/>
    <mergeCell ref="E196:N196"/>
    <mergeCell ref="E180:F180"/>
    <mergeCell ref="E181:F181"/>
    <mergeCell ref="E182:F182"/>
    <mergeCell ref="E179:F179"/>
    <mergeCell ref="E169:N169"/>
    <mergeCell ref="E172:N172"/>
    <mergeCell ref="E173:N173"/>
    <mergeCell ref="E174:N174"/>
    <mergeCell ref="E175:N175"/>
    <mergeCell ref="E194:F194"/>
    <mergeCell ref="E184:N184"/>
    <mergeCell ref="E186:N186"/>
    <mergeCell ref="E191:N191"/>
    <mergeCell ref="E192:N192"/>
    <mergeCell ref="E193:F193"/>
    <mergeCell ref="E189:F189"/>
    <mergeCell ref="E232:N232"/>
    <mergeCell ref="E230:H230"/>
    <mergeCell ref="E214:N214"/>
    <mergeCell ref="E144:N144"/>
    <mergeCell ref="E145:N145"/>
    <mergeCell ref="D251:N251"/>
    <mergeCell ref="D250:N250"/>
    <mergeCell ref="D248:N248"/>
    <mergeCell ref="E147:F147"/>
    <mergeCell ref="E258:N258"/>
    <mergeCell ref="E237:N237"/>
    <mergeCell ref="E160:F160"/>
    <mergeCell ref="E167:F167"/>
    <mergeCell ref="E163:N163"/>
    <mergeCell ref="E164:N164"/>
    <mergeCell ref="E166:N166"/>
    <mergeCell ref="E170:F170"/>
    <mergeCell ref="E242:F242"/>
    <mergeCell ref="E244:F244"/>
    <mergeCell ref="E245:F245"/>
    <mergeCell ref="E246:F246"/>
    <mergeCell ref="E197:F197"/>
    <mergeCell ref="E201:F201"/>
    <mergeCell ref="E206:F206"/>
    <mergeCell ref="E207:F207"/>
    <mergeCell ref="E204:N204"/>
    <mergeCell ref="D252:N252"/>
    <mergeCell ref="AP2:AP4"/>
    <mergeCell ref="E105:N105"/>
    <mergeCell ref="E221:N221"/>
    <mergeCell ref="E359:N359"/>
    <mergeCell ref="E135:N135"/>
    <mergeCell ref="E136:N136"/>
    <mergeCell ref="E101:F101"/>
    <mergeCell ref="E102:F102"/>
    <mergeCell ref="E111:F111"/>
    <mergeCell ref="E112:F112"/>
    <mergeCell ref="E128:F128"/>
    <mergeCell ref="E126:N126"/>
    <mergeCell ref="E106:N106"/>
    <mergeCell ref="E110:F110"/>
    <mergeCell ref="E133:N133"/>
    <mergeCell ref="E108:N108"/>
    <mergeCell ref="E130:N130"/>
    <mergeCell ref="E125:N125"/>
    <mergeCell ref="E116:N116"/>
    <mergeCell ref="E131:N131"/>
    <mergeCell ref="E132:N132"/>
    <mergeCell ref="E350:N350"/>
    <mergeCell ref="E137:N137"/>
    <mergeCell ref="E143:N143"/>
  </mergeCells>
  <phoneticPr fontId="33" type="noConversion"/>
  <conditionalFormatting sqref="E29 E54">
    <cfRule type="expression" dxfId="754" priority="10" stopIfTrue="1">
      <formula>INDEX($AB:$AB,MATCH(MAX(INDIRECT(ADDRESS(1,3)&amp;":"&amp;ADDRESS(ROW(F29),3))),$C:$C,0))</formula>
    </cfRule>
  </conditionalFormatting>
  <conditionalFormatting sqref="G3:H3">
    <cfRule type="expression" dxfId="753" priority="16" stopIfTrue="1">
      <formula>COUNTIF($AE:$AE,1)&gt;0</formula>
    </cfRule>
  </conditionalFormatting>
  <conditionalFormatting sqref="G4:H4">
    <cfRule type="expression" dxfId="752" priority="12" stopIfTrue="1">
      <formula>COUNTIF($AE:$AE,5)&gt;0</formula>
    </cfRule>
  </conditionalFormatting>
  <conditionalFormatting sqref="G288:I290 G296:I298 H330:I330 H346:I346 H37:I38 H94:I94 G100:I102 G111:I113 H119:I119 H139:I139 H141:I141 H147:I156 G177:I181 H201:I201 G207:I211 H240:I242 E100:E102 E111:E113 E177:E181 E207:E211 E288:E290 E296:E298">
    <cfRule type="expression" dxfId="751" priority="6" stopIfTrue="1">
      <formula>$T37</formula>
    </cfRule>
  </conditionalFormatting>
  <conditionalFormatting sqref="H35:I35">
    <cfRule type="expression" dxfId="750" priority="4" stopIfTrue="1">
      <formula>$T35</formula>
    </cfRule>
  </conditionalFormatting>
  <conditionalFormatting sqref="H35:I39 I57:I59 H94:I94 H100:I102 H111:I113 H119:I119 H139:I139 H141:I141 H147:I156 H177:I181 H201:I201 H207:I211 H240:I242">
    <cfRule type="expression" dxfId="749" priority="1" stopIfTrue="1">
      <formula>V$16</formula>
    </cfRule>
  </conditionalFormatting>
  <conditionalFormatting sqref="H140:I140">
    <cfRule type="expression" dxfId="748" priority="8" stopIfTrue="1">
      <formula>ISNUMBER(H141)</formula>
    </cfRule>
  </conditionalFormatting>
  <conditionalFormatting sqref="H288:I290 H296:I298 H330:I330 H346:I346 H364:I365 H368:I368 H371:I371 H377:I377">
    <cfRule type="expression" dxfId="747" priority="2" stopIfTrue="1">
      <formula>V$16</formula>
    </cfRule>
  </conditionalFormatting>
  <conditionalFormatting sqref="H364:I365 H368:I368 H371:I371 H377:I377">
    <cfRule type="expression" dxfId="746" priority="7" stopIfTrue="1">
      <formula>$T364</formula>
    </cfRule>
  </conditionalFormatting>
  <conditionalFormatting sqref="I57:I59">
    <cfRule type="expression" dxfId="745" priority="3" stopIfTrue="1">
      <formula>MSconst_RequireFuelEF</formula>
    </cfRule>
  </conditionalFormatting>
  <conditionalFormatting sqref="I230">
    <cfRule type="expression" dxfId="744" priority="5" stopIfTrue="1">
      <formula>$T230</formula>
    </cfRule>
  </conditionalFormatting>
  <conditionalFormatting sqref="I3:J3">
    <cfRule type="expression" dxfId="743" priority="15" stopIfTrue="1">
      <formula>COUNTIF($AE:$AE,2)&gt;0</formula>
    </cfRule>
  </conditionalFormatting>
  <conditionalFormatting sqref="K3:L3">
    <cfRule type="expression" dxfId="742" priority="14" stopIfTrue="1">
      <formula>COUNTIF($AE:$AE,3)&gt;0</formula>
    </cfRule>
  </conditionalFormatting>
  <conditionalFormatting sqref="M69">
    <cfRule type="expression" dxfId="741" priority="9" stopIfTrue="1">
      <formula>$M$65</formula>
    </cfRule>
  </conditionalFormatting>
  <conditionalFormatting sqref="M3:N3">
    <cfRule type="expression" dxfId="740" priority="13" stopIfTrue="1">
      <formula>COUNTIF($AE:$AE,4)&gt;0</formula>
    </cfRule>
  </conditionalFormatting>
  <dataValidations count="4">
    <dataValidation type="list" allowBlank="1" showInputMessage="1" showErrorMessage="1" sqref="I230:J230 I18:J18" xr:uid="{00000000-0002-0000-0700-000000000000}">
      <formula1>EUconst_AbsRel</formula1>
    </dataValidation>
    <dataValidation type="list" allowBlank="1" showInputMessage="1" showErrorMessage="1" sqref="G177:G181 G100:G102 G288:G290 G207:G211 G296:G298 E100:E102 E177:E181 E207:E211 E288:E290 E296:E298" xr:uid="{00000000-0002-0000-0700-000001000000}">
      <formula1>CNTR_ConnectionEntityList</formula1>
    </dataValidation>
    <dataValidation type="list" allowBlank="1" showInputMessage="1" showErrorMessage="1" sqref="G111:G113 E111:E113" xr:uid="{00000000-0002-0000-0700-000002000000}">
      <formula1>CNTR_ConnectionListAndWithinInst</formula1>
    </dataValidation>
    <dataValidation type="list" allowBlank="1" showInputMessage="1" showErrorMessage="1" sqref="M358 M254 M69" xr:uid="{00000000-0002-0000-0700-000003000000}">
      <formula1>Euconst_TrueFalse</formula1>
    </dataValidation>
  </dataValidations>
  <hyperlinks>
    <hyperlink ref="E3:F3" location="E_EnergyFlows!B5" display="Top of sheet" xr:uid="{A2EFDED2-7F67-48E1-BAD8-FA79763AD6CB}"/>
    <hyperlink ref="E4:F4" location="E_EnergyFlows!B384" display="End of sheet" xr:uid="{69318DF7-5888-4892-A33A-853249AEB8EF}"/>
    <hyperlink ref="G2:H2" location="a_Contents!B5" display="Table of contents" xr:uid="{790E9040-2106-4757-80B7-E2F6643CD681}"/>
    <hyperlink ref="I2:J2" location="D_Emissions!B5" display="Previous sheet" xr:uid="{8203D3F1-1BFF-49F0-B45F-E21CC9A91A6B}"/>
    <hyperlink ref="K2:L2" location="F_ProductBM!B5" display="Next sheet" xr:uid="{C7C12CEB-272A-42EF-B7AB-B4BF2A585365}"/>
    <hyperlink ref="M2:N2" location="K_Summary!B5" display="Summary" xr:uid="{41BE0999-4332-45FA-9AC9-8208E9CCDB15}"/>
    <hyperlink ref="G3:H3" location="E_EnergyFlows!D10" display="Attribution of Fuels" xr:uid="{5CEB7FD7-490A-47B3-B19D-223AF5FC853A}"/>
    <hyperlink ref="I3:J3" location="E_EnergyFlows!D61" display="Measurable heat" xr:uid="{0D941B24-AC1C-487A-8090-CA780063BC19}"/>
    <hyperlink ref="G4:H4" location="E_EnergyFlows!D354" display="Electricity" xr:uid="{FCEFC17D-F532-49E3-AD7D-B18B2537BEEF}"/>
    <hyperlink ref="M3:N3" location="E_EnergyFlows!D248" display="Waste gases" xr:uid="{445AE880-402A-44A5-9E4F-AE6861B61621}"/>
    <hyperlink ref="K3:L3" location="E_EnergyFlows!D234" display="Heat (final result)" xr:uid="{08959E76-4FD8-45FB-A621-06486D5E50C5}"/>
    <hyperlink ref="D384:N384" location="F_ProductBM!B5" display="&lt;&lt;&lt; Click here to proceed to next sheet &gt;&gt;&gt; " xr:uid="{30A9FD3A-E2C3-4497-B884-009BADF48473}"/>
  </hyperlinks>
  <pageMargins left="0.78740157480314965" right="0.78740157480314965" top="0.78740157480314965" bottom="0.78740157480314965" header="0.51181102362204722" footer="0.51181102362204722"/>
  <pageSetup paperSize="9" scale="48" fitToHeight="10" orientation="portrait" r:id="rId1"/>
  <headerFooter alignWithMargins="0">
    <oddHeader>&amp;L&amp;F; &amp;A&amp;R&amp;D; &amp;T</oddHeader>
    <oddFooter>&amp;C&amp;P / &amp;N</oddFooter>
  </headerFooter>
  <rowBreaks count="5" manualBreakCount="5">
    <brk id="60" min="1" max="15" man="1"/>
    <brk id="122" min="1" max="15" man="1"/>
    <brk id="182" min="1" max="15" man="1"/>
    <brk id="247" min="1" max="15" man="1"/>
    <brk id="353" min="1" max="1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tabColor indexed="48"/>
    <pageSetUpPr fitToPage="1"/>
  </sheetPr>
  <dimension ref="A1:AP3271"/>
  <sheetViews>
    <sheetView showGridLines="0" topLeftCell="B1" zoomScaleNormal="100" workbookViewId="0">
      <pane ySplit="5" topLeftCell="A6" activePane="bottomLeft" state="frozen"/>
      <selection activeCell="B2" sqref="B2"/>
      <selection pane="bottomLeft" activeCell="B5" sqref="B5"/>
    </sheetView>
  </sheetViews>
  <sheetFormatPr defaultColWidth="0" defaultRowHeight="12.75" zeroHeight="1"/>
  <cols>
    <col min="1" max="1" width="5" style="1116" hidden="1" customWidth="1"/>
    <col min="2" max="2" width="2.7109375" style="1116" customWidth="1"/>
    <col min="3" max="3" width="5.7109375" style="1116" customWidth="1"/>
    <col min="4" max="4" width="4.7109375" style="1116" customWidth="1"/>
    <col min="5" max="5" width="30.7109375" style="1116" customWidth="1"/>
    <col min="6" max="14" width="13.7109375" style="1116" customWidth="1"/>
    <col min="15" max="15" width="4.7109375" style="1116" customWidth="1"/>
    <col min="16" max="16" width="25.7109375" style="1116" customWidth="1"/>
    <col min="17" max="17" width="12.7109375" style="1198" hidden="1" customWidth="1"/>
    <col min="18" max="19" width="11.42578125" style="1198" hidden="1" customWidth="1"/>
    <col min="20" max="20" width="16.7109375" style="1198" hidden="1" customWidth="1"/>
    <col min="21" max="21" width="11.42578125" style="1198" hidden="1" customWidth="1"/>
    <col min="22" max="22" width="14.7109375" style="1198" hidden="1" customWidth="1"/>
    <col min="23" max="38" width="11.42578125" style="1198" hidden="1" customWidth="1"/>
    <col min="39" max="41" width="8.7109375" style="1119" hidden="1" customWidth="1"/>
    <col min="42" max="42" width="26.42578125" style="1121" hidden="1" customWidth="1"/>
    <col min="43" max="16384" width="9.140625" style="1119" hidden="1"/>
  </cols>
  <sheetData>
    <row r="1" spans="2:42" s="1116" customFormat="1" ht="13.5" hidden="1" thickBot="1"/>
    <row r="2" spans="2:42" ht="13.5" thickBot="1">
      <c r="B2" s="3311" t="s">
        <v>582</v>
      </c>
      <c r="C2" s="3312"/>
      <c r="D2" s="3313"/>
      <c r="E2" s="2357" t="s">
        <v>572</v>
      </c>
      <c r="F2" s="2358"/>
      <c r="G2" s="2360" t="s">
        <v>573</v>
      </c>
      <c r="H2" s="2451"/>
      <c r="I2" s="2451" t="s">
        <v>578</v>
      </c>
      <c r="J2" s="2451"/>
      <c r="K2" s="2451" t="s">
        <v>574</v>
      </c>
      <c r="L2" s="2451"/>
      <c r="M2" s="2451" t="s">
        <v>575</v>
      </c>
      <c r="N2" s="2451"/>
      <c r="O2" s="485"/>
      <c r="P2" s="2940" t="s">
        <v>1988</v>
      </c>
      <c r="Q2" s="1435"/>
      <c r="R2" s="1623" t="s">
        <v>1148</v>
      </c>
      <c r="S2" s="1847" t="str">
        <f>ADDRESS(ROW($B$6),COLUMN($B$6)) &amp; ":" &amp; ADDRESS(MATCH("PRINT",$Q:$Q,0),COLUMN($P$6))</f>
        <v>$B$6:$P$333</v>
      </c>
      <c r="T2" s="1435"/>
      <c r="U2" s="1435"/>
      <c r="V2" s="1435"/>
      <c r="W2" s="1435"/>
      <c r="X2" s="1435"/>
      <c r="Y2" s="1435"/>
      <c r="Z2" s="1624"/>
      <c r="AA2" s="1624"/>
      <c r="AB2" s="1624"/>
      <c r="AC2" s="1624"/>
      <c r="AD2" s="1624"/>
      <c r="AE2" s="1624"/>
      <c r="AF2" s="1624"/>
      <c r="AG2" s="1624"/>
      <c r="AH2" s="1624"/>
      <c r="AI2" s="1624"/>
      <c r="AJ2" s="1624"/>
      <c r="AK2" s="1624"/>
      <c r="AL2" s="1435"/>
      <c r="AP2" s="2815" t="s">
        <v>2268</v>
      </c>
    </row>
    <row r="3" spans="2:42" ht="13.5" thickBot="1">
      <c r="B3" s="3314"/>
      <c r="C3" s="3315"/>
      <c r="D3" s="3316"/>
      <c r="E3" s="2451" t="s">
        <v>576</v>
      </c>
      <c r="F3" s="2454"/>
      <c r="G3" s="3328" t="str">
        <f>HYPERLINK("#JUMP_F"&amp;Q3,IF(INDEX(CNTR_SubInstListIsProdBM,Q3),"BM "&amp;Q3&amp;": "&amp;INDEX(CNTR_SubInstListNames,Q3),IF(CNTR_ExistSubInstEntries,"",EUconst_BM&amp;" "&amp;Q3)))</f>
        <v>Benchmark 1</v>
      </c>
      <c r="H3" s="3326"/>
      <c r="I3" s="3326" t="str">
        <f>HYPERLINK("#JUMP_F"&amp;S3,IF(INDEX(CNTR_SubInstListIsProdBM,S3),"BM "&amp;S3&amp;": "&amp;INDEX(CNTR_SubInstListNames,S3),IF(CNTR_ExistSubInstEntries,"",EUconst_BM&amp;" "&amp;S3)))</f>
        <v>Benchmark 2</v>
      </c>
      <c r="J3" s="3326"/>
      <c r="K3" s="3326" t="str">
        <f>HYPERLINK("#JUMP_F"&amp;U3,IF(INDEX(CNTR_SubInstListIsProdBM,U3),"BM "&amp;U3&amp;": "&amp;INDEX(CNTR_SubInstListNames,U3),IF(CNTR_ExistSubInstEntries,"",EUconst_BM&amp;" "&amp;U3)))</f>
        <v>Benchmark 3</v>
      </c>
      <c r="L3" s="3326"/>
      <c r="M3" s="3326" t="str">
        <f>HYPERLINK("#JUMP_F"&amp;W3,IF(INDEX(CNTR_SubInstListIsProdBM,W3),"BM "&amp;W3&amp;": "&amp;INDEX(CNTR_SubInstListNames,W3),IF(CNTR_ExistSubInstEntries,"",EUconst_BM&amp;" "&amp;W3)))</f>
        <v>Benchmark 4</v>
      </c>
      <c r="N3" s="3326"/>
      <c r="O3" s="485"/>
      <c r="P3" s="2941"/>
      <c r="Q3" s="3324">
        <v>1</v>
      </c>
      <c r="R3" s="3325"/>
      <c r="S3" s="3323">
        <v>2</v>
      </c>
      <c r="T3" s="3323"/>
      <c r="U3" s="3323">
        <v>3</v>
      </c>
      <c r="V3" s="3323"/>
      <c r="W3" s="3323">
        <v>4</v>
      </c>
      <c r="X3" s="3323"/>
      <c r="Y3" s="1435"/>
      <c r="Z3" s="1435"/>
      <c r="AA3" s="1435"/>
      <c r="AB3" s="1435"/>
      <c r="AC3" s="1435"/>
      <c r="AD3" s="1435"/>
      <c r="AE3" s="1435"/>
      <c r="AF3" s="1435"/>
      <c r="AG3" s="1435"/>
      <c r="AH3" s="1435"/>
      <c r="AI3" s="1435"/>
      <c r="AJ3" s="1435"/>
      <c r="AK3" s="1435"/>
      <c r="AL3" s="1435"/>
      <c r="AP3" s="2816"/>
    </row>
    <row r="4" spans="2:42" ht="13.5" thickBot="1">
      <c r="B4" s="3317"/>
      <c r="C4" s="3318"/>
      <c r="D4" s="3319"/>
      <c r="E4" s="2451" t="s">
        <v>577</v>
      </c>
      <c r="F4" s="2451"/>
      <c r="G4" s="3327" t="str">
        <f>HYPERLINK("#JUMP_F"&amp;Q4,IF(INDEX(CNTR_SubInstListIsProdBM,Q4),"BM "&amp;Q4&amp;": "&amp;INDEX(CNTR_SubInstListNames,Q4),IF(CNTR_ExistSubInstEntries,"",EUconst_BM&amp;" "&amp;Q4)))</f>
        <v>Benchmark 5</v>
      </c>
      <c r="H4" s="3322"/>
      <c r="I4" s="3322" t="str">
        <f>HYPERLINK("#JUMP_F"&amp;S4,IF(INDEX(CNTR_SubInstListIsProdBM,S4),"BM "&amp;S4&amp;": "&amp;INDEX(CNTR_SubInstListNames,S4),IF(CNTR_ExistSubInstEntries,"",EUconst_BM&amp;" "&amp;S4)))</f>
        <v>Benchmark 6</v>
      </c>
      <c r="J4" s="3322"/>
      <c r="K4" s="3322" t="str">
        <f>HYPERLINK("#JUMP_F"&amp;U4,IF(INDEX(CNTR_SubInstListIsProdBM,U4),"BM "&amp;U4&amp;": "&amp;INDEX(CNTR_SubInstListNames,U4),IF(CNTR_ExistSubInstEntries,"",EUconst_BM&amp;" "&amp;U4)))</f>
        <v>Benchmark 7</v>
      </c>
      <c r="L4" s="3322"/>
      <c r="M4" s="3321" t="str">
        <f>HYPERLINK("#JUMP_F"&amp;W4,IF(INDEX(CNTR_SubInstListIsProdBM,W4),"BM "&amp;W4&amp;": "&amp;INDEX(CNTR_SubInstListNames,W4),IF(CNTR_ExistSubInstEntries,"",EUconst_BM&amp;" "&amp;W4)))</f>
        <v>Benchmark 8</v>
      </c>
      <c r="N4" s="3322"/>
      <c r="O4" s="485"/>
      <c r="P4" s="2941"/>
      <c r="Q4" s="3320">
        <v>5</v>
      </c>
      <c r="R4" s="3249"/>
      <c r="S4" s="3249">
        <v>6</v>
      </c>
      <c r="T4" s="3249"/>
      <c r="U4" s="3249">
        <v>7</v>
      </c>
      <c r="V4" s="3249"/>
      <c r="W4" s="3249">
        <v>8</v>
      </c>
      <c r="X4" s="3249"/>
      <c r="Y4" s="1435"/>
      <c r="Z4" s="1435"/>
      <c r="AA4" s="1435"/>
      <c r="AB4" s="1435"/>
      <c r="AC4" s="1435"/>
      <c r="AD4" s="1435"/>
      <c r="AE4" s="1435"/>
      <c r="AF4" s="1435"/>
      <c r="AG4" s="1435"/>
      <c r="AH4" s="1435"/>
      <c r="AI4" s="1435"/>
      <c r="AJ4" s="1435"/>
      <c r="AK4" s="1435"/>
      <c r="AL4" s="1435"/>
      <c r="AP4" s="2816"/>
    </row>
    <row r="5" spans="2:42" ht="13.5" thickBot="1">
      <c r="B5" s="1625"/>
      <c r="C5" s="1625"/>
      <c r="D5" s="1625"/>
      <c r="E5" s="11"/>
      <c r="F5" s="11"/>
      <c r="G5" s="3322" t="str">
        <f>HYPERLINK("#JUMP_F"&amp;Q5,IF(INDEX(CNTR_SubInstListIsProdBM,Q5),"BM "&amp;Q5&amp;": "&amp;INDEX(CNTR_SubInstListNames,Q5),IF(CNTR_ExistSubInstEntries,"",EUconst_BM&amp;" "&amp;Q5)))</f>
        <v>Benchmark 9</v>
      </c>
      <c r="H5" s="3322"/>
      <c r="I5" s="3322" t="str">
        <f>HYPERLINK("#JUMP_F"&amp;S5,IF(INDEX(CNTR_SubInstListIsProdBM,S5),"BM "&amp;S5&amp;": "&amp;INDEX(CNTR_SubInstListNames,S5),IF(CNTR_ExistSubInstEntries,"",EUconst_BM&amp;" "&amp;S5)))</f>
        <v>Benchmark 10</v>
      </c>
      <c r="J5" s="3322"/>
      <c r="K5" s="3329"/>
      <c r="L5" s="3329"/>
      <c r="M5" s="3329"/>
      <c r="N5" s="3329"/>
      <c r="O5" s="485"/>
      <c r="P5" s="2942"/>
      <c r="Q5" s="3320">
        <v>9</v>
      </c>
      <c r="R5" s="3249"/>
      <c r="S5" s="2789">
        <v>10</v>
      </c>
      <c r="T5" s="2790"/>
      <c r="U5" s="2789"/>
      <c r="V5" s="2790"/>
      <c r="W5" s="2790"/>
      <c r="X5" s="2790"/>
      <c r="Y5" s="1435"/>
      <c r="Z5" s="1435"/>
      <c r="AA5" s="1435"/>
      <c r="AB5" s="1435"/>
      <c r="AC5" s="1435"/>
      <c r="AD5" s="1435"/>
      <c r="AE5" s="1435"/>
      <c r="AF5" s="1435"/>
      <c r="AG5" s="1435"/>
      <c r="AH5" s="1435"/>
      <c r="AI5" s="1435"/>
      <c r="AJ5" s="1435"/>
      <c r="AK5" s="1435"/>
      <c r="AL5" s="1435"/>
    </row>
    <row r="6" spans="2:42">
      <c r="B6" s="479"/>
      <c r="C6" s="1626"/>
      <c r="D6" s="479"/>
      <c r="E6" s="479"/>
      <c r="F6" s="477"/>
      <c r="G6" s="477"/>
      <c r="H6" s="477"/>
      <c r="I6" s="479"/>
      <c r="J6" s="479"/>
      <c r="K6" s="479"/>
      <c r="L6" s="479"/>
      <c r="M6" s="485"/>
      <c r="N6" s="485"/>
      <c r="O6" s="485"/>
      <c r="P6" s="485"/>
      <c r="Q6" s="1435"/>
      <c r="R6" s="4"/>
      <c r="S6" s="1435"/>
      <c r="T6" s="1435"/>
      <c r="U6" s="1435"/>
      <c r="V6" s="1435"/>
      <c r="W6" s="1435"/>
      <c r="X6" s="1435"/>
      <c r="Y6" s="1435"/>
      <c r="Z6" s="1435"/>
      <c r="AA6" s="1435"/>
      <c r="AB6" s="1435"/>
      <c r="AC6" s="1435"/>
      <c r="AD6" s="1435"/>
      <c r="AE6" s="1435"/>
      <c r="AF6" s="1435"/>
      <c r="AG6" s="1435"/>
      <c r="AH6" s="1435"/>
      <c r="AI6" s="1435"/>
      <c r="AJ6" s="1435"/>
      <c r="AK6" s="1435"/>
      <c r="AL6" s="1435"/>
    </row>
    <row r="7" spans="2:42" ht="23.25" customHeight="1">
      <c r="B7" s="479"/>
      <c r="C7" s="478" t="s">
        <v>680</v>
      </c>
      <c r="D7" s="2424" t="s">
        <v>681</v>
      </c>
      <c r="E7" s="2400"/>
      <c r="F7" s="2400"/>
      <c r="G7" s="2400"/>
      <c r="H7" s="2400"/>
      <c r="I7" s="2400"/>
      <c r="J7" s="2400"/>
      <c r="K7" s="2400"/>
      <c r="L7" s="2400"/>
      <c r="M7" s="2400"/>
      <c r="N7" s="2400"/>
      <c r="O7" s="485"/>
      <c r="P7" s="485"/>
    </row>
    <row r="8" spans="2:42" ht="5.0999999999999996" customHeight="1">
      <c r="B8" s="479"/>
      <c r="C8" s="479"/>
      <c r="D8" s="479"/>
      <c r="E8" s="479"/>
      <c r="F8" s="479"/>
      <c r="G8" s="479"/>
      <c r="H8" s="479"/>
      <c r="I8" s="479"/>
      <c r="J8" s="479"/>
      <c r="K8" s="479"/>
      <c r="L8" s="479"/>
      <c r="M8" s="485"/>
      <c r="N8" s="485"/>
      <c r="O8" s="485"/>
      <c r="P8" s="485"/>
      <c r="Q8" s="1624"/>
      <c r="R8" s="1624"/>
      <c r="S8" s="1624"/>
      <c r="T8" s="1624"/>
      <c r="U8" s="1624"/>
      <c r="V8" s="1624"/>
      <c r="W8" s="1624"/>
      <c r="X8" s="1624"/>
      <c r="Y8" s="1624"/>
      <c r="Z8" s="1624"/>
      <c r="AA8" s="1624"/>
      <c r="AB8" s="1624"/>
      <c r="AC8" s="1624"/>
      <c r="AD8" s="1624"/>
      <c r="AE8" s="1624"/>
      <c r="AF8" s="1624"/>
      <c r="AG8" s="1624"/>
      <c r="AH8" s="1624"/>
      <c r="AI8" s="1624"/>
      <c r="AJ8" s="1624"/>
      <c r="AK8" s="1624"/>
      <c r="AL8" s="1624"/>
    </row>
    <row r="9" spans="2:42" ht="15" customHeight="1">
      <c r="B9" s="479"/>
      <c r="C9" s="479"/>
      <c r="D9" s="479"/>
      <c r="E9" s="2691" t="s">
        <v>1521</v>
      </c>
      <c r="F9" s="2691"/>
      <c r="G9" s="2691"/>
      <c r="H9" s="2691"/>
      <c r="I9" s="2691"/>
      <c r="J9" s="2691"/>
      <c r="K9" s="2691"/>
      <c r="L9" s="2691"/>
      <c r="M9" s="2691"/>
      <c r="N9" s="485"/>
      <c r="O9" s="485"/>
      <c r="P9" s="485"/>
      <c r="Q9" s="1251" t="s">
        <v>228</v>
      </c>
      <c r="R9" s="1251" t="s">
        <v>228</v>
      </c>
      <c r="S9" s="1251" t="s">
        <v>228</v>
      </c>
      <c r="T9" s="1251" t="s">
        <v>228</v>
      </c>
      <c r="U9" s="1251" t="s">
        <v>228</v>
      </c>
      <c r="V9" s="1251" t="s">
        <v>228</v>
      </c>
      <c r="W9" s="1251" t="s">
        <v>228</v>
      </c>
      <c r="X9" s="1251" t="s">
        <v>228</v>
      </c>
      <c r="Y9" s="1251" t="s">
        <v>228</v>
      </c>
      <c r="Z9" s="1251" t="s">
        <v>228</v>
      </c>
      <c r="AA9" s="1251" t="s">
        <v>228</v>
      </c>
      <c r="AB9" s="1251" t="s">
        <v>228</v>
      </c>
      <c r="AC9" s="1251" t="s">
        <v>228</v>
      </c>
      <c r="AD9" s="1251" t="s">
        <v>228</v>
      </c>
      <c r="AE9" s="1251" t="s">
        <v>228</v>
      </c>
      <c r="AF9" s="1251" t="s">
        <v>228</v>
      </c>
      <c r="AG9" s="1251" t="s">
        <v>228</v>
      </c>
      <c r="AH9" s="1251" t="s">
        <v>228</v>
      </c>
      <c r="AI9" s="1251" t="s">
        <v>228</v>
      </c>
      <c r="AJ9" s="1251" t="s">
        <v>228</v>
      </c>
      <c r="AK9" s="1251" t="s">
        <v>228</v>
      </c>
      <c r="AL9" s="1251" t="s">
        <v>228</v>
      </c>
    </row>
    <row r="10" spans="2:42" ht="13.5" customHeight="1" thickBot="1">
      <c r="B10" s="479"/>
      <c r="C10" s="479"/>
      <c r="D10" s="479"/>
      <c r="E10" s="479"/>
      <c r="F10" s="479"/>
      <c r="G10" s="479"/>
      <c r="H10" s="479"/>
      <c r="I10" s="479"/>
      <c r="J10" s="479"/>
      <c r="K10" s="479"/>
      <c r="L10" s="479"/>
      <c r="M10" s="485"/>
      <c r="N10" s="485"/>
      <c r="O10" s="485"/>
      <c r="P10" s="1627"/>
      <c r="Q10" s="1628" t="s">
        <v>720</v>
      </c>
      <c r="R10" s="1628" t="s">
        <v>720</v>
      </c>
      <c r="S10" s="1628" t="s">
        <v>720</v>
      </c>
      <c r="T10" s="1628" t="s">
        <v>720</v>
      </c>
      <c r="U10" s="1628" t="s">
        <v>720</v>
      </c>
      <c r="V10" s="1628" t="s">
        <v>720</v>
      </c>
      <c r="W10" s="1628" t="s">
        <v>720</v>
      </c>
      <c r="X10" s="1628" t="s">
        <v>720</v>
      </c>
      <c r="Y10" s="1628" t="s">
        <v>720</v>
      </c>
      <c r="Z10" s="1628" t="s">
        <v>720</v>
      </c>
      <c r="AA10" s="1628" t="s">
        <v>720</v>
      </c>
      <c r="AB10" s="1628" t="s">
        <v>720</v>
      </c>
      <c r="AC10" s="1628" t="s">
        <v>720</v>
      </c>
      <c r="AD10" s="1628" t="s">
        <v>720</v>
      </c>
      <c r="AE10" s="1628" t="s">
        <v>720</v>
      </c>
      <c r="AF10" s="1628" t="s">
        <v>720</v>
      </c>
      <c r="AG10" s="1628" t="s">
        <v>720</v>
      </c>
      <c r="AH10" s="1628" t="s">
        <v>720</v>
      </c>
      <c r="AI10" s="1628" t="s">
        <v>720</v>
      </c>
      <c r="AJ10" s="1628" t="s">
        <v>720</v>
      </c>
      <c r="AK10" s="1628" t="s">
        <v>720</v>
      </c>
      <c r="AL10" s="1628" t="s">
        <v>720</v>
      </c>
    </row>
    <row r="11" spans="2:42" ht="16.149999999999999" customHeight="1" thickBot="1">
      <c r="B11" s="479"/>
      <c r="C11" s="896" t="s">
        <v>1018</v>
      </c>
      <c r="D11" s="2408" t="s">
        <v>996</v>
      </c>
      <c r="E11" s="2408"/>
      <c r="F11" s="2408"/>
      <c r="G11" s="2408"/>
      <c r="H11" s="2408"/>
      <c r="I11" s="2408"/>
      <c r="J11" s="2408"/>
      <c r="K11" s="2408"/>
      <c r="L11" s="2408"/>
      <c r="M11" s="2408"/>
      <c r="N11" s="2408"/>
      <c r="O11" s="485"/>
      <c r="P11" s="1627"/>
      <c r="Q11" s="1629" t="s">
        <v>753</v>
      </c>
      <c r="R11" s="1630"/>
      <c r="S11" s="1630"/>
      <c r="T11" s="1630"/>
      <c r="U11" s="1630"/>
      <c r="V11" s="1630"/>
      <c r="W11" s="1630"/>
      <c r="X11" s="1630"/>
      <c r="Y11" s="1630"/>
      <c r="Z11" s="1630"/>
      <c r="AA11" s="1630"/>
      <c r="AB11" s="1630"/>
      <c r="AC11" s="1630"/>
      <c r="AD11" s="1630"/>
      <c r="AE11" s="1630"/>
      <c r="AF11" s="1630"/>
      <c r="AG11" s="1630"/>
      <c r="AH11" s="1630"/>
      <c r="AI11" s="1630"/>
      <c r="AJ11" s="1630"/>
      <c r="AK11" s="1631" t="s">
        <v>1041</v>
      </c>
      <c r="AL11" s="1632"/>
    </row>
    <row r="12" spans="2:42" ht="5.0999999999999996" customHeight="1" thickBot="1">
      <c r="B12" s="479"/>
      <c r="C12" s="479"/>
      <c r="D12" s="479"/>
      <c r="E12" s="479"/>
      <c r="F12" s="479"/>
      <c r="G12" s="479"/>
      <c r="H12" s="479"/>
      <c r="I12" s="479"/>
      <c r="J12" s="479"/>
      <c r="K12" s="479"/>
      <c r="L12" s="479"/>
      <c r="M12" s="485"/>
      <c r="N12" s="485"/>
      <c r="O12" s="485"/>
      <c r="P12" s="1627"/>
      <c r="Q12" s="1435"/>
      <c r="S12" s="1435"/>
      <c r="T12" s="1435"/>
    </row>
    <row r="13" spans="2:42" ht="15.75" customHeight="1" thickBot="1">
      <c r="B13" s="479"/>
      <c r="C13" s="897">
        <v>1</v>
      </c>
      <c r="D13" s="2482" t="s">
        <v>2070</v>
      </c>
      <c r="E13" s="2400"/>
      <c r="F13" s="2400"/>
      <c r="G13" s="2400"/>
      <c r="H13" s="2585"/>
      <c r="I13" s="3293" t="str">
        <f>IF(INDEX(CNTR_SubInstListIsProdBM,$C13),INDEX(CNTR_SubInstListNames,$C13),"")</f>
        <v/>
      </c>
      <c r="J13" s="3294"/>
      <c r="K13" s="3294"/>
      <c r="L13" s="3294"/>
      <c r="M13" s="3294"/>
      <c r="N13" s="3297"/>
      <c r="O13" s="485"/>
      <c r="P13" s="1627"/>
      <c r="Q13" s="1488">
        <f>C13</f>
        <v>1</v>
      </c>
      <c r="S13" s="1633" t="s">
        <v>558</v>
      </c>
      <c r="T13" s="1634" t="str">
        <f>IF(I13="","",MAX(INDEX(CNTR_SubInstStartDate,MATCH($I13,CNTR_SubInstListNames,0)),DATE(2005,1,1)))</f>
        <v/>
      </c>
      <c r="U13" s="1435" t="s">
        <v>1673</v>
      </c>
      <c r="V13" s="1635">
        <f>IF(ISNUMBER(T13),YEAR($T13-1)+1,2005)</f>
        <v>2005</v>
      </c>
      <c r="W13" s="1633" t="s">
        <v>1676</v>
      </c>
      <c r="X13" s="1634" t="str">
        <f>IF(I13="","",INDEX(CNTR_SubInstCessationDate,MATCH($I13,CNTR_SubInstListNames,0)))</f>
        <v/>
      </c>
      <c r="Y13" s="1633" t="s">
        <v>1677</v>
      </c>
      <c r="Z13" s="1635">
        <f>IF(SUM(X13)=0,2050,YEAR($X13))</f>
        <v>2050</v>
      </c>
      <c r="AA13" s="1633" t="s">
        <v>1925</v>
      </c>
      <c r="AB13" s="1635" t="b">
        <f>CNTR_ReportingYear&gt;V13</f>
        <v>1</v>
      </c>
      <c r="AL13" s="1848" t="b">
        <f>AND(CNTR_ExistSubInstEntries,I13="")</f>
        <v>0</v>
      </c>
    </row>
    <row r="14" spans="2:42" ht="12.75" customHeight="1">
      <c r="B14" s="479"/>
      <c r="C14" s="479"/>
      <c r="D14" s="485"/>
      <c r="E14" s="2385" t="s">
        <v>216</v>
      </c>
      <c r="F14" s="2846"/>
      <c r="G14" s="2846"/>
      <c r="H14" s="2846"/>
      <c r="I14" s="2846"/>
      <c r="J14" s="2846"/>
      <c r="K14" s="2846"/>
      <c r="L14" s="2846"/>
      <c r="M14" s="2846"/>
      <c r="N14" s="2846"/>
      <c r="O14" s="485"/>
      <c r="P14" s="1627"/>
      <c r="Q14" s="1435"/>
      <c r="S14" s="1435"/>
      <c r="T14" s="1435"/>
    </row>
    <row r="15" spans="2:42" ht="5.0999999999999996" customHeight="1">
      <c r="B15" s="1636"/>
      <c r="C15" s="479"/>
      <c r="D15" s="479"/>
      <c r="E15" s="479"/>
      <c r="F15" s="479"/>
      <c r="G15" s="479"/>
      <c r="H15" s="479"/>
      <c r="I15" s="479"/>
      <c r="J15" s="479"/>
      <c r="K15" s="479"/>
      <c r="L15" s="479"/>
      <c r="M15" s="485"/>
      <c r="N15" s="485"/>
      <c r="O15" s="485"/>
      <c r="P15" s="1627"/>
      <c r="Q15" s="1435"/>
      <c r="S15" s="1435"/>
      <c r="T15" s="1435"/>
    </row>
    <row r="16" spans="2:42" ht="12.75" customHeight="1">
      <c r="B16" s="479"/>
      <c r="C16" s="479"/>
      <c r="D16" s="482" t="s">
        <v>400</v>
      </c>
      <c r="E16" s="497" t="s">
        <v>2106</v>
      </c>
      <c r="F16" s="2373"/>
      <c r="G16" s="2373"/>
      <c r="H16" s="2373"/>
      <c r="I16" s="2373"/>
      <c r="J16" s="2373"/>
      <c r="K16" s="2373"/>
      <c r="L16" s="2373"/>
      <c r="M16" s="2373"/>
      <c r="N16" s="2373"/>
      <c r="O16" s="485"/>
      <c r="P16" s="1627"/>
      <c r="Q16" s="1435"/>
    </row>
    <row r="17" spans="2:38" ht="12.75" customHeight="1">
      <c r="B17" s="479"/>
      <c r="C17" s="479"/>
      <c r="D17" s="485"/>
      <c r="E17" s="2385" t="s">
        <v>801</v>
      </c>
      <c r="F17" s="2846"/>
      <c r="G17" s="2846"/>
      <c r="H17" s="2846"/>
      <c r="I17" s="2846"/>
      <c r="J17" s="2846"/>
      <c r="K17" s="2846"/>
      <c r="L17" s="2846"/>
      <c r="M17" s="2846"/>
      <c r="N17" s="2846"/>
      <c r="O17" s="485"/>
      <c r="P17" s="1627"/>
      <c r="Q17" s="1435"/>
      <c r="S17" s="1435"/>
      <c r="T17" s="1435"/>
      <c r="U17" s="1435"/>
    </row>
    <row r="18" spans="2:38" ht="12.75" customHeight="1">
      <c r="B18" s="479"/>
      <c r="C18" s="479"/>
      <c r="D18" s="485"/>
      <c r="E18" s="2385" t="s">
        <v>2327</v>
      </c>
      <c r="F18" s="2846"/>
      <c r="G18" s="2846"/>
      <c r="H18" s="2846"/>
      <c r="I18" s="2846"/>
      <c r="J18" s="2846"/>
      <c r="K18" s="2846"/>
      <c r="L18" s="2846"/>
      <c r="M18" s="2846"/>
      <c r="N18" s="2846"/>
      <c r="O18" s="485"/>
      <c r="P18" s="1627"/>
      <c r="Q18" s="1435"/>
      <c r="S18" s="1435"/>
      <c r="T18" s="1435"/>
      <c r="U18" s="1435"/>
    </row>
    <row r="19" spans="2:38" ht="12.75" customHeight="1">
      <c r="B19" s="479"/>
      <c r="C19" s="479"/>
      <c r="D19" s="485"/>
      <c r="E19" s="2817" t="s">
        <v>2107</v>
      </c>
      <c r="F19" s="2817"/>
      <c r="G19" s="2817"/>
      <c r="H19" s="2817"/>
      <c r="I19" s="2817"/>
      <c r="J19" s="2817"/>
      <c r="K19" s="2817"/>
      <c r="L19" s="2817"/>
      <c r="M19" s="2817"/>
      <c r="N19" s="2817"/>
      <c r="O19" s="485"/>
      <c r="P19" s="1627"/>
      <c r="Q19" s="1435"/>
      <c r="S19" s="1435"/>
      <c r="Z19" s="1435"/>
    </row>
    <row r="20" spans="2:38" ht="13.5" customHeight="1" thickBot="1">
      <c r="B20" s="1124"/>
      <c r="C20" s="485"/>
      <c r="D20" s="482"/>
      <c r="E20" s="2509" t="s">
        <v>1447</v>
      </c>
      <c r="F20" s="2751"/>
      <c r="G20" s="663" t="s">
        <v>884</v>
      </c>
      <c r="H20" s="578">
        <f t="shared" ref="H20:N20" si="0">H$3242</f>
        <v>2024</v>
      </c>
      <c r="I20" s="578">
        <f t="shared" si="0"/>
        <v>2025</v>
      </c>
      <c r="J20" s="1637">
        <f t="shared" si="0"/>
        <v>2026</v>
      </c>
      <c r="K20" s="1637">
        <f t="shared" si="0"/>
        <v>2027</v>
      </c>
      <c r="L20" s="1637">
        <f t="shared" si="0"/>
        <v>2028</v>
      </c>
      <c r="M20" s="1637">
        <f t="shared" si="0"/>
        <v>2029</v>
      </c>
      <c r="N20" s="1637">
        <f t="shared" si="0"/>
        <v>2030</v>
      </c>
      <c r="O20" s="485"/>
      <c r="P20" s="485"/>
      <c r="Q20" s="1435"/>
      <c r="T20" s="1638">
        <f t="shared" ref="T20:Z20" si="1">H20</f>
        <v>2024</v>
      </c>
      <c r="U20" s="1638">
        <f t="shared" si="1"/>
        <v>2025</v>
      </c>
      <c r="V20" s="1638">
        <f t="shared" si="1"/>
        <v>2026</v>
      </c>
      <c r="W20" s="1638">
        <f t="shared" si="1"/>
        <v>2027</v>
      </c>
      <c r="X20" s="1638">
        <f t="shared" si="1"/>
        <v>2028</v>
      </c>
      <c r="Y20" s="1638">
        <f t="shared" si="1"/>
        <v>2029</v>
      </c>
      <c r="Z20" s="1638">
        <f t="shared" si="1"/>
        <v>2030</v>
      </c>
      <c r="AC20" s="1638">
        <f>H$20</f>
        <v>2024</v>
      </c>
      <c r="AD20" s="1638">
        <f t="shared" ref="AD20:AI20" si="2">I$20</f>
        <v>2025</v>
      </c>
      <c r="AE20" s="1638">
        <f t="shared" si="2"/>
        <v>2026</v>
      </c>
      <c r="AF20" s="1638">
        <f t="shared" si="2"/>
        <v>2027</v>
      </c>
      <c r="AG20" s="1638">
        <f t="shared" si="2"/>
        <v>2028</v>
      </c>
      <c r="AH20" s="1638">
        <f t="shared" si="2"/>
        <v>2029</v>
      </c>
      <c r="AI20" s="1638">
        <f t="shared" si="2"/>
        <v>2030</v>
      </c>
      <c r="AL20" s="1435"/>
    </row>
    <row r="21" spans="2:38" ht="13.5" thickBot="1">
      <c r="B21" s="1124"/>
      <c r="C21" s="485"/>
      <c r="D21" s="561" t="s">
        <v>6</v>
      </c>
      <c r="E21" s="3296" t="str">
        <f>I13</f>
        <v/>
      </c>
      <c r="F21" s="3309"/>
      <c r="G21" s="1639" t="str">
        <f>IF(INDEX(CNTR_SubInstListIsProdBM,$C13),INDEX(CNTR_SubInstListHALUnit,$C13),EUconst_Tons)</f>
        <v>tonnes</v>
      </c>
      <c r="H21" s="35" t="str">
        <f>c_ALR2025!$M$2727</f>
        <v/>
      </c>
      <c r="I21" s="1849"/>
      <c r="J21" s="1640"/>
      <c r="K21" s="1640"/>
      <c r="L21" s="1640"/>
      <c r="M21" s="1640"/>
      <c r="N21" s="1640"/>
      <c r="O21" s="485"/>
      <c r="P21" s="9"/>
      <c r="S21" s="1435" t="s">
        <v>1674</v>
      </c>
      <c r="T21" s="1850" t="b">
        <f t="shared" ref="T21:Z21" si="3">AND($I13&lt;&gt;"",H20&lt;CNTR_ReportingYear,H20&gt;=$V13-1)</f>
        <v>0</v>
      </c>
      <c r="U21" s="1851" t="b">
        <f t="shared" si="3"/>
        <v>0</v>
      </c>
      <c r="V21" s="1851" t="b">
        <f t="shared" si="3"/>
        <v>0</v>
      </c>
      <c r="W21" s="1851" t="b">
        <f t="shared" si="3"/>
        <v>0</v>
      </c>
      <c r="X21" s="1851" t="b">
        <f t="shared" si="3"/>
        <v>0</v>
      </c>
      <c r="Y21" s="1851" t="b">
        <f t="shared" si="3"/>
        <v>0</v>
      </c>
      <c r="Z21" s="1852" t="b">
        <f t="shared" si="3"/>
        <v>0</v>
      </c>
      <c r="AA21" s="1435"/>
      <c r="AB21" s="1641" t="s">
        <v>717</v>
      </c>
      <c r="AC21" s="1853" t="b">
        <f t="shared" ref="AC21:AI21" si="4">IF(CNTR_ExistSubInstEntries,OR($I13="",$R25,H20&gt;=CNTR_ReportingYear,AC20&lt;$V13-1),FALSE)</f>
        <v>0</v>
      </c>
      <c r="AD21" s="1642" t="b">
        <f t="shared" si="4"/>
        <v>0</v>
      </c>
      <c r="AE21" s="1642" t="b">
        <f t="shared" si="4"/>
        <v>0</v>
      </c>
      <c r="AF21" s="1642" t="b">
        <f t="shared" si="4"/>
        <v>0</v>
      </c>
      <c r="AG21" s="1642" t="b">
        <f t="shared" si="4"/>
        <v>0</v>
      </c>
      <c r="AH21" s="1642" t="b">
        <f t="shared" si="4"/>
        <v>0</v>
      </c>
      <c r="AI21" s="1643" t="b">
        <f t="shared" si="4"/>
        <v>0</v>
      </c>
      <c r="AJ21" s="1633" t="s">
        <v>1954</v>
      </c>
      <c r="AK21" s="1635" t="str">
        <f>IF(AND(CNTR_ExistSubInstEntries,COUNTIFS(AC21:AI21,FALSE,H21:N21,"")&gt;0),EUconst_Error&amp;"BM"&amp;$Q13,"")</f>
        <v/>
      </c>
    </row>
    <row r="22" spans="2:38" ht="13.15" customHeight="1" thickBot="1">
      <c r="B22" s="1124"/>
      <c r="C22" s="485"/>
      <c r="D22" s="561" t="s">
        <v>7</v>
      </c>
      <c r="E22" s="3296" t="s">
        <v>123</v>
      </c>
      <c r="F22" s="3309"/>
      <c r="G22" s="692" t="str">
        <f>G21</f>
        <v>tonnes</v>
      </c>
      <c r="H22" s="899" t="str">
        <f>IF(OR($I13="",H20&gt;=CNTR_ReportingYear),"",IF($R25,SUMIF(H_SpecialBM!$Q$9:$Q$414,$Q22,H_SpecialBM!H$9:H$414),""))</f>
        <v/>
      </c>
      <c r="I22" s="899" t="str">
        <f>IF(OR($I13="",I20&gt;=CNTR_ReportingYear),"",IF($R25,SUMIF(H_SpecialBM!$Q$9:$Q$414,$Q22,H_SpecialBM!I$9:I$414),""))</f>
        <v/>
      </c>
      <c r="J22" s="1640" t="str">
        <f>IF(OR($I13="",J20&gt;=CNTR_ReportingYear),"",IF($R25,SUMIF(H_SpecialBM!$Q$9:$Q$414,$Q22,H_SpecialBM!J$9:J$414),""))</f>
        <v/>
      </c>
      <c r="K22" s="1640" t="str">
        <f>IF(OR($I13="",K20&gt;=CNTR_ReportingYear),"",IF($R25,SUMIF(H_SpecialBM!$Q$9:$Q$414,$Q22,H_SpecialBM!K$9:K$414),""))</f>
        <v/>
      </c>
      <c r="L22" s="1640" t="str">
        <f>IF(OR($I13="",L20&gt;=CNTR_ReportingYear),"",IF($R25,SUMIF(H_SpecialBM!$Q$9:$Q$414,$Q22,H_SpecialBM!L$9:L$414),""))</f>
        <v/>
      </c>
      <c r="M22" s="1640" t="str">
        <f>IF(OR($I13="",M20&gt;=CNTR_ReportingYear),"",IF($R25,SUMIF(H_SpecialBM!$Q$9:$Q$414,$Q22,H_SpecialBM!M$9:M$414),""))</f>
        <v/>
      </c>
      <c r="N22" s="1640" t="str">
        <f>IF(OR($I13="",N20&gt;=CNTR_ReportingYear),"",IF($R25,SUMIF(H_SpecialBM!$Q$9:$Q$414,$Q22,H_SpecialBM!N$9:N$414),""))</f>
        <v/>
      </c>
      <c r="O22" s="485"/>
      <c r="P22" s="485"/>
      <c r="Q22" s="1644" t="str">
        <f>EUconst_CNTR_HALspecial&amp;I13</f>
        <v>HALspecial_</v>
      </c>
      <c r="AB22" s="1641" t="s">
        <v>717</v>
      </c>
      <c r="AC22" s="1853" t="b">
        <f t="shared" ref="AC22:AI22" si="5">AND(CNTR_HasEntries_A_I,OR($R25=FALSE,H20&gt;=CNTR_ReportingYear))</f>
        <v>0</v>
      </c>
      <c r="AD22" s="1642" t="b">
        <f t="shared" si="5"/>
        <v>0</v>
      </c>
      <c r="AE22" s="1642" t="b">
        <f t="shared" si="5"/>
        <v>0</v>
      </c>
      <c r="AF22" s="1642" t="b">
        <f t="shared" si="5"/>
        <v>0</v>
      </c>
      <c r="AG22" s="1642" t="b">
        <f t="shared" si="5"/>
        <v>0</v>
      </c>
      <c r="AH22" s="1642" t="b">
        <f t="shared" si="5"/>
        <v>0</v>
      </c>
      <c r="AI22" s="1643" t="b">
        <f t="shared" si="5"/>
        <v>0</v>
      </c>
      <c r="AJ22" s="1624"/>
      <c r="AK22" s="1624"/>
      <c r="AL22" s="1435"/>
    </row>
    <row r="23" spans="2:38" ht="13.15" customHeight="1">
      <c r="B23" s="1124"/>
      <c r="C23" s="485"/>
      <c r="D23" s="561" t="s">
        <v>8</v>
      </c>
      <c r="E23" s="3296" t="s">
        <v>124</v>
      </c>
      <c r="F23" s="3309"/>
      <c r="G23" s="692" t="str">
        <f>G22</f>
        <v>tonnes</v>
      </c>
      <c r="H23" s="1645" t="str">
        <f t="shared" ref="H23:N23" si="6">IF(OR($I13="",H20&gt;=CNTR_ReportingYear),"",IF($R25=TRUE,IF(ISNUMBER(H22),H22,0),IF(AND(H20&gt;=$V13-1,ISNUMBER(H21)),H21,0)))</f>
        <v/>
      </c>
      <c r="I23" s="899" t="str">
        <f t="shared" si="6"/>
        <v/>
      </c>
      <c r="J23" s="1640" t="str">
        <f t="shared" si="6"/>
        <v/>
      </c>
      <c r="K23" s="1640" t="str">
        <f t="shared" si="6"/>
        <v/>
      </c>
      <c r="L23" s="1640" t="str">
        <f t="shared" si="6"/>
        <v/>
      </c>
      <c r="M23" s="1640" t="str">
        <f t="shared" si="6"/>
        <v/>
      </c>
      <c r="N23" s="1640" t="str">
        <f t="shared" si="6"/>
        <v/>
      </c>
      <c r="O23" s="485"/>
      <c r="P23" s="1136"/>
      <c r="Q23" s="1644" t="str">
        <f>EUconst_CNTR_HAL&amp;I13</f>
        <v>HAL_</v>
      </c>
      <c r="AJ23" s="1633" t="s">
        <v>1951</v>
      </c>
      <c r="AK23" s="1443" t="str">
        <f>IF(COUNTIFS(H20:N20,"&lt;"&amp;YEAR(SUM(T13)),H23:N23,"&gt;"&amp;0)&gt;0,EUconst_Error&amp;"BM"&amp;Q13,"")</f>
        <v/>
      </c>
      <c r="AL23" s="1435"/>
    </row>
    <row r="24" spans="2:38" ht="5.0999999999999996" customHeight="1">
      <c r="B24" s="479"/>
      <c r="C24" s="479"/>
      <c r="D24" s="479"/>
      <c r="E24" s="479"/>
      <c r="F24" s="479"/>
      <c r="G24" s="479"/>
      <c r="H24" s="479"/>
      <c r="I24" s="479"/>
      <c r="J24" s="479"/>
      <c r="K24" s="479"/>
      <c r="L24" s="479"/>
      <c r="M24" s="485"/>
      <c r="N24" s="485"/>
      <c r="O24" s="485"/>
      <c r="P24" s="485"/>
      <c r="Q24" s="1435"/>
      <c r="S24" s="1435"/>
      <c r="T24" s="1435"/>
    </row>
    <row r="25" spans="2:38">
      <c r="B25" s="479"/>
      <c r="C25" s="479"/>
      <c r="D25" s="561" t="s">
        <v>18</v>
      </c>
      <c r="E25" s="2373" t="s">
        <v>922</v>
      </c>
      <c r="F25" s="2373"/>
      <c r="G25" s="2604"/>
      <c r="H25" s="2652" t="str">
        <f>IF(I13="","",HYPERLINK(INDEX(EUconst_BMlistSpecialJumpTable,MATCH(I13,EUconst_BMlistNames,0)),INDEX(EUconst_BMlistSpecialReporting,MATCH(I13,EUconst_BMlistNames,0))))</f>
        <v/>
      </c>
      <c r="I25" s="2689"/>
      <c r="J25" s="2689"/>
      <c r="K25" s="2689"/>
      <c r="L25" s="2689"/>
      <c r="M25" s="2689"/>
      <c r="N25" s="2690"/>
      <c r="O25" s="485"/>
      <c r="P25" s="485"/>
      <c r="Q25" s="1633" t="s">
        <v>122</v>
      </c>
      <c r="R25" s="1443" t="str">
        <f>IF(I13="","",IF(AND(INDEX(EUconst_BMlistSpecialJumpTable,MATCH(I13,EUconst_BMlistNames,0))&lt;&gt;"",MATCH(I13,EUconst_BMlistNames,0)&lt;&gt;47),TRUE,FALSE))</f>
        <v/>
      </c>
      <c r="S25" s="1435"/>
      <c r="T25" s="1435"/>
    </row>
    <row r="26" spans="2:38" ht="13.15" customHeight="1">
      <c r="B26" s="479"/>
      <c r="C26" s="479"/>
      <c r="D26" s="485"/>
      <c r="E26" s="2385" t="s">
        <v>923</v>
      </c>
      <c r="F26" s="2846"/>
      <c r="G26" s="2846"/>
      <c r="H26" s="2846"/>
      <c r="I26" s="2846"/>
      <c r="J26" s="2846"/>
      <c r="K26" s="2846"/>
      <c r="L26" s="2846"/>
      <c r="M26" s="2846"/>
      <c r="N26" s="2846"/>
      <c r="O26" s="485"/>
      <c r="P26" s="485"/>
      <c r="Q26" s="1435"/>
      <c r="S26" s="1435"/>
      <c r="T26" s="1435"/>
    </row>
    <row r="27" spans="2:38" ht="5.0999999999999996" customHeight="1">
      <c r="B27" s="479"/>
      <c r="C27" s="479"/>
      <c r="D27" s="485"/>
      <c r="E27" s="485"/>
      <c r="F27" s="485"/>
      <c r="G27" s="485"/>
      <c r="H27" s="485"/>
      <c r="I27" s="485"/>
      <c r="J27" s="485"/>
      <c r="K27" s="485"/>
      <c r="L27" s="485"/>
      <c r="M27" s="485"/>
      <c r="N27" s="485"/>
      <c r="O27" s="485"/>
      <c r="P27" s="485"/>
      <c r="Q27" s="1435"/>
      <c r="S27" s="1435"/>
      <c r="T27" s="1435"/>
      <c r="Z27" s="1435"/>
      <c r="AL27" s="1435"/>
    </row>
    <row r="28" spans="2:38" ht="12.75" customHeight="1">
      <c r="B28" s="479"/>
      <c r="C28" s="479"/>
      <c r="D28" s="482" t="s">
        <v>876</v>
      </c>
      <c r="E28" s="2373" t="s">
        <v>1709</v>
      </c>
      <c r="F28" s="2400"/>
      <c r="G28" s="2400"/>
      <c r="H28" s="2400"/>
      <c r="I28" s="2400"/>
      <c r="J28" s="2400"/>
      <c r="K28" s="2400"/>
      <c r="L28" s="2400"/>
      <c r="M28" s="2400"/>
      <c r="N28" s="2400"/>
      <c r="O28" s="485"/>
      <c r="P28" s="485"/>
      <c r="Q28" s="1435"/>
      <c r="S28" s="1435"/>
      <c r="T28" s="1435"/>
      <c r="Z28" s="1435"/>
      <c r="AL28" s="1435"/>
    </row>
    <row r="29" spans="2:38" ht="12.75" customHeight="1">
      <c r="B29" s="479"/>
      <c r="C29" s="479"/>
      <c r="D29" s="485"/>
      <c r="E29" s="2385" t="s">
        <v>1958</v>
      </c>
      <c r="F29" s="2846"/>
      <c r="G29" s="2846"/>
      <c r="H29" s="2846"/>
      <c r="I29" s="2846"/>
      <c r="J29" s="2846"/>
      <c r="K29" s="2846"/>
      <c r="L29" s="2846"/>
      <c r="M29" s="2846"/>
      <c r="N29" s="2846"/>
      <c r="O29" s="485"/>
      <c r="P29" s="485"/>
      <c r="Q29" s="1435"/>
      <c r="S29" s="1435"/>
      <c r="T29" s="1435"/>
      <c r="U29" s="1435"/>
    </row>
    <row r="30" spans="2:38" ht="25.5" customHeight="1">
      <c r="B30" s="479"/>
      <c r="C30" s="479"/>
      <c r="D30" s="485"/>
      <c r="E30" s="2385" t="s">
        <v>2560</v>
      </c>
      <c r="F30" s="2846"/>
      <c r="G30" s="2846"/>
      <c r="H30" s="2846"/>
      <c r="I30" s="2846"/>
      <c r="J30" s="2846"/>
      <c r="K30" s="2846"/>
      <c r="L30" s="2846"/>
      <c r="M30" s="2846"/>
      <c r="N30" s="2846"/>
      <c r="O30" s="485"/>
      <c r="P30" s="485"/>
      <c r="Q30" s="1435"/>
      <c r="S30" s="1435"/>
      <c r="T30" s="1435"/>
      <c r="U30" s="1435"/>
    </row>
    <row r="31" spans="2:38" ht="12.75" customHeight="1">
      <c r="B31" s="479"/>
      <c r="C31" s="479"/>
      <c r="D31" s="485"/>
      <c r="E31" s="901" t="s">
        <v>1021</v>
      </c>
      <c r="F31" s="3050" t="s">
        <v>2561</v>
      </c>
      <c r="G31" s="2584"/>
      <c r="H31" s="2584"/>
      <c r="I31" s="2584"/>
      <c r="J31" s="2584"/>
      <c r="K31" s="2584"/>
      <c r="L31" s="2584"/>
      <c r="M31" s="2584"/>
      <c r="N31" s="2584"/>
      <c r="O31" s="485"/>
      <c r="P31" s="485"/>
      <c r="Q31" s="1435"/>
      <c r="S31" s="1435"/>
      <c r="T31" s="1435"/>
      <c r="U31" s="1435"/>
    </row>
    <row r="32" spans="2:38" ht="12.75" customHeight="1" thickBot="1">
      <c r="B32" s="479"/>
      <c r="C32" s="479"/>
      <c r="D32" s="485"/>
      <c r="E32" s="901" t="s">
        <v>1021</v>
      </c>
      <c r="F32" s="3050" t="s">
        <v>1985</v>
      </c>
      <c r="G32" s="2584"/>
      <c r="H32" s="2584"/>
      <c r="I32" s="2584"/>
      <c r="J32" s="2584"/>
      <c r="K32" s="2584"/>
      <c r="L32" s="2584"/>
      <c r="M32" s="2584"/>
      <c r="N32" s="2584"/>
      <c r="O32" s="485"/>
      <c r="Q32" s="1435"/>
      <c r="S32" s="1435"/>
      <c r="T32" s="1435"/>
      <c r="U32" s="1435"/>
    </row>
    <row r="33" spans="1:42" ht="5.0999999999999996" customHeight="1" thickBot="1">
      <c r="B33" s="479"/>
      <c r="C33" s="479"/>
      <c r="D33" s="902"/>
      <c r="E33" s="903"/>
      <c r="F33" s="904"/>
      <c r="G33" s="905"/>
      <c r="H33" s="905"/>
      <c r="I33" s="905"/>
      <c r="J33" s="906"/>
      <c r="K33" s="1646"/>
      <c r="L33" s="1646"/>
      <c r="M33" s="1646"/>
      <c r="N33" s="1646"/>
      <c r="O33" s="485"/>
      <c r="P33" s="485"/>
      <c r="Q33" s="1435"/>
      <c r="S33" s="1435"/>
      <c r="T33" s="1435"/>
      <c r="U33" s="1435"/>
    </row>
    <row r="34" spans="1:42" ht="12.75" customHeight="1">
      <c r="B34" s="479"/>
      <c r="C34" s="479"/>
      <c r="D34" s="907"/>
      <c r="E34" s="908" t="s">
        <v>1690</v>
      </c>
      <c r="F34" s="909"/>
      <c r="G34" s="909"/>
      <c r="H34" s="910" t="str">
        <f>EUconst_Unit</f>
        <v>Unit</v>
      </c>
      <c r="I34" s="911" t="s">
        <v>2213</v>
      </c>
      <c r="J34" s="1647">
        <f>J$3242</f>
        <v>2026</v>
      </c>
      <c r="K34" s="1476">
        <f>K$3242</f>
        <v>2027</v>
      </c>
      <c r="L34" s="1476">
        <f>L$3242</f>
        <v>2028</v>
      </c>
      <c r="M34" s="1476">
        <f>M$3242</f>
        <v>2029</v>
      </c>
      <c r="N34" s="1476">
        <f>N$3242</f>
        <v>2030</v>
      </c>
      <c r="O34" s="485"/>
      <c r="P34" s="485"/>
      <c r="Q34" s="1435"/>
      <c r="U34" s="1648"/>
      <c r="V34" s="1649">
        <f>J34</f>
        <v>2026</v>
      </c>
      <c r="W34" s="1649">
        <f>K34</f>
        <v>2027</v>
      </c>
      <c r="X34" s="1649">
        <f>L34</f>
        <v>2028</v>
      </c>
      <c r="Y34" s="1649">
        <f>M34</f>
        <v>2029</v>
      </c>
      <c r="Z34" s="1650">
        <f>N34</f>
        <v>2030</v>
      </c>
    </row>
    <row r="35" spans="1:42" ht="12.75" customHeight="1">
      <c r="B35" s="479"/>
      <c r="C35" s="479"/>
      <c r="D35" s="915" t="s">
        <v>6</v>
      </c>
      <c r="E35" s="916" t="s">
        <v>2732</v>
      </c>
      <c r="F35" s="916"/>
      <c r="G35" s="916"/>
      <c r="H35" s="639" t="str">
        <f>IF(INDEX(CNTR_SubInstListIsProdBM,$C13),INDEX(CNTR_SubInstListHALUnit,$C13),EUconst_Tons)</f>
        <v>tonnes</v>
      </c>
      <c r="I35" s="917" t="str">
        <f>IF(V13&gt;($J$3242-3),EUconst_NA,INDEX('B+C_SubInstallations'!$I:$I,MATCH(Q35,'B+C_SubInstallations'!$T:$T,0)))</f>
        <v/>
      </c>
      <c r="J35" s="1651" t="str">
        <f>IF(AND(V35&gt;=3,CNTR_ReportingYear&gt;J34-1),AVERAGE(H23:I23),"")</f>
        <v/>
      </c>
      <c r="K35" s="1652" t="str">
        <f>IF(AND(W35&gt;=3,CNTR_ReportingYear&gt;K34-1),AVERAGE(I23:J23),"")</f>
        <v/>
      </c>
      <c r="L35" s="1652" t="str">
        <f>IF(AND(X35&gt;=3,CNTR_ReportingYear&gt;L34-1),AVERAGE(J23:K23),"")</f>
        <v/>
      </c>
      <c r="M35" s="1652" t="str">
        <f>IF(AND(Y35&gt;=3,CNTR_ReportingYear&gt;M34-1),AVERAGE(K23:L23),"")</f>
        <v/>
      </c>
      <c r="N35" s="1652" t="str">
        <f>IF(AND(Z35&gt;=3,CNTR_ReportingYear&gt;N34-1),AVERAGE(L23:M23),"")</f>
        <v/>
      </c>
      <c r="O35" s="485"/>
      <c r="P35" s="485"/>
      <c r="Q35" s="1641" t="str">
        <f>EUconst_CNTR_HALinitial&amp;I13</f>
        <v>HALini_</v>
      </c>
      <c r="U35" s="1653" t="s">
        <v>1650</v>
      </c>
      <c r="V35" s="1635">
        <f>IF($I13="",0,V34-$V13+1)</f>
        <v>0</v>
      </c>
      <c r="W35" s="1635">
        <f>IF($I13="",0,W34-$V13+1)</f>
        <v>0</v>
      </c>
      <c r="X35" s="1635">
        <f>IF($I13="",0,X34-$V13+1)</f>
        <v>0</v>
      </c>
      <c r="Y35" s="1635">
        <f>IF($I13="",0,Y34-$V13+1)</f>
        <v>0</v>
      </c>
      <c r="Z35" s="1654">
        <f>IF($I13="",0,Z34-$V13+1)</f>
        <v>0</v>
      </c>
    </row>
    <row r="36" spans="1:42" ht="12.75" hidden="1" customHeight="1">
      <c r="A36" s="618" t="s">
        <v>2289</v>
      </c>
      <c r="B36" s="479"/>
      <c r="C36" s="479"/>
      <c r="D36" s="918"/>
      <c r="E36" s="919" t="s">
        <v>1648</v>
      </c>
      <c r="F36" s="919"/>
      <c r="G36" s="919"/>
      <c r="H36" s="920"/>
      <c r="I36" s="1655"/>
      <c r="J36" s="16" t="str">
        <f>IF(J35="","",IF($I38=0,IF(J35=0,0%,100%),J35/$I38-1))</f>
        <v/>
      </c>
      <c r="K36" s="15" t="str">
        <f>IF(K35="","",IF($I38=0,IF(K35=0,0%,100%),K35/$I38-1))</f>
        <v/>
      </c>
      <c r="L36" s="15" t="str">
        <f>IF(L35="","",IF($I38=0,IF(L35=0,0%,100%),L35/$I38-1))</f>
        <v/>
      </c>
      <c r="M36" s="15" t="str">
        <f>IF(M35="","",IF($I38=0,IF(M35=0,0%,100%),M35/$I38-1))</f>
        <v/>
      </c>
      <c r="N36" s="15" t="str">
        <f>IF(N35="","",IF($I38=0,IF(N35=0,0%,100%),N35/$I38-1))</f>
        <v/>
      </c>
      <c r="O36" s="485"/>
      <c r="P36" s="485"/>
      <c r="Q36" s="1644" t="str">
        <f>EUconst_CNTR_RelThreshold &amp; Q38</f>
        <v>RelThresh_HALprelim_</v>
      </c>
      <c r="U36" s="1653" t="s">
        <v>1655</v>
      </c>
      <c r="V36" s="1158" t="str">
        <f>IF(J35="","",ABS(J36)&gt;15%)</f>
        <v/>
      </c>
      <c r="W36" s="1158" t="str">
        <f>IF(K35="","",ABS(K36)&gt;15%)</f>
        <v/>
      </c>
      <c r="X36" s="1158" t="str">
        <f>IF(L35="","",ABS(L36)&gt;15%)</f>
        <v/>
      </c>
      <c r="Y36" s="1158" t="str">
        <f>IF(M35="","",ABS(M36)&gt;15%)</f>
        <v/>
      </c>
      <c r="Z36" s="1656" t="str">
        <f>IF(N35="","",ABS(N36)&gt;15%)</f>
        <v/>
      </c>
      <c r="AL36" s="1435"/>
    </row>
    <row r="37" spans="1:42" ht="12.75" customHeight="1">
      <c r="A37" s="618"/>
      <c r="B37" s="479"/>
      <c r="C37" s="479"/>
      <c r="D37" s="915" t="s">
        <v>7</v>
      </c>
      <c r="E37" s="916" t="s">
        <v>1654</v>
      </c>
      <c r="F37" s="916"/>
      <c r="G37" s="916"/>
      <c r="H37" s="921"/>
      <c r="I37" s="1657"/>
      <c r="J37" s="1658" t="str">
        <f>IF(J35="","",IF(V36=FALSE,0%,IF(V37,J36,I43)))</f>
        <v/>
      </c>
      <c r="K37" s="1659" t="str">
        <f>IF(K35="","",IF(W36=FALSE,0%,IF(W37,K36,J43)))</f>
        <v/>
      </c>
      <c r="L37" s="1659" t="str">
        <f>IF(L35="","",IF(X36=FALSE,0%,IF(X37,L36,K43)))</f>
        <v/>
      </c>
      <c r="M37" s="1659" t="str">
        <f>IF(M35="","",IF(Y36=FALSE,0%,IF(Y37,M36,L43)))</f>
        <v/>
      </c>
      <c r="N37" s="1659" t="str">
        <f>IF(N35="","",IF(Z36=FALSE,0%,IF(Z37,N36,M43)))</f>
        <v/>
      </c>
      <c r="O37" s="485"/>
      <c r="P37" s="485"/>
      <c r="U37" s="1653" t="s">
        <v>1656</v>
      </c>
      <c r="V37" s="1158" t="str">
        <f>IF(J35="","",AND(V36,IF(SUM(I43)&lt;0,OR(SUM(J36)&lt;SUM(I43)-MOD(SUM(I43),5%),J36&gt;=SUM(I43)+5%-MOD(SUM(I43),5%)),OR(SUM(J36)&lt;=SUM(I43)-MOD(SUM(I43),5%),SUM(J36)&gt;SUM(I43)+5%-MOD(SUM(I43),5%)))))</f>
        <v/>
      </c>
      <c r="W37" s="1158" t="str">
        <f>IF(K35="","",AND(W36,IF(SUM(J43)&lt;0,OR(SUM(K36)&lt;SUM(J43)-MOD(SUM(J43),5%),K36&gt;=SUM(J43)+5%-MOD(SUM(J43),5%)),OR(SUM(K36)&lt;=SUM(J43)-MOD(SUM(J43),5%),SUM(K36)&gt;SUM(J43)+5%-MOD(SUM(J43),5%)))))</f>
        <v/>
      </c>
      <c r="X37" s="1158" t="str">
        <f>IF(L35="","",AND(X36,IF(SUM(K43)&lt;0,OR(SUM(L36)&lt;SUM(K43)-MOD(SUM(K43),5%),L36&gt;=SUM(K43)+5%-MOD(SUM(K43),5%)),OR(SUM(L36)&lt;=SUM(K43)-MOD(SUM(K43),5%),SUM(L36)&gt;SUM(K43)+5%-MOD(SUM(K43),5%)))))</f>
        <v/>
      </c>
      <c r="Y37" s="1158" t="str">
        <f>IF(M35="","",AND(Y36,IF(SUM(L43)&lt;0,OR(SUM(M36)&lt;SUM(L43)-MOD(SUM(L43),5%),M36&gt;=SUM(L43)+5%-MOD(SUM(L43),5%)),OR(SUM(M36)&lt;=SUM(L43)-MOD(SUM(L43),5%),SUM(M36)&gt;SUM(L43)+5%-MOD(SUM(L43),5%)))))</f>
        <v/>
      </c>
      <c r="Z37" s="1656" t="str">
        <f>IF(N35="","",AND(Z36,IF(SUM(M43)&lt;0,OR(SUM(N36)&lt;SUM(M43)-MOD(SUM(M43),5%),N36&gt;=SUM(M43)+5%-MOD(SUM(M43),5%)),OR(SUM(N36)&lt;=SUM(M43)-MOD(SUM(M43),5%),SUM(N36)&gt;SUM(M43)+5%-MOD(SUM(M43),5%)))))</f>
        <v/>
      </c>
      <c r="AL37" s="1435"/>
    </row>
    <row r="38" spans="1:42" ht="12.75" hidden="1" customHeight="1">
      <c r="A38" s="618" t="s">
        <v>2289</v>
      </c>
      <c r="B38" s="479"/>
      <c r="C38" s="479"/>
      <c r="D38" s="918"/>
      <c r="E38" s="916" t="s">
        <v>1689</v>
      </c>
      <c r="F38" s="916"/>
      <c r="G38" s="916"/>
      <c r="H38" s="639" t="str">
        <f>H35</f>
        <v>tonnes</v>
      </c>
      <c r="I38" s="917" t="str">
        <f>IF(I13="","",IF(AB13=FALSE,EUconst_NA,IF(V13&gt;($J$3242-3),INDEX(H23:N23,MATCH(V13,H20:N20,0)),SUM(I35))))</f>
        <v/>
      </c>
      <c r="J38" s="1651" t="str">
        <f>IF($I13="","",IF(V35&lt;2,SUM(J23),IF(V35&lt;3,SUM(I23),IF(V38="",I38,V38))))</f>
        <v/>
      </c>
      <c r="K38" s="1652" t="str">
        <f>IF($I13="","",IF(W35&lt;2,SUM(K23),IF(W35&lt;3,SUM(J23),IF(W38="",J38,W38))))</f>
        <v/>
      </c>
      <c r="L38" s="1652" t="str">
        <f>IF($I13="","",IF(X35&lt;2,SUM(L23),IF(X35&lt;3,SUM(K23),IF(X38="",K38,X38))))</f>
        <v/>
      </c>
      <c r="M38" s="1652" t="str">
        <f>IF($I13="","",IF(Y35&lt;2,SUM(M23),IF(Y35&lt;3,SUM(L23),IF(Y38="",L38,Y38))))</f>
        <v/>
      </c>
      <c r="N38" s="1652" t="str">
        <f>IF($I13="","",IF(Z35&lt;2,SUM(N23),IF(Z35&lt;3,SUM(M23),IF(Z38="",M38,Z38))))</f>
        <v/>
      </c>
      <c r="O38" s="485"/>
      <c r="P38" s="485"/>
      <c r="Q38" s="1641" t="str">
        <f>EUconst_CNTR_HALprelim&amp;I13</f>
        <v>HALprelim_</v>
      </c>
      <c r="U38" s="1653" t="s">
        <v>1697</v>
      </c>
      <c r="V38" s="1660" t="str">
        <f>IF(J35="","",IF(CNTR_ReportingYear&lt;J34,I37,IF($I38=0,J35,$I38*(1+J37))))</f>
        <v/>
      </c>
      <c r="W38" s="1660" t="str">
        <f>IF(K35="","",IF(CNTR_ReportingYear&lt;K34,J37,IF($I38=0,K35,$I38*(1+K37))))</f>
        <v/>
      </c>
      <c r="X38" s="1660" t="str">
        <f>IF(L35="","",IF(CNTR_ReportingYear&lt;L34,K37,IF($I38=0,L35,$I38*(1+L37))))</f>
        <v/>
      </c>
      <c r="Y38" s="1660" t="str">
        <f>IF(M35="","",IF(CNTR_ReportingYear&lt;M34,L37,IF($I38=0,M35,$I38*(1+M37))))</f>
        <v/>
      </c>
      <c r="Z38" s="1661" t="str">
        <f>IF(N35="","",IF(CNTR_ReportingYear&lt;N34,M37,IF($I38=0,N35,$I38*(1+N37))))</f>
        <v/>
      </c>
      <c r="AL38" s="1435"/>
    </row>
    <row r="39" spans="1:42" ht="5.0999999999999996" customHeight="1">
      <c r="A39" s="618"/>
      <c r="B39" s="479"/>
      <c r="C39" s="479"/>
      <c r="D39" s="918"/>
      <c r="E39" s="909"/>
      <c r="F39" s="909"/>
      <c r="G39" s="909"/>
      <c r="H39" s="909"/>
      <c r="I39" s="909"/>
      <c r="J39" s="922"/>
      <c r="K39" s="1662"/>
      <c r="L39" s="1662"/>
      <c r="M39" s="1662"/>
      <c r="N39" s="1662"/>
      <c r="O39" s="485"/>
      <c r="P39" s="485"/>
      <c r="Q39" s="1435"/>
      <c r="U39" s="1663"/>
      <c r="V39" s="1435"/>
      <c r="Z39" s="1664"/>
      <c r="AL39" s="1435"/>
    </row>
    <row r="40" spans="1:42" ht="12.75" customHeight="1">
      <c r="A40" s="618"/>
      <c r="B40" s="479"/>
      <c r="C40" s="479"/>
      <c r="D40" s="918"/>
      <c r="E40" s="923" t="s">
        <v>1653</v>
      </c>
      <c r="F40" s="923"/>
      <c r="G40" s="923"/>
      <c r="H40" s="923"/>
      <c r="I40" s="923"/>
      <c r="J40" s="1647">
        <f>J$3242</f>
        <v>2026</v>
      </c>
      <c r="K40" s="1476">
        <f>K$3242</f>
        <v>2027</v>
      </c>
      <c r="L40" s="1476">
        <f>L$3242</f>
        <v>2028</v>
      </c>
      <c r="M40" s="1476">
        <f>M$3242</f>
        <v>2029</v>
      </c>
      <c r="N40" s="1476">
        <f>N$3242</f>
        <v>2030</v>
      </c>
      <c r="O40" s="485"/>
      <c r="P40" s="485"/>
      <c r="Q40" s="1435"/>
      <c r="U40" s="1665"/>
      <c r="Z40" s="1664"/>
      <c r="AL40" s="1435"/>
    </row>
    <row r="41" spans="1:42" ht="12.75" customHeight="1">
      <c r="A41" s="618"/>
      <c r="B41" s="479"/>
      <c r="C41" s="479"/>
      <c r="D41" s="915" t="s">
        <v>8</v>
      </c>
      <c r="E41" s="916" t="s">
        <v>2108</v>
      </c>
      <c r="F41" s="916"/>
      <c r="G41" s="916"/>
      <c r="H41" s="916"/>
      <c r="I41" s="916"/>
      <c r="J41" s="1666" t="str">
        <f>IF($I13="","",INDEX(K_Summary!J:J,MATCH($Q41,K_Summary!$P:$P,0)))</f>
        <v/>
      </c>
      <c r="K41" s="1662" t="str">
        <f>IF($I13="","",INDEX(K_Summary!K:K,MATCH($Q41,K_Summary!$P:$P,0)))</f>
        <v/>
      </c>
      <c r="L41" s="1662" t="str">
        <f>IF($I13="","",INDEX(K_Summary!L:L,MATCH($Q41,K_Summary!$P:$P,0)))</f>
        <v/>
      </c>
      <c r="M41" s="1662" t="str">
        <f>IF($I13="","",INDEX(K_Summary!M:M,MATCH($Q41,K_Summary!$P:$P,0)))</f>
        <v/>
      </c>
      <c r="N41" s="1662" t="str">
        <f>IF($I13="","",INDEX(K_Summary!N:N,MATCH($Q41,K_Summary!$P:$P,0)))</f>
        <v/>
      </c>
      <c r="O41" s="485"/>
      <c r="P41" s="485"/>
      <c r="Q41" s="1641" t="str">
        <f>EUconst_CNTR_100EUA_ActivityLevel&amp;I13</f>
        <v>EUA100AL_</v>
      </c>
      <c r="U41" s="1665"/>
      <c r="V41" s="8"/>
      <c r="W41" s="8"/>
      <c r="X41" s="8"/>
      <c r="Y41" s="8"/>
      <c r="Z41" s="1664"/>
      <c r="AL41" s="1435"/>
    </row>
    <row r="42" spans="1:42" ht="5.0999999999999996" customHeight="1" thickBot="1">
      <c r="A42" s="618"/>
      <c r="B42" s="479"/>
      <c r="C42" s="479"/>
      <c r="D42" s="918"/>
      <c r="E42" s="909"/>
      <c r="F42" s="909"/>
      <c r="G42" s="909"/>
      <c r="H42" s="909"/>
      <c r="I42" s="909"/>
      <c r="J42" s="922"/>
      <c r="K42" s="1662"/>
      <c r="L42" s="1662"/>
      <c r="M42" s="1662"/>
      <c r="N42" s="1662"/>
      <c r="O42" s="485"/>
      <c r="P42" s="485"/>
      <c r="Q42" s="1435"/>
      <c r="U42" s="1663"/>
      <c r="V42" s="1435"/>
      <c r="Z42" s="1664"/>
      <c r="AL42" s="1435"/>
    </row>
    <row r="43" spans="1:42" ht="12.75" customHeight="1" thickBot="1">
      <c r="B43" s="479"/>
      <c r="C43" s="479"/>
      <c r="D43" s="915" t="s">
        <v>18</v>
      </c>
      <c r="E43" s="916" t="s">
        <v>1657</v>
      </c>
      <c r="F43" s="916"/>
      <c r="G43" s="916"/>
      <c r="H43" s="921"/>
      <c r="I43" s="1667"/>
      <c r="J43" s="1668" t="str">
        <f>IF(J41="","",IF(J34&gt;$Z13,-100%,IF(OR(J41,V35&lt;1),J37,I43)))</f>
        <v/>
      </c>
      <c r="K43" s="1669" t="str">
        <f>IF(K41="","",IF(K34&gt;$Z13,-100%,IF(OR(K41,W35&lt;1),K37,J43)))</f>
        <v/>
      </c>
      <c r="L43" s="1669" t="str">
        <f>IF(L41="","",IF(L34&gt;$Z13,-100%,IF(OR(L41,X35&lt;1),L37,K43)))</f>
        <v/>
      </c>
      <c r="M43" s="1669" t="str">
        <f>IF(M41="","",IF(M34&gt;$Z13,-100%,IF(OR(M41,Y35&lt;1),M37,L43)))</f>
        <v/>
      </c>
      <c r="N43" s="1669" t="str">
        <f>IF(N41="","",IF(N34&gt;$Z13,-100%,IF(OR(N41,Z35&lt;1),N37,M43)))</f>
        <v/>
      </c>
      <c r="O43" s="485"/>
      <c r="P43" s="1136"/>
      <c r="Q43" s="1644" t="str">
        <f>EUconst_CNTR_HALAdjPct &amp; I13</f>
        <v>HALAdjPct_</v>
      </c>
      <c r="U43" s="1663" t="s">
        <v>1658</v>
      </c>
      <c r="V43" s="1670">
        <f>J40</f>
        <v>2026</v>
      </c>
      <c r="W43" s="1670">
        <f>K40</f>
        <v>2027</v>
      </c>
      <c r="X43" s="1670">
        <f>L40</f>
        <v>2028</v>
      </c>
      <c r="Y43" s="1670">
        <f>M40</f>
        <v>2029</v>
      </c>
      <c r="Z43" s="1671">
        <f>N40</f>
        <v>2030</v>
      </c>
      <c r="AL43" s="1435"/>
    </row>
    <row r="44" spans="1:42" ht="12.75" customHeight="1" thickBot="1">
      <c r="A44" s="618"/>
      <c r="B44" s="479"/>
      <c r="C44" s="479"/>
      <c r="D44" s="915" t="s">
        <v>787</v>
      </c>
      <c r="E44" s="916" t="s">
        <v>1659</v>
      </c>
      <c r="F44" s="916"/>
      <c r="G44" s="916"/>
      <c r="H44" s="639" t="str">
        <f>H35</f>
        <v>tonnes</v>
      </c>
      <c r="I44" s="917" t="str">
        <f>I38</f>
        <v/>
      </c>
      <c r="J44" s="1672" t="str">
        <f>IF($I13="","",IF(OR($I44=0,J43="",$I44=EUconst_NA),IF(OR(J41=TRUE,J40&lt;=$V13),J38,SUM(I44)),$I44*(1+SUM(J43))))</f>
        <v/>
      </c>
      <c r="K44" s="1673" t="str">
        <f>IF($I13="","",IF(OR($I44=0,K43="",$I44=EUconst_NA),IF(OR(K41=TRUE,K40&lt;=$V13),K38,SUM(J44)),$I44*(1+SUM(K43))))</f>
        <v/>
      </c>
      <c r="L44" s="1673" t="str">
        <f>IF($I13="","",IF(OR($I44=0,L43="",$I44=EUconst_NA),IF(OR(L41=TRUE,L40&lt;=$V13),L38,SUM(K44)),$I44*(1+SUM(L43))))</f>
        <v/>
      </c>
      <c r="M44" s="1673" t="str">
        <f>IF($I13="","",IF(OR($I44=0,M43="",$I44=EUconst_NA),IF(OR(M41=TRUE,M40&lt;=$V13),M38,SUM(L44)),$I44*(1+SUM(M43))))</f>
        <v/>
      </c>
      <c r="N44" s="1673" t="str">
        <f>IF($I13="","",IF(OR($I44=0,N43="",$I44=EUconst_NA),IF(OR(N41=TRUE,N40&lt;=$V13),N38,SUM(M44)),$I44*(1+SUM(N43))))</f>
        <v/>
      </c>
      <c r="O44" s="485"/>
      <c r="P44" s="485"/>
      <c r="Q44" s="1641" t="str">
        <f>EUconst_CNTR_HALfinal&amp;I13</f>
        <v>HALfinal_</v>
      </c>
      <c r="U44" s="1674" t="b">
        <v>0</v>
      </c>
      <c r="V44" s="1675" t="str">
        <f>IF(V21,IF(J41=TRUE,V36,U44),"")</f>
        <v/>
      </c>
      <c r="W44" s="1675" t="str">
        <f>IF(W21,IF(K41=TRUE,W36,V44),"")</f>
        <v/>
      </c>
      <c r="X44" s="1675" t="str">
        <f>IF(X21,IF(L41=TRUE,X36,W44),"")</f>
        <v/>
      </c>
      <c r="Y44" s="1675" t="str">
        <f>IF(Y21,IF(M41=TRUE,Y36,X44),"")</f>
        <v/>
      </c>
      <c r="Z44" s="1676" t="str">
        <f>IF(Z21,IF(N41=TRUE,Z36,Y44),"")</f>
        <v/>
      </c>
      <c r="AJ44" s="1633" t="s">
        <v>1951</v>
      </c>
      <c r="AK44" s="1443" t="str">
        <f>IF(OR(ISERROR(J44),ISERROR(K44),ISERROR(L44),ISERROR(M44),ISERROR(N44)),EUconst_Error &amp; "BM" &amp; Q13,"")</f>
        <v/>
      </c>
      <c r="AL44" s="1435"/>
    </row>
    <row r="45" spans="1:42" ht="5.0999999999999996" customHeight="1" thickBot="1">
      <c r="B45" s="479"/>
      <c r="C45" s="479"/>
      <c r="D45" s="924"/>
      <c r="E45" s="925"/>
      <c r="F45" s="925"/>
      <c r="G45" s="925"/>
      <c r="H45" s="925"/>
      <c r="I45" s="925"/>
      <c r="J45" s="926"/>
      <c r="K45" s="1662"/>
      <c r="L45" s="1662"/>
      <c r="M45" s="1662"/>
      <c r="N45" s="1662"/>
      <c r="O45" s="485"/>
      <c r="P45" s="485"/>
      <c r="Q45" s="1435"/>
      <c r="U45" s="1435"/>
      <c r="V45" s="1435"/>
      <c r="AL45" s="1435"/>
    </row>
    <row r="46" spans="1:42" ht="5.0999999999999996" customHeight="1">
      <c r="B46" s="479"/>
      <c r="C46" s="479"/>
      <c r="D46" s="485"/>
      <c r="E46" s="485"/>
      <c r="F46" s="485"/>
      <c r="G46" s="485"/>
      <c r="H46" s="485"/>
      <c r="I46" s="485"/>
      <c r="J46" s="485"/>
      <c r="K46" s="485"/>
      <c r="L46" s="485"/>
      <c r="M46" s="485"/>
      <c r="N46" s="485"/>
      <c r="O46" s="485"/>
      <c r="P46" s="485"/>
      <c r="Q46" s="1435"/>
      <c r="U46" s="1435"/>
      <c r="V46" s="1435"/>
      <c r="AL46" s="1435"/>
    </row>
    <row r="47" spans="1:42" ht="15" customHeight="1">
      <c r="B47" s="1124"/>
      <c r="C47" s="479"/>
      <c r="D47" s="2482" t="s">
        <v>1229</v>
      </c>
      <c r="E47" s="2400"/>
      <c r="F47" s="2400"/>
      <c r="G47" s="2400"/>
      <c r="H47" s="2400"/>
      <c r="I47" s="2400"/>
      <c r="J47" s="2400"/>
      <c r="K47" s="2400"/>
      <c r="L47" s="2400"/>
      <c r="M47" s="2400"/>
      <c r="N47" s="2400"/>
      <c r="O47" s="485"/>
      <c r="P47" s="485"/>
      <c r="U47" s="1435"/>
      <c r="V47" s="1435"/>
    </row>
    <row r="48" spans="1:42" customFormat="1" ht="5.0999999999999996" customHeight="1">
      <c r="AP48" s="1366"/>
    </row>
    <row r="49" spans="1:42" ht="13.15" customHeight="1">
      <c r="B49"/>
      <c r="C49"/>
      <c r="D49" s="482" t="s">
        <v>48</v>
      </c>
      <c r="E49" s="2373" t="s">
        <v>800</v>
      </c>
      <c r="F49" s="2400"/>
      <c r="G49" s="2400"/>
      <c r="H49" s="2400"/>
      <c r="I49" s="2585"/>
      <c r="J49" s="2652" t="str">
        <f>IF(I13="","",IF(T49,EUconst_MsgEnterThisSection,HYPERLINK(R49,EUconst_MsgGoOn)))</f>
        <v/>
      </c>
      <c r="K49" s="2653"/>
      <c r="L49" s="2653"/>
      <c r="M49" s="2653"/>
      <c r="N49" s="2654"/>
      <c r="O49" s="485"/>
      <c r="P49" s="485"/>
      <c r="Q49" s="1198" t="s">
        <v>441</v>
      </c>
      <c r="R49" s="1488" t="str">
        <f>"#"&amp;ADDRESS(ROW(D77),COLUMN(D77))</f>
        <v>#$D$77</v>
      </c>
      <c r="S49" s="1633" t="s">
        <v>1674</v>
      </c>
      <c r="T49" s="1644" t="str">
        <f>IF(I13="","",INDEX(EUconst_BMlistElExchangability,MATCH(I13,EUconst_BMlistNames,0)))</f>
        <v/>
      </c>
      <c r="U49" s="1435"/>
      <c r="V49" s="1435"/>
    </row>
    <row r="50" spans="1:42" ht="13.15" customHeight="1">
      <c r="B50"/>
      <c r="C50"/>
      <c r="D50" s="485"/>
      <c r="E50" s="2385" t="s">
        <v>1241</v>
      </c>
      <c r="F50" s="2846"/>
      <c r="G50" s="2846"/>
      <c r="H50" s="2846"/>
      <c r="I50" s="2846"/>
      <c r="J50" s="2846"/>
      <c r="K50" s="2846"/>
      <c r="L50" s="2846"/>
      <c r="M50" s="2846"/>
      <c r="N50" s="2846"/>
      <c r="O50" s="485"/>
      <c r="P50" s="485"/>
      <c r="U50" s="1435"/>
      <c r="V50" s="1435"/>
    </row>
    <row r="51" spans="1:42" ht="12.75" customHeight="1">
      <c r="B51"/>
      <c r="C51"/>
      <c r="D51" s="485"/>
      <c r="E51" s="2385" t="s">
        <v>1526</v>
      </c>
      <c r="F51" s="2846"/>
      <c r="G51" s="2846"/>
      <c r="H51" s="2846"/>
      <c r="I51" s="2846"/>
      <c r="J51" s="2846"/>
      <c r="K51" s="2846"/>
      <c r="L51" s="2846"/>
      <c r="M51" s="2846"/>
      <c r="N51" s="2846"/>
      <c r="O51" s="485"/>
      <c r="P51" s="485"/>
      <c r="Q51" s="1435"/>
      <c r="U51" s="1435"/>
      <c r="V51" s="1435"/>
      <c r="W51" s="1435"/>
      <c r="X51" s="1435"/>
      <c r="Y51" s="1435"/>
      <c r="Z51" s="1435"/>
    </row>
    <row r="52" spans="1:42" ht="25.5" customHeight="1">
      <c r="B52"/>
      <c r="C52"/>
      <c r="D52" s="485"/>
      <c r="E52" s="2385" t="s">
        <v>1635</v>
      </c>
      <c r="F52" s="2846"/>
      <c r="G52" s="2846"/>
      <c r="H52" s="2846"/>
      <c r="I52" s="2846"/>
      <c r="J52" s="2846"/>
      <c r="K52" s="2846"/>
      <c r="L52" s="2846"/>
      <c r="M52" s="2846"/>
      <c r="N52" s="2846"/>
      <c r="O52" s="485"/>
      <c r="P52" s="485"/>
      <c r="Q52" s="1435"/>
      <c r="U52" s="1435"/>
      <c r="V52" s="1435"/>
      <c r="W52" s="1435"/>
      <c r="X52" s="1435"/>
      <c r="Y52" s="1435"/>
      <c r="Z52" s="1435"/>
    </row>
    <row r="53" spans="1:42" s="562" customFormat="1" ht="13.5" thickBot="1">
      <c r="A53" s="618"/>
      <c r="B53"/>
      <c r="C53"/>
      <c r="D53" s="482"/>
      <c r="E53" s="927" t="s">
        <v>62</v>
      </c>
      <c r="F53" s="518"/>
      <c r="G53" s="663" t="str">
        <f>EUconst_Unit</f>
        <v>Unit</v>
      </c>
      <c r="H53" s="578">
        <f>H$3242</f>
        <v>2024</v>
      </c>
      <c r="I53" s="578">
        <f>I$3242</f>
        <v>2025</v>
      </c>
      <c r="J53" s="1677">
        <f>J$112</f>
        <v>2026</v>
      </c>
      <c r="K53" s="1677">
        <f>K$112</f>
        <v>2027</v>
      </c>
      <c r="L53" s="1677">
        <f>L$112</f>
        <v>2028</v>
      </c>
      <c r="M53" s="1677">
        <f>M$112</f>
        <v>2029</v>
      </c>
      <c r="N53" s="1677">
        <f>N$112</f>
        <v>2030</v>
      </c>
      <c r="O53" s="485"/>
      <c r="P53" s="485"/>
      <c r="Q53" s="1435"/>
      <c r="R53" s="1435"/>
      <c r="S53" s="1198"/>
      <c r="T53" s="1198"/>
      <c r="U53" s="1435"/>
      <c r="V53" s="1435"/>
      <c r="W53" s="1435"/>
      <c r="X53" s="1435"/>
      <c r="Y53" s="1435"/>
      <c r="Z53" s="1435"/>
      <c r="AA53" s="1435"/>
      <c r="AB53" s="1198"/>
      <c r="AC53" s="1638">
        <f t="shared" ref="AC53:AI53" si="7">H$20</f>
        <v>2024</v>
      </c>
      <c r="AD53" s="1638">
        <f t="shared" si="7"/>
        <v>2025</v>
      </c>
      <c r="AE53" s="1638">
        <f t="shared" si="7"/>
        <v>2026</v>
      </c>
      <c r="AF53" s="1638">
        <f t="shared" si="7"/>
        <v>2027</v>
      </c>
      <c r="AG53" s="1638">
        <f t="shared" si="7"/>
        <v>2028</v>
      </c>
      <c r="AH53" s="1638">
        <f t="shared" si="7"/>
        <v>2029</v>
      </c>
      <c r="AI53" s="1638">
        <f t="shared" si="7"/>
        <v>2030</v>
      </c>
      <c r="AJ53" s="1198"/>
      <c r="AK53" s="1198"/>
      <c r="AL53" s="1198"/>
      <c r="AP53" s="1135"/>
    </row>
    <row r="54" spans="1:42" s="562" customFormat="1" ht="13.5" customHeight="1">
      <c r="A54" s="618"/>
      <c r="B54"/>
      <c r="C54"/>
      <c r="D54" s="561" t="s">
        <v>6</v>
      </c>
      <c r="E54" s="863" t="s">
        <v>63</v>
      </c>
      <c r="F54" s="863"/>
      <c r="G54" s="579" t="str">
        <f>EUconst_tCO2pa</f>
        <v>t CO2 / year</v>
      </c>
      <c r="H54" s="1678" t="str">
        <f>c_ALR2025!M2760</f>
        <v/>
      </c>
      <c r="I54" s="1854"/>
      <c r="J54" s="1679"/>
      <c r="K54" s="1679"/>
      <c r="L54" s="1679"/>
      <c r="M54" s="1679"/>
      <c r="N54" s="1679"/>
      <c r="O54" s="485"/>
      <c r="P54" s="9"/>
      <c r="Q54" s="1435"/>
      <c r="R54" s="1435"/>
      <c r="S54" s="1198"/>
      <c r="T54" s="1198"/>
      <c r="U54" s="1435"/>
      <c r="V54" s="1435"/>
      <c r="W54" s="1435"/>
      <c r="X54" s="1435"/>
      <c r="Y54" s="1435"/>
      <c r="Z54" s="1435"/>
      <c r="AA54" s="1435"/>
      <c r="AB54" s="1641" t="s">
        <v>717</v>
      </c>
      <c r="AC54" s="1855" t="b">
        <f t="shared" ref="AC54:AI54" si="8">IF(CNTR_ExistSubInstEntries,IF($I13="",TRUE,OR(H53&gt;=CNTR_ReportingYear,AC53&lt;$V13-1,INDEX(EUconst_BMlistElExchangability,MATCH($I13,EUconst_BMlistNames,0))=FALSE)),FALSE)</f>
        <v>0</v>
      </c>
      <c r="AD54" s="1680" t="b">
        <f t="shared" si="8"/>
        <v>0</v>
      </c>
      <c r="AE54" s="1680" t="b">
        <f t="shared" si="8"/>
        <v>0</v>
      </c>
      <c r="AF54" s="1680" t="b">
        <f t="shared" si="8"/>
        <v>0</v>
      </c>
      <c r="AG54" s="1680" t="b">
        <f t="shared" si="8"/>
        <v>0</v>
      </c>
      <c r="AH54" s="1680" t="b">
        <f t="shared" si="8"/>
        <v>0</v>
      </c>
      <c r="AI54" s="1681" t="b">
        <f t="shared" si="8"/>
        <v>0</v>
      </c>
      <c r="AJ54" s="1633" t="s">
        <v>1954</v>
      </c>
      <c r="AK54" s="1635" t="str">
        <f>IF(AND(CNTR_ExistSubInstEntries,COUNTIFS(AC54:AI54,FALSE,H54:N54,"")&gt;0),EUconst_Error&amp;"BM"&amp;$Q13,"")</f>
        <v/>
      </c>
      <c r="AL54" s="1198"/>
      <c r="AP54" s="1135"/>
    </row>
    <row r="55" spans="1:42" s="562" customFormat="1" ht="12.75" customHeight="1">
      <c r="A55" s="618"/>
      <c r="B55"/>
      <c r="C55"/>
      <c r="D55" s="561" t="s">
        <v>7</v>
      </c>
      <c r="E55" s="865" t="s">
        <v>257</v>
      </c>
      <c r="F55" s="865"/>
      <c r="G55" s="582" t="str">
        <f>EUconst_TJpa</f>
        <v>TJ / year</v>
      </c>
      <c r="H55" s="662" t="str">
        <f t="shared" ref="H55:N55" si="9">IF(AND($I13&lt;&gt;"",H53&lt;CNTR_ReportingYear),IF(INDEX(EUconst_BMlistElExchangability,MATCH($I13,EUconst_BMlistNames,0)),SUM(H226),""),"")</f>
        <v/>
      </c>
      <c r="I55" s="662" t="str">
        <f t="shared" si="9"/>
        <v/>
      </c>
      <c r="J55" s="1682" t="str">
        <f t="shared" si="9"/>
        <v/>
      </c>
      <c r="K55" s="1682" t="str">
        <f t="shared" si="9"/>
        <v/>
      </c>
      <c r="L55" s="1682" t="str">
        <f t="shared" si="9"/>
        <v/>
      </c>
      <c r="M55" s="1682" t="str">
        <f t="shared" si="9"/>
        <v/>
      </c>
      <c r="N55" s="1682" t="str">
        <f t="shared" si="9"/>
        <v/>
      </c>
      <c r="O55" s="485"/>
      <c r="P55" s="485"/>
      <c r="Q55" s="1435"/>
      <c r="R55" s="1435"/>
      <c r="S55" s="1198"/>
      <c r="T55" s="1198">
        <f t="shared" ref="T55:Z55" si="10">H53</f>
        <v>2024</v>
      </c>
      <c r="U55" s="1435">
        <f t="shared" si="10"/>
        <v>2025</v>
      </c>
      <c r="V55" s="1435">
        <f t="shared" si="10"/>
        <v>2026</v>
      </c>
      <c r="W55" s="1435">
        <f t="shared" si="10"/>
        <v>2027</v>
      </c>
      <c r="X55" s="1435">
        <f t="shared" si="10"/>
        <v>2028</v>
      </c>
      <c r="Y55" s="1435">
        <f t="shared" si="10"/>
        <v>2029</v>
      </c>
      <c r="Z55" s="1435">
        <f t="shared" si="10"/>
        <v>2030</v>
      </c>
      <c r="AA55" s="1435"/>
      <c r="AB55" s="1435"/>
      <c r="AC55" s="1665"/>
      <c r="AD55" s="1435"/>
      <c r="AE55" s="1435"/>
      <c r="AF55" s="1435"/>
      <c r="AG55" s="1435"/>
      <c r="AH55" s="1435"/>
      <c r="AI55" s="1683"/>
      <c r="AJ55" s="1435"/>
      <c r="AK55" s="1435"/>
      <c r="AL55" s="1198"/>
      <c r="AP55" s="1135"/>
    </row>
    <row r="56" spans="1:42" s="562" customFormat="1" ht="12.75" customHeight="1" thickBot="1">
      <c r="A56" s="618"/>
      <c r="B56"/>
      <c r="C56"/>
      <c r="D56" s="561" t="s">
        <v>8</v>
      </c>
      <c r="E56" s="932" t="s">
        <v>914</v>
      </c>
      <c r="F56" s="932"/>
      <c r="G56" s="933" t="str">
        <f>EUconst_MWhpa</f>
        <v>MWh / year</v>
      </c>
      <c r="H56" s="1582" t="str">
        <f>c_ALR2025!M2762</f>
        <v/>
      </c>
      <c r="I56" s="1856"/>
      <c r="J56" s="1684"/>
      <c r="K56" s="1684"/>
      <c r="L56" s="1684"/>
      <c r="M56" s="1684"/>
      <c r="N56" s="1684"/>
      <c r="O56" s="485"/>
      <c r="P56" s="9"/>
      <c r="Q56" s="1644" t="str">
        <f>EUconst_CNTR_HAL&amp;EUconst_CNTR_ELEXCH</f>
        <v>HAL_ELEXCH_</v>
      </c>
      <c r="R56" s="1644" t="str">
        <f>EUconst_CNTR_HAL&amp;EUconst_CNTR_ELEXCH &amp; I13</f>
        <v>HAL_ELEXCH_</v>
      </c>
      <c r="S56" s="1198" t="str">
        <f>EUconst_CNTR_AttributedEmissions &amp; I13</f>
        <v>AttrEmissions_</v>
      </c>
      <c r="T56" s="1198" t="str">
        <f t="shared" ref="T56:Z56" si="11">IF(T21,SUM(H56)*EUconst_ElBM,"")</f>
        <v/>
      </c>
      <c r="U56" s="1435" t="str">
        <f t="shared" si="11"/>
        <v/>
      </c>
      <c r="V56" s="1435" t="str">
        <f t="shared" si="11"/>
        <v/>
      </c>
      <c r="W56" s="1435" t="str">
        <f t="shared" si="11"/>
        <v/>
      </c>
      <c r="X56" s="1435" t="str">
        <f t="shared" si="11"/>
        <v/>
      </c>
      <c r="Y56" s="1435" t="str">
        <f t="shared" si="11"/>
        <v/>
      </c>
      <c r="Z56" s="1435" t="str">
        <f t="shared" si="11"/>
        <v/>
      </c>
      <c r="AA56" s="1435"/>
      <c r="AB56" s="1435"/>
      <c r="AC56" s="1685" t="b">
        <f>AC54</f>
        <v>0</v>
      </c>
      <c r="AD56" s="1686" t="b">
        <f t="shared" ref="AD56:AI56" si="12">AD54</f>
        <v>0</v>
      </c>
      <c r="AE56" s="1686" t="b">
        <f t="shared" si="12"/>
        <v>0</v>
      </c>
      <c r="AF56" s="1686" t="b">
        <f t="shared" si="12"/>
        <v>0</v>
      </c>
      <c r="AG56" s="1686" t="b">
        <f t="shared" si="12"/>
        <v>0</v>
      </c>
      <c r="AH56" s="1686" t="b">
        <f t="shared" si="12"/>
        <v>0</v>
      </c>
      <c r="AI56" s="1687" t="b">
        <f t="shared" si="12"/>
        <v>0</v>
      </c>
      <c r="AJ56" s="1633" t="s">
        <v>1954</v>
      </c>
      <c r="AK56" s="1635" t="str">
        <f>IF(AND(CNTR_ExistSubInstEntries,COUNTIFS(AC56:AI56,FALSE,H56:N56,"")&gt;0),EUconst_Error&amp;"BM"&amp;$Q13,"")</f>
        <v/>
      </c>
      <c r="AL56" s="1198"/>
      <c r="AP56" s="1135"/>
    </row>
    <row r="57" spans="1:42" s="562" customFormat="1" ht="13.5" customHeight="1">
      <c r="A57" s="618"/>
      <c r="B57"/>
      <c r="C57"/>
      <c r="D57" s="561" t="s">
        <v>18</v>
      </c>
      <c r="E57" s="863" t="s">
        <v>915</v>
      </c>
      <c r="F57" s="863"/>
      <c r="G57" s="579" t="str">
        <f>EUconst_tCO2pa</f>
        <v>t CO2 / year</v>
      </c>
      <c r="H57" s="929" t="str">
        <f t="shared" ref="H57:N57" si="13">IF(ISNUMBER(H54),H54+SUM(H55)*EUconst_HeatBMvalue,"")</f>
        <v/>
      </c>
      <c r="I57" s="929" t="str">
        <f t="shared" si="13"/>
        <v/>
      </c>
      <c r="J57" s="1679" t="str">
        <f t="shared" si="13"/>
        <v/>
      </c>
      <c r="K57" s="1679" t="str">
        <f t="shared" si="13"/>
        <v/>
      </c>
      <c r="L57" s="1679" t="str">
        <f t="shared" si="13"/>
        <v/>
      </c>
      <c r="M57" s="1679" t="str">
        <f t="shared" si="13"/>
        <v/>
      </c>
      <c r="N57" s="1679" t="str">
        <f t="shared" si="13"/>
        <v/>
      </c>
      <c r="O57" s="485"/>
      <c r="P57" s="485"/>
      <c r="Q57" s="1435"/>
      <c r="R57" s="1435"/>
      <c r="S57" s="1198"/>
      <c r="T57" s="1198"/>
      <c r="U57" s="1435"/>
      <c r="V57" s="1435"/>
      <c r="W57" s="1435"/>
      <c r="X57" s="1435"/>
      <c r="Y57" s="1435"/>
      <c r="Z57" s="1435"/>
      <c r="AA57" s="1435"/>
      <c r="AB57" s="1435"/>
      <c r="AC57" s="1435"/>
      <c r="AD57" s="1435"/>
      <c r="AE57" s="1435"/>
      <c r="AF57" s="1435"/>
      <c r="AG57" s="1435"/>
      <c r="AH57" s="1435"/>
      <c r="AI57" s="1435"/>
      <c r="AJ57" s="1435"/>
      <c r="AK57" s="1435"/>
      <c r="AL57" s="1198"/>
      <c r="AP57" s="1135"/>
    </row>
    <row r="58" spans="1:42" s="562" customFormat="1" ht="13.5" customHeight="1">
      <c r="A58" s="618"/>
      <c r="B58"/>
      <c r="C58"/>
      <c r="D58" s="561" t="s">
        <v>787</v>
      </c>
      <c r="E58" s="867" t="s">
        <v>916</v>
      </c>
      <c r="F58" s="867"/>
      <c r="G58" s="584" t="str">
        <f>EUconst_tCO2pa</f>
        <v>t CO2 / year</v>
      </c>
      <c r="H58" s="1114" t="str">
        <f t="shared" ref="H58:N58" si="14">IF(ISNUMBER(H56),H56*EUconst_ElBM,"")</f>
        <v/>
      </c>
      <c r="I58" s="935" t="str">
        <f t="shared" si="14"/>
        <v/>
      </c>
      <c r="J58" s="1679" t="str">
        <f t="shared" si="14"/>
        <v/>
      </c>
      <c r="K58" s="1679" t="str">
        <f t="shared" si="14"/>
        <v/>
      </c>
      <c r="L58" s="1679" t="str">
        <f t="shared" si="14"/>
        <v/>
      </c>
      <c r="M58" s="1679" t="str">
        <f t="shared" si="14"/>
        <v/>
      </c>
      <c r="N58" s="1679" t="str">
        <f t="shared" si="14"/>
        <v/>
      </c>
      <c r="O58" s="485"/>
      <c r="P58" s="485"/>
      <c r="Q58" s="1435"/>
      <c r="R58" s="1435"/>
      <c r="S58" s="1198"/>
      <c r="T58" s="1198"/>
      <c r="U58" s="1435"/>
      <c r="V58" s="1435"/>
      <c r="W58" s="1435"/>
      <c r="X58" s="1435"/>
      <c r="Y58" s="1435"/>
      <c r="Z58" s="1435"/>
      <c r="AA58" s="1435"/>
      <c r="AB58" s="1435"/>
      <c r="AC58" s="1435"/>
      <c r="AD58" s="1435"/>
      <c r="AE58" s="1435"/>
      <c r="AF58" s="1435"/>
      <c r="AG58" s="1435"/>
      <c r="AH58" s="1435"/>
      <c r="AI58" s="1435"/>
      <c r="AJ58" s="1435"/>
      <c r="AK58" s="1435"/>
      <c r="AL58" s="1198"/>
      <c r="AP58" s="1135"/>
    </row>
    <row r="59" spans="1:42" ht="5.0999999999999996" customHeight="1">
      <c r="B59"/>
      <c r="C59"/>
      <c r="D59" s="479"/>
      <c r="E59" s="479"/>
      <c r="F59" s="479"/>
      <c r="G59" s="479"/>
      <c r="H59" s="479"/>
      <c r="I59" s="479"/>
      <c r="J59" s="1688"/>
      <c r="K59" s="1688"/>
      <c r="L59" s="1688"/>
      <c r="M59" s="1688"/>
      <c r="N59" s="1688"/>
      <c r="O59" s="485"/>
      <c r="P59" s="485"/>
      <c r="Q59" s="1435"/>
      <c r="U59" s="1435"/>
      <c r="V59" s="1435"/>
      <c r="W59" s="1435"/>
      <c r="X59" s="1435"/>
      <c r="Y59" s="1435"/>
      <c r="Z59" s="1435"/>
    </row>
    <row r="60" spans="1:42" ht="12.75" customHeight="1">
      <c r="B60"/>
      <c r="C60"/>
      <c r="D60" s="561" t="s">
        <v>788</v>
      </c>
      <c r="E60" s="698" t="s">
        <v>1389</v>
      </c>
      <c r="F60" s="938"/>
      <c r="G60" s="939" t="s">
        <v>1021</v>
      </c>
      <c r="H60" s="940" t="str">
        <f t="shared" ref="H60:N60" si="15">IF(COUNT(H57:H58)&gt;0,SUM(H57)/SUM(H57:H58),IF($T49=TRUE,IF(H53&gt;CNTR_ReportingYear,"",1),""))</f>
        <v/>
      </c>
      <c r="I60" s="1689" t="str">
        <f t="shared" si="15"/>
        <v/>
      </c>
      <c r="J60" s="1690" t="str">
        <f t="shared" si="15"/>
        <v/>
      </c>
      <c r="K60" s="1690" t="str">
        <f t="shared" si="15"/>
        <v/>
      </c>
      <c r="L60" s="1690" t="str">
        <f t="shared" si="15"/>
        <v/>
      </c>
      <c r="M60" s="1690" t="str">
        <f t="shared" si="15"/>
        <v/>
      </c>
      <c r="N60" s="1690" t="str">
        <f t="shared" si="15"/>
        <v/>
      </c>
      <c r="O60" s="485"/>
      <c r="P60" s="485"/>
      <c r="Q60" s="1644" t="str">
        <f>EUconst_CNTR_ELEXCH &amp; I13</f>
        <v>ELEXCH_</v>
      </c>
    </row>
    <row r="61" spans="1:42" ht="5.0999999999999996" customHeight="1">
      <c r="B61"/>
      <c r="C61"/>
      <c r="D61" s="479"/>
      <c r="E61" s="479"/>
      <c r="F61" s="479"/>
      <c r="G61" s="479"/>
      <c r="H61" s="479"/>
      <c r="I61" s="479"/>
      <c r="J61" s="479"/>
      <c r="K61" s="479"/>
      <c r="L61" s="479"/>
      <c r="M61" s="485"/>
      <c r="N61" s="485"/>
      <c r="O61" s="485"/>
      <c r="P61" s="485"/>
      <c r="Q61" s="1435"/>
    </row>
    <row r="62" spans="1:42" ht="25.5" customHeight="1" thickBot="1">
      <c r="B62"/>
      <c r="C62"/>
      <c r="D62" s="485"/>
      <c r="E62" s="2385" t="s">
        <v>2733</v>
      </c>
      <c r="F62" s="2846"/>
      <c r="G62" s="2846"/>
      <c r="H62" s="2846"/>
      <c r="I62" s="2846"/>
      <c r="J62" s="2846"/>
      <c r="K62" s="2846"/>
      <c r="L62" s="2846"/>
      <c r="M62" s="2846"/>
      <c r="N62" s="2846"/>
      <c r="O62" s="485"/>
      <c r="P62" s="485"/>
      <c r="Q62" s="1435"/>
      <c r="S62" s="1435"/>
      <c r="T62" s="1435"/>
      <c r="U62" s="1435"/>
    </row>
    <row r="63" spans="1:42" ht="5.0999999999999996" customHeight="1" thickBot="1">
      <c r="B63"/>
      <c r="C63"/>
      <c r="D63" s="902"/>
      <c r="E63" s="942"/>
      <c r="F63" s="942"/>
      <c r="G63" s="942"/>
      <c r="H63" s="942"/>
      <c r="I63" s="942"/>
      <c r="J63" s="943"/>
      <c r="K63" s="1662"/>
      <c r="L63" s="1662"/>
      <c r="M63" s="1662"/>
      <c r="N63" s="1662"/>
      <c r="O63" s="485"/>
      <c r="P63" s="485"/>
      <c r="Q63" s="1435"/>
      <c r="S63" s="1435"/>
      <c r="T63" s="1435"/>
      <c r="U63" s="1435"/>
    </row>
    <row r="64" spans="1:42" ht="12.75" customHeight="1">
      <c r="B64"/>
      <c r="C64"/>
      <c r="D64" s="907" t="s">
        <v>1915</v>
      </c>
      <c r="E64" s="908" t="s">
        <v>1775</v>
      </c>
      <c r="F64" s="909"/>
      <c r="G64" s="909"/>
      <c r="H64" s="910" t="str">
        <f>EUconst_Unit</f>
        <v>Unit</v>
      </c>
      <c r="I64" s="911" t="s">
        <v>2213</v>
      </c>
      <c r="J64" s="1647">
        <f>J$3242</f>
        <v>2026</v>
      </c>
      <c r="K64" s="1476">
        <f>K$3242</f>
        <v>2027</v>
      </c>
      <c r="L64" s="1476">
        <f>L$3242</f>
        <v>2028</v>
      </c>
      <c r="M64" s="1476">
        <f>M$3242</f>
        <v>2029</v>
      </c>
      <c r="N64" s="1476">
        <f>N$3242</f>
        <v>2030</v>
      </c>
      <c r="O64" s="485"/>
      <c r="P64" s="485"/>
      <c r="Q64" s="1435"/>
      <c r="U64" s="1648"/>
      <c r="V64" s="1649">
        <f>J64</f>
        <v>2026</v>
      </c>
      <c r="W64" s="1649">
        <f>K64</f>
        <v>2027</v>
      </c>
      <c r="X64" s="1649">
        <f>L64</f>
        <v>2028</v>
      </c>
      <c r="Y64" s="1649">
        <f>M64</f>
        <v>2029</v>
      </c>
      <c r="Z64" s="1650">
        <f>N64</f>
        <v>2030</v>
      </c>
      <c r="AL64" s="1435"/>
    </row>
    <row r="65" spans="1:38" ht="12.75" customHeight="1">
      <c r="B65" s="479"/>
      <c r="C65" s="479"/>
      <c r="D65" s="915" t="s">
        <v>6</v>
      </c>
      <c r="E65" s="916" t="s">
        <v>1691</v>
      </c>
      <c r="F65" s="916"/>
      <c r="G65" s="916"/>
      <c r="H65" s="944" t="str">
        <f>G60</f>
        <v>-</v>
      </c>
      <c r="I65" s="945" t="str">
        <f>IF($T49&lt;&gt;TRUE,"",INDEX('B+C_SubInstallations'!$L:$L,MATCH(Q65,'B+C_SubInstallations'!$W:$W,0)))</f>
        <v/>
      </c>
      <c r="J65" s="1691" t="str">
        <f>IF($T49&lt;&gt;TRUE,"",IF(AND(V65&gt;=3,CNTR_ReportingYear&gt;J64-1),AVERAGE(SUM(H60),SUM(I60)),""))</f>
        <v/>
      </c>
      <c r="K65" s="1692" t="str">
        <f>IF($T49&lt;&gt;TRUE,"",IF(AND(W65&gt;=3,CNTR_ReportingYear&gt;K64-1),AVERAGE(SUM(I60),SUM(J60)),""))</f>
        <v/>
      </c>
      <c r="L65" s="1692" t="str">
        <f>IF($T49&lt;&gt;TRUE,"",IF(AND(X65&gt;=3,CNTR_ReportingYear&gt;L64-1),AVERAGE(SUM(J60),SUM(K60)),""))</f>
        <v/>
      </c>
      <c r="M65" s="1692" t="str">
        <f>IF($T49&lt;&gt;TRUE,"",IF(AND(Y65&gt;=3,CNTR_ReportingYear&gt;M64-1),AVERAGE(SUM(K60),SUM(L60)),""))</f>
        <v/>
      </c>
      <c r="N65" s="1692" t="str">
        <f>IF($T49&lt;&gt;TRUE,"",IF(AND(Z65&gt;=3,CNTR_ReportingYear&gt;N64-1),AVERAGE(SUM(L60),SUM(M60)),""))</f>
        <v/>
      </c>
      <c r="O65" s="485"/>
      <c r="P65" s="485"/>
      <c r="Q65" s="1644" t="str">
        <f>EUconst_CNTR_HAL &amp; EUconst_CNTR_ELEXCHInitial &amp; I13</f>
        <v>HAL_ELEXCHIni_</v>
      </c>
      <c r="U65" s="1693" t="s">
        <v>1650</v>
      </c>
      <c r="V65" s="1635">
        <f>V35</f>
        <v>0</v>
      </c>
      <c r="W65" s="1635">
        <f>W35</f>
        <v>0</v>
      </c>
      <c r="X65" s="1635">
        <f>X35</f>
        <v>0</v>
      </c>
      <c r="Y65" s="1635">
        <f>Y35</f>
        <v>0</v>
      </c>
      <c r="Z65" s="1654">
        <f>Z35</f>
        <v>0</v>
      </c>
      <c r="AL65" s="1435"/>
    </row>
    <row r="66" spans="1:38" ht="12.75" hidden="1" customHeight="1">
      <c r="A66" s="618" t="s">
        <v>2289</v>
      </c>
      <c r="B66" s="479"/>
      <c r="C66" s="479"/>
      <c r="D66" s="915"/>
      <c r="E66" s="916" t="s">
        <v>1776</v>
      </c>
      <c r="F66" s="916"/>
      <c r="G66" s="916"/>
      <c r="H66" s="921"/>
      <c r="I66" s="1657"/>
      <c r="J66" s="17" t="str">
        <f>IF(J65="","",IF($I68=0,IF(J65=0,0%,100%),J65/$I68-1))</f>
        <v/>
      </c>
      <c r="K66" s="15" t="str">
        <f>IF(K65="","",IF($I68=0,IF(K65=0,0%,100%),K65/$I68-1))</f>
        <v/>
      </c>
      <c r="L66" s="15" t="str">
        <f>IF(L65="","",IF($I68=0,IF(L65=0,0%,100%),L65/$I68-1))</f>
        <v/>
      </c>
      <c r="M66" s="15" t="str">
        <f>IF(M65="","",IF($I68=0,IF(M65=0,0%,100%),M65/$I68-1))</f>
        <v/>
      </c>
      <c r="N66" s="15" t="str">
        <f>IF(N65="","",IF($I68=0,IF(N65=0,0%,100%),N65/$I68-1))</f>
        <v/>
      </c>
      <c r="O66" s="485"/>
      <c r="P66" s="485"/>
      <c r="Q66" s="1644" t="str">
        <f>EUconst_CNTR_RelThreshold &amp; Q68</f>
        <v>RelThresh_HALprelim_ELEXCH_</v>
      </c>
      <c r="U66" s="1693" t="s">
        <v>1655</v>
      </c>
      <c r="V66" s="1158" t="str">
        <f>IF(J65="","",ABS(J66)&gt;15%)</f>
        <v/>
      </c>
      <c r="W66" s="1158" t="str">
        <f>IF(K65="","",ABS(K66)&gt;15%)</f>
        <v/>
      </c>
      <c r="X66" s="1158" t="str">
        <f>IF(L65="","",ABS(L66)&gt;15%)</f>
        <v/>
      </c>
      <c r="Y66" s="1158" t="str">
        <f>IF(M65="","",ABS(M66)&gt;15%)</f>
        <v/>
      </c>
      <c r="Z66" s="1656" t="str">
        <f>IF(N65="","",ABS(N66)&gt;15%)</f>
        <v/>
      </c>
      <c r="AL66" s="1435"/>
    </row>
    <row r="67" spans="1:38" ht="12.75" customHeight="1">
      <c r="A67" s="618"/>
      <c r="B67" s="479"/>
      <c r="C67" s="479"/>
      <c r="D67" s="915" t="s">
        <v>7</v>
      </c>
      <c r="E67" s="916" t="s">
        <v>1654</v>
      </c>
      <c r="F67" s="916"/>
      <c r="G67" s="916"/>
      <c r="H67" s="921"/>
      <c r="I67" s="1657"/>
      <c r="J67" s="1658" t="str">
        <f>IF(J65="","",IF(V66=FALSE,0%,J66))</f>
        <v/>
      </c>
      <c r="K67" s="1659" t="str">
        <f>IF(K65="","",IF(W66=FALSE,0%,K66))</f>
        <v/>
      </c>
      <c r="L67" s="1659" t="str">
        <f>IF(L65="","",IF(X66=FALSE,0%,L66))</f>
        <v/>
      </c>
      <c r="M67" s="1659" t="str">
        <f>IF(M65="","",IF(Y66=FALSE,0%,M66))</f>
        <v/>
      </c>
      <c r="N67" s="1659" t="str">
        <f>IF(N65="","",IF(Z66=FALSE,0%,N66))</f>
        <v/>
      </c>
      <c r="O67" s="485"/>
      <c r="P67" s="485"/>
      <c r="Q67" s="1435"/>
      <c r="U67" s="1694"/>
      <c r="Z67" s="1664"/>
      <c r="AL67" s="1435"/>
    </row>
    <row r="68" spans="1:38" ht="12.75" hidden="1" customHeight="1">
      <c r="A68" s="618" t="s">
        <v>2289</v>
      </c>
      <c r="B68" s="479"/>
      <c r="C68" s="479"/>
      <c r="D68" s="915"/>
      <c r="E68" s="916" t="s">
        <v>1689</v>
      </c>
      <c r="F68" s="916"/>
      <c r="G68" s="916"/>
      <c r="H68" s="944" t="str">
        <f>H65</f>
        <v>-</v>
      </c>
      <c r="I68" s="945" t="str">
        <f>IF($T49&lt;&gt;TRUE,"",IF(AB13=FALSE,EUconst_NA,IF(V13&gt;($J$3242-3),INDEX(H60:N60,MATCH(V13,H53:N53,0)),SUM(I65))))</f>
        <v/>
      </c>
      <c r="J68" s="1695" t="str">
        <f>IF(OR($I13="",$T49=FALSE),"",IF(V65&lt;2,SUM(J60),IF(V65&lt;3,SUM(I60),IF(V68="",I68,V68))))</f>
        <v/>
      </c>
      <c r="K68" s="1692" t="str">
        <f>IF(OR($I13="",$T49=FALSE),"",IF(W65&lt;2,SUM(K60),IF(W65&lt;3,SUM(J60),IF(W68="",J68,W68))))</f>
        <v/>
      </c>
      <c r="L68" s="1692" t="str">
        <f>IF(OR($I13="",$T49=FALSE),"",IF(X65&lt;2,SUM(L60),IF(X65&lt;3,SUM(K60),IF(X68="",K68,X68))))</f>
        <v/>
      </c>
      <c r="M68" s="1692" t="str">
        <f>IF(OR($I13="",$T49=FALSE),"",IF(Y65&lt;2,SUM(M60),IF(Y65&lt;3,SUM(L60),IF(Y68="",L68,Y68))))</f>
        <v/>
      </c>
      <c r="N68" s="1692" t="str">
        <f>IF(OR($I13="",$T49=FALSE),"",IF(Z65&lt;2,SUM(N60),IF(Z65&lt;3,SUM(M60),IF(Z68="",M68,Z68))))</f>
        <v/>
      </c>
      <c r="O68" s="485"/>
      <c r="P68" s="485"/>
      <c r="Q68" s="1644" t="str">
        <f>EUconst_CNTR_HALprelim&amp;EUconst_CNTR_ELEXCH &amp; I13</f>
        <v>HALprelim_ELEXCH_</v>
      </c>
      <c r="U68" s="1693" t="s">
        <v>1697</v>
      </c>
      <c r="V68" s="1696" t="str">
        <f>IF(J65="","",IF(CNTR_ReportingYear&lt;J64,I67,IF($I68=0,J65,$I68*(1+J67))))</f>
        <v/>
      </c>
      <c r="W68" s="1696" t="str">
        <f>IF(K65="","",IF(CNTR_ReportingYear&lt;K64,J67,IF($I68=0,K65,$I68*(1+K67))))</f>
        <v/>
      </c>
      <c r="X68" s="1696" t="str">
        <f>IF(L65="","",IF(CNTR_ReportingYear&lt;L64,K67,IF($I68=0,L65,$I68*(1+L67))))</f>
        <v/>
      </c>
      <c r="Y68" s="1696" t="str">
        <f>IF(M65="","",IF(CNTR_ReportingYear&lt;M64,L67,IF($I68=0,M65,$I68*(1+M67))))</f>
        <v/>
      </c>
      <c r="Z68" s="1697" t="str">
        <f>IF(N65="","",IF(CNTR_ReportingYear&lt;N64,M67,IF($I68=0,N65,$I68*(1+N67))))</f>
        <v/>
      </c>
      <c r="AL68" s="1435"/>
    </row>
    <row r="69" spans="1:38" ht="5.0999999999999996" customHeight="1">
      <c r="A69" s="618"/>
      <c r="B69" s="479"/>
      <c r="C69" s="479"/>
      <c r="D69" s="915"/>
      <c r="E69" s="909"/>
      <c r="F69" s="909"/>
      <c r="G69" s="909"/>
      <c r="H69" s="909"/>
      <c r="I69" s="909"/>
      <c r="J69" s="922"/>
      <c r="K69" s="1662"/>
      <c r="L69" s="1662"/>
      <c r="M69" s="1662"/>
      <c r="N69" s="1662"/>
      <c r="O69" s="485"/>
      <c r="P69" s="485"/>
      <c r="Q69" s="1435"/>
      <c r="U69" s="1663"/>
      <c r="V69" s="1435"/>
      <c r="Z69" s="1664"/>
      <c r="AL69" s="1435"/>
    </row>
    <row r="70" spans="1:38" ht="12.75" customHeight="1">
      <c r="A70" s="618"/>
      <c r="B70" s="479"/>
      <c r="C70" s="479"/>
      <c r="D70" s="915"/>
      <c r="E70" s="923" t="s">
        <v>1653</v>
      </c>
      <c r="F70" s="923"/>
      <c r="G70" s="923"/>
      <c r="H70" s="923"/>
      <c r="I70" s="923"/>
      <c r="J70" s="1647">
        <f>J$3242</f>
        <v>2026</v>
      </c>
      <c r="K70" s="1476">
        <f>K$3242</f>
        <v>2027</v>
      </c>
      <c r="L70" s="1476">
        <f>L$3242</f>
        <v>2028</v>
      </c>
      <c r="M70" s="1476">
        <f>M$3242</f>
        <v>2029</v>
      </c>
      <c r="N70" s="1476">
        <f>N$3242</f>
        <v>2030</v>
      </c>
      <c r="O70" s="485"/>
      <c r="P70" s="485"/>
      <c r="Q70" s="1435"/>
      <c r="U70" s="1665"/>
      <c r="Z70" s="1664"/>
      <c r="AL70" s="1435"/>
    </row>
    <row r="71" spans="1:38" ht="12.75" customHeight="1">
      <c r="A71" s="618"/>
      <c r="B71" s="479"/>
      <c r="C71" s="479"/>
      <c r="D71" s="915" t="s">
        <v>8</v>
      </c>
      <c r="E71" s="916" t="s">
        <v>2108</v>
      </c>
      <c r="F71" s="916"/>
      <c r="G71" s="916"/>
      <c r="H71" s="916"/>
      <c r="I71" s="916"/>
      <c r="J71" s="1666" t="str">
        <f>IF(OR($I13="",$T49=FALSE),"",INDEX(K_Summary!J:J,MATCH($Q71,K_Summary!$P:$P,0)))</f>
        <v/>
      </c>
      <c r="K71" s="1662" t="str">
        <f>IF(OR($I13="",$T49=FALSE),"",INDEX(K_Summary!K:K,MATCH($Q71,K_Summary!$P:$P,0)))</f>
        <v/>
      </c>
      <c r="L71" s="1662" t="str">
        <f>IF(OR($I13="",$T49=FALSE),"",INDEX(K_Summary!L:L,MATCH($Q71,K_Summary!$P:$P,0)))</f>
        <v/>
      </c>
      <c r="M71" s="1662" t="str">
        <f>IF(OR($I13="",$T49=FALSE),"",INDEX(K_Summary!M:M,MATCH($Q71,K_Summary!$P:$P,0)))</f>
        <v/>
      </c>
      <c r="N71" s="1662" t="str">
        <f>IF(OR($I13="",$T49=FALSE),"",INDEX(K_Summary!N:N,MATCH($Q71,K_Summary!$P:$P,0)))</f>
        <v/>
      </c>
      <c r="O71" s="485"/>
      <c r="P71" s="485"/>
      <c r="Q71" s="1644" t="str">
        <f>EUconst_CNTR_100EUA_ElExch&amp;I13</f>
        <v>EUA100ElExch_</v>
      </c>
      <c r="U71" s="1665"/>
      <c r="Z71" s="1664"/>
      <c r="AL71" s="1435"/>
    </row>
    <row r="72" spans="1:38" ht="5.0999999999999996" customHeight="1" thickBot="1">
      <c r="A72" s="618"/>
      <c r="B72" s="479"/>
      <c r="C72" s="479"/>
      <c r="D72" s="915"/>
      <c r="E72" s="909"/>
      <c r="F72" s="909"/>
      <c r="G72" s="909"/>
      <c r="H72" s="909"/>
      <c r="I72" s="909"/>
      <c r="J72" s="922"/>
      <c r="K72" s="1662"/>
      <c r="L72" s="1662"/>
      <c r="M72" s="1662"/>
      <c r="N72" s="1662"/>
      <c r="O72" s="485"/>
      <c r="P72" s="485"/>
      <c r="Q72" s="1435"/>
      <c r="U72" s="1663"/>
      <c r="V72" s="1435"/>
      <c r="Z72" s="1664"/>
      <c r="AL72" s="1435"/>
    </row>
    <row r="73" spans="1:38" ht="12.75" customHeight="1" thickBot="1">
      <c r="B73" s="479"/>
      <c r="C73" s="479"/>
      <c r="D73" s="915" t="s">
        <v>18</v>
      </c>
      <c r="E73" s="916" t="s">
        <v>1657</v>
      </c>
      <c r="F73" s="916"/>
      <c r="G73" s="916"/>
      <c r="H73" s="921"/>
      <c r="I73" s="1667"/>
      <c r="J73" s="1668" t="str">
        <f>IF(J71="","",IF(OR(J71,V65&lt;1),J67,I73))</f>
        <v/>
      </c>
      <c r="K73" s="1669" t="str">
        <f>IF(K71="","",IF(OR(K71,W65&lt;1),K67,J73))</f>
        <v/>
      </c>
      <c r="L73" s="1669" t="str">
        <f>IF(L71="","",IF(OR(L71,X65&lt;1),L67,K73))</f>
        <v/>
      </c>
      <c r="M73" s="1669" t="str">
        <f>IF(M71="","",IF(OR(M71,Y65&lt;1),M67,L73))</f>
        <v/>
      </c>
      <c r="N73" s="1669" t="str">
        <f>IF(N71="","",IF(OR(N71,Z65&lt;1),N67,M73))</f>
        <v/>
      </c>
      <c r="O73" s="485"/>
      <c r="P73" s="485"/>
      <c r="Q73" s="1435"/>
      <c r="U73" s="1663" t="s">
        <v>1658</v>
      </c>
      <c r="V73" s="1670">
        <f>J70</f>
        <v>2026</v>
      </c>
      <c r="W73" s="1670">
        <f>K70</f>
        <v>2027</v>
      </c>
      <c r="X73" s="1670">
        <f>L70</f>
        <v>2028</v>
      </c>
      <c r="Y73" s="1670">
        <f>M70</f>
        <v>2029</v>
      </c>
      <c r="Z73" s="1671">
        <f>N70</f>
        <v>2030</v>
      </c>
      <c r="AL73" s="1435"/>
    </row>
    <row r="74" spans="1:38" ht="12.75" customHeight="1" thickBot="1">
      <c r="A74" s="618"/>
      <c r="B74" s="479"/>
      <c r="C74" s="479"/>
      <c r="D74" s="915" t="s">
        <v>787</v>
      </c>
      <c r="E74" s="916" t="s">
        <v>1659</v>
      </c>
      <c r="F74" s="916"/>
      <c r="G74" s="916"/>
      <c r="H74" s="944" t="str">
        <f>H65</f>
        <v>-</v>
      </c>
      <c r="I74" s="945" t="str">
        <f>I68</f>
        <v/>
      </c>
      <c r="J74" s="1698" t="str">
        <f>IF(OR($I13="",$T49=FALSE),"",IF(OR($I74=0,$I74=EUconst_NA,J73="",J70&lt;=$V13),J68,$I74*(1+SUM(J73))))</f>
        <v/>
      </c>
      <c r="K74" s="1699" t="str">
        <f>IF(OR($I13="",$T49=FALSE),"",IF(OR($I74=0,$I74=EUconst_NA,K73="",K70&lt;=$V13),K68,$I74*(1+SUM(K73))))</f>
        <v/>
      </c>
      <c r="L74" s="1699" t="str">
        <f>IF(OR($I13="",$T49=FALSE),"",IF(OR($I74=0,$I74=EUconst_NA,L73="",L70&lt;=$V13),L68,$I74*(1+SUM(L73))))</f>
        <v/>
      </c>
      <c r="M74" s="1699" t="str">
        <f>IF(OR($I13="",$T49=FALSE),"",IF(OR($I74=0,$I74=EUconst_NA,M73="",M70&lt;=$V13),M68,$I74*(1+SUM(M73))))</f>
        <v/>
      </c>
      <c r="N74" s="1699" t="str">
        <f>IF(OR($I13="",$T49=FALSE),"",IF(OR($I74=0,$I74=EUconst_NA,N73="",N70&lt;=$V13),N68,$I74*(1+SUM(N73))))</f>
        <v/>
      </c>
      <c r="O74" s="485"/>
      <c r="P74" s="485"/>
      <c r="Q74" s="1644" t="str">
        <f>EUconst_CNTR_HALfinal&amp;EUconst_CNTR_ELEXCH &amp; I13</f>
        <v>HALfinal_ELEXCH_</v>
      </c>
      <c r="U74" s="1674" t="b">
        <v>0</v>
      </c>
      <c r="V74" s="1675" t="str">
        <f>IF(V21,IF(J71=TRUE,V66,U74),"")</f>
        <v/>
      </c>
      <c r="W74" s="1675" t="str">
        <f>IF(W21,IF(K71=TRUE,W66,V74),"")</f>
        <v/>
      </c>
      <c r="X74" s="1675" t="str">
        <f>IF(X21,IF(L71=TRUE,X66,W74),"")</f>
        <v/>
      </c>
      <c r="Y74" s="1675" t="str">
        <f>IF(Y21,IF(M71=TRUE,Y66,X74),"")</f>
        <v/>
      </c>
      <c r="Z74" s="1676" t="str">
        <f>IF(Z21,IF(N71=TRUE,Z66,Y74),"")</f>
        <v/>
      </c>
      <c r="AJ74" s="1633" t="s">
        <v>1951</v>
      </c>
      <c r="AK74" s="1443" t="str">
        <f>IF(OR(ISERROR(J74),ISERROR(K74),ISERROR(L74),ISERROR(M74),ISERROR(N74)),EUconst_Error &amp; "BM" &amp; Q13,"")</f>
        <v/>
      </c>
      <c r="AL74" s="1435"/>
    </row>
    <row r="75" spans="1:38" ht="5.0999999999999996" customHeight="1" thickBot="1">
      <c r="B75" s="479"/>
      <c r="C75" s="479"/>
      <c r="D75" s="946"/>
      <c r="E75" s="947"/>
      <c r="F75" s="947"/>
      <c r="G75" s="947"/>
      <c r="H75" s="947"/>
      <c r="I75" s="947"/>
      <c r="J75" s="1700"/>
      <c r="K75" s="1662"/>
      <c r="L75" s="1662"/>
      <c r="M75" s="1662"/>
      <c r="N75" s="1662"/>
      <c r="O75" s="485"/>
      <c r="P75" s="485"/>
      <c r="Q75" s="1435"/>
    </row>
    <row r="76" spans="1:38" ht="5.0999999999999996" customHeight="1">
      <c r="B76" s="479"/>
      <c r="C76" s="479"/>
      <c r="D76" s="479"/>
      <c r="E76" s="479"/>
      <c r="F76" s="479"/>
      <c r="G76" s="479"/>
      <c r="H76" s="479"/>
      <c r="I76" s="479"/>
      <c r="J76" s="479"/>
      <c r="K76" s="479"/>
      <c r="L76" s="479"/>
      <c r="M76" s="485"/>
      <c r="N76" s="485"/>
      <c r="O76" s="485"/>
      <c r="P76" s="485"/>
      <c r="Q76" s="1435"/>
    </row>
    <row r="77" spans="1:38" ht="13.15" customHeight="1">
      <c r="B77" s="479"/>
      <c r="C77" s="479"/>
      <c r="D77" s="482" t="s">
        <v>881</v>
      </c>
      <c r="E77" s="2373" t="s">
        <v>941</v>
      </c>
      <c r="F77" s="2373"/>
      <c r="G77" s="2373"/>
      <c r="H77" s="2373"/>
      <c r="I77" s="2604"/>
      <c r="J77" s="2652" t="str">
        <f>IF(I13="","",HYPERLINK(R77,EUconst_MsgGoOnIfNotRelevant))</f>
        <v/>
      </c>
      <c r="K77" s="2653"/>
      <c r="L77" s="2653"/>
      <c r="M77" s="2653"/>
      <c r="N77" s="2654"/>
      <c r="O77" s="485"/>
      <c r="P77" s="485"/>
      <c r="Q77" s="1198" t="s">
        <v>441</v>
      </c>
      <c r="R77" s="1488" t="str">
        <f>"#"&amp;ADDRESS(ROW(D102),COLUMN(D102))</f>
        <v>#$D$102</v>
      </c>
    </row>
    <row r="78" spans="1:38" ht="13.15" customHeight="1">
      <c r="B78" s="479"/>
      <c r="C78" s="479"/>
      <c r="D78" s="485"/>
      <c r="E78" s="2385" t="s">
        <v>1368</v>
      </c>
      <c r="F78" s="2846"/>
      <c r="G78" s="2846"/>
      <c r="H78" s="2846"/>
      <c r="I78" s="2846"/>
      <c r="J78" s="2846"/>
      <c r="K78" s="2846"/>
      <c r="L78" s="2846"/>
      <c r="M78" s="2846"/>
      <c r="N78" s="2846"/>
      <c r="O78" s="485"/>
      <c r="P78" s="485"/>
      <c r="Q78" s="1435"/>
      <c r="U78" s="1435"/>
      <c r="V78" s="1435"/>
    </row>
    <row r="79" spans="1:38" ht="13.15" customHeight="1">
      <c r="B79" s="479"/>
      <c r="C79" s="479"/>
      <c r="D79" s="485"/>
      <c r="E79" s="2385" t="s">
        <v>1474</v>
      </c>
      <c r="F79" s="2846"/>
      <c r="G79" s="2846"/>
      <c r="H79" s="2846"/>
      <c r="I79" s="2846"/>
      <c r="J79" s="2846"/>
      <c r="K79" s="2846"/>
      <c r="L79" s="2846"/>
      <c r="M79" s="2846"/>
      <c r="N79" s="2846"/>
      <c r="O79" s="485"/>
      <c r="P79" s="485"/>
      <c r="Q79" s="1435"/>
      <c r="U79" s="1435"/>
      <c r="V79" s="1435"/>
    </row>
    <row r="80" spans="1:38" ht="13.15" customHeight="1">
      <c r="B80" s="479"/>
      <c r="C80" s="479"/>
      <c r="D80" s="485"/>
      <c r="E80" s="2817" t="s">
        <v>2109</v>
      </c>
      <c r="F80" s="2817"/>
      <c r="G80" s="2817"/>
      <c r="H80" s="2817"/>
      <c r="I80" s="2817"/>
      <c r="J80" s="2817"/>
      <c r="K80" s="2817"/>
      <c r="L80" s="2817"/>
      <c r="M80" s="2817"/>
      <c r="N80" s="2817"/>
      <c r="O80" s="485"/>
      <c r="P80" s="485"/>
      <c r="Q80" s="1435"/>
      <c r="U80" s="1435"/>
      <c r="V80" s="1435"/>
    </row>
    <row r="81" spans="1:38" ht="13.15" customHeight="1">
      <c r="B81" s="479"/>
      <c r="C81" s="479"/>
      <c r="D81" s="485"/>
      <c r="E81" s="2385" t="s">
        <v>1608</v>
      </c>
      <c r="F81" s="2846"/>
      <c r="G81" s="2846"/>
      <c r="H81" s="2846"/>
      <c r="I81" s="2846"/>
      <c r="J81" s="2846"/>
      <c r="K81" s="2846"/>
      <c r="L81" s="2846"/>
      <c r="M81" s="2846"/>
      <c r="N81" s="2846"/>
      <c r="O81" s="485"/>
      <c r="P81" s="485"/>
      <c r="Q81" s="1435"/>
      <c r="U81" s="1435"/>
      <c r="V81" s="1435"/>
      <c r="W81" s="1435"/>
      <c r="X81" s="1435"/>
      <c r="Y81" s="1435"/>
      <c r="Z81" s="1435"/>
    </row>
    <row r="82" spans="1:38" ht="13.5" thickBot="1">
      <c r="B82" s="1124"/>
      <c r="C82" s="485"/>
      <c r="D82" s="482"/>
      <c r="E82" s="927" t="s">
        <v>62</v>
      </c>
      <c r="F82" s="518"/>
      <c r="G82" s="663" t="str">
        <f>EUconst_Unit</f>
        <v>Unit</v>
      </c>
      <c r="H82" s="578">
        <f>H$3242</f>
        <v>2024</v>
      </c>
      <c r="I82" s="578">
        <f>I$3242</f>
        <v>2025</v>
      </c>
      <c r="J82" s="1677">
        <f>J$112</f>
        <v>2026</v>
      </c>
      <c r="K82" s="1677">
        <f>K$112</f>
        <v>2027</v>
      </c>
      <c r="L82" s="1677">
        <f>L$112</f>
        <v>2028</v>
      </c>
      <c r="M82" s="1677">
        <f>M$112</f>
        <v>2029</v>
      </c>
      <c r="N82" s="1677">
        <f>N$112</f>
        <v>2030</v>
      </c>
      <c r="O82" s="485"/>
      <c r="P82" s="485"/>
      <c r="R82" s="1503"/>
      <c r="S82" s="1633" t="s">
        <v>1846</v>
      </c>
      <c r="T82" s="1638">
        <f>H82</f>
        <v>2024</v>
      </c>
      <c r="U82" s="1638">
        <f t="shared" ref="U82:Z82" si="16">I82</f>
        <v>2025</v>
      </c>
      <c r="V82" s="1638">
        <f t="shared" si="16"/>
        <v>2026</v>
      </c>
      <c r="W82" s="1638">
        <f t="shared" si="16"/>
        <v>2027</v>
      </c>
      <c r="X82" s="1638">
        <f t="shared" si="16"/>
        <v>2028</v>
      </c>
      <c r="Y82" s="1638">
        <f t="shared" si="16"/>
        <v>2029</v>
      </c>
      <c r="Z82" s="1638">
        <f t="shared" si="16"/>
        <v>2030</v>
      </c>
      <c r="AA82" s="1503"/>
      <c r="AC82" s="1638">
        <f t="shared" ref="AC82:AI82" si="17">H$20</f>
        <v>2024</v>
      </c>
      <c r="AD82" s="1638">
        <f t="shared" si="17"/>
        <v>2025</v>
      </c>
      <c r="AE82" s="1638">
        <f t="shared" si="17"/>
        <v>2026</v>
      </c>
      <c r="AF82" s="1638">
        <f t="shared" si="17"/>
        <v>2027</v>
      </c>
      <c r="AG82" s="1638">
        <f t="shared" si="17"/>
        <v>2028</v>
      </c>
      <c r="AH82" s="1638">
        <f t="shared" si="17"/>
        <v>2029</v>
      </c>
      <c r="AI82" s="1638">
        <f t="shared" si="17"/>
        <v>2030</v>
      </c>
    </row>
    <row r="83" spans="1:38" ht="13.15" customHeight="1" thickBot="1">
      <c r="B83" s="1124"/>
      <c r="C83" s="485"/>
      <c r="D83" s="561" t="s">
        <v>6</v>
      </c>
      <c r="E83" s="2788" t="s">
        <v>650</v>
      </c>
      <c r="F83" s="2788"/>
      <c r="G83" s="730" t="str">
        <f>EUconst_TJpa</f>
        <v>TJ / year</v>
      </c>
      <c r="H83" s="1479" t="str">
        <f>c_ALR2025!M2789</f>
        <v/>
      </c>
      <c r="I83" s="1857"/>
      <c r="J83" s="1684"/>
      <c r="K83" s="1684"/>
      <c r="L83" s="1684"/>
      <c r="M83" s="1684"/>
      <c r="N83" s="1684"/>
      <c r="O83" s="485"/>
      <c r="P83" s="9"/>
      <c r="Q83" s="1443" t="str">
        <f>EUconst_CNTR_HAL&amp;EUconst_CNTR_nonETSMeasHeat</f>
        <v>HAL_non-ETS measurable heat</v>
      </c>
      <c r="S83" s="1633"/>
      <c r="T83" s="1701" t="str">
        <f t="shared" ref="T83:Z83" si="18">IF(H83="","",SUM(H83)*EUconst_HeatBMvalue)</f>
        <v/>
      </c>
      <c r="U83" s="1701" t="str">
        <f t="shared" si="18"/>
        <v/>
      </c>
      <c r="V83" s="1701" t="str">
        <f t="shared" si="18"/>
        <v/>
      </c>
      <c r="W83" s="1701" t="str">
        <f t="shared" si="18"/>
        <v/>
      </c>
      <c r="X83" s="1701" t="str">
        <f t="shared" si="18"/>
        <v/>
      </c>
      <c r="Y83" s="1701" t="str">
        <f t="shared" si="18"/>
        <v/>
      </c>
      <c r="Z83" s="1701" t="str">
        <f t="shared" si="18"/>
        <v/>
      </c>
      <c r="AB83" s="1641" t="s">
        <v>717</v>
      </c>
      <c r="AC83" s="1853" t="b">
        <f t="shared" ref="AC83:AI83" si="19">IF(CNTR_ExistSubInstEntries,OR($I13="",H20&gt;=CNTR_ReportingYear,AC82&lt;$V13-1),FALSE)</f>
        <v>0</v>
      </c>
      <c r="AD83" s="1642" t="b">
        <f t="shared" si="19"/>
        <v>0</v>
      </c>
      <c r="AE83" s="1642" t="b">
        <f t="shared" si="19"/>
        <v>0</v>
      </c>
      <c r="AF83" s="1642" t="b">
        <f t="shared" si="19"/>
        <v>0</v>
      </c>
      <c r="AG83" s="1642" t="b">
        <f t="shared" si="19"/>
        <v>0</v>
      </c>
      <c r="AH83" s="1642" t="b">
        <f t="shared" si="19"/>
        <v>0</v>
      </c>
      <c r="AI83" s="1643" t="b">
        <f t="shared" si="19"/>
        <v>0</v>
      </c>
      <c r="AJ83" s="1633" t="s">
        <v>1954</v>
      </c>
      <c r="AK83" s="1635" t="str">
        <f>IF(AND(CNTR_ExistSubInstEntries,COUNTIFS(AC83:AI83,FALSE,H83:N83,"")&gt;0),EUconst_Error&amp;"BM"&amp;$Q13,"")</f>
        <v/>
      </c>
    </row>
    <row r="84" spans="1:38">
      <c r="B84" s="1124"/>
      <c r="C84" s="485"/>
      <c r="D84" s="561" t="s">
        <v>7</v>
      </c>
      <c r="E84" s="2606" t="s">
        <v>107</v>
      </c>
      <c r="F84" s="2606"/>
      <c r="G84" s="950" t="s">
        <v>1022</v>
      </c>
      <c r="H84" s="36" t="str">
        <f>IF(AND(ISNUMBER(H83),ISNUMBER(E_EnergyFlows!H$114)), H83/E_EnergyFlows!H$114*100,"")</f>
        <v/>
      </c>
      <c r="I84" s="36" t="str">
        <f>IF(AND(ISNUMBER(I83),ISNUMBER(E_EnergyFlows!I$114)), I83/E_EnergyFlows!I$114*100,"")</f>
        <v/>
      </c>
      <c r="J84" s="13" t="str">
        <f>IF(AND(ISNUMBER(J83),ISNUMBER(E_EnergyFlows!J$114)), J83/E_EnergyFlows!J$114*100,"")</f>
        <v/>
      </c>
      <c r="K84" s="13" t="str">
        <f>IF(AND(ISNUMBER(K83),ISNUMBER(E_EnergyFlows!K$114)), K83/E_EnergyFlows!K$114*100,"")</f>
        <v/>
      </c>
      <c r="L84" s="13" t="str">
        <f>IF(AND(ISNUMBER(L83),ISNUMBER(E_EnergyFlows!L$114)), L83/E_EnergyFlows!L$114*100,"")</f>
        <v/>
      </c>
      <c r="M84" s="13" t="str">
        <f>IF(AND(ISNUMBER(M83),ISNUMBER(E_EnergyFlows!M$114)), M83/E_EnergyFlows!M$114*100,"")</f>
        <v/>
      </c>
      <c r="N84" s="13" t="str">
        <f>IF(AND(ISNUMBER(N83),ISNUMBER(E_EnergyFlows!N$114)), N83/E_EnergyFlows!N$114*100,"")</f>
        <v/>
      </c>
      <c r="O84" s="485"/>
      <c r="P84" s="485"/>
      <c r="Q84" s="1504" t="str">
        <f>EUconst_CNTR_HEAT &amp; I13</f>
        <v>HEAT_</v>
      </c>
      <c r="R84" s="1435"/>
      <c r="U84" s="1435"/>
      <c r="V84" s="1435"/>
    </row>
    <row r="85" spans="1:38" ht="12.6" customHeight="1">
      <c r="B85" s="1124"/>
      <c r="C85" s="485"/>
      <c r="D85" s="561" t="s">
        <v>8</v>
      </c>
      <c r="E85" s="2586" t="s">
        <v>1548</v>
      </c>
      <c r="F85" s="2586"/>
      <c r="G85" s="951" t="s">
        <v>1022</v>
      </c>
      <c r="H85" s="37" t="str">
        <f>IFERROR(IF(AND(H226&gt;0,ISNUMBER(H83)), H83/H226*100,""),"")</f>
        <v/>
      </c>
      <c r="I85" s="37" t="str">
        <f t="shared" ref="I85:N85" si="20">IF(AND(I226&gt;0,ISNUMBER(I83)), I83/I226*100,"")</f>
        <v/>
      </c>
      <c r="J85" s="13" t="str">
        <f t="shared" si="20"/>
        <v/>
      </c>
      <c r="K85" s="13" t="str">
        <f t="shared" si="20"/>
        <v/>
      </c>
      <c r="L85" s="13" t="str">
        <f t="shared" si="20"/>
        <v/>
      </c>
      <c r="M85" s="13" t="str">
        <f t="shared" si="20"/>
        <v/>
      </c>
      <c r="N85" s="13" t="str">
        <f t="shared" si="20"/>
        <v/>
      </c>
      <c r="O85" s="485"/>
      <c r="P85" s="485"/>
      <c r="U85" s="1435"/>
      <c r="V85" s="1435"/>
    </row>
    <row r="86" spans="1:38" ht="5.0999999999999996" customHeight="1">
      <c r="B86" s="1124"/>
      <c r="C86" s="485"/>
      <c r="D86" s="485"/>
      <c r="E86" s="485"/>
      <c r="F86" s="485"/>
      <c r="G86" s="485"/>
      <c r="H86" s="485"/>
      <c r="I86" s="952"/>
      <c r="J86" s="485"/>
      <c r="K86" s="485"/>
      <c r="L86" s="485"/>
      <c r="M86" s="485"/>
      <c r="N86" s="485"/>
      <c r="O86" s="485"/>
      <c r="P86" s="485"/>
      <c r="Q86" s="1702"/>
      <c r="U86" s="1435"/>
      <c r="V86" s="1435"/>
    </row>
    <row r="87" spans="1:38" ht="25.5" customHeight="1" thickBot="1">
      <c r="B87" s="479"/>
      <c r="C87" s="479"/>
      <c r="D87" s="485"/>
      <c r="E87" s="2385" t="s">
        <v>2703</v>
      </c>
      <c r="F87" s="2846"/>
      <c r="G87" s="2846"/>
      <c r="H87" s="2846"/>
      <c r="I87" s="2846"/>
      <c r="J87" s="2846"/>
      <c r="K87" s="2846"/>
      <c r="L87" s="2846"/>
      <c r="M87" s="2846"/>
      <c r="N87" s="2846"/>
      <c r="O87" s="485"/>
      <c r="P87" s="485"/>
      <c r="Q87" s="1435"/>
      <c r="S87" s="1435"/>
      <c r="T87" s="1435"/>
      <c r="U87" s="1435"/>
    </row>
    <row r="88" spans="1:38" ht="5.0999999999999996" customHeight="1" thickBot="1">
      <c r="B88" s="479"/>
      <c r="C88" s="479"/>
      <c r="D88" s="902"/>
      <c r="E88" s="904"/>
      <c r="F88" s="953"/>
      <c r="G88" s="953"/>
      <c r="H88" s="953"/>
      <c r="I88" s="953"/>
      <c r="J88" s="954"/>
      <c r="K88" s="1646"/>
      <c r="L88" s="1646"/>
      <c r="M88" s="1646"/>
      <c r="N88" s="1646"/>
      <c r="O88" s="485"/>
      <c r="P88" s="485"/>
      <c r="Q88" s="1435"/>
      <c r="S88" s="1435"/>
      <c r="T88" s="1435"/>
      <c r="U88" s="1435"/>
    </row>
    <row r="89" spans="1:38" ht="12.75" customHeight="1">
      <c r="B89" s="479"/>
      <c r="C89" s="479"/>
      <c r="D89" s="907" t="s">
        <v>1916</v>
      </c>
      <c r="E89" s="908" t="s">
        <v>1774</v>
      </c>
      <c r="F89" s="909"/>
      <c r="G89" s="909"/>
      <c r="H89" s="910" t="str">
        <f>EUconst_Unit</f>
        <v>Unit</v>
      </c>
      <c r="I89" s="911" t="s">
        <v>2213</v>
      </c>
      <c r="J89" s="1647">
        <f>J$3242</f>
        <v>2026</v>
      </c>
      <c r="K89" s="1476">
        <f>K$3242</f>
        <v>2027</v>
      </c>
      <c r="L89" s="1476">
        <f>L$3242</f>
        <v>2028</v>
      </c>
      <c r="M89" s="1476">
        <f>M$3242</f>
        <v>2029</v>
      </c>
      <c r="N89" s="1476">
        <f>N$3242</f>
        <v>2030</v>
      </c>
      <c r="O89" s="485"/>
      <c r="P89" s="485"/>
      <c r="Q89" s="1435"/>
      <c r="U89" s="1648"/>
      <c r="V89" s="1649">
        <f>J89</f>
        <v>2026</v>
      </c>
      <c r="W89" s="1649">
        <f>K89</f>
        <v>2027</v>
      </c>
      <c r="X89" s="1649">
        <f>L89</f>
        <v>2028</v>
      </c>
      <c r="Y89" s="1649">
        <f>M89</f>
        <v>2029</v>
      </c>
      <c r="Z89" s="1650">
        <f>N89</f>
        <v>2030</v>
      </c>
    </row>
    <row r="90" spans="1:38" ht="12.75" customHeight="1">
      <c r="B90" s="479"/>
      <c r="C90" s="479"/>
      <c r="D90" s="915" t="s">
        <v>6</v>
      </c>
      <c r="E90" s="916" t="s">
        <v>1691</v>
      </c>
      <c r="F90" s="916"/>
      <c r="G90" s="916"/>
      <c r="H90" s="944" t="str">
        <f>EUconst_tCO2</f>
        <v>t CO2</v>
      </c>
      <c r="I90" s="917" t="str">
        <f>INDEX('B+C_SubInstallations'!$J:$J,MATCH(Q90,'B+C_SubInstallations'!$U:$U,0))</f>
        <v/>
      </c>
      <c r="J90" s="1703" t="str">
        <f>IF(AND(V90&gt;=3,CNTR_ReportingYear&gt;J89-1),AVERAGE(SUM(T83),SUM(U83)),"")</f>
        <v/>
      </c>
      <c r="K90" s="1652" t="str">
        <f>IF(AND(W90&gt;=3,CNTR_ReportingYear&gt;K89-1),AVERAGE(SUM(U83),SUM(V83)),"")</f>
        <v/>
      </c>
      <c r="L90" s="1652" t="str">
        <f>IF(AND(X90&gt;=3,CNTR_ReportingYear&gt;L89-1),AVERAGE(SUM(V83),SUM(W83)),"")</f>
        <v/>
      </c>
      <c r="M90" s="1652" t="str">
        <f>IF(AND(Y90&gt;=3,CNTR_ReportingYear&gt;M89-1),AVERAGE(SUM(W83),SUM(X83)),"")</f>
        <v/>
      </c>
      <c r="N90" s="1652" t="str">
        <f>IF(AND(Z90&gt;=3,CNTR_ReportingYear&gt;N89-1),AVERAGE(SUM(X83),SUM(Y83)),"")</f>
        <v/>
      </c>
      <c r="O90" s="485"/>
      <c r="P90" s="485"/>
      <c r="Q90" s="1704" t="str">
        <f>EUconst_CNTR_HEATInitial &amp; I13</f>
        <v>HEATIni_</v>
      </c>
      <c r="U90" s="1663" t="s">
        <v>1650</v>
      </c>
      <c r="V90" s="1635">
        <f>V35</f>
        <v>0</v>
      </c>
      <c r="W90" s="1635">
        <f>W35</f>
        <v>0</v>
      </c>
      <c r="X90" s="1635">
        <f>X35</f>
        <v>0</v>
      </c>
      <c r="Y90" s="1635">
        <f>Y35</f>
        <v>0</v>
      </c>
      <c r="Z90" s="1654">
        <f>Z35</f>
        <v>0</v>
      </c>
    </row>
    <row r="91" spans="1:38" ht="12.75" hidden="1" customHeight="1">
      <c r="A91" s="618" t="s">
        <v>2289</v>
      </c>
      <c r="B91" s="479"/>
      <c r="C91" s="479"/>
      <c r="D91" s="915"/>
      <c r="E91" s="916" t="s">
        <v>1776</v>
      </c>
      <c r="F91" s="916"/>
      <c r="G91" s="916"/>
      <c r="H91" s="921"/>
      <c r="I91" s="1657"/>
      <c r="J91" s="17" t="str">
        <f>IF(J90="","",IF($I93=0,IF(J90=0,0%,100%),J90/$I93-1))</f>
        <v/>
      </c>
      <c r="K91" s="15" t="str">
        <f>IF(K90="","",IF($I93=0,IF(K90=0,0%,100%),K90/$I93-1))</f>
        <v/>
      </c>
      <c r="L91" s="15" t="str">
        <f>IF(L90="","",IF($I93=0,IF(L90=0,0%,100%),L90/$I93-1))</f>
        <v/>
      </c>
      <c r="M91" s="15" t="str">
        <f>IF(M90="","",IF($I93=0,IF(M90=0,0%,100%),M90/$I93-1))</f>
        <v/>
      </c>
      <c r="N91" s="15" t="str">
        <f>IF(N90="","",IF($I93=0,IF(N90=0,0%,100%),N90/$I93-1))</f>
        <v/>
      </c>
      <c r="O91" s="485"/>
      <c r="P91" s="485"/>
      <c r="Q91" s="1644" t="str">
        <f>EUconst_CNTR_RelThreshold &amp; Q93</f>
        <v>RelThresh_HEATprelim_</v>
      </c>
      <c r="U91" s="1663" t="s">
        <v>1655</v>
      </c>
      <c r="V91" s="1158" t="str">
        <f>IF(J90="","",ABS(J91)&gt;15%)</f>
        <v/>
      </c>
      <c r="W91" s="1158" t="str">
        <f>IF(K90="","",ABS(K91)&gt;15%)</f>
        <v/>
      </c>
      <c r="X91" s="1158" t="str">
        <f>IF(L90="","",ABS(L91)&gt;15%)</f>
        <v/>
      </c>
      <c r="Y91" s="1158" t="str">
        <f>IF(M90="","",ABS(M91)&gt;15%)</f>
        <v/>
      </c>
      <c r="Z91" s="1656" t="str">
        <f>IF(N90="","",ABS(N91)&gt;15%)</f>
        <v/>
      </c>
    </row>
    <row r="92" spans="1:38" ht="12.75" customHeight="1">
      <c r="A92" s="618"/>
      <c r="B92" s="479"/>
      <c r="C92" s="479"/>
      <c r="D92" s="915" t="s">
        <v>7</v>
      </c>
      <c r="E92" s="916" t="s">
        <v>1654</v>
      </c>
      <c r="F92" s="916"/>
      <c r="G92" s="916"/>
      <c r="H92" s="921"/>
      <c r="I92" s="1657"/>
      <c r="J92" s="1658" t="str">
        <f>IF(J90="","",IF(V91=FALSE,0%,J91))</f>
        <v/>
      </c>
      <c r="K92" s="1659" t="str">
        <f>IF(K90="","",IF(W91=FALSE,0%,K91))</f>
        <v/>
      </c>
      <c r="L92" s="1659" t="str">
        <f>IF(L90="","",IF(X91=FALSE,0%,L91))</f>
        <v/>
      </c>
      <c r="M92" s="1659" t="str">
        <f>IF(M90="","",IF(Y91=FALSE,0%,M91))</f>
        <v/>
      </c>
      <c r="N92" s="1659" t="str">
        <f>IF(N90="","",IF(Z91=FALSE,0%,N91))</f>
        <v/>
      </c>
      <c r="O92" s="485"/>
      <c r="P92" s="485"/>
      <c r="Q92" s="1435"/>
      <c r="U92" s="1665"/>
      <c r="Z92" s="1664"/>
      <c r="AL92" s="1435"/>
    </row>
    <row r="93" spans="1:38" ht="12.75" hidden="1" customHeight="1">
      <c r="A93" s="618" t="s">
        <v>2289</v>
      </c>
      <c r="B93" s="479"/>
      <c r="C93" s="479"/>
      <c r="D93" s="915"/>
      <c r="E93" s="916" t="s">
        <v>1689</v>
      </c>
      <c r="F93" s="916"/>
      <c r="G93" s="916"/>
      <c r="H93" s="944" t="str">
        <f>H90</f>
        <v>t CO2</v>
      </c>
      <c r="I93" s="917" t="str">
        <f>IF($I13="","",IF(AB13=FALSE,EUconst_NA,IF(V13&gt;($J$3242-3),SUM(INDEX(H83:N83,MATCH(V13,H82:N82,0))*EUconst_HeatBMvalue),SUM(I90))))</f>
        <v/>
      </c>
      <c r="J93" s="1651" t="str">
        <f>IF($I13="","",IF(V90&lt;2,SUM(V83),IF(V90&lt;3,SUM(U83),IF(V93="",I93,V93))))</f>
        <v/>
      </c>
      <c r="K93" s="1652" t="str">
        <f>IF($I13="","",IF(W90&lt;2,SUM(W83),IF(W90&lt;3,SUM(V83),IF(W93="",J93,W93))))</f>
        <v/>
      </c>
      <c r="L93" s="1652" t="str">
        <f>IF($I13="","",IF(X90&lt;2,SUM(X83),IF(X90&lt;3,SUM(W83),IF(X93="",K93,X93))))</f>
        <v/>
      </c>
      <c r="M93" s="1652" t="str">
        <f>IF($I13="","",IF(Y90&lt;2,SUM(Y83),IF(Y90&lt;3,SUM(X83),IF(Y93="",L93,Y93))))</f>
        <v/>
      </c>
      <c r="N93" s="1652" t="str">
        <f>IF($I13="","",IF(Z90&lt;2,SUM(Z83),IF(Z90&lt;3,SUM(Y83),IF(Z93="",M93,Z93))))</f>
        <v/>
      </c>
      <c r="O93" s="485"/>
      <c r="P93" s="485"/>
      <c r="Q93" s="1644" t="str">
        <f>EUconst_CNTR_HEATprelim &amp; I13</f>
        <v>HEATprelim_</v>
      </c>
      <c r="U93" s="1663" t="s">
        <v>1697</v>
      </c>
      <c r="V93" s="1705" t="str">
        <f>IF(J90="","",IF(CNTR_ReportingYear&lt;J89,I92,IF($I93=0,J90,$I93*(1+J92))))</f>
        <v/>
      </c>
      <c r="W93" s="1705" t="str">
        <f>IF(K90="","",IF(CNTR_ReportingYear&lt;K89,J92,IF($I93=0,K90,$I93*(1+K92))))</f>
        <v/>
      </c>
      <c r="X93" s="1705" t="str">
        <f>IF(L90="","",IF(CNTR_ReportingYear&lt;L89,K92,IF($I93=0,L90,$I93*(1+L92))))</f>
        <v/>
      </c>
      <c r="Y93" s="1705" t="str">
        <f>IF(M90="","",IF(CNTR_ReportingYear&lt;M89,L92,IF($I93=0,M90,$I93*(1+M92))))</f>
        <v/>
      </c>
      <c r="Z93" s="1706" t="str">
        <f>IF(N90="","",IF(CNTR_ReportingYear&lt;N89,M92,IF($I93=0,N90,$I93*(1+N92))))</f>
        <v/>
      </c>
      <c r="AL93" s="1435"/>
    </row>
    <row r="94" spans="1:38" ht="5.0999999999999996" customHeight="1">
      <c r="A94" s="618"/>
      <c r="B94" s="479"/>
      <c r="C94" s="479"/>
      <c r="D94" s="915"/>
      <c r="E94" s="909"/>
      <c r="F94" s="909"/>
      <c r="G94" s="909"/>
      <c r="H94" s="909"/>
      <c r="I94" s="909"/>
      <c r="J94" s="922"/>
      <c r="K94" s="1662"/>
      <c r="L94" s="1662"/>
      <c r="M94" s="1662"/>
      <c r="N94" s="1662"/>
      <c r="O94" s="485"/>
      <c r="P94" s="485"/>
      <c r="Q94" s="1435"/>
      <c r="U94" s="1663"/>
      <c r="V94" s="1435"/>
      <c r="Z94" s="1664"/>
      <c r="AL94" s="1435"/>
    </row>
    <row r="95" spans="1:38" ht="12.75" customHeight="1">
      <c r="A95" s="618"/>
      <c r="B95" s="479"/>
      <c r="C95" s="479"/>
      <c r="D95" s="915"/>
      <c r="E95" s="923" t="s">
        <v>1653</v>
      </c>
      <c r="F95" s="923"/>
      <c r="G95" s="923"/>
      <c r="H95" s="923"/>
      <c r="I95" s="923"/>
      <c r="J95" s="1647">
        <f>J$3242</f>
        <v>2026</v>
      </c>
      <c r="K95" s="1476">
        <f>K$3242</f>
        <v>2027</v>
      </c>
      <c r="L95" s="1476">
        <f>L$3242</f>
        <v>2028</v>
      </c>
      <c r="M95" s="1476">
        <f>M$3242</f>
        <v>2029</v>
      </c>
      <c r="N95" s="1476">
        <f>N$3242</f>
        <v>2030</v>
      </c>
      <c r="O95" s="485"/>
      <c r="P95" s="485"/>
      <c r="Q95" s="1435"/>
      <c r="U95" s="1665"/>
      <c r="Z95" s="1664"/>
      <c r="AL95" s="1435"/>
    </row>
    <row r="96" spans="1:38" ht="12.75" customHeight="1">
      <c r="A96" s="618"/>
      <c r="B96" s="479"/>
      <c r="C96" s="479"/>
      <c r="D96" s="915" t="s">
        <v>8</v>
      </c>
      <c r="E96" s="916" t="s">
        <v>2108</v>
      </c>
      <c r="F96" s="916"/>
      <c r="G96" s="916"/>
      <c r="H96" s="916"/>
      <c r="I96" s="916"/>
      <c r="J96" s="1666" t="str">
        <f>IF($I13="","",INDEX(K_Summary!J:J,MATCH($Q96,K_Summary!$P:$P,0)))</f>
        <v/>
      </c>
      <c r="K96" s="1662" t="str">
        <f>IF($I13="","",INDEX(K_Summary!K:K,MATCH($Q96,K_Summary!$P:$P,0)))</f>
        <v/>
      </c>
      <c r="L96" s="1662" t="str">
        <f>IF($I13="","",INDEX(K_Summary!L:L,MATCH($Q96,K_Summary!$P:$P,0)))</f>
        <v/>
      </c>
      <c r="M96" s="1662" t="str">
        <f>IF($I13="","",INDEX(K_Summary!M:M,MATCH($Q96,K_Summary!$P:$P,0)))</f>
        <v/>
      </c>
      <c r="N96" s="1662" t="str">
        <f>IF($I13="","",INDEX(K_Summary!N:N,MATCH($Q96,K_Summary!$P:$P,0)))</f>
        <v/>
      </c>
      <c r="O96" s="485"/>
      <c r="P96" s="485"/>
      <c r="Q96" s="1644" t="str">
        <f>EUconst_CNTR_100EUA_HEAT&amp;I13</f>
        <v>EUA100HEAT_</v>
      </c>
      <c r="U96" s="1665"/>
      <c r="Z96" s="1664"/>
      <c r="AL96" s="1435"/>
    </row>
    <row r="97" spans="1:38" ht="5.0999999999999996" customHeight="1" thickBot="1">
      <c r="A97" s="618"/>
      <c r="B97" s="479"/>
      <c r="C97" s="479"/>
      <c r="D97" s="915"/>
      <c r="E97" s="909"/>
      <c r="F97" s="909"/>
      <c r="G97" s="909"/>
      <c r="H97" s="909"/>
      <c r="I97" s="909"/>
      <c r="J97" s="922"/>
      <c r="K97" s="1662"/>
      <c r="L97" s="1662"/>
      <c r="M97" s="1662"/>
      <c r="N97" s="1662"/>
      <c r="O97" s="485"/>
      <c r="P97" s="485"/>
      <c r="Q97" s="1435"/>
      <c r="U97" s="1663"/>
      <c r="V97" s="1435"/>
      <c r="Z97" s="1664"/>
      <c r="AL97" s="1435"/>
    </row>
    <row r="98" spans="1:38" ht="12.75" customHeight="1" thickBot="1">
      <c r="B98"/>
      <c r="C98"/>
      <c r="D98" s="915" t="s">
        <v>18</v>
      </c>
      <c r="E98" s="916" t="s">
        <v>1657</v>
      </c>
      <c r="F98" s="916"/>
      <c r="G98" s="916"/>
      <c r="H98" s="921"/>
      <c r="I98" s="1667"/>
      <c r="J98" s="1668" t="str">
        <f>IF(J96="","",IF(OR(J96,V90&lt;1),J92,I98))</f>
        <v/>
      </c>
      <c r="K98" s="1669" t="str">
        <f>IF(K96="","",IF(OR(K96,W90&lt;1),K92,J98))</f>
        <v/>
      </c>
      <c r="L98" s="1669" t="str">
        <f>IF(L96="","",IF(OR(L96,X90&lt;1),L92,K98))</f>
        <v/>
      </c>
      <c r="M98" s="1669" t="str">
        <f>IF(M96="","",IF(OR(M96,Y90&lt;1),M92,L98))</f>
        <v/>
      </c>
      <c r="N98" s="1669" t="str">
        <f>IF(N96="","",IF(OR(N96,Z90&lt;1),N92,M98))</f>
        <v/>
      </c>
      <c r="O98" s="485"/>
      <c r="P98" s="485"/>
      <c r="Q98" s="1435"/>
      <c r="U98" s="1663" t="s">
        <v>1658</v>
      </c>
      <c r="V98" s="1670">
        <f>J95</f>
        <v>2026</v>
      </c>
      <c r="W98" s="1670">
        <f>K95</f>
        <v>2027</v>
      </c>
      <c r="X98" s="1670">
        <f>L95</f>
        <v>2028</v>
      </c>
      <c r="Y98" s="1670">
        <f>M95</f>
        <v>2029</v>
      </c>
      <c r="Z98" s="1671">
        <f>N95</f>
        <v>2030</v>
      </c>
      <c r="AL98" s="1435"/>
    </row>
    <row r="99" spans="1:38" ht="12.75" customHeight="1" thickBot="1">
      <c r="A99" s="618"/>
      <c r="B99"/>
      <c r="C99"/>
      <c r="D99" s="915" t="s">
        <v>787</v>
      </c>
      <c r="E99" s="916" t="s">
        <v>1659</v>
      </c>
      <c r="F99" s="916"/>
      <c r="G99" s="916"/>
      <c r="H99" s="944" t="str">
        <f>H90</f>
        <v>t CO2</v>
      </c>
      <c r="I99" s="917" t="str">
        <f>I93</f>
        <v/>
      </c>
      <c r="J99" s="1672" t="str">
        <f>IF($I13="","",IF(OR($I99=0,$I99=EUconst_NA,J98=""),IF(OR(J96=TRUE,J95&lt;=$V13),J93,SUM(I99)),$I99*(1+SUM(J98))))</f>
        <v/>
      </c>
      <c r="K99" s="1673" t="str">
        <f>IF($I13="","",IF(OR($I99=0,$I99=EUconst_NA,K98=""),IF(OR(K96=TRUE,K95&lt;=$V13),K93,SUM(J99)),$I99*(1+SUM(K98))))</f>
        <v/>
      </c>
      <c r="L99" s="1673" t="str">
        <f>IF($I13="","",IF(OR($I99=0,$I99=EUconst_NA,L98=""),IF(OR(L96=TRUE,L95&lt;=$V13),L93,SUM(K99)),$I99*(1+SUM(L98))))</f>
        <v/>
      </c>
      <c r="M99" s="1673" t="str">
        <f>IF($I13="","",IF(OR($I99=0,$I99=EUconst_NA,M98=""),IF(OR(M96=TRUE,M95&lt;=$V13),M93,SUM(L99)),$I99*(1+SUM(M98))))</f>
        <v/>
      </c>
      <c r="N99" s="1673" t="str">
        <f>IF($I13="","",IF(OR($I99=0,$I99=EUconst_NA,N98=""),IF(OR(N96=TRUE,N95&lt;=$V13),N93,SUM(M99)),$I99*(1+SUM(N98))))</f>
        <v/>
      </c>
      <c r="O99" s="485"/>
      <c r="P99" s="485"/>
      <c r="Q99" s="1644" t="str">
        <f>EUconst_CNTR_HEATfinal &amp; I13</f>
        <v>HEATfinal_</v>
      </c>
      <c r="U99" s="1674" t="b">
        <v>0</v>
      </c>
      <c r="V99" s="1675" t="str">
        <f>IF(V21,IF(J96=TRUE,V91,U99),"")</f>
        <v/>
      </c>
      <c r="W99" s="1675" t="str">
        <f>IF(W21,IF(K96=TRUE,W91,V99),"")</f>
        <v/>
      </c>
      <c r="X99" s="1675" t="str">
        <f>IF(X21,IF(L96=TRUE,X91,W99),"")</f>
        <v/>
      </c>
      <c r="Y99" s="1675" t="str">
        <f>IF(Y21,IF(M96=TRUE,Y91,X99),"")</f>
        <v/>
      </c>
      <c r="Z99" s="1676" t="str">
        <f>IF(Z21,IF(N96=TRUE,Z91,Y99),"")</f>
        <v/>
      </c>
      <c r="AJ99" s="1633" t="s">
        <v>1951</v>
      </c>
      <c r="AK99" s="1443" t="str">
        <f>IF(OR(ISERROR(J99),ISERROR(K99),ISERROR(L99),ISERROR(M99),ISERROR(N99)),EUconst_Error &amp; "BM" &amp; Q13,"")</f>
        <v/>
      </c>
    </row>
    <row r="100" spans="1:38" ht="5.0999999999999996" customHeight="1" thickBot="1">
      <c r="B100"/>
      <c r="C100"/>
      <c r="D100" s="924"/>
      <c r="E100" s="925"/>
      <c r="F100" s="925"/>
      <c r="G100" s="925"/>
      <c r="H100" s="925"/>
      <c r="I100" s="955"/>
      <c r="J100" s="926"/>
      <c r="K100" s="1662"/>
      <c r="L100" s="1662"/>
      <c r="M100" s="1662"/>
      <c r="N100" s="1662"/>
      <c r="O100" s="485"/>
      <c r="P100" s="485"/>
      <c r="Q100" s="1702"/>
      <c r="S100" s="1435"/>
      <c r="T100" s="1435"/>
    </row>
    <row r="101" spans="1:38" ht="5.0999999999999996" customHeight="1">
      <c r="B101"/>
      <c r="C101"/>
      <c r="D101" s="485"/>
      <c r="E101" s="485"/>
      <c r="F101" s="485"/>
      <c r="G101" s="485"/>
      <c r="H101" s="485"/>
      <c r="I101" s="952"/>
      <c r="J101" s="485"/>
      <c r="K101" s="485"/>
      <c r="L101" s="485"/>
      <c r="M101" s="485"/>
      <c r="N101" s="485"/>
      <c r="O101" s="485"/>
      <c r="P101" s="485"/>
      <c r="Q101" s="1702"/>
      <c r="S101" s="1435"/>
      <c r="T101" s="1435"/>
    </row>
    <row r="102" spans="1:38" ht="13.15" customHeight="1">
      <c r="B102"/>
      <c r="C102"/>
      <c r="D102" s="2482" t="s">
        <v>103</v>
      </c>
      <c r="E102" s="2400"/>
      <c r="F102" s="2400"/>
      <c r="G102" s="2400"/>
      <c r="H102" s="2400"/>
      <c r="I102" s="2400"/>
      <c r="J102" s="2400"/>
      <c r="K102" s="2400"/>
      <c r="L102" s="2400"/>
      <c r="M102" s="2400"/>
      <c r="N102" s="2400"/>
      <c r="O102" s="485"/>
      <c r="P102" s="485"/>
      <c r="S102" s="1435"/>
      <c r="T102" s="1435"/>
    </row>
    <row r="103" spans="1:38" ht="5.0999999999999996" customHeight="1">
      <c r="B103"/>
      <c r="C103"/>
      <c r="D103" s="479"/>
      <c r="E103" s="479"/>
      <c r="F103" s="479"/>
      <c r="G103" s="479"/>
      <c r="H103" s="479"/>
      <c r="I103" s="479"/>
      <c r="J103" s="479"/>
      <c r="K103" s="479"/>
      <c r="L103" s="479"/>
      <c r="M103" s="479"/>
      <c r="N103" s="479"/>
      <c r="O103" s="485"/>
      <c r="P103" s="485"/>
      <c r="Q103" s="1435"/>
      <c r="R103" s="1435"/>
      <c r="S103" s="1435"/>
      <c r="T103" s="1435"/>
    </row>
    <row r="104" spans="1:38" ht="13.15" customHeight="1">
      <c r="B104"/>
      <c r="C104"/>
      <c r="D104" s="482" t="s">
        <v>57</v>
      </c>
      <c r="E104" s="2373" t="s">
        <v>108</v>
      </c>
      <c r="F104" s="2400"/>
      <c r="G104" s="2400"/>
      <c r="H104" s="2400"/>
      <c r="I104" s="2400"/>
      <c r="J104" s="2400"/>
      <c r="K104" s="2400"/>
      <c r="L104" s="2400"/>
      <c r="M104" s="2400"/>
      <c r="N104" s="2400"/>
      <c r="O104" s="485"/>
      <c r="P104" s="1707"/>
      <c r="Q104" s="1435"/>
      <c r="S104" s="1435"/>
      <c r="T104" s="1435"/>
    </row>
    <row r="105" spans="1:38" ht="25.5" customHeight="1">
      <c r="B105"/>
      <c r="C105"/>
      <c r="D105" s="485"/>
      <c r="E105" s="2817" t="s">
        <v>2110</v>
      </c>
      <c r="F105" s="2817"/>
      <c r="G105" s="2817"/>
      <c r="H105" s="2817"/>
      <c r="I105" s="2817"/>
      <c r="J105" s="2817"/>
      <c r="K105" s="2817"/>
      <c r="L105" s="2817"/>
      <c r="M105" s="2817"/>
      <c r="N105" s="2817"/>
      <c r="O105" s="485"/>
      <c r="P105" s="1707"/>
      <c r="Q105" s="1435"/>
      <c r="S105" s="1435"/>
      <c r="T105" s="1435"/>
    </row>
    <row r="106" spans="1:38" ht="25.5" customHeight="1">
      <c r="B106"/>
      <c r="C106"/>
      <c r="D106" s="485"/>
      <c r="E106" s="2385" t="s">
        <v>1636</v>
      </c>
      <c r="F106" s="2846"/>
      <c r="G106" s="2846"/>
      <c r="H106" s="2846"/>
      <c r="I106" s="2846"/>
      <c r="J106" s="2846"/>
      <c r="K106" s="2846"/>
      <c r="L106" s="2846"/>
      <c r="M106" s="2846"/>
      <c r="N106" s="2846"/>
      <c r="O106" s="485"/>
      <c r="P106" s="1707"/>
      <c r="Q106" s="1435"/>
      <c r="S106" s="1435"/>
      <c r="T106" s="1435"/>
    </row>
    <row r="107" spans="1:38" ht="13.15" customHeight="1">
      <c r="B107"/>
      <c r="C107"/>
      <c r="D107" s="485"/>
      <c r="E107" s="2385" t="s">
        <v>2119</v>
      </c>
      <c r="F107" s="2846"/>
      <c r="G107" s="2846"/>
      <c r="H107" s="2846"/>
      <c r="I107" s="2846"/>
      <c r="J107" s="2846"/>
      <c r="K107" s="2846"/>
      <c r="L107" s="2846"/>
      <c r="M107" s="2846"/>
      <c r="N107" s="2846"/>
      <c r="O107" s="485"/>
      <c r="P107" s="1707"/>
      <c r="Q107" s="1435"/>
      <c r="S107" s="1435"/>
      <c r="T107" s="1435"/>
    </row>
    <row r="108" spans="1:38" ht="13.15" customHeight="1">
      <c r="B108"/>
      <c r="C108"/>
      <c r="D108" s="485"/>
      <c r="E108" s="3306" t="s">
        <v>2111</v>
      </c>
      <c r="F108" s="3306"/>
      <c r="G108" s="3306"/>
      <c r="H108" s="3306"/>
      <c r="I108" s="3306"/>
      <c r="J108" s="3306"/>
      <c r="K108" s="3306"/>
      <c r="L108" s="3306"/>
      <c r="M108" s="3306"/>
      <c r="N108" s="3306"/>
      <c r="O108" s="485"/>
      <c r="P108" s="1707"/>
      <c r="Q108" s="1435"/>
      <c r="S108" s="1435"/>
      <c r="T108" s="1435"/>
    </row>
    <row r="109" spans="1:38" ht="5.0999999999999996" customHeight="1">
      <c r="B109"/>
      <c r="C109"/>
      <c r="D109" s="479"/>
      <c r="E109" s="479"/>
      <c r="F109" s="479"/>
      <c r="G109" s="479"/>
      <c r="H109" s="479"/>
      <c r="I109" s="479"/>
      <c r="J109" s="479"/>
      <c r="K109" s="479"/>
      <c r="L109" s="479"/>
      <c r="M109" s="479"/>
      <c r="N109" s="479"/>
      <c r="O109" s="485"/>
      <c r="P109" s="1707"/>
      <c r="Q109" s="1435"/>
      <c r="R109" s="1435"/>
      <c r="S109" s="1435"/>
      <c r="T109" s="1435"/>
    </row>
    <row r="110" spans="1:38" ht="13.15" customHeight="1">
      <c r="B110"/>
      <c r="C110"/>
      <c r="D110" s="482" t="s">
        <v>58</v>
      </c>
      <c r="E110" s="2373" t="s">
        <v>1013</v>
      </c>
      <c r="F110" s="2400"/>
      <c r="G110" s="2400"/>
      <c r="H110" s="2400"/>
      <c r="I110" s="2400"/>
      <c r="J110" s="2400"/>
      <c r="K110" s="2400"/>
      <c r="L110" s="2400"/>
      <c r="M110" s="2400"/>
      <c r="N110" s="2400"/>
      <c r="O110" s="485"/>
      <c r="P110" s="1707"/>
      <c r="Q110" s="1435"/>
      <c r="S110" s="1435"/>
      <c r="T110" s="1435"/>
    </row>
    <row r="111" spans="1:38" ht="13.15" customHeight="1">
      <c r="B111"/>
      <c r="C111"/>
      <c r="D111" s="482"/>
      <c r="E111" s="497"/>
      <c r="F111" s="515"/>
      <c r="G111" s="515"/>
      <c r="H111" s="515"/>
      <c r="I111" s="515"/>
      <c r="J111" s="515"/>
      <c r="K111" s="515"/>
      <c r="L111" s="515"/>
      <c r="M111" s="515"/>
      <c r="N111" s="515"/>
      <c r="O111" s="485"/>
      <c r="P111" s="1707"/>
      <c r="Q111" s="1435"/>
      <c r="S111" s="1435"/>
      <c r="T111" s="1435"/>
    </row>
    <row r="112" spans="1:38" ht="30" customHeight="1" thickBot="1">
      <c r="B112"/>
      <c r="C112"/>
      <c r="D112" s="956"/>
      <c r="E112" s="1067" t="s">
        <v>2112</v>
      </c>
      <c r="F112" s="958" t="s">
        <v>949</v>
      </c>
      <c r="G112" s="959" t="str">
        <f>EUconst_Unit</f>
        <v>Unit</v>
      </c>
      <c r="H112" s="671">
        <f t="shared" ref="H112:N112" si="21">H$3242</f>
        <v>2024</v>
      </c>
      <c r="I112" s="671">
        <f t="shared" si="21"/>
        <v>2025</v>
      </c>
      <c r="J112" s="1677">
        <f t="shared" si="21"/>
        <v>2026</v>
      </c>
      <c r="K112" s="1677">
        <f t="shared" si="21"/>
        <v>2027</v>
      </c>
      <c r="L112" s="1677">
        <f t="shared" si="21"/>
        <v>2028</v>
      </c>
      <c r="M112" s="1677">
        <f t="shared" si="21"/>
        <v>2029</v>
      </c>
      <c r="N112" s="1677">
        <f t="shared" si="21"/>
        <v>2030</v>
      </c>
      <c r="O112" s="485"/>
      <c r="P112" s="1708"/>
      <c r="S112" s="1709" t="s">
        <v>2057</v>
      </c>
      <c r="T112" s="1435"/>
      <c r="Z112" s="1710" t="s">
        <v>717</v>
      </c>
      <c r="AC112" s="1638">
        <f t="shared" ref="AC112:AI112" si="22">H$20</f>
        <v>2024</v>
      </c>
      <c r="AD112" s="1638">
        <f t="shared" si="22"/>
        <v>2025</v>
      </c>
      <c r="AE112" s="1638">
        <f t="shared" si="22"/>
        <v>2026</v>
      </c>
      <c r="AF112" s="1638">
        <f t="shared" si="22"/>
        <v>2027</v>
      </c>
      <c r="AG112" s="1638">
        <f t="shared" si="22"/>
        <v>2028</v>
      </c>
      <c r="AH112" s="1638">
        <f t="shared" si="22"/>
        <v>2029</v>
      </c>
      <c r="AI112" s="1638">
        <f t="shared" si="22"/>
        <v>2030</v>
      </c>
    </row>
    <row r="113" spans="1:42" s="562" customFormat="1" ht="12.75" customHeight="1">
      <c r="A113" s="618"/>
      <c r="B113"/>
      <c r="C113"/>
      <c r="D113" s="579">
        <v>1</v>
      </c>
      <c r="E113" s="1711" t="str">
        <f>c_ALR2025!E2819</f>
        <v/>
      </c>
      <c r="F113" s="1711" t="str">
        <f>c_ALR2025!F2819</f>
        <v/>
      </c>
      <c r="G113" s="1712" t="str">
        <f>c_ALR2025!G2819</f>
        <v/>
      </c>
      <c r="H113" s="1713" t="str">
        <f>c_ALR2025!M2819</f>
        <v/>
      </c>
      <c r="I113" s="1858"/>
      <c r="J113" s="1714"/>
      <c r="K113" s="1714"/>
      <c r="L113" s="1714"/>
      <c r="M113" s="1714"/>
      <c r="N113" s="1714"/>
      <c r="O113" s="485"/>
      <c r="P113" s="9"/>
      <c r="Q113" s="1435"/>
      <c r="R113" s="1435"/>
      <c r="S113" s="1715" t="b">
        <f>IF(E113 = "", TRUE, FALSE)</f>
        <v>1</v>
      </c>
      <c r="T113" s="1435"/>
      <c r="U113" s="1435"/>
      <c r="V113" s="1435"/>
      <c r="W113" s="1435"/>
      <c r="X113" s="1435"/>
      <c r="Y113" s="1435"/>
      <c r="Z113" s="1435"/>
      <c r="AA113" s="1435"/>
      <c r="AB113" s="1435"/>
      <c r="AC113" s="1716"/>
      <c r="AD113" s="1716"/>
      <c r="AE113" s="1716"/>
      <c r="AF113" s="1716"/>
      <c r="AG113" s="1716"/>
      <c r="AH113" s="1716"/>
      <c r="AI113" s="1435"/>
      <c r="AJ113" s="1435"/>
      <c r="AK113" s="1435"/>
      <c r="AL113" s="1435"/>
      <c r="AP113" s="1135"/>
    </row>
    <row r="114" spans="1:42" s="562" customFormat="1" ht="12.75" customHeight="1">
      <c r="A114" s="618"/>
      <c r="B114"/>
      <c r="C114"/>
      <c r="D114" s="582">
        <f>D113+1</f>
        <v>2</v>
      </c>
      <c r="E114" s="1717" t="str">
        <f>c_ALR2025!E2820</f>
        <v/>
      </c>
      <c r="F114" s="1717" t="str">
        <f>c_ALR2025!F2820</f>
        <v/>
      </c>
      <c r="G114" s="1718" t="str">
        <f>c_ALR2025!G2820</f>
        <v/>
      </c>
      <c r="H114" s="1719" t="str">
        <f>c_ALR2025!M2820</f>
        <v/>
      </c>
      <c r="I114" s="1859"/>
      <c r="J114" s="1714"/>
      <c r="K114" s="1714"/>
      <c r="L114" s="1714"/>
      <c r="M114" s="1714"/>
      <c r="N114" s="1714"/>
      <c r="O114" s="485"/>
      <c r="P114" s="9"/>
      <c r="Q114" s="1435"/>
      <c r="R114" s="1435"/>
      <c r="S114" s="1715" t="b">
        <f t="shared" ref="S114:S122" si="23">IF(E114 = "", TRUE, FALSE)</f>
        <v>1</v>
      </c>
      <c r="T114" s="1435"/>
      <c r="U114" s="1435"/>
      <c r="V114" s="1435"/>
      <c r="W114" s="1435"/>
      <c r="X114" s="1435"/>
      <c r="Y114" s="1435"/>
      <c r="Z114" s="1435"/>
      <c r="AA114" s="1435"/>
      <c r="AB114" s="1435"/>
      <c r="AC114" s="1716"/>
      <c r="AD114" s="1716"/>
      <c r="AE114" s="1716"/>
      <c r="AF114" s="1716"/>
      <c r="AG114" s="1716"/>
      <c r="AH114" s="1716"/>
      <c r="AI114" s="1435"/>
      <c r="AJ114" s="1435"/>
      <c r="AK114" s="1435"/>
      <c r="AL114" s="1435"/>
      <c r="AP114" s="1135"/>
    </row>
    <row r="115" spans="1:42" s="562" customFormat="1" ht="12.75" customHeight="1">
      <c r="A115" s="618"/>
      <c r="B115"/>
      <c r="C115"/>
      <c r="D115" s="582">
        <f t="shared" ref="D115:D122" si="24">D114+1</f>
        <v>3</v>
      </c>
      <c r="E115" s="1717" t="str">
        <f>c_ALR2025!E2821</f>
        <v/>
      </c>
      <c r="F115" s="1717" t="str">
        <f>c_ALR2025!F2821</f>
        <v/>
      </c>
      <c r="G115" s="1718" t="str">
        <f>c_ALR2025!G2821</f>
        <v/>
      </c>
      <c r="H115" s="1719" t="str">
        <f>c_ALR2025!M2821</f>
        <v/>
      </c>
      <c r="I115" s="1859"/>
      <c r="J115" s="1714"/>
      <c r="K115" s="1714"/>
      <c r="L115" s="1714"/>
      <c r="M115" s="1714"/>
      <c r="N115" s="1714"/>
      <c r="O115" s="485"/>
      <c r="P115" s="9"/>
      <c r="Q115" s="1435"/>
      <c r="R115" s="1435"/>
      <c r="S115" s="1715" t="b">
        <f t="shared" si="23"/>
        <v>1</v>
      </c>
      <c r="T115" s="1435"/>
      <c r="U115" s="1435"/>
      <c r="V115" s="1435"/>
      <c r="W115" s="1435"/>
      <c r="X115" s="1435"/>
      <c r="Y115" s="1435"/>
      <c r="Z115" s="1435"/>
      <c r="AA115" s="1435"/>
      <c r="AB115" s="1435"/>
      <c r="AC115" s="1716"/>
      <c r="AD115" s="1716"/>
      <c r="AE115" s="1716"/>
      <c r="AF115" s="1716"/>
      <c r="AG115" s="1716"/>
      <c r="AH115" s="1716"/>
      <c r="AI115" s="1435"/>
      <c r="AJ115" s="1435"/>
      <c r="AK115" s="1435"/>
      <c r="AL115" s="1435"/>
      <c r="AP115" s="1135"/>
    </row>
    <row r="116" spans="1:42" s="562" customFormat="1" ht="12.75" customHeight="1">
      <c r="A116" s="618"/>
      <c r="B116"/>
      <c r="C116"/>
      <c r="D116" s="582">
        <f t="shared" si="24"/>
        <v>4</v>
      </c>
      <c r="E116" s="1717" t="str">
        <f>c_ALR2025!E2822</f>
        <v/>
      </c>
      <c r="F116" s="1717" t="str">
        <f>c_ALR2025!F2822</f>
        <v/>
      </c>
      <c r="G116" s="1718" t="str">
        <f>c_ALR2025!G2822</f>
        <v/>
      </c>
      <c r="H116" s="1719" t="str">
        <f>c_ALR2025!M2822</f>
        <v/>
      </c>
      <c r="I116" s="1859"/>
      <c r="J116" s="1714"/>
      <c r="K116" s="1714"/>
      <c r="L116" s="1714"/>
      <c r="M116" s="1714"/>
      <c r="N116" s="1714"/>
      <c r="O116" s="485"/>
      <c r="P116" s="9"/>
      <c r="Q116" s="1435"/>
      <c r="R116" s="1435"/>
      <c r="S116" s="1715" t="b">
        <f t="shared" si="23"/>
        <v>1</v>
      </c>
      <c r="T116" s="1435"/>
      <c r="U116" s="1435"/>
      <c r="V116" s="1435"/>
      <c r="W116" s="1435"/>
      <c r="X116" s="1435"/>
      <c r="Y116" s="1435"/>
      <c r="Z116" s="1435"/>
      <c r="AA116" s="1435"/>
      <c r="AB116" s="1435"/>
      <c r="AC116" s="1716"/>
      <c r="AD116" s="1716"/>
      <c r="AE116" s="1716"/>
      <c r="AF116" s="1716"/>
      <c r="AG116" s="1716"/>
      <c r="AH116" s="1716"/>
      <c r="AI116" s="1435"/>
      <c r="AJ116" s="1435"/>
      <c r="AK116" s="1435"/>
      <c r="AL116" s="1435"/>
      <c r="AP116" s="1135"/>
    </row>
    <row r="117" spans="1:42" s="562" customFormat="1" ht="12.75" customHeight="1">
      <c r="A117" s="618"/>
      <c r="B117"/>
      <c r="C117"/>
      <c r="D117" s="582">
        <f t="shared" si="24"/>
        <v>5</v>
      </c>
      <c r="E117" s="1717" t="str">
        <f>c_ALR2025!E2823</f>
        <v/>
      </c>
      <c r="F117" s="1717" t="str">
        <f>c_ALR2025!F2823</f>
        <v/>
      </c>
      <c r="G117" s="1718" t="str">
        <f>c_ALR2025!G2823</f>
        <v/>
      </c>
      <c r="H117" s="1719" t="str">
        <f>c_ALR2025!M2823</f>
        <v/>
      </c>
      <c r="I117" s="1859"/>
      <c r="J117" s="1714"/>
      <c r="K117" s="1714"/>
      <c r="L117" s="1714"/>
      <c r="M117" s="1714"/>
      <c r="N117" s="1714"/>
      <c r="O117" s="485"/>
      <c r="P117" s="9"/>
      <c r="Q117" s="1435"/>
      <c r="R117" s="1435"/>
      <c r="S117" s="1715" t="b">
        <f t="shared" si="23"/>
        <v>1</v>
      </c>
      <c r="T117" s="1435"/>
      <c r="U117" s="1435"/>
      <c r="V117" s="1435"/>
      <c r="W117" s="1435"/>
      <c r="X117" s="1435"/>
      <c r="Y117" s="1435"/>
      <c r="Z117" s="1435"/>
      <c r="AA117" s="1435"/>
      <c r="AB117" s="1435"/>
      <c r="AC117" s="1716"/>
      <c r="AD117" s="1716"/>
      <c r="AE117" s="1716"/>
      <c r="AF117" s="1716"/>
      <c r="AG117" s="1716"/>
      <c r="AH117" s="1716"/>
      <c r="AI117" s="1435"/>
      <c r="AJ117" s="1435"/>
      <c r="AK117" s="1435"/>
      <c r="AL117" s="1435"/>
      <c r="AP117" s="1135"/>
    </row>
    <row r="118" spans="1:42" s="562" customFormat="1" ht="12.75" customHeight="1">
      <c r="A118" s="618"/>
      <c r="B118"/>
      <c r="C118"/>
      <c r="D118" s="582">
        <f t="shared" si="24"/>
        <v>6</v>
      </c>
      <c r="E118" s="1717" t="str">
        <f>c_ALR2025!E2824</f>
        <v/>
      </c>
      <c r="F118" s="1717" t="str">
        <f>c_ALR2025!F2824</f>
        <v/>
      </c>
      <c r="G118" s="1718" t="str">
        <f>c_ALR2025!G2824</f>
        <v/>
      </c>
      <c r="H118" s="1719" t="str">
        <f>c_ALR2025!M2824</f>
        <v/>
      </c>
      <c r="I118" s="1859"/>
      <c r="J118" s="1714"/>
      <c r="K118" s="1714"/>
      <c r="L118" s="1714"/>
      <c r="M118" s="1714"/>
      <c r="N118" s="1714"/>
      <c r="O118" s="485"/>
      <c r="P118" s="9"/>
      <c r="Q118" s="1435"/>
      <c r="R118" s="1435"/>
      <c r="S118" s="1715" t="b">
        <f t="shared" si="23"/>
        <v>1</v>
      </c>
      <c r="T118" s="1435"/>
      <c r="U118" s="1435"/>
      <c r="V118" s="1435"/>
      <c r="W118" s="1435"/>
      <c r="X118" s="1435"/>
      <c r="Y118" s="1435"/>
      <c r="Z118" s="1435"/>
      <c r="AA118" s="1435"/>
      <c r="AB118" s="1435"/>
      <c r="AC118" s="1716"/>
      <c r="AD118" s="1716"/>
      <c r="AE118" s="1716"/>
      <c r="AF118" s="1716"/>
      <c r="AG118" s="1716"/>
      <c r="AH118" s="1716"/>
      <c r="AI118" s="1435"/>
      <c r="AJ118" s="1435"/>
      <c r="AK118" s="1435"/>
      <c r="AL118" s="1435"/>
      <c r="AP118" s="1135"/>
    </row>
    <row r="119" spans="1:42" s="562" customFormat="1" ht="12.75" customHeight="1">
      <c r="A119" s="618"/>
      <c r="B119"/>
      <c r="C119"/>
      <c r="D119" s="582">
        <f t="shared" si="24"/>
        <v>7</v>
      </c>
      <c r="E119" s="1717" t="str">
        <f>c_ALR2025!E2825</f>
        <v/>
      </c>
      <c r="F119" s="1717" t="str">
        <f>c_ALR2025!F2825</f>
        <v/>
      </c>
      <c r="G119" s="1718" t="str">
        <f>c_ALR2025!G2825</f>
        <v/>
      </c>
      <c r="H119" s="1719" t="str">
        <f>c_ALR2025!M2825</f>
        <v/>
      </c>
      <c r="I119" s="1859"/>
      <c r="J119" s="1714"/>
      <c r="K119" s="1714"/>
      <c r="L119" s="1714"/>
      <c r="M119" s="1714"/>
      <c r="N119" s="1714"/>
      <c r="O119" s="485"/>
      <c r="P119" s="9"/>
      <c r="Q119" s="1435"/>
      <c r="R119" s="1435"/>
      <c r="S119" s="1715" t="b">
        <f t="shared" si="23"/>
        <v>1</v>
      </c>
      <c r="T119" s="1435"/>
      <c r="U119" s="1435"/>
      <c r="V119" s="1435"/>
      <c r="W119" s="1435"/>
      <c r="X119" s="1435"/>
      <c r="Y119" s="1435"/>
      <c r="Z119" s="1435"/>
      <c r="AA119" s="1435"/>
      <c r="AB119" s="1435"/>
      <c r="AC119" s="1716"/>
      <c r="AD119" s="1716"/>
      <c r="AE119" s="1716"/>
      <c r="AF119" s="1716"/>
      <c r="AG119" s="1716"/>
      <c r="AH119" s="1716"/>
      <c r="AI119" s="1435"/>
      <c r="AJ119" s="1435"/>
      <c r="AK119" s="1435"/>
      <c r="AL119" s="1435"/>
      <c r="AP119" s="1135"/>
    </row>
    <row r="120" spans="1:42" s="562" customFormat="1" ht="12.75" customHeight="1">
      <c r="A120" s="618"/>
      <c r="B120"/>
      <c r="C120"/>
      <c r="D120" s="582">
        <f t="shared" si="24"/>
        <v>8</v>
      </c>
      <c r="E120" s="1717" t="str">
        <f>c_ALR2025!E2826</f>
        <v/>
      </c>
      <c r="F120" s="1717" t="str">
        <f>c_ALR2025!F2826</f>
        <v/>
      </c>
      <c r="G120" s="1718" t="str">
        <f>c_ALR2025!G2826</f>
        <v/>
      </c>
      <c r="H120" s="1719" t="str">
        <f>c_ALR2025!M2826</f>
        <v/>
      </c>
      <c r="I120" s="1859"/>
      <c r="J120" s="1714"/>
      <c r="K120" s="1714"/>
      <c r="L120" s="1714"/>
      <c r="M120" s="1714"/>
      <c r="N120" s="1714"/>
      <c r="O120" s="485"/>
      <c r="P120" s="9"/>
      <c r="Q120" s="1435"/>
      <c r="R120" s="1435"/>
      <c r="S120" s="1715" t="b">
        <f t="shared" si="23"/>
        <v>1</v>
      </c>
      <c r="T120" s="1435"/>
      <c r="U120" s="1435"/>
      <c r="V120" s="1435"/>
      <c r="W120" s="1435"/>
      <c r="X120" s="1435"/>
      <c r="Y120" s="1435"/>
      <c r="Z120" s="1435"/>
      <c r="AA120" s="1435"/>
      <c r="AB120" s="1435"/>
      <c r="AC120" s="1716"/>
      <c r="AD120" s="1716"/>
      <c r="AE120" s="1716"/>
      <c r="AF120" s="1716"/>
      <c r="AG120" s="1716"/>
      <c r="AH120" s="1716"/>
      <c r="AI120" s="1435"/>
      <c r="AJ120" s="1435"/>
      <c r="AK120" s="1435"/>
      <c r="AL120" s="1435"/>
      <c r="AP120" s="1135"/>
    </row>
    <row r="121" spans="1:42" s="562" customFormat="1" ht="12.75" customHeight="1">
      <c r="A121" s="618"/>
      <c r="B121"/>
      <c r="C121"/>
      <c r="D121" s="582">
        <f t="shared" si="24"/>
        <v>9</v>
      </c>
      <c r="E121" s="1717" t="str">
        <f>c_ALR2025!E2827</f>
        <v/>
      </c>
      <c r="F121" s="1717" t="str">
        <f>c_ALR2025!F2827</f>
        <v/>
      </c>
      <c r="G121" s="1718" t="str">
        <f>c_ALR2025!G2827</f>
        <v/>
      </c>
      <c r="H121" s="1719" t="str">
        <f>c_ALR2025!M2827</f>
        <v/>
      </c>
      <c r="I121" s="1859"/>
      <c r="J121" s="1714"/>
      <c r="K121" s="1714"/>
      <c r="L121" s="1714"/>
      <c r="M121" s="1714"/>
      <c r="N121" s="1714"/>
      <c r="O121" s="485"/>
      <c r="P121" s="9"/>
      <c r="Q121" s="1435"/>
      <c r="R121" s="1435"/>
      <c r="S121" s="1715" t="b">
        <f t="shared" si="23"/>
        <v>1</v>
      </c>
      <c r="T121" s="1435"/>
      <c r="U121" s="1435"/>
      <c r="V121" s="1435"/>
      <c r="W121" s="1435"/>
      <c r="X121" s="1435"/>
      <c r="Y121" s="1435"/>
      <c r="Z121" s="1435"/>
      <c r="AA121" s="1435"/>
      <c r="AB121" s="1435"/>
      <c r="AC121" s="1716"/>
      <c r="AD121" s="1716"/>
      <c r="AE121" s="1716"/>
      <c r="AF121" s="1716"/>
      <c r="AG121" s="1716"/>
      <c r="AH121" s="1716"/>
      <c r="AI121" s="1435"/>
      <c r="AJ121" s="1435"/>
      <c r="AK121" s="1435"/>
      <c r="AL121" s="1435"/>
      <c r="AP121" s="1135"/>
    </row>
    <row r="122" spans="1:42" s="562" customFormat="1" ht="12.75" customHeight="1">
      <c r="A122" s="618"/>
      <c r="B122"/>
      <c r="C122"/>
      <c r="D122" s="584">
        <f t="shared" si="24"/>
        <v>10</v>
      </c>
      <c r="E122" s="1720" t="str">
        <f>c_ALR2025!E2828</f>
        <v/>
      </c>
      <c r="F122" s="1720" t="str">
        <f>c_ALR2025!F2828</f>
        <v/>
      </c>
      <c r="G122" s="1721" t="str">
        <f>c_ALR2025!G2828</f>
        <v/>
      </c>
      <c r="H122" s="1722" t="str">
        <f>c_ALR2025!M2828</f>
        <v/>
      </c>
      <c r="I122" s="1860"/>
      <c r="J122" s="1714"/>
      <c r="K122" s="1714"/>
      <c r="L122" s="1714"/>
      <c r="M122" s="1714"/>
      <c r="N122" s="1714"/>
      <c r="O122" s="485"/>
      <c r="P122" s="9"/>
      <c r="Q122" s="1435"/>
      <c r="R122" s="1435"/>
      <c r="S122" s="1715" t="b">
        <f t="shared" si="23"/>
        <v>1</v>
      </c>
      <c r="T122" s="1435"/>
      <c r="U122" s="1435"/>
      <c r="V122" s="1435"/>
      <c r="W122" s="1435"/>
      <c r="X122" s="1435"/>
      <c r="Y122" s="1435"/>
      <c r="Z122" s="1435"/>
      <c r="AA122" s="1435"/>
      <c r="AB122" s="1435"/>
      <c r="AC122" s="1716"/>
      <c r="AD122" s="1716"/>
      <c r="AE122" s="1716"/>
      <c r="AF122" s="1716"/>
      <c r="AG122" s="1716"/>
      <c r="AH122" s="1716"/>
      <c r="AI122" s="1435"/>
      <c r="AJ122" s="1435"/>
      <c r="AK122" s="1435"/>
      <c r="AL122" s="1435"/>
      <c r="AP122" s="1135"/>
    </row>
    <row r="123" spans="1:42" s="562" customFormat="1" ht="12.75" customHeight="1">
      <c r="A123" s="618"/>
      <c r="B123"/>
      <c r="C123"/>
      <c r="D123" s="579">
        <v>1</v>
      </c>
      <c r="E123" s="1861"/>
      <c r="F123" s="1861"/>
      <c r="G123" s="1862"/>
      <c r="H123" s="1723"/>
      <c r="I123" s="1863"/>
      <c r="J123" s="1714"/>
      <c r="K123" s="1714"/>
      <c r="L123" s="1714"/>
      <c r="M123" s="1714"/>
      <c r="N123" s="1714"/>
      <c r="O123" s="485"/>
      <c r="P123" s="9"/>
      <c r="Q123" s="1435"/>
      <c r="R123" s="1435"/>
      <c r="S123" s="1715" t="b">
        <f>NOT(S113)</f>
        <v>0</v>
      </c>
      <c r="T123" s="1435"/>
      <c r="U123" s="1435"/>
      <c r="V123" s="1435"/>
      <c r="W123" s="1435"/>
      <c r="X123" s="1435"/>
      <c r="Y123" s="1435"/>
      <c r="Z123" s="1435"/>
      <c r="AA123" s="1435"/>
      <c r="AB123" s="1435"/>
      <c r="AC123" s="1716"/>
      <c r="AD123" s="1716"/>
      <c r="AE123" s="1716"/>
      <c r="AF123" s="1716"/>
      <c r="AG123" s="1716"/>
      <c r="AH123" s="1716"/>
      <c r="AI123" s="1435"/>
      <c r="AJ123" s="1435"/>
      <c r="AK123" s="1435"/>
      <c r="AL123" s="1435"/>
      <c r="AP123" s="1135"/>
    </row>
    <row r="124" spans="1:42" s="562" customFormat="1" ht="12.75" customHeight="1">
      <c r="A124" s="618"/>
      <c r="B124"/>
      <c r="C124"/>
      <c r="D124" s="582">
        <f>D123+1</f>
        <v>2</v>
      </c>
      <c r="E124" s="1864"/>
      <c r="F124" s="1864"/>
      <c r="G124" s="1865"/>
      <c r="H124" s="1724"/>
      <c r="I124" s="1859"/>
      <c r="J124" s="1714"/>
      <c r="K124" s="1714"/>
      <c r="L124" s="1714"/>
      <c r="M124" s="1714"/>
      <c r="N124" s="1714"/>
      <c r="O124" s="485"/>
      <c r="P124" s="9"/>
      <c r="Q124" s="1435"/>
      <c r="R124" s="1435"/>
      <c r="S124" s="1715" t="b">
        <f t="shared" ref="S124:S132" si="25">NOT(S114)</f>
        <v>0</v>
      </c>
      <c r="T124" s="1435"/>
      <c r="U124" s="1435"/>
      <c r="V124" s="1435"/>
      <c r="W124" s="1435"/>
      <c r="X124" s="1435"/>
      <c r="Y124" s="1435"/>
      <c r="Z124" s="1435"/>
      <c r="AA124" s="1435"/>
      <c r="AB124" s="1435"/>
      <c r="AC124" s="1716"/>
      <c r="AD124" s="1716"/>
      <c r="AE124" s="1716"/>
      <c r="AF124" s="1716"/>
      <c r="AG124" s="1716"/>
      <c r="AH124" s="1716"/>
      <c r="AI124" s="1435"/>
      <c r="AJ124" s="1435"/>
      <c r="AK124" s="1435"/>
      <c r="AL124" s="1435"/>
      <c r="AP124" s="1135"/>
    </row>
    <row r="125" spans="1:42" s="562" customFormat="1" ht="12.75" customHeight="1">
      <c r="A125" s="618"/>
      <c r="B125"/>
      <c r="C125"/>
      <c r="D125" s="582">
        <f t="shared" ref="D125:D132" si="26">D124+1</f>
        <v>3</v>
      </c>
      <c r="E125" s="1864"/>
      <c r="F125" s="1864"/>
      <c r="G125" s="1865"/>
      <c r="H125" s="1724"/>
      <c r="I125" s="1859"/>
      <c r="J125" s="1714"/>
      <c r="K125" s="1714"/>
      <c r="L125" s="1714"/>
      <c r="M125" s="1714"/>
      <c r="N125" s="1714"/>
      <c r="O125" s="485"/>
      <c r="P125" s="9"/>
      <c r="Q125" s="1435"/>
      <c r="R125" s="1435"/>
      <c r="S125" s="1715" t="b">
        <f t="shared" si="25"/>
        <v>0</v>
      </c>
      <c r="T125" s="1435"/>
      <c r="U125" s="1435"/>
      <c r="V125" s="1435"/>
      <c r="W125" s="1435"/>
      <c r="X125" s="1435"/>
      <c r="Y125" s="1435"/>
      <c r="Z125" s="1435"/>
      <c r="AA125" s="1435"/>
      <c r="AB125" s="1435"/>
      <c r="AC125" s="1716"/>
      <c r="AD125" s="1716"/>
      <c r="AE125" s="1716"/>
      <c r="AF125" s="1716"/>
      <c r="AG125" s="1716"/>
      <c r="AH125" s="1716"/>
      <c r="AI125" s="1435"/>
      <c r="AJ125" s="1435"/>
      <c r="AK125" s="1435"/>
      <c r="AL125" s="1435"/>
      <c r="AP125" s="1135"/>
    </row>
    <row r="126" spans="1:42" s="562" customFormat="1" ht="12.75" customHeight="1">
      <c r="A126" s="618"/>
      <c r="B126"/>
      <c r="C126"/>
      <c r="D126" s="582">
        <f t="shared" si="26"/>
        <v>4</v>
      </c>
      <c r="E126" s="1864"/>
      <c r="F126" s="1864"/>
      <c r="G126" s="1865"/>
      <c r="H126" s="1724"/>
      <c r="I126" s="1859"/>
      <c r="J126" s="1714"/>
      <c r="K126" s="1714"/>
      <c r="L126" s="1714"/>
      <c r="M126" s="1714"/>
      <c r="N126" s="1714"/>
      <c r="O126" s="485"/>
      <c r="P126" s="9"/>
      <c r="Q126" s="1435"/>
      <c r="R126" s="1435"/>
      <c r="S126" s="1715" t="b">
        <f t="shared" si="25"/>
        <v>0</v>
      </c>
      <c r="T126" s="1435"/>
      <c r="U126" s="1435"/>
      <c r="V126" s="1435"/>
      <c r="W126" s="1435"/>
      <c r="X126" s="1435"/>
      <c r="Y126" s="1435"/>
      <c r="Z126" s="1435"/>
      <c r="AA126" s="1435"/>
      <c r="AB126" s="1435"/>
      <c r="AC126" s="1716"/>
      <c r="AD126" s="1716"/>
      <c r="AE126" s="1716"/>
      <c r="AF126" s="1716"/>
      <c r="AG126" s="1716"/>
      <c r="AH126" s="1716"/>
      <c r="AI126" s="1435"/>
      <c r="AJ126" s="1435"/>
      <c r="AK126" s="1435"/>
      <c r="AL126" s="1435"/>
      <c r="AP126" s="1135"/>
    </row>
    <row r="127" spans="1:42" s="562" customFormat="1" ht="12.75" customHeight="1">
      <c r="A127" s="618"/>
      <c r="B127"/>
      <c r="C127"/>
      <c r="D127" s="582">
        <f t="shared" si="26"/>
        <v>5</v>
      </c>
      <c r="E127" s="1864"/>
      <c r="F127" s="1864"/>
      <c r="G127" s="1865"/>
      <c r="H127" s="1724"/>
      <c r="I127" s="1859"/>
      <c r="J127" s="1714"/>
      <c r="K127" s="1714"/>
      <c r="L127" s="1714"/>
      <c r="M127" s="1714"/>
      <c r="N127" s="1714"/>
      <c r="O127" s="485"/>
      <c r="P127" s="9"/>
      <c r="Q127" s="1435"/>
      <c r="R127" s="1435"/>
      <c r="S127" s="1715" t="b">
        <f t="shared" si="25"/>
        <v>0</v>
      </c>
      <c r="T127" s="1435"/>
      <c r="U127" s="1435"/>
      <c r="V127" s="1435"/>
      <c r="W127" s="1435"/>
      <c r="X127" s="1435"/>
      <c r="Y127" s="1435"/>
      <c r="Z127" s="1435"/>
      <c r="AA127" s="1435"/>
      <c r="AB127" s="1435"/>
      <c r="AC127" s="1716"/>
      <c r="AD127" s="1716"/>
      <c r="AE127" s="1716"/>
      <c r="AF127" s="1716"/>
      <c r="AG127" s="1716"/>
      <c r="AH127" s="1716"/>
      <c r="AI127" s="1435"/>
      <c r="AJ127" s="1435"/>
      <c r="AK127" s="1435"/>
      <c r="AL127" s="1435"/>
      <c r="AP127" s="1135"/>
    </row>
    <row r="128" spans="1:42" s="562" customFormat="1" ht="12.75" customHeight="1">
      <c r="A128" s="618"/>
      <c r="B128"/>
      <c r="C128"/>
      <c r="D128" s="582">
        <f t="shared" si="26"/>
        <v>6</v>
      </c>
      <c r="E128" s="1864"/>
      <c r="F128" s="1864"/>
      <c r="G128" s="1865"/>
      <c r="H128" s="1724"/>
      <c r="I128" s="1859"/>
      <c r="J128" s="1714"/>
      <c r="K128" s="1714"/>
      <c r="L128" s="1714"/>
      <c r="M128" s="1714"/>
      <c r="N128" s="1714"/>
      <c r="O128" s="485"/>
      <c r="P128" s="9"/>
      <c r="Q128" s="1435"/>
      <c r="R128" s="1435"/>
      <c r="S128" s="1715" t="b">
        <f t="shared" si="25"/>
        <v>0</v>
      </c>
      <c r="T128" s="1435"/>
      <c r="U128" s="1435"/>
      <c r="V128" s="1435"/>
      <c r="W128" s="1435"/>
      <c r="X128" s="1435"/>
      <c r="Y128" s="1435"/>
      <c r="Z128" s="1435"/>
      <c r="AA128" s="1435"/>
      <c r="AB128" s="1435"/>
      <c r="AC128" s="1716"/>
      <c r="AD128" s="1716"/>
      <c r="AE128" s="1716"/>
      <c r="AF128" s="1716"/>
      <c r="AG128" s="1716"/>
      <c r="AH128" s="1716"/>
      <c r="AI128" s="1435"/>
      <c r="AJ128" s="1435"/>
      <c r="AK128" s="1435"/>
      <c r="AL128" s="1435"/>
      <c r="AP128" s="1135"/>
    </row>
    <row r="129" spans="1:42" s="562" customFormat="1" ht="12.75" customHeight="1">
      <c r="A129" s="618"/>
      <c r="B129"/>
      <c r="C129"/>
      <c r="D129" s="582">
        <f t="shared" si="26"/>
        <v>7</v>
      </c>
      <c r="E129" s="1864"/>
      <c r="F129" s="1864"/>
      <c r="G129" s="1865"/>
      <c r="H129" s="1724"/>
      <c r="I129" s="1859"/>
      <c r="J129" s="1714"/>
      <c r="K129" s="1714"/>
      <c r="L129" s="1714"/>
      <c r="M129" s="1714"/>
      <c r="N129" s="1714"/>
      <c r="O129" s="485"/>
      <c r="P129" s="9"/>
      <c r="Q129" s="1435"/>
      <c r="R129" s="1435"/>
      <c r="S129" s="1715" t="b">
        <f t="shared" si="25"/>
        <v>0</v>
      </c>
      <c r="T129" s="1435"/>
      <c r="U129" s="1435"/>
      <c r="V129" s="1435"/>
      <c r="W129" s="1435"/>
      <c r="X129" s="1435"/>
      <c r="Y129" s="1435"/>
      <c r="Z129" s="1435"/>
      <c r="AA129" s="1435"/>
      <c r="AB129" s="1435"/>
      <c r="AC129" s="1716"/>
      <c r="AD129" s="1716"/>
      <c r="AE129" s="1716"/>
      <c r="AF129" s="1716"/>
      <c r="AG129" s="1716"/>
      <c r="AH129" s="1716"/>
      <c r="AI129" s="1435"/>
      <c r="AJ129" s="1435"/>
      <c r="AK129" s="1435"/>
      <c r="AL129" s="1435"/>
      <c r="AP129" s="1135"/>
    </row>
    <row r="130" spans="1:42" s="562" customFormat="1" ht="12.75" customHeight="1">
      <c r="A130" s="618"/>
      <c r="B130"/>
      <c r="C130"/>
      <c r="D130" s="582">
        <f t="shared" si="26"/>
        <v>8</v>
      </c>
      <c r="E130" s="1864"/>
      <c r="F130" s="1864"/>
      <c r="G130" s="1865"/>
      <c r="H130" s="1724"/>
      <c r="I130" s="1859"/>
      <c r="J130" s="1714"/>
      <c r="K130" s="1714"/>
      <c r="L130" s="1714"/>
      <c r="M130" s="1714"/>
      <c r="N130" s="1714"/>
      <c r="O130" s="485"/>
      <c r="P130" s="9"/>
      <c r="Q130" s="1435"/>
      <c r="R130" s="1435"/>
      <c r="S130" s="1715" t="b">
        <f t="shared" si="25"/>
        <v>0</v>
      </c>
      <c r="T130" s="1435"/>
      <c r="U130" s="1435"/>
      <c r="V130" s="1435"/>
      <c r="W130" s="1435"/>
      <c r="X130" s="1435"/>
      <c r="Y130" s="1435"/>
      <c r="Z130" s="1435"/>
      <c r="AA130" s="1435"/>
      <c r="AB130" s="1435"/>
      <c r="AC130" s="1716"/>
      <c r="AD130" s="1716"/>
      <c r="AE130" s="1716"/>
      <c r="AF130" s="1716"/>
      <c r="AG130" s="1716"/>
      <c r="AH130" s="1716"/>
      <c r="AI130" s="1435"/>
      <c r="AJ130" s="1435"/>
      <c r="AK130" s="1435"/>
      <c r="AL130" s="1435"/>
      <c r="AP130" s="1135"/>
    </row>
    <row r="131" spans="1:42" s="562" customFormat="1" ht="12.75" customHeight="1">
      <c r="A131" s="618"/>
      <c r="B131"/>
      <c r="C131"/>
      <c r="D131" s="582">
        <f t="shared" si="26"/>
        <v>9</v>
      </c>
      <c r="E131" s="1864"/>
      <c r="F131" s="1864"/>
      <c r="G131" s="1865"/>
      <c r="H131" s="1724"/>
      <c r="I131" s="1859"/>
      <c r="J131" s="1714"/>
      <c r="K131" s="1714"/>
      <c r="L131" s="1714"/>
      <c r="M131" s="1714"/>
      <c r="N131" s="1714"/>
      <c r="O131" s="485"/>
      <c r="P131" s="9"/>
      <c r="Q131" s="1435"/>
      <c r="R131" s="1435"/>
      <c r="S131" s="1715" t="b">
        <f t="shared" si="25"/>
        <v>0</v>
      </c>
      <c r="T131" s="1435"/>
      <c r="U131" s="1435"/>
      <c r="V131" s="1435"/>
      <c r="W131" s="1435"/>
      <c r="X131" s="1435"/>
      <c r="Y131" s="1435"/>
      <c r="Z131" s="1435"/>
      <c r="AA131" s="1435"/>
      <c r="AB131" s="1435"/>
      <c r="AC131" s="1716"/>
      <c r="AD131" s="1716"/>
      <c r="AE131" s="1716"/>
      <c r="AF131" s="1716"/>
      <c r="AG131" s="1716"/>
      <c r="AH131" s="1716"/>
      <c r="AI131" s="1435"/>
      <c r="AJ131" s="1435"/>
      <c r="AK131" s="1435"/>
      <c r="AL131" s="1435"/>
      <c r="AP131" s="1135"/>
    </row>
    <row r="132" spans="1:42" s="562" customFormat="1" ht="12.75" customHeight="1" thickBot="1">
      <c r="A132" s="618"/>
      <c r="B132"/>
      <c r="C132"/>
      <c r="D132" s="584">
        <f t="shared" si="26"/>
        <v>10</v>
      </c>
      <c r="E132" s="1866"/>
      <c r="F132" s="1866"/>
      <c r="G132" s="1867"/>
      <c r="H132" s="1725"/>
      <c r="I132" s="1860"/>
      <c r="J132" s="1714"/>
      <c r="K132" s="1714"/>
      <c r="L132" s="1714"/>
      <c r="M132" s="1714"/>
      <c r="N132" s="1714"/>
      <c r="O132" s="485"/>
      <c r="P132" s="9"/>
      <c r="Q132" s="1435"/>
      <c r="R132" s="1435"/>
      <c r="S132" s="1726" t="b">
        <f t="shared" si="25"/>
        <v>0</v>
      </c>
      <c r="T132" s="1435"/>
      <c r="U132" s="1435"/>
      <c r="V132" s="1435"/>
      <c r="W132" s="1435"/>
      <c r="X132" s="1435"/>
      <c r="Y132" s="1435"/>
      <c r="Z132" s="1435"/>
      <c r="AA132" s="1435"/>
      <c r="AB132" s="1435"/>
      <c r="AC132" s="1716"/>
      <c r="AD132" s="1716"/>
      <c r="AE132" s="1716"/>
      <c r="AF132" s="1716"/>
      <c r="AG132" s="1716"/>
      <c r="AH132" s="1716"/>
      <c r="AI132" s="1435"/>
      <c r="AJ132" s="1435"/>
      <c r="AK132" s="1435"/>
      <c r="AL132" s="1435"/>
      <c r="AP132" s="1135"/>
    </row>
    <row r="133" spans="1:42" ht="12.75" customHeight="1">
      <c r="B133"/>
      <c r="C133"/>
      <c r="D133" s="579">
        <v>1</v>
      </c>
      <c r="E133" s="864" t="str">
        <f>IF(E123&lt;&gt; "",E123,IF(E113 &lt;&gt; "", E113,""))</f>
        <v/>
      </c>
      <c r="F133" s="864" t="str">
        <f t="shared" ref="F133:I133" si="27">IF(F123&lt;&gt; "",F123,IF(F113 &lt;&gt; "", F113,""))</f>
        <v/>
      </c>
      <c r="G133" s="1727" t="str">
        <f t="shared" si="27"/>
        <v/>
      </c>
      <c r="H133" s="1728" t="str">
        <f t="shared" si="27"/>
        <v/>
      </c>
      <c r="I133" s="1729" t="str">
        <f t="shared" si="27"/>
        <v/>
      </c>
      <c r="J133" s="1684"/>
      <c r="K133" s="1684"/>
      <c r="L133" s="1684"/>
      <c r="M133" s="1684"/>
      <c r="N133" s="1684"/>
      <c r="O133" s="485"/>
      <c r="P133" s="618"/>
      <c r="S133" s="1435"/>
      <c r="T133" s="1435"/>
      <c r="Z133" s="1730" t="b">
        <f t="shared" ref="Z133:AA142" si="28">AA133</f>
        <v>0</v>
      </c>
      <c r="AA133" s="1731" t="b">
        <f t="shared" si="28"/>
        <v>0</v>
      </c>
      <c r="AB133" s="1868" t="b">
        <f>AND(AC133:AI133)</f>
        <v>0</v>
      </c>
      <c r="AC133" s="1732" t="b">
        <f t="shared" ref="AC133:AI133" si="29">AC83</f>
        <v>0</v>
      </c>
      <c r="AD133" s="1680" t="b">
        <f t="shared" si="29"/>
        <v>0</v>
      </c>
      <c r="AE133" s="1680" t="b">
        <f t="shared" si="29"/>
        <v>0</v>
      </c>
      <c r="AF133" s="1680" t="b">
        <f t="shared" si="29"/>
        <v>0</v>
      </c>
      <c r="AG133" s="1680" t="b">
        <f t="shared" si="29"/>
        <v>0</v>
      </c>
      <c r="AH133" s="1680" t="b">
        <f t="shared" si="29"/>
        <v>0</v>
      </c>
      <c r="AI133" s="1681" t="b">
        <f t="shared" si="29"/>
        <v>0</v>
      </c>
      <c r="AJ133" s="1633" t="s">
        <v>1954</v>
      </c>
      <c r="AK133" s="1635" t="str">
        <f>IF(AND(CNTR_ExistSubInstEntries,COUNTIFS(AC133:AI133,FALSE,H133:N133,"")&gt;0),EUconst_Error&amp;"BM"&amp;$Q13,"")</f>
        <v/>
      </c>
      <c r="AP133" s="1135" t="s">
        <v>2381</v>
      </c>
    </row>
    <row r="134" spans="1:42">
      <c r="B134"/>
      <c r="C134"/>
      <c r="D134" s="582">
        <f>D133+1</f>
        <v>2</v>
      </c>
      <c r="E134" s="866" t="str">
        <f t="shared" ref="E134:I134" si="30">IF(E124&lt;&gt; "",E124,IF(E114 &lt;&gt; "", E114,""))</f>
        <v/>
      </c>
      <c r="F134" s="866" t="str">
        <f t="shared" si="30"/>
        <v/>
      </c>
      <c r="G134" s="1733" t="str">
        <f t="shared" si="30"/>
        <v/>
      </c>
      <c r="H134" s="1734" t="str">
        <f t="shared" si="30"/>
        <v/>
      </c>
      <c r="I134" s="1735" t="str">
        <f t="shared" si="30"/>
        <v/>
      </c>
      <c r="J134" s="1684"/>
      <c r="K134" s="1684"/>
      <c r="L134" s="1684"/>
      <c r="M134" s="1684"/>
      <c r="N134" s="1684"/>
      <c r="O134" s="485"/>
      <c r="P134" s="618"/>
      <c r="S134" s="1435"/>
      <c r="T134" s="1435"/>
      <c r="Z134" s="1736" t="b">
        <f t="shared" si="28"/>
        <v>0</v>
      </c>
      <c r="AA134" s="1443" t="b">
        <f t="shared" si="28"/>
        <v>0</v>
      </c>
      <c r="AB134" s="1737" t="b">
        <f t="shared" ref="AB134:AB142" si="31">AND(AC134:AI134)</f>
        <v>0</v>
      </c>
      <c r="AC134" s="1738" t="b">
        <f>AC133</f>
        <v>0</v>
      </c>
      <c r="AD134" s="1443" t="b">
        <f t="shared" ref="AD134:AD142" si="32">AD133</f>
        <v>0</v>
      </c>
      <c r="AE134" s="1443" t="b">
        <f t="shared" ref="AE134:AE142" si="33">AE133</f>
        <v>0</v>
      </c>
      <c r="AF134" s="1443" t="b">
        <f t="shared" ref="AF134:AF142" si="34">AF133</f>
        <v>0</v>
      </c>
      <c r="AG134" s="1443" t="b">
        <f t="shared" ref="AG134:AG142" si="35">AG133</f>
        <v>0</v>
      </c>
      <c r="AH134" s="1443" t="b">
        <f t="shared" ref="AH134:AH142" si="36">AH133</f>
        <v>0</v>
      </c>
      <c r="AI134" s="1737" t="b">
        <f t="shared" ref="AI134:AI142" si="37">AI133</f>
        <v>0</v>
      </c>
      <c r="AP134" s="1135" t="s">
        <v>2382</v>
      </c>
    </row>
    <row r="135" spans="1:42">
      <c r="B135"/>
      <c r="C135"/>
      <c r="D135" s="582">
        <f t="shared" ref="D135:D142" si="38">D134+1</f>
        <v>3</v>
      </c>
      <c r="E135" s="866" t="str">
        <f t="shared" ref="E135:I135" si="39">IF(E125&lt;&gt; "",E125,IF(E115 &lt;&gt; "", E115,""))</f>
        <v/>
      </c>
      <c r="F135" s="866" t="str">
        <f t="shared" si="39"/>
        <v/>
      </c>
      <c r="G135" s="1733" t="str">
        <f t="shared" si="39"/>
        <v/>
      </c>
      <c r="H135" s="1734" t="str">
        <f t="shared" si="39"/>
        <v/>
      </c>
      <c r="I135" s="1735" t="str">
        <f t="shared" si="39"/>
        <v/>
      </c>
      <c r="J135" s="1684"/>
      <c r="K135" s="1684"/>
      <c r="L135" s="1684"/>
      <c r="M135" s="1684"/>
      <c r="N135" s="1684"/>
      <c r="O135" s="485"/>
      <c r="P135" s="618"/>
      <c r="S135" s="1435"/>
      <c r="T135" s="1435"/>
      <c r="Z135" s="1736" t="b">
        <f t="shared" si="28"/>
        <v>0</v>
      </c>
      <c r="AA135" s="1443" t="b">
        <f t="shared" si="28"/>
        <v>0</v>
      </c>
      <c r="AB135" s="1737" t="b">
        <f t="shared" si="31"/>
        <v>0</v>
      </c>
      <c r="AC135" s="1738" t="b">
        <f t="shared" ref="AC135:AC142" si="40">AC134</f>
        <v>0</v>
      </c>
      <c r="AD135" s="1443" t="b">
        <f t="shared" si="32"/>
        <v>0</v>
      </c>
      <c r="AE135" s="1443" t="b">
        <f t="shared" si="33"/>
        <v>0</v>
      </c>
      <c r="AF135" s="1443" t="b">
        <f t="shared" si="34"/>
        <v>0</v>
      </c>
      <c r="AG135" s="1443" t="b">
        <f t="shared" si="35"/>
        <v>0</v>
      </c>
      <c r="AH135" s="1443" t="b">
        <f t="shared" si="36"/>
        <v>0</v>
      </c>
      <c r="AI135" s="1737" t="b">
        <f t="shared" si="37"/>
        <v>0</v>
      </c>
      <c r="AP135" s="1135" t="s">
        <v>2383</v>
      </c>
    </row>
    <row r="136" spans="1:42">
      <c r="B136"/>
      <c r="C136"/>
      <c r="D136" s="582">
        <f t="shared" si="38"/>
        <v>4</v>
      </c>
      <c r="E136" s="866" t="str">
        <f t="shared" ref="E136:I136" si="41">IF(E126&lt;&gt; "",E126,IF(E116 &lt;&gt; "", E116,""))</f>
        <v/>
      </c>
      <c r="F136" s="866" t="str">
        <f t="shared" si="41"/>
        <v/>
      </c>
      <c r="G136" s="1733" t="str">
        <f t="shared" si="41"/>
        <v/>
      </c>
      <c r="H136" s="1734" t="str">
        <f t="shared" si="41"/>
        <v/>
      </c>
      <c r="I136" s="1735" t="str">
        <f t="shared" si="41"/>
        <v/>
      </c>
      <c r="J136" s="1684"/>
      <c r="K136" s="1684"/>
      <c r="L136" s="1684"/>
      <c r="M136" s="1684"/>
      <c r="N136" s="1684"/>
      <c r="O136" s="485"/>
      <c r="P136" s="618"/>
      <c r="S136" s="1435"/>
      <c r="T136" s="1435"/>
      <c r="Z136" s="1736" t="b">
        <f t="shared" si="28"/>
        <v>0</v>
      </c>
      <c r="AA136" s="1443" t="b">
        <f t="shared" si="28"/>
        <v>0</v>
      </c>
      <c r="AB136" s="1737" t="b">
        <f t="shared" si="31"/>
        <v>0</v>
      </c>
      <c r="AC136" s="1738" t="b">
        <f t="shared" si="40"/>
        <v>0</v>
      </c>
      <c r="AD136" s="1443" t="b">
        <f t="shared" si="32"/>
        <v>0</v>
      </c>
      <c r="AE136" s="1443" t="b">
        <f t="shared" si="33"/>
        <v>0</v>
      </c>
      <c r="AF136" s="1443" t="b">
        <f t="shared" si="34"/>
        <v>0</v>
      </c>
      <c r="AG136" s="1443" t="b">
        <f t="shared" si="35"/>
        <v>0</v>
      </c>
      <c r="AH136" s="1443" t="b">
        <f t="shared" si="36"/>
        <v>0</v>
      </c>
      <c r="AI136" s="1737" t="b">
        <f t="shared" si="37"/>
        <v>0</v>
      </c>
      <c r="AP136" s="1135" t="s">
        <v>2384</v>
      </c>
    </row>
    <row r="137" spans="1:42">
      <c r="B137"/>
      <c r="C137"/>
      <c r="D137" s="582">
        <f t="shared" si="38"/>
        <v>5</v>
      </c>
      <c r="E137" s="866" t="str">
        <f t="shared" ref="E137:I137" si="42">IF(E127&lt;&gt; "",E127,IF(E117 &lt;&gt; "", E117,""))</f>
        <v/>
      </c>
      <c r="F137" s="866" t="str">
        <f t="shared" si="42"/>
        <v/>
      </c>
      <c r="G137" s="1733" t="str">
        <f t="shared" si="42"/>
        <v/>
      </c>
      <c r="H137" s="1734" t="str">
        <f t="shared" si="42"/>
        <v/>
      </c>
      <c r="I137" s="1735" t="str">
        <f t="shared" si="42"/>
        <v/>
      </c>
      <c r="J137" s="1684"/>
      <c r="K137" s="1684"/>
      <c r="L137" s="1684"/>
      <c r="M137" s="1684"/>
      <c r="N137" s="1684"/>
      <c r="O137" s="485"/>
      <c r="P137" s="618"/>
      <c r="S137" s="1435"/>
      <c r="T137" s="1435"/>
      <c r="Z137" s="1736" t="b">
        <f t="shared" si="28"/>
        <v>0</v>
      </c>
      <c r="AA137" s="1443" t="b">
        <f t="shared" si="28"/>
        <v>0</v>
      </c>
      <c r="AB137" s="1737" t="b">
        <f t="shared" si="31"/>
        <v>0</v>
      </c>
      <c r="AC137" s="1738" t="b">
        <f t="shared" si="40"/>
        <v>0</v>
      </c>
      <c r="AD137" s="1443" t="b">
        <f t="shared" si="32"/>
        <v>0</v>
      </c>
      <c r="AE137" s="1443" t="b">
        <f t="shared" si="33"/>
        <v>0</v>
      </c>
      <c r="AF137" s="1443" t="b">
        <f t="shared" si="34"/>
        <v>0</v>
      </c>
      <c r="AG137" s="1443" t="b">
        <f t="shared" si="35"/>
        <v>0</v>
      </c>
      <c r="AH137" s="1443" t="b">
        <f t="shared" si="36"/>
        <v>0</v>
      </c>
      <c r="AI137" s="1737" t="b">
        <f t="shared" si="37"/>
        <v>0</v>
      </c>
      <c r="AP137" s="1135" t="s">
        <v>2385</v>
      </c>
    </row>
    <row r="138" spans="1:42">
      <c r="B138"/>
      <c r="C138"/>
      <c r="D138" s="582">
        <f t="shared" si="38"/>
        <v>6</v>
      </c>
      <c r="E138" s="866" t="str">
        <f t="shared" ref="E138:I138" si="43">IF(E128&lt;&gt; "",E128,IF(E118 &lt;&gt; "", E118,""))</f>
        <v/>
      </c>
      <c r="F138" s="866" t="str">
        <f t="shared" si="43"/>
        <v/>
      </c>
      <c r="G138" s="1733" t="str">
        <f t="shared" si="43"/>
        <v/>
      </c>
      <c r="H138" s="1734" t="str">
        <f t="shared" si="43"/>
        <v/>
      </c>
      <c r="I138" s="1735" t="str">
        <f t="shared" si="43"/>
        <v/>
      </c>
      <c r="J138" s="1684"/>
      <c r="K138" s="1684"/>
      <c r="L138" s="1684"/>
      <c r="M138" s="1684"/>
      <c r="N138" s="1684"/>
      <c r="O138" s="485"/>
      <c r="P138" s="618"/>
      <c r="S138" s="1435"/>
      <c r="T138" s="1435"/>
      <c r="Z138" s="1736" t="b">
        <f t="shared" si="28"/>
        <v>0</v>
      </c>
      <c r="AA138" s="1443" t="b">
        <f t="shared" si="28"/>
        <v>0</v>
      </c>
      <c r="AB138" s="1737" t="b">
        <f t="shared" si="31"/>
        <v>0</v>
      </c>
      <c r="AC138" s="1738" t="b">
        <f t="shared" si="40"/>
        <v>0</v>
      </c>
      <c r="AD138" s="1443" t="b">
        <f t="shared" si="32"/>
        <v>0</v>
      </c>
      <c r="AE138" s="1443" t="b">
        <f t="shared" si="33"/>
        <v>0</v>
      </c>
      <c r="AF138" s="1443" t="b">
        <f t="shared" si="34"/>
        <v>0</v>
      </c>
      <c r="AG138" s="1443" t="b">
        <f t="shared" si="35"/>
        <v>0</v>
      </c>
      <c r="AH138" s="1443" t="b">
        <f t="shared" si="36"/>
        <v>0</v>
      </c>
      <c r="AI138" s="1737" t="b">
        <f t="shared" si="37"/>
        <v>0</v>
      </c>
      <c r="AP138" s="1135" t="s">
        <v>2386</v>
      </c>
    </row>
    <row r="139" spans="1:42">
      <c r="B139"/>
      <c r="C139"/>
      <c r="D139" s="582">
        <f t="shared" si="38"/>
        <v>7</v>
      </c>
      <c r="E139" s="866" t="str">
        <f t="shared" ref="E139:I139" si="44">IF(E129&lt;&gt; "",E129,IF(E119 &lt;&gt; "", E119,""))</f>
        <v/>
      </c>
      <c r="F139" s="866" t="str">
        <f t="shared" si="44"/>
        <v/>
      </c>
      <c r="G139" s="1733" t="str">
        <f t="shared" si="44"/>
        <v/>
      </c>
      <c r="H139" s="1734" t="str">
        <f t="shared" si="44"/>
        <v/>
      </c>
      <c r="I139" s="1735" t="str">
        <f t="shared" si="44"/>
        <v/>
      </c>
      <c r="J139" s="1684"/>
      <c r="K139" s="1684"/>
      <c r="L139" s="1684"/>
      <c r="M139" s="1684"/>
      <c r="N139" s="1684"/>
      <c r="O139" s="485"/>
      <c r="P139" s="618"/>
      <c r="S139" s="1435"/>
      <c r="T139" s="1435"/>
      <c r="Z139" s="1736" t="b">
        <f t="shared" si="28"/>
        <v>0</v>
      </c>
      <c r="AA139" s="1443" t="b">
        <f t="shared" si="28"/>
        <v>0</v>
      </c>
      <c r="AB139" s="1737" t="b">
        <f t="shared" si="31"/>
        <v>0</v>
      </c>
      <c r="AC139" s="1738" t="b">
        <f t="shared" si="40"/>
        <v>0</v>
      </c>
      <c r="AD139" s="1443" t="b">
        <f t="shared" si="32"/>
        <v>0</v>
      </c>
      <c r="AE139" s="1443" t="b">
        <f t="shared" si="33"/>
        <v>0</v>
      </c>
      <c r="AF139" s="1443" t="b">
        <f t="shared" si="34"/>
        <v>0</v>
      </c>
      <c r="AG139" s="1443" t="b">
        <f t="shared" si="35"/>
        <v>0</v>
      </c>
      <c r="AH139" s="1443" t="b">
        <f t="shared" si="36"/>
        <v>0</v>
      </c>
      <c r="AI139" s="1737" t="b">
        <f t="shared" si="37"/>
        <v>0</v>
      </c>
      <c r="AP139" s="1135" t="s">
        <v>2387</v>
      </c>
    </row>
    <row r="140" spans="1:42">
      <c r="B140"/>
      <c r="C140"/>
      <c r="D140" s="582">
        <f t="shared" si="38"/>
        <v>8</v>
      </c>
      <c r="E140" s="866" t="str">
        <f t="shared" ref="E140:I140" si="45">IF(E130&lt;&gt; "",E130,IF(E120 &lt;&gt; "", E120,""))</f>
        <v/>
      </c>
      <c r="F140" s="866" t="str">
        <f t="shared" si="45"/>
        <v/>
      </c>
      <c r="G140" s="1733" t="str">
        <f t="shared" si="45"/>
        <v/>
      </c>
      <c r="H140" s="1734" t="str">
        <f t="shared" si="45"/>
        <v/>
      </c>
      <c r="I140" s="1735" t="str">
        <f t="shared" si="45"/>
        <v/>
      </c>
      <c r="J140" s="1684"/>
      <c r="K140" s="1684"/>
      <c r="L140" s="1684"/>
      <c r="M140" s="1684"/>
      <c r="N140" s="1684"/>
      <c r="O140" s="485"/>
      <c r="P140" s="618"/>
      <c r="S140" s="1435"/>
      <c r="T140" s="1435"/>
      <c r="Z140" s="1736" t="b">
        <f t="shared" si="28"/>
        <v>0</v>
      </c>
      <c r="AA140" s="1443" t="b">
        <f t="shared" si="28"/>
        <v>0</v>
      </c>
      <c r="AB140" s="1737" t="b">
        <f t="shared" si="31"/>
        <v>0</v>
      </c>
      <c r="AC140" s="1738" t="b">
        <f t="shared" si="40"/>
        <v>0</v>
      </c>
      <c r="AD140" s="1443" t="b">
        <f t="shared" si="32"/>
        <v>0</v>
      </c>
      <c r="AE140" s="1443" t="b">
        <f t="shared" si="33"/>
        <v>0</v>
      </c>
      <c r="AF140" s="1443" t="b">
        <f t="shared" si="34"/>
        <v>0</v>
      </c>
      <c r="AG140" s="1443" t="b">
        <f t="shared" si="35"/>
        <v>0</v>
      </c>
      <c r="AH140" s="1443" t="b">
        <f t="shared" si="36"/>
        <v>0</v>
      </c>
      <c r="AI140" s="1737" t="b">
        <f t="shared" si="37"/>
        <v>0</v>
      </c>
      <c r="AP140" s="1135" t="s">
        <v>2388</v>
      </c>
    </row>
    <row r="141" spans="1:42">
      <c r="B141"/>
      <c r="C141"/>
      <c r="D141" s="582">
        <f t="shared" si="38"/>
        <v>9</v>
      </c>
      <c r="E141" s="866" t="str">
        <f t="shared" ref="E141:I141" si="46">IF(E131&lt;&gt; "",E131,IF(E121 &lt;&gt; "", E121,""))</f>
        <v/>
      </c>
      <c r="F141" s="866" t="str">
        <f t="shared" si="46"/>
        <v/>
      </c>
      <c r="G141" s="1733" t="str">
        <f t="shared" si="46"/>
        <v/>
      </c>
      <c r="H141" s="1734" t="str">
        <f t="shared" si="46"/>
        <v/>
      </c>
      <c r="I141" s="1735" t="str">
        <f t="shared" si="46"/>
        <v/>
      </c>
      <c r="J141" s="1684"/>
      <c r="K141" s="1684"/>
      <c r="L141" s="1684"/>
      <c r="M141" s="1684"/>
      <c r="N141" s="1684"/>
      <c r="O141" s="485"/>
      <c r="P141" s="618"/>
      <c r="S141" s="1435"/>
      <c r="T141" s="1435"/>
      <c r="Z141" s="1736" t="b">
        <f t="shared" si="28"/>
        <v>0</v>
      </c>
      <c r="AA141" s="1443" t="b">
        <f t="shared" si="28"/>
        <v>0</v>
      </c>
      <c r="AB141" s="1737" t="b">
        <f t="shared" si="31"/>
        <v>0</v>
      </c>
      <c r="AC141" s="1738" t="b">
        <f t="shared" si="40"/>
        <v>0</v>
      </c>
      <c r="AD141" s="1443" t="b">
        <f t="shared" si="32"/>
        <v>0</v>
      </c>
      <c r="AE141" s="1443" t="b">
        <f t="shared" si="33"/>
        <v>0</v>
      </c>
      <c r="AF141" s="1443" t="b">
        <f t="shared" si="34"/>
        <v>0</v>
      </c>
      <c r="AG141" s="1443" t="b">
        <f t="shared" si="35"/>
        <v>0</v>
      </c>
      <c r="AH141" s="1443" t="b">
        <f t="shared" si="36"/>
        <v>0</v>
      </c>
      <c r="AI141" s="1737" t="b">
        <f t="shared" si="37"/>
        <v>0</v>
      </c>
      <c r="AP141" s="1135" t="s">
        <v>2389</v>
      </c>
    </row>
    <row r="142" spans="1:42" ht="13.5" thickBot="1">
      <c r="B142"/>
      <c r="C142"/>
      <c r="D142" s="584">
        <f t="shared" si="38"/>
        <v>10</v>
      </c>
      <c r="E142" s="866" t="str">
        <f t="shared" ref="E142:I142" si="47">IF(E132&lt;&gt; "",E132,IF(E122 &lt;&gt; "", E122,""))</f>
        <v/>
      </c>
      <c r="F142" s="866" t="str">
        <f t="shared" si="47"/>
        <v/>
      </c>
      <c r="G142" s="1739" t="str">
        <f t="shared" si="47"/>
        <v/>
      </c>
      <c r="H142" s="1740" t="str">
        <f t="shared" si="47"/>
        <v/>
      </c>
      <c r="I142" s="1741" t="str">
        <f t="shared" si="47"/>
        <v/>
      </c>
      <c r="J142" s="1684"/>
      <c r="K142" s="1684"/>
      <c r="L142" s="1684"/>
      <c r="M142" s="1684"/>
      <c r="N142" s="1684"/>
      <c r="O142" s="485"/>
      <c r="P142" s="618"/>
      <c r="S142" s="1435"/>
      <c r="T142" s="1435"/>
      <c r="Z142" s="1742" t="b">
        <f t="shared" si="28"/>
        <v>0</v>
      </c>
      <c r="AA142" s="1743" t="b">
        <f t="shared" si="28"/>
        <v>0</v>
      </c>
      <c r="AB142" s="1744" t="b">
        <f t="shared" si="31"/>
        <v>0</v>
      </c>
      <c r="AC142" s="1745" t="b">
        <f t="shared" si="40"/>
        <v>0</v>
      </c>
      <c r="AD142" s="1743" t="b">
        <f t="shared" si="32"/>
        <v>0</v>
      </c>
      <c r="AE142" s="1743" t="b">
        <f t="shared" si="33"/>
        <v>0</v>
      </c>
      <c r="AF142" s="1743" t="b">
        <f t="shared" si="34"/>
        <v>0</v>
      </c>
      <c r="AG142" s="1743" t="b">
        <f t="shared" si="35"/>
        <v>0</v>
      </c>
      <c r="AH142" s="1743" t="b">
        <f t="shared" si="36"/>
        <v>0</v>
      </c>
      <c r="AI142" s="1744" t="b">
        <f t="shared" si="37"/>
        <v>0</v>
      </c>
      <c r="AP142" s="1135" t="s">
        <v>2390</v>
      </c>
    </row>
    <row r="143" spans="1:42" ht="12.75" customHeight="1" thickBot="1">
      <c r="B143"/>
      <c r="C143"/>
      <c r="D143" s="971"/>
      <c r="E143" s="972" t="s">
        <v>921</v>
      </c>
      <c r="F143" s="948"/>
      <c r="G143" s="9"/>
      <c r="H143" s="1746" t="str">
        <f>IF(SUM(H133:H142) &lt;&gt; 0, SUM(H133:H142),"")</f>
        <v/>
      </c>
      <c r="I143" s="1746" t="str">
        <f>IF(SUM(I133:I142) &lt;&gt; 0, SUM(I133:I142),"")</f>
        <v/>
      </c>
      <c r="J143" s="1684" t="str">
        <f t="shared" ref="J143:N143" si="48">IF(COUNT(J133:J142)&gt;0,SUM(J133:J142),"")</f>
        <v/>
      </c>
      <c r="K143" s="1684" t="str">
        <f t="shared" si="48"/>
        <v/>
      </c>
      <c r="L143" s="1684" t="str">
        <f t="shared" si="48"/>
        <v/>
      </c>
      <c r="M143" s="1684" t="str">
        <f t="shared" si="48"/>
        <v/>
      </c>
      <c r="N143" s="1684" t="str">
        <f t="shared" si="48"/>
        <v/>
      </c>
      <c r="O143" s="485"/>
      <c r="P143" s="485"/>
      <c r="S143" s="1435"/>
      <c r="T143" s="1435"/>
      <c r="AB143" s="1848" t="b">
        <f>AND(AB133:AB142)</f>
        <v>0</v>
      </c>
      <c r="AP143" s="1135"/>
    </row>
    <row r="144" spans="1:42" ht="12.75" customHeight="1" thickBot="1">
      <c r="B144" s="479"/>
      <c r="C144" s="479"/>
      <c r="D144" s="479"/>
      <c r="E144" s="479"/>
      <c r="F144" s="479"/>
      <c r="G144" s="479"/>
      <c r="H144" s="479"/>
      <c r="I144" s="479"/>
      <c r="J144" s="479"/>
      <c r="K144" s="479"/>
      <c r="L144" s="479"/>
      <c r="M144" s="485"/>
      <c r="N144" s="485"/>
      <c r="O144" s="485"/>
      <c r="P144" s="485"/>
      <c r="Q144" s="1435"/>
      <c r="S144" s="1435"/>
      <c r="T144" s="1435"/>
    </row>
    <row r="145" spans="2:20" ht="5.0999999999999996" customHeight="1">
      <c r="B145" s="479"/>
      <c r="C145" s="975"/>
      <c r="D145" s="976"/>
      <c r="E145" s="976"/>
      <c r="F145" s="976"/>
      <c r="G145" s="976"/>
      <c r="H145" s="976"/>
      <c r="I145" s="976"/>
      <c r="J145" s="976"/>
      <c r="K145" s="976"/>
      <c r="L145" s="976"/>
      <c r="M145" s="774"/>
      <c r="N145" s="775"/>
      <c r="O145" s="485"/>
      <c r="P145" s="485"/>
      <c r="Q145" s="1435"/>
      <c r="S145" s="1435"/>
      <c r="T145" s="1435"/>
    </row>
    <row r="146" spans="2:20" ht="15" customHeight="1">
      <c r="B146" s="1124"/>
      <c r="C146" s="977"/>
      <c r="D146" s="3307" t="s">
        <v>2328</v>
      </c>
      <c r="E146" s="3307"/>
      <c r="F146" s="3307"/>
      <c r="G146" s="3307"/>
      <c r="H146" s="3307"/>
      <c r="I146" s="3307"/>
      <c r="J146" s="3307"/>
      <c r="K146" s="3307"/>
      <c r="L146" s="3307"/>
      <c r="M146" s="3307"/>
      <c r="N146" s="3308"/>
      <c r="O146" s="485"/>
      <c r="P146" s="485"/>
      <c r="S146" s="1435"/>
      <c r="T146" s="1435"/>
    </row>
    <row r="147" spans="2:20" ht="5.0999999999999996" customHeight="1">
      <c r="B147" s="1124"/>
      <c r="C147" s="980"/>
      <c r="D147" s="813"/>
      <c r="E147" s="813"/>
      <c r="F147" s="813"/>
      <c r="G147" s="813"/>
      <c r="H147" s="813"/>
      <c r="I147" s="813"/>
      <c r="J147" s="813"/>
      <c r="K147" s="813"/>
      <c r="L147" s="813"/>
      <c r="M147" s="813"/>
      <c r="N147" s="814"/>
      <c r="O147" s="485"/>
      <c r="P147" s="485"/>
      <c r="S147" s="1435"/>
      <c r="T147" s="1435"/>
    </row>
    <row r="148" spans="2:20" ht="15" customHeight="1">
      <c r="B148" s="1124"/>
      <c r="C148" s="980"/>
      <c r="D148" s="2679" t="str">
        <f>EUconst_BMSubinst &amp; ":"</f>
        <v>Sub-installation with product benchmark:</v>
      </c>
      <c r="E148" s="2646"/>
      <c r="F148" s="2646"/>
      <c r="G148" s="2646"/>
      <c r="H148" s="2680"/>
      <c r="I148" s="3293" t="str">
        <f>I13</f>
        <v/>
      </c>
      <c r="J148" s="3294"/>
      <c r="K148" s="3294"/>
      <c r="L148" s="3294"/>
      <c r="M148" s="3294"/>
      <c r="N148" s="3295"/>
      <c r="O148" s="485"/>
      <c r="P148" s="485"/>
      <c r="S148" s="1435"/>
      <c r="T148" s="1435"/>
    </row>
    <row r="149" spans="2:20" ht="5.0999999999999996" customHeight="1">
      <c r="B149" s="1124"/>
      <c r="C149" s="980"/>
      <c r="D149" s="813"/>
      <c r="E149" s="813"/>
      <c r="F149" s="813"/>
      <c r="G149" s="813"/>
      <c r="H149" s="813"/>
      <c r="I149" s="813"/>
      <c r="J149" s="813"/>
      <c r="K149" s="813"/>
      <c r="L149" s="813"/>
      <c r="M149" s="813"/>
      <c r="N149" s="814"/>
      <c r="O149" s="485"/>
      <c r="P149" s="485"/>
      <c r="S149" s="1435"/>
      <c r="T149" s="1435"/>
    </row>
    <row r="150" spans="2:20" ht="30" customHeight="1">
      <c r="B150" s="479"/>
      <c r="C150" s="977"/>
      <c r="D150" s="981"/>
      <c r="E150" s="2691" t="s">
        <v>2154</v>
      </c>
      <c r="F150" s="2691"/>
      <c r="G150" s="2691"/>
      <c r="H150" s="2691"/>
      <c r="I150" s="2691"/>
      <c r="J150" s="2691"/>
      <c r="K150" s="2691"/>
      <c r="L150" s="2691"/>
      <c r="M150" s="2691"/>
      <c r="N150" s="2692"/>
      <c r="O150" s="485"/>
      <c r="P150" s="485"/>
      <c r="Q150" s="1435"/>
    </row>
    <row r="151" spans="2:20" ht="30" customHeight="1">
      <c r="B151" s="479"/>
      <c r="C151" s="977"/>
      <c r="D151" s="981"/>
      <c r="E151" s="2691" t="s">
        <v>2214</v>
      </c>
      <c r="F151" s="2691"/>
      <c r="G151" s="2691"/>
      <c r="H151" s="2691"/>
      <c r="I151" s="2691"/>
      <c r="J151" s="2691"/>
      <c r="K151" s="2691"/>
      <c r="L151" s="2691"/>
      <c r="M151" s="2691"/>
      <c r="N151" s="2692"/>
      <c r="O151" s="485"/>
      <c r="P151" s="485"/>
      <c r="Q151" s="1435"/>
    </row>
    <row r="152" spans="2:20" ht="12.75" customHeight="1">
      <c r="B152" s="479"/>
      <c r="C152" s="977"/>
      <c r="D152" s="981"/>
      <c r="E152" s="2691" t="s">
        <v>2116</v>
      </c>
      <c r="F152" s="2691"/>
      <c r="G152" s="2691"/>
      <c r="H152" s="2691"/>
      <c r="I152" s="2691"/>
      <c r="J152" s="2691"/>
      <c r="K152" s="2691"/>
      <c r="L152" s="2691"/>
      <c r="M152" s="2691"/>
      <c r="N152" s="2692"/>
      <c r="O152" s="485"/>
      <c r="P152" s="485"/>
      <c r="Q152" s="1435"/>
    </row>
    <row r="153" spans="2:20" ht="15" customHeight="1">
      <c r="B153" s="479"/>
      <c r="C153" s="977"/>
      <c r="D153" s="981"/>
      <c r="E153" s="3269" t="s">
        <v>2215</v>
      </c>
      <c r="F153" s="3269"/>
      <c r="G153" s="3269"/>
      <c r="H153" s="3269"/>
      <c r="I153" s="3269"/>
      <c r="J153" s="3269"/>
      <c r="K153" s="3269"/>
      <c r="L153" s="3269"/>
      <c r="M153" s="3269"/>
      <c r="N153" s="2694"/>
      <c r="O153" s="485"/>
      <c r="P153" s="485"/>
      <c r="Q153" s="1435"/>
    </row>
    <row r="154" spans="2:20" ht="5.0999999999999996" customHeight="1">
      <c r="B154" s="1124"/>
      <c r="C154" s="980"/>
      <c r="D154" s="813"/>
      <c r="E154" s="813"/>
      <c r="F154" s="813"/>
      <c r="G154" s="813"/>
      <c r="H154" s="813"/>
      <c r="I154" s="813"/>
      <c r="J154" s="813"/>
      <c r="K154" s="813"/>
      <c r="L154" s="813"/>
      <c r="M154" s="813"/>
      <c r="N154" s="814"/>
      <c r="O154" s="485"/>
      <c r="P154" s="485"/>
      <c r="S154" s="1435"/>
      <c r="T154" s="1435"/>
    </row>
    <row r="155" spans="2:20" ht="15" customHeight="1">
      <c r="B155" s="479"/>
      <c r="C155" s="977"/>
      <c r="D155" s="981"/>
      <c r="E155" s="3310" t="s">
        <v>1475</v>
      </c>
      <c r="F155" s="3310"/>
      <c r="G155" s="3310"/>
      <c r="H155" s="3310"/>
      <c r="I155" s="3310"/>
      <c r="J155" s="3310"/>
      <c r="K155" s="3310"/>
      <c r="L155" s="3310"/>
      <c r="M155" s="3310"/>
      <c r="N155" s="3271"/>
      <c r="O155" s="485"/>
      <c r="P155" s="485"/>
      <c r="Q155" s="1435"/>
    </row>
    <row r="156" spans="2:20" ht="5.0999999999999996" customHeight="1">
      <c r="B156" s="1124"/>
      <c r="C156" s="980"/>
      <c r="D156" s="813"/>
      <c r="E156" s="813"/>
      <c r="F156" s="813"/>
      <c r="G156" s="813"/>
      <c r="H156" s="813"/>
      <c r="I156" s="813"/>
      <c r="J156" s="813"/>
      <c r="K156" s="813"/>
      <c r="L156" s="813"/>
      <c r="M156" s="813"/>
      <c r="N156" s="814"/>
      <c r="O156" s="485"/>
      <c r="P156" s="485"/>
      <c r="S156" s="1435"/>
      <c r="T156" s="1435"/>
    </row>
    <row r="157" spans="2:20" ht="12.75" customHeight="1">
      <c r="B157" s="479"/>
      <c r="C157" s="977"/>
      <c r="D157" s="982" t="s">
        <v>266</v>
      </c>
      <c r="E157" s="2671" t="s">
        <v>1617</v>
      </c>
      <c r="F157" s="2672"/>
      <c r="G157" s="2672"/>
      <c r="H157" s="2672"/>
      <c r="I157" s="2672"/>
      <c r="J157" s="2672"/>
      <c r="K157" s="2672"/>
      <c r="L157" s="2672"/>
      <c r="M157" s="2672"/>
      <c r="N157" s="2673"/>
      <c r="O157" s="485"/>
      <c r="P157" s="485"/>
      <c r="Q157" s="1435"/>
      <c r="S157" s="1435"/>
      <c r="T157" s="1435"/>
    </row>
    <row r="158" spans="2:20" ht="12.75" customHeight="1">
      <c r="B158" s="479"/>
      <c r="C158" s="977"/>
      <c r="D158" s="777"/>
      <c r="E158" s="3292" t="s">
        <v>2295</v>
      </c>
      <c r="F158" s="2671"/>
      <c r="G158" s="2671"/>
      <c r="H158" s="2671"/>
      <c r="I158" s="2671"/>
      <c r="J158" s="2671"/>
      <c r="K158" s="2671"/>
      <c r="L158" s="2671"/>
      <c r="M158" s="2671"/>
      <c r="N158" s="2712"/>
      <c r="O158" s="485"/>
      <c r="P158" s="485"/>
      <c r="Q158" s="1435"/>
      <c r="S158" s="1435"/>
      <c r="T158" s="1435"/>
    </row>
    <row r="159" spans="2:20" ht="12.75" customHeight="1">
      <c r="B159" s="479"/>
      <c r="C159" s="977"/>
      <c r="D159" s="981"/>
      <c r="E159" s="3288" t="s">
        <v>1618</v>
      </c>
      <c r="F159" s="3288"/>
      <c r="G159" s="3288"/>
      <c r="H159" s="3288"/>
      <c r="I159" s="3288"/>
      <c r="J159" s="3288"/>
      <c r="K159" s="3288"/>
      <c r="L159" s="3288"/>
      <c r="M159" s="3288"/>
      <c r="N159" s="3289"/>
      <c r="O159" s="485"/>
      <c r="P159" s="485"/>
      <c r="Q159" s="1435"/>
      <c r="S159" s="1435"/>
    </row>
    <row r="160" spans="2:20" ht="25.5" customHeight="1">
      <c r="B160" s="479"/>
      <c r="C160" s="977"/>
      <c r="D160" s="981"/>
      <c r="E160" s="985" t="s">
        <v>1021</v>
      </c>
      <c r="F160" s="3290" t="s">
        <v>1616</v>
      </c>
      <c r="G160" s="2646"/>
      <c r="H160" s="2646"/>
      <c r="I160" s="2646"/>
      <c r="J160" s="2646"/>
      <c r="K160" s="2646"/>
      <c r="L160" s="2646"/>
      <c r="M160" s="2646"/>
      <c r="N160" s="2647"/>
      <c r="O160" s="485"/>
      <c r="P160" s="485"/>
      <c r="Q160" s="1435"/>
      <c r="S160" s="1435"/>
    </row>
    <row r="161" spans="2:37" ht="38.25" customHeight="1">
      <c r="B161" s="479"/>
      <c r="C161" s="977"/>
      <c r="D161" s="981"/>
      <c r="E161" s="985"/>
      <c r="F161" s="3267" t="s">
        <v>1615</v>
      </c>
      <c r="G161" s="2380"/>
      <c r="H161" s="2380"/>
      <c r="I161" s="2380"/>
      <c r="J161" s="2380"/>
      <c r="K161" s="2380"/>
      <c r="L161" s="2380"/>
      <c r="M161" s="2380"/>
      <c r="N161" s="3268"/>
      <c r="O161" s="485"/>
      <c r="P161" s="485"/>
      <c r="Q161" s="1435"/>
      <c r="S161" s="1435"/>
    </row>
    <row r="162" spans="2:37" ht="12.75" customHeight="1">
      <c r="B162" s="479"/>
      <c r="C162" s="977"/>
      <c r="D162" s="981"/>
      <c r="E162" s="985" t="s">
        <v>1021</v>
      </c>
      <c r="F162" s="3290" t="s">
        <v>1278</v>
      </c>
      <c r="G162" s="2646"/>
      <c r="H162" s="2646"/>
      <c r="I162" s="2646"/>
      <c r="J162" s="2646"/>
      <c r="K162" s="2646"/>
      <c r="L162" s="2646"/>
      <c r="M162" s="2646"/>
      <c r="N162" s="2647"/>
      <c r="O162" s="485"/>
      <c r="P162" s="485"/>
      <c r="Q162" s="1435"/>
      <c r="S162" s="1435"/>
    </row>
    <row r="163" spans="2:37" ht="38.85" customHeight="1">
      <c r="B163" s="479"/>
      <c r="C163" s="977"/>
      <c r="D163" s="981"/>
      <c r="E163" s="985"/>
      <c r="F163" s="3290" t="s">
        <v>1620</v>
      </c>
      <c r="G163" s="2646"/>
      <c r="H163" s="2646"/>
      <c r="I163" s="2646"/>
      <c r="J163" s="2646"/>
      <c r="K163" s="2646"/>
      <c r="L163" s="2646"/>
      <c r="M163" s="2646"/>
      <c r="N163" s="2647"/>
      <c r="O163" s="485"/>
      <c r="P163" s="485"/>
      <c r="Q163" s="1435"/>
      <c r="S163" s="1435"/>
    </row>
    <row r="164" spans="2:37" ht="25.5" customHeight="1">
      <c r="B164" s="479"/>
      <c r="C164" s="977"/>
      <c r="D164" s="981"/>
      <c r="E164" s="985"/>
      <c r="F164" s="3290" t="s">
        <v>1619</v>
      </c>
      <c r="G164" s="2646"/>
      <c r="H164" s="2646"/>
      <c r="I164" s="2646"/>
      <c r="J164" s="2646"/>
      <c r="K164" s="2646"/>
      <c r="L164" s="2646"/>
      <c r="M164" s="2646"/>
      <c r="N164" s="2647"/>
      <c r="O164" s="485"/>
      <c r="P164" s="485"/>
      <c r="Q164" s="1435"/>
      <c r="S164" s="1435"/>
    </row>
    <row r="165" spans="2:37" ht="25.5" customHeight="1">
      <c r="B165" s="479"/>
      <c r="C165" s="977"/>
      <c r="D165" s="981"/>
      <c r="E165" s="985" t="s">
        <v>1021</v>
      </c>
      <c r="F165" s="3290" t="s">
        <v>1542</v>
      </c>
      <c r="G165" s="2646"/>
      <c r="H165" s="2646"/>
      <c r="I165" s="2646"/>
      <c r="J165" s="2646"/>
      <c r="K165" s="2646"/>
      <c r="L165" s="2646"/>
      <c r="M165" s="2646"/>
      <c r="N165" s="2647"/>
      <c r="O165" s="485"/>
      <c r="P165" s="485"/>
      <c r="Q165" s="1435"/>
      <c r="S165" s="1435"/>
    </row>
    <row r="166" spans="2:37" ht="25.5" customHeight="1" thickBot="1">
      <c r="B166" s="479"/>
      <c r="C166" s="977"/>
      <c r="D166" s="981"/>
      <c r="E166" s="985" t="s">
        <v>1021</v>
      </c>
      <c r="F166" s="3290" t="s">
        <v>1458</v>
      </c>
      <c r="G166" s="2646"/>
      <c r="H166" s="2646"/>
      <c r="I166" s="2646"/>
      <c r="J166" s="2646"/>
      <c r="K166" s="2646"/>
      <c r="L166" s="2646"/>
      <c r="M166" s="2646"/>
      <c r="N166" s="2647"/>
      <c r="O166" s="485"/>
      <c r="P166" s="485"/>
      <c r="Q166" s="1435"/>
      <c r="S166" s="1435"/>
    </row>
    <row r="167" spans="2:37" ht="12.75" customHeight="1" thickBot="1">
      <c r="B167" s="479"/>
      <c r="C167" s="977"/>
      <c r="D167" s="982"/>
      <c r="E167" s="2648" t="s">
        <v>1612</v>
      </c>
      <c r="F167" s="2648"/>
      <c r="G167" s="987" t="str">
        <f>EUconst_Unit</f>
        <v>Unit</v>
      </c>
      <c r="H167" s="782">
        <f t="shared" ref="H167:N167" si="49">H$3242</f>
        <v>2024</v>
      </c>
      <c r="I167" s="782">
        <f t="shared" si="49"/>
        <v>2025</v>
      </c>
      <c r="J167" s="1747">
        <f t="shared" si="49"/>
        <v>2026</v>
      </c>
      <c r="K167" s="1747">
        <f t="shared" si="49"/>
        <v>2027</v>
      </c>
      <c r="L167" s="1747">
        <f t="shared" si="49"/>
        <v>2028</v>
      </c>
      <c r="M167" s="1747">
        <f t="shared" si="49"/>
        <v>2029</v>
      </c>
      <c r="N167" s="1748">
        <f t="shared" si="49"/>
        <v>2030</v>
      </c>
      <c r="O167" s="485"/>
      <c r="P167" s="485"/>
      <c r="Q167" s="1435"/>
      <c r="S167" s="1648"/>
      <c r="T167" s="1749">
        <f t="shared" ref="T167:Z167" si="50">H167</f>
        <v>2024</v>
      </c>
      <c r="U167" s="1749">
        <f t="shared" si="50"/>
        <v>2025</v>
      </c>
      <c r="V167" s="1749">
        <f t="shared" si="50"/>
        <v>2026</v>
      </c>
      <c r="W167" s="1749">
        <f t="shared" si="50"/>
        <v>2027</v>
      </c>
      <c r="X167" s="1749">
        <f t="shared" si="50"/>
        <v>2028</v>
      </c>
      <c r="Y167" s="1749">
        <f t="shared" si="50"/>
        <v>2029</v>
      </c>
      <c r="Z167" s="1750">
        <f t="shared" si="50"/>
        <v>2030</v>
      </c>
      <c r="AC167" s="1638">
        <f t="shared" ref="AC167:AI167" si="51">H$20</f>
        <v>2024</v>
      </c>
      <c r="AD167" s="1638">
        <f t="shared" si="51"/>
        <v>2025</v>
      </c>
      <c r="AE167" s="1638">
        <f t="shared" si="51"/>
        <v>2026</v>
      </c>
      <c r="AF167" s="1638">
        <f t="shared" si="51"/>
        <v>2027</v>
      </c>
      <c r="AG167" s="1638">
        <f t="shared" si="51"/>
        <v>2028</v>
      </c>
      <c r="AH167" s="1638">
        <f t="shared" si="51"/>
        <v>2029</v>
      </c>
      <c r="AI167" s="1638">
        <f t="shared" si="51"/>
        <v>2030</v>
      </c>
    </row>
    <row r="168" spans="2:37" ht="12.75" customHeight="1" thickBot="1">
      <c r="B168" s="479"/>
      <c r="C168" s="977"/>
      <c r="D168" s="981"/>
      <c r="E168" s="3285" t="str">
        <f>I13</f>
        <v/>
      </c>
      <c r="F168" s="2410"/>
      <c r="G168" s="815" t="str">
        <f>EUconst_tCO2epa</f>
        <v>t CO2e/year</v>
      </c>
      <c r="H168" s="1479" t="str">
        <f>c_ALR2025!M2854</f>
        <v/>
      </c>
      <c r="I168" s="1869"/>
      <c r="J168" s="1751"/>
      <c r="K168" s="1751"/>
      <c r="L168" s="1751"/>
      <c r="M168" s="1751"/>
      <c r="N168" s="1752"/>
      <c r="O168" s="485"/>
      <c r="P168" s="9"/>
      <c r="Q168" s="1644" t="str">
        <f>EUconst_CNTR_Emissions &amp; I13</f>
        <v>DirEmissions_</v>
      </c>
      <c r="S168" s="1753" t="str">
        <f>EUconst_CNTR_AttributedEmissions &amp; I13</f>
        <v>AttrEmissions_</v>
      </c>
      <c r="T168" s="1743" t="str">
        <f t="shared" ref="T168:Z168" si="52">IF(T21,SUM(H168),"")</f>
        <v/>
      </c>
      <c r="U168" s="1743" t="str">
        <f t="shared" si="52"/>
        <v/>
      </c>
      <c r="V168" s="1743" t="str">
        <f t="shared" si="52"/>
        <v/>
      </c>
      <c r="W168" s="1743" t="str">
        <f t="shared" si="52"/>
        <v/>
      </c>
      <c r="X168" s="1743" t="str">
        <f t="shared" si="52"/>
        <v/>
      </c>
      <c r="Y168" s="1743" t="str">
        <f t="shared" si="52"/>
        <v/>
      </c>
      <c r="Z168" s="1744" t="str">
        <f t="shared" si="52"/>
        <v/>
      </c>
      <c r="AB168" s="1641" t="s">
        <v>717</v>
      </c>
      <c r="AC168" s="1443" t="b">
        <f t="shared" ref="AC168:AI168" si="53">AC83</f>
        <v>0</v>
      </c>
      <c r="AD168" s="1443" t="b">
        <f t="shared" si="53"/>
        <v>0</v>
      </c>
      <c r="AE168" s="1443" t="b">
        <f t="shared" si="53"/>
        <v>0</v>
      </c>
      <c r="AF168" s="1443" t="b">
        <f t="shared" si="53"/>
        <v>0</v>
      </c>
      <c r="AG168" s="1443" t="b">
        <f t="shared" si="53"/>
        <v>0</v>
      </c>
      <c r="AH168" s="1443" t="b">
        <f t="shared" si="53"/>
        <v>0</v>
      </c>
      <c r="AI168" s="1443" t="b">
        <f t="shared" si="53"/>
        <v>0</v>
      </c>
      <c r="AJ168" s="1633" t="s">
        <v>1954</v>
      </c>
      <c r="AK168" s="1635" t="str">
        <f>IF(AND(CNTR_ExistSubInstEntries,MSconst_RequireSubAttrEmissions,COUNTIFS(AC168:AI168,FALSE,H168:N168,"")&gt;0),EUconst_Error&amp;"BM"&amp;$Q13,"")</f>
        <v/>
      </c>
    </row>
    <row r="169" spans="2:37" ht="12.75" customHeight="1">
      <c r="B169" s="479"/>
      <c r="C169" s="977"/>
      <c r="D169" s="981"/>
      <c r="E169" s="981"/>
      <c r="F169" s="981"/>
      <c r="G169" s="981"/>
      <c r="H169" s="981"/>
      <c r="I169" s="981"/>
      <c r="J169" s="981"/>
      <c r="K169" s="981"/>
      <c r="L169" s="981"/>
      <c r="M169" s="813"/>
      <c r="N169" s="814"/>
      <c r="O169" s="485"/>
      <c r="P169" s="485"/>
      <c r="Q169" s="1435"/>
      <c r="S169" s="1435"/>
    </row>
    <row r="170" spans="2:37" ht="12.75" customHeight="1">
      <c r="B170" s="479"/>
      <c r="C170" s="977"/>
      <c r="D170" s="982" t="s">
        <v>269</v>
      </c>
      <c r="E170" s="2649" t="s">
        <v>1189</v>
      </c>
      <c r="F170" s="2391"/>
      <c r="G170" s="2391"/>
      <c r="H170" s="2391"/>
      <c r="I170" s="2391"/>
      <c r="J170" s="2391"/>
      <c r="K170" s="2391"/>
      <c r="L170" s="2391"/>
      <c r="M170" s="2391"/>
      <c r="N170" s="2650"/>
      <c r="O170" s="485"/>
      <c r="P170" s="485"/>
      <c r="Q170" s="1435"/>
      <c r="R170" s="1435"/>
      <c r="S170" s="1435"/>
    </row>
    <row r="171" spans="2:37" ht="57" customHeight="1">
      <c r="B171" s="479"/>
      <c r="C171" s="977"/>
      <c r="D171" s="981"/>
      <c r="E171" s="3288" t="s">
        <v>2117</v>
      </c>
      <c r="F171" s="3288"/>
      <c r="G171" s="3288"/>
      <c r="H171" s="3288"/>
      <c r="I171" s="3288"/>
      <c r="J171" s="3288"/>
      <c r="K171" s="3288"/>
      <c r="L171" s="3288"/>
      <c r="M171" s="3288"/>
      <c r="N171" s="3289"/>
      <c r="O171" s="485"/>
      <c r="P171" s="485"/>
      <c r="Q171" s="1435"/>
      <c r="R171" s="1435"/>
      <c r="S171" s="1435"/>
    </row>
    <row r="172" spans="2:37" ht="34.9" customHeight="1">
      <c r="B172" s="479"/>
      <c r="C172" s="977"/>
      <c r="D172" s="981"/>
      <c r="E172" s="3288" t="s">
        <v>2216</v>
      </c>
      <c r="F172" s="3288"/>
      <c r="G172" s="3288"/>
      <c r="H172" s="3288"/>
      <c r="I172" s="3288"/>
      <c r="J172" s="3288"/>
      <c r="K172" s="3288"/>
      <c r="L172" s="3288"/>
      <c r="M172" s="3288"/>
      <c r="N172" s="3289"/>
      <c r="O172" s="485"/>
      <c r="P172" s="485"/>
      <c r="Q172" s="1435"/>
      <c r="S172" s="1435"/>
    </row>
    <row r="173" spans="2:37" ht="12.75" customHeight="1">
      <c r="B173" s="479"/>
      <c r="C173" s="977"/>
      <c r="D173" s="981"/>
      <c r="E173" s="3288" t="s">
        <v>1594</v>
      </c>
      <c r="F173" s="3288"/>
      <c r="G173" s="3288"/>
      <c r="H173" s="3288"/>
      <c r="I173" s="3288"/>
      <c r="J173" s="3288"/>
      <c r="K173" s="3288"/>
      <c r="L173" s="3288"/>
      <c r="M173" s="3288"/>
      <c r="N173" s="3289"/>
      <c r="O173" s="485"/>
      <c r="P173" s="485"/>
      <c r="Q173" s="1435"/>
      <c r="S173" s="1435"/>
    </row>
    <row r="174" spans="2:37" ht="12.75" customHeight="1">
      <c r="B174" s="479"/>
      <c r="C174" s="977"/>
      <c r="D174" s="981"/>
      <c r="E174" s="3272" t="s">
        <v>1557</v>
      </c>
      <c r="F174" s="2380"/>
      <c r="G174" s="2380"/>
      <c r="H174" s="2380"/>
      <c r="I174" s="2380"/>
      <c r="J174" s="2380"/>
      <c r="K174" s="2380"/>
      <c r="L174" s="2380"/>
      <c r="M174" s="2380"/>
      <c r="N174" s="3268"/>
      <c r="O174" s="485"/>
      <c r="P174" s="485"/>
      <c r="Q174" s="1435"/>
      <c r="S174" s="1435"/>
    </row>
    <row r="175" spans="2:37" ht="12.75" customHeight="1" thickBot="1">
      <c r="B175" s="479"/>
      <c r="C175" s="977"/>
      <c r="D175" s="982"/>
      <c r="E175" s="989"/>
      <c r="F175" s="990"/>
      <c r="G175" s="987" t="str">
        <f>EUconst_Unit</f>
        <v>Unit</v>
      </c>
      <c r="H175" s="782">
        <f t="shared" ref="H175:N175" si="54">H$3242</f>
        <v>2024</v>
      </c>
      <c r="I175" s="782">
        <f t="shared" si="54"/>
        <v>2025</v>
      </c>
      <c r="J175" s="1747">
        <f t="shared" si="54"/>
        <v>2026</v>
      </c>
      <c r="K175" s="1747">
        <f t="shared" si="54"/>
        <v>2027</v>
      </c>
      <c r="L175" s="1747">
        <f t="shared" si="54"/>
        <v>2028</v>
      </c>
      <c r="M175" s="1747">
        <f t="shared" si="54"/>
        <v>2029</v>
      </c>
      <c r="N175" s="1748">
        <f t="shared" si="54"/>
        <v>2030</v>
      </c>
      <c r="O175" s="485"/>
      <c r="P175" s="485"/>
      <c r="Q175" s="1435"/>
      <c r="S175" s="1435"/>
      <c r="AC175" s="1638">
        <f t="shared" ref="AC175:AI175" si="55">H$20</f>
        <v>2024</v>
      </c>
      <c r="AD175" s="1638">
        <f t="shared" si="55"/>
        <v>2025</v>
      </c>
      <c r="AE175" s="1638">
        <f t="shared" si="55"/>
        <v>2026</v>
      </c>
      <c r="AF175" s="1638">
        <f t="shared" si="55"/>
        <v>2027</v>
      </c>
      <c r="AG175" s="1638">
        <f t="shared" si="55"/>
        <v>2028</v>
      </c>
      <c r="AH175" s="1638">
        <f t="shared" si="55"/>
        <v>2029</v>
      </c>
      <c r="AI175" s="1638">
        <f t="shared" si="55"/>
        <v>2030</v>
      </c>
    </row>
    <row r="176" spans="2:37" ht="12.75" customHeight="1">
      <c r="B176" s="479"/>
      <c r="C176" s="977"/>
      <c r="D176" s="777" t="s">
        <v>6</v>
      </c>
      <c r="E176" s="2475" t="s">
        <v>1344</v>
      </c>
      <c r="F176" s="2410"/>
      <c r="G176" s="815" t="str">
        <f>EUconst_TJpa</f>
        <v>TJ / year</v>
      </c>
      <c r="H176" s="1479" t="str">
        <f>c_ALR2025!M2862</f>
        <v/>
      </c>
      <c r="I176" s="1869"/>
      <c r="J176" s="1751"/>
      <c r="K176" s="1751"/>
      <c r="L176" s="1751"/>
      <c r="M176" s="1751"/>
      <c r="N176" s="1752"/>
      <c r="O176" s="485"/>
      <c r="P176" s="9"/>
      <c r="Q176" s="1644" t="str">
        <f>EUconst_CNTR_FuelInput &amp; I13</f>
        <v>FuelInput_</v>
      </c>
      <c r="S176" s="1435"/>
      <c r="AB176" s="1641" t="s">
        <v>717</v>
      </c>
      <c r="AC176" s="1443" t="b">
        <f t="shared" ref="AC176:AI176" si="56">AC83</f>
        <v>0</v>
      </c>
      <c r="AD176" s="1443" t="b">
        <f t="shared" si="56"/>
        <v>0</v>
      </c>
      <c r="AE176" s="1443" t="b">
        <f t="shared" si="56"/>
        <v>0</v>
      </c>
      <c r="AF176" s="1443" t="b">
        <f t="shared" si="56"/>
        <v>0</v>
      </c>
      <c r="AG176" s="1443" t="b">
        <f t="shared" si="56"/>
        <v>0</v>
      </c>
      <c r="AH176" s="1443" t="b">
        <f t="shared" si="56"/>
        <v>0</v>
      </c>
      <c r="AI176" s="1443" t="b">
        <f t="shared" si="56"/>
        <v>0</v>
      </c>
      <c r="AJ176" s="1633" t="s">
        <v>1954</v>
      </c>
      <c r="AK176" s="1635" t="str">
        <f>IF(AND(CNTR_ExistSubInstEntries,MSconst_RequireSubAttrEmissions,COUNTIFS(AC176:AI176,FALSE,H176:N176,"")&gt;0),EUconst_Error&amp;"BM"&amp;$Q13,"")</f>
        <v/>
      </c>
    </row>
    <row r="177" spans="2:37" ht="12.75" customHeight="1">
      <c r="B177" s="479"/>
      <c r="C177" s="977"/>
      <c r="D177" s="777" t="s">
        <v>7</v>
      </c>
      <c r="E177" s="2475" t="s">
        <v>1182</v>
      </c>
      <c r="F177" s="2410"/>
      <c r="G177" s="991" t="str">
        <f>EUconst_tCO2pTJ</f>
        <v>t CO2 / TJ</v>
      </c>
      <c r="H177" s="1582" t="str">
        <f>c_ALR2025!M2863</f>
        <v/>
      </c>
      <c r="I177" s="1870"/>
      <c r="J177" s="1751"/>
      <c r="K177" s="1751"/>
      <c r="L177" s="1751"/>
      <c r="M177" s="1751"/>
      <c r="N177" s="1752"/>
      <c r="O177" s="485"/>
      <c r="P177" s="9"/>
      <c r="Q177" s="1644" t="str">
        <f>EUconst_CNTR_FuelEF &amp; I13</f>
        <v>FuelEF_</v>
      </c>
      <c r="S177" s="1435"/>
      <c r="AC177" s="1443" t="b">
        <f>AC176</f>
        <v>0</v>
      </c>
      <c r="AD177" s="1443" t="b">
        <f t="shared" ref="AD177:AI177" si="57">AD176</f>
        <v>0</v>
      </c>
      <c r="AE177" s="1443" t="b">
        <f t="shared" si="57"/>
        <v>0</v>
      </c>
      <c r="AF177" s="1443" t="b">
        <f t="shared" si="57"/>
        <v>0</v>
      </c>
      <c r="AG177" s="1443" t="b">
        <f t="shared" si="57"/>
        <v>0</v>
      </c>
      <c r="AH177" s="1443" t="b">
        <f t="shared" si="57"/>
        <v>0</v>
      </c>
      <c r="AI177" s="1443" t="b">
        <f t="shared" si="57"/>
        <v>0</v>
      </c>
      <c r="AJ177" s="1633" t="s">
        <v>1954</v>
      </c>
      <c r="AK177" s="1635" t="str">
        <f>IF(AND(CNTR_ExistSubInstEntries,MSconst_RequireSubAttrEmissions,COUNTIFS(AC177:AI177,FALSE,H177:N177,"")&gt;0),EUconst_Error&amp;"BM"&amp;$Q13,"")</f>
        <v/>
      </c>
    </row>
    <row r="178" spans="2:37" ht="12.75" customHeight="1">
      <c r="B178" s="479"/>
      <c r="C178" s="977"/>
      <c r="D178" s="981"/>
      <c r="E178" s="981"/>
      <c r="F178" s="981"/>
      <c r="G178" s="981"/>
      <c r="H178" s="981"/>
      <c r="I178" s="981"/>
      <c r="J178" s="981"/>
      <c r="K178" s="981"/>
      <c r="L178" s="981"/>
      <c r="M178" s="813"/>
      <c r="N178" s="814"/>
      <c r="O178" s="485"/>
      <c r="P178" s="485"/>
      <c r="Q178" s="1435"/>
      <c r="S178" s="1435"/>
    </row>
    <row r="179" spans="2:37" ht="12.75" customHeight="1">
      <c r="B179" s="479"/>
      <c r="C179" s="977"/>
      <c r="D179" s="982" t="s">
        <v>271</v>
      </c>
      <c r="E179" s="2649" t="s">
        <v>1416</v>
      </c>
      <c r="F179" s="2391"/>
      <c r="G179" s="2391"/>
      <c r="H179" s="2391"/>
      <c r="I179" s="2391"/>
      <c r="J179" s="2391"/>
      <c r="K179" s="2391"/>
      <c r="L179" s="2391"/>
      <c r="M179" s="2391"/>
      <c r="N179" s="2650"/>
      <c r="O179" s="485"/>
      <c r="P179" s="485"/>
      <c r="Q179" s="1435"/>
      <c r="R179" s="1435"/>
      <c r="S179" s="1435"/>
    </row>
    <row r="180" spans="2:37" ht="12.75" customHeight="1">
      <c r="B180" s="479"/>
      <c r="C180" s="977"/>
      <c r="D180" s="777"/>
      <c r="E180" s="3272" t="s">
        <v>2295</v>
      </c>
      <c r="F180" s="2380"/>
      <c r="G180" s="2380"/>
      <c r="H180" s="2380"/>
      <c r="I180" s="2380"/>
      <c r="J180" s="2380"/>
      <c r="K180" s="2380"/>
      <c r="L180" s="2380"/>
      <c r="M180" s="2380"/>
      <c r="N180" s="3268"/>
      <c r="O180" s="485"/>
      <c r="P180" s="485"/>
      <c r="Q180" s="1435"/>
      <c r="S180" s="1435"/>
      <c r="T180" s="1435"/>
      <c r="U180" s="1435"/>
      <c r="V180" s="1435"/>
    </row>
    <row r="181" spans="2:37" ht="25.5" customHeight="1">
      <c r="B181" s="479"/>
      <c r="C181" s="977"/>
      <c r="D181" s="981"/>
      <c r="E181" s="3272" t="s">
        <v>1551</v>
      </c>
      <c r="F181" s="2380"/>
      <c r="G181" s="2380"/>
      <c r="H181" s="2380"/>
      <c r="I181" s="2380"/>
      <c r="J181" s="2380"/>
      <c r="K181" s="2380"/>
      <c r="L181" s="2380"/>
      <c r="M181" s="2380"/>
      <c r="N181" s="3268"/>
      <c r="O181" s="485"/>
      <c r="P181" s="485"/>
      <c r="Q181" s="1435"/>
      <c r="R181" s="1435"/>
      <c r="S181" s="1435"/>
    </row>
    <row r="182" spans="2:37" ht="12.75" customHeight="1">
      <c r="B182" s="479"/>
      <c r="C182" s="977"/>
      <c r="D182" s="981"/>
      <c r="E182" s="3267" t="s">
        <v>1552</v>
      </c>
      <c r="F182" s="2380"/>
      <c r="G182" s="2380"/>
      <c r="H182" s="2380"/>
      <c r="I182" s="2380"/>
      <c r="J182" s="2380"/>
      <c r="K182" s="2380"/>
      <c r="L182" s="2380"/>
      <c r="M182" s="2380"/>
      <c r="N182" s="3268"/>
      <c r="O182" s="485"/>
      <c r="P182" s="485"/>
      <c r="Q182" s="1435"/>
      <c r="R182" s="1435"/>
      <c r="S182" s="1435"/>
    </row>
    <row r="183" spans="2:37" ht="38.85" customHeight="1">
      <c r="B183" s="479"/>
      <c r="C183" s="977"/>
      <c r="D183" s="981"/>
      <c r="E183" s="3267" t="s">
        <v>1553</v>
      </c>
      <c r="F183" s="2380"/>
      <c r="G183" s="2380"/>
      <c r="H183" s="2380"/>
      <c r="I183" s="2380"/>
      <c r="J183" s="2380"/>
      <c r="K183" s="2380"/>
      <c r="L183" s="2380"/>
      <c r="M183" s="2380"/>
      <c r="N183" s="3268"/>
      <c r="O183" s="485"/>
      <c r="P183" s="485"/>
      <c r="Q183" s="1435"/>
      <c r="S183" s="1435"/>
    </row>
    <row r="184" spans="2:37" ht="51" customHeight="1">
      <c r="B184" s="479"/>
      <c r="C184" s="977"/>
      <c r="D184" s="981"/>
      <c r="E184" s="3267" t="s">
        <v>2217</v>
      </c>
      <c r="F184" s="2380"/>
      <c r="G184" s="2380"/>
      <c r="H184" s="2380"/>
      <c r="I184" s="2380"/>
      <c r="J184" s="2380"/>
      <c r="K184" s="2380"/>
      <c r="L184" s="2380"/>
      <c r="M184" s="2380"/>
      <c r="N184" s="3268"/>
      <c r="O184" s="485"/>
      <c r="P184" s="485"/>
      <c r="Q184" s="1435"/>
      <c r="S184" s="1435"/>
    </row>
    <row r="185" spans="2:37" ht="25.5" customHeight="1">
      <c r="B185" s="479"/>
      <c r="C185" s="977"/>
      <c r="D185" s="981"/>
      <c r="E185" s="3267" t="s">
        <v>1565</v>
      </c>
      <c r="F185" s="2380"/>
      <c r="G185" s="2380"/>
      <c r="H185" s="2380"/>
      <c r="I185" s="2380"/>
      <c r="J185" s="2380"/>
      <c r="K185" s="2380"/>
      <c r="L185" s="2380"/>
      <c r="M185" s="2380"/>
      <c r="N185" s="3268"/>
      <c r="O185" s="485"/>
      <c r="P185" s="485"/>
      <c r="Q185" s="1435"/>
      <c r="S185" s="1435"/>
    </row>
    <row r="186" spans="2:37" ht="12.75" customHeight="1">
      <c r="B186" s="479"/>
      <c r="C186" s="977"/>
      <c r="D186" s="777" t="s">
        <v>6</v>
      </c>
      <c r="E186" s="2682" t="s">
        <v>1456</v>
      </c>
      <c r="F186" s="2391"/>
      <c r="G186" s="2391"/>
      <c r="H186" s="2391"/>
      <c r="I186" s="2391"/>
      <c r="J186" s="2391"/>
      <c r="K186" s="2512"/>
      <c r="L186" s="1478" t="str">
        <f>c_ALR2025!L2872</f>
        <v/>
      </c>
      <c r="M186" s="978"/>
      <c r="N186" s="979"/>
      <c r="O186" s="485"/>
      <c r="P186" s="9"/>
      <c r="Q186" s="1435"/>
      <c r="S186" s="1435"/>
      <c r="AF186" s="1641" t="s">
        <v>717</v>
      </c>
      <c r="AG186" s="1423" t="b">
        <f>AND(CNTR_ExistSubInstEntries,I13="")</f>
        <v>0</v>
      </c>
    </row>
    <row r="187" spans="2:37" ht="12.75" customHeight="1">
      <c r="B187" s="479"/>
      <c r="C187" s="977"/>
      <c r="D187" s="981"/>
      <c r="E187" s="3267" t="s">
        <v>1216</v>
      </c>
      <c r="F187" s="2380"/>
      <c r="G187" s="2380"/>
      <c r="H187" s="2380"/>
      <c r="I187" s="2380"/>
      <c r="J187" s="2380"/>
      <c r="K187" s="2380"/>
      <c r="L187" s="2380"/>
      <c r="M187" s="2380"/>
      <c r="N187" s="3268"/>
      <c r="O187" s="485"/>
      <c r="P187" s="485"/>
      <c r="Q187" s="1435"/>
      <c r="S187" s="1435"/>
    </row>
    <row r="188" spans="2:37" ht="12.75" customHeight="1">
      <c r="B188" s="479"/>
      <c r="C188" s="977"/>
      <c r="D188" s="777" t="s">
        <v>7</v>
      </c>
      <c r="E188" s="2649" t="s">
        <v>1214</v>
      </c>
      <c r="F188" s="2391"/>
      <c r="G188" s="2391"/>
      <c r="H188" s="2512"/>
      <c r="I188" s="3211" t="str">
        <f>c_ALR2025!I2874</f>
        <v/>
      </c>
      <c r="J188" s="3286"/>
      <c r="K188" s="3286"/>
      <c r="L188" s="3286"/>
      <c r="M188" s="3287"/>
      <c r="N188" s="992"/>
      <c r="O188" s="485"/>
      <c r="P188" s="9"/>
      <c r="Q188" s="1435"/>
      <c r="S188" s="1435"/>
      <c r="AC188" s="1641" t="s">
        <v>717</v>
      </c>
      <c r="AD188" s="1423" t="b">
        <f>OR(AG186,AND($L186&lt;&gt;"",$L186=FALSE))</f>
        <v>0</v>
      </c>
    </row>
    <row r="189" spans="2:37" ht="5.0999999999999996" customHeight="1">
      <c r="B189" s="479"/>
      <c r="C189" s="977"/>
      <c r="D189" s="981"/>
      <c r="E189" s="986"/>
      <c r="F189" s="978"/>
      <c r="G189" s="978"/>
      <c r="H189" s="978"/>
      <c r="I189" s="978"/>
      <c r="J189" s="978"/>
      <c r="K189" s="978"/>
      <c r="L189" s="978"/>
      <c r="M189" s="978"/>
      <c r="N189" s="979"/>
      <c r="O189" s="485"/>
      <c r="P189" s="485"/>
      <c r="Q189" s="1435"/>
      <c r="S189" s="1435"/>
    </row>
    <row r="190" spans="2:37" ht="12.75" customHeight="1" thickBot="1">
      <c r="B190" s="479"/>
      <c r="C190" s="977"/>
      <c r="D190" s="981"/>
      <c r="E190" s="2648" t="s">
        <v>1154</v>
      </c>
      <c r="F190" s="2493"/>
      <c r="G190" s="987" t="str">
        <f>EUconst_Unit</f>
        <v>Unit</v>
      </c>
      <c r="H190" s="782">
        <f t="shared" ref="H190:N190" si="58">H$3242</f>
        <v>2024</v>
      </c>
      <c r="I190" s="782">
        <f t="shared" si="58"/>
        <v>2025</v>
      </c>
      <c r="J190" s="1747">
        <f t="shared" si="58"/>
        <v>2026</v>
      </c>
      <c r="K190" s="1747">
        <f t="shared" si="58"/>
        <v>2027</v>
      </c>
      <c r="L190" s="1747">
        <f t="shared" si="58"/>
        <v>2028</v>
      </c>
      <c r="M190" s="1747">
        <f t="shared" si="58"/>
        <v>2029</v>
      </c>
      <c r="N190" s="1748">
        <f t="shared" si="58"/>
        <v>2030</v>
      </c>
      <c r="O190" s="485"/>
      <c r="P190" s="485"/>
      <c r="Q190" s="1435"/>
      <c r="S190" s="1435"/>
      <c r="AC190" s="1638">
        <f t="shared" ref="AC190:AI190" si="59">H$20</f>
        <v>2024</v>
      </c>
      <c r="AD190" s="1638">
        <f t="shared" si="59"/>
        <v>2025</v>
      </c>
      <c r="AE190" s="1638">
        <f t="shared" si="59"/>
        <v>2026</v>
      </c>
      <c r="AF190" s="1638">
        <f t="shared" si="59"/>
        <v>2027</v>
      </c>
      <c r="AG190" s="1638">
        <f t="shared" si="59"/>
        <v>2028</v>
      </c>
      <c r="AH190" s="1638">
        <f t="shared" si="59"/>
        <v>2029</v>
      </c>
      <c r="AI190" s="1638">
        <f t="shared" si="59"/>
        <v>2030</v>
      </c>
    </row>
    <row r="191" spans="2:37" ht="12.75" customHeight="1">
      <c r="B191" s="479"/>
      <c r="C191" s="977"/>
      <c r="D191" s="777" t="s">
        <v>8</v>
      </c>
      <c r="E191" s="2471" t="s">
        <v>1153</v>
      </c>
      <c r="F191" s="2472"/>
      <c r="G191" s="811" t="str">
        <f>EUconst_tpa</f>
        <v>t / year</v>
      </c>
      <c r="H191" s="1552" t="str">
        <f>c_ALR2025!M2877</f>
        <v/>
      </c>
      <c r="I191" s="1871"/>
      <c r="J191" s="1751"/>
      <c r="K191" s="1751"/>
      <c r="L191" s="1751"/>
      <c r="M191" s="1751"/>
      <c r="N191" s="1752"/>
      <c r="O191" s="485"/>
      <c r="P191" s="9"/>
      <c r="Q191" s="1435"/>
      <c r="S191" s="1435"/>
      <c r="AB191" s="1641" t="s">
        <v>717</v>
      </c>
      <c r="AC191" s="1423" t="b">
        <f t="shared" ref="AC191:AI191" si="60">OR(AND($L186&lt;&gt;"",$L186=FALSE),AC83)</f>
        <v>0</v>
      </c>
      <c r="AD191" s="1443" t="b">
        <f t="shared" si="60"/>
        <v>0</v>
      </c>
      <c r="AE191" s="1443" t="b">
        <f t="shared" si="60"/>
        <v>0</v>
      </c>
      <c r="AF191" s="1443" t="b">
        <f t="shared" si="60"/>
        <v>0</v>
      </c>
      <c r="AG191" s="1443" t="b">
        <f t="shared" si="60"/>
        <v>0</v>
      </c>
      <c r="AH191" s="1443" t="b">
        <f t="shared" si="60"/>
        <v>0</v>
      </c>
      <c r="AI191" s="1443" t="b">
        <f t="shared" si="60"/>
        <v>0</v>
      </c>
      <c r="AJ191" s="1633" t="s">
        <v>1954</v>
      </c>
      <c r="AK191" s="1635" t="str">
        <f>IF(AND(CNTR_ExistSubInstEntries,MSconst_RequireSubAttrEmissions,COUNTIFS(AC191:AI191,FALSE,H191:N191,"")&gt;0),EUconst_Error&amp;"BM"&amp;$Q13,"")</f>
        <v/>
      </c>
    </row>
    <row r="192" spans="2:37" ht="12.75" customHeight="1">
      <c r="B192" s="479"/>
      <c r="C192" s="977"/>
      <c r="D192" s="777" t="s">
        <v>18</v>
      </c>
      <c r="E192" s="2685" t="s">
        <v>946</v>
      </c>
      <c r="F192" s="2608"/>
      <c r="G192" s="993" t="str">
        <f>EUconst_GJpt</f>
        <v>GJ / t</v>
      </c>
      <c r="H192" s="1557" t="str">
        <f>c_ALR2025!M2878</f>
        <v/>
      </c>
      <c r="I192" s="1872"/>
      <c r="J192" s="1751"/>
      <c r="K192" s="1751"/>
      <c r="L192" s="1751"/>
      <c r="M192" s="1751"/>
      <c r="N192" s="1752"/>
      <c r="O192" s="485"/>
      <c r="P192" s="9"/>
      <c r="Q192" s="1435"/>
      <c r="S192" s="1435"/>
      <c r="AC192" s="1443" t="b">
        <f t="shared" ref="AC192:AI194" si="61">AC191</f>
        <v>0</v>
      </c>
      <c r="AD192" s="1443" t="b">
        <f t="shared" si="61"/>
        <v>0</v>
      </c>
      <c r="AE192" s="1443" t="b">
        <f t="shared" si="61"/>
        <v>0</v>
      </c>
      <c r="AF192" s="1443" t="b">
        <f t="shared" si="61"/>
        <v>0</v>
      </c>
      <c r="AG192" s="1443" t="b">
        <f t="shared" si="61"/>
        <v>0</v>
      </c>
      <c r="AH192" s="1443" t="b">
        <f t="shared" si="61"/>
        <v>0</v>
      </c>
      <c r="AI192" s="1443" t="b">
        <f t="shared" si="61"/>
        <v>0</v>
      </c>
      <c r="AJ192" s="1633" t="s">
        <v>1954</v>
      </c>
      <c r="AK192" s="1635" t="str">
        <f>IF(AND(CNTR_ExistSubInstEntries,MSconst_RequireSubAttrEmissions,COUNTIFS(AC192:AI192,FALSE,H192:N192,"")&gt;0),EUconst_Error&amp;"BM"&amp;$Q13,"")</f>
        <v/>
      </c>
    </row>
    <row r="193" spans="2:37" ht="12.75" customHeight="1" thickBot="1">
      <c r="B193" s="479"/>
      <c r="C193" s="977"/>
      <c r="D193" s="777" t="s">
        <v>787</v>
      </c>
      <c r="E193" s="2685" t="s">
        <v>945</v>
      </c>
      <c r="F193" s="2608"/>
      <c r="G193" s="994" t="s">
        <v>878</v>
      </c>
      <c r="H193" s="1557" t="str">
        <f>c_ALR2025!M2879</f>
        <v/>
      </c>
      <c r="I193" s="1872"/>
      <c r="J193" s="1751"/>
      <c r="K193" s="1751"/>
      <c r="L193" s="1751"/>
      <c r="M193" s="1751"/>
      <c r="N193" s="1752"/>
      <c r="O193" s="485"/>
      <c r="P193" s="9"/>
      <c r="Q193" s="1435"/>
      <c r="S193" s="1435"/>
      <c r="AC193" s="1443" t="b">
        <f t="shared" si="61"/>
        <v>0</v>
      </c>
      <c r="AD193" s="1443" t="b">
        <f t="shared" si="61"/>
        <v>0</v>
      </c>
      <c r="AE193" s="1443" t="b">
        <f t="shared" si="61"/>
        <v>0</v>
      </c>
      <c r="AF193" s="1443" t="b">
        <f t="shared" si="61"/>
        <v>0</v>
      </c>
      <c r="AG193" s="1443" t="b">
        <f t="shared" si="61"/>
        <v>0</v>
      </c>
      <c r="AH193" s="1443" t="b">
        <f t="shared" si="61"/>
        <v>0</v>
      </c>
      <c r="AI193" s="1443" t="b">
        <f t="shared" si="61"/>
        <v>0</v>
      </c>
      <c r="AJ193" s="1633" t="s">
        <v>1954</v>
      </c>
      <c r="AK193" s="1635" t="str">
        <f>IF(AND(CNTR_ExistSubInstEntries,MSconst_RequireSubAttrEmissions,COUNTIFS(AC193:AI193,FALSE,H193:N193,"")&gt;0),EUconst_Error&amp;"BM"&amp;$Q13,"")</f>
        <v/>
      </c>
    </row>
    <row r="194" spans="2:37" ht="12.75" customHeight="1">
      <c r="B194" s="479"/>
      <c r="C194" s="977"/>
      <c r="D194" s="777" t="s">
        <v>788</v>
      </c>
      <c r="E194" s="2473" t="s">
        <v>880</v>
      </c>
      <c r="F194" s="2474"/>
      <c r="G194" s="812" t="s">
        <v>878</v>
      </c>
      <c r="H194" s="1558" t="str">
        <f>c_ALR2025!M2880</f>
        <v/>
      </c>
      <c r="I194" s="1873"/>
      <c r="J194" s="1751"/>
      <c r="K194" s="1751"/>
      <c r="L194" s="1751"/>
      <c r="M194" s="1751"/>
      <c r="N194" s="1752"/>
      <c r="O194" s="485"/>
      <c r="P194" s="9"/>
      <c r="Q194" s="1435"/>
      <c r="S194" s="1648"/>
      <c r="T194" s="1749">
        <f t="shared" ref="T194:Z194" si="62">H190</f>
        <v>2024</v>
      </c>
      <c r="U194" s="1749">
        <f t="shared" si="62"/>
        <v>2025</v>
      </c>
      <c r="V194" s="1749">
        <f t="shared" si="62"/>
        <v>2026</v>
      </c>
      <c r="W194" s="1749">
        <f t="shared" si="62"/>
        <v>2027</v>
      </c>
      <c r="X194" s="1749">
        <f t="shared" si="62"/>
        <v>2028</v>
      </c>
      <c r="Y194" s="1749">
        <f t="shared" si="62"/>
        <v>2029</v>
      </c>
      <c r="Z194" s="1750">
        <f t="shared" si="62"/>
        <v>2030</v>
      </c>
      <c r="AC194" s="1443" t="b">
        <f t="shared" si="61"/>
        <v>0</v>
      </c>
      <c r="AD194" s="1443" t="b">
        <f t="shared" si="61"/>
        <v>0</v>
      </c>
      <c r="AE194" s="1443" t="b">
        <f t="shared" si="61"/>
        <v>0</v>
      </c>
      <c r="AF194" s="1443" t="b">
        <f t="shared" si="61"/>
        <v>0</v>
      </c>
      <c r="AG194" s="1443" t="b">
        <f t="shared" si="61"/>
        <v>0</v>
      </c>
      <c r="AH194" s="1443" t="b">
        <f t="shared" si="61"/>
        <v>0</v>
      </c>
      <c r="AI194" s="1443" t="b">
        <f t="shared" si="61"/>
        <v>0</v>
      </c>
      <c r="AJ194" s="1633" t="s">
        <v>1954</v>
      </c>
      <c r="AK194" s="1635" t="str">
        <f>IF(AND(CNTR_ExistSubInstEntries,MSconst_RequireSubAttrEmissions,COUNTIFS(AC194:AI194,FALSE,H194:N194,"")&gt;0),EUconst_Error&amp;"BM"&amp;$Q13,"")</f>
        <v/>
      </c>
    </row>
    <row r="195" spans="2:37" ht="12.75" customHeight="1" thickBot="1">
      <c r="B195" s="479"/>
      <c r="C195" s="977"/>
      <c r="D195" s="777" t="s">
        <v>789</v>
      </c>
      <c r="E195" s="2471" t="s">
        <v>882</v>
      </c>
      <c r="F195" s="2472"/>
      <c r="G195" s="995" t="str">
        <f>EUconst_tCO2pa</f>
        <v>t CO2 / year</v>
      </c>
      <c r="H195" s="996" t="str">
        <f t="shared" ref="H195:N195" si="63">IF(AND(COUNT(H191:H194)&gt;0,H198=""),3.664*H191*(H193/100)*(1-H194/100),"")</f>
        <v/>
      </c>
      <c r="I195" s="996" t="str">
        <f t="shared" si="63"/>
        <v/>
      </c>
      <c r="J195" s="1754" t="str">
        <f t="shared" si="63"/>
        <v/>
      </c>
      <c r="K195" s="1754" t="str">
        <f t="shared" si="63"/>
        <v/>
      </c>
      <c r="L195" s="1754" t="str">
        <f t="shared" si="63"/>
        <v/>
      </c>
      <c r="M195" s="1754" t="str">
        <f t="shared" si="63"/>
        <v/>
      </c>
      <c r="N195" s="1755" t="str">
        <f t="shared" si="63"/>
        <v/>
      </c>
      <c r="O195" s="485"/>
      <c r="P195" s="485"/>
      <c r="Q195" s="1644" t="str">
        <f>EUconst_CNTR_EmissionsIntSource1 &amp; I13</f>
        <v>EmInternalSource1_</v>
      </c>
      <c r="S195" s="1753" t="str">
        <f>EUconst_CNTR_AttributedEmissions &amp; I13</f>
        <v>AttrEmissions_</v>
      </c>
      <c r="T195" s="1743" t="str">
        <f t="shared" ref="T195:Z195" si="64">IF(T21,SUM(H195),"")</f>
        <v/>
      </c>
      <c r="U195" s="1743" t="str">
        <f t="shared" si="64"/>
        <v/>
      </c>
      <c r="V195" s="1743" t="str">
        <f t="shared" si="64"/>
        <v/>
      </c>
      <c r="W195" s="1743" t="str">
        <f t="shared" si="64"/>
        <v/>
      </c>
      <c r="X195" s="1743" t="str">
        <f t="shared" si="64"/>
        <v/>
      </c>
      <c r="Y195" s="1743" t="str">
        <f t="shared" si="64"/>
        <v/>
      </c>
      <c r="Z195" s="1744" t="str">
        <f t="shared" si="64"/>
        <v/>
      </c>
    </row>
    <row r="196" spans="2:37" ht="12.75" customHeight="1">
      <c r="B196" s="479"/>
      <c r="C196" s="977"/>
      <c r="D196" s="777" t="s">
        <v>790</v>
      </c>
      <c r="E196" s="2670" t="s">
        <v>879</v>
      </c>
      <c r="F196" s="2608"/>
      <c r="G196" s="998" t="str">
        <f>EUconst_tCO2pa</f>
        <v>t CO2 / year</v>
      </c>
      <c r="H196" s="999" t="str">
        <f t="shared" ref="H196:N196" si="65">IF(ISNUMBER(H195),3.664*H191*(H193/100)*(H194/100),"")</f>
        <v/>
      </c>
      <c r="I196" s="999" t="str">
        <f t="shared" si="65"/>
        <v/>
      </c>
      <c r="J196" s="1756" t="str">
        <f t="shared" si="65"/>
        <v/>
      </c>
      <c r="K196" s="1756" t="str">
        <f t="shared" si="65"/>
        <v/>
      </c>
      <c r="L196" s="1756" t="str">
        <f t="shared" si="65"/>
        <v/>
      </c>
      <c r="M196" s="1756" t="str">
        <f t="shared" si="65"/>
        <v/>
      </c>
      <c r="N196" s="1757" t="str">
        <f t="shared" si="65"/>
        <v/>
      </c>
      <c r="O196" s="485"/>
      <c r="P196" s="485"/>
      <c r="Q196" s="1435"/>
      <c r="S196" s="1435"/>
    </row>
    <row r="197" spans="2:37" ht="12.75" customHeight="1">
      <c r="B197" s="479"/>
      <c r="C197" s="977"/>
      <c r="D197" s="777" t="s">
        <v>791</v>
      </c>
      <c r="E197" s="2473" t="s">
        <v>41</v>
      </c>
      <c r="F197" s="2474"/>
      <c r="G197" s="1001" t="str">
        <f>EUconst_TJpa</f>
        <v>TJ / year</v>
      </c>
      <c r="H197" s="605" t="str">
        <f t="shared" ref="H197:N197" si="66">IF(COUNT(H191:H192)=2,H191*H192/1000,"")</f>
        <v/>
      </c>
      <c r="I197" s="605" t="str">
        <f t="shared" si="66"/>
        <v/>
      </c>
      <c r="J197" s="1751" t="str">
        <f t="shared" si="66"/>
        <v/>
      </c>
      <c r="K197" s="1751" t="str">
        <f t="shared" si="66"/>
        <v/>
      </c>
      <c r="L197" s="1751" t="str">
        <f t="shared" si="66"/>
        <v/>
      </c>
      <c r="M197" s="1751" t="str">
        <f t="shared" si="66"/>
        <v/>
      </c>
      <c r="N197" s="1752" t="str">
        <f t="shared" si="66"/>
        <v/>
      </c>
      <c r="O197" s="485"/>
      <c r="P197" s="485"/>
      <c r="Q197" s="1435"/>
      <c r="S197" s="1435"/>
    </row>
    <row r="198" spans="2:37" ht="12.75" customHeight="1">
      <c r="B198" s="479"/>
      <c r="C198" s="977"/>
      <c r="D198" s="777" t="s">
        <v>64</v>
      </c>
      <c r="E198" s="2687" t="s">
        <v>393</v>
      </c>
      <c r="F198" s="2688"/>
      <c r="G198" s="1002"/>
      <c r="H198" s="1003" t="str">
        <f t="shared" ref="H198:N198" si="67">IF(COUNT(H191,H193:H194)&gt;0,IF(COUNTIF(H192:H194,"&lt;0")&gt;0,EUconst_Negative,IF(COUNT(H191,H193:H194)&lt;3,EUconst_Incomplete,"")),"")</f>
        <v/>
      </c>
      <c r="I198" s="1003" t="str">
        <f t="shared" si="67"/>
        <v/>
      </c>
      <c r="J198" s="1758" t="str">
        <f t="shared" si="67"/>
        <v/>
      </c>
      <c r="K198" s="1758" t="str">
        <f t="shared" si="67"/>
        <v/>
      </c>
      <c r="L198" s="1758" t="str">
        <f t="shared" si="67"/>
        <v/>
      </c>
      <c r="M198" s="1758" t="str">
        <f t="shared" si="67"/>
        <v/>
      </c>
      <c r="N198" s="1759" t="str">
        <f t="shared" si="67"/>
        <v/>
      </c>
      <c r="O198" s="485"/>
      <c r="P198" s="485"/>
      <c r="Q198" s="1435"/>
      <c r="S198" s="1435"/>
    </row>
    <row r="199" spans="2:37" ht="12.75" customHeight="1">
      <c r="B199" s="479"/>
      <c r="C199" s="977"/>
      <c r="D199" s="777"/>
      <c r="E199" s="981"/>
      <c r="F199" s="981"/>
      <c r="G199" s="981"/>
      <c r="H199" s="981"/>
      <c r="I199" s="981"/>
      <c r="J199" s="981"/>
      <c r="K199" s="981"/>
      <c r="L199" s="981"/>
      <c r="M199" s="813"/>
      <c r="N199" s="814"/>
      <c r="O199" s="485"/>
      <c r="P199" s="485"/>
      <c r="Q199" s="1435"/>
      <c r="S199" s="1435"/>
    </row>
    <row r="200" spans="2:37" ht="12.75" customHeight="1">
      <c r="B200" s="479"/>
      <c r="C200" s="977"/>
      <c r="D200" s="777" t="s">
        <v>65</v>
      </c>
      <c r="E200" s="2649" t="s">
        <v>1215</v>
      </c>
      <c r="F200" s="2391"/>
      <c r="G200" s="2391"/>
      <c r="H200" s="2512"/>
      <c r="I200" s="3211" t="str">
        <f>c_ALR2025!I2886</f>
        <v/>
      </c>
      <c r="J200" s="3206"/>
      <c r="K200" s="3206"/>
      <c r="L200" s="3206"/>
      <c r="M200" s="3207"/>
      <c r="N200" s="979"/>
      <c r="O200" s="485"/>
      <c r="P200" s="9"/>
      <c r="Q200" s="1435"/>
      <c r="S200" s="1435"/>
      <c r="AC200" s="1641" t="s">
        <v>717</v>
      </c>
      <c r="AD200" s="1443" t="b">
        <f>AD188</f>
        <v>0</v>
      </c>
    </row>
    <row r="201" spans="2:37" ht="5.0999999999999996" customHeight="1">
      <c r="B201" s="479"/>
      <c r="C201" s="977"/>
      <c r="D201" s="981"/>
      <c r="E201" s="986"/>
      <c r="F201" s="978"/>
      <c r="G201" s="981"/>
      <c r="H201" s="981"/>
      <c r="I201" s="978"/>
      <c r="J201" s="978"/>
      <c r="K201" s="978"/>
      <c r="L201" s="978"/>
      <c r="M201" s="978"/>
      <c r="N201" s="979"/>
      <c r="O201" s="485"/>
      <c r="P201" s="485"/>
      <c r="Q201" s="1435"/>
      <c r="S201" s="1435"/>
    </row>
    <row r="202" spans="2:37" ht="12.75" customHeight="1" thickBot="1">
      <c r="B202" s="479"/>
      <c r="C202" s="977"/>
      <c r="D202" s="777"/>
      <c r="E202" s="2648" t="s">
        <v>1155</v>
      </c>
      <c r="F202" s="2493"/>
      <c r="G202" s="987" t="str">
        <f>EUconst_Unit</f>
        <v>Unit</v>
      </c>
      <c r="H202" s="782">
        <f t="shared" ref="H202:N202" si="68">H$3242</f>
        <v>2024</v>
      </c>
      <c r="I202" s="782">
        <f t="shared" si="68"/>
        <v>2025</v>
      </c>
      <c r="J202" s="1747">
        <f t="shared" si="68"/>
        <v>2026</v>
      </c>
      <c r="K202" s="1747">
        <f t="shared" si="68"/>
        <v>2027</v>
      </c>
      <c r="L202" s="1747">
        <f t="shared" si="68"/>
        <v>2028</v>
      </c>
      <c r="M202" s="1747">
        <f t="shared" si="68"/>
        <v>2029</v>
      </c>
      <c r="N202" s="1748">
        <f t="shared" si="68"/>
        <v>2030</v>
      </c>
      <c r="O202" s="485"/>
      <c r="P202" s="485"/>
      <c r="Q202" s="1435"/>
      <c r="S202" s="1435"/>
      <c r="AC202" s="1638">
        <f t="shared" ref="AC202:AI202" si="69">H$20</f>
        <v>2024</v>
      </c>
      <c r="AD202" s="1638">
        <f t="shared" si="69"/>
        <v>2025</v>
      </c>
      <c r="AE202" s="1638">
        <f t="shared" si="69"/>
        <v>2026</v>
      </c>
      <c r="AF202" s="1638">
        <f t="shared" si="69"/>
        <v>2027</v>
      </c>
      <c r="AG202" s="1638">
        <f t="shared" si="69"/>
        <v>2028</v>
      </c>
      <c r="AH202" s="1638">
        <f t="shared" si="69"/>
        <v>2029</v>
      </c>
      <c r="AI202" s="1638">
        <f t="shared" si="69"/>
        <v>2030</v>
      </c>
    </row>
    <row r="203" spans="2:37" ht="12.75" customHeight="1">
      <c r="B203" s="479"/>
      <c r="C203" s="977"/>
      <c r="D203" s="777" t="s">
        <v>66</v>
      </c>
      <c r="E203" s="2471" t="s">
        <v>1153</v>
      </c>
      <c r="F203" s="2472"/>
      <c r="G203" s="811" t="str">
        <f>EUconst_tpa</f>
        <v>t / year</v>
      </c>
      <c r="H203" s="1552" t="str">
        <f>c_ALR2025!M2889</f>
        <v/>
      </c>
      <c r="I203" s="1871"/>
      <c r="J203" s="1751"/>
      <c r="K203" s="1751"/>
      <c r="L203" s="1751"/>
      <c r="M203" s="1751"/>
      <c r="N203" s="1752"/>
      <c r="O203" s="485"/>
      <c r="P203" s="9"/>
      <c r="Q203" s="1435"/>
      <c r="S203" s="1435"/>
      <c r="AB203" s="1641" t="s">
        <v>717</v>
      </c>
      <c r="AC203" s="1443" t="b">
        <f>AC191</f>
        <v>0</v>
      </c>
      <c r="AD203" s="1443" t="b">
        <f t="shared" ref="AD203:AI203" si="70">AD191</f>
        <v>0</v>
      </c>
      <c r="AE203" s="1443" t="b">
        <f t="shared" si="70"/>
        <v>0</v>
      </c>
      <c r="AF203" s="1443" t="b">
        <f t="shared" si="70"/>
        <v>0</v>
      </c>
      <c r="AG203" s="1443" t="b">
        <f t="shared" si="70"/>
        <v>0</v>
      </c>
      <c r="AH203" s="1443" t="b">
        <f t="shared" si="70"/>
        <v>0</v>
      </c>
      <c r="AI203" s="1443" t="b">
        <f t="shared" si="70"/>
        <v>0</v>
      </c>
      <c r="AJ203" s="1633" t="s">
        <v>1954</v>
      </c>
      <c r="AK203" s="1635" t="str">
        <f>IF(AND(CNTR_ExistSubInstEntries,MSconst_RequireSubAttrEmissions,COUNTIFS(AC203:AI203,FALSE,H203:N203,"")&gt;0),EUconst_Error&amp;"BM"&amp;$Q13,"")</f>
        <v/>
      </c>
    </row>
    <row r="204" spans="2:37" ht="12.75" customHeight="1">
      <c r="B204" s="479"/>
      <c r="C204" s="977"/>
      <c r="D204" s="777" t="s">
        <v>1105</v>
      </c>
      <c r="E204" s="2685" t="s">
        <v>946</v>
      </c>
      <c r="F204" s="2608"/>
      <c r="G204" s="993" t="str">
        <f>EUconst_GJpt</f>
        <v>GJ / t</v>
      </c>
      <c r="H204" s="1557" t="str">
        <f>c_ALR2025!M2890</f>
        <v/>
      </c>
      <c r="I204" s="1872"/>
      <c r="J204" s="1751"/>
      <c r="K204" s="1751"/>
      <c r="L204" s="1751"/>
      <c r="M204" s="1751"/>
      <c r="N204" s="1752"/>
      <c r="O204" s="485"/>
      <c r="P204" s="9"/>
      <c r="Q204" s="1435"/>
      <c r="S204" s="1435"/>
      <c r="AC204" s="1443" t="b">
        <f t="shared" ref="AC204:AI204" si="71">AC192</f>
        <v>0</v>
      </c>
      <c r="AD204" s="1443" t="b">
        <f t="shared" si="71"/>
        <v>0</v>
      </c>
      <c r="AE204" s="1443" t="b">
        <f t="shared" si="71"/>
        <v>0</v>
      </c>
      <c r="AF204" s="1443" t="b">
        <f t="shared" si="71"/>
        <v>0</v>
      </c>
      <c r="AG204" s="1443" t="b">
        <f t="shared" si="71"/>
        <v>0</v>
      </c>
      <c r="AH204" s="1443" t="b">
        <f t="shared" si="71"/>
        <v>0</v>
      </c>
      <c r="AI204" s="1443" t="b">
        <f t="shared" si="71"/>
        <v>0</v>
      </c>
      <c r="AJ204" s="1633" t="s">
        <v>1954</v>
      </c>
      <c r="AK204" s="1635" t="str">
        <f>IF(AND(CNTR_ExistSubInstEntries,MSconst_RequireSubAttrEmissions,COUNTIFS(AC204:AI204,FALSE,H204:N204,"")&gt;0),EUconst_Error&amp;"BM"&amp;$Q13,"")</f>
        <v/>
      </c>
    </row>
    <row r="205" spans="2:37" ht="12.75" customHeight="1" thickBot="1">
      <c r="B205" s="479"/>
      <c r="C205" s="977"/>
      <c r="D205" s="777" t="s">
        <v>1106</v>
      </c>
      <c r="E205" s="2685" t="s">
        <v>945</v>
      </c>
      <c r="F205" s="2608"/>
      <c r="G205" s="994" t="s">
        <v>878</v>
      </c>
      <c r="H205" s="1557" t="str">
        <f>c_ALR2025!M2891</f>
        <v/>
      </c>
      <c r="I205" s="1872"/>
      <c r="J205" s="1751"/>
      <c r="K205" s="1751"/>
      <c r="L205" s="1751"/>
      <c r="M205" s="1751"/>
      <c r="N205" s="1752"/>
      <c r="O205" s="485"/>
      <c r="P205" s="9"/>
      <c r="Q205" s="1435"/>
      <c r="S205" s="1435"/>
      <c r="AC205" s="1443" t="b">
        <f t="shared" ref="AC205:AI205" si="72">AC193</f>
        <v>0</v>
      </c>
      <c r="AD205" s="1443" t="b">
        <f t="shared" si="72"/>
        <v>0</v>
      </c>
      <c r="AE205" s="1443" t="b">
        <f t="shared" si="72"/>
        <v>0</v>
      </c>
      <c r="AF205" s="1443" t="b">
        <f t="shared" si="72"/>
        <v>0</v>
      </c>
      <c r="AG205" s="1443" t="b">
        <f t="shared" si="72"/>
        <v>0</v>
      </c>
      <c r="AH205" s="1443" t="b">
        <f t="shared" si="72"/>
        <v>0</v>
      </c>
      <c r="AI205" s="1443" t="b">
        <f t="shared" si="72"/>
        <v>0</v>
      </c>
      <c r="AJ205" s="1633" t="s">
        <v>1954</v>
      </c>
      <c r="AK205" s="1635" t="str">
        <f>IF(AND(CNTR_ExistSubInstEntries,MSconst_RequireSubAttrEmissions,COUNTIFS(AC205:AI205,FALSE,H205:N205,"")&gt;0),EUconst_Error&amp;"BM"&amp;$Q13,"")</f>
        <v/>
      </c>
    </row>
    <row r="206" spans="2:37" ht="12.75" customHeight="1">
      <c r="B206" s="479"/>
      <c r="C206" s="977"/>
      <c r="D206" s="777" t="s">
        <v>1107</v>
      </c>
      <c r="E206" s="2473" t="s">
        <v>880</v>
      </c>
      <c r="F206" s="2474"/>
      <c r="G206" s="812" t="s">
        <v>878</v>
      </c>
      <c r="H206" s="1558" t="str">
        <f>c_ALR2025!M2892</f>
        <v/>
      </c>
      <c r="I206" s="1873"/>
      <c r="J206" s="1751"/>
      <c r="K206" s="1751"/>
      <c r="L206" s="1751"/>
      <c r="M206" s="1751"/>
      <c r="N206" s="1752"/>
      <c r="O206" s="485"/>
      <c r="P206" s="9"/>
      <c r="Q206" s="1435"/>
      <c r="S206" s="1648"/>
      <c r="T206" s="1749">
        <f t="shared" ref="T206:Z206" si="73">H202</f>
        <v>2024</v>
      </c>
      <c r="U206" s="1749">
        <f t="shared" si="73"/>
        <v>2025</v>
      </c>
      <c r="V206" s="1749">
        <f t="shared" si="73"/>
        <v>2026</v>
      </c>
      <c r="W206" s="1749">
        <f t="shared" si="73"/>
        <v>2027</v>
      </c>
      <c r="X206" s="1749">
        <f t="shared" si="73"/>
        <v>2028</v>
      </c>
      <c r="Y206" s="1749">
        <f t="shared" si="73"/>
        <v>2029</v>
      </c>
      <c r="Z206" s="1750">
        <f t="shared" si="73"/>
        <v>2030</v>
      </c>
      <c r="AC206" s="1443" t="b">
        <f t="shared" ref="AC206:AI206" si="74">AC194</f>
        <v>0</v>
      </c>
      <c r="AD206" s="1443" t="b">
        <f t="shared" si="74"/>
        <v>0</v>
      </c>
      <c r="AE206" s="1443" t="b">
        <f t="shared" si="74"/>
        <v>0</v>
      </c>
      <c r="AF206" s="1443" t="b">
        <f t="shared" si="74"/>
        <v>0</v>
      </c>
      <c r="AG206" s="1443" t="b">
        <f t="shared" si="74"/>
        <v>0</v>
      </c>
      <c r="AH206" s="1443" t="b">
        <f t="shared" si="74"/>
        <v>0</v>
      </c>
      <c r="AI206" s="1443" t="b">
        <f t="shared" si="74"/>
        <v>0</v>
      </c>
      <c r="AJ206" s="1633" t="s">
        <v>1954</v>
      </c>
      <c r="AK206" s="1635" t="str">
        <f>IF(AND(CNTR_ExistSubInstEntries,MSconst_RequireSubAttrEmissions,COUNTIFS(AC206:AI206,FALSE,H206:N206,"")&gt;0),EUconst_Error&amp;"BM"&amp;$Q13,"")</f>
        <v/>
      </c>
    </row>
    <row r="207" spans="2:37" ht="12.75" customHeight="1" thickBot="1">
      <c r="B207" s="479"/>
      <c r="C207" s="977"/>
      <c r="D207" s="777" t="s">
        <v>1108</v>
      </c>
      <c r="E207" s="2471" t="s">
        <v>882</v>
      </c>
      <c r="F207" s="2472"/>
      <c r="G207" s="995" t="str">
        <f>EUconst_tCO2pa</f>
        <v>t CO2 / year</v>
      </c>
      <c r="H207" s="996" t="str">
        <f t="shared" ref="H207:N207" si="75">IF(AND(COUNT(H203:H206)&gt;0,H210=""),3.664*H203*(H205/100)*(1-H206/100),"")</f>
        <v/>
      </c>
      <c r="I207" s="996" t="str">
        <f t="shared" si="75"/>
        <v/>
      </c>
      <c r="J207" s="1754" t="str">
        <f t="shared" si="75"/>
        <v/>
      </c>
      <c r="K207" s="1754" t="str">
        <f t="shared" si="75"/>
        <v/>
      </c>
      <c r="L207" s="1754" t="str">
        <f t="shared" si="75"/>
        <v/>
      </c>
      <c r="M207" s="1754" t="str">
        <f t="shared" si="75"/>
        <v/>
      </c>
      <c r="N207" s="1755" t="str">
        <f t="shared" si="75"/>
        <v/>
      </c>
      <c r="O207" s="485"/>
      <c r="P207" s="485"/>
      <c r="Q207" s="1644" t="str">
        <f>EUconst_CNTR_EmissionsIntSource2 &amp; I13</f>
        <v>EmInternalSource2_</v>
      </c>
      <c r="S207" s="1753" t="str">
        <f>EUconst_CNTR_AttributedEmissions &amp; I13</f>
        <v>AttrEmissions_</v>
      </c>
      <c r="T207" s="1743" t="str">
        <f t="shared" ref="T207:Z207" si="76">IF(T21,SUM(H207),"")</f>
        <v/>
      </c>
      <c r="U207" s="1743" t="str">
        <f t="shared" si="76"/>
        <v/>
      </c>
      <c r="V207" s="1743" t="str">
        <f t="shared" si="76"/>
        <v/>
      </c>
      <c r="W207" s="1743" t="str">
        <f t="shared" si="76"/>
        <v/>
      </c>
      <c r="X207" s="1743" t="str">
        <f t="shared" si="76"/>
        <v/>
      </c>
      <c r="Y207" s="1743" t="str">
        <f t="shared" si="76"/>
        <v/>
      </c>
      <c r="Z207" s="1744" t="str">
        <f t="shared" si="76"/>
        <v/>
      </c>
    </row>
    <row r="208" spans="2:37" ht="12.75" customHeight="1">
      <c r="B208" s="479"/>
      <c r="C208" s="977"/>
      <c r="D208" s="777" t="s">
        <v>1109</v>
      </c>
      <c r="E208" s="2670" t="s">
        <v>879</v>
      </c>
      <c r="F208" s="2608"/>
      <c r="G208" s="998" t="str">
        <f>EUconst_tCO2pa</f>
        <v>t CO2 / year</v>
      </c>
      <c r="H208" s="999" t="str">
        <f t="shared" ref="H208:N208" si="77">IF(ISNUMBER(H207),3.664*H203*(H205/100)*(H206/100),"")</f>
        <v/>
      </c>
      <c r="I208" s="999" t="str">
        <f t="shared" si="77"/>
        <v/>
      </c>
      <c r="J208" s="1756" t="str">
        <f t="shared" si="77"/>
        <v/>
      </c>
      <c r="K208" s="1756" t="str">
        <f t="shared" si="77"/>
        <v/>
      </c>
      <c r="L208" s="1756" t="str">
        <f t="shared" si="77"/>
        <v/>
      </c>
      <c r="M208" s="1756" t="str">
        <f t="shared" si="77"/>
        <v/>
      </c>
      <c r="N208" s="1757" t="str">
        <f t="shared" si="77"/>
        <v/>
      </c>
      <c r="O208" s="485"/>
      <c r="P208" s="485"/>
      <c r="Q208" s="1435"/>
      <c r="S208" s="1435"/>
    </row>
    <row r="209" spans="2:37" ht="12.75" customHeight="1">
      <c r="B209" s="479"/>
      <c r="C209" s="977"/>
      <c r="D209" s="777" t="s">
        <v>1110</v>
      </c>
      <c r="E209" s="2473" t="s">
        <v>41</v>
      </c>
      <c r="F209" s="2474"/>
      <c r="G209" s="1001" t="str">
        <f>EUconst_TJpa</f>
        <v>TJ / year</v>
      </c>
      <c r="H209" s="605" t="str">
        <f t="shared" ref="H209:N209" si="78">IF(COUNT(H203:H204)=2,H203*H204/1000,"")</f>
        <v/>
      </c>
      <c r="I209" s="605" t="str">
        <f t="shared" si="78"/>
        <v/>
      </c>
      <c r="J209" s="1751" t="str">
        <f t="shared" si="78"/>
        <v/>
      </c>
      <c r="K209" s="1751" t="str">
        <f t="shared" si="78"/>
        <v/>
      </c>
      <c r="L209" s="1751" t="str">
        <f t="shared" si="78"/>
        <v/>
      </c>
      <c r="M209" s="1751" t="str">
        <f t="shared" si="78"/>
        <v/>
      </c>
      <c r="N209" s="1752" t="str">
        <f t="shared" si="78"/>
        <v/>
      </c>
      <c r="O209" s="485"/>
      <c r="P209" s="485"/>
      <c r="Q209" s="1435"/>
      <c r="S209" s="1435"/>
    </row>
    <row r="210" spans="2:37" ht="12.75" customHeight="1">
      <c r="B210" s="479"/>
      <c r="C210" s="977"/>
      <c r="D210" s="777" t="s">
        <v>1106</v>
      </c>
      <c r="E210" s="2687" t="s">
        <v>393</v>
      </c>
      <c r="F210" s="2688"/>
      <c r="G210" s="1002"/>
      <c r="H210" s="1003" t="str">
        <f t="shared" ref="H210:N210" si="79">IF(COUNT(H203,H205:H206)&gt;0,IF(COUNTIF(H204:H206,"&lt;0")&gt;0,EUconst_Negative,IF(COUNT(H203,H205:H206)&lt;3,EUconst_Incomplete,"")),"")</f>
        <v/>
      </c>
      <c r="I210" s="1003" t="str">
        <f t="shared" si="79"/>
        <v/>
      </c>
      <c r="J210" s="1758" t="str">
        <f t="shared" si="79"/>
        <v/>
      </c>
      <c r="K210" s="1758" t="str">
        <f t="shared" si="79"/>
        <v/>
      </c>
      <c r="L210" s="1758" t="str">
        <f t="shared" si="79"/>
        <v/>
      </c>
      <c r="M210" s="1758" t="str">
        <f t="shared" si="79"/>
        <v/>
      </c>
      <c r="N210" s="1759" t="str">
        <f t="shared" si="79"/>
        <v/>
      </c>
      <c r="O210" s="485"/>
      <c r="P210" s="485"/>
      <c r="Q210" s="1435"/>
      <c r="S210" s="1435"/>
    </row>
    <row r="211" spans="2:37" ht="12.75" customHeight="1">
      <c r="B211" s="479"/>
      <c r="C211" s="977"/>
      <c r="D211" s="981"/>
      <c r="E211" s="981"/>
      <c r="F211" s="981"/>
      <c r="G211" s="981"/>
      <c r="H211" s="981"/>
      <c r="I211" s="981"/>
      <c r="J211" s="981"/>
      <c r="K211" s="981"/>
      <c r="L211" s="981"/>
      <c r="M211" s="813"/>
      <c r="N211" s="814"/>
      <c r="O211" s="485"/>
      <c r="P211" s="485"/>
      <c r="Q211" s="1435"/>
      <c r="S211" s="1435"/>
    </row>
    <row r="212" spans="2:37" ht="12.75" customHeight="1">
      <c r="B212" s="479"/>
      <c r="C212" s="977"/>
      <c r="D212" s="982" t="s">
        <v>478</v>
      </c>
      <c r="E212" s="2649" t="s">
        <v>1457</v>
      </c>
      <c r="F212" s="2391"/>
      <c r="G212" s="2391"/>
      <c r="H212" s="2391"/>
      <c r="I212" s="2391"/>
      <c r="J212" s="2391"/>
      <c r="K212" s="2391"/>
      <c r="L212" s="2391"/>
      <c r="M212" s="2391"/>
      <c r="N212" s="2650"/>
      <c r="O212" s="485"/>
      <c r="P212" s="485"/>
      <c r="Q212" s="1435"/>
      <c r="S212" s="1435"/>
    </row>
    <row r="213" spans="2:37" ht="12.75" customHeight="1">
      <c r="B213" s="479"/>
      <c r="C213" s="977"/>
      <c r="D213" s="777"/>
      <c r="E213" s="3272" t="s">
        <v>2295</v>
      </c>
      <c r="F213" s="2380"/>
      <c r="G213" s="2380"/>
      <c r="H213" s="2380"/>
      <c r="I213" s="2380"/>
      <c r="J213" s="2380"/>
      <c r="K213" s="2380"/>
      <c r="L213" s="2380"/>
      <c r="M213" s="2380"/>
      <c r="N213" s="3268"/>
      <c r="O213" s="485"/>
      <c r="P213" s="485"/>
      <c r="Q213" s="1435"/>
      <c r="S213" s="1435"/>
      <c r="T213" s="1435"/>
      <c r="U213" s="1435"/>
      <c r="V213" s="1435"/>
    </row>
    <row r="214" spans="2:37" ht="25.5" customHeight="1">
      <c r="B214" s="479"/>
      <c r="C214" s="977"/>
      <c r="D214" s="981"/>
      <c r="E214" s="3267" t="s">
        <v>2562</v>
      </c>
      <c r="F214" s="3267"/>
      <c r="G214" s="3267"/>
      <c r="H214" s="3267"/>
      <c r="I214" s="3267"/>
      <c r="J214" s="3267"/>
      <c r="K214" s="3267"/>
      <c r="L214" s="3267"/>
      <c r="M214" s="3267"/>
      <c r="N214" s="3298"/>
      <c r="O214" s="485"/>
      <c r="P214" s="485"/>
      <c r="Q214" s="1435"/>
      <c r="S214" s="1435"/>
    </row>
    <row r="215" spans="2:37" ht="12.75" customHeight="1" thickBot="1">
      <c r="B215" s="479"/>
      <c r="C215" s="977"/>
      <c r="D215" s="981"/>
      <c r="E215" s="3267" t="s">
        <v>1365</v>
      </c>
      <c r="F215" s="2380"/>
      <c r="G215" s="2380"/>
      <c r="H215" s="2380"/>
      <c r="I215" s="2380"/>
      <c r="J215" s="2380"/>
      <c r="K215" s="2380"/>
      <c r="L215" s="2380"/>
      <c r="M215" s="2380"/>
      <c r="N215" s="3268"/>
      <c r="O215" s="485"/>
      <c r="P215" s="485"/>
      <c r="Q215" s="1435"/>
      <c r="S215" s="1435"/>
    </row>
    <row r="216" spans="2:37" ht="12.75" customHeight="1" thickBot="1">
      <c r="B216" s="479"/>
      <c r="C216" s="977"/>
      <c r="D216" s="982"/>
      <c r="E216" s="989"/>
      <c r="F216" s="990"/>
      <c r="G216" s="987" t="str">
        <f>EUconst_Unit</f>
        <v>Unit</v>
      </c>
      <c r="H216" s="782">
        <f t="shared" ref="H216:N216" si="80">H$3242</f>
        <v>2024</v>
      </c>
      <c r="I216" s="782">
        <f t="shared" si="80"/>
        <v>2025</v>
      </c>
      <c r="J216" s="1747">
        <f t="shared" si="80"/>
        <v>2026</v>
      </c>
      <c r="K216" s="1747">
        <f t="shared" si="80"/>
        <v>2027</v>
      </c>
      <c r="L216" s="1747">
        <f t="shared" si="80"/>
        <v>2028</v>
      </c>
      <c r="M216" s="1747">
        <f t="shared" si="80"/>
        <v>2029</v>
      </c>
      <c r="N216" s="1748">
        <f t="shared" si="80"/>
        <v>2030</v>
      </c>
      <c r="O216" s="485"/>
      <c r="P216" s="485"/>
      <c r="Q216" s="1435"/>
      <c r="S216" s="1648"/>
      <c r="T216" s="1749">
        <f t="shared" ref="T216:Z216" si="81">H216</f>
        <v>2024</v>
      </c>
      <c r="U216" s="1749">
        <f t="shared" si="81"/>
        <v>2025</v>
      </c>
      <c r="V216" s="1749">
        <f t="shared" si="81"/>
        <v>2026</v>
      </c>
      <c r="W216" s="1749">
        <f t="shared" si="81"/>
        <v>2027</v>
      </c>
      <c r="X216" s="1749">
        <f t="shared" si="81"/>
        <v>2028</v>
      </c>
      <c r="Y216" s="1749">
        <f t="shared" si="81"/>
        <v>2029</v>
      </c>
      <c r="Z216" s="1750">
        <f t="shared" si="81"/>
        <v>2030</v>
      </c>
      <c r="AC216" s="1638">
        <f t="shared" ref="AC216:AI216" si="82">H$20</f>
        <v>2024</v>
      </c>
      <c r="AD216" s="1638">
        <f t="shared" si="82"/>
        <v>2025</v>
      </c>
      <c r="AE216" s="1638">
        <f t="shared" si="82"/>
        <v>2026</v>
      </c>
      <c r="AF216" s="1638">
        <f t="shared" si="82"/>
        <v>2027</v>
      </c>
      <c r="AG216" s="1638">
        <f t="shared" si="82"/>
        <v>2028</v>
      </c>
      <c r="AH216" s="1638">
        <f t="shared" si="82"/>
        <v>2029</v>
      </c>
      <c r="AI216" s="1638">
        <f t="shared" si="82"/>
        <v>2030</v>
      </c>
    </row>
    <row r="217" spans="2:37" ht="12.75" customHeight="1" thickBot="1">
      <c r="B217" s="479"/>
      <c r="C217" s="977"/>
      <c r="D217" s="777"/>
      <c r="E217" s="2475" t="s">
        <v>1156</v>
      </c>
      <c r="F217" s="2410"/>
      <c r="G217" s="815" t="str">
        <f>EUconst_tCO2epa</f>
        <v>t CO2e/year</v>
      </c>
      <c r="H217" s="1479" t="str">
        <f>c_ALR2025!M2903</f>
        <v/>
      </c>
      <c r="I217" s="1869"/>
      <c r="J217" s="1751"/>
      <c r="K217" s="1751"/>
      <c r="L217" s="1751"/>
      <c r="M217" s="1751"/>
      <c r="N217" s="1752"/>
      <c r="O217" s="485"/>
      <c r="P217" s="9"/>
      <c r="Q217" s="1644" t="str">
        <f>EUconst_CNTR_CO2Feedstock &amp; I13</f>
        <v>EmCO2Feedstock_</v>
      </c>
      <c r="S217" s="1753" t="str">
        <f>EUconst_CNTR_AttributedEmissions &amp; I13</f>
        <v>AttrEmissions_</v>
      </c>
      <c r="T217" s="1743" t="str">
        <f t="shared" ref="T217:Z217" si="83">IF(T21,SUM(H217),"")</f>
        <v/>
      </c>
      <c r="U217" s="1743" t="str">
        <f t="shared" si="83"/>
        <v/>
      </c>
      <c r="V217" s="1743" t="str">
        <f t="shared" si="83"/>
        <v/>
      </c>
      <c r="W217" s="1743" t="str">
        <f t="shared" si="83"/>
        <v/>
      </c>
      <c r="X217" s="1743" t="str">
        <f t="shared" si="83"/>
        <v/>
      </c>
      <c r="Y217" s="1743" t="str">
        <f t="shared" si="83"/>
        <v/>
      </c>
      <c r="Z217" s="1744" t="str">
        <f t="shared" si="83"/>
        <v/>
      </c>
      <c r="AB217" s="1641" t="s">
        <v>717</v>
      </c>
      <c r="AC217" s="1443" t="b">
        <f t="shared" ref="AC217:AI217" si="84">AC83</f>
        <v>0</v>
      </c>
      <c r="AD217" s="1443" t="b">
        <f t="shared" si="84"/>
        <v>0</v>
      </c>
      <c r="AE217" s="1443" t="b">
        <f t="shared" si="84"/>
        <v>0</v>
      </c>
      <c r="AF217" s="1443" t="b">
        <f t="shared" si="84"/>
        <v>0</v>
      </c>
      <c r="AG217" s="1443" t="b">
        <f t="shared" si="84"/>
        <v>0</v>
      </c>
      <c r="AH217" s="1443" t="b">
        <f t="shared" si="84"/>
        <v>0</v>
      </c>
      <c r="AI217" s="1443" t="b">
        <f t="shared" si="84"/>
        <v>0</v>
      </c>
      <c r="AJ217" s="1633" t="s">
        <v>1954</v>
      </c>
      <c r="AK217" s="1635" t="str">
        <f>IF(AND(CNTR_ExistSubInstEntries,MSconst_RequireSubAttrEmissions,COUNTIFS(AC217:AI217,FALSE,H217:N217,"")&gt;0),EUconst_Error&amp;"BM"&amp;$Q13,"")</f>
        <v/>
      </c>
    </row>
    <row r="218" spans="2:37" ht="12.75" customHeight="1">
      <c r="B218" s="479"/>
      <c r="C218" s="977"/>
      <c r="D218" s="981"/>
      <c r="E218" s="981"/>
      <c r="F218" s="981"/>
      <c r="G218" s="981"/>
      <c r="H218" s="981"/>
      <c r="I218" s="981"/>
      <c r="J218" s="981"/>
      <c r="K218" s="981"/>
      <c r="L218" s="981"/>
      <c r="M218" s="813"/>
      <c r="N218" s="814"/>
      <c r="O218" s="485"/>
      <c r="P218" s="485"/>
      <c r="Q218" s="1435"/>
      <c r="S218" s="1435"/>
    </row>
    <row r="219" spans="2:37" ht="12.75" customHeight="1">
      <c r="B219" s="479"/>
      <c r="C219" s="977"/>
      <c r="D219" s="982" t="s">
        <v>479</v>
      </c>
      <c r="E219" s="2649" t="s">
        <v>1118</v>
      </c>
      <c r="F219" s="2391"/>
      <c r="G219" s="2391"/>
      <c r="H219" s="2391"/>
      <c r="I219" s="2391"/>
      <c r="J219" s="2391"/>
      <c r="K219" s="2391"/>
      <c r="L219" s="2391"/>
      <c r="M219" s="2391"/>
      <c r="N219" s="2650"/>
      <c r="O219" s="485"/>
      <c r="P219" s="485"/>
      <c r="Q219" s="1435"/>
      <c r="S219" s="1435"/>
    </row>
    <row r="220" spans="2:37" ht="12.75" customHeight="1">
      <c r="B220" s="479"/>
      <c r="C220" s="977"/>
      <c r="D220" s="777"/>
      <c r="E220" s="3272" t="s">
        <v>2297</v>
      </c>
      <c r="F220" s="2380"/>
      <c r="G220" s="2380"/>
      <c r="H220" s="2380"/>
      <c r="I220" s="2380"/>
      <c r="J220" s="2380"/>
      <c r="K220" s="2380"/>
      <c r="L220" s="2380"/>
      <c r="M220" s="2380"/>
      <c r="N220" s="3268"/>
      <c r="O220" s="485"/>
      <c r="P220" s="485"/>
      <c r="Q220" s="1435"/>
      <c r="S220" s="1435"/>
      <c r="T220" s="1435"/>
      <c r="U220" s="1435"/>
      <c r="V220" s="1435"/>
    </row>
    <row r="221" spans="2:37" ht="38.85" customHeight="1">
      <c r="B221" s="479"/>
      <c r="C221" s="977"/>
      <c r="D221" s="981"/>
      <c r="E221" s="3267" t="s">
        <v>2118</v>
      </c>
      <c r="F221" s="3267"/>
      <c r="G221" s="3267"/>
      <c r="H221" s="3267"/>
      <c r="I221" s="3267"/>
      <c r="J221" s="3267"/>
      <c r="K221" s="3267"/>
      <c r="L221" s="3267"/>
      <c r="M221" s="3267"/>
      <c r="N221" s="3298"/>
      <c r="O221" s="485"/>
      <c r="P221" s="485"/>
      <c r="Q221" s="1435"/>
      <c r="S221" s="1435"/>
    </row>
    <row r="222" spans="2:37" ht="25.5" customHeight="1">
      <c r="B222" s="479"/>
      <c r="C222" s="977"/>
      <c r="D222" s="981"/>
      <c r="E222" s="3267" t="s">
        <v>1614</v>
      </c>
      <c r="F222" s="2380"/>
      <c r="G222" s="2380"/>
      <c r="H222" s="2380"/>
      <c r="I222" s="2380"/>
      <c r="J222" s="2380"/>
      <c r="K222" s="2380"/>
      <c r="L222" s="2380"/>
      <c r="M222" s="2380"/>
      <c r="N222" s="3268"/>
      <c r="O222" s="485"/>
      <c r="P222" s="485"/>
      <c r="Q222" s="1435"/>
      <c r="S222" s="1435"/>
    </row>
    <row r="223" spans="2:37" ht="25.5" customHeight="1">
      <c r="B223" s="479"/>
      <c r="C223" s="977"/>
      <c r="D223" s="981"/>
      <c r="E223" s="3267" t="s">
        <v>1593</v>
      </c>
      <c r="F223" s="2380"/>
      <c r="G223" s="2380"/>
      <c r="H223" s="2380"/>
      <c r="I223" s="2380"/>
      <c r="J223" s="2380"/>
      <c r="K223" s="2380"/>
      <c r="L223" s="2380"/>
      <c r="M223" s="2380"/>
      <c r="N223" s="3268"/>
      <c r="O223" s="485"/>
      <c r="P223" s="485"/>
      <c r="Q223" s="1435"/>
      <c r="S223" s="1435"/>
    </row>
    <row r="224" spans="2:37" ht="12.75" customHeight="1" thickBot="1">
      <c r="B224" s="479"/>
      <c r="C224" s="977"/>
      <c r="D224" s="981"/>
      <c r="E224" s="3269" t="s">
        <v>1555</v>
      </c>
      <c r="F224" s="3270"/>
      <c r="G224" s="3270"/>
      <c r="H224" s="3270"/>
      <c r="I224" s="3270"/>
      <c r="J224" s="3270"/>
      <c r="K224" s="3270"/>
      <c r="L224" s="3270"/>
      <c r="M224" s="3270"/>
      <c r="N224" s="3271"/>
      <c r="O224" s="485"/>
      <c r="P224" s="485"/>
      <c r="Q224" s="1435"/>
    </row>
    <row r="225" spans="2:37" ht="12.75" customHeight="1" thickBot="1">
      <c r="B225" s="479"/>
      <c r="C225" s="977"/>
      <c r="D225" s="981"/>
      <c r="E225" s="2648" t="s">
        <v>1151</v>
      </c>
      <c r="F225" s="2493"/>
      <c r="G225" s="987" t="str">
        <f>EUconst_Unit</f>
        <v>Unit</v>
      </c>
      <c r="H225" s="782">
        <f t="shared" ref="H225:N225" si="85">H$3242</f>
        <v>2024</v>
      </c>
      <c r="I225" s="782">
        <f t="shared" si="85"/>
        <v>2025</v>
      </c>
      <c r="J225" s="1747">
        <f t="shared" si="85"/>
        <v>2026</v>
      </c>
      <c r="K225" s="1747">
        <f t="shared" si="85"/>
        <v>2027</v>
      </c>
      <c r="L225" s="1747">
        <f t="shared" si="85"/>
        <v>2028</v>
      </c>
      <c r="M225" s="1747">
        <f t="shared" si="85"/>
        <v>2029</v>
      </c>
      <c r="N225" s="1748">
        <f t="shared" si="85"/>
        <v>2030</v>
      </c>
      <c r="O225" s="485"/>
      <c r="P225" s="485"/>
      <c r="Q225" s="1435"/>
      <c r="S225" s="1648"/>
      <c r="T225" s="1749">
        <f t="shared" ref="T225:Z225" si="86">H225</f>
        <v>2024</v>
      </c>
      <c r="U225" s="1749">
        <f t="shared" si="86"/>
        <v>2025</v>
      </c>
      <c r="V225" s="1749">
        <f t="shared" si="86"/>
        <v>2026</v>
      </c>
      <c r="W225" s="1749">
        <f t="shared" si="86"/>
        <v>2027</v>
      </c>
      <c r="X225" s="1749">
        <f t="shared" si="86"/>
        <v>2028</v>
      </c>
      <c r="Y225" s="1749">
        <f t="shared" si="86"/>
        <v>2029</v>
      </c>
      <c r="Z225" s="1750">
        <f t="shared" si="86"/>
        <v>2030</v>
      </c>
      <c r="AC225" s="1638">
        <f t="shared" ref="AC225:AI225" si="87">H$20</f>
        <v>2024</v>
      </c>
      <c r="AD225" s="1638">
        <f t="shared" si="87"/>
        <v>2025</v>
      </c>
      <c r="AE225" s="1638">
        <f t="shared" si="87"/>
        <v>2026</v>
      </c>
      <c r="AF225" s="1638">
        <f t="shared" si="87"/>
        <v>2027</v>
      </c>
      <c r="AG225" s="1638">
        <f t="shared" si="87"/>
        <v>2028</v>
      </c>
      <c r="AH225" s="1638">
        <f t="shared" si="87"/>
        <v>2029</v>
      </c>
      <c r="AI225" s="1638">
        <f t="shared" si="87"/>
        <v>2030</v>
      </c>
    </row>
    <row r="226" spans="2:37" ht="12.75" customHeight="1">
      <c r="B226" s="479"/>
      <c r="C226" s="977"/>
      <c r="D226" s="777" t="s">
        <v>6</v>
      </c>
      <c r="E226" s="2475" t="s">
        <v>1087</v>
      </c>
      <c r="F226" s="2410"/>
      <c r="G226" s="815" t="str">
        <f>EUconst_TJpa</f>
        <v>TJ / year</v>
      </c>
      <c r="H226" s="1479" t="str">
        <f>c_ALR2025!M2912</f>
        <v/>
      </c>
      <c r="I226" s="1869"/>
      <c r="J226" s="1751"/>
      <c r="K226" s="1751"/>
      <c r="L226" s="1751"/>
      <c r="M226" s="1751"/>
      <c r="N226" s="1752"/>
      <c r="O226" s="485"/>
      <c r="P226" s="9"/>
      <c r="Q226" s="1644" t="str">
        <f>EUconst_CNTR_HeatImport &amp; I13</f>
        <v>HeatIm_</v>
      </c>
      <c r="S226" s="1874" t="str">
        <f>EUconst_ERR_AttrEmBMapplied &amp; I13</f>
        <v>ERR_AttrEmBM_</v>
      </c>
      <c r="T226" s="1443">
        <f t="shared" ref="T226:Z226" si="88">IF(AND(H226&lt;&gt;0,H227="",EUconst_StatusOfDataCollection=FALSE),1,0)</f>
        <v>0</v>
      </c>
      <c r="U226" s="1443">
        <f t="shared" si="88"/>
        <v>0</v>
      </c>
      <c r="V226" s="1443">
        <f t="shared" si="88"/>
        <v>0</v>
      </c>
      <c r="W226" s="1443">
        <f t="shared" si="88"/>
        <v>0</v>
      </c>
      <c r="X226" s="1443">
        <f t="shared" si="88"/>
        <v>0</v>
      </c>
      <c r="Y226" s="1443">
        <f t="shared" si="88"/>
        <v>0</v>
      </c>
      <c r="Z226" s="1737">
        <f t="shared" si="88"/>
        <v>0</v>
      </c>
      <c r="AA226" s="1503"/>
      <c r="AB226" s="1641" t="s">
        <v>717</v>
      </c>
      <c r="AC226" s="1443" t="b">
        <f t="shared" ref="AC226:AI226" si="89">AC83</f>
        <v>0</v>
      </c>
      <c r="AD226" s="1443" t="b">
        <f t="shared" si="89"/>
        <v>0</v>
      </c>
      <c r="AE226" s="1443" t="b">
        <f t="shared" si="89"/>
        <v>0</v>
      </c>
      <c r="AF226" s="1443" t="b">
        <f t="shared" si="89"/>
        <v>0</v>
      </c>
      <c r="AG226" s="1443" t="b">
        <f t="shared" si="89"/>
        <v>0</v>
      </c>
      <c r="AH226" s="1443" t="b">
        <f t="shared" si="89"/>
        <v>0</v>
      </c>
      <c r="AI226" s="1443" t="b">
        <f t="shared" si="89"/>
        <v>0</v>
      </c>
      <c r="AJ226" s="1633" t="s">
        <v>1954</v>
      </c>
      <c r="AK226" s="1635" t="str">
        <f>IF(AND(CNTR_ExistSubInstEntries,MSconst_RequireSubAttrEmissions,COUNTIFS(AC226:AI226,FALSE,H226:N226,"")&gt;0),EUconst_Error&amp;"BM"&amp;$Q13,"")</f>
        <v/>
      </c>
    </row>
    <row r="227" spans="2:37" ht="12.75" customHeight="1" thickBot="1">
      <c r="B227" s="479"/>
      <c r="C227" s="977"/>
      <c r="D227" s="777" t="s">
        <v>7</v>
      </c>
      <c r="E227" s="2475" t="s">
        <v>1103</v>
      </c>
      <c r="F227" s="2410"/>
      <c r="G227" s="815" t="str">
        <f>EUconst_tCO2pTJ</f>
        <v>t CO2 / TJ</v>
      </c>
      <c r="H227" s="1479" t="str">
        <f>c_ALR2025!M2913</f>
        <v/>
      </c>
      <c r="I227" s="1869"/>
      <c r="J227" s="1751"/>
      <c r="K227" s="1751"/>
      <c r="L227" s="1751"/>
      <c r="M227" s="1751"/>
      <c r="N227" s="1752"/>
      <c r="O227" s="485"/>
      <c r="P227" s="9"/>
      <c r="Q227" s="1644" t="str">
        <f>EUconst_CNTR_HeatImportEF &amp; I13</f>
        <v>HeatImEF_</v>
      </c>
      <c r="S227" s="1753" t="str">
        <f>EUconst_CNTR_AttributedEmissions &amp; I13</f>
        <v>AttrEmissions_</v>
      </c>
      <c r="T227" s="1743" t="str">
        <f t="shared" ref="T227:Z227" si="90">IF(T21,SUM(H226)*IF(ISNUMBER(H227),H227,EUconst_HeatBMvalue),"")</f>
        <v/>
      </c>
      <c r="U227" s="1743" t="str">
        <f t="shared" si="90"/>
        <v/>
      </c>
      <c r="V227" s="1743" t="str">
        <f t="shared" si="90"/>
        <v/>
      </c>
      <c r="W227" s="1743" t="str">
        <f t="shared" si="90"/>
        <v/>
      </c>
      <c r="X227" s="1743" t="str">
        <f t="shared" si="90"/>
        <v/>
      </c>
      <c r="Y227" s="1743" t="str">
        <f t="shared" si="90"/>
        <v/>
      </c>
      <c r="Z227" s="1744" t="str">
        <f t="shared" si="90"/>
        <v/>
      </c>
      <c r="AC227" s="1443" t="b">
        <f>AC226</f>
        <v>0</v>
      </c>
      <c r="AD227" s="1443" t="b">
        <f t="shared" ref="AD227:AI227" si="91">AD226</f>
        <v>0</v>
      </c>
      <c r="AE227" s="1443" t="b">
        <f t="shared" si="91"/>
        <v>0</v>
      </c>
      <c r="AF227" s="1443" t="b">
        <f t="shared" si="91"/>
        <v>0</v>
      </c>
      <c r="AG227" s="1443" t="b">
        <f t="shared" si="91"/>
        <v>0</v>
      </c>
      <c r="AH227" s="1443" t="b">
        <f t="shared" si="91"/>
        <v>0</v>
      </c>
      <c r="AI227" s="1443" t="b">
        <f t="shared" si="91"/>
        <v>0</v>
      </c>
    </row>
    <row r="228" spans="2:37" ht="5.0999999999999996" customHeight="1">
      <c r="B228" s="479"/>
      <c r="C228" s="977"/>
      <c r="D228" s="981"/>
      <c r="E228" s="981"/>
      <c r="F228" s="981"/>
      <c r="G228" s="981"/>
      <c r="H228" s="981"/>
      <c r="I228" s="981"/>
      <c r="J228" s="1760"/>
      <c r="K228" s="1760"/>
      <c r="L228" s="1760"/>
      <c r="M228" s="1760"/>
      <c r="N228" s="1761"/>
      <c r="O228" s="485"/>
      <c r="P228" s="485"/>
      <c r="Q228" s="1435"/>
      <c r="S228" s="1435"/>
      <c r="T228" s="1435"/>
      <c r="U228" s="1435"/>
      <c r="V228" s="1435"/>
    </row>
    <row r="229" spans="2:37" ht="12.75" customHeight="1" thickBot="1">
      <c r="B229" s="479"/>
      <c r="C229" s="977"/>
      <c r="D229" s="981"/>
      <c r="E229" s="2648" t="s">
        <v>1406</v>
      </c>
      <c r="F229" s="2493"/>
      <c r="G229" s="987" t="str">
        <f>EUconst_Unit</f>
        <v>Unit</v>
      </c>
      <c r="H229" s="782">
        <f t="shared" ref="H229:N229" si="92">H$3242</f>
        <v>2024</v>
      </c>
      <c r="I229" s="782">
        <f t="shared" si="92"/>
        <v>2025</v>
      </c>
      <c r="J229" s="1747">
        <f t="shared" si="92"/>
        <v>2026</v>
      </c>
      <c r="K229" s="1747">
        <f t="shared" si="92"/>
        <v>2027</v>
      </c>
      <c r="L229" s="1747">
        <f t="shared" si="92"/>
        <v>2028</v>
      </c>
      <c r="M229" s="1747">
        <f t="shared" si="92"/>
        <v>2029</v>
      </c>
      <c r="N229" s="1748">
        <f t="shared" si="92"/>
        <v>2030</v>
      </c>
      <c r="O229" s="485"/>
      <c r="P229" s="485"/>
      <c r="Q229" s="1435"/>
      <c r="S229" s="1435"/>
      <c r="T229" s="1435"/>
      <c r="U229" s="1435"/>
      <c r="V229" s="1435"/>
      <c r="AC229" s="1638">
        <f t="shared" ref="AC229:AI229" si="93">H$20</f>
        <v>2024</v>
      </c>
      <c r="AD229" s="1638">
        <f t="shared" si="93"/>
        <v>2025</v>
      </c>
      <c r="AE229" s="1638">
        <f t="shared" si="93"/>
        <v>2026</v>
      </c>
      <c r="AF229" s="1638">
        <f t="shared" si="93"/>
        <v>2027</v>
      </c>
      <c r="AG229" s="1638">
        <f t="shared" si="93"/>
        <v>2028</v>
      </c>
      <c r="AH229" s="1638">
        <f t="shared" si="93"/>
        <v>2029</v>
      </c>
      <c r="AI229" s="1638">
        <f t="shared" si="93"/>
        <v>2030</v>
      </c>
    </row>
    <row r="230" spans="2:37" ht="12.75" customHeight="1">
      <c r="B230" s="479"/>
      <c r="C230" s="977"/>
      <c r="D230" s="777" t="s">
        <v>8</v>
      </c>
      <c r="E230" s="2475" t="s">
        <v>1556</v>
      </c>
      <c r="F230" s="2410"/>
      <c r="G230" s="815" t="str">
        <f>EUconst_TJpa</f>
        <v>TJ / year</v>
      </c>
      <c r="H230" s="1762" t="str">
        <f>c_ALR2025!M2916</f>
        <v/>
      </c>
      <c r="I230" s="1875"/>
      <c r="J230" s="1751"/>
      <c r="K230" s="1751"/>
      <c r="L230" s="1751"/>
      <c r="M230" s="1751"/>
      <c r="N230" s="1752"/>
      <c r="O230" s="485"/>
      <c r="P230" s="9"/>
      <c r="Q230" s="1644" t="str">
        <f>EUconst_CNTR_HeatImportPulp &amp; I13</f>
        <v>HeatImPulp_</v>
      </c>
      <c r="S230" s="1435"/>
      <c r="T230" s="1435"/>
      <c r="U230" s="1435"/>
      <c r="V230" s="1435"/>
      <c r="AB230" s="1641" t="s">
        <v>717</v>
      </c>
      <c r="AC230" s="1443" t="b">
        <f t="shared" ref="AC230:AI230" si="94">AC83</f>
        <v>0</v>
      </c>
      <c r="AD230" s="1443" t="b">
        <f t="shared" si="94"/>
        <v>0</v>
      </c>
      <c r="AE230" s="1443" t="b">
        <f t="shared" si="94"/>
        <v>0</v>
      </c>
      <c r="AF230" s="1443" t="b">
        <f t="shared" si="94"/>
        <v>0</v>
      </c>
      <c r="AG230" s="1443" t="b">
        <f t="shared" si="94"/>
        <v>0</v>
      </c>
      <c r="AH230" s="1443" t="b">
        <f t="shared" si="94"/>
        <v>0</v>
      </c>
      <c r="AI230" s="1443" t="b">
        <f t="shared" si="94"/>
        <v>0</v>
      </c>
      <c r="AJ230" s="1633" t="s">
        <v>1954</v>
      </c>
      <c r="AK230" s="1635" t="str">
        <f>IF(AND(CNTR_ExistSubInstEntries,MSconst_RequireSubAttrEmissions,COUNTIFS(AC230:AI230,FALSE,H230:N230,"")&gt;0),EUconst_Error&amp;"BM"&amp;$Q13,"")</f>
        <v/>
      </c>
    </row>
    <row r="231" spans="2:37" ht="25.5" customHeight="1">
      <c r="B231" s="479"/>
      <c r="C231" s="977"/>
      <c r="D231" s="777" t="s">
        <v>18</v>
      </c>
      <c r="E231" s="2475" t="s">
        <v>1149</v>
      </c>
      <c r="F231" s="2410"/>
      <c r="G231" s="815" t="str">
        <f>EUconst_TJpa</f>
        <v>TJ / year</v>
      </c>
      <c r="H231" s="1479" t="str">
        <f>c_ALR2025!M2917</f>
        <v/>
      </c>
      <c r="I231" s="1869"/>
      <c r="J231" s="1751"/>
      <c r="K231" s="1751"/>
      <c r="L231" s="1751"/>
      <c r="M231" s="1751"/>
      <c r="N231" s="1752"/>
      <c r="O231" s="485"/>
      <c r="P231" s="9"/>
      <c r="Q231" s="1644" t="str">
        <f>EUconst_CNTR_HeatImportNitric &amp; I13</f>
        <v>HeatImNitric_</v>
      </c>
      <c r="S231" s="1435"/>
      <c r="T231" s="1435"/>
      <c r="U231" s="1435"/>
      <c r="V231" s="1435"/>
      <c r="AC231" s="1443" t="b">
        <f>AC230</f>
        <v>0</v>
      </c>
      <c r="AD231" s="1443" t="b">
        <f t="shared" ref="AD231:AI231" si="95">AD230</f>
        <v>0</v>
      </c>
      <c r="AE231" s="1443" t="b">
        <f t="shared" si="95"/>
        <v>0</v>
      </c>
      <c r="AF231" s="1443" t="b">
        <f t="shared" si="95"/>
        <v>0</v>
      </c>
      <c r="AG231" s="1443" t="b">
        <f t="shared" si="95"/>
        <v>0</v>
      </c>
      <c r="AH231" s="1443" t="b">
        <f t="shared" si="95"/>
        <v>0</v>
      </c>
      <c r="AI231" s="1443" t="b">
        <f t="shared" si="95"/>
        <v>0</v>
      </c>
      <c r="AJ231" s="1633" t="s">
        <v>1954</v>
      </c>
      <c r="AK231" s="1635" t="str">
        <f>IF(AND(CNTR_ExistSubInstEntries,MSconst_RequireSubAttrEmissions,COUNTIFS(AC231:AI231,FALSE,H231:N231,"")&gt;0),EUconst_Error&amp;"BM"&amp;$Q13,"")</f>
        <v/>
      </c>
    </row>
    <row r="232" spans="2:37" ht="5.0999999999999996" customHeight="1" thickBot="1">
      <c r="B232" s="479"/>
      <c r="C232" s="977"/>
      <c r="D232" s="981"/>
      <c r="E232" s="981"/>
      <c r="F232" s="981"/>
      <c r="G232" s="981"/>
      <c r="H232" s="981"/>
      <c r="I232" s="981"/>
      <c r="J232" s="1760"/>
      <c r="K232" s="1760"/>
      <c r="L232" s="1760"/>
      <c r="M232" s="1760"/>
      <c r="N232" s="1761"/>
      <c r="O232" s="485"/>
      <c r="P232" s="485"/>
      <c r="Q232" s="1435"/>
      <c r="S232" s="1435"/>
      <c r="T232" s="1435"/>
      <c r="U232" s="1435"/>
      <c r="V232" s="1435"/>
    </row>
    <row r="233" spans="2:37" ht="12.75" customHeight="1" thickBot="1">
      <c r="B233" s="479"/>
      <c r="C233" s="977"/>
      <c r="D233" s="981"/>
      <c r="E233" s="2648" t="s">
        <v>1152</v>
      </c>
      <c r="F233" s="2493"/>
      <c r="G233" s="987" t="str">
        <f>EUconst_Unit</f>
        <v>Unit</v>
      </c>
      <c r="H233" s="782">
        <f t="shared" ref="H233:N233" si="96">H$3242</f>
        <v>2024</v>
      </c>
      <c r="I233" s="782">
        <f t="shared" si="96"/>
        <v>2025</v>
      </c>
      <c r="J233" s="1747">
        <f t="shared" si="96"/>
        <v>2026</v>
      </c>
      <c r="K233" s="1747">
        <f t="shared" si="96"/>
        <v>2027</v>
      </c>
      <c r="L233" s="1747">
        <f t="shared" si="96"/>
        <v>2028</v>
      </c>
      <c r="M233" s="1747">
        <f t="shared" si="96"/>
        <v>2029</v>
      </c>
      <c r="N233" s="1748">
        <f t="shared" si="96"/>
        <v>2030</v>
      </c>
      <c r="O233" s="485"/>
      <c r="P233" s="485"/>
      <c r="Q233" s="1435"/>
      <c r="S233" s="1648"/>
      <c r="T233" s="1749">
        <f t="shared" ref="T233:Z233" si="97">H233</f>
        <v>2024</v>
      </c>
      <c r="U233" s="1749">
        <f t="shared" si="97"/>
        <v>2025</v>
      </c>
      <c r="V233" s="1749">
        <f t="shared" si="97"/>
        <v>2026</v>
      </c>
      <c r="W233" s="1749">
        <f t="shared" si="97"/>
        <v>2027</v>
      </c>
      <c r="X233" s="1749">
        <f t="shared" si="97"/>
        <v>2028</v>
      </c>
      <c r="Y233" s="1749">
        <f t="shared" si="97"/>
        <v>2029</v>
      </c>
      <c r="Z233" s="1750">
        <f t="shared" si="97"/>
        <v>2030</v>
      </c>
      <c r="AC233" s="1638">
        <f t="shared" ref="AC233:AI233" si="98">H$20</f>
        <v>2024</v>
      </c>
      <c r="AD233" s="1638">
        <f t="shared" si="98"/>
        <v>2025</v>
      </c>
      <c r="AE233" s="1638">
        <f t="shared" si="98"/>
        <v>2026</v>
      </c>
      <c r="AF233" s="1638">
        <f t="shared" si="98"/>
        <v>2027</v>
      </c>
      <c r="AG233" s="1638">
        <f t="shared" si="98"/>
        <v>2028</v>
      </c>
      <c r="AH233" s="1638">
        <f t="shared" si="98"/>
        <v>2029</v>
      </c>
      <c r="AI233" s="1638">
        <f t="shared" si="98"/>
        <v>2030</v>
      </c>
    </row>
    <row r="234" spans="2:37" ht="12.75" customHeight="1">
      <c r="B234" s="479"/>
      <c r="C234" s="977"/>
      <c r="D234" s="777" t="s">
        <v>787</v>
      </c>
      <c r="E234" s="2475" t="s">
        <v>1079</v>
      </c>
      <c r="F234" s="2410"/>
      <c r="G234" s="815" t="str">
        <f>EUconst_TJpa</f>
        <v>TJ / year</v>
      </c>
      <c r="H234" s="1479" t="str">
        <f>c_ALR2025!M2920</f>
        <v/>
      </c>
      <c r="I234" s="1869"/>
      <c r="J234" s="1751"/>
      <c r="K234" s="1751"/>
      <c r="L234" s="1751"/>
      <c r="M234" s="1751"/>
      <c r="N234" s="1752"/>
      <c r="O234" s="485"/>
      <c r="P234" s="9"/>
      <c r="Q234" s="1644" t="str">
        <f>EUconst_CNTR_HeatExport &amp; I13</f>
        <v>HeatEx_</v>
      </c>
      <c r="S234" s="1874" t="str">
        <f>EUconst_ERR_AttrEmBMapplied &amp; I13</f>
        <v>ERR_AttrEmBM_</v>
      </c>
      <c r="T234" s="1443">
        <f t="shared" ref="T234:Z234" si="99">IF(AND(H234&lt;&gt;0,H235="",EUconst_StatusOfDataCollection=FALSE),1,0)</f>
        <v>0</v>
      </c>
      <c r="U234" s="1443">
        <f t="shared" si="99"/>
        <v>0</v>
      </c>
      <c r="V234" s="1443">
        <f t="shared" si="99"/>
        <v>0</v>
      </c>
      <c r="W234" s="1443">
        <f t="shared" si="99"/>
        <v>0</v>
      </c>
      <c r="X234" s="1443">
        <f t="shared" si="99"/>
        <v>0</v>
      </c>
      <c r="Y234" s="1443">
        <f t="shared" si="99"/>
        <v>0</v>
      </c>
      <c r="Z234" s="1737">
        <f t="shared" si="99"/>
        <v>0</v>
      </c>
      <c r="AB234" s="1641" t="s">
        <v>717</v>
      </c>
      <c r="AC234" s="1443" t="b">
        <f>AC230</f>
        <v>0</v>
      </c>
      <c r="AD234" s="1443" t="b">
        <f t="shared" ref="AD234:AI234" si="100">AD230</f>
        <v>0</v>
      </c>
      <c r="AE234" s="1443" t="b">
        <f t="shared" si="100"/>
        <v>0</v>
      </c>
      <c r="AF234" s="1443" t="b">
        <f t="shared" si="100"/>
        <v>0</v>
      </c>
      <c r="AG234" s="1443" t="b">
        <f t="shared" si="100"/>
        <v>0</v>
      </c>
      <c r="AH234" s="1443" t="b">
        <f t="shared" si="100"/>
        <v>0</v>
      </c>
      <c r="AI234" s="1443" t="b">
        <f t="shared" si="100"/>
        <v>0</v>
      </c>
      <c r="AJ234" s="1633" t="s">
        <v>1954</v>
      </c>
      <c r="AK234" s="1635" t="str">
        <f>IF(AND(CNTR_ExistSubInstEntries,MSconst_RequireSubAttrEmissions,COUNTIFS(AC234:AI234,FALSE,H234:N234,"")&gt;0),EUconst_Error&amp;"BM"&amp;$Q13,"")</f>
        <v/>
      </c>
    </row>
    <row r="235" spans="2:37" ht="12.75" customHeight="1" thickBot="1">
      <c r="B235" s="479"/>
      <c r="C235" s="977"/>
      <c r="D235" s="777" t="s">
        <v>788</v>
      </c>
      <c r="E235" s="2475" t="s">
        <v>1104</v>
      </c>
      <c r="F235" s="2410"/>
      <c r="G235" s="815" t="str">
        <f>EUconst_tCO2pTJ</f>
        <v>t CO2 / TJ</v>
      </c>
      <c r="H235" s="1479" t="str">
        <f>c_ALR2025!M2921</f>
        <v/>
      </c>
      <c r="I235" s="1869"/>
      <c r="J235" s="1751"/>
      <c r="K235" s="1751"/>
      <c r="L235" s="1751"/>
      <c r="M235" s="1751"/>
      <c r="N235" s="1752"/>
      <c r="O235" s="485"/>
      <c r="P235" s="9"/>
      <c r="Q235" s="1644" t="str">
        <f>EUconst_CNTR_HeatExportEF &amp; I13</f>
        <v>HeatExEF_</v>
      </c>
      <c r="S235" s="1753" t="str">
        <f>EUconst_CNTR_AttributedEmissions &amp; I13</f>
        <v>AttrEmissions_</v>
      </c>
      <c r="T235" s="1743" t="str">
        <f t="shared" ref="T235:Z235" si="101">IF(T21,-SUM(H234)*IF(INDEX(EUconst_BMlistNumberOfBM,MATCH($I13,EUconst_BMlistNames,0))=39,0,IF(ISNUMBER(H235),H235,EUconst_HeatBMvalue)),"")</f>
        <v/>
      </c>
      <c r="U235" s="1743" t="str">
        <f t="shared" si="101"/>
        <v/>
      </c>
      <c r="V235" s="1743" t="str">
        <f t="shared" si="101"/>
        <v/>
      </c>
      <c r="W235" s="1743" t="str">
        <f t="shared" si="101"/>
        <v/>
      </c>
      <c r="X235" s="1743" t="str">
        <f t="shared" si="101"/>
        <v/>
      </c>
      <c r="Y235" s="1743" t="str">
        <f t="shared" si="101"/>
        <v/>
      </c>
      <c r="Z235" s="1744" t="str">
        <f t="shared" si="101"/>
        <v/>
      </c>
      <c r="AC235" s="1443" t="b">
        <f>AC234</f>
        <v>0</v>
      </c>
      <c r="AD235" s="1443" t="b">
        <f t="shared" ref="AD235:AI235" si="102">AD234</f>
        <v>0</v>
      </c>
      <c r="AE235" s="1443" t="b">
        <f t="shared" si="102"/>
        <v>0</v>
      </c>
      <c r="AF235" s="1443" t="b">
        <f t="shared" si="102"/>
        <v>0</v>
      </c>
      <c r="AG235" s="1443" t="b">
        <f t="shared" si="102"/>
        <v>0</v>
      </c>
      <c r="AH235" s="1443" t="b">
        <f t="shared" si="102"/>
        <v>0</v>
      </c>
      <c r="AI235" s="1443" t="b">
        <f t="shared" si="102"/>
        <v>0</v>
      </c>
    </row>
    <row r="236" spans="2:37" ht="12.75" customHeight="1">
      <c r="B236" s="479"/>
      <c r="C236" s="977"/>
      <c r="D236" s="981"/>
      <c r="E236" s="981"/>
      <c r="F236" s="981"/>
      <c r="G236" s="981"/>
      <c r="H236" s="981"/>
      <c r="I236" s="981"/>
      <c r="J236" s="981"/>
      <c r="K236" s="981"/>
      <c r="L236" s="981"/>
      <c r="M236" s="813"/>
      <c r="N236" s="814"/>
      <c r="O236" s="485"/>
      <c r="P236" s="485"/>
      <c r="Q236" s="1435"/>
      <c r="S236" s="1435"/>
      <c r="T236" s="1435"/>
      <c r="U236" s="1435"/>
      <c r="V236" s="1435"/>
    </row>
    <row r="237" spans="2:37" ht="12.75" customHeight="1">
      <c r="B237" s="479"/>
      <c r="C237" s="977"/>
      <c r="D237" s="982" t="s">
        <v>481</v>
      </c>
      <c r="E237" s="2649" t="s">
        <v>1312</v>
      </c>
      <c r="F237" s="2391"/>
      <c r="G237" s="2391"/>
      <c r="H237" s="2391"/>
      <c r="I237" s="2391"/>
      <c r="J237" s="2391"/>
      <c r="K237" s="2391"/>
      <c r="L237" s="2391"/>
      <c r="M237" s="2391"/>
      <c r="N237" s="2650"/>
      <c r="O237" s="485"/>
      <c r="P237" s="485"/>
      <c r="Q237" s="1435"/>
      <c r="S237" s="1435"/>
      <c r="T237" s="1435"/>
      <c r="U237" s="1435"/>
      <c r="V237" s="1435"/>
    </row>
    <row r="238" spans="2:37" ht="5.0999999999999996" customHeight="1">
      <c r="B238" s="479"/>
      <c r="C238" s="977"/>
      <c r="D238" s="981"/>
      <c r="E238" s="986"/>
      <c r="F238" s="986"/>
      <c r="G238" s="986"/>
      <c r="H238" s="986"/>
      <c r="I238" s="986"/>
      <c r="J238" s="986"/>
      <c r="K238" s="986"/>
      <c r="L238" s="986"/>
      <c r="M238" s="986"/>
      <c r="N238" s="1007"/>
      <c r="O238" s="485"/>
      <c r="P238" s="485"/>
      <c r="Q238" s="1435"/>
      <c r="S238" s="1435"/>
      <c r="T238" s="1435"/>
      <c r="U238" s="1435"/>
      <c r="V238" s="1435"/>
    </row>
    <row r="239" spans="2:37" ht="12.75" customHeight="1">
      <c r="B239" s="479"/>
      <c r="C239" s="977"/>
      <c r="D239" s="777" t="s">
        <v>6</v>
      </c>
      <c r="E239" s="2649" t="s">
        <v>1313</v>
      </c>
      <c r="F239" s="2391"/>
      <c r="G239" s="2391"/>
      <c r="H239" s="2391"/>
      <c r="I239" s="2391"/>
      <c r="J239" s="2391"/>
      <c r="K239" s="2512"/>
      <c r="L239" s="1478" t="str">
        <f>c_ALR2025!L2925</f>
        <v/>
      </c>
      <c r="M239" s="978"/>
      <c r="N239" s="979"/>
      <c r="O239" s="485"/>
      <c r="P239" s="9"/>
      <c r="Q239" s="1435"/>
      <c r="S239" s="1435"/>
      <c r="AF239" s="1641" t="s">
        <v>717</v>
      </c>
      <c r="AG239" s="1423" t="b">
        <f>AND(CNTR_ExistSubInstEntries,I13="")</f>
        <v>0</v>
      </c>
    </row>
    <row r="240" spans="2:37" ht="12.75" customHeight="1">
      <c r="B240" s="479"/>
      <c r="C240" s="977"/>
      <c r="D240" s="981"/>
      <c r="E240" s="3267" t="s">
        <v>1314</v>
      </c>
      <c r="F240" s="2380"/>
      <c r="G240" s="2380"/>
      <c r="H240" s="2380"/>
      <c r="I240" s="2380"/>
      <c r="J240" s="2380"/>
      <c r="K240" s="2380"/>
      <c r="L240" s="2380"/>
      <c r="M240" s="2380"/>
      <c r="N240" s="3268"/>
      <c r="O240" s="485"/>
      <c r="P240" s="485"/>
      <c r="Q240" s="1435"/>
      <c r="S240" s="1435"/>
    </row>
    <row r="241" spans="2:37" ht="12.75" customHeight="1">
      <c r="B241" s="479"/>
      <c r="C241" s="977"/>
      <c r="D241" s="777" t="s">
        <v>7</v>
      </c>
      <c r="E241" s="2649" t="s">
        <v>1219</v>
      </c>
      <c r="F241" s="2391"/>
      <c r="G241" s="2391"/>
      <c r="H241" s="2512"/>
      <c r="I241" s="3211" t="str">
        <f>c_ALR2025!I2927</f>
        <v/>
      </c>
      <c r="J241" s="3206"/>
      <c r="K241" s="3206"/>
      <c r="L241" s="3206"/>
      <c r="M241" s="3207"/>
      <c r="N241" s="979"/>
      <c r="O241" s="485"/>
      <c r="P241" s="9"/>
      <c r="Q241" s="1435"/>
      <c r="S241" s="1435"/>
      <c r="AC241" s="1641" t="s">
        <v>717</v>
      </c>
      <c r="AD241" s="1423" t="b">
        <f>OR(AG239,AND($L239&lt;&gt;"",$L239=FALSE))</f>
        <v>0</v>
      </c>
    </row>
    <row r="242" spans="2:37" ht="12.75" customHeight="1">
      <c r="B242" s="479"/>
      <c r="C242" s="977"/>
      <c r="D242" s="981"/>
      <c r="E242" s="3267" t="s">
        <v>1316</v>
      </c>
      <c r="F242" s="2380"/>
      <c r="G242" s="2380"/>
      <c r="H242" s="2380"/>
      <c r="I242" s="2380"/>
      <c r="J242" s="2380"/>
      <c r="K242" s="2380"/>
      <c r="L242" s="2380"/>
      <c r="M242" s="2380"/>
      <c r="N242" s="3268"/>
      <c r="O242" s="485"/>
      <c r="P242" s="485"/>
      <c r="Q242" s="1435"/>
      <c r="S242" s="1435"/>
      <c r="T242" s="1435"/>
      <c r="U242" s="1435"/>
      <c r="V242" s="1435"/>
    </row>
    <row r="243" spans="2:37" ht="12.75" customHeight="1">
      <c r="B243" s="479"/>
      <c r="C243" s="977"/>
      <c r="D243" s="981"/>
      <c r="E243" s="3272" t="s">
        <v>1557</v>
      </c>
      <c r="F243" s="2380"/>
      <c r="G243" s="2380"/>
      <c r="H243" s="2380"/>
      <c r="I243" s="2380"/>
      <c r="J243" s="2380"/>
      <c r="K243" s="2380"/>
      <c r="L243" s="2380"/>
      <c r="M243" s="2380"/>
      <c r="N243" s="3268"/>
      <c r="O243" s="485"/>
      <c r="P243" s="485"/>
      <c r="Q243" s="1435"/>
      <c r="S243" s="1435"/>
      <c r="T243" s="1435"/>
      <c r="U243" s="1435"/>
      <c r="V243" s="1435"/>
    </row>
    <row r="244" spans="2:37" ht="12.75" customHeight="1" thickBot="1">
      <c r="B244" s="479"/>
      <c r="C244" s="977"/>
      <c r="D244" s="981"/>
      <c r="E244" s="989"/>
      <c r="F244" s="990"/>
      <c r="G244" s="987" t="str">
        <f>EUconst_Unit</f>
        <v>Unit</v>
      </c>
      <c r="H244" s="782">
        <f t="shared" ref="H244:N244" si="103">H$3242</f>
        <v>2024</v>
      </c>
      <c r="I244" s="782">
        <f t="shared" si="103"/>
        <v>2025</v>
      </c>
      <c r="J244" s="1747">
        <f t="shared" si="103"/>
        <v>2026</v>
      </c>
      <c r="K244" s="1747">
        <f t="shared" si="103"/>
        <v>2027</v>
      </c>
      <c r="L244" s="1747">
        <f t="shared" si="103"/>
        <v>2028</v>
      </c>
      <c r="M244" s="1747">
        <f t="shared" si="103"/>
        <v>2029</v>
      </c>
      <c r="N244" s="1748">
        <f t="shared" si="103"/>
        <v>2030</v>
      </c>
      <c r="O244" s="485"/>
      <c r="P244" s="485"/>
      <c r="Q244" s="1435"/>
      <c r="S244" s="1435"/>
      <c r="T244" s="1435"/>
      <c r="U244" s="1435"/>
      <c r="V244" s="1435"/>
      <c r="AC244" s="1638">
        <f t="shared" ref="AC244:AI244" si="104">H$20</f>
        <v>2024</v>
      </c>
      <c r="AD244" s="1638">
        <f t="shared" si="104"/>
        <v>2025</v>
      </c>
      <c r="AE244" s="1638">
        <f t="shared" si="104"/>
        <v>2026</v>
      </c>
      <c r="AF244" s="1638">
        <f t="shared" si="104"/>
        <v>2027</v>
      </c>
      <c r="AG244" s="1638">
        <f t="shared" si="104"/>
        <v>2028</v>
      </c>
      <c r="AH244" s="1638">
        <f t="shared" si="104"/>
        <v>2029</v>
      </c>
      <c r="AI244" s="1638">
        <f t="shared" si="104"/>
        <v>2030</v>
      </c>
    </row>
    <row r="245" spans="2:37" ht="12.75" customHeight="1">
      <c r="B245" s="479"/>
      <c r="C245" s="977"/>
      <c r="D245" s="777" t="s">
        <v>8</v>
      </c>
      <c r="E245" s="2471" t="s">
        <v>1305</v>
      </c>
      <c r="F245" s="2472"/>
      <c r="G245" s="1763" t="str">
        <f>c_ALR2025!G2931</f>
        <v/>
      </c>
      <c r="H245" s="1552" t="str">
        <f>c_ALR2025!M2931</f>
        <v/>
      </c>
      <c r="I245" s="1871"/>
      <c r="J245" s="1751"/>
      <c r="K245" s="1751"/>
      <c r="L245" s="1751"/>
      <c r="M245" s="1751"/>
      <c r="N245" s="1752"/>
      <c r="O245" s="485"/>
      <c r="P245" s="9"/>
      <c r="Q245" s="1435"/>
      <c r="S245" s="1435"/>
      <c r="T245" s="1435"/>
      <c r="U245" s="1435"/>
      <c r="V245" s="1435"/>
      <c r="AB245" s="1641" t="s">
        <v>717</v>
      </c>
      <c r="AC245" s="1423" t="b">
        <f t="shared" ref="AC245:AI245" si="105">OR(AND($L239&lt;&gt;"",$L239=FALSE),AC83)</f>
        <v>0</v>
      </c>
      <c r="AD245" s="1443" t="b">
        <f t="shared" si="105"/>
        <v>0</v>
      </c>
      <c r="AE245" s="1443" t="b">
        <f t="shared" si="105"/>
        <v>0</v>
      </c>
      <c r="AF245" s="1443" t="b">
        <f t="shared" si="105"/>
        <v>0</v>
      </c>
      <c r="AG245" s="1443" t="b">
        <f t="shared" si="105"/>
        <v>0</v>
      </c>
      <c r="AH245" s="1443" t="b">
        <f t="shared" si="105"/>
        <v>0</v>
      </c>
      <c r="AI245" s="1443" t="b">
        <f t="shared" si="105"/>
        <v>0</v>
      </c>
      <c r="AJ245" s="1633" t="s">
        <v>1954</v>
      </c>
      <c r="AK245" s="1635" t="str">
        <f>IF(AND(CNTR_ExistSubInstEntries,MSconst_RequireSubAttrEmissions,COUNTIFS(AC245:AI245,FALSE,H245:N245,"")&gt;0),EUconst_Error&amp;"BM"&amp;$Q13,"")</f>
        <v/>
      </c>
    </row>
    <row r="246" spans="2:37" ht="12.75" customHeight="1">
      <c r="B246" s="479"/>
      <c r="C246" s="977"/>
      <c r="D246" s="777" t="s">
        <v>18</v>
      </c>
      <c r="E246" s="2473" t="s">
        <v>661</v>
      </c>
      <c r="F246" s="2474"/>
      <c r="G246" s="1008" t="e">
        <f>IF(ISBLANK(G245),EUconst_GJperUnit,INDEX(EUconst_GJperTorKNm3,MATCH(G245,EUconst_TonnesOrkNm3pa,0)))</f>
        <v>#N/A</v>
      </c>
      <c r="H246" s="1558" t="str">
        <f>c_ALR2025!M2932</f>
        <v/>
      </c>
      <c r="I246" s="1873"/>
      <c r="J246" s="1751"/>
      <c r="K246" s="1751"/>
      <c r="L246" s="1751"/>
      <c r="M246" s="1751"/>
      <c r="N246" s="1752"/>
      <c r="O246" s="485"/>
      <c r="P246" s="9"/>
      <c r="S246" s="1435"/>
      <c r="T246" s="1435"/>
      <c r="U246" s="1435"/>
      <c r="V246" s="1435"/>
      <c r="W246" s="1435"/>
      <c r="X246" s="1435"/>
      <c r="Y246" s="1435"/>
      <c r="Z246" s="1435"/>
      <c r="AC246" s="1443" t="b">
        <f>AC245</f>
        <v>0</v>
      </c>
      <c r="AD246" s="1443" t="b">
        <f t="shared" ref="AD246:AI246" si="106">AD245</f>
        <v>0</v>
      </c>
      <c r="AE246" s="1443" t="b">
        <f t="shared" si="106"/>
        <v>0</v>
      </c>
      <c r="AF246" s="1443" t="b">
        <f t="shared" si="106"/>
        <v>0</v>
      </c>
      <c r="AG246" s="1443" t="b">
        <f t="shared" si="106"/>
        <v>0</v>
      </c>
      <c r="AH246" s="1443" t="b">
        <f t="shared" si="106"/>
        <v>0</v>
      </c>
      <c r="AI246" s="1443" t="b">
        <f t="shared" si="106"/>
        <v>0</v>
      </c>
      <c r="AJ246" s="1633" t="s">
        <v>1954</v>
      </c>
      <c r="AK246" s="1635" t="str">
        <f>IF(AND(CNTR_ExistSubInstEntries,MSconst_RequireSubAttrEmissions,COUNTIFS(AC246:AI246,FALSE,H246:N246,"")&gt;0),EUconst_Error&amp;"BM"&amp;$Q13,"")</f>
        <v/>
      </c>
    </row>
    <row r="247" spans="2:37" ht="12.75" customHeight="1">
      <c r="B247" s="479"/>
      <c r="C247" s="977"/>
      <c r="D247" s="777" t="s">
        <v>787</v>
      </c>
      <c r="E247" s="2475" t="s">
        <v>1141</v>
      </c>
      <c r="F247" s="2410"/>
      <c r="G247" s="815" t="str">
        <f>EUconst_TJpa</f>
        <v>TJ / year</v>
      </c>
      <c r="H247" s="1005" t="str">
        <f t="shared" ref="H247:N247" si="107">IF(COUNT(H245:H246)=2,H245*H246/1000,"")</f>
        <v/>
      </c>
      <c r="I247" s="1005" t="str">
        <f t="shared" si="107"/>
        <v/>
      </c>
      <c r="J247" s="1751" t="str">
        <f t="shared" si="107"/>
        <v/>
      </c>
      <c r="K247" s="1751" t="str">
        <f t="shared" si="107"/>
        <v/>
      </c>
      <c r="L247" s="1751" t="str">
        <f t="shared" si="107"/>
        <v/>
      </c>
      <c r="M247" s="1751" t="str">
        <f t="shared" si="107"/>
        <v/>
      </c>
      <c r="N247" s="1752" t="str">
        <f t="shared" si="107"/>
        <v/>
      </c>
      <c r="O247" s="485"/>
      <c r="P247" s="485"/>
      <c r="Q247" s="1644" t="str">
        <f>EUconst_CNTR_WGProduced &amp; I13</f>
        <v>WasteGasProd_</v>
      </c>
      <c r="S247" s="1435"/>
      <c r="T247" s="1435"/>
      <c r="U247" s="1435"/>
      <c r="V247" s="1435"/>
      <c r="W247" s="1435"/>
      <c r="X247" s="1435"/>
      <c r="Y247" s="1435"/>
      <c r="Z247" s="1435"/>
    </row>
    <row r="248" spans="2:37" ht="12.75" customHeight="1">
      <c r="B248" s="479"/>
      <c r="C248" s="977"/>
      <c r="D248" s="777" t="s">
        <v>788</v>
      </c>
      <c r="E248" s="2475" t="s">
        <v>1258</v>
      </c>
      <c r="F248" s="2410"/>
      <c r="G248" s="815" t="str">
        <f>EUconst_tCO2pTJ</f>
        <v>t CO2 / TJ</v>
      </c>
      <c r="H248" s="1479" t="str">
        <f>c_ALR2025!M2934</f>
        <v/>
      </c>
      <c r="I248" s="1869"/>
      <c r="J248" s="1751"/>
      <c r="K248" s="1751"/>
      <c r="L248" s="1751"/>
      <c r="M248" s="1751"/>
      <c r="N248" s="1752"/>
      <c r="O248" s="485"/>
      <c r="P248" s="9"/>
      <c r="Q248" s="1644" t="str">
        <f>EUconst_CNTR_WGProducedEF &amp; I13</f>
        <v>WasteGasProdEF_</v>
      </c>
      <c r="S248" s="1435"/>
      <c r="T248" s="1435"/>
      <c r="U248" s="1435"/>
      <c r="V248" s="1435"/>
      <c r="W248" s="1435"/>
      <c r="X248" s="1435"/>
      <c r="Y248" s="1435"/>
      <c r="Z248" s="1435"/>
      <c r="AB248" s="1641" t="s">
        <v>717</v>
      </c>
      <c r="AC248" s="1443" t="b">
        <f>AC246</f>
        <v>0</v>
      </c>
      <c r="AD248" s="1443" t="b">
        <f t="shared" ref="AD248:AI248" si="108">AD246</f>
        <v>0</v>
      </c>
      <c r="AE248" s="1443" t="b">
        <f t="shared" si="108"/>
        <v>0</v>
      </c>
      <c r="AF248" s="1443" t="b">
        <f t="shared" si="108"/>
        <v>0</v>
      </c>
      <c r="AG248" s="1443" t="b">
        <f t="shared" si="108"/>
        <v>0</v>
      </c>
      <c r="AH248" s="1443" t="b">
        <f t="shared" si="108"/>
        <v>0</v>
      </c>
      <c r="AI248" s="1443" t="b">
        <f t="shared" si="108"/>
        <v>0</v>
      </c>
      <c r="AJ248" s="1633" t="s">
        <v>1954</v>
      </c>
      <c r="AK248" s="1635" t="str">
        <f>IF(AND(CNTR_ExistSubInstEntries,MSconst_RequireSubAttrEmissions,COUNTIFS(AC248:AI248,FALSE,H248:N248,"")&gt;0),EUconst_Error&amp;"BM"&amp;$Q13,"")</f>
        <v/>
      </c>
    </row>
    <row r="249" spans="2:37" ht="12.75" customHeight="1">
      <c r="B249" s="479"/>
      <c r="C249" s="977"/>
      <c r="D249" s="981"/>
      <c r="E249" s="981"/>
      <c r="F249" s="981"/>
      <c r="G249" s="981"/>
      <c r="H249" s="983"/>
      <c r="I249" s="981"/>
      <c r="J249" s="981"/>
      <c r="K249" s="981"/>
      <c r="L249" s="981"/>
      <c r="M249" s="813"/>
      <c r="N249" s="814"/>
      <c r="O249" s="485"/>
      <c r="P249" s="485"/>
      <c r="Q249" s="1435"/>
      <c r="S249" s="1435"/>
      <c r="T249" s="1435"/>
      <c r="U249" s="1435"/>
      <c r="V249" s="1435"/>
      <c r="W249" s="1435"/>
      <c r="X249" s="1435"/>
      <c r="Y249" s="1435"/>
      <c r="Z249" s="1435"/>
    </row>
    <row r="250" spans="2:37" ht="12.75" customHeight="1">
      <c r="B250" s="479"/>
      <c r="C250" s="977"/>
      <c r="D250" s="777" t="s">
        <v>789</v>
      </c>
      <c r="E250" s="2649" t="s">
        <v>1301</v>
      </c>
      <c r="F250" s="2391"/>
      <c r="G250" s="2391"/>
      <c r="H250" s="2512"/>
      <c r="I250" s="3211" t="str">
        <f>c_ALR2025!I2936</f>
        <v/>
      </c>
      <c r="J250" s="3206"/>
      <c r="K250" s="3206"/>
      <c r="L250" s="3206"/>
      <c r="M250" s="3207"/>
      <c r="N250" s="979"/>
      <c r="O250" s="485"/>
      <c r="P250" s="9"/>
      <c r="Q250" s="1435"/>
      <c r="S250" s="1435"/>
      <c r="T250" s="1435"/>
      <c r="U250" s="1435"/>
      <c r="V250" s="1435"/>
      <c r="W250" s="1435"/>
      <c r="X250" s="1435"/>
      <c r="Y250" s="1435"/>
      <c r="Z250" s="1435"/>
      <c r="AC250" s="1641" t="s">
        <v>717</v>
      </c>
      <c r="AD250" s="1443" t="b">
        <f>AD241</f>
        <v>0</v>
      </c>
    </row>
    <row r="251" spans="2:37" ht="25.5" customHeight="1">
      <c r="B251" s="479"/>
      <c r="C251" s="977"/>
      <c r="D251" s="777"/>
      <c r="E251" s="3267" t="s">
        <v>1606</v>
      </c>
      <c r="F251" s="2380"/>
      <c r="G251" s="2380"/>
      <c r="H251" s="2380"/>
      <c r="I251" s="2380"/>
      <c r="J251" s="2380"/>
      <c r="K251" s="2380"/>
      <c r="L251" s="2380"/>
      <c r="M251" s="2380"/>
      <c r="N251" s="3268"/>
      <c r="O251" s="485"/>
      <c r="P251" s="485"/>
      <c r="Q251" s="1435"/>
      <c r="S251" s="1435"/>
      <c r="T251" s="1435"/>
      <c r="U251" s="1435"/>
      <c r="V251" s="1435"/>
      <c r="W251" s="1435"/>
      <c r="X251" s="1435"/>
      <c r="Y251" s="1435"/>
      <c r="Z251" s="1435"/>
    </row>
    <row r="252" spans="2:37" ht="12.75" customHeight="1">
      <c r="B252" s="479"/>
      <c r="C252" s="977"/>
      <c r="D252" s="981"/>
      <c r="E252" s="3272" t="s">
        <v>1557</v>
      </c>
      <c r="F252" s="2380"/>
      <c r="G252" s="2380"/>
      <c r="H252" s="2380"/>
      <c r="I252" s="2380"/>
      <c r="J252" s="2380"/>
      <c r="K252" s="2380"/>
      <c r="L252" s="2380"/>
      <c r="M252" s="2380"/>
      <c r="N252" s="3268"/>
      <c r="O252" s="485"/>
      <c r="P252" s="485"/>
      <c r="Q252" s="1435"/>
      <c r="S252" s="1435"/>
      <c r="T252" s="1435"/>
      <c r="U252" s="1435"/>
      <c r="V252" s="1435"/>
      <c r="W252" s="1435"/>
      <c r="X252" s="1435"/>
      <c r="Y252" s="1435"/>
      <c r="Z252" s="1435"/>
    </row>
    <row r="253" spans="2:37" ht="12.75" customHeight="1" thickBot="1">
      <c r="B253" s="479"/>
      <c r="C253" s="977"/>
      <c r="D253" s="981"/>
      <c r="E253" s="989"/>
      <c r="F253" s="990"/>
      <c r="G253" s="987" t="str">
        <f>EUconst_Unit</f>
        <v>Unit</v>
      </c>
      <c r="H253" s="782">
        <f t="shared" ref="H253:N253" si="109">H$3242</f>
        <v>2024</v>
      </c>
      <c r="I253" s="782">
        <f t="shared" si="109"/>
        <v>2025</v>
      </c>
      <c r="J253" s="1747">
        <f t="shared" si="109"/>
        <v>2026</v>
      </c>
      <c r="K253" s="1747">
        <f t="shared" si="109"/>
        <v>2027</v>
      </c>
      <c r="L253" s="1747">
        <f t="shared" si="109"/>
        <v>2028</v>
      </c>
      <c r="M253" s="1747">
        <f t="shared" si="109"/>
        <v>2029</v>
      </c>
      <c r="N253" s="1748">
        <f t="shared" si="109"/>
        <v>2030</v>
      </c>
      <c r="O253" s="485"/>
      <c r="P253" s="485"/>
      <c r="Q253" s="1435"/>
      <c r="S253" s="1435"/>
      <c r="T253" s="1435"/>
      <c r="U253" s="1435"/>
      <c r="V253" s="1435"/>
      <c r="W253" s="1435"/>
      <c r="X253" s="1435"/>
      <c r="Y253" s="1435"/>
      <c r="Z253" s="1435"/>
      <c r="AC253" s="1638">
        <f t="shared" ref="AC253:AI253" si="110">H$20</f>
        <v>2024</v>
      </c>
      <c r="AD253" s="1638">
        <f t="shared" si="110"/>
        <v>2025</v>
      </c>
      <c r="AE253" s="1638">
        <f t="shared" si="110"/>
        <v>2026</v>
      </c>
      <c r="AF253" s="1638">
        <f t="shared" si="110"/>
        <v>2027</v>
      </c>
      <c r="AG253" s="1638">
        <f t="shared" si="110"/>
        <v>2028</v>
      </c>
      <c r="AH253" s="1638">
        <f t="shared" si="110"/>
        <v>2029</v>
      </c>
      <c r="AI253" s="1638">
        <f t="shared" si="110"/>
        <v>2030</v>
      </c>
    </row>
    <row r="254" spans="2:37" ht="12.75" customHeight="1">
      <c r="B254" s="479"/>
      <c r="C254" s="977"/>
      <c r="D254" s="777" t="s">
        <v>790</v>
      </c>
      <c r="E254" s="2471" t="s">
        <v>1306</v>
      </c>
      <c r="F254" s="2472"/>
      <c r="G254" s="1763" t="s">
        <v>2152</v>
      </c>
      <c r="H254" s="1552" t="str">
        <f>c_ALR2025!M2940</f>
        <v/>
      </c>
      <c r="I254" s="1871"/>
      <c r="J254" s="1751"/>
      <c r="K254" s="1751"/>
      <c r="L254" s="1751"/>
      <c r="M254" s="1751"/>
      <c r="N254" s="1752"/>
      <c r="O254" s="485"/>
      <c r="P254" s="9"/>
      <c r="Q254" s="1435"/>
      <c r="S254" s="1435"/>
      <c r="T254" s="1435"/>
      <c r="U254" s="1435"/>
      <c r="V254" s="1435"/>
      <c r="W254" s="1435"/>
      <c r="X254" s="1435"/>
      <c r="Y254" s="1435"/>
      <c r="Z254" s="1435"/>
      <c r="AB254" s="1641" t="s">
        <v>717</v>
      </c>
      <c r="AC254" s="1443" t="b">
        <f>AC245</f>
        <v>0</v>
      </c>
      <c r="AD254" s="1443" t="b">
        <f t="shared" ref="AD254:AI254" si="111">AD245</f>
        <v>0</v>
      </c>
      <c r="AE254" s="1443" t="b">
        <f t="shared" si="111"/>
        <v>0</v>
      </c>
      <c r="AF254" s="1443" t="b">
        <f t="shared" si="111"/>
        <v>0</v>
      </c>
      <c r="AG254" s="1443" t="b">
        <f t="shared" si="111"/>
        <v>0</v>
      </c>
      <c r="AH254" s="1443" t="b">
        <f t="shared" si="111"/>
        <v>0</v>
      </c>
      <c r="AI254" s="1443" t="b">
        <f t="shared" si="111"/>
        <v>0</v>
      </c>
      <c r="AJ254" s="1633" t="s">
        <v>1954</v>
      </c>
      <c r="AK254" s="1635" t="str">
        <f>IF(AND(CNTR_ExistSubInstEntries,MSconst_RequireSubAttrEmissions,COUNTIFS(AC254:AI254,FALSE,H254:N254,"")&gt;0),EUconst_Error&amp;"BM"&amp;$Q13,"")</f>
        <v/>
      </c>
    </row>
    <row r="255" spans="2:37" ht="12.75" customHeight="1">
      <c r="B255" s="479"/>
      <c r="C255" s="977"/>
      <c r="D255" s="777" t="s">
        <v>791</v>
      </c>
      <c r="E255" s="2473" t="s">
        <v>661</v>
      </c>
      <c r="F255" s="2474"/>
      <c r="G255" s="739" t="str">
        <f>IF(ISBLANK(G254),EUconst_GJperUnit,INDEX(EUconst_GJperTorKNm3,MATCH(G254,EUconst_TonnesOrkNm3pa,0)))</f>
        <v>GJ / t</v>
      </c>
      <c r="H255" s="1558" t="str">
        <f>c_ALR2025!M2941</f>
        <v/>
      </c>
      <c r="I255" s="1873"/>
      <c r="J255" s="1751"/>
      <c r="K255" s="1751"/>
      <c r="L255" s="1751"/>
      <c r="M255" s="1751"/>
      <c r="N255" s="1752"/>
      <c r="O255" s="485"/>
      <c r="P255" s="9"/>
      <c r="S255" s="1435"/>
      <c r="T255" s="1435"/>
      <c r="U255" s="1435"/>
      <c r="V255" s="1435"/>
      <c r="W255" s="1435"/>
      <c r="X255" s="1435"/>
      <c r="Y255" s="1435"/>
      <c r="Z255" s="1435"/>
      <c r="AC255" s="1443" t="b">
        <f>AC254</f>
        <v>0</v>
      </c>
      <c r="AD255" s="1443" t="b">
        <f t="shared" ref="AD255:AI255" si="112">AD254</f>
        <v>0</v>
      </c>
      <c r="AE255" s="1443" t="b">
        <f t="shared" si="112"/>
        <v>0</v>
      </c>
      <c r="AF255" s="1443" t="b">
        <f t="shared" si="112"/>
        <v>0</v>
      </c>
      <c r="AG255" s="1443" t="b">
        <f t="shared" si="112"/>
        <v>0</v>
      </c>
      <c r="AH255" s="1443" t="b">
        <f t="shared" si="112"/>
        <v>0</v>
      </c>
      <c r="AI255" s="1443" t="b">
        <f t="shared" si="112"/>
        <v>0</v>
      </c>
      <c r="AJ255" s="1633" t="s">
        <v>1954</v>
      </c>
      <c r="AK255" s="1635" t="str">
        <f>IF(AND(CNTR_ExistSubInstEntries,MSconst_RequireSubAttrEmissions,COUNTIFS(AC255:AI255,FALSE,H255:N255,"")&gt;0),EUconst_Error&amp;"BM"&amp;$Q13,"")</f>
        <v/>
      </c>
    </row>
    <row r="256" spans="2:37" ht="12.75" customHeight="1">
      <c r="B256" s="479"/>
      <c r="C256" s="977"/>
      <c r="D256" s="777" t="s">
        <v>64</v>
      </c>
      <c r="E256" s="2475" t="s">
        <v>1309</v>
      </c>
      <c r="F256" s="2410"/>
      <c r="G256" s="815" t="str">
        <f>EUconst_TJpa</f>
        <v>TJ / year</v>
      </c>
      <c r="H256" s="1005" t="str">
        <f t="shared" ref="H256:N256" si="113">IF(COUNT(H254:H255)=2,H254*H255/1000,"")</f>
        <v/>
      </c>
      <c r="I256" s="1005" t="str">
        <f t="shared" si="113"/>
        <v/>
      </c>
      <c r="J256" s="1751" t="str">
        <f t="shared" si="113"/>
        <v/>
      </c>
      <c r="K256" s="1751" t="str">
        <f t="shared" si="113"/>
        <v/>
      </c>
      <c r="L256" s="1751" t="str">
        <f t="shared" si="113"/>
        <v/>
      </c>
      <c r="M256" s="1751" t="str">
        <f t="shared" si="113"/>
        <v/>
      </c>
      <c r="N256" s="1752" t="str">
        <f t="shared" si="113"/>
        <v/>
      </c>
      <c r="O256" s="485"/>
      <c r="P256" s="485"/>
      <c r="Q256" s="1644" t="str">
        <f>EUconst_CNTR_WGConsumed &amp; I13</f>
        <v>WasteGasCons_</v>
      </c>
      <c r="S256" s="1435"/>
      <c r="T256" s="1435"/>
      <c r="U256" s="1435"/>
      <c r="V256" s="1435"/>
      <c r="W256" s="1435"/>
      <c r="X256" s="1435"/>
      <c r="Y256" s="1435"/>
      <c r="Z256" s="1435"/>
    </row>
    <row r="257" spans="2:37" ht="12.75" customHeight="1">
      <c r="B257" s="479"/>
      <c r="C257" s="977"/>
      <c r="D257" s="777" t="s">
        <v>65</v>
      </c>
      <c r="E257" s="2475" t="s">
        <v>1307</v>
      </c>
      <c r="F257" s="2410"/>
      <c r="G257" s="815" t="str">
        <f>EUconst_tCO2pTJ</f>
        <v>t CO2 / TJ</v>
      </c>
      <c r="H257" s="1479" t="str">
        <f>c_ALR2025!M2943</f>
        <v/>
      </c>
      <c r="I257" s="1869"/>
      <c r="J257" s="1751"/>
      <c r="K257" s="1751"/>
      <c r="L257" s="1751"/>
      <c r="M257" s="1751"/>
      <c r="N257" s="1752"/>
      <c r="O257" s="485"/>
      <c r="P257" s="9"/>
      <c r="Q257" s="1644" t="str">
        <f>EUconst_CNTR_WGConsumedEF &amp; I13</f>
        <v>WasteGasConsEF_</v>
      </c>
      <c r="S257" s="1435"/>
      <c r="T257" s="1435"/>
      <c r="U257" s="1435"/>
      <c r="V257" s="1435"/>
      <c r="W257" s="1435"/>
      <c r="X257" s="1435"/>
      <c r="Y257" s="1435"/>
      <c r="Z257" s="1435"/>
      <c r="AB257" s="1641" t="s">
        <v>717</v>
      </c>
      <c r="AC257" s="1443" t="b">
        <f>AC255</f>
        <v>0</v>
      </c>
      <c r="AD257" s="1443" t="b">
        <f t="shared" ref="AD257:AI257" si="114">AD255</f>
        <v>0</v>
      </c>
      <c r="AE257" s="1443" t="b">
        <f t="shared" si="114"/>
        <v>0</v>
      </c>
      <c r="AF257" s="1443" t="b">
        <f t="shared" si="114"/>
        <v>0</v>
      </c>
      <c r="AG257" s="1443" t="b">
        <f t="shared" si="114"/>
        <v>0</v>
      </c>
      <c r="AH257" s="1443" t="b">
        <f t="shared" si="114"/>
        <v>0</v>
      </c>
      <c r="AI257" s="1443" t="b">
        <f t="shared" si="114"/>
        <v>0</v>
      </c>
      <c r="AJ257" s="1633" t="s">
        <v>1954</v>
      </c>
      <c r="AK257" s="1635" t="str">
        <f>IF(AND(CNTR_ExistSubInstEntries,MSconst_RequireSubAttrEmissions,COUNTIFS(AC257:AI257,FALSE,H257:N257,"")&gt;0),EUconst_Error&amp;"BM"&amp;$Q13,"")</f>
        <v/>
      </c>
    </row>
    <row r="258" spans="2:37" ht="12.75" customHeight="1">
      <c r="B258" s="479"/>
      <c r="C258" s="977"/>
      <c r="D258" s="981"/>
      <c r="E258" s="981"/>
      <c r="F258" s="981"/>
      <c r="G258" s="981"/>
      <c r="H258" s="983"/>
      <c r="I258" s="981"/>
      <c r="J258" s="981"/>
      <c r="K258" s="981"/>
      <c r="L258" s="981"/>
      <c r="M258" s="813"/>
      <c r="N258" s="814"/>
      <c r="O258" s="485"/>
      <c r="P258" s="485"/>
      <c r="Q258" s="1435"/>
      <c r="S258" s="1435"/>
      <c r="T258" s="1435"/>
      <c r="U258" s="1435"/>
      <c r="V258" s="1435"/>
    </row>
    <row r="259" spans="2:37" ht="12.75" customHeight="1">
      <c r="B259" s="479"/>
      <c r="C259" s="977"/>
      <c r="D259" s="777" t="s">
        <v>66</v>
      </c>
      <c r="E259" s="2649" t="s">
        <v>1287</v>
      </c>
      <c r="F259" s="2391"/>
      <c r="G259" s="2391"/>
      <c r="H259" s="2512"/>
      <c r="I259" s="3211" t="str">
        <f>c_ALR2025!I2945</f>
        <v/>
      </c>
      <c r="J259" s="3206"/>
      <c r="K259" s="3206"/>
      <c r="L259" s="3206"/>
      <c r="M259" s="3207"/>
      <c r="N259" s="979"/>
      <c r="O259" s="485"/>
      <c r="P259" s="9"/>
      <c r="Q259" s="1435"/>
      <c r="S259" s="1435"/>
      <c r="AC259" s="1641" t="s">
        <v>717</v>
      </c>
      <c r="AD259" s="1443" t="b">
        <f>AD250</f>
        <v>0</v>
      </c>
    </row>
    <row r="260" spans="2:37" ht="12.75" customHeight="1">
      <c r="B260" s="479"/>
      <c r="C260" s="977"/>
      <c r="D260" s="777"/>
      <c r="E260" s="3267" t="s">
        <v>1476</v>
      </c>
      <c r="F260" s="2380"/>
      <c r="G260" s="2380"/>
      <c r="H260" s="2380"/>
      <c r="I260" s="2380"/>
      <c r="J260" s="2380"/>
      <c r="K260" s="2380"/>
      <c r="L260" s="2380"/>
      <c r="M260" s="2380"/>
      <c r="N260" s="3268"/>
      <c r="O260" s="485"/>
      <c r="P260" s="485"/>
      <c r="Q260" s="1435"/>
      <c r="T260" s="1435"/>
      <c r="U260" s="1435"/>
      <c r="V260" s="1435"/>
    </row>
    <row r="261" spans="2:37" ht="12.75" customHeight="1">
      <c r="B261" s="479"/>
      <c r="C261" s="977"/>
      <c r="D261" s="981"/>
      <c r="E261" s="3267" t="s">
        <v>1558</v>
      </c>
      <c r="F261" s="2380"/>
      <c r="G261" s="2380"/>
      <c r="H261" s="2380"/>
      <c r="I261" s="2380"/>
      <c r="J261" s="2380"/>
      <c r="K261" s="2380"/>
      <c r="L261" s="2380"/>
      <c r="M261" s="2380"/>
      <c r="N261" s="3268"/>
      <c r="O261" s="485"/>
      <c r="P261" s="485"/>
      <c r="Q261" s="1435"/>
      <c r="S261" s="1435"/>
      <c r="T261" s="1435"/>
      <c r="U261" s="1435"/>
      <c r="V261" s="1435"/>
    </row>
    <row r="262" spans="2:37" ht="12.75" customHeight="1">
      <c r="B262" s="479"/>
      <c r="C262" s="977"/>
      <c r="D262" s="981"/>
      <c r="E262" s="3272" t="s">
        <v>2218</v>
      </c>
      <c r="F262" s="2380"/>
      <c r="G262" s="2380"/>
      <c r="H262" s="2380"/>
      <c r="I262" s="2380"/>
      <c r="J262" s="2380"/>
      <c r="K262" s="2380"/>
      <c r="L262" s="2380"/>
      <c r="M262" s="2380"/>
      <c r="N262" s="3268"/>
      <c r="O262" s="485"/>
      <c r="P262" s="485"/>
      <c r="Q262" s="1435"/>
      <c r="S262" s="1435"/>
      <c r="T262" s="1435"/>
      <c r="U262" s="1435"/>
      <c r="V262" s="1435"/>
      <c r="W262" s="1435"/>
      <c r="X262" s="1435"/>
      <c r="Y262" s="1435"/>
      <c r="Z262" s="1435"/>
    </row>
    <row r="263" spans="2:37" ht="12.75" customHeight="1" thickBot="1">
      <c r="B263" s="479"/>
      <c r="C263" s="977"/>
      <c r="D263" s="981"/>
      <c r="E263" s="989"/>
      <c r="F263" s="990"/>
      <c r="G263" s="987" t="str">
        <f>EUconst_Unit</f>
        <v>Unit</v>
      </c>
      <c r="H263" s="782">
        <f t="shared" ref="H263:N263" si="115">H$3242</f>
        <v>2024</v>
      </c>
      <c r="I263" s="782">
        <f t="shared" si="115"/>
        <v>2025</v>
      </c>
      <c r="J263" s="1747">
        <f t="shared" si="115"/>
        <v>2026</v>
      </c>
      <c r="K263" s="1747">
        <f t="shared" si="115"/>
        <v>2027</v>
      </c>
      <c r="L263" s="1747">
        <f t="shared" si="115"/>
        <v>2028</v>
      </c>
      <c r="M263" s="1747">
        <f t="shared" si="115"/>
        <v>2029</v>
      </c>
      <c r="N263" s="1748">
        <f t="shared" si="115"/>
        <v>2030</v>
      </c>
      <c r="O263" s="485"/>
      <c r="P263" s="485"/>
      <c r="Q263" s="1435"/>
      <c r="S263" s="1435"/>
      <c r="T263" s="1435"/>
      <c r="U263" s="1435"/>
      <c r="V263" s="1435"/>
      <c r="W263" s="1435"/>
      <c r="X263" s="1435"/>
      <c r="Y263" s="1435"/>
      <c r="Z263" s="1435"/>
      <c r="AC263" s="1638">
        <f t="shared" ref="AC263:AI263" si="116">H$20</f>
        <v>2024</v>
      </c>
      <c r="AD263" s="1638">
        <f t="shared" si="116"/>
        <v>2025</v>
      </c>
      <c r="AE263" s="1638">
        <f t="shared" si="116"/>
        <v>2026</v>
      </c>
      <c r="AF263" s="1638">
        <f t="shared" si="116"/>
        <v>2027</v>
      </c>
      <c r="AG263" s="1638">
        <f t="shared" si="116"/>
        <v>2028</v>
      </c>
      <c r="AH263" s="1638">
        <f t="shared" si="116"/>
        <v>2029</v>
      </c>
      <c r="AI263" s="1638">
        <f t="shared" si="116"/>
        <v>2030</v>
      </c>
    </row>
    <row r="264" spans="2:37" ht="12.75" customHeight="1">
      <c r="B264" s="479"/>
      <c r="C264" s="977"/>
      <c r="D264" s="777" t="s">
        <v>1105</v>
      </c>
      <c r="E264" s="2471" t="s">
        <v>1302</v>
      </c>
      <c r="F264" s="2472"/>
      <c r="G264" s="1763" t="s">
        <v>2152</v>
      </c>
      <c r="H264" s="1552" t="str">
        <f>c_ALR2025!M2950</f>
        <v/>
      </c>
      <c r="I264" s="1871"/>
      <c r="J264" s="1751"/>
      <c r="K264" s="1751"/>
      <c r="L264" s="1751"/>
      <c r="M264" s="1751"/>
      <c r="N264" s="1752"/>
      <c r="O264" s="485"/>
      <c r="P264" s="9"/>
      <c r="Q264" s="1435"/>
      <c r="S264" s="1435"/>
      <c r="T264" s="1435"/>
      <c r="U264" s="1435"/>
      <c r="V264" s="1435"/>
      <c r="W264" s="1435"/>
      <c r="X264" s="1435"/>
      <c r="Y264" s="1435"/>
      <c r="Z264" s="1435"/>
      <c r="AB264" s="1641" t="s">
        <v>717</v>
      </c>
      <c r="AC264" s="1443" t="b">
        <f>AC254</f>
        <v>0</v>
      </c>
      <c r="AD264" s="1443" t="b">
        <f t="shared" ref="AD264:AI264" si="117">AD254</f>
        <v>0</v>
      </c>
      <c r="AE264" s="1443" t="b">
        <f t="shared" si="117"/>
        <v>0</v>
      </c>
      <c r="AF264" s="1443" t="b">
        <f t="shared" si="117"/>
        <v>0</v>
      </c>
      <c r="AG264" s="1443" t="b">
        <f t="shared" si="117"/>
        <v>0</v>
      </c>
      <c r="AH264" s="1443" t="b">
        <f t="shared" si="117"/>
        <v>0</v>
      </c>
      <c r="AI264" s="1443" t="b">
        <f t="shared" si="117"/>
        <v>0</v>
      </c>
      <c r="AJ264" s="1633" t="s">
        <v>1954</v>
      </c>
      <c r="AK264" s="1635" t="str">
        <f>IF(AND(CNTR_ExistSubInstEntries,MSconst_RequireSubAttrEmissions,COUNTIFS(AC264:AI264,FALSE,H264:N264,"")&gt;0),EUconst_Error&amp;"BM"&amp;$Q13,"")</f>
        <v/>
      </c>
    </row>
    <row r="265" spans="2:37" ht="12.75" customHeight="1">
      <c r="B265" s="479"/>
      <c r="C265" s="977"/>
      <c r="D265" s="777" t="s">
        <v>1106</v>
      </c>
      <c r="E265" s="2473" t="s">
        <v>661</v>
      </c>
      <c r="F265" s="2474"/>
      <c r="G265" s="739" t="str">
        <f>IF(ISBLANK(G264),EUconst_GJperUnit,INDEX(EUconst_GJperTorKNm3,MATCH(G264,EUconst_TonnesOrkNm3pa,0)))</f>
        <v>GJ / t</v>
      </c>
      <c r="H265" s="1558" t="str">
        <f>c_ALR2025!M2951</f>
        <v/>
      </c>
      <c r="I265" s="1873"/>
      <c r="J265" s="1751"/>
      <c r="K265" s="1751"/>
      <c r="L265" s="1751"/>
      <c r="M265" s="1751"/>
      <c r="N265" s="1752"/>
      <c r="O265" s="485"/>
      <c r="P265" s="9"/>
      <c r="S265" s="1435"/>
      <c r="T265" s="1435"/>
      <c r="U265" s="1435"/>
      <c r="V265" s="1435"/>
      <c r="W265" s="1435"/>
      <c r="X265" s="1435"/>
      <c r="Y265" s="1435"/>
      <c r="Z265" s="1435"/>
      <c r="AC265" s="1443" t="b">
        <f>AC264</f>
        <v>0</v>
      </c>
      <c r="AD265" s="1443" t="b">
        <f t="shared" ref="AD265:AI265" si="118">AD264</f>
        <v>0</v>
      </c>
      <c r="AE265" s="1443" t="b">
        <f t="shared" si="118"/>
        <v>0</v>
      </c>
      <c r="AF265" s="1443" t="b">
        <f t="shared" si="118"/>
        <v>0</v>
      </c>
      <c r="AG265" s="1443" t="b">
        <f t="shared" si="118"/>
        <v>0</v>
      </c>
      <c r="AH265" s="1443" t="b">
        <f t="shared" si="118"/>
        <v>0</v>
      </c>
      <c r="AI265" s="1443" t="b">
        <f t="shared" si="118"/>
        <v>0</v>
      </c>
      <c r="AJ265" s="1633" t="s">
        <v>1954</v>
      </c>
      <c r="AK265" s="1635" t="str">
        <f>IF(AND(CNTR_ExistSubInstEntries,MSconst_RequireSubAttrEmissions,COUNTIFS(AC265:AI265,FALSE,H265:N265,"")&gt;0),EUconst_Error&amp;"BM"&amp;$Q13,"")</f>
        <v/>
      </c>
    </row>
    <row r="266" spans="2:37" ht="12.75" customHeight="1">
      <c r="B266" s="479"/>
      <c r="C266" s="977"/>
      <c r="D266" s="777" t="s">
        <v>1107</v>
      </c>
      <c r="E266" s="2475" t="s">
        <v>1288</v>
      </c>
      <c r="F266" s="2410"/>
      <c r="G266" s="815" t="str">
        <f>EUconst_TJpa</f>
        <v>TJ / year</v>
      </c>
      <c r="H266" s="1005" t="str">
        <f t="shared" ref="H266:N266" si="119">IF(COUNT(H264:H265)=2,H264*H265/1000,"")</f>
        <v/>
      </c>
      <c r="I266" s="1005" t="str">
        <f t="shared" si="119"/>
        <v/>
      </c>
      <c r="J266" s="1751" t="str">
        <f t="shared" si="119"/>
        <v/>
      </c>
      <c r="K266" s="1751" t="str">
        <f t="shared" si="119"/>
        <v/>
      </c>
      <c r="L266" s="1751" t="str">
        <f t="shared" si="119"/>
        <v/>
      </c>
      <c r="M266" s="1751" t="str">
        <f t="shared" si="119"/>
        <v/>
      </c>
      <c r="N266" s="1752" t="str">
        <f t="shared" si="119"/>
        <v/>
      </c>
      <c r="O266" s="485"/>
      <c r="P266" s="485"/>
      <c r="Q266" s="1644" t="str">
        <f>EUconst_CNTR_WGFlared &amp; I13</f>
        <v>WasteGasFlare_</v>
      </c>
      <c r="S266" s="1435"/>
      <c r="T266" s="1435"/>
      <c r="U266" s="1435"/>
      <c r="V266" s="1435"/>
      <c r="W266" s="1435"/>
      <c r="X266" s="1435"/>
      <c r="Y266" s="1435"/>
      <c r="Z266" s="1435"/>
    </row>
    <row r="267" spans="2:37" ht="12.75" customHeight="1">
      <c r="B267" s="479"/>
      <c r="C267" s="977"/>
      <c r="D267" s="777" t="s">
        <v>1108</v>
      </c>
      <c r="E267" s="2475" t="s">
        <v>1308</v>
      </c>
      <c r="F267" s="2410"/>
      <c r="G267" s="815" t="str">
        <f>EUconst_tCO2pTJ</f>
        <v>t CO2 / TJ</v>
      </c>
      <c r="H267" s="1479" t="str">
        <f>c_ALR2025!M2953</f>
        <v/>
      </c>
      <c r="I267" s="1869"/>
      <c r="J267" s="1751"/>
      <c r="K267" s="1751"/>
      <c r="L267" s="1751"/>
      <c r="M267" s="1751"/>
      <c r="N267" s="1752"/>
      <c r="O267" s="485"/>
      <c r="P267" s="9"/>
      <c r="Q267" s="1644" t="str">
        <f>EUconst_CNTR_WGFlaredEF &amp; I13</f>
        <v>WasteGasFlareEF_</v>
      </c>
      <c r="S267" s="1435"/>
      <c r="T267" s="1435"/>
      <c r="U267" s="1435"/>
      <c r="V267" s="1435"/>
      <c r="W267" s="1435"/>
      <c r="X267" s="1435"/>
      <c r="Y267" s="1435"/>
      <c r="Z267" s="1435"/>
      <c r="AB267" s="1641" t="s">
        <v>717</v>
      </c>
      <c r="AC267" s="1443" t="b">
        <f>AC265</f>
        <v>0</v>
      </c>
      <c r="AD267" s="1443" t="b">
        <f t="shared" ref="AD267:AI267" si="120">AD265</f>
        <v>0</v>
      </c>
      <c r="AE267" s="1443" t="b">
        <f t="shared" si="120"/>
        <v>0</v>
      </c>
      <c r="AF267" s="1443" t="b">
        <f t="shared" si="120"/>
        <v>0</v>
      </c>
      <c r="AG267" s="1443" t="b">
        <f t="shared" si="120"/>
        <v>0</v>
      </c>
      <c r="AH267" s="1443" t="b">
        <f t="shared" si="120"/>
        <v>0</v>
      </c>
      <c r="AI267" s="1443" t="b">
        <f t="shared" si="120"/>
        <v>0</v>
      </c>
      <c r="AJ267" s="1633" t="s">
        <v>1954</v>
      </c>
      <c r="AK267" s="1635" t="str">
        <f>IF(AND(CNTR_ExistSubInstEntries,MSconst_RequireSubAttrEmissions,COUNTIFS(AC267:AI267,FALSE,H267:N267,"")&gt;0),EUconst_Error&amp;"BM"&amp;$Q13,"")</f>
        <v/>
      </c>
    </row>
    <row r="268" spans="2:37" ht="5.0999999999999996" customHeight="1" thickBot="1">
      <c r="B268" s="479"/>
      <c r="C268" s="977"/>
      <c r="D268" s="981"/>
      <c r="E268" s="981"/>
      <c r="F268" s="981"/>
      <c r="G268" s="981"/>
      <c r="H268" s="983"/>
      <c r="I268" s="981"/>
      <c r="J268" s="1760"/>
      <c r="K268" s="1760"/>
      <c r="L268" s="1760"/>
      <c r="M268" s="1760"/>
      <c r="N268" s="1761"/>
      <c r="O268" s="485"/>
      <c r="P268" s="485"/>
      <c r="Q268" s="1435"/>
      <c r="S268" s="1435"/>
      <c r="T268" s="1435"/>
      <c r="U268" s="1435"/>
      <c r="V268" s="1435"/>
    </row>
    <row r="269" spans="2:37" ht="12.75" customHeight="1" thickBot="1">
      <c r="B269" s="479"/>
      <c r="C269" s="977"/>
      <c r="D269" s="981"/>
      <c r="E269" s="2475" t="s">
        <v>1844</v>
      </c>
      <c r="F269" s="2475"/>
      <c r="G269" s="1009" t="str">
        <f>EUconst_tCO2</f>
        <v>t CO2</v>
      </c>
      <c r="H269" s="638" t="str">
        <f t="shared" ref="H269:N269" si="121">IF(T21,SUM(H266)*SUM(H267),"")</f>
        <v/>
      </c>
      <c r="I269" s="1764" t="str">
        <f t="shared" si="121"/>
        <v/>
      </c>
      <c r="J269" s="1760" t="str">
        <f t="shared" si="121"/>
        <v/>
      </c>
      <c r="K269" s="1760" t="str">
        <f t="shared" si="121"/>
        <v/>
      </c>
      <c r="L269" s="1760" t="str">
        <f t="shared" si="121"/>
        <v/>
      </c>
      <c r="M269" s="1760" t="str">
        <f t="shared" si="121"/>
        <v/>
      </c>
      <c r="N269" s="1761" t="str">
        <f t="shared" si="121"/>
        <v/>
      </c>
      <c r="O269" s="485"/>
      <c r="P269" s="485"/>
      <c r="Q269" s="1644" t="str">
        <f>EUconst_CNTR_HAL &amp; EUconst_CNTR_WGFlared &amp; I13</f>
        <v>HAL_WasteGasFlare_</v>
      </c>
      <c r="S269" s="1633" t="s">
        <v>1758</v>
      </c>
      <c r="T269" s="1629" t="b">
        <f>CNTR_SubPeriod=2</f>
        <v>1</v>
      </c>
      <c r="U269" s="1435"/>
      <c r="V269" s="1435"/>
    </row>
    <row r="270" spans="2:37" ht="5.0999999999999996" customHeight="1" thickBot="1">
      <c r="B270" s="479"/>
      <c r="C270" s="977"/>
      <c r="D270" s="981"/>
      <c r="E270" s="981"/>
      <c r="F270" s="981"/>
      <c r="G270" s="981"/>
      <c r="H270" s="983"/>
      <c r="I270" s="981"/>
      <c r="J270" s="981"/>
      <c r="K270" s="981"/>
      <c r="L270" s="981"/>
      <c r="M270" s="813"/>
      <c r="N270" s="814"/>
      <c r="O270" s="485"/>
      <c r="P270" s="485"/>
      <c r="Q270" s="1435"/>
      <c r="S270" s="1435"/>
      <c r="T270" s="1435"/>
      <c r="U270" s="1435"/>
      <c r="V270" s="1435"/>
    </row>
    <row r="271" spans="2:37" ht="5.0999999999999996" customHeight="1" thickBot="1">
      <c r="B271" s="479"/>
      <c r="C271" s="977"/>
      <c r="D271" s="1010"/>
      <c r="E271" s="1011"/>
      <c r="F271" s="1011"/>
      <c r="G271" s="1011"/>
      <c r="H271" s="1012"/>
      <c r="I271" s="1011"/>
      <c r="J271" s="1765"/>
      <c r="K271" s="1760"/>
      <c r="L271" s="1760"/>
      <c r="M271" s="1760"/>
      <c r="N271" s="1761"/>
      <c r="O271" s="485"/>
      <c r="P271" s="485"/>
      <c r="Q271" s="1435"/>
      <c r="S271" s="1435"/>
      <c r="T271" s="1435"/>
      <c r="U271" s="1435"/>
      <c r="V271" s="1435"/>
    </row>
    <row r="272" spans="2:37" ht="12.75" customHeight="1">
      <c r="B272" s="479"/>
      <c r="C272" s="977"/>
      <c r="D272" s="907" t="s">
        <v>1917</v>
      </c>
      <c r="E272" s="2713" t="s">
        <v>1773</v>
      </c>
      <c r="F272" s="2493"/>
      <c r="G272" s="2493"/>
      <c r="H272" s="910" t="str">
        <f>EUconst_Unit</f>
        <v>Unit</v>
      </c>
      <c r="I272" s="911" t="s">
        <v>2220</v>
      </c>
      <c r="J272" s="1647">
        <f>J$3242</f>
        <v>2026</v>
      </c>
      <c r="K272" s="1747">
        <f>K$3242</f>
        <v>2027</v>
      </c>
      <c r="L272" s="1747">
        <f>L$3242</f>
        <v>2028</v>
      </c>
      <c r="M272" s="1747">
        <f>M$3242</f>
        <v>2029</v>
      </c>
      <c r="N272" s="1748">
        <f>N$3242</f>
        <v>2030</v>
      </c>
      <c r="O272" s="485"/>
      <c r="P272" s="485"/>
      <c r="Q272" s="1435"/>
      <c r="U272" s="1648"/>
      <c r="V272" s="1649">
        <f>J272</f>
        <v>2026</v>
      </c>
      <c r="W272" s="1649">
        <f>K272</f>
        <v>2027</v>
      </c>
      <c r="X272" s="1649">
        <f>L272</f>
        <v>2028</v>
      </c>
      <c r="Y272" s="1649">
        <f>M272</f>
        <v>2029</v>
      </c>
      <c r="Z272" s="1650">
        <f>N272</f>
        <v>2030</v>
      </c>
    </row>
    <row r="273" spans="1:37" ht="12.75" customHeight="1">
      <c r="B273" s="479"/>
      <c r="C273" s="977"/>
      <c r="D273" s="915" t="s">
        <v>6</v>
      </c>
      <c r="E273" s="2714" t="s">
        <v>1691</v>
      </c>
      <c r="F273" s="2410"/>
      <c r="G273" s="2410"/>
      <c r="H273" s="944" t="str">
        <f>G269</f>
        <v>t CO2</v>
      </c>
      <c r="I273" s="917" t="str">
        <f>INDEX('B+C_SubInstallations'!$K:$K,MATCH(Q273,'B+C_SubInstallations'!$V:$V,0))</f>
        <v/>
      </c>
      <c r="J273" s="1703" t="str">
        <f>IF($T269&lt;&gt;TRUE,"",IF(AND(V273&gt;=3,CNTR_ReportingYear&gt;J272-1),AVERAGE(SUM(H269),SUM(I269)),""))</f>
        <v/>
      </c>
      <c r="K273" s="1766" t="str">
        <f>IF($T269&lt;&gt;TRUE,"",IF(AND(W273&gt;=3,CNTR_ReportingYear&gt;K272-1),AVERAGE(SUM(I269),SUM(J269)),""))</f>
        <v/>
      </c>
      <c r="L273" s="1766" t="str">
        <f>IF($T269&lt;&gt;TRUE,"",IF(AND(X273&gt;=3,CNTR_ReportingYear&gt;L272-1),AVERAGE(SUM(J269),SUM(K269)),""))</f>
        <v/>
      </c>
      <c r="M273" s="1766" t="str">
        <f>IF($T269&lt;&gt;TRUE,"",IF(AND(Y273&gt;=3,CNTR_ReportingYear&gt;M272-1),AVERAGE(SUM(K269),SUM(L269)),""))</f>
        <v/>
      </c>
      <c r="N273" s="1767" t="str">
        <f>IF($T269&lt;&gt;TRUE,"",IF(AND(Z273&gt;=3,CNTR_ReportingYear&gt;N272-1),AVERAGE(SUM(L269),SUM(M269)),""))</f>
        <v/>
      </c>
      <c r="O273" s="485"/>
      <c r="P273" s="485"/>
      <c r="Q273" s="1644" t="str">
        <f>EUconst_CNTR_HALinitial &amp; EUconst_CNTR_WGFlared &amp; I13</f>
        <v>HALini_WasteGasFlare_</v>
      </c>
      <c r="U273" s="1693" t="s">
        <v>1650</v>
      </c>
      <c r="V273" s="1635">
        <f>V35</f>
        <v>0</v>
      </c>
      <c r="W273" s="1635">
        <f>W35</f>
        <v>0</v>
      </c>
      <c r="X273" s="1635">
        <f>X35</f>
        <v>0</v>
      </c>
      <c r="Y273" s="1635">
        <f>Y35</f>
        <v>0</v>
      </c>
      <c r="Z273" s="1654">
        <f>Z35</f>
        <v>0</v>
      </c>
    </row>
    <row r="274" spans="1:37" ht="12.75" hidden="1" customHeight="1">
      <c r="A274" s="618" t="s">
        <v>2289</v>
      </c>
      <c r="B274" s="479"/>
      <c r="C274" s="977"/>
      <c r="D274" s="915"/>
      <c r="E274" s="2714" t="s">
        <v>1776</v>
      </c>
      <c r="F274" s="2410"/>
      <c r="G274" s="2410"/>
      <c r="H274" s="921"/>
      <c r="I274" s="1657"/>
      <c r="J274" s="17" t="str">
        <f>IF(J273="","",IF($I276=0,IF(J273=0,0%,100%),J273/$I276-1))</f>
        <v/>
      </c>
      <c r="K274" s="18" t="str">
        <f>IF(K273="","",IF($I276=0,IF(K273=0,0%,100%),K273/$I276-1))</f>
        <v/>
      </c>
      <c r="L274" s="18" t="str">
        <f>IF(L273="","",IF($I276=0,IF(L273=0,0%,100%),L273/$I276-1))</f>
        <v/>
      </c>
      <c r="M274" s="18" t="str">
        <f>IF(M273="","",IF($I276=0,IF(M273=0,0%,100%),M273/$I276-1))</f>
        <v/>
      </c>
      <c r="N274" s="38" t="str">
        <f>IF(N273="","",IF($I276=0,IF(N273=0,0%,100%),N273/$I276-1))</f>
        <v/>
      </c>
      <c r="O274" s="485"/>
      <c r="P274" s="485"/>
      <c r="Q274" s="1644" t="str">
        <f>EUconst_CNTR_RelThreshold &amp; Q276</f>
        <v>RelThresh_HALprelim_WasteGasFlare_</v>
      </c>
      <c r="U274" s="1693" t="s">
        <v>1655</v>
      </c>
      <c r="V274" s="1158" t="str">
        <f>IF(J273="","",ABS(J274)&gt;15%)</f>
        <v/>
      </c>
      <c r="W274" s="1158" t="str">
        <f>IF(K273="","",ABS(K274)&gt;15%)</f>
        <v/>
      </c>
      <c r="X274" s="1158" t="str">
        <f>IF(L273="","",ABS(L274)&gt;15%)</f>
        <v/>
      </c>
      <c r="Y274" s="1158" t="str">
        <f>IF(M273="","",ABS(M274)&gt;15%)</f>
        <v/>
      </c>
      <c r="Z274" s="1656" t="str">
        <f>IF(N273="","",ABS(N274)&gt;15%)</f>
        <v/>
      </c>
    </row>
    <row r="275" spans="1:37" ht="12.75" customHeight="1">
      <c r="A275" s="618"/>
      <c r="B275" s="479"/>
      <c r="C275" s="977"/>
      <c r="D275" s="915" t="s">
        <v>7</v>
      </c>
      <c r="E275" s="2714" t="s">
        <v>1654</v>
      </c>
      <c r="F275" s="2410"/>
      <c r="G275" s="2410"/>
      <c r="H275" s="921"/>
      <c r="I275" s="1657"/>
      <c r="J275" s="1658" t="str">
        <f>IF(J273="","",IF(V274=FALSE,0%,J274))</f>
        <v/>
      </c>
      <c r="K275" s="1768" t="str">
        <f>IF(K273="","",IF(W274=FALSE,0%,K274))</f>
        <v/>
      </c>
      <c r="L275" s="1768" t="str">
        <f>IF(L273="","",IF(X274=FALSE,0%,L274))</f>
        <v/>
      </c>
      <c r="M275" s="1768" t="str">
        <f>IF(M273="","",IF(Y274=FALSE,0%,M274))</f>
        <v/>
      </c>
      <c r="N275" s="1769" t="str">
        <f>IF(N273="","",IF(Z274=FALSE,0%,N274))</f>
        <v/>
      </c>
      <c r="O275" s="485"/>
      <c r="P275" s="485"/>
      <c r="Q275" s="1435"/>
      <c r="U275" s="1694"/>
      <c r="Z275" s="1664"/>
    </row>
    <row r="276" spans="1:37" ht="12.75" hidden="1" customHeight="1">
      <c r="A276" s="618" t="s">
        <v>2289</v>
      </c>
      <c r="B276" s="479"/>
      <c r="C276" s="977"/>
      <c r="D276" s="915"/>
      <c r="E276" s="2714" t="s">
        <v>1689</v>
      </c>
      <c r="F276" s="2410"/>
      <c r="G276" s="2410"/>
      <c r="H276" s="944" t="str">
        <f>H273</f>
        <v>t CO2</v>
      </c>
      <c r="I276" s="917" t="str">
        <f>IF($I13="","",IF(AB13=FALSE,EUconst_NA,IF(V13&gt;($J$3242-3),INDEX(H269:N269,MATCH(V13,H263:N263,0)),SUM(I273))))</f>
        <v/>
      </c>
      <c r="J276" s="1651" t="str">
        <f>IF($I13="","",IF(V273&lt;2,SUM(J269),IF(V273&lt;3,SUM(I269),IF(V276="",I276,V276))))</f>
        <v/>
      </c>
      <c r="K276" s="1766" t="str">
        <f>IF($I13="","",IF(W273&lt;2,SUM(K269),IF(W273&lt;3,SUM(J269),IF(W276="",J276,W276))))</f>
        <v/>
      </c>
      <c r="L276" s="1766" t="str">
        <f>IF($I13="","",IF(X273&lt;2,SUM(L269),IF(X273&lt;3,SUM(K269),IF(X276="",K276,X276))))</f>
        <v/>
      </c>
      <c r="M276" s="1766" t="str">
        <f>IF($I13="","",IF(Y273&lt;2,SUM(M269),IF(Y273&lt;3,SUM(L269),IF(Y276="",L276,Y276))))</f>
        <v/>
      </c>
      <c r="N276" s="1767" t="str">
        <f>IF($I13="","",IF(Z273&lt;2,SUM(N269),IF(Z273&lt;3,SUM(M269),IF(Z276="",M276,Z276))))</f>
        <v/>
      </c>
      <c r="O276" s="485"/>
      <c r="P276" s="485"/>
      <c r="Q276" s="1644" t="str">
        <f>EUconst_CNTR_HALprelim&amp;EUconst_CNTR_WGFlared &amp; I13</f>
        <v>HALprelim_WasteGasFlare_</v>
      </c>
      <c r="U276" s="1693" t="s">
        <v>1697</v>
      </c>
      <c r="V276" s="1660" t="str">
        <f>IF(J273="","",IF(CNTR_ReportingYear&lt;J272,I275,IF($I276=0,J273,$I276*(1+J275))))</f>
        <v/>
      </c>
      <c r="W276" s="1660" t="str">
        <f>IF(K273="","",IF(CNTR_ReportingYear&lt;K272,J275,IF($I276=0,K273,$I276*(1+K275))))</f>
        <v/>
      </c>
      <c r="X276" s="1660" t="str">
        <f>IF(L273="","",IF(CNTR_ReportingYear&lt;L272,K275,IF($I276=0,L273,$I276*(1+L275))))</f>
        <v/>
      </c>
      <c r="Y276" s="1660" t="str">
        <f>IF(M273="","",IF(CNTR_ReportingYear&lt;M272,L275,IF($I276=0,M273,$I276*(1+M275))))</f>
        <v/>
      </c>
      <c r="Z276" s="1661" t="str">
        <f>IF(N273="","",IF(CNTR_ReportingYear&lt;N272,M275,IF($I276=0,N273,$I276*(1+N275))))</f>
        <v/>
      </c>
    </row>
    <row r="277" spans="1:37" ht="5.0999999999999996" customHeight="1">
      <c r="A277" s="618"/>
      <c r="B277" s="479"/>
      <c r="C277" s="977"/>
      <c r="D277" s="915"/>
      <c r="E277" s="909"/>
      <c r="F277" s="909"/>
      <c r="G277" s="909"/>
      <c r="H277" s="909"/>
      <c r="I277" s="909"/>
      <c r="J277" s="922"/>
      <c r="K277" s="1760"/>
      <c r="L277" s="1760"/>
      <c r="M277" s="1760"/>
      <c r="N277" s="1761"/>
      <c r="O277" s="485"/>
      <c r="P277" s="485"/>
      <c r="Q277" s="1435"/>
      <c r="U277" s="1663"/>
      <c r="V277" s="1435"/>
      <c r="Z277" s="1664"/>
    </row>
    <row r="278" spans="1:37" ht="12.75" customHeight="1">
      <c r="A278" s="618"/>
      <c r="B278" s="479"/>
      <c r="C278" s="977"/>
      <c r="D278" s="915"/>
      <c r="E278" s="2713" t="s">
        <v>1653</v>
      </c>
      <c r="F278" s="2493"/>
      <c r="G278" s="2493"/>
      <c r="H278" s="2493"/>
      <c r="I278" s="2708"/>
      <c r="J278" s="1647">
        <f>J$3242</f>
        <v>2026</v>
      </c>
      <c r="K278" s="1747">
        <f>K$3242</f>
        <v>2027</v>
      </c>
      <c r="L278" s="1747">
        <f>L$3242</f>
        <v>2028</v>
      </c>
      <c r="M278" s="1747">
        <f>M$3242</f>
        <v>2029</v>
      </c>
      <c r="N278" s="1748">
        <f>N$3242</f>
        <v>2030</v>
      </c>
      <c r="O278" s="485"/>
      <c r="P278" s="485"/>
      <c r="Q278" s="1435"/>
      <c r="U278" s="1665"/>
      <c r="Z278" s="1664"/>
    </row>
    <row r="279" spans="1:37" ht="12.75" customHeight="1">
      <c r="A279" s="618"/>
      <c r="B279" s="479"/>
      <c r="C279" s="977"/>
      <c r="D279" s="915" t="s">
        <v>8</v>
      </c>
      <c r="E279" s="2714" t="s">
        <v>2108</v>
      </c>
      <c r="F279" s="2410"/>
      <c r="G279" s="2410"/>
      <c r="H279" s="2410"/>
      <c r="I279" s="2715"/>
      <c r="J279" s="1666" t="str">
        <f>IF($I13="","",INDEX(K_Summary!J:J,MATCH($Q279,K_Summary!$P:$P,0)))</f>
        <v/>
      </c>
      <c r="K279" s="1760" t="str">
        <f>IF($I13="","",INDEX(K_Summary!K:K,MATCH($Q279,K_Summary!$P:$P,0)))</f>
        <v/>
      </c>
      <c r="L279" s="1760" t="str">
        <f>IF($I13="","",INDEX(K_Summary!L:L,MATCH($Q279,K_Summary!$P:$P,0)))</f>
        <v/>
      </c>
      <c r="M279" s="1760" t="str">
        <f>IF($I13="","",INDEX(K_Summary!M:M,MATCH($Q279,K_Summary!$P:$P,0)))</f>
        <v/>
      </c>
      <c r="N279" s="1761" t="str">
        <f>IF($I13="","",INDEX(K_Summary!N:N,MATCH($Q279,K_Summary!$P:$P,0)))</f>
        <v/>
      </c>
      <c r="O279" s="485"/>
      <c r="P279" s="485"/>
      <c r="Q279" s="1644" t="str">
        <f>EUconst_CNTR_100EUA_WGFlare&amp;I13</f>
        <v>EUA100WGFlare_</v>
      </c>
      <c r="U279" s="1665"/>
      <c r="Z279" s="1664"/>
    </row>
    <row r="280" spans="1:37" ht="5.0999999999999996" customHeight="1" thickBot="1">
      <c r="A280" s="618"/>
      <c r="B280" s="479"/>
      <c r="C280" s="977"/>
      <c r="D280" s="915"/>
      <c r="E280" s="909"/>
      <c r="F280" s="909"/>
      <c r="G280" s="909"/>
      <c r="H280" s="909"/>
      <c r="I280" s="909"/>
      <c r="J280" s="922"/>
      <c r="K280" s="1760"/>
      <c r="L280" s="1760"/>
      <c r="M280" s="1760"/>
      <c r="N280" s="1761"/>
      <c r="O280" s="485"/>
      <c r="P280" s="485"/>
      <c r="Q280" s="1435"/>
      <c r="U280" s="1663"/>
      <c r="V280" s="1435"/>
      <c r="Z280" s="1664"/>
    </row>
    <row r="281" spans="1:37" ht="12.75" customHeight="1" thickBot="1">
      <c r="B281" s="479"/>
      <c r="C281" s="977"/>
      <c r="D281" s="915" t="s">
        <v>18</v>
      </c>
      <c r="E281" s="2714" t="s">
        <v>1657</v>
      </c>
      <c r="F281" s="2410"/>
      <c r="G281" s="2410"/>
      <c r="H281" s="2410"/>
      <c r="I281" s="2715"/>
      <c r="J281" s="1668" t="str">
        <f>IF(J279="","",IF(OR(J279,V273&lt;1),J275,I281))</f>
        <v/>
      </c>
      <c r="K281" s="1770" t="str">
        <f>IF(K279="","",IF(OR(K279,W273&lt;1),K275,J281))</f>
        <v/>
      </c>
      <c r="L281" s="1770" t="str">
        <f>IF(L279="","",IF(OR(L279,X273&lt;1),L275,K281))</f>
        <v/>
      </c>
      <c r="M281" s="1770" t="str">
        <f>IF(M279="","",IF(OR(M279,Y273&lt;1),M275,L281))</f>
        <v/>
      </c>
      <c r="N281" s="1771" t="str">
        <f>IF(N279="","",IF(OR(N279,Z273&lt;1),N275,M281))</f>
        <v/>
      </c>
      <c r="O281" s="485"/>
      <c r="P281" s="485"/>
      <c r="Q281" s="1435"/>
      <c r="U281" s="1663" t="s">
        <v>1658</v>
      </c>
      <c r="V281" s="1670">
        <f>J278</f>
        <v>2026</v>
      </c>
      <c r="W281" s="1670">
        <f>K278</f>
        <v>2027</v>
      </c>
      <c r="X281" s="1670">
        <f>L278</f>
        <v>2028</v>
      </c>
      <c r="Y281" s="1670">
        <f>M278</f>
        <v>2029</v>
      </c>
      <c r="Z281" s="1671">
        <f>N278</f>
        <v>2030</v>
      </c>
    </row>
    <row r="282" spans="1:37" ht="12.75" customHeight="1" thickBot="1">
      <c r="A282" s="618"/>
      <c r="B282" s="479"/>
      <c r="C282" s="977"/>
      <c r="D282" s="915" t="s">
        <v>787</v>
      </c>
      <c r="E282" s="2714" t="s">
        <v>1659</v>
      </c>
      <c r="F282" s="2410"/>
      <c r="G282" s="2410"/>
      <c r="H282" s="944" t="str">
        <f>H273</f>
        <v>t CO2</v>
      </c>
      <c r="I282" s="917" t="str">
        <f>I276</f>
        <v/>
      </c>
      <c r="J282" s="1672" t="str">
        <f>IF($I13="","",IF(OR($I282=0,$I282=EUconst_NA),IF(OR(J279=TRUE,J278=$V13),J276,SUM(I282)),IF(J281="",J276,$I282*(1+SUM(J281)))))</f>
        <v/>
      </c>
      <c r="K282" s="1772" t="str">
        <f>IF($I13="","",IF(OR($I282=0,$I282=EUconst_NA),IF(OR(K279=TRUE,K278=$V13),K276,SUM(J282)),IF(K281="",K276,$I282*(1+SUM(K281)))))</f>
        <v/>
      </c>
      <c r="L282" s="1772" t="str">
        <f>IF($I13="","",IF(OR($I282=0,$I282=EUconst_NA),IF(OR(L279=TRUE,L278=$V13),L276,SUM(K282)),IF(L281="",L276,$I282*(1+SUM(L281)))))</f>
        <v/>
      </c>
      <c r="M282" s="1772" t="str">
        <f>IF($I13="","",IF(OR($I282=0,$I282=EUconst_NA),IF(OR(M279=TRUE,M278=$V13),M276,SUM(L282)),IF(M281="",M276,$I282*(1+SUM(M281)))))</f>
        <v/>
      </c>
      <c r="N282" s="1773" t="str">
        <f>IF($I13="","",IF(OR($I282=0,$I282=EUconst_NA),IF(OR(N279=TRUE,N278=$V13),N276,SUM(M282)),IF(N281="",N276,$I282*(1+SUM(N281)))))</f>
        <v/>
      </c>
      <c r="O282" s="485"/>
      <c r="P282" s="485"/>
      <c r="Q282" s="1644" t="str">
        <f>EUconst_CNTR_HALfinal&amp;EUconst_CNTR_WGFlared &amp; I13</f>
        <v>HALfinal_WasteGasFlare_</v>
      </c>
      <c r="U282" s="1674" t="b">
        <v>0</v>
      </c>
      <c r="V282" s="1675" t="str">
        <f>IF(V232,IF(J279=TRUE,V21,U282),"")</f>
        <v/>
      </c>
      <c r="W282" s="1675" t="str">
        <f>IF(W232,IF(K279=TRUE,W21,V282),"")</f>
        <v/>
      </c>
      <c r="X282" s="1675" t="str">
        <f>IF(X232,IF(L279=TRUE,X21,W282),"")</f>
        <v/>
      </c>
      <c r="Y282" s="1675" t="str">
        <f>IF(Y232,IF(M279=TRUE,Y21,X282),"")</f>
        <v/>
      </c>
      <c r="Z282" s="1676" t="str">
        <f>IF(Z232,IF(N279=TRUE,Z21,Y282),"")</f>
        <v/>
      </c>
      <c r="AJ282" s="1633" t="s">
        <v>1951</v>
      </c>
      <c r="AK282" s="1443" t="str">
        <f>IF(OR(ISERROR(J282),ISERROR(K282),ISERROR(L282),ISERROR(M282),ISERROR(N282)),EUconst_Error &amp; "BM" &amp; Q13,"")</f>
        <v/>
      </c>
    </row>
    <row r="283" spans="1:37" ht="5.0999999999999996" customHeight="1" thickBot="1">
      <c r="B283" s="479"/>
      <c r="C283" s="977"/>
      <c r="D283" s="946"/>
      <c r="E283" s="947"/>
      <c r="F283" s="947"/>
      <c r="G283" s="947"/>
      <c r="H283" s="1014"/>
      <c r="I283" s="947"/>
      <c r="J283" s="1700"/>
      <c r="K283" s="1760"/>
      <c r="L283" s="1760"/>
      <c r="M283" s="1760"/>
      <c r="N283" s="1761"/>
      <c r="O283" s="485"/>
      <c r="P283" s="485"/>
      <c r="Q283" s="1435"/>
      <c r="S283" s="1435"/>
      <c r="T283" s="1435"/>
      <c r="U283" s="1435"/>
      <c r="V283" s="1435"/>
    </row>
    <row r="284" spans="1:37" ht="5.0999999999999996" customHeight="1">
      <c r="B284" s="479"/>
      <c r="C284" s="977"/>
      <c r="D284" s="981"/>
      <c r="E284" s="981"/>
      <c r="F284" s="981"/>
      <c r="G284" s="981"/>
      <c r="H284" s="983"/>
      <c r="I284" s="981"/>
      <c r="J284" s="981"/>
      <c r="K284" s="981"/>
      <c r="L284" s="981"/>
      <c r="M284" s="813"/>
      <c r="N284" s="814"/>
      <c r="O284" s="485"/>
      <c r="P284" s="485"/>
      <c r="Q284" s="1435"/>
      <c r="S284" s="1435"/>
      <c r="T284" s="1435"/>
      <c r="U284" s="1435"/>
      <c r="V284" s="1435"/>
    </row>
    <row r="285" spans="1:37" ht="12.75" customHeight="1">
      <c r="B285" s="479"/>
      <c r="C285" s="977"/>
      <c r="D285" s="777" t="s">
        <v>1109</v>
      </c>
      <c r="E285" s="2649" t="s">
        <v>1218</v>
      </c>
      <c r="F285" s="2391"/>
      <c r="G285" s="2391"/>
      <c r="H285" s="2512"/>
      <c r="I285" s="3211" t="str">
        <f>c_ALR2025!I2971</f>
        <v/>
      </c>
      <c r="J285" s="3206"/>
      <c r="K285" s="3206"/>
      <c r="L285" s="3206"/>
      <c r="M285" s="3207"/>
      <c r="N285" s="814"/>
      <c r="O285" s="485"/>
      <c r="P285" s="9"/>
      <c r="Q285" s="1435"/>
      <c r="S285" s="1435"/>
      <c r="AC285" s="1641" t="s">
        <v>717</v>
      </c>
      <c r="AD285" s="1443" t="b">
        <f>AD259</f>
        <v>0</v>
      </c>
    </row>
    <row r="286" spans="1:37" ht="12.75" customHeight="1">
      <c r="B286" s="479"/>
      <c r="C286" s="977"/>
      <c r="D286" s="777"/>
      <c r="E286" s="3272" t="s">
        <v>2298</v>
      </c>
      <c r="F286" s="2380"/>
      <c r="G286" s="2380"/>
      <c r="H286" s="2380"/>
      <c r="I286" s="2380"/>
      <c r="J286" s="2380"/>
      <c r="K286" s="2380"/>
      <c r="L286" s="2380"/>
      <c r="M286" s="2380"/>
      <c r="N286" s="3268"/>
      <c r="O286" s="485"/>
      <c r="P286" s="485"/>
      <c r="Q286" s="1435"/>
      <c r="S286" s="1435"/>
      <c r="T286" s="1435"/>
      <c r="U286" s="1435"/>
      <c r="V286" s="1435"/>
    </row>
    <row r="287" spans="1:37" ht="25.5" customHeight="1">
      <c r="B287" s="479"/>
      <c r="C287" s="977"/>
      <c r="D287" s="777"/>
      <c r="E287" s="3267" t="s">
        <v>1560</v>
      </c>
      <c r="F287" s="2380"/>
      <c r="G287" s="2380"/>
      <c r="H287" s="2380"/>
      <c r="I287" s="2380"/>
      <c r="J287" s="2380"/>
      <c r="K287" s="2380"/>
      <c r="L287" s="2380"/>
      <c r="M287" s="2380"/>
      <c r="N287" s="3268"/>
      <c r="O287" s="485"/>
      <c r="P287" s="485"/>
      <c r="Q287" s="1435"/>
      <c r="S287" s="1435"/>
      <c r="T287" s="1435"/>
      <c r="U287" s="1435"/>
      <c r="V287" s="1435"/>
    </row>
    <row r="288" spans="1:37" ht="12.75" customHeight="1" thickBot="1">
      <c r="B288" s="479"/>
      <c r="C288" s="977"/>
      <c r="D288" s="981"/>
      <c r="E288" s="989"/>
      <c r="F288" s="990"/>
      <c r="G288" s="987" t="str">
        <f>EUconst_Unit</f>
        <v>Unit</v>
      </c>
      <c r="H288" s="782">
        <f t="shared" ref="H288:N288" si="122">H$3242</f>
        <v>2024</v>
      </c>
      <c r="I288" s="782">
        <f t="shared" si="122"/>
        <v>2025</v>
      </c>
      <c r="J288" s="1747">
        <f t="shared" si="122"/>
        <v>2026</v>
      </c>
      <c r="K288" s="1747">
        <f t="shared" si="122"/>
        <v>2027</v>
      </c>
      <c r="L288" s="1747">
        <f t="shared" si="122"/>
        <v>2028</v>
      </c>
      <c r="M288" s="1747">
        <f t="shared" si="122"/>
        <v>2029</v>
      </c>
      <c r="N288" s="1748">
        <f t="shared" si="122"/>
        <v>2030</v>
      </c>
      <c r="O288" s="485"/>
      <c r="P288" s="485"/>
      <c r="Q288" s="1435"/>
      <c r="S288" s="1435"/>
      <c r="T288" s="1435"/>
      <c r="U288" s="1435"/>
      <c r="V288" s="1435"/>
      <c r="AC288" s="1638">
        <f t="shared" ref="AC288:AI288" si="123">H$20</f>
        <v>2024</v>
      </c>
      <c r="AD288" s="1638">
        <f t="shared" si="123"/>
        <v>2025</v>
      </c>
      <c r="AE288" s="1638">
        <f t="shared" si="123"/>
        <v>2026</v>
      </c>
      <c r="AF288" s="1638">
        <f t="shared" si="123"/>
        <v>2027</v>
      </c>
      <c r="AG288" s="1638">
        <f t="shared" si="123"/>
        <v>2028</v>
      </c>
      <c r="AH288" s="1638">
        <f t="shared" si="123"/>
        <v>2029</v>
      </c>
      <c r="AI288" s="1638">
        <f t="shared" si="123"/>
        <v>2030</v>
      </c>
    </row>
    <row r="289" spans="1:42" ht="12.75" customHeight="1" thickBot="1">
      <c r="B289" s="479"/>
      <c r="C289" s="977"/>
      <c r="D289" s="777" t="s">
        <v>1110</v>
      </c>
      <c r="E289" s="2471" t="s">
        <v>1303</v>
      </c>
      <c r="F289" s="2472"/>
      <c r="G289" s="1763" t="s">
        <v>2152</v>
      </c>
      <c r="H289" s="1552" t="str">
        <f>c_ALR2025!M2975</f>
        <v/>
      </c>
      <c r="I289" s="1871"/>
      <c r="J289" s="1751"/>
      <c r="K289" s="1751"/>
      <c r="L289" s="1751"/>
      <c r="M289" s="1751"/>
      <c r="N289" s="1752"/>
      <c r="O289" s="485"/>
      <c r="P289" s="9"/>
      <c r="Q289" s="1435"/>
      <c r="S289" s="1435"/>
      <c r="T289" s="1435"/>
      <c r="U289" s="1435"/>
      <c r="V289" s="1435"/>
      <c r="AB289" s="1641" t="s">
        <v>717</v>
      </c>
      <c r="AC289" s="1443" t="b">
        <f t="shared" ref="AC289:AI289" si="124">AC245</f>
        <v>0</v>
      </c>
      <c r="AD289" s="1443" t="b">
        <f t="shared" si="124"/>
        <v>0</v>
      </c>
      <c r="AE289" s="1443" t="b">
        <f t="shared" si="124"/>
        <v>0</v>
      </c>
      <c r="AF289" s="1443" t="b">
        <f t="shared" si="124"/>
        <v>0</v>
      </c>
      <c r="AG289" s="1443" t="b">
        <f t="shared" si="124"/>
        <v>0</v>
      </c>
      <c r="AH289" s="1443" t="b">
        <f t="shared" si="124"/>
        <v>0</v>
      </c>
      <c r="AI289" s="1443" t="b">
        <f t="shared" si="124"/>
        <v>0</v>
      </c>
      <c r="AJ289" s="1633" t="s">
        <v>1954</v>
      </c>
      <c r="AK289" s="1635" t="str">
        <f>IF(AND(CNTR_ExistSubInstEntries,MSconst_RequireSubAttrEmissions,COUNTIFS(AC289:AI289,FALSE,H289:N289,"")&gt;0),EUconst_Error&amp;"BM"&amp;$Q13,"")</f>
        <v/>
      </c>
    </row>
    <row r="290" spans="1:42" ht="12.75" customHeight="1">
      <c r="B290" s="479"/>
      <c r="C290" s="977"/>
      <c r="D290" s="777" t="s">
        <v>1111</v>
      </c>
      <c r="E290" s="2473" t="s">
        <v>661</v>
      </c>
      <c r="F290" s="2474"/>
      <c r="G290" s="1008" t="str">
        <f>IF(ISBLANK(G289),EUconst_GJperUnit,INDEX(EUconst_GJperTorKNm3,MATCH(G289,EUconst_TonnesOrkNm3pa,0)))</f>
        <v>GJ / t</v>
      </c>
      <c r="H290" s="1558" t="str">
        <f>c_ALR2025!M2976</f>
        <v/>
      </c>
      <c r="I290" s="1873"/>
      <c r="J290" s="1751"/>
      <c r="K290" s="1751"/>
      <c r="L290" s="1751"/>
      <c r="M290" s="1751"/>
      <c r="N290" s="1752"/>
      <c r="O290" s="485"/>
      <c r="P290" s="9"/>
      <c r="Q290" s="1435"/>
      <c r="S290" s="1648"/>
      <c r="T290" s="1749">
        <f t="shared" ref="T290:Z290" si="125">H288</f>
        <v>2024</v>
      </c>
      <c r="U290" s="1749">
        <f t="shared" si="125"/>
        <v>2025</v>
      </c>
      <c r="V290" s="1749">
        <f t="shared" si="125"/>
        <v>2026</v>
      </c>
      <c r="W290" s="1749">
        <f t="shared" si="125"/>
        <v>2027</v>
      </c>
      <c r="X290" s="1749">
        <f t="shared" si="125"/>
        <v>2028</v>
      </c>
      <c r="Y290" s="1749">
        <f t="shared" si="125"/>
        <v>2029</v>
      </c>
      <c r="Z290" s="1750">
        <f t="shared" si="125"/>
        <v>2030</v>
      </c>
      <c r="AC290" s="1443" t="b">
        <f>AC289</f>
        <v>0</v>
      </c>
      <c r="AD290" s="1443" t="b">
        <f t="shared" ref="AD290:AI290" si="126">AD289</f>
        <v>0</v>
      </c>
      <c r="AE290" s="1443" t="b">
        <f t="shared" si="126"/>
        <v>0</v>
      </c>
      <c r="AF290" s="1443" t="b">
        <f t="shared" si="126"/>
        <v>0</v>
      </c>
      <c r="AG290" s="1443" t="b">
        <f t="shared" si="126"/>
        <v>0</v>
      </c>
      <c r="AH290" s="1443" t="b">
        <f t="shared" si="126"/>
        <v>0</v>
      </c>
      <c r="AI290" s="1443" t="b">
        <f t="shared" si="126"/>
        <v>0</v>
      </c>
      <c r="AJ290" s="1633" t="s">
        <v>1954</v>
      </c>
      <c r="AK290" s="1635" t="str">
        <f>IF(AND(CNTR_ExistSubInstEntries,MSconst_RequireSubAttrEmissions,COUNTIFS(AC290:AI290,FALSE,H290:N290,"")&gt;0),EUconst_Error&amp;"BM"&amp;$Q13,"")</f>
        <v/>
      </c>
    </row>
    <row r="291" spans="1:42" ht="12.75" customHeight="1">
      <c r="B291" s="479"/>
      <c r="C291" s="977"/>
      <c r="D291" s="777" t="s">
        <v>1112</v>
      </c>
      <c r="E291" s="2475" t="s">
        <v>1102</v>
      </c>
      <c r="F291" s="2410"/>
      <c r="G291" s="815" t="str">
        <f>EUconst_TJpa</f>
        <v>TJ / year</v>
      </c>
      <c r="H291" s="646" t="str">
        <f t="shared" ref="H291:N291" si="127">IF(COUNT(H289:H290)=2,H289*H290/1000,"")</f>
        <v/>
      </c>
      <c r="I291" s="646" t="str">
        <f t="shared" si="127"/>
        <v/>
      </c>
      <c r="J291" s="1751" t="str">
        <f t="shared" si="127"/>
        <v/>
      </c>
      <c r="K291" s="1751" t="str">
        <f t="shared" si="127"/>
        <v/>
      </c>
      <c r="L291" s="1751" t="str">
        <f t="shared" si="127"/>
        <v/>
      </c>
      <c r="M291" s="1751" t="str">
        <f t="shared" si="127"/>
        <v/>
      </c>
      <c r="N291" s="1752" t="str">
        <f t="shared" si="127"/>
        <v/>
      </c>
      <c r="O291" s="485"/>
      <c r="P291" s="485"/>
      <c r="Q291" s="1644" t="str">
        <f>EUconst_CNTR_WGImport &amp; I13</f>
        <v>WasteGasIm_</v>
      </c>
      <c r="S291" s="1874" t="str">
        <f>EUconst_ERR_AttrEmBMapplied &amp; I13</f>
        <v>ERR_AttrEmBM_</v>
      </c>
      <c r="T291" s="1443">
        <f t="shared" ref="T291:Z291" si="128">IF(AND(H291&lt;&gt;"",EUconst_StatusOfDataCollection=FALSE),1,0)</f>
        <v>0</v>
      </c>
      <c r="U291" s="1443">
        <f t="shared" si="128"/>
        <v>0</v>
      </c>
      <c r="V291" s="1443">
        <f t="shared" si="128"/>
        <v>0</v>
      </c>
      <c r="W291" s="1443">
        <f t="shared" si="128"/>
        <v>0</v>
      </c>
      <c r="X291" s="1443">
        <f t="shared" si="128"/>
        <v>0</v>
      </c>
      <c r="Y291" s="1443">
        <f t="shared" si="128"/>
        <v>0</v>
      </c>
      <c r="Z291" s="1737">
        <f t="shared" si="128"/>
        <v>0</v>
      </c>
    </row>
    <row r="292" spans="1:42" s="562" customFormat="1" ht="12.75" customHeight="1" thickBot="1">
      <c r="A292" s="618"/>
      <c r="B292" s="479"/>
      <c r="C292" s="977"/>
      <c r="D292" s="777" t="s">
        <v>1113</v>
      </c>
      <c r="E292" s="2475" t="s">
        <v>1275</v>
      </c>
      <c r="F292" s="2410"/>
      <c r="G292" s="815" t="str">
        <f>EUconst_tCO2pTJ</f>
        <v>t CO2 / TJ</v>
      </c>
      <c r="H292" s="1479" t="str">
        <f>c_ALR2025!M2978</f>
        <v/>
      </c>
      <c r="I292" s="1869"/>
      <c r="J292" s="1751"/>
      <c r="K292" s="1751"/>
      <c r="L292" s="1751"/>
      <c r="M292" s="1751"/>
      <c r="N292" s="1752"/>
      <c r="O292" s="485"/>
      <c r="P292" s="9"/>
      <c r="Q292" s="1644" t="str">
        <f>EUconst_CNTR_WGImportEF &amp; I13</f>
        <v>WasteGasImEF_</v>
      </c>
      <c r="R292" s="1435"/>
      <c r="S292" s="1753" t="str">
        <f>EUconst_CNTR_AttributedEmissions &amp; I13</f>
        <v>AttrEmissions_</v>
      </c>
      <c r="T292" s="1743" t="str">
        <f t="shared" ref="T292:Z292" si="129">IF(T21,SUM(H291)*EUconst_FuelBMvalue,"")</f>
        <v/>
      </c>
      <c r="U292" s="1743" t="str">
        <f t="shared" si="129"/>
        <v/>
      </c>
      <c r="V292" s="1743" t="str">
        <f t="shared" si="129"/>
        <v/>
      </c>
      <c r="W292" s="1743" t="str">
        <f t="shared" si="129"/>
        <v/>
      </c>
      <c r="X292" s="1743" t="str">
        <f t="shared" si="129"/>
        <v/>
      </c>
      <c r="Y292" s="1743" t="str">
        <f t="shared" si="129"/>
        <v/>
      </c>
      <c r="Z292" s="1744" t="str">
        <f t="shared" si="129"/>
        <v/>
      </c>
      <c r="AA292" s="1435"/>
      <c r="AB292" s="1641" t="s">
        <v>717</v>
      </c>
      <c r="AC292" s="1443" t="b">
        <f>AC290</f>
        <v>0</v>
      </c>
      <c r="AD292" s="1443" t="b">
        <f t="shared" ref="AD292:AI292" si="130">AD290</f>
        <v>0</v>
      </c>
      <c r="AE292" s="1443" t="b">
        <f t="shared" si="130"/>
        <v>0</v>
      </c>
      <c r="AF292" s="1443" t="b">
        <f t="shared" si="130"/>
        <v>0</v>
      </c>
      <c r="AG292" s="1443" t="b">
        <f t="shared" si="130"/>
        <v>0</v>
      </c>
      <c r="AH292" s="1443" t="b">
        <f t="shared" si="130"/>
        <v>0</v>
      </c>
      <c r="AI292" s="1443" t="b">
        <f t="shared" si="130"/>
        <v>0</v>
      </c>
      <c r="AJ292" s="1633" t="s">
        <v>1954</v>
      </c>
      <c r="AK292" s="1635" t="str">
        <f>IF(AND(CNTR_ExistSubInstEntries,MSconst_RequireSubAttrEmissions,COUNTIFS(AC292:AI292,FALSE,H292:N292,"")&gt;0),EUconst_Error&amp;"BM"&amp;$Q13,"")</f>
        <v/>
      </c>
      <c r="AL292" s="1198"/>
      <c r="AP292" s="1135"/>
    </row>
    <row r="293" spans="1:42" ht="12.75" customHeight="1">
      <c r="B293" s="479"/>
      <c r="C293" s="977"/>
      <c r="D293" s="981"/>
      <c r="E293" s="981"/>
      <c r="F293" s="981"/>
      <c r="G293" s="981"/>
      <c r="H293" s="983"/>
      <c r="I293" s="981"/>
      <c r="J293" s="981"/>
      <c r="K293" s="981"/>
      <c r="L293" s="981"/>
      <c r="M293" s="813"/>
      <c r="N293" s="814"/>
      <c r="O293" s="485"/>
      <c r="P293" s="485"/>
      <c r="Q293" s="1435"/>
      <c r="S293" s="1435"/>
      <c r="T293" s="1435"/>
      <c r="U293" s="1435"/>
      <c r="V293" s="1435"/>
    </row>
    <row r="294" spans="1:42" ht="12.75" customHeight="1">
      <c r="B294" s="479"/>
      <c r="C294" s="977"/>
      <c r="D294" s="777" t="s">
        <v>1114</v>
      </c>
      <c r="E294" s="2649" t="s">
        <v>1217</v>
      </c>
      <c r="F294" s="2391"/>
      <c r="G294" s="2391"/>
      <c r="H294" s="2512"/>
      <c r="I294" s="3211" t="str">
        <f>c_ALR2025!I2980</f>
        <v/>
      </c>
      <c r="J294" s="3206"/>
      <c r="K294" s="3206"/>
      <c r="L294" s="3206"/>
      <c r="M294" s="3207"/>
      <c r="N294" s="979"/>
      <c r="O294" s="485"/>
      <c r="P294" s="9"/>
      <c r="Q294" s="1435"/>
      <c r="S294" s="1435"/>
      <c r="AC294" s="1641" t="s">
        <v>717</v>
      </c>
      <c r="AD294" s="1443" t="b">
        <f>AD285</f>
        <v>0</v>
      </c>
    </row>
    <row r="295" spans="1:42" ht="12.75" customHeight="1">
      <c r="B295" s="479"/>
      <c r="C295" s="977"/>
      <c r="D295" s="777"/>
      <c r="E295" s="3272" t="s">
        <v>2298</v>
      </c>
      <c r="F295" s="2380"/>
      <c r="G295" s="2380"/>
      <c r="H295" s="2380"/>
      <c r="I295" s="2380"/>
      <c r="J295" s="2380"/>
      <c r="K295" s="2380"/>
      <c r="L295" s="2380"/>
      <c r="M295" s="2380"/>
      <c r="N295" s="3268"/>
      <c r="O295" s="485"/>
      <c r="P295" s="485"/>
      <c r="Q295" s="1435"/>
      <c r="S295" s="1435"/>
      <c r="T295" s="1435"/>
      <c r="U295" s="1435"/>
      <c r="V295" s="1435"/>
    </row>
    <row r="296" spans="1:42" ht="25.5" customHeight="1">
      <c r="B296" s="479"/>
      <c r="C296" s="977"/>
      <c r="D296" s="777"/>
      <c r="E296" s="3267" t="s">
        <v>1317</v>
      </c>
      <c r="F296" s="2380"/>
      <c r="G296" s="2380"/>
      <c r="H296" s="2380"/>
      <c r="I296" s="2380"/>
      <c r="J296" s="2380"/>
      <c r="K296" s="2380"/>
      <c r="L296" s="2380"/>
      <c r="M296" s="2380"/>
      <c r="N296" s="3268"/>
      <c r="O296" s="485"/>
      <c r="P296" s="485"/>
      <c r="Q296" s="1435"/>
      <c r="S296" s="1435"/>
      <c r="T296" s="1435"/>
      <c r="U296" s="1435"/>
      <c r="V296" s="1435"/>
    </row>
    <row r="297" spans="1:42" ht="12.75" customHeight="1" thickBot="1">
      <c r="B297" s="479"/>
      <c r="C297" s="977"/>
      <c r="D297" s="981"/>
      <c r="E297" s="989"/>
      <c r="F297" s="990"/>
      <c r="G297" s="987" t="str">
        <f>EUconst_Unit</f>
        <v>Unit</v>
      </c>
      <c r="H297" s="782">
        <f t="shared" ref="H297:N297" si="131">H$3242</f>
        <v>2024</v>
      </c>
      <c r="I297" s="782">
        <f t="shared" si="131"/>
        <v>2025</v>
      </c>
      <c r="J297" s="1747">
        <f t="shared" si="131"/>
        <v>2026</v>
      </c>
      <c r="K297" s="1747">
        <f t="shared" si="131"/>
        <v>2027</v>
      </c>
      <c r="L297" s="1747">
        <f t="shared" si="131"/>
        <v>2028</v>
      </c>
      <c r="M297" s="1747">
        <f t="shared" si="131"/>
        <v>2029</v>
      </c>
      <c r="N297" s="1748">
        <f t="shared" si="131"/>
        <v>2030</v>
      </c>
      <c r="O297" s="485"/>
      <c r="P297" s="485"/>
      <c r="Q297" s="1435"/>
      <c r="S297" s="1435"/>
      <c r="T297" s="1435"/>
      <c r="U297" s="1435"/>
      <c r="V297" s="1435"/>
      <c r="AC297" s="1638">
        <f t="shared" ref="AC297:AI297" si="132">H$20</f>
        <v>2024</v>
      </c>
      <c r="AD297" s="1638">
        <f t="shared" si="132"/>
        <v>2025</v>
      </c>
      <c r="AE297" s="1638">
        <f t="shared" si="132"/>
        <v>2026</v>
      </c>
      <c r="AF297" s="1638">
        <f t="shared" si="132"/>
        <v>2027</v>
      </c>
      <c r="AG297" s="1638">
        <f t="shared" si="132"/>
        <v>2028</v>
      </c>
      <c r="AH297" s="1638">
        <f t="shared" si="132"/>
        <v>2029</v>
      </c>
      <c r="AI297" s="1638">
        <f t="shared" si="132"/>
        <v>2030</v>
      </c>
    </row>
    <row r="298" spans="1:42" ht="12.75" customHeight="1">
      <c r="B298" s="479"/>
      <c r="C298" s="977"/>
      <c r="D298" s="777" t="s">
        <v>1115</v>
      </c>
      <c r="E298" s="2471" t="s">
        <v>1304</v>
      </c>
      <c r="F298" s="2472"/>
      <c r="G298" s="1763" t="s">
        <v>2152</v>
      </c>
      <c r="H298" s="1552" t="str">
        <f>c_ALR2025!M2984</f>
        <v/>
      </c>
      <c r="I298" s="1871"/>
      <c r="J298" s="1751"/>
      <c r="K298" s="1751"/>
      <c r="L298" s="1751"/>
      <c r="M298" s="1751"/>
      <c r="N298" s="1752"/>
      <c r="O298" s="485"/>
      <c r="P298" s="9"/>
      <c r="Q298" s="1435"/>
      <c r="S298" s="1435"/>
      <c r="T298" s="1435"/>
      <c r="U298" s="1435"/>
      <c r="V298" s="1435"/>
      <c r="AB298" s="1641" t="s">
        <v>717</v>
      </c>
      <c r="AC298" s="1443" t="b">
        <f>AC245</f>
        <v>0</v>
      </c>
      <c r="AD298" s="1443" t="b">
        <f t="shared" ref="AD298:AI298" si="133">AD245</f>
        <v>0</v>
      </c>
      <c r="AE298" s="1443" t="b">
        <f t="shared" si="133"/>
        <v>0</v>
      </c>
      <c r="AF298" s="1443" t="b">
        <f t="shared" si="133"/>
        <v>0</v>
      </c>
      <c r="AG298" s="1443" t="b">
        <f t="shared" si="133"/>
        <v>0</v>
      </c>
      <c r="AH298" s="1443" t="b">
        <f t="shared" si="133"/>
        <v>0</v>
      </c>
      <c r="AI298" s="1443" t="b">
        <f t="shared" si="133"/>
        <v>0</v>
      </c>
      <c r="AJ298" s="1633" t="s">
        <v>1954</v>
      </c>
      <c r="AK298" s="1635" t="str">
        <f>IF(AND(CNTR_ExistSubInstEntries,MSconst_RequireSubAttrEmissions,COUNTIFS(AC298:AI298,FALSE,H298:N298,"")&gt;0),EUconst_Error&amp;"BM"&amp;$Q13,"")</f>
        <v/>
      </c>
    </row>
    <row r="299" spans="1:42" ht="12.75" customHeight="1" thickBot="1">
      <c r="B299" s="479"/>
      <c r="C299" s="977"/>
      <c r="D299" s="777" t="s">
        <v>1561</v>
      </c>
      <c r="E299" s="2473" t="s">
        <v>661</v>
      </c>
      <c r="F299" s="2474"/>
      <c r="G299" s="739" t="str">
        <f>IF(ISBLANK(G298),EUconst_GJperUnit,INDEX(EUconst_GJperTorKNm3,MATCH(G298,EUconst_TonnesOrkNm3pa,0)))</f>
        <v>GJ / t</v>
      </c>
      <c r="H299" s="1558" t="str">
        <f>c_ALR2025!M2985</f>
        <v/>
      </c>
      <c r="I299" s="1873"/>
      <c r="J299" s="1751"/>
      <c r="K299" s="1751"/>
      <c r="L299" s="1751"/>
      <c r="M299" s="1751"/>
      <c r="N299" s="1752"/>
      <c r="O299" s="485"/>
      <c r="P299" s="9"/>
      <c r="Q299" s="1435"/>
      <c r="S299" s="1435"/>
      <c r="T299" s="1435"/>
      <c r="U299" s="1435"/>
      <c r="V299" s="1435"/>
      <c r="AC299" s="1443" t="b">
        <f>AC298</f>
        <v>0</v>
      </c>
      <c r="AD299" s="1443" t="b">
        <f t="shared" ref="AD299:AI299" si="134">AD298</f>
        <v>0</v>
      </c>
      <c r="AE299" s="1443" t="b">
        <f t="shared" si="134"/>
        <v>0</v>
      </c>
      <c r="AF299" s="1443" t="b">
        <f t="shared" si="134"/>
        <v>0</v>
      </c>
      <c r="AG299" s="1443" t="b">
        <f t="shared" si="134"/>
        <v>0</v>
      </c>
      <c r="AH299" s="1443" t="b">
        <f t="shared" si="134"/>
        <v>0</v>
      </c>
      <c r="AI299" s="1443" t="b">
        <f t="shared" si="134"/>
        <v>0</v>
      </c>
      <c r="AJ299" s="1633" t="s">
        <v>1954</v>
      </c>
      <c r="AK299" s="1635" t="str">
        <f>IF(AND(CNTR_ExistSubInstEntries,MSconst_RequireSubAttrEmissions,COUNTIFS(AC299:AI299,FALSE,H299:N299,"")&gt;0),EUconst_Error&amp;"BM"&amp;$Q13,"")</f>
        <v/>
      </c>
    </row>
    <row r="300" spans="1:42" ht="12.75" customHeight="1">
      <c r="B300" s="479"/>
      <c r="C300" s="977"/>
      <c r="D300" s="777" t="s">
        <v>1599</v>
      </c>
      <c r="E300" s="2475" t="s">
        <v>1080</v>
      </c>
      <c r="F300" s="2410"/>
      <c r="G300" s="815" t="str">
        <f>EUconst_TJpa</f>
        <v>TJ / year</v>
      </c>
      <c r="H300" s="646" t="str">
        <f t="shared" ref="H300:N300" si="135">IF(COUNT(H298:H299)=2,H298*H299/1000,"")</f>
        <v/>
      </c>
      <c r="I300" s="646" t="str">
        <f t="shared" si="135"/>
        <v/>
      </c>
      <c r="J300" s="1751" t="str">
        <f t="shared" si="135"/>
        <v/>
      </c>
      <c r="K300" s="1751" t="str">
        <f t="shared" si="135"/>
        <v/>
      </c>
      <c r="L300" s="1751" t="str">
        <f t="shared" si="135"/>
        <v/>
      </c>
      <c r="M300" s="1751" t="str">
        <f t="shared" si="135"/>
        <v/>
      </c>
      <c r="N300" s="1752" t="str">
        <f t="shared" si="135"/>
        <v/>
      </c>
      <c r="O300" s="485"/>
      <c r="P300" s="485"/>
      <c r="Q300" s="1644" t="str">
        <f>EUconst_CNTR_WGExport &amp; I13</f>
        <v>WasteGasEx_</v>
      </c>
      <c r="S300" s="1648"/>
      <c r="T300" s="1749">
        <f t="shared" ref="T300:Z300" si="136">H297</f>
        <v>2024</v>
      </c>
      <c r="U300" s="1749">
        <f t="shared" si="136"/>
        <v>2025</v>
      </c>
      <c r="V300" s="1749">
        <f t="shared" si="136"/>
        <v>2026</v>
      </c>
      <c r="W300" s="1749">
        <f t="shared" si="136"/>
        <v>2027</v>
      </c>
      <c r="X300" s="1749">
        <f t="shared" si="136"/>
        <v>2028</v>
      </c>
      <c r="Y300" s="1749">
        <f t="shared" si="136"/>
        <v>2029</v>
      </c>
      <c r="Z300" s="1750">
        <f t="shared" si="136"/>
        <v>2030</v>
      </c>
    </row>
    <row r="301" spans="1:42" s="562" customFormat="1" ht="12.75" customHeight="1" thickBot="1">
      <c r="A301" s="1116"/>
      <c r="B301" s="479"/>
      <c r="C301" s="977"/>
      <c r="D301" s="777" t="s">
        <v>1600</v>
      </c>
      <c r="E301" s="2475" t="s">
        <v>1276</v>
      </c>
      <c r="F301" s="2410"/>
      <c r="G301" s="815" t="str">
        <f>EUconst_tCO2pTJ</f>
        <v>t CO2 / TJ</v>
      </c>
      <c r="H301" s="1479" t="str">
        <f>c_ALR2025!M2987</f>
        <v/>
      </c>
      <c r="I301" s="1869"/>
      <c r="J301" s="1751"/>
      <c r="K301" s="1751"/>
      <c r="L301" s="1751"/>
      <c r="M301" s="1751"/>
      <c r="N301" s="1752"/>
      <c r="O301" s="485"/>
      <c r="P301" s="9"/>
      <c r="Q301" s="1644" t="str">
        <f>EUconst_CNTR_WGExportEF &amp; I13</f>
        <v>WasteGasExEF_</v>
      </c>
      <c r="R301" s="1435"/>
      <c r="S301" s="1753" t="str">
        <f>EUconst_CNTR_AttributedEmissions &amp; I13</f>
        <v>AttrEmissions_</v>
      </c>
      <c r="T301" s="1743" t="str">
        <f t="shared" ref="T301:Z301" si="137">IF(T21,-SUM(H300)*EUconst_NGEFvalue*EUconst_WasteGasCorrFactor,"")</f>
        <v/>
      </c>
      <c r="U301" s="1743" t="str">
        <f t="shared" si="137"/>
        <v/>
      </c>
      <c r="V301" s="1743" t="str">
        <f t="shared" si="137"/>
        <v/>
      </c>
      <c r="W301" s="1743" t="str">
        <f t="shared" si="137"/>
        <v/>
      </c>
      <c r="X301" s="1743" t="str">
        <f t="shared" si="137"/>
        <v/>
      </c>
      <c r="Y301" s="1743" t="str">
        <f t="shared" si="137"/>
        <v/>
      </c>
      <c r="Z301" s="1744" t="str">
        <f t="shared" si="137"/>
        <v/>
      </c>
      <c r="AA301" s="1435"/>
      <c r="AB301" s="1641" t="s">
        <v>717</v>
      </c>
      <c r="AC301" s="1443" t="b">
        <f t="shared" ref="AC301:AI301" si="138">AC248</f>
        <v>0</v>
      </c>
      <c r="AD301" s="1443" t="b">
        <f t="shared" si="138"/>
        <v>0</v>
      </c>
      <c r="AE301" s="1443" t="b">
        <f t="shared" si="138"/>
        <v>0</v>
      </c>
      <c r="AF301" s="1443" t="b">
        <f t="shared" si="138"/>
        <v>0</v>
      </c>
      <c r="AG301" s="1443" t="b">
        <f t="shared" si="138"/>
        <v>0</v>
      </c>
      <c r="AH301" s="1443" t="b">
        <f t="shared" si="138"/>
        <v>0</v>
      </c>
      <c r="AI301" s="1443" t="b">
        <f t="shared" si="138"/>
        <v>0</v>
      </c>
      <c r="AJ301" s="1633" t="s">
        <v>1954</v>
      </c>
      <c r="AK301" s="1635" t="str">
        <f>IF(AND(CNTR_ExistSubInstEntries,MSconst_RequireSubAttrEmissions,COUNTIFS(AC301:AI301,FALSE,H301:N301,"")&gt;0),EUconst_Error&amp;"BM"&amp;$Q13,"")</f>
        <v/>
      </c>
      <c r="AL301" s="1198"/>
      <c r="AP301" s="1135"/>
    </row>
    <row r="302" spans="1:42" ht="12.75" customHeight="1">
      <c r="B302" s="479"/>
      <c r="C302" s="977"/>
      <c r="D302" s="981"/>
      <c r="E302" s="981"/>
      <c r="F302" s="981"/>
      <c r="G302" s="981"/>
      <c r="H302" s="981"/>
      <c r="I302" s="983"/>
      <c r="J302" s="981"/>
      <c r="K302" s="981"/>
      <c r="L302" s="981"/>
      <c r="M302" s="981"/>
      <c r="N302" s="814"/>
      <c r="O302" s="485"/>
      <c r="P302" s="485"/>
      <c r="Q302" s="1435"/>
      <c r="S302" s="1435"/>
    </row>
    <row r="303" spans="1:42" ht="12.75" customHeight="1">
      <c r="B303" s="479"/>
      <c r="C303" s="977"/>
      <c r="D303" s="982" t="s">
        <v>482</v>
      </c>
      <c r="E303" s="2649" t="s">
        <v>1127</v>
      </c>
      <c r="F303" s="2391"/>
      <c r="G303" s="2391"/>
      <c r="H303" s="2391"/>
      <c r="I303" s="2391"/>
      <c r="J303" s="2391"/>
      <c r="K303" s="2391"/>
      <c r="L303" s="2391"/>
      <c r="M303" s="2391"/>
      <c r="N303" s="2650"/>
      <c r="O303" s="485"/>
      <c r="P303" s="485"/>
      <c r="Q303" s="1435"/>
      <c r="S303" s="1435"/>
    </row>
    <row r="304" spans="1:42" ht="12.75" customHeight="1">
      <c r="B304" s="479"/>
      <c r="C304" s="977"/>
      <c r="D304" s="777"/>
      <c r="E304" s="3272" t="s">
        <v>2299</v>
      </c>
      <c r="F304" s="2380"/>
      <c r="G304" s="2380"/>
      <c r="H304" s="2380"/>
      <c r="I304" s="2380"/>
      <c r="J304" s="2380"/>
      <c r="K304" s="2380"/>
      <c r="L304" s="2380"/>
      <c r="M304" s="2380"/>
      <c r="N304" s="3268"/>
      <c r="O304" s="485"/>
      <c r="P304" s="485"/>
      <c r="Q304" s="1435"/>
      <c r="S304" s="1435"/>
      <c r="T304" s="1435"/>
      <c r="U304" s="1435"/>
      <c r="V304" s="1435"/>
    </row>
    <row r="305" spans="2:37" ht="25.5" customHeight="1" thickBot="1">
      <c r="B305" s="479"/>
      <c r="C305" s="977"/>
      <c r="D305" s="981"/>
      <c r="E305" s="3267" t="s">
        <v>2329</v>
      </c>
      <c r="F305" s="2380"/>
      <c r="G305" s="2380"/>
      <c r="H305" s="2380"/>
      <c r="I305" s="2380"/>
      <c r="J305" s="2380"/>
      <c r="K305" s="2380"/>
      <c r="L305" s="2380"/>
      <c r="M305" s="2380"/>
      <c r="N305" s="3268"/>
      <c r="O305" s="485"/>
      <c r="P305" s="485"/>
      <c r="Q305" s="1435"/>
      <c r="S305" s="1435"/>
    </row>
    <row r="306" spans="2:37" ht="12.75" customHeight="1" thickBot="1">
      <c r="B306" s="479"/>
      <c r="C306" s="977"/>
      <c r="D306" s="982"/>
      <c r="E306" s="989"/>
      <c r="F306" s="990"/>
      <c r="G306" s="987" t="str">
        <f>EUconst_Unit</f>
        <v>Unit</v>
      </c>
      <c r="H306" s="782">
        <f t="shared" ref="H306:N306" si="139">H$3242</f>
        <v>2024</v>
      </c>
      <c r="I306" s="782">
        <f t="shared" si="139"/>
        <v>2025</v>
      </c>
      <c r="J306" s="1747">
        <f t="shared" si="139"/>
        <v>2026</v>
      </c>
      <c r="K306" s="1747">
        <f t="shared" si="139"/>
        <v>2027</v>
      </c>
      <c r="L306" s="1747">
        <f t="shared" si="139"/>
        <v>2028</v>
      </c>
      <c r="M306" s="1747">
        <f t="shared" si="139"/>
        <v>2029</v>
      </c>
      <c r="N306" s="1748">
        <f t="shared" si="139"/>
        <v>2030</v>
      </c>
      <c r="O306" s="485"/>
      <c r="P306" s="485"/>
      <c r="Q306" s="1435"/>
      <c r="S306" s="1648"/>
      <c r="T306" s="1749">
        <f t="shared" ref="T306:Z306" si="140">H306</f>
        <v>2024</v>
      </c>
      <c r="U306" s="1749">
        <f t="shared" si="140"/>
        <v>2025</v>
      </c>
      <c r="V306" s="1749">
        <f t="shared" si="140"/>
        <v>2026</v>
      </c>
      <c r="W306" s="1749">
        <f t="shared" si="140"/>
        <v>2027</v>
      </c>
      <c r="X306" s="1749">
        <f t="shared" si="140"/>
        <v>2028</v>
      </c>
      <c r="Y306" s="1749">
        <f t="shared" si="140"/>
        <v>2029</v>
      </c>
      <c r="Z306" s="1750">
        <f t="shared" si="140"/>
        <v>2030</v>
      </c>
      <c r="AC306" s="1638">
        <f t="shared" ref="AC306:AI306" si="141">H$20</f>
        <v>2024</v>
      </c>
      <c r="AD306" s="1638">
        <f t="shared" si="141"/>
        <v>2025</v>
      </c>
      <c r="AE306" s="1638">
        <f t="shared" si="141"/>
        <v>2026</v>
      </c>
      <c r="AF306" s="1638">
        <f t="shared" si="141"/>
        <v>2027</v>
      </c>
      <c r="AG306" s="1638">
        <f t="shared" si="141"/>
        <v>2028</v>
      </c>
      <c r="AH306" s="1638">
        <f t="shared" si="141"/>
        <v>2029</v>
      </c>
      <c r="AI306" s="1638">
        <f t="shared" si="141"/>
        <v>2030</v>
      </c>
    </row>
    <row r="307" spans="2:37" ht="12.75" customHeight="1" thickBot="1">
      <c r="B307" s="479"/>
      <c r="C307" s="977"/>
      <c r="D307" s="777"/>
      <c r="E307" s="2475" t="s">
        <v>1354</v>
      </c>
      <c r="F307" s="2410"/>
      <c r="G307" s="815" t="str">
        <f>EUconst_MWhpa</f>
        <v>MWh / year</v>
      </c>
      <c r="H307" s="1479" t="str">
        <f>c_ALR2025!M2993</f>
        <v/>
      </c>
      <c r="I307" s="1869"/>
      <c r="J307" s="1751"/>
      <c r="K307" s="1751"/>
      <c r="L307" s="1751"/>
      <c r="M307" s="1751"/>
      <c r="N307" s="1752"/>
      <c r="O307" s="485"/>
      <c r="P307" s="9"/>
      <c r="Q307" s="1644" t="str">
        <f>EUconst_CNTR_ElectricityExported &amp; I13</f>
        <v>ElecEx_</v>
      </c>
      <c r="S307" s="1753" t="str">
        <f>EUconst_CNTR_AttributedEmissions &amp; I13</f>
        <v>AttrEmissions_</v>
      </c>
      <c r="T307" s="1743" t="str">
        <f t="shared" ref="T307:Z307" si="142">IF(T21,-SUM(H307)*EUconst_ElBM,"")</f>
        <v/>
      </c>
      <c r="U307" s="1743" t="str">
        <f t="shared" si="142"/>
        <v/>
      </c>
      <c r="V307" s="1743" t="str">
        <f t="shared" si="142"/>
        <v/>
      </c>
      <c r="W307" s="1743" t="str">
        <f t="shared" si="142"/>
        <v/>
      </c>
      <c r="X307" s="1743" t="str">
        <f t="shared" si="142"/>
        <v/>
      </c>
      <c r="Y307" s="1743" t="str">
        <f t="shared" si="142"/>
        <v/>
      </c>
      <c r="Z307" s="1744" t="str">
        <f t="shared" si="142"/>
        <v/>
      </c>
      <c r="AB307" s="1641" t="s">
        <v>717</v>
      </c>
      <c r="AC307" s="1443" t="b">
        <f t="shared" ref="AC307:AI307" si="143">AC83</f>
        <v>0</v>
      </c>
      <c r="AD307" s="1443" t="b">
        <f t="shared" si="143"/>
        <v>0</v>
      </c>
      <c r="AE307" s="1443" t="b">
        <f t="shared" si="143"/>
        <v>0</v>
      </c>
      <c r="AF307" s="1443" t="b">
        <f t="shared" si="143"/>
        <v>0</v>
      </c>
      <c r="AG307" s="1443" t="b">
        <f t="shared" si="143"/>
        <v>0</v>
      </c>
      <c r="AH307" s="1443" t="b">
        <f t="shared" si="143"/>
        <v>0</v>
      </c>
      <c r="AI307" s="1443" t="b">
        <f t="shared" si="143"/>
        <v>0</v>
      </c>
      <c r="AJ307" s="1633" t="s">
        <v>1954</v>
      </c>
      <c r="AK307" s="1635" t="str">
        <f>IF(AND(CNTR_ExistSubInstEntries,MSconst_RequireSubAttrEmissions,COUNTIFS(AC307:AI307,FALSE,H307:N307,"")&gt;0),EUconst_Error&amp;"BM"&amp;$Q13,"")</f>
        <v/>
      </c>
    </row>
    <row r="308" spans="2:37" ht="12.75" customHeight="1">
      <c r="B308" s="479"/>
      <c r="C308" s="977"/>
      <c r="D308" s="981"/>
      <c r="E308" s="981"/>
      <c r="F308" s="981"/>
      <c r="G308" s="981"/>
      <c r="H308" s="981"/>
      <c r="I308" s="983"/>
      <c r="J308" s="981"/>
      <c r="K308" s="981"/>
      <c r="L308" s="981"/>
      <c r="M308" s="981"/>
      <c r="N308" s="814"/>
      <c r="O308" s="485"/>
      <c r="P308" s="485"/>
      <c r="Q308" s="1435"/>
      <c r="S308" s="1435"/>
      <c r="V308" s="1435"/>
    </row>
    <row r="309" spans="2:37" ht="12.75" customHeight="1">
      <c r="B309" s="479"/>
      <c r="C309" s="977"/>
      <c r="D309" s="982" t="s">
        <v>245</v>
      </c>
      <c r="E309" s="2649" t="s">
        <v>1157</v>
      </c>
      <c r="F309" s="2391"/>
      <c r="G309" s="2391"/>
      <c r="H309" s="2391"/>
      <c r="I309" s="2391"/>
      <c r="J309" s="2391"/>
      <c r="K309" s="2391"/>
      <c r="L309" s="2391"/>
      <c r="M309" s="2391"/>
      <c r="N309" s="2650"/>
      <c r="O309" s="485"/>
      <c r="P309" s="485"/>
      <c r="V309" s="1435"/>
    </row>
    <row r="310" spans="2:37" ht="25.5" customHeight="1">
      <c r="B310" s="479"/>
      <c r="C310" s="977"/>
      <c r="D310" s="981"/>
      <c r="E310" s="3267" t="s">
        <v>2219</v>
      </c>
      <c r="F310" s="2380"/>
      <c r="G310" s="2380"/>
      <c r="H310" s="2380"/>
      <c r="I310" s="2380"/>
      <c r="J310" s="2380"/>
      <c r="K310" s="2380"/>
      <c r="L310" s="2380"/>
      <c r="M310" s="2380"/>
      <c r="N310" s="3268"/>
      <c r="O310" s="485"/>
      <c r="P310" s="485"/>
      <c r="Q310" s="1435"/>
      <c r="S310" s="1435"/>
      <c r="V310" s="1435"/>
    </row>
    <row r="311" spans="2:37" ht="12.75" customHeight="1">
      <c r="B311" s="479"/>
      <c r="C311" s="977"/>
      <c r="D311" s="981"/>
      <c r="E311" s="3267" t="s">
        <v>1563</v>
      </c>
      <c r="F311" s="2380"/>
      <c r="G311" s="2380"/>
      <c r="H311" s="2380"/>
      <c r="I311" s="2380"/>
      <c r="J311" s="2380"/>
      <c r="K311" s="2380"/>
      <c r="L311" s="2380"/>
      <c r="M311" s="2380"/>
      <c r="N311" s="3268"/>
      <c r="O311" s="485"/>
      <c r="P311" s="485"/>
      <c r="Q311" s="1435"/>
      <c r="S311" s="1435"/>
      <c r="V311" s="1435"/>
    </row>
    <row r="312" spans="2:37" ht="12.75" customHeight="1" thickBot="1">
      <c r="B312" s="479"/>
      <c r="C312" s="977"/>
      <c r="D312" s="777"/>
      <c r="E312" s="3283" t="s">
        <v>1598</v>
      </c>
      <c r="F312" s="3284"/>
      <c r="G312" s="3284"/>
      <c r="H312" s="3284"/>
      <c r="I312" s="2380"/>
      <c r="J312" s="2380"/>
      <c r="K312" s="2380"/>
      <c r="L312" s="2380"/>
      <c r="M312" s="2380"/>
      <c r="N312" s="3268"/>
      <c r="O312" s="485"/>
      <c r="P312" s="485"/>
      <c r="Q312" s="1435"/>
      <c r="S312" s="1435"/>
      <c r="V312" s="1435"/>
      <c r="AC312" s="1638">
        <f t="shared" ref="AC312:AI312" si="144">H$20</f>
        <v>2024</v>
      </c>
      <c r="AD312" s="1638">
        <f t="shared" si="144"/>
        <v>2025</v>
      </c>
      <c r="AE312" s="1638">
        <f t="shared" si="144"/>
        <v>2026</v>
      </c>
      <c r="AF312" s="1638">
        <f t="shared" si="144"/>
        <v>2027</v>
      </c>
      <c r="AG312" s="1638">
        <f t="shared" si="144"/>
        <v>2028</v>
      </c>
      <c r="AH312" s="1638">
        <f t="shared" si="144"/>
        <v>2029</v>
      </c>
      <c r="AI312" s="1638">
        <f t="shared" si="144"/>
        <v>2030</v>
      </c>
    </row>
    <row r="313" spans="2:37" ht="12.75" customHeight="1">
      <c r="B313" s="479"/>
      <c r="C313" s="977"/>
      <c r="D313" s="777"/>
      <c r="E313" s="3285" t="str">
        <f>IF(I13="","",IF(INDEX(EUconst_BMlistPulp,MATCH(I13,EUconst_BMlistNames,0)),I13,""))</f>
        <v/>
      </c>
      <c r="F313" s="2410"/>
      <c r="G313" s="815" t="str">
        <f>EUconst_Tons</f>
        <v>tonnes</v>
      </c>
      <c r="H313" s="1479" t="str">
        <f>c_ALR2025!M2999</f>
        <v/>
      </c>
      <c r="I313" s="1870"/>
      <c r="J313" s="1751"/>
      <c r="K313" s="1751"/>
      <c r="L313" s="1751"/>
      <c r="M313" s="1751"/>
      <c r="N313" s="1752"/>
      <c r="O313" s="485"/>
      <c r="P313" s="9"/>
      <c r="Q313" s="1644" t="str">
        <f>EUconst_CNTR_HALPulpTotal &amp; I13</f>
        <v>HALPulpTotal_</v>
      </c>
      <c r="S313" s="1435"/>
      <c r="AB313" s="1641" t="s">
        <v>717</v>
      </c>
      <c r="AC313" s="1423" t="b">
        <f t="shared" ref="AC313:AI313" si="145">IF($I13&lt;&gt;"",IF(INDEX(EUconst_BMlistPulp,MATCH($I13,EUconst_BMlistNames,0))=TRUE,FALSE,TRUE),AC83)</f>
        <v>0</v>
      </c>
      <c r="AD313" s="1443" t="b">
        <f t="shared" si="145"/>
        <v>0</v>
      </c>
      <c r="AE313" s="1443" t="b">
        <f t="shared" si="145"/>
        <v>0</v>
      </c>
      <c r="AF313" s="1443" t="b">
        <f t="shared" si="145"/>
        <v>0</v>
      </c>
      <c r="AG313" s="1443" t="b">
        <f t="shared" si="145"/>
        <v>0</v>
      </c>
      <c r="AH313" s="1443" t="b">
        <f t="shared" si="145"/>
        <v>0</v>
      </c>
      <c r="AI313" s="1443" t="b">
        <f t="shared" si="145"/>
        <v>0</v>
      </c>
      <c r="AJ313" s="1633" t="s">
        <v>1954</v>
      </c>
      <c r="AK313" s="1635" t="str">
        <f>IF(AND(CNTR_ExistSubInstEntries,MSconst_RequireSubAttrEmissions,COUNTIFS(AC313:AI313,FALSE,H313:N313,"")&gt;0),EUconst_Error&amp;"BM"&amp;$Q13,"")</f>
        <v/>
      </c>
    </row>
    <row r="314" spans="2:37" ht="12.75" customHeight="1">
      <c r="B314" s="479"/>
      <c r="C314" s="977"/>
      <c r="D314" s="777"/>
      <c r="E314" s="777"/>
      <c r="F314" s="777"/>
      <c r="G314" s="777"/>
      <c r="H314" s="983"/>
      <c r="I314" s="777"/>
      <c r="J314" s="777"/>
      <c r="K314" s="777"/>
      <c r="L314" s="777"/>
      <c r="M314" s="777"/>
      <c r="N314" s="1007"/>
      <c r="O314" s="485"/>
      <c r="P314" s="485"/>
      <c r="Q314" s="1435"/>
      <c r="S314" s="1435"/>
      <c r="V314" s="1435"/>
    </row>
    <row r="315" spans="2:37" ht="12.75" customHeight="1">
      <c r="B315" s="479"/>
      <c r="C315" s="977"/>
      <c r="D315" s="982" t="s">
        <v>832</v>
      </c>
      <c r="E315" s="2649" t="s">
        <v>1142</v>
      </c>
      <c r="F315" s="2391"/>
      <c r="G315" s="2391"/>
      <c r="H315" s="2391"/>
      <c r="I315" s="2391"/>
      <c r="J315" s="2391"/>
      <c r="K315" s="2391"/>
      <c r="L315" s="2391"/>
      <c r="M315" s="2391"/>
      <c r="N315" s="2650"/>
      <c r="O315" s="485"/>
      <c r="P315" s="485"/>
      <c r="Q315" s="1435"/>
      <c r="S315" s="1435"/>
      <c r="V315" s="1435"/>
    </row>
    <row r="316" spans="2:37" ht="25.5" customHeight="1">
      <c r="B316" s="479"/>
      <c r="C316" s="977"/>
      <c r="D316" s="981"/>
      <c r="E316" s="3267" t="s">
        <v>1366</v>
      </c>
      <c r="F316" s="2380"/>
      <c r="G316" s="2380"/>
      <c r="H316" s="2380"/>
      <c r="I316" s="2380"/>
      <c r="J316" s="2380"/>
      <c r="K316" s="2380"/>
      <c r="L316" s="2380"/>
      <c r="M316" s="2380"/>
      <c r="N316" s="3268"/>
      <c r="O316" s="485"/>
      <c r="P316" s="485"/>
      <c r="Q316" s="1435"/>
      <c r="S316" s="1435"/>
      <c r="V316" s="1435"/>
    </row>
    <row r="317" spans="2:37" ht="12.75" customHeight="1">
      <c r="B317" s="479"/>
      <c r="C317" s="977"/>
      <c r="D317" s="981"/>
      <c r="E317" s="3272" t="s">
        <v>1610</v>
      </c>
      <c r="F317" s="2380"/>
      <c r="G317" s="2380"/>
      <c r="H317" s="2380"/>
      <c r="I317" s="2380"/>
      <c r="J317" s="2380"/>
      <c r="K317" s="2380"/>
      <c r="L317" s="2380"/>
      <c r="M317" s="2380"/>
      <c r="N317" s="3268"/>
      <c r="O317" s="485"/>
      <c r="P317" s="485"/>
      <c r="Q317" s="1435"/>
      <c r="S317" s="1435"/>
      <c r="V317" s="1435"/>
    </row>
    <row r="318" spans="2:37" ht="12.75" customHeight="1">
      <c r="B318" s="1124"/>
      <c r="C318" s="977"/>
      <c r="D318" s="777" t="s">
        <v>6</v>
      </c>
      <c r="E318" s="2682" t="s">
        <v>1145</v>
      </c>
      <c r="F318" s="2391"/>
      <c r="G318" s="2391"/>
      <c r="H318" s="2391"/>
      <c r="I318" s="2391"/>
      <c r="J318" s="2391"/>
      <c r="K318" s="2512"/>
      <c r="L318" s="1478" t="str">
        <f>c_ALR2025!L3004</f>
        <v/>
      </c>
      <c r="M318" s="813"/>
      <c r="N318" s="1015"/>
      <c r="O318" s="485"/>
      <c r="P318" s="9"/>
      <c r="AF318" s="1641" t="s">
        <v>717</v>
      </c>
      <c r="AG318" s="1423" t="b">
        <f>AND(CNTR_ExistSubInstEntries,I13="")</f>
        <v>0</v>
      </c>
    </row>
    <row r="319" spans="2:37" ht="5.0999999999999996" customHeight="1">
      <c r="B319" s="479"/>
      <c r="C319" s="977"/>
      <c r="D319" s="777"/>
      <c r="E319" s="777"/>
      <c r="F319" s="777"/>
      <c r="G319" s="777"/>
      <c r="H319" s="983"/>
      <c r="I319" s="777"/>
      <c r="J319" s="777"/>
      <c r="K319" s="777"/>
      <c r="L319" s="777"/>
      <c r="M319" s="777"/>
      <c r="N319" s="1007"/>
      <c r="O319" s="485"/>
      <c r="P319" s="485"/>
      <c r="Q319" s="1435"/>
      <c r="S319" s="1435"/>
      <c r="V319" s="1435"/>
    </row>
    <row r="320" spans="2:37" ht="12.75" customHeight="1" thickBot="1">
      <c r="B320" s="479"/>
      <c r="C320" s="977"/>
      <c r="D320" s="982"/>
      <c r="E320" s="2648" t="s">
        <v>1144</v>
      </c>
      <c r="F320" s="2493"/>
      <c r="G320" s="778" t="str">
        <f>EUconst_Unit</f>
        <v>Unit</v>
      </c>
      <c r="H320" s="782">
        <f t="shared" ref="H320:N320" si="146">H$3242</f>
        <v>2024</v>
      </c>
      <c r="I320" s="782">
        <f t="shared" si="146"/>
        <v>2025</v>
      </c>
      <c r="J320" s="1747">
        <f t="shared" si="146"/>
        <v>2026</v>
      </c>
      <c r="K320" s="1747">
        <f t="shared" si="146"/>
        <v>2027</v>
      </c>
      <c r="L320" s="1747">
        <f t="shared" si="146"/>
        <v>2028</v>
      </c>
      <c r="M320" s="1747">
        <f t="shared" si="146"/>
        <v>2029</v>
      </c>
      <c r="N320" s="1748">
        <f t="shared" si="146"/>
        <v>2030</v>
      </c>
      <c r="O320" s="485"/>
      <c r="P320" s="485"/>
      <c r="Q320" s="1435"/>
      <c r="S320" s="1435"/>
      <c r="V320" s="1435"/>
      <c r="AC320" s="1638">
        <f t="shared" ref="AC320:AI320" si="147">H$20</f>
        <v>2024</v>
      </c>
      <c r="AD320" s="1638">
        <f t="shared" si="147"/>
        <v>2025</v>
      </c>
      <c r="AE320" s="1638">
        <f t="shared" si="147"/>
        <v>2026</v>
      </c>
      <c r="AF320" s="1638">
        <f t="shared" si="147"/>
        <v>2027</v>
      </c>
      <c r="AG320" s="1638">
        <f t="shared" si="147"/>
        <v>2028</v>
      </c>
      <c r="AH320" s="1638">
        <f t="shared" si="147"/>
        <v>2029</v>
      </c>
      <c r="AI320" s="1638">
        <f t="shared" si="147"/>
        <v>2030</v>
      </c>
    </row>
    <row r="321" spans="1:38" ht="12.75" customHeight="1">
      <c r="B321" s="479"/>
      <c r="C321" s="977"/>
      <c r="D321" s="777" t="s">
        <v>7</v>
      </c>
      <c r="E321" s="3330" t="s">
        <v>162</v>
      </c>
      <c r="F321" s="3331"/>
      <c r="G321" s="1016" t="str">
        <f>IF(E321&lt;&gt;"",INDEX(EUconst_BMlistUnits,MATCH(E321,EUconst_BMlistNames,0)),EUconst_Tons)</f>
        <v>CWT</v>
      </c>
      <c r="H321" s="1774" t="str">
        <f>c_ALR2025!M3007</f>
        <v/>
      </c>
      <c r="I321" s="1876"/>
      <c r="J321" s="1754"/>
      <c r="K321" s="1754"/>
      <c r="L321" s="1754"/>
      <c r="M321" s="1754"/>
      <c r="N321" s="1755"/>
      <c r="O321" s="485"/>
      <c r="P321" s="9"/>
      <c r="Q321" s="1644" t="str">
        <f>EUconst_CNTR_IntermediateImport &amp; S321 &amp; "_" &amp; I13</f>
        <v>IntImp_1_</v>
      </c>
      <c r="S321" s="1644">
        <v>1</v>
      </c>
      <c r="V321" s="1435"/>
      <c r="AB321" s="1641" t="s">
        <v>717</v>
      </c>
      <c r="AC321" s="1423" t="b">
        <f t="shared" ref="AC321:AI321" si="148">OR(AND($L318&lt;&gt;"",$L318=FALSE),AC83)</f>
        <v>0</v>
      </c>
      <c r="AD321" s="1443" t="b">
        <f t="shared" si="148"/>
        <v>0</v>
      </c>
      <c r="AE321" s="1443" t="b">
        <f t="shared" si="148"/>
        <v>0</v>
      </c>
      <c r="AF321" s="1443" t="b">
        <f t="shared" si="148"/>
        <v>0</v>
      </c>
      <c r="AG321" s="1443" t="b">
        <f t="shared" si="148"/>
        <v>0</v>
      </c>
      <c r="AH321" s="1443" t="b">
        <f t="shared" si="148"/>
        <v>0</v>
      </c>
      <c r="AI321" s="1443" t="b">
        <f t="shared" si="148"/>
        <v>0</v>
      </c>
      <c r="AJ321" s="1633" t="s">
        <v>1954</v>
      </c>
      <c r="AK321" s="1635" t="str">
        <f>IF(AND(CNTR_ExistSubInstEntries,MSconst_RequireSubAttrEmissions,COUNTIFS(AC321:AI321,FALSE,H321:N321,"")&gt;0),EUconst_Error&amp;"BM"&amp;$Q13,"")</f>
        <v/>
      </c>
    </row>
    <row r="322" spans="1:38" ht="12.75" customHeight="1">
      <c r="B322" s="479"/>
      <c r="C322" s="977"/>
      <c r="D322" s="777" t="s">
        <v>8</v>
      </c>
      <c r="E322" s="3332" t="s">
        <v>165</v>
      </c>
      <c r="F322" s="3333"/>
      <c r="G322" s="1008" t="str">
        <f>IF(E322&lt;&gt;"",INDEX(EUconst_BMlistUnits,MATCH(E322,EUconst_BMlistNames,0)),EUconst_Tons)</f>
        <v>tonnes</v>
      </c>
      <c r="H322" s="1775" t="str">
        <f>c_ALR2025!M3008</f>
        <v/>
      </c>
      <c r="I322" s="1877"/>
      <c r="J322" s="1754"/>
      <c r="K322" s="1754"/>
      <c r="L322" s="1754"/>
      <c r="M322" s="1754"/>
      <c r="N322" s="1755"/>
      <c r="O322" s="485"/>
      <c r="P322" s="9"/>
      <c r="Q322" s="1644" t="str">
        <f>EUconst_CNTR_IntermediateImport &amp; S322 &amp; "_" &amp; I13</f>
        <v>IntImp_2_</v>
      </c>
      <c r="S322" s="1644">
        <v>2</v>
      </c>
      <c r="V322" s="1435"/>
      <c r="AC322" s="1443" t="b">
        <f>AC321</f>
        <v>0</v>
      </c>
      <c r="AD322" s="1443" t="b">
        <f t="shared" ref="AD322:AI322" si="149">AD321</f>
        <v>0</v>
      </c>
      <c r="AE322" s="1443" t="b">
        <f t="shared" si="149"/>
        <v>0</v>
      </c>
      <c r="AF322" s="1443" t="b">
        <f t="shared" si="149"/>
        <v>0</v>
      </c>
      <c r="AG322" s="1443" t="b">
        <f t="shared" si="149"/>
        <v>0</v>
      </c>
      <c r="AH322" s="1443" t="b">
        <f t="shared" si="149"/>
        <v>0</v>
      </c>
      <c r="AI322" s="1443" t="b">
        <f t="shared" si="149"/>
        <v>0</v>
      </c>
    </row>
    <row r="323" spans="1:38" ht="5.0999999999999996" customHeight="1">
      <c r="B323" s="479"/>
      <c r="C323" s="977"/>
      <c r="D323" s="777"/>
      <c r="E323" s="777"/>
      <c r="F323" s="777"/>
      <c r="G323" s="777"/>
      <c r="H323" s="777"/>
      <c r="I323" s="777"/>
      <c r="J323" s="1776"/>
      <c r="K323" s="1776"/>
      <c r="L323" s="1776"/>
      <c r="M323" s="1776"/>
      <c r="N323" s="1777"/>
      <c r="O323" s="485"/>
      <c r="P323" s="485"/>
      <c r="Q323" s="1435"/>
      <c r="S323" s="1435"/>
      <c r="V323" s="1435"/>
    </row>
    <row r="324" spans="1:38" ht="12.75" customHeight="1" thickBot="1">
      <c r="B324" s="479"/>
      <c r="C324" s="977"/>
      <c r="D324" s="982"/>
      <c r="E324" s="2648" t="s">
        <v>1143</v>
      </c>
      <c r="F324" s="2493"/>
      <c r="G324" s="778" t="str">
        <f>EUconst_Unit</f>
        <v>Unit</v>
      </c>
      <c r="H324" s="782">
        <f t="shared" ref="H324:N324" si="150">H$3242</f>
        <v>2024</v>
      </c>
      <c r="I324" s="782">
        <f t="shared" si="150"/>
        <v>2025</v>
      </c>
      <c r="J324" s="1747">
        <f t="shared" si="150"/>
        <v>2026</v>
      </c>
      <c r="K324" s="1747">
        <f t="shared" si="150"/>
        <v>2027</v>
      </c>
      <c r="L324" s="1747">
        <f t="shared" si="150"/>
        <v>2028</v>
      </c>
      <c r="M324" s="1747">
        <f t="shared" si="150"/>
        <v>2029</v>
      </c>
      <c r="N324" s="1748">
        <f t="shared" si="150"/>
        <v>2030</v>
      </c>
      <c r="O324" s="485"/>
      <c r="P324" s="485"/>
      <c r="Q324" s="1435"/>
      <c r="S324" s="1435"/>
      <c r="V324" s="1435"/>
      <c r="AC324" s="1638">
        <f t="shared" ref="AC324:AI324" si="151">H$20</f>
        <v>2024</v>
      </c>
      <c r="AD324" s="1638">
        <f t="shared" si="151"/>
        <v>2025</v>
      </c>
      <c r="AE324" s="1638">
        <f t="shared" si="151"/>
        <v>2026</v>
      </c>
      <c r="AF324" s="1638">
        <f t="shared" si="151"/>
        <v>2027</v>
      </c>
      <c r="AG324" s="1638">
        <f t="shared" si="151"/>
        <v>2028</v>
      </c>
      <c r="AH324" s="1638">
        <f t="shared" si="151"/>
        <v>2029</v>
      </c>
      <c r="AI324" s="1638">
        <f t="shared" si="151"/>
        <v>2030</v>
      </c>
    </row>
    <row r="325" spans="1:38" ht="12.75" customHeight="1">
      <c r="B325" s="479"/>
      <c r="C325" s="977"/>
      <c r="D325" s="777" t="s">
        <v>18</v>
      </c>
      <c r="E325" s="3330" t="s">
        <v>162</v>
      </c>
      <c r="F325" s="3331"/>
      <c r="G325" s="1016" t="str">
        <f>IF(E325&lt;&gt;"",INDEX(EUconst_BMlistUnits,MATCH(E325,EUconst_BMlistNames,0)),EUconst_Tons)</f>
        <v>CWT</v>
      </c>
      <c r="H325" s="1774" t="str">
        <f>c_ALR2025!M3011</f>
        <v/>
      </c>
      <c r="I325" s="1876"/>
      <c r="J325" s="1754"/>
      <c r="K325" s="1754"/>
      <c r="L325" s="1754"/>
      <c r="M325" s="1754"/>
      <c r="N325" s="1755"/>
      <c r="O325" s="485"/>
      <c r="P325" s="9"/>
      <c r="Q325" s="1644" t="str">
        <f>EUconst_CNTR_IntermediateExport &amp; S321 &amp; "_" &amp; I13</f>
        <v>IntExp_1_</v>
      </c>
      <c r="S325" s="1644">
        <v>1</v>
      </c>
      <c r="V325" s="1435"/>
      <c r="X325" s="1778"/>
      <c r="Y325" s="1778"/>
      <c r="AB325" s="1641" t="s">
        <v>717</v>
      </c>
      <c r="AC325" s="1443" t="b">
        <f>AC321</f>
        <v>0</v>
      </c>
      <c r="AD325" s="1443" t="b">
        <f t="shared" ref="AD325:AI325" si="152">AD321</f>
        <v>0</v>
      </c>
      <c r="AE325" s="1443" t="b">
        <f t="shared" si="152"/>
        <v>0</v>
      </c>
      <c r="AF325" s="1443" t="b">
        <f t="shared" si="152"/>
        <v>0</v>
      </c>
      <c r="AG325" s="1443" t="b">
        <f t="shared" si="152"/>
        <v>0</v>
      </c>
      <c r="AH325" s="1443" t="b">
        <f t="shared" si="152"/>
        <v>0</v>
      </c>
      <c r="AI325" s="1443" t="b">
        <f t="shared" si="152"/>
        <v>0</v>
      </c>
      <c r="AJ325" s="1633" t="s">
        <v>1954</v>
      </c>
      <c r="AK325" s="1635" t="str">
        <f>IF(AND(CNTR_ExistSubInstEntries,MSconst_RequireSubAttrEmissions,COUNTIFS(AC325:AI325,FALSE,H325:N325,"")&gt;0),EUconst_Error&amp;"BM"&amp;$Q13,"")</f>
        <v/>
      </c>
    </row>
    <row r="326" spans="1:38" ht="12.75" customHeight="1">
      <c r="B326" s="479"/>
      <c r="C326" s="977"/>
      <c r="D326" s="777" t="s">
        <v>787</v>
      </c>
      <c r="E326" s="3332" t="s">
        <v>165</v>
      </c>
      <c r="F326" s="3333"/>
      <c r="G326" s="1008" t="str">
        <f>IF(E326&lt;&gt;"",INDEX(EUconst_BMlistUnits,MATCH(E326,EUconst_BMlistNames,0)),EUconst_Tons)</f>
        <v>tonnes</v>
      </c>
      <c r="H326" s="1775" t="str">
        <f>c_ALR2025!M3012</f>
        <v/>
      </c>
      <c r="I326" s="1877"/>
      <c r="J326" s="1754"/>
      <c r="K326" s="1754"/>
      <c r="L326" s="1754"/>
      <c r="M326" s="1754"/>
      <c r="N326" s="1755"/>
      <c r="O326" s="485"/>
      <c r="P326" s="9"/>
      <c r="Q326" s="1644" t="str">
        <f>EUconst_CNTR_IntermediateExport &amp; S326 &amp; "_" &amp; I13</f>
        <v>IntExp_2_</v>
      </c>
      <c r="S326" s="1644">
        <v>2</v>
      </c>
      <c r="V326" s="1435"/>
      <c r="X326" s="1778"/>
      <c r="Y326" s="1778"/>
      <c r="AC326" s="1443" t="b">
        <f t="shared" ref="AC326:AI326" si="153">AC322</f>
        <v>0</v>
      </c>
      <c r="AD326" s="1443" t="b">
        <f t="shared" si="153"/>
        <v>0</v>
      </c>
      <c r="AE326" s="1443" t="b">
        <f t="shared" si="153"/>
        <v>0</v>
      </c>
      <c r="AF326" s="1443" t="b">
        <f t="shared" si="153"/>
        <v>0</v>
      </c>
      <c r="AG326" s="1443" t="b">
        <f t="shared" si="153"/>
        <v>0</v>
      </c>
      <c r="AH326" s="1443" t="b">
        <f t="shared" si="153"/>
        <v>0</v>
      </c>
      <c r="AI326" s="1443" t="b">
        <f t="shared" si="153"/>
        <v>0</v>
      </c>
    </row>
    <row r="327" spans="1:38" ht="5.0999999999999996" customHeight="1">
      <c r="B327" s="479"/>
      <c r="C327" s="977"/>
      <c r="D327" s="777"/>
      <c r="E327" s="777"/>
      <c r="F327" s="777"/>
      <c r="G327" s="777"/>
      <c r="H327" s="777"/>
      <c r="I327" s="777"/>
      <c r="J327" s="777"/>
      <c r="K327" s="777"/>
      <c r="L327" s="777"/>
      <c r="M327" s="777"/>
      <c r="N327" s="1007"/>
      <c r="O327" s="485"/>
      <c r="P327" s="485"/>
      <c r="Q327" s="1435"/>
      <c r="S327" s="1435"/>
      <c r="V327" s="1435"/>
      <c r="X327" s="1778"/>
      <c r="Y327" s="1778"/>
    </row>
    <row r="328" spans="1:38" ht="12.75" customHeight="1">
      <c r="B328" s="479"/>
      <c r="C328" s="977"/>
      <c r="D328" s="777" t="s">
        <v>788</v>
      </c>
      <c r="E328" s="813" t="s">
        <v>1146</v>
      </c>
      <c r="F328" s="813"/>
      <c r="G328" s="813"/>
      <c r="H328" s="813"/>
      <c r="I328" s="813"/>
      <c r="J328" s="813"/>
      <c r="K328" s="813"/>
      <c r="L328" s="813"/>
      <c r="M328" s="813"/>
      <c r="N328" s="1007"/>
      <c r="O328" s="485"/>
      <c r="P328" s="485"/>
      <c r="Q328" s="1435"/>
      <c r="S328" s="1435"/>
      <c r="V328" s="1435"/>
      <c r="X328" s="1778"/>
      <c r="Y328" s="1778"/>
    </row>
    <row r="329" spans="1:38" ht="12.75" customHeight="1">
      <c r="B329" s="479"/>
      <c r="C329" s="977"/>
      <c r="D329" s="777"/>
      <c r="E329" s="1779" t="s">
        <v>1459</v>
      </c>
      <c r="F329" s="978"/>
      <c r="G329" s="978"/>
      <c r="H329" s="978"/>
      <c r="I329" s="978"/>
      <c r="J329" s="978"/>
      <c r="K329" s="978"/>
      <c r="L329" s="978"/>
      <c r="M329" s="978"/>
      <c r="N329" s="979"/>
      <c r="O329" s="485"/>
      <c r="P329" s="485"/>
      <c r="Q329" s="1435"/>
      <c r="S329" s="1435"/>
      <c r="V329" s="1435"/>
      <c r="X329" s="1778"/>
      <c r="Y329" s="1778"/>
    </row>
    <row r="330" spans="1:38" ht="12.75" customHeight="1">
      <c r="B330" s="479"/>
      <c r="C330" s="977"/>
      <c r="D330" s="777"/>
      <c r="E330" s="3273"/>
      <c r="F330" s="3274"/>
      <c r="G330" s="3274"/>
      <c r="H330" s="3274"/>
      <c r="I330" s="3274"/>
      <c r="J330" s="3274"/>
      <c r="K330" s="3274"/>
      <c r="L330" s="3274"/>
      <c r="M330" s="3275"/>
      <c r="N330" s="1007"/>
      <c r="O330" s="485"/>
      <c r="P330" s="9"/>
      <c r="Q330" s="1435"/>
      <c r="S330" s="1435"/>
      <c r="V330" s="1435"/>
      <c r="X330" s="1778"/>
      <c r="Y330" s="1778"/>
      <c r="AB330" s="1641" t="s">
        <v>717</v>
      </c>
      <c r="AC330" s="1443" t="b">
        <f>AND(AC325:AI325)</f>
        <v>0</v>
      </c>
    </row>
    <row r="331" spans="1:38" ht="12.75" customHeight="1">
      <c r="B331" s="479"/>
      <c r="C331" s="977"/>
      <c r="D331" s="777"/>
      <c r="E331" s="3276"/>
      <c r="F331" s="3277"/>
      <c r="G331" s="3277"/>
      <c r="H331" s="3277"/>
      <c r="I331" s="3277"/>
      <c r="J331" s="3277"/>
      <c r="K331" s="3277"/>
      <c r="L331" s="3277"/>
      <c r="M331" s="3278"/>
      <c r="N331" s="1007"/>
      <c r="O331" s="485"/>
      <c r="P331" s="485"/>
      <c r="Q331" s="1435"/>
      <c r="S331" s="1435"/>
      <c r="V331" s="1435"/>
      <c r="X331" s="1778"/>
      <c r="Y331" s="1778"/>
      <c r="AC331" s="1443" t="b">
        <f>AC330</f>
        <v>0</v>
      </c>
    </row>
    <row r="332" spans="1:38" ht="12.75" customHeight="1" thickBot="1">
      <c r="B332" s="479"/>
      <c r="C332" s="1018"/>
      <c r="D332" s="1019"/>
      <c r="E332" s="1019"/>
      <c r="F332" s="1019"/>
      <c r="G332" s="1019"/>
      <c r="H332" s="1019"/>
      <c r="I332" s="1019"/>
      <c r="J332" s="1019"/>
      <c r="K332" s="1019"/>
      <c r="L332" s="1019"/>
      <c r="M332" s="805"/>
      <c r="N332" s="806"/>
      <c r="O332" s="485"/>
      <c r="P332" s="485"/>
      <c r="Q332" s="1435"/>
      <c r="S332" s="1435"/>
      <c r="V332" s="1435"/>
    </row>
    <row r="333" spans="1:38" ht="12.75" customHeight="1" thickBot="1">
      <c r="A333" s="618"/>
      <c r="B333" s="467"/>
      <c r="C333" s="467"/>
      <c r="D333" s="467"/>
      <c r="E333" s="467"/>
      <c r="F333" s="467"/>
      <c r="G333" s="467"/>
      <c r="H333" s="467"/>
      <c r="I333" s="467"/>
      <c r="J333" s="467"/>
      <c r="K333" s="467"/>
      <c r="L333" s="467"/>
      <c r="M333" s="481"/>
      <c r="N333" s="481"/>
      <c r="O333" s="481"/>
      <c r="P333" s="481"/>
      <c r="Q333" s="1488" t="str">
        <f>IF(OR(AND(CNTR_ExistProductSubEntries=FALSE,Q13=1),AND(I13&lt;&gt;"",COUNTIF(Q334:$Q3271,"PRINT")=0)),"PRINT","")</f>
        <v>PRINT</v>
      </c>
      <c r="R333" s="1249"/>
      <c r="S333" s="1249"/>
      <c r="T333" s="1249"/>
      <c r="U333" s="1249"/>
      <c r="V333" s="1249"/>
      <c r="W333" s="1249"/>
      <c r="X333" s="1249"/>
      <c r="Y333" s="1249"/>
      <c r="AE333" s="1118"/>
      <c r="AF333" s="1118"/>
      <c r="AG333" s="1118"/>
      <c r="AH333" s="1118"/>
      <c r="AI333" s="1118"/>
      <c r="AJ333" s="1118"/>
      <c r="AK333" s="1118"/>
      <c r="AL333" s="1118"/>
    </row>
    <row r="334" spans="1:38" ht="5.0999999999999996" customHeight="1" thickBot="1">
      <c r="B334" s="479"/>
      <c r="C334" s="1020"/>
      <c r="D334" s="1020"/>
      <c r="E334" s="1020"/>
      <c r="F334" s="1020"/>
      <c r="G334" s="1020"/>
      <c r="H334" s="1020"/>
      <c r="I334" s="1020"/>
      <c r="J334" s="1020"/>
      <c r="K334" s="1020"/>
      <c r="L334" s="1020"/>
      <c r="M334" s="1020"/>
      <c r="N334" s="1020"/>
      <c r="O334" s="485"/>
      <c r="P334" s="485"/>
      <c r="Q334" s="1780"/>
      <c r="R334" s="1780"/>
      <c r="S334" s="1780"/>
      <c r="T334" s="1780"/>
      <c r="U334" s="1780"/>
      <c r="V334" s="1780"/>
      <c r="W334" s="1780"/>
      <c r="X334" s="1780"/>
      <c r="Y334" s="1780"/>
      <c r="Z334" s="1780"/>
      <c r="AA334" s="1780"/>
      <c r="AB334" s="1780"/>
      <c r="AC334" s="1780"/>
      <c r="AD334" s="1780"/>
      <c r="AE334" s="1780"/>
      <c r="AF334" s="1780"/>
      <c r="AG334" s="1780"/>
      <c r="AH334" s="1780"/>
      <c r="AI334" s="1780"/>
      <c r="AJ334" s="1780"/>
      <c r="AK334" s="1780"/>
      <c r="AL334" s="1780"/>
    </row>
    <row r="335" spans="1:38" ht="14.45" customHeight="1" thickBot="1">
      <c r="B335" s="479"/>
      <c r="C335" s="897">
        <f>C13+1</f>
        <v>2</v>
      </c>
      <c r="D335" s="2482" t="str">
        <f>EUconst_BMSubinst &amp; ":"</f>
        <v>Sub-installation with product benchmark:</v>
      </c>
      <c r="E335" s="2400"/>
      <c r="F335" s="2400"/>
      <c r="G335" s="2400"/>
      <c r="H335" s="2585"/>
      <c r="I335" s="3293" t="str">
        <f>IF(INDEX(CNTR_SubInstListIsProdBM,$C335),INDEX(CNTR_SubInstListNames,$C335),"")</f>
        <v/>
      </c>
      <c r="J335" s="3294"/>
      <c r="K335" s="3294"/>
      <c r="L335" s="3294"/>
      <c r="M335" s="3294"/>
      <c r="N335" s="3297"/>
      <c r="O335" s="485"/>
      <c r="P335" s="485"/>
      <c r="Q335" s="1488">
        <f>C335</f>
        <v>2</v>
      </c>
      <c r="S335" s="1633" t="s">
        <v>558</v>
      </c>
      <c r="T335" s="1634" t="str">
        <f>IF(I335="","",MAX(INDEX(CNTR_SubInstStartDate,MATCH($I335,CNTR_SubInstListNames,0)),DATE(2005,1,1)))</f>
        <v/>
      </c>
      <c r="U335" s="1435" t="s">
        <v>1673</v>
      </c>
      <c r="V335" s="1635">
        <f>IF(ISNUMBER(T335),YEAR($T335-1)+1,2005)</f>
        <v>2005</v>
      </c>
      <c r="W335" s="1633" t="s">
        <v>1676</v>
      </c>
      <c r="X335" s="1634" t="str">
        <f>IF(I335="","",INDEX(CNTR_SubInstCessationDate,MATCH($I335,CNTR_SubInstListNames,0)))</f>
        <v/>
      </c>
      <c r="Y335" s="1633" t="s">
        <v>1677</v>
      </c>
      <c r="Z335" s="1635">
        <f>IF(SUM(X335)=0,2050,YEAR($X335))</f>
        <v>2050</v>
      </c>
      <c r="AA335" s="1633" t="s">
        <v>1925</v>
      </c>
      <c r="AB335" s="1635" t="b">
        <f>CNTR_ReportingYear&gt;V335</f>
        <v>1</v>
      </c>
      <c r="AL335" s="1848" t="b">
        <f>AND(CNTR_ExistSubInstEntries,I335="")</f>
        <v>0</v>
      </c>
    </row>
    <row r="336" spans="1:38" ht="12.75" customHeight="1">
      <c r="B336" s="479"/>
      <c r="C336" s="479"/>
      <c r="D336" s="485"/>
      <c r="E336" s="2385" t="s">
        <v>216</v>
      </c>
      <c r="F336" s="2846"/>
      <c r="G336" s="2846"/>
      <c r="H336" s="2846"/>
      <c r="I336" s="2846"/>
      <c r="J336" s="2846"/>
      <c r="K336" s="2846"/>
      <c r="L336" s="2846"/>
      <c r="M336" s="2846"/>
      <c r="N336" s="2846"/>
      <c r="O336" s="485"/>
      <c r="P336" s="485"/>
      <c r="Q336" s="1435"/>
      <c r="S336" s="1435"/>
      <c r="T336" s="1435"/>
    </row>
    <row r="337" spans="2:38" ht="5.0999999999999996" customHeight="1">
      <c r="B337" s="479"/>
      <c r="C337" s="479"/>
      <c r="D337" s="479"/>
      <c r="E337" s="479"/>
      <c r="F337" s="479"/>
      <c r="G337" s="479"/>
      <c r="H337" s="479"/>
      <c r="I337" s="479"/>
      <c r="J337" s="479"/>
      <c r="K337" s="479"/>
      <c r="L337" s="479"/>
      <c r="M337" s="485"/>
      <c r="N337" s="485"/>
      <c r="O337" s="485"/>
      <c r="P337" s="485"/>
      <c r="Q337" s="1435"/>
      <c r="S337" s="1435"/>
      <c r="T337" s="1435"/>
    </row>
    <row r="338" spans="2:38">
      <c r="B338" s="479"/>
      <c r="C338" s="479"/>
      <c r="D338" s="482" t="s">
        <v>400</v>
      </c>
      <c r="E338" s="2373" t="s">
        <v>1930</v>
      </c>
      <c r="F338" s="2400"/>
      <c r="G338" s="2400"/>
      <c r="H338" s="2400"/>
      <c r="I338" s="2400"/>
      <c r="J338" s="2400"/>
      <c r="K338" s="2400"/>
      <c r="L338" s="2400"/>
      <c r="M338" s="2400"/>
      <c r="N338" s="2400"/>
      <c r="O338" s="485"/>
      <c r="P338" s="485"/>
      <c r="Q338" s="1435"/>
    </row>
    <row r="339" spans="2:38" ht="12.75" customHeight="1">
      <c r="B339" s="479"/>
      <c r="C339" s="479"/>
      <c r="D339" s="485"/>
      <c r="E339" s="2385" t="s">
        <v>801</v>
      </c>
      <c r="F339" s="2846"/>
      <c r="G339" s="2846"/>
      <c r="H339" s="2846"/>
      <c r="I339" s="2846"/>
      <c r="J339" s="2846"/>
      <c r="K339" s="2846"/>
      <c r="L339" s="2846"/>
      <c r="M339" s="2846"/>
      <c r="N339" s="2846"/>
      <c r="O339" s="485"/>
      <c r="P339" s="485"/>
      <c r="Q339" s="1435"/>
      <c r="S339" s="1435"/>
      <c r="T339" s="1435"/>
      <c r="U339" s="1435"/>
    </row>
    <row r="340" spans="2:38" ht="12.75" customHeight="1">
      <c r="B340" s="479"/>
      <c r="C340" s="479"/>
      <c r="D340" s="485"/>
      <c r="E340" s="2385" t="s">
        <v>1199</v>
      </c>
      <c r="F340" s="2846"/>
      <c r="G340" s="2846"/>
      <c r="H340" s="2846"/>
      <c r="I340" s="2846"/>
      <c r="J340" s="2846"/>
      <c r="K340" s="2846"/>
      <c r="L340" s="2846"/>
      <c r="M340" s="2846"/>
      <c r="N340" s="2846"/>
      <c r="O340" s="485"/>
      <c r="P340" s="485"/>
      <c r="Q340" s="1435"/>
      <c r="S340" s="1435"/>
      <c r="T340" s="1435"/>
      <c r="U340" s="1435"/>
    </row>
    <row r="341" spans="2:38" ht="12.75" customHeight="1">
      <c r="B341" s="479"/>
      <c r="C341" s="479"/>
      <c r="D341" s="485"/>
      <c r="E341" s="2385" t="s">
        <v>125</v>
      </c>
      <c r="F341" s="2846"/>
      <c r="G341" s="2846"/>
      <c r="H341" s="2846"/>
      <c r="I341" s="2846"/>
      <c r="J341" s="2846"/>
      <c r="K341" s="2846"/>
      <c r="L341" s="2846"/>
      <c r="M341" s="2846"/>
      <c r="N341" s="2846"/>
      <c r="O341" s="485"/>
      <c r="P341" s="485"/>
      <c r="Q341" s="1435"/>
      <c r="S341" s="1435"/>
      <c r="Z341" s="1435"/>
    </row>
    <row r="342" spans="2:38" ht="13.5" customHeight="1" thickBot="1">
      <c r="B342" s="1124"/>
      <c r="C342" s="485"/>
      <c r="D342" s="482"/>
      <c r="E342" s="2509" t="s">
        <v>1447</v>
      </c>
      <c r="F342" s="2751"/>
      <c r="G342" s="663" t="s">
        <v>884</v>
      </c>
      <c r="H342" s="578">
        <f t="shared" ref="H342:N342" si="154">H$3242</f>
        <v>2024</v>
      </c>
      <c r="I342" s="697">
        <f t="shared" si="154"/>
        <v>2025</v>
      </c>
      <c r="J342" s="1677">
        <f t="shared" si="154"/>
        <v>2026</v>
      </c>
      <c r="K342" s="1677">
        <f t="shared" si="154"/>
        <v>2027</v>
      </c>
      <c r="L342" s="1677">
        <f t="shared" si="154"/>
        <v>2028</v>
      </c>
      <c r="M342" s="1677">
        <f t="shared" si="154"/>
        <v>2029</v>
      </c>
      <c r="N342" s="1677">
        <f t="shared" si="154"/>
        <v>2030</v>
      </c>
      <c r="O342" s="485"/>
      <c r="P342" s="485"/>
      <c r="Q342" s="1435"/>
      <c r="T342" s="1638">
        <f t="shared" ref="T342:Z342" si="155">H342</f>
        <v>2024</v>
      </c>
      <c r="U342" s="1638">
        <f t="shared" si="155"/>
        <v>2025</v>
      </c>
      <c r="V342" s="1638">
        <f t="shared" si="155"/>
        <v>2026</v>
      </c>
      <c r="W342" s="1638">
        <f t="shared" si="155"/>
        <v>2027</v>
      </c>
      <c r="X342" s="1638">
        <f t="shared" si="155"/>
        <v>2028</v>
      </c>
      <c r="Y342" s="1638">
        <f t="shared" si="155"/>
        <v>2029</v>
      </c>
      <c r="Z342" s="1638">
        <f t="shared" si="155"/>
        <v>2030</v>
      </c>
      <c r="AC342" s="1638">
        <f t="shared" ref="AC342:AI342" si="156">H$20</f>
        <v>2024</v>
      </c>
      <c r="AD342" s="1638">
        <f t="shared" si="156"/>
        <v>2025</v>
      </c>
      <c r="AE342" s="1638">
        <f t="shared" si="156"/>
        <v>2026</v>
      </c>
      <c r="AF342" s="1638">
        <f t="shared" si="156"/>
        <v>2027</v>
      </c>
      <c r="AG342" s="1638">
        <f t="shared" si="156"/>
        <v>2028</v>
      </c>
      <c r="AH342" s="1638">
        <f t="shared" si="156"/>
        <v>2029</v>
      </c>
      <c r="AI342" s="1638">
        <f t="shared" si="156"/>
        <v>2030</v>
      </c>
      <c r="AL342" s="1435"/>
    </row>
    <row r="343" spans="2:38" ht="13.5" thickBot="1">
      <c r="B343" s="1124"/>
      <c r="C343" s="485"/>
      <c r="D343" s="561" t="s">
        <v>6</v>
      </c>
      <c r="E343" s="3296" t="str">
        <f>I335</f>
        <v/>
      </c>
      <c r="F343" s="3309"/>
      <c r="G343" s="1781" t="str">
        <f>IF(INDEX(CNTR_SubInstListIsProdBM,$C335),INDEX(CNTR_SubInstListHALUnit,$C335),EUconst_Tons)</f>
        <v>tonnes</v>
      </c>
      <c r="H343" s="1782" t="str">
        <f>c_ALR2025!M3029</f>
        <v/>
      </c>
      <c r="I343" s="1878"/>
      <c r="J343" s="1783"/>
      <c r="K343" s="1783"/>
      <c r="L343" s="1783"/>
      <c r="M343" s="1783"/>
      <c r="N343" s="1783"/>
      <c r="O343" s="485"/>
      <c r="P343" s="9"/>
      <c r="S343" s="1435" t="s">
        <v>1674</v>
      </c>
      <c r="T343" s="1850" t="b">
        <f t="shared" ref="T343:Z343" si="157">AND($I335&lt;&gt;"",H342&lt;CNTR_ReportingYear,H342&gt;=$V335-1)</f>
        <v>0</v>
      </c>
      <c r="U343" s="1851" t="b">
        <f t="shared" si="157"/>
        <v>0</v>
      </c>
      <c r="V343" s="1851" t="b">
        <f t="shared" si="157"/>
        <v>0</v>
      </c>
      <c r="W343" s="1851" t="b">
        <f t="shared" si="157"/>
        <v>0</v>
      </c>
      <c r="X343" s="1851" t="b">
        <f t="shared" si="157"/>
        <v>0</v>
      </c>
      <c r="Y343" s="1851" t="b">
        <f t="shared" si="157"/>
        <v>0</v>
      </c>
      <c r="Z343" s="1852" t="b">
        <f t="shared" si="157"/>
        <v>0</v>
      </c>
      <c r="AA343" s="1435"/>
      <c r="AB343" s="1641" t="s">
        <v>717</v>
      </c>
      <c r="AC343" s="1853" t="b">
        <f t="shared" ref="AC343:AI343" si="158">IF(CNTR_ExistSubInstEntries,OR($I335="",$R347,H342&gt;=CNTR_ReportingYear,AC342&lt;$V335-1),FALSE)</f>
        <v>0</v>
      </c>
      <c r="AD343" s="1642" t="b">
        <f t="shared" si="158"/>
        <v>0</v>
      </c>
      <c r="AE343" s="1642" t="b">
        <f t="shared" si="158"/>
        <v>0</v>
      </c>
      <c r="AF343" s="1642" t="b">
        <f t="shared" si="158"/>
        <v>0</v>
      </c>
      <c r="AG343" s="1642" t="b">
        <f t="shared" si="158"/>
        <v>0</v>
      </c>
      <c r="AH343" s="1642" t="b">
        <f t="shared" si="158"/>
        <v>0</v>
      </c>
      <c r="AI343" s="1643" t="b">
        <f t="shared" si="158"/>
        <v>0</v>
      </c>
      <c r="AJ343" s="1633" t="s">
        <v>1954</v>
      </c>
      <c r="AK343" s="1635" t="str">
        <f>IF(AND(CNTR_ExistSubInstEntries,COUNTIFS(AC343:AI343,FALSE,H343:N343,"")&gt;0),EUconst_Error&amp;"BM"&amp;$Q335,"")</f>
        <v/>
      </c>
    </row>
    <row r="344" spans="2:38" ht="13.15" customHeight="1" thickBot="1">
      <c r="B344" s="1124"/>
      <c r="C344" s="485"/>
      <c r="D344" s="561" t="s">
        <v>7</v>
      </c>
      <c r="E344" s="3296" t="s">
        <v>123</v>
      </c>
      <c r="F344" s="3309"/>
      <c r="G344" s="692" t="str">
        <f>G343</f>
        <v>tonnes</v>
      </c>
      <c r="H344" s="1784" t="str">
        <f>IF(OR($I335="",H342&gt;=CNTR_ReportingYear),"",IF($R347,SUMIF(H_SpecialBM!$Q$9:$Q$414,$Q344,H_SpecialBM!H$9:H$414),""))</f>
        <v/>
      </c>
      <c r="I344" s="1785" t="str">
        <f>IF(OR($I335="",I342&gt;=CNTR_ReportingYear),"",IF($R347,SUMIF(H_SpecialBM!$Q$9:$Q$414,$Q344,H_SpecialBM!I$9:I$414),""))</f>
        <v/>
      </c>
      <c r="J344" s="1783" t="str">
        <f>IF(OR($I335="",J342&gt;=CNTR_ReportingYear),"",IF($R347,SUMIF(H_SpecialBM!$Q$9:$Q$414,$Q344,H_SpecialBM!J$9:J$414),""))</f>
        <v/>
      </c>
      <c r="K344" s="1783" t="str">
        <f>IF(OR($I335="",K342&gt;=CNTR_ReportingYear),"",IF($R347,SUMIF(H_SpecialBM!$Q$9:$Q$414,$Q344,H_SpecialBM!K$9:K$414),""))</f>
        <v/>
      </c>
      <c r="L344" s="1783" t="str">
        <f>IF(OR($I335="",L342&gt;=CNTR_ReportingYear),"",IF($R347,SUMIF(H_SpecialBM!$Q$9:$Q$414,$Q344,H_SpecialBM!L$9:L$414),""))</f>
        <v/>
      </c>
      <c r="M344" s="1783" t="str">
        <f>IF(OR($I335="",M342&gt;=CNTR_ReportingYear),"",IF($R347,SUMIF(H_SpecialBM!$Q$9:$Q$414,$Q344,H_SpecialBM!M$9:M$414),""))</f>
        <v/>
      </c>
      <c r="N344" s="1783" t="str">
        <f>IF(OR($I335="",N342&gt;=CNTR_ReportingYear),"",IF($R347,SUMIF(H_SpecialBM!$Q$9:$Q$414,$Q344,H_SpecialBM!N$9:N$414),""))</f>
        <v/>
      </c>
      <c r="O344" s="485"/>
      <c r="P344" s="485"/>
      <c r="Q344" s="1644" t="str">
        <f>EUconst_CNTR_HALspecial&amp;I335</f>
        <v>HALspecial_</v>
      </c>
      <c r="AB344" s="1641" t="s">
        <v>717</v>
      </c>
      <c r="AC344" s="1853" t="b">
        <f t="shared" ref="AC344:AI344" si="159">AND(CNTR_HasEntries_A_I,OR($R347=FALSE,H342&gt;=CNTR_ReportingYear))</f>
        <v>0</v>
      </c>
      <c r="AD344" s="1642" t="b">
        <f t="shared" si="159"/>
        <v>0</v>
      </c>
      <c r="AE344" s="1642" t="b">
        <f t="shared" si="159"/>
        <v>0</v>
      </c>
      <c r="AF344" s="1642" t="b">
        <f t="shared" si="159"/>
        <v>0</v>
      </c>
      <c r="AG344" s="1642" t="b">
        <f t="shared" si="159"/>
        <v>0</v>
      </c>
      <c r="AH344" s="1642" t="b">
        <f t="shared" si="159"/>
        <v>0</v>
      </c>
      <c r="AI344" s="1643" t="b">
        <f t="shared" si="159"/>
        <v>0</v>
      </c>
      <c r="AJ344" s="1624"/>
      <c r="AK344" s="1624"/>
      <c r="AL344" s="1435"/>
    </row>
    <row r="345" spans="2:38" ht="13.15" customHeight="1">
      <c r="B345" s="1124"/>
      <c r="C345" s="485"/>
      <c r="D345" s="561" t="s">
        <v>8</v>
      </c>
      <c r="E345" s="3296" t="s">
        <v>124</v>
      </c>
      <c r="F345" s="3309"/>
      <c r="G345" s="692" t="str">
        <f>G344</f>
        <v>tonnes</v>
      </c>
      <c r="H345" s="1645" t="str">
        <f t="shared" ref="H345:N345" si="160">IF(OR($I335="",H342&gt;=CNTR_ReportingYear),"",IF($R347=TRUE,IF(ISNUMBER(H344),H344,0),IF(AND(H342&gt;=$V335-1,ISNUMBER(H343)),H343,0)))</f>
        <v/>
      </c>
      <c r="I345" s="900" t="str">
        <f t="shared" si="160"/>
        <v/>
      </c>
      <c r="J345" s="1783" t="str">
        <f t="shared" si="160"/>
        <v/>
      </c>
      <c r="K345" s="1783" t="str">
        <f t="shared" si="160"/>
        <v/>
      </c>
      <c r="L345" s="1783" t="str">
        <f t="shared" si="160"/>
        <v/>
      </c>
      <c r="M345" s="1783" t="str">
        <f t="shared" si="160"/>
        <v/>
      </c>
      <c r="N345" s="1783" t="str">
        <f t="shared" si="160"/>
        <v/>
      </c>
      <c r="O345" s="485"/>
      <c r="P345" s="1136"/>
      <c r="Q345" s="1644" t="str">
        <f>EUconst_CNTR_HAL&amp;I335</f>
        <v>HAL_</v>
      </c>
      <c r="AJ345" s="1633" t="s">
        <v>1951</v>
      </c>
      <c r="AK345" s="1443" t="str">
        <f>IF(COUNTIFS(H342:N342,"&lt;"&amp;YEAR(SUM(T335)),H345:N345,"&gt;"&amp;0)&gt;0,EUconst_Error&amp;"BM"&amp;Q335,"")</f>
        <v/>
      </c>
      <c r="AL345" s="1435"/>
    </row>
    <row r="346" spans="2:38" ht="5.0999999999999996" customHeight="1">
      <c r="B346" s="479"/>
      <c r="C346" s="479"/>
      <c r="D346" s="479"/>
      <c r="E346" s="479"/>
      <c r="F346" s="479"/>
      <c r="G346" s="479"/>
      <c r="H346" s="479"/>
      <c r="I346" s="479"/>
      <c r="J346" s="479"/>
      <c r="K346" s="479"/>
      <c r="L346" s="479"/>
      <c r="M346" s="485"/>
      <c r="N346" s="485"/>
      <c r="O346" s="485"/>
      <c r="P346" s="485"/>
      <c r="Q346" s="1435"/>
      <c r="S346" s="1435"/>
      <c r="T346" s="1435"/>
    </row>
    <row r="347" spans="2:38" ht="12.75" customHeight="1">
      <c r="B347" s="479"/>
      <c r="C347" s="479"/>
      <c r="D347" s="561" t="s">
        <v>18</v>
      </c>
      <c r="E347" s="2373" t="s">
        <v>922</v>
      </c>
      <c r="F347" s="2373"/>
      <c r="G347" s="2604"/>
      <c r="H347" s="2652" t="str">
        <f>IF(I335="","",HYPERLINK(INDEX(EUconst_BMlistSpecialJumpTable,MATCH(I335,EUconst_BMlistNames,0)),INDEX(EUconst_BMlistSpecialReporting,MATCH(I335,EUconst_BMlistNames,0))))</f>
        <v/>
      </c>
      <c r="I347" s="2689"/>
      <c r="J347" s="2689"/>
      <c r="K347" s="2689"/>
      <c r="L347" s="2689"/>
      <c r="M347" s="2689"/>
      <c r="N347" s="2690"/>
      <c r="O347" s="485"/>
      <c r="P347" s="485"/>
      <c r="Q347" s="1633" t="s">
        <v>122</v>
      </c>
      <c r="R347" s="1443" t="str">
        <f>IF(I335="","",IF(AND(INDEX(EUconst_BMlistSpecialJumpTable,MATCH(I335,EUconst_BMlistNames,0))&lt;&gt;"",MATCH(I335,EUconst_BMlistNames,0)&lt;&gt;47),TRUE,FALSE))</f>
        <v/>
      </c>
      <c r="S347" s="1435"/>
      <c r="T347" s="1435"/>
    </row>
    <row r="348" spans="2:38" ht="12.75" customHeight="1">
      <c r="B348" s="479"/>
      <c r="C348" s="479"/>
      <c r="D348" s="485"/>
      <c r="E348" s="2385" t="s">
        <v>923</v>
      </c>
      <c r="F348" s="2846"/>
      <c r="G348" s="2846"/>
      <c r="H348" s="2846"/>
      <c r="I348" s="2846"/>
      <c r="J348" s="2846"/>
      <c r="K348" s="2846"/>
      <c r="L348" s="2846"/>
      <c r="M348" s="2846"/>
      <c r="N348" s="2846"/>
      <c r="O348" s="485"/>
      <c r="P348" s="485"/>
      <c r="Q348" s="1435"/>
      <c r="S348" s="1435"/>
      <c r="T348" s="1435"/>
    </row>
    <row r="349" spans="2:38" ht="5.0999999999999996" customHeight="1">
      <c r="B349" s="479"/>
      <c r="C349" s="479"/>
      <c r="D349" s="485"/>
      <c r="E349" s="485"/>
      <c r="F349" s="485"/>
      <c r="G349" s="485"/>
      <c r="H349" s="485"/>
      <c r="I349" s="485"/>
      <c r="J349" s="485"/>
      <c r="K349" s="485"/>
      <c r="L349" s="485"/>
      <c r="M349" s="485"/>
      <c r="N349" s="485"/>
      <c r="O349" s="485"/>
      <c r="P349" s="485"/>
      <c r="Q349" s="1435"/>
      <c r="S349" s="1435"/>
      <c r="T349" s="1435"/>
      <c r="Z349" s="1435"/>
      <c r="AL349" s="1435"/>
    </row>
    <row r="350" spans="2:38" ht="12.75" customHeight="1">
      <c r="B350" s="479"/>
      <c r="C350" s="479"/>
      <c r="D350" s="482" t="s">
        <v>876</v>
      </c>
      <c r="E350" s="2373" t="s">
        <v>1709</v>
      </c>
      <c r="F350" s="2400"/>
      <c r="G350" s="2400"/>
      <c r="H350" s="2400"/>
      <c r="I350" s="2400"/>
      <c r="J350" s="2400"/>
      <c r="K350" s="2400"/>
      <c r="L350" s="2400"/>
      <c r="M350" s="2400"/>
      <c r="N350" s="2400"/>
      <c r="O350" s="485"/>
      <c r="P350" s="485"/>
      <c r="Q350" s="1435"/>
      <c r="S350" s="1435"/>
      <c r="T350" s="1435"/>
      <c r="Z350" s="1435"/>
      <c r="AL350" s="1435"/>
    </row>
    <row r="351" spans="2:38" ht="12.75" customHeight="1">
      <c r="B351" s="479"/>
      <c r="C351" s="479"/>
      <c r="D351" s="485"/>
      <c r="E351" s="2385" t="s">
        <v>1958</v>
      </c>
      <c r="F351" s="2846"/>
      <c r="G351" s="2846"/>
      <c r="H351" s="2846"/>
      <c r="I351" s="2846"/>
      <c r="J351" s="2846"/>
      <c r="K351" s="2846"/>
      <c r="L351" s="2846"/>
      <c r="M351" s="2846"/>
      <c r="N351" s="2846"/>
      <c r="O351" s="485"/>
      <c r="P351" s="485"/>
      <c r="Q351" s="1435"/>
      <c r="S351" s="1435"/>
      <c r="T351" s="1435"/>
      <c r="U351" s="1435"/>
    </row>
    <row r="352" spans="2:38" ht="25.5" customHeight="1">
      <c r="B352" s="479"/>
      <c r="C352" s="479"/>
      <c r="D352" s="485"/>
      <c r="E352" s="2385" t="s">
        <v>1696</v>
      </c>
      <c r="F352" s="2846"/>
      <c r="G352" s="2846"/>
      <c r="H352" s="2846"/>
      <c r="I352" s="2846"/>
      <c r="J352" s="2846"/>
      <c r="K352" s="2846"/>
      <c r="L352" s="2846"/>
      <c r="M352" s="2846"/>
      <c r="N352" s="2846"/>
      <c r="O352" s="485"/>
      <c r="P352" s="485"/>
      <c r="Q352" s="1435"/>
      <c r="S352" s="1435"/>
      <c r="T352" s="1435"/>
      <c r="U352" s="1435"/>
    </row>
    <row r="353" spans="1:38" ht="12.75" customHeight="1">
      <c r="B353" s="479"/>
      <c r="C353" s="479"/>
      <c r="D353" s="485"/>
      <c r="E353" s="901" t="s">
        <v>1021</v>
      </c>
      <c r="F353" s="3050" t="s">
        <v>2702</v>
      </c>
      <c r="G353" s="2584"/>
      <c r="H353" s="2584"/>
      <c r="I353" s="2584"/>
      <c r="J353" s="2584"/>
      <c r="K353" s="2584"/>
      <c r="L353" s="2584"/>
      <c r="M353" s="2584"/>
      <c r="N353" s="2584"/>
      <c r="O353" s="485"/>
      <c r="P353" s="485"/>
      <c r="Q353" s="1435"/>
      <c r="S353" s="1435"/>
      <c r="T353" s="1435"/>
      <c r="U353" s="1435"/>
    </row>
    <row r="354" spans="1:38" ht="12.75" customHeight="1" thickBot="1">
      <c r="B354" s="479"/>
      <c r="C354" s="479"/>
      <c r="D354" s="485"/>
      <c r="E354" s="901" t="s">
        <v>1021</v>
      </c>
      <c r="F354" s="3050" t="s">
        <v>1985</v>
      </c>
      <c r="G354" s="2584"/>
      <c r="H354" s="2584"/>
      <c r="I354" s="2584"/>
      <c r="J354" s="2584"/>
      <c r="K354" s="2584"/>
      <c r="L354" s="2584"/>
      <c r="M354" s="2584"/>
      <c r="N354" s="2584"/>
      <c r="O354" s="485"/>
      <c r="P354" s="485"/>
      <c r="Q354" s="1435"/>
      <c r="S354" s="1435"/>
      <c r="T354" s="1435"/>
      <c r="U354" s="1435"/>
    </row>
    <row r="355" spans="1:38" ht="5.0999999999999996" customHeight="1" thickBot="1">
      <c r="B355" s="479"/>
      <c r="C355" s="479"/>
      <c r="D355" s="902"/>
      <c r="E355" s="903"/>
      <c r="F355" s="904"/>
      <c r="G355" s="905"/>
      <c r="H355" s="905"/>
      <c r="I355" s="905"/>
      <c r="J355" s="906"/>
      <c r="K355" s="1646"/>
      <c r="L355" s="1646"/>
      <c r="M355" s="1646"/>
      <c r="N355" s="1646"/>
      <c r="O355" s="485"/>
      <c r="P355" s="485"/>
      <c r="Q355" s="1435"/>
      <c r="S355" s="1435"/>
      <c r="T355" s="1435"/>
      <c r="U355" s="1435"/>
    </row>
    <row r="356" spans="1:38" ht="12.75" customHeight="1">
      <c r="B356" s="479"/>
      <c r="C356" s="479"/>
      <c r="D356" s="907"/>
      <c r="E356" s="908" t="s">
        <v>1690</v>
      </c>
      <c r="F356" s="909"/>
      <c r="G356" s="909"/>
      <c r="H356" s="910" t="str">
        <f>EUconst_Unit</f>
        <v>Unit</v>
      </c>
      <c r="I356" s="911" t="s">
        <v>2220</v>
      </c>
      <c r="J356" s="1647">
        <f>J$3242</f>
        <v>2026</v>
      </c>
      <c r="K356" s="1476">
        <f>K$3242</f>
        <v>2027</v>
      </c>
      <c r="L356" s="1476">
        <f>L$3242</f>
        <v>2028</v>
      </c>
      <c r="M356" s="1476">
        <f>M$3242</f>
        <v>2029</v>
      </c>
      <c r="N356" s="1476">
        <f>N$3242</f>
        <v>2030</v>
      </c>
      <c r="O356" s="485"/>
      <c r="P356" s="485"/>
      <c r="Q356" s="1435"/>
      <c r="U356" s="1648"/>
      <c r="V356" s="1649">
        <f>J356</f>
        <v>2026</v>
      </c>
      <c r="W356" s="1649">
        <f>K356</f>
        <v>2027</v>
      </c>
      <c r="X356" s="1649">
        <f>L356</f>
        <v>2028</v>
      </c>
      <c r="Y356" s="1649">
        <f>M356</f>
        <v>2029</v>
      </c>
      <c r="Z356" s="1650">
        <f>N356</f>
        <v>2030</v>
      </c>
    </row>
    <row r="357" spans="1:38" ht="12.75" customHeight="1">
      <c r="B357" s="479"/>
      <c r="C357" s="479"/>
      <c r="D357" s="915" t="s">
        <v>6</v>
      </c>
      <c r="E357" s="916" t="s">
        <v>1976</v>
      </c>
      <c r="F357" s="916"/>
      <c r="G357" s="916"/>
      <c r="H357" s="639" t="str">
        <f>IF(INDEX(CNTR_SubInstListIsProdBM,$C335),INDEX(CNTR_SubInstListHALUnit,$C335),EUconst_Tons)</f>
        <v>tonnes</v>
      </c>
      <c r="I357" s="917" t="str">
        <f>IF(V335&gt;($J$3242-3),EUconst_NA,INDEX('B+C_SubInstallations'!$I:$I,MATCH(Q357,'B+C_SubInstallations'!$T:$T,0)))</f>
        <v/>
      </c>
      <c r="J357" s="1651" t="str">
        <f>IF(AND(V357&gt;=3,CNTR_ReportingYear&gt;J356-1),AVERAGE(H345:I345),"")</f>
        <v/>
      </c>
      <c r="K357" s="1652" t="str">
        <f>IF(AND(W357&gt;=3,CNTR_ReportingYear&gt;K356-1),AVERAGE(I345:J345),"")</f>
        <v/>
      </c>
      <c r="L357" s="1652" t="str">
        <f>IF(AND(X357&gt;=3,CNTR_ReportingYear&gt;L356-1),AVERAGE(J345:K345),"")</f>
        <v/>
      </c>
      <c r="M357" s="1652" t="str">
        <f>IF(AND(Y357&gt;=3,CNTR_ReportingYear&gt;M356-1),AVERAGE(K345:L345),"")</f>
        <v/>
      </c>
      <c r="N357" s="1652" t="str">
        <f>IF(AND(Z357&gt;=3,CNTR_ReportingYear&gt;N356-1),AVERAGE(L345:M345),"")</f>
        <v/>
      </c>
      <c r="O357" s="485"/>
      <c r="P357" s="485"/>
      <c r="Q357" s="1641" t="str">
        <f>EUconst_CNTR_HALinitial&amp;I335</f>
        <v>HALini_</v>
      </c>
      <c r="U357" s="1653" t="s">
        <v>1650</v>
      </c>
      <c r="V357" s="1635">
        <f>IF($I335="",0,V356-$V335+1)</f>
        <v>0</v>
      </c>
      <c r="W357" s="1635">
        <f>IF($I335="",0,W356-$V335+1)</f>
        <v>0</v>
      </c>
      <c r="X357" s="1635">
        <f>IF($I335="",0,X356-$V335+1)</f>
        <v>0</v>
      </c>
      <c r="Y357" s="1635">
        <f>IF($I335="",0,Y356-$V335+1)</f>
        <v>0</v>
      </c>
      <c r="Z357" s="1654">
        <f>IF($I335="",0,Z356-$V335+1)</f>
        <v>0</v>
      </c>
    </row>
    <row r="358" spans="1:38" ht="12.75" hidden="1" customHeight="1">
      <c r="A358" s="618" t="s">
        <v>2289</v>
      </c>
      <c r="B358" s="479"/>
      <c r="C358" s="479"/>
      <c r="D358" s="918"/>
      <c r="E358" s="919" t="s">
        <v>1648</v>
      </c>
      <c r="F358" s="919"/>
      <c r="G358" s="919"/>
      <c r="H358" s="920"/>
      <c r="I358" s="1655"/>
      <c r="J358" s="16" t="str">
        <f>IF(J357="","",IF($I360=0,IF(J357=0,0%,100%),J357/$I360-1))</f>
        <v/>
      </c>
      <c r="K358" s="15" t="str">
        <f>IF(K357="","",IF($I360=0,IF(K357=0,0%,100%),K357/$I360-1))</f>
        <v/>
      </c>
      <c r="L358" s="15" t="str">
        <f>IF(L357="","",IF($I360=0,IF(L357=0,0%,100%),L357/$I360-1))</f>
        <v/>
      </c>
      <c r="M358" s="15" t="str">
        <f>IF(M357="","",IF($I360=0,IF(M357=0,0%,100%),M357/$I360-1))</f>
        <v/>
      </c>
      <c r="N358" s="15" t="str">
        <f>IF(N357="","",IF($I360=0,IF(N357=0,0%,100%),N357/$I360-1))</f>
        <v/>
      </c>
      <c r="O358" s="485"/>
      <c r="P358" s="485"/>
      <c r="Q358" s="1644" t="str">
        <f>EUconst_CNTR_RelThreshold &amp; Q360</f>
        <v>RelThresh_HALprelim_</v>
      </c>
      <c r="U358" s="1653" t="s">
        <v>1655</v>
      </c>
      <c r="V358" s="1158" t="str">
        <f>IF(J357="","",ABS(J358)&gt;15%)</f>
        <v/>
      </c>
      <c r="W358" s="1158" t="str">
        <f>IF(K357="","",ABS(K358)&gt;15%)</f>
        <v/>
      </c>
      <c r="X358" s="1158" t="str">
        <f>IF(L357="","",ABS(L358)&gt;15%)</f>
        <v/>
      </c>
      <c r="Y358" s="1158" t="str">
        <f>IF(M357="","",ABS(M358)&gt;15%)</f>
        <v/>
      </c>
      <c r="Z358" s="1656" t="str">
        <f>IF(N357="","",ABS(N358)&gt;15%)</f>
        <v/>
      </c>
      <c r="AL358" s="1435"/>
    </row>
    <row r="359" spans="1:38" ht="12.75" customHeight="1">
      <c r="A359" s="618"/>
      <c r="B359" s="479"/>
      <c r="C359" s="479"/>
      <c r="D359" s="915" t="s">
        <v>7</v>
      </c>
      <c r="E359" s="916" t="s">
        <v>1654</v>
      </c>
      <c r="F359" s="916"/>
      <c r="G359" s="916"/>
      <c r="H359" s="921"/>
      <c r="I359" s="1657"/>
      <c r="J359" s="1658" t="str">
        <f>IF(J357="","",IF(V358=FALSE,0%,IF(V359,J358,I365)))</f>
        <v/>
      </c>
      <c r="K359" s="1659" t="str">
        <f>IF(K357="","",IF(W358=FALSE,0%,IF(W359,K358,J365)))</f>
        <v/>
      </c>
      <c r="L359" s="1659" t="str">
        <f>IF(L357="","",IF(X358=FALSE,0%,IF(X359,L358,K365)))</f>
        <v/>
      </c>
      <c r="M359" s="1659" t="str">
        <f>IF(M357="","",IF(Y358=FALSE,0%,IF(Y359,M358,L365)))</f>
        <v/>
      </c>
      <c r="N359" s="1659" t="str">
        <f>IF(N357="","",IF(Z358=FALSE,0%,IF(Z359,N358,M365)))</f>
        <v/>
      </c>
      <c r="O359" s="485"/>
      <c r="P359" s="485"/>
      <c r="U359" s="1653" t="s">
        <v>1656</v>
      </c>
      <c r="V359" s="1158" t="str">
        <f>IF(J357="","",AND(V358,IF(SUM(I365)&lt;0,OR(SUM(J358)&lt;SUM(I365)-MOD(SUM(I365),5%),J358&gt;=SUM(I365)+5%-MOD(SUM(I365),5%)),OR(SUM(J358)&lt;=SUM(I365)-MOD(SUM(I365),5%),SUM(J358)&gt;SUM(I365)+5%-MOD(SUM(I365),5%)))))</f>
        <v/>
      </c>
      <c r="W359" s="1158" t="str">
        <f>IF(K357="","",AND(W358,IF(SUM(J365)&lt;0,OR(SUM(K358)&lt;SUM(J365)-MOD(SUM(J365),5%),K358&gt;=SUM(J365)+5%-MOD(SUM(J365),5%)),OR(SUM(K358)&lt;=SUM(J365)-MOD(SUM(J365),5%),SUM(K358)&gt;SUM(J365)+5%-MOD(SUM(J365),5%)))))</f>
        <v/>
      </c>
      <c r="X359" s="1158" t="str">
        <f>IF(L357="","",AND(X358,IF(SUM(K365)&lt;0,OR(SUM(L358)&lt;SUM(K365)-MOD(SUM(K365),5%),L358&gt;=SUM(K365)+5%-MOD(SUM(K365),5%)),OR(SUM(L358)&lt;=SUM(K365)-MOD(SUM(K365),5%),SUM(L358)&gt;SUM(K365)+5%-MOD(SUM(K365),5%)))))</f>
        <v/>
      </c>
      <c r="Y359" s="1158" t="str">
        <f>IF(M357="","",AND(Y358,IF(SUM(L365)&lt;0,OR(SUM(M358)&lt;SUM(L365)-MOD(SUM(L365),5%),M358&gt;=SUM(L365)+5%-MOD(SUM(L365),5%)),OR(SUM(M358)&lt;=SUM(L365)-MOD(SUM(L365),5%),SUM(M358)&gt;SUM(L365)+5%-MOD(SUM(L365),5%)))))</f>
        <v/>
      </c>
      <c r="Z359" s="1656" t="str">
        <f>IF(N357="","",AND(Z358,IF(SUM(M365)&lt;0,OR(SUM(N358)&lt;SUM(M365)-MOD(SUM(M365),5%),N358&gt;=SUM(M365)+5%-MOD(SUM(M365),5%)),OR(SUM(N358)&lt;=SUM(M365)-MOD(SUM(M365),5%),SUM(N358)&gt;SUM(M365)+5%-MOD(SUM(M365),5%)))))</f>
        <v/>
      </c>
      <c r="AL359" s="1435"/>
    </row>
    <row r="360" spans="1:38" ht="12.75" hidden="1" customHeight="1">
      <c r="A360" s="618" t="s">
        <v>2289</v>
      </c>
      <c r="B360" s="479"/>
      <c r="C360" s="479"/>
      <c r="D360" s="918"/>
      <c r="E360" s="916" t="s">
        <v>1689</v>
      </c>
      <c r="F360" s="916"/>
      <c r="G360" s="916"/>
      <c r="H360" s="639" t="str">
        <f>H357</f>
        <v>tonnes</v>
      </c>
      <c r="I360" s="917" t="str">
        <f>IF(I335="","",IF(AB335=FALSE,EUconst_NA,IF(V335&gt;($J$3242-3),INDEX(H345:N345,MATCH(V335,H342:N342,0)),SUM(I357))))</f>
        <v/>
      </c>
      <c r="J360" s="1651" t="str">
        <f>IF($I335="","",IF(V357&lt;2,SUM(J345),IF(V357&lt;3,SUM(I345),IF(V360="",I360,V360))))</f>
        <v/>
      </c>
      <c r="K360" s="1652" t="str">
        <f>IF($I335="","",IF(W357&lt;2,SUM(K345),IF(W357&lt;3,SUM(J345),IF(W360="",J360,W360))))</f>
        <v/>
      </c>
      <c r="L360" s="1652" t="str">
        <f>IF($I335="","",IF(X357&lt;2,SUM(L345),IF(X357&lt;3,SUM(K345),IF(X360="",K360,X360))))</f>
        <v/>
      </c>
      <c r="M360" s="1652" t="str">
        <f>IF($I335="","",IF(Y357&lt;2,SUM(M345),IF(Y357&lt;3,SUM(L345),IF(Y360="",L360,Y360))))</f>
        <v/>
      </c>
      <c r="N360" s="1652" t="str">
        <f>IF($I335="","",IF(Z357&lt;2,SUM(N345),IF(Z357&lt;3,SUM(M345),IF(Z360="",M360,Z360))))</f>
        <v/>
      </c>
      <c r="O360" s="485"/>
      <c r="P360" s="485"/>
      <c r="Q360" s="1641" t="str">
        <f>EUconst_CNTR_HALprelim&amp;I335</f>
        <v>HALprelim_</v>
      </c>
      <c r="U360" s="1653" t="s">
        <v>1697</v>
      </c>
      <c r="V360" s="1660" t="str">
        <f>IF(J357="","",IF(CNTR_ReportingYear&lt;J356,I359,IF($I360=0,J357,$I360*(1+J359))))</f>
        <v/>
      </c>
      <c r="W360" s="1660" t="str">
        <f>IF(K357="","",IF(CNTR_ReportingYear&lt;K356,J359,IF($I360=0,K357,$I360*(1+K359))))</f>
        <v/>
      </c>
      <c r="X360" s="1660" t="str">
        <f>IF(L357="","",IF(CNTR_ReportingYear&lt;L356,K359,IF($I360=0,L357,$I360*(1+L359))))</f>
        <v/>
      </c>
      <c r="Y360" s="1660" t="str">
        <f>IF(M357="","",IF(CNTR_ReportingYear&lt;M356,L359,IF($I360=0,M357,$I360*(1+M359))))</f>
        <v/>
      </c>
      <c r="Z360" s="1661" t="str">
        <f>IF(N357="","",IF(CNTR_ReportingYear&lt;N356,M359,IF($I360=0,N357,$I360*(1+N359))))</f>
        <v/>
      </c>
      <c r="AL360" s="1435"/>
    </row>
    <row r="361" spans="1:38" ht="5.0999999999999996" customHeight="1">
      <c r="A361" s="618"/>
      <c r="B361" s="479"/>
      <c r="C361" s="479"/>
      <c r="D361" s="918"/>
      <c r="E361" s="909"/>
      <c r="F361" s="909"/>
      <c r="G361" s="909"/>
      <c r="H361" s="909"/>
      <c r="I361" s="909"/>
      <c r="J361" s="922"/>
      <c r="K361" s="1662"/>
      <c r="L361" s="1662"/>
      <c r="M361" s="1662"/>
      <c r="N361" s="1662"/>
      <c r="O361" s="485"/>
      <c r="P361" s="485"/>
      <c r="Q361" s="1435"/>
      <c r="U361" s="1663"/>
      <c r="V361" s="1435"/>
      <c r="Z361" s="1664"/>
      <c r="AL361" s="1435"/>
    </row>
    <row r="362" spans="1:38" ht="12.75" customHeight="1">
      <c r="A362" s="618"/>
      <c r="B362" s="479"/>
      <c r="C362" s="479"/>
      <c r="D362" s="918"/>
      <c r="E362" s="923" t="s">
        <v>1653</v>
      </c>
      <c r="F362" s="923"/>
      <c r="G362" s="923"/>
      <c r="H362" s="923"/>
      <c r="I362" s="923"/>
      <c r="J362" s="1647">
        <f>J$3242</f>
        <v>2026</v>
      </c>
      <c r="K362" s="1476">
        <f>K$3242</f>
        <v>2027</v>
      </c>
      <c r="L362" s="1476">
        <f>L$3242</f>
        <v>2028</v>
      </c>
      <c r="M362" s="1476">
        <f>M$3242</f>
        <v>2029</v>
      </c>
      <c r="N362" s="1476">
        <f>N$3242</f>
        <v>2030</v>
      </c>
      <c r="O362" s="485"/>
      <c r="P362" s="485"/>
      <c r="Q362" s="1435"/>
      <c r="U362" s="1665"/>
      <c r="Z362" s="1664"/>
      <c r="AL362" s="1435"/>
    </row>
    <row r="363" spans="1:38" ht="12.75" customHeight="1">
      <c r="A363" s="618"/>
      <c r="B363" s="479"/>
      <c r="C363" s="479"/>
      <c r="D363" s="915" t="s">
        <v>8</v>
      </c>
      <c r="E363" s="916" t="s">
        <v>2108</v>
      </c>
      <c r="F363" s="916"/>
      <c r="G363" s="916"/>
      <c r="H363" s="916"/>
      <c r="I363" s="916"/>
      <c r="J363" s="1666" t="str">
        <f>IF($I335="","",INDEX(K_Summary!J:J,MATCH($Q363,K_Summary!$P:$P,0)))</f>
        <v/>
      </c>
      <c r="K363" s="1662" t="str">
        <f>IF($I335="","",INDEX(K_Summary!K:K,MATCH($Q363,K_Summary!$P:$P,0)))</f>
        <v/>
      </c>
      <c r="L363" s="1662" t="str">
        <f>IF($I335="","",INDEX(K_Summary!L:L,MATCH($Q363,K_Summary!$P:$P,0)))</f>
        <v/>
      </c>
      <c r="M363" s="1662" t="str">
        <f>IF($I335="","",INDEX(K_Summary!M:M,MATCH($Q363,K_Summary!$P:$P,0)))</f>
        <v/>
      </c>
      <c r="N363" s="1662" t="str">
        <f>IF($I335="","",INDEX(K_Summary!N:N,MATCH($Q363,K_Summary!$P:$P,0)))</f>
        <v/>
      </c>
      <c r="O363" s="485"/>
      <c r="P363" s="485"/>
      <c r="Q363" s="1641" t="str">
        <f>EUconst_CNTR_100EUA_ActivityLevel&amp;I335</f>
        <v>EUA100AL_</v>
      </c>
      <c r="U363" s="1665"/>
      <c r="V363" s="8"/>
      <c r="W363" s="8"/>
      <c r="X363" s="8"/>
      <c r="Y363" s="8"/>
      <c r="Z363" s="1664"/>
      <c r="AL363" s="1435"/>
    </row>
    <row r="364" spans="1:38" ht="5.0999999999999996" customHeight="1" thickBot="1">
      <c r="A364" s="618"/>
      <c r="B364" s="479"/>
      <c r="C364" s="479"/>
      <c r="D364" s="918"/>
      <c r="E364" s="909"/>
      <c r="F364" s="909"/>
      <c r="G364" s="909"/>
      <c r="H364" s="909"/>
      <c r="I364" s="909"/>
      <c r="J364" s="922"/>
      <c r="K364" s="1662"/>
      <c r="L364" s="1662"/>
      <c r="M364" s="1662"/>
      <c r="N364" s="1662"/>
      <c r="O364" s="485"/>
      <c r="P364" s="485"/>
      <c r="Q364" s="1435"/>
      <c r="U364" s="1663"/>
      <c r="V364" s="1435"/>
      <c r="Z364" s="1664"/>
      <c r="AL364" s="1435"/>
    </row>
    <row r="365" spans="1:38" ht="12.75" customHeight="1" thickBot="1">
      <c r="B365" s="479"/>
      <c r="C365" s="479"/>
      <c r="D365" s="915" t="s">
        <v>18</v>
      </c>
      <c r="E365" s="916" t="s">
        <v>1657</v>
      </c>
      <c r="F365" s="916"/>
      <c r="G365" s="916"/>
      <c r="H365" s="921"/>
      <c r="I365" s="1667"/>
      <c r="J365" s="1668" t="str">
        <f>IF(J363="","",IF(J356&gt;$Z335,-100%,IF(OR(J363,V357&lt;1),J359,I365)))</f>
        <v/>
      </c>
      <c r="K365" s="1669" t="str">
        <f>IF(K363="","",IF(K356&gt;$Z335,-100%,IF(OR(K363,W357&lt;1),K359,J365)))</f>
        <v/>
      </c>
      <c r="L365" s="1669" t="str">
        <f>IF(L363="","",IF(L356&gt;$Z335,-100%,IF(OR(L363,X357&lt;1),L359,K365)))</f>
        <v/>
      </c>
      <c r="M365" s="1669" t="str">
        <f>IF(M363="","",IF(M356&gt;$Z335,-100%,IF(OR(M363,Y357&lt;1),M359,L365)))</f>
        <v/>
      </c>
      <c r="N365" s="1669" t="str">
        <f>IF(N363="","",IF(N356&gt;$Z335,-100%,IF(OR(N363,Z357&lt;1),N359,M365)))</f>
        <v/>
      </c>
      <c r="O365" s="485"/>
      <c r="P365" s="1136"/>
      <c r="Q365" s="1644" t="str">
        <f>EUconst_CNTR_HALAdjPct &amp; I335</f>
        <v>HALAdjPct_</v>
      </c>
      <c r="U365" s="1663" t="s">
        <v>1658</v>
      </c>
      <c r="V365" s="1670">
        <f>J362</f>
        <v>2026</v>
      </c>
      <c r="W365" s="1670">
        <f>K362</f>
        <v>2027</v>
      </c>
      <c r="X365" s="1670">
        <f>L362</f>
        <v>2028</v>
      </c>
      <c r="Y365" s="1670">
        <f>M362</f>
        <v>2029</v>
      </c>
      <c r="Z365" s="1671">
        <f>N362</f>
        <v>2030</v>
      </c>
      <c r="AL365" s="1435"/>
    </row>
    <row r="366" spans="1:38" ht="12.75" customHeight="1" thickBot="1">
      <c r="A366" s="618"/>
      <c r="B366" s="479"/>
      <c r="C366" s="479"/>
      <c r="D366" s="915" t="s">
        <v>787</v>
      </c>
      <c r="E366" s="916" t="s">
        <v>1659</v>
      </c>
      <c r="F366" s="916"/>
      <c r="G366" s="916"/>
      <c r="H366" s="639" t="str">
        <f>H357</f>
        <v>tonnes</v>
      </c>
      <c r="I366" s="917" t="str">
        <f>I360</f>
        <v/>
      </c>
      <c r="J366" s="1672" t="str">
        <f>IF($I335="","",IF(OR($I366=0,J365="",$I366=EUconst_NA),IF(OR(J363=TRUE,J362&lt;=$V335),J360,SUM(I366)),$I366*(1+SUM(J365))))</f>
        <v/>
      </c>
      <c r="K366" s="1673" t="str">
        <f>IF($I335="","",IF(OR($I366=0,K365="",$I366=EUconst_NA),IF(OR(K363=TRUE,K362&lt;=$V335),K360,SUM(J366)),$I366*(1+SUM(K365))))</f>
        <v/>
      </c>
      <c r="L366" s="1673" t="str">
        <f>IF($I335="","",IF(OR($I366=0,L365="",$I366=EUconst_NA),IF(OR(L363=TRUE,L362&lt;=$V335),L360,SUM(K366)),$I366*(1+SUM(L365))))</f>
        <v/>
      </c>
      <c r="M366" s="1673" t="str">
        <f>IF($I335="","",IF(OR($I366=0,M365="",$I366=EUconst_NA),IF(OR(M363=TRUE,M362&lt;=$V335),M360,SUM(L366)),$I366*(1+SUM(M365))))</f>
        <v/>
      </c>
      <c r="N366" s="1673" t="str">
        <f>IF($I335="","",IF(OR($I366=0,N365="",$I366=EUconst_NA),IF(OR(N363=TRUE,N362&lt;=$V335),N360,SUM(M366)),$I366*(1+SUM(N365))))</f>
        <v/>
      </c>
      <c r="O366" s="485"/>
      <c r="P366" s="485"/>
      <c r="Q366" s="1641" t="str">
        <f>EUconst_CNTR_HALfinal&amp;I335</f>
        <v>HALfinal_</v>
      </c>
      <c r="U366" s="1674" t="b">
        <v>0</v>
      </c>
      <c r="V366" s="1675" t="str">
        <f>IF(V343,IF(J363=TRUE,V358,U366),"")</f>
        <v/>
      </c>
      <c r="W366" s="1675" t="str">
        <f>IF(W343,IF(K363=TRUE,W358,V366),"")</f>
        <v/>
      </c>
      <c r="X366" s="1675" t="str">
        <f>IF(X343,IF(L363=TRUE,X358,W366),"")</f>
        <v/>
      </c>
      <c r="Y366" s="1675" t="str">
        <f>IF(Y343,IF(M363=TRUE,Y358,X366),"")</f>
        <v/>
      </c>
      <c r="Z366" s="1676" t="str">
        <f>IF(Z343,IF(N363=TRUE,Z358,Y366),"")</f>
        <v/>
      </c>
      <c r="AJ366" s="1633" t="s">
        <v>1951</v>
      </c>
      <c r="AK366" s="1443" t="str">
        <f>IF(OR(ISERROR(J366),ISERROR(K366),ISERROR(L366),ISERROR(M366),ISERROR(N366)),EUconst_Error &amp; "BM" &amp; Q335,"")</f>
        <v/>
      </c>
      <c r="AL366" s="1435"/>
    </row>
    <row r="367" spans="1:38" ht="5.0999999999999996" customHeight="1" thickBot="1">
      <c r="B367" s="479"/>
      <c r="C367" s="479"/>
      <c r="D367" s="924"/>
      <c r="E367" s="925"/>
      <c r="F367" s="925"/>
      <c r="G367" s="925"/>
      <c r="H367" s="925"/>
      <c r="I367" s="925"/>
      <c r="J367" s="926"/>
      <c r="K367" s="1662"/>
      <c r="L367" s="1662"/>
      <c r="M367" s="1662"/>
      <c r="N367" s="1662"/>
      <c r="O367" s="485"/>
      <c r="P367" s="485"/>
      <c r="Q367" s="1435"/>
      <c r="U367" s="1435"/>
      <c r="V367" s="1435"/>
      <c r="AL367" s="1435"/>
    </row>
    <row r="368" spans="1:38" ht="5.0999999999999996" customHeight="1">
      <c r="B368" s="479"/>
      <c r="C368" s="479"/>
      <c r="D368" s="485"/>
      <c r="E368" s="485"/>
      <c r="F368" s="485"/>
      <c r="G368" s="485"/>
      <c r="H368" s="485"/>
      <c r="I368" s="485"/>
      <c r="J368" s="485"/>
      <c r="K368" s="485"/>
      <c r="L368" s="485"/>
      <c r="M368" s="485"/>
      <c r="N368" s="485"/>
      <c r="O368" s="485"/>
      <c r="P368" s="485"/>
      <c r="Q368" s="1435"/>
      <c r="U368" s="1435"/>
      <c r="V368" s="1435"/>
      <c r="AL368" s="1435"/>
    </row>
    <row r="369" spans="1:42" ht="15" customHeight="1">
      <c r="B369" s="1124"/>
      <c r="C369" s="479"/>
      <c r="D369" s="2482" t="s">
        <v>1229</v>
      </c>
      <c r="E369" s="2400"/>
      <c r="F369" s="2400"/>
      <c r="G369" s="2400"/>
      <c r="H369" s="2400"/>
      <c r="I369" s="2400"/>
      <c r="J369" s="2400"/>
      <c r="K369" s="2400"/>
      <c r="L369" s="2400"/>
      <c r="M369" s="2400"/>
      <c r="N369" s="2400"/>
      <c r="O369" s="485"/>
      <c r="P369" s="485"/>
      <c r="U369" s="1435"/>
      <c r="V369" s="1435"/>
    </row>
    <row r="370" spans="1:42" ht="5.0999999999999996" customHeight="1">
      <c r="B370" s="479"/>
      <c r="C370" s="479"/>
      <c r="D370" s="479"/>
      <c r="E370" s="479"/>
      <c r="F370" s="479"/>
      <c r="G370" s="479"/>
      <c r="H370" s="479"/>
      <c r="I370" s="479"/>
      <c r="J370" s="479"/>
      <c r="K370" s="479"/>
      <c r="L370" s="479"/>
      <c r="M370" s="479"/>
      <c r="N370" s="479"/>
      <c r="O370" s="485"/>
      <c r="P370" s="485"/>
      <c r="Q370" s="1435"/>
      <c r="U370" s="1435"/>
      <c r="V370" s="1435"/>
    </row>
    <row r="371" spans="1:42" ht="12.75" customHeight="1">
      <c r="B371" s="1124"/>
      <c r="C371" s="485"/>
      <c r="D371" s="482" t="s">
        <v>48</v>
      </c>
      <c r="E371" s="2373" t="s">
        <v>800</v>
      </c>
      <c r="F371" s="2400"/>
      <c r="G371" s="2400"/>
      <c r="H371" s="2400"/>
      <c r="I371" s="2585"/>
      <c r="J371" s="2652" t="str">
        <f>IF(I335="","",IF(T371,EUconst_MsgEnterThisSection,HYPERLINK(R371,EUconst_MsgGoOn)))</f>
        <v/>
      </c>
      <c r="K371" s="2653"/>
      <c r="L371" s="2653"/>
      <c r="M371" s="2653"/>
      <c r="N371" s="2654"/>
      <c r="O371" s="485"/>
      <c r="P371" s="485"/>
      <c r="Q371" s="1198" t="s">
        <v>441</v>
      </c>
      <c r="R371" s="1488" t="str">
        <f>"#"&amp;ADDRESS(ROW(D399),COLUMN(D399))</f>
        <v>#$D$399</v>
      </c>
      <c r="S371" s="1633" t="s">
        <v>1674</v>
      </c>
      <c r="T371" s="1644" t="str">
        <f>IF(I335="","",INDEX(EUconst_BMlistElExchangability,MATCH(I335,EUconst_BMlistNames,0)))</f>
        <v/>
      </c>
      <c r="U371" s="1435"/>
      <c r="V371" s="1435"/>
    </row>
    <row r="372" spans="1:42" ht="12.75" customHeight="1">
      <c r="B372" s="479"/>
      <c r="C372" s="479"/>
      <c r="D372" s="485"/>
      <c r="E372" s="2385" t="s">
        <v>1241</v>
      </c>
      <c r="F372" s="2846"/>
      <c r="G372" s="2846"/>
      <c r="H372" s="2846"/>
      <c r="I372" s="2846"/>
      <c r="J372" s="2846"/>
      <c r="K372" s="2846"/>
      <c r="L372" s="2846"/>
      <c r="M372" s="2846"/>
      <c r="N372" s="2846"/>
      <c r="O372" s="485"/>
      <c r="P372" s="485"/>
      <c r="U372" s="1435"/>
      <c r="V372" s="1435"/>
    </row>
    <row r="373" spans="1:42" ht="12.75" customHeight="1">
      <c r="B373" s="479"/>
      <c r="C373" s="479"/>
      <c r="D373" s="485"/>
      <c r="E373" s="2385" t="s">
        <v>1526</v>
      </c>
      <c r="F373" s="2846"/>
      <c r="G373" s="2846"/>
      <c r="H373" s="2846"/>
      <c r="I373" s="2846"/>
      <c r="J373" s="2846"/>
      <c r="K373" s="2846"/>
      <c r="L373" s="2846"/>
      <c r="M373" s="2846"/>
      <c r="N373" s="2846"/>
      <c r="O373" s="485"/>
      <c r="P373" s="485"/>
      <c r="Q373" s="1435"/>
      <c r="U373" s="1435"/>
      <c r="V373" s="1435"/>
      <c r="W373" s="1435"/>
      <c r="X373" s="1435"/>
      <c r="Y373" s="1435"/>
      <c r="Z373" s="1435"/>
    </row>
    <row r="374" spans="1:42" ht="25.5" customHeight="1">
      <c r="B374" s="479"/>
      <c r="C374" s="479"/>
      <c r="D374" s="485"/>
      <c r="E374" s="2385" t="s">
        <v>1635</v>
      </c>
      <c r="F374" s="2846"/>
      <c r="G374" s="2846"/>
      <c r="H374" s="2846"/>
      <c r="I374" s="2846"/>
      <c r="J374" s="2846"/>
      <c r="K374" s="2846"/>
      <c r="L374" s="2846"/>
      <c r="M374" s="2846"/>
      <c r="N374" s="2846"/>
      <c r="O374" s="485"/>
      <c r="P374" s="485"/>
      <c r="Q374" s="1435"/>
      <c r="U374" s="1435"/>
      <c r="V374" s="1435"/>
      <c r="W374" s="1435"/>
      <c r="X374" s="1435"/>
      <c r="Y374" s="1435"/>
      <c r="Z374" s="1435"/>
    </row>
    <row r="375" spans="1:42" s="562" customFormat="1" ht="13.5" thickBot="1">
      <c r="A375" s="618"/>
      <c r="B375" s="485"/>
      <c r="C375" s="485"/>
      <c r="D375" s="482"/>
      <c r="E375" s="927" t="s">
        <v>62</v>
      </c>
      <c r="F375" s="518"/>
      <c r="G375" s="663" t="str">
        <f>EUconst_Unit</f>
        <v>Unit</v>
      </c>
      <c r="H375" s="578">
        <f>H$3242</f>
        <v>2024</v>
      </c>
      <c r="I375" s="697">
        <f>I$3242</f>
        <v>2025</v>
      </c>
      <c r="J375" s="1489">
        <f>J$112</f>
        <v>2026</v>
      </c>
      <c r="K375" s="1490">
        <f>K$112</f>
        <v>2027</v>
      </c>
      <c r="L375" s="1490">
        <f>L$112</f>
        <v>2028</v>
      </c>
      <c r="M375" s="1490">
        <f>M$112</f>
        <v>2029</v>
      </c>
      <c r="N375" s="1490">
        <f>N$112</f>
        <v>2030</v>
      </c>
      <c r="O375" s="485"/>
      <c r="P375" s="485"/>
      <c r="Q375" s="1435"/>
      <c r="R375" s="1435"/>
      <c r="S375" s="1198"/>
      <c r="T375" s="1198"/>
      <c r="U375" s="1435"/>
      <c r="V375" s="1435"/>
      <c r="W375" s="1435"/>
      <c r="X375" s="1435"/>
      <c r="Y375" s="1435"/>
      <c r="Z375" s="1435"/>
      <c r="AA375" s="1435"/>
      <c r="AB375" s="1198"/>
      <c r="AC375" s="1638">
        <f t="shared" ref="AC375:AI375" si="161">H$20</f>
        <v>2024</v>
      </c>
      <c r="AD375" s="1638">
        <f t="shared" si="161"/>
        <v>2025</v>
      </c>
      <c r="AE375" s="1638">
        <f t="shared" si="161"/>
        <v>2026</v>
      </c>
      <c r="AF375" s="1638">
        <f t="shared" si="161"/>
        <v>2027</v>
      </c>
      <c r="AG375" s="1638">
        <f t="shared" si="161"/>
        <v>2028</v>
      </c>
      <c r="AH375" s="1638">
        <f t="shared" si="161"/>
        <v>2029</v>
      </c>
      <c r="AI375" s="1638">
        <f t="shared" si="161"/>
        <v>2030</v>
      </c>
      <c r="AJ375" s="1198"/>
      <c r="AK375" s="1198"/>
      <c r="AL375" s="1198"/>
      <c r="AP375" s="1135"/>
    </row>
    <row r="376" spans="1:42" s="562" customFormat="1" ht="13.5" customHeight="1">
      <c r="A376" s="618"/>
      <c r="B376" s="485"/>
      <c r="C376" s="485"/>
      <c r="D376" s="561" t="s">
        <v>6</v>
      </c>
      <c r="E376" s="863" t="s">
        <v>63</v>
      </c>
      <c r="F376" s="863"/>
      <c r="G376" s="579" t="str">
        <f>EUconst_tCO2pa</f>
        <v>t CO2 / year</v>
      </c>
      <c r="H376" s="1678" t="str">
        <f>c_ALR2025!M3062</f>
        <v/>
      </c>
      <c r="I376" s="1879"/>
      <c r="J376" s="1786"/>
      <c r="K376" s="1787"/>
      <c r="L376" s="1787"/>
      <c r="M376" s="1787"/>
      <c r="N376" s="1787"/>
      <c r="O376" s="485"/>
      <c r="P376" s="9"/>
      <c r="Q376" s="1435"/>
      <c r="R376" s="1435"/>
      <c r="S376" s="1198"/>
      <c r="T376" s="1198"/>
      <c r="U376" s="1435"/>
      <c r="V376" s="1435"/>
      <c r="W376" s="1435"/>
      <c r="X376" s="1435"/>
      <c r="Y376" s="1435"/>
      <c r="Z376" s="1435"/>
      <c r="AA376" s="1435"/>
      <c r="AB376" s="1641" t="s">
        <v>717</v>
      </c>
      <c r="AC376" s="1855" t="b">
        <f t="shared" ref="AC376:AI376" si="162">IF(CNTR_ExistSubInstEntries,IF($I335="",TRUE,OR(H375&gt;=CNTR_ReportingYear,AC375&lt;$V335-1,INDEX(EUconst_BMlistElExchangability,MATCH($I335,EUconst_BMlistNames,0))=FALSE)),FALSE)</f>
        <v>0</v>
      </c>
      <c r="AD376" s="1680" t="b">
        <f t="shared" si="162"/>
        <v>0</v>
      </c>
      <c r="AE376" s="1680" t="b">
        <f t="shared" si="162"/>
        <v>0</v>
      </c>
      <c r="AF376" s="1680" t="b">
        <f t="shared" si="162"/>
        <v>0</v>
      </c>
      <c r="AG376" s="1680" t="b">
        <f t="shared" si="162"/>
        <v>0</v>
      </c>
      <c r="AH376" s="1680" t="b">
        <f t="shared" si="162"/>
        <v>0</v>
      </c>
      <c r="AI376" s="1681" t="b">
        <f t="shared" si="162"/>
        <v>0</v>
      </c>
      <c r="AJ376" s="1633" t="s">
        <v>1954</v>
      </c>
      <c r="AK376" s="1635" t="str">
        <f>IF(AND(CNTR_ExistSubInstEntries,COUNTIFS(AC376:AI376,FALSE,H376:N376,"")&gt;0),EUconst_Error&amp;"BM"&amp;$Q335,"")</f>
        <v/>
      </c>
      <c r="AL376" s="1198"/>
      <c r="AP376" s="1135"/>
    </row>
    <row r="377" spans="1:42" s="562" customFormat="1" ht="12.75" customHeight="1">
      <c r="A377" s="618"/>
      <c r="B377" s="485"/>
      <c r="C377" s="485"/>
      <c r="D377" s="561" t="s">
        <v>7</v>
      </c>
      <c r="E377" s="865" t="s">
        <v>257</v>
      </c>
      <c r="F377" s="865"/>
      <c r="G377" s="582" t="str">
        <f>EUconst_TJpa</f>
        <v>TJ / year</v>
      </c>
      <c r="H377" s="662" t="str">
        <f t="shared" ref="H377:N377" si="163">IF(AND($I335&lt;&gt;"",H375&lt;CNTR_ReportingYear),IF(INDEX(EUconst_BMlistElExchangability,MATCH($I335,EUconst_BMlistNames,0)),SUM(H548),""),"")</f>
        <v/>
      </c>
      <c r="I377" s="931" t="str">
        <f t="shared" si="163"/>
        <v/>
      </c>
      <c r="J377" s="1788" t="str">
        <f t="shared" si="163"/>
        <v/>
      </c>
      <c r="K377" s="1789" t="str">
        <f t="shared" si="163"/>
        <v/>
      </c>
      <c r="L377" s="1789" t="str">
        <f t="shared" si="163"/>
        <v/>
      </c>
      <c r="M377" s="1789" t="str">
        <f t="shared" si="163"/>
        <v/>
      </c>
      <c r="N377" s="1789" t="str">
        <f t="shared" si="163"/>
        <v/>
      </c>
      <c r="O377" s="485"/>
      <c r="P377" s="485"/>
      <c r="Q377" s="1435"/>
      <c r="R377" s="1435"/>
      <c r="S377" s="1198"/>
      <c r="T377" s="1198">
        <f t="shared" ref="T377:Z377" si="164">H375</f>
        <v>2024</v>
      </c>
      <c r="U377" s="1435">
        <f t="shared" si="164"/>
        <v>2025</v>
      </c>
      <c r="V377" s="1435">
        <f t="shared" si="164"/>
        <v>2026</v>
      </c>
      <c r="W377" s="1435">
        <f t="shared" si="164"/>
        <v>2027</v>
      </c>
      <c r="X377" s="1435">
        <f t="shared" si="164"/>
        <v>2028</v>
      </c>
      <c r="Y377" s="1435">
        <f t="shared" si="164"/>
        <v>2029</v>
      </c>
      <c r="Z377" s="1435">
        <f t="shared" si="164"/>
        <v>2030</v>
      </c>
      <c r="AA377" s="1435"/>
      <c r="AB377" s="1435"/>
      <c r="AC377" s="1665"/>
      <c r="AD377" s="1435"/>
      <c r="AE377" s="1435"/>
      <c r="AF377" s="1435"/>
      <c r="AG377" s="1435"/>
      <c r="AH377" s="1435"/>
      <c r="AI377" s="1683"/>
      <c r="AJ377" s="1435"/>
      <c r="AK377" s="1435"/>
      <c r="AL377" s="1198"/>
      <c r="AP377" s="1135"/>
    </row>
    <row r="378" spans="1:42" s="562" customFormat="1" ht="12.75" customHeight="1" thickBot="1">
      <c r="A378" s="618"/>
      <c r="B378" s="485"/>
      <c r="C378" s="485"/>
      <c r="D378" s="561" t="s">
        <v>8</v>
      </c>
      <c r="E378" s="932" t="s">
        <v>914</v>
      </c>
      <c r="F378" s="932"/>
      <c r="G378" s="933" t="str">
        <f>EUconst_MWhpa</f>
        <v>MWh / year</v>
      </c>
      <c r="H378" s="1582" t="str">
        <f>c_ALR2025!M3064</f>
        <v/>
      </c>
      <c r="I378" s="1880"/>
      <c r="J378" s="1491"/>
      <c r="K378" s="1492"/>
      <c r="L378" s="1492"/>
      <c r="M378" s="1492"/>
      <c r="N378" s="1492"/>
      <c r="O378" s="485"/>
      <c r="P378" s="9"/>
      <c r="Q378" s="1644" t="str">
        <f>EUconst_CNTR_HAL&amp;EUconst_CNTR_ELEXCH</f>
        <v>HAL_ELEXCH_</v>
      </c>
      <c r="R378" s="1644" t="str">
        <f>EUconst_CNTR_HAL&amp;EUconst_CNTR_ELEXCH &amp; I335</f>
        <v>HAL_ELEXCH_</v>
      </c>
      <c r="S378" s="1198" t="str">
        <f>EUconst_CNTR_AttributedEmissions &amp; I335</f>
        <v>AttrEmissions_</v>
      </c>
      <c r="T378" s="1198" t="str">
        <f t="shared" ref="T378:Z378" si="165">IF(T343,SUM(H378)*EUconst_ElBM,"")</f>
        <v/>
      </c>
      <c r="U378" s="1435" t="str">
        <f t="shared" si="165"/>
        <v/>
      </c>
      <c r="V378" s="1435" t="str">
        <f t="shared" si="165"/>
        <v/>
      </c>
      <c r="W378" s="1435" t="str">
        <f t="shared" si="165"/>
        <v/>
      </c>
      <c r="X378" s="1435" t="str">
        <f t="shared" si="165"/>
        <v/>
      </c>
      <c r="Y378" s="1435" t="str">
        <f t="shared" si="165"/>
        <v/>
      </c>
      <c r="Z378" s="1435" t="str">
        <f t="shared" si="165"/>
        <v/>
      </c>
      <c r="AA378" s="1435"/>
      <c r="AB378" s="1435"/>
      <c r="AC378" s="1685" t="b">
        <f>AC376</f>
        <v>0</v>
      </c>
      <c r="AD378" s="1686" t="b">
        <f t="shared" ref="AD378:AI378" si="166">AD376</f>
        <v>0</v>
      </c>
      <c r="AE378" s="1686" t="b">
        <f t="shared" si="166"/>
        <v>0</v>
      </c>
      <c r="AF378" s="1686" t="b">
        <f t="shared" si="166"/>
        <v>0</v>
      </c>
      <c r="AG378" s="1686" t="b">
        <f t="shared" si="166"/>
        <v>0</v>
      </c>
      <c r="AH378" s="1686" t="b">
        <f t="shared" si="166"/>
        <v>0</v>
      </c>
      <c r="AI378" s="1687" t="b">
        <f t="shared" si="166"/>
        <v>0</v>
      </c>
      <c r="AJ378" s="1633" t="s">
        <v>1954</v>
      </c>
      <c r="AK378" s="1635" t="str">
        <f>IF(AND(CNTR_ExistSubInstEntries,COUNTIFS(AC378:AI378,FALSE,H378:N378,"")&gt;0),EUconst_Error&amp;"BM"&amp;$Q335,"")</f>
        <v/>
      </c>
      <c r="AL378" s="1198"/>
      <c r="AP378" s="1135"/>
    </row>
    <row r="379" spans="1:42" s="562" customFormat="1" ht="13.5" customHeight="1">
      <c r="A379" s="618"/>
      <c r="B379" s="485"/>
      <c r="C379" s="485"/>
      <c r="D379" s="561" t="s">
        <v>18</v>
      </c>
      <c r="E379" s="863" t="s">
        <v>915</v>
      </c>
      <c r="F379" s="863"/>
      <c r="G379" s="579" t="str">
        <f>EUconst_tCO2pa</f>
        <v>t CO2 / year</v>
      </c>
      <c r="H379" s="929" t="str">
        <f t="shared" ref="H379:N379" si="167">IF(ISNUMBER(H376),H376+SUM(H377)*EUconst_HeatBMvalue,"")</f>
        <v/>
      </c>
      <c r="I379" s="930" t="str">
        <f t="shared" si="167"/>
        <v/>
      </c>
      <c r="J379" s="1786" t="str">
        <f t="shared" si="167"/>
        <v/>
      </c>
      <c r="K379" s="1787" t="str">
        <f t="shared" si="167"/>
        <v/>
      </c>
      <c r="L379" s="1787" t="str">
        <f t="shared" si="167"/>
        <v/>
      </c>
      <c r="M379" s="1787" t="str">
        <f t="shared" si="167"/>
        <v/>
      </c>
      <c r="N379" s="1787" t="str">
        <f t="shared" si="167"/>
        <v/>
      </c>
      <c r="O379" s="485"/>
      <c r="P379" s="485"/>
      <c r="Q379" s="1435"/>
      <c r="R379" s="1435"/>
      <c r="S379" s="1198"/>
      <c r="T379" s="1198"/>
      <c r="U379" s="1435"/>
      <c r="V379" s="1435"/>
      <c r="W379" s="1435"/>
      <c r="X379" s="1435"/>
      <c r="Y379" s="1435"/>
      <c r="Z379" s="1435"/>
      <c r="AA379" s="1435"/>
      <c r="AB379" s="1435"/>
      <c r="AC379" s="1435"/>
      <c r="AD379" s="1435"/>
      <c r="AE379" s="1435"/>
      <c r="AF379" s="1435"/>
      <c r="AG379" s="1435"/>
      <c r="AH379" s="1435"/>
      <c r="AI379" s="1435"/>
      <c r="AJ379" s="1435"/>
      <c r="AK379" s="1435"/>
      <c r="AL379" s="1198"/>
      <c r="AP379" s="1135"/>
    </row>
    <row r="380" spans="1:42" s="562" customFormat="1" ht="13.5" customHeight="1">
      <c r="A380" s="618"/>
      <c r="B380" s="485"/>
      <c r="C380" s="485"/>
      <c r="D380" s="561" t="s">
        <v>787</v>
      </c>
      <c r="E380" s="867" t="s">
        <v>916</v>
      </c>
      <c r="F380" s="867"/>
      <c r="G380" s="584" t="str">
        <f>EUconst_tCO2pa</f>
        <v>t CO2 / year</v>
      </c>
      <c r="H380" s="935" t="str">
        <f t="shared" ref="H380:N380" si="168">IF(ISNUMBER(H378),H378*EUconst_ElBM,"")</f>
        <v/>
      </c>
      <c r="I380" s="936" t="str">
        <f t="shared" si="168"/>
        <v/>
      </c>
      <c r="J380" s="1786" t="str">
        <f t="shared" si="168"/>
        <v/>
      </c>
      <c r="K380" s="1787" t="str">
        <f t="shared" si="168"/>
        <v/>
      </c>
      <c r="L380" s="1787" t="str">
        <f t="shared" si="168"/>
        <v/>
      </c>
      <c r="M380" s="1787" t="str">
        <f t="shared" si="168"/>
        <v/>
      </c>
      <c r="N380" s="1787" t="str">
        <f t="shared" si="168"/>
        <v/>
      </c>
      <c r="O380" s="485"/>
      <c r="P380" s="485"/>
      <c r="Q380" s="1435"/>
      <c r="R380" s="1435"/>
      <c r="S380" s="1198"/>
      <c r="T380" s="1198"/>
      <c r="U380" s="1435"/>
      <c r="V380" s="1435"/>
      <c r="W380" s="1435"/>
      <c r="X380" s="1435"/>
      <c r="Y380" s="1435"/>
      <c r="Z380" s="1435"/>
      <c r="AA380" s="1435"/>
      <c r="AB380" s="1435"/>
      <c r="AC380" s="1435"/>
      <c r="AD380" s="1435"/>
      <c r="AE380" s="1435"/>
      <c r="AF380" s="1435"/>
      <c r="AG380" s="1435"/>
      <c r="AH380" s="1435"/>
      <c r="AI380" s="1435"/>
      <c r="AJ380" s="1435"/>
      <c r="AK380" s="1435"/>
      <c r="AL380" s="1198"/>
      <c r="AP380" s="1135"/>
    </row>
    <row r="381" spans="1:42" ht="5.0999999999999996" customHeight="1">
      <c r="B381" s="479"/>
      <c r="C381" s="479"/>
      <c r="D381" s="479"/>
      <c r="E381" s="479"/>
      <c r="F381" s="479"/>
      <c r="G381" s="479"/>
      <c r="H381" s="479"/>
      <c r="I381" s="479"/>
      <c r="J381" s="1790"/>
      <c r="K381" s="1791"/>
      <c r="L381" s="1791"/>
      <c r="M381" s="1791"/>
      <c r="N381" s="1791"/>
      <c r="O381" s="485"/>
      <c r="P381" s="485"/>
      <c r="Q381" s="1435"/>
      <c r="U381" s="1435"/>
      <c r="V381" s="1435"/>
      <c r="W381" s="1435"/>
      <c r="X381" s="1435"/>
      <c r="Y381" s="1435"/>
      <c r="Z381" s="1435"/>
    </row>
    <row r="382" spans="1:42" ht="12.75" customHeight="1">
      <c r="B382" s="479"/>
      <c r="C382" s="479"/>
      <c r="D382" s="561" t="s">
        <v>788</v>
      </c>
      <c r="E382" s="698" t="s">
        <v>1389</v>
      </c>
      <c r="F382" s="938"/>
      <c r="G382" s="939" t="s">
        <v>1021</v>
      </c>
      <c r="H382" s="940" t="str">
        <f t="shared" ref="H382:N382" si="169">IF(COUNT(H379:H380)&gt;0,SUM(H379)/SUM(H379:H380),IF($T371=TRUE,IF(H375&gt;CNTR_ReportingYear,"",1),""))</f>
        <v/>
      </c>
      <c r="I382" s="941" t="str">
        <f t="shared" si="169"/>
        <v/>
      </c>
      <c r="J382" s="1792" t="str">
        <f t="shared" si="169"/>
        <v/>
      </c>
      <c r="K382" s="1793" t="str">
        <f t="shared" si="169"/>
        <v/>
      </c>
      <c r="L382" s="1793" t="str">
        <f t="shared" si="169"/>
        <v/>
      </c>
      <c r="M382" s="1793" t="str">
        <f t="shared" si="169"/>
        <v/>
      </c>
      <c r="N382" s="1793" t="str">
        <f t="shared" si="169"/>
        <v/>
      </c>
      <c r="O382" s="485"/>
      <c r="P382" s="485"/>
      <c r="Q382" s="1644" t="str">
        <f>EUconst_CNTR_ELEXCH &amp; I335</f>
        <v>ELEXCH_</v>
      </c>
    </row>
    <row r="383" spans="1:42" ht="5.0999999999999996" customHeight="1">
      <c r="B383" s="479"/>
      <c r="C383" s="479"/>
      <c r="D383" s="479"/>
      <c r="E383" s="479"/>
      <c r="F383" s="479"/>
      <c r="G383" s="479"/>
      <c r="H383" s="479"/>
      <c r="I383" s="479"/>
      <c r="J383" s="479"/>
      <c r="K383" s="479"/>
      <c r="L383" s="479"/>
      <c r="M383" s="485"/>
      <c r="N383" s="485"/>
      <c r="O383" s="485"/>
      <c r="P383" s="485"/>
      <c r="Q383" s="1435"/>
    </row>
    <row r="384" spans="1:42" ht="25.5" customHeight="1" thickBot="1">
      <c r="B384" s="479"/>
      <c r="C384" s="479"/>
      <c r="D384" s="485"/>
      <c r="E384" s="2385" t="s">
        <v>2733</v>
      </c>
      <c r="F384" s="2846"/>
      <c r="G384" s="2846"/>
      <c r="H384" s="2846"/>
      <c r="I384" s="2846"/>
      <c r="J384" s="2846"/>
      <c r="K384" s="2846"/>
      <c r="L384" s="2846"/>
      <c r="M384" s="2846"/>
      <c r="N384" s="2846"/>
      <c r="O384" s="485"/>
      <c r="P384" s="485"/>
      <c r="Q384" s="1435"/>
      <c r="S384" s="1435"/>
      <c r="T384" s="1435"/>
      <c r="U384" s="1435"/>
    </row>
    <row r="385" spans="1:38" ht="5.0999999999999996" customHeight="1" thickBot="1">
      <c r="B385" s="479"/>
      <c r="C385" s="479"/>
      <c r="D385" s="902"/>
      <c r="E385" s="942"/>
      <c r="F385" s="942"/>
      <c r="G385" s="942"/>
      <c r="H385" s="942"/>
      <c r="I385" s="942"/>
      <c r="J385" s="943"/>
      <c r="K385" s="1791"/>
      <c r="L385" s="1791"/>
      <c r="M385" s="1791"/>
      <c r="N385" s="1791"/>
      <c r="O385" s="485"/>
      <c r="P385" s="485"/>
      <c r="Q385" s="1435"/>
      <c r="S385" s="1435"/>
      <c r="T385" s="1435"/>
      <c r="U385" s="1435"/>
    </row>
    <row r="386" spans="1:38" ht="12.75" customHeight="1">
      <c r="B386" s="479"/>
      <c r="C386" s="479"/>
      <c r="D386" s="907" t="s">
        <v>1915</v>
      </c>
      <c r="E386" s="908" t="s">
        <v>1775</v>
      </c>
      <c r="F386" s="909"/>
      <c r="G386" s="909"/>
      <c r="H386" s="910" t="str">
        <f>EUconst_Unit</f>
        <v>Unit</v>
      </c>
      <c r="I386" s="911" t="s">
        <v>2213</v>
      </c>
      <c r="J386" s="1647">
        <f>J$3242</f>
        <v>2026</v>
      </c>
      <c r="K386" s="1490">
        <f>K$3242</f>
        <v>2027</v>
      </c>
      <c r="L386" s="1490">
        <f>L$3242</f>
        <v>2028</v>
      </c>
      <c r="M386" s="1490">
        <f>M$3242</f>
        <v>2029</v>
      </c>
      <c r="N386" s="1490">
        <f>N$3242</f>
        <v>2030</v>
      </c>
      <c r="O386" s="485"/>
      <c r="P386" s="485"/>
      <c r="Q386" s="1435"/>
      <c r="U386" s="1648"/>
      <c r="V386" s="1649">
        <f>J386</f>
        <v>2026</v>
      </c>
      <c r="W386" s="1649">
        <f>K386</f>
        <v>2027</v>
      </c>
      <c r="X386" s="1649">
        <f>L386</f>
        <v>2028</v>
      </c>
      <c r="Y386" s="1649">
        <f>M386</f>
        <v>2029</v>
      </c>
      <c r="Z386" s="1650">
        <f>N386</f>
        <v>2030</v>
      </c>
      <c r="AL386" s="1435"/>
    </row>
    <row r="387" spans="1:38" ht="12.75" customHeight="1">
      <c r="B387" s="479"/>
      <c r="C387" s="479"/>
      <c r="D387" s="915" t="s">
        <v>6</v>
      </c>
      <c r="E387" s="916" t="s">
        <v>1691</v>
      </c>
      <c r="F387" s="916"/>
      <c r="G387" s="916"/>
      <c r="H387" s="944" t="str">
        <f>G382</f>
        <v>-</v>
      </c>
      <c r="I387" s="945" t="str">
        <f>IF($T371&lt;&gt;TRUE,"",INDEX('B+C_SubInstallations'!$L:$L,MATCH(Q387,'B+C_SubInstallations'!$W:$W,0)))</f>
        <v/>
      </c>
      <c r="J387" s="1691" t="str">
        <f>IF($T371&lt;&gt;TRUE,"",IF(AND(V387&gt;=3,CNTR_ReportingYear&gt;J386-1),AVERAGE(SUM(H382),SUM(I382)),""))</f>
        <v/>
      </c>
      <c r="K387" s="1794" t="str">
        <f>IF($T371&lt;&gt;TRUE,"",IF(AND(W387&gt;=3,CNTR_ReportingYear&gt;K386-1),AVERAGE(SUM(I382),SUM(J382)),""))</f>
        <v/>
      </c>
      <c r="L387" s="1794" t="str">
        <f>IF($T371&lt;&gt;TRUE,"",IF(AND(X387&gt;=3,CNTR_ReportingYear&gt;L386-1),AVERAGE(SUM(J382),SUM(K382)),""))</f>
        <v/>
      </c>
      <c r="M387" s="1794" t="str">
        <f>IF($T371&lt;&gt;TRUE,"",IF(AND(Y387&gt;=3,CNTR_ReportingYear&gt;M386-1),AVERAGE(SUM(K382),SUM(L382)),""))</f>
        <v/>
      </c>
      <c r="N387" s="1794" t="str">
        <f>IF($T371&lt;&gt;TRUE,"",IF(AND(Z387&gt;=3,CNTR_ReportingYear&gt;N386-1),AVERAGE(SUM(L382),SUM(M382)),""))</f>
        <v/>
      </c>
      <c r="O387" s="485"/>
      <c r="P387" s="485"/>
      <c r="Q387" s="1644" t="str">
        <f>EUconst_CNTR_HAL &amp; EUconst_CNTR_ELEXCHInitial &amp; I335</f>
        <v>HAL_ELEXCHIni_</v>
      </c>
      <c r="U387" s="1693" t="s">
        <v>1650</v>
      </c>
      <c r="V387" s="1635">
        <f>V357</f>
        <v>0</v>
      </c>
      <c r="W387" s="1635">
        <f>W357</f>
        <v>0</v>
      </c>
      <c r="X387" s="1635">
        <f>X357</f>
        <v>0</v>
      </c>
      <c r="Y387" s="1635">
        <f>Y357</f>
        <v>0</v>
      </c>
      <c r="Z387" s="1654">
        <f>Z357</f>
        <v>0</v>
      </c>
      <c r="AL387" s="1435"/>
    </row>
    <row r="388" spans="1:38" ht="12.75" hidden="1" customHeight="1">
      <c r="A388" s="618" t="s">
        <v>2289</v>
      </c>
      <c r="B388" s="479"/>
      <c r="C388" s="479"/>
      <c r="D388" s="915"/>
      <c r="E388" s="916" t="s">
        <v>1776</v>
      </c>
      <c r="F388" s="916"/>
      <c r="G388" s="916"/>
      <c r="H388" s="921"/>
      <c r="I388" s="1657"/>
      <c r="J388" s="17" t="str">
        <f>IF(J387="","",IF($I390=0,IF(J387=0,0%,100%),J387/$I390-1))</f>
        <v/>
      </c>
      <c r="K388" s="22" t="str">
        <f>IF(K387="","",IF($I390=0,IF(K387=0,0%,100%),K387/$I390-1))</f>
        <v/>
      </c>
      <c r="L388" s="22" t="str">
        <f>IF(L387="","",IF($I390=0,IF(L387=0,0%,100%),L387/$I390-1))</f>
        <v/>
      </c>
      <c r="M388" s="22" t="str">
        <f>IF(M387="","",IF($I390=0,IF(M387=0,0%,100%),M387/$I390-1))</f>
        <v/>
      </c>
      <c r="N388" s="22" t="str">
        <f>IF(N387="","",IF($I390=0,IF(N387=0,0%,100%),N387/$I390-1))</f>
        <v/>
      </c>
      <c r="O388" s="485"/>
      <c r="P388" s="485"/>
      <c r="Q388" s="1644" t="str">
        <f>EUconst_CNTR_RelThreshold &amp; Q390</f>
        <v>RelThresh_HALprelim_ELEXCH_</v>
      </c>
      <c r="U388" s="1693" t="s">
        <v>1655</v>
      </c>
      <c r="V388" s="1158" t="str">
        <f>IF(J387="","",ABS(J388)&gt;15%)</f>
        <v/>
      </c>
      <c r="W388" s="1158" t="str">
        <f>IF(K387="","",ABS(K388)&gt;15%)</f>
        <v/>
      </c>
      <c r="X388" s="1158" t="str">
        <f>IF(L387="","",ABS(L388)&gt;15%)</f>
        <v/>
      </c>
      <c r="Y388" s="1158" t="str">
        <f>IF(M387="","",ABS(M388)&gt;15%)</f>
        <v/>
      </c>
      <c r="Z388" s="1656" t="str">
        <f>IF(N387="","",ABS(N388)&gt;15%)</f>
        <v/>
      </c>
      <c r="AL388" s="1435"/>
    </row>
    <row r="389" spans="1:38" ht="12.75" customHeight="1">
      <c r="A389" s="618"/>
      <c r="B389" s="479"/>
      <c r="C389" s="479"/>
      <c r="D389" s="915" t="s">
        <v>7</v>
      </c>
      <c r="E389" s="916" t="s">
        <v>1654</v>
      </c>
      <c r="F389" s="916"/>
      <c r="G389" s="916"/>
      <c r="H389" s="921"/>
      <c r="I389" s="1657"/>
      <c r="J389" s="1658" t="str">
        <f>IF(J387="","",IF(V388=FALSE,0%,J388))</f>
        <v/>
      </c>
      <c r="K389" s="1795" t="str">
        <f>IF(K387="","",IF(W388=FALSE,0%,K388))</f>
        <v/>
      </c>
      <c r="L389" s="1795" t="str">
        <f>IF(L387="","",IF(X388=FALSE,0%,L388))</f>
        <v/>
      </c>
      <c r="M389" s="1795" t="str">
        <f>IF(M387="","",IF(Y388=FALSE,0%,M388))</f>
        <v/>
      </c>
      <c r="N389" s="1795" t="str">
        <f>IF(N387="","",IF(Z388=FALSE,0%,N388))</f>
        <v/>
      </c>
      <c r="O389" s="485"/>
      <c r="P389" s="485"/>
      <c r="Q389" s="1435"/>
      <c r="U389" s="1694"/>
      <c r="Z389" s="1664"/>
      <c r="AL389" s="1435"/>
    </row>
    <row r="390" spans="1:38" ht="12.75" hidden="1" customHeight="1">
      <c r="A390" s="618" t="s">
        <v>2289</v>
      </c>
      <c r="B390" s="479"/>
      <c r="C390" s="479"/>
      <c r="D390" s="915"/>
      <c r="E390" s="916" t="s">
        <v>1689</v>
      </c>
      <c r="F390" s="916"/>
      <c r="G390" s="916"/>
      <c r="H390" s="944" t="str">
        <f>H387</f>
        <v>-</v>
      </c>
      <c r="I390" s="945" t="str">
        <f>IF($T371&lt;&gt;TRUE,"",IF(AB335=FALSE,EUconst_NA,IF(V335&gt;($J$3242-3),INDEX(H382:N382,MATCH(V335,H375:N375,0)),SUM(I387))))</f>
        <v/>
      </c>
      <c r="J390" s="1695" t="str">
        <f>IF(OR($I335="",$T371=FALSE),"",IF(V387&lt;2,SUM(J382),IF(V387&lt;3,SUM(I382),IF(V390="",I390,V390))))</f>
        <v/>
      </c>
      <c r="K390" s="1794" t="str">
        <f>IF(OR($I335="",$T371=FALSE),"",IF(W387&lt;2,SUM(K382),IF(W387&lt;3,SUM(J382),IF(W390="",J390,W390))))</f>
        <v/>
      </c>
      <c r="L390" s="1794" t="str">
        <f>IF(OR($I335="",$T371=FALSE),"",IF(X387&lt;2,SUM(L382),IF(X387&lt;3,SUM(K382),IF(X390="",K390,X390))))</f>
        <v/>
      </c>
      <c r="M390" s="1794" t="str">
        <f>IF(OR($I335="",$T371=FALSE),"",IF(Y387&lt;2,SUM(M382),IF(Y387&lt;3,SUM(L382),IF(Y390="",L390,Y390))))</f>
        <v/>
      </c>
      <c r="N390" s="1794" t="str">
        <f>IF(OR($I335="",$T371=FALSE),"",IF(Z387&lt;2,SUM(N382),IF(Z387&lt;3,SUM(M382),IF(Z390="",M390,Z390))))</f>
        <v/>
      </c>
      <c r="O390" s="485"/>
      <c r="P390" s="485"/>
      <c r="Q390" s="1644" t="str">
        <f>EUconst_CNTR_HALprelim&amp;EUconst_CNTR_ELEXCH &amp; I335</f>
        <v>HALprelim_ELEXCH_</v>
      </c>
      <c r="U390" s="1693" t="s">
        <v>1697</v>
      </c>
      <c r="V390" s="1696" t="str">
        <f>IF(J387="","",IF(CNTR_ReportingYear&lt;J386,I389,IF($I390=0,J387,$I390*(1+J389))))</f>
        <v/>
      </c>
      <c r="W390" s="1696" t="str">
        <f>IF(K387="","",IF(CNTR_ReportingYear&lt;K386,J389,IF($I390=0,K387,$I390*(1+K389))))</f>
        <v/>
      </c>
      <c r="X390" s="1696" t="str">
        <f>IF(L387="","",IF(CNTR_ReportingYear&lt;L386,K389,IF($I390=0,L387,$I390*(1+L389))))</f>
        <v/>
      </c>
      <c r="Y390" s="1696" t="str">
        <f>IF(M387="","",IF(CNTR_ReportingYear&lt;M386,L389,IF($I390=0,M387,$I390*(1+M389))))</f>
        <v/>
      </c>
      <c r="Z390" s="1697" t="str">
        <f>IF(N387="","",IF(CNTR_ReportingYear&lt;N386,M389,IF($I390=0,N387,$I390*(1+N389))))</f>
        <v/>
      </c>
      <c r="AL390" s="1435"/>
    </row>
    <row r="391" spans="1:38" ht="5.0999999999999996" customHeight="1">
      <c r="A391" s="618"/>
      <c r="B391" s="479"/>
      <c r="C391" s="479"/>
      <c r="D391" s="915"/>
      <c r="E391" s="909"/>
      <c r="F391" s="909"/>
      <c r="G391" s="909"/>
      <c r="H391" s="909"/>
      <c r="I391" s="909"/>
      <c r="J391" s="922"/>
      <c r="K391" s="1791"/>
      <c r="L391" s="1791"/>
      <c r="M391" s="1791"/>
      <c r="N391" s="1791"/>
      <c r="O391" s="485"/>
      <c r="P391" s="485"/>
      <c r="Q391" s="1435"/>
      <c r="U391" s="1663"/>
      <c r="V391" s="1435"/>
      <c r="Z391" s="1664"/>
      <c r="AL391" s="1435"/>
    </row>
    <row r="392" spans="1:38" ht="12.75" customHeight="1">
      <c r="A392" s="618"/>
      <c r="B392" s="479"/>
      <c r="C392" s="479"/>
      <c r="D392" s="915"/>
      <c r="E392" s="923" t="s">
        <v>1653</v>
      </c>
      <c r="F392" s="923"/>
      <c r="G392" s="923"/>
      <c r="H392" s="923"/>
      <c r="I392" s="923"/>
      <c r="J392" s="1647">
        <f>J$3242</f>
        <v>2026</v>
      </c>
      <c r="K392" s="1490">
        <f>K$3242</f>
        <v>2027</v>
      </c>
      <c r="L392" s="1490">
        <f>L$3242</f>
        <v>2028</v>
      </c>
      <c r="M392" s="1490">
        <f>M$3242</f>
        <v>2029</v>
      </c>
      <c r="N392" s="1490">
        <f>N$3242</f>
        <v>2030</v>
      </c>
      <c r="O392" s="485"/>
      <c r="P392" s="485"/>
      <c r="Q392" s="1435"/>
      <c r="U392" s="1665"/>
      <c r="Z392" s="1664"/>
      <c r="AL392" s="1435"/>
    </row>
    <row r="393" spans="1:38" ht="12.75" customHeight="1">
      <c r="A393" s="618"/>
      <c r="B393" s="479"/>
      <c r="C393" s="479"/>
      <c r="D393" s="915" t="s">
        <v>8</v>
      </c>
      <c r="E393" s="916" t="s">
        <v>2108</v>
      </c>
      <c r="F393" s="916"/>
      <c r="G393" s="916"/>
      <c r="H393" s="916"/>
      <c r="I393" s="916"/>
      <c r="J393" s="1666" t="str">
        <f>IF(OR($I335="",$T371=FALSE),"",INDEX(K_Summary!J:J,MATCH($Q393,K_Summary!$P:$P,0)))</f>
        <v/>
      </c>
      <c r="K393" s="1791" t="str">
        <f>IF(OR($I335="",$T371=FALSE),"",INDEX(K_Summary!K:K,MATCH($Q393,K_Summary!$P:$P,0)))</f>
        <v/>
      </c>
      <c r="L393" s="1791" t="str">
        <f>IF(OR($I335="",$T371=FALSE),"",INDEX(K_Summary!L:L,MATCH($Q393,K_Summary!$P:$P,0)))</f>
        <v/>
      </c>
      <c r="M393" s="1791" t="str">
        <f>IF(OR($I335="",$T371=FALSE),"",INDEX(K_Summary!M:M,MATCH($Q393,K_Summary!$P:$P,0)))</f>
        <v/>
      </c>
      <c r="N393" s="1791" t="str">
        <f>IF(OR($I335="",$T371=FALSE),"",INDEX(K_Summary!N:N,MATCH($Q393,K_Summary!$P:$P,0)))</f>
        <v/>
      </c>
      <c r="O393" s="485"/>
      <c r="P393" s="485"/>
      <c r="Q393" s="1644" t="str">
        <f>EUconst_CNTR_100EUA_ElExch&amp;I335</f>
        <v>EUA100ElExch_</v>
      </c>
      <c r="U393" s="1665"/>
      <c r="Z393" s="1664"/>
      <c r="AL393" s="1435"/>
    </row>
    <row r="394" spans="1:38" ht="5.0999999999999996" customHeight="1" thickBot="1">
      <c r="A394" s="618"/>
      <c r="B394" s="479"/>
      <c r="C394" s="479"/>
      <c r="D394" s="915"/>
      <c r="E394" s="909"/>
      <c r="F394" s="909"/>
      <c r="G394" s="909"/>
      <c r="H394" s="909"/>
      <c r="I394" s="909"/>
      <c r="J394" s="922"/>
      <c r="K394" s="1791"/>
      <c r="L394" s="1791"/>
      <c r="M394" s="1791"/>
      <c r="N394" s="1791"/>
      <c r="O394" s="485"/>
      <c r="P394" s="485"/>
      <c r="Q394" s="1435"/>
      <c r="U394" s="1663"/>
      <c r="V394" s="1435"/>
      <c r="Z394" s="1664"/>
      <c r="AL394" s="1435"/>
    </row>
    <row r="395" spans="1:38" ht="12.75" customHeight="1" thickBot="1">
      <c r="B395" s="479"/>
      <c r="C395" s="479"/>
      <c r="D395" s="915" t="s">
        <v>18</v>
      </c>
      <c r="E395" s="916" t="s">
        <v>1657</v>
      </c>
      <c r="F395" s="916"/>
      <c r="G395" s="916"/>
      <c r="H395" s="921"/>
      <c r="I395" s="1667"/>
      <c r="J395" s="1668" t="str">
        <f>IF(J393="","",IF(OR(J393,V387&lt;1),J389,I395))</f>
        <v/>
      </c>
      <c r="K395" s="1796" t="str">
        <f>IF(K393="","",IF(OR(K393,W387&lt;1),K389,J395))</f>
        <v/>
      </c>
      <c r="L395" s="1796" t="str">
        <f>IF(L393="","",IF(OR(L393,X387&lt;1),L389,K395))</f>
        <v/>
      </c>
      <c r="M395" s="1796" t="str">
        <f>IF(M393="","",IF(OR(M393,Y387&lt;1),M389,L395))</f>
        <v/>
      </c>
      <c r="N395" s="1796" t="str">
        <f>IF(N393="","",IF(OR(N393,Z387&lt;1),N389,M395))</f>
        <v/>
      </c>
      <c r="O395" s="485"/>
      <c r="P395" s="485"/>
      <c r="Q395" s="1435"/>
      <c r="U395" s="1663" t="s">
        <v>1658</v>
      </c>
      <c r="V395" s="1670">
        <f>J392</f>
        <v>2026</v>
      </c>
      <c r="W395" s="1670">
        <f>K392</f>
        <v>2027</v>
      </c>
      <c r="X395" s="1670">
        <f>L392</f>
        <v>2028</v>
      </c>
      <c r="Y395" s="1670">
        <f>M392</f>
        <v>2029</v>
      </c>
      <c r="Z395" s="1671">
        <f>N392</f>
        <v>2030</v>
      </c>
      <c r="AL395" s="1435"/>
    </row>
    <row r="396" spans="1:38" ht="12.75" customHeight="1" thickBot="1">
      <c r="A396" s="618"/>
      <c r="B396" s="479"/>
      <c r="C396" s="479"/>
      <c r="D396" s="915" t="s">
        <v>787</v>
      </c>
      <c r="E396" s="916" t="s">
        <v>1659</v>
      </c>
      <c r="F396" s="916"/>
      <c r="G396" s="916"/>
      <c r="H396" s="944" t="str">
        <f>H387</f>
        <v>-</v>
      </c>
      <c r="I396" s="945" t="str">
        <f>I390</f>
        <v/>
      </c>
      <c r="J396" s="1698" t="str">
        <f>IF(OR($I335="",$T371=FALSE),"",IF(OR($I396=0,$I396=EUconst_NA,J395="",J392&lt;=$V335),J390,$I396*(1+SUM(J395))))</f>
        <v/>
      </c>
      <c r="K396" s="1797" t="str">
        <f>IF(OR($I335="",$T371=FALSE),"",IF(OR($I396=0,$I396=EUconst_NA,K395="",K392&lt;=$V335),K390,$I396*(1+SUM(K395))))</f>
        <v/>
      </c>
      <c r="L396" s="1797" t="str">
        <f>IF(OR($I335="",$T371=FALSE),"",IF(OR($I396=0,$I396=EUconst_NA,L395="",L392&lt;=$V335),L390,$I396*(1+SUM(L395))))</f>
        <v/>
      </c>
      <c r="M396" s="1797" t="str">
        <f>IF(OR($I335="",$T371=FALSE),"",IF(OR($I396=0,$I396=EUconst_NA,M395="",M392&lt;=$V335),M390,$I396*(1+SUM(M395))))</f>
        <v/>
      </c>
      <c r="N396" s="1797" t="str">
        <f>IF(OR($I335="",$T371=FALSE),"",IF(OR($I396=0,$I396=EUconst_NA,N395="",N392&lt;=$V335),N390,$I396*(1+SUM(N395))))</f>
        <v/>
      </c>
      <c r="O396" s="485"/>
      <c r="P396" s="485"/>
      <c r="Q396" s="1644" t="str">
        <f>EUconst_CNTR_HALfinal&amp;EUconst_CNTR_ELEXCH &amp; I335</f>
        <v>HALfinal_ELEXCH_</v>
      </c>
      <c r="U396" s="1674" t="b">
        <v>0</v>
      </c>
      <c r="V396" s="1675" t="str">
        <f>IF(V343,IF(J393=TRUE,V388,U396),"")</f>
        <v/>
      </c>
      <c r="W396" s="1675" t="str">
        <f>IF(W343,IF(K393=TRUE,W388,V396),"")</f>
        <v/>
      </c>
      <c r="X396" s="1675" t="str">
        <f>IF(X343,IF(L393=TRUE,X388,W396),"")</f>
        <v/>
      </c>
      <c r="Y396" s="1675" t="str">
        <f>IF(Y343,IF(M393=TRUE,Y388,X396),"")</f>
        <v/>
      </c>
      <c r="Z396" s="1676" t="str">
        <f>IF(Z343,IF(N393=TRUE,Z388,Y396),"")</f>
        <v/>
      </c>
      <c r="AJ396" s="1633" t="s">
        <v>1951</v>
      </c>
      <c r="AK396" s="1443" t="str">
        <f>IF(OR(ISERROR(J396),ISERROR(K396),ISERROR(L396),ISERROR(M396),ISERROR(N396)),EUconst_Error &amp; "BM" &amp; Q335,"")</f>
        <v/>
      </c>
      <c r="AL396" s="1435"/>
    </row>
    <row r="397" spans="1:38" ht="5.0999999999999996" customHeight="1" thickBot="1">
      <c r="B397" s="479"/>
      <c r="C397" s="479"/>
      <c r="D397" s="946"/>
      <c r="E397" s="947"/>
      <c r="F397" s="947"/>
      <c r="G397" s="947"/>
      <c r="H397" s="947"/>
      <c r="I397" s="947"/>
      <c r="J397" s="1700"/>
      <c r="K397" s="1791"/>
      <c r="L397" s="1791"/>
      <c r="M397" s="1791"/>
      <c r="N397" s="1791"/>
      <c r="O397" s="485"/>
      <c r="P397" s="485"/>
      <c r="Q397" s="1435"/>
    </row>
    <row r="398" spans="1:38" ht="5.0999999999999996" customHeight="1">
      <c r="B398" s="479"/>
      <c r="C398" s="479"/>
      <c r="D398" s="479"/>
      <c r="E398" s="479"/>
      <c r="F398" s="479"/>
      <c r="G398" s="479"/>
      <c r="H398" s="479"/>
      <c r="I398" s="479"/>
      <c r="J398" s="479"/>
      <c r="K398" s="479"/>
      <c r="L398" s="479"/>
      <c r="M398" s="485"/>
      <c r="N398" s="485"/>
      <c r="O398" s="485"/>
      <c r="P398" s="485"/>
      <c r="Q398" s="1435"/>
    </row>
    <row r="399" spans="1:38" ht="12.75" customHeight="1">
      <c r="B399" s="479"/>
      <c r="C399" s="479"/>
      <c r="D399" s="482" t="s">
        <v>881</v>
      </c>
      <c r="E399" s="2373" t="s">
        <v>941</v>
      </c>
      <c r="F399" s="2373"/>
      <c r="G399" s="2373"/>
      <c r="H399" s="2373"/>
      <c r="I399" s="2604"/>
      <c r="J399" s="2652" t="str">
        <f>IF(I335="","",HYPERLINK(R399,EUconst_MsgGoOnIfNotRelevant))</f>
        <v/>
      </c>
      <c r="K399" s="2653"/>
      <c r="L399" s="2653"/>
      <c r="M399" s="2653"/>
      <c r="N399" s="2654"/>
      <c r="O399" s="485"/>
      <c r="P399" s="485"/>
      <c r="Q399" s="1198" t="s">
        <v>441</v>
      </c>
      <c r="R399" s="1488" t="str">
        <f>"#"&amp;ADDRESS(ROW(D424),COLUMN(D424))</f>
        <v>#$D$424</v>
      </c>
    </row>
    <row r="400" spans="1:38" ht="12.75" customHeight="1">
      <c r="B400" s="479"/>
      <c r="C400" s="479"/>
      <c r="D400" s="485"/>
      <c r="E400" s="2385" t="s">
        <v>1368</v>
      </c>
      <c r="F400" s="2846"/>
      <c r="G400" s="2846"/>
      <c r="H400" s="2846"/>
      <c r="I400" s="2846"/>
      <c r="J400" s="2846"/>
      <c r="K400" s="2846"/>
      <c r="L400" s="2846"/>
      <c r="M400" s="2846"/>
      <c r="N400" s="2846"/>
      <c r="O400" s="485"/>
      <c r="P400" s="485"/>
      <c r="Q400" s="1435"/>
      <c r="U400" s="1435"/>
      <c r="V400" s="1435"/>
    </row>
    <row r="401" spans="1:38" ht="12.75" customHeight="1">
      <c r="B401" s="479"/>
      <c r="C401" s="479"/>
      <c r="D401" s="485"/>
      <c r="E401" s="2385" t="s">
        <v>1474</v>
      </c>
      <c r="F401" s="2846"/>
      <c r="G401" s="2846"/>
      <c r="H401" s="2846"/>
      <c r="I401" s="2846"/>
      <c r="J401" s="2846"/>
      <c r="K401" s="2846"/>
      <c r="L401" s="2846"/>
      <c r="M401" s="2846"/>
      <c r="N401" s="2846"/>
      <c r="O401" s="485"/>
      <c r="P401" s="485"/>
      <c r="Q401" s="1435"/>
      <c r="U401" s="1435"/>
      <c r="V401" s="1435"/>
    </row>
    <row r="402" spans="1:38" ht="12.75" customHeight="1">
      <c r="B402" s="479"/>
      <c r="C402" s="479"/>
      <c r="D402" s="485"/>
      <c r="E402" s="2385" t="s">
        <v>1300</v>
      </c>
      <c r="F402" s="2846"/>
      <c r="G402" s="2846"/>
      <c r="H402" s="2846"/>
      <c r="I402" s="2846"/>
      <c r="J402" s="2846"/>
      <c r="K402" s="2846"/>
      <c r="L402" s="2846"/>
      <c r="M402" s="2846"/>
      <c r="N402" s="2846"/>
      <c r="O402" s="485"/>
      <c r="P402" s="485"/>
      <c r="Q402" s="1435"/>
      <c r="U402" s="1435"/>
      <c r="V402" s="1435"/>
    </row>
    <row r="403" spans="1:38" ht="12.75" customHeight="1">
      <c r="B403" s="479"/>
      <c r="C403" s="479"/>
      <c r="D403" s="485"/>
      <c r="E403" s="2385" t="s">
        <v>1608</v>
      </c>
      <c r="F403" s="2846"/>
      <c r="G403" s="2846"/>
      <c r="H403" s="2846"/>
      <c r="I403" s="2846"/>
      <c r="J403" s="2846"/>
      <c r="K403" s="2846"/>
      <c r="L403" s="2846"/>
      <c r="M403" s="2846"/>
      <c r="N403" s="2846"/>
      <c r="O403" s="485"/>
      <c r="P403" s="485"/>
      <c r="Q403" s="1435"/>
      <c r="U403" s="1435"/>
      <c r="V403" s="1435"/>
      <c r="W403" s="1435"/>
      <c r="X403" s="1435"/>
      <c r="Y403" s="1435"/>
      <c r="Z403" s="1435"/>
    </row>
    <row r="404" spans="1:38" ht="13.5" thickBot="1">
      <c r="B404" s="1124"/>
      <c r="C404" s="485"/>
      <c r="D404" s="482"/>
      <c r="E404" s="927" t="s">
        <v>62</v>
      </c>
      <c r="F404" s="518"/>
      <c r="G404" s="663" t="str">
        <f>EUconst_Unit</f>
        <v>Unit</v>
      </c>
      <c r="H404" s="578">
        <f>H$3242</f>
        <v>2024</v>
      </c>
      <c r="I404" s="697">
        <f>I$3242</f>
        <v>2025</v>
      </c>
      <c r="J404" s="1489">
        <f>J$112</f>
        <v>2026</v>
      </c>
      <c r="K404" s="1490">
        <f>K$112</f>
        <v>2027</v>
      </c>
      <c r="L404" s="1490">
        <f>L$112</f>
        <v>2028</v>
      </c>
      <c r="M404" s="1490">
        <f>M$112</f>
        <v>2029</v>
      </c>
      <c r="N404" s="1490">
        <f>N$112</f>
        <v>2030</v>
      </c>
      <c r="O404" s="485"/>
      <c r="P404" s="485"/>
      <c r="R404" s="1503"/>
      <c r="S404" s="1633" t="s">
        <v>1846</v>
      </c>
      <c r="T404" s="1638">
        <f t="shared" ref="T404:Z404" si="170">H404</f>
        <v>2024</v>
      </c>
      <c r="U404" s="1638">
        <f t="shared" si="170"/>
        <v>2025</v>
      </c>
      <c r="V404" s="1638">
        <f t="shared" si="170"/>
        <v>2026</v>
      </c>
      <c r="W404" s="1638">
        <f t="shared" si="170"/>
        <v>2027</v>
      </c>
      <c r="X404" s="1638">
        <f t="shared" si="170"/>
        <v>2028</v>
      </c>
      <c r="Y404" s="1638">
        <f t="shared" si="170"/>
        <v>2029</v>
      </c>
      <c r="Z404" s="1638">
        <f t="shared" si="170"/>
        <v>2030</v>
      </c>
      <c r="AA404" s="1503"/>
      <c r="AC404" s="1638">
        <f t="shared" ref="AC404:AI404" si="171">H$20</f>
        <v>2024</v>
      </c>
      <c r="AD404" s="1638">
        <f t="shared" si="171"/>
        <v>2025</v>
      </c>
      <c r="AE404" s="1638">
        <f t="shared" si="171"/>
        <v>2026</v>
      </c>
      <c r="AF404" s="1638">
        <f t="shared" si="171"/>
        <v>2027</v>
      </c>
      <c r="AG404" s="1638">
        <f t="shared" si="171"/>
        <v>2028</v>
      </c>
      <c r="AH404" s="1638">
        <f t="shared" si="171"/>
        <v>2029</v>
      </c>
      <c r="AI404" s="1638">
        <f t="shared" si="171"/>
        <v>2030</v>
      </c>
    </row>
    <row r="405" spans="1:38" ht="13.15" customHeight="1" thickBot="1">
      <c r="B405" s="1124"/>
      <c r="C405" s="485"/>
      <c r="D405" s="561" t="s">
        <v>6</v>
      </c>
      <c r="E405" s="2788" t="s">
        <v>650</v>
      </c>
      <c r="F405" s="2788"/>
      <c r="G405" s="730" t="str">
        <f>EUconst_TJpa</f>
        <v>TJ / year</v>
      </c>
      <c r="H405" s="1479" t="str">
        <f>c_ALR2025!M3091</f>
        <v/>
      </c>
      <c r="I405" s="1530"/>
      <c r="J405" s="1491"/>
      <c r="K405" s="1492"/>
      <c r="L405" s="1492"/>
      <c r="M405" s="1492"/>
      <c r="N405" s="1492"/>
      <c r="O405" s="485"/>
      <c r="P405" s="9"/>
      <c r="Q405" s="1443" t="str">
        <f>EUconst_CNTR_HAL&amp;EUconst_CNTR_nonETSMeasHeat</f>
        <v>HAL_non-ETS measurable heat</v>
      </c>
      <c r="S405" s="1633"/>
      <c r="T405" s="1701" t="str">
        <f t="shared" ref="T405:Z405" si="172">IF(H405="","",SUM(H405)*EUconst_HeatBMvalue)</f>
        <v/>
      </c>
      <c r="U405" s="1701" t="str">
        <f t="shared" si="172"/>
        <v/>
      </c>
      <c r="V405" s="1701" t="str">
        <f t="shared" si="172"/>
        <v/>
      </c>
      <c r="W405" s="1701" t="str">
        <f t="shared" si="172"/>
        <v/>
      </c>
      <c r="X405" s="1701" t="str">
        <f t="shared" si="172"/>
        <v/>
      </c>
      <c r="Y405" s="1701" t="str">
        <f t="shared" si="172"/>
        <v/>
      </c>
      <c r="Z405" s="1701" t="str">
        <f t="shared" si="172"/>
        <v/>
      </c>
      <c r="AB405" s="1641" t="s">
        <v>717</v>
      </c>
      <c r="AC405" s="1853" t="b">
        <f t="shared" ref="AC405:AI405" si="173">IF(CNTR_ExistSubInstEntries,OR($I335="",H342&gt;=CNTR_ReportingYear,AC404&lt;$V335-1),FALSE)</f>
        <v>0</v>
      </c>
      <c r="AD405" s="1642" t="b">
        <f t="shared" si="173"/>
        <v>0</v>
      </c>
      <c r="AE405" s="1642" t="b">
        <f t="shared" si="173"/>
        <v>0</v>
      </c>
      <c r="AF405" s="1642" t="b">
        <f t="shared" si="173"/>
        <v>0</v>
      </c>
      <c r="AG405" s="1642" t="b">
        <f t="shared" si="173"/>
        <v>0</v>
      </c>
      <c r="AH405" s="1642" t="b">
        <f t="shared" si="173"/>
        <v>0</v>
      </c>
      <c r="AI405" s="1643" t="b">
        <f t="shared" si="173"/>
        <v>0</v>
      </c>
      <c r="AJ405" s="1633" t="s">
        <v>1954</v>
      </c>
      <c r="AK405" s="1635" t="str">
        <f>IF(AND(CNTR_ExistSubInstEntries,COUNTIFS(AC405:AI405,FALSE,H405:N405,"")&gt;0),EUconst_Error&amp;"BM"&amp;$Q335,"")</f>
        <v/>
      </c>
    </row>
    <row r="406" spans="1:38">
      <c r="B406" s="1124"/>
      <c r="C406" s="485"/>
      <c r="D406" s="561" t="s">
        <v>7</v>
      </c>
      <c r="E406" s="2606" t="s">
        <v>107</v>
      </c>
      <c r="F406" s="2606"/>
      <c r="G406" s="950" t="s">
        <v>1022</v>
      </c>
      <c r="H406" s="36" t="str">
        <f>IF(AND(ISNUMBER(H405),ISNUMBER(E_EnergyFlows!H$114)), H405/E_EnergyFlows!H$114*100,"")</f>
        <v/>
      </c>
      <c r="I406" s="39" t="str">
        <f>IF(AND(ISNUMBER(I405),ISNUMBER(E_EnergyFlows!I$114)), I405/E_EnergyFlows!I$114*100,"")</f>
        <v/>
      </c>
      <c r="J406" s="34" t="str">
        <f>IF(AND(ISNUMBER(J405),ISNUMBER(E_EnergyFlows!J$114)), J405/E_EnergyFlows!J$114*100,"")</f>
        <v/>
      </c>
      <c r="K406" s="21" t="str">
        <f>IF(AND(ISNUMBER(K405),ISNUMBER(E_EnergyFlows!K$114)), K405/E_EnergyFlows!K$114*100,"")</f>
        <v/>
      </c>
      <c r="L406" s="21" t="str">
        <f>IF(AND(ISNUMBER(L405),ISNUMBER(E_EnergyFlows!L$114)), L405/E_EnergyFlows!L$114*100,"")</f>
        <v/>
      </c>
      <c r="M406" s="21" t="str">
        <f>IF(AND(ISNUMBER(M405),ISNUMBER(E_EnergyFlows!M$114)), M405/E_EnergyFlows!M$114*100,"")</f>
        <v/>
      </c>
      <c r="N406" s="21" t="str">
        <f>IF(AND(ISNUMBER(N405),ISNUMBER(E_EnergyFlows!N$114)), N405/E_EnergyFlows!N$114*100,"")</f>
        <v/>
      </c>
      <c r="O406" s="485"/>
      <c r="P406" s="485"/>
      <c r="Q406" s="1504" t="str">
        <f>EUconst_CNTR_HEAT &amp; I335</f>
        <v>HEAT_</v>
      </c>
      <c r="R406" s="1435"/>
      <c r="U406" s="1435"/>
      <c r="V406" s="1435"/>
    </row>
    <row r="407" spans="1:38" ht="12.6" customHeight="1">
      <c r="B407" s="1124"/>
      <c r="C407" s="485"/>
      <c r="D407" s="561" t="s">
        <v>8</v>
      </c>
      <c r="E407" s="2586" t="s">
        <v>1548</v>
      </c>
      <c r="F407" s="2586"/>
      <c r="G407" s="951" t="s">
        <v>1022</v>
      </c>
      <c r="H407" s="37" t="str">
        <f>IFERROR(IF(AND(H548&gt;0,ISNUMBER(H405)), H405/H548*100,""),"")</f>
        <v/>
      </c>
      <c r="I407" s="40" t="str">
        <f t="shared" ref="I407:N407" si="174">IF(AND(I548&gt;0,ISNUMBER(I405)), I405/I548*100,"")</f>
        <v/>
      </c>
      <c r="J407" s="34" t="str">
        <f t="shared" si="174"/>
        <v/>
      </c>
      <c r="K407" s="21" t="str">
        <f t="shared" si="174"/>
        <v/>
      </c>
      <c r="L407" s="21" t="str">
        <f t="shared" si="174"/>
        <v/>
      </c>
      <c r="M407" s="21" t="str">
        <f t="shared" si="174"/>
        <v/>
      </c>
      <c r="N407" s="21" t="str">
        <f t="shared" si="174"/>
        <v/>
      </c>
      <c r="O407" s="485"/>
      <c r="P407" s="485"/>
      <c r="U407" s="1435"/>
      <c r="V407" s="1435"/>
    </row>
    <row r="408" spans="1:38" ht="5.0999999999999996" customHeight="1">
      <c r="B408" s="1124"/>
      <c r="C408" s="485"/>
      <c r="D408" s="485"/>
      <c r="E408" s="485"/>
      <c r="F408" s="485"/>
      <c r="G408" s="485"/>
      <c r="H408" s="485"/>
      <c r="I408" s="952"/>
      <c r="J408" s="485"/>
      <c r="K408" s="485"/>
      <c r="L408" s="485"/>
      <c r="M408" s="485"/>
      <c r="N408" s="485"/>
      <c r="O408" s="485"/>
      <c r="P408" s="485"/>
      <c r="Q408" s="1702"/>
      <c r="U408" s="1435"/>
      <c r="V408" s="1435"/>
    </row>
    <row r="409" spans="1:38" ht="25.5" customHeight="1" thickBot="1">
      <c r="B409" s="479"/>
      <c r="C409" s="479"/>
      <c r="D409" s="485"/>
      <c r="E409" s="2385" t="s">
        <v>2733</v>
      </c>
      <c r="F409" s="2846"/>
      <c r="G409" s="2846"/>
      <c r="H409" s="2846"/>
      <c r="I409" s="2846"/>
      <c r="J409" s="2846"/>
      <c r="K409" s="2846"/>
      <c r="L409" s="2846"/>
      <c r="M409" s="2846"/>
      <c r="N409" s="2846"/>
      <c r="O409" s="485"/>
      <c r="P409" s="485"/>
      <c r="Q409" s="1435"/>
      <c r="S409" s="1435"/>
      <c r="T409" s="1435"/>
      <c r="U409" s="1435"/>
    </row>
    <row r="410" spans="1:38" ht="5.0999999999999996" customHeight="1" thickBot="1">
      <c r="B410" s="479"/>
      <c r="C410" s="479"/>
      <c r="D410" s="902"/>
      <c r="E410" s="904"/>
      <c r="F410" s="953"/>
      <c r="G410" s="953"/>
      <c r="H410" s="953"/>
      <c r="I410" s="953"/>
      <c r="J410" s="954"/>
      <c r="K410" s="1798"/>
      <c r="L410" s="1798"/>
      <c r="M410" s="1798"/>
      <c r="N410" s="1798"/>
      <c r="O410" s="485"/>
      <c r="P410" s="485"/>
      <c r="Q410" s="1435"/>
      <c r="S410" s="1435"/>
      <c r="T410" s="1435"/>
      <c r="U410" s="1435"/>
    </row>
    <row r="411" spans="1:38" ht="12.75" customHeight="1">
      <c r="B411" s="479"/>
      <c r="C411" s="479"/>
      <c r="D411" s="907" t="s">
        <v>1916</v>
      </c>
      <c r="E411" s="908" t="s">
        <v>1774</v>
      </c>
      <c r="F411" s="909"/>
      <c r="G411" s="909"/>
      <c r="H411" s="910" t="str">
        <f>EUconst_Unit</f>
        <v>Unit</v>
      </c>
      <c r="I411" s="911" t="s">
        <v>2213</v>
      </c>
      <c r="J411" s="1647">
        <f>J$3242</f>
        <v>2026</v>
      </c>
      <c r="K411" s="1490">
        <f>K$3242</f>
        <v>2027</v>
      </c>
      <c r="L411" s="1490">
        <f>L$3242</f>
        <v>2028</v>
      </c>
      <c r="M411" s="1490">
        <f>M$3242</f>
        <v>2029</v>
      </c>
      <c r="N411" s="1490">
        <f>N$3242</f>
        <v>2030</v>
      </c>
      <c r="O411" s="485"/>
      <c r="P411" s="485"/>
      <c r="Q411" s="1435"/>
      <c r="U411" s="1648"/>
      <c r="V411" s="1649">
        <f>J411</f>
        <v>2026</v>
      </c>
      <c r="W411" s="1649">
        <f>K411</f>
        <v>2027</v>
      </c>
      <c r="X411" s="1649">
        <f>L411</f>
        <v>2028</v>
      </c>
      <c r="Y411" s="1649">
        <f>M411</f>
        <v>2029</v>
      </c>
      <c r="Z411" s="1650">
        <f>N411</f>
        <v>2030</v>
      </c>
    </row>
    <row r="412" spans="1:38" ht="12.75" customHeight="1">
      <c r="B412" s="479"/>
      <c r="C412" s="479"/>
      <c r="D412" s="915" t="s">
        <v>6</v>
      </c>
      <c r="E412" s="916" t="s">
        <v>1691</v>
      </c>
      <c r="F412" s="916"/>
      <c r="G412" s="916"/>
      <c r="H412" s="944" t="str">
        <f>EUconst_tCO2</f>
        <v>t CO2</v>
      </c>
      <c r="I412" s="917" t="str">
        <f>INDEX('B+C_SubInstallations'!$J:$J,MATCH(Q412,'B+C_SubInstallations'!$U:$U,0))</f>
        <v/>
      </c>
      <c r="J412" s="1703" t="str">
        <f>IF(AND(V412&gt;=3,CNTR_ReportingYear&gt;J411-1),AVERAGE(SUM(T405),SUM(U405)),"")</f>
        <v/>
      </c>
      <c r="K412" s="1799" t="str">
        <f>IF(AND(W412&gt;=3,CNTR_ReportingYear&gt;K411-1),AVERAGE(SUM(U405),SUM(V405)),"")</f>
        <v/>
      </c>
      <c r="L412" s="1799" t="str">
        <f>IF(AND(X412&gt;=3,CNTR_ReportingYear&gt;L411-1),AVERAGE(SUM(V405),SUM(W405)),"")</f>
        <v/>
      </c>
      <c r="M412" s="1799" t="str">
        <f>IF(AND(Y412&gt;=3,CNTR_ReportingYear&gt;M411-1),AVERAGE(SUM(W405),SUM(X405)),"")</f>
        <v/>
      </c>
      <c r="N412" s="1799" t="str">
        <f>IF(AND(Z412&gt;=3,CNTR_ReportingYear&gt;N411-1),AVERAGE(SUM(X405),SUM(Y405)),"")</f>
        <v/>
      </c>
      <c r="O412" s="485"/>
      <c r="P412" s="485"/>
      <c r="Q412" s="1704" t="str">
        <f>EUconst_CNTR_HEATInitial &amp; I335</f>
        <v>HEATIni_</v>
      </c>
      <c r="U412" s="1663" t="s">
        <v>1650</v>
      </c>
      <c r="V412" s="1635">
        <f>V357</f>
        <v>0</v>
      </c>
      <c r="W412" s="1635">
        <f>W357</f>
        <v>0</v>
      </c>
      <c r="X412" s="1635">
        <f>X357</f>
        <v>0</v>
      </c>
      <c r="Y412" s="1635">
        <f>Y357</f>
        <v>0</v>
      </c>
      <c r="Z412" s="1654">
        <f>Z357</f>
        <v>0</v>
      </c>
    </row>
    <row r="413" spans="1:38" ht="12.75" hidden="1" customHeight="1">
      <c r="A413" s="618" t="s">
        <v>2289</v>
      </c>
      <c r="B413" s="479"/>
      <c r="C413" s="479"/>
      <c r="D413" s="915"/>
      <c r="E413" s="916" t="s">
        <v>1776</v>
      </c>
      <c r="F413" s="916"/>
      <c r="G413" s="916"/>
      <c r="H413" s="921"/>
      <c r="I413" s="1657"/>
      <c r="J413" s="17" t="str">
        <f>IF(J412="","",IF($I415=0,IF(J412=0,0%,100%),J412/$I415-1))</f>
        <v/>
      </c>
      <c r="K413" s="22" t="str">
        <f>IF(K412="","",IF($I415=0,IF(K412=0,0%,100%),K412/$I415-1))</f>
        <v/>
      </c>
      <c r="L413" s="22" t="str">
        <f>IF(L412="","",IF($I415=0,IF(L412=0,0%,100%),L412/$I415-1))</f>
        <v/>
      </c>
      <c r="M413" s="22" t="str">
        <f>IF(M412="","",IF($I415=0,IF(M412=0,0%,100%),M412/$I415-1))</f>
        <v/>
      </c>
      <c r="N413" s="22" t="str">
        <f>IF(N412="","",IF($I415=0,IF(N412=0,0%,100%),N412/$I415-1))</f>
        <v/>
      </c>
      <c r="O413" s="485"/>
      <c r="P413" s="485"/>
      <c r="Q413" s="1644" t="str">
        <f>EUconst_CNTR_RelThreshold &amp; Q415</f>
        <v>RelThresh_HEATprelim_</v>
      </c>
      <c r="U413" s="1663" t="s">
        <v>1655</v>
      </c>
      <c r="V413" s="1158" t="str">
        <f>IF(J412="","",ABS(J413)&gt;15%)</f>
        <v/>
      </c>
      <c r="W413" s="1158" t="str">
        <f>IF(K412="","",ABS(K413)&gt;15%)</f>
        <v/>
      </c>
      <c r="X413" s="1158" t="str">
        <f>IF(L412="","",ABS(L413)&gt;15%)</f>
        <v/>
      </c>
      <c r="Y413" s="1158" t="str">
        <f>IF(M412="","",ABS(M413)&gt;15%)</f>
        <v/>
      </c>
      <c r="Z413" s="1656" t="str">
        <f>IF(N412="","",ABS(N413)&gt;15%)</f>
        <v/>
      </c>
    </row>
    <row r="414" spans="1:38" ht="12.75" customHeight="1">
      <c r="A414" s="618"/>
      <c r="B414" s="479"/>
      <c r="C414" s="479"/>
      <c r="D414" s="915" t="s">
        <v>7</v>
      </c>
      <c r="E414" s="916" t="s">
        <v>1654</v>
      </c>
      <c r="F414" s="916"/>
      <c r="G414" s="916"/>
      <c r="H414" s="921"/>
      <c r="I414" s="1657"/>
      <c r="J414" s="1658" t="str">
        <f>IF(J412="","",IF(V413=FALSE,0%,J413))</f>
        <v/>
      </c>
      <c r="K414" s="1795" t="str">
        <f>IF(K412="","",IF(W413=FALSE,0%,K413))</f>
        <v/>
      </c>
      <c r="L414" s="1795" t="str">
        <f>IF(L412="","",IF(X413=FALSE,0%,L413))</f>
        <v/>
      </c>
      <c r="M414" s="1795" t="str">
        <f>IF(M412="","",IF(Y413=FALSE,0%,M413))</f>
        <v/>
      </c>
      <c r="N414" s="1795" t="str">
        <f>IF(N412="","",IF(Z413=FALSE,0%,N413))</f>
        <v/>
      </c>
      <c r="O414" s="485"/>
      <c r="P414" s="485"/>
      <c r="Q414" s="1435"/>
      <c r="U414" s="1665"/>
      <c r="Z414" s="1664"/>
      <c r="AL414" s="1435"/>
    </row>
    <row r="415" spans="1:38" ht="12.75" hidden="1" customHeight="1">
      <c r="A415" s="618" t="s">
        <v>2289</v>
      </c>
      <c r="B415" s="479"/>
      <c r="C415" s="479"/>
      <c r="D415" s="915"/>
      <c r="E415" s="916" t="s">
        <v>1689</v>
      </c>
      <c r="F415" s="916"/>
      <c r="G415" s="916"/>
      <c r="H415" s="944" t="str">
        <f>H412</f>
        <v>t CO2</v>
      </c>
      <c r="I415" s="917" t="str">
        <f>IF($I335="","",IF(AB335=FALSE,EUconst_NA,IF(V335&gt;($J$3242-3),SUM(INDEX(H405:N405,MATCH(V335,H404:N404,0))*EUconst_HeatBMvalue),SUM(I412))))</f>
        <v/>
      </c>
      <c r="J415" s="1651" t="str">
        <f>IF($I335="","",IF(V412&lt;2,SUM(V405),IF(V412&lt;3,SUM(U405),IF(V415="",I415,V415))))</f>
        <v/>
      </c>
      <c r="K415" s="1799" t="str">
        <f>IF($I335="","",IF(W412&lt;2,SUM(W405),IF(W412&lt;3,SUM(V405),IF(W415="",J415,W415))))</f>
        <v/>
      </c>
      <c r="L415" s="1799" t="str">
        <f>IF($I335="","",IF(X412&lt;2,SUM(X405),IF(X412&lt;3,SUM(W405),IF(X415="",K415,X415))))</f>
        <v/>
      </c>
      <c r="M415" s="1799" t="str">
        <f>IF($I335="","",IF(Y412&lt;2,SUM(Y405),IF(Y412&lt;3,SUM(X405),IF(Y415="",L415,Y415))))</f>
        <v/>
      </c>
      <c r="N415" s="1799" t="str">
        <f>IF($I335="","",IF(Z412&lt;2,SUM(Z405),IF(Z412&lt;3,SUM(Y405),IF(Z415="",M415,Z415))))</f>
        <v/>
      </c>
      <c r="O415" s="485"/>
      <c r="P415" s="485"/>
      <c r="Q415" s="1644" t="str">
        <f>EUconst_CNTR_HEATprelim &amp; I335</f>
        <v>HEATprelim_</v>
      </c>
      <c r="U415" s="1663" t="s">
        <v>1697</v>
      </c>
      <c r="V415" s="1705" t="str">
        <f>IF(J412="","",IF(CNTR_ReportingYear&lt;J411,I414,IF($I415=0,J412,$I415*(1+J414))))</f>
        <v/>
      </c>
      <c r="W415" s="1705" t="str">
        <f>IF(K412="","",IF(CNTR_ReportingYear&lt;K411,J414,IF($I415=0,K412,$I415*(1+K414))))</f>
        <v/>
      </c>
      <c r="X415" s="1705" t="str">
        <f>IF(L412="","",IF(CNTR_ReportingYear&lt;L411,K414,IF($I415=0,L412,$I415*(1+L414))))</f>
        <v/>
      </c>
      <c r="Y415" s="1705" t="str">
        <f>IF(M412="","",IF(CNTR_ReportingYear&lt;M411,L414,IF($I415=0,M412,$I415*(1+M414))))</f>
        <v/>
      </c>
      <c r="Z415" s="1706" t="str">
        <f>IF(N412="","",IF(CNTR_ReportingYear&lt;N411,M414,IF($I415=0,N412,$I415*(1+N414))))</f>
        <v/>
      </c>
      <c r="AL415" s="1435"/>
    </row>
    <row r="416" spans="1:38" ht="5.0999999999999996" customHeight="1">
      <c r="A416" s="618"/>
      <c r="B416" s="479"/>
      <c r="C416" s="479"/>
      <c r="D416" s="915"/>
      <c r="E416" s="909"/>
      <c r="F416" s="909"/>
      <c r="G416" s="909"/>
      <c r="H416" s="909"/>
      <c r="I416" s="909"/>
      <c r="J416" s="922"/>
      <c r="K416" s="1791"/>
      <c r="L416" s="1791"/>
      <c r="M416" s="1791"/>
      <c r="N416" s="1791"/>
      <c r="O416" s="485"/>
      <c r="P416" s="485"/>
      <c r="Q416" s="1435"/>
      <c r="U416" s="1663"/>
      <c r="V416" s="1435"/>
      <c r="Z416" s="1664"/>
      <c r="AL416" s="1435"/>
    </row>
    <row r="417" spans="1:38" ht="12.75" customHeight="1">
      <c r="A417" s="618"/>
      <c r="B417" s="479"/>
      <c r="C417" s="479"/>
      <c r="D417" s="915"/>
      <c r="E417" s="923" t="s">
        <v>1653</v>
      </c>
      <c r="F417" s="923"/>
      <c r="G417" s="923"/>
      <c r="H417" s="923"/>
      <c r="I417" s="923"/>
      <c r="J417" s="1647">
        <f>J$3242</f>
        <v>2026</v>
      </c>
      <c r="K417" s="1490">
        <f>K$3242</f>
        <v>2027</v>
      </c>
      <c r="L417" s="1490">
        <f>L$3242</f>
        <v>2028</v>
      </c>
      <c r="M417" s="1490">
        <f>M$3242</f>
        <v>2029</v>
      </c>
      <c r="N417" s="1490">
        <f>N$3242</f>
        <v>2030</v>
      </c>
      <c r="O417" s="485"/>
      <c r="P417" s="485"/>
      <c r="Q417" s="1435"/>
      <c r="U417" s="1665"/>
      <c r="Z417" s="1664"/>
      <c r="AL417" s="1435"/>
    </row>
    <row r="418" spans="1:38" ht="12.75" customHeight="1">
      <c r="A418" s="618"/>
      <c r="B418" s="479"/>
      <c r="C418" s="479"/>
      <c r="D418" s="915" t="s">
        <v>8</v>
      </c>
      <c r="E418" s="916" t="s">
        <v>2108</v>
      </c>
      <c r="F418" s="916"/>
      <c r="G418" s="916"/>
      <c r="H418" s="916"/>
      <c r="I418" s="916"/>
      <c r="J418" s="1666" t="str">
        <f>IF($I335="","",INDEX(K_Summary!J:J,MATCH($Q418,K_Summary!$P:$P,0)))</f>
        <v/>
      </c>
      <c r="K418" s="1791" t="str">
        <f>IF($I335="","",INDEX(K_Summary!K:K,MATCH($Q418,K_Summary!$P:$P,0)))</f>
        <v/>
      </c>
      <c r="L418" s="1791" t="str">
        <f>IF($I335="","",INDEX(K_Summary!L:L,MATCH($Q418,K_Summary!$P:$P,0)))</f>
        <v/>
      </c>
      <c r="M418" s="1791" t="str">
        <f>IF($I335="","",INDEX(K_Summary!M:M,MATCH($Q418,K_Summary!$P:$P,0)))</f>
        <v/>
      </c>
      <c r="N418" s="1791" t="str">
        <f>IF($I335="","",INDEX(K_Summary!N:N,MATCH($Q418,K_Summary!$P:$P,0)))</f>
        <v/>
      </c>
      <c r="O418" s="485"/>
      <c r="P418" s="485"/>
      <c r="Q418" s="1644" t="str">
        <f>EUconst_CNTR_100EUA_HEAT&amp;I335</f>
        <v>EUA100HEAT_</v>
      </c>
      <c r="U418" s="1665"/>
      <c r="Z418" s="1664"/>
      <c r="AL418" s="1435"/>
    </row>
    <row r="419" spans="1:38" ht="5.0999999999999996" customHeight="1" thickBot="1">
      <c r="A419" s="618"/>
      <c r="B419" s="479"/>
      <c r="C419" s="479"/>
      <c r="D419" s="915"/>
      <c r="E419" s="909"/>
      <c r="F419" s="909"/>
      <c r="G419" s="909"/>
      <c r="H419" s="909"/>
      <c r="I419" s="909"/>
      <c r="J419" s="922"/>
      <c r="K419" s="1791"/>
      <c r="L419" s="1791"/>
      <c r="M419" s="1791"/>
      <c r="N419" s="1791"/>
      <c r="O419" s="485"/>
      <c r="P419" s="485"/>
      <c r="Q419" s="1435"/>
      <c r="U419" s="1663"/>
      <c r="V419" s="1435"/>
      <c r="Z419" s="1664"/>
      <c r="AL419" s="1435"/>
    </row>
    <row r="420" spans="1:38" ht="12.75" customHeight="1" thickBot="1">
      <c r="B420" s="479"/>
      <c r="C420" s="479"/>
      <c r="D420" s="915" t="s">
        <v>18</v>
      </c>
      <c r="E420" s="916" t="s">
        <v>1657</v>
      </c>
      <c r="F420" s="916"/>
      <c r="G420" s="916"/>
      <c r="H420" s="921"/>
      <c r="I420" s="1667"/>
      <c r="J420" s="1668" t="str">
        <f>IF(J418="","",IF(OR(J418,V412&lt;1),J414,I420))</f>
        <v/>
      </c>
      <c r="K420" s="1796" t="str">
        <f>IF(K418="","",IF(OR(K418,W412&lt;1),K414,J420))</f>
        <v/>
      </c>
      <c r="L420" s="1796" t="str">
        <f>IF(L418="","",IF(OR(L418,X412&lt;1),L414,K420))</f>
        <v/>
      </c>
      <c r="M420" s="1796" t="str">
        <f>IF(M418="","",IF(OR(M418,Y412&lt;1),M414,L420))</f>
        <v/>
      </c>
      <c r="N420" s="1796" t="str">
        <f>IF(N418="","",IF(OR(N418,Z412&lt;1),N414,M420))</f>
        <v/>
      </c>
      <c r="O420" s="485"/>
      <c r="P420" s="485"/>
      <c r="Q420" s="1435"/>
      <c r="U420" s="1663" t="s">
        <v>1658</v>
      </c>
      <c r="V420" s="1670">
        <f>J417</f>
        <v>2026</v>
      </c>
      <c r="W420" s="1670">
        <f>K417</f>
        <v>2027</v>
      </c>
      <c r="X420" s="1670">
        <f>L417</f>
        <v>2028</v>
      </c>
      <c r="Y420" s="1670">
        <f>M417</f>
        <v>2029</v>
      </c>
      <c r="Z420" s="1671">
        <f>N417</f>
        <v>2030</v>
      </c>
      <c r="AL420" s="1435"/>
    </row>
    <row r="421" spans="1:38" ht="12.75" customHeight="1" thickBot="1">
      <c r="A421" s="618"/>
      <c r="B421" s="479"/>
      <c r="C421" s="479"/>
      <c r="D421" s="915" t="s">
        <v>787</v>
      </c>
      <c r="E421" s="916" t="s">
        <v>1659</v>
      </c>
      <c r="F421" s="916"/>
      <c r="G421" s="916"/>
      <c r="H421" s="944" t="str">
        <f>H412</f>
        <v>t CO2</v>
      </c>
      <c r="I421" s="917" t="str">
        <f>I415</f>
        <v/>
      </c>
      <c r="J421" s="1672" t="str">
        <f>IF($I335="","",IF(OR($I421=0,$I421=EUconst_NA,J420=""),IF(OR(J418=TRUE,J417&lt;=$V335),J415,SUM(I421)),$I421*(1+SUM(J420))))</f>
        <v/>
      </c>
      <c r="K421" s="1800" t="str">
        <f>IF($I335="","",IF(OR($I421=0,$I421=EUconst_NA,K420=""),IF(OR(K418=TRUE,K417&lt;=$V335),K415,SUM(J421)),$I421*(1+SUM(K420))))</f>
        <v/>
      </c>
      <c r="L421" s="1800" t="str">
        <f>IF($I335="","",IF(OR($I421=0,$I421=EUconst_NA,L420=""),IF(OR(L418=TRUE,L417&lt;=$V335),L415,SUM(K421)),$I421*(1+SUM(L420))))</f>
        <v/>
      </c>
      <c r="M421" s="1800" t="str">
        <f>IF($I335="","",IF(OR($I421=0,$I421=EUconst_NA,M420=""),IF(OR(M418=TRUE,M417&lt;=$V335),M415,SUM(L421)),$I421*(1+SUM(M420))))</f>
        <v/>
      </c>
      <c r="N421" s="1800" t="str">
        <f>IF($I335="","",IF(OR($I421=0,$I421=EUconst_NA,N420=""),IF(OR(N418=TRUE,N417&lt;=$V335),N415,SUM(M421)),$I421*(1+SUM(N420))))</f>
        <v/>
      </c>
      <c r="O421" s="485"/>
      <c r="P421" s="485"/>
      <c r="Q421" s="1644" t="str">
        <f>EUconst_CNTR_HEATfinal &amp; I335</f>
        <v>HEATfinal_</v>
      </c>
      <c r="U421" s="1674" t="b">
        <v>0</v>
      </c>
      <c r="V421" s="1675" t="str">
        <f>IF(V343,IF(J418=TRUE,V413,U421),"")</f>
        <v/>
      </c>
      <c r="W421" s="1675" t="str">
        <f>IF(W343,IF(K418=TRUE,W413,V421),"")</f>
        <v/>
      </c>
      <c r="X421" s="1675" t="str">
        <f>IF(X343,IF(L418=TRUE,X413,W421),"")</f>
        <v/>
      </c>
      <c r="Y421" s="1675" t="str">
        <f>IF(Y343,IF(M418=TRUE,Y413,X421),"")</f>
        <v/>
      </c>
      <c r="Z421" s="1676" t="str">
        <f>IF(Z343,IF(N418=TRUE,Z413,Y421),"")</f>
        <v/>
      </c>
      <c r="AJ421" s="1633" t="s">
        <v>1951</v>
      </c>
      <c r="AK421" s="1443" t="str">
        <f>IF(OR(ISERROR(J421),ISERROR(K421),ISERROR(L421),ISERROR(M421),ISERROR(N421)),EUconst_Error &amp; "BM" &amp; Q335,"")</f>
        <v/>
      </c>
    </row>
    <row r="422" spans="1:38" ht="5.0999999999999996" customHeight="1" thickBot="1">
      <c r="B422" s="1124"/>
      <c r="C422" s="485"/>
      <c r="D422" s="924"/>
      <c r="E422" s="925"/>
      <c r="F422" s="925"/>
      <c r="G422" s="925"/>
      <c r="H422" s="925"/>
      <c r="I422" s="955"/>
      <c r="J422" s="926"/>
      <c r="K422" s="1791"/>
      <c r="L422" s="1791"/>
      <c r="M422" s="1791"/>
      <c r="N422" s="1791"/>
      <c r="O422" s="485"/>
      <c r="P422" s="485"/>
      <c r="Q422" s="1702"/>
      <c r="S422" s="1435"/>
      <c r="T422" s="1435"/>
    </row>
    <row r="423" spans="1:38" ht="5.0999999999999996" customHeight="1">
      <c r="B423" s="1124"/>
      <c r="C423" s="485"/>
      <c r="D423" s="485"/>
      <c r="E423" s="485"/>
      <c r="F423" s="485"/>
      <c r="G423" s="485"/>
      <c r="H423" s="485"/>
      <c r="I423" s="952"/>
      <c r="J423" s="485"/>
      <c r="K423" s="485"/>
      <c r="L423" s="485"/>
      <c r="M423" s="485"/>
      <c r="N423" s="485"/>
      <c r="O423" s="485"/>
      <c r="P423" s="485"/>
      <c r="Q423" s="1702"/>
      <c r="S423" s="1435"/>
      <c r="T423" s="1435"/>
    </row>
    <row r="424" spans="1:38" ht="15" customHeight="1">
      <c r="B424" s="1124"/>
      <c r="C424" s="856"/>
      <c r="D424" s="2482" t="s">
        <v>103</v>
      </c>
      <c r="E424" s="2400"/>
      <c r="F424" s="2400"/>
      <c r="G424" s="2400"/>
      <c r="H424" s="2400"/>
      <c r="I424" s="2400"/>
      <c r="J424" s="2400"/>
      <c r="K424" s="2400"/>
      <c r="L424" s="2400"/>
      <c r="M424" s="2400"/>
      <c r="N424" s="2400"/>
      <c r="O424" s="485"/>
      <c r="P424" s="485"/>
      <c r="S424" s="1435"/>
      <c r="T424" s="1435"/>
    </row>
    <row r="425" spans="1:38" ht="5.0999999999999996" customHeight="1">
      <c r="B425" s="479"/>
      <c r="C425" s="479"/>
      <c r="D425" s="479"/>
      <c r="E425" s="479"/>
      <c r="F425" s="479"/>
      <c r="G425" s="479"/>
      <c r="H425" s="479"/>
      <c r="I425" s="479"/>
      <c r="J425" s="479"/>
      <c r="K425" s="479"/>
      <c r="L425" s="479"/>
      <c r="M425" s="479"/>
      <c r="N425" s="479"/>
      <c r="O425" s="485"/>
      <c r="P425" s="485"/>
      <c r="Q425" s="1435"/>
      <c r="R425" s="1435"/>
      <c r="S425" s="1435"/>
      <c r="T425" s="1435"/>
    </row>
    <row r="426" spans="1:38" ht="12.75" customHeight="1">
      <c r="B426" s="479"/>
      <c r="C426" s="482"/>
      <c r="D426" s="482" t="s">
        <v>57</v>
      </c>
      <c r="E426" s="2373" t="s">
        <v>108</v>
      </c>
      <c r="F426" s="2400"/>
      <c r="G426" s="2400"/>
      <c r="H426" s="2400"/>
      <c r="I426" s="2400"/>
      <c r="J426" s="2400"/>
      <c r="K426" s="2400"/>
      <c r="L426" s="2400"/>
      <c r="M426" s="2400"/>
      <c r="N426" s="2400"/>
      <c r="O426" s="485"/>
      <c r="P426" s="485"/>
      <c r="Q426" s="1435"/>
      <c r="S426" s="1435"/>
      <c r="T426" s="1435"/>
    </row>
    <row r="427" spans="1:38" ht="7.9" customHeight="1">
      <c r="B427" s="479"/>
      <c r="C427" s="485"/>
      <c r="D427" s="485"/>
      <c r="E427" s="2465" t="s">
        <v>1935</v>
      </c>
      <c r="F427" s="2400"/>
      <c r="G427" s="2400"/>
      <c r="H427" s="2400"/>
      <c r="I427" s="2400"/>
      <c r="J427" s="2400"/>
      <c r="K427" s="2400"/>
      <c r="L427" s="2400"/>
      <c r="M427" s="2400"/>
      <c r="N427" s="2400"/>
      <c r="O427" s="485"/>
      <c r="P427" s="485"/>
      <c r="Q427" s="1435"/>
      <c r="S427" s="1435"/>
      <c r="T427" s="1435"/>
    </row>
    <row r="428" spans="1:38" ht="13.15" customHeight="1">
      <c r="B428" s="479"/>
      <c r="C428" s="485"/>
      <c r="D428" s="485"/>
      <c r="E428" s="2385" t="s">
        <v>1636</v>
      </c>
      <c r="F428" s="2846"/>
      <c r="G428" s="2846"/>
      <c r="H428" s="2846"/>
      <c r="I428" s="2846"/>
      <c r="J428" s="2846"/>
      <c r="K428" s="2846"/>
      <c r="L428" s="2846"/>
      <c r="M428" s="2846"/>
      <c r="N428" s="2846"/>
      <c r="O428" s="485"/>
      <c r="P428" s="485"/>
      <c r="Q428" s="1435"/>
      <c r="S428" s="1435"/>
      <c r="T428" s="1435"/>
    </row>
    <row r="429" spans="1:38" ht="12.75" customHeight="1">
      <c r="B429" s="479"/>
      <c r="C429" s="485"/>
      <c r="D429" s="485"/>
      <c r="E429" s="2385" t="s">
        <v>2119</v>
      </c>
      <c r="F429" s="2385"/>
      <c r="G429" s="2385"/>
      <c r="H429" s="2385"/>
      <c r="I429" s="2385"/>
      <c r="J429" s="2385"/>
      <c r="K429" s="2385"/>
      <c r="L429" s="2385"/>
      <c r="M429" s="2385"/>
      <c r="N429" s="2385"/>
      <c r="O429" s="485"/>
      <c r="P429" s="485"/>
      <c r="Q429" s="1435"/>
      <c r="S429" s="1435"/>
      <c r="T429" s="1435"/>
    </row>
    <row r="430" spans="1:38">
      <c r="B430" s="479"/>
      <c r="C430" s="485"/>
      <c r="D430" s="485"/>
      <c r="E430" s="3306" t="s">
        <v>2120</v>
      </c>
      <c r="F430" s="3306"/>
      <c r="G430" s="3306"/>
      <c r="H430" s="3306"/>
      <c r="I430" s="3306"/>
      <c r="J430" s="3306"/>
      <c r="K430" s="3306"/>
      <c r="L430" s="3306"/>
      <c r="M430" s="3306"/>
      <c r="N430" s="3306"/>
      <c r="O430" s="485"/>
      <c r="P430" s="485"/>
      <c r="Q430" s="1435"/>
      <c r="S430" s="1435"/>
      <c r="T430" s="1435"/>
    </row>
    <row r="431" spans="1:38" ht="5.0999999999999996" customHeight="1">
      <c r="B431" s="479"/>
      <c r="C431" s="479"/>
      <c r="D431" s="479"/>
      <c r="E431" s="479"/>
      <c r="F431" s="479"/>
      <c r="G431" s="479"/>
      <c r="H431" s="479"/>
      <c r="I431" s="479"/>
      <c r="J431" s="479"/>
      <c r="K431" s="479"/>
      <c r="L431" s="479"/>
      <c r="M431" s="479"/>
      <c r="N431" s="479"/>
      <c r="O431" s="485"/>
      <c r="P431" s="485"/>
      <c r="Q431" s="1435"/>
      <c r="R431" s="1435"/>
      <c r="S431" s="1435"/>
      <c r="T431" s="1435"/>
    </row>
    <row r="432" spans="1:38" ht="12.75" customHeight="1">
      <c r="B432" s="479"/>
      <c r="C432" s="482"/>
      <c r="D432" s="482" t="s">
        <v>58</v>
      </c>
      <c r="E432" s="2373" t="s">
        <v>1013</v>
      </c>
      <c r="F432" s="2400"/>
      <c r="G432" s="2400"/>
      <c r="H432" s="2400"/>
      <c r="I432" s="2400"/>
      <c r="J432" s="2400"/>
      <c r="K432" s="2400"/>
      <c r="L432" s="2400"/>
      <c r="M432" s="2400"/>
      <c r="N432" s="2400"/>
      <c r="O432" s="485"/>
      <c r="P432" s="485"/>
      <c r="Q432" s="1435"/>
      <c r="S432" s="1435"/>
      <c r="T432" s="1435"/>
    </row>
    <row r="433" spans="2:35" ht="5.0999999999999996" customHeight="1">
      <c r="B433" s="479"/>
      <c r="C433" s="479"/>
      <c r="D433" s="485"/>
      <c r="E433" s="617"/>
      <c r="F433" s="617"/>
      <c r="G433" s="617"/>
      <c r="H433" s="617"/>
      <c r="I433" s="617"/>
      <c r="J433" s="468"/>
      <c r="K433" s="468"/>
      <c r="L433" s="468"/>
      <c r="M433" s="485"/>
      <c r="N433" s="485"/>
      <c r="O433" s="485"/>
      <c r="P433" s="485"/>
      <c r="Q433" s="1435"/>
      <c r="S433" s="1435"/>
      <c r="T433" s="1435"/>
    </row>
    <row r="434" spans="2:35" ht="30" customHeight="1" thickBot="1">
      <c r="B434" s="1124"/>
      <c r="C434" s="485"/>
      <c r="D434" s="956"/>
      <c r="E434" s="1068" t="s">
        <v>2112</v>
      </c>
      <c r="F434" s="958" t="s">
        <v>949</v>
      </c>
      <c r="G434" s="959" t="str">
        <f>EUconst_Unit</f>
        <v>Unit</v>
      </c>
      <c r="H434" s="578">
        <f>H$3242</f>
        <v>2024</v>
      </c>
      <c r="I434" s="697">
        <f>I$3242</f>
        <v>2025</v>
      </c>
      <c r="J434" s="1801"/>
      <c r="K434" s="1802"/>
      <c r="L434" s="1802"/>
      <c r="M434" s="1802"/>
      <c r="N434" s="1802"/>
      <c r="O434" s="485"/>
      <c r="P434" s="485"/>
      <c r="S434" s="1709" t="s">
        <v>2057</v>
      </c>
      <c r="T434" s="1435"/>
      <c r="Z434" s="1710" t="s">
        <v>717</v>
      </c>
      <c r="AC434" s="1638">
        <f t="shared" ref="AC434:AI434" si="175">H$20</f>
        <v>2024</v>
      </c>
      <c r="AD434" s="1638">
        <f t="shared" si="175"/>
        <v>2025</v>
      </c>
      <c r="AE434" s="1638">
        <f t="shared" si="175"/>
        <v>2026</v>
      </c>
      <c r="AF434" s="1638">
        <f t="shared" si="175"/>
        <v>2027</v>
      </c>
      <c r="AG434" s="1638">
        <f t="shared" si="175"/>
        <v>2028</v>
      </c>
      <c r="AH434" s="1638">
        <f t="shared" si="175"/>
        <v>2029</v>
      </c>
      <c r="AI434" s="1638">
        <f t="shared" si="175"/>
        <v>2030</v>
      </c>
    </row>
    <row r="435" spans="2:35" ht="13.15" customHeight="1">
      <c r="B435" s="1124"/>
      <c r="C435" s="485"/>
      <c r="D435" s="579">
        <v>1</v>
      </c>
      <c r="E435" s="1711" t="str">
        <f>c_ALR2025!E3121</f>
        <v/>
      </c>
      <c r="F435" s="1711" t="str">
        <f>c_ALR2025!F3121</f>
        <v/>
      </c>
      <c r="G435" s="1712" t="str">
        <f>c_ALR2025!G3121</f>
        <v/>
      </c>
      <c r="H435" s="1713" t="str">
        <f>c_ALR2025!M3121</f>
        <v/>
      </c>
      <c r="I435" s="1858"/>
      <c r="J435" s="1801"/>
      <c r="K435" s="1802"/>
      <c r="L435" s="1802"/>
      <c r="M435" s="1802"/>
      <c r="N435" s="1802"/>
      <c r="O435" s="485"/>
      <c r="P435" s="9"/>
      <c r="S435" s="1715" t="b">
        <f>IF(E435 = "", TRUE, FALSE)</f>
        <v>1</v>
      </c>
      <c r="T435" s="1435"/>
      <c r="Z435" s="1435"/>
      <c r="AC435" s="1803"/>
      <c r="AD435" s="1803"/>
      <c r="AE435" s="1803"/>
      <c r="AF435" s="1803"/>
      <c r="AG435" s="1803"/>
      <c r="AH435" s="1803"/>
    </row>
    <row r="436" spans="2:35" ht="13.15" customHeight="1">
      <c r="B436" s="1124"/>
      <c r="C436" s="485"/>
      <c r="D436" s="582">
        <f>D435+1</f>
        <v>2</v>
      </c>
      <c r="E436" s="1717" t="str">
        <f>c_ALR2025!E3122</f>
        <v/>
      </c>
      <c r="F436" s="1717" t="str">
        <f>c_ALR2025!F3122</f>
        <v/>
      </c>
      <c r="G436" s="1718" t="str">
        <f>c_ALR2025!G3122</f>
        <v/>
      </c>
      <c r="H436" s="1719" t="str">
        <f>c_ALR2025!M3122</f>
        <v/>
      </c>
      <c r="I436" s="1859"/>
      <c r="J436" s="1801"/>
      <c r="K436" s="1802"/>
      <c r="L436" s="1802"/>
      <c r="M436" s="1802"/>
      <c r="N436" s="1802"/>
      <c r="O436" s="485"/>
      <c r="P436" s="9"/>
      <c r="S436" s="1715" t="b">
        <f t="shared" ref="S436:S444" si="176">IF(E436 = "", TRUE, FALSE)</f>
        <v>1</v>
      </c>
      <c r="T436" s="1435"/>
      <c r="Z436" s="1435"/>
      <c r="AC436" s="1803"/>
      <c r="AD436" s="1803"/>
      <c r="AE436" s="1803"/>
      <c r="AF436" s="1803"/>
      <c r="AG436" s="1803"/>
      <c r="AH436" s="1803"/>
    </row>
    <row r="437" spans="2:35" ht="13.15" customHeight="1">
      <c r="B437" s="1124"/>
      <c r="C437" s="485"/>
      <c r="D437" s="582">
        <f t="shared" ref="D437:D444" si="177">D436+1</f>
        <v>3</v>
      </c>
      <c r="E437" s="1717" t="str">
        <f>c_ALR2025!E3123</f>
        <v/>
      </c>
      <c r="F437" s="1717" t="str">
        <f>c_ALR2025!F3123</f>
        <v/>
      </c>
      <c r="G437" s="1718" t="str">
        <f>c_ALR2025!G3123</f>
        <v/>
      </c>
      <c r="H437" s="1719" t="str">
        <f>c_ALR2025!M3123</f>
        <v/>
      </c>
      <c r="I437" s="1859"/>
      <c r="J437" s="1801"/>
      <c r="K437" s="1802"/>
      <c r="L437" s="1802"/>
      <c r="M437" s="1802"/>
      <c r="N437" s="1802"/>
      <c r="O437" s="485"/>
      <c r="P437" s="9"/>
      <c r="S437" s="1715" t="b">
        <f t="shared" si="176"/>
        <v>1</v>
      </c>
      <c r="T437" s="1435"/>
      <c r="Z437" s="1435"/>
      <c r="AC437" s="1803"/>
      <c r="AD437" s="1803"/>
      <c r="AE437" s="1803"/>
      <c r="AF437" s="1803"/>
      <c r="AG437" s="1803"/>
      <c r="AH437" s="1803"/>
    </row>
    <row r="438" spans="2:35" ht="13.15" customHeight="1">
      <c r="B438" s="1124"/>
      <c r="C438" s="485"/>
      <c r="D438" s="582">
        <f t="shared" si="177"/>
        <v>4</v>
      </c>
      <c r="E438" s="1717" t="str">
        <f>c_ALR2025!E3124</f>
        <v/>
      </c>
      <c r="F438" s="1717" t="str">
        <f>c_ALR2025!F3124</f>
        <v/>
      </c>
      <c r="G438" s="1718" t="str">
        <f>c_ALR2025!G3124</f>
        <v/>
      </c>
      <c r="H438" s="1719" t="str">
        <f>c_ALR2025!M3124</f>
        <v/>
      </c>
      <c r="I438" s="1859"/>
      <c r="J438" s="1801"/>
      <c r="K438" s="1802"/>
      <c r="L438" s="1802"/>
      <c r="M438" s="1802"/>
      <c r="N438" s="1802"/>
      <c r="O438" s="485"/>
      <c r="P438" s="9"/>
      <c r="S438" s="1715" t="b">
        <f t="shared" si="176"/>
        <v>1</v>
      </c>
      <c r="T438" s="1435"/>
      <c r="Z438" s="1435"/>
      <c r="AC438" s="1803"/>
      <c r="AD438" s="1803"/>
      <c r="AE438" s="1803"/>
      <c r="AF438" s="1803"/>
      <c r="AG438" s="1803"/>
      <c r="AH438" s="1803"/>
    </row>
    <row r="439" spans="2:35" ht="13.15" customHeight="1">
      <c r="B439" s="1124"/>
      <c r="C439" s="485"/>
      <c r="D439" s="582">
        <f t="shared" si="177"/>
        <v>5</v>
      </c>
      <c r="E439" s="1717" t="str">
        <f>c_ALR2025!E3125</f>
        <v/>
      </c>
      <c r="F439" s="1717" t="str">
        <f>c_ALR2025!F3125</f>
        <v/>
      </c>
      <c r="G439" s="1718" t="str">
        <f>c_ALR2025!G3125</f>
        <v/>
      </c>
      <c r="H439" s="1719" t="str">
        <f>c_ALR2025!M3125</f>
        <v/>
      </c>
      <c r="I439" s="1859"/>
      <c r="J439" s="1801"/>
      <c r="K439" s="1802"/>
      <c r="L439" s="1802"/>
      <c r="M439" s="1802"/>
      <c r="N439" s="1802"/>
      <c r="O439" s="485"/>
      <c r="P439" s="9"/>
      <c r="S439" s="1715" t="b">
        <f t="shared" si="176"/>
        <v>1</v>
      </c>
      <c r="T439" s="1435"/>
      <c r="Z439" s="1435"/>
      <c r="AC439" s="1803"/>
      <c r="AD439" s="1803"/>
      <c r="AE439" s="1803"/>
      <c r="AF439" s="1803"/>
      <c r="AG439" s="1803"/>
      <c r="AH439" s="1803"/>
    </row>
    <row r="440" spans="2:35" ht="13.15" customHeight="1">
      <c r="B440" s="1124"/>
      <c r="C440" s="485"/>
      <c r="D440" s="582">
        <f t="shared" si="177"/>
        <v>6</v>
      </c>
      <c r="E440" s="1717" t="str">
        <f>c_ALR2025!E3126</f>
        <v/>
      </c>
      <c r="F440" s="1717" t="str">
        <f>c_ALR2025!F3126</f>
        <v/>
      </c>
      <c r="G440" s="1718" t="str">
        <f>c_ALR2025!G3126</f>
        <v/>
      </c>
      <c r="H440" s="1719" t="str">
        <f>c_ALR2025!M3126</f>
        <v/>
      </c>
      <c r="I440" s="1859"/>
      <c r="J440" s="1801"/>
      <c r="K440" s="1802"/>
      <c r="L440" s="1802"/>
      <c r="M440" s="1802"/>
      <c r="N440" s="1802"/>
      <c r="O440" s="485"/>
      <c r="P440" s="9"/>
      <c r="S440" s="1715" t="b">
        <f t="shared" si="176"/>
        <v>1</v>
      </c>
      <c r="T440" s="1435"/>
      <c r="Z440" s="1435"/>
      <c r="AC440" s="1803"/>
      <c r="AD440" s="1803"/>
      <c r="AE440" s="1803"/>
      <c r="AF440" s="1803"/>
      <c r="AG440" s="1803"/>
      <c r="AH440" s="1803"/>
    </row>
    <row r="441" spans="2:35" ht="13.15" customHeight="1">
      <c r="B441" s="1124"/>
      <c r="C441" s="485"/>
      <c r="D441" s="582">
        <f t="shared" si="177"/>
        <v>7</v>
      </c>
      <c r="E441" s="1717" t="str">
        <f>c_ALR2025!E3127</f>
        <v/>
      </c>
      <c r="F441" s="1717" t="str">
        <f>c_ALR2025!F3127</f>
        <v/>
      </c>
      <c r="G441" s="1718" t="str">
        <f>c_ALR2025!G3127</f>
        <v/>
      </c>
      <c r="H441" s="1719" t="str">
        <f>c_ALR2025!M3127</f>
        <v/>
      </c>
      <c r="I441" s="1859"/>
      <c r="J441" s="1801"/>
      <c r="K441" s="1802"/>
      <c r="L441" s="1802"/>
      <c r="M441" s="1802"/>
      <c r="N441" s="1802"/>
      <c r="O441" s="485"/>
      <c r="P441" s="9"/>
      <c r="S441" s="1715" t="b">
        <f t="shared" si="176"/>
        <v>1</v>
      </c>
      <c r="T441" s="1435"/>
      <c r="Z441" s="1435"/>
      <c r="AC441" s="1803"/>
      <c r="AD441" s="1803"/>
      <c r="AE441" s="1803"/>
      <c r="AF441" s="1803"/>
      <c r="AG441" s="1803"/>
      <c r="AH441" s="1803"/>
    </row>
    <row r="442" spans="2:35" ht="13.15" customHeight="1">
      <c r="B442" s="1124"/>
      <c r="C442" s="485"/>
      <c r="D442" s="582">
        <f t="shared" si="177"/>
        <v>8</v>
      </c>
      <c r="E442" s="1717" t="str">
        <f>c_ALR2025!E3128</f>
        <v/>
      </c>
      <c r="F442" s="1717" t="str">
        <f>c_ALR2025!F3128</f>
        <v/>
      </c>
      <c r="G442" s="1718" t="str">
        <f>c_ALR2025!G3128</f>
        <v/>
      </c>
      <c r="H442" s="1719" t="str">
        <f>c_ALR2025!M3128</f>
        <v/>
      </c>
      <c r="I442" s="1859"/>
      <c r="J442" s="1801"/>
      <c r="K442" s="1802"/>
      <c r="L442" s="1802"/>
      <c r="M442" s="1802"/>
      <c r="N442" s="1802"/>
      <c r="O442" s="485"/>
      <c r="P442" s="9"/>
      <c r="S442" s="1715" t="b">
        <f t="shared" si="176"/>
        <v>1</v>
      </c>
      <c r="T442" s="1435"/>
      <c r="Z442" s="1435"/>
      <c r="AC442" s="1803"/>
      <c r="AD442" s="1803"/>
      <c r="AE442" s="1803"/>
      <c r="AF442" s="1803"/>
      <c r="AG442" s="1803"/>
      <c r="AH442" s="1803"/>
    </row>
    <row r="443" spans="2:35" ht="13.15" customHeight="1">
      <c r="B443" s="1124"/>
      <c r="C443" s="485"/>
      <c r="D443" s="582">
        <f t="shared" si="177"/>
        <v>9</v>
      </c>
      <c r="E443" s="1717" t="str">
        <f>c_ALR2025!E3129</f>
        <v/>
      </c>
      <c r="F443" s="1717" t="str">
        <f>c_ALR2025!F3129</f>
        <v/>
      </c>
      <c r="G443" s="1718" t="str">
        <f>c_ALR2025!G3129</f>
        <v/>
      </c>
      <c r="H443" s="1719" t="str">
        <f>c_ALR2025!M3129</f>
        <v/>
      </c>
      <c r="I443" s="1859"/>
      <c r="J443" s="1801"/>
      <c r="K443" s="1802"/>
      <c r="L443" s="1802"/>
      <c r="M443" s="1802"/>
      <c r="N443" s="1802"/>
      <c r="O443" s="485"/>
      <c r="P443" s="9"/>
      <c r="S443" s="1715" t="b">
        <f t="shared" si="176"/>
        <v>1</v>
      </c>
      <c r="T443" s="1435"/>
      <c r="Z443" s="1435"/>
      <c r="AC443" s="1803"/>
      <c r="AD443" s="1803"/>
      <c r="AE443" s="1803"/>
      <c r="AF443" s="1803"/>
      <c r="AG443" s="1803"/>
      <c r="AH443" s="1803"/>
    </row>
    <row r="444" spans="2:35" ht="13.15" customHeight="1">
      <c r="B444" s="1124"/>
      <c r="C444" s="485"/>
      <c r="D444" s="584">
        <f t="shared" si="177"/>
        <v>10</v>
      </c>
      <c r="E444" s="1720" t="str">
        <f>c_ALR2025!E3130</f>
        <v/>
      </c>
      <c r="F444" s="1720" t="str">
        <f>c_ALR2025!F3130</f>
        <v/>
      </c>
      <c r="G444" s="1721" t="str">
        <f>c_ALR2025!G3130</f>
        <v/>
      </c>
      <c r="H444" s="1722" t="str">
        <f>c_ALR2025!M3130</f>
        <v/>
      </c>
      <c r="I444" s="1860"/>
      <c r="J444" s="1801"/>
      <c r="K444" s="1802"/>
      <c r="L444" s="1802"/>
      <c r="M444" s="1802"/>
      <c r="N444" s="1802"/>
      <c r="O444" s="485"/>
      <c r="P444" s="9"/>
      <c r="S444" s="1715" t="b">
        <f t="shared" si="176"/>
        <v>1</v>
      </c>
      <c r="T444" s="1435"/>
      <c r="Z444" s="1435"/>
      <c r="AC444" s="1803"/>
      <c r="AD444" s="1803"/>
      <c r="AE444" s="1803"/>
      <c r="AF444" s="1803"/>
      <c r="AG444" s="1803"/>
      <c r="AH444" s="1803"/>
    </row>
    <row r="445" spans="2:35" ht="13.15" customHeight="1">
      <c r="B445" s="1124"/>
      <c r="C445" s="485"/>
      <c r="D445" s="579">
        <v>1</v>
      </c>
      <c r="E445" s="1861"/>
      <c r="F445" s="1861"/>
      <c r="G445" s="1862"/>
      <c r="H445" s="1723"/>
      <c r="I445" s="1863"/>
      <c r="J445" s="1801"/>
      <c r="K445" s="1802"/>
      <c r="L445" s="1802"/>
      <c r="M445" s="1802"/>
      <c r="N445" s="1802"/>
      <c r="O445" s="485"/>
      <c r="P445" s="9"/>
      <c r="S445" s="1715" t="b">
        <f>NOT(S435)</f>
        <v>0</v>
      </c>
      <c r="T445" s="1435"/>
      <c r="Z445" s="1435"/>
      <c r="AC445" s="1803"/>
      <c r="AD445" s="1803"/>
      <c r="AE445" s="1803"/>
      <c r="AF445" s="1803"/>
      <c r="AG445" s="1803"/>
      <c r="AH445" s="1803"/>
    </row>
    <row r="446" spans="2:35" ht="13.15" customHeight="1">
      <c r="B446" s="1124"/>
      <c r="C446" s="485"/>
      <c r="D446" s="582">
        <f>D445+1</f>
        <v>2</v>
      </c>
      <c r="E446" s="1864"/>
      <c r="F446" s="1864"/>
      <c r="G446" s="1865"/>
      <c r="H446" s="1724"/>
      <c r="I446" s="1859"/>
      <c r="J446" s="1801"/>
      <c r="K446" s="1802"/>
      <c r="L446" s="1802"/>
      <c r="M446" s="1802"/>
      <c r="N446" s="1802"/>
      <c r="O446" s="485"/>
      <c r="P446" s="9"/>
      <c r="S446" s="1715" t="b">
        <f t="shared" ref="S446:S454" si="178">NOT(S436)</f>
        <v>0</v>
      </c>
      <c r="T446" s="1435"/>
      <c r="Z446" s="1435"/>
      <c r="AC446" s="1803"/>
      <c r="AD446" s="1803"/>
      <c r="AE446" s="1803"/>
      <c r="AF446" s="1803"/>
      <c r="AG446" s="1803"/>
      <c r="AH446" s="1803"/>
    </row>
    <row r="447" spans="2:35" ht="13.15" customHeight="1">
      <c r="B447" s="1124"/>
      <c r="C447" s="485"/>
      <c r="D447" s="582">
        <f t="shared" ref="D447:D454" si="179">D446+1</f>
        <v>3</v>
      </c>
      <c r="E447" s="1864"/>
      <c r="F447" s="1864"/>
      <c r="G447" s="1865"/>
      <c r="H447" s="1724"/>
      <c r="I447" s="1859"/>
      <c r="J447" s="1801"/>
      <c r="K447" s="1802"/>
      <c r="L447" s="1802"/>
      <c r="M447" s="1802"/>
      <c r="N447" s="1802"/>
      <c r="O447" s="485"/>
      <c r="P447" s="9"/>
      <c r="S447" s="1715" t="b">
        <f t="shared" si="178"/>
        <v>0</v>
      </c>
      <c r="T447" s="1435"/>
      <c r="Z447" s="1435"/>
      <c r="AC447" s="1803"/>
      <c r="AD447" s="1803"/>
      <c r="AE447" s="1803"/>
      <c r="AF447" s="1803"/>
      <c r="AG447" s="1803"/>
      <c r="AH447" s="1803"/>
    </row>
    <row r="448" spans="2:35" ht="13.15" customHeight="1">
      <c r="B448" s="1124"/>
      <c r="C448" s="485"/>
      <c r="D448" s="582">
        <f t="shared" si="179"/>
        <v>4</v>
      </c>
      <c r="E448" s="1864"/>
      <c r="F448" s="1864"/>
      <c r="G448" s="1865"/>
      <c r="H448" s="1724"/>
      <c r="I448" s="1859"/>
      <c r="J448" s="1801"/>
      <c r="K448" s="1802"/>
      <c r="L448" s="1802"/>
      <c r="M448" s="1802"/>
      <c r="N448" s="1802"/>
      <c r="O448" s="485"/>
      <c r="P448" s="9"/>
      <c r="S448" s="1715" t="b">
        <f t="shared" si="178"/>
        <v>0</v>
      </c>
      <c r="T448" s="1435"/>
      <c r="Z448" s="1435"/>
      <c r="AC448" s="1803"/>
      <c r="AD448" s="1803"/>
      <c r="AE448" s="1803"/>
      <c r="AF448" s="1803"/>
      <c r="AG448" s="1803"/>
      <c r="AH448" s="1803"/>
    </row>
    <row r="449" spans="2:42" ht="13.15" customHeight="1">
      <c r="B449" s="1124"/>
      <c r="C449" s="485"/>
      <c r="D449" s="582">
        <f t="shared" si="179"/>
        <v>5</v>
      </c>
      <c r="E449" s="1864"/>
      <c r="F449" s="1864"/>
      <c r="G449" s="1865"/>
      <c r="H449" s="1724"/>
      <c r="I449" s="1859"/>
      <c r="J449" s="1801"/>
      <c r="K449" s="1802"/>
      <c r="L449" s="1802"/>
      <c r="M449" s="1802"/>
      <c r="N449" s="1802"/>
      <c r="O449" s="485"/>
      <c r="P449" s="9"/>
      <c r="S449" s="1715" t="b">
        <f t="shared" si="178"/>
        <v>0</v>
      </c>
      <c r="T449" s="1435"/>
      <c r="Z449" s="1435"/>
      <c r="AC449" s="1803"/>
      <c r="AD449" s="1803"/>
      <c r="AE449" s="1803"/>
      <c r="AF449" s="1803"/>
      <c r="AG449" s="1803"/>
      <c r="AH449" s="1803"/>
    </row>
    <row r="450" spans="2:42" ht="13.15" customHeight="1">
      <c r="B450" s="1124"/>
      <c r="C450" s="485"/>
      <c r="D450" s="582">
        <f t="shared" si="179"/>
        <v>6</v>
      </c>
      <c r="E450" s="1864"/>
      <c r="F450" s="1864"/>
      <c r="G450" s="1865"/>
      <c r="H450" s="1724"/>
      <c r="I450" s="1859"/>
      <c r="J450" s="1801"/>
      <c r="K450" s="1802"/>
      <c r="L450" s="1802"/>
      <c r="M450" s="1802"/>
      <c r="N450" s="1802"/>
      <c r="O450" s="485"/>
      <c r="P450" s="9"/>
      <c r="S450" s="1715" t="b">
        <f t="shared" si="178"/>
        <v>0</v>
      </c>
      <c r="T450" s="1435"/>
      <c r="Z450" s="1435"/>
      <c r="AC450" s="1803"/>
      <c r="AD450" s="1803"/>
      <c r="AE450" s="1803"/>
      <c r="AF450" s="1803"/>
      <c r="AG450" s="1803"/>
      <c r="AH450" s="1803"/>
    </row>
    <row r="451" spans="2:42" ht="13.15" customHeight="1">
      <c r="B451" s="1124"/>
      <c r="C451" s="485"/>
      <c r="D451" s="582">
        <f t="shared" si="179"/>
        <v>7</v>
      </c>
      <c r="E451" s="1864"/>
      <c r="F451" s="1864"/>
      <c r="G451" s="1865"/>
      <c r="H451" s="1724"/>
      <c r="I451" s="1859"/>
      <c r="J451" s="1801"/>
      <c r="K451" s="1802"/>
      <c r="L451" s="1802"/>
      <c r="M451" s="1802"/>
      <c r="N451" s="1802"/>
      <c r="O451" s="485"/>
      <c r="P451" s="9"/>
      <c r="S451" s="1715" t="b">
        <f t="shared" si="178"/>
        <v>0</v>
      </c>
      <c r="T451" s="1435"/>
      <c r="Z451" s="1435"/>
      <c r="AC451" s="1803"/>
      <c r="AD451" s="1803"/>
      <c r="AE451" s="1803"/>
      <c r="AF451" s="1803"/>
      <c r="AG451" s="1803"/>
      <c r="AH451" s="1803"/>
    </row>
    <row r="452" spans="2:42" ht="13.15" customHeight="1">
      <c r="B452" s="1124"/>
      <c r="C452" s="485"/>
      <c r="D452" s="582">
        <f t="shared" si="179"/>
        <v>8</v>
      </c>
      <c r="E452" s="1864"/>
      <c r="F452" s="1864"/>
      <c r="G452" s="1865"/>
      <c r="H452" s="1724"/>
      <c r="I452" s="1859"/>
      <c r="J452" s="1801"/>
      <c r="K452" s="1802"/>
      <c r="L452" s="1802"/>
      <c r="M452" s="1802"/>
      <c r="N452" s="1802"/>
      <c r="O452" s="485"/>
      <c r="P452" s="9"/>
      <c r="S452" s="1715" t="b">
        <f t="shared" si="178"/>
        <v>0</v>
      </c>
      <c r="T452" s="1435"/>
      <c r="Z452" s="1435"/>
      <c r="AC452" s="1803"/>
      <c r="AD452" s="1803"/>
      <c r="AE452" s="1803"/>
      <c r="AF452" s="1803"/>
      <c r="AG452" s="1803"/>
      <c r="AH452" s="1803"/>
    </row>
    <row r="453" spans="2:42" ht="13.15" customHeight="1">
      <c r="B453" s="1124"/>
      <c r="C453" s="485"/>
      <c r="D453" s="582">
        <f t="shared" si="179"/>
        <v>9</v>
      </c>
      <c r="E453" s="1864"/>
      <c r="F453" s="1864"/>
      <c r="G453" s="1865"/>
      <c r="H453" s="1724"/>
      <c r="I453" s="1859"/>
      <c r="J453" s="1801"/>
      <c r="K453" s="1802"/>
      <c r="L453" s="1802"/>
      <c r="M453" s="1802"/>
      <c r="N453" s="1802"/>
      <c r="O453" s="485"/>
      <c r="P453" s="9"/>
      <c r="S453" s="1715" t="b">
        <f t="shared" si="178"/>
        <v>0</v>
      </c>
      <c r="T453" s="1435"/>
      <c r="Z453" s="1435"/>
      <c r="AC453" s="1803"/>
      <c r="AD453" s="1803"/>
      <c r="AE453" s="1803"/>
      <c r="AF453" s="1803"/>
      <c r="AG453" s="1803"/>
      <c r="AH453" s="1803"/>
    </row>
    <row r="454" spans="2:42" ht="13.15" customHeight="1" thickBot="1">
      <c r="B454" s="1124"/>
      <c r="C454" s="485"/>
      <c r="D454" s="584">
        <f t="shared" si="179"/>
        <v>10</v>
      </c>
      <c r="E454" s="1866"/>
      <c r="F454" s="1866"/>
      <c r="G454" s="1867"/>
      <c r="H454" s="1725"/>
      <c r="I454" s="1860"/>
      <c r="J454" s="1801"/>
      <c r="K454" s="1802"/>
      <c r="L454" s="1802"/>
      <c r="M454" s="1802"/>
      <c r="N454" s="1802"/>
      <c r="O454" s="485"/>
      <c r="P454" s="9"/>
      <c r="S454" s="1726" t="b">
        <f t="shared" si="178"/>
        <v>0</v>
      </c>
      <c r="T454" s="1435"/>
      <c r="Z454" s="1435"/>
      <c r="AC454" s="1803"/>
      <c r="AD454" s="1803"/>
      <c r="AE454" s="1803"/>
      <c r="AF454" s="1803"/>
      <c r="AG454" s="1803"/>
      <c r="AH454" s="1803"/>
    </row>
    <row r="455" spans="2:42">
      <c r="B455" s="1124"/>
      <c r="C455" s="485"/>
      <c r="D455" s="579">
        <v>1</v>
      </c>
      <c r="E455" s="864" t="str">
        <f t="shared" ref="E455:E464" si="180">IF(E445&lt;&gt; "",E445,IF(E435 &lt;&gt; "", E435,""))</f>
        <v/>
      </c>
      <c r="F455" s="864" t="str">
        <f t="shared" ref="F455:I455" si="181">IF(F445&lt;&gt; "",F445,IF(F435 &lt;&gt; "", F435,""))</f>
        <v/>
      </c>
      <c r="G455" s="1727" t="str">
        <f t="shared" si="181"/>
        <v/>
      </c>
      <c r="H455" s="1728" t="str">
        <f t="shared" si="181"/>
        <v/>
      </c>
      <c r="I455" s="1729" t="str">
        <f t="shared" si="181"/>
        <v/>
      </c>
      <c r="J455" s="1804"/>
      <c r="K455" s="1805"/>
      <c r="L455" s="1805"/>
      <c r="M455" s="1805"/>
      <c r="N455" s="1805"/>
      <c r="O455" s="485"/>
      <c r="P455" s="1119"/>
      <c r="S455" s="1435"/>
      <c r="T455" s="1435"/>
      <c r="Z455" s="1730" t="b">
        <f t="shared" ref="Z455:Z464" si="182">AA455</f>
        <v>0</v>
      </c>
      <c r="AA455" s="1731" t="b">
        <f t="shared" ref="AA455:AA464" si="183">AB455</f>
        <v>0</v>
      </c>
      <c r="AB455" s="1868" t="b">
        <f>AND(AC455:AI455)</f>
        <v>0</v>
      </c>
      <c r="AC455" s="1732" t="b">
        <f t="shared" ref="AC455:AI455" si="184">AC405</f>
        <v>0</v>
      </c>
      <c r="AD455" s="1680" t="b">
        <f t="shared" si="184"/>
        <v>0</v>
      </c>
      <c r="AE455" s="1680" t="b">
        <f t="shared" si="184"/>
        <v>0</v>
      </c>
      <c r="AF455" s="1680" t="b">
        <f t="shared" si="184"/>
        <v>0</v>
      </c>
      <c r="AG455" s="1680" t="b">
        <f t="shared" si="184"/>
        <v>0</v>
      </c>
      <c r="AH455" s="1680" t="b">
        <f t="shared" si="184"/>
        <v>0</v>
      </c>
      <c r="AI455" s="1681" t="b">
        <f t="shared" si="184"/>
        <v>0</v>
      </c>
      <c r="AJ455" s="1633" t="s">
        <v>1954</v>
      </c>
      <c r="AK455" s="1635" t="str">
        <f>IF(AND(CNTR_ExistSubInstEntries,COUNTIFS(AC455:AI455,FALSE,H455:N455,"")&gt;0),EUconst_Error&amp;"BM"&amp;$Q335,"")</f>
        <v/>
      </c>
      <c r="AP455" s="1135" t="s">
        <v>2391</v>
      </c>
    </row>
    <row r="456" spans="2:42">
      <c r="B456" s="1124"/>
      <c r="C456" s="485"/>
      <c r="D456" s="582">
        <f>D455+1</f>
        <v>2</v>
      </c>
      <c r="E456" s="866" t="str">
        <f t="shared" si="180"/>
        <v/>
      </c>
      <c r="F456" s="964" t="str">
        <f t="shared" ref="F456:I456" si="185">IF(F446&lt;&gt; "",F446,IF(F436 &lt;&gt; "", F436,""))</f>
        <v/>
      </c>
      <c r="G456" s="895" t="str">
        <f t="shared" si="185"/>
        <v/>
      </c>
      <c r="H456" s="1735" t="str">
        <f t="shared" si="185"/>
        <v/>
      </c>
      <c r="I456" s="1734" t="str">
        <f t="shared" si="185"/>
        <v/>
      </c>
      <c r="J456" s="1804"/>
      <c r="K456" s="1805"/>
      <c r="L456" s="1805"/>
      <c r="M456" s="1805"/>
      <c r="N456" s="1805"/>
      <c r="O456" s="485"/>
      <c r="P456" s="1119"/>
      <c r="S456" s="1435"/>
      <c r="T456" s="1435"/>
      <c r="Z456" s="1736" t="b">
        <f t="shared" si="182"/>
        <v>0</v>
      </c>
      <c r="AA456" s="1443" t="b">
        <f t="shared" si="183"/>
        <v>0</v>
      </c>
      <c r="AB456" s="1737" t="b">
        <f t="shared" ref="AB456:AB464" si="186">AND(AC456:AI456)</f>
        <v>0</v>
      </c>
      <c r="AC456" s="1738" t="b">
        <f>AC455</f>
        <v>0</v>
      </c>
      <c r="AD456" s="1443" t="b">
        <f t="shared" ref="AD456:AI464" si="187">AD455</f>
        <v>0</v>
      </c>
      <c r="AE456" s="1443" t="b">
        <f t="shared" si="187"/>
        <v>0</v>
      </c>
      <c r="AF456" s="1443" t="b">
        <f t="shared" si="187"/>
        <v>0</v>
      </c>
      <c r="AG456" s="1443" t="b">
        <f t="shared" si="187"/>
        <v>0</v>
      </c>
      <c r="AH456" s="1443" t="b">
        <f t="shared" si="187"/>
        <v>0</v>
      </c>
      <c r="AI456" s="1737" t="b">
        <f t="shared" si="187"/>
        <v>0</v>
      </c>
      <c r="AP456" s="1135" t="s">
        <v>2392</v>
      </c>
    </row>
    <row r="457" spans="2:42">
      <c r="B457" s="1124"/>
      <c r="C457" s="485"/>
      <c r="D457" s="582">
        <f t="shared" ref="D457:D464" si="188">D456+1</f>
        <v>3</v>
      </c>
      <c r="E457" s="866" t="str">
        <f t="shared" si="180"/>
        <v/>
      </c>
      <c r="F457" s="964" t="str">
        <f t="shared" ref="F457:I457" si="189">IF(F447&lt;&gt; "",F447,IF(F437 &lt;&gt; "", F437,""))</f>
        <v/>
      </c>
      <c r="G457" s="895" t="str">
        <f t="shared" si="189"/>
        <v/>
      </c>
      <c r="H457" s="1735" t="str">
        <f t="shared" si="189"/>
        <v/>
      </c>
      <c r="I457" s="1734" t="str">
        <f t="shared" si="189"/>
        <v/>
      </c>
      <c r="J457" s="1804"/>
      <c r="K457" s="1805"/>
      <c r="L457" s="1805"/>
      <c r="M457" s="1805"/>
      <c r="N457" s="1805"/>
      <c r="O457" s="485"/>
      <c r="P457" s="1119"/>
      <c r="S457" s="1435"/>
      <c r="T457" s="1435"/>
      <c r="Z457" s="1736" t="b">
        <f t="shared" si="182"/>
        <v>0</v>
      </c>
      <c r="AA457" s="1443" t="b">
        <f t="shared" si="183"/>
        <v>0</v>
      </c>
      <c r="AB457" s="1737" t="b">
        <f t="shared" si="186"/>
        <v>0</v>
      </c>
      <c r="AC457" s="1738" t="b">
        <f t="shared" ref="AC457:AC464" si="190">AC456</f>
        <v>0</v>
      </c>
      <c r="AD457" s="1443" t="b">
        <f t="shared" si="187"/>
        <v>0</v>
      </c>
      <c r="AE457" s="1443" t="b">
        <f t="shared" si="187"/>
        <v>0</v>
      </c>
      <c r="AF457" s="1443" t="b">
        <f t="shared" si="187"/>
        <v>0</v>
      </c>
      <c r="AG457" s="1443" t="b">
        <f t="shared" si="187"/>
        <v>0</v>
      </c>
      <c r="AH457" s="1443" t="b">
        <f t="shared" si="187"/>
        <v>0</v>
      </c>
      <c r="AI457" s="1737" t="b">
        <f t="shared" si="187"/>
        <v>0</v>
      </c>
      <c r="AP457" s="1135" t="s">
        <v>2393</v>
      </c>
    </row>
    <row r="458" spans="2:42">
      <c r="B458" s="1124"/>
      <c r="C458" s="485"/>
      <c r="D458" s="582">
        <f t="shared" si="188"/>
        <v>4</v>
      </c>
      <c r="E458" s="866" t="str">
        <f t="shared" si="180"/>
        <v/>
      </c>
      <c r="F458" s="964" t="str">
        <f t="shared" ref="F458:I458" si="191">IF(F448&lt;&gt; "",F448,IF(F438 &lt;&gt; "", F438,""))</f>
        <v/>
      </c>
      <c r="G458" s="895" t="str">
        <f t="shared" si="191"/>
        <v/>
      </c>
      <c r="H458" s="1735" t="str">
        <f t="shared" si="191"/>
        <v/>
      </c>
      <c r="I458" s="1734" t="str">
        <f t="shared" si="191"/>
        <v/>
      </c>
      <c r="J458" s="1804"/>
      <c r="K458" s="1805"/>
      <c r="L458" s="1805"/>
      <c r="M458" s="1805"/>
      <c r="N458" s="1805"/>
      <c r="O458" s="485"/>
      <c r="P458" s="1119"/>
      <c r="S458" s="1435"/>
      <c r="T458" s="1435"/>
      <c r="Z458" s="1736" t="b">
        <f t="shared" si="182"/>
        <v>0</v>
      </c>
      <c r="AA458" s="1443" t="b">
        <f t="shared" si="183"/>
        <v>0</v>
      </c>
      <c r="AB458" s="1737" t="b">
        <f t="shared" si="186"/>
        <v>0</v>
      </c>
      <c r="AC458" s="1738" t="b">
        <f t="shared" si="190"/>
        <v>0</v>
      </c>
      <c r="AD458" s="1443" t="b">
        <f t="shared" si="187"/>
        <v>0</v>
      </c>
      <c r="AE458" s="1443" t="b">
        <f t="shared" si="187"/>
        <v>0</v>
      </c>
      <c r="AF458" s="1443" t="b">
        <f t="shared" si="187"/>
        <v>0</v>
      </c>
      <c r="AG458" s="1443" t="b">
        <f t="shared" si="187"/>
        <v>0</v>
      </c>
      <c r="AH458" s="1443" t="b">
        <f t="shared" si="187"/>
        <v>0</v>
      </c>
      <c r="AI458" s="1737" t="b">
        <f t="shared" si="187"/>
        <v>0</v>
      </c>
      <c r="AP458" s="1135" t="s">
        <v>2394</v>
      </c>
    </row>
    <row r="459" spans="2:42">
      <c r="B459" s="1124"/>
      <c r="C459" s="485"/>
      <c r="D459" s="582">
        <f t="shared" si="188"/>
        <v>5</v>
      </c>
      <c r="E459" s="866" t="str">
        <f t="shared" si="180"/>
        <v/>
      </c>
      <c r="F459" s="964" t="str">
        <f t="shared" ref="F459:I459" si="192">IF(F449&lt;&gt; "",F449,IF(F439 &lt;&gt; "", F439,""))</f>
        <v/>
      </c>
      <c r="G459" s="895" t="str">
        <f t="shared" si="192"/>
        <v/>
      </c>
      <c r="H459" s="1735" t="str">
        <f t="shared" si="192"/>
        <v/>
      </c>
      <c r="I459" s="1734" t="str">
        <f t="shared" si="192"/>
        <v/>
      </c>
      <c r="J459" s="1804"/>
      <c r="K459" s="1805"/>
      <c r="L459" s="1805"/>
      <c r="M459" s="1805"/>
      <c r="N459" s="1805"/>
      <c r="O459" s="485"/>
      <c r="P459" s="1119"/>
      <c r="S459" s="1435"/>
      <c r="T459" s="1435"/>
      <c r="Z459" s="1736" t="b">
        <f t="shared" si="182"/>
        <v>0</v>
      </c>
      <c r="AA459" s="1443" t="b">
        <f t="shared" si="183"/>
        <v>0</v>
      </c>
      <c r="AB459" s="1737" t="b">
        <f t="shared" si="186"/>
        <v>0</v>
      </c>
      <c r="AC459" s="1738" t="b">
        <f t="shared" si="190"/>
        <v>0</v>
      </c>
      <c r="AD459" s="1443" t="b">
        <f t="shared" si="187"/>
        <v>0</v>
      </c>
      <c r="AE459" s="1443" t="b">
        <f t="shared" si="187"/>
        <v>0</v>
      </c>
      <c r="AF459" s="1443" t="b">
        <f t="shared" si="187"/>
        <v>0</v>
      </c>
      <c r="AG459" s="1443" t="b">
        <f t="shared" si="187"/>
        <v>0</v>
      </c>
      <c r="AH459" s="1443" t="b">
        <f t="shared" si="187"/>
        <v>0</v>
      </c>
      <c r="AI459" s="1737" t="b">
        <f t="shared" si="187"/>
        <v>0</v>
      </c>
      <c r="AP459" s="1135" t="s">
        <v>2395</v>
      </c>
    </row>
    <row r="460" spans="2:42">
      <c r="B460" s="1124"/>
      <c r="C460" s="485"/>
      <c r="D460" s="582">
        <f t="shared" si="188"/>
        <v>6</v>
      </c>
      <c r="E460" s="866" t="str">
        <f t="shared" si="180"/>
        <v/>
      </c>
      <c r="F460" s="964" t="str">
        <f t="shared" ref="F460:I460" si="193">IF(F450&lt;&gt; "",F450,IF(F440 &lt;&gt; "", F440,""))</f>
        <v/>
      </c>
      <c r="G460" s="895" t="str">
        <f t="shared" si="193"/>
        <v/>
      </c>
      <c r="H460" s="1735" t="str">
        <f t="shared" si="193"/>
        <v/>
      </c>
      <c r="I460" s="1734" t="str">
        <f t="shared" si="193"/>
        <v/>
      </c>
      <c r="J460" s="1804"/>
      <c r="K460" s="1805"/>
      <c r="L460" s="1805"/>
      <c r="M460" s="1805"/>
      <c r="N460" s="1805"/>
      <c r="O460" s="485"/>
      <c r="P460" s="1119"/>
      <c r="S460" s="1435"/>
      <c r="T460" s="1435"/>
      <c r="Z460" s="1736" t="b">
        <f t="shared" si="182"/>
        <v>0</v>
      </c>
      <c r="AA460" s="1443" t="b">
        <f t="shared" si="183"/>
        <v>0</v>
      </c>
      <c r="AB460" s="1737" t="b">
        <f t="shared" si="186"/>
        <v>0</v>
      </c>
      <c r="AC460" s="1738" t="b">
        <f t="shared" si="190"/>
        <v>0</v>
      </c>
      <c r="AD460" s="1443" t="b">
        <f t="shared" si="187"/>
        <v>0</v>
      </c>
      <c r="AE460" s="1443" t="b">
        <f t="shared" si="187"/>
        <v>0</v>
      </c>
      <c r="AF460" s="1443" t="b">
        <f t="shared" si="187"/>
        <v>0</v>
      </c>
      <c r="AG460" s="1443" t="b">
        <f t="shared" si="187"/>
        <v>0</v>
      </c>
      <c r="AH460" s="1443" t="b">
        <f t="shared" si="187"/>
        <v>0</v>
      </c>
      <c r="AI460" s="1737" t="b">
        <f t="shared" si="187"/>
        <v>0</v>
      </c>
      <c r="AP460" s="1135" t="s">
        <v>2396</v>
      </c>
    </row>
    <row r="461" spans="2:42">
      <c r="B461" s="1124"/>
      <c r="C461" s="485"/>
      <c r="D461" s="582">
        <f t="shared" si="188"/>
        <v>7</v>
      </c>
      <c r="E461" s="866" t="str">
        <f t="shared" si="180"/>
        <v/>
      </c>
      <c r="F461" s="964" t="str">
        <f t="shared" ref="F461:I461" si="194">IF(F451&lt;&gt; "",F451,IF(F441 &lt;&gt; "", F441,""))</f>
        <v/>
      </c>
      <c r="G461" s="895" t="str">
        <f t="shared" si="194"/>
        <v/>
      </c>
      <c r="H461" s="1735" t="str">
        <f t="shared" si="194"/>
        <v/>
      </c>
      <c r="I461" s="1734" t="str">
        <f t="shared" si="194"/>
        <v/>
      </c>
      <c r="J461" s="1804"/>
      <c r="K461" s="1805"/>
      <c r="L461" s="1805"/>
      <c r="M461" s="1805"/>
      <c r="N461" s="1805"/>
      <c r="O461" s="485"/>
      <c r="P461" s="1119"/>
      <c r="S461" s="1435"/>
      <c r="T461" s="1435"/>
      <c r="Z461" s="1736" t="b">
        <f t="shared" si="182"/>
        <v>0</v>
      </c>
      <c r="AA461" s="1443" t="b">
        <f t="shared" si="183"/>
        <v>0</v>
      </c>
      <c r="AB461" s="1737" t="b">
        <f t="shared" si="186"/>
        <v>0</v>
      </c>
      <c r="AC461" s="1738" t="b">
        <f t="shared" si="190"/>
        <v>0</v>
      </c>
      <c r="AD461" s="1443" t="b">
        <f t="shared" si="187"/>
        <v>0</v>
      </c>
      <c r="AE461" s="1443" t="b">
        <f t="shared" si="187"/>
        <v>0</v>
      </c>
      <c r="AF461" s="1443" t="b">
        <f t="shared" si="187"/>
        <v>0</v>
      </c>
      <c r="AG461" s="1443" t="b">
        <f t="shared" si="187"/>
        <v>0</v>
      </c>
      <c r="AH461" s="1443" t="b">
        <f t="shared" si="187"/>
        <v>0</v>
      </c>
      <c r="AI461" s="1737" t="b">
        <f t="shared" si="187"/>
        <v>0</v>
      </c>
      <c r="AP461" s="1135" t="s">
        <v>2397</v>
      </c>
    </row>
    <row r="462" spans="2:42">
      <c r="B462" s="1124"/>
      <c r="C462" s="485"/>
      <c r="D462" s="582">
        <f t="shared" si="188"/>
        <v>8</v>
      </c>
      <c r="E462" s="866" t="str">
        <f t="shared" si="180"/>
        <v/>
      </c>
      <c r="F462" s="964" t="str">
        <f t="shared" ref="F462:I462" si="195">IF(F452&lt;&gt; "",F452,IF(F442 &lt;&gt; "", F442,""))</f>
        <v/>
      </c>
      <c r="G462" s="895" t="str">
        <f t="shared" si="195"/>
        <v/>
      </c>
      <c r="H462" s="1735" t="str">
        <f t="shared" si="195"/>
        <v/>
      </c>
      <c r="I462" s="1734" t="str">
        <f t="shared" si="195"/>
        <v/>
      </c>
      <c r="J462" s="1804"/>
      <c r="K462" s="1805"/>
      <c r="L462" s="1805"/>
      <c r="M462" s="1805"/>
      <c r="N462" s="1805"/>
      <c r="O462" s="485"/>
      <c r="P462" s="1119"/>
      <c r="S462" s="1435"/>
      <c r="T462" s="1435"/>
      <c r="Z462" s="1736" t="b">
        <f t="shared" si="182"/>
        <v>0</v>
      </c>
      <c r="AA462" s="1443" t="b">
        <f t="shared" si="183"/>
        <v>0</v>
      </c>
      <c r="AB462" s="1737" t="b">
        <f t="shared" si="186"/>
        <v>0</v>
      </c>
      <c r="AC462" s="1738" t="b">
        <f t="shared" si="190"/>
        <v>0</v>
      </c>
      <c r="AD462" s="1443" t="b">
        <f t="shared" si="187"/>
        <v>0</v>
      </c>
      <c r="AE462" s="1443" t="b">
        <f t="shared" si="187"/>
        <v>0</v>
      </c>
      <c r="AF462" s="1443" t="b">
        <f t="shared" si="187"/>
        <v>0</v>
      </c>
      <c r="AG462" s="1443" t="b">
        <f t="shared" si="187"/>
        <v>0</v>
      </c>
      <c r="AH462" s="1443" t="b">
        <f t="shared" si="187"/>
        <v>0</v>
      </c>
      <c r="AI462" s="1737" t="b">
        <f t="shared" si="187"/>
        <v>0</v>
      </c>
      <c r="AP462" s="1135" t="s">
        <v>2398</v>
      </c>
    </row>
    <row r="463" spans="2:42">
      <c r="B463" s="1124"/>
      <c r="C463" s="485"/>
      <c r="D463" s="582">
        <f t="shared" si="188"/>
        <v>9</v>
      </c>
      <c r="E463" s="866" t="str">
        <f t="shared" si="180"/>
        <v/>
      </c>
      <c r="F463" s="964" t="str">
        <f t="shared" ref="F463:I463" si="196">IF(F453&lt;&gt; "",F453,IF(F443 &lt;&gt; "", F443,""))</f>
        <v/>
      </c>
      <c r="G463" s="895" t="str">
        <f t="shared" si="196"/>
        <v/>
      </c>
      <c r="H463" s="1735" t="str">
        <f t="shared" si="196"/>
        <v/>
      </c>
      <c r="I463" s="1734" t="str">
        <f t="shared" si="196"/>
        <v/>
      </c>
      <c r="J463" s="1804"/>
      <c r="K463" s="1805"/>
      <c r="L463" s="1805"/>
      <c r="M463" s="1805"/>
      <c r="N463" s="1805"/>
      <c r="O463" s="485"/>
      <c r="P463" s="1119"/>
      <c r="S463" s="1435"/>
      <c r="T463" s="1435"/>
      <c r="Z463" s="1736" t="b">
        <f t="shared" si="182"/>
        <v>0</v>
      </c>
      <c r="AA463" s="1443" t="b">
        <f t="shared" si="183"/>
        <v>0</v>
      </c>
      <c r="AB463" s="1737" t="b">
        <f t="shared" si="186"/>
        <v>0</v>
      </c>
      <c r="AC463" s="1738" t="b">
        <f t="shared" si="190"/>
        <v>0</v>
      </c>
      <c r="AD463" s="1443" t="b">
        <f t="shared" si="187"/>
        <v>0</v>
      </c>
      <c r="AE463" s="1443" t="b">
        <f t="shared" si="187"/>
        <v>0</v>
      </c>
      <c r="AF463" s="1443" t="b">
        <f t="shared" si="187"/>
        <v>0</v>
      </c>
      <c r="AG463" s="1443" t="b">
        <f t="shared" si="187"/>
        <v>0</v>
      </c>
      <c r="AH463" s="1443" t="b">
        <f t="shared" si="187"/>
        <v>0</v>
      </c>
      <c r="AI463" s="1737" t="b">
        <f t="shared" si="187"/>
        <v>0</v>
      </c>
      <c r="AP463" s="1135" t="s">
        <v>2399</v>
      </c>
    </row>
    <row r="464" spans="2:42" ht="13.5" thickBot="1">
      <c r="B464" s="1124"/>
      <c r="C464" s="485"/>
      <c r="D464" s="584">
        <f t="shared" si="188"/>
        <v>10</v>
      </c>
      <c r="E464" s="868" t="str">
        <f t="shared" si="180"/>
        <v/>
      </c>
      <c r="F464" s="967" t="str">
        <f t="shared" ref="F464:I464" si="197">IF(F454&lt;&gt; "",F454,IF(F444 &lt;&gt; "", F444,""))</f>
        <v/>
      </c>
      <c r="G464" s="968" t="str">
        <f t="shared" si="197"/>
        <v/>
      </c>
      <c r="H464" s="1806" t="str">
        <f t="shared" si="197"/>
        <v/>
      </c>
      <c r="I464" s="1807" t="str">
        <f t="shared" si="197"/>
        <v/>
      </c>
      <c r="J464" s="1804"/>
      <c r="K464" s="1805"/>
      <c r="L464" s="1805"/>
      <c r="M464" s="1805"/>
      <c r="N464" s="1805"/>
      <c r="O464" s="485"/>
      <c r="P464" s="1119"/>
      <c r="S464" s="1435"/>
      <c r="T464" s="1435"/>
      <c r="Z464" s="1742" t="b">
        <f t="shared" si="182"/>
        <v>0</v>
      </c>
      <c r="AA464" s="1743" t="b">
        <f t="shared" si="183"/>
        <v>0</v>
      </c>
      <c r="AB464" s="1744" t="b">
        <f t="shared" si="186"/>
        <v>0</v>
      </c>
      <c r="AC464" s="1745" t="b">
        <f t="shared" si="190"/>
        <v>0</v>
      </c>
      <c r="AD464" s="1743" t="b">
        <f t="shared" si="187"/>
        <v>0</v>
      </c>
      <c r="AE464" s="1743" t="b">
        <f t="shared" si="187"/>
        <v>0</v>
      </c>
      <c r="AF464" s="1743" t="b">
        <f t="shared" si="187"/>
        <v>0</v>
      </c>
      <c r="AG464" s="1743" t="b">
        <f t="shared" si="187"/>
        <v>0</v>
      </c>
      <c r="AH464" s="1743" t="b">
        <f t="shared" si="187"/>
        <v>0</v>
      </c>
      <c r="AI464" s="1744" t="b">
        <f t="shared" si="187"/>
        <v>0</v>
      </c>
      <c r="AP464" s="1135" t="s">
        <v>2400</v>
      </c>
    </row>
    <row r="465" spans="2:28" ht="12.75" customHeight="1" thickBot="1">
      <c r="B465" s="1124"/>
      <c r="C465" s="485"/>
      <c r="D465" s="971"/>
      <c r="E465" s="972" t="s">
        <v>921</v>
      </c>
      <c r="F465" s="948"/>
      <c r="G465" s="1881"/>
      <c r="H465" s="1808" t="str">
        <f t="shared" ref="H465:N465" si="198">IF(COUNT(H455:H464)&gt;0,SUM(H455:H464),"")</f>
        <v/>
      </c>
      <c r="I465" s="1809" t="str">
        <f t="shared" si="198"/>
        <v/>
      </c>
      <c r="J465" s="1804" t="str">
        <f t="shared" si="198"/>
        <v/>
      </c>
      <c r="K465" s="1805" t="str">
        <f t="shared" si="198"/>
        <v/>
      </c>
      <c r="L465" s="1805" t="str">
        <f t="shared" si="198"/>
        <v/>
      </c>
      <c r="M465" s="1805" t="str">
        <f t="shared" si="198"/>
        <v/>
      </c>
      <c r="N465" s="1805" t="str">
        <f t="shared" si="198"/>
        <v/>
      </c>
      <c r="O465" s="485"/>
      <c r="P465" s="485"/>
      <c r="S465" s="1435"/>
      <c r="T465" s="1435"/>
      <c r="AB465" s="1848" t="b">
        <f>AND(AB455:AB464)</f>
        <v>0</v>
      </c>
    </row>
    <row r="466" spans="2:28" ht="12.75" customHeight="1" thickBot="1">
      <c r="B466" s="479"/>
      <c r="C466" s="479"/>
      <c r="D466" s="479"/>
      <c r="E466" s="479"/>
      <c r="F466" s="479"/>
      <c r="G466" s="479"/>
      <c r="H466" s="479"/>
      <c r="I466" s="479"/>
      <c r="J466" s="479"/>
      <c r="K466" s="479"/>
      <c r="L466" s="479"/>
      <c r="M466" s="485"/>
      <c r="N466" s="485"/>
      <c r="O466" s="485"/>
      <c r="P466" s="485"/>
      <c r="Q466" s="1435"/>
      <c r="S466" s="1435"/>
      <c r="T466" s="1435"/>
    </row>
    <row r="467" spans="2:28" ht="5.0999999999999996" customHeight="1">
      <c r="B467" s="479"/>
      <c r="C467" s="975"/>
      <c r="D467" s="976"/>
      <c r="E467" s="976"/>
      <c r="F467" s="976"/>
      <c r="G467" s="976"/>
      <c r="H467" s="976"/>
      <c r="I467" s="976"/>
      <c r="J467" s="976"/>
      <c r="K467" s="976"/>
      <c r="L467" s="976"/>
      <c r="M467" s="774"/>
      <c r="N467" s="775"/>
      <c r="O467" s="485"/>
      <c r="P467" s="485"/>
      <c r="Q467" s="1435"/>
      <c r="S467" s="1435"/>
      <c r="T467" s="1435"/>
    </row>
    <row r="468" spans="2:28" ht="15" customHeight="1">
      <c r="B468" s="1124"/>
      <c r="C468" s="977"/>
      <c r="D468" s="3307" t="s">
        <v>2330</v>
      </c>
      <c r="E468" s="3307"/>
      <c r="F468" s="3307"/>
      <c r="G468" s="3307"/>
      <c r="H468" s="3307"/>
      <c r="I468" s="3307"/>
      <c r="J468" s="3307"/>
      <c r="K468" s="3307"/>
      <c r="L468" s="3307"/>
      <c r="M468" s="3307"/>
      <c r="N468" s="3308"/>
      <c r="O468" s="485"/>
      <c r="P468" s="485"/>
      <c r="S468" s="1435"/>
      <c r="T468" s="1435"/>
    </row>
    <row r="469" spans="2:28" ht="5.0999999999999996" customHeight="1">
      <c r="B469" s="1124"/>
      <c r="C469" s="980"/>
      <c r="D469" s="813"/>
      <c r="E469" s="813"/>
      <c r="F469" s="813"/>
      <c r="G469" s="813"/>
      <c r="H469" s="813"/>
      <c r="I469" s="813"/>
      <c r="J469" s="813"/>
      <c r="K469" s="813"/>
      <c r="L469" s="813"/>
      <c r="M469" s="813"/>
      <c r="N469" s="814"/>
      <c r="O469" s="485"/>
      <c r="P469" s="485"/>
      <c r="S469" s="1435"/>
      <c r="T469" s="1435"/>
    </row>
    <row r="470" spans="2:28" ht="15" customHeight="1">
      <c r="B470" s="1124"/>
      <c r="C470" s="980"/>
      <c r="D470" s="2679" t="str">
        <f>EUconst_BMSubinst &amp; ":"</f>
        <v>Sub-installation with product benchmark:</v>
      </c>
      <c r="E470" s="2646"/>
      <c r="F470" s="2646"/>
      <c r="G470" s="2646"/>
      <c r="H470" s="2680"/>
      <c r="I470" s="3293" t="str">
        <f>I335</f>
        <v/>
      </c>
      <c r="J470" s="3294"/>
      <c r="K470" s="3294"/>
      <c r="L470" s="3294"/>
      <c r="M470" s="3294"/>
      <c r="N470" s="3295"/>
      <c r="O470" s="485"/>
      <c r="P470" s="485"/>
      <c r="S470" s="1435"/>
      <c r="T470" s="1435"/>
    </row>
    <row r="471" spans="2:28" ht="5.0999999999999996" customHeight="1">
      <c r="B471" s="1124"/>
      <c r="C471" s="980"/>
      <c r="D471" s="813"/>
      <c r="E471" s="813"/>
      <c r="F471" s="813"/>
      <c r="G471" s="813"/>
      <c r="H471" s="813"/>
      <c r="I471" s="813"/>
      <c r="J471" s="813"/>
      <c r="K471" s="813"/>
      <c r="L471" s="813"/>
      <c r="M471" s="813"/>
      <c r="N471" s="814"/>
      <c r="O471" s="485"/>
      <c r="P471" s="485"/>
      <c r="S471" s="1435"/>
      <c r="T471" s="1435"/>
    </row>
    <row r="472" spans="2:28" ht="30" customHeight="1">
      <c r="B472" s="479"/>
      <c r="C472" s="977"/>
      <c r="D472" s="981"/>
      <c r="E472" s="2691" t="s">
        <v>2154</v>
      </c>
      <c r="F472" s="2691"/>
      <c r="G472" s="2691"/>
      <c r="H472" s="2691"/>
      <c r="I472" s="2691"/>
      <c r="J472" s="2691"/>
      <c r="K472" s="2691"/>
      <c r="L472" s="2691"/>
      <c r="M472" s="2691"/>
      <c r="N472" s="2692"/>
      <c r="O472" s="485"/>
      <c r="P472" s="485"/>
      <c r="Q472" s="1435"/>
    </row>
    <row r="473" spans="2:28" ht="30" customHeight="1">
      <c r="B473" s="479"/>
      <c r="C473" s="977"/>
      <c r="D473" s="981"/>
      <c r="E473" s="2691" t="s">
        <v>1550</v>
      </c>
      <c r="F473" s="2691"/>
      <c r="G473" s="2691"/>
      <c r="H473" s="2691"/>
      <c r="I473" s="2691"/>
      <c r="J473" s="2691"/>
      <c r="K473" s="2691"/>
      <c r="L473" s="2691"/>
      <c r="M473" s="2691"/>
      <c r="N473" s="2650"/>
      <c r="O473" s="485"/>
      <c r="P473" s="485"/>
      <c r="Q473" s="1435"/>
    </row>
    <row r="474" spans="2:28" ht="12.75" customHeight="1">
      <c r="B474" s="479"/>
      <c r="C474" s="977"/>
      <c r="D474" s="981"/>
      <c r="E474" s="2691" t="s">
        <v>1549</v>
      </c>
      <c r="F474" s="2391"/>
      <c r="G474" s="2391"/>
      <c r="H474" s="2391"/>
      <c r="I474" s="2391"/>
      <c r="J474" s="2391"/>
      <c r="K474" s="2391"/>
      <c r="L474" s="2391"/>
      <c r="M474" s="2391"/>
      <c r="N474" s="2650"/>
      <c r="O474" s="485"/>
      <c r="P474" s="485"/>
      <c r="Q474" s="1435"/>
    </row>
    <row r="475" spans="2:28" ht="15" customHeight="1">
      <c r="B475" s="479"/>
      <c r="C475" s="977"/>
      <c r="D475" s="981"/>
      <c r="E475" s="3269" t="s">
        <v>2215</v>
      </c>
      <c r="F475" s="3269"/>
      <c r="G475" s="3269"/>
      <c r="H475" s="3269"/>
      <c r="I475" s="3269"/>
      <c r="J475" s="3269"/>
      <c r="K475" s="3269"/>
      <c r="L475" s="3269"/>
      <c r="M475" s="3269"/>
      <c r="N475" s="2694"/>
      <c r="O475" s="485"/>
      <c r="P475" s="485"/>
      <c r="Q475" s="1435"/>
    </row>
    <row r="476" spans="2:28" ht="5.0999999999999996" customHeight="1">
      <c r="B476" s="1124"/>
      <c r="C476" s="980"/>
      <c r="D476" s="813"/>
      <c r="E476" s="813"/>
      <c r="F476" s="813"/>
      <c r="G476" s="813"/>
      <c r="H476" s="813"/>
      <c r="I476" s="813"/>
      <c r="J476" s="813"/>
      <c r="K476" s="813"/>
      <c r="L476" s="813"/>
      <c r="M476" s="813"/>
      <c r="N476" s="814"/>
      <c r="O476" s="485"/>
      <c r="P476" s="485"/>
      <c r="S476" s="1435"/>
      <c r="T476" s="1435"/>
    </row>
    <row r="477" spans="2:28" ht="15" customHeight="1">
      <c r="B477" s="479"/>
      <c r="C477" s="977"/>
      <c r="D477" s="981"/>
      <c r="E477" s="3291" t="s">
        <v>1475</v>
      </c>
      <c r="F477" s="3291"/>
      <c r="G477" s="3291"/>
      <c r="H477" s="3291"/>
      <c r="I477" s="3291"/>
      <c r="J477" s="3291"/>
      <c r="K477" s="3291"/>
      <c r="L477" s="3291"/>
      <c r="M477" s="3291"/>
      <c r="N477" s="2694"/>
      <c r="O477" s="485"/>
      <c r="P477" s="485"/>
      <c r="Q477" s="1435"/>
    </row>
    <row r="478" spans="2:28" ht="5.0999999999999996" customHeight="1">
      <c r="B478" s="1124"/>
      <c r="C478" s="980"/>
      <c r="D478" s="813"/>
      <c r="E478" s="813"/>
      <c r="F478" s="813"/>
      <c r="G478" s="813"/>
      <c r="H478" s="813"/>
      <c r="I478" s="813"/>
      <c r="J478" s="813"/>
      <c r="K478" s="813"/>
      <c r="L478" s="813"/>
      <c r="M478" s="813"/>
      <c r="N478" s="814"/>
      <c r="O478" s="485"/>
      <c r="P478" s="485"/>
      <c r="S478" s="1435"/>
      <c r="T478" s="1435"/>
    </row>
    <row r="479" spans="2:28" ht="12.75" customHeight="1">
      <c r="B479" s="479"/>
      <c r="C479" s="977"/>
      <c r="D479" s="982" t="s">
        <v>266</v>
      </c>
      <c r="E479" s="2671" t="s">
        <v>1617</v>
      </c>
      <c r="F479" s="2672"/>
      <c r="G479" s="2672"/>
      <c r="H479" s="2672"/>
      <c r="I479" s="2672"/>
      <c r="J479" s="2672"/>
      <c r="K479" s="2672"/>
      <c r="L479" s="2672"/>
      <c r="M479" s="2672"/>
      <c r="N479" s="2673"/>
      <c r="O479" s="485"/>
      <c r="P479" s="485"/>
      <c r="Q479" s="1435"/>
      <c r="S479" s="1435"/>
      <c r="T479" s="1435"/>
    </row>
    <row r="480" spans="2:28" ht="12.75" customHeight="1">
      <c r="B480" s="479"/>
      <c r="C480" s="977"/>
      <c r="D480" s="777"/>
      <c r="E480" s="2711" t="s">
        <v>2295</v>
      </c>
      <c r="F480" s="2671"/>
      <c r="G480" s="2671"/>
      <c r="H480" s="2671"/>
      <c r="I480" s="2671"/>
      <c r="J480" s="2671"/>
      <c r="K480" s="2671"/>
      <c r="L480" s="2671"/>
      <c r="M480" s="2671"/>
      <c r="N480" s="2712"/>
      <c r="O480" s="485"/>
      <c r="P480" s="485"/>
      <c r="Q480" s="1435"/>
      <c r="S480" s="1435"/>
      <c r="T480" s="1435"/>
    </row>
    <row r="481" spans="2:37" ht="12.75" customHeight="1">
      <c r="B481" s="479"/>
      <c r="C481" s="977"/>
      <c r="D481" s="981"/>
      <c r="E481" s="3288" t="s">
        <v>1618</v>
      </c>
      <c r="F481" s="3288"/>
      <c r="G481" s="3288"/>
      <c r="H481" s="3288"/>
      <c r="I481" s="3288"/>
      <c r="J481" s="3288"/>
      <c r="K481" s="3288"/>
      <c r="L481" s="3288"/>
      <c r="M481" s="3288"/>
      <c r="N481" s="3289"/>
      <c r="O481" s="485"/>
      <c r="P481" s="485"/>
      <c r="Q481" s="1435"/>
      <c r="S481" s="1435"/>
    </row>
    <row r="482" spans="2:37" ht="25.5" customHeight="1">
      <c r="B482" s="479"/>
      <c r="C482" s="977"/>
      <c r="D482" s="981"/>
      <c r="E482" s="985" t="s">
        <v>1021</v>
      </c>
      <c r="F482" s="3290" t="s">
        <v>1616</v>
      </c>
      <c r="G482" s="2646"/>
      <c r="H482" s="2646"/>
      <c r="I482" s="2646"/>
      <c r="J482" s="2646"/>
      <c r="K482" s="2646"/>
      <c r="L482" s="2646"/>
      <c r="M482" s="2646"/>
      <c r="N482" s="2647"/>
      <c r="O482" s="485"/>
      <c r="P482" s="485"/>
      <c r="Q482" s="1435"/>
      <c r="S482" s="1435"/>
    </row>
    <row r="483" spans="2:37" ht="38.25" customHeight="1">
      <c r="B483" s="479"/>
      <c r="C483" s="977"/>
      <c r="D483" s="981"/>
      <c r="E483" s="985"/>
      <c r="F483" s="3267" t="s">
        <v>1615</v>
      </c>
      <c r="G483" s="2380"/>
      <c r="H483" s="2380"/>
      <c r="I483" s="2380"/>
      <c r="J483" s="2380"/>
      <c r="K483" s="2380"/>
      <c r="L483" s="2380"/>
      <c r="M483" s="2380"/>
      <c r="N483" s="3268"/>
      <c r="O483" s="485"/>
      <c r="P483" s="485"/>
      <c r="Q483" s="1435"/>
      <c r="S483" s="1435"/>
    </row>
    <row r="484" spans="2:37" ht="12.75" customHeight="1">
      <c r="B484" s="479"/>
      <c r="C484" s="977"/>
      <c r="D484" s="981"/>
      <c r="E484" s="985" t="s">
        <v>1021</v>
      </c>
      <c r="F484" s="3290" t="s">
        <v>1278</v>
      </c>
      <c r="G484" s="2646"/>
      <c r="H484" s="2646"/>
      <c r="I484" s="2646"/>
      <c r="J484" s="2646"/>
      <c r="K484" s="2646"/>
      <c r="L484" s="2646"/>
      <c r="M484" s="2646"/>
      <c r="N484" s="2647"/>
      <c r="O484" s="485"/>
      <c r="P484" s="485"/>
      <c r="Q484" s="1435"/>
      <c r="S484" s="1435"/>
    </row>
    <row r="485" spans="2:37" ht="38.85" customHeight="1">
      <c r="B485" s="479"/>
      <c r="C485" s="977"/>
      <c r="D485" s="981"/>
      <c r="E485" s="985"/>
      <c r="F485" s="3290" t="s">
        <v>1620</v>
      </c>
      <c r="G485" s="2646"/>
      <c r="H485" s="2646"/>
      <c r="I485" s="2646"/>
      <c r="J485" s="2646"/>
      <c r="K485" s="2646"/>
      <c r="L485" s="2646"/>
      <c r="M485" s="2646"/>
      <c r="N485" s="2647"/>
      <c r="O485" s="485"/>
      <c r="P485" s="485"/>
      <c r="Q485" s="1435"/>
      <c r="S485" s="1435"/>
    </row>
    <row r="486" spans="2:37" ht="25.5" customHeight="1">
      <c r="B486" s="479"/>
      <c r="C486" s="977"/>
      <c r="D486" s="981"/>
      <c r="E486" s="985"/>
      <c r="F486" s="3290" t="s">
        <v>1619</v>
      </c>
      <c r="G486" s="2646"/>
      <c r="H486" s="2646"/>
      <c r="I486" s="2646"/>
      <c r="J486" s="2646"/>
      <c r="K486" s="2646"/>
      <c r="L486" s="2646"/>
      <c r="M486" s="2646"/>
      <c r="N486" s="2647"/>
      <c r="O486" s="485"/>
      <c r="P486" s="485"/>
      <c r="Q486" s="1435"/>
      <c r="S486" s="1435"/>
    </row>
    <row r="487" spans="2:37" ht="25.5" customHeight="1">
      <c r="B487" s="479"/>
      <c r="C487" s="977"/>
      <c r="D487" s="981"/>
      <c r="E487" s="985" t="s">
        <v>1021</v>
      </c>
      <c r="F487" s="3290" t="s">
        <v>1542</v>
      </c>
      <c r="G487" s="2646"/>
      <c r="H487" s="2646"/>
      <c r="I487" s="2646"/>
      <c r="J487" s="2646"/>
      <c r="K487" s="2646"/>
      <c r="L487" s="2646"/>
      <c r="M487" s="2646"/>
      <c r="N487" s="2647"/>
      <c r="O487" s="485"/>
      <c r="P487" s="485"/>
      <c r="Q487" s="1435"/>
      <c r="S487" s="1435"/>
    </row>
    <row r="488" spans="2:37" ht="25.5" customHeight="1" thickBot="1">
      <c r="B488" s="479"/>
      <c r="C488" s="977"/>
      <c r="D488" s="981"/>
      <c r="E488" s="985" t="s">
        <v>1021</v>
      </c>
      <c r="F488" s="3290" t="s">
        <v>1458</v>
      </c>
      <c r="G488" s="2646"/>
      <c r="H488" s="2646"/>
      <c r="I488" s="2646"/>
      <c r="J488" s="2646"/>
      <c r="K488" s="2646"/>
      <c r="L488" s="2646"/>
      <c r="M488" s="2646"/>
      <c r="N488" s="2647"/>
      <c r="O488" s="485"/>
      <c r="P488" s="485"/>
      <c r="Q488" s="1435"/>
      <c r="S488" s="1435"/>
    </row>
    <row r="489" spans="2:37" ht="12.75" customHeight="1" thickBot="1">
      <c r="B489" s="479"/>
      <c r="C489" s="977"/>
      <c r="D489" s="982"/>
      <c r="E489" s="2648" t="s">
        <v>1612</v>
      </c>
      <c r="F489" s="2648"/>
      <c r="G489" s="987" t="str">
        <f>EUconst_Unit</f>
        <v>Unit</v>
      </c>
      <c r="H489" s="782">
        <f t="shared" ref="H489:N489" si="199">H$3242</f>
        <v>2024</v>
      </c>
      <c r="I489" s="988">
        <f t="shared" si="199"/>
        <v>2025</v>
      </c>
      <c r="J489" s="1810">
        <f t="shared" si="199"/>
        <v>2026</v>
      </c>
      <c r="K489" s="1747">
        <f t="shared" si="199"/>
        <v>2027</v>
      </c>
      <c r="L489" s="1747">
        <f t="shared" si="199"/>
        <v>2028</v>
      </c>
      <c r="M489" s="1747">
        <f t="shared" si="199"/>
        <v>2029</v>
      </c>
      <c r="N489" s="1748">
        <f t="shared" si="199"/>
        <v>2030</v>
      </c>
      <c r="O489" s="485"/>
      <c r="P489" s="485"/>
      <c r="Q489" s="1435"/>
      <c r="S489" s="1648"/>
      <c r="T489" s="1749">
        <f t="shared" ref="T489:Z489" si="200">H489</f>
        <v>2024</v>
      </c>
      <c r="U489" s="1749">
        <f t="shared" si="200"/>
        <v>2025</v>
      </c>
      <c r="V489" s="1749">
        <f t="shared" si="200"/>
        <v>2026</v>
      </c>
      <c r="W489" s="1749">
        <f t="shared" si="200"/>
        <v>2027</v>
      </c>
      <c r="X489" s="1749">
        <f t="shared" si="200"/>
        <v>2028</v>
      </c>
      <c r="Y489" s="1749">
        <f t="shared" si="200"/>
        <v>2029</v>
      </c>
      <c r="Z489" s="1750">
        <f t="shared" si="200"/>
        <v>2030</v>
      </c>
      <c r="AC489" s="1638">
        <f t="shared" ref="AC489:AI489" si="201">H$20</f>
        <v>2024</v>
      </c>
      <c r="AD489" s="1638">
        <f t="shared" si="201"/>
        <v>2025</v>
      </c>
      <c r="AE489" s="1638">
        <f t="shared" si="201"/>
        <v>2026</v>
      </c>
      <c r="AF489" s="1638">
        <f t="shared" si="201"/>
        <v>2027</v>
      </c>
      <c r="AG489" s="1638">
        <f t="shared" si="201"/>
        <v>2028</v>
      </c>
      <c r="AH489" s="1638">
        <f t="shared" si="201"/>
        <v>2029</v>
      </c>
      <c r="AI489" s="1638">
        <f t="shared" si="201"/>
        <v>2030</v>
      </c>
    </row>
    <row r="490" spans="2:37" ht="12.75" customHeight="1" thickBot="1">
      <c r="B490" s="479"/>
      <c r="C490" s="977"/>
      <c r="D490" s="981"/>
      <c r="E490" s="3285" t="str">
        <f>I335</f>
        <v/>
      </c>
      <c r="F490" s="2410"/>
      <c r="G490" s="815" t="str">
        <f>EUconst_tCO2epa</f>
        <v>t CO2e/year</v>
      </c>
      <c r="H490" s="1479" t="str">
        <f>c_ALR2025!M3156</f>
        <v/>
      </c>
      <c r="I490" s="1532"/>
      <c r="J490" s="1811"/>
      <c r="K490" s="1751"/>
      <c r="L490" s="1751"/>
      <c r="M490" s="1751"/>
      <c r="N490" s="1752"/>
      <c r="O490" s="485"/>
      <c r="P490" s="9"/>
      <c r="Q490" s="1644" t="str">
        <f>EUconst_CNTR_Emissions &amp; I335</f>
        <v>DirEmissions_</v>
      </c>
      <c r="S490" s="1753" t="str">
        <f>EUconst_CNTR_AttributedEmissions &amp; I335</f>
        <v>AttrEmissions_</v>
      </c>
      <c r="T490" s="1743" t="str">
        <f t="shared" ref="T490:Z490" si="202">IF(T343,SUM(H490),"")</f>
        <v/>
      </c>
      <c r="U490" s="1743" t="str">
        <f t="shared" si="202"/>
        <v/>
      </c>
      <c r="V490" s="1743" t="str">
        <f t="shared" si="202"/>
        <v/>
      </c>
      <c r="W490" s="1743" t="str">
        <f t="shared" si="202"/>
        <v/>
      </c>
      <c r="X490" s="1743" t="str">
        <f t="shared" si="202"/>
        <v/>
      </c>
      <c r="Y490" s="1743" t="str">
        <f t="shared" si="202"/>
        <v/>
      </c>
      <c r="Z490" s="1744" t="str">
        <f t="shared" si="202"/>
        <v/>
      </c>
      <c r="AB490" s="1641" t="s">
        <v>717</v>
      </c>
      <c r="AC490" s="1443" t="b">
        <f>AC405</f>
        <v>0</v>
      </c>
      <c r="AD490" s="1443" t="b">
        <f t="shared" ref="AD490:AI490" si="203">AD405</f>
        <v>0</v>
      </c>
      <c r="AE490" s="1443" t="b">
        <f t="shared" si="203"/>
        <v>0</v>
      </c>
      <c r="AF490" s="1443" t="b">
        <f t="shared" si="203"/>
        <v>0</v>
      </c>
      <c r="AG490" s="1443" t="b">
        <f t="shared" si="203"/>
        <v>0</v>
      </c>
      <c r="AH490" s="1443" t="b">
        <f t="shared" si="203"/>
        <v>0</v>
      </c>
      <c r="AI490" s="1443" t="b">
        <f t="shared" si="203"/>
        <v>0</v>
      </c>
      <c r="AJ490" s="1633" t="s">
        <v>1954</v>
      </c>
      <c r="AK490" s="1635" t="str">
        <f>IF(AND(CNTR_ExistSubInstEntries,MSconst_RequireSubAttrEmissions,COUNTIFS(AC490:AI490,FALSE,H490:N490,"")&gt;0),EUconst_Error&amp;"BM"&amp;$Q335,"")</f>
        <v/>
      </c>
    </row>
    <row r="491" spans="2:37" ht="12.75" customHeight="1">
      <c r="B491" s="479"/>
      <c r="C491" s="977"/>
      <c r="D491" s="981"/>
      <c r="E491" s="981"/>
      <c r="F491" s="981"/>
      <c r="G491" s="981"/>
      <c r="H491" s="981"/>
      <c r="I491" s="981"/>
      <c r="J491" s="981"/>
      <c r="K491" s="981"/>
      <c r="L491" s="981"/>
      <c r="M491" s="813"/>
      <c r="N491" s="814"/>
      <c r="O491" s="485"/>
      <c r="P491" s="485"/>
      <c r="Q491" s="1435"/>
      <c r="S491" s="1435"/>
    </row>
    <row r="492" spans="2:37" ht="12.75" customHeight="1">
      <c r="B492" s="479"/>
      <c r="C492" s="977"/>
      <c r="D492" s="982" t="s">
        <v>269</v>
      </c>
      <c r="E492" s="2649" t="s">
        <v>1189</v>
      </c>
      <c r="F492" s="2391"/>
      <c r="G492" s="2391"/>
      <c r="H492" s="2391"/>
      <c r="I492" s="2391"/>
      <c r="J492" s="2391"/>
      <c r="K492" s="2391"/>
      <c r="L492" s="2391"/>
      <c r="M492" s="2391"/>
      <c r="N492" s="2650"/>
      <c r="O492" s="485"/>
      <c r="P492" s="485"/>
      <c r="Q492" s="1435"/>
      <c r="R492" s="1435"/>
      <c r="S492" s="1435"/>
    </row>
    <row r="493" spans="2:37" ht="25.5" customHeight="1">
      <c r="B493" s="479"/>
      <c r="C493" s="977"/>
      <c r="D493" s="981"/>
      <c r="E493" s="3288" t="s">
        <v>1605</v>
      </c>
      <c r="F493" s="3288"/>
      <c r="G493" s="3288"/>
      <c r="H493" s="3288"/>
      <c r="I493" s="3288"/>
      <c r="J493" s="3288"/>
      <c r="K493" s="3288"/>
      <c r="L493" s="3288"/>
      <c r="M493" s="3288"/>
      <c r="N493" s="3289"/>
      <c r="O493" s="485"/>
      <c r="P493" s="485"/>
      <c r="Q493" s="1435"/>
      <c r="R493" s="1435"/>
      <c r="S493" s="1435"/>
    </row>
    <row r="494" spans="2:37" ht="25.5" customHeight="1">
      <c r="B494" s="479"/>
      <c r="C494" s="977"/>
      <c r="D494" s="981"/>
      <c r="E494" s="3288" t="s">
        <v>1357</v>
      </c>
      <c r="F494" s="3288"/>
      <c r="G494" s="3288"/>
      <c r="H494" s="3288"/>
      <c r="I494" s="3288"/>
      <c r="J494" s="3288"/>
      <c r="K494" s="3288"/>
      <c r="L494" s="3288"/>
      <c r="M494" s="3288"/>
      <c r="N494" s="3289"/>
      <c r="O494" s="485"/>
      <c r="P494" s="485"/>
      <c r="Q494" s="1435"/>
      <c r="S494" s="1435"/>
    </row>
    <row r="495" spans="2:37" ht="12.75" customHeight="1">
      <c r="B495" s="479"/>
      <c r="C495" s="977"/>
      <c r="D495" s="981"/>
      <c r="E495" s="3288" t="s">
        <v>1594</v>
      </c>
      <c r="F495" s="3288"/>
      <c r="G495" s="3288"/>
      <c r="H495" s="3288"/>
      <c r="I495" s="3288"/>
      <c r="J495" s="3288"/>
      <c r="K495" s="3288"/>
      <c r="L495" s="3288"/>
      <c r="M495" s="3288"/>
      <c r="N495" s="3289"/>
      <c r="O495" s="485"/>
      <c r="P495" s="485"/>
      <c r="Q495" s="1435"/>
      <c r="S495" s="1435"/>
    </row>
    <row r="496" spans="2:37" ht="12.75" customHeight="1">
      <c r="B496" s="479"/>
      <c r="C496" s="977"/>
      <c r="D496" s="981"/>
      <c r="E496" s="3272" t="s">
        <v>1557</v>
      </c>
      <c r="F496" s="2380"/>
      <c r="G496" s="2380"/>
      <c r="H496" s="2380"/>
      <c r="I496" s="2380"/>
      <c r="J496" s="2380"/>
      <c r="K496" s="2380"/>
      <c r="L496" s="2380"/>
      <c r="M496" s="2380"/>
      <c r="N496" s="3268"/>
      <c r="O496" s="485"/>
      <c r="P496" s="485"/>
      <c r="Q496" s="1435"/>
      <c r="S496" s="1435"/>
    </row>
    <row r="497" spans="2:37" ht="12.75" customHeight="1" thickBot="1">
      <c r="B497" s="479"/>
      <c r="C497" s="977"/>
      <c r="D497" s="982"/>
      <c r="E497" s="989"/>
      <c r="F497" s="990"/>
      <c r="G497" s="987" t="str">
        <f>EUconst_Unit</f>
        <v>Unit</v>
      </c>
      <c r="H497" s="782">
        <f t="shared" ref="H497:N497" si="204">H$3242</f>
        <v>2024</v>
      </c>
      <c r="I497" s="988">
        <f t="shared" si="204"/>
        <v>2025</v>
      </c>
      <c r="J497" s="1810">
        <f t="shared" si="204"/>
        <v>2026</v>
      </c>
      <c r="K497" s="1747">
        <f t="shared" si="204"/>
        <v>2027</v>
      </c>
      <c r="L497" s="1747">
        <f t="shared" si="204"/>
        <v>2028</v>
      </c>
      <c r="M497" s="1747">
        <f t="shared" si="204"/>
        <v>2029</v>
      </c>
      <c r="N497" s="1748">
        <f t="shared" si="204"/>
        <v>2030</v>
      </c>
      <c r="O497" s="485"/>
      <c r="P497" s="485"/>
      <c r="Q497" s="1435"/>
      <c r="S497" s="1435"/>
      <c r="AC497" s="1638">
        <f t="shared" ref="AC497:AI497" si="205">H$20</f>
        <v>2024</v>
      </c>
      <c r="AD497" s="1638">
        <f t="shared" si="205"/>
        <v>2025</v>
      </c>
      <c r="AE497" s="1638">
        <f t="shared" si="205"/>
        <v>2026</v>
      </c>
      <c r="AF497" s="1638">
        <f t="shared" si="205"/>
        <v>2027</v>
      </c>
      <c r="AG497" s="1638">
        <f t="shared" si="205"/>
        <v>2028</v>
      </c>
      <c r="AH497" s="1638">
        <f t="shared" si="205"/>
        <v>2029</v>
      </c>
      <c r="AI497" s="1638">
        <f t="shared" si="205"/>
        <v>2030</v>
      </c>
    </row>
    <row r="498" spans="2:37" ht="12.75" customHeight="1">
      <c r="B498" s="479"/>
      <c r="C498" s="977"/>
      <c r="D498" s="777" t="s">
        <v>6</v>
      </c>
      <c r="E498" s="2475" t="s">
        <v>1344</v>
      </c>
      <c r="F498" s="2410"/>
      <c r="G498" s="815" t="str">
        <f>EUconst_TJpa</f>
        <v>TJ / year</v>
      </c>
      <c r="H498" s="1479" t="str">
        <f>c_ALR2025!M3164</f>
        <v/>
      </c>
      <c r="I498" s="1532"/>
      <c r="J498" s="1811"/>
      <c r="K498" s="1751"/>
      <c r="L498" s="1751"/>
      <c r="M498" s="1751"/>
      <c r="N498" s="1752"/>
      <c r="O498" s="485"/>
      <c r="P498" s="9"/>
      <c r="Q498" s="1644" t="str">
        <f>EUconst_CNTR_FuelInput &amp; I335</f>
        <v>FuelInput_</v>
      </c>
      <c r="S498" s="1435"/>
      <c r="AB498" s="1641" t="s">
        <v>717</v>
      </c>
      <c r="AC498" s="1443" t="b">
        <f>AC405</f>
        <v>0</v>
      </c>
      <c r="AD498" s="1443" t="b">
        <f t="shared" ref="AD498:AI498" si="206">AD405</f>
        <v>0</v>
      </c>
      <c r="AE498" s="1443" t="b">
        <f t="shared" si="206"/>
        <v>0</v>
      </c>
      <c r="AF498" s="1443" t="b">
        <f t="shared" si="206"/>
        <v>0</v>
      </c>
      <c r="AG498" s="1443" t="b">
        <f t="shared" si="206"/>
        <v>0</v>
      </c>
      <c r="AH498" s="1443" t="b">
        <f t="shared" si="206"/>
        <v>0</v>
      </c>
      <c r="AI498" s="1443" t="b">
        <f t="shared" si="206"/>
        <v>0</v>
      </c>
      <c r="AJ498" s="1633" t="s">
        <v>1954</v>
      </c>
      <c r="AK498" s="1635" t="str">
        <f>IF(AND(CNTR_ExistSubInstEntries,MSconst_RequireSubAttrEmissions,COUNTIFS(AC498:AI498,FALSE,H498:N498,"")&gt;0),EUconst_Error&amp;"BM"&amp;$Q335,"")</f>
        <v/>
      </c>
    </row>
    <row r="499" spans="2:37" ht="12.75" customHeight="1">
      <c r="B499" s="479"/>
      <c r="C499" s="977"/>
      <c r="D499" s="777" t="s">
        <v>7</v>
      </c>
      <c r="E499" s="2475" t="s">
        <v>1182</v>
      </c>
      <c r="F499" s="2410"/>
      <c r="G499" s="991" t="str">
        <f>EUconst_tCO2pTJ</f>
        <v>t CO2 / TJ</v>
      </c>
      <c r="H499" s="1582" t="str">
        <f>c_ALR2025!M3165</f>
        <v/>
      </c>
      <c r="I499" s="1882"/>
      <c r="J499" s="1811"/>
      <c r="K499" s="1751"/>
      <c r="L499" s="1751"/>
      <c r="M499" s="1751"/>
      <c r="N499" s="1752"/>
      <c r="O499" s="485"/>
      <c r="P499" s="9"/>
      <c r="Q499" s="1644" t="str">
        <f>EUconst_CNTR_FuelEF &amp; I335</f>
        <v>FuelEF_</v>
      </c>
      <c r="S499" s="1435"/>
      <c r="AC499" s="1443" t="b">
        <f>AC498</f>
        <v>0</v>
      </c>
      <c r="AD499" s="1443" t="b">
        <f t="shared" ref="AD499:AI499" si="207">AD498</f>
        <v>0</v>
      </c>
      <c r="AE499" s="1443" t="b">
        <f t="shared" si="207"/>
        <v>0</v>
      </c>
      <c r="AF499" s="1443" t="b">
        <f t="shared" si="207"/>
        <v>0</v>
      </c>
      <c r="AG499" s="1443" t="b">
        <f t="shared" si="207"/>
        <v>0</v>
      </c>
      <c r="AH499" s="1443" t="b">
        <f t="shared" si="207"/>
        <v>0</v>
      </c>
      <c r="AI499" s="1443" t="b">
        <f t="shared" si="207"/>
        <v>0</v>
      </c>
      <c r="AJ499" s="1633" t="s">
        <v>1954</v>
      </c>
      <c r="AK499" s="1635" t="str">
        <f>IF(AND(CNTR_ExistSubInstEntries,MSconst_RequireSubAttrEmissions,COUNTIFS(AC499:AI499,FALSE,H499:N499,"")&gt;0),EUconst_Error&amp;"BM"&amp;$Q335,"")</f>
        <v/>
      </c>
    </row>
    <row r="500" spans="2:37" ht="12.75" customHeight="1">
      <c r="B500" s="479"/>
      <c r="C500" s="977"/>
      <c r="D500" s="981"/>
      <c r="E500" s="981"/>
      <c r="F500" s="981"/>
      <c r="G500" s="981"/>
      <c r="H500" s="981"/>
      <c r="I500" s="981"/>
      <c r="J500" s="981"/>
      <c r="K500" s="981"/>
      <c r="L500" s="981"/>
      <c r="M500" s="813"/>
      <c r="N500" s="814"/>
      <c r="O500" s="485"/>
      <c r="P500" s="485"/>
      <c r="Q500" s="1435"/>
      <c r="S500" s="1435"/>
    </row>
    <row r="501" spans="2:37" ht="12.75" customHeight="1">
      <c r="B501" s="479"/>
      <c r="C501" s="977"/>
      <c r="D501" s="982" t="s">
        <v>271</v>
      </c>
      <c r="E501" s="2649" t="s">
        <v>1416</v>
      </c>
      <c r="F501" s="2391"/>
      <c r="G501" s="2391"/>
      <c r="H501" s="2391"/>
      <c r="I501" s="2391"/>
      <c r="J501" s="2391"/>
      <c r="K501" s="2391"/>
      <c r="L501" s="2391"/>
      <c r="M501" s="2391"/>
      <c r="N501" s="2650"/>
      <c r="O501" s="485"/>
      <c r="P501" s="485"/>
      <c r="Q501" s="1435"/>
      <c r="R501" s="1435"/>
      <c r="S501" s="1435"/>
    </row>
    <row r="502" spans="2:37" ht="12.75" customHeight="1">
      <c r="B502" s="479"/>
      <c r="C502" s="977"/>
      <c r="D502" s="777"/>
      <c r="E502" s="3272" t="s">
        <v>2295</v>
      </c>
      <c r="F502" s="2380"/>
      <c r="G502" s="2380"/>
      <c r="H502" s="2380"/>
      <c r="I502" s="2380"/>
      <c r="J502" s="2380"/>
      <c r="K502" s="2380"/>
      <c r="L502" s="2380"/>
      <c r="M502" s="2380"/>
      <c r="N502" s="3268"/>
      <c r="O502" s="485"/>
      <c r="P502" s="485"/>
      <c r="Q502" s="1435"/>
      <c r="S502" s="1435"/>
      <c r="T502" s="1435"/>
      <c r="U502" s="1435"/>
      <c r="V502" s="1435"/>
    </row>
    <row r="503" spans="2:37" ht="25.5" customHeight="1">
      <c r="B503" s="479"/>
      <c r="C503" s="977"/>
      <c r="D503" s="981"/>
      <c r="E503" s="3272" t="s">
        <v>1551</v>
      </c>
      <c r="F503" s="2380"/>
      <c r="G503" s="2380"/>
      <c r="H503" s="2380"/>
      <c r="I503" s="2380"/>
      <c r="J503" s="2380"/>
      <c r="K503" s="2380"/>
      <c r="L503" s="2380"/>
      <c r="M503" s="2380"/>
      <c r="N503" s="3268"/>
      <c r="O503" s="485"/>
      <c r="P503" s="485"/>
      <c r="Q503" s="1435"/>
      <c r="R503" s="1435"/>
      <c r="S503" s="1435"/>
    </row>
    <row r="504" spans="2:37" ht="12.75" customHeight="1">
      <c r="B504" s="479"/>
      <c r="C504" s="977"/>
      <c r="D504" s="981"/>
      <c r="E504" s="3267" t="s">
        <v>1552</v>
      </c>
      <c r="F504" s="2380"/>
      <c r="G504" s="2380"/>
      <c r="H504" s="2380"/>
      <c r="I504" s="2380"/>
      <c r="J504" s="2380"/>
      <c r="K504" s="2380"/>
      <c r="L504" s="2380"/>
      <c r="M504" s="2380"/>
      <c r="N504" s="3268"/>
      <c r="O504" s="485"/>
      <c r="P504" s="485"/>
      <c r="Q504" s="1435"/>
      <c r="R504" s="1435"/>
      <c r="S504" s="1435"/>
    </row>
    <row r="505" spans="2:37" ht="38.85" customHeight="1">
      <c r="B505" s="479"/>
      <c r="C505" s="977"/>
      <c r="D505" s="981"/>
      <c r="E505" s="3267" t="s">
        <v>1553</v>
      </c>
      <c r="F505" s="2380"/>
      <c r="G505" s="2380"/>
      <c r="H505" s="2380"/>
      <c r="I505" s="2380"/>
      <c r="J505" s="2380"/>
      <c r="K505" s="2380"/>
      <c r="L505" s="2380"/>
      <c r="M505" s="2380"/>
      <c r="N505" s="3268"/>
      <c r="O505" s="485"/>
      <c r="P505" s="485"/>
      <c r="Q505" s="1435"/>
      <c r="S505" s="1435"/>
    </row>
    <row r="506" spans="2:37" ht="51" customHeight="1">
      <c r="B506" s="479"/>
      <c r="C506" s="977"/>
      <c r="D506" s="981"/>
      <c r="E506" s="3267" t="s">
        <v>1567</v>
      </c>
      <c r="F506" s="2380"/>
      <c r="G506" s="2380"/>
      <c r="H506" s="2380"/>
      <c r="I506" s="2380"/>
      <c r="J506" s="2380"/>
      <c r="K506" s="2380"/>
      <c r="L506" s="2380"/>
      <c r="M506" s="2380"/>
      <c r="N506" s="3268"/>
      <c r="O506" s="485"/>
      <c r="P506" s="485"/>
      <c r="Q506" s="1435"/>
      <c r="S506" s="1435"/>
    </row>
    <row r="507" spans="2:37" ht="25.5" customHeight="1">
      <c r="B507" s="479"/>
      <c r="C507" s="977"/>
      <c r="D507" s="981"/>
      <c r="E507" s="3267" t="s">
        <v>1565</v>
      </c>
      <c r="F507" s="2380"/>
      <c r="G507" s="2380"/>
      <c r="H507" s="2380"/>
      <c r="I507" s="2380"/>
      <c r="J507" s="2380"/>
      <c r="K507" s="2380"/>
      <c r="L507" s="2380"/>
      <c r="M507" s="2380"/>
      <c r="N507" s="3268"/>
      <c r="O507" s="485"/>
      <c r="P507" s="485"/>
      <c r="Q507" s="1435"/>
      <c r="S507" s="1435"/>
    </row>
    <row r="508" spans="2:37" ht="12.75" customHeight="1">
      <c r="B508" s="479"/>
      <c r="C508" s="977"/>
      <c r="D508" s="777" t="s">
        <v>6</v>
      </c>
      <c r="E508" s="2682" t="s">
        <v>1456</v>
      </c>
      <c r="F508" s="2391"/>
      <c r="G508" s="2391"/>
      <c r="H508" s="2391"/>
      <c r="I508" s="2391"/>
      <c r="J508" s="2391"/>
      <c r="K508" s="2512"/>
      <c r="L508" s="1478" t="str">
        <f>c_ALR2025!L3174</f>
        <v/>
      </c>
      <c r="M508" s="978"/>
      <c r="N508" s="979"/>
      <c r="O508" s="485"/>
      <c r="P508" s="9"/>
      <c r="Q508" s="1435"/>
      <c r="S508" s="1435"/>
      <c r="AF508" s="1641" t="s">
        <v>717</v>
      </c>
      <c r="AG508" s="1423" t="b">
        <f>AND(CNTR_ExistSubInstEntries,I335="")</f>
        <v>0</v>
      </c>
    </row>
    <row r="509" spans="2:37" ht="12.75" customHeight="1">
      <c r="B509" s="479"/>
      <c r="C509" s="977"/>
      <c r="D509" s="981"/>
      <c r="E509" s="3267" t="s">
        <v>1216</v>
      </c>
      <c r="F509" s="2380"/>
      <c r="G509" s="2380"/>
      <c r="H509" s="2380"/>
      <c r="I509" s="2380"/>
      <c r="J509" s="2380"/>
      <c r="K509" s="2380"/>
      <c r="L509" s="2380"/>
      <c r="M509" s="2380"/>
      <c r="N509" s="3268"/>
      <c r="O509" s="485"/>
      <c r="P509" s="485"/>
      <c r="Q509" s="1435"/>
      <c r="S509" s="1435"/>
    </row>
    <row r="510" spans="2:37" ht="12.75" customHeight="1">
      <c r="B510" s="479"/>
      <c r="C510" s="977"/>
      <c r="D510" s="777" t="s">
        <v>7</v>
      </c>
      <c r="E510" s="2649" t="s">
        <v>1214</v>
      </c>
      <c r="F510" s="2391"/>
      <c r="G510" s="2391"/>
      <c r="H510" s="2512"/>
      <c r="I510" s="3211" t="str">
        <f>c_ALR2025!I3176</f>
        <v/>
      </c>
      <c r="J510" s="3286"/>
      <c r="K510" s="3286"/>
      <c r="L510" s="3286"/>
      <c r="M510" s="3287"/>
      <c r="N510" s="992"/>
      <c r="O510" s="485"/>
      <c r="P510" s="9"/>
      <c r="Q510" s="1435"/>
      <c r="S510" s="1435"/>
      <c r="AC510" s="1641" t="s">
        <v>717</v>
      </c>
      <c r="AD510" s="1423" t="b">
        <f>OR(AG508,AND($L508&lt;&gt;"",$L508=FALSE))</f>
        <v>0</v>
      </c>
    </row>
    <row r="511" spans="2:37" ht="5.0999999999999996" customHeight="1">
      <c r="B511" s="479"/>
      <c r="C511" s="977"/>
      <c r="D511" s="981"/>
      <c r="E511" s="986"/>
      <c r="F511" s="978"/>
      <c r="G511" s="978"/>
      <c r="H511" s="978"/>
      <c r="I511" s="978"/>
      <c r="J511" s="978"/>
      <c r="K511" s="978"/>
      <c r="L511" s="978"/>
      <c r="M511" s="978"/>
      <c r="N511" s="979"/>
      <c r="O511" s="485"/>
      <c r="P511" s="485"/>
      <c r="Q511" s="1435"/>
      <c r="S511" s="1435"/>
    </row>
    <row r="512" spans="2:37" ht="12.75" customHeight="1" thickBot="1">
      <c r="B512" s="479"/>
      <c r="C512" s="977"/>
      <c r="D512" s="981"/>
      <c r="E512" s="2648" t="s">
        <v>1154</v>
      </c>
      <c r="F512" s="2493"/>
      <c r="G512" s="987" t="str">
        <f>EUconst_Unit</f>
        <v>Unit</v>
      </c>
      <c r="H512" s="782">
        <f t="shared" ref="H512:N512" si="208">H$3242</f>
        <v>2024</v>
      </c>
      <c r="I512" s="988">
        <f t="shared" si="208"/>
        <v>2025</v>
      </c>
      <c r="J512" s="1810">
        <f t="shared" si="208"/>
        <v>2026</v>
      </c>
      <c r="K512" s="1747">
        <f t="shared" si="208"/>
        <v>2027</v>
      </c>
      <c r="L512" s="1747">
        <f t="shared" si="208"/>
        <v>2028</v>
      </c>
      <c r="M512" s="1747">
        <f t="shared" si="208"/>
        <v>2029</v>
      </c>
      <c r="N512" s="1748">
        <f t="shared" si="208"/>
        <v>2030</v>
      </c>
      <c r="O512" s="485"/>
      <c r="P512" s="485"/>
      <c r="Q512" s="1435"/>
      <c r="S512" s="1435"/>
      <c r="AC512" s="1638">
        <f t="shared" ref="AC512:AI512" si="209">H$20</f>
        <v>2024</v>
      </c>
      <c r="AD512" s="1638">
        <f t="shared" si="209"/>
        <v>2025</v>
      </c>
      <c r="AE512" s="1638">
        <f t="shared" si="209"/>
        <v>2026</v>
      </c>
      <c r="AF512" s="1638">
        <f t="shared" si="209"/>
        <v>2027</v>
      </c>
      <c r="AG512" s="1638">
        <f t="shared" si="209"/>
        <v>2028</v>
      </c>
      <c r="AH512" s="1638">
        <f t="shared" si="209"/>
        <v>2029</v>
      </c>
      <c r="AI512" s="1638">
        <f t="shared" si="209"/>
        <v>2030</v>
      </c>
    </row>
    <row r="513" spans="2:37" ht="12.75" customHeight="1">
      <c r="B513" s="479"/>
      <c r="C513" s="977"/>
      <c r="D513" s="777" t="s">
        <v>8</v>
      </c>
      <c r="E513" s="2471" t="s">
        <v>1153</v>
      </c>
      <c r="F513" s="2472"/>
      <c r="G513" s="811" t="str">
        <f>EUconst_tpa</f>
        <v>t / year</v>
      </c>
      <c r="H513" s="1552" t="str">
        <f>c_ALR2025!M3179</f>
        <v/>
      </c>
      <c r="I513" s="1611"/>
      <c r="J513" s="1811"/>
      <c r="K513" s="1751"/>
      <c r="L513" s="1751"/>
      <c r="M513" s="1751"/>
      <c r="N513" s="1752"/>
      <c r="O513" s="485"/>
      <c r="P513" s="9"/>
      <c r="Q513" s="1435"/>
      <c r="S513" s="1435"/>
      <c r="AB513" s="1641" t="s">
        <v>717</v>
      </c>
      <c r="AC513" s="1423" t="b">
        <f>OR(AND($L508&lt;&gt;"",$L508=FALSE),AC405)</f>
        <v>0</v>
      </c>
      <c r="AD513" s="1443" t="b">
        <f t="shared" ref="AD513:AI513" si="210">OR(AND($L508&lt;&gt;"",$L508=FALSE),AD405)</f>
        <v>0</v>
      </c>
      <c r="AE513" s="1443" t="b">
        <f t="shared" si="210"/>
        <v>0</v>
      </c>
      <c r="AF513" s="1443" t="b">
        <f t="shared" si="210"/>
        <v>0</v>
      </c>
      <c r="AG513" s="1443" t="b">
        <f t="shared" si="210"/>
        <v>0</v>
      </c>
      <c r="AH513" s="1443" t="b">
        <f t="shared" si="210"/>
        <v>0</v>
      </c>
      <c r="AI513" s="1443" t="b">
        <f t="shared" si="210"/>
        <v>0</v>
      </c>
      <c r="AJ513" s="1633" t="s">
        <v>1954</v>
      </c>
      <c r="AK513" s="1635" t="str">
        <f>IF(AND(CNTR_ExistSubInstEntries,MSconst_RequireSubAttrEmissions,COUNTIFS(AC513:AI513,FALSE,H513:N513,"")&gt;0),EUconst_Error&amp;"BM"&amp;$Q335,"")</f>
        <v/>
      </c>
    </row>
    <row r="514" spans="2:37" ht="12.75" customHeight="1">
      <c r="B514" s="479"/>
      <c r="C514" s="977"/>
      <c r="D514" s="777" t="s">
        <v>18</v>
      </c>
      <c r="E514" s="2685" t="s">
        <v>946</v>
      </c>
      <c r="F514" s="2608"/>
      <c r="G514" s="993" t="str">
        <f>EUconst_GJpt</f>
        <v>GJ / t</v>
      </c>
      <c r="H514" s="1557" t="str">
        <f>c_ALR2025!M3180</f>
        <v/>
      </c>
      <c r="I514" s="1883"/>
      <c r="J514" s="1811"/>
      <c r="K514" s="1751"/>
      <c r="L514" s="1751"/>
      <c r="M514" s="1751"/>
      <c r="N514" s="1752"/>
      <c r="O514" s="485"/>
      <c r="P514" s="9"/>
      <c r="Q514" s="1435"/>
      <c r="S514" s="1435"/>
      <c r="AC514" s="1443" t="b">
        <f t="shared" ref="AC514:AI514" si="211">AC513</f>
        <v>0</v>
      </c>
      <c r="AD514" s="1443" t="b">
        <f t="shared" si="211"/>
        <v>0</v>
      </c>
      <c r="AE514" s="1443" t="b">
        <f t="shared" si="211"/>
        <v>0</v>
      </c>
      <c r="AF514" s="1443" t="b">
        <f t="shared" si="211"/>
        <v>0</v>
      </c>
      <c r="AG514" s="1443" t="b">
        <f t="shared" si="211"/>
        <v>0</v>
      </c>
      <c r="AH514" s="1443" t="b">
        <f t="shared" si="211"/>
        <v>0</v>
      </c>
      <c r="AI514" s="1443" t="b">
        <f t="shared" si="211"/>
        <v>0</v>
      </c>
      <c r="AJ514" s="1633" t="s">
        <v>1954</v>
      </c>
      <c r="AK514" s="1635" t="str">
        <f>IF(AND(CNTR_ExistSubInstEntries,MSconst_RequireSubAttrEmissions,COUNTIFS(AC514:AI514,FALSE,H514:N514,"")&gt;0),EUconst_Error&amp;"BM"&amp;$Q335,"")</f>
        <v/>
      </c>
    </row>
    <row r="515" spans="2:37" ht="12.75" customHeight="1" thickBot="1">
      <c r="B515" s="479"/>
      <c r="C515" s="977"/>
      <c r="D515" s="777" t="s">
        <v>787</v>
      </c>
      <c r="E515" s="2685" t="s">
        <v>945</v>
      </c>
      <c r="F515" s="2608"/>
      <c r="G515" s="994" t="s">
        <v>878</v>
      </c>
      <c r="H515" s="1557" t="str">
        <f>c_ALR2025!M3181</f>
        <v/>
      </c>
      <c r="I515" s="1883"/>
      <c r="J515" s="1811"/>
      <c r="K515" s="1751"/>
      <c r="L515" s="1751"/>
      <c r="M515" s="1751"/>
      <c r="N515" s="1752"/>
      <c r="O515" s="485"/>
      <c r="P515" s="9"/>
      <c r="Q515" s="1435"/>
      <c r="S515" s="1435"/>
      <c r="AC515" s="1443" t="b">
        <f t="shared" ref="AC515:AI515" si="212">AC514</f>
        <v>0</v>
      </c>
      <c r="AD515" s="1443" t="b">
        <f t="shared" si="212"/>
        <v>0</v>
      </c>
      <c r="AE515" s="1443" t="b">
        <f t="shared" si="212"/>
        <v>0</v>
      </c>
      <c r="AF515" s="1443" t="b">
        <f t="shared" si="212"/>
        <v>0</v>
      </c>
      <c r="AG515" s="1443" t="b">
        <f t="shared" si="212"/>
        <v>0</v>
      </c>
      <c r="AH515" s="1443" t="b">
        <f t="shared" si="212"/>
        <v>0</v>
      </c>
      <c r="AI515" s="1443" t="b">
        <f t="shared" si="212"/>
        <v>0</v>
      </c>
      <c r="AJ515" s="1633" t="s">
        <v>1954</v>
      </c>
      <c r="AK515" s="1635" t="str">
        <f>IF(AND(CNTR_ExistSubInstEntries,MSconst_RequireSubAttrEmissions,COUNTIFS(AC515:AI515,FALSE,H515:N515,"")&gt;0),EUconst_Error&amp;"BM"&amp;$Q335,"")</f>
        <v/>
      </c>
    </row>
    <row r="516" spans="2:37" ht="12.75" customHeight="1">
      <c r="B516" s="479"/>
      <c r="C516" s="977"/>
      <c r="D516" s="777" t="s">
        <v>788</v>
      </c>
      <c r="E516" s="2473" t="s">
        <v>880</v>
      </c>
      <c r="F516" s="2474"/>
      <c r="G516" s="812" t="s">
        <v>878</v>
      </c>
      <c r="H516" s="1558" t="str">
        <f>c_ALR2025!M3182</f>
        <v/>
      </c>
      <c r="I516" s="1884"/>
      <c r="J516" s="1811"/>
      <c r="K516" s="1751"/>
      <c r="L516" s="1751"/>
      <c r="M516" s="1751"/>
      <c r="N516" s="1752"/>
      <c r="O516" s="485"/>
      <c r="P516" s="9"/>
      <c r="Q516" s="1435"/>
      <c r="S516" s="1648"/>
      <c r="T516" s="1749">
        <f t="shared" ref="T516:Z516" si="213">H512</f>
        <v>2024</v>
      </c>
      <c r="U516" s="1749">
        <f t="shared" si="213"/>
        <v>2025</v>
      </c>
      <c r="V516" s="1749">
        <f t="shared" si="213"/>
        <v>2026</v>
      </c>
      <c r="W516" s="1749">
        <f t="shared" si="213"/>
        <v>2027</v>
      </c>
      <c r="X516" s="1749">
        <f t="shared" si="213"/>
        <v>2028</v>
      </c>
      <c r="Y516" s="1749">
        <f t="shared" si="213"/>
        <v>2029</v>
      </c>
      <c r="Z516" s="1750">
        <f t="shared" si="213"/>
        <v>2030</v>
      </c>
      <c r="AC516" s="1443" t="b">
        <f t="shared" ref="AC516:AI516" si="214">AC515</f>
        <v>0</v>
      </c>
      <c r="AD516" s="1443" t="b">
        <f t="shared" si="214"/>
        <v>0</v>
      </c>
      <c r="AE516" s="1443" t="b">
        <f t="shared" si="214"/>
        <v>0</v>
      </c>
      <c r="AF516" s="1443" t="b">
        <f t="shared" si="214"/>
        <v>0</v>
      </c>
      <c r="AG516" s="1443" t="b">
        <f t="shared" si="214"/>
        <v>0</v>
      </c>
      <c r="AH516" s="1443" t="b">
        <f t="shared" si="214"/>
        <v>0</v>
      </c>
      <c r="AI516" s="1443" t="b">
        <f t="shared" si="214"/>
        <v>0</v>
      </c>
      <c r="AJ516" s="1633" t="s">
        <v>1954</v>
      </c>
      <c r="AK516" s="1635" t="str">
        <f>IF(AND(CNTR_ExistSubInstEntries,MSconst_RequireSubAttrEmissions,COUNTIFS(AC516:AI516,FALSE,H516:N516,"")&gt;0),EUconst_Error&amp;"BM"&amp;$Q335,"")</f>
        <v/>
      </c>
    </row>
    <row r="517" spans="2:37" ht="12.75" customHeight="1" thickBot="1">
      <c r="B517" s="479"/>
      <c r="C517" s="977"/>
      <c r="D517" s="777" t="s">
        <v>789</v>
      </c>
      <c r="E517" s="2471" t="s">
        <v>882</v>
      </c>
      <c r="F517" s="2472"/>
      <c r="G517" s="995" t="str">
        <f>EUconst_tCO2pa</f>
        <v>t CO2 / year</v>
      </c>
      <c r="H517" s="996" t="str">
        <f t="shared" ref="H517:N517" si="215">IF(AND(COUNT(H513:H516)&gt;0,H520=""),3.664*H513*(H515/100)*(1-H516/100),"")</f>
        <v/>
      </c>
      <c r="I517" s="997" t="str">
        <f t="shared" si="215"/>
        <v/>
      </c>
      <c r="J517" s="1812" t="str">
        <f t="shared" si="215"/>
        <v/>
      </c>
      <c r="K517" s="1754" t="str">
        <f t="shared" si="215"/>
        <v/>
      </c>
      <c r="L517" s="1754" t="str">
        <f t="shared" si="215"/>
        <v/>
      </c>
      <c r="M517" s="1754" t="str">
        <f t="shared" si="215"/>
        <v/>
      </c>
      <c r="N517" s="1755" t="str">
        <f t="shared" si="215"/>
        <v/>
      </c>
      <c r="O517" s="485"/>
      <c r="P517" s="485"/>
      <c r="Q517" s="1644" t="str">
        <f>EUconst_CNTR_EmissionsIntSource1 &amp; I335</f>
        <v>EmInternalSource1_</v>
      </c>
      <c r="S517" s="1753" t="str">
        <f>EUconst_CNTR_AttributedEmissions &amp; I335</f>
        <v>AttrEmissions_</v>
      </c>
      <c r="T517" s="1743" t="str">
        <f t="shared" ref="T517:Z517" si="216">IF(T343,SUM(H517),"")</f>
        <v/>
      </c>
      <c r="U517" s="1743" t="str">
        <f t="shared" si="216"/>
        <v/>
      </c>
      <c r="V517" s="1743" t="str">
        <f t="shared" si="216"/>
        <v/>
      </c>
      <c r="W517" s="1743" t="str">
        <f t="shared" si="216"/>
        <v/>
      </c>
      <c r="X517" s="1743" t="str">
        <f t="shared" si="216"/>
        <v/>
      </c>
      <c r="Y517" s="1743" t="str">
        <f t="shared" si="216"/>
        <v/>
      </c>
      <c r="Z517" s="1744" t="str">
        <f t="shared" si="216"/>
        <v/>
      </c>
    </row>
    <row r="518" spans="2:37" ht="12.75" customHeight="1">
      <c r="B518" s="479"/>
      <c r="C518" s="977"/>
      <c r="D518" s="777" t="s">
        <v>790</v>
      </c>
      <c r="E518" s="2670" t="s">
        <v>879</v>
      </c>
      <c r="F518" s="2608"/>
      <c r="G518" s="998" t="str">
        <f>EUconst_tCO2pa</f>
        <v>t CO2 / year</v>
      </c>
      <c r="H518" s="999" t="str">
        <f t="shared" ref="H518:N518" si="217">IF(ISNUMBER(H517),3.664*H513*(H515/100)*(H516/100),"")</f>
        <v/>
      </c>
      <c r="I518" s="1000" t="str">
        <f t="shared" si="217"/>
        <v/>
      </c>
      <c r="J518" s="1813" t="str">
        <f t="shared" si="217"/>
        <v/>
      </c>
      <c r="K518" s="1756" t="str">
        <f t="shared" si="217"/>
        <v/>
      </c>
      <c r="L518" s="1756" t="str">
        <f t="shared" si="217"/>
        <v/>
      </c>
      <c r="M518" s="1756" t="str">
        <f t="shared" si="217"/>
        <v/>
      </c>
      <c r="N518" s="1757" t="str">
        <f t="shared" si="217"/>
        <v/>
      </c>
      <c r="O518" s="485"/>
      <c r="P518" s="485"/>
      <c r="Q518" s="1435"/>
      <c r="S518" s="1435"/>
    </row>
    <row r="519" spans="2:37" ht="12.75" customHeight="1">
      <c r="B519" s="479"/>
      <c r="C519" s="977"/>
      <c r="D519" s="777" t="s">
        <v>791</v>
      </c>
      <c r="E519" s="2473" t="s">
        <v>41</v>
      </c>
      <c r="F519" s="2474"/>
      <c r="G519" s="1001" t="str">
        <f>EUconst_TJpa</f>
        <v>TJ / year</v>
      </c>
      <c r="H519" s="605" t="str">
        <f t="shared" ref="H519:N519" si="218">IF(COUNT(H513:H514)=2,H513*H514/1000,"")</f>
        <v/>
      </c>
      <c r="I519" s="973" t="str">
        <f t="shared" si="218"/>
        <v/>
      </c>
      <c r="J519" s="1811" t="str">
        <f t="shared" si="218"/>
        <v/>
      </c>
      <c r="K519" s="1751" t="str">
        <f t="shared" si="218"/>
        <v/>
      </c>
      <c r="L519" s="1751" t="str">
        <f t="shared" si="218"/>
        <v/>
      </c>
      <c r="M519" s="1751" t="str">
        <f t="shared" si="218"/>
        <v/>
      </c>
      <c r="N519" s="1752" t="str">
        <f t="shared" si="218"/>
        <v/>
      </c>
      <c r="O519" s="485"/>
      <c r="P519" s="485"/>
      <c r="Q519" s="1435"/>
      <c r="S519" s="1435"/>
    </row>
    <row r="520" spans="2:37" ht="12.75" customHeight="1">
      <c r="B520" s="479"/>
      <c r="C520" s="977"/>
      <c r="D520" s="777" t="s">
        <v>64</v>
      </c>
      <c r="E520" s="2687" t="s">
        <v>393</v>
      </c>
      <c r="F520" s="2688"/>
      <c r="G520" s="1002"/>
      <c r="H520" s="1003" t="str">
        <f t="shared" ref="H520:N520" si="219">IF(COUNT(H513,H515:H516)&gt;0,IF(COUNTIF(H514:H516,"&lt;0")&gt;0,EUconst_Negative,IF(COUNT(H513,H515:H516)&lt;3,EUconst_Incomplete,"")),"")</f>
        <v/>
      </c>
      <c r="I520" s="1004" t="str">
        <f t="shared" si="219"/>
        <v/>
      </c>
      <c r="J520" s="1814" t="str">
        <f t="shared" si="219"/>
        <v/>
      </c>
      <c r="K520" s="1758" t="str">
        <f t="shared" si="219"/>
        <v/>
      </c>
      <c r="L520" s="1758" t="str">
        <f t="shared" si="219"/>
        <v/>
      </c>
      <c r="M520" s="1758" t="str">
        <f t="shared" si="219"/>
        <v/>
      </c>
      <c r="N520" s="1759" t="str">
        <f t="shared" si="219"/>
        <v/>
      </c>
      <c r="O520" s="485"/>
      <c r="P520" s="485"/>
      <c r="Q520" s="1435"/>
      <c r="S520" s="1435"/>
    </row>
    <row r="521" spans="2:37" ht="12.75" customHeight="1">
      <c r="B521" s="479"/>
      <c r="C521" s="977"/>
      <c r="D521" s="777"/>
      <c r="E521" s="981"/>
      <c r="F521" s="981"/>
      <c r="G521" s="981"/>
      <c r="H521" s="981"/>
      <c r="I521" s="981"/>
      <c r="J521" s="981"/>
      <c r="K521" s="981"/>
      <c r="L521" s="981"/>
      <c r="M521" s="813"/>
      <c r="N521" s="814"/>
      <c r="O521" s="485"/>
      <c r="P521" s="485"/>
      <c r="Q521" s="1435"/>
      <c r="S521" s="1435"/>
    </row>
    <row r="522" spans="2:37" ht="12.75" customHeight="1">
      <c r="B522" s="479"/>
      <c r="C522" s="977"/>
      <c r="D522" s="777" t="s">
        <v>65</v>
      </c>
      <c r="E522" s="2649" t="s">
        <v>1215</v>
      </c>
      <c r="F522" s="2391"/>
      <c r="G522" s="2391"/>
      <c r="H522" s="2512"/>
      <c r="I522" s="3211" t="str">
        <f>c_ALR2025!I3188</f>
        <v/>
      </c>
      <c r="J522" s="3206"/>
      <c r="K522" s="3206"/>
      <c r="L522" s="3206"/>
      <c r="M522" s="3207"/>
      <c r="N522" s="979"/>
      <c r="O522" s="485"/>
      <c r="P522" s="9"/>
      <c r="Q522" s="1435"/>
      <c r="S522" s="1435"/>
      <c r="AC522" s="1641" t="s">
        <v>717</v>
      </c>
      <c r="AD522" s="1443" t="b">
        <f>AD510</f>
        <v>0</v>
      </c>
    </row>
    <row r="523" spans="2:37" ht="5.0999999999999996" customHeight="1">
      <c r="B523" s="479"/>
      <c r="C523" s="977"/>
      <c r="D523" s="981"/>
      <c r="E523" s="986"/>
      <c r="F523" s="978"/>
      <c r="G523" s="981"/>
      <c r="H523" s="981"/>
      <c r="I523" s="978"/>
      <c r="J523" s="978"/>
      <c r="K523" s="978"/>
      <c r="L523" s="978"/>
      <c r="M523" s="978"/>
      <c r="N523" s="979"/>
      <c r="O523" s="485"/>
      <c r="P523" s="485"/>
      <c r="Q523" s="1435"/>
      <c r="S523" s="1435"/>
    </row>
    <row r="524" spans="2:37" ht="12.75" customHeight="1" thickBot="1">
      <c r="B524" s="479"/>
      <c r="C524" s="977"/>
      <c r="D524" s="777"/>
      <c r="E524" s="2648" t="s">
        <v>1155</v>
      </c>
      <c r="F524" s="2493"/>
      <c r="G524" s="987" t="str">
        <f>EUconst_Unit</f>
        <v>Unit</v>
      </c>
      <c r="H524" s="782">
        <f t="shared" ref="H524:N524" si="220">H$3242</f>
        <v>2024</v>
      </c>
      <c r="I524" s="988">
        <f t="shared" si="220"/>
        <v>2025</v>
      </c>
      <c r="J524" s="1810">
        <f t="shared" si="220"/>
        <v>2026</v>
      </c>
      <c r="K524" s="1747">
        <f t="shared" si="220"/>
        <v>2027</v>
      </c>
      <c r="L524" s="1747">
        <f t="shared" si="220"/>
        <v>2028</v>
      </c>
      <c r="M524" s="1747">
        <f t="shared" si="220"/>
        <v>2029</v>
      </c>
      <c r="N524" s="1748">
        <f t="shared" si="220"/>
        <v>2030</v>
      </c>
      <c r="O524" s="485"/>
      <c r="P524" s="485"/>
      <c r="Q524" s="1435"/>
      <c r="S524" s="1435"/>
      <c r="AC524" s="1638">
        <f t="shared" ref="AC524:AI524" si="221">H$20</f>
        <v>2024</v>
      </c>
      <c r="AD524" s="1638">
        <f t="shared" si="221"/>
        <v>2025</v>
      </c>
      <c r="AE524" s="1638">
        <f t="shared" si="221"/>
        <v>2026</v>
      </c>
      <c r="AF524" s="1638">
        <f t="shared" si="221"/>
        <v>2027</v>
      </c>
      <c r="AG524" s="1638">
        <f t="shared" si="221"/>
        <v>2028</v>
      </c>
      <c r="AH524" s="1638">
        <f t="shared" si="221"/>
        <v>2029</v>
      </c>
      <c r="AI524" s="1638">
        <f t="shared" si="221"/>
        <v>2030</v>
      </c>
    </row>
    <row r="525" spans="2:37" ht="12.75" customHeight="1">
      <c r="B525" s="479"/>
      <c r="C525" s="977"/>
      <c r="D525" s="777" t="s">
        <v>66</v>
      </c>
      <c r="E525" s="2471" t="s">
        <v>1153</v>
      </c>
      <c r="F525" s="2472"/>
      <c r="G525" s="811" t="str">
        <f>EUconst_tpa</f>
        <v>t / year</v>
      </c>
      <c r="H525" s="1552" t="str">
        <f>c_ALR2025!M3191</f>
        <v/>
      </c>
      <c r="I525" s="1611"/>
      <c r="J525" s="1811"/>
      <c r="K525" s="1751"/>
      <c r="L525" s="1751"/>
      <c r="M525" s="1751"/>
      <c r="N525" s="1752"/>
      <c r="O525" s="485"/>
      <c r="P525" s="9"/>
      <c r="Q525" s="1435"/>
      <c r="S525" s="1435"/>
      <c r="AB525" s="1641" t="s">
        <v>717</v>
      </c>
      <c r="AC525" s="1443" t="b">
        <f>AC513</f>
        <v>0</v>
      </c>
      <c r="AD525" s="1443" t="b">
        <f t="shared" ref="AD525:AI525" si="222">AD513</f>
        <v>0</v>
      </c>
      <c r="AE525" s="1443" t="b">
        <f t="shared" si="222"/>
        <v>0</v>
      </c>
      <c r="AF525" s="1443" t="b">
        <f t="shared" si="222"/>
        <v>0</v>
      </c>
      <c r="AG525" s="1443" t="b">
        <f t="shared" si="222"/>
        <v>0</v>
      </c>
      <c r="AH525" s="1443" t="b">
        <f t="shared" si="222"/>
        <v>0</v>
      </c>
      <c r="AI525" s="1443" t="b">
        <f t="shared" si="222"/>
        <v>0</v>
      </c>
      <c r="AJ525" s="1633" t="s">
        <v>1954</v>
      </c>
      <c r="AK525" s="1635" t="str">
        <f>IF(AND(CNTR_ExistSubInstEntries,MSconst_RequireSubAttrEmissions,COUNTIFS(AC525:AI525,FALSE,H525:N525,"")&gt;0),EUconst_Error&amp;"BM"&amp;$Q335,"")</f>
        <v/>
      </c>
    </row>
    <row r="526" spans="2:37" ht="12.75" customHeight="1">
      <c r="B526" s="479"/>
      <c r="C526" s="977"/>
      <c r="D526" s="777" t="s">
        <v>1105</v>
      </c>
      <c r="E526" s="2685" t="s">
        <v>946</v>
      </c>
      <c r="F526" s="2608"/>
      <c r="G526" s="993" t="str">
        <f>EUconst_GJpt</f>
        <v>GJ / t</v>
      </c>
      <c r="H526" s="1557" t="str">
        <f>c_ALR2025!M3192</f>
        <v/>
      </c>
      <c r="I526" s="1883"/>
      <c r="J526" s="1811"/>
      <c r="K526" s="1751"/>
      <c r="L526" s="1751"/>
      <c r="M526" s="1751"/>
      <c r="N526" s="1752"/>
      <c r="O526" s="485"/>
      <c r="P526" s="9"/>
      <c r="Q526" s="1435"/>
      <c r="S526" s="1435"/>
      <c r="AC526" s="1443" t="b">
        <f t="shared" ref="AC526:AI526" si="223">AC514</f>
        <v>0</v>
      </c>
      <c r="AD526" s="1443" t="b">
        <f t="shared" si="223"/>
        <v>0</v>
      </c>
      <c r="AE526" s="1443" t="b">
        <f t="shared" si="223"/>
        <v>0</v>
      </c>
      <c r="AF526" s="1443" t="b">
        <f t="shared" si="223"/>
        <v>0</v>
      </c>
      <c r="AG526" s="1443" t="b">
        <f t="shared" si="223"/>
        <v>0</v>
      </c>
      <c r="AH526" s="1443" t="b">
        <f t="shared" si="223"/>
        <v>0</v>
      </c>
      <c r="AI526" s="1443" t="b">
        <f t="shared" si="223"/>
        <v>0</v>
      </c>
      <c r="AJ526" s="1633" t="s">
        <v>1954</v>
      </c>
      <c r="AK526" s="1635" t="str">
        <f>IF(AND(CNTR_ExistSubInstEntries,MSconst_RequireSubAttrEmissions,COUNTIFS(AC526:AI526,FALSE,H526:N526,"")&gt;0),EUconst_Error&amp;"BM"&amp;$Q335,"")</f>
        <v/>
      </c>
    </row>
    <row r="527" spans="2:37" ht="12.75" customHeight="1" thickBot="1">
      <c r="B527" s="479"/>
      <c r="C527" s="977"/>
      <c r="D527" s="777" t="s">
        <v>1106</v>
      </c>
      <c r="E527" s="2685" t="s">
        <v>945</v>
      </c>
      <c r="F527" s="2608"/>
      <c r="G527" s="994" t="s">
        <v>878</v>
      </c>
      <c r="H527" s="1557" t="str">
        <f>c_ALR2025!M3193</f>
        <v/>
      </c>
      <c r="I527" s="1883"/>
      <c r="J527" s="1811"/>
      <c r="K527" s="1751"/>
      <c r="L527" s="1751"/>
      <c r="M527" s="1751"/>
      <c r="N527" s="1752"/>
      <c r="O527" s="485"/>
      <c r="P527" s="9"/>
      <c r="Q527" s="1435"/>
      <c r="S527" s="1435"/>
      <c r="AC527" s="1443" t="b">
        <f t="shared" ref="AC527:AI527" si="224">AC515</f>
        <v>0</v>
      </c>
      <c r="AD527" s="1443" t="b">
        <f t="shared" si="224"/>
        <v>0</v>
      </c>
      <c r="AE527" s="1443" t="b">
        <f t="shared" si="224"/>
        <v>0</v>
      </c>
      <c r="AF527" s="1443" t="b">
        <f t="shared" si="224"/>
        <v>0</v>
      </c>
      <c r="AG527" s="1443" t="b">
        <f t="shared" si="224"/>
        <v>0</v>
      </c>
      <c r="AH527" s="1443" t="b">
        <f t="shared" si="224"/>
        <v>0</v>
      </c>
      <c r="AI527" s="1443" t="b">
        <f t="shared" si="224"/>
        <v>0</v>
      </c>
      <c r="AJ527" s="1633" t="s">
        <v>1954</v>
      </c>
      <c r="AK527" s="1635" t="str">
        <f>IF(AND(CNTR_ExistSubInstEntries,MSconst_RequireSubAttrEmissions,COUNTIFS(AC527:AI527,FALSE,H527:N527,"")&gt;0),EUconst_Error&amp;"BM"&amp;$Q335,"")</f>
        <v/>
      </c>
    </row>
    <row r="528" spans="2:37" ht="12.75" customHeight="1">
      <c r="B528" s="479"/>
      <c r="C528" s="977"/>
      <c r="D528" s="777" t="s">
        <v>1107</v>
      </c>
      <c r="E528" s="2473" t="s">
        <v>880</v>
      </c>
      <c r="F528" s="2474"/>
      <c r="G528" s="812" t="s">
        <v>878</v>
      </c>
      <c r="H528" s="1558" t="str">
        <f>c_ALR2025!M3194</f>
        <v/>
      </c>
      <c r="I528" s="1884"/>
      <c r="J528" s="1811"/>
      <c r="K528" s="1751"/>
      <c r="L528" s="1751"/>
      <c r="M528" s="1751"/>
      <c r="N528" s="1752"/>
      <c r="O528" s="485"/>
      <c r="P528" s="9"/>
      <c r="Q528" s="1435"/>
      <c r="S528" s="1648"/>
      <c r="T528" s="1749">
        <f t="shared" ref="T528:Z528" si="225">H524</f>
        <v>2024</v>
      </c>
      <c r="U528" s="1749">
        <f t="shared" si="225"/>
        <v>2025</v>
      </c>
      <c r="V528" s="1749">
        <f t="shared" si="225"/>
        <v>2026</v>
      </c>
      <c r="W528" s="1749">
        <f t="shared" si="225"/>
        <v>2027</v>
      </c>
      <c r="X528" s="1749">
        <f t="shared" si="225"/>
        <v>2028</v>
      </c>
      <c r="Y528" s="1749">
        <f t="shared" si="225"/>
        <v>2029</v>
      </c>
      <c r="Z528" s="1750">
        <f t="shared" si="225"/>
        <v>2030</v>
      </c>
      <c r="AC528" s="1443" t="b">
        <f t="shared" ref="AC528:AI528" si="226">AC516</f>
        <v>0</v>
      </c>
      <c r="AD528" s="1443" t="b">
        <f t="shared" si="226"/>
        <v>0</v>
      </c>
      <c r="AE528" s="1443" t="b">
        <f t="shared" si="226"/>
        <v>0</v>
      </c>
      <c r="AF528" s="1443" t="b">
        <f t="shared" si="226"/>
        <v>0</v>
      </c>
      <c r="AG528" s="1443" t="b">
        <f t="shared" si="226"/>
        <v>0</v>
      </c>
      <c r="AH528" s="1443" t="b">
        <f t="shared" si="226"/>
        <v>0</v>
      </c>
      <c r="AI528" s="1443" t="b">
        <f t="shared" si="226"/>
        <v>0</v>
      </c>
      <c r="AJ528" s="1633" t="s">
        <v>1954</v>
      </c>
      <c r="AK528" s="1635" t="str">
        <f>IF(AND(CNTR_ExistSubInstEntries,MSconst_RequireSubAttrEmissions,COUNTIFS(AC528:AI528,FALSE,H528:N528,"")&gt;0),EUconst_Error&amp;"BM"&amp;$Q335,"")</f>
        <v/>
      </c>
    </row>
    <row r="529" spans="2:37" ht="12.75" customHeight="1" thickBot="1">
      <c r="B529" s="479"/>
      <c r="C529" s="977"/>
      <c r="D529" s="777" t="s">
        <v>1108</v>
      </c>
      <c r="E529" s="2471" t="s">
        <v>882</v>
      </c>
      <c r="F529" s="2472"/>
      <c r="G529" s="995" t="str">
        <f>EUconst_tCO2pa</f>
        <v>t CO2 / year</v>
      </c>
      <c r="H529" s="996" t="str">
        <f t="shared" ref="H529:N529" si="227">IF(AND(COUNT(H525:H528)&gt;0,H532=""),3.664*H525*(H527/100)*(1-H528/100),"")</f>
        <v/>
      </c>
      <c r="I529" s="997" t="str">
        <f t="shared" si="227"/>
        <v/>
      </c>
      <c r="J529" s="1812" t="str">
        <f t="shared" si="227"/>
        <v/>
      </c>
      <c r="K529" s="1754" t="str">
        <f t="shared" si="227"/>
        <v/>
      </c>
      <c r="L529" s="1754" t="str">
        <f t="shared" si="227"/>
        <v/>
      </c>
      <c r="M529" s="1754" t="str">
        <f t="shared" si="227"/>
        <v/>
      </c>
      <c r="N529" s="1755" t="str">
        <f t="shared" si="227"/>
        <v/>
      </c>
      <c r="O529" s="485"/>
      <c r="P529" s="485"/>
      <c r="Q529" s="1644" t="str">
        <f>EUconst_CNTR_EmissionsIntSource2 &amp; I335</f>
        <v>EmInternalSource2_</v>
      </c>
      <c r="S529" s="1753" t="str">
        <f>EUconst_CNTR_AttributedEmissions &amp; I335</f>
        <v>AttrEmissions_</v>
      </c>
      <c r="T529" s="1743" t="str">
        <f t="shared" ref="T529:Z529" si="228">IF(T343,SUM(H529),"")</f>
        <v/>
      </c>
      <c r="U529" s="1743" t="str">
        <f t="shared" si="228"/>
        <v/>
      </c>
      <c r="V529" s="1743" t="str">
        <f t="shared" si="228"/>
        <v/>
      </c>
      <c r="W529" s="1743" t="str">
        <f t="shared" si="228"/>
        <v/>
      </c>
      <c r="X529" s="1743" t="str">
        <f t="shared" si="228"/>
        <v/>
      </c>
      <c r="Y529" s="1743" t="str">
        <f t="shared" si="228"/>
        <v/>
      </c>
      <c r="Z529" s="1744" t="str">
        <f t="shared" si="228"/>
        <v/>
      </c>
    </row>
    <row r="530" spans="2:37" ht="12.75" customHeight="1">
      <c r="B530" s="479"/>
      <c r="C530" s="977"/>
      <c r="D530" s="777" t="s">
        <v>1109</v>
      </c>
      <c r="E530" s="2670" t="s">
        <v>879</v>
      </c>
      <c r="F530" s="2608"/>
      <c r="G530" s="998" t="str">
        <f>EUconst_tCO2pa</f>
        <v>t CO2 / year</v>
      </c>
      <c r="H530" s="999" t="str">
        <f t="shared" ref="H530:N530" si="229">IF(ISNUMBER(H529),3.664*H525*(H527/100)*(H528/100),"")</f>
        <v/>
      </c>
      <c r="I530" s="1000" t="str">
        <f t="shared" si="229"/>
        <v/>
      </c>
      <c r="J530" s="1813" t="str">
        <f t="shared" si="229"/>
        <v/>
      </c>
      <c r="K530" s="1756" t="str">
        <f t="shared" si="229"/>
        <v/>
      </c>
      <c r="L530" s="1756" t="str">
        <f t="shared" si="229"/>
        <v/>
      </c>
      <c r="M530" s="1756" t="str">
        <f t="shared" si="229"/>
        <v/>
      </c>
      <c r="N530" s="1757" t="str">
        <f t="shared" si="229"/>
        <v/>
      </c>
      <c r="O530" s="485"/>
      <c r="P530" s="485"/>
      <c r="Q530" s="1435"/>
      <c r="S530" s="1435"/>
    </row>
    <row r="531" spans="2:37" ht="12.75" customHeight="1">
      <c r="B531" s="479"/>
      <c r="C531" s="977"/>
      <c r="D531" s="777" t="s">
        <v>1110</v>
      </c>
      <c r="E531" s="2473" t="s">
        <v>41</v>
      </c>
      <c r="F531" s="2474"/>
      <c r="G531" s="1001" t="str">
        <f>EUconst_TJpa</f>
        <v>TJ / year</v>
      </c>
      <c r="H531" s="605" t="str">
        <f t="shared" ref="H531:N531" si="230">IF(COUNT(H525:H526)=2,H525*H526/1000,"")</f>
        <v/>
      </c>
      <c r="I531" s="973" t="str">
        <f t="shared" si="230"/>
        <v/>
      </c>
      <c r="J531" s="1811" t="str">
        <f t="shared" si="230"/>
        <v/>
      </c>
      <c r="K531" s="1751" t="str">
        <f t="shared" si="230"/>
        <v/>
      </c>
      <c r="L531" s="1751" t="str">
        <f t="shared" si="230"/>
        <v/>
      </c>
      <c r="M531" s="1751" t="str">
        <f t="shared" si="230"/>
        <v/>
      </c>
      <c r="N531" s="1752" t="str">
        <f t="shared" si="230"/>
        <v/>
      </c>
      <c r="O531" s="485"/>
      <c r="P531" s="485"/>
      <c r="Q531" s="1435"/>
      <c r="S531" s="1435"/>
    </row>
    <row r="532" spans="2:37" ht="12.75" customHeight="1">
      <c r="B532" s="479"/>
      <c r="C532" s="977"/>
      <c r="D532" s="777" t="s">
        <v>1106</v>
      </c>
      <c r="E532" s="2687" t="s">
        <v>393</v>
      </c>
      <c r="F532" s="2688"/>
      <c r="G532" s="1002"/>
      <c r="H532" s="1003" t="str">
        <f t="shared" ref="H532:N532" si="231">IF(COUNT(H525,H527:H528)&gt;0,IF(COUNTIF(H526:H528,"&lt;0")&gt;0,EUconst_Negative,IF(COUNT(H525,H527:H528)&lt;3,EUconst_Incomplete,"")),"")</f>
        <v/>
      </c>
      <c r="I532" s="1004" t="str">
        <f t="shared" si="231"/>
        <v/>
      </c>
      <c r="J532" s="1814" t="str">
        <f t="shared" si="231"/>
        <v/>
      </c>
      <c r="K532" s="1758" t="str">
        <f t="shared" si="231"/>
        <v/>
      </c>
      <c r="L532" s="1758" t="str">
        <f t="shared" si="231"/>
        <v/>
      </c>
      <c r="M532" s="1758" t="str">
        <f t="shared" si="231"/>
        <v/>
      </c>
      <c r="N532" s="1759" t="str">
        <f t="shared" si="231"/>
        <v/>
      </c>
      <c r="O532" s="485"/>
      <c r="P532" s="485"/>
      <c r="Q532" s="1435"/>
      <c r="S532" s="1435"/>
    </row>
    <row r="533" spans="2:37" ht="12.75" customHeight="1">
      <c r="B533" s="479"/>
      <c r="C533" s="977"/>
      <c r="D533" s="981"/>
      <c r="E533" s="981"/>
      <c r="F533" s="981"/>
      <c r="G533" s="981"/>
      <c r="H533" s="981"/>
      <c r="I533" s="981"/>
      <c r="J533" s="981"/>
      <c r="K533" s="981"/>
      <c r="L533" s="981"/>
      <c r="M533" s="813"/>
      <c r="N533" s="814"/>
      <c r="O533" s="485"/>
      <c r="P533" s="485"/>
      <c r="Q533" s="1435"/>
      <c r="S533" s="1435"/>
    </row>
    <row r="534" spans="2:37" ht="12.75" customHeight="1">
      <c r="B534" s="479"/>
      <c r="C534" s="977"/>
      <c r="D534" s="982" t="s">
        <v>478</v>
      </c>
      <c r="E534" s="2649" t="s">
        <v>1457</v>
      </c>
      <c r="F534" s="2391"/>
      <c r="G534" s="2391"/>
      <c r="H534" s="2391"/>
      <c r="I534" s="2391"/>
      <c r="J534" s="2391"/>
      <c r="K534" s="2391"/>
      <c r="L534" s="2391"/>
      <c r="M534" s="2391"/>
      <c r="N534" s="2650"/>
      <c r="O534" s="485"/>
      <c r="P534" s="485"/>
      <c r="Q534" s="1435"/>
      <c r="S534" s="1435"/>
    </row>
    <row r="535" spans="2:37" ht="12.75" customHeight="1">
      <c r="B535" s="479"/>
      <c r="C535" s="977"/>
      <c r="D535" s="777"/>
      <c r="E535" s="3272" t="s">
        <v>2295</v>
      </c>
      <c r="F535" s="2380"/>
      <c r="G535" s="2380"/>
      <c r="H535" s="2380"/>
      <c r="I535" s="2380"/>
      <c r="J535" s="2380"/>
      <c r="K535" s="2380"/>
      <c r="L535" s="2380"/>
      <c r="M535" s="2380"/>
      <c r="N535" s="3268"/>
      <c r="O535" s="485"/>
      <c r="P535" s="485"/>
      <c r="Q535" s="1435"/>
      <c r="S535" s="1435"/>
      <c r="T535" s="1435"/>
      <c r="U535" s="1435"/>
      <c r="V535" s="1435"/>
    </row>
    <row r="536" spans="2:37" ht="25.5" customHeight="1">
      <c r="B536" s="479"/>
      <c r="C536" s="977"/>
      <c r="D536" s="981"/>
      <c r="E536" s="3267" t="s">
        <v>2300</v>
      </c>
      <c r="F536" s="2380"/>
      <c r="G536" s="2380"/>
      <c r="H536" s="2380"/>
      <c r="I536" s="2380"/>
      <c r="J536" s="2380"/>
      <c r="K536" s="2380"/>
      <c r="L536" s="2380"/>
      <c r="M536" s="2380"/>
      <c r="N536" s="3268"/>
      <c r="O536" s="485"/>
      <c r="P536" s="485"/>
      <c r="Q536" s="1435"/>
      <c r="S536" s="1435"/>
    </row>
    <row r="537" spans="2:37" ht="12.75" customHeight="1" thickBot="1">
      <c r="B537" s="479"/>
      <c r="C537" s="977"/>
      <c r="D537" s="981"/>
      <c r="E537" s="3267" t="s">
        <v>1365</v>
      </c>
      <c r="F537" s="2380"/>
      <c r="G537" s="2380"/>
      <c r="H537" s="2380"/>
      <c r="I537" s="2380"/>
      <c r="J537" s="2380"/>
      <c r="K537" s="2380"/>
      <c r="L537" s="2380"/>
      <c r="M537" s="2380"/>
      <c r="N537" s="3268"/>
      <c r="O537" s="485"/>
      <c r="P537" s="485"/>
      <c r="Q537" s="1435"/>
      <c r="S537" s="1435"/>
    </row>
    <row r="538" spans="2:37" ht="12.75" customHeight="1" thickBot="1">
      <c r="B538" s="479"/>
      <c r="C538" s="977"/>
      <c r="D538" s="982"/>
      <c r="E538" s="989"/>
      <c r="F538" s="990"/>
      <c r="G538" s="987" t="str">
        <f>EUconst_Unit</f>
        <v>Unit</v>
      </c>
      <c r="H538" s="782">
        <f t="shared" ref="H538:N538" si="232">H$3242</f>
        <v>2024</v>
      </c>
      <c r="I538" s="988">
        <f t="shared" si="232"/>
        <v>2025</v>
      </c>
      <c r="J538" s="1810">
        <f t="shared" si="232"/>
        <v>2026</v>
      </c>
      <c r="K538" s="1747">
        <f t="shared" si="232"/>
        <v>2027</v>
      </c>
      <c r="L538" s="1747">
        <f t="shared" si="232"/>
        <v>2028</v>
      </c>
      <c r="M538" s="1747">
        <f t="shared" si="232"/>
        <v>2029</v>
      </c>
      <c r="N538" s="1748">
        <f t="shared" si="232"/>
        <v>2030</v>
      </c>
      <c r="O538" s="485"/>
      <c r="P538" s="485"/>
      <c r="Q538" s="1435"/>
      <c r="S538" s="1648"/>
      <c r="T538" s="1749">
        <f t="shared" ref="T538:Z538" si="233">H538</f>
        <v>2024</v>
      </c>
      <c r="U538" s="1749">
        <f t="shared" si="233"/>
        <v>2025</v>
      </c>
      <c r="V538" s="1749">
        <f t="shared" si="233"/>
        <v>2026</v>
      </c>
      <c r="W538" s="1749">
        <f t="shared" si="233"/>
        <v>2027</v>
      </c>
      <c r="X538" s="1749">
        <f t="shared" si="233"/>
        <v>2028</v>
      </c>
      <c r="Y538" s="1749">
        <f t="shared" si="233"/>
        <v>2029</v>
      </c>
      <c r="Z538" s="1750">
        <f t="shared" si="233"/>
        <v>2030</v>
      </c>
      <c r="AC538" s="1638">
        <f t="shared" ref="AC538:AI538" si="234">H$20</f>
        <v>2024</v>
      </c>
      <c r="AD538" s="1638">
        <f t="shared" si="234"/>
        <v>2025</v>
      </c>
      <c r="AE538" s="1638">
        <f t="shared" si="234"/>
        <v>2026</v>
      </c>
      <c r="AF538" s="1638">
        <f t="shared" si="234"/>
        <v>2027</v>
      </c>
      <c r="AG538" s="1638">
        <f t="shared" si="234"/>
        <v>2028</v>
      </c>
      <c r="AH538" s="1638">
        <f t="shared" si="234"/>
        <v>2029</v>
      </c>
      <c r="AI538" s="1638">
        <f t="shared" si="234"/>
        <v>2030</v>
      </c>
    </row>
    <row r="539" spans="2:37" ht="12.75" customHeight="1" thickBot="1">
      <c r="B539" s="479"/>
      <c r="C539" s="977"/>
      <c r="D539" s="777"/>
      <c r="E539" s="2475" t="s">
        <v>1156</v>
      </c>
      <c r="F539" s="2410"/>
      <c r="G539" s="815" t="str">
        <f>EUconst_tCO2epa</f>
        <v>t CO2e/year</v>
      </c>
      <c r="H539" s="1479" t="str">
        <f>c_ALR2025!M3205</f>
        <v/>
      </c>
      <c r="I539" s="1532"/>
      <c r="J539" s="1811"/>
      <c r="K539" s="1751"/>
      <c r="L539" s="1751"/>
      <c r="M539" s="1751"/>
      <c r="N539" s="1752"/>
      <c r="O539" s="485"/>
      <c r="P539" s="9"/>
      <c r="Q539" s="1644" t="str">
        <f>EUconst_CNTR_CO2Feedstock &amp; I335</f>
        <v>EmCO2Feedstock_</v>
      </c>
      <c r="S539" s="1753" t="str">
        <f>EUconst_CNTR_AttributedEmissions &amp; I335</f>
        <v>AttrEmissions_</v>
      </c>
      <c r="T539" s="1743" t="str">
        <f t="shared" ref="T539:Z539" si="235">IF(T343,SUM(H539),"")</f>
        <v/>
      </c>
      <c r="U539" s="1743" t="str">
        <f t="shared" si="235"/>
        <v/>
      </c>
      <c r="V539" s="1743" t="str">
        <f t="shared" si="235"/>
        <v/>
      </c>
      <c r="W539" s="1743" t="str">
        <f t="shared" si="235"/>
        <v/>
      </c>
      <c r="X539" s="1743" t="str">
        <f t="shared" si="235"/>
        <v/>
      </c>
      <c r="Y539" s="1743" t="str">
        <f t="shared" si="235"/>
        <v/>
      </c>
      <c r="Z539" s="1744" t="str">
        <f t="shared" si="235"/>
        <v/>
      </c>
      <c r="AB539" s="1641" t="s">
        <v>717</v>
      </c>
      <c r="AC539" s="1443" t="b">
        <f>AC405</f>
        <v>0</v>
      </c>
      <c r="AD539" s="1443" t="b">
        <f t="shared" ref="AD539:AI539" si="236">AD405</f>
        <v>0</v>
      </c>
      <c r="AE539" s="1443" t="b">
        <f t="shared" si="236"/>
        <v>0</v>
      </c>
      <c r="AF539" s="1443" t="b">
        <f t="shared" si="236"/>
        <v>0</v>
      </c>
      <c r="AG539" s="1443" t="b">
        <f t="shared" si="236"/>
        <v>0</v>
      </c>
      <c r="AH539" s="1443" t="b">
        <f t="shared" si="236"/>
        <v>0</v>
      </c>
      <c r="AI539" s="1443" t="b">
        <f t="shared" si="236"/>
        <v>0</v>
      </c>
      <c r="AJ539" s="1633" t="s">
        <v>1954</v>
      </c>
      <c r="AK539" s="1635" t="str">
        <f>IF(AND(CNTR_ExistSubInstEntries,MSconst_RequireSubAttrEmissions,COUNTIFS(AC539:AI539,FALSE,H539:N539,"")&gt;0),EUconst_Error&amp;"BM"&amp;$Q335,"")</f>
        <v/>
      </c>
    </row>
    <row r="540" spans="2:37" ht="12.75" customHeight="1">
      <c r="B540" s="479"/>
      <c r="C540" s="977"/>
      <c r="D540" s="981"/>
      <c r="E540" s="981"/>
      <c r="F540" s="981"/>
      <c r="G540" s="981"/>
      <c r="H540" s="981"/>
      <c r="I540" s="981"/>
      <c r="J540" s="981"/>
      <c r="K540" s="981"/>
      <c r="L540" s="981"/>
      <c r="M540" s="813"/>
      <c r="N540" s="814"/>
      <c r="O540" s="485"/>
      <c r="P540" s="485"/>
      <c r="Q540" s="1435"/>
      <c r="S540" s="1435"/>
    </row>
    <row r="541" spans="2:37" ht="12.75" customHeight="1">
      <c r="B541" s="479"/>
      <c r="C541" s="977"/>
      <c r="D541" s="982" t="s">
        <v>479</v>
      </c>
      <c r="E541" s="2649" t="s">
        <v>1118</v>
      </c>
      <c r="F541" s="2391"/>
      <c r="G541" s="2391"/>
      <c r="H541" s="2391"/>
      <c r="I541" s="2391"/>
      <c r="J541" s="2391"/>
      <c r="K541" s="2391"/>
      <c r="L541" s="2391"/>
      <c r="M541" s="2391"/>
      <c r="N541" s="2650"/>
      <c r="O541" s="485"/>
      <c r="P541" s="485"/>
      <c r="Q541" s="1435"/>
      <c r="S541" s="1435"/>
    </row>
    <row r="542" spans="2:37" ht="12.75" customHeight="1">
      <c r="B542" s="479"/>
      <c r="C542" s="977"/>
      <c r="D542" s="777"/>
      <c r="E542" s="3272" t="s">
        <v>2297</v>
      </c>
      <c r="F542" s="2380"/>
      <c r="G542" s="2380"/>
      <c r="H542" s="2380"/>
      <c r="I542" s="2380"/>
      <c r="J542" s="2380"/>
      <c r="K542" s="2380"/>
      <c r="L542" s="2380"/>
      <c r="M542" s="2380"/>
      <c r="N542" s="3268"/>
      <c r="O542" s="485"/>
      <c r="P542" s="485"/>
      <c r="Q542" s="1435"/>
      <c r="S542" s="1435"/>
      <c r="T542" s="1435"/>
      <c r="U542" s="1435"/>
      <c r="V542" s="1435"/>
    </row>
    <row r="543" spans="2:37" ht="38.85" customHeight="1">
      <c r="B543" s="479"/>
      <c r="C543" s="977"/>
      <c r="D543" s="981"/>
      <c r="E543" s="3267" t="s">
        <v>2118</v>
      </c>
      <c r="F543" s="2380"/>
      <c r="G543" s="2380"/>
      <c r="H543" s="2380"/>
      <c r="I543" s="2380"/>
      <c r="J543" s="2380"/>
      <c r="K543" s="2380"/>
      <c r="L543" s="2380"/>
      <c r="M543" s="2380"/>
      <c r="N543" s="3268"/>
      <c r="O543" s="485"/>
      <c r="P543" s="485"/>
      <c r="Q543" s="1435"/>
      <c r="S543" s="1435"/>
    </row>
    <row r="544" spans="2:37" ht="25.5" customHeight="1">
      <c r="B544" s="479"/>
      <c r="C544" s="977"/>
      <c r="D544" s="981"/>
      <c r="E544" s="3267" t="s">
        <v>1614</v>
      </c>
      <c r="F544" s="2380"/>
      <c r="G544" s="2380"/>
      <c r="H544" s="2380"/>
      <c r="I544" s="2380"/>
      <c r="J544" s="2380"/>
      <c r="K544" s="2380"/>
      <c r="L544" s="2380"/>
      <c r="M544" s="2380"/>
      <c r="N544" s="3268"/>
      <c r="O544" s="485"/>
      <c r="P544" s="485"/>
      <c r="Q544" s="1435"/>
      <c r="S544" s="1435"/>
    </row>
    <row r="545" spans="2:37" ht="25.5" customHeight="1">
      <c r="B545" s="479"/>
      <c r="C545" s="977"/>
      <c r="D545" s="981"/>
      <c r="E545" s="3267" t="s">
        <v>1593</v>
      </c>
      <c r="F545" s="2380"/>
      <c r="G545" s="2380"/>
      <c r="H545" s="2380"/>
      <c r="I545" s="2380"/>
      <c r="J545" s="2380"/>
      <c r="K545" s="2380"/>
      <c r="L545" s="2380"/>
      <c r="M545" s="2380"/>
      <c r="N545" s="3268"/>
      <c r="O545" s="485"/>
      <c r="P545" s="485"/>
      <c r="Q545" s="1435"/>
      <c r="S545" s="1435"/>
    </row>
    <row r="546" spans="2:37" ht="12.75" customHeight="1" thickBot="1">
      <c r="B546" s="479"/>
      <c r="C546" s="977"/>
      <c r="D546" s="981"/>
      <c r="E546" s="3269" t="s">
        <v>1555</v>
      </c>
      <c r="F546" s="3270"/>
      <c r="G546" s="3270"/>
      <c r="H546" s="3270"/>
      <c r="I546" s="3270"/>
      <c r="J546" s="3270"/>
      <c r="K546" s="3270"/>
      <c r="L546" s="3270"/>
      <c r="M546" s="3270"/>
      <c r="N546" s="3271"/>
      <c r="O546" s="485"/>
      <c r="P546" s="485"/>
      <c r="Q546" s="1435"/>
    </row>
    <row r="547" spans="2:37" ht="12.75" customHeight="1" thickBot="1">
      <c r="B547" s="479"/>
      <c r="C547" s="977"/>
      <c r="D547" s="981"/>
      <c r="E547" s="2648" t="s">
        <v>1151</v>
      </c>
      <c r="F547" s="2493"/>
      <c r="G547" s="987" t="str">
        <f>EUconst_Unit</f>
        <v>Unit</v>
      </c>
      <c r="H547" s="782">
        <f t="shared" ref="H547:N547" si="237">H$3242</f>
        <v>2024</v>
      </c>
      <c r="I547" s="988">
        <f t="shared" si="237"/>
        <v>2025</v>
      </c>
      <c r="J547" s="1810">
        <f t="shared" si="237"/>
        <v>2026</v>
      </c>
      <c r="K547" s="1747">
        <f t="shared" si="237"/>
        <v>2027</v>
      </c>
      <c r="L547" s="1747">
        <f t="shared" si="237"/>
        <v>2028</v>
      </c>
      <c r="M547" s="1747">
        <f t="shared" si="237"/>
        <v>2029</v>
      </c>
      <c r="N547" s="1748">
        <f t="shared" si="237"/>
        <v>2030</v>
      </c>
      <c r="O547" s="485"/>
      <c r="P547" s="485"/>
      <c r="Q547" s="1435"/>
      <c r="S547" s="1648"/>
      <c r="T547" s="1749">
        <f t="shared" ref="T547:Z547" si="238">H547</f>
        <v>2024</v>
      </c>
      <c r="U547" s="1749">
        <f t="shared" si="238"/>
        <v>2025</v>
      </c>
      <c r="V547" s="1749">
        <f t="shared" si="238"/>
        <v>2026</v>
      </c>
      <c r="W547" s="1749">
        <f t="shared" si="238"/>
        <v>2027</v>
      </c>
      <c r="X547" s="1749">
        <f t="shared" si="238"/>
        <v>2028</v>
      </c>
      <c r="Y547" s="1749">
        <f t="shared" si="238"/>
        <v>2029</v>
      </c>
      <c r="Z547" s="1750">
        <f t="shared" si="238"/>
        <v>2030</v>
      </c>
      <c r="AC547" s="1638">
        <f t="shared" ref="AC547:AI547" si="239">H$20</f>
        <v>2024</v>
      </c>
      <c r="AD547" s="1638">
        <f t="shared" si="239"/>
        <v>2025</v>
      </c>
      <c r="AE547" s="1638">
        <f t="shared" si="239"/>
        <v>2026</v>
      </c>
      <c r="AF547" s="1638">
        <f t="shared" si="239"/>
        <v>2027</v>
      </c>
      <c r="AG547" s="1638">
        <f t="shared" si="239"/>
        <v>2028</v>
      </c>
      <c r="AH547" s="1638">
        <f t="shared" si="239"/>
        <v>2029</v>
      </c>
      <c r="AI547" s="1638">
        <f t="shared" si="239"/>
        <v>2030</v>
      </c>
    </row>
    <row r="548" spans="2:37" ht="12.75" customHeight="1">
      <c r="B548" s="479"/>
      <c r="C548" s="977"/>
      <c r="D548" s="777" t="s">
        <v>6</v>
      </c>
      <c r="E548" s="2475" t="s">
        <v>1087</v>
      </c>
      <c r="F548" s="2410"/>
      <c r="G548" s="815" t="str">
        <f>EUconst_TJpa</f>
        <v>TJ / year</v>
      </c>
      <c r="H548" s="1479" t="str">
        <f>c_ALR2025!M3214</f>
        <v/>
      </c>
      <c r="I548" s="1532"/>
      <c r="J548" s="1811"/>
      <c r="K548" s="1751"/>
      <c r="L548" s="1751"/>
      <c r="M548" s="1751"/>
      <c r="N548" s="1752"/>
      <c r="O548" s="485"/>
      <c r="P548" s="9"/>
      <c r="Q548" s="1644" t="str">
        <f>EUconst_CNTR_HeatImport &amp; I335</f>
        <v>HeatIm_</v>
      </c>
      <c r="S548" s="1874" t="str">
        <f>EUconst_ERR_AttrEmBMapplied &amp; I335</f>
        <v>ERR_AttrEmBM_</v>
      </c>
      <c r="T548" s="1443">
        <f t="shared" ref="T548:Z548" si="240">IF(AND(H548&lt;&gt;0,H549="",EUconst_StatusOfDataCollection=FALSE),1,0)</f>
        <v>0</v>
      </c>
      <c r="U548" s="1443">
        <f t="shared" si="240"/>
        <v>0</v>
      </c>
      <c r="V548" s="1443">
        <f t="shared" si="240"/>
        <v>0</v>
      </c>
      <c r="W548" s="1443">
        <f t="shared" si="240"/>
        <v>0</v>
      </c>
      <c r="X548" s="1443">
        <f t="shared" si="240"/>
        <v>0</v>
      </c>
      <c r="Y548" s="1443">
        <f t="shared" si="240"/>
        <v>0</v>
      </c>
      <c r="Z548" s="1737">
        <f t="shared" si="240"/>
        <v>0</v>
      </c>
      <c r="AA548" s="1503"/>
      <c r="AB548" s="1641" t="s">
        <v>717</v>
      </c>
      <c r="AC548" s="1443" t="b">
        <f t="shared" ref="AC548:AI548" si="241">AC405</f>
        <v>0</v>
      </c>
      <c r="AD548" s="1443" t="b">
        <f t="shared" si="241"/>
        <v>0</v>
      </c>
      <c r="AE548" s="1443" t="b">
        <f t="shared" si="241"/>
        <v>0</v>
      </c>
      <c r="AF548" s="1443" t="b">
        <f t="shared" si="241"/>
        <v>0</v>
      </c>
      <c r="AG548" s="1443" t="b">
        <f t="shared" si="241"/>
        <v>0</v>
      </c>
      <c r="AH548" s="1443" t="b">
        <f t="shared" si="241"/>
        <v>0</v>
      </c>
      <c r="AI548" s="1443" t="b">
        <f t="shared" si="241"/>
        <v>0</v>
      </c>
      <c r="AJ548" s="1633" t="s">
        <v>1954</v>
      </c>
      <c r="AK548" s="1635" t="str">
        <f>IF(AND(CNTR_ExistSubInstEntries,MSconst_RequireSubAttrEmissions,COUNTIFS(AC548:AI548,FALSE,H548:N548,"")&gt;0),EUconst_Error&amp;"BM"&amp;$Q335,"")</f>
        <v/>
      </c>
    </row>
    <row r="549" spans="2:37" ht="12.75" customHeight="1" thickBot="1">
      <c r="B549" s="479"/>
      <c r="C549" s="977"/>
      <c r="D549" s="777" t="s">
        <v>7</v>
      </c>
      <c r="E549" s="2475" t="s">
        <v>1103</v>
      </c>
      <c r="F549" s="2410"/>
      <c r="G549" s="815" t="str">
        <f>EUconst_tCO2pTJ</f>
        <v>t CO2 / TJ</v>
      </c>
      <c r="H549" s="1479" t="str">
        <f>c_ALR2025!M3215</f>
        <v/>
      </c>
      <c r="I549" s="1532"/>
      <c r="J549" s="1811"/>
      <c r="K549" s="1751"/>
      <c r="L549" s="1751"/>
      <c r="M549" s="1751"/>
      <c r="N549" s="1752"/>
      <c r="O549" s="485"/>
      <c r="P549" s="9"/>
      <c r="Q549" s="1644" t="str">
        <f>EUconst_CNTR_HeatImportEF &amp; I335</f>
        <v>HeatImEF_</v>
      </c>
      <c r="S549" s="1753" t="str">
        <f>EUconst_CNTR_AttributedEmissions &amp; I335</f>
        <v>AttrEmissions_</v>
      </c>
      <c r="T549" s="1743" t="str">
        <f t="shared" ref="T549:Z549" si="242">IF(T343,SUM(H548)*IF(ISNUMBER(H549),H549,EUconst_HeatBMvalue),"")</f>
        <v/>
      </c>
      <c r="U549" s="1743" t="str">
        <f t="shared" si="242"/>
        <v/>
      </c>
      <c r="V549" s="1743" t="str">
        <f t="shared" si="242"/>
        <v/>
      </c>
      <c r="W549" s="1743" t="str">
        <f t="shared" si="242"/>
        <v/>
      </c>
      <c r="X549" s="1743" t="str">
        <f t="shared" si="242"/>
        <v/>
      </c>
      <c r="Y549" s="1743" t="str">
        <f t="shared" si="242"/>
        <v/>
      </c>
      <c r="Z549" s="1744" t="str">
        <f t="shared" si="242"/>
        <v/>
      </c>
      <c r="AC549" s="1443" t="b">
        <f>AC548</f>
        <v>0</v>
      </c>
      <c r="AD549" s="1443" t="b">
        <f t="shared" ref="AD549:AI549" si="243">AD548</f>
        <v>0</v>
      </c>
      <c r="AE549" s="1443" t="b">
        <f t="shared" si="243"/>
        <v>0</v>
      </c>
      <c r="AF549" s="1443" t="b">
        <f t="shared" si="243"/>
        <v>0</v>
      </c>
      <c r="AG549" s="1443" t="b">
        <f t="shared" si="243"/>
        <v>0</v>
      </c>
      <c r="AH549" s="1443" t="b">
        <f t="shared" si="243"/>
        <v>0</v>
      </c>
      <c r="AI549" s="1443" t="b">
        <f t="shared" si="243"/>
        <v>0</v>
      </c>
    </row>
    <row r="550" spans="2:37" ht="5.0999999999999996" customHeight="1">
      <c r="B550" s="479"/>
      <c r="C550" s="977"/>
      <c r="D550" s="981"/>
      <c r="E550" s="981"/>
      <c r="F550" s="981"/>
      <c r="G550" s="981"/>
      <c r="H550" s="981"/>
      <c r="I550" s="981"/>
      <c r="J550" s="1815"/>
      <c r="K550" s="1760"/>
      <c r="L550" s="1760"/>
      <c r="M550" s="1760"/>
      <c r="N550" s="1761"/>
      <c r="O550" s="485"/>
      <c r="P550" s="485"/>
      <c r="Q550" s="1435"/>
      <c r="S550" s="1435"/>
      <c r="T550" s="1435"/>
      <c r="U550" s="1435"/>
      <c r="V550" s="1435"/>
    </row>
    <row r="551" spans="2:37" ht="12.75" customHeight="1" thickBot="1">
      <c r="B551" s="479"/>
      <c r="C551" s="977"/>
      <c r="D551" s="981"/>
      <c r="E551" s="2648" t="s">
        <v>1406</v>
      </c>
      <c r="F551" s="2493"/>
      <c r="G551" s="987" t="str">
        <f>EUconst_Unit</f>
        <v>Unit</v>
      </c>
      <c r="H551" s="782">
        <f t="shared" ref="H551:N551" si="244">H$3242</f>
        <v>2024</v>
      </c>
      <c r="I551" s="988">
        <f t="shared" si="244"/>
        <v>2025</v>
      </c>
      <c r="J551" s="1810">
        <f t="shared" si="244"/>
        <v>2026</v>
      </c>
      <c r="K551" s="1747">
        <f t="shared" si="244"/>
        <v>2027</v>
      </c>
      <c r="L551" s="1747">
        <f t="shared" si="244"/>
        <v>2028</v>
      </c>
      <c r="M551" s="1747">
        <f t="shared" si="244"/>
        <v>2029</v>
      </c>
      <c r="N551" s="1748">
        <f t="shared" si="244"/>
        <v>2030</v>
      </c>
      <c r="O551" s="485"/>
      <c r="P551" s="485"/>
      <c r="Q551" s="1435"/>
      <c r="S551" s="1435"/>
      <c r="T551" s="1435"/>
      <c r="U551" s="1435"/>
      <c r="V551" s="1435"/>
      <c r="AC551" s="1638">
        <f t="shared" ref="AC551:AI551" si="245">H$20</f>
        <v>2024</v>
      </c>
      <c r="AD551" s="1638">
        <f t="shared" si="245"/>
        <v>2025</v>
      </c>
      <c r="AE551" s="1638">
        <f t="shared" si="245"/>
        <v>2026</v>
      </c>
      <c r="AF551" s="1638">
        <f t="shared" si="245"/>
        <v>2027</v>
      </c>
      <c r="AG551" s="1638">
        <f t="shared" si="245"/>
        <v>2028</v>
      </c>
      <c r="AH551" s="1638">
        <f t="shared" si="245"/>
        <v>2029</v>
      </c>
      <c r="AI551" s="1638">
        <f t="shared" si="245"/>
        <v>2030</v>
      </c>
    </row>
    <row r="552" spans="2:37" ht="12.75" customHeight="1">
      <c r="B552" s="479"/>
      <c r="C552" s="977"/>
      <c r="D552" s="777" t="s">
        <v>8</v>
      </c>
      <c r="E552" s="2475" t="s">
        <v>1556</v>
      </c>
      <c r="F552" s="2410"/>
      <c r="G552" s="815" t="str">
        <f>EUconst_TJpa</f>
        <v>TJ / year</v>
      </c>
      <c r="H552" s="1762" t="str">
        <f>c_ALR2025!M3218</f>
        <v/>
      </c>
      <c r="I552" s="1885"/>
      <c r="J552" s="1811"/>
      <c r="K552" s="1751"/>
      <c r="L552" s="1751"/>
      <c r="M552" s="1751"/>
      <c r="N552" s="1752"/>
      <c r="O552" s="485"/>
      <c r="P552" s="9"/>
      <c r="Q552" s="1644" t="str">
        <f>EUconst_CNTR_HeatImportPulp &amp; I335</f>
        <v>HeatImPulp_</v>
      </c>
      <c r="S552" s="1435"/>
      <c r="T552" s="1435"/>
      <c r="U552" s="1435"/>
      <c r="V552" s="1435"/>
      <c r="AB552" s="1641" t="s">
        <v>717</v>
      </c>
      <c r="AC552" s="1443" t="b">
        <f>AC405</f>
        <v>0</v>
      </c>
      <c r="AD552" s="1443" t="b">
        <f t="shared" ref="AD552:AI552" si="246">AD405</f>
        <v>0</v>
      </c>
      <c r="AE552" s="1443" t="b">
        <f t="shared" si="246"/>
        <v>0</v>
      </c>
      <c r="AF552" s="1443" t="b">
        <f t="shared" si="246"/>
        <v>0</v>
      </c>
      <c r="AG552" s="1443" t="b">
        <f t="shared" si="246"/>
        <v>0</v>
      </c>
      <c r="AH552" s="1443" t="b">
        <f t="shared" si="246"/>
        <v>0</v>
      </c>
      <c r="AI552" s="1443" t="b">
        <f t="shared" si="246"/>
        <v>0</v>
      </c>
      <c r="AJ552" s="1633" t="s">
        <v>1954</v>
      </c>
      <c r="AK552" s="1635" t="str">
        <f>IF(AND(CNTR_ExistSubInstEntries,MSconst_RequireSubAttrEmissions,COUNTIFS(AC552:AI552,FALSE,H552:N552,"")&gt;0),EUconst_Error&amp;"BM"&amp;$Q335,"")</f>
        <v/>
      </c>
    </row>
    <row r="553" spans="2:37" ht="25.5" customHeight="1">
      <c r="B553" s="479"/>
      <c r="C553" s="977"/>
      <c r="D553" s="777" t="s">
        <v>18</v>
      </c>
      <c r="E553" s="2475" t="s">
        <v>1149</v>
      </c>
      <c r="F553" s="2410"/>
      <c r="G553" s="815" t="str">
        <f>EUconst_TJpa</f>
        <v>TJ / year</v>
      </c>
      <c r="H553" s="1479" t="str">
        <f>c_ALR2025!M3219</f>
        <v/>
      </c>
      <c r="I553" s="1532"/>
      <c r="J553" s="1811"/>
      <c r="K553" s="1751"/>
      <c r="L553" s="1751"/>
      <c r="M553" s="1751"/>
      <c r="N553" s="1752"/>
      <c r="O553" s="485"/>
      <c r="P553" s="9"/>
      <c r="Q553" s="1644" t="str">
        <f>EUconst_CNTR_HeatImportNitric &amp; I335</f>
        <v>HeatImNitric_</v>
      </c>
      <c r="S553" s="1435"/>
      <c r="T553" s="1435"/>
      <c r="U553" s="1435"/>
      <c r="V553" s="1435"/>
      <c r="AC553" s="1443" t="b">
        <f>AC552</f>
        <v>0</v>
      </c>
      <c r="AD553" s="1443" t="b">
        <f t="shared" ref="AD553:AI553" si="247">AD552</f>
        <v>0</v>
      </c>
      <c r="AE553" s="1443" t="b">
        <f t="shared" si="247"/>
        <v>0</v>
      </c>
      <c r="AF553" s="1443" t="b">
        <f t="shared" si="247"/>
        <v>0</v>
      </c>
      <c r="AG553" s="1443" t="b">
        <f t="shared" si="247"/>
        <v>0</v>
      </c>
      <c r="AH553" s="1443" t="b">
        <f t="shared" si="247"/>
        <v>0</v>
      </c>
      <c r="AI553" s="1443" t="b">
        <f t="shared" si="247"/>
        <v>0</v>
      </c>
      <c r="AJ553" s="1633" t="s">
        <v>1954</v>
      </c>
      <c r="AK553" s="1635" t="str">
        <f>IF(AND(CNTR_ExistSubInstEntries,MSconst_RequireSubAttrEmissions,COUNTIFS(AC553:AI553,FALSE,H553:N553,"")&gt;0),EUconst_Error&amp;"BM"&amp;$Q335,"")</f>
        <v/>
      </c>
    </row>
    <row r="554" spans="2:37" ht="5.0999999999999996" customHeight="1" thickBot="1">
      <c r="B554" s="479"/>
      <c r="C554" s="977"/>
      <c r="D554" s="981"/>
      <c r="E554" s="981"/>
      <c r="F554" s="981"/>
      <c r="G554" s="981"/>
      <c r="H554" s="981"/>
      <c r="I554" s="981"/>
      <c r="J554" s="1815"/>
      <c r="K554" s="1760"/>
      <c r="L554" s="1760"/>
      <c r="M554" s="1760"/>
      <c r="N554" s="1761"/>
      <c r="O554" s="485"/>
      <c r="P554" s="485"/>
      <c r="Q554" s="1435"/>
      <c r="S554" s="1435"/>
      <c r="T554" s="1435"/>
      <c r="U554" s="1435"/>
      <c r="V554" s="1435"/>
    </row>
    <row r="555" spans="2:37" ht="12.75" customHeight="1" thickBot="1">
      <c r="B555" s="479"/>
      <c r="C555" s="977"/>
      <c r="D555" s="981"/>
      <c r="E555" s="2648" t="s">
        <v>1152</v>
      </c>
      <c r="F555" s="2493"/>
      <c r="G555" s="987" t="str">
        <f>EUconst_Unit</f>
        <v>Unit</v>
      </c>
      <c r="H555" s="782">
        <f t="shared" ref="H555:N555" si="248">H$3242</f>
        <v>2024</v>
      </c>
      <c r="I555" s="988">
        <f t="shared" si="248"/>
        <v>2025</v>
      </c>
      <c r="J555" s="1810">
        <f t="shared" si="248"/>
        <v>2026</v>
      </c>
      <c r="K555" s="1747">
        <f t="shared" si="248"/>
        <v>2027</v>
      </c>
      <c r="L555" s="1747">
        <f t="shared" si="248"/>
        <v>2028</v>
      </c>
      <c r="M555" s="1747">
        <f t="shared" si="248"/>
        <v>2029</v>
      </c>
      <c r="N555" s="1748">
        <f t="shared" si="248"/>
        <v>2030</v>
      </c>
      <c r="O555" s="485"/>
      <c r="P555" s="485"/>
      <c r="Q555" s="1435"/>
      <c r="S555" s="1648"/>
      <c r="T555" s="1749">
        <f t="shared" ref="T555:Z555" si="249">H555</f>
        <v>2024</v>
      </c>
      <c r="U555" s="1749">
        <f t="shared" si="249"/>
        <v>2025</v>
      </c>
      <c r="V555" s="1749">
        <f t="shared" si="249"/>
        <v>2026</v>
      </c>
      <c r="W555" s="1749">
        <f t="shared" si="249"/>
        <v>2027</v>
      </c>
      <c r="X555" s="1749">
        <f t="shared" si="249"/>
        <v>2028</v>
      </c>
      <c r="Y555" s="1749">
        <f t="shared" si="249"/>
        <v>2029</v>
      </c>
      <c r="Z555" s="1750">
        <f t="shared" si="249"/>
        <v>2030</v>
      </c>
      <c r="AC555" s="1638">
        <f t="shared" ref="AC555:AI555" si="250">H$20</f>
        <v>2024</v>
      </c>
      <c r="AD555" s="1638">
        <f t="shared" si="250"/>
        <v>2025</v>
      </c>
      <c r="AE555" s="1638">
        <f t="shared" si="250"/>
        <v>2026</v>
      </c>
      <c r="AF555" s="1638">
        <f t="shared" si="250"/>
        <v>2027</v>
      </c>
      <c r="AG555" s="1638">
        <f t="shared" si="250"/>
        <v>2028</v>
      </c>
      <c r="AH555" s="1638">
        <f t="shared" si="250"/>
        <v>2029</v>
      </c>
      <c r="AI555" s="1638">
        <f t="shared" si="250"/>
        <v>2030</v>
      </c>
    </row>
    <row r="556" spans="2:37" ht="12.75" customHeight="1">
      <c r="B556" s="479"/>
      <c r="C556" s="977"/>
      <c r="D556" s="777" t="s">
        <v>787</v>
      </c>
      <c r="E556" s="2475" t="s">
        <v>1079</v>
      </c>
      <c r="F556" s="2410"/>
      <c r="G556" s="815" t="str">
        <f>EUconst_TJpa</f>
        <v>TJ / year</v>
      </c>
      <c r="H556" s="1479" t="str">
        <f>c_ALR2025!M3222</f>
        <v/>
      </c>
      <c r="I556" s="1532"/>
      <c r="J556" s="1811"/>
      <c r="K556" s="1751"/>
      <c r="L556" s="1751"/>
      <c r="M556" s="1751"/>
      <c r="N556" s="1752"/>
      <c r="O556" s="485"/>
      <c r="P556" s="9"/>
      <c r="Q556" s="1644" t="str">
        <f>EUconst_CNTR_HeatExport &amp; I335</f>
        <v>HeatEx_</v>
      </c>
      <c r="S556" s="1874" t="str">
        <f>EUconst_ERR_AttrEmBMapplied &amp; I335</f>
        <v>ERR_AttrEmBM_</v>
      </c>
      <c r="T556" s="1443">
        <f t="shared" ref="T556:Z556" si="251">IF(AND(H556&lt;&gt;0,H557="",EUconst_StatusOfDataCollection=FALSE),1,0)</f>
        <v>0</v>
      </c>
      <c r="U556" s="1443">
        <f t="shared" si="251"/>
        <v>0</v>
      </c>
      <c r="V556" s="1443">
        <f t="shared" si="251"/>
        <v>0</v>
      </c>
      <c r="W556" s="1443">
        <f t="shared" si="251"/>
        <v>0</v>
      </c>
      <c r="X556" s="1443">
        <f t="shared" si="251"/>
        <v>0</v>
      </c>
      <c r="Y556" s="1443">
        <f t="shared" si="251"/>
        <v>0</v>
      </c>
      <c r="Z556" s="1737">
        <f t="shared" si="251"/>
        <v>0</v>
      </c>
      <c r="AB556" s="1641" t="s">
        <v>717</v>
      </c>
      <c r="AC556" s="1443" t="b">
        <f>AC552</f>
        <v>0</v>
      </c>
      <c r="AD556" s="1443" t="b">
        <f t="shared" ref="AD556:AI556" si="252">AD552</f>
        <v>0</v>
      </c>
      <c r="AE556" s="1443" t="b">
        <f t="shared" si="252"/>
        <v>0</v>
      </c>
      <c r="AF556" s="1443" t="b">
        <f t="shared" si="252"/>
        <v>0</v>
      </c>
      <c r="AG556" s="1443" t="b">
        <f t="shared" si="252"/>
        <v>0</v>
      </c>
      <c r="AH556" s="1443" t="b">
        <f t="shared" si="252"/>
        <v>0</v>
      </c>
      <c r="AI556" s="1443" t="b">
        <f t="shared" si="252"/>
        <v>0</v>
      </c>
      <c r="AJ556" s="1633" t="s">
        <v>1954</v>
      </c>
      <c r="AK556" s="1635" t="str">
        <f>IF(AND(CNTR_ExistSubInstEntries,MSconst_RequireSubAttrEmissions,COUNTIFS(AC556:AI556,FALSE,H556:N556,"")&gt;0),EUconst_Error&amp;"BM"&amp;$Q335,"")</f>
        <v/>
      </c>
    </row>
    <row r="557" spans="2:37" ht="12.75" customHeight="1" thickBot="1">
      <c r="B557" s="479"/>
      <c r="C557" s="977"/>
      <c r="D557" s="777" t="s">
        <v>788</v>
      </c>
      <c r="E557" s="2475" t="s">
        <v>1104</v>
      </c>
      <c r="F557" s="2410"/>
      <c r="G557" s="815" t="str">
        <f>EUconst_tCO2pTJ</f>
        <v>t CO2 / TJ</v>
      </c>
      <c r="H557" s="1479" t="str">
        <f>c_ALR2025!M3223</f>
        <v/>
      </c>
      <c r="I557" s="1532"/>
      <c r="J557" s="1811"/>
      <c r="K557" s="1751"/>
      <c r="L557" s="1751"/>
      <c r="M557" s="1751"/>
      <c r="N557" s="1752"/>
      <c r="O557" s="485"/>
      <c r="P557" s="9"/>
      <c r="Q557" s="1644" t="str">
        <f>EUconst_CNTR_HeatExportEF &amp; I335</f>
        <v>HeatExEF_</v>
      </c>
      <c r="S557" s="1753" t="str">
        <f>EUconst_CNTR_AttributedEmissions &amp; I335</f>
        <v>AttrEmissions_</v>
      </c>
      <c r="T557" s="1743" t="str">
        <f t="shared" ref="T557:Z557" si="253">IF(T343,-SUM(H556)*IF(INDEX(EUconst_BMlistNumberOfBM,MATCH($I335,EUconst_BMlistNames,0))=39,0,IF(ISNUMBER(H557),H557,EUconst_HeatBMvalue)),"")</f>
        <v/>
      </c>
      <c r="U557" s="1743" t="str">
        <f t="shared" si="253"/>
        <v/>
      </c>
      <c r="V557" s="1743" t="str">
        <f t="shared" si="253"/>
        <v/>
      </c>
      <c r="W557" s="1743" t="str">
        <f t="shared" si="253"/>
        <v/>
      </c>
      <c r="X557" s="1743" t="str">
        <f t="shared" si="253"/>
        <v/>
      </c>
      <c r="Y557" s="1743" t="str">
        <f t="shared" si="253"/>
        <v/>
      </c>
      <c r="Z557" s="1744" t="str">
        <f t="shared" si="253"/>
        <v/>
      </c>
      <c r="AC557" s="1443" t="b">
        <f>AC556</f>
        <v>0</v>
      </c>
      <c r="AD557" s="1443" t="b">
        <f t="shared" ref="AD557:AI557" si="254">AD556</f>
        <v>0</v>
      </c>
      <c r="AE557" s="1443" t="b">
        <f t="shared" si="254"/>
        <v>0</v>
      </c>
      <c r="AF557" s="1443" t="b">
        <f t="shared" si="254"/>
        <v>0</v>
      </c>
      <c r="AG557" s="1443" t="b">
        <f t="shared" si="254"/>
        <v>0</v>
      </c>
      <c r="AH557" s="1443" t="b">
        <f t="shared" si="254"/>
        <v>0</v>
      </c>
      <c r="AI557" s="1443" t="b">
        <f t="shared" si="254"/>
        <v>0</v>
      </c>
    </row>
    <row r="558" spans="2:37" ht="12.75" customHeight="1">
      <c r="B558" s="479"/>
      <c r="C558" s="977"/>
      <c r="D558" s="981"/>
      <c r="E558" s="981"/>
      <c r="F558" s="981"/>
      <c r="G558" s="981"/>
      <c r="H558" s="981"/>
      <c r="I558" s="981"/>
      <c r="J558" s="981"/>
      <c r="K558" s="981"/>
      <c r="L558" s="981"/>
      <c r="M558" s="813"/>
      <c r="N558" s="814"/>
      <c r="O558" s="485"/>
      <c r="P558" s="485"/>
      <c r="Q558" s="1435"/>
      <c r="S558" s="1435"/>
      <c r="T558" s="1435"/>
      <c r="U558" s="1435"/>
      <c r="V558" s="1435"/>
    </row>
    <row r="559" spans="2:37" ht="12.75" customHeight="1">
      <c r="B559" s="479"/>
      <c r="C559" s="977"/>
      <c r="D559" s="982" t="s">
        <v>481</v>
      </c>
      <c r="E559" s="2649" t="s">
        <v>1312</v>
      </c>
      <c r="F559" s="2391"/>
      <c r="G559" s="2391"/>
      <c r="H559" s="2391"/>
      <c r="I559" s="2391"/>
      <c r="J559" s="2391"/>
      <c r="K559" s="2391"/>
      <c r="L559" s="2391"/>
      <c r="M559" s="2391"/>
      <c r="N559" s="2650"/>
      <c r="O559" s="485"/>
      <c r="P559" s="485"/>
      <c r="Q559" s="1435"/>
      <c r="S559" s="1435"/>
      <c r="T559" s="1435"/>
      <c r="U559" s="1435"/>
      <c r="V559" s="1435"/>
    </row>
    <row r="560" spans="2:37" ht="5.0999999999999996" customHeight="1">
      <c r="B560" s="479"/>
      <c r="C560" s="977"/>
      <c r="D560" s="981"/>
      <c r="E560" s="986"/>
      <c r="F560" s="986"/>
      <c r="G560" s="986"/>
      <c r="H560" s="986"/>
      <c r="I560" s="986"/>
      <c r="J560" s="986"/>
      <c r="K560" s="986"/>
      <c r="L560" s="986"/>
      <c r="M560" s="986"/>
      <c r="N560" s="1007"/>
      <c r="O560" s="485"/>
      <c r="P560" s="485"/>
      <c r="Q560" s="1435"/>
      <c r="S560" s="1435"/>
      <c r="T560" s="1435"/>
      <c r="U560" s="1435"/>
      <c r="V560" s="1435"/>
    </row>
    <row r="561" spans="2:37" ht="12.75" customHeight="1">
      <c r="B561" s="479"/>
      <c r="C561" s="977"/>
      <c r="D561" s="777" t="s">
        <v>6</v>
      </c>
      <c r="E561" s="2649" t="s">
        <v>1313</v>
      </c>
      <c r="F561" s="2391"/>
      <c r="G561" s="2391"/>
      <c r="H561" s="2391"/>
      <c r="I561" s="2391"/>
      <c r="J561" s="2391"/>
      <c r="K561" s="2512"/>
      <c r="L561" s="1478" t="str">
        <f>c_ALR2025!L3227</f>
        <v/>
      </c>
      <c r="M561" s="978"/>
      <c r="N561" s="979"/>
      <c r="O561" s="485"/>
      <c r="P561" s="9"/>
      <c r="Q561" s="1435"/>
      <c r="S561" s="1435"/>
      <c r="AF561" s="1641" t="s">
        <v>717</v>
      </c>
      <c r="AG561" s="1423" t="b">
        <f>AND(CNTR_ExistSubInstEntries,I335="")</f>
        <v>0</v>
      </c>
    </row>
    <row r="562" spans="2:37" ht="12.75" customHeight="1">
      <c r="B562" s="479"/>
      <c r="C562" s="977"/>
      <c r="D562" s="981"/>
      <c r="E562" s="3267" t="s">
        <v>1314</v>
      </c>
      <c r="F562" s="2380"/>
      <c r="G562" s="2380"/>
      <c r="H562" s="2380"/>
      <c r="I562" s="2380"/>
      <c r="J562" s="2380"/>
      <c r="K562" s="2380"/>
      <c r="L562" s="2380"/>
      <c r="M562" s="2380"/>
      <c r="N562" s="3268"/>
      <c r="O562" s="485"/>
      <c r="P562" s="485"/>
      <c r="Q562" s="1435"/>
      <c r="S562" s="1435"/>
    </row>
    <row r="563" spans="2:37" ht="12.75" customHeight="1">
      <c r="B563" s="479"/>
      <c r="C563" s="977"/>
      <c r="D563" s="777" t="s">
        <v>7</v>
      </c>
      <c r="E563" s="2649" t="s">
        <v>1219</v>
      </c>
      <c r="F563" s="2391"/>
      <c r="G563" s="2391"/>
      <c r="H563" s="2512"/>
      <c r="I563" s="3211" t="str">
        <f>c_ALR2025!I3229</f>
        <v/>
      </c>
      <c r="J563" s="3206"/>
      <c r="K563" s="3206"/>
      <c r="L563" s="3206"/>
      <c r="M563" s="3207"/>
      <c r="N563" s="979"/>
      <c r="O563" s="485"/>
      <c r="P563" s="9"/>
      <c r="Q563" s="1435"/>
      <c r="S563" s="1435"/>
      <c r="AC563" s="1641" t="s">
        <v>717</v>
      </c>
      <c r="AD563" s="1423" t="b">
        <f>OR(AG561,AND($L561&lt;&gt;"",$L561=FALSE))</f>
        <v>0</v>
      </c>
    </row>
    <row r="564" spans="2:37" ht="12.75" customHeight="1">
      <c r="B564" s="479"/>
      <c r="C564" s="977"/>
      <c r="D564" s="981"/>
      <c r="E564" s="3267" t="s">
        <v>1316</v>
      </c>
      <c r="F564" s="2380"/>
      <c r="G564" s="2380"/>
      <c r="H564" s="2380"/>
      <c r="I564" s="2380"/>
      <c r="J564" s="2380"/>
      <c r="K564" s="2380"/>
      <c r="L564" s="2380"/>
      <c r="M564" s="2380"/>
      <c r="N564" s="3268"/>
      <c r="O564" s="485"/>
      <c r="P564" s="485"/>
      <c r="Q564" s="1435"/>
      <c r="S564" s="1435"/>
      <c r="T564" s="1435"/>
      <c r="U564" s="1435"/>
      <c r="V564" s="1435"/>
    </row>
    <row r="565" spans="2:37" ht="12.75" customHeight="1">
      <c r="B565" s="479"/>
      <c r="C565" s="977"/>
      <c r="D565" s="981"/>
      <c r="E565" s="3272" t="s">
        <v>1557</v>
      </c>
      <c r="F565" s="2380"/>
      <c r="G565" s="2380"/>
      <c r="H565" s="2380"/>
      <c r="I565" s="2380"/>
      <c r="J565" s="2380"/>
      <c r="K565" s="2380"/>
      <c r="L565" s="2380"/>
      <c r="M565" s="2380"/>
      <c r="N565" s="3268"/>
      <c r="O565" s="485"/>
      <c r="P565" s="485"/>
      <c r="Q565" s="1435"/>
      <c r="S565" s="1435"/>
      <c r="T565" s="1435"/>
      <c r="U565" s="1435"/>
      <c r="V565" s="1435"/>
    </row>
    <row r="566" spans="2:37" ht="12.75" customHeight="1" thickBot="1">
      <c r="B566" s="479"/>
      <c r="C566" s="977"/>
      <c r="D566" s="981"/>
      <c r="E566" s="989"/>
      <c r="F566" s="990"/>
      <c r="G566" s="987" t="str">
        <f>EUconst_Unit</f>
        <v>Unit</v>
      </c>
      <c r="H566" s="782">
        <f t="shared" ref="H566:N566" si="255">H$3242</f>
        <v>2024</v>
      </c>
      <c r="I566" s="988">
        <f t="shared" si="255"/>
        <v>2025</v>
      </c>
      <c r="J566" s="1810">
        <f t="shared" si="255"/>
        <v>2026</v>
      </c>
      <c r="K566" s="1747">
        <f t="shared" si="255"/>
        <v>2027</v>
      </c>
      <c r="L566" s="1747">
        <f t="shared" si="255"/>
        <v>2028</v>
      </c>
      <c r="M566" s="1747">
        <f t="shared" si="255"/>
        <v>2029</v>
      </c>
      <c r="N566" s="1748">
        <f t="shared" si="255"/>
        <v>2030</v>
      </c>
      <c r="O566" s="485"/>
      <c r="P566" s="485"/>
      <c r="Q566" s="1435"/>
      <c r="S566" s="1435"/>
      <c r="T566" s="1435"/>
      <c r="U566" s="1435"/>
      <c r="V566" s="1435"/>
      <c r="AC566" s="1638">
        <f t="shared" ref="AC566:AI566" si="256">H$20</f>
        <v>2024</v>
      </c>
      <c r="AD566" s="1638">
        <f t="shared" si="256"/>
        <v>2025</v>
      </c>
      <c r="AE566" s="1638">
        <f t="shared" si="256"/>
        <v>2026</v>
      </c>
      <c r="AF566" s="1638">
        <f t="shared" si="256"/>
        <v>2027</v>
      </c>
      <c r="AG566" s="1638">
        <f t="shared" si="256"/>
        <v>2028</v>
      </c>
      <c r="AH566" s="1638">
        <f t="shared" si="256"/>
        <v>2029</v>
      </c>
      <c r="AI566" s="1638">
        <f t="shared" si="256"/>
        <v>2030</v>
      </c>
    </row>
    <row r="567" spans="2:37" ht="12.75" customHeight="1">
      <c r="B567" s="479"/>
      <c r="C567" s="977"/>
      <c r="D567" s="777" t="s">
        <v>8</v>
      </c>
      <c r="E567" s="2471" t="s">
        <v>1305</v>
      </c>
      <c r="F567" s="2472"/>
      <c r="G567" s="1763" t="str">
        <f>c_ALR2025!G3233</f>
        <v/>
      </c>
      <c r="H567" s="1552" t="str">
        <f>c_ALR2025!M3233</f>
        <v/>
      </c>
      <c r="I567" s="1611"/>
      <c r="J567" s="1811"/>
      <c r="K567" s="1751"/>
      <c r="L567" s="1751"/>
      <c r="M567" s="1751"/>
      <c r="N567" s="1752"/>
      <c r="O567" s="485"/>
      <c r="P567" s="9"/>
      <c r="Q567" s="1435"/>
      <c r="S567" s="1435"/>
      <c r="T567" s="1435"/>
      <c r="U567" s="1435"/>
      <c r="V567" s="1435"/>
      <c r="AB567" s="1641" t="s">
        <v>717</v>
      </c>
      <c r="AC567" s="1423" t="b">
        <f>OR(AND($L561&lt;&gt;"",$L561=FALSE),AC405)</f>
        <v>0</v>
      </c>
      <c r="AD567" s="1443" t="b">
        <f t="shared" ref="AD567:AI567" si="257">OR(AND($L561&lt;&gt;"",$L561=FALSE),AD405)</f>
        <v>0</v>
      </c>
      <c r="AE567" s="1443" t="b">
        <f t="shared" si="257"/>
        <v>0</v>
      </c>
      <c r="AF567" s="1443" t="b">
        <f t="shared" si="257"/>
        <v>0</v>
      </c>
      <c r="AG567" s="1443" t="b">
        <f t="shared" si="257"/>
        <v>0</v>
      </c>
      <c r="AH567" s="1443" t="b">
        <f t="shared" si="257"/>
        <v>0</v>
      </c>
      <c r="AI567" s="1443" t="b">
        <f t="shared" si="257"/>
        <v>0</v>
      </c>
      <c r="AJ567" s="1633" t="s">
        <v>1954</v>
      </c>
      <c r="AK567" s="1635" t="str">
        <f>IF(AND(CNTR_ExistSubInstEntries,MSconst_RequireSubAttrEmissions,COUNTIFS(AC567:AI567,FALSE,H567:N567,"")&gt;0),EUconst_Error&amp;"BM"&amp;$Q335,"")</f>
        <v/>
      </c>
    </row>
    <row r="568" spans="2:37" ht="12.75" customHeight="1">
      <c r="B568" s="479"/>
      <c r="C568" s="977"/>
      <c r="D568" s="777" t="s">
        <v>18</v>
      </c>
      <c r="E568" s="2473" t="s">
        <v>661</v>
      </c>
      <c r="F568" s="2474"/>
      <c r="G568" s="1008" t="e">
        <f>IF(ISBLANK(G567),EUconst_GJperUnit,INDEX(EUconst_GJperTorKNm3,MATCH(G567,EUconst_TonnesOrkNm3pa,0)))</f>
        <v>#N/A</v>
      </c>
      <c r="H568" s="1558" t="str">
        <f>c_ALR2025!M3234</f>
        <v/>
      </c>
      <c r="I568" s="1884"/>
      <c r="J568" s="1811"/>
      <c r="K568" s="1751"/>
      <c r="L568" s="1751"/>
      <c r="M568" s="1751"/>
      <c r="N568" s="1752"/>
      <c r="O568" s="485"/>
      <c r="P568" s="9"/>
      <c r="S568" s="1435"/>
      <c r="T568" s="1435"/>
      <c r="U568" s="1435"/>
      <c r="V568" s="1435"/>
      <c r="W568" s="1435"/>
      <c r="X568" s="1435"/>
      <c r="Y568" s="1435"/>
      <c r="Z568" s="1435"/>
      <c r="AC568" s="1443" t="b">
        <f>AC567</f>
        <v>0</v>
      </c>
      <c r="AD568" s="1443" t="b">
        <f t="shared" ref="AD568:AI568" si="258">AD567</f>
        <v>0</v>
      </c>
      <c r="AE568" s="1443" t="b">
        <f t="shared" si="258"/>
        <v>0</v>
      </c>
      <c r="AF568" s="1443" t="b">
        <f t="shared" si="258"/>
        <v>0</v>
      </c>
      <c r="AG568" s="1443" t="b">
        <f t="shared" si="258"/>
        <v>0</v>
      </c>
      <c r="AH568" s="1443" t="b">
        <f t="shared" si="258"/>
        <v>0</v>
      </c>
      <c r="AI568" s="1443" t="b">
        <f t="shared" si="258"/>
        <v>0</v>
      </c>
      <c r="AJ568" s="1633" t="s">
        <v>1954</v>
      </c>
      <c r="AK568" s="1635" t="str">
        <f>IF(AND(CNTR_ExistSubInstEntries,MSconst_RequireSubAttrEmissions,COUNTIFS(AC568:AI568,FALSE,H568:N568,"")&gt;0),EUconst_Error&amp;"BM"&amp;$Q335,"")</f>
        <v/>
      </c>
    </row>
    <row r="569" spans="2:37" ht="12.75" customHeight="1">
      <c r="B569" s="479"/>
      <c r="C569" s="977"/>
      <c r="D569" s="777" t="s">
        <v>787</v>
      </c>
      <c r="E569" s="2475" t="s">
        <v>1141</v>
      </c>
      <c r="F569" s="2410"/>
      <c r="G569" s="815" t="str">
        <f>EUconst_TJpa</f>
        <v>TJ / year</v>
      </c>
      <c r="H569" s="1005" t="str">
        <f t="shared" ref="H569:N569" si="259">IF(COUNT(H567:H568)=2,H567*H568/1000,"")</f>
        <v/>
      </c>
      <c r="I569" s="1006" t="str">
        <f t="shared" si="259"/>
        <v/>
      </c>
      <c r="J569" s="1811" t="str">
        <f t="shared" si="259"/>
        <v/>
      </c>
      <c r="K569" s="1751" t="str">
        <f t="shared" si="259"/>
        <v/>
      </c>
      <c r="L569" s="1751" t="str">
        <f t="shared" si="259"/>
        <v/>
      </c>
      <c r="M569" s="1751" t="str">
        <f t="shared" si="259"/>
        <v/>
      </c>
      <c r="N569" s="1752" t="str">
        <f t="shared" si="259"/>
        <v/>
      </c>
      <c r="O569" s="485"/>
      <c r="P569" s="485"/>
      <c r="Q569" s="1644" t="str">
        <f>EUconst_CNTR_WGProduced &amp; I335</f>
        <v>WasteGasProd_</v>
      </c>
      <c r="S569" s="1435"/>
      <c r="T569" s="1435"/>
      <c r="U569" s="1435"/>
      <c r="V569" s="1435"/>
      <c r="W569" s="1435"/>
      <c r="X569" s="1435"/>
      <c r="Y569" s="1435"/>
      <c r="Z569" s="1435"/>
    </row>
    <row r="570" spans="2:37" ht="12.75" customHeight="1">
      <c r="B570" s="479"/>
      <c r="C570" s="977"/>
      <c r="D570" s="777" t="s">
        <v>788</v>
      </c>
      <c r="E570" s="2475" t="s">
        <v>1258</v>
      </c>
      <c r="F570" s="2410"/>
      <c r="G570" s="815" t="str">
        <f>EUconst_tCO2pTJ</f>
        <v>t CO2 / TJ</v>
      </c>
      <c r="H570" s="1479" t="str">
        <f>c_ALR2025!M3236</f>
        <v/>
      </c>
      <c r="I570" s="1532"/>
      <c r="J570" s="1811"/>
      <c r="K570" s="1751"/>
      <c r="L570" s="1751"/>
      <c r="M570" s="1751"/>
      <c r="N570" s="1752"/>
      <c r="O570" s="485"/>
      <c r="P570" s="9"/>
      <c r="Q570" s="1644" t="str">
        <f>EUconst_CNTR_WGProducedEF &amp; I335</f>
        <v>WasteGasProdEF_</v>
      </c>
      <c r="S570" s="1435"/>
      <c r="T570" s="1435"/>
      <c r="U570" s="1435"/>
      <c r="V570" s="1435"/>
      <c r="W570" s="1435"/>
      <c r="X570" s="1435"/>
      <c r="Y570" s="1435"/>
      <c r="Z570" s="1435"/>
      <c r="AB570" s="1641" t="s">
        <v>717</v>
      </c>
      <c r="AC570" s="1443" t="b">
        <f>AC568</f>
        <v>0</v>
      </c>
      <c r="AD570" s="1443" t="b">
        <f t="shared" ref="AD570:AI570" si="260">AD568</f>
        <v>0</v>
      </c>
      <c r="AE570" s="1443" t="b">
        <f t="shared" si="260"/>
        <v>0</v>
      </c>
      <c r="AF570" s="1443" t="b">
        <f t="shared" si="260"/>
        <v>0</v>
      </c>
      <c r="AG570" s="1443" t="b">
        <f t="shared" si="260"/>
        <v>0</v>
      </c>
      <c r="AH570" s="1443" t="b">
        <f t="shared" si="260"/>
        <v>0</v>
      </c>
      <c r="AI570" s="1443" t="b">
        <f t="shared" si="260"/>
        <v>0</v>
      </c>
      <c r="AJ570" s="1633" t="s">
        <v>1954</v>
      </c>
      <c r="AK570" s="1635" t="str">
        <f>IF(AND(CNTR_ExistSubInstEntries,MSconst_RequireSubAttrEmissions,COUNTIFS(AC570:AI570,FALSE,H570:N570,"")&gt;0),EUconst_Error&amp;"BM"&amp;$Q335,"")</f>
        <v/>
      </c>
    </row>
    <row r="571" spans="2:37" ht="12.75" customHeight="1">
      <c r="B571" s="479"/>
      <c r="C571" s="977"/>
      <c r="D571" s="981"/>
      <c r="E571" s="981"/>
      <c r="F571" s="981"/>
      <c r="G571" s="981"/>
      <c r="H571" s="983"/>
      <c r="I571" s="981"/>
      <c r="J571" s="981"/>
      <c r="K571" s="981"/>
      <c r="L571" s="981"/>
      <c r="M571" s="813"/>
      <c r="N571" s="814"/>
      <c r="O571" s="485"/>
      <c r="P571" s="485"/>
      <c r="Q571" s="1435"/>
      <c r="S571" s="1435"/>
      <c r="T571" s="1435"/>
      <c r="U571" s="1435"/>
      <c r="V571" s="1435"/>
      <c r="W571" s="1435"/>
      <c r="X571" s="1435"/>
      <c r="Y571" s="1435"/>
      <c r="Z571" s="1435"/>
    </row>
    <row r="572" spans="2:37" ht="12.75" customHeight="1">
      <c r="B572" s="479"/>
      <c r="C572" s="977"/>
      <c r="D572" s="777" t="s">
        <v>789</v>
      </c>
      <c r="E572" s="2649" t="s">
        <v>1301</v>
      </c>
      <c r="F572" s="2391"/>
      <c r="G572" s="2391"/>
      <c r="H572" s="2512"/>
      <c r="I572" s="3211" t="str">
        <f>c_ALR2025!I3238</f>
        <v/>
      </c>
      <c r="J572" s="3206"/>
      <c r="K572" s="3206"/>
      <c r="L572" s="3206"/>
      <c r="M572" s="3207"/>
      <c r="N572" s="979"/>
      <c r="O572" s="485"/>
      <c r="P572" s="9"/>
      <c r="Q572" s="1435"/>
      <c r="S572" s="1435"/>
      <c r="T572" s="1435"/>
      <c r="U572" s="1435"/>
      <c r="V572" s="1435"/>
      <c r="W572" s="1435"/>
      <c r="X572" s="1435"/>
      <c r="Y572" s="1435"/>
      <c r="Z572" s="1435"/>
      <c r="AC572" s="1641" t="s">
        <v>717</v>
      </c>
      <c r="AD572" s="1443" t="b">
        <f>AD563</f>
        <v>0</v>
      </c>
    </row>
    <row r="573" spans="2:37" ht="25.5" customHeight="1">
      <c r="B573" s="479"/>
      <c r="C573" s="977"/>
      <c r="D573" s="777"/>
      <c r="E573" s="3267" t="s">
        <v>1606</v>
      </c>
      <c r="F573" s="2380"/>
      <c r="G573" s="2380"/>
      <c r="H573" s="2380"/>
      <c r="I573" s="2380"/>
      <c r="J573" s="2380"/>
      <c r="K573" s="2380"/>
      <c r="L573" s="2380"/>
      <c r="M573" s="2380"/>
      <c r="N573" s="3268"/>
      <c r="O573" s="485"/>
      <c r="P573" s="485"/>
      <c r="Q573" s="1435"/>
      <c r="S573" s="1435"/>
      <c r="T573" s="1435"/>
      <c r="U573" s="1435"/>
      <c r="V573" s="1435"/>
      <c r="W573" s="1435"/>
      <c r="X573" s="1435"/>
      <c r="Y573" s="1435"/>
      <c r="Z573" s="1435"/>
    </row>
    <row r="574" spans="2:37" ht="12.75" customHeight="1">
      <c r="B574" s="479"/>
      <c r="C574" s="977"/>
      <c r="D574" s="981"/>
      <c r="E574" s="3272" t="s">
        <v>1557</v>
      </c>
      <c r="F574" s="2380"/>
      <c r="G574" s="2380"/>
      <c r="H574" s="2380"/>
      <c r="I574" s="2380"/>
      <c r="J574" s="2380"/>
      <c r="K574" s="2380"/>
      <c r="L574" s="2380"/>
      <c r="M574" s="2380"/>
      <c r="N574" s="3268"/>
      <c r="O574" s="485"/>
      <c r="P574" s="485"/>
      <c r="Q574" s="1435"/>
      <c r="S574" s="1435"/>
      <c r="T574" s="1435"/>
      <c r="U574" s="1435"/>
      <c r="V574" s="1435"/>
      <c r="W574" s="1435"/>
      <c r="X574" s="1435"/>
      <c r="Y574" s="1435"/>
      <c r="Z574" s="1435"/>
    </row>
    <row r="575" spans="2:37" ht="12.75" customHeight="1" thickBot="1">
      <c r="B575" s="479"/>
      <c r="C575" s="977"/>
      <c r="D575" s="981"/>
      <c r="E575" s="989"/>
      <c r="F575" s="990"/>
      <c r="G575" s="987" t="str">
        <f>EUconst_Unit</f>
        <v>Unit</v>
      </c>
      <c r="H575" s="782">
        <f t="shared" ref="H575:N575" si="261">H$3242</f>
        <v>2024</v>
      </c>
      <c r="I575" s="988">
        <f t="shared" si="261"/>
        <v>2025</v>
      </c>
      <c r="J575" s="1810">
        <f t="shared" si="261"/>
        <v>2026</v>
      </c>
      <c r="K575" s="1747">
        <f t="shared" si="261"/>
        <v>2027</v>
      </c>
      <c r="L575" s="1747">
        <f t="shared" si="261"/>
        <v>2028</v>
      </c>
      <c r="M575" s="1747">
        <f t="shared" si="261"/>
        <v>2029</v>
      </c>
      <c r="N575" s="1748">
        <f t="shared" si="261"/>
        <v>2030</v>
      </c>
      <c r="O575" s="485"/>
      <c r="P575" s="485"/>
      <c r="Q575" s="1435"/>
      <c r="S575" s="1435"/>
      <c r="T575" s="1435"/>
      <c r="U575" s="1435"/>
      <c r="V575" s="1435"/>
      <c r="W575" s="1435"/>
      <c r="X575" s="1435"/>
      <c r="Y575" s="1435"/>
      <c r="Z575" s="1435"/>
      <c r="AC575" s="1638">
        <f t="shared" ref="AC575:AI575" si="262">H$20</f>
        <v>2024</v>
      </c>
      <c r="AD575" s="1638">
        <f t="shared" si="262"/>
        <v>2025</v>
      </c>
      <c r="AE575" s="1638">
        <f t="shared" si="262"/>
        <v>2026</v>
      </c>
      <c r="AF575" s="1638">
        <f t="shared" si="262"/>
        <v>2027</v>
      </c>
      <c r="AG575" s="1638">
        <f t="shared" si="262"/>
        <v>2028</v>
      </c>
      <c r="AH575" s="1638">
        <f t="shared" si="262"/>
        <v>2029</v>
      </c>
      <c r="AI575" s="1638">
        <f t="shared" si="262"/>
        <v>2030</v>
      </c>
    </row>
    <row r="576" spans="2:37" ht="12.75" customHeight="1">
      <c r="B576" s="479"/>
      <c r="C576" s="977"/>
      <c r="D576" s="777" t="s">
        <v>790</v>
      </c>
      <c r="E576" s="2471" t="s">
        <v>1306</v>
      </c>
      <c r="F576" s="2472"/>
      <c r="G576" s="1763" t="str">
        <f>c_ALR2025!G3242</f>
        <v/>
      </c>
      <c r="H576" s="1552" t="str">
        <f>c_ALR2025!M3242</f>
        <v/>
      </c>
      <c r="I576" s="1611"/>
      <c r="J576" s="1811"/>
      <c r="K576" s="1751"/>
      <c r="L576" s="1751"/>
      <c r="M576" s="1751"/>
      <c r="N576" s="1752"/>
      <c r="O576" s="485"/>
      <c r="P576" s="9"/>
      <c r="Q576" s="1435"/>
      <c r="S576" s="1435"/>
      <c r="T576" s="1435"/>
      <c r="U576" s="1435"/>
      <c r="V576" s="1435"/>
      <c r="W576" s="1435"/>
      <c r="X576" s="1435"/>
      <c r="Y576" s="1435"/>
      <c r="Z576" s="1435"/>
      <c r="AB576" s="1641" t="s">
        <v>717</v>
      </c>
      <c r="AC576" s="1443" t="b">
        <f>AC567</f>
        <v>0</v>
      </c>
      <c r="AD576" s="1443" t="b">
        <f t="shared" ref="AD576:AI576" si="263">AD567</f>
        <v>0</v>
      </c>
      <c r="AE576" s="1443" t="b">
        <f t="shared" si="263"/>
        <v>0</v>
      </c>
      <c r="AF576" s="1443" t="b">
        <f t="shared" si="263"/>
        <v>0</v>
      </c>
      <c r="AG576" s="1443" t="b">
        <f t="shared" si="263"/>
        <v>0</v>
      </c>
      <c r="AH576" s="1443" t="b">
        <f t="shared" si="263"/>
        <v>0</v>
      </c>
      <c r="AI576" s="1443" t="b">
        <f t="shared" si="263"/>
        <v>0</v>
      </c>
      <c r="AJ576" s="1633" t="s">
        <v>1954</v>
      </c>
      <c r="AK576" s="1635" t="str">
        <f>IF(AND(CNTR_ExistSubInstEntries,MSconst_RequireSubAttrEmissions,COUNTIFS(AC576:AI576,FALSE,H576:N576,"")&gt;0),EUconst_Error&amp;"BM"&amp;$Q335,"")</f>
        <v/>
      </c>
    </row>
    <row r="577" spans="2:37" ht="12.75" customHeight="1">
      <c r="B577" s="479"/>
      <c r="C577" s="977"/>
      <c r="D577" s="777" t="s">
        <v>791</v>
      </c>
      <c r="E577" s="2473" t="s">
        <v>661</v>
      </c>
      <c r="F577" s="2474"/>
      <c r="G577" s="1008" t="e">
        <f>IF(ISBLANK(G576),EUconst_GJperUnit,INDEX(EUconst_GJperTorKNm3,MATCH(G576,EUconst_TonnesOrkNm3pa,0)))</f>
        <v>#N/A</v>
      </c>
      <c r="H577" s="1558" t="str">
        <f>c_ALR2025!M3243</f>
        <v/>
      </c>
      <c r="I577" s="1884"/>
      <c r="J577" s="1811"/>
      <c r="K577" s="1751"/>
      <c r="L577" s="1751"/>
      <c r="M577" s="1751"/>
      <c r="N577" s="1752"/>
      <c r="O577" s="485"/>
      <c r="P577" s="9"/>
      <c r="S577" s="1435"/>
      <c r="T577" s="1435"/>
      <c r="U577" s="1435"/>
      <c r="V577" s="1435"/>
      <c r="W577" s="1435"/>
      <c r="X577" s="1435"/>
      <c r="Y577" s="1435"/>
      <c r="Z577" s="1435"/>
      <c r="AC577" s="1443" t="b">
        <f>AC576</f>
        <v>0</v>
      </c>
      <c r="AD577" s="1443" t="b">
        <f t="shared" ref="AD577:AI577" si="264">AD576</f>
        <v>0</v>
      </c>
      <c r="AE577" s="1443" t="b">
        <f t="shared" si="264"/>
        <v>0</v>
      </c>
      <c r="AF577" s="1443" t="b">
        <f t="shared" si="264"/>
        <v>0</v>
      </c>
      <c r="AG577" s="1443" t="b">
        <f t="shared" si="264"/>
        <v>0</v>
      </c>
      <c r="AH577" s="1443" t="b">
        <f t="shared" si="264"/>
        <v>0</v>
      </c>
      <c r="AI577" s="1443" t="b">
        <f t="shared" si="264"/>
        <v>0</v>
      </c>
      <c r="AJ577" s="1633" t="s">
        <v>1954</v>
      </c>
      <c r="AK577" s="1635" t="str">
        <f>IF(AND(CNTR_ExistSubInstEntries,MSconst_RequireSubAttrEmissions,COUNTIFS(AC577:AI577,FALSE,H577:N577,"")&gt;0),EUconst_Error&amp;"BM"&amp;$Q335,"")</f>
        <v/>
      </c>
    </row>
    <row r="578" spans="2:37" ht="12.75" customHeight="1">
      <c r="B578" s="479"/>
      <c r="C578" s="977"/>
      <c r="D578" s="777" t="s">
        <v>64</v>
      </c>
      <c r="E578" s="2475" t="s">
        <v>1309</v>
      </c>
      <c r="F578" s="2410"/>
      <c r="G578" s="815" t="str">
        <f>EUconst_TJpa</f>
        <v>TJ / year</v>
      </c>
      <c r="H578" s="1005" t="str">
        <f t="shared" ref="H578:N578" si="265">IF(COUNT(H576:H577)=2,H576*H577/1000,"")</f>
        <v/>
      </c>
      <c r="I578" s="1006" t="str">
        <f t="shared" si="265"/>
        <v/>
      </c>
      <c r="J578" s="1811" t="str">
        <f t="shared" si="265"/>
        <v/>
      </c>
      <c r="K578" s="1751" t="str">
        <f t="shared" si="265"/>
        <v/>
      </c>
      <c r="L578" s="1751" t="str">
        <f t="shared" si="265"/>
        <v/>
      </c>
      <c r="M578" s="1751" t="str">
        <f t="shared" si="265"/>
        <v/>
      </c>
      <c r="N578" s="1752" t="str">
        <f t="shared" si="265"/>
        <v/>
      </c>
      <c r="O578" s="485"/>
      <c r="P578" s="485"/>
      <c r="Q578" s="1644" t="str">
        <f>EUconst_CNTR_WGConsumed &amp; I335</f>
        <v>WasteGasCons_</v>
      </c>
      <c r="S578" s="1435"/>
      <c r="T578" s="1435"/>
      <c r="U578" s="1435"/>
      <c r="V578" s="1435"/>
      <c r="W578" s="1435"/>
      <c r="X578" s="1435"/>
      <c r="Y578" s="1435"/>
      <c r="Z578" s="1435"/>
    </row>
    <row r="579" spans="2:37" ht="12.75" customHeight="1">
      <c r="B579" s="479"/>
      <c r="C579" s="977"/>
      <c r="D579" s="777" t="s">
        <v>65</v>
      </c>
      <c r="E579" s="2475" t="s">
        <v>1307</v>
      </c>
      <c r="F579" s="2410"/>
      <c r="G579" s="815" t="str">
        <f>EUconst_tCO2pTJ</f>
        <v>t CO2 / TJ</v>
      </c>
      <c r="H579" s="1479" t="str">
        <f>c_ALR2025!M3245</f>
        <v/>
      </c>
      <c r="I579" s="1532"/>
      <c r="J579" s="1811"/>
      <c r="K579" s="1751"/>
      <c r="L579" s="1751"/>
      <c r="M579" s="1751"/>
      <c r="N579" s="1752"/>
      <c r="O579" s="485"/>
      <c r="P579" s="9"/>
      <c r="Q579" s="1644" t="str">
        <f>EUconst_CNTR_WGConsumedEF &amp; I335</f>
        <v>WasteGasConsEF_</v>
      </c>
      <c r="S579" s="1435"/>
      <c r="T579" s="1435"/>
      <c r="U579" s="1435"/>
      <c r="V579" s="1435"/>
      <c r="W579" s="1435"/>
      <c r="X579" s="1435"/>
      <c r="Y579" s="1435"/>
      <c r="Z579" s="1435"/>
      <c r="AB579" s="1641" t="s">
        <v>717</v>
      </c>
      <c r="AC579" s="1443" t="b">
        <f>AC577</f>
        <v>0</v>
      </c>
      <c r="AD579" s="1443" t="b">
        <f t="shared" ref="AD579:AI579" si="266">AD577</f>
        <v>0</v>
      </c>
      <c r="AE579" s="1443" t="b">
        <f t="shared" si="266"/>
        <v>0</v>
      </c>
      <c r="AF579" s="1443" t="b">
        <f t="shared" si="266"/>
        <v>0</v>
      </c>
      <c r="AG579" s="1443" t="b">
        <f t="shared" si="266"/>
        <v>0</v>
      </c>
      <c r="AH579" s="1443" t="b">
        <f t="shared" si="266"/>
        <v>0</v>
      </c>
      <c r="AI579" s="1443" t="b">
        <f t="shared" si="266"/>
        <v>0</v>
      </c>
      <c r="AJ579" s="1633" t="s">
        <v>1954</v>
      </c>
      <c r="AK579" s="1635" t="str">
        <f>IF(AND(CNTR_ExistSubInstEntries,MSconst_RequireSubAttrEmissions,COUNTIFS(AC579:AI579,FALSE,H579:N579,"")&gt;0),EUconst_Error&amp;"BM"&amp;$Q335,"")</f>
        <v/>
      </c>
    </row>
    <row r="580" spans="2:37" ht="12.75" customHeight="1">
      <c r="B580" s="479"/>
      <c r="C580" s="977"/>
      <c r="D580" s="981"/>
      <c r="E580" s="981"/>
      <c r="F580" s="981"/>
      <c r="G580" s="981"/>
      <c r="H580" s="983"/>
      <c r="I580" s="981"/>
      <c r="J580" s="981"/>
      <c r="K580" s="981"/>
      <c r="L580" s="981"/>
      <c r="M580" s="813"/>
      <c r="N580" s="814"/>
      <c r="O580" s="485"/>
      <c r="P580" s="485"/>
      <c r="Q580" s="1435"/>
      <c r="S580" s="1435"/>
      <c r="T580" s="1435"/>
      <c r="U580" s="1435"/>
      <c r="V580" s="1435"/>
    </row>
    <row r="581" spans="2:37" ht="12.75" customHeight="1">
      <c r="B581" s="479"/>
      <c r="C581" s="977"/>
      <c r="D581" s="777" t="s">
        <v>66</v>
      </c>
      <c r="E581" s="2649" t="s">
        <v>1287</v>
      </c>
      <c r="F581" s="2391"/>
      <c r="G581" s="2391"/>
      <c r="H581" s="2512"/>
      <c r="I581" s="3211" t="str">
        <f>c_ALR2025!I3247</f>
        <v/>
      </c>
      <c r="J581" s="3206"/>
      <c r="K581" s="3206"/>
      <c r="L581" s="3206"/>
      <c r="M581" s="3207"/>
      <c r="N581" s="979"/>
      <c r="O581" s="485"/>
      <c r="P581" s="9"/>
      <c r="Q581" s="1435"/>
      <c r="S581" s="1435"/>
      <c r="AC581" s="1641" t="s">
        <v>717</v>
      </c>
      <c r="AD581" s="1443" t="b">
        <f>AD572</f>
        <v>0</v>
      </c>
    </row>
    <row r="582" spans="2:37" ht="12.75" customHeight="1">
      <c r="B582" s="479"/>
      <c r="C582" s="977"/>
      <c r="D582" s="777"/>
      <c r="E582" s="3267" t="s">
        <v>1476</v>
      </c>
      <c r="F582" s="2380"/>
      <c r="G582" s="2380"/>
      <c r="H582" s="2380"/>
      <c r="I582" s="2380"/>
      <c r="J582" s="2380"/>
      <c r="K582" s="2380"/>
      <c r="L582" s="2380"/>
      <c r="M582" s="2380"/>
      <c r="N582" s="3268"/>
      <c r="O582" s="485"/>
      <c r="P582" s="485"/>
      <c r="Q582" s="1435"/>
      <c r="T582" s="1435"/>
      <c r="U582" s="1435"/>
      <c r="V582" s="1435"/>
    </row>
    <row r="583" spans="2:37" ht="12.75" customHeight="1">
      <c r="B583" s="479"/>
      <c r="C583" s="977"/>
      <c r="D583" s="981"/>
      <c r="E583" s="3267" t="s">
        <v>1558</v>
      </c>
      <c r="F583" s="2380"/>
      <c r="G583" s="2380"/>
      <c r="H583" s="2380"/>
      <c r="I583" s="2380"/>
      <c r="J583" s="2380"/>
      <c r="K583" s="2380"/>
      <c r="L583" s="2380"/>
      <c r="M583" s="2380"/>
      <c r="N583" s="3268"/>
      <c r="O583" s="485"/>
      <c r="P583" s="485"/>
      <c r="Q583" s="1435"/>
      <c r="S583" s="1435"/>
      <c r="T583" s="1435"/>
      <c r="U583" s="1435"/>
      <c r="V583" s="1435"/>
    </row>
    <row r="584" spans="2:37" ht="12.75" customHeight="1">
      <c r="B584" s="479"/>
      <c r="C584" s="977"/>
      <c r="D584" s="981"/>
      <c r="E584" s="3272" t="s">
        <v>1559</v>
      </c>
      <c r="F584" s="2380"/>
      <c r="G584" s="2380"/>
      <c r="H584" s="2380"/>
      <c r="I584" s="2380"/>
      <c r="J584" s="2380"/>
      <c r="K584" s="2380"/>
      <c r="L584" s="2380"/>
      <c r="M584" s="2380"/>
      <c r="N584" s="3268"/>
      <c r="O584" s="485"/>
      <c r="P584" s="485"/>
      <c r="Q584" s="1435"/>
      <c r="S584" s="1435"/>
      <c r="T584" s="1435"/>
      <c r="U584" s="1435"/>
      <c r="V584" s="1435"/>
      <c r="W584" s="1435"/>
      <c r="X584" s="1435"/>
      <c r="Y584" s="1435"/>
      <c r="Z584" s="1435"/>
    </row>
    <row r="585" spans="2:37" ht="12.75" customHeight="1" thickBot="1">
      <c r="B585" s="479"/>
      <c r="C585" s="977"/>
      <c r="D585" s="981"/>
      <c r="E585" s="989"/>
      <c r="F585" s="990"/>
      <c r="G585" s="987" t="str">
        <f>EUconst_Unit</f>
        <v>Unit</v>
      </c>
      <c r="H585" s="782">
        <f t="shared" ref="H585:N585" si="267">H$3242</f>
        <v>2024</v>
      </c>
      <c r="I585" s="988">
        <f t="shared" si="267"/>
        <v>2025</v>
      </c>
      <c r="J585" s="1810">
        <f t="shared" si="267"/>
        <v>2026</v>
      </c>
      <c r="K585" s="1747">
        <f t="shared" si="267"/>
        <v>2027</v>
      </c>
      <c r="L585" s="1747">
        <f t="shared" si="267"/>
        <v>2028</v>
      </c>
      <c r="M585" s="1747">
        <f t="shared" si="267"/>
        <v>2029</v>
      </c>
      <c r="N585" s="1748">
        <f t="shared" si="267"/>
        <v>2030</v>
      </c>
      <c r="O585" s="485"/>
      <c r="P585" s="485"/>
      <c r="Q585" s="1435"/>
      <c r="S585" s="1435"/>
      <c r="T585" s="1435"/>
      <c r="U585" s="1435"/>
      <c r="V585" s="1435"/>
      <c r="W585" s="1435"/>
      <c r="X585" s="1435"/>
      <c r="Y585" s="1435"/>
      <c r="Z585" s="1435"/>
      <c r="AC585" s="1638">
        <f t="shared" ref="AC585:AI585" si="268">H$20</f>
        <v>2024</v>
      </c>
      <c r="AD585" s="1638">
        <f t="shared" si="268"/>
        <v>2025</v>
      </c>
      <c r="AE585" s="1638">
        <f t="shared" si="268"/>
        <v>2026</v>
      </c>
      <c r="AF585" s="1638">
        <f t="shared" si="268"/>
        <v>2027</v>
      </c>
      <c r="AG585" s="1638">
        <f t="shared" si="268"/>
        <v>2028</v>
      </c>
      <c r="AH585" s="1638">
        <f t="shared" si="268"/>
        <v>2029</v>
      </c>
      <c r="AI585" s="1638">
        <f t="shared" si="268"/>
        <v>2030</v>
      </c>
    </row>
    <row r="586" spans="2:37" ht="12.75" customHeight="1">
      <c r="B586" s="479"/>
      <c r="C586" s="977"/>
      <c r="D586" s="777" t="s">
        <v>1105</v>
      </c>
      <c r="E586" s="2471" t="s">
        <v>1302</v>
      </c>
      <c r="F586" s="2472"/>
      <c r="G586" s="1763" t="str">
        <f>c_ALR2025!G3252</f>
        <v/>
      </c>
      <c r="H586" s="1552" t="str">
        <f>c_ALR2025!M3252</f>
        <v/>
      </c>
      <c r="I586" s="1611"/>
      <c r="J586" s="1811"/>
      <c r="K586" s="1751"/>
      <c r="L586" s="1751"/>
      <c r="M586" s="1751"/>
      <c r="N586" s="1752"/>
      <c r="O586" s="485"/>
      <c r="P586" s="9"/>
      <c r="Q586" s="1435"/>
      <c r="S586" s="1435"/>
      <c r="T586" s="1435"/>
      <c r="U586" s="1435"/>
      <c r="V586" s="1435"/>
      <c r="W586" s="1435"/>
      <c r="X586" s="1435"/>
      <c r="Y586" s="1435"/>
      <c r="Z586" s="1435"/>
      <c r="AB586" s="1641" t="s">
        <v>717</v>
      </c>
      <c r="AC586" s="1443" t="b">
        <f>AC576</f>
        <v>0</v>
      </c>
      <c r="AD586" s="1443" t="b">
        <f t="shared" ref="AD586:AI586" si="269">AD576</f>
        <v>0</v>
      </c>
      <c r="AE586" s="1443" t="b">
        <f t="shared" si="269"/>
        <v>0</v>
      </c>
      <c r="AF586" s="1443" t="b">
        <f t="shared" si="269"/>
        <v>0</v>
      </c>
      <c r="AG586" s="1443" t="b">
        <f t="shared" si="269"/>
        <v>0</v>
      </c>
      <c r="AH586" s="1443" t="b">
        <f t="shared" si="269"/>
        <v>0</v>
      </c>
      <c r="AI586" s="1443" t="b">
        <f t="shared" si="269"/>
        <v>0</v>
      </c>
      <c r="AJ586" s="1633" t="s">
        <v>1954</v>
      </c>
      <c r="AK586" s="1635" t="str">
        <f>IF(AND(CNTR_ExistSubInstEntries,MSconst_RequireSubAttrEmissions,COUNTIFS(AC586:AI586,FALSE,H586:N586,"")&gt;0),EUconst_Error&amp;"BM"&amp;$Q335,"")</f>
        <v/>
      </c>
    </row>
    <row r="587" spans="2:37" ht="12.75" customHeight="1">
      <c r="B587" s="479"/>
      <c r="C587" s="977"/>
      <c r="D587" s="777" t="s">
        <v>1106</v>
      </c>
      <c r="E587" s="2473" t="s">
        <v>661</v>
      </c>
      <c r="F587" s="2474"/>
      <c r="G587" s="1008" t="e">
        <f>IF(ISBLANK(G586),EUconst_GJperUnit,INDEX(EUconst_GJperTorKNm3,MATCH(G586,EUconst_TonnesOrkNm3pa,0)))</f>
        <v>#N/A</v>
      </c>
      <c r="H587" s="1558" t="str">
        <f>c_ALR2025!M3253</f>
        <v/>
      </c>
      <c r="I587" s="1884"/>
      <c r="J587" s="1811"/>
      <c r="K587" s="1751"/>
      <c r="L587" s="1751"/>
      <c r="M587" s="1751"/>
      <c r="N587" s="1752"/>
      <c r="O587" s="485"/>
      <c r="P587" s="9"/>
      <c r="S587" s="1435"/>
      <c r="T587" s="1435"/>
      <c r="U587" s="1435"/>
      <c r="V587" s="1435"/>
      <c r="W587" s="1435"/>
      <c r="X587" s="1435"/>
      <c r="Y587" s="1435"/>
      <c r="Z587" s="1435"/>
      <c r="AC587" s="1443" t="b">
        <f>AC586</f>
        <v>0</v>
      </c>
      <c r="AD587" s="1443" t="b">
        <f t="shared" ref="AD587:AI587" si="270">AD586</f>
        <v>0</v>
      </c>
      <c r="AE587" s="1443" t="b">
        <f t="shared" si="270"/>
        <v>0</v>
      </c>
      <c r="AF587" s="1443" t="b">
        <f t="shared" si="270"/>
        <v>0</v>
      </c>
      <c r="AG587" s="1443" t="b">
        <f t="shared" si="270"/>
        <v>0</v>
      </c>
      <c r="AH587" s="1443" t="b">
        <f t="shared" si="270"/>
        <v>0</v>
      </c>
      <c r="AI587" s="1443" t="b">
        <f t="shared" si="270"/>
        <v>0</v>
      </c>
      <c r="AJ587" s="1633" t="s">
        <v>1954</v>
      </c>
      <c r="AK587" s="1635" t="str">
        <f>IF(AND(CNTR_ExistSubInstEntries,MSconst_RequireSubAttrEmissions,COUNTIFS(AC587:AI587,FALSE,H587:N587,"")&gt;0),EUconst_Error&amp;"BM"&amp;$Q335,"")</f>
        <v/>
      </c>
    </row>
    <row r="588" spans="2:37" ht="12.75" customHeight="1">
      <c r="B588" s="479"/>
      <c r="C588" s="977"/>
      <c r="D588" s="777" t="s">
        <v>1107</v>
      </c>
      <c r="E588" s="2475" t="s">
        <v>1288</v>
      </c>
      <c r="F588" s="2410"/>
      <c r="G588" s="815" t="str">
        <f>EUconst_TJpa</f>
        <v>TJ / year</v>
      </c>
      <c r="H588" s="1005" t="str">
        <f t="shared" ref="H588:N588" si="271">IF(COUNT(H586:H587)=2,H586*H587/1000,"")</f>
        <v/>
      </c>
      <c r="I588" s="1006" t="str">
        <f t="shared" si="271"/>
        <v/>
      </c>
      <c r="J588" s="1811" t="str">
        <f t="shared" si="271"/>
        <v/>
      </c>
      <c r="K588" s="1751" t="str">
        <f t="shared" si="271"/>
        <v/>
      </c>
      <c r="L588" s="1751" t="str">
        <f t="shared" si="271"/>
        <v/>
      </c>
      <c r="M588" s="1751" t="str">
        <f t="shared" si="271"/>
        <v/>
      </c>
      <c r="N588" s="1752" t="str">
        <f t="shared" si="271"/>
        <v/>
      </c>
      <c r="O588" s="485"/>
      <c r="P588" s="485"/>
      <c r="Q588" s="1644" t="str">
        <f>EUconst_CNTR_WGFlared &amp; I335</f>
        <v>WasteGasFlare_</v>
      </c>
      <c r="S588" s="1435"/>
      <c r="T588" s="1435"/>
      <c r="U588" s="1435"/>
      <c r="V588" s="1435"/>
      <c r="W588" s="1435"/>
      <c r="X588" s="1435"/>
      <c r="Y588" s="1435"/>
      <c r="Z588" s="1435"/>
    </row>
    <row r="589" spans="2:37" ht="12.75" customHeight="1">
      <c r="B589" s="479"/>
      <c r="C589" s="977"/>
      <c r="D589" s="777" t="s">
        <v>1108</v>
      </c>
      <c r="E589" s="2475" t="s">
        <v>1308</v>
      </c>
      <c r="F589" s="2410"/>
      <c r="G589" s="815" t="str">
        <f>EUconst_tCO2pTJ</f>
        <v>t CO2 / TJ</v>
      </c>
      <c r="H589" s="1479" t="str">
        <f>c_ALR2025!M3255</f>
        <v/>
      </c>
      <c r="I589" s="1532"/>
      <c r="J589" s="1811"/>
      <c r="K589" s="1751"/>
      <c r="L589" s="1751"/>
      <c r="M589" s="1751"/>
      <c r="N589" s="1752"/>
      <c r="O589" s="485"/>
      <c r="P589" s="9"/>
      <c r="Q589" s="1644" t="str">
        <f>EUconst_CNTR_WGFlaredEF &amp; I335</f>
        <v>WasteGasFlareEF_</v>
      </c>
      <c r="S589" s="1435"/>
      <c r="T589" s="1435"/>
      <c r="U589" s="1435"/>
      <c r="V589" s="1435"/>
      <c r="W589" s="1435"/>
      <c r="X589" s="1435"/>
      <c r="Y589" s="1435"/>
      <c r="Z589" s="1435"/>
      <c r="AB589" s="1641" t="s">
        <v>717</v>
      </c>
      <c r="AC589" s="1443" t="b">
        <f>AC587</f>
        <v>0</v>
      </c>
      <c r="AD589" s="1443" t="b">
        <f t="shared" ref="AD589:AI589" si="272">AD587</f>
        <v>0</v>
      </c>
      <c r="AE589" s="1443" t="b">
        <f t="shared" si="272"/>
        <v>0</v>
      </c>
      <c r="AF589" s="1443" t="b">
        <f t="shared" si="272"/>
        <v>0</v>
      </c>
      <c r="AG589" s="1443" t="b">
        <f t="shared" si="272"/>
        <v>0</v>
      </c>
      <c r="AH589" s="1443" t="b">
        <f t="shared" si="272"/>
        <v>0</v>
      </c>
      <c r="AI589" s="1443" t="b">
        <f t="shared" si="272"/>
        <v>0</v>
      </c>
      <c r="AJ589" s="1633" t="s">
        <v>1954</v>
      </c>
      <c r="AK589" s="1635" t="str">
        <f>IF(AND(CNTR_ExistSubInstEntries,MSconst_RequireSubAttrEmissions,COUNTIFS(AC589:AI589,FALSE,H589:N589,"")&gt;0),EUconst_Error&amp;"BM"&amp;$Q335,"")</f>
        <v/>
      </c>
    </row>
    <row r="590" spans="2:37" ht="5.0999999999999996" customHeight="1" thickBot="1">
      <c r="B590" s="479"/>
      <c r="C590" s="977"/>
      <c r="D590" s="981"/>
      <c r="E590" s="981"/>
      <c r="F590" s="981"/>
      <c r="G590" s="981"/>
      <c r="H590" s="983"/>
      <c r="I590" s="981"/>
      <c r="J590" s="1815"/>
      <c r="K590" s="1760"/>
      <c r="L590" s="1760"/>
      <c r="M590" s="1760"/>
      <c r="N590" s="1761"/>
      <c r="O590" s="485"/>
      <c r="P590" s="485"/>
      <c r="Q590" s="1435"/>
      <c r="S590" s="1435"/>
      <c r="T590" s="1435"/>
      <c r="U590" s="1435"/>
      <c r="V590" s="1435"/>
    </row>
    <row r="591" spans="2:37" ht="12.75" customHeight="1" thickBot="1">
      <c r="B591" s="479"/>
      <c r="C591" s="977"/>
      <c r="D591" s="981"/>
      <c r="E591" s="2475" t="s">
        <v>1844</v>
      </c>
      <c r="F591" s="2475"/>
      <c r="G591" s="1009" t="str">
        <f>EUconst_tCO2</f>
        <v>t CO2</v>
      </c>
      <c r="H591" s="638" t="str">
        <f t="shared" ref="H591:N591" si="273">IF(T343,SUM(H588)*SUM(H589),"")</f>
        <v/>
      </c>
      <c r="I591" s="684" t="str">
        <f t="shared" si="273"/>
        <v/>
      </c>
      <c r="J591" s="1815" t="str">
        <f t="shared" si="273"/>
        <v/>
      </c>
      <c r="K591" s="1760" t="str">
        <f t="shared" si="273"/>
        <v/>
      </c>
      <c r="L591" s="1760" t="str">
        <f t="shared" si="273"/>
        <v/>
      </c>
      <c r="M591" s="1760" t="str">
        <f t="shared" si="273"/>
        <v/>
      </c>
      <c r="N591" s="1761" t="str">
        <f t="shared" si="273"/>
        <v/>
      </c>
      <c r="O591" s="485"/>
      <c r="P591" s="485"/>
      <c r="Q591" s="1644" t="str">
        <f>EUconst_CNTR_HAL &amp; EUconst_CNTR_WGFlared &amp; I335</f>
        <v>HAL_WasteGasFlare_</v>
      </c>
      <c r="S591" s="1633" t="s">
        <v>1758</v>
      </c>
      <c r="T591" s="1629" t="b">
        <f>CNTR_SubPeriod=2</f>
        <v>1</v>
      </c>
      <c r="U591" s="1435"/>
      <c r="V591" s="1435"/>
    </row>
    <row r="592" spans="2:37" ht="5.0999999999999996" customHeight="1" thickBot="1">
      <c r="B592" s="479"/>
      <c r="C592" s="977"/>
      <c r="D592" s="981"/>
      <c r="E592" s="981"/>
      <c r="F592" s="981"/>
      <c r="G592" s="981"/>
      <c r="H592" s="983"/>
      <c r="I592" s="981"/>
      <c r="J592" s="981"/>
      <c r="K592" s="981"/>
      <c r="L592" s="981"/>
      <c r="M592" s="813"/>
      <c r="N592" s="814"/>
      <c r="O592" s="485"/>
      <c r="P592" s="485"/>
      <c r="Q592" s="1435"/>
      <c r="S592" s="1435"/>
      <c r="T592" s="1435"/>
      <c r="U592" s="1435"/>
      <c r="V592" s="1435"/>
    </row>
    <row r="593" spans="1:37" ht="5.0999999999999996" customHeight="1" thickBot="1">
      <c r="B593" s="479"/>
      <c r="C593" s="977"/>
      <c r="D593" s="1010"/>
      <c r="E593" s="1011"/>
      <c r="F593" s="1011"/>
      <c r="G593" s="1011"/>
      <c r="H593" s="1012"/>
      <c r="I593" s="1011"/>
      <c r="J593" s="1765"/>
      <c r="K593" s="1760"/>
      <c r="L593" s="1760"/>
      <c r="M593" s="1760"/>
      <c r="N593" s="1761"/>
      <c r="O593" s="485"/>
      <c r="P593" s="485"/>
      <c r="Q593" s="1435"/>
      <c r="S593" s="1435"/>
      <c r="T593" s="1435"/>
      <c r="U593" s="1435"/>
      <c r="V593" s="1435"/>
    </row>
    <row r="594" spans="1:37" ht="12.75" customHeight="1">
      <c r="B594" s="479"/>
      <c r="C594" s="977"/>
      <c r="D594" s="907" t="s">
        <v>1917</v>
      </c>
      <c r="E594" s="2713" t="s">
        <v>1773</v>
      </c>
      <c r="F594" s="2493"/>
      <c r="G594" s="2493"/>
      <c r="H594" s="910" t="str">
        <f>EUconst_Unit</f>
        <v>Unit</v>
      </c>
      <c r="I594" s="911" t="s">
        <v>2220</v>
      </c>
      <c r="J594" s="1647">
        <f>J$3242</f>
        <v>2026</v>
      </c>
      <c r="K594" s="1747">
        <f>K$3242</f>
        <v>2027</v>
      </c>
      <c r="L594" s="1747">
        <f>L$3242</f>
        <v>2028</v>
      </c>
      <c r="M594" s="1747">
        <f>M$3242</f>
        <v>2029</v>
      </c>
      <c r="N594" s="1748">
        <f>N$3242</f>
        <v>2030</v>
      </c>
      <c r="O594" s="485"/>
      <c r="P594" s="485"/>
      <c r="Q594" s="1435"/>
      <c r="U594" s="1648"/>
      <c r="V594" s="1649">
        <f>J594</f>
        <v>2026</v>
      </c>
      <c r="W594" s="1649">
        <f>K594</f>
        <v>2027</v>
      </c>
      <c r="X594" s="1649">
        <f>L594</f>
        <v>2028</v>
      </c>
      <c r="Y594" s="1649">
        <f>M594</f>
        <v>2029</v>
      </c>
      <c r="Z594" s="1650">
        <f>N594</f>
        <v>2030</v>
      </c>
    </row>
    <row r="595" spans="1:37" ht="12.75" customHeight="1">
      <c r="B595" s="479"/>
      <c r="C595" s="977"/>
      <c r="D595" s="915" t="s">
        <v>6</v>
      </c>
      <c r="E595" s="2714" t="s">
        <v>1691</v>
      </c>
      <c r="F595" s="2410"/>
      <c r="G595" s="2410"/>
      <c r="H595" s="944" t="str">
        <f>G591</f>
        <v>t CO2</v>
      </c>
      <c r="I595" s="917" t="str">
        <f>INDEX('B+C_SubInstallations'!$K:$K,MATCH(Q595,'B+C_SubInstallations'!$V:$V,0))</f>
        <v/>
      </c>
      <c r="J595" s="1703" t="str">
        <f>IF($T591&lt;&gt;TRUE,"",IF(AND(V595&gt;=3,CNTR_ReportingYear&gt;J594-1),AVERAGE(SUM(H591),SUM(I591)),""))</f>
        <v/>
      </c>
      <c r="K595" s="1766" t="str">
        <f>IF($T591&lt;&gt;TRUE,"",IF(AND(W595&gt;=3,CNTR_ReportingYear&gt;K594-1),AVERAGE(SUM(I591),SUM(J591)),""))</f>
        <v/>
      </c>
      <c r="L595" s="1766" t="str">
        <f>IF($T591&lt;&gt;TRUE,"",IF(AND(X595&gt;=3,CNTR_ReportingYear&gt;L594-1),AVERAGE(SUM(J591),SUM(K591)),""))</f>
        <v/>
      </c>
      <c r="M595" s="1766" t="str">
        <f>IF($T591&lt;&gt;TRUE,"",IF(AND(Y595&gt;=3,CNTR_ReportingYear&gt;M594-1),AVERAGE(SUM(K591),SUM(L591)),""))</f>
        <v/>
      </c>
      <c r="N595" s="1767" t="str">
        <f>IF($T591&lt;&gt;TRUE,"",IF(AND(Z595&gt;=3,CNTR_ReportingYear&gt;N594-1),AVERAGE(SUM(L591),SUM(M591)),""))</f>
        <v/>
      </c>
      <c r="O595" s="485"/>
      <c r="P595" s="485"/>
      <c r="Q595" s="1644" t="str">
        <f>EUconst_CNTR_HALinitial &amp; EUconst_CNTR_WGFlared &amp; I335</f>
        <v>HALini_WasteGasFlare_</v>
      </c>
      <c r="U595" s="1693" t="s">
        <v>1650</v>
      </c>
      <c r="V595" s="1635">
        <f>V357</f>
        <v>0</v>
      </c>
      <c r="W595" s="1635">
        <f>W357</f>
        <v>0</v>
      </c>
      <c r="X595" s="1635">
        <f>X357</f>
        <v>0</v>
      </c>
      <c r="Y595" s="1635">
        <f>Y357</f>
        <v>0</v>
      </c>
      <c r="Z595" s="1654">
        <f>Z357</f>
        <v>0</v>
      </c>
    </row>
    <row r="596" spans="1:37" ht="12.75" hidden="1" customHeight="1">
      <c r="A596" s="618" t="s">
        <v>2289</v>
      </c>
      <c r="B596" s="479"/>
      <c r="C596" s="977"/>
      <c r="D596" s="915"/>
      <c r="E596" s="2714" t="s">
        <v>1776</v>
      </c>
      <c r="F596" s="2410"/>
      <c r="G596" s="2410"/>
      <c r="H596" s="921"/>
      <c r="I596" s="1657"/>
      <c r="J596" s="17" t="str">
        <f>IF(J595="","",IF($I598=0,IF(J595=0,0%,100%),J595/$I598-1))</f>
        <v/>
      </c>
      <c r="K596" s="18" t="str">
        <f>IF(K595="","",IF($I598=0,IF(K595=0,0%,100%),K595/$I598-1))</f>
        <v/>
      </c>
      <c r="L596" s="18" t="str">
        <f>IF(L595="","",IF($I598=0,IF(L595=0,0%,100%),L595/$I598-1))</f>
        <v/>
      </c>
      <c r="M596" s="18" t="str">
        <f>IF(M595="","",IF($I598=0,IF(M595=0,0%,100%),M595/$I598-1))</f>
        <v/>
      </c>
      <c r="N596" s="38" t="str">
        <f>IF(N595="","",IF($I598=0,IF(N595=0,0%,100%),N595/$I598-1))</f>
        <v/>
      </c>
      <c r="O596" s="485"/>
      <c r="P596" s="485"/>
      <c r="Q596" s="1644" t="str">
        <f>EUconst_CNTR_RelThreshold &amp; Q598</f>
        <v>RelThresh_HALprelim_WasteGasFlare_</v>
      </c>
      <c r="U596" s="1693" t="s">
        <v>1655</v>
      </c>
      <c r="V596" s="1158" t="str">
        <f>IF(J595="","",ABS(J596)&gt;15%)</f>
        <v/>
      </c>
      <c r="W596" s="1158" t="str">
        <f>IF(K595="","",ABS(K596)&gt;15%)</f>
        <v/>
      </c>
      <c r="X596" s="1158" t="str">
        <f>IF(L595="","",ABS(L596)&gt;15%)</f>
        <v/>
      </c>
      <c r="Y596" s="1158" t="str">
        <f>IF(M595="","",ABS(M596)&gt;15%)</f>
        <v/>
      </c>
      <c r="Z596" s="1656" t="str">
        <f>IF(N595="","",ABS(N596)&gt;15%)</f>
        <v/>
      </c>
    </row>
    <row r="597" spans="1:37" ht="12.75" customHeight="1">
      <c r="A597" s="618"/>
      <c r="B597" s="479"/>
      <c r="C597" s="977"/>
      <c r="D597" s="915" t="s">
        <v>7</v>
      </c>
      <c r="E597" s="2714" t="s">
        <v>1654</v>
      </c>
      <c r="F597" s="2410"/>
      <c r="G597" s="2410"/>
      <c r="H597" s="921"/>
      <c r="I597" s="1657"/>
      <c r="J597" s="1658" t="str">
        <f>IF(J595="","",IF(V596=FALSE,0%,J596))</f>
        <v/>
      </c>
      <c r="K597" s="1768" t="str">
        <f>IF(K595="","",IF(W596=FALSE,0%,K596))</f>
        <v/>
      </c>
      <c r="L597" s="1768" t="str">
        <f>IF(L595="","",IF(X596=FALSE,0%,L596))</f>
        <v/>
      </c>
      <c r="M597" s="1768" t="str">
        <f>IF(M595="","",IF(Y596=FALSE,0%,M596))</f>
        <v/>
      </c>
      <c r="N597" s="1769" t="str">
        <f>IF(N595="","",IF(Z596=FALSE,0%,N596))</f>
        <v/>
      </c>
      <c r="O597" s="485"/>
      <c r="P597" s="485"/>
      <c r="Q597" s="1435"/>
      <c r="U597" s="1694"/>
      <c r="Z597" s="1664"/>
    </row>
    <row r="598" spans="1:37" ht="12.75" hidden="1" customHeight="1">
      <c r="A598" s="618" t="s">
        <v>2289</v>
      </c>
      <c r="B598" s="479"/>
      <c r="C598" s="977"/>
      <c r="D598" s="915"/>
      <c r="E598" s="2714" t="s">
        <v>1689</v>
      </c>
      <c r="F598" s="2410"/>
      <c r="G598" s="2410"/>
      <c r="H598" s="944" t="str">
        <f>H595</f>
        <v>t CO2</v>
      </c>
      <c r="I598" s="917" t="str">
        <f>IF($I335="","",IF(AB335=FALSE,EUconst_NA,IF(V335&gt;($J$3242-3),INDEX(H591:N591,MATCH(V335,H585:N585,0)),SUM(I595))))</f>
        <v/>
      </c>
      <c r="J598" s="1651" t="str">
        <f>IF($I335="","",IF(V595&lt;2,SUM(J591),IF(V595&lt;3,SUM(I591),IF(V598="",I598,V598))))</f>
        <v/>
      </c>
      <c r="K598" s="1766" t="str">
        <f>IF($I335="","",IF(W595&lt;2,SUM(K591),IF(W595&lt;3,SUM(J591),IF(W598="",J598,W598))))</f>
        <v/>
      </c>
      <c r="L598" s="1766" t="str">
        <f>IF($I335="","",IF(X595&lt;2,SUM(L591),IF(X595&lt;3,SUM(K591),IF(X598="",K598,X598))))</f>
        <v/>
      </c>
      <c r="M598" s="1766" t="str">
        <f>IF($I335="","",IF(Y595&lt;2,SUM(M591),IF(Y595&lt;3,SUM(L591),IF(Y598="",L598,Y598))))</f>
        <v/>
      </c>
      <c r="N598" s="1767" t="str">
        <f>IF($I335="","",IF(Z595&lt;2,SUM(N591),IF(Z595&lt;3,SUM(M591),IF(Z598="",M598,Z598))))</f>
        <v/>
      </c>
      <c r="O598" s="485"/>
      <c r="P598" s="485"/>
      <c r="Q598" s="1644" t="str">
        <f>EUconst_CNTR_HALprelim&amp;EUconst_CNTR_WGFlared &amp; I335</f>
        <v>HALprelim_WasteGasFlare_</v>
      </c>
      <c r="U598" s="1693" t="s">
        <v>1697</v>
      </c>
      <c r="V598" s="1660" t="str">
        <f>IF(J595="","",IF(CNTR_ReportingYear&lt;J594,I597,IF($I598=0,J595,$I598*(1+J597))))</f>
        <v/>
      </c>
      <c r="W598" s="1660" t="str">
        <f>IF(K595="","",IF(CNTR_ReportingYear&lt;K594,J597,IF($I598=0,K595,$I598*(1+K597))))</f>
        <v/>
      </c>
      <c r="X598" s="1660" t="str">
        <f>IF(L595="","",IF(CNTR_ReportingYear&lt;L594,K597,IF($I598=0,L595,$I598*(1+L597))))</f>
        <v/>
      </c>
      <c r="Y598" s="1660" t="str">
        <f>IF(M595="","",IF(CNTR_ReportingYear&lt;M594,L597,IF($I598=0,M595,$I598*(1+M597))))</f>
        <v/>
      </c>
      <c r="Z598" s="1661" t="str">
        <f>IF(N595="","",IF(CNTR_ReportingYear&lt;N594,M597,IF($I598=0,N595,$I598*(1+N597))))</f>
        <v/>
      </c>
    </row>
    <row r="599" spans="1:37" ht="5.0999999999999996" customHeight="1">
      <c r="A599" s="618"/>
      <c r="B599" s="479"/>
      <c r="C599" s="977"/>
      <c r="D599" s="915"/>
      <c r="E599" s="909"/>
      <c r="F599" s="909"/>
      <c r="G599" s="909"/>
      <c r="H599" s="909"/>
      <c r="I599" s="909"/>
      <c r="J599" s="922"/>
      <c r="K599" s="1760"/>
      <c r="L599" s="1760"/>
      <c r="M599" s="1760"/>
      <c r="N599" s="1761"/>
      <c r="O599" s="485"/>
      <c r="P599" s="485"/>
      <c r="Q599" s="1435"/>
      <c r="U599" s="1663"/>
      <c r="V599" s="1435"/>
      <c r="Z599" s="1664"/>
    </row>
    <row r="600" spans="1:37" ht="12.75" customHeight="1">
      <c r="A600" s="618"/>
      <c r="B600" s="479"/>
      <c r="C600" s="977"/>
      <c r="D600" s="915"/>
      <c r="E600" s="2713" t="s">
        <v>1653</v>
      </c>
      <c r="F600" s="2493"/>
      <c r="G600" s="2493"/>
      <c r="H600" s="2493"/>
      <c r="I600" s="2708"/>
      <c r="J600" s="1647">
        <f>J$3242</f>
        <v>2026</v>
      </c>
      <c r="K600" s="1747">
        <f>K$3242</f>
        <v>2027</v>
      </c>
      <c r="L600" s="1747">
        <f>L$3242</f>
        <v>2028</v>
      </c>
      <c r="M600" s="1747">
        <f>M$3242</f>
        <v>2029</v>
      </c>
      <c r="N600" s="1748">
        <f>N$3242</f>
        <v>2030</v>
      </c>
      <c r="O600" s="485"/>
      <c r="P600" s="485"/>
      <c r="Q600" s="1435"/>
      <c r="U600" s="1665"/>
      <c r="Z600" s="1664"/>
    </row>
    <row r="601" spans="1:37" ht="12.75" customHeight="1">
      <c r="A601" s="618"/>
      <c r="B601" s="479"/>
      <c r="C601" s="977"/>
      <c r="D601" s="915" t="s">
        <v>8</v>
      </c>
      <c r="E601" s="2714" t="s">
        <v>2108</v>
      </c>
      <c r="F601" s="2410"/>
      <c r="G601" s="2410"/>
      <c r="H601" s="2410"/>
      <c r="I601" s="2715"/>
      <c r="J601" s="1666" t="str">
        <f>IF($I335="","",INDEX(K_Summary!J:J,MATCH($Q601,K_Summary!$P:$P,0)))</f>
        <v/>
      </c>
      <c r="K601" s="1760" t="str">
        <f>IF($I335="","",INDEX(K_Summary!K:K,MATCH($Q601,K_Summary!$P:$P,0)))</f>
        <v/>
      </c>
      <c r="L601" s="1760" t="str">
        <f>IF($I335="","",INDEX(K_Summary!L:L,MATCH($Q601,K_Summary!$P:$P,0)))</f>
        <v/>
      </c>
      <c r="M601" s="1760" t="str">
        <f>IF($I335="","",INDEX(K_Summary!M:M,MATCH($Q601,K_Summary!$P:$P,0)))</f>
        <v/>
      </c>
      <c r="N601" s="1761" t="str">
        <f>IF($I335="","",INDEX(K_Summary!N:N,MATCH($Q601,K_Summary!$P:$P,0)))</f>
        <v/>
      </c>
      <c r="O601" s="485"/>
      <c r="P601" s="485"/>
      <c r="Q601" s="1644" t="str">
        <f>EUconst_CNTR_100EUA_WGFlare&amp;I335</f>
        <v>EUA100WGFlare_</v>
      </c>
      <c r="U601" s="1665"/>
      <c r="Z601" s="1664"/>
    </row>
    <row r="602" spans="1:37" ht="5.0999999999999996" customHeight="1" thickBot="1">
      <c r="A602" s="618"/>
      <c r="B602" s="479"/>
      <c r="C602" s="977"/>
      <c r="D602" s="915"/>
      <c r="E602" s="909"/>
      <c r="F602" s="909"/>
      <c r="G602" s="909"/>
      <c r="H602" s="909"/>
      <c r="I602" s="909"/>
      <c r="J602" s="922"/>
      <c r="K602" s="1760"/>
      <c r="L602" s="1760"/>
      <c r="M602" s="1760"/>
      <c r="N602" s="1761"/>
      <c r="O602" s="485"/>
      <c r="P602" s="485"/>
      <c r="Q602" s="1435"/>
      <c r="U602" s="1663"/>
      <c r="V602" s="1435"/>
      <c r="Z602" s="1664"/>
    </row>
    <row r="603" spans="1:37" ht="12.75" customHeight="1" thickBot="1">
      <c r="B603" s="479"/>
      <c r="C603" s="977"/>
      <c r="D603" s="915" t="s">
        <v>18</v>
      </c>
      <c r="E603" s="2714" t="s">
        <v>1657</v>
      </c>
      <c r="F603" s="2410"/>
      <c r="G603" s="2410"/>
      <c r="H603" s="2410"/>
      <c r="I603" s="2715"/>
      <c r="J603" s="1668" t="str">
        <f>IF(J601="","",IF(OR(J601,V595&lt;1),J597,I603))</f>
        <v/>
      </c>
      <c r="K603" s="1770" t="str">
        <f>IF(K601="","",IF(OR(K601,W595&lt;1),K597,J603))</f>
        <v/>
      </c>
      <c r="L603" s="1770" t="str">
        <f>IF(L601="","",IF(OR(L601,X595&lt;1),L597,K603))</f>
        <v/>
      </c>
      <c r="M603" s="1770" t="str">
        <f>IF(M601="","",IF(OR(M601,Y595&lt;1),M597,L603))</f>
        <v/>
      </c>
      <c r="N603" s="1771" t="str">
        <f>IF(N601="","",IF(OR(N601,Z595&lt;1),N597,M603))</f>
        <v/>
      </c>
      <c r="O603" s="485"/>
      <c r="P603" s="485"/>
      <c r="Q603" s="1435"/>
      <c r="U603" s="1663" t="s">
        <v>1658</v>
      </c>
      <c r="V603" s="1670">
        <f>J600</f>
        <v>2026</v>
      </c>
      <c r="W603" s="1670">
        <f>K600</f>
        <v>2027</v>
      </c>
      <c r="X603" s="1670">
        <f>L600</f>
        <v>2028</v>
      </c>
      <c r="Y603" s="1670">
        <f>M600</f>
        <v>2029</v>
      </c>
      <c r="Z603" s="1671">
        <f>N600</f>
        <v>2030</v>
      </c>
    </row>
    <row r="604" spans="1:37" ht="12.75" customHeight="1" thickBot="1">
      <c r="A604" s="618"/>
      <c r="B604" s="479"/>
      <c r="C604" s="977"/>
      <c r="D604" s="915" t="s">
        <v>787</v>
      </c>
      <c r="E604" s="2714" t="s">
        <v>1659</v>
      </c>
      <c r="F604" s="2410"/>
      <c r="G604" s="2410"/>
      <c r="H604" s="944" t="str">
        <f>H595</f>
        <v>t CO2</v>
      </c>
      <c r="I604" s="917" t="str">
        <f>I598</f>
        <v/>
      </c>
      <c r="J604" s="1672" t="str">
        <f>IF($I335="","",IF(OR($I604=0,$I604=EUconst_NA),IF(OR(J601=TRUE,J600=$V335),J598,SUM(I604)),IF(J603="",J598,$I604*(1+SUM(J603)))))</f>
        <v/>
      </c>
      <c r="K604" s="1772" t="str">
        <f>IF($I335="","",IF(OR($I604=0,$I604=EUconst_NA),IF(OR(K601=TRUE,K600=$V335),K598,SUM(J604)),IF(K603="",K598,$I604*(1+SUM(K603)))))</f>
        <v/>
      </c>
      <c r="L604" s="1772" t="str">
        <f>IF($I335="","",IF(OR($I604=0,$I604=EUconst_NA),IF(OR(L601=TRUE,L600=$V335),L598,SUM(K604)),IF(L603="",L598,$I604*(1+SUM(L603)))))</f>
        <v/>
      </c>
      <c r="M604" s="1772" t="str">
        <f>IF($I335="","",IF(OR($I604=0,$I604=EUconst_NA),IF(OR(M601=TRUE,M600=$V335),M598,SUM(L604)),IF(M603="",M598,$I604*(1+SUM(M603)))))</f>
        <v/>
      </c>
      <c r="N604" s="1773" t="str">
        <f>IF($I335="","",IF(OR($I604=0,$I604=EUconst_NA),IF(OR(N601=TRUE,N600=$V335),N598,SUM(M604)),IF(N603="",N598,$I604*(1+SUM(N603)))))</f>
        <v/>
      </c>
      <c r="O604" s="485"/>
      <c r="P604" s="485"/>
      <c r="Q604" s="1644" t="str">
        <f>EUconst_CNTR_HALfinal&amp;EUconst_CNTR_WGFlared &amp; I335</f>
        <v>HALfinal_WasteGasFlare_</v>
      </c>
      <c r="U604" s="1674" t="b">
        <v>0</v>
      </c>
      <c r="V604" s="1675" t="str">
        <f>IF(V554,IF(J601=TRUE,V343,U604),"")</f>
        <v/>
      </c>
      <c r="W604" s="1675" t="str">
        <f>IF(W554,IF(K601=TRUE,W343,V604),"")</f>
        <v/>
      </c>
      <c r="X604" s="1675" t="str">
        <f>IF(X554,IF(L601=TRUE,X343,W604),"")</f>
        <v/>
      </c>
      <c r="Y604" s="1675" t="str">
        <f>IF(Y554,IF(M601=TRUE,Y343,X604),"")</f>
        <v/>
      </c>
      <c r="Z604" s="1676" t="str">
        <f>IF(Z554,IF(N601=TRUE,Z343,Y604),"")</f>
        <v/>
      </c>
      <c r="AJ604" s="1633" t="s">
        <v>1951</v>
      </c>
      <c r="AK604" s="1443" t="str">
        <f>IF(OR(ISERROR(J604),ISERROR(K604),ISERROR(L604),ISERROR(M604),ISERROR(N604)),EUconst_Error &amp; "BM" &amp; Q335,"")</f>
        <v/>
      </c>
    </row>
    <row r="605" spans="1:37" ht="5.0999999999999996" customHeight="1" thickBot="1">
      <c r="B605" s="479"/>
      <c r="C605" s="977"/>
      <c r="D605" s="946"/>
      <c r="E605" s="947"/>
      <c r="F605" s="947"/>
      <c r="G605" s="947"/>
      <c r="H605" s="1014"/>
      <c r="I605" s="947"/>
      <c r="J605" s="1700"/>
      <c r="K605" s="1760"/>
      <c r="L605" s="1760"/>
      <c r="M605" s="1760"/>
      <c r="N605" s="1761"/>
      <c r="O605" s="485"/>
      <c r="P605" s="485"/>
      <c r="Q605" s="1435"/>
      <c r="S605" s="1435"/>
      <c r="T605" s="1435"/>
      <c r="U605" s="1435"/>
      <c r="V605" s="1435"/>
    </row>
    <row r="606" spans="1:37" ht="5.0999999999999996" customHeight="1">
      <c r="B606" s="479"/>
      <c r="C606" s="977"/>
      <c r="D606" s="981"/>
      <c r="E606" s="981"/>
      <c r="F606" s="981"/>
      <c r="G606" s="981"/>
      <c r="H606" s="983"/>
      <c r="I606" s="981"/>
      <c r="J606" s="981"/>
      <c r="K606" s="981"/>
      <c r="L606" s="981"/>
      <c r="M606" s="813"/>
      <c r="N606" s="814"/>
      <c r="O606" s="485"/>
      <c r="P606" s="485"/>
      <c r="Q606" s="1435"/>
      <c r="S606" s="1435"/>
      <c r="T606" s="1435"/>
      <c r="U606" s="1435"/>
      <c r="V606" s="1435"/>
    </row>
    <row r="607" spans="1:37" ht="12.75" customHeight="1">
      <c r="B607" s="479"/>
      <c r="C607" s="977"/>
      <c r="D607" s="777" t="s">
        <v>1109</v>
      </c>
      <c r="E607" s="2649" t="s">
        <v>1218</v>
      </c>
      <c r="F607" s="2391"/>
      <c r="G607" s="2391"/>
      <c r="H607" s="2512"/>
      <c r="I607" s="3211" t="str">
        <f>c_ALR2025!I3273</f>
        <v/>
      </c>
      <c r="J607" s="3206"/>
      <c r="K607" s="3206"/>
      <c r="L607" s="3206"/>
      <c r="M607" s="3207"/>
      <c r="N607" s="814"/>
      <c r="O607" s="485"/>
      <c r="P607" s="9"/>
      <c r="Q607" s="1435"/>
      <c r="S607" s="1435"/>
      <c r="AC607" s="1641" t="s">
        <v>717</v>
      </c>
      <c r="AD607" s="1443" t="b">
        <f>AD581</f>
        <v>0</v>
      </c>
    </row>
    <row r="608" spans="1:37" ht="12.75" customHeight="1">
      <c r="B608" s="479"/>
      <c r="C608" s="977"/>
      <c r="D608" s="777"/>
      <c r="E608" s="3272" t="s">
        <v>2298</v>
      </c>
      <c r="F608" s="2380"/>
      <c r="G608" s="2380"/>
      <c r="H608" s="2380"/>
      <c r="I608" s="2380"/>
      <c r="J608" s="2380"/>
      <c r="K608" s="2380"/>
      <c r="L608" s="2380"/>
      <c r="M608" s="2380"/>
      <c r="N608" s="3268"/>
      <c r="O608" s="485"/>
      <c r="P608" s="485"/>
      <c r="Q608" s="1435"/>
      <c r="S608" s="1435"/>
      <c r="T608" s="1435"/>
      <c r="U608" s="1435"/>
      <c r="V608" s="1435"/>
    </row>
    <row r="609" spans="1:42" ht="25.5" customHeight="1">
      <c r="B609" s="479"/>
      <c r="C609" s="977"/>
      <c r="D609" s="777"/>
      <c r="E609" s="3267" t="s">
        <v>1560</v>
      </c>
      <c r="F609" s="2380"/>
      <c r="G609" s="2380"/>
      <c r="H609" s="2380"/>
      <c r="I609" s="2380"/>
      <c r="J609" s="2380"/>
      <c r="K609" s="2380"/>
      <c r="L609" s="2380"/>
      <c r="M609" s="2380"/>
      <c r="N609" s="3268"/>
      <c r="O609" s="485"/>
      <c r="P609" s="485"/>
      <c r="Q609" s="1435"/>
      <c r="S609" s="1435"/>
      <c r="T609" s="1435"/>
      <c r="U609" s="1435"/>
      <c r="V609" s="1435"/>
    </row>
    <row r="610" spans="1:42" ht="12.75" customHeight="1" thickBot="1">
      <c r="B610" s="479"/>
      <c r="C610" s="977"/>
      <c r="D610" s="981"/>
      <c r="E610" s="989"/>
      <c r="F610" s="990"/>
      <c r="G610" s="987" t="str">
        <f>EUconst_Unit</f>
        <v>Unit</v>
      </c>
      <c r="H610" s="782">
        <f t="shared" ref="H610:N610" si="274">H$3242</f>
        <v>2024</v>
      </c>
      <c r="I610" s="988">
        <f t="shared" si="274"/>
        <v>2025</v>
      </c>
      <c r="J610" s="1810">
        <f t="shared" si="274"/>
        <v>2026</v>
      </c>
      <c r="K610" s="1747">
        <f t="shared" si="274"/>
        <v>2027</v>
      </c>
      <c r="L610" s="1747">
        <f t="shared" si="274"/>
        <v>2028</v>
      </c>
      <c r="M610" s="1747">
        <f t="shared" si="274"/>
        <v>2029</v>
      </c>
      <c r="N610" s="1748">
        <f t="shared" si="274"/>
        <v>2030</v>
      </c>
      <c r="O610" s="485"/>
      <c r="P610" s="485"/>
      <c r="Q610" s="1435"/>
      <c r="S610" s="1435"/>
      <c r="T610" s="1435"/>
      <c r="U610" s="1435"/>
      <c r="V610" s="1435"/>
      <c r="AC610" s="1638">
        <f t="shared" ref="AC610:AI610" si="275">H$20</f>
        <v>2024</v>
      </c>
      <c r="AD610" s="1638">
        <f t="shared" si="275"/>
        <v>2025</v>
      </c>
      <c r="AE610" s="1638">
        <f t="shared" si="275"/>
        <v>2026</v>
      </c>
      <c r="AF610" s="1638">
        <f t="shared" si="275"/>
        <v>2027</v>
      </c>
      <c r="AG610" s="1638">
        <f t="shared" si="275"/>
        <v>2028</v>
      </c>
      <c r="AH610" s="1638">
        <f t="shared" si="275"/>
        <v>2029</v>
      </c>
      <c r="AI610" s="1638">
        <f t="shared" si="275"/>
        <v>2030</v>
      </c>
    </row>
    <row r="611" spans="1:42" ht="12.75" customHeight="1" thickBot="1">
      <c r="B611" s="479"/>
      <c r="C611" s="977"/>
      <c r="D611" s="777" t="s">
        <v>1110</v>
      </c>
      <c r="E611" s="2471" t="s">
        <v>1303</v>
      </c>
      <c r="F611" s="2472"/>
      <c r="G611" s="1763" t="str">
        <f>c_ALR2025!G3277</f>
        <v/>
      </c>
      <c r="H611" s="1552" t="str">
        <f>c_ALR2025!M3277</f>
        <v/>
      </c>
      <c r="I611" s="1611"/>
      <c r="J611" s="1811"/>
      <c r="K611" s="1751"/>
      <c r="L611" s="1751"/>
      <c r="M611" s="1751"/>
      <c r="N611" s="1752"/>
      <c r="O611" s="485"/>
      <c r="P611" s="9"/>
      <c r="Q611" s="1435"/>
      <c r="S611" s="1435"/>
      <c r="T611" s="1435"/>
      <c r="U611" s="1435"/>
      <c r="V611" s="1435"/>
      <c r="AB611" s="1641" t="s">
        <v>717</v>
      </c>
      <c r="AC611" s="1443" t="b">
        <f t="shared" ref="AC611:AI611" si="276">AC567</f>
        <v>0</v>
      </c>
      <c r="AD611" s="1443" t="b">
        <f t="shared" si="276"/>
        <v>0</v>
      </c>
      <c r="AE611" s="1443" t="b">
        <f t="shared" si="276"/>
        <v>0</v>
      </c>
      <c r="AF611" s="1443" t="b">
        <f t="shared" si="276"/>
        <v>0</v>
      </c>
      <c r="AG611" s="1443" t="b">
        <f t="shared" si="276"/>
        <v>0</v>
      </c>
      <c r="AH611" s="1443" t="b">
        <f t="shared" si="276"/>
        <v>0</v>
      </c>
      <c r="AI611" s="1443" t="b">
        <f t="shared" si="276"/>
        <v>0</v>
      </c>
      <c r="AJ611" s="1633" t="s">
        <v>1954</v>
      </c>
      <c r="AK611" s="1635" t="str">
        <f>IF(AND(CNTR_ExistSubInstEntries,MSconst_RequireSubAttrEmissions,COUNTIFS(AC611:AI611,FALSE,H611:N611,"")&gt;0),EUconst_Error&amp;"BM"&amp;$Q335,"")</f>
        <v/>
      </c>
    </row>
    <row r="612" spans="1:42" ht="12.75" customHeight="1">
      <c r="B612" s="479"/>
      <c r="C612" s="977"/>
      <c r="D612" s="777" t="s">
        <v>1111</v>
      </c>
      <c r="E612" s="2473" t="s">
        <v>661</v>
      </c>
      <c r="F612" s="2474"/>
      <c r="G612" s="1008" t="e">
        <f>IF(ISBLANK(G611),EUconst_GJperUnit,INDEX(EUconst_GJperTorKNm3,MATCH(G611,EUconst_TonnesOrkNm3pa,0)))</f>
        <v>#N/A</v>
      </c>
      <c r="H612" s="1558" t="str">
        <f>c_ALR2025!M3278</f>
        <v/>
      </c>
      <c r="I612" s="1884"/>
      <c r="J612" s="1811"/>
      <c r="K612" s="1751"/>
      <c r="L612" s="1751"/>
      <c r="M612" s="1751"/>
      <c r="N612" s="1752"/>
      <c r="O612" s="485"/>
      <c r="P612" s="9"/>
      <c r="Q612" s="1435"/>
      <c r="S612" s="1648"/>
      <c r="T612" s="1749">
        <f t="shared" ref="T612:Z612" si="277">H610</f>
        <v>2024</v>
      </c>
      <c r="U612" s="1749">
        <f t="shared" si="277"/>
        <v>2025</v>
      </c>
      <c r="V612" s="1749">
        <f t="shared" si="277"/>
        <v>2026</v>
      </c>
      <c r="W612" s="1749">
        <f t="shared" si="277"/>
        <v>2027</v>
      </c>
      <c r="X612" s="1749">
        <f t="shared" si="277"/>
        <v>2028</v>
      </c>
      <c r="Y612" s="1749">
        <f t="shared" si="277"/>
        <v>2029</v>
      </c>
      <c r="Z612" s="1750">
        <f t="shared" si="277"/>
        <v>2030</v>
      </c>
      <c r="AC612" s="1443" t="b">
        <f>AC611</f>
        <v>0</v>
      </c>
      <c r="AD612" s="1443" t="b">
        <f t="shared" ref="AD612:AI612" si="278">AD611</f>
        <v>0</v>
      </c>
      <c r="AE612" s="1443" t="b">
        <f t="shared" si="278"/>
        <v>0</v>
      </c>
      <c r="AF612" s="1443" t="b">
        <f t="shared" si="278"/>
        <v>0</v>
      </c>
      <c r="AG612" s="1443" t="b">
        <f t="shared" si="278"/>
        <v>0</v>
      </c>
      <c r="AH612" s="1443" t="b">
        <f t="shared" si="278"/>
        <v>0</v>
      </c>
      <c r="AI612" s="1443" t="b">
        <f t="shared" si="278"/>
        <v>0</v>
      </c>
      <c r="AJ612" s="1633" t="s">
        <v>1954</v>
      </c>
      <c r="AK612" s="1635" t="str">
        <f>IF(AND(CNTR_ExistSubInstEntries,MSconst_RequireSubAttrEmissions,COUNTIFS(AC612:AI612,FALSE,H612:N612,"")&gt;0),EUconst_Error&amp;"BM"&amp;$Q335,"")</f>
        <v/>
      </c>
    </row>
    <row r="613" spans="1:42" ht="12.75" customHeight="1">
      <c r="B613" s="479"/>
      <c r="C613" s="977"/>
      <c r="D613" s="777" t="s">
        <v>1112</v>
      </c>
      <c r="E613" s="2475" t="s">
        <v>1102</v>
      </c>
      <c r="F613" s="2410"/>
      <c r="G613" s="815" t="str">
        <f>EUconst_TJpa</f>
        <v>TJ / year</v>
      </c>
      <c r="H613" s="646" t="str">
        <f t="shared" ref="H613:N613" si="279">IF(COUNT(H611:H612)=2,H611*H612/1000,"")</f>
        <v/>
      </c>
      <c r="I613" s="949" t="str">
        <f t="shared" si="279"/>
        <v/>
      </c>
      <c r="J613" s="1811" t="str">
        <f t="shared" si="279"/>
        <v/>
      </c>
      <c r="K613" s="1751" t="str">
        <f t="shared" si="279"/>
        <v/>
      </c>
      <c r="L613" s="1751" t="str">
        <f t="shared" si="279"/>
        <v/>
      </c>
      <c r="M613" s="1751" t="str">
        <f t="shared" si="279"/>
        <v/>
      </c>
      <c r="N613" s="1752" t="str">
        <f t="shared" si="279"/>
        <v/>
      </c>
      <c r="O613" s="485"/>
      <c r="P613" s="485"/>
      <c r="Q613" s="1644" t="str">
        <f>EUconst_CNTR_WGImport &amp; I335</f>
        <v>WasteGasIm_</v>
      </c>
      <c r="S613" s="1874" t="str">
        <f>EUconst_ERR_AttrEmBMapplied &amp; I335</f>
        <v>ERR_AttrEmBM_</v>
      </c>
      <c r="T613" s="1443">
        <f t="shared" ref="T613:Z613" si="280">IF(AND(H613&lt;&gt;"",EUconst_StatusOfDataCollection=FALSE),1,0)</f>
        <v>0</v>
      </c>
      <c r="U613" s="1443">
        <f t="shared" si="280"/>
        <v>0</v>
      </c>
      <c r="V613" s="1443">
        <f t="shared" si="280"/>
        <v>0</v>
      </c>
      <c r="W613" s="1443">
        <f t="shared" si="280"/>
        <v>0</v>
      </c>
      <c r="X613" s="1443">
        <f t="shared" si="280"/>
        <v>0</v>
      </c>
      <c r="Y613" s="1443">
        <f t="shared" si="280"/>
        <v>0</v>
      </c>
      <c r="Z613" s="1737">
        <f t="shared" si="280"/>
        <v>0</v>
      </c>
    </row>
    <row r="614" spans="1:42" s="562" customFormat="1" ht="12.75" customHeight="1" thickBot="1">
      <c r="A614" s="618"/>
      <c r="B614" s="479"/>
      <c r="C614" s="977"/>
      <c r="D614" s="777" t="s">
        <v>1113</v>
      </c>
      <c r="E614" s="2475" t="s">
        <v>1275</v>
      </c>
      <c r="F614" s="2410"/>
      <c r="G614" s="815" t="str">
        <f>EUconst_tCO2pTJ</f>
        <v>t CO2 / TJ</v>
      </c>
      <c r="H614" s="1479" t="str">
        <f>c_ALR2025!M3280</f>
        <v/>
      </c>
      <c r="I614" s="1532"/>
      <c r="J614" s="1811"/>
      <c r="K614" s="1751"/>
      <c r="L614" s="1751"/>
      <c r="M614" s="1751"/>
      <c r="N614" s="1752"/>
      <c r="O614" s="485"/>
      <c r="P614" s="9"/>
      <c r="Q614" s="1644" t="str">
        <f>EUconst_CNTR_WGImportEF &amp; I335</f>
        <v>WasteGasImEF_</v>
      </c>
      <c r="R614" s="1435"/>
      <c r="S614" s="1753" t="str">
        <f>EUconst_CNTR_AttributedEmissions &amp; I335</f>
        <v>AttrEmissions_</v>
      </c>
      <c r="T614" s="1743" t="str">
        <f t="shared" ref="T614:Z614" si="281">IF(T343,SUM(H613)*EUconst_FuelBMvalue,"")</f>
        <v/>
      </c>
      <c r="U614" s="1743" t="str">
        <f t="shared" si="281"/>
        <v/>
      </c>
      <c r="V614" s="1743" t="str">
        <f t="shared" si="281"/>
        <v/>
      </c>
      <c r="W614" s="1743" t="str">
        <f t="shared" si="281"/>
        <v/>
      </c>
      <c r="X614" s="1743" t="str">
        <f t="shared" si="281"/>
        <v/>
      </c>
      <c r="Y614" s="1743" t="str">
        <f t="shared" si="281"/>
        <v/>
      </c>
      <c r="Z614" s="1744" t="str">
        <f t="shared" si="281"/>
        <v/>
      </c>
      <c r="AA614" s="1435"/>
      <c r="AB614" s="1641" t="s">
        <v>717</v>
      </c>
      <c r="AC614" s="1443" t="b">
        <f>AC612</f>
        <v>0</v>
      </c>
      <c r="AD614" s="1443" t="b">
        <f t="shared" ref="AD614:AI614" si="282">AD612</f>
        <v>0</v>
      </c>
      <c r="AE614" s="1443" t="b">
        <f t="shared" si="282"/>
        <v>0</v>
      </c>
      <c r="AF614" s="1443" t="b">
        <f t="shared" si="282"/>
        <v>0</v>
      </c>
      <c r="AG614" s="1443" t="b">
        <f t="shared" si="282"/>
        <v>0</v>
      </c>
      <c r="AH614" s="1443" t="b">
        <f t="shared" si="282"/>
        <v>0</v>
      </c>
      <c r="AI614" s="1443" t="b">
        <f t="shared" si="282"/>
        <v>0</v>
      </c>
      <c r="AJ614" s="1633" t="s">
        <v>1954</v>
      </c>
      <c r="AK614" s="1635" t="str">
        <f>IF(AND(CNTR_ExistSubInstEntries,MSconst_RequireSubAttrEmissions,COUNTIFS(AC614:AI614,FALSE,H614:N614,"")&gt;0),EUconst_Error&amp;"BM"&amp;$Q335,"")</f>
        <v/>
      </c>
      <c r="AL614" s="1198"/>
      <c r="AP614" s="1135"/>
    </row>
    <row r="615" spans="1:42" ht="12.75" customHeight="1">
      <c r="B615" s="479"/>
      <c r="C615" s="977"/>
      <c r="D615" s="981"/>
      <c r="E615" s="981"/>
      <c r="F615" s="981"/>
      <c r="G615" s="981"/>
      <c r="H615" s="983"/>
      <c r="I615" s="981"/>
      <c r="J615" s="981"/>
      <c r="K615" s="981"/>
      <c r="L615" s="981"/>
      <c r="M615" s="813"/>
      <c r="N615" s="814"/>
      <c r="O615" s="485"/>
      <c r="P615" s="485"/>
      <c r="Q615" s="1435"/>
      <c r="S615" s="1435"/>
      <c r="T615" s="1435"/>
      <c r="U615" s="1435"/>
      <c r="V615" s="1435"/>
    </row>
    <row r="616" spans="1:42" ht="12.75" customHeight="1">
      <c r="B616" s="479"/>
      <c r="C616" s="977"/>
      <c r="D616" s="777" t="s">
        <v>1114</v>
      </c>
      <c r="E616" s="2649" t="s">
        <v>1217</v>
      </c>
      <c r="F616" s="2391"/>
      <c r="G616" s="2391"/>
      <c r="H616" s="2512"/>
      <c r="I616" s="3211" t="str">
        <f>c_ALR2025!I3282</f>
        <v/>
      </c>
      <c r="J616" s="3206"/>
      <c r="K616" s="3206"/>
      <c r="L616" s="3206"/>
      <c r="M616" s="3207"/>
      <c r="N616" s="979"/>
      <c r="O616" s="485"/>
      <c r="P616" s="9"/>
      <c r="Q616" s="1435"/>
      <c r="S616" s="1435"/>
      <c r="AC616" s="1641" t="s">
        <v>717</v>
      </c>
      <c r="AD616" s="1443" t="b">
        <f>AD607</f>
        <v>0</v>
      </c>
    </row>
    <row r="617" spans="1:42" ht="12.75" customHeight="1">
      <c r="B617" s="479"/>
      <c r="C617" s="977"/>
      <c r="D617" s="777"/>
      <c r="E617" s="3272" t="s">
        <v>2298</v>
      </c>
      <c r="F617" s="2380"/>
      <c r="G617" s="2380"/>
      <c r="H617" s="2380"/>
      <c r="I617" s="2380"/>
      <c r="J617" s="2380"/>
      <c r="K617" s="2380"/>
      <c r="L617" s="2380"/>
      <c r="M617" s="2380"/>
      <c r="N617" s="3268"/>
      <c r="O617" s="485"/>
      <c r="P617" s="485"/>
      <c r="Q617" s="1435"/>
      <c r="S617" s="1435"/>
      <c r="T617" s="1435"/>
      <c r="U617" s="1435"/>
      <c r="V617" s="1435"/>
    </row>
    <row r="618" spans="1:42" ht="25.5" customHeight="1">
      <c r="B618" s="479"/>
      <c r="C618" s="977"/>
      <c r="D618" s="777"/>
      <c r="E618" s="3267" t="s">
        <v>1317</v>
      </c>
      <c r="F618" s="2380"/>
      <c r="G618" s="2380"/>
      <c r="H618" s="2380"/>
      <c r="I618" s="2380"/>
      <c r="J618" s="2380"/>
      <c r="K618" s="2380"/>
      <c r="L618" s="2380"/>
      <c r="M618" s="2380"/>
      <c r="N618" s="3268"/>
      <c r="O618" s="485"/>
      <c r="P618" s="485"/>
      <c r="Q618" s="1435"/>
      <c r="S618" s="1435"/>
      <c r="T618" s="1435"/>
      <c r="U618" s="1435"/>
      <c r="V618" s="1435"/>
    </row>
    <row r="619" spans="1:42" ht="12.75" customHeight="1" thickBot="1">
      <c r="B619" s="479"/>
      <c r="C619" s="977"/>
      <c r="D619" s="981"/>
      <c r="E619" s="989"/>
      <c r="F619" s="990"/>
      <c r="G619" s="987" t="str">
        <f>EUconst_Unit</f>
        <v>Unit</v>
      </c>
      <c r="H619" s="782">
        <f t="shared" ref="H619:N619" si="283">H$3242</f>
        <v>2024</v>
      </c>
      <c r="I619" s="988">
        <f t="shared" si="283"/>
        <v>2025</v>
      </c>
      <c r="J619" s="1810">
        <f t="shared" si="283"/>
        <v>2026</v>
      </c>
      <c r="K619" s="1747">
        <f t="shared" si="283"/>
        <v>2027</v>
      </c>
      <c r="L619" s="1747">
        <f t="shared" si="283"/>
        <v>2028</v>
      </c>
      <c r="M619" s="1747">
        <f t="shared" si="283"/>
        <v>2029</v>
      </c>
      <c r="N619" s="1748">
        <f t="shared" si="283"/>
        <v>2030</v>
      </c>
      <c r="O619" s="485"/>
      <c r="P619" s="485"/>
      <c r="Q619" s="1435"/>
      <c r="S619" s="1435"/>
      <c r="T619" s="1435"/>
      <c r="U619" s="1435"/>
      <c r="V619" s="1435"/>
      <c r="AC619" s="1638">
        <f t="shared" ref="AC619:AI619" si="284">H$20</f>
        <v>2024</v>
      </c>
      <c r="AD619" s="1638">
        <f t="shared" si="284"/>
        <v>2025</v>
      </c>
      <c r="AE619" s="1638">
        <f t="shared" si="284"/>
        <v>2026</v>
      </c>
      <c r="AF619" s="1638">
        <f t="shared" si="284"/>
        <v>2027</v>
      </c>
      <c r="AG619" s="1638">
        <f t="shared" si="284"/>
        <v>2028</v>
      </c>
      <c r="AH619" s="1638">
        <f t="shared" si="284"/>
        <v>2029</v>
      </c>
      <c r="AI619" s="1638">
        <f t="shared" si="284"/>
        <v>2030</v>
      </c>
    </row>
    <row r="620" spans="1:42" ht="12.75" customHeight="1">
      <c r="B620" s="479"/>
      <c r="C620" s="977"/>
      <c r="D620" s="777" t="s">
        <v>1115</v>
      </c>
      <c r="E620" s="2471" t="s">
        <v>1304</v>
      </c>
      <c r="F620" s="2472"/>
      <c r="G620" s="1763" t="str">
        <f>c_ALR2025!G3286</f>
        <v/>
      </c>
      <c r="H620" s="1552" t="str">
        <f>c_ALR2025!M3286</f>
        <v/>
      </c>
      <c r="I620" s="1611"/>
      <c r="J620" s="1811"/>
      <c r="K620" s="1751"/>
      <c r="L620" s="1751"/>
      <c r="M620" s="1751"/>
      <c r="N620" s="1752"/>
      <c r="O620" s="485"/>
      <c r="P620" s="9"/>
      <c r="Q620" s="1435"/>
      <c r="S620" s="1435"/>
      <c r="T620" s="1435"/>
      <c r="U620" s="1435"/>
      <c r="V620" s="1435"/>
      <c r="AB620" s="1641" t="s">
        <v>717</v>
      </c>
      <c r="AC620" s="1443" t="b">
        <f>AC567</f>
        <v>0</v>
      </c>
      <c r="AD620" s="1443" t="b">
        <f t="shared" ref="AD620:AI620" si="285">AD567</f>
        <v>0</v>
      </c>
      <c r="AE620" s="1443" t="b">
        <f t="shared" si="285"/>
        <v>0</v>
      </c>
      <c r="AF620" s="1443" t="b">
        <f t="shared" si="285"/>
        <v>0</v>
      </c>
      <c r="AG620" s="1443" t="b">
        <f t="shared" si="285"/>
        <v>0</v>
      </c>
      <c r="AH620" s="1443" t="b">
        <f t="shared" si="285"/>
        <v>0</v>
      </c>
      <c r="AI620" s="1443" t="b">
        <f t="shared" si="285"/>
        <v>0</v>
      </c>
      <c r="AJ620" s="1633" t="s">
        <v>1954</v>
      </c>
      <c r="AK620" s="1635" t="str">
        <f>IF(AND(CNTR_ExistSubInstEntries,MSconst_RequireSubAttrEmissions,COUNTIFS(AC620:AI620,FALSE,H620:N620,"")&gt;0),EUconst_Error&amp;"BM"&amp;$Q335,"")</f>
        <v/>
      </c>
    </row>
    <row r="621" spans="1:42" ht="12.75" customHeight="1" thickBot="1">
      <c r="B621" s="479"/>
      <c r="C621" s="977"/>
      <c r="D621" s="777" t="s">
        <v>1561</v>
      </c>
      <c r="E621" s="2473" t="s">
        <v>661</v>
      </c>
      <c r="F621" s="2474"/>
      <c r="G621" s="1008" t="e">
        <f>IF(ISBLANK(G620),EUconst_GJperUnit,INDEX(EUconst_GJperTorKNm3,MATCH(G620,EUconst_TonnesOrkNm3pa,0)))</f>
        <v>#N/A</v>
      </c>
      <c r="H621" s="1558" t="str">
        <f>c_ALR2025!M3287</f>
        <v/>
      </c>
      <c r="I621" s="1884"/>
      <c r="J621" s="1811"/>
      <c r="K621" s="1751"/>
      <c r="L621" s="1751"/>
      <c r="M621" s="1751"/>
      <c r="N621" s="1752"/>
      <c r="O621" s="485"/>
      <c r="P621" s="9"/>
      <c r="Q621" s="1435"/>
      <c r="S621" s="1435"/>
      <c r="T621" s="1435"/>
      <c r="U621" s="1435"/>
      <c r="V621" s="1435"/>
      <c r="AC621" s="1443" t="b">
        <f>AC620</f>
        <v>0</v>
      </c>
      <c r="AD621" s="1443" t="b">
        <f t="shared" ref="AD621:AI621" si="286">AD620</f>
        <v>0</v>
      </c>
      <c r="AE621" s="1443" t="b">
        <f t="shared" si="286"/>
        <v>0</v>
      </c>
      <c r="AF621" s="1443" t="b">
        <f t="shared" si="286"/>
        <v>0</v>
      </c>
      <c r="AG621" s="1443" t="b">
        <f t="shared" si="286"/>
        <v>0</v>
      </c>
      <c r="AH621" s="1443" t="b">
        <f t="shared" si="286"/>
        <v>0</v>
      </c>
      <c r="AI621" s="1443" t="b">
        <f t="shared" si="286"/>
        <v>0</v>
      </c>
      <c r="AJ621" s="1633" t="s">
        <v>1954</v>
      </c>
      <c r="AK621" s="1635" t="str">
        <f>IF(AND(CNTR_ExistSubInstEntries,MSconst_RequireSubAttrEmissions,COUNTIFS(AC621:AI621,FALSE,H621:N621,"")&gt;0),EUconst_Error&amp;"BM"&amp;$Q335,"")</f>
        <v/>
      </c>
    </row>
    <row r="622" spans="1:42" ht="12.75" customHeight="1">
      <c r="B622" s="479"/>
      <c r="C622" s="977"/>
      <c r="D622" s="777" t="s">
        <v>1599</v>
      </c>
      <c r="E622" s="2475" t="s">
        <v>1080</v>
      </c>
      <c r="F622" s="2410"/>
      <c r="G622" s="815" t="str">
        <f>EUconst_TJpa</f>
        <v>TJ / year</v>
      </c>
      <c r="H622" s="646" t="str">
        <f t="shared" ref="H622:N622" si="287">IF(COUNT(H620:H621)=2,H620*H621/1000,"")</f>
        <v/>
      </c>
      <c r="I622" s="949" t="str">
        <f t="shared" si="287"/>
        <v/>
      </c>
      <c r="J622" s="1811" t="str">
        <f t="shared" si="287"/>
        <v/>
      </c>
      <c r="K622" s="1751" t="str">
        <f t="shared" si="287"/>
        <v/>
      </c>
      <c r="L622" s="1751" t="str">
        <f t="shared" si="287"/>
        <v/>
      </c>
      <c r="M622" s="1751" t="str">
        <f t="shared" si="287"/>
        <v/>
      </c>
      <c r="N622" s="1752" t="str">
        <f t="shared" si="287"/>
        <v/>
      </c>
      <c r="O622" s="485"/>
      <c r="P622" s="485"/>
      <c r="Q622" s="1644" t="str">
        <f>EUconst_CNTR_WGExport &amp; I335</f>
        <v>WasteGasEx_</v>
      </c>
      <c r="S622" s="1648"/>
      <c r="T622" s="1749">
        <f t="shared" ref="T622:Z622" si="288">H619</f>
        <v>2024</v>
      </c>
      <c r="U622" s="1749">
        <f t="shared" si="288"/>
        <v>2025</v>
      </c>
      <c r="V622" s="1749">
        <f t="shared" si="288"/>
        <v>2026</v>
      </c>
      <c r="W622" s="1749">
        <f t="shared" si="288"/>
        <v>2027</v>
      </c>
      <c r="X622" s="1749">
        <f t="shared" si="288"/>
        <v>2028</v>
      </c>
      <c r="Y622" s="1749">
        <f t="shared" si="288"/>
        <v>2029</v>
      </c>
      <c r="Z622" s="1750">
        <f t="shared" si="288"/>
        <v>2030</v>
      </c>
    </row>
    <row r="623" spans="1:42" s="562" customFormat="1" ht="12.75" customHeight="1" thickBot="1">
      <c r="A623" s="1116"/>
      <c r="B623" s="479"/>
      <c r="C623" s="977"/>
      <c r="D623" s="777" t="s">
        <v>1600</v>
      </c>
      <c r="E623" s="2475" t="s">
        <v>1276</v>
      </c>
      <c r="F623" s="2410"/>
      <c r="G623" s="815" t="str">
        <f>EUconst_tCO2pTJ</f>
        <v>t CO2 / TJ</v>
      </c>
      <c r="H623" s="1479" t="str">
        <f>c_ALR2025!M3289</f>
        <v/>
      </c>
      <c r="I623" s="1532"/>
      <c r="J623" s="1811"/>
      <c r="K623" s="1751"/>
      <c r="L623" s="1751"/>
      <c r="M623" s="1751"/>
      <c r="N623" s="1752"/>
      <c r="O623" s="485"/>
      <c r="P623" s="9"/>
      <c r="Q623" s="1644" t="str">
        <f>EUconst_CNTR_WGExportEF &amp; I335</f>
        <v>WasteGasExEF_</v>
      </c>
      <c r="R623" s="1435"/>
      <c r="S623" s="1753" t="str">
        <f>EUconst_CNTR_AttributedEmissions &amp; I335</f>
        <v>AttrEmissions_</v>
      </c>
      <c r="T623" s="1743" t="str">
        <f t="shared" ref="T623:Z623" si="289">IF(T343,-SUM(H622)*EUconst_NGEFvalue*EUconst_WasteGasCorrFactor,"")</f>
        <v/>
      </c>
      <c r="U623" s="1743" t="str">
        <f t="shared" si="289"/>
        <v/>
      </c>
      <c r="V623" s="1743" t="str">
        <f t="shared" si="289"/>
        <v/>
      </c>
      <c r="W623" s="1743" t="str">
        <f t="shared" si="289"/>
        <v/>
      </c>
      <c r="X623" s="1743" t="str">
        <f t="shared" si="289"/>
        <v/>
      </c>
      <c r="Y623" s="1743" t="str">
        <f t="shared" si="289"/>
        <v/>
      </c>
      <c r="Z623" s="1744" t="str">
        <f t="shared" si="289"/>
        <v/>
      </c>
      <c r="AA623" s="1435"/>
      <c r="AB623" s="1641" t="s">
        <v>717</v>
      </c>
      <c r="AC623" s="1443" t="b">
        <f t="shared" ref="AC623:AI623" si="290">AC570</f>
        <v>0</v>
      </c>
      <c r="AD623" s="1443" t="b">
        <f t="shared" si="290"/>
        <v>0</v>
      </c>
      <c r="AE623" s="1443" t="b">
        <f t="shared" si="290"/>
        <v>0</v>
      </c>
      <c r="AF623" s="1443" t="b">
        <f t="shared" si="290"/>
        <v>0</v>
      </c>
      <c r="AG623" s="1443" t="b">
        <f t="shared" si="290"/>
        <v>0</v>
      </c>
      <c r="AH623" s="1443" t="b">
        <f t="shared" si="290"/>
        <v>0</v>
      </c>
      <c r="AI623" s="1443" t="b">
        <f t="shared" si="290"/>
        <v>0</v>
      </c>
      <c r="AJ623" s="1633" t="s">
        <v>1954</v>
      </c>
      <c r="AK623" s="1635" t="str">
        <f>IF(AND(CNTR_ExistSubInstEntries,MSconst_RequireSubAttrEmissions,COUNTIFS(AC623:AI623,FALSE,H623:N623,"")&gt;0),EUconst_Error&amp;"BM"&amp;$Q335,"")</f>
        <v/>
      </c>
      <c r="AL623" s="1198"/>
      <c r="AP623" s="1135"/>
    </row>
    <row r="624" spans="1:42" ht="12.75" customHeight="1">
      <c r="B624" s="479"/>
      <c r="C624" s="977"/>
      <c r="D624" s="981"/>
      <c r="E624" s="981"/>
      <c r="F624" s="981"/>
      <c r="G624" s="981"/>
      <c r="H624" s="981"/>
      <c r="I624" s="983"/>
      <c r="J624" s="981"/>
      <c r="K624" s="981"/>
      <c r="L624" s="981"/>
      <c r="M624" s="981"/>
      <c r="N624" s="814"/>
      <c r="O624" s="485"/>
      <c r="P624" s="485"/>
      <c r="Q624" s="1435"/>
      <c r="S624" s="1435"/>
    </row>
    <row r="625" spans="2:37" ht="12.75" customHeight="1">
      <c r="B625" s="479"/>
      <c r="C625" s="977"/>
      <c r="D625" s="982" t="s">
        <v>482</v>
      </c>
      <c r="E625" s="2649" t="s">
        <v>1127</v>
      </c>
      <c r="F625" s="2391"/>
      <c r="G625" s="2391"/>
      <c r="H625" s="2391"/>
      <c r="I625" s="2391"/>
      <c r="J625" s="2391"/>
      <c r="K625" s="2391"/>
      <c r="L625" s="2391"/>
      <c r="M625" s="2391"/>
      <c r="N625" s="2650"/>
      <c r="O625" s="485"/>
      <c r="P625" s="485"/>
      <c r="Q625" s="1435"/>
      <c r="S625" s="1435"/>
    </row>
    <row r="626" spans="2:37" ht="12.75" customHeight="1">
      <c r="B626" s="479"/>
      <c r="C626" s="977"/>
      <c r="D626" s="777"/>
      <c r="E626" s="3272" t="s">
        <v>2299</v>
      </c>
      <c r="F626" s="2380"/>
      <c r="G626" s="2380"/>
      <c r="H626" s="2380"/>
      <c r="I626" s="2380"/>
      <c r="J626" s="2380"/>
      <c r="K626" s="2380"/>
      <c r="L626" s="2380"/>
      <c r="M626" s="2380"/>
      <c r="N626" s="3268"/>
      <c r="O626" s="485"/>
      <c r="P626" s="485"/>
      <c r="Q626" s="1435"/>
      <c r="S626" s="1435"/>
      <c r="T626" s="1435"/>
      <c r="U626" s="1435"/>
      <c r="V626" s="1435"/>
    </row>
    <row r="627" spans="2:37" ht="25.5" customHeight="1" thickBot="1">
      <c r="B627" s="479"/>
      <c r="C627" s="977"/>
      <c r="D627" s="981"/>
      <c r="E627" s="3267" t="s">
        <v>2331</v>
      </c>
      <c r="F627" s="2380"/>
      <c r="G627" s="2380"/>
      <c r="H627" s="2380"/>
      <c r="I627" s="2380"/>
      <c r="J627" s="2380"/>
      <c r="K627" s="2380"/>
      <c r="L627" s="2380"/>
      <c r="M627" s="2380"/>
      <c r="N627" s="3268"/>
      <c r="O627" s="485"/>
      <c r="P627" s="485"/>
      <c r="Q627" s="1435"/>
      <c r="S627" s="1435"/>
    </row>
    <row r="628" spans="2:37" ht="12.75" customHeight="1" thickBot="1">
      <c r="B628" s="479"/>
      <c r="C628" s="977"/>
      <c r="D628" s="982"/>
      <c r="E628" s="989"/>
      <c r="F628" s="990"/>
      <c r="G628" s="987" t="str">
        <f>EUconst_Unit</f>
        <v>Unit</v>
      </c>
      <c r="H628" s="782">
        <f t="shared" ref="H628:N628" si="291">H$3242</f>
        <v>2024</v>
      </c>
      <c r="I628" s="988">
        <f t="shared" si="291"/>
        <v>2025</v>
      </c>
      <c r="J628" s="1810">
        <f t="shared" si="291"/>
        <v>2026</v>
      </c>
      <c r="K628" s="1747">
        <f t="shared" si="291"/>
        <v>2027</v>
      </c>
      <c r="L628" s="1747">
        <f t="shared" si="291"/>
        <v>2028</v>
      </c>
      <c r="M628" s="1747">
        <f t="shared" si="291"/>
        <v>2029</v>
      </c>
      <c r="N628" s="1748">
        <f t="shared" si="291"/>
        <v>2030</v>
      </c>
      <c r="O628" s="485"/>
      <c r="P628" s="485"/>
      <c r="Q628" s="1435"/>
      <c r="S628" s="1648"/>
      <c r="T628" s="1749">
        <f t="shared" ref="T628:Z628" si="292">H628</f>
        <v>2024</v>
      </c>
      <c r="U628" s="1749">
        <f t="shared" si="292"/>
        <v>2025</v>
      </c>
      <c r="V628" s="1749">
        <f t="shared" si="292"/>
        <v>2026</v>
      </c>
      <c r="W628" s="1749">
        <f t="shared" si="292"/>
        <v>2027</v>
      </c>
      <c r="X628" s="1749">
        <f t="shared" si="292"/>
        <v>2028</v>
      </c>
      <c r="Y628" s="1749">
        <f t="shared" si="292"/>
        <v>2029</v>
      </c>
      <c r="Z628" s="1750">
        <f t="shared" si="292"/>
        <v>2030</v>
      </c>
      <c r="AC628" s="1638">
        <f t="shared" ref="AC628:AI628" si="293">H$20</f>
        <v>2024</v>
      </c>
      <c r="AD628" s="1638">
        <f t="shared" si="293"/>
        <v>2025</v>
      </c>
      <c r="AE628" s="1638">
        <f t="shared" si="293"/>
        <v>2026</v>
      </c>
      <c r="AF628" s="1638">
        <f t="shared" si="293"/>
        <v>2027</v>
      </c>
      <c r="AG628" s="1638">
        <f t="shared" si="293"/>
        <v>2028</v>
      </c>
      <c r="AH628" s="1638">
        <f t="shared" si="293"/>
        <v>2029</v>
      </c>
      <c r="AI628" s="1638">
        <f t="shared" si="293"/>
        <v>2030</v>
      </c>
    </row>
    <row r="629" spans="2:37" ht="12.75" customHeight="1" thickBot="1">
      <c r="B629" s="479"/>
      <c r="C629" s="977"/>
      <c r="D629" s="777"/>
      <c r="E629" s="2475" t="s">
        <v>1354</v>
      </c>
      <c r="F629" s="2410"/>
      <c r="G629" s="815" t="str">
        <f>EUconst_MWhpa</f>
        <v>MWh / year</v>
      </c>
      <c r="H629" s="1479" t="str">
        <f>c_ALR2025!M3295</f>
        <v/>
      </c>
      <c r="I629" s="1532"/>
      <c r="J629" s="1811"/>
      <c r="K629" s="1751"/>
      <c r="L629" s="1751"/>
      <c r="M629" s="1751"/>
      <c r="N629" s="1752"/>
      <c r="O629" s="485"/>
      <c r="P629" s="9" t="s">
        <v>2007</v>
      </c>
      <c r="Q629" s="1644" t="str">
        <f>EUconst_CNTR_ElectricityExported &amp; I335</f>
        <v>ElecEx_</v>
      </c>
      <c r="S629" s="1753" t="str">
        <f>EUconst_CNTR_AttributedEmissions &amp; I335</f>
        <v>AttrEmissions_</v>
      </c>
      <c r="T629" s="1743" t="str">
        <f t="shared" ref="T629:Z629" si="294">IF(T343,-SUM(H629)*EUconst_ElBM,"")</f>
        <v/>
      </c>
      <c r="U629" s="1743" t="str">
        <f t="shared" si="294"/>
        <v/>
      </c>
      <c r="V629" s="1743" t="str">
        <f t="shared" si="294"/>
        <v/>
      </c>
      <c r="W629" s="1743" t="str">
        <f t="shared" si="294"/>
        <v/>
      </c>
      <c r="X629" s="1743" t="str">
        <f t="shared" si="294"/>
        <v/>
      </c>
      <c r="Y629" s="1743" t="str">
        <f t="shared" si="294"/>
        <v/>
      </c>
      <c r="Z629" s="1744" t="str">
        <f t="shared" si="294"/>
        <v/>
      </c>
      <c r="AB629" s="1641" t="s">
        <v>717</v>
      </c>
      <c r="AC629" s="1443" t="b">
        <f>AC405</f>
        <v>0</v>
      </c>
      <c r="AD629" s="1443" t="b">
        <f t="shared" ref="AD629:AI629" si="295">AD405</f>
        <v>0</v>
      </c>
      <c r="AE629" s="1443" t="b">
        <f t="shared" si="295"/>
        <v>0</v>
      </c>
      <c r="AF629" s="1443" t="b">
        <f t="shared" si="295"/>
        <v>0</v>
      </c>
      <c r="AG629" s="1443" t="b">
        <f t="shared" si="295"/>
        <v>0</v>
      </c>
      <c r="AH629" s="1443" t="b">
        <f t="shared" si="295"/>
        <v>0</v>
      </c>
      <c r="AI629" s="1443" t="b">
        <f t="shared" si="295"/>
        <v>0</v>
      </c>
      <c r="AJ629" s="1633" t="s">
        <v>1954</v>
      </c>
      <c r="AK629" s="1635" t="str">
        <f>IF(AND(CNTR_ExistSubInstEntries,MSconst_RequireSubAttrEmissions,COUNTIFS(AC629:AI629,FALSE,H629:N629,"")&gt;0),EUconst_Error&amp;"BM"&amp;$Q335,"")</f>
        <v/>
      </c>
    </row>
    <row r="630" spans="2:37" ht="12.75" customHeight="1">
      <c r="B630" s="479"/>
      <c r="C630" s="977"/>
      <c r="D630" s="981"/>
      <c r="E630" s="981"/>
      <c r="F630" s="981"/>
      <c r="G630" s="981"/>
      <c r="H630" s="981"/>
      <c r="I630" s="983"/>
      <c r="J630" s="981"/>
      <c r="K630" s="981"/>
      <c r="L630" s="981"/>
      <c r="M630" s="981"/>
      <c r="N630" s="814"/>
      <c r="O630" s="485"/>
      <c r="P630" s="485"/>
      <c r="Q630" s="1435"/>
      <c r="S630" s="1435"/>
      <c r="V630" s="1435"/>
    </row>
    <row r="631" spans="2:37" ht="12.75" customHeight="1">
      <c r="B631" s="479"/>
      <c r="C631" s="977"/>
      <c r="D631" s="982" t="s">
        <v>245</v>
      </c>
      <c r="E631" s="2649" t="s">
        <v>1157</v>
      </c>
      <c r="F631" s="2391"/>
      <c r="G631" s="2391"/>
      <c r="H631" s="2391"/>
      <c r="I631" s="2391"/>
      <c r="J631" s="2391"/>
      <c r="K631" s="2391"/>
      <c r="L631" s="2391"/>
      <c r="M631" s="2391"/>
      <c r="N631" s="2650"/>
      <c r="O631" s="485"/>
      <c r="P631" s="485"/>
      <c r="V631" s="1435"/>
    </row>
    <row r="632" spans="2:37" ht="25.5" customHeight="1">
      <c r="B632" s="479"/>
      <c r="C632" s="977"/>
      <c r="D632" s="981"/>
      <c r="E632" s="3267" t="s">
        <v>1264</v>
      </c>
      <c r="F632" s="2380"/>
      <c r="G632" s="2380"/>
      <c r="H632" s="2380"/>
      <c r="I632" s="2380"/>
      <c r="J632" s="2380"/>
      <c r="K632" s="2380"/>
      <c r="L632" s="2380"/>
      <c r="M632" s="2380"/>
      <c r="N632" s="3268"/>
      <c r="O632" s="485"/>
      <c r="P632" s="485"/>
      <c r="Q632" s="1435"/>
      <c r="S632" s="1435"/>
      <c r="V632" s="1435"/>
    </row>
    <row r="633" spans="2:37" ht="12.75" customHeight="1">
      <c r="B633" s="479"/>
      <c r="C633" s="977"/>
      <c r="D633" s="981"/>
      <c r="E633" s="3267" t="s">
        <v>1563</v>
      </c>
      <c r="F633" s="2380"/>
      <c r="G633" s="2380"/>
      <c r="H633" s="2380"/>
      <c r="I633" s="2380"/>
      <c r="J633" s="2380"/>
      <c r="K633" s="2380"/>
      <c r="L633" s="2380"/>
      <c r="M633" s="2380"/>
      <c r="N633" s="3268"/>
      <c r="O633" s="485"/>
      <c r="P633" s="485"/>
      <c r="Q633" s="1435"/>
      <c r="S633" s="1435"/>
      <c r="V633" s="1435"/>
    </row>
    <row r="634" spans="2:37" ht="12.75" customHeight="1" thickBot="1">
      <c r="B634" s="479"/>
      <c r="C634" s="977"/>
      <c r="D634" s="777"/>
      <c r="E634" s="3283" t="s">
        <v>1598</v>
      </c>
      <c r="F634" s="3284"/>
      <c r="G634" s="3284"/>
      <c r="H634" s="3284"/>
      <c r="I634" s="3284"/>
      <c r="J634" s="2380"/>
      <c r="K634" s="2380"/>
      <c r="L634" s="2380"/>
      <c r="M634" s="2380"/>
      <c r="N634" s="3268"/>
      <c r="O634" s="485"/>
      <c r="P634" s="485"/>
      <c r="Q634" s="1435"/>
      <c r="S634" s="1435"/>
      <c r="V634" s="1435"/>
      <c r="AC634" s="1638">
        <f t="shared" ref="AC634:AI634" si="296">H$20</f>
        <v>2024</v>
      </c>
      <c r="AD634" s="1638">
        <f t="shared" si="296"/>
        <v>2025</v>
      </c>
      <c r="AE634" s="1638">
        <f t="shared" si="296"/>
        <v>2026</v>
      </c>
      <c r="AF634" s="1638">
        <f t="shared" si="296"/>
        <v>2027</v>
      </c>
      <c r="AG634" s="1638">
        <f t="shared" si="296"/>
        <v>2028</v>
      </c>
      <c r="AH634" s="1638">
        <f t="shared" si="296"/>
        <v>2029</v>
      </c>
      <c r="AI634" s="1638">
        <f t="shared" si="296"/>
        <v>2030</v>
      </c>
    </row>
    <row r="635" spans="2:37" ht="12.75" customHeight="1">
      <c r="B635" s="479"/>
      <c r="C635" s="977"/>
      <c r="D635" s="777"/>
      <c r="E635" s="3285" t="str">
        <f>IF(I335="","",IF(INDEX(EUconst_BMlistPulp,MATCH(I335,EUconst_BMlistNames,0)),I335,""))</f>
        <v/>
      </c>
      <c r="F635" s="2410"/>
      <c r="G635" s="815" t="str">
        <f>EUconst_Tons</f>
        <v>tonnes</v>
      </c>
      <c r="H635" s="1479" t="str">
        <f>c_ALR2025!M3301</f>
        <v/>
      </c>
      <c r="I635" s="1532"/>
      <c r="J635" s="1811"/>
      <c r="K635" s="1751"/>
      <c r="L635" s="1751"/>
      <c r="M635" s="1751"/>
      <c r="N635" s="1752"/>
      <c r="O635" s="485"/>
      <c r="P635" s="9" t="s">
        <v>2007</v>
      </c>
      <c r="Q635" s="1644" t="str">
        <f>EUconst_CNTR_HALPulpTotal &amp; I335</f>
        <v>HALPulpTotal_</v>
      </c>
      <c r="S635" s="1435"/>
      <c r="AB635" s="1641" t="s">
        <v>717</v>
      </c>
      <c r="AC635" s="1423" t="b">
        <f t="shared" ref="AC635:AI635" si="297">IF($I335&lt;&gt;"",IF(INDEX(EUconst_BMlistPulp,MATCH($I335,EUconst_BMlistNames,0))=TRUE,FALSE,TRUE),AC405)</f>
        <v>0</v>
      </c>
      <c r="AD635" s="1443" t="b">
        <f t="shared" si="297"/>
        <v>0</v>
      </c>
      <c r="AE635" s="1443" t="b">
        <f t="shared" si="297"/>
        <v>0</v>
      </c>
      <c r="AF635" s="1443" t="b">
        <f t="shared" si="297"/>
        <v>0</v>
      </c>
      <c r="AG635" s="1443" t="b">
        <f t="shared" si="297"/>
        <v>0</v>
      </c>
      <c r="AH635" s="1443" t="b">
        <f t="shared" si="297"/>
        <v>0</v>
      </c>
      <c r="AI635" s="1443" t="b">
        <f t="shared" si="297"/>
        <v>0</v>
      </c>
      <c r="AJ635" s="1633" t="s">
        <v>1954</v>
      </c>
      <c r="AK635" s="1635" t="str">
        <f>IF(AND(CNTR_ExistSubInstEntries,MSconst_RequireSubAttrEmissions,COUNTIFS(AC635:AI635,FALSE,H635:N635,"")&gt;0),EUconst_Error&amp;"BM"&amp;$Q335,"")</f>
        <v/>
      </c>
    </row>
    <row r="636" spans="2:37" ht="12.75" customHeight="1">
      <c r="B636" s="479"/>
      <c r="C636" s="977"/>
      <c r="D636" s="777"/>
      <c r="E636" s="777"/>
      <c r="F636" s="777"/>
      <c r="G636" s="777"/>
      <c r="H636" s="983"/>
      <c r="I636" s="777"/>
      <c r="J636" s="777"/>
      <c r="K636" s="777"/>
      <c r="L636" s="777"/>
      <c r="M636" s="777"/>
      <c r="N636" s="1007"/>
      <c r="O636" s="485"/>
      <c r="P636" s="485"/>
      <c r="Q636" s="1435"/>
      <c r="S636" s="1435"/>
      <c r="V636" s="1435"/>
    </row>
    <row r="637" spans="2:37" ht="12.75" customHeight="1">
      <c r="B637" s="479"/>
      <c r="C637" s="977"/>
      <c r="D637" s="982" t="s">
        <v>832</v>
      </c>
      <c r="E637" s="2649" t="s">
        <v>1142</v>
      </c>
      <c r="F637" s="2391"/>
      <c r="G637" s="2391"/>
      <c r="H637" s="2391"/>
      <c r="I637" s="2391"/>
      <c r="J637" s="2391"/>
      <c r="K637" s="2391"/>
      <c r="L637" s="2391"/>
      <c r="M637" s="2391"/>
      <c r="N637" s="2650"/>
      <c r="O637" s="485"/>
      <c r="P637" s="485"/>
      <c r="Q637" s="1435"/>
      <c r="S637" s="1435"/>
      <c r="V637" s="1435"/>
    </row>
    <row r="638" spans="2:37" ht="25.5" customHeight="1">
      <c r="B638" s="479"/>
      <c r="C638" s="977"/>
      <c r="D638" s="981"/>
      <c r="E638" s="3267" t="s">
        <v>1366</v>
      </c>
      <c r="F638" s="2380"/>
      <c r="G638" s="2380"/>
      <c r="H638" s="2380"/>
      <c r="I638" s="2380"/>
      <c r="J638" s="2380"/>
      <c r="K638" s="2380"/>
      <c r="L638" s="2380"/>
      <c r="M638" s="2380"/>
      <c r="N638" s="3268"/>
      <c r="O638" s="485"/>
      <c r="P638" s="485"/>
      <c r="Q638" s="1435"/>
      <c r="S638" s="1435"/>
      <c r="V638" s="1435"/>
    </row>
    <row r="639" spans="2:37" ht="12.75" customHeight="1">
      <c r="B639" s="479"/>
      <c r="C639" s="977"/>
      <c r="D639" s="981"/>
      <c r="E639" s="3272" t="s">
        <v>1610</v>
      </c>
      <c r="F639" s="2380"/>
      <c r="G639" s="2380"/>
      <c r="H639" s="2380"/>
      <c r="I639" s="2380"/>
      <c r="J639" s="2380"/>
      <c r="K639" s="2380"/>
      <c r="L639" s="2380"/>
      <c r="M639" s="2380"/>
      <c r="N639" s="3268"/>
      <c r="O639" s="485"/>
      <c r="P639" s="485"/>
      <c r="Q639" s="1435"/>
      <c r="S639" s="1435"/>
      <c r="V639" s="1435"/>
    </row>
    <row r="640" spans="2:37" ht="12.75" customHeight="1">
      <c r="B640" s="1124"/>
      <c r="C640" s="977"/>
      <c r="D640" s="777" t="s">
        <v>6</v>
      </c>
      <c r="E640" s="2682" t="s">
        <v>1145</v>
      </c>
      <c r="F640" s="2391"/>
      <c r="G640" s="2391"/>
      <c r="H640" s="2391"/>
      <c r="I640" s="2391"/>
      <c r="J640" s="2391"/>
      <c r="K640" s="2512"/>
      <c r="L640" s="1478" t="str">
        <f>c_ALR2025!L3306</f>
        <v/>
      </c>
      <c r="M640" s="813"/>
      <c r="N640" s="1015"/>
      <c r="O640" s="485"/>
      <c r="P640" s="9"/>
      <c r="AF640" s="1641" t="s">
        <v>717</v>
      </c>
      <c r="AG640" s="1423" t="b">
        <f>AND(CNTR_ExistSubInstEntries,I335="")</f>
        <v>0</v>
      </c>
    </row>
    <row r="641" spans="1:38" ht="5.0999999999999996" customHeight="1">
      <c r="B641" s="479"/>
      <c r="C641" s="977"/>
      <c r="D641" s="777"/>
      <c r="E641" s="777"/>
      <c r="F641" s="777"/>
      <c r="G641" s="777"/>
      <c r="H641" s="983"/>
      <c r="I641" s="777"/>
      <c r="J641" s="777"/>
      <c r="K641" s="777"/>
      <c r="L641" s="777"/>
      <c r="M641" s="777"/>
      <c r="N641" s="1007"/>
      <c r="O641" s="485"/>
      <c r="P641" s="485"/>
      <c r="Q641" s="1435"/>
      <c r="S641" s="1435"/>
      <c r="V641" s="1435"/>
    </row>
    <row r="642" spans="1:38" ht="12.75" customHeight="1" thickBot="1">
      <c r="B642" s="479"/>
      <c r="C642" s="977"/>
      <c r="D642" s="982"/>
      <c r="E642" s="2648" t="s">
        <v>1144</v>
      </c>
      <c r="F642" s="2493"/>
      <c r="G642" s="778" t="str">
        <f>EUconst_Unit</f>
        <v>Unit</v>
      </c>
      <c r="H642" s="782">
        <f t="shared" ref="H642:N642" si="298">H$3242</f>
        <v>2024</v>
      </c>
      <c r="I642" s="988">
        <f t="shared" si="298"/>
        <v>2025</v>
      </c>
      <c r="J642" s="1810">
        <f t="shared" si="298"/>
        <v>2026</v>
      </c>
      <c r="K642" s="1747">
        <f t="shared" si="298"/>
        <v>2027</v>
      </c>
      <c r="L642" s="1747">
        <f t="shared" si="298"/>
        <v>2028</v>
      </c>
      <c r="M642" s="1747">
        <f t="shared" si="298"/>
        <v>2029</v>
      </c>
      <c r="N642" s="1748">
        <f t="shared" si="298"/>
        <v>2030</v>
      </c>
      <c r="O642" s="485"/>
      <c r="P642" s="485"/>
      <c r="Q642" s="1435"/>
      <c r="S642" s="1435"/>
      <c r="V642" s="1435"/>
      <c r="AC642" s="1638">
        <f t="shared" ref="AC642:AI642" si="299">H$20</f>
        <v>2024</v>
      </c>
      <c r="AD642" s="1638">
        <f t="shared" si="299"/>
        <v>2025</v>
      </c>
      <c r="AE642" s="1638">
        <f t="shared" si="299"/>
        <v>2026</v>
      </c>
      <c r="AF642" s="1638">
        <f t="shared" si="299"/>
        <v>2027</v>
      </c>
      <c r="AG642" s="1638">
        <f t="shared" si="299"/>
        <v>2028</v>
      </c>
      <c r="AH642" s="1638">
        <f t="shared" si="299"/>
        <v>2029</v>
      </c>
      <c r="AI642" s="1638">
        <f t="shared" si="299"/>
        <v>2030</v>
      </c>
    </row>
    <row r="643" spans="1:38" ht="12.75" customHeight="1">
      <c r="B643" s="479"/>
      <c r="C643" s="977"/>
      <c r="D643" s="777" t="s">
        <v>7</v>
      </c>
      <c r="E643" s="3279"/>
      <c r="F643" s="3280"/>
      <c r="G643" s="1016" t="str">
        <f>IF(E643&lt;&gt;"",INDEX(EUconst_BMlistUnits,MATCH(E643,EUconst_BMlistNames,0)),EUconst_Tons)</f>
        <v>tonnes</v>
      </c>
      <c r="H643" s="1774" t="str">
        <f>c_ALR2025!M3309</f>
        <v/>
      </c>
      <c r="I643" s="1886"/>
      <c r="J643" s="1812"/>
      <c r="K643" s="1754"/>
      <c r="L643" s="1754"/>
      <c r="M643" s="1754"/>
      <c r="N643" s="1755"/>
      <c r="O643" s="485"/>
      <c r="P643" s="9"/>
      <c r="Q643" s="1644" t="str">
        <f>EUconst_CNTR_IntermediateImport &amp; S643 &amp; "_" &amp; I335</f>
        <v>IntImp_1_</v>
      </c>
      <c r="S643" s="1644">
        <v>1</v>
      </c>
      <c r="V643" s="1435"/>
      <c r="AB643" s="1641" t="s">
        <v>717</v>
      </c>
      <c r="AC643" s="1423" t="b">
        <f>OR(AND($L640&lt;&gt;"",$L640=FALSE),AC405)</f>
        <v>0</v>
      </c>
      <c r="AD643" s="1443" t="b">
        <f t="shared" ref="AD643:AI643" si="300">OR(AND($L640&lt;&gt;"",$L640=FALSE),AD405)</f>
        <v>0</v>
      </c>
      <c r="AE643" s="1443" t="b">
        <f t="shared" si="300"/>
        <v>0</v>
      </c>
      <c r="AF643" s="1443" t="b">
        <f t="shared" si="300"/>
        <v>0</v>
      </c>
      <c r="AG643" s="1443" t="b">
        <f t="shared" si="300"/>
        <v>0</v>
      </c>
      <c r="AH643" s="1443" t="b">
        <f t="shared" si="300"/>
        <v>0</v>
      </c>
      <c r="AI643" s="1443" t="b">
        <f t="shared" si="300"/>
        <v>0</v>
      </c>
      <c r="AJ643" s="1633" t="s">
        <v>1954</v>
      </c>
      <c r="AK643" s="1635" t="str">
        <f>IF(AND(CNTR_ExistSubInstEntries,MSconst_RequireSubAttrEmissions,COUNTIFS(AC643:AI643,FALSE,H643:N643,"")&gt;0),EUconst_Error&amp;"BM"&amp;$Q335,"")</f>
        <v/>
      </c>
    </row>
    <row r="644" spans="1:38" ht="12.75" customHeight="1">
      <c r="B644" s="479"/>
      <c r="C644" s="977"/>
      <c r="D644" s="777" t="s">
        <v>8</v>
      </c>
      <c r="E644" s="3281"/>
      <c r="F644" s="3282"/>
      <c r="G644" s="1008" t="str">
        <f>IF(E644&lt;&gt;"",INDEX(EUconst_BMlistUnits,MATCH(E644,EUconst_BMlistNames,0)),EUconst_Tons)</f>
        <v>tonnes</v>
      </c>
      <c r="H644" s="1816" t="str">
        <f>c_ALR2025!M3310</f>
        <v/>
      </c>
      <c r="I644" s="1887"/>
      <c r="J644" s="1812"/>
      <c r="K644" s="1754"/>
      <c r="L644" s="1754"/>
      <c r="M644" s="1754"/>
      <c r="N644" s="1755"/>
      <c r="O644" s="485"/>
      <c r="P644" s="9"/>
      <c r="Q644" s="1644" t="str">
        <f>EUconst_CNTR_IntermediateImport &amp; S644 &amp; "_" &amp; I335</f>
        <v>IntImp_2_</v>
      </c>
      <c r="S644" s="1644">
        <v>2</v>
      </c>
      <c r="V644" s="1435"/>
      <c r="AC644" s="1443" t="b">
        <f>AC643</f>
        <v>0</v>
      </c>
      <c r="AD644" s="1443" t="b">
        <f t="shared" ref="AD644:AI644" si="301">AD643</f>
        <v>0</v>
      </c>
      <c r="AE644" s="1443" t="b">
        <f t="shared" si="301"/>
        <v>0</v>
      </c>
      <c r="AF644" s="1443" t="b">
        <f t="shared" si="301"/>
        <v>0</v>
      </c>
      <c r="AG644" s="1443" t="b">
        <f t="shared" si="301"/>
        <v>0</v>
      </c>
      <c r="AH644" s="1443" t="b">
        <f t="shared" si="301"/>
        <v>0</v>
      </c>
      <c r="AI644" s="1443" t="b">
        <f t="shared" si="301"/>
        <v>0</v>
      </c>
    </row>
    <row r="645" spans="1:38" ht="5.0999999999999996" customHeight="1">
      <c r="B645" s="479"/>
      <c r="C645" s="977"/>
      <c r="D645" s="777"/>
      <c r="E645" s="777"/>
      <c r="F645" s="777"/>
      <c r="G645" s="777"/>
      <c r="H645" s="777"/>
      <c r="I645" s="777"/>
      <c r="J645" s="1817"/>
      <c r="K645" s="1776"/>
      <c r="L645" s="1776"/>
      <c r="M645" s="1776"/>
      <c r="N645" s="1777"/>
      <c r="O645" s="485"/>
      <c r="P645" s="485"/>
      <c r="Q645" s="1435"/>
      <c r="S645" s="1435"/>
      <c r="V645" s="1435"/>
    </row>
    <row r="646" spans="1:38" ht="12.75" customHeight="1" thickBot="1">
      <c r="B646" s="479"/>
      <c r="C646" s="977"/>
      <c r="D646" s="982"/>
      <c r="E646" s="2648" t="s">
        <v>1143</v>
      </c>
      <c r="F646" s="2493"/>
      <c r="G646" s="778" t="str">
        <f>EUconst_Unit</f>
        <v>Unit</v>
      </c>
      <c r="H646" s="782">
        <f t="shared" ref="H646:N646" si="302">H$3242</f>
        <v>2024</v>
      </c>
      <c r="I646" s="988">
        <f t="shared" si="302"/>
        <v>2025</v>
      </c>
      <c r="J646" s="1810">
        <f t="shared" si="302"/>
        <v>2026</v>
      </c>
      <c r="K646" s="1747">
        <f t="shared" si="302"/>
        <v>2027</v>
      </c>
      <c r="L646" s="1747">
        <f t="shared" si="302"/>
        <v>2028</v>
      </c>
      <c r="M646" s="1747">
        <f t="shared" si="302"/>
        <v>2029</v>
      </c>
      <c r="N646" s="1748">
        <f t="shared" si="302"/>
        <v>2030</v>
      </c>
      <c r="O646" s="485"/>
      <c r="P646" s="485"/>
      <c r="Q646" s="1435"/>
      <c r="S646" s="1435"/>
      <c r="V646" s="1435"/>
      <c r="AC646" s="1638">
        <f t="shared" ref="AC646:AI646" si="303">H$20</f>
        <v>2024</v>
      </c>
      <c r="AD646" s="1638">
        <f t="shared" si="303"/>
        <v>2025</v>
      </c>
      <c r="AE646" s="1638">
        <f t="shared" si="303"/>
        <v>2026</v>
      </c>
      <c r="AF646" s="1638">
        <f t="shared" si="303"/>
        <v>2027</v>
      </c>
      <c r="AG646" s="1638">
        <f t="shared" si="303"/>
        <v>2028</v>
      </c>
      <c r="AH646" s="1638">
        <f t="shared" si="303"/>
        <v>2029</v>
      </c>
      <c r="AI646" s="1638">
        <f t="shared" si="303"/>
        <v>2030</v>
      </c>
    </row>
    <row r="647" spans="1:38" ht="12.75" customHeight="1">
      <c r="B647" s="479"/>
      <c r="C647" s="977"/>
      <c r="D647" s="777" t="s">
        <v>18</v>
      </c>
      <c r="E647" s="3279"/>
      <c r="F647" s="3280"/>
      <c r="G647" s="1016" t="str">
        <f>IF(E647&lt;&gt;"",INDEX(EUconst_BMlistUnits,MATCH(E647,EUconst_BMlistNames,0)),EUconst_Tons)</f>
        <v>tonnes</v>
      </c>
      <c r="H647" s="1774" t="str">
        <f>c_ALR2025!M3313</f>
        <v/>
      </c>
      <c r="I647" s="1886"/>
      <c r="J647" s="1812"/>
      <c r="K647" s="1754"/>
      <c r="L647" s="1754"/>
      <c r="M647" s="1754"/>
      <c r="N647" s="1755"/>
      <c r="O647" s="485"/>
      <c r="P647" s="9"/>
      <c r="Q647" s="1644" t="str">
        <f>EUconst_CNTR_IntermediateExport &amp; S643 &amp; "_" &amp; I335</f>
        <v>IntExp_1_</v>
      </c>
      <c r="S647" s="1644">
        <v>1</v>
      </c>
      <c r="V647" s="1435"/>
      <c r="X647" s="1778"/>
      <c r="Y647" s="1778"/>
      <c r="AB647" s="1641" t="s">
        <v>717</v>
      </c>
      <c r="AC647" s="1443" t="b">
        <f>AC643</f>
        <v>0</v>
      </c>
      <c r="AD647" s="1443" t="b">
        <f t="shared" ref="AD647:AI647" si="304">AD643</f>
        <v>0</v>
      </c>
      <c r="AE647" s="1443" t="b">
        <f t="shared" si="304"/>
        <v>0</v>
      </c>
      <c r="AF647" s="1443" t="b">
        <f t="shared" si="304"/>
        <v>0</v>
      </c>
      <c r="AG647" s="1443" t="b">
        <f t="shared" si="304"/>
        <v>0</v>
      </c>
      <c r="AH647" s="1443" t="b">
        <f t="shared" si="304"/>
        <v>0</v>
      </c>
      <c r="AI647" s="1443" t="b">
        <f t="shared" si="304"/>
        <v>0</v>
      </c>
      <c r="AJ647" s="1633" t="s">
        <v>1954</v>
      </c>
      <c r="AK647" s="1635" t="str">
        <f>IF(AND(CNTR_ExistSubInstEntries,MSconst_RequireSubAttrEmissions,COUNTIFS(AC647:AI647,FALSE,H647:N647,"")&gt;0),EUconst_Error&amp;"BM"&amp;$Q335,"")</f>
        <v/>
      </c>
    </row>
    <row r="648" spans="1:38" ht="12.75" customHeight="1">
      <c r="B648" s="479"/>
      <c r="C648" s="977"/>
      <c r="D648" s="777" t="s">
        <v>787</v>
      </c>
      <c r="E648" s="3281"/>
      <c r="F648" s="3282"/>
      <c r="G648" s="1008" t="str">
        <f>IF(E648&lt;&gt;"",INDEX(EUconst_BMlistUnits,MATCH(E648,EUconst_BMlistNames,0)),EUconst_Tons)</f>
        <v>tonnes</v>
      </c>
      <c r="H648" s="1816" t="str">
        <f>c_ALR2025!M3314</f>
        <v/>
      </c>
      <c r="I648" s="1887"/>
      <c r="J648" s="1812"/>
      <c r="K648" s="1754"/>
      <c r="L648" s="1754"/>
      <c r="M648" s="1754"/>
      <c r="N648" s="1755"/>
      <c r="O648" s="485"/>
      <c r="P648" s="9"/>
      <c r="Q648" s="1644" t="str">
        <f>EUconst_CNTR_IntermediateExport &amp; S648 &amp; "_" &amp; I335</f>
        <v>IntExp_2_</v>
      </c>
      <c r="S648" s="1644">
        <v>2</v>
      </c>
      <c r="V648" s="1435"/>
      <c r="X648" s="1778"/>
      <c r="Y648" s="1778"/>
      <c r="AC648" s="1443" t="b">
        <f t="shared" ref="AC648:AI648" si="305">AC644</f>
        <v>0</v>
      </c>
      <c r="AD648" s="1443" t="b">
        <f t="shared" si="305"/>
        <v>0</v>
      </c>
      <c r="AE648" s="1443" t="b">
        <f t="shared" si="305"/>
        <v>0</v>
      </c>
      <c r="AF648" s="1443" t="b">
        <f t="shared" si="305"/>
        <v>0</v>
      </c>
      <c r="AG648" s="1443" t="b">
        <f t="shared" si="305"/>
        <v>0</v>
      </c>
      <c r="AH648" s="1443" t="b">
        <f t="shared" si="305"/>
        <v>0</v>
      </c>
      <c r="AI648" s="1443" t="b">
        <f t="shared" si="305"/>
        <v>0</v>
      </c>
    </row>
    <row r="649" spans="1:38" ht="5.0999999999999996" customHeight="1">
      <c r="B649" s="479"/>
      <c r="C649" s="977"/>
      <c r="D649" s="777"/>
      <c r="E649" s="777"/>
      <c r="F649" s="777"/>
      <c r="G649" s="777"/>
      <c r="H649" s="777"/>
      <c r="I649" s="777"/>
      <c r="J649" s="777"/>
      <c r="K649" s="777"/>
      <c r="L649" s="777"/>
      <c r="M649" s="777"/>
      <c r="N649" s="1007"/>
      <c r="O649" s="485"/>
      <c r="P649" s="485"/>
      <c r="Q649" s="1435"/>
      <c r="S649" s="1435"/>
      <c r="V649" s="1435"/>
      <c r="X649" s="1778"/>
      <c r="Y649" s="1778"/>
    </row>
    <row r="650" spans="1:38" ht="12.75" customHeight="1">
      <c r="B650" s="479"/>
      <c r="C650" s="977"/>
      <c r="D650" s="777" t="s">
        <v>788</v>
      </c>
      <c r="E650" s="813" t="s">
        <v>1146</v>
      </c>
      <c r="F650" s="813"/>
      <c r="G650" s="813"/>
      <c r="H650" s="813"/>
      <c r="I650" s="813"/>
      <c r="J650" s="813"/>
      <c r="K650" s="813"/>
      <c r="L650" s="813"/>
      <c r="M650" s="813"/>
      <c r="N650" s="1007"/>
      <c r="O650" s="485"/>
      <c r="P650" s="485"/>
      <c r="Q650" s="1435"/>
      <c r="S650" s="1435"/>
      <c r="V650" s="1435"/>
      <c r="X650" s="1778"/>
      <c r="Y650" s="1778"/>
    </row>
    <row r="651" spans="1:38" ht="12.75" customHeight="1">
      <c r="B651" s="479"/>
      <c r="C651" s="977"/>
      <c r="D651" s="777"/>
      <c r="E651" s="1779" t="s">
        <v>1459</v>
      </c>
      <c r="F651" s="978"/>
      <c r="G651" s="978"/>
      <c r="H651" s="978"/>
      <c r="I651" s="978"/>
      <c r="J651" s="978"/>
      <c r="K651" s="978"/>
      <c r="L651" s="978"/>
      <c r="M651" s="978"/>
      <c r="N651" s="979"/>
      <c r="O651" s="485"/>
      <c r="P651" s="485"/>
      <c r="Q651" s="1435"/>
      <c r="S651" s="1435"/>
      <c r="V651" s="1435"/>
      <c r="X651" s="1778"/>
      <c r="Y651" s="1778"/>
    </row>
    <row r="652" spans="1:38" ht="12.75" customHeight="1">
      <c r="B652" s="479"/>
      <c r="C652" s="977"/>
      <c r="D652" s="777"/>
      <c r="E652" s="3273"/>
      <c r="F652" s="3274"/>
      <c r="G652" s="3274"/>
      <c r="H652" s="3274"/>
      <c r="I652" s="3274"/>
      <c r="J652" s="3274"/>
      <c r="K652" s="3274"/>
      <c r="L652" s="3274"/>
      <c r="M652" s="3275"/>
      <c r="N652" s="1007"/>
      <c r="O652" s="485"/>
      <c r="P652" s="9"/>
      <c r="Q652" s="1435"/>
      <c r="S652" s="1435"/>
      <c r="V652" s="1435"/>
      <c r="X652" s="1778"/>
      <c r="Y652" s="1778"/>
      <c r="AB652" s="1641" t="s">
        <v>717</v>
      </c>
      <c r="AC652" s="1443" t="b">
        <f>AND(AC647:AI647)</f>
        <v>0</v>
      </c>
    </row>
    <row r="653" spans="1:38" ht="12.75" customHeight="1">
      <c r="B653" s="479"/>
      <c r="C653" s="977"/>
      <c r="D653" s="777"/>
      <c r="E653" s="3276"/>
      <c r="F653" s="3277"/>
      <c r="G653" s="3277"/>
      <c r="H653" s="3277"/>
      <c r="I653" s="3277"/>
      <c r="J653" s="3277"/>
      <c r="K653" s="3277"/>
      <c r="L653" s="3277"/>
      <c r="M653" s="3278"/>
      <c r="N653" s="1007"/>
      <c r="O653" s="485"/>
      <c r="P653" s="485"/>
      <c r="Q653" s="1435"/>
      <c r="S653" s="1435"/>
      <c r="V653" s="1435"/>
      <c r="X653" s="1778"/>
      <c r="Y653" s="1778"/>
      <c r="AC653" s="1443" t="b">
        <f>AC652</f>
        <v>0</v>
      </c>
    </row>
    <row r="654" spans="1:38" ht="12.75" customHeight="1" thickBot="1">
      <c r="B654" s="479"/>
      <c r="C654" s="1018"/>
      <c r="D654" s="1019"/>
      <c r="E654" s="1019"/>
      <c r="F654" s="1019"/>
      <c r="G654" s="1019"/>
      <c r="H654" s="1019"/>
      <c r="I654" s="1019"/>
      <c r="J654" s="1019"/>
      <c r="K654" s="1019"/>
      <c r="L654" s="1019"/>
      <c r="M654" s="805"/>
      <c r="N654" s="806"/>
      <c r="O654" s="485"/>
      <c r="P654" s="485"/>
      <c r="Q654" s="1435"/>
      <c r="S654" s="1435"/>
      <c r="V654" s="1435"/>
    </row>
    <row r="655" spans="1:38" ht="12.75" customHeight="1" thickBot="1">
      <c r="A655" s="618"/>
      <c r="B655" s="467"/>
      <c r="C655" s="467"/>
      <c r="D655" s="467"/>
      <c r="E655" s="467"/>
      <c r="F655" s="467"/>
      <c r="G655" s="467"/>
      <c r="H655" s="467"/>
      <c r="I655" s="467"/>
      <c r="J655" s="467"/>
      <c r="K655" s="467"/>
      <c r="L655" s="467"/>
      <c r="M655" s="481"/>
      <c r="N655" s="481"/>
      <c r="O655" s="481"/>
      <c r="P655" s="481"/>
      <c r="Q655" s="1488" t="str">
        <f>IF(OR(AND(CNTR_ExistProductSubEntries=FALSE,Q335=1),AND(I335&lt;&gt;"",COUNTIF(Q656:$Q3271,"PRINT")=0)),"PRINT","")</f>
        <v/>
      </c>
      <c r="R655" s="1249"/>
      <c r="S655" s="1249"/>
      <c r="T655" s="1249"/>
      <c r="U655" s="1249"/>
      <c r="V655" s="1249"/>
      <c r="W655" s="1249"/>
      <c r="X655" s="1249"/>
      <c r="Y655" s="1249"/>
      <c r="AE655" s="1118"/>
      <c r="AF655" s="1118"/>
      <c r="AG655" s="1118"/>
      <c r="AH655" s="1118"/>
      <c r="AI655" s="1118"/>
      <c r="AJ655" s="1118"/>
      <c r="AK655" s="1118"/>
      <c r="AL655" s="1118"/>
    </row>
    <row r="656" spans="1:38" ht="5.0999999999999996" customHeight="1" thickBot="1">
      <c r="B656" s="479"/>
      <c r="C656" s="1020"/>
      <c r="D656" s="1020"/>
      <c r="E656" s="1020"/>
      <c r="F656" s="1020"/>
      <c r="G656" s="1020"/>
      <c r="H656" s="1020"/>
      <c r="I656" s="1020"/>
      <c r="J656" s="1020"/>
      <c r="K656" s="1020"/>
      <c r="L656" s="1020"/>
      <c r="M656" s="1020"/>
      <c r="N656" s="1020"/>
      <c r="O656" s="485"/>
      <c r="P656" s="485"/>
      <c r="Q656" s="1780"/>
      <c r="R656" s="1780"/>
      <c r="S656" s="1780"/>
      <c r="T656" s="1780"/>
      <c r="U656" s="1780"/>
      <c r="V656" s="1780"/>
      <c r="W656" s="1780"/>
      <c r="X656" s="1780"/>
      <c r="Y656" s="1780"/>
      <c r="Z656" s="1780"/>
      <c r="AA656" s="1780"/>
      <c r="AB656" s="1780"/>
      <c r="AC656" s="1780"/>
      <c r="AD656" s="1780"/>
      <c r="AE656" s="1780"/>
      <c r="AF656" s="1780"/>
      <c r="AG656" s="1780"/>
      <c r="AH656" s="1780"/>
      <c r="AI656" s="1780"/>
      <c r="AJ656" s="1780"/>
      <c r="AK656" s="1780"/>
      <c r="AL656" s="1780"/>
    </row>
    <row r="657" spans="2:38" ht="14.45" customHeight="1" thickBot="1">
      <c r="B657" s="479"/>
      <c r="C657" s="897">
        <f>C335+1</f>
        <v>3</v>
      </c>
      <c r="D657" s="2482" t="str">
        <f>EUconst_BMSubinst &amp; ":"</f>
        <v>Sub-installation with product benchmark:</v>
      </c>
      <c r="E657" s="2400"/>
      <c r="F657" s="2400"/>
      <c r="G657" s="2400"/>
      <c r="H657" s="2585"/>
      <c r="I657" s="3293" t="str">
        <f>IF(INDEX(CNTR_SubInstListIsProdBM,$C657),INDEX(CNTR_SubInstListNames,$C657),"")</f>
        <v/>
      </c>
      <c r="J657" s="3294"/>
      <c r="K657" s="3294"/>
      <c r="L657" s="3294"/>
      <c r="M657" s="3294"/>
      <c r="N657" s="3297"/>
      <c r="O657" s="485"/>
      <c r="P657" s="485"/>
      <c r="Q657" s="1488">
        <f>C657</f>
        <v>3</v>
      </c>
      <c r="S657" s="1633" t="s">
        <v>558</v>
      </c>
      <c r="T657" s="1634" t="str">
        <f>IF(I657="","",MAX(INDEX(CNTR_SubInstStartDate,MATCH($I657,CNTR_SubInstListNames,0)),DATE(2005,1,1)))</f>
        <v/>
      </c>
      <c r="U657" s="1435" t="s">
        <v>1673</v>
      </c>
      <c r="V657" s="1635">
        <f>IF(ISNUMBER(T657),YEAR($T657-1)+1,2005)</f>
        <v>2005</v>
      </c>
      <c r="W657" s="1633" t="s">
        <v>1676</v>
      </c>
      <c r="X657" s="1634" t="str">
        <f>IF(I657="","",INDEX(CNTR_SubInstCessationDate,MATCH($I657,CNTR_SubInstListNames,0)))</f>
        <v/>
      </c>
      <c r="Y657" s="1633" t="s">
        <v>1677</v>
      </c>
      <c r="Z657" s="1635">
        <f>IF(SUM(X657)=0,2050,YEAR($X657))</f>
        <v>2050</v>
      </c>
      <c r="AA657" s="1633" t="s">
        <v>1925</v>
      </c>
      <c r="AB657" s="1635" t="b">
        <f>CNTR_ReportingYear&gt;V657</f>
        <v>1</v>
      </c>
      <c r="AL657" s="1848" t="b">
        <f>AND(CNTR_ExistSubInstEntries,I657="")</f>
        <v>0</v>
      </c>
    </row>
    <row r="658" spans="2:38" ht="12.75" customHeight="1">
      <c r="B658" s="479"/>
      <c r="C658" s="479"/>
      <c r="D658" s="485"/>
      <c r="E658" s="2385" t="s">
        <v>216</v>
      </c>
      <c r="F658" s="2846"/>
      <c r="G658" s="2846"/>
      <c r="H658" s="2846"/>
      <c r="I658" s="2846"/>
      <c r="J658" s="2846"/>
      <c r="K658" s="2846"/>
      <c r="L658" s="2846"/>
      <c r="M658" s="2846"/>
      <c r="N658" s="2846"/>
      <c r="O658" s="485"/>
      <c r="P658" s="485"/>
      <c r="Q658" s="1435"/>
      <c r="S658" s="1435"/>
      <c r="T658" s="1435"/>
    </row>
    <row r="659" spans="2:38" ht="5.0999999999999996" customHeight="1">
      <c r="B659" s="479"/>
      <c r="C659" s="479"/>
      <c r="D659" s="479"/>
      <c r="E659" s="479"/>
      <c r="F659" s="479"/>
      <c r="G659" s="479"/>
      <c r="H659" s="479"/>
      <c r="I659" s="479"/>
      <c r="J659" s="479"/>
      <c r="K659" s="479"/>
      <c r="L659" s="479"/>
      <c r="M659" s="485"/>
      <c r="N659" s="485"/>
      <c r="O659" s="485"/>
      <c r="P659" s="485"/>
      <c r="Q659" s="1435"/>
      <c r="S659" s="1435"/>
      <c r="T659" s="1435"/>
    </row>
    <row r="660" spans="2:38">
      <c r="B660" s="479"/>
      <c r="C660" s="479"/>
      <c r="D660" s="482" t="s">
        <v>400</v>
      </c>
      <c r="E660" s="2373" t="s">
        <v>1930</v>
      </c>
      <c r="F660" s="2400"/>
      <c r="G660" s="2400"/>
      <c r="H660" s="2400"/>
      <c r="I660" s="2400"/>
      <c r="J660" s="2400"/>
      <c r="K660" s="2400"/>
      <c r="L660" s="2400"/>
      <c r="M660" s="2400"/>
      <c r="N660" s="2400"/>
      <c r="O660" s="485"/>
      <c r="P660" s="485"/>
      <c r="Q660" s="1435"/>
    </row>
    <row r="661" spans="2:38" ht="12.75" customHeight="1">
      <c r="B661" s="479"/>
      <c r="C661" s="479"/>
      <c r="D661" s="485"/>
      <c r="E661" s="2385" t="s">
        <v>801</v>
      </c>
      <c r="F661" s="2846"/>
      <c r="G661" s="2846"/>
      <c r="H661" s="2846"/>
      <c r="I661" s="2846"/>
      <c r="J661" s="2846"/>
      <c r="K661" s="2846"/>
      <c r="L661" s="2846"/>
      <c r="M661" s="2846"/>
      <c r="N661" s="2846"/>
      <c r="O661" s="485"/>
      <c r="P661" s="485"/>
      <c r="Q661" s="1435"/>
      <c r="S661" s="1435"/>
      <c r="T661" s="1435"/>
      <c r="U661" s="1435"/>
    </row>
    <row r="662" spans="2:38" ht="12.75" customHeight="1">
      <c r="B662" s="479"/>
      <c r="C662" s="479"/>
      <c r="D662" s="485"/>
      <c r="E662" s="2385" t="s">
        <v>1199</v>
      </c>
      <c r="F662" s="2846"/>
      <c r="G662" s="2846"/>
      <c r="H662" s="2846"/>
      <c r="I662" s="2846"/>
      <c r="J662" s="2846"/>
      <c r="K662" s="2846"/>
      <c r="L662" s="2846"/>
      <c r="M662" s="2846"/>
      <c r="N662" s="2846"/>
      <c r="O662" s="485"/>
      <c r="P662" s="485"/>
      <c r="Q662" s="1435"/>
      <c r="S662" s="1435"/>
      <c r="T662" s="1435"/>
      <c r="U662" s="1435"/>
    </row>
    <row r="663" spans="2:38" ht="12.75" customHeight="1">
      <c r="B663" s="479"/>
      <c r="C663" s="479"/>
      <c r="D663" s="485"/>
      <c r="E663" s="2385" t="s">
        <v>125</v>
      </c>
      <c r="F663" s="2846"/>
      <c r="G663" s="2846"/>
      <c r="H663" s="2846"/>
      <c r="I663" s="2846"/>
      <c r="J663" s="2846"/>
      <c r="K663" s="2846"/>
      <c r="L663" s="2846"/>
      <c r="M663" s="2846"/>
      <c r="N663" s="2846"/>
      <c r="O663" s="485"/>
      <c r="P663" s="485"/>
      <c r="Q663" s="1435"/>
      <c r="S663" s="1435"/>
      <c r="Z663" s="1435"/>
    </row>
    <row r="664" spans="2:38" ht="13.5" customHeight="1" thickBot="1">
      <c r="B664" s="1124"/>
      <c r="C664" s="485"/>
      <c r="D664" s="482"/>
      <c r="E664" s="2509" t="s">
        <v>1447</v>
      </c>
      <c r="F664" s="2509"/>
      <c r="G664" s="663" t="str">
        <f>EUconst_Unit</f>
        <v>Unit</v>
      </c>
      <c r="H664" s="578">
        <f t="shared" ref="H664:N664" si="306">H$3242</f>
        <v>2024</v>
      </c>
      <c r="I664" s="697">
        <f t="shared" si="306"/>
        <v>2025</v>
      </c>
      <c r="J664" s="1489">
        <f t="shared" si="306"/>
        <v>2026</v>
      </c>
      <c r="K664" s="1490">
        <f t="shared" si="306"/>
        <v>2027</v>
      </c>
      <c r="L664" s="1490">
        <f t="shared" si="306"/>
        <v>2028</v>
      </c>
      <c r="M664" s="1490">
        <f t="shared" si="306"/>
        <v>2029</v>
      </c>
      <c r="N664" s="1490">
        <f t="shared" si="306"/>
        <v>2030</v>
      </c>
      <c r="O664" s="485"/>
      <c r="P664" s="485"/>
      <c r="Q664" s="1435"/>
      <c r="T664" s="1638">
        <f t="shared" ref="T664:Z664" si="307">H664</f>
        <v>2024</v>
      </c>
      <c r="U664" s="1638">
        <f t="shared" si="307"/>
        <v>2025</v>
      </c>
      <c r="V664" s="1638">
        <f t="shared" si="307"/>
        <v>2026</v>
      </c>
      <c r="W664" s="1638">
        <f t="shared" si="307"/>
        <v>2027</v>
      </c>
      <c r="X664" s="1638">
        <f t="shared" si="307"/>
        <v>2028</v>
      </c>
      <c r="Y664" s="1638">
        <f t="shared" si="307"/>
        <v>2029</v>
      </c>
      <c r="Z664" s="1638">
        <f t="shared" si="307"/>
        <v>2030</v>
      </c>
      <c r="AC664" s="1638">
        <f t="shared" ref="AC664:AI664" si="308">H$20</f>
        <v>2024</v>
      </c>
      <c r="AD664" s="1638">
        <f t="shared" si="308"/>
        <v>2025</v>
      </c>
      <c r="AE664" s="1638">
        <f t="shared" si="308"/>
        <v>2026</v>
      </c>
      <c r="AF664" s="1638">
        <f t="shared" si="308"/>
        <v>2027</v>
      </c>
      <c r="AG664" s="1638">
        <f t="shared" si="308"/>
        <v>2028</v>
      </c>
      <c r="AH664" s="1638">
        <f t="shared" si="308"/>
        <v>2029</v>
      </c>
      <c r="AI664" s="1638">
        <f t="shared" si="308"/>
        <v>2030</v>
      </c>
      <c r="AL664" s="1435"/>
    </row>
    <row r="665" spans="2:38" ht="13.5" thickBot="1">
      <c r="B665" s="1124"/>
      <c r="C665" s="485"/>
      <c r="D665" s="561" t="s">
        <v>6</v>
      </c>
      <c r="E665" s="3296" t="str">
        <f>I657</f>
        <v/>
      </c>
      <c r="F665" s="3296"/>
      <c r="G665" s="898" t="str">
        <f>IF(INDEX(CNTR_SubInstListIsProdBM,$C657),INDEX(CNTR_SubInstListHALUnit,$C657),EUconst_Tons)</f>
        <v>tonnes</v>
      </c>
      <c r="H665" s="1818" t="str">
        <f>c_ALR2025!M3331</f>
        <v/>
      </c>
      <c r="I665" s="1878"/>
      <c r="J665" s="1819"/>
      <c r="K665" s="1820"/>
      <c r="L665" s="1820"/>
      <c r="M665" s="1820"/>
      <c r="N665" s="1820"/>
      <c r="O665" s="485"/>
      <c r="P665" s="9"/>
      <c r="S665" s="1435" t="s">
        <v>1674</v>
      </c>
      <c r="T665" s="1850" t="b">
        <f t="shared" ref="T665:Z665" si="309">AND($I657&lt;&gt;"",H664&lt;CNTR_ReportingYear,H664&gt;=$V657-1)</f>
        <v>0</v>
      </c>
      <c r="U665" s="1851" t="b">
        <f t="shared" si="309"/>
        <v>0</v>
      </c>
      <c r="V665" s="1851" t="b">
        <f t="shared" si="309"/>
        <v>0</v>
      </c>
      <c r="W665" s="1851" t="b">
        <f t="shared" si="309"/>
        <v>0</v>
      </c>
      <c r="X665" s="1851" t="b">
        <f t="shared" si="309"/>
        <v>0</v>
      </c>
      <c r="Y665" s="1851" t="b">
        <f t="shared" si="309"/>
        <v>0</v>
      </c>
      <c r="Z665" s="1852" t="b">
        <f t="shared" si="309"/>
        <v>0</v>
      </c>
      <c r="AA665" s="1435"/>
      <c r="AB665" s="1641" t="s">
        <v>717</v>
      </c>
      <c r="AC665" s="1853" t="b">
        <f t="shared" ref="AC665:AI665" si="310">IF(CNTR_ExistSubInstEntries,OR($I657="",$R669,H664&gt;=CNTR_ReportingYear,AC664&lt;$V657-1),FALSE)</f>
        <v>0</v>
      </c>
      <c r="AD665" s="1642" t="b">
        <f t="shared" si="310"/>
        <v>0</v>
      </c>
      <c r="AE665" s="1642" t="b">
        <f t="shared" si="310"/>
        <v>0</v>
      </c>
      <c r="AF665" s="1642" t="b">
        <f t="shared" si="310"/>
        <v>0</v>
      </c>
      <c r="AG665" s="1642" t="b">
        <f t="shared" si="310"/>
        <v>0</v>
      </c>
      <c r="AH665" s="1642" t="b">
        <f t="shared" si="310"/>
        <v>0</v>
      </c>
      <c r="AI665" s="1643" t="b">
        <f t="shared" si="310"/>
        <v>0</v>
      </c>
      <c r="AJ665" s="1633" t="s">
        <v>1954</v>
      </c>
      <c r="AK665" s="1635" t="str">
        <f>IF(AND(CNTR_ExistSubInstEntries,COUNTIFS(AC665:AI665,FALSE,H665:N665,"")&gt;0),EUconst_Error&amp;"BM"&amp;$Q657,"")</f>
        <v/>
      </c>
    </row>
    <row r="666" spans="2:38" ht="13.15" customHeight="1" thickBot="1">
      <c r="B666" s="1124"/>
      <c r="C666" s="485"/>
      <c r="D666" s="561" t="s">
        <v>7</v>
      </c>
      <c r="E666" s="3296" t="s">
        <v>123</v>
      </c>
      <c r="F666" s="3296"/>
      <c r="G666" s="898" t="str">
        <f>G665</f>
        <v>tonnes</v>
      </c>
      <c r="H666" s="899" t="str">
        <f>IF(OR($I657="",H664&gt;=CNTR_ReportingYear),"",IF($R669,SUMIF(H_SpecialBM!$Q$9:$Q$414,$Q666,H_SpecialBM!H$9:H$414),""))</f>
        <v/>
      </c>
      <c r="I666" s="900" t="str">
        <f>IF(OR($I657="",I664&gt;=CNTR_ReportingYear),"",IF($R669,SUMIF(H_SpecialBM!$Q$9:$Q$414,$Q666,H_SpecialBM!I$9:I$414),""))</f>
        <v/>
      </c>
      <c r="J666" s="1819" t="str">
        <f>IF(OR($I657="",J664&gt;=CNTR_ReportingYear),"",IF($R669,SUMIF(H_SpecialBM!$Q$9:$Q$414,$Q666,H_SpecialBM!J$9:J$414),""))</f>
        <v/>
      </c>
      <c r="K666" s="1820" t="str">
        <f>IF(OR($I657="",K664&gt;=CNTR_ReportingYear),"",IF($R669,SUMIF(H_SpecialBM!$Q$9:$Q$414,$Q666,H_SpecialBM!K$9:K$414),""))</f>
        <v/>
      </c>
      <c r="L666" s="1820" t="str">
        <f>IF(OR($I657="",L664&gt;=CNTR_ReportingYear),"",IF($R669,SUMIF(H_SpecialBM!$Q$9:$Q$414,$Q666,H_SpecialBM!L$9:L$414),""))</f>
        <v/>
      </c>
      <c r="M666" s="1820" t="str">
        <f>IF(OR($I657="",M664&gt;=CNTR_ReportingYear),"",IF($R669,SUMIF(H_SpecialBM!$Q$9:$Q$414,$Q666,H_SpecialBM!M$9:M$414),""))</f>
        <v/>
      </c>
      <c r="N666" s="1820" t="str">
        <f>IF(OR($I657="",N664&gt;=CNTR_ReportingYear),"",IF($R669,SUMIF(H_SpecialBM!$Q$9:$Q$414,$Q666,H_SpecialBM!N$9:N$414),""))</f>
        <v/>
      </c>
      <c r="O666" s="485"/>
      <c r="P666" s="485"/>
      <c r="Q666" s="1644" t="str">
        <f>EUconst_CNTR_HALspecial&amp;I657</f>
        <v>HALspecial_</v>
      </c>
      <c r="AB666" s="1641" t="s">
        <v>717</v>
      </c>
      <c r="AC666" s="1853" t="b">
        <f t="shared" ref="AC666:AI666" si="311">AND(CNTR_HasEntries_A_I,OR($R669=FALSE,H664&gt;=CNTR_ReportingYear))</f>
        <v>0</v>
      </c>
      <c r="AD666" s="1642" t="b">
        <f t="shared" si="311"/>
        <v>0</v>
      </c>
      <c r="AE666" s="1642" t="b">
        <f t="shared" si="311"/>
        <v>0</v>
      </c>
      <c r="AF666" s="1642" t="b">
        <f t="shared" si="311"/>
        <v>0</v>
      </c>
      <c r="AG666" s="1642" t="b">
        <f t="shared" si="311"/>
        <v>0</v>
      </c>
      <c r="AH666" s="1642" t="b">
        <f t="shared" si="311"/>
        <v>0</v>
      </c>
      <c r="AI666" s="1643" t="b">
        <f t="shared" si="311"/>
        <v>0</v>
      </c>
      <c r="AJ666" s="1624"/>
      <c r="AK666" s="1624"/>
      <c r="AL666" s="1435"/>
    </row>
    <row r="667" spans="2:38" ht="13.15" customHeight="1">
      <c r="B667" s="1124"/>
      <c r="C667" s="485"/>
      <c r="D667" s="561" t="s">
        <v>8</v>
      </c>
      <c r="E667" s="3296" t="s">
        <v>124</v>
      </c>
      <c r="F667" s="3296"/>
      <c r="G667" s="898" t="str">
        <f>G666</f>
        <v>tonnes</v>
      </c>
      <c r="H667" s="899" t="str">
        <f t="shared" ref="H667:N667" si="312">IF(OR($I657="",H664&gt;=CNTR_ReportingYear),"",IF($R669=TRUE,IF(ISNUMBER(H666),H666,0),IF(AND(H664&gt;=$V657-1,ISNUMBER(H665)),H665,0)))</f>
        <v/>
      </c>
      <c r="I667" s="900" t="str">
        <f t="shared" si="312"/>
        <v/>
      </c>
      <c r="J667" s="1819" t="str">
        <f t="shared" si="312"/>
        <v/>
      </c>
      <c r="K667" s="1820" t="str">
        <f t="shared" si="312"/>
        <v/>
      </c>
      <c r="L667" s="1820" t="str">
        <f t="shared" si="312"/>
        <v/>
      </c>
      <c r="M667" s="1820" t="str">
        <f t="shared" si="312"/>
        <v/>
      </c>
      <c r="N667" s="1820" t="str">
        <f t="shared" si="312"/>
        <v/>
      </c>
      <c r="O667" s="485"/>
      <c r="P667" s="1136"/>
      <c r="Q667" s="1644" t="str">
        <f>EUconst_CNTR_HAL&amp;I657</f>
        <v>HAL_</v>
      </c>
      <c r="AJ667" s="1633" t="s">
        <v>1951</v>
      </c>
      <c r="AK667" s="1443" t="str">
        <f>IF(COUNTIFS(H664:N664,"&lt;"&amp;YEAR(SUM(T657)),H667:N667,"&gt;"&amp;0)&gt;0,EUconst_Error&amp;"BM"&amp;Q657,"")</f>
        <v/>
      </c>
      <c r="AL667" s="1435"/>
    </row>
    <row r="668" spans="2:38" ht="5.0999999999999996" customHeight="1">
      <c r="B668" s="479"/>
      <c r="C668" s="479"/>
      <c r="D668" s="479"/>
      <c r="E668" s="479"/>
      <c r="F668" s="479"/>
      <c r="G668" s="479"/>
      <c r="H668" s="479"/>
      <c r="I668" s="479"/>
      <c r="J668" s="479"/>
      <c r="K668" s="479"/>
      <c r="L668" s="479"/>
      <c r="M668" s="485"/>
      <c r="N668" s="485"/>
      <c r="O668" s="485"/>
      <c r="P668" s="485"/>
      <c r="Q668" s="1435"/>
      <c r="S668" s="1435"/>
      <c r="T668" s="1435"/>
    </row>
    <row r="669" spans="2:38" ht="12.75" customHeight="1">
      <c r="B669" s="479"/>
      <c r="C669" s="479"/>
      <c r="D669" s="561" t="s">
        <v>18</v>
      </c>
      <c r="E669" s="2373" t="s">
        <v>922</v>
      </c>
      <c r="F669" s="2373"/>
      <c r="G669" s="2604"/>
      <c r="H669" s="2652" t="str">
        <f>IF(I657="","",HYPERLINK(INDEX(EUconst_BMlistSpecialJumpTable,MATCH(I657,EUconst_BMlistNames,0)),INDEX(EUconst_BMlistSpecialReporting,MATCH(I657,EUconst_BMlistNames,0))))</f>
        <v/>
      </c>
      <c r="I669" s="2689"/>
      <c r="J669" s="2689"/>
      <c r="K669" s="2689"/>
      <c r="L669" s="2689"/>
      <c r="M669" s="2689"/>
      <c r="N669" s="2690"/>
      <c r="O669" s="485"/>
      <c r="P669" s="485"/>
      <c r="Q669" s="1633" t="s">
        <v>122</v>
      </c>
      <c r="R669" s="1443" t="str">
        <f>IF(I657="","",IF(AND(INDEX(EUconst_BMlistSpecialJumpTable,MATCH(I657,EUconst_BMlistNames,0))&lt;&gt;"",MATCH(I657,EUconst_BMlistNames,0)&lt;&gt;47),TRUE,FALSE))</f>
        <v/>
      </c>
      <c r="S669" s="1435"/>
      <c r="T669" s="1435"/>
    </row>
    <row r="670" spans="2:38" ht="12.75" customHeight="1">
      <c r="B670" s="479"/>
      <c r="C670" s="479"/>
      <c r="D670" s="485"/>
      <c r="E670" s="2385" t="s">
        <v>923</v>
      </c>
      <c r="F670" s="2846"/>
      <c r="G670" s="2846"/>
      <c r="H670" s="2846"/>
      <c r="I670" s="2846"/>
      <c r="J670" s="2846"/>
      <c r="K670" s="2846"/>
      <c r="L670" s="2846"/>
      <c r="M670" s="2846"/>
      <c r="N670" s="2846"/>
      <c r="O670" s="485"/>
      <c r="P670" s="485"/>
      <c r="Q670" s="1435"/>
      <c r="S670" s="1435"/>
      <c r="T670" s="1435"/>
    </row>
    <row r="671" spans="2:38" ht="5.0999999999999996" customHeight="1">
      <c r="B671" s="479"/>
      <c r="C671" s="479"/>
      <c r="D671" s="485"/>
      <c r="E671" s="485"/>
      <c r="F671" s="485"/>
      <c r="G671" s="485"/>
      <c r="H671" s="485"/>
      <c r="I671" s="485"/>
      <c r="J671" s="485"/>
      <c r="K671" s="485"/>
      <c r="L671" s="485"/>
      <c r="M671" s="485"/>
      <c r="N671" s="485"/>
      <c r="O671" s="485"/>
      <c r="P671" s="485"/>
      <c r="Q671" s="1435"/>
      <c r="S671" s="1435"/>
      <c r="T671" s="1435"/>
      <c r="Z671" s="1435"/>
      <c r="AL671" s="1435"/>
    </row>
    <row r="672" spans="2:38" ht="12.75" customHeight="1">
      <c r="B672" s="479"/>
      <c r="C672" s="479"/>
      <c r="D672" s="482" t="s">
        <v>876</v>
      </c>
      <c r="E672" s="2373" t="s">
        <v>1709</v>
      </c>
      <c r="F672" s="2400"/>
      <c r="G672" s="2400"/>
      <c r="H672" s="2400"/>
      <c r="I672" s="2400"/>
      <c r="J672" s="2400"/>
      <c r="K672" s="2400"/>
      <c r="L672" s="2400"/>
      <c r="M672" s="2400"/>
      <c r="N672" s="2400"/>
      <c r="O672" s="485"/>
      <c r="P672" s="485"/>
      <c r="Q672" s="1435"/>
      <c r="S672" s="1435"/>
      <c r="T672" s="1435"/>
      <c r="Z672" s="1435"/>
      <c r="AL672" s="1435"/>
    </row>
    <row r="673" spans="1:38" ht="12.75" customHeight="1">
      <c r="B673" s="479"/>
      <c r="C673" s="479"/>
      <c r="D673" s="485"/>
      <c r="E673" s="2385" t="s">
        <v>1958</v>
      </c>
      <c r="F673" s="2846"/>
      <c r="G673" s="2846"/>
      <c r="H673" s="2846"/>
      <c r="I673" s="2846"/>
      <c r="J673" s="2846"/>
      <c r="K673" s="2846"/>
      <c r="L673" s="2846"/>
      <c r="M673" s="2846"/>
      <c r="N673" s="2846"/>
      <c r="O673" s="485"/>
      <c r="P673" s="485"/>
      <c r="Q673" s="1435"/>
      <c r="S673" s="1435"/>
      <c r="T673" s="1435"/>
      <c r="U673" s="1435"/>
    </row>
    <row r="674" spans="1:38" ht="25.5" customHeight="1">
      <c r="B674" s="479"/>
      <c r="C674" s="479"/>
      <c r="D674" s="485"/>
      <c r="E674" s="2385" t="s">
        <v>1696</v>
      </c>
      <c r="F674" s="2846"/>
      <c r="G674" s="2846"/>
      <c r="H674" s="2846"/>
      <c r="I674" s="2846"/>
      <c r="J674" s="2846"/>
      <c r="K674" s="2846"/>
      <c r="L674" s="2846"/>
      <c r="M674" s="2846"/>
      <c r="N674" s="2846"/>
      <c r="O674" s="485"/>
      <c r="P674" s="485"/>
      <c r="Q674" s="1435"/>
      <c r="S674" s="1435"/>
      <c r="T674" s="1435"/>
      <c r="U674" s="1435"/>
    </row>
    <row r="675" spans="1:38" ht="12.75" customHeight="1">
      <c r="B675" s="479"/>
      <c r="C675" s="479"/>
      <c r="D675" s="485"/>
      <c r="E675" s="901" t="s">
        <v>1021</v>
      </c>
      <c r="F675" s="3050" t="s">
        <v>2734</v>
      </c>
      <c r="G675" s="2584"/>
      <c r="H675" s="2584"/>
      <c r="I675" s="2584"/>
      <c r="J675" s="2584"/>
      <c r="K675" s="2584"/>
      <c r="L675" s="2584"/>
      <c r="M675" s="2584"/>
      <c r="N675" s="2584"/>
      <c r="O675" s="485"/>
      <c r="P675" s="485"/>
      <c r="Q675" s="1435"/>
      <c r="S675" s="1435"/>
      <c r="T675" s="1435"/>
      <c r="U675" s="1435"/>
    </row>
    <row r="676" spans="1:38" ht="12.75" customHeight="1" thickBot="1">
      <c r="B676" s="479"/>
      <c r="C676" s="479"/>
      <c r="D676" s="485"/>
      <c r="E676" s="901" t="s">
        <v>1021</v>
      </c>
      <c r="F676" s="3050" t="s">
        <v>1985</v>
      </c>
      <c r="G676" s="2584"/>
      <c r="H676" s="2584"/>
      <c r="I676" s="2584"/>
      <c r="J676" s="2584"/>
      <c r="K676" s="2584"/>
      <c r="L676" s="2584"/>
      <c r="M676" s="2584"/>
      <c r="N676" s="2584"/>
      <c r="O676" s="485"/>
      <c r="P676" s="485"/>
      <c r="Q676" s="1435"/>
      <c r="S676" s="1435"/>
      <c r="T676" s="1435"/>
      <c r="U676" s="1435"/>
    </row>
    <row r="677" spans="1:38" ht="5.0999999999999996" customHeight="1" thickBot="1">
      <c r="B677" s="479"/>
      <c r="C677" s="479"/>
      <c r="D677" s="902"/>
      <c r="E677" s="903"/>
      <c r="F677" s="904"/>
      <c r="G677" s="905"/>
      <c r="H677" s="905"/>
      <c r="I677" s="905"/>
      <c r="J677" s="1821"/>
      <c r="K677" s="1798"/>
      <c r="L677" s="1798"/>
      <c r="M677" s="1798"/>
      <c r="N677" s="1798"/>
      <c r="O677" s="485"/>
      <c r="P677" s="485"/>
      <c r="Q677" s="1435"/>
      <c r="S677" s="1435"/>
      <c r="T677" s="1435"/>
      <c r="U677" s="1435"/>
    </row>
    <row r="678" spans="1:38" ht="12.75" customHeight="1">
      <c r="B678" s="479"/>
      <c r="C678" s="479"/>
      <c r="D678" s="907"/>
      <c r="E678" s="908" t="s">
        <v>1690</v>
      </c>
      <c r="F678" s="909"/>
      <c r="G678" s="909"/>
      <c r="H678" s="910" t="str">
        <f>EUconst_Unit</f>
        <v>Unit</v>
      </c>
      <c r="I678" s="911" t="s">
        <v>2735</v>
      </c>
      <c r="J678" s="1822">
        <f>J$3242</f>
        <v>2026</v>
      </c>
      <c r="K678" s="1490">
        <f>K$3242</f>
        <v>2027</v>
      </c>
      <c r="L678" s="1490">
        <f>L$3242</f>
        <v>2028</v>
      </c>
      <c r="M678" s="1490">
        <f>M$3242</f>
        <v>2029</v>
      </c>
      <c r="N678" s="1490">
        <f>N$3242</f>
        <v>2030</v>
      </c>
      <c r="O678" s="485"/>
      <c r="P678" s="485"/>
      <c r="Q678" s="1435"/>
      <c r="U678" s="1648"/>
      <c r="V678" s="1649">
        <f>J678</f>
        <v>2026</v>
      </c>
      <c r="W678" s="1649">
        <f>K678</f>
        <v>2027</v>
      </c>
      <c r="X678" s="1649">
        <f>L678</f>
        <v>2028</v>
      </c>
      <c r="Y678" s="1649">
        <f>M678</f>
        <v>2029</v>
      </c>
      <c r="Z678" s="1650">
        <f>N678</f>
        <v>2030</v>
      </c>
    </row>
    <row r="679" spans="1:38" ht="12.75" customHeight="1">
      <c r="B679" s="479"/>
      <c r="C679" s="479"/>
      <c r="D679" s="915" t="s">
        <v>6</v>
      </c>
      <c r="E679" s="916" t="s">
        <v>1976</v>
      </c>
      <c r="F679" s="916"/>
      <c r="G679" s="916"/>
      <c r="H679" s="639" t="str">
        <f>IF(INDEX(CNTR_SubInstListIsProdBM,$C657),INDEX(CNTR_SubInstListHALUnit,$C657),EUconst_Tons)</f>
        <v>tonnes</v>
      </c>
      <c r="I679" s="917" t="str">
        <f>IF(V657&gt;($J$3242-3),EUconst_NA,INDEX('B+C_SubInstallations'!$I:$I,MATCH(Q679,'B+C_SubInstallations'!$T:$T,0)))</f>
        <v/>
      </c>
      <c r="J679" s="1823" t="str">
        <f>IF(AND(V679&gt;=3,CNTR_ReportingYear&gt;J678-1),AVERAGE(H667:I667),"")</f>
        <v/>
      </c>
      <c r="K679" s="1799" t="str">
        <f>IF(AND(W679&gt;=3,CNTR_ReportingYear&gt;K678-1),AVERAGE(I667:J667),"")</f>
        <v/>
      </c>
      <c r="L679" s="1799" t="str">
        <f>IF(AND(X679&gt;=3,CNTR_ReportingYear&gt;L678-1),AVERAGE(J667:K667),"")</f>
        <v/>
      </c>
      <c r="M679" s="1799" t="str">
        <f>IF(AND(Y679&gt;=3,CNTR_ReportingYear&gt;M678-1),AVERAGE(K667:L667),"")</f>
        <v/>
      </c>
      <c r="N679" s="1799" t="str">
        <f>IF(AND(Z679&gt;=3,CNTR_ReportingYear&gt;N678-1),AVERAGE(L667:M667),"")</f>
        <v/>
      </c>
      <c r="O679" s="485"/>
      <c r="P679" s="485"/>
      <c r="Q679" s="1641" t="str">
        <f>EUconst_CNTR_HALinitial&amp;I657</f>
        <v>HALini_</v>
      </c>
      <c r="U679" s="1653" t="s">
        <v>1650</v>
      </c>
      <c r="V679" s="1635">
        <f>IF($I657="",0,V678-$V657+1)</f>
        <v>0</v>
      </c>
      <c r="W679" s="1635">
        <f>IF($I657="",0,W678-$V657+1)</f>
        <v>0</v>
      </c>
      <c r="X679" s="1635">
        <f>IF($I657="",0,X678-$V657+1)</f>
        <v>0</v>
      </c>
      <c r="Y679" s="1635">
        <f>IF($I657="",0,Y678-$V657+1)</f>
        <v>0</v>
      </c>
      <c r="Z679" s="1654">
        <f>IF($I657="",0,Z678-$V657+1)</f>
        <v>0</v>
      </c>
    </row>
    <row r="680" spans="1:38" ht="12.75" hidden="1" customHeight="1">
      <c r="A680" s="618" t="s">
        <v>2289</v>
      </c>
      <c r="B680" s="479"/>
      <c r="C680" s="479"/>
      <c r="D680" s="918"/>
      <c r="E680" s="919" t="s">
        <v>1648</v>
      </c>
      <c r="F680" s="919"/>
      <c r="G680" s="919"/>
      <c r="H680" s="920"/>
      <c r="I680" s="1655"/>
      <c r="J680" s="29" t="str">
        <f>IF(J679="","",IF($I682=0,IF(J679=0,0%,100%),J679/$I682-1))</f>
        <v/>
      </c>
      <c r="K680" s="22" t="str">
        <f>IF(K679="","",IF($I682=0,IF(K679=0,0%,100%),K679/$I682-1))</f>
        <v/>
      </c>
      <c r="L680" s="22" t="str">
        <f>IF(L679="","",IF($I682=0,IF(L679=0,0%,100%),L679/$I682-1))</f>
        <v/>
      </c>
      <c r="M680" s="22" t="str">
        <f>IF(M679="","",IF($I682=0,IF(M679=0,0%,100%),M679/$I682-1))</f>
        <v/>
      </c>
      <c r="N680" s="22" t="str">
        <f>IF(N679="","",IF($I682=0,IF(N679=0,0%,100%),N679/$I682-1))</f>
        <v/>
      </c>
      <c r="O680" s="485"/>
      <c r="P680" s="485"/>
      <c r="Q680" s="1644" t="str">
        <f>EUconst_CNTR_RelThreshold &amp; Q682</f>
        <v>RelThresh_HALprelim_</v>
      </c>
      <c r="U680" s="1653" t="s">
        <v>1655</v>
      </c>
      <c r="V680" s="1158" t="str">
        <f>IF(J679="","",ABS(J680)&gt;15%)</f>
        <v/>
      </c>
      <c r="W680" s="1158" t="str">
        <f>IF(K679="","",ABS(K680)&gt;15%)</f>
        <v/>
      </c>
      <c r="X680" s="1158" t="str">
        <f>IF(L679="","",ABS(L680)&gt;15%)</f>
        <v/>
      </c>
      <c r="Y680" s="1158" t="str">
        <f>IF(M679="","",ABS(M680)&gt;15%)</f>
        <v/>
      </c>
      <c r="Z680" s="1656" t="str">
        <f>IF(N679="","",ABS(N680)&gt;15%)</f>
        <v/>
      </c>
      <c r="AL680" s="1435"/>
    </row>
    <row r="681" spans="1:38" ht="12.75" customHeight="1">
      <c r="A681" s="618"/>
      <c r="B681" s="479"/>
      <c r="C681" s="479"/>
      <c r="D681" s="915" t="s">
        <v>7</v>
      </c>
      <c r="E681" s="916" t="s">
        <v>1654</v>
      </c>
      <c r="F681" s="916"/>
      <c r="G681" s="916"/>
      <c r="H681" s="921"/>
      <c r="I681" s="1657"/>
      <c r="J681" s="1824" t="str">
        <f>IF(J679="","",IF(V680=FALSE,0%,IF(V681,J680,I687)))</f>
        <v/>
      </c>
      <c r="K681" s="1795" t="str">
        <f>IF(K679="","",IF(W680=FALSE,0%,IF(W681,K680,J687)))</f>
        <v/>
      </c>
      <c r="L681" s="1795" t="str">
        <f>IF(L679="","",IF(X680=FALSE,0%,IF(X681,L680,K687)))</f>
        <v/>
      </c>
      <c r="M681" s="1795" t="str">
        <f>IF(M679="","",IF(Y680=FALSE,0%,IF(Y681,M680,L687)))</f>
        <v/>
      </c>
      <c r="N681" s="1795" t="str">
        <f>IF(N679="","",IF(Z680=FALSE,0%,IF(Z681,N680,M687)))</f>
        <v/>
      </c>
      <c r="O681" s="485"/>
      <c r="P681" s="485"/>
      <c r="U681" s="1653" t="s">
        <v>1656</v>
      </c>
      <c r="V681" s="1158" t="str">
        <f>IF(J679="","",AND(V680,IF(SUM(I687)&lt;0,OR(SUM(J680)&lt;SUM(I687)-MOD(SUM(I687),5%),J680&gt;=SUM(I687)+5%-MOD(SUM(I687),5%)),OR(SUM(J680)&lt;=SUM(I687)-MOD(SUM(I687),5%),SUM(J680)&gt;SUM(I687)+5%-MOD(SUM(I687),5%)))))</f>
        <v/>
      </c>
      <c r="W681" s="1158" t="str">
        <f>IF(K679="","",AND(W680,IF(SUM(J687)&lt;0,OR(SUM(K680)&lt;SUM(J687)-MOD(SUM(J687),5%),K680&gt;=SUM(J687)+5%-MOD(SUM(J687),5%)),OR(SUM(K680)&lt;=SUM(J687)-MOD(SUM(J687),5%),SUM(K680)&gt;SUM(J687)+5%-MOD(SUM(J687),5%)))))</f>
        <v/>
      </c>
      <c r="X681" s="1158" t="str">
        <f>IF(L679="","",AND(X680,IF(SUM(K687)&lt;0,OR(SUM(L680)&lt;SUM(K687)-MOD(SUM(K687),5%),L680&gt;=SUM(K687)+5%-MOD(SUM(K687),5%)),OR(SUM(L680)&lt;=SUM(K687)-MOD(SUM(K687),5%),SUM(L680)&gt;SUM(K687)+5%-MOD(SUM(K687),5%)))))</f>
        <v/>
      </c>
      <c r="Y681" s="1158" t="str">
        <f>IF(M679="","",AND(Y680,IF(SUM(L687)&lt;0,OR(SUM(M680)&lt;SUM(L687)-MOD(SUM(L687),5%),M680&gt;=SUM(L687)+5%-MOD(SUM(L687),5%)),OR(SUM(M680)&lt;=SUM(L687)-MOD(SUM(L687),5%),SUM(M680)&gt;SUM(L687)+5%-MOD(SUM(L687),5%)))))</f>
        <v/>
      </c>
      <c r="Z681" s="1656" t="str">
        <f>IF(N679="","",AND(Z680,IF(SUM(M687)&lt;0,OR(SUM(N680)&lt;SUM(M687)-MOD(SUM(M687),5%),N680&gt;=SUM(M687)+5%-MOD(SUM(M687),5%)),OR(SUM(N680)&lt;=SUM(M687)-MOD(SUM(M687),5%),SUM(N680)&gt;SUM(M687)+5%-MOD(SUM(M687),5%)))))</f>
        <v/>
      </c>
      <c r="AL681" s="1435"/>
    </row>
    <row r="682" spans="1:38" ht="12.75" hidden="1" customHeight="1">
      <c r="A682" s="618" t="s">
        <v>2289</v>
      </c>
      <c r="B682" s="479"/>
      <c r="C682" s="479"/>
      <c r="D682" s="918"/>
      <c r="E682" s="916" t="s">
        <v>1689</v>
      </c>
      <c r="F682" s="916"/>
      <c r="G682" s="916"/>
      <c r="H682" s="639" t="str">
        <f>H679</f>
        <v>tonnes</v>
      </c>
      <c r="I682" s="917" t="str">
        <f>IF(I657="","",IF(AB657=FALSE,EUconst_NA,IF(V657&gt;($J$3242-3),INDEX(H667:N667,MATCH(V657,H664:N664,0)),SUM(I679))))</f>
        <v/>
      </c>
      <c r="J682" s="1825" t="str">
        <f>IF($I657="","",IF(V679&lt;2,SUM(J667),IF(V679&lt;3,SUM(I667),IF(V682="",I682,V682))))</f>
        <v/>
      </c>
      <c r="K682" s="1799" t="str">
        <f>IF($I657="","",IF(W679&lt;2,SUM(K667),IF(W679&lt;3,SUM(J667),IF(W682="",J682,W682))))</f>
        <v/>
      </c>
      <c r="L682" s="1799" t="str">
        <f>IF($I657="","",IF(X679&lt;2,SUM(L667),IF(X679&lt;3,SUM(K667),IF(X682="",K682,X682))))</f>
        <v/>
      </c>
      <c r="M682" s="1799" t="str">
        <f>IF($I657="","",IF(Y679&lt;2,SUM(M667),IF(Y679&lt;3,SUM(L667),IF(Y682="",L682,Y682))))</f>
        <v/>
      </c>
      <c r="N682" s="1799" t="str">
        <f>IF($I657="","",IF(Z679&lt;2,SUM(N667),IF(Z679&lt;3,SUM(M667),IF(Z682="",M682,Z682))))</f>
        <v/>
      </c>
      <c r="O682" s="485"/>
      <c r="P682" s="485"/>
      <c r="Q682" s="1641" t="str">
        <f>EUconst_CNTR_HALprelim&amp;I657</f>
        <v>HALprelim_</v>
      </c>
      <c r="U682" s="1653" t="s">
        <v>1697</v>
      </c>
      <c r="V682" s="1660" t="str">
        <f>IF(J679="","",IF(CNTR_ReportingYear&lt;J678,I681,IF($I682=0,J679,$I682*(1+J681))))</f>
        <v/>
      </c>
      <c r="W682" s="1660" t="str">
        <f>IF(K679="","",IF(CNTR_ReportingYear&lt;K678,J681,IF($I682=0,K679,$I682*(1+K681))))</f>
        <v/>
      </c>
      <c r="X682" s="1660" t="str">
        <f>IF(L679="","",IF(CNTR_ReportingYear&lt;L678,K681,IF($I682=0,L679,$I682*(1+L681))))</f>
        <v/>
      </c>
      <c r="Y682" s="1660" t="str">
        <f>IF(M679="","",IF(CNTR_ReportingYear&lt;M678,L681,IF($I682=0,M679,$I682*(1+M681))))</f>
        <v/>
      </c>
      <c r="Z682" s="1661" t="str">
        <f>IF(N679="","",IF(CNTR_ReportingYear&lt;N678,M681,IF($I682=0,N679,$I682*(1+N681))))</f>
        <v/>
      </c>
      <c r="AL682" s="1435"/>
    </row>
    <row r="683" spans="1:38" ht="5.0999999999999996" customHeight="1">
      <c r="A683" s="618"/>
      <c r="B683" s="479"/>
      <c r="C683" s="479"/>
      <c r="D683" s="918"/>
      <c r="E683" s="909"/>
      <c r="F683" s="909"/>
      <c r="G683" s="909"/>
      <c r="H683" s="909"/>
      <c r="I683" s="909"/>
      <c r="J683" s="1826"/>
      <c r="K683" s="1791"/>
      <c r="L683" s="1791"/>
      <c r="M683" s="1791"/>
      <c r="N683" s="1791"/>
      <c r="O683" s="485"/>
      <c r="P683" s="485"/>
      <c r="Q683" s="1435"/>
      <c r="U683" s="1663"/>
      <c r="V683" s="1435"/>
      <c r="Z683" s="1664"/>
      <c r="AL683" s="1435"/>
    </row>
    <row r="684" spans="1:38" ht="12.75" customHeight="1">
      <c r="A684" s="618"/>
      <c r="B684" s="479"/>
      <c r="C684" s="479"/>
      <c r="D684" s="918"/>
      <c r="E684" s="923" t="s">
        <v>1653</v>
      </c>
      <c r="F684" s="923"/>
      <c r="G684" s="923"/>
      <c r="H684" s="923"/>
      <c r="I684" s="923"/>
      <c r="J684" s="1822">
        <f>J$3242</f>
        <v>2026</v>
      </c>
      <c r="K684" s="1490">
        <f>K$3242</f>
        <v>2027</v>
      </c>
      <c r="L684" s="1490">
        <f>L$3242</f>
        <v>2028</v>
      </c>
      <c r="M684" s="1490">
        <f>M$3242</f>
        <v>2029</v>
      </c>
      <c r="N684" s="1490">
        <f>N$3242</f>
        <v>2030</v>
      </c>
      <c r="O684" s="485"/>
      <c r="P684" s="485"/>
      <c r="Q684" s="1435"/>
      <c r="U684" s="1665"/>
      <c r="Z684" s="1664"/>
      <c r="AL684" s="1435"/>
    </row>
    <row r="685" spans="1:38" ht="12.75" customHeight="1">
      <c r="A685" s="618"/>
      <c r="B685" s="479"/>
      <c r="C685" s="479"/>
      <c r="D685" s="915" t="s">
        <v>8</v>
      </c>
      <c r="E685" s="916" t="s">
        <v>2108</v>
      </c>
      <c r="F685" s="916"/>
      <c r="G685" s="916"/>
      <c r="H685" s="916"/>
      <c r="I685" s="916"/>
      <c r="J685" s="1827" t="str">
        <f>IF($I657="","",INDEX(K_Summary!J:J,MATCH($Q685,K_Summary!$P:$P,0)))</f>
        <v/>
      </c>
      <c r="K685" s="1791" t="str">
        <f>IF($I657="","",INDEX(K_Summary!K:K,MATCH($Q685,K_Summary!$P:$P,0)))</f>
        <v/>
      </c>
      <c r="L685" s="1791" t="str">
        <f>IF($I657="","",INDEX(K_Summary!L:L,MATCH($Q685,K_Summary!$P:$P,0)))</f>
        <v/>
      </c>
      <c r="M685" s="1791" t="str">
        <f>IF($I657="","",INDEX(K_Summary!M:M,MATCH($Q685,K_Summary!$P:$P,0)))</f>
        <v/>
      </c>
      <c r="N685" s="1791" t="str">
        <f>IF($I657="","",INDEX(K_Summary!N:N,MATCH($Q685,K_Summary!$P:$P,0)))</f>
        <v/>
      </c>
      <c r="O685" s="485"/>
      <c r="P685" s="485"/>
      <c r="Q685" s="1641" t="str">
        <f>EUconst_CNTR_100EUA_ActivityLevel&amp;I657</f>
        <v>EUA100AL_</v>
      </c>
      <c r="U685" s="1665"/>
      <c r="V685" s="8"/>
      <c r="W685" s="8"/>
      <c r="X685" s="8"/>
      <c r="Y685" s="8"/>
      <c r="Z685" s="1664"/>
      <c r="AL685" s="1435"/>
    </row>
    <row r="686" spans="1:38" ht="5.0999999999999996" customHeight="1" thickBot="1">
      <c r="A686" s="618"/>
      <c r="B686" s="479"/>
      <c r="C686" s="479"/>
      <c r="D686" s="918"/>
      <c r="E686" s="909"/>
      <c r="F686" s="909"/>
      <c r="G686" s="909"/>
      <c r="H686" s="909"/>
      <c r="I686" s="909"/>
      <c r="J686" s="1828"/>
      <c r="K686" s="1791"/>
      <c r="L686" s="1791"/>
      <c r="M686" s="1791"/>
      <c r="N686" s="1791"/>
      <c r="O686" s="485"/>
      <c r="P686" s="485"/>
      <c r="Q686" s="1435"/>
      <c r="U686" s="1663"/>
      <c r="V686" s="1435"/>
      <c r="Z686" s="1664"/>
      <c r="AL686" s="1435"/>
    </row>
    <row r="687" spans="1:38" ht="12.75" customHeight="1" thickBot="1">
      <c r="B687" s="479"/>
      <c r="C687" s="479"/>
      <c r="D687" s="915" t="s">
        <v>18</v>
      </c>
      <c r="E687" s="916" t="s">
        <v>1657</v>
      </c>
      <c r="F687" s="916"/>
      <c r="G687" s="916"/>
      <c r="H687" s="921"/>
      <c r="I687" s="1667"/>
      <c r="J687" s="1829" t="str">
        <f>IF(J685="","",IF(J678&gt;$Z657,-100%,IF(OR(J685,V679&lt;1),J681,I687)))</f>
        <v/>
      </c>
      <c r="K687" s="1796" t="str">
        <f>IF(K685="","",IF(K678&gt;$Z657,-100%,IF(OR(K685,W679&lt;1),K681,J687)))</f>
        <v/>
      </c>
      <c r="L687" s="1796" t="str">
        <f>IF(L685="","",IF(L678&gt;$Z657,-100%,IF(OR(L685,X679&lt;1),L681,K687)))</f>
        <v/>
      </c>
      <c r="M687" s="1796" t="str">
        <f>IF(M685="","",IF(M678&gt;$Z657,-100%,IF(OR(M685,Y679&lt;1),M681,L687)))</f>
        <v/>
      </c>
      <c r="N687" s="1796" t="str">
        <f>IF(N685="","",IF(N678&gt;$Z657,-100%,IF(OR(N685,Z679&lt;1),N681,M687)))</f>
        <v/>
      </c>
      <c r="O687" s="485"/>
      <c r="P687" s="1136"/>
      <c r="Q687" s="1644" t="str">
        <f>EUconst_CNTR_HALAdjPct &amp; I657</f>
        <v>HALAdjPct_</v>
      </c>
      <c r="U687" s="1663" t="s">
        <v>1658</v>
      </c>
      <c r="V687" s="1670">
        <f>J684</f>
        <v>2026</v>
      </c>
      <c r="W687" s="1670">
        <f>K684</f>
        <v>2027</v>
      </c>
      <c r="X687" s="1670">
        <f>L684</f>
        <v>2028</v>
      </c>
      <c r="Y687" s="1670">
        <f>M684</f>
        <v>2029</v>
      </c>
      <c r="Z687" s="1671">
        <f>N684</f>
        <v>2030</v>
      </c>
      <c r="AL687" s="1435"/>
    </row>
    <row r="688" spans="1:38" ht="12.75" customHeight="1" thickBot="1">
      <c r="A688" s="618"/>
      <c r="B688" s="479"/>
      <c r="C688" s="479"/>
      <c r="D688" s="915" t="s">
        <v>787</v>
      </c>
      <c r="E688" s="916" t="s">
        <v>1659</v>
      </c>
      <c r="F688" s="916"/>
      <c r="G688" s="916"/>
      <c r="H688" s="639" t="str">
        <f>H679</f>
        <v>tonnes</v>
      </c>
      <c r="I688" s="917" t="str">
        <f>I682</f>
        <v/>
      </c>
      <c r="J688" s="1830" t="str">
        <f>IF($I657="","",IF(OR($I688=0,J687="",$I688=EUconst_NA),IF(OR(J685=TRUE,J684&lt;=$V657),J682,SUM(I688)),$I688*(1+SUM(J687))))</f>
        <v/>
      </c>
      <c r="K688" s="1800" t="str">
        <f>IF($I657="","",IF(OR($I688=0,K687="",$I688=EUconst_NA),IF(OR(K685=TRUE,K684&lt;=$V657),K682,SUM(J688)),$I688*(1+SUM(K687))))</f>
        <v/>
      </c>
      <c r="L688" s="1800" t="str">
        <f>IF($I657="","",IF(OR($I688=0,L687="",$I688=EUconst_NA),IF(OR(L685=TRUE,L684&lt;=$V657),L682,SUM(K688)),$I688*(1+SUM(L687))))</f>
        <v/>
      </c>
      <c r="M688" s="1800" t="str">
        <f>IF($I657="","",IF(OR($I688=0,M687="",$I688=EUconst_NA),IF(OR(M685=TRUE,M684&lt;=$V657),M682,SUM(L688)),$I688*(1+SUM(M687))))</f>
        <v/>
      </c>
      <c r="N688" s="1800" t="str">
        <f>IF($I657="","",IF(OR($I688=0,N687="",$I688=EUconst_NA),IF(OR(N685=TRUE,N684&lt;=$V657),N682,SUM(M688)),$I688*(1+SUM(N687))))</f>
        <v/>
      </c>
      <c r="O688" s="485"/>
      <c r="P688" s="485"/>
      <c r="Q688" s="1641" t="str">
        <f>EUconst_CNTR_HALfinal&amp;I657</f>
        <v>HALfinal_</v>
      </c>
      <c r="U688" s="1674" t="b">
        <v>0</v>
      </c>
      <c r="V688" s="1675" t="str">
        <f>IF(V665,IF(J685=TRUE,V680,U688),"")</f>
        <v/>
      </c>
      <c r="W688" s="1675" t="str">
        <f>IF(W665,IF(K685=TRUE,W680,V688),"")</f>
        <v/>
      </c>
      <c r="X688" s="1675" t="str">
        <f>IF(X665,IF(L685=TRUE,X680,W688),"")</f>
        <v/>
      </c>
      <c r="Y688" s="1675" t="str">
        <f>IF(Y665,IF(M685=TRUE,Y680,X688),"")</f>
        <v/>
      </c>
      <c r="Z688" s="1676" t="str">
        <f>IF(Z665,IF(N685=TRUE,Z680,Y688),"")</f>
        <v/>
      </c>
      <c r="AJ688" s="1633" t="s">
        <v>1951</v>
      </c>
      <c r="AK688" s="1443" t="str">
        <f>IF(OR(ISERROR(J688),ISERROR(K688),ISERROR(L688),ISERROR(M688),ISERROR(N688)),EUconst_Error &amp; "BM" &amp; Q657,"")</f>
        <v/>
      </c>
      <c r="AL688" s="1435"/>
    </row>
    <row r="689" spans="1:42" ht="5.0999999999999996" customHeight="1" thickBot="1">
      <c r="B689" s="479"/>
      <c r="C689" s="479"/>
      <c r="D689" s="924"/>
      <c r="E689" s="925"/>
      <c r="F689" s="925"/>
      <c r="G689" s="925"/>
      <c r="H689" s="925"/>
      <c r="I689" s="925"/>
      <c r="J689" s="1831"/>
      <c r="K689" s="1791"/>
      <c r="L689" s="1791"/>
      <c r="M689" s="1791"/>
      <c r="N689" s="1791"/>
      <c r="O689" s="485"/>
      <c r="P689" s="485"/>
      <c r="Q689" s="1435"/>
      <c r="U689" s="1435"/>
      <c r="V689" s="1435"/>
      <c r="AL689" s="1435"/>
    </row>
    <row r="690" spans="1:42" ht="5.0999999999999996" customHeight="1">
      <c r="B690" s="479"/>
      <c r="C690" s="479"/>
      <c r="D690" s="485"/>
      <c r="E690" s="485"/>
      <c r="F690" s="485"/>
      <c r="G690" s="485"/>
      <c r="H690" s="485"/>
      <c r="I690" s="485"/>
      <c r="J690" s="485"/>
      <c r="K690" s="485"/>
      <c r="L690" s="485"/>
      <c r="M690" s="485"/>
      <c r="N690" s="485"/>
      <c r="O690" s="485"/>
      <c r="P690" s="485"/>
      <c r="Q690" s="1435"/>
      <c r="U690" s="1435"/>
      <c r="V690" s="1435"/>
      <c r="AL690" s="1435"/>
    </row>
    <row r="691" spans="1:42" ht="15" customHeight="1">
      <c r="B691" s="1124"/>
      <c r="C691" s="479"/>
      <c r="D691" s="2482" t="s">
        <v>1229</v>
      </c>
      <c r="E691" s="2400"/>
      <c r="F691" s="2400"/>
      <c r="G691" s="2400"/>
      <c r="H691" s="2400"/>
      <c r="I691" s="2400"/>
      <c r="J691" s="2400"/>
      <c r="K691" s="2400"/>
      <c r="L691" s="2400"/>
      <c r="M691" s="2400"/>
      <c r="N691" s="2400"/>
      <c r="O691" s="485"/>
      <c r="P691" s="485"/>
      <c r="U691" s="1435"/>
      <c r="V691" s="1435"/>
    </row>
    <row r="692" spans="1:42" ht="5.0999999999999996" customHeight="1">
      <c r="B692" s="479"/>
      <c r="C692" s="479"/>
      <c r="D692" s="479"/>
      <c r="E692" s="479"/>
      <c r="F692" s="479"/>
      <c r="G692" s="479"/>
      <c r="H692" s="479"/>
      <c r="I692" s="479"/>
      <c r="J692" s="479"/>
      <c r="K692" s="479"/>
      <c r="L692" s="479"/>
      <c r="M692" s="479"/>
      <c r="N692" s="479"/>
      <c r="O692" s="485"/>
      <c r="P692" s="485"/>
      <c r="Q692" s="1435"/>
      <c r="U692" s="1435"/>
      <c r="V692" s="1435"/>
    </row>
    <row r="693" spans="1:42" ht="12.75" customHeight="1">
      <c r="B693" s="1124"/>
      <c r="C693" s="485"/>
      <c r="D693" s="482" t="s">
        <v>48</v>
      </c>
      <c r="E693" s="2373" t="s">
        <v>800</v>
      </c>
      <c r="F693" s="2400"/>
      <c r="G693" s="2400"/>
      <c r="H693" s="2400"/>
      <c r="I693" s="2585"/>
      <c r="J693" s="2652" t="str">
        <f>IF(I657="","",IF(T693,EUconst_MsgEnterThisSection,HYPERLINK(R693,EUconst_MsgGoOn)))</f>
        <v/>
      </c>
      <c r="K693" s="2653"/>
      <c r="L693" s="2653"/>
      <c r="M693" s="2653"/>
      <c r="N693" s="2654"/>
      <c r="O693" s="485"/>
      <c r="P693" s="485"/>
      <c r="Q693" s="1198" t="s">
        <v>441</v>
      </c>
      <c r="R693" s="1488" t="str">
        <f>"#"&amp;ADDRESS(ROW(D721),COLUMN(D721))</f>
        <v>#$D$721</v>
      </c>
      <c r="S693" s="1633" t="s">
        <v>1674</v>
      </c>
      <c r="T693" s="1644" t="str">
        <f>IF(I657="","",INDEX(EUconst_BMlistElExchangability,MATCH(I657,EUconst_BMlistNames,0)))</f>
        <v/>
      </c>
      <c r="U693" s="1435"/>
      <c r="V693" s="1435"/>
    </row>
    <row r="694" spans="1:42" ht="12.75" customHeight="1">
      <c r="B694" s="479"/>
      <c r="C694" s="479"/>
      <c r="D694" s="485"/>
      <c r="E694" s="2385" t="s">
        <v>1241</v>
      </c>
      <c r="F694" s="2846"/>
      <c r="G694" s="2846"/>
      <c r="H694" s="2846"/>
      <c r="I694" s="2846"/>
      <c r="J694" s="2846"/>
      <c r="K694" s="2846"/>
      <c r="L694" s="2846"/>
      <c r="M694" s="2846"/>
      <c r="N694" s="2846"/>
      <c r="O694" s="485"/>
      <c r="P694" s="485"/>
      <c r="U694" s="1435"/>
      <c r="V694" s="1435"/>
    </row>
    <row r="695" spans="1:42" ht="12.75" customHeight="1">
      <c r="B695" s="479"/>
      <c r="C695" s="479"/>
      <c r="D695" s="485"/>
      <c r="E695" s="2385" t="s">
        <v>1526</v>
      </c>
      <c r="F695" s="2846"/>
      <c r="G695" s="2846"/>
      <c r="H695" s="2846"/>
      <c r="I695" s="2846"/>
      <c r="J695" s="2846"/>
      <c r="K695" s="2846"/>
      <c r="L695" s="2846"/>
      <c r="M695" s="2846"/>
      <c r="N695" s="2846"/>
      <c r="O695" s="485"/>
      <c r="P695" s="485"/>
      <c r="Q695" s="1435"/>
      <c r="U695" s="1435"/>
      <c r="V695" s="1435"/>
      <c r="W695" s="1435"/>
      <c r="X695" s="1435"/>
      <c r="Y695" s="1435"/>
      <c r="Z695" s="1435"/>
    </row>
    <row r="696" spans="1:42" ht="25.5" customHeight="1">
      <c r="B696" s="479"/>
      <c r="C696" s="479"/>
      <c r="D696" s="485"/>
      <c r="E696" s="2385" t="s">
        <v>1635</v>
      </c>
      <c r="F696" s="2846"/>
      <c r="G696" s="2846"/>
      <c r="H696" s="2846"/>
      <c r="I696" s="2846"/>
      <c r="J696" s="2846"/>
      <c r="K696" s="2846"/>
      <c r="L696" s="2846"/>
      <c r="M696" s="2846"/>
      <c r="N696" s="2846"/>
      <c r="O696" s="485"/>
      <c r="P696" s="485"/>
      <c r="Q696" s="1435"/>
      <c r="U696" s="1435"/>
      <c r="V696" s="1435"/>
      <c r="W696" s="1435"/>
      <c r="X696" s="1435"/>
      <c r="Y696" s="1435"/>
      <c r="Z696" s="1435"/>
    </row>
    <row r="697" spans="1:42" s="562" customFormat="1" ht="13.5" thickBot="1">
      <c r="A697" s="618"/>
      <c r="B697" s="485"/>
      <c r="C697" s="485"/>
      <c r="D697" s="482"/>
      <c r="E697" s="927" t="s">
        <v>62</v>
      </c>
      <c r="F697" s="518"/>
      <c r="G697" s="663" t="str">
        <f>EUconst_Unit</f>
        <v>Unit</v>
      </c>
      <c r="H697" s="578">
        <f>H$3242</f>
        <v>2024</v>
      </c>
      <c r="I697" s="697">
        <f>I$3242</f>
        <v>2025</v>
      </c>
      <c r="J697" s="1489">
        <f>J$112</f>
        <v>2026</v>
      </c>
      <c r="K697" s="1490">
        <f>K$112</f>
        <v>2027</v>
      </c>
      <c r="L697" s="1490">
        <f>L$112</f>
        <v>2028</v>
      </c>
      <c r="M697" s="1490">
        <f>M$112</f>
        <v>2029</v>
      </c>
      <c r="N697" s="1490">
        <f>N$112</f>
        <v>2030</v>
      </c>
      <c r="O697" s="485"/>
      <c r="P697" s="485"/>
      <c r="Q697" s="1435"/>
      <c r="R697" s="1435"/>
      <c r="S697" s="1198"/>
      <c r="T697" s="1198"/>
      <c r="U697" s="1435"/>
      <c r="V697" s="1435"/>
      <c r="W697" s="1435"/>
      <c r="X697" s="1435"/>
      <c r="Y697" s="1435"/>
      <c r="Z697" s="1435"/>
      <c r="AA697" s="1435"/>
      <c r="AB697" s="1198"/>
      <c r="AC697" s="1638">
        <f t="shared" ref="AC697:AI697" si="313">H$20</f>
        <v>2024</v>
      </c>
      <c r="AD697" s="1638">
        <f t="shared" si="313"/>
        <v>2025</v>
      </c>
      <c r="AE697" s="1638">
        <f t="shared" si="313"/>
        <v>2026</v>
      </c>
      <c r="AF697" s="1638">
        <f t="shared" si="313"/>
        <v>2027</v>
      </c>
      <c r="AG697" s="1638">
        <f t="shared" si="313"/>
        <v>2028</v>
      </c>
      <c r="AH697" s="1638">
        <f t="shared" si="313"/>
        <v>2029</v>
      </c>
      <c r="AI697" s="1638">
        <f t="shared" si="313"/>
        <v>2030</v>
      </c>
      <c r="AJ697" s="1198"/>
      <c r="AK697" s="1198"/>
      <c r="AL697" s="1198"/>
      <c r="AP697" s="1135"/>
    </row>
    <row r="698" spans="1:42" s="562" customFormat="1" ht="13.5" customHeight="1">
      <c r="A698" s="618"/>
      <c r="B698" s="485"/>
      <c r="C698" s="485"/>
      <c r="D698" s="561" t="s">
        <v>6</v>
      </c>
      <c r="E698" s="863" t="s">
        <v>63</v>
      </c>
      <c r="F698" s="863"/>
      <c r="G698" s="579" t="str">
        <f>EUconst_tCO2pa</f>
        <v>t CO2 / year</v>
      </c>
      <c r="H698" s="1678" t="str">
        <f>c_ALR2025!M3364</f>
        <v/>
      </c>
      <c r="I698" s="1879"/>
      <c r="J698" s="1786"/>
      <c r="K698" s="1787"/>
      <c r="L698" s="1787"/>
      <c r="M698" s="1787"/>
      <c r="N698" s="1787"/>
      <c r="O698" s="485"/>
      <c r="P698" s="9"/>
      <c r="Q698" s="1435"/>
      <c r="R698" s="1435"/>
      <c r="S698" s="1198"/>
      <c r="T698" s="1198"/>
      <c r="U698" s="1435"/>
      <c r="V698" s="1435"/>
      <c r="W698" s="1435"/>
      <c r="X698" s="1435"/>
      <c r="Y698" s="1435"/>
      <c r="Z698" s="1435"/>
      <c r="AA698" s="1435"/>
      <c r="AB698" s="1641" t="s">
        <v>717</v>
      </c>
      <c r="AC698" s="1855" t="b">
        <f t="shared" ref="AC698:AI698" si="314">IF(CNTR_ExistSubInstEntries,IF($I657="",TRUE,OR(H697&gt;=CNTR_ReportingYear,AC697&lt;$V657-1,INDEX(EUconst_BMlistElExchangability,MATCH($I657,EUconst_BMlistNames,0))=FALSE)),FALSE)</f>
        <v>0</v>
      </c>
      <c r="AD698" s="1680" t="b">
        <f t="shared" si="314"/>
        <v>0</v>
      </c>
      <c r="AE698" s="1680" t="b">
        <f t="shared" si="314"/>
        <v>0</v>
      </c>
      <c r="AF698" s="1680" t="b">
        <f t="shared" si="314"/>
        <v>0</v>
      </c>
      <c r="AG698" s="1680" t="b">
        <f t="shared" si="314"/>
        <v>0</v>
      </c>
      <c r="AH698" s="1680" t="b">
        <f t="shared" si="314"/>
        <v>0</v>
      </c>
      <c r="AI698" s="1681" t="b">
        <f t="shared" si="314"/>
        <v>0</v>
      </c>
      <c r="AJ698" s="1633" t="s">
        <v>1954</v>
      </c>
      <c r="AK698" s="1635" t="str">
        <f>IF(AND(CNTR_ExistSubInstEntries,COUNTIFS(AC698:AI698,FALSE,H698:N698,"")&gt;0),EUconst_Error&amp;"BM"&amp;$Q657,"")</f>
        <v/>
      </c>
      <c r="AL698" s="1198"/>
      <c r="AP698" s="1135"/>
    </row>
    <row r="699" spans="1:42" s="562" customFormat="1" ht="12.75" customHeight="1">
      <c r="A699" s="618"/>
      <c r="B699" s="485"/>
      <c r="C699" s="485"/>
      <c r="D699" s="561" t="s">
        <v>7</v>
      </c>
      <c r="E699" s="865" t="s">
        <v>257</v>
      </c>
      <c r="F699" s="865"/>
      <c r="G699" s="582" t="str">
        <f>EUconst_TJpa</f>
        <v>TJ / year</v>
      </c>
      <c r="H699" s="662" t="str">
        <f t="shared" ref="H699:N699" si="315">IF(AND($I657&lt;&gt;"",H697&lt;CNTR_ReportingYear),IF(INDEX(EUconst_BMlistElExchangability,MATCH($I657,EUconst_BMlistNames,0)),SUM(H870),""),"")</f>
        <v/>
      </c>
      <c r="I699" s="931" t="str">
        <f t="shared" si="315"/>
        <v/>
      </c>
      <c r="J699" s="1788" t="str">
        <f t="shared" si="315"/>
        <v/>
      </c>
      <c r="K699" s="1789" t="str">
        <f t="shared" si="315"/>
        <v/>
      </c>
      <c r="L699" s="1789" t="str">
        <f t="shared" si="315"/>
        <v/>
      </c>
      <c r="M699" s="1789" t="str">
        <f t="shared" si="315"/>
        <v/>
      </c>
      <c r="N699" s="1789" t="str">
        <f t="shared" si="315"/>
        <v/>
      </c>
      <c r="O699" s="485"/>
      <c r="P699" s="485"/>
      <c r="Q699" s="1435"/>
      <c r="R699" s="1435"/>
      <c r="S699" s="1198"/>
      <c r="T699" s="1198">
        <f t="shared" ref="T699:Z699" si="316">H697</f>
        <v>2024</v>
      </c>
      <c r="U699" s="1435">
        <f t="shared" si="316"/>
        <v>2025</v>
      </c>
      <c r="V699" s="1435">
        <f t="shared" si="316"/>
        <v>2026</v>
      </c>
      <c r="W699" s="1435">
        <f t="shared" si="316"/>
        <v>2027</v>
      </c>
      <c r="X699" s="1435">
        <f t="shared" si="316"/>
        <v>2028</v>
      </c>
      <c r="Y699" s="1435">
        <f t="shared" si="316"/>
        <v>2029</v>
      </c>
      <c r="Z699" s="1435">
        <f t="shared" si="316"/>
        <v>2030</v>
      </c>
      <c r="AA699" s="1435"/>
      <c r="AB699" s="1435"/>
      <c r="AC699" s="1665"/>
      <c r="AD699" s="1435"/>
      <c r="AE699" s="1435"/>
      <c r="AF699" s="1435"/>
      <c r="AG699" s="1435"/>
      <c r="AH699" s="1435"/>
      <c r="AI699" s="1683"/>
      <c r="AJ699" s="1435"/>
      <c r="AK699" s="1435"/>
      <c r="AL699" s="1198"/>
      <c r="AP699" s="1135"/>
    </row>
    <row r="700" spans="1:42" s="562" customFormat="1" ht="12.75" customHeight="1" thickBot="1">
      <c r="A700" s="618"/>
      <c r="B700" s="485"/>
      <c r="C700" s="485"/>
      <c r="D700" s="561" t="s">
        <v>8</v>
      </c>
      <c r="E700" s="932" t="s">
        <v>914</v>
      </c>
      <c r="F700" s="932"/>
      <c r="G700" s="933" t="str">
        <f>EUconst_MWhpa</f>
        <v>MWh / year</v>
      </c>
      <c r="H700" s="1582" t="str">
        <f>c_ALR2025!M3366</f>
        <v/>
      </c>
      <c r="I700" s="1880"/>
      <c r="J700" s="1491"/>
      <c r="K700" s="1492"/>
      <c r="L700" s="1492"/>
      <c r="M700" s="1492"/>
      <c r="N700" s="1492"/>
      <c r="O700" s="485"/>
      <c r="P700" s="9"/>
      <c r="Q700" s="1644" t="str">
        <f>EUconst_CNTR_HAL&amp;EUconst_CNTR_ELEXCH</f>
        <v>HAL_ELEXCH_</v>
      </c>
      <c r="R700" s="1644" t="str">
        <f>EUconst_CNTR_HAL&amp;EUconst_CNTR_ELEXCH &amp; I657</f>
        <v>HAL_ELEXCH_</v>
      </c>
      <c r="S700" s="1198" t="str">
        <f>EUconst_CNTR_AttributedEmissions &amp; I657</f>
        <v>AttrEmissions_</v>
      </c>
      <c r="T700" s="1198" t="str">
        <f t="shared" ref="T700:Z700" si="317">IF(T665,SUM(H700)*EUconst_ElBM,"")</f>
        <v/>
      </c>
      <c r="U700" s="1435" t="str">
        <f t="shared" si="317"/>
        <v/>
      </c>
      <c r="V700" s="1435" t="str">
        <f t="shared" si="317"/>
        <v/>
      </c>
      <c r="W700" s="1435" t="str">
        <f t="shared" si="317"/>
        <v/>
      </c>
      <c r="X700" s="1435" t="str">
        <f t="shared" si="317"/>
        <v/>
      </c>
      <c r="Y700" s="1435" t="str">
        <f t="shared" si="317"/>
        <v/>
      </c>
      <c r="Z700" s="1435" t="str">
        <f t="shared" si="317"/>
        <v/>
      </c>
      <c r="AA700" s="1435"/>
      <c r="AB700" s="1435"/>
      <c r="AC700" s="1685" t="b">
        <f>AC698</f>
        <v>0</v>
      </c>
      <c r="AD700" s="1686" t="b">
        <f t="shared" ref="AD700:AI700" si="318">AD698</f>
        <v>0</v>
      </c>
      <c r="AE700" s="1686" t="b">
        <f t="shared" si="318"/>
        <v>0</v>
      </c>
      <c r="AF700" s="1686" t="b">
        <f t="shared" si="318"/>
        <v>0</v>
      </c>
      <c r="AG700" s="1686" t="b">
        <f t="shared" si="318"/>
        <v>0</v>
      </c>
      <c r="AH700" s="1686" t="b">
        <f t="shared" si="318"/>
        <v>0</v>
      </c>
      <c r="AI700" s="1687" t="b">
        <f t="shared" si="318"/>
        <v>0</v>
      </c>
      <c r="AJ700" s="1633" t="s">
        <v>1954</v>
      </c>
      <c r="AK700" s="1635" t="str">
        <f>IF(AND(CNTR_ExistSubInstEntries,COUNTIFS(AC700:AI700,FALSE,H700:N700,"")&gt;0),EUconst_Error&amp;"BM"&amp;$Q657,"")</f>
        <v/>
      </c>
      <c r="AL700" s="1198"/>
      <c r="AP700" s="1135"/>
    </row>
    <row r="701" spans="1:42" s="562" customFormat="1" ht="13.5" customHeight="1">
      <c r="A701" s="618"/>
      <c r="B701" s="485"/>
      <c r="C701" s="485"/>
      <c r="D701" s="561" t="s">
        <v>18</v>
      </c>
      <c r="E701" s="863" t="s">
        <v>915</v>
      </c>
      <c r="F701" s="863"/>
      <c r="G701" s="579" t="str">
        <f>EUconst_tCO2pa</f>
        <v>t CO2 / year</v>
      </c>
      <c r="H701" s="929" t="str">
        <f t="shared" ref="H701:N701" si="319">IF(ISNUMBER(H698),H698+SUM(H699)*EUconst_HeatBMvalue,"")</f>
        <v/>
      </c>
      <c r="I701" s="930" t="str">
        <f t="shared" si="319"/>
        <v/>
      </c>
      <c r="J701" s="1786" t="str">
        <f t="shared" si="319"/>
        <v/>
      </c>
      <c r="K701" s="1787" t="str">
        <f t="shared" si="319"/>
        <v/>
      </c>
      <c r="L701" s="1787" t="str">
        <f t="shared" si="319"/>
        <v/>
      </c>
      <c r="M701" s="1787" t="str">
        <f t="shared" si="319"/>
        <v/>
      </c>
      <c r="N701" s="1787" t="str">
        <f t="shared" si="319"/>
        <v/>
      </c>
      <c r="O701" s="485"/>
      <c r="P701" s="485"/>
      <c r="Q701" s="1435"/>
      <c r="R701" s="1435"/>
      <c r="S701" s="1198"/>
      <c r="T701" s="1198"/>
      <c r="U701" s="1435"/>
      <c r="V701" s="1435"/>
      <c r="W701" s="1435"/>
      <c r="X701" s="1435"/>
      <c r="Y701" s="1435"/>
      <c r="Z701" s="1435"/>
      <c r="AA701" s="1435"/>
      <c r="AB701" s="1435"/>
      <c r="AC701" s="1435"/>
      <c r="AD701" s="1435"/>
      <c r="AE701" s="1435"/>
      <c r="AF701" s="1435"/>
      <c r="AG701" s="1435"/>
      <c r="AH701" s="1435"/>
      <c r="AI701" s="1435"/>
      <c r="AJ701" s="1435"/>
      <c r="AK701" s="1435"/>
      <c r="AL701" s="1198"/>
      <c r="AP701" s="1135"/>
    </row>
    <row r="702" spans="1:42" s="562" customFormat="1" ht="13.5" customHeight="1">
      <c r="A702" s="618"/>
      <c r="B702" s="485"/>
      <c r="C702" s="485"/>
      <c r="D702" s="561" t="s">
        <v>787</v>
      </c>
      <c r="E702" s="867" t="s">
        <v>916</v>
      </c>
      <c r="F702" s="867"/>
      <c r="G702" s="584" t="str">
        <f>EUconst_tCO2pa</f>
        <v>t CO2 / year</v>
      </c>
      <c r="H702" s="935" t="str">
        <f t="shared" ref="H702:N702" si="320">IF(ISNUMBER(H700),H700*EUconst_ElBM,"")</f>
        <v/>
      </c>
      <c r="I702" s="936" t="str">
        <f t="shared" si="320"/>
        <v/>
      </c>
      <c r="J702" s="1786" t="str">
        <f t="shared" si="320"/>
        <v/>
      </c>
      <c r="K702" s="1787" t="str">
        <f t="shared" si="320"/>
        <v/>
      </c>
      <c r="L702" s="1787" t="str">
        <f t="shared" si="320"/>
        <v/>
      </c>
      <c r="M702" s="1787" t="str">
        <f t="shared" si="320"/>
        <v/>
      </c>
      <c r="N702" s="1787" t="str">
        <f t="shared" si="320"/>
        <v/>
      </c>
      <c r="O702" s="485"/>
      <c r="P702" s="485"/>
      <c r="Q702" s="1435"/>
      <c r="R702" s="1435"/>
      <c r="S702" s="1198"/>
      <c r="T702" s="1198"/>
      <c r="U702" s="1435"/>
      <c r="V702" s="1435"/>
      <c r="W702" s="1435"/>
      <c r="X702" s="1435"/>
      <c r="Y702" s="1435"/>
      <c r="Z702" s="1435"/>
      <c r="AA702" s="1435"/>
      <c r="AB702" s="1435"/>
      <c r="AC702" s="1435"/>
      <c r="AD702" s="1435"/>
      <c r="AE702" s="1435"/>
      <c r="AF702" s="1435"/>
      <c r="AG702" s="1435"/>
      <c r="AH702" s="1435"/>
      <c r="AI702" s="1435"/>
      <c r="AJ702" s="1435"/>
      <c r="AK702" s="1435"/>
      <c r="AL702" s="1198"/>
      <c r="AP702" s="1135"/>
    </row>
    <row r="703" spans="1:42" ht="5.0999999999999996" customHeight="1">
      <c r="B703" s="479"/>
      <c r="C703" s="479"/>
      <c r="D703" s="479"/>
      <c r="E703" s="479"/>
      <c r="F703" s="479"/>
      <c r="G703" s="479"/>
      <c r="H703" s="479"/>
      <c r="I703" s="479"/>
      <c r="J703" s="1790"/>
      <c r="K703" s="1791"/>
      <c r="L703" s="1791"/>
      <c r="M703" s="1791"/>
      <c r="N703" s="1791"/>
      <c r="O703" s="485"/>
      <c r="P703" s="485"/>
      <c r="Q703" s="1435"/>
      <c r="U703" s="1435"/>
      <c r="V703" s="1435"/>
      <c r="W703" s="1435"/>
      <c r="X703" s="1435"/>
      <c r="Y703" s="1435"/>
      <c r="Z703" s="1435"/>
    </row>
    <row r="704" spans="1:42" ht="12.75" customHeight="1">
      <c r="B704" s="479"/>
      <c r="C704" s="479"/>
      <c r="D704" s="561" t="s">
        <v>788</v>
      </c>
      <c r="E704" s="698" t="s">
        <v>1389</v>
      </c>
      <c r="F704" s="938"/>
      <c r="G704" s="939" t="s">
        <v>1021</v>
      </c>
      <c r="H704" s="940" t="str">
        <f t="shared" ref="H704:N704" si="321">IF(COUNT(H701:H702)&gt;0,SUM(H701)/SUM(H701:H702),IF($T693=TRUE,IF(H697&gt;CNTR_ReportingYear,"",1),""))</f>
        <v/>
      </c>
      <c r="I704" s="941" t="str">
        <f t="shared" si="321"/>
        <v/>
      </c>
      <c r="J704" s="1792" t="str">
        <f t="shared" si="321"/>
        <v/>
      </c>
      <c r="K704" s="1793" t="str">
        <f t="shared" si="321"/>
        <v/>
      </c>
      <c r="L704" s="1793" t="str">
        <f t="shared" si="321"/>
        <v/>
      </c>
      <c r="M704" s="1793" t="str">
        <f t="shared" si="321"/>
        <v/>
      </c>
      <c r="N704" s="1793" t="str">
        <f t="shared" si="321"/>
        <v/>
      </c>
      <c r="O704" s="485"/>
      <c r="P704" s="485"/>
      <c r="Q704" s="1644" t="str">
        <f>EUconst_CNTR_ELEXCH &amp; I657</f>
        <v>ELEXCH_</v>
      </c>
    </row>
    <row r="705" spans="1:38" ht="5.0999999999999996" customHeight="1">
      <c r="B705" s="479"/>
      <c r="C705" s="479"/>
      <c r="D705" s="479"/>
      <c r="E705" s="479"/>
      <c r="F705" s="479"/>
      <c r="G705" s="479"/>
      <c r="H705" s="479"/>
      <c r="I705" s="479"/>
      <c r="J705" s="479"/>
      <c r="K705" s="479"/>
      <c r="L705" s="479"/>
      <c r="M705" s="485"/>
      <c r="N705" s="485"/>
      <c r="O705" s="485"/>
      <c r="P705" s="485"/>
      <c r="Q705" s="1435"/>
    </row>
    <row r="706" spans="1:38" ht="25.5" customHeight="1" thickBot="1">
      <c r="B706" s="479"/>
      <c r="C706" s="479"/>
      <c r="D706" s="485"/>
      <c r="E706" s="2385" t="s">
        <v>2736</v>
      </c>
      <c r="F706" s="2846"/>
      <c r="G706" s="2846"/>
      <c r="H706" s="2846"/>
      <c r="I706" s="2846"/>
      <c r="J706" s="2846"/>
      <c r="K706" s="2846"/>
      <c r="L706" s="2846"/>
      <c r="M706" s="2846"/>
      <c r="N706" s="2846"/>
      <c r="O706" s="485"/>
      <c r="P706" s="485"/>
      <c r="Q706" s="1435"/>
      <c r="S706" s="1435"/>
      <c r="T706" s="1435"/>
      <c r="U706" s="1435"/>
    </row>
    <row r="707" spans="1:38" ht="5.0999999999999996" customHeight="1" thickBot="1">
      <c r="B707" s="479"/>
      <c r="C707" s="479"/>
      <c r="D707" s="902"/>
      <c r="E707" s="942"/>
      <c r="F707" s="942"/>
      <c r="G707" s="942"/>
      <c r="H707" s="942"/>
      <c r="I707" s="942"/>
      <c r="J707" s="943"/>
      <c r="K707" s="1791"/>
      <c r="L707" s="1791"/>
      <c r="M707" s="1791"/>
      <c r="N707" s="1791"/>
      <c r="O707" s="485"/>
      <c r="P707" s="485"/>
      <c r="Q707" s="1435"/>
      <c r="S707" s="1435"/>
      <c r="T707" s="1435"/>
      <c r="U707" s="1435"/>
    </row>
    <row r="708" spans="1:38" ht="12.75" customHeight="1">
      <c r="B708" s="479"/>
      <c r="C708" s="479"/>
      <c r="D708" s="907" t="s">
        <v>1915</v>
      </c>
      <c r="E708" s="908" t="s">
        <v>1775</v>
      </c>
      <c r="F708" s="909"/>
      <c r="G708" s="909"/>
      <c r="H708" s="910" t="str">
        <f>EUconst_Unit</f>
        <v>Unit</v>
      </c>
      <c r="I708" s="911" t="s">
        <v>2220</v>
      </c>
      <c r="J708" s="1647">
        <f>J$3242</f>
        <v>2026</v>
      </c>
      <c r="K708" s="1490">
        <f>K$3242</f>
        <v>2027</v>
      </c>
      <c r="L708" s="1490">
        <f>L$3242</f>
        <v>2028</v>
      </c>
      <c r="M708" s="1490">
        <f>M$3242</f>
        <v>2029</v>
      </c>
      <c r="N708" s="1490">
        <f>N$3242</f>
        <v>2030</v>
      </c>
      <c r="O708" s="485"/>
      <c r="P708" s="485"/>
      <c r="Q708" s="1435"/>
      <c r="U708" s="1648"/>
      <c r="V708" s="1649">
        <f>J708</f>
        <v>2026</v>
      </c>
      <c r="W708" s="1649">
        <f>K708</f>
        <v>2027</v>
      </c>
      <c r="X708" s="1649">
        <f>L708</f>
        <v>2028</v>
      </c>
      <c r="Y708" s="1649">
        <f>M708</f>
        <v>2029</v>
      </c>
      <c r="Z708" s="1650">
        <f>N708</f>
        <v>2030</v>
      </c>
      <c r="AL708" s="1435"/>
    </row>
    <row r="709" spans="1:38" ht="12.75" customHeight="1">
      <c r="B709" s="479"/>
      <c r="C709" s="479"/>
      <c r="D709" s="915" t="s">
        <v>6</v>
      </c>
      <c r="E709" s="916" t="s">
        <v>1691</v>
      </c>
      <c r="F709" s="916"/>
      <c r="G709" s="916"/>
      <c r="H709" s="944" t="str">
        <f>G704</f>
        <v>-</v>
      </c>
      <c r="I709" s="945" t="str">
        <f>IF($T693&lt;&gt;TRUE,"",INDEX('B+C_SubInstallations'!$L:$L,MATCH(Q709,'B+C_SubInstallations'!$W:$W,0)))</f>
        <v/>
      </c>
      <c r="J709" s="1691" t="str">
        <f>IF($T693&lt;&gt;TRUE,"",IF(AND(V709&gt;=3,CNTR_ReportingYear&gt;J708-1),AVERAGE(SUM(H704),SUM(I704)),""))</f>
        <v/>
      </c>
      <c r="K709" s="1794" t="str">
        <f>IF($T693&lt;&gt;TRUE,"",IF(AND(W709&gt;=3,CNTR_ReportingYear&gt;K708-1),AVERAGE(SUM(I704),SUM(J704)),""))</f>
        <v/>
      </c>
      <c r="L709" s="1794" t="str">
        <f>IF($T693&lt;&gt;TRUE,"",IF(AND(X709&gt;=3,CNTR_ReportingYear&gt;L708-1),AVERAGE(SUM(J704),SUM(K704)),""))</f>
        <v/>
      </c>
      <c r="M709" s="1794" t="str">
        <f>IF($T693&lt;&gt;TRUE,"",IF(AND(Y709&gt;=3,CNTR_ReportingYear&gt;M708-1),AVERAGE(SUM(K704),SUM(L704)),""))</f>
        <v/>
      </c>
      <c r="N709" s="1794" t="str">
        <f>IF($T693&lt;&gt;TRUE,"",IF(AND(Z709&gt;=3,CNTR_ReportingYear&gt;N708-1),AVERAGE(SUM(L704),SUM(M704)),""))</f>
        <v/>
      </c>
      <c r="O709" s="485"/>
      <c r="P709" s="485"/>
      <c r="Q709" s="1644" t="str">
        <f>EUconst_CNTR_HAL &amp; EUconst_CNTR_ELEXCHInitial &amp; I657</f>
        <v>HAL_ELEXCHIni_</v>
      </c>
      <c r="U709" s="1693" t="s">
        <v>1650</v>
      </c>
      <c r="V709" s="1635">
        <f>V679</f>
        <v>0</v>
      </c>
      <c r="W709" s="1635">
        <f>W679</f>
        <v>0</v>
      </c>
      <c r="X709" s="1635">
        <f>X679</f>
        <v>0</v>
      </c>
      <c r="Y709" s="1635">
        <f>Y679</f>
        <v>0</v>
      </c>
      <c r="Z709" s="1654">
        <f>Z679</f>
        <v>0</v>
      </c>
      <c r="AL709" s="1435"/>
    </row>
    <row r="710" spans="1:38" ht="12.75" hidden="1" customHeight="1">
      <c r="A710" s="618" t="s">
        <v>2289</v>
      </c>
      <c r="B710" s="479"/>
      <c r="C710" s="479"/>
      <c r="D710" s="915"/>
      <c r="E710" s="916" t="s">
        <v>1776</v>
      </c>
      <c r="F710" s="916"/>
      <c r="G710" s="916"/>
      <c r="H710" s="921"/>
      <c r="I710" s="1657"/>
      <c r="J710" s="17" t="str">
        <f>IF(J709="","",IF($I712=0,IF(J709=0,0%,100%),J709/$I712-1))</f>
        <v/>
      </c>
      <c r="K710" s="22" t="str">
        <f>IF(K709="","",IF($I712=0,IF(K709=0,0%,100%),K709/$I712-1))</f>
        <v/>
      </c>
      <c r="L710" s="22" t="str">
        <f>IF(L709="","",IF($I712=0,IF(L709=0,0%,100%),L709/$I712-1))</f>
        <v/>
      </c>
      <c r="M710" s="22" t="str">
        <f>IF(M709="","",IF($I712=0,IF(M709=0,0%,100%),M709/$I712-1))</f>
        <v/>
      </c>
      <c r="N710" s="22" t="str">
        <f>IF(N709="","",IF($I712=0,IF(N709=0,0%,100%),N709/$I712-1))</f>
        <v/>
      </c>
      <c r="O710" s="485"/>
      <c r="P710" s="485"/>
      <c r="Q710" s="1644" t="str">
        <f>EUconst_CNTR_RelThreshold &amp; Q712</f>
        <v>RelThresh_HALprelim_ELEXCH_</v>
      </c>
      <c r="U710" s="1693" t="s">
        <v>1655</v>
      </c>
      <c r="V710" s="1158" t="str">
        <f>IF(J709="","",ABS(J710)&gt;15%)</f>
        <v/>
      </c>
      <c r="W710" s="1158" t="str">
        <f>IF(K709="","",ABS(K710)&gt;15%)</f>
        <v/>
      </c>
      <c r="X710" s="1158" t="str">
        <f>IF(L709="","",ABS(L710)&gt;15%)</f>
        <v/>
      </c>
      <c r="Y710" s="1158" t="str">
        <f>IF(M709="","",ABS(M710)&gt;15%)</f>
        <v/>
      </c>
      <c r="Z710" s="1656" t="str">
        <f>IF(N709="","",ABS(N710)&gt;15%)</f>
        <v/>
      </c>
      <c r="AL710" s="1435"/>
    </row>
    <row r="711" spans="1:38" ht="12.75" customHeight="1">
      <c r="A711" s="618"/>
      <c r="B711" s="479"/>
      <c r="C711" s="479"/>
      <c r="D711" s="915" t="s">
        <v>7</v>
      </c>
      <c r="E711" s="916" t="s">
        <v>1654</v>
      </c>
      <c r="F711" s="916"/>
      <c r="G711" s="916"/>
      <c r="H711" s="921"/>
      <c r="I711" s="1657"/>
      <c r="J711" s="1658" t="str">
        <f>IF(J709="","",IF(V710=FALSE,0%,J710))</f>
        <v/>
      </c>
      <c r="K711" s="1795" t="str">
        <f>IF(K709="","",IF(W710=FALSE,0%,K710))</f>
        <v/>
      </c>
      <c r="L711" s="1795" t="str">
        <f>IF(L709="","",IF(X710=FALSE,0%,L710))</f>
        <v/>
      </c>
      <c r="M711" s="1795" t="str">
        <f>IF(M709="","",IF(Y710=FALSE,0%,M710))</f>
        <v/>
      </c>
      <c r="N711" s="1795" t="str">
        <f>IF(N709="","",IF(Z710=FALSE,0%,N710))</f>
        <v/>
      </c>
      <c r="O711" s="485"/>
      <c r="P711" s="485"/>
      <c r="Q711" s="1435"/>
      <c r="U711" s="1694"/>
      <c r="Z711" s="1664"/>
      <c r="AL711" s="1435"/>
    </row>
    <row r="712" spans="1:38" ht="12.75" hidden="1" customHeight="1">
      <c r="A712" s="618" t="s">
        <v>2289</v>
      </c>
      <c r="B712" s="479"/>
      <c r="C712" s="479"/>
      <c r="D712" s="915"/>
      <c r="E712" s="916" t="s">
        <v>1689</v>
      </c>
      <c r="F712" s="916"/>
      <c r="G712" s="916"/>
      <c r="H712" s="944" t="str">
        <f>H709</f>
        <v>-</v>
      </c>
      <c r="I712" s="945" t="str">
        <f>IF($T693&lt;&gt;TRUE,"",IF(AB657=FALSE,EUconst_NA,IF(V657&gt;($J$3242-3),INDEX(H704:N704,MATCH(V657,H697:N697,0)),SUM(I709))))</f>
        <v/>
      </c>
      <c r="J712" s="1695" t="str">
        <f>IF(OR($I657="",$T693=FALSE),"",IF(V709&lt;2,SUM(J704),IF(V709&lt;3,SUM(I704),IF(V712="",I712,V712))))</f>
        <v/>
      </c>
      <c r="K712" s="1794" t="str">
        <f>IF(OR($I657="",$T693=FALSE),"",IF(W709&lt;2,SUM(K704),IF(W709&lt;3,SUM(J704),IF(W712="",J712,W712))))</f>
        <v/>
      </c>
      <c r="L712" s="1794" t="str">
        <f>IF(OR($I657="",$T693=FALSE),"",IF(X709&lt;2,SUM(L704),IF(X709&lt;3,SUM(K704),IF(X712="",K712,X712))))</f>
        <v/>
      </c>
      <c r="M712" s="1794" t="str">
        <f>IF(OR($I657="",$T693=FALSE),"",IF(Y709&lt;2,SUM(M704),IF(Y709&lt;3,SUM(L704),IF(Y712="",L712,Y712))))</f>
        <v/>
      </c>
      <c r="N712" s="1794" t="str">
        <f>IF(OR($I657="",$T693=FALSE),"",IF(Z709&lt;2,SUM(N704),IF(Z709&lt;3,SUM(M704),IF(Z712="",M712,Z712))))</f>
        <v/>
      </c>
      <c r="O712" s="485"/>
      <c r="P712" s="485"/>
      <c r="Q712" s="1644" t="str">
        <f>EUconst_CNTR_HALprelim&amp;EUconst_CNTR_ELEXCH &amp; I657</f>
        <v>HALprelim_ELEXCH_</v>
      </c>
      <c r="U712" s="1693" t="s">
        <v>1697</v>
      </c>
      <c r="V712" s="1696" t="str">
        <f>IF(J709="","",IF(CNTR_ReportingYear&lt;J708,I711,IF($I712=0,J709,$I712*(1+J711))))</f>
        <v/>
      </c>
      <c r="W712" s="1696" t="str">
        <f>IF(K709="","",IF(CNTR_ReportingYear&lt;K708,J711,IF($I712=0,K709,$I712*(1+K711))))</f>
        <v/>
      </c>
      <c r="X712" s="1696" t="str">
        <f>IF(L709="","",IF(CNTR_ReportingYear&lt;L708,K711,IF($I712=0,L709,$I712*(1+L711))))</f>
        <v/>
      </c>
      <c r="Y712" s="1696" t="str">
        <f>IF(M709="","",IF(CNTR_ReportingYear&lt;M708,L711,IF($I712=0,M709,$I712*(1+M711))))</f>
        <v/>
      </c>
      <c r="Z712" s="1697" t="str">
        <f>IF(N709="","",IF(CNTR_ReportingYear&lt;N708,M711,IF($I712=0,N709,$I712*(1+N711))))</f>
        <v/>
      </c>
      <c r="AL712" s="1435"/>
    </row>
    <row r="713" spans="1:38" ht="5.0999999999999996" customHeight="1">
      <c r="A713" s="618"/>
      <c r="B713" s="479"/>
      <c r="C713" s="479"/>
      <c r="D713" s="915"/>
      <c r="E713" s="909"/>
      <c r="F713" s="909"/>
      <c r="G713" s="909"/>
      <c r="H713" s="909"/>
      <c r="I713" s="909"/>
      <c r="J713" s="922"/>
      <c r="K713" s="1791"/>
      <c r="L713" s="1791"/>
      <c r="M713" s="1791"/>
      <c r="N713" s="1791"/>
      <c r="O713" s="485"/>
      <c r="P713" s="485"/>
      <c r="Q713" s="1435"/>
      <c r="U713" s="1663"/>
      <c r="V713" s="1435"/>
      <c r="Z713" s="1664"/>
      <c r="AL713" s="1435"/>
    </row>
    <row r="714" spans="1:38" ht="12.75" customHeight="1">
      <c r="A714" s="618"/>
      <c r="B714" s="479"/>
      <c r="C714" s="479"/>
      <c r="D714" s="915"/>
      <c r="E714" s="923" t="s">
        <v>1653</v>
      </c>
      <c r="F714" s="923"/>
      <c r="G714" s="923"/>
      <c r="H714" s="923"/>
      <c r="I714" s="923"/>
      <c r="J714" s="1647">
        <f>J$3242</f>
        <v>2026</v>
      </c>
      <c r="K714" s="1490">
        <f>K$3242</f>
        <v>2027</v>
      </c>
      <c r="L714" s="1490">
        <f>L$3242</f>
        <v>2028</v>
      </c>
      <c r="M714" s="1490">
        <f>M$3242</f>
        <v>2029</v>
      </c>
      <c r="N714" s="1490">
        <f>N$3242</f>
        <v>2030</v>
      </c>
      <c r="O714" s="485"/>
      <c r="P714" s="485"/>
      <c r="Q714" s="1435"/>
      <c r="U714" s="1665"/>
      <c r="Z714" s="1664"/>
      <c r="AL714" s="1435"/>
    </row>
    <row r="715" spans="1:38" ht="12.75" customHeight="1">
      <c r="A715" s="618"/>
      <c r="B715" s="479"/>
      <c r="C715" s="479"/>
      <c r="D715" s="915" t="s">
        <v>8</v>
      </c>
      <c r="E715" s="916" t="s">
        <v>2108</v>
      </c>
      <c r="F715" s="916"/>
      <c r="G715" s="916"/>
      <c r="H715" s="916"/>
      <c r="I715" s="916"/>
      <c r="J715" s="1666" t="str">
        <f>IF(OR($I657="",$T693=FALSE),"",INDEX(K_Summary!J:J,MATCH($Q715,K_Summary!$P:$P,0)))</f>
        <v/>
      </c>
      <c r="K715" s="1791" t="str">
        <f>IF(OR($I657="",$T693=FALSE),"",INDEX(K_Summary!K:K,MATCH($Q715,K_Summary!$P:$P,0)))</f>
        <v/>
      </c>
      <c r="L715" s="1791" t="str">
        <f>IF(OR($I657="",$T693=FALSE),"",INDEX(K_Summary!L:L,MATCH($Q715,K_Summary!$P:$P,0)))</f>
        <v/>
      </c>
      <c r="M715" s="1791" t="str">
        <f>IF(OR($I657="",$T693=FALSE),"",INDEX(K_Summary!M:M,MATCH($Q715,K_Summary!$P:$P,0)))</f>
        <v/>
      </c>
      <c r="N715" s="1791" t="str">
        <f>IF(OR($I657="",$T693=FALSE),"",INDEX(K_Summary!N:N,MATCH($Q715,K_Summary!$P:$P,0)))</f>
        <v/>
      </c>
      <c r="O715" s="485"/>
      <c r="P715" s="485"/>
      <c r="Q715" s="1644" t="str">
        <f>EUconst_CNTR_100EUA_ElExch&amp;I657</f>
        <v>EUA100ElExch_</v>
      </c>
      <c r="U715" s="1665"/>
      <c r="Z715" s="1664"/>
      <c r="AL715" s="1435"/>
    </row>
    <row r="716" spans="1:38" ht="5.0999999999999996" customHeight="1" thickBot="1">
      <c r="A716" s="618"/>
      <c r="B716" s="479"/>
      <c r="C716" s="479"/>
      <c r="D716" s="915"/>
      <c r="E716" s="909"/>
      <c r="F716" s="909"/>
      <c r="G716" s="909"/>
      <c r="H716" s="909"/>
      <c r="I716" s="909"/>
      <c r="J716" s="922"/>
      <c r="K716" s="1791"/>
      <c r="L716" s="1791"/>
      <c r="M716" s="1791"/>
      <c r="N716" s="1791"/>
      <c r="O716" s="485"/>
      <c r="P716" s="485"/>
      <c r="Q716" s="1435"/>
      <c r="U716" s="1663"/>
      <c r="V716" s="1435"/>
      <c r="Z716" s="1664"/>
      <c r="AL716" s="1435"/>
    </row>
    <row r="717" spans="1:38" ht="12.75" customHeight="1" thickBot="1">
      <c r="B717" s="479"/>
      <c r="C717" s="479"/>
      <c r="D717" s="915" t="s">
        <v>18</v>
      </c>
      <c r="E717" s="916" t="s">
        <v>1657</v>
      </c>
      <c r="F717" s="916"/>
      <c r="G717" s="916"/>
      <c r="H717" s="921"/>
      <c r="I717" s="1667"/>
      <c r="J717" s="1668" t="str">
        <f>IF(J715="","",IF(OR(J715,V709&lt;1),J711,I717))</f>
        <v/>
      </c>
      <c r="K717" s="1796" t="str">
        <f>IF(K715="","",IF(OR(K715,W709&lt;1),K711,J717))</f>
        <v/>
      </c>
      <c r="L717" s="1796" t="str">
        <f>IF(L715="","",IF(OR(L715,X709&lt;1),L711,K717))</f>
        <v/>
      </c>
      <c r="M717" s="1796" t="str">
        <f>IF(M715="","",IF(OR(M715,Y709&lt;1),M711,L717))</f>
        <v/>
      </c>
      <c r="N717" s="1796" t="str">
        <f>IF(N715="","",IF(OR(N715,Z709&lt;1),N711,M717))</f>
        <v/>
      </c>
      <c r="O717" s="485"/>
      <c r="P717" s="485"/>
      <c r="Q717" s="1435"/>
      <c r="U717" s="1663" t="s">
        <v>1658</v>
      </c>
      <c r="V717" s="1670">
        <f>J714</f>
        <v>2026</v>
      </c>
      <c r="W717" s="1670">
        <f>K714</f>
        <v>2027</v>
      </c>
      <c r="X717" s="1670">
        <f>L714</f>
        <v>2028</v>
      </c>
      <c r="Y717" s="1670">
        <f>M714</f>
        <v>2029</v>
      </c>
      <c r="Z717" s="1671">
        <f>N714</f>
        <v>2030</v>
      </c>
      <c r="AL717" s="1435"/>
    </row>
    <row r="718" spans="1:38" ht="12.75" customHeight="1" thickBot="1">
      <c r="A718" s="618"/>
      <c r="B718" s="479"/>
      <c r="C718" s="479"/>
      <c r="D718" s="915" t="s">
        <v>787</v>
      </c>
      <c r="E718" s="916" t="s">
        <v>1659</v>
      </c>
      <c r="F718" s="916"/>
      <c r="G718" s="916"/>
      <c r="H718" s="944" t="str">
        <f>H709</f>
        <v>-</v>
      </c>
      <c r="I718" s="945" t="str">
        <f>I712</f>
        <v/>
      </c>
      <c r="J718" s="1698" t="str">
        <f>IF(OR($I657="",$T693=FALSE),"",IF(OR($I718=0,$I718=EUconst_NA,J717="",J714&lt;=$V657),J712,$I718*(1+SUM(J717))))</f>
        <v/>
      </c>
      <c r="K718" s="1797" t="str">
        <f>IF(OR($I657="",$T693=FALSE),"",IF(OR($I718=0,$I718=EUconst_NA,K717="",K714&lt;=$V657),K712,$I718*(1+SUM(K717))))</f>
        <v/>
      </c>
      <c r="L718" s="1797" t="str">
        <f>IF(OR($I657="",$T693=FALSE),"",IF(OR($I718=0,$I718=EUconst_NA,L717="",L714&lt;=$V657),L712,$I718*(1+SUM(L717))))</f>
        <v/>
      </c>
      <c r="M718" s="1797" t="str">
        <f>IF(OR($I657="",$T693=FALSE),"",IF(OR($I718=0,$I718=EUconst_NA,M717="",M714&lt;=$V657),M712,$I718*(1+SUM(M717))))</f>
        <v/>
      </c>
      <c r="N718" s="1797" t="str">
        <f>IF(OR($I657="",$T693=FALSE),"",IF(OR($I718=0,$I718=EUconst_NA,N717="",N714&lt;=$V657),N712,$I718*(1+SUM(N717))))</f>
        <v/>
      </c>
      <c r="O718" s="485"/>
      <c r="P718" s="485"/>
      <c r="Q718" s="1644" t="str">
        <f>EUconst_CNTR_HALfinal&amp;EUconst_CNTR_ELEXCH &amp; I657</f>
        <v>HALfinal_ELEXCH_</v>
      </c>
      <c r="U718" s="1674" t="b">
        <v>0</v>
      </c>
      <c r="V718" s="1675" t="str">
        <f>IF(V665,IF(J715=TRUE,V710,U718),"")</f>
        <v/>
      </c>
      <c r="W718" s="1675" t="str">
        <f>IF(W665,IF(K715=TRUE,W710,V718),"")</f>
        <v/>
      </c>
      <c r="X718" s="1675" t="str">
        <f>IF(X665,IF(L715=TRUE,X710,W718),"")</f>
        <v/>
      </c>
      <c r="Y718" s="1675" t="str">
        <f>IF(Y665,IF(M715=TRUE,Y710,X718),"")</f>
        <v/>
      </c>
      <c r="Z718" s="1676" t="str">
        <f>IF(Z665,IF(N715=TRUE,Z710,Y718),"")</f>
        <v/>
      </c>
      <c r="AJ718" s="1633" t="s">
        <v>1951</v>
      </c>
      <c r="AK718" s="1443" t="str">
        <f>IF(OR(ISERROR(J718),ISERROR(K718),ISERROR(L718),ISERROR(M718),ISERROR(N718)),EUconst_Error &amp; "BM" &amp; Q657,"")</f>
        <v/>
      </c>
      <c r="AL718" s="1435"/>
    </row>
    <row r="719" spans="1:38" ht="5.0999999999999996" customHeight="1" thickBot="1">
      <c r="B719" s="479"/>
      <c r="C719" s="479"/>
      <c r="D719" s="946"/>
      <c r="E719" s="947"/>
      <c r="F719" s="947"/>
      <c r="G719" s="947"/>
      <c r="H719" s="947"/>
      <c r="I719" s="947"/>
      <c r="J719" s="1700"/>
      <c r="K719" s="1791"/>
      <c r="L719" s="1791"/>
      <c r="M719" s="1791"/>
      <c r="N719" s="1791"/>
      <c r="O719" s="485"/>
      <c r="P719" s="485"/>
      <c r="Q719" s="1435"/>
    </row>
    <row r="720" spans="1:38" ht="5.0999999999999996" customHeight="1">
      <c r="B720" s="479"/>
      <c r="C720" s="479"/>
      <c r="D720" s="479"/>
      <c r="E720" s="479"/>
      <c r="F720" s="479"/>
      <c r="G720" s="479"/>
      <c r="H720" s="479"/>
      <c r="I720" s="479"/>
      <c r="J720" s="479"/>
      <c r="K720" s="479"/>
      <c r="L720" s="479"/>
      <c r="M720" s="485"/>
      <c r="N720" s="485"/>
      <c r="O720" s="485"/>
      <c r="P720" s="485"/>
      <c r="Q720" s="1435"/>
    </row>
    <row r="721" spans="1:38" ht="12.75" customHeight="1">
      <c r="B721" s="479"/>
      <c r="C721" s="479"/>
      <c r="D721" s="482" t="s">
        <v>881</v>
      </c>
      <c r="E721" s="2373" t="s">
        <v>941</v>
      </c>
      <c r="F721" s="2373"/>
      <c r="G721" s="2373"/>
      <c r="H721" s="2373"/>
      <c r="I721" s="2604"/>
      <c r="J721" s="2652" t="str">
        <f>IF(I657="","",HYPERLINK(R721,EUconst_MsgGoOnIfNotRelevant))</f>
        <v/>
      </c>
      <c r="K721" s="2653"/>
      <c r="L721" s="2653"/>
      <c r="M721" s="2653"/>
      <c r="N721" s="2654"/>
      <c r="O721" s="485"/>
      <c r="P721" s="485"/>
      <c r="Q721" s="1198" t="s">
        <v>441</v>
      </c>
      <c r="R721" s="1488" t="str">
        <f>"#"&amp;ADDRESS(ROW(D746),COLUMN(D746))</f>
        <v>#$D$746</v>
      </c>
    </row>
    <row r="722" spans="1:38" ht="12.75" customHeight="1">
      <c r="B722" s="479"/>
      <c r="C722" s="479"/>
      <c r="D722" s="485"/>
      <c r="E722" s="2385" t="s">
        <v>1368</v>
      </c>
      <c r="F722" s="2846"/>
      <c r="G722" s="2846"/>
      <c r="H722" s="2846"/>
      <c r="I722" s="2846"/>
      <c r="J722" s="2846"/>
      <c r="K722" s="2846"/>
      <c r="L722" s="2846"/>
      <c r="M722" s="2846"/>
      <c r="N722" s="2846"/>
      <c r="O722" s="485"/>
      <c r="P722" s="485"/>
      <c r="Q722" s="1435"/>
      <c r="U722" s="1435"/>
      <c r="V722" s="1435"/>
    </row>
    <row r="723" spans="1:38" ht="12.75" customHeight="1">
      <c r="B723" s="479"/>
      <c r="C723" s="479"/>
      <c r="D723" s="485"/>
      <c r="E723" s="2385" t="s">
        <v>1474</v>
      </c>
      <c r="F723" s="2846"/>
      <c r="G723" s="2846"/>
      <c r="H723" s="2846"/>
      <c r="I723" s="2846"/>
      <c r="J723" s="2846"/>
      <c r="K723" s="2846"/>
      <c r="L723" s="2846"/>
      <c r="M723" s="2846"/>
      <c r="N723" s="2846"/>
      <c r="O723" s="485"/>
      <c r="P723" s="485"/>
      <c r="Q723" s="1435"/>
      <c r="U723" s="1435"/>
      <c r="V723" s="1435"/>
    </row>
    <row r="724" spans="1:38" ht="12.75" customHeight="1">
      <c r="B724" s="479"/>
      <c r="C724" s="479"/>
      <c r="D724" s="485"/>
      <c r="E724" s="2385" t="s">
        <v>1300</v>
      </c>
      <c r="F724" s="2846"/>
      <c r="G724" s="2846"/>
      <c r="H724" s="2846"/>
      <c r="I724" s="2846"/>
      <c r="J724" s="2846"/>
      <c r="K724" s="2846"/>
      <c r="L724" s="2846"/>
      <c r="M724" s="2846"/>
      <c r="N724" s="2846"/>
      <c r="O724" s="485"/>
      <c r="P724" s="485"/>
      <c r="Q724" s="1435"/>
      <c r="U724" s="1435"/>
      <c r="V724" s="1435"/>
    </row>
    <row r="725" spans="1:38" ht="12.75" customHeight="1">
      <c r="B725" s="479"/>
      <c r="C725" s="479"/>
      <c r="D725" s="485"/>
      <c r="E725" s="2385" t="s">
        <v>1608</v>
      </c>
      <c r="F725" s="2846"/>
      <c r="G725" s="2846"/>
      <c r="H725" s="2846"/>
      <c r="I725" s="2846"/>
      <c r="J725" s="2846"/>
      <c r="K725" s="2846"/>
      <c r="L725" s="2846"/>
      <c r="M725" s="2846"/>
      <c r="N725" s="2846"/>
      <c r="O725" s="485"/>
      <c r="P725" s="485"/>
      <c r="Q725" s="1435"/>
      <c r="U725" s="1435"/>
      <c r="V725" s="1435"/>
      <c r="W725" s="1435"/>
      <c r="X725" s="1435"/>
      <c r="Y725" s="1435"/>
      <c r="Z725" s="1435"/>
    </row>
    <row r="726" spans="1:38" ht="13.5" thickBot="1">
      <c r="B726" s="1124"/>
      <c r="C726" s="485"/>
      <c r="D726" s="482"/>
      <c r="E726" s="927" t="s">
        <v>62</v>
      </c>
      <c r="F726" s="518"/>
      <c r="G726" s="663" t="str">
        <f>EUconst_Unit</f>
        <v>Unit</v>
      </c>
      <c r="H726" s="578">
        <f>H$3242</f>
        <v>2024</v>
      </c>
      <c r="I726" s="697">
        <f>I$3242</f>
        <v>2025</v>
      </c>
      <c r="J726" s="1489">
        <f>J$112</f>
        <v>2026</v>
      </c>
      <c r="K726" s="1490">
        <f>K$112</f>
        <v>2027</v>
      </c>
      <c r="L726" s="1490">
        <f>L$112</f>
        <v>2028</v>
      </c>
      <c r="M726" s="1490">
        <f>M$112</f>
        <v>2029</v>
      </c>
      <c r="N726" s="1490">
        <f>N$112</f>
        <v>2030</v>
      </c>
      <c r="O726" s="485"/>
      <c r="P726" s="485"/>
      <c r="R726" s="1503"/>
      <c r="S726" s="1633" t="s">
        <v>1846</v>
      </c>
      <c r="T726" s="1638">
        <f t="shared" ref="T726:Z726" si="322">H726</f>
        <v>2024</v>
      </c>
      <c r="U726" s="1638">
        <f t="shared" si="322"/>
        <v>2025</v>
      </c>
      <c r="V726" s="1638">
        <f t="shared" si="322"/>
        <v>2026</v>
      </c>
      <c r="W726" s="1638">
        <f t="shared" si="322"/>
        <v>2027</v>
      </c>
      <c r="X726" s="1638">
        <f t="shared" si="322"/>
        <v>2028</v>
      </c>
      <c r="Y726" s="1638">
        <f t="shared" si="322"/>
        <v>2029</v>
      </c>
      <c r="Z726" s="1638">
        <f t="shared" si="322"/>
        <v>2030</v>
      </c>
      <c r="AA726" s="1503"/>
      <c r="AC726" s="1638">
        <f t="shared" ref="AC726:AI726" si="323">H$20</f>
        <v>2024</v>
      </c>
      <c r="AD726" s="1638">
        <f t="shared" si="323"/>
        <v>2025</v>
      </c>
      <c r="AE726" s="1638">
        <f t="shared" si="323"/>
        <v>2026</v>
      </c>
      <c r="AF726" s="1638">
        <f t="shared" si="323"/>
        <v>2027</v>
      </c>
      <c r="AG726" s="1638">
        <f t="shared" si="323"/>
        <v>2028</v>
      </c>
      <c r="AH726" s="1638">
        <f t="shared" si="323"/>
        <v>2029</v>
      </c>
      <c r="AI726" s="1638">
        <f t="shared" si="323"/>
        <v>2030</v>
      </c>
    </row>
    <row r="727" spans="1:38" ht="13.15" customHeight="1" thickBot="1">
      <c r="B727" s="1124"/>
      <c r="C727" s="485"/>
      <c r="D727" s="561" t="s">
        <v>6</v>
      </c>
      <c r="E727" s="2788" t="s">
        <v>650</v>
      </c>
      <c r="F727" s="2788"/>
      <c r="G727" s="730" t="str">
        <f>EUconst_TJpa</f>
        <v>TJ / year</v>
      </c>
      <c r="H727" s="1479" t="str">
        <f>c_ALR2025!M3393</f>
        <v/>
      </c>
      <c r="I727" s="1530"/>
      <c r="J727" s="1491"/>
      <c r="K727" s="1492"/>
      <c r="L727" s="1492"/>
      <c r="M727" s="1492"/>
      <c r="N727" s="1492"/>
      <c r="O727" s="485"/>
      <c r="P727" s="9"/>
      <c r="Q727" s="1443" t="str">
        <f>EUconst_CNTR_HAL&amp;EUconst_CNTR_nonETSMeasHeat</f>
        <v>HAL_non-ETS measurable heat</v>
      </c>
      <c r="S727" s="1633"/>
      <c r="T727" s="1701" t="str">
        <f t="shared" ref="T727:Z727" si="324">IF(H727="","",SUM(H727)*EUconst_HeatBMvalue)</f>
        <v/>
      </c>
      <c r="U727" s="1701" t="str">
        <f t="shared" si="324"/>
        <v/>
      </c>
      <c r="V727" s="1701" t="str">
        <f t="shared" si="324"/>
        <v/>
      </c>
      <c r="W727" s="1701" t="str">
        <f t="shared" si="324"/>
        <v/>
      </c>
      <c r="X727" s="1701" t="str">
        <f t="shared" si="324"/>
        <v/>
      </c>
      <c r="Y727" s="1701" t="str">
        <f t="shared" si="324"/>
        <v/>
      </c>
      <c r="Z727" s="1701" t="str">
        <f t="shared" si="324"/>
        <v/>
      </c>
      <c r="AB727" s="1641" t="s">
        <v>717</v>
      </c>
      <c r="AC727" s="1853" t="b">
        <f t="shared" ref="AC727:AI727" si="325">IF(CNTR_ExistSubInstEntries,OR($I657="",H664&gt;=CNTR_ReportingYear,AC726&lt;$V657-1),FALSE)</f>
        <v>0</v>
      </c>
      <c r="AD727" s="1642" t="b">
        <f t="shared" si="325"/>
        <v>0</v>
      </c>
      <c r="AE727" s="1642" t="b">
        <f t="shared" si="325"/>
        <v>0</v>
      </c>
      <c r="AF727" s="1642" t="b">
        <f t="shared" si="325"/>
        <v>0</v>
      </c>
      <c r="AG727" s="1642" t="b">
        <f t="shared" si="325"/>
        <v>0</v>
      </c>
      <c r="AH727" s="1642" t="b">
        <f t="shared" si="325"/>
        <v>0</v>
      </c>
      <c r="AI727" s="1643" t="b">
        <f t="shared" si="325"/>
        <v>0</v>
      </c>
      <c r="AJ727" s="1633" t="s">
        <v>1954</v>
      </c>
      <c r="AK727" s="1635" t="str">
        <f>IF(AND(CNTR_ExistSubInstEntries,COUNTIFS(AC727:AI727,FALSE,H727:N727,"")&gt;0),EUconst_Error&amp;"BM"&amp;$Q657,"")</f>
        <v/>
      </c>
    </row>
    <row r="728" spans="1:38">
      <c r="B728" s="1124"/>
      <c r="C728" s="485"/>
      <c r="D728" s="561" t="s">
        <v>7</v>
      </c>
      <c r="E728" s="2606" t="s">
        <v>107</v>
      </c>
      <c r="F728" s="2606"/>
      <c r="G728" s="950" t="s">
        <v>1022</v>
      </c>
      <c r="H728" s="36" t="str">
        <f>IF(AND(ISNUMBER(H727),ISNUMBER(E_EnergyFlows!H$114)), H727/E_EnergyFlows!H$114*100,"")</f>
        <v/>
      </c>
      <c r="I728" s="39" t="str">
        <f>IF(AND(ISNUMBER(I727),ISNUMBER(E_EnergyFlows!I$114)), I727/E_EnergyFlows!I$114*100,"")</f>
        <v/>
      </c>
      <c r="J728" s="34" t="str">
        <f>IF(AND(ISNUMBER(J727),ISNUMBER(E_EnergyFlows!J$114)), J727/E_EnergyFlows!J$114*100,"")</f>
        <v/>
      </c>
      <c r="K728" s="21" t="str">
        <f>IF(AND(ISNUMBER(K727),ISNUMBER(E_EnergyFlows!K$114)), K727/E_EnergyFlows!K$114*100,"")</f>
        <v/>
      </c>
      <c r="L728" s="21" t="str">
        <f>IF(AND(ISNUMBER(L727),ISNUMBER(E_EnergyFlows!L$114)), L727/E_EnergyFlows!L$114*100,"")</f>
        <v/>
      </c>
      <c r="M728" s="21" t="str">
        <f>IF(AND(ISNUMBER(M727),ISNUMBER(E_EnergyFlows!M$114)), M727/E_EnergyFlows!M$114*100,"")</f>
        <v/>
      </c>
      <c r="N728" s="21" t="str">
        <f>IF(AND(ISNUMBER(N727),ISNUMBER(E_EnergyFlows!N$114)), N727/E_EnergyFlows!N$114*100,"")</f>
        <v/>
      </c>
      <c r="O728" s="485"/>
      <c r="P728" s="485"/>
      <c r="Q728" s="1504" t="str">
        <f>EUconst_CNTR_HEAT &amp; I657</f>
        <v>HEAT_</v>
      </c>
      <c r="R728" s="1435"/>
      <c r="U728" s="1435"/>
      <c r="V728" s="1435"/>
    </row>
    <row r="729" spans="1:38" ht="12.6" customHeight="1">
      <c r="B729" s="1124"/>
      <c r="C729" s="485"/>
      <c r="D729" s="561" t="s">
        <v>8</v>
      </c>
      <c r="E729" s="2586" t="s">
        <v>1548</v>
      </c>
      <c r="F729" s="2586"/>
      <c r="G729" s="951" t="s">
        <v>1022</v>
      </c>
      <c r="H729" s="37" t="str">
        <f>IFERROR(IF(AND(H870&gt;0,ISNUMBER(H727)), H727/H870*100,""),"")</f>
        <v/>
      </c>
      <c r="I729" s="40" t="str">
        <f t="shared" ref="I729:N729" si="326">IF(AND(I870&gt;0,ISNUMBER(I727)), I727/I870*100,"")</f>
        <v/>
      </c>
      <c r="J729" s="34" t="str">
        <f t="shared" si="326"/>
        <v/>
      </c>
      <c r="K729" s="21" t="str">
        <f t="shared" si="326"/>
        <v/>
      </c>
      <c r="L729" s="21" t="str">
        <f t="shared" si="326"/>
        <v/>
      </c>
      <c r="M729" s="21" t="str">
        <f t="shared" si="326"/>
        <v/>
      </c>
      <c r="N729" s="21" t="str">
        <f t="shared" si="326"/>
        <v/>
      </c>
      <c r="O729" s="485"/>
      <c r="P729" s="485"/>
      <c r="U729" s="1435"/>
      <c r="V729" s="1435"/>
    </row>
    <row r="730" spans="1:38" ht="5.0999999999999996" customHeight="1">
      <c r="B730" s="1124"/>
      <c r="C730" s="485"/>
      <c r="D730" s="485"/>
      <c r="E730" s="485"/>
      <c r="F730" s="485"/>
      <c r="G730" s="485"/>
      <c r="H730" s="485"/>
      <c r="I730" s="952"/>
      <c r="J730" s="485"/>
      <c r="K730" s="485"/>
      <c r="L730" s="485"/>
      <c r="M730" s="485"/>
      <c r="N730" s="485"/>
      <c r="O730" s="485"/>
      <c r="P730" s="485"/>
      <c r="Q730" s="1702"/>
      <c r="U730" s="1435"/>
      <c r="V730" s="1435"/>
    </row>
    <row r="731" spans="1:38" ht="25.5" customHeight="1" thickBot="1">
      <c r="B731" s="479"/>
      <c r="C731" s="479"/>
      <c r="D731" s="485"/>
      <c r="E731" s="2385" t="s">
        <v>2733</v>
      </c>
      <c r="F731" s="2846"/>
      <c r="G731" s="2846"/>
      <c r="H731" s="2846"/>
      <c r="I731" s="2846"/>
      <c r="J731" s="2846"/>
      <c r="K731" s="2846"/>
      <c r="L731" s="2846"/>
      <c r="M731" s="2846"/>
      <c r="N731" s="2846"/>
      <c r="O731" s="485"/>
      <c r="P731" s="485"/>
      <c r="Q731" s="1435"/>
      <c r="S731" s="1435"/>
      <c r="T731" s="1435"/>
      <c r="U731" s="1435"/>
    </row>
    <row r="732" spans="1:38" ht="5.0999999999999996" customHeight="1" thickBot="1">
      <c r="B732" s="479"/>
      <c r="C732" s="479"/>
      <c r="D732" s="902"/>
      <c r="E732" s="904"/>
      <c r="F732" s="953"/>
      <c r="G732" s="953"/>
      <c r="H732" s="953"/>
      <c r="I732" s="953"/>
      <c r="J732" s="954"/>
      <c r="K732" s="1798"/>
      <c r="L732" s="1798"/>
      <c r="M732" s="1798"/>
      <c r="N732" s="1798"/>
      <c r="O732" s="485"/>
      <c r="P732" s="485"/>
      <c r="Q732" s="1435"/>
      <c r="S732" s="1435"/>
      <c r="T732" s="1435"/>
      <c r="U732" s="1435"/>
    </row>
    <row r="733" spans="1:38" ht="12.75" customHeight="1">
      <c r="B733" s="479"/>
      <c r="C733" s="479"/>
      <c r="D733" s="907" t="s">
        <v>1916</v>
      </c>
      <c r="E733" s="908" t="s">
        <v>1774</v>
      </c>
      <c r="F733" s="909"/>
      <c r="G733" s="909"/>
      <c r="H733" s="910" t="str">
        <f>EUconst_Unit</f>
        <v>Unit</v>
      </c>
      <c r="I733" s="911" t="s">
        <v>2220</v>
      </c>
      <c r="J733" s="1647">
        <f>J$3242</f>
        <v>2026</v>
      </c>
      <c r="K733" s="1490">
        <f>K$3242</f>
        <v>2027</v>
      </c>
      <c r="L733" s="1490">
        <f>L$3242</f>
        <v>2028</v>
      </c>
      <c r="M733" s="1490">
        <f>M$3242</f>
        <v>2029</v>
      </c>
      <c r="N733" s="1490">
        <f>N$3242</f>
        <v>2030</v>
      </c>
      <c r="O733" s="485"/>
      <c r="P733" s="485"/>
      <c r="Q733" s="1435"/>
      <c r="U733" s="1648"/>
      <c r="V733" s="1649">
        <f>J733</f>
        <v>2026</v>
      </c>
      <c r="W733" s="1649">
        <f>K733</f>
        <v>2027</v>
      </c>
      <c r="X733" s="1649">
        <f>L733</f>
        <v>2028</v>
      </c>
      <c r="Y733" s="1649">
        <f>M733</f>
        <v>2029</v>
      </c>
      <c r="Z733" s="1650">
        <f>N733</f>
        <v>2030</v>
      </c>
    </row>
    <row r="734" spans="1:38" ht="12.75" customHeight="1">
      <c r="B734" s="479"/>
      <c r="C734" s="479"/>
      <c r="D734" s="915" t="s">
        <v>6</v>
      </c>
      <c r="E734" s="916" t="s">
        <v>1691</v>
      </c>
      <c r="F734" s="916"/>
      <c r="G734" s="916"/>
      <c r="H734" s="944" t="str">
        <f>EUconst_tCO2</f>
        <v>t CO2</v>
      </c>
      <c r="I734" s="917" t="str">
        <f>INDEX('B+C_SubInstallations'!$J:$J,MATCH(Q734,'B+C_SubInstallations'!$U:$U,0))</f>
        <v/>
      </c>
      <c r="J734" s="1703" t="str">
        <f>IF(AND(V734&gt;=3,CNTR_ReportingYear&gt;J733-1),AVERAGE(SUM(T727),SUM(U727)),"")</f>
        <v/>
      </c>
      <c r="K734" s="1799" t="str">
        <f>IF(AND(W734&gt;=3,CNTR_ReportingYear&gt;K733-1),AVERAGE(SUM(U727),SUM(V727)),"")</f>
        <v/>
      </c>
      <c r="L734" s="1799" t="str">
        <f>IF(AND(X734&gt;=3,CNTR_ReportingYear&gt;L733-1),AVERAGE(SUM(V727),SUM(W727)),"")</f>
        <v/>
      </c>
      <c r="M734" s="1799" t="str">
        <f>IF(AND(Y734&gt;=3,CNTR_ReportingYear&gt;M733-1),AVERAGE(SUM(W727),SUM(X727)),"")</f>
        <v/>
      </c>
      <c r="N734" s="1799" t="str">
        <f>IF(AND(Z734&gt;=3,CNTR_ReportingYear&gt;N733-1),AVERAGE(SUM(X727),SUM(Y727)),"")</f>
        <v/>
      </c>
      <c r="O734" s="485"/>
      <c r="P734" s="485"/>
      <c r="Q734" s="1704" t="str">
        <f>EUconst_CNTR_HEATInitial &amp; I657</f>
        <v>HEATIni_</v>
      </c>
      <c r="U734" s="1663" t="s">
        <v>1650</v>
      </c>
      <c r="V734" s="1635">
        <f>V679</f>
        <v>0</v>
      </c>
      <c r="W734" s="1635">
        <f>W679</f>
        <v>0</v>
      </c>
      <c r="X734" s="1635">
        <f>X679</f>
        <v>0</v>
      </c>
      <c r="Y734" s="1635">
        <f>Y679</f>
        <v>0</v>
      </c>
      <c r="Z734" s="1654">
        <f>Z679</f>
        <v>0</v>
      </c>
    </row>
    <row r="735" spans="1:38" ht="12.75" hidden="1" customHeight="1">
      <c r="A735" s="618" t="s">
        <v>2289</v>
      </c>
      <c r="B735" s="479"/>
      <c r="C735" s="479"/>
      <c r="D735" s="915"/>
      <c r="E735" s="916" t="s">
        <v>1776</v>
      </c>
      <c r="F735" s="916"/>
      <c r="G735" s="916"/>
      <c r="H735" s="921"/>
      <c r="I735" s="1657"/>
      <c r="J735" s="17" t="str">
        <f>IF(J734="","",IF($I737=0,IF(J734=0,0%,100%),J734/$I737-1))</f>
        <v/>
      </c>
      <c r="K735" s="22" t="str">
        <f>IF(K734="","",IF($I737=0,IF(K734=0,0%,100%),K734/$I737-1))</f>
        <v/>
      </c>
      <c r="L735" s="22" t="str">
        <f>IF(L734="","",IF($I737=0,IF(L734=0,0%,100%),L734/$I737-1))</f>
        <v/>
      </c>
      <c r="M735" s="22" t="str">
        <f>IF(M734="","",IF($I737=0,IF(M734=0,0%,100%),M734/$I737-1))</f>
        <v/>
      </c>
      <c r="N735" s="22" t="str">
        <f>IF(N734="","",IF($I737=0,IF(N734=0,0%,100%),N734/$I737-1))</f>
        <v/>
      </c>
      <c r="O735" s="485"/>
      <c r="P735" s="485"/>
      <c r="Q735" s="1644" t="str">
        <f>EUconst_CNTR_RelThreshold &amp; Q737</f>
        <v>RelThresh_HEATprelim_</v>
      </c>
      <c r="U735" s="1663" t="s">
        <v>1655</v>
      </c>
      <c r="V735" s="1158" t="str">
        <f>IF(J734="","",ABS(J735)&gt;15%)</f>
        <v/>
      </c>
      <c r="W735" s="1158" t="str">
        <f>IF(K734="","",ABS(K735)&gt;15%)</f>
        <v/>
      </c>
      <c r="X735" s="1158" t="str">
        <f>IF(L734="","",ABS(L735)&gt;15%)</f>
        <v/>
      </c>
      <c r="Y735" s="1158" t="str">
        <f>IF(M734="","",ABS(M735)&gt;15%)</f>
        <v/>
      </c>
      <c r="Z735" s="1656" t="str">
        <f>IF(N734="","",ABS(N735)&gt;15%)</f>
        <v/>
      </c>
    </row>
    <row r="736" spans="1:38" ht="12.75" customHeight="1">
      <c r="A736" s="618"/>
      <c r="B736" s="479"/>
      <c r="C736" s="479"/>
      <c r="D736" s="915" t="s">
        <v>7</v>
      </c>
      <c r="E736" s="916" t="s">
        <v>1654</v>
      </c>
      <c r="F736" s="916"/>
      <c r="G736" s="916"/>
      <c r="H736" s="921"/>
      <c r="I736" s="1657"/>
      <c r="J736" s="1658" t="str">
        <f>IF(J734="","",IF(V735=FALSE,0%,J735))</f>
        <v/>
      </c>
      <c r="K736" s="1795" t="str">
        <f>IF(K734="","",IF(W735=FALSE,0%,K735))</f>
        <v/>
      </c>
      <c r="L736" s="1795" t="str">
        <f>IF(L734="","",IF(X735=FALSE,0%,L735))</f>
        <v/>
      </c>
      <c r="M736" s="1795" t="str">
        <f>IF(M734="","",IF(Y735=FALSE,0%,M735))</f>
        <v/>
      </c>
      <c r="N736" s="1795" t="str">
        <f>IF(N734="","",IF(Z735=FALSE,0%,N735))</f>
        <v/>
      </c>
      <c r="O736" s="485"/>
      <c r="P736" s="485"/>
      <c r="Q736" s="1435"/>
      <c r="U736" s="1665"/>
      <c r="Z736" s="1664"/>
      <c r="AL736" s="1435"/>
    </row>
    <row r="737" spans="1:38" ht="12.75" hidden="1" customHeight="1">
      <c r="A737" s="618" t="s">
        <v>2289</v>
      </c>
      <c r="B737" s="479"/>
      <c r="C737" s="479"/>
      <c r="D737" s="915"/>
      <c r="E737" s="916" t="s">
        <v>1689</v>
      </c>
      <c r="F737" s="916"/>
      <c r="G737" s="916"/>
      <c r="H737" s="944" t="str">
        <f>H734</f>
        <v>t CO2</v>
      </c>
      <c r="I737" s="917" t="str">
        <f>IF($I657="","",IF(AB657=FALSE,EUconst_NA,IF(V657&gt;($J$3242-3),SUM(INDEX(H727:N727,MATCH(V657,H726:N726,0))*EUconst_HeatBMvalue),SUM(I734))))</f>
        <v/>
      </c>
      <c r="J737" s="1651" t="str">
        <f>IF($I657="","",IF(V734&lt;2,SUM(V727),IF(V734&lt;3,SUM(U727),IF(V737="",I737,V737))))</f>
        <v/>
      </c>
      <c r="K737" s="1799" t="str">
        <f>IF($I657="","",IF(W734&lt;2,SUM(W727),IF(W734&lt;3,SUM(V727),IF(W737="",J737,W737))))</f>
        <v/>
      </c>
      <c r="L737" s="1799" t="str">
        <f>IF($I657="","",IF(X734&lt;2,SUM(X727),IF(X734&lt;3,SUM(W727),IF(X737="",K737,X737))))</f>
        <v/>
      </c>
      <c r="M737" s="1799" t="str">
        <f>IF($I657="","",IF(Y734&lt;2,SUM(Y727),IF(Y734&lt;3,SUM(X727),IF(Y737="",L737,Y737))))</f>
        <v/>
      </c>
      <c r="N737" s="1799" t="str">
        <f>IF($I657="","",IF(Z734&lt;2,SUM(Z727),IF(Z734&lt;3,SUM(Y727),IF(Z737="",M737,Z737))))</f>
        <v/>
      </c>
      <c r="O737" s="485"/>
      <c r="P737" s="485"/>
      <c r="Q737" s="1644" t="str">
        <f>EUconst_CNTR_HEATprelim &amp; I657</f>
        <v>HEATprelim_</v>
      </c>
      <c r="U737" s="1663" t="s">
        <v>1697</v>
      </c>
      <c r="V737" s="1705" t="str">
        <f>IF(J734="","",IF(CNTR_ReportingYear&lt;J733,I736,IF($I737=0,J734,$I737*(1+J736))))</f>
        <v/>
      </c>
      <c r="W737" s="1705" t="str">
        <f>IF(K734="","",IF(CNTR_ReportingYear&lt;K733,J736,IF($I737=0,K734,$I737*(1+K736))))</f>
        <v/>
      </c>
      <c r="X737" s="1705" t="str">
        <f>IF(L734="","",IF(CNTR_ReportingYear&lt;L733,K736,IF($I737=0,L734,$I737*(1+L736))))</f>
        <v/>
      </c>
      <c r="Y737" s="1705" t="str">
        <f>IF(M734="","",IF(CNTR_ReportingYear&lt;M733,L736,IF($I737=0,M734,$I737*(1+M736))))</f>
        <v/>
      </c>
      <c r="Z737" s="1706" t="str">
        <f>IF(N734="","",IF(CNTR_ReportingYear&lt;N733,M736,IF($I737=0,N734,$I737*(1+N736))))</f>
        <v/>
      </c>
      <c r="AL737" s="1435"/>
    </row>
    <row r="738" spans="1:38" ht="5.0999999999999996" customHeight="1">
      <c r="A738" s="618"/>
      <c r="B738" s="479"/>
      <c r="C738" s="479"/>
      <c r="D738" s="915"/>
      <c r="E738" s="909"/>
      <c r="F738" s="909"/>
      <c r="G738" s="909"/>
      <c r="H738" s="909"/>
      <c r="I738" s="909"/>
      <c r="J738" s="922"/>
      <c r="K738" s="1791"/>
      <c r="L738" s="1791"/>
      <c r="M738" s="1791"/>
      <c r="N738" s="1791"/>
      <c r="O738" s="485"/>
      <c r="P738" s="485"/>
      <c r="Q738" s="1435"/>
      <c r="U738" s="1663"/>
      <c r="V738" s="1435"/>
      <c r="Z738" s="1664"/>
      <c r="AL738" s="1435"/>
    </row>
    <row r="739" spans="1:38" ht="12.75" customHeight="1">
      <c r="A739" s="618"/>
      <c r="B739" s="479"/>
      <c r="C739" s="479"/>
      <c r="D739" s="915"/>
      <c r="E739" s="923" t="s">
        <v>1653</v>
      </c>
      <c r="F739" s="923"/>
      <c r="G739" s="923"/>
      <c r="H739" s="923"/>
      <c r="I739" s="923"/>
      <c r="J739" s="1647">
        <f>J$3242</f>
        <v>2026</v>
      </c>
      <c r="K739" s="1490">
        <f>K$3242</f>
        <v>2027</v>
      </c>
      <c r="L739" s="1490">
        <f>L$3242</f>
        <v>2028</v>
      </c>
      <c r="M739" s="1490">
        <f>M$3242</f>
        <v>2029</v>
      </c>
      <c r="N739" s="1490">
        <f>N$3242</f>
        <v>2030</v>
      </c>
      <c r="O739" s="485"/>
      <c r="P739" s="485"/>
      <c r="Q739" s="1435"/>
      <c r="U739" s="1665"/>
      <c r="Z739" s="1664"/>
      <c r="AL739" s="1435"/>
    </row>
    <row r="740" spans="1:38" ht="12.75" customHeight="1">
      <c r="A740" s="618"/>
      <c r="B740" s="479"/>
      <c r="C740" s="479"/>
      <c r="D740" s="915" t="s">
        <v>8</v>
      </c>
      <c r="E740" s="916" t="s">
        <v>2108</v>
      </c>
      <c r="F740" s="916"/>
      <c r="G740" s="916"/>
      <c r="H740" s="916"/>
      <c r="I740" s="916"/>
      <c r="J740" s="1666" t="str">
        <f>IF($I657="","",INDEX(K_Summary!J:J,MATCH($Q740,K_Summary!$P:$P,0)))</f>
        <v/>
      </c>
      <c r="K740" s="1791" t="str">
        <f>IF($I657="","",INDEX(K_Summary!K:K,MATCH($Q740,K_Summary!$P:$P,0)))</f>
        <v/>
      </c>
      <c r="L740" s="1791" t="str">
        <f>IF($I657="","",INDEX(K_Summary!L:L,MATCH($Q740,K_Summary!$P:$P,0)))</f>
        <v/>
      </c>
      <c r="M740" s="1791" t="str">
        <f>IF($I657="","",INDEX(K_Summary!M:M,MATCH($Q740,K_Summary!$P:$P,0)))</f>
        <v/>
      </c>
      <c r="N740" s="1791" t="str">
        <f>IF($I657="","",INDEX(K_Summary!N:N,MATCH($Q740,K_Summary!$P:$P,0)))</f>
        <v/>
      </c>
      <c r="O740" s="485"/>
      <c r="P740" s="485"/>
      <c r="Q740" s="1644" t="str">
        <f>EUconst_CNTR_100EUA_HEAT&amp;I657</f>
        <v>EUA100HEAT_</v>
      </c>
      <c r="U740" s="1665"/>
      <c r="Z740" s="1664"/>
      <c r="AL740" s="1435"/>
    </row>
    <row r="741" spans="1:38" ht="5.0999999999999996" customHeight="1" thickBot="1">
      <c r="A741" s="618"/>
      <c r="B741" s="479"/>
      <c r="C741" s="479"/>
      <c r="D741" s="915"/>
      <c r="E741" s="909"/>
      <c r="F741" s="909"/>
      <c r="G741" s="909"/>
      <c r="H741" s="909"/>
      <c r="I741" s="909"/>
      <c r="J741" s="922"/>
      <c r="K741" s="1791"/>
      <c r="L741" s="1791"/>
      <c r="M741" s="1791"/>
      <c r="N741" s="1791"/>
      <c r="O741" s="485"/>
      <c r="P741" s="485"/>
      <c r="Q741" s="1435"/>
      <c r="U741" s="1663"/>
      <c r="V741" s="1435"/>
      <c r="Z741" s="1664"/>
      <c r="AL741" s="1435"/>
    </row>
    <row r="742" spans="1:38" ht="12.75" customHeight="1" thickBot="1">
      <c r="B742" s="479"/>
      <c r="C742" s="479"/>
      <c r="D742" s="915" t="s">
        <v>18</v>
      </c>
      <c r="E742" s="916" t="s">
        <v>1657</v>
      </c>
      <c r="F742" s="916"/>
      <c r="G742" s="916"/>
      <c r="H742" s="921"/>
      <c r="I742" s="1667"/>
      <c r="J742" s="1668" t="str">
        <f>IF(J740="","",IF(OR(J740,V734&lt;1),J736,I742))</f>
        <v/>
      </c>
      <c r="K742" s="1796" t="str">
        <f>IF(K740="","",IF(OR(K740,W734&lt;1),K736,J742))</f>
        <v/>
      </c>
      <c r="L742" s="1796" t="str">
        <f>IF(L740="","",IF(OR(L740,X734&lt;1),L736,K742))</f>
        <v/>
      </c>
      <c r="M742" s="1796" t="str">
        <f>IF(M740="","",IF(OR(M740,Y734&lt;1),M736,L742))</f>
        <v/>
      </c>
      <c r="N742" s="1796" t="str">
        <f>IF(N740="","",IF(OR(N740,Z734&lt;1),N736,M742))</f>
        <v/>
      </c>
      <c r="O742" s="485"/>
      <c r="P742" s="485"/>
      <c r="Q742" s="1435"/>
      <c r="U742" s="1663" t="s">
        <v>1658</v>
      </c>
      <c r="V742" s="1670">
        <f>J739</f>
        <v>2026</v>
      </c>
      <c r="W742" s="1670">
        <f>K739</f>
        <v>2027</v>
      </c>
      <c r="X742" s="1670">
        <f>L739</f>
        <v>2028</v>
      </c>
      <c r="Y742" s="1670">
        <f>M739</f>
        <v>2029</v>
      </c>
      <c r="Z742" s="1671">
        <f>N739</f>
        <v>2030</v>
      </c>
      <c r="AL742" s="1435"/>
    </row>
    <row r="743" spans="1:38" ht="12.75" customHeight="1" thickBot="1">
      <c r="A743" s="618"/>
      <c r="B743" s="479"/>
      <c r="C743" s="479"/>
      <c r="D743" s="915" t="s">
        <v>787</v>
      </c>
      <c r="E743" s="916" t="s">
        <v>1659</v>
      </c>
      <c r="F743" s="916"/>
      <c r="G743" s="916"/>
      <c r="H743" s="944" t="str">
        <f>H734</f>
        <v>t CO2</v>
      </c>
      <c r="I743" s="917" t="str">
        <f>I737</f>
        <v/>
      </c>
      <c r="J743" s="1672" t="str">
        <f>IF($I657="","",IF(OR($I743=0,$I743=EUconst_NA,J742=""),IF(OR(J740=TRUE,J739&lt;=$V657),J737,SUM(I743)),$I743*(1+SUM(J742))))</f>
        <v/>
      </c>
      <c r="K743" s="1800" t="str">
        <f>IF($I657="","",IF(OR($I743=0,$I743=EUconst_NA,K742=""),IF(OR(K740=TRUE,K739&lt;=$V657),K737,SUM(J743)),$I743*(1+SUM(K742))))</f>
        <v/>
      </c>
      <c r="L743" s="1800" t="str">
        <f>IF($I657="","",IF(OR($I743=0,$I743=EUconst_NA,L742=""),IF(OR(L740=TRUE,L739&lt;=$V657),L737,SUM(K743)),$I743*(1+SUM(L742))))</f>
        <v/>
      </c>
      <c r="M743" s="1800" t="str">
        <f>IF($I657="","",IF(OR($I743=0,$I743=EUconst_NA,M742=""),IF(OR(M740=TRUE,M739&lt;=$V657),M737,SUM(L743)),$I743*(1+SUM(M742))))</f>
        <v/>
      </c>
      <c r="N743" s="1800" t="str">
        <f>IF($I657="","",IF(OR($I743=0,$I743=EUconst_NA,N742=""),IF(OR(N740=TRUE,N739&lt;=$V657),N737,SUM(M743)),$I743*(1+SUM(N742))))</f>
        <v/>
      </c>
      <c r="O743" s="485"/>
      <c r="P743" s="485"/>
      <c r="Q743" s="1644" t="str">
        <f>EUconst_CNTR_HEATfinal &amp; I657</f>
        <v>HEATfinal_</v>
      </c>
      <c r="U743" s="1674" t="b">
        <v>0</v>
      </c>
      <c r="V743" s="1675" t="str">
        <f>IF(V665,IF(J740=TRUE,V735,U743),"")</f>
        <v/>
      </c>
      <c r="W743" s="1675" t="str">
        <f>IF(W665,IF(K740=TRUE,W735,V743),"")</f>
        <v/>
      </c>
      <c r="X743" s="1675" t="str">
        <f>IF(X665,IF(L740=TRUE,X735,W743),"")</f>
        <v/>
      </c>
      <c r="Y743" s="1675" t="str">
        <f>IF(Y665,IF(M740=TRUE,Y735,X743),"")</f>
        <v/>
      </c>
      <c r="Z743" s="1676" t="str">
        <f>IF(Z665,IF(N740=TRUE,Z735,Y743),"")</f>
        <v/>
      </c>
      <c r="AJ743" s="1633" t="s">
        <v>1951</v>
      </c>
      <c r="AK743" s="1443" t="str">
        <f>IF(OR(ISERROR(J743),ISERROR(K743),ISERROR(L743),ISERROR(M743),ISERROR(N743)),EUconst_Error &amp; "BM" &amp; Q657,"")</f>
        <v/>
      </c>
    </row>
    <row r="744" spans="1:38" ht="5.0999999999999996" customHeight="1" thickBot="1">
      <c r="B744" s="1124"/>
      <c r="C744" s="485"/>
      <c r="D744" s="924"/>
      <c r="E744" s="925"/>
      <c r="F744" s="925"/>
      <c r="G744" s="925"/>
      <c r="H744" s="925"/>
      <c r="I744" s="955"/>
      <c r="J744" s="926"/>
      <c r="K744" s="1791"/>
      <c r="L744" s="1791"/>
      <c r="M744" s="1791"/>
      <c r="N744" s="1791"/>
      <c r="O744" s="485"/>
      <c r="P744" s="485"/>
      <c r="Q744" s="1702"/>
      <c r="S744" s="1435"/>
      <c r="T744" s="1435"/>
    </row>
    <row r="745" spans="1:38" ht="5.0999999999999996" customHeight="1">
      <c r="B745" s="1124"/>
      <c r="C745" s="485"/>
      <c r="D745" s="485"/>
      <c r="E745" s="485"/>
      <c r="F745" s="485"/>
      <c r="G745" s="485"/>
      <c r="H745" s="485"/>
      <c r="I745" s="952"/>
      <c r="J745" s="485"/>
      <c r="K745" s="485"/>
      <c r="L745" s="485"/>
      <c r="M745" s="485"/>
      <c r="N745" s="485"/>
      <c r="O745" s="485"/>
      <c r="P745" s="485"/>
      <c r="Q745" s="1702"/>
      <c r="S745" s="1435"/>
      <c r="T745" s="1435"/>
    </row>
    <row r="746" spans="1:38" ht="15" customHeight="1">
      <c r="B746" s="1124"/>
      <c r="C746" s="856"/>
      <c r="D746" s="2482" t="s">
        <v>103</v>
      </c>
      <c r="E746" s="2400"/>
      <c r="F746" s="2400"/>
      <c r="G746" s="2400"/>
      <c r="H746" s="2400"/>
      <c r="I746" s="2400"/>
      <c r="J746" s="2400"/>
      <c r="K746" s="2400"/>
      <c r="L746" s="2400"/>
      <c r="M746" s="2400"/>
      <c r="N746" s="2400"/>
      <c r="O746" s="485"/>
      <c r="P746" s="485"/>
      <c r="S746" s="1435"/>
      <c r="T746" s="1435"/>
    </row>
    <row r="747" spans="1:38" ht="5.0999999999999996" customHeight="1">
      <c r="B747" s="479"/>
      <c r="C747" s="479"/>
      <c r="D747" s="479"/>
      <c r="E747" s="479"/>
      <c r="F747" s="479"/>
      <c r="G747" s="479"/>
      <c r="H747" s="479"/>
      <c r="I747" s="479"/>
      <c r="J747" s="479"/>
      <c r="K747" s="479"/>
      <c r="L747" s="479"/>
      <c r="M747" s="479"/>
      <c r="N747" s="479"/>
      <c r="O747" s="485"/>
      <c r="P747" s="485"/>
      <c r="Q747" s="1435"/>
      <c r="R747" s="1435"/>
      <c r="S747" s="1435"/>
      <c r="T747" s="1435"/>
    </row>
    <row r="748" spans="1:38" ht="12.75" customHeight="1">
      <c r="B748" s="479"/>
      <c r="C748" s="482"/>
      <c r="D748" s="482" t="s">
        <v>57</v>
      </c>
      <c r="E748" s="2373" t="s">
        <v>108</v>
      </c>
      <c r="F748" s="2400"/>
      <c r="G748" s="2400"/>
      <c r="H748" s="2400"/>
      <c r="I748" s="2400"/>
      <c r="J748" s="2400"/>
      <c r="K748" s="2400"/>
      <c r="L748" s="2400"/>
      <c r="M748" s="2400"/>
      <c r="N748" s="2400"/>
      <c r="O748" s="485"/>
      <c r="P748" s="485"/>
      <c r="Q748" s="1435"/>
      <c r="S748" s="1435"/>
      <c r="T748" s="1435"/>
    </row>
    <row r="749" spans="1:38" ht="25.5" customHeight="1">
      <c r="B749" s="479"/>
      <c r="C749" s="485"/>
      <c r="D749" s="485"/>
      <c r="E749" s="2465" t="s">
        <v>1935</v>
      </c>
      <c r="F749" s="2400"/>
      <c r="G749" s="2400"/>
      <c r="H749" s="2400"/>
      <c r="I749" s="2400"/>
      <c r="J749" s="2400"/>
      <c r="K749" s="2400"/>
      <c r="L749" s="2400"/>
      <c r="M749" s="2400"/>
      <c r="N749" s="2400"/>
      <c r="O749" s="485"/>
      <c r="P749" s="485"/>
      <c r="Q749" s="1435"/>
      <c r="S749" s="1435"/>
      <c r="T749" s="1435"/>
    </row>
    <row r="750" spans="1:38" ht="25.5" customHeight="1">
      <c r="B750" s="479"/>
      <c r="C750" s="485"/>
      <c r="D750" s="485"/>
      <c r="E750" s="2385" t="s">
        <v>1636</v>
      </c>
      <c r="F750" s="2846"/>
      <c r="G750" s="2846"/>
      <c r="H750" s="2846"/>
      <c r="I750" s="2846"/>
      <c r="J750" s="2846"/>
      <c r="K750" s="2846"/>
      <c r="L750" s="2846"/>
      <c r="M750" s="2846"/>
      <c r="N750" s="2846"/>
      <c r="O750" s="485"/>
      <c r="P750" s="485"/>
      <c r="Q750" s="1435"/>
      <c r="S750" s="1435"/>
      <c r="T750" s="1435"/>
    </row>
    <row r="751" spans="1:38" ht="12.75" customHeight="1">
      <c r="B751" s="479"/>
      <c r="C751" s="485"/>
      <c r="D751" s="485"/>
      <c r="E751" s="2385" t="s">
        <v>2119</v>
      </c>
      <c r="F751" s="2846"/>
      <c r="G751" s="2846"/>
      <c r="H751" s="2846"/>
      <c r="I751" s="2846"/>
      <c r="J751" s="2846"/>
      <c r="K751" s="2846"/>
      <c r="L751" s="2846"/>
      <c r="M751" s="2846"/>
      <c r="N751" s="2846"/>
      <c r="O751" s="485"/>
      <c r="P751" s="485"/>
      <c r="Q751" s="1435"/>
      <c r="S751" s="1435"/>
      <c r="T751" s="1435"/>
    </row>
    <row r="752" spans="1:38">
      <c r="B752" s="479"/>
      <c r="C752" s="485"/>
      <c r="D752" s="485"/>
      <c r="E752" s="3306" t="s">
        <v>2120</v>
      </c>
      <c r="F752" s="3306"/>
      <c r="G752" s="3306"/>
      <c r="H752" s="3306"/>
      <c r="I752" s="3306"/>
      <c r="J752" s="3306"/>
      <c r="K752" s="3306"/>
      <c r="L752" s="3306"/>
      <c r="M752" s="3306"/>
      <c r="N752" s="3306"/>
      <c r="O752" s="485"/>
      <c r="P752" s="485"/>
      <c r="Q752" s="1435"/>
      <c r="S752" s="1435"/>
      <c r="T752" s="1435"/>
    </row>
    <row r="753" spans="2:35" ht="5.0999999999999996" customHeight="1">
      <c r="B753" s="479"/>
      <c r="C753" s="479"/>
      <c r="D753" s="479"/>
      <c r="E753" s="479"/>
      <c r="F753" s="479"/>
      <c r="G753" s="479"/>
      <c r="H753" s="479"/>
      <c r="I753" s="479"/>
      <c r="J753" s="479"/>
      <c r="K753" s="479"/>
      <c r="L753" s="479"/>
      <c r="M753" s="479"/>
      <c r="N753" s="479"/>
      <c r="O753" s="485"/>
      <c r="P753" s="485"/>
      <c r="Q753" s="1435"/>
      <c r="R753" s="1435"/>
      <c r="S753" s="1435"/>
      <c r="T753" s="1435"/>
    </row>
    <row r="754" spans="2:35" ht="12.75" customHeight="1">
      <c r="B754" s="479"/>
      <c r="C754" s="482"/>
      <c r="D754" s="482" t="s">
        <v>58</v>
      </c>
      <c r="E754" s="2373" t="s">
        <v>1013</v>
      </c>
      <c r="F754" s="2400"/>
      <c r="G754" s="2400"/>
      <c r="H754" s="2400"/>
      <c r="I754" s="2400"/>
      <c r="J754" s="2400"/>
      <c r="K754" s="2400"/>
      <c r="L754" s="2400"/>
      <c r="M754" s="2400"/>
      <c r="N754" s="2400"/>
      <c r="O754" s="485"/>
      <c r="P754" s="485"/>
      <c r="Q754" s="1435"/>
      <c r="S754" s="1435"/>
      <c r="T754" s="1435"/>
    </row>
    <row r="755" spans="2:35" ht="5.0999999999999996" customHeight="1">
      <c r="B755" s="479"/>
      <c r="C755" s="479"/>
      <c r="D755" s="485"/>
      <c r="E755" s="617"/>
      <c r="F755" s="617"/>
      <c r="G755" s="617"/>
      <c r="H755" s="617"/>
      <c r="I755" s="617"/>
      <c r="J755" s="468"/>
      <c r="K755" s="468"/>
      <c r="L755" s="468"/>
      <c r="M755" s="485"/>
      <c r="N755" s="485"/>
      <c r="O755" s="485"/>
      <c r="P755" s="485"/>
      <c r="Q755" s="1435"/>
      <c r="S755" s="1435"/>
      <c r="T755" s="1435"/>
    </row>
    <row r="756" spans="2:35" ht="31.9" customHeight="1" thickBot="1">
      <c r="B756" s="1124"/>
      <c r="C756" s="485"/>
      <c r="D756" s="956"/>
      <c r="E756" s="1068" t="s">
        <v>2112</v>
      </c>
      <c r="F756" s="958" t="s">
        <v>949</v>
      </c>
      <c r="G756" s="959" t="str">
        <f>EUconst_Unit</f>
        <v>Unit</v>
      </c>
      <c r="H756" s="578">
        <f t="shared" ref="H756:I756" si="327">H$3242</f>
        <v>2024</v>
      </c>
      <c r="I756" s="697">
        <f t="shared" si="327"/>
        <v>2025</v>
      </c>
      <c r="J756" s="1801"/>
      <c r="K756" s="1802"/>
      <c r="L756" s="1802"/>
      <c r="M756" s="1802"/>
      <c r="N756" s="1802"/>
      <c r="O756" s="485"/>
      <c r="P756" s="485"/>
      <c r="S756" s="1709" t="s">
        <v>2057</v>
      </c>
      <c r="T756" s="1435"/>
      <c r="Z756" s="1710" t="s">
        <v>717</v>
      </c>
      <c r="AC756" s="1638">
        <f t="shared" ref="AC756:AI756" si="328">H$20</f>
        <v>2024</v>
      </c>
      <c r="AD756" s="1638">
        <f t="shared" si="328"/>
        <v>2025</v>
      </c>
      <c r="AE756" s="1638">
        <f t="shared" si="328"/>
        <v>2026</v>
      </c>
      <c r="AF756" s="1638">
        <f t="shared" si="328"/>
        <v>2027</v>
      </c>
      <c r="AG756" s="1638">
        <f t="shared" si="328"/>
        <v>2028</v>
      </c>
      <c r="AH756" s="1638">
        <f t="shared" si="328"/>
        <v>2029</v>
      </c>
      <c r="AI756" s="1638">
        <f t="shared" si="328"/>
        <v>2030</v>
      </c>
    </row>
    <row r="757" spans="2:35" ht="13.15" customHeight="1">
      <c r="B757" s="1124"/>
      <c r="C757" s="485"/>
      <c r="D757" s="579">
        <v>1</v>
      </c>
      <c r="E757" s="1711" t="str">
        <f>c_ALR2025!E3423</f>
        <v/>
      </c>
      <c r="F757" s="1711" t="str">
        <f>c_ALR2025!F3423</f>
        <v/>
      </c>
      <c r="G757" s="1712" t="str">
        <f>c_ALR2025!G3423</f>
        <v/>
      </c>
      <c r="H757" s="1713" t="str">
        <f>c_ALR2025!M3423</f>
        <v/>
      </c>
      <c r="I757" s="1858"/>
      <c r="J757" s="1801"/>
      <c r="K757" s="1802"/>
      <c r="L757" s="1802"/>
      <c r="M757" s="1802"/>
      <c r="N757" s="1802"/>
      <c r="O757" s="485"/>
      <c r="P757" s="9"/>
      <c r="S757" s="1715" t="b">
        <f>IF(E757 = "", TRUE, FALSE)</f>
        <v>1</v>
      </c>
      <c r="T757" s="1435"/>
      <c r="Z757" s="1435"/>
      <c r="AC757" s="1803"/>
      <c r="AD757" s="1803"/>
      <c r="AE757" s="1803"/>
      <c r="AF757" s="1803"/>
      <c r="AG757" s="1803"/>
      <c r="AH757" s="1803"/>
    </row>
    <row r="758" spans="2:35" ht="13.15" customHeight="1">
      <c r="B758" s="1124"/>
      <c r="C758" s="485"/>
      <c r="D758" s="582">
        <f>D757+1</f>
        <v>2</v>
      </c>
      <c r="E758" s="1717" t="str">
        <f>c_ALR2025!E3424</f>
        <v/>
      </c>
      <c r="F758" s="1717" t="str">
        <f>c_ALR2025!F3424</f>
        <v/>
      </c>
      <c r="G758" s="1718" t="str">
        <f>c_ALR2025!G3424</f>
        <v/>
      </c>
      <c r="H758" s="1719" t="str">
        <f>c_ALR2025!M3424</f>
        <v/>
      </c>
      <c r="I758" s="1859"/>
      <c r="J758" s="1801"/>
      <c r="K758" s="1802"/>
      <c r="L758" s="1802"/>
      <c r="M758" s="1802"/>
      <c r="N758" s="1802"/>
      <c r="O758" s="485"/>
      <c r="P758" s="9"/>
      <c r="S758" s="1715" t="b">
        <f t="shared" ref="S758:S766" si="329">IF(E758 = "", TRUE, FALSE)</f>
        <v>1</v>
      </c>
      <c r="T758" s="1435"/>
      <c r="Z758" s="1435"/>
      <c r="AC758" s="1803"/>
      <c r="AD758" s="1803"/>
      <c r="AE758" s="1803"/>
      <c r="AF758" s="1803"/>
      <c r="AG758" s="1803"/>
      <c r="AH758" s="1803"/>
    </row>
    <row r="759" spans="2:35" ht="13.15" customHeight="1">
      <c r="B759" s="1124"/>
      <c r="C759" s="485"/>
      <c r="D759" s="582">
        <f t="shared" ref="D759:D766" si="330">D758+1</f>
        <v>3</v>
      </c>
      <c r="E759" s="1717" t="str">
        <f>c_ALR2025!E3425</f>
        <v/>
      </c>
      <c r="F759" s="1717" t="str">
        <f>c_ALR2025!F3425</f>
        <v/>
      </c>
      <c r="G759" s="1718" t="str">
        <f>c_ALR2025!G3425</f>
        <v/>
      </c>
      <c r="H759" s="1719" t="str">
        <f>c_ALR2025!M3425</f>
        <v/>
      </c>
      <c r="I759" s="1859"/>
      <c r="J759" s="1801"/>
      <c r="K759" s="1802"/>
      <c r="L759" s="1802"/>
      <c r="M759" s="1802"/>
      <c r="N759" s="1802"/>
      <c r="O759" s="485"/>
      <c r="P759" s="9"/>
      <c r="S759" s="1715" t="b">
        <f t="shared" si="329"/>
        <v>1</v>
      </c>
      <c r="T759" s="1435"/>
      <c r="Z759" s="1435"/>
      <c r="AC759" s="1803"/>
      <c r="AD759" s="1803"/>
      <c r="AE759" s="1803"/>
      <c r="AF759" s="1803"/>
      <c r="AG759" s="1803"/>
      <c r="AH759" s="1803"/>
    </row>
    <row r="760" spans="2:35" ht="13.15" customHeight="1">
      <c r="B760" s="1124"/>
      <c r="C760" s="485"/>
      <c r="D760" s="582">
        <f t="shared" si="330"/>
        <v>4</v>
      </c>
      <c r="E760" s="1717" t="str">
        <f>c_ALR2025!E3426</f>
        <v/>
      </c>
      <c r="F760" s="1717" t="str">
        <f>c_ALR2025!F3426</f>
        <v/>
      </c>
      <c r="G760" s="1718" t="str">
        <f>c_ALR2025!G3426</f>
        <v/>
      </c>
      <c r="H760" s="1719" t="str">
        <f>c_ALR2025!M3426</f>
        <v/>
      </c>
      <c r="I760" s="1859"/>
      <c r="J760" s="1801"/>
      <c r="K760" s="1802"/>
      <c r="L760" s="1802"/>
      <c r="M760" s="1802"/>
      <c r="N760" s="1802"/>
      <c r="O760" s="485"/>
      <c r="P760" s="9"/>
      <c r="S760" s="1715" t="b">
        <f t="shared" si="329"/>
        <v>1</v>
      </c>
      <c r="T760" s="1435"/>
      <c r="Z760" s="1435"/>
      <c r="AC760" s="1803"/>
      <c r="AD760" s="1803"/>
      <c r="AE760" s="1803"/>
      <c r="AF760" s="1803"/>
      <c r="AG760" s="1803"/>
      <c r="AH760" s="1803"/>
    </row>
    <row r="761" spans="2:35" ht="13.15" customHeight="1">
      <c r="B761" s="1124"/>
      <c r="C761" s="485"/>
      <c r="D761" s="582">
        <f t="shared" si="330"/>
        <v>5</v>
      </c>
      <c r="E761" s="1717" t="str">
        <f>c_ALR2025!E3427</f>
        <v/>
      </c>
      <c r="F761" s="1717" t="str">
        <f>c_ALR2025!F3427</f>
        <v/>
      </c>
      <c r="G761" s="1718" t="str">
        <f>c_ALR2025!G3427</f>
        <v/>
      </c>
      <c r="H761" s="1719" t="str">
        <f>c_ALR2025!M3427</f>
        <v/>
      </c>
      <c r="I761" s="1859"/>
      <c r="J761" s="1801"/>
      <c r="K761" s="1802"/>
      <c r="L761" s="1802"/>
      <c r="M761" s="1802"/>
      <c r="N761" s="1802"/>
      <c r="O761" s="485"/>
      <c r="P761" s="9"/>
      <c r="S761" s="1715" t="b">
        <f t="shared" si="329"/>
        <v>1</v>
      </c>
      <c r="T761" s="1435"/>
      <c r="Z761" s="1435"/>
      <c r="AC761" s="1803"/>
      <c r="AD761" s="1803"/>
      <c r="AE761" s="1803"/>
      <c r="AF761" s="1803"/>
      <c r="AG761" s="1803"/>
      <c r="AH761" s="1803"/>
    </row>
    <row r="762" spans="2:35" ht="13.15" customHeight="1">
      <c r="B762" s="1124"/>
      <c r="C762" s="485"/>
      <c r="D762" s="582">
        <f t="shared" si="330"/>
        <v>6</v>
      </c>
      <c r="E762" s="1717" t="str">
        <f>c_ALR2025!E3428</f>
        <v/>
      </c>
      <c r="F762" s="1717" t="str">
        <f>c_ALR2025!F3428</f>
        <v/>
      </c>
      <c r="G762" s="1718" t="str">
        <f>c_ALR2025!G3428</f>
        <v/>
      </c>
      <c r="H762" s="1719" t="str">
        <f>c_ALR2025!M3428</f>
        <v/>
      </c>
      <c r="I762" s="1859"/>
      <c r="J762" s="1801"/>
      <c r="K762" s="1802"/>
      <c r="L762" s="1802"/>
      <c r="M762" s="1802"/>
      <c r="N762" s="1802"/>
      <c r="O762" s="485"/>
      <c r="P762" s="9"/>
      <c r="S762" s="1715" t="b">
        <f t="shared" si="329"/>
        <v>1</v>
      </c>
      <c r="T762" s="1435"/>
      <c r="Z762" s="1435"/>
      <c r="AC762" s="1803"/>
      <c r="AD762" s="1803"/>
      <c r="AE762" s="1803"/>
      <c r="AF762" s="1803"/>
      <c r="AG762" s="1803"/>
      <c r="AH762" s="1803"/>
    </row>
    <row r="763" spans="2:35" ht="13.15" customHeight="1">
      <c r="B763" s="1124"/>
      <c r="C763" s="485"/>
      <c r="D763" s="582">
        <f t="shared" si="330"/>
        <v>7</v>
      </c>
      <c r="E763" s="1717" t="str">
        <f>c_ALR2025!E3429</f>
        <v/>
      </c>
      <c r="F763" s="1717" t="str">
        <f>c_ALR2025!F3429</f>
        <v/>
      </c>
      <c r="G763" s="1718" t="str">
        <f>c_ALR2025!G3429</f>
        <v/>
      </c>
      <c r="H763" s="1719" t="str">
        <f>c_ALR2025!M3429</f>
        <v/>
      </c>
      <c r="I763" s="1859"/>
      <c r="J763" s="1801"/>
      <c r="K763" s="1802"/>
      <c r="L763" s="1802"/>
      <c r="M763" s="1802"/>
      <c r="N763" s="1802"/>
      <c r="O763" s="485"/>
      <c r="P763" s="9"/>
      <c r="S763" s="1715" t="b">
        <f t="shared" si="329"/>
        <v>1</v>
      </c>
      <c r="T763" s="1435"/>
      <c r="Z763" s="1435"/>
      <c r="AC763" s="1803"/>
      <c r="AD763" s="1803"/>
      <c r="AE763" s="1803"/>
      <c r="AF763" s="1803"/>
      <c r="AG763" s="1803"/>
      <c r="AH763" s="1803"/>
    </row>
    <row r="764" spans="2:35" ht="13.15" customHeight="1">
      <c r="B764" s="1124"/>
      <c r="C764" s="485"/>
      <c r="D764" s="582">
        <f t="shared" si="330"/>
        <v>8</v>
      </c>
      <c r="E764" s="1717" t="str">
        <f>c_ALR2025!E3430</f>
        <v/>
      </c>
      <c r="F764" s="1717" t="str">
        <f>c_ALR2025!F3430</f>
        <v/>
      </c>
      <c r="G764" s="1718" t="str">
        <f>c_ALR2025!G3430</f>
        <v/>
      </c>
      <c r="H764" s="1719" t="str">
        <f>c_ALR2025!M3430</f>
        <v/>
      </c>
      <c r="I764" s="1859"/>
      <c r="J764" s="1801"/>
      <c r="K764" s="1802"/>
      <c r="L764" s="1802"/>
      <c r="M764" s="1802"/>
      <c r="N764" s="1802"/>
      <c r="O764" s="485"/>
      <c r="P764" s="9"/>
      <c r="S764" s="1715" t="b">
        <f t="shared" si="329"/>
        <v>1</v>
      </c>
      <c r="T764" s="1435"/>
      <c r="Z764" s="1435"/>
      <c r="AC764" s="1803"/>
      <c r="AD764" s="1803"/>
      <c r="AE764" s="1803"/>
      <c r="AF764" s="1803"/>
      <c r="AG764" s="1803"/>
      <c r="AH764" s="1803"/>
    </row>
    <row r="765" spans="2:35" ht="13.15" customHeight="1">
      <c r="B765" s="1124"/>
      <c r="C765" s="485"/>
      <c r="D765" s="582">
        <f t="shared" si="330"/>
        <v>9</v>
      </c>
      <c r="E765" s="1717" t="str">
        <f>c_ALR2025!E3431</f>
        <v/>
      </c>
      <c r="F765" s="1717" t="str">
        <f>c_ALR2025!F3431</f>
        <v/>
      </c>
      <c r="G765" s="1718" t="str">
        <f>c_ALR2025!G3431</f>
        <v/>
      </c>
      <c r="H765" s="1719" t="str">
        <f>c_ALR2025!M3431</f>
        <v/>
      </c>
      <c r="I765" s="1859"/>
      <c r="J765" s="1801"/>
      <c r="K765" s="1802"/>
      <c r="L765" s="1802"/>
      <c r="M765" s="1802"/>
      <c r="N765" s="1802"/>
      <c r="O765" s="485"/>
      <c r="P765" s="9"/>
      <c r="S765" s="1715" t="b">
        <f t="shared" si="329"/>
        <v>1</v>
      </c>
      <c r="T765" s="1435"/>
      <c r="Z765" s="1435"/>
      <c r="AC765" s="1803"/>
      <c r="AD765" s="1803"/>
      <c r="AE765" s="1803"/>
      <c r="AF765" s="1803"/>
      <c r="AG765" s="1803"/>
      <c r="AH765" s="1803"/>
    </row>
    <row r="766" spans="2:35" ht="13.15" customHeight="1">
      <c r="B766" s="1124"/>
      <c r="C766" s="485"/>
      <c r="D766" s="584">
        <f t="shared" si="330"/>
        <v>10</v>
      </c>
      <c r="E766" s="1720" t="str">
        <f>c_ALR2025!E3432</f>
        <v/>
      </c>
      <c r="F766" s="1720" t="str">
        <f>c_ALR2025!F3432</f>
        <v/>
      </c>
      <c r="G766" s="1721" t="str">
        <f>c_ALR2025!G3432</f>
        <v/>
      </c>
      <c r="H766" s="1722" t="str">
        <f>c_ALR2025!M3432</f>
        <v/>
      </c>
      <c r="I766" s="1860"/>
      <c r="J766" s="1801"/>
      <c r="K766" s="1802"/>
      <c r="L766" s="1802"/>
      <c r="M766" s="1802"/>
      <c r="N766" s="1802"/>
      <c r="O766" s="485"/>
      <c r="P766" s="9"/>
      <c r="S766" s="1715" t="b">
        <f t="shared" si="329"/>
        <v>1</v>
      </c>
      <c r="T766" s="1435"/>
      <c r="Z766" s="1435"/>
      <c r="AC766" s="1803"/>
      <c r="AD766" s="1803"/>
      <c r="AE766" s="1803"/>
      <c r="AF766" s="1803"/>
      <c r="AG766" s="1803"/>
      <c r="AH766" s="1803"/>
    </row>
    <row r="767" spans="2:35" ht="13.15" customHeight="1">
      <c r="B767" s="1124"/>
      <c r="C767" s="485"/>
      <c r="D767" s="579">
        <v>1</v>
      </c>
      <c r="E767" s="1861"/>
      <c r="F767" s="1861"/>
      <c r="G767" s="1862"/>
      <c r="H767" s="1723"/>
      <c r="I767" s="1863"/>
      <c r="J767" s="1801"/>
      <c r="K767" s="1802"/>
      <c r="L767" s="1802"/>
      <c r="M767" s="1802"/>
      <c r="N767" s="1802"/>
      <c r="O767" s="485"/>
      <c r="P767" s="9"/>
      <c r="S767" s="1715" t="b">
        <f>NOT(S757)</f>
        <v>0</v>
      </c>
      <c r="T767" s="1435"/>
      <c r="Z767" s="1435"/>
      <c r="AC767" s="1803"/>
      <c r="AD767" s="1803"/>
      <c r="AE767" s="1803"/>
      <c r="AF767" s="1803"/>
      <c r="AG767" s="1803"/>
      <c r="AH767" s="1803"/>
    </row>
    <row r="768" spans="2:35" ht="13.15" customHeight="1">
      <c r="B768" s="1124"/>
      <c r="C768" s="485"/>
      <c r="D768" s="582">
        <f>D767+1</f>
        <v>2</v>
      </c>
      <c r="E768" s="1864"/>
      <c r="F768" s="1864"/>
      <c r="G768" s="1865"/>
      <c r="H768" s="1724"/>
      <c r="I768" s="1859"/>
      <c r="J768" s="1801"/>
      <c r="K768" s="1802"/>
      <c r="L768" s="1802"/>
      <c r="M768" s="1802"/>
      <c r="N768" s="1802"/>
      <c r="O768" s="485"/>
      <c r="P768" s="9"/>
      <c r="S768" s="1715" t="b">
        <f t="shared" ref="S768:S776" si="331">NOT(S758)</f>
        <v>0</v>
      </c>
      <c r="T768" s="1435"/>
      <c r="Z768" s="1435"/>
      <c r="AC768" s="1803"/>
      <c r="AD768" s="1803"/>
      <c r="AE768" s="1803"/>
      <c r="AF768" s="1803"/>
      <c r="AG768" s="1803"/>
      <c r="AH768" s="1803"/>
    </row>
    <row r="769" spans="2:42" ht="13.15" customHeight="1">
      <c r="B769" s="1124"/>
      <c r="C769" s="485"/>
      <c r="D769" s="582">
        <f t="shared" ref="D769:D776" si="332">D768+1</f>
        <v>3</v>
      </c>
      <c r="E769" s="1864"/>
      <c r="F769" s="1864"/>
      <c r="G769" s="1865"/>
      <c r="H769" s="1724"/>
      <c r="I769" s="1859"/>
      <c r="J769" s="1801"/>
      <c r="K769" s="1802"/>
      <c r="L769" s="1802"/>
      <c r="M769" s="1802"/>
      <c r="N769" s="1802"/>
      <c r="O769" s="485"/>
      <c r="P769" s="9"/>
      <c r="S769" s="1715" t="b">
        <f t="shared" si="331"/>
        <v>0</v>
      </c>
      <c r="T769" s="1435"/>
      <c r="Z769" s="1435"/>
      <c r="AC769" s="1803"/>
      <c r="AD769" s="1803"/>
      <c r="AE769" s="1803"/>
      <c r="AF769" s="1803"/>
      <c r="AG769" s="1803"/>
      <c r="AH769" s="1803"/>
    </row>
    <row r="770" spans="2:42" ht="13.15" customHeight="1">
      <c r="B770" s="1124"/>
      <c r="C770" s="485"/>
      <c r="D770" s="582">
        <f t="shared" si="332"/>
        <v>4</v>
      </c>
      <c r="E770" s="1864"/>
      <c r="F770" s="1864"/>
      <c r="G770" s="1865"/>
      <c r="H770" s="1724"/>
      <c r="I770" s="1859"/>
      <c r="J770" s="1801"/>
      <c r="K770" s="1802"/>
      <c r="L770" s="1802"/>
      <c r="M770" s="1802"/>
      <c r="N770" s="1802"/>
      <c r="O770" s="485"/>
      <c r="P770" s="9"/>
      <c r="S770" s="1715" t="b">
        <f t="shared" si="331"/>
        <v>0</v>
      </c>
      <c r="T770" s="1435"/>
      <c r="Z770" s="1435"/>
      <c r="AC770" s="1803"/>
      <c r="AD770" s="1803"/>
      <c r="AE770" s="1803"/>
      <c r="AF770" s="1803"/>
      <c r="AG770" s="1803"/>
      <c r="AH770" s="1803"/>
    </row>
    <row r="771" spans="2:42" ht="13.15" customHeight="1">
      <c r="B771" s="1124"/>
      <c r="C771" s="485"/>
      <c r="D771" s="582">
        <f t="shared" si="332"/>
        <v>5</v>
      </c>
      <c r="E771" s="1864"/>
      <c r="F771" s="1864"/>
      <c r="G771" s="1865"/>
      <c r="H771" s="1724"/>
      <c r="I771" s="1859"/>
      <c r="J771" s="1801"/>
      <c r="K771" s="1802"/>
      <c r="L771" s="1802"/>
      <c r="M771" s="1802"/>
      <c r="N771" s="1802"/>
      <c r="O771" s="485"/>
      <c r="P771" s="9"/>
      <c r="S771" s="1715" t="b">
        <f t="shared" si="331"/>
        <v>0</v>
      </c>
      <c r="T771" s="1435"/>
      <c r="Z771" s="1435"/>
      <c r="AC771" s="1803"/>
      <c r="AD771" s="1803"/>
      <c r="AE771" s="1803"/>
      <c r="AF771" s="1803"/>
      <c r="AG771" s="1803"/>
      <c r="AH771" s="1803"/>
    </row>
    <row r="772" spans="2:42" ht="13.15" customHeight="1">
      <c r="B772" s="1124"/>
      <c r="C772" s="485"/>
      <c r="D772" s="582">
        <f t="shared" si="332"/>
        <v>6</v>
      </c>
      <c r="E772" s="1864"/>
      <c r="F772" s="1864"/>
      <c r="G772" s="1865"/>
      <c r="H772" s="1724"/>
      <c r="I772" s="1859"/>
      <c r="J772" s="1801"/>
      <c r="K772" s="1802"/>
      <c r="L772" s="1802"/>
      <c r="M772" s="1802"/>
      <c r="N772" s="1802"/>
      <c r="O772" s="485"/>
      <c r="P772" s="9"/>
      <c r="S772" s="1715" t="b">
        <f t="shared" si="331"/>
        <v>0</v>
      </c>
      <c r="T772" s="1435"/>
      <c r="Z772" s="1435"/>
      <c r="AC772" s="1803"/>
      <c r="AD772" s="1803"/>
      <c r="AE772" s="1803"/>
      <c r="AF772" s="1803"/>
      <c r="AG772" s="1803"/>
      <c r="AH772" s="1803"/>
    </row>
    <row r="773" spans="2:42" ht="13.15" customHeight="1">
      <c r="B773" s="1124"/>
      <c r="C773" s="485"/>
      <c r="D773" s="582">
        <f t="shared" si="332"/>
        <v>7</v>
      </c>
      <c r="E773" s="1864"/>
      <c r="F773" s="1864"/>
      <c r="G773" s="1865"/>
      <c r="H773" s="1724"/>
      <c r="I773" s="1859"/>
      <c r="J773" s="1801"/>
      <c r="K773" s="1802"/>
      <c r="L773" s="1802"/>
      <c r="M773" s="1802"/>
      <c r="N773" s="1802"/>
      <c r="O773" s="485"/>
      <c r="P773" s="9"/>
      <c r="S773" s="1715" t="b">
        <f t="shared" si="331"/>
        <v>0</v>
      </c>
      <c r="T773" s="1435"/>
      <c r="Z773" s="1435"/>
      <c r="AC773" s="1803"/>
      <c r="AD773" s="1803"/>
      <c r="AE773" s="1803"/>
      <c r="AF773" s="1803"/>
      <c r="AG773" s="1803"/>
      <c r="AH773" s="1803"/>
    </row>
    <row r="774" spans="2:42" ht="13.15" customHeight="1">
      <c r="B774" s="1124"/>
      <c r="C774" s="485"/>
      <c r="D774" s="582">
        <f t="shared" si="332"/>
        <v>8</v>
      </c>
      <c r="E774" s="1864"/>
      <c r="F774" s="1864"/>
      <c r="G774" s="1865"/>
      <c r="H774" s="1724"/>
      <c r="I774" s="1859"/>
      <c r="J774" s="1801"/>
      <c r="K774" s="1802"/>
      <c r="L774" s="1802"/>
      <c r="M774" s="1802"/>
      <c r="N774" s="1802"/>
      <c r="O774" s="485"/>
      <c r="P774" s="9"/>
      <c r="S774" s="1715" t="b">
        <f t="shared" si="331"/>
        <v>0</v>
      </c>
      <c r="T774" s="1435"/>
      <c r="Z774" s="1435"/>
      <c r="AC774" s="1803"/>
      <c r="AD774" s="1803"/>
      <c r="AE774" s="1803"/>
      <c r="AF774" s="1803"/>
      <c r="AG774" s="1803"/>
      <c r="AH774" s="1803"/>
    </row>
    <row r="775" spans="2:42" ht="13.15" customHeight="1">
      <c r="B775" s="1124"/>
      <c r="C775" s="485"/>
      <c r="D775" s="582">
        <f t="shared" si="332"/>
        <v>9</v>
      </c>
      <c r="E775" s="1864"/>
      <c r="F775" s="1864"/>
      <c r="G775" s="1865"/>
      <c r="H775" s="1724"/>
      <c r="I775" s="1859"/>
      <c r="J775" s="1801"/>
      <c r="K775" s="1802"/>
      <c r="L775" s="1802"/>
      <c r="M775" s="1802"/>
      <c r="N775" s="1802"/>
      <c r="O775" s="485"/>
      <c r="P775" s="9"/>
      <c r="S775" s="1715" t="b">
        <f t="shared" si="331"/>
        <v>0</v>
      </c>
      <c r="T775" s="1435"/>
      <c r="Z775" s="1435"/>
      <c r="AC775" s="1803"/>
      <c r="AD775" s="1803"/>
      <c r="AE775" s="1803"/>
      <c r="AF775" s="1803"/>
      <c r="AG775" s="1803"/>
      <c r="AH775" s="1803"/>
    </row>
    <row r="776" spans="2:42" ht="13.15" customHeight="1" thickBot="1">
      <c r="B776" s="1124"/>
      <c r="C776" s="485"/>
      <c r="D776" s="584">
        <f t="shared" si="332"/>
        <v>10</v>
      </c>
      <c r="E776" s="1866"/>
      <c r="F776" s="1866"/>
      <c r="G776" s="1867"/>
      <c r="H776" s="1725"/>
      <c r="I776" s="1860"/>
      <c r="J776" s="1801"/>
      <c r="K776" s="1802"/>
      <c r="L776" s="1802"/>
      <c r="M776" s="1802"/>
      <c r="N776" s="1802"/>
      <c r="O776" s="485"/>
      <c r="P776" s="9"/>
      <c r="S776" s="1726" t="b">
        <f t="shared" si="331"/>
        <v>0</v>
      </c>
      <c r="T776" s="1435"/>
      <c r="Z776" s="1435"/>
      <c r="AC776" s="1803"/>
      <c r="AD776" s="1803"/>
      <c r="AE776" s="1803"/>
      <c r="AF776" s="1803"/>
      <c r="AG776" s="1803"/>
      <c r="AH776" s="1803"/>
    </row>
    <row r="777" spans="2:42">
      <c r="B777" s="1124"/>
      <c r="C777" s="485"/>
      <c r="D777" s="579">
        <v>1</v>
      </c>
      <c r="E777" s="864" t="str">
        <f t="shared" ref="E777:E786" si="333">IF(E767&lt;&gt; "",E767,IF(E757 &lt;&gt; "", E757,""))</f>
        <v/>
      </c>
      <c r="F777" s="960" t="str">
        <f t="shared" ref="F777:I777" si="334">IF(F767&lt;&gt; "",F767,IF(F757 &lt;&gt; "", F757,""))</f>
        <v/>
      </c>
      <c r="G777" s="961" t="str">
        <f t="shared" si="334"/>
        <v/>
      </c>
      <c r="H777" s="656" t="str">
        <f t="shared" si="334"/>
        <v/>
      </c>
      <c r="I777" s="962" t="str">
        <f t="shared" si="334"/>
        <v/>
      </c>
      <c r="J777" s="1804"/>
      <c r="K777" s="1805"/>
      <c r="L777" s="1805"/>
      <c r="M777" s="1805"/>
      <c r="N777" s="1805"/>
      <c r="O777" s="485"/>
      <c r="S777" s="1435"/>
      <c r="T777" s="1435"/>
      <c r="Z777" s="1730" t="b">
        <f t="shared" ref="Z777:Z786" si="335">AA777</f>
        <v>0</v>
      </c>
      <c r="AA777" s="1731" t="b">
        <f t="shared" ref="AA777:AA786" si="336">AB777</f>
        <v>0</v>
      </c>
      <c r="AB777" s="1868" t="b">
        <f>AND(AC777:AI777)</f>
        <v>0</v>
      </c>
      <c r="AC777" s="1732" t="b">
        <f t="shared" ref="AC777:AI777" si="337">AC727</f>
        <v>0</v>
      </c>
      <c r="AD777" s="1680" t="b">
        <f t="shared" si="337"/>
        <v>0</v>
      </c>
      <c r="AE777" s="1680" t="b">
        <f t="shared" si="337"/>
        <v>0</v>
      </c>
      <c r="AF777" s="1680" t="b">
        <f t="shared" si="337"/>
        <v>0</v>
      </c>
      <c r="AG777" s="1680" t="b">
        <f t="shared" si="337"/>
        <v>0</v>
      </c>
      <c r="AH777" s="1680" t="b">
        <f t="shared" si="337"/>
        <v>0</v>
      </c>
      <c r="AI777" s="1681" t="b">
        <f t="shared" si="337"/>
        <v>0</v>
      </c>
      <c r="AJ777" s="1633" t="s">
        <v>1954</v>
      </c>
      <c r="AK777" s="1635" t="str">
        <f>IF(AND(CNTR_ExistSubInstEntries,COUNTIFS(AC777:AI777,FALSE,H777:N777,"")&gt;0),EUconst_Error&amp;"BM"&amp;$Q657,"")</f>
        <v/>
      </c>
      <c r="AP777" s="1135" t="s">
        <v>2401</v>
      </c>
    </row>
    <row r="778" spans="2:42">
      <c r="B778" s="1124"/>
      <c r="C778" s="485"/>
      <c r="D778" s="582">
        <f>D777+1</f>
        <v>2</v>
      </c>
      <c r="E778" s="866" t="str">
        <f t="shared" si="333"/>
        <v/>
      </c>
      <c r="F778" s="964" t="str">
        <f t="shared" ref="F778:I778" si="338">IF(F768&lt;&gt; "",F768,IF(F758 &lt;&gt; "", F758,""))</f>
        <v/>
      </c>
      <c r="G778" s="895" t="str">
        <f t="shared" si="338"/>
        <v/>
      </c>
      <c r="H778" s="658" t="str">
        <f t="shared" si="338"/>
        <v/>
      </c>
      <c r="I778" s="965" t="str">
        <f t="shared" si="338"/>
        <v/>
      </c>
      <c r="J778" s="1804"/>
      <c r="K778" s="1805"/>
      <c r="L778" s="1805"/>
      <c r="M778" s="1805"/>
      <c r="N778" s="1805"/>
      <c r="O778" s="485"/>
      <c r="S778" s="1435"/>
      <c r="T778" s="1435"/>
      <c r="Z778" s="1736" t="b">
        <f t="shared" si="335"/>
        <v>0</v>
      </c>
      <c r="AA778" s="1443" t="b">
        <f t="shared" si="336"/>
        <v>0</v>
      </c>
      <c r="AB778" s="1737" t="b">
        <f t="shared" ref="AB778:AB786" si="339">AND(AC778:AI778)</f>
        <v>0</v>
      </c>
      <c r="AC778" s="1738" t="b">
        <f>AC777</f>
        <v>0</v>
      </c>
      <c r="AD778" s="1443" t="b">
        <f t="shared" ref="AD778:AI778" si="340">AD777</f>
        <v>0</v>
      </c>
      <c r="AE778" s="1443" t="b">
        <f t="shared" si="340"/>
        <v>0</v>
      </c>
      <c r="AF778" s="1443" t="b">
        <f t="shared" si="340"/>
        <v>0</v>
      </c>
      <c r="AG778" s="1443" t="b">
        <f t="shared" si="340"/>
        <v>0</v>
      </c>
      <c r="AH778" s="1443" t="b">
        <f t="shared" si="340"/>
        <v>0</v>
      </c>
      <c r="AI778" s="1737" t="b">
        <f t="shared" si="340"/>
        <v>0</v>
      </c>
      <c r="AP778" s="1135" t="s">
        <v>2404</v>
      </c>
    </row>
    <row r="779" spans="2:42">
      <c r="B779" s="1124"/>
      <c r="C779" s="485"/>
      <c r="D779" s="582">
        <f t="shared" ref="D779:D786" si="341">D778+1</f>
        <v>3</v>
      </c>
      <c r="E779" s="866" t="str">
        <f t="shared" si="333"/>
        <v/>
      </c>
      <c r="F779" s="964" t="str">
        <f t="shared" ref="F779:I779" si="342">IF(F769&lt;&gt; "",F769,IF(F759 &lt;&gt; "", F759,""))</f>
        <v/>
      </c>
      <c r="G779" s="895" t="str">
        <f t="shared" si="342"/>
        <v/>
      </c>
      <c r="H779" s="658" t="str">
        <f t="shared" si="342"/>
        <v/>
      </c>
      <c r="I779" s="965" t="str">
        <f t="shared" si="342"/>
        <v/>
      </c>
      <c r="J779" s="1804"/>
      <c r="K779" s="1805"/>
      <c r="L779" s="1805"/>
      <c r="M779" s="1805"/>
      <c r="N779" s="1805"/>
      <c r="O779" s="485"/>
      <c r="S779" s="1435"/>
      <c r="T779" s="1435"/>
      <c r="Z779" s="1736" t="b">
        <f t="shared" si="335"/>
        <v>0</v>
      </c>
      <c r="AA779" s="1443" t="b">
        <f t="shared" si="336"/>
        <v>0</v>
      </c>
      <c r="AB779" s="1737" t="b">
        <f t="shared" si="339"/>
        <v>0</v>
      </c>
      <c r="AC779" s="1738" t="b">
        <f t="shared" ref="AC779:AI786" si="343">AC778</f>
        <v>0</v>
      </c>
      <c r="AD779" s="1443" t="b">
        <f t="shared" si="343"/>
        <v>0</v>
      </c>
      <c r="AE779" s="1443" t="b">
        <f t="shared" si="343"/>
        <v>0</v>
      </c>
      <c r="AF779" s="1443" t="b">
        <f t="shared" si="343"/>
        <v>0</v>
      </c>
      <c r="AG779" s="1443" t="b">
        <f t="shared" si="343"/>
        <v>0</v>
      </c>
      <c r="AH779" s="1443" t="b">
        <f t="shared" si="343"/>
        <v>0</v>
      </c>
      <c r="AI779" s="1737" t="b">
        <f t="shared" si="343"/>
        <v>0</v>
      </c>
      <c r="AP779" s="1135" t="s">
        <v>2403</v>
      </c>
    </row>
    <row r="780" spans="2:42">
      <c r="B780" s="1124"/>
      <c r="C780" s="485"/>
      <c r="D780" s="582">
        <f t="shared" si="341"/>
        <v>4</v>
      </c>
      <c r="E780" s="866" t="str">
        <f t="shared" si="333"/>
        <v/>
      </c>
      <c r="F780" s="964" t="str">
        <f t="shared" ref="F780:I780" si="344">IF(F770&lt;&gt; "",F770,IF(F760 &lt;&gt; "", F760,""))</f>
        <v/>
      </c>
      <c r="G780" s="895" t="str">
        <f t="shared" si="344"/>
        <v/>
      </c>
      <c r="H780" s="658" t="str">
        <f t="shared" si="344"/>
        <v/>
      </c>
      <c r="I780" s="965" t="str">
        <f t="shared" si="344"/>
        <v/>
      </c>
      <c r="J780" s="1804"/>
      <c r="K780" s="1805"/>
      <c r="L780" s="1805"/>
      <c r="M780" s="1805"/>
      <c r="N780" s="1805"/>
      <c r="O780" s="485"/>
      <c r="S780" s="1435"/>
      <c r="T780" s="1435"/>
      <c r="Z780" s="1736" t="b">
        <f t="shared" si="335"/>
        <v>0</v>
      </c>
      <c r="AA780" s="1443" t="b">
        <f t="shared" si="336"/>
        <v>0</v>
      </c>
      <c r="AB780" s="1737" t="b">
        <f t="shared" si="339"/>
        <v>0</v>
      </c>
      <c r="AC780" s="1738" t="b">
        <f t="shared" si="343"/>
        <v>0</v>
      </c>
      <c r="AD780" s="1443" t="b">
        <f t="shared" si="343"/>
        <v>0</v>
      </c>
      <c r="AE780" s="1443" t="b">
        <f t="shared" si="343"/>
        <v>0</v>
      </c>
      <c r="AF780" s="1443" t="b">
        <f t="shared" si="343"/>
        <v>0</v>
      </c>
      <c r="AG780" s="1443" t="b">
        <f t="shared" si="343"/>
        <v>0</v>
      </c>
      <c r="AH780" s="1443" t="b">
        <f t="shared" si="343"/>
        <v>0</v>
      </c>
      <c r="AI780" s="1737" t="b">
        <f t="shared" si="343"/>
        <v>0</v>
      </c>
      <c r="AP780" s="1135" t="s">
        <v>2405</v>
      </c>
    </row>
    <row r="781" spans="2:42">
      <c r="B781" s="1124"/>
      <c r="C781" s="485"/>
      <c r="D781" s="582">
        <f t="shared" si="341"/>
        <v>5</v>
      </c>
      <c r="E781" s="866" t="str">
        <f t="shared" si="333"/>
        <v/>
      </c>
      <c r="F781" s="964" t="str">
        <f t="shared" ref="F781:I781" si="345">IF(F771&lt;&gt; "",F771,IF(F761 &lt;&gt; "", F761,""))</f>
        <v/>
      </c>
      <c r="G781" s="895" t="str">
        <f t="shared" si="345"/>
        <v/>
      </c>
      <c r="H781" s="658" t="str">
        <f t="shared" si="345"/>
        <v/>
      </c>
      <c r="I781" s="965" t="str">
        <f t="shared" si="345"/>
        <v/>
      </c>
      <c r="J781" s="1804"/>
      <c r="K781" s="1805"/>
      <c r="L781" s="1805"/>
      <c r="M781" s="1805"/>
      <c r="N781" s="1805"/>
      <c r="O781" s="485"/>
      <c r="S781" s="1435"/>
      <c r="T781" s="1435"/>
      <c r="Z781" s="1736" t="b">
        <f t="shared" si="335"/>
        <v>0</v>
      </c>
      <c r="AA781" s="1443" t="b">
        <f t="shared" si="336"/>
        <v>0</v>
      </c>
      <c r="AB781" s="1737" t="b">
        <f t="shared" si="339"/>
        <v>0</v>
      </c>
      <c r="AC781" s="1738" t="b">
        <f t="shared" si="343"/>
        <v>0</v>
      </c>
      <c r="AD781" s="1443" t="b">
        <f t="shared" si="343"/>
        <v>0</v>
      </c>
      <c r="AE781" s="1443" t="b">
        <f t="shared" si="343"/>
        <v>0</v>
      </c>
      <c r="AF781" s="1443" t="b">
        <f t="shared" si="343"/>
        <v>0</v>
      </c>
      <c r="AG781" s="1443" t="b">
        <f t="shared" si="343"/>
        <v>0</v>
      </c>
      <c r="AH781" s="1443" t="b">
        <f t="shared" si="343"/>
        <v>0</v>
      </c>
      <c r="AI781" s="1737" t="b">
        <f t="shared" si="343"/>
        <v>0</v>
      </c>
      <c r="AP781" s="1135" t="s">
        <v>2406</v>
      </c>
    </row>
    <row r="782" spans="2:42">
      <c r="B782" s="1124"/>
      <c r="C782" s="485"/>
      <c r="D782" s="582">
        <f t="shared" si="341"/>
        <v>6</v>
      </c>
      <c r="E782" s="866" t="str">
        <f t="shared" si="333"/>
        <v/>
      </c>
      <c r="F782" s="964" t="str">
        <f t="shared" ref="F782:I782" si="346">IF(F772&lt;&gt; "",F772,IF(F762 &lt;&gt; "", F762,""))</f>
        <v/>
      </c>
      <c r="G782" s="895" t="str">
        <f t="shared" si="346"/>
        <v/>
      </c>
      <c r="H782" s="658" t="str">
        <f t="shared" si="346"/>
        <v/>
      </c>
      <c r="I782" s="965" t="str">
        <f t="shared" si="346"/>
        <v/>
      </c>
      <c r="J782" s="1804"/>
      <c r="K782" s="1805"/>
      <c r="L782" s="1805"/>
      <c r="M782" s="1805"/>
      <c r="N782" s="1805"/>
      <c r="O782" s="485"/>
      <c r="S782" s="1435"/>
      <c r="T782" s="1435"/>
      <c r="Z782" s="1736" t="b">
        <f t="shared" si="335"/>
        <v>0</v>
      </c>
      <c r="AA782" s="1443" t="b">
        <f t="shared" si="336"/>
        <v>0</v>
      </c>
      <c r="AB782" s="1737" t="b">
        <f t="shared" si="339"/>
        <v>0</v>
      </c>
      <c r="AC782" s="1738" t="b">
        <f t="shared" si="343"/>
        <v>0</v>
      </c>
      <c r="AD782" s="1443" t="b">
        <f t="shared" si="343"/>
        <v>0</v>
      </c>
      <c r="AE782" s="1443" t="b">
        <f t="shared" si="343"/>
        <v>0</v>
      </c>
      <c r="AF782" s="1443" t="b">
        <f t="shared" si="343"/>
        <v>0</v>
      </c>
      <c r="AG782" s="1443" t="b">
        <f t="shared" si="343"/>
        <v>0</v>
      </c>
      <c r="AH782" s="1443" t="b">
        <f t="shared" si="343"/>
        <v>0</v>
      </c>
      <c r="AI782" s="1737" t="b">
        <f t="shared" si="343"/>
        <v>0</v>
      </c>
      <c r="AP782" s="1135" t="s">
        <v>2407</v>
      </c>
    </row>
    <row r="783" spans="2:42">
      <c r="B783" s="1124"/>
      <c r="C783" s="485"/>
      <c r="D783" s="582">
        <f t="shared" si="341"/>
        <v>7</v>
      </c>
      <c r="E783" s="866" t="str">
        <f t="shared" si="333"/>
        <v/>
      </c>
      <c r="F783" s="964" t="str">
        <f t="shared" ref="F783:I783" si="347">IF(F773&lt;&gt; "",F773,IF(F763 &lt;&gt; "", F763,""))</f>
        <v/>
      </c>
      <c r="G783" s="895" t="str">
        <f t="shared" si="347"/>
        <v/>
      </c>
      <c r="H783" s="658" t="str">
        <f t="shared" si="347"/>
        <v/>
      </c>
      <c r="I783" s="965" t="str">
        <f t="shared" si="347"/>
        <v/>
      </c>
      <c r="J783" s="1804"/>
      <c r="K783" s="1805"/>
      <c r="L783" s="1805"/>
      <c r="M783" s="1805"/>
      <c r="N783" s="1805"/>
      <c r="O783" s="485"/>
      <c r="S783" s="1435"/>
      <c r="T783" s="1435"/>
      <c r="Z783" s="1736" t="b">
        <f t="shared" si="335"/>
        <v>0</v>
      </c>
      <c r="AA783" s="1443" t="b">
        <f t="shared" si="336"/>
        <v>0</v>
      </c>
      <c r="AB783" s="1737" t="b">
        <f t="shared" si="339"/>
        <v>0</v>
      </c>
      <c r="AC783" s="1738" t="b">
        <f t="shared" si="343"/>
        <v>0</v>
      </c>
      <c r="AD783" s="1443" t="b">
        <f t="shared" si="343"/>
        <v>0</v>
      </c>
      <c r="AE783" s="1443" t="b">
        <f t="shared" si="343"/>
        <v>0</v>
      </c>
      <c r="AF783" s="1443" t="b">
        <f t="shared" si="343"/>
        <v>0</v>
      </c>
      <c r="AG783" s="1443" t="b">
        <f t="shared" si="343"/>
        <v>0</v>
      </c>
      <c r="AH783" s="1443" t="b">
        <f t="shared" si="343"/>
        <v>0</v>
      </c>
      <c r="AI783" s="1737" t="b">
        <f t="shared" si="343"/>
        <v>0</v>
      </c>
      <c r="AP783" s="1135" t="s">
        <v>2408</v>
      </c>
    </row>
    <row r="784" spans="2:42">
      <c r="B784" s="1124"/>
      <c r="C784" s="485"/>
      <c r="D784" s="582">
        <f t="shared" si="341"/>
        <v>8</v>
      </c>
      <c r="E784" s="866" t="str">
        <f t="shared" si="333"/>
        <v/>
      </c>
      <c r="F784" s="964" t="str">
        <f t="shared" ref="F784:I784" si="348">IF(F774&lt;&gt; "",F774,IF(F764 &lt;&gt; "", F764,""))</f>
        <v/>
      </c>
      <c r="G784" s="895" t="str">
        <f t="shared" si="348"/>
        <v/>
      </c>
      <c r="H784" s="658" t="str">
        <f t="shared" si="348"/>
        <v/>
      </c>
      <c r="I784" s="965" t="str">
        <f t="shared" si="348"/>
        <v/>
      </c>
      <c r="J784" s="1804"/>
      <c r="K784" s="1805"/>
      <c r="L784" s="1805"/>
      <c r="M784" s="1805"/>
      <c r="N784" s="1805"/>
      <c r="O784" s="485"/>
      <c r="S784" s="1435"/>
      <c r="T784" s="1435"/>
      <c r="Z784" s="1736" t="b">
        <f t="shared" si="335"/>
        <v>0</v>
      </c>
      <c r="AA784" s="1443" t="b">
        <f t="shared" si="336"/>
        <v>0</v>
      </c>
      <c r="AB784" s="1737" t="b">
        <f t="shared" si="339"/>
        <v>0</v>
      </c>
      <c r="AC784" s="1738" t="b">
        <f t="shared" si="343"/>
        <v>0</v>
      </c>
      <c r="AD784" s="1443" t="b">
        <f t="shared" si="343"/>
        <v>0</v>
      </c>
      <c r="AE784" s="1443" t="b">
        <f t="shared" si="343"/>
        <v>0</v>
      </c>
      <c r="AF784" s="1443" t="b">
        <f t="shared" si="343"/>
        <v>0</v>
      </c>
      <c r="AG784" s="1443" t="b">
        <f t="shared" si="343"/>
        <v>0</v>
      </c>
      <c r="AH784" s="1443" t="b">
        <f t="shared" si="343"/>
        <v>0</v>
      </c>
      <c r="AI784" s="1737" t="b">
        <f t="shared" si="343"/>
        <v>0</v>
      </c>
      <c r="AP784" s="1135" t="s">
        <v>2409</v>
      </c>
    </row>
    <row r="785" spans="2:42">
      <c r="B785" s="1124"/>
      <c r="C785" s="485"/>
      <c r="D785" s="582">
        <f t="shared" si="341"/>
        <v>9</v>
      </c>
      <c r="E785" s="866" t="str">
        <f t="shared" si="333"/>
        <v/>
      </c>
      <c r="F785" s="964" t="str">
        <f t="shared" ref="F785:I785" si="349">IF(F775&lt;&gt; "",F775,IF(F765 &lt;&gt; "", F765,""))</f>
        <v/>
      </c>
      <c r="G785" s="895" t="str">
        <f t="shared" si="349"/>
        <v/>
      </c>
      <c r="H785" s="658" t="str">
        <f t="shared" si="349"/>
        <v/>
      </c>
      <c r="I785" s="965" t="str">
        <f t="shared" si="349"/>
        <v/>
      </c>
      <c r="J785" s="1804"/>
      <c r="K785" s="1805"/>
      <c r="L785" s="1805"/>
      <c r="M785" s="1805"/>
      <c r="N785" s="1805"/>
      <c r="O785" s="485"/>
      <c r="S785" s="1435"/>
      <c r="T785" s="1435"/>
      <c r="Z785" s="1736" t="b">
        <f t="shared" si="335"/>
        <v>0</v>
      </c>
      <c r="AA785" s="1443" t="b">
        <f t="shared" si="336"/>
        <v>0</v>
      </c>
      <c r="AB785" s="1737" t="b">
        <f t="shared" si="339"/>
        <v>0</v>
      </c>
      <c r="AC785" s="1738" t="b">
        <f t="shared" si="343"/>
        <v>0</v>
      </c>
      <c r="AD785" s="1443" t="b">
        <f t="shared" si="343"/>
        <v>0</v>
      </c>
      <c r="AE785" s="1443" t="b">
        <f t="shared" si="343"/>
        <v>0</v>
      </c>
      <c r="AF785" s="1443" t="b">
        <f t="shared" si="343"/>
        <v>0</v>
      </c>
      <c r="AG785" s="1443" t="b">
        <f t="shared" si="343"/>
        <v>0</v>
      </c>
      <c r="AH785" s="1443" t="b">
        <f t="shared" si="343"/>
        <v>0</v>
      </c>
      <c r="AI785" s="1737" t="b">
        <f t="shared" si="343"/>
        <v>0</v>
      </c>
      <c r="AP785" s="1135" t="s">
        <v>2410</v>
      </c>
    </row>
    <row r="786" spans="2:42" ht="13.5" thickBot="1">
      <c r="B786" s="1124"/>
      <c r="C786" s="485"/>
      <c r="D786" s="584">
        <f t="shared" si="341"/>
        <v>10</v>
      </c>
      <c r="E786" s="868" t="str">
        <f t="shared" si="333"/>
        <v/>
      </c>
      <c r="F786" s="967" t="str">
        <f t="shared" ref="F786:I786" si="350">IF(F776&lt;&gt; "",F776,IF(F766 &lt;&gt; "", F766,""))</f>
        <v/>
      </c>
      <c r="G786" s="968" t="str">
        <f t="shared" si="350"/>
        <v/>
      </c>
      <c r="H786" s="660" t="str">
        <f t="shared" si="350"/>
        <v/>
      </c>
      <c r="I786" s="969" t="str">
        <f t="shared" si="350"/>
        <v/>
      </c>
      <c r="J786" s="1804"/>
      <c r="K786" s="1805"/>
      <c r="L786" s="1805"/>
      <c r="M786" s="1805"/>
      <c r="N786" s="1805"/>
      <c r="O786" s="485"/>
      <c r="S786" s="1435"/>
      <c r="T786" s="1435"/>
      <c r="Z786" s="1742" t="b">
        <f t="shared" si="335"/>
        <v>0</v>
      </c>
      <c r="AA786" s="1743" t="b">
        <f t="shared" si="336"/>
        <v>0</v>
      </c>
      <c r="AB786" s="1744" t="b">
        <f t="shared" si="339"/>
        <v>0</v>
      </c>
      <c r="AC786" s="1745" t="b">
        <f t="shared" si="343"/>
        <v>0</v>
      </c>
      <c r="AD786" s="1743" t="b">
        <f t="shared" si="343"/>
        <v>0</v>
      </c>
      <c r="AE786" s="1743" t="b">
        <f t="shared" si="343"/>
        <v>0</v>
      </c>
      <c r="AF786" s="1743" t="b">
        <f t="shared" si="343"/>
        <v>0</v>
      </c>
      <c r="AG786" s="1743" t="b">
        <f t="shared" si="343"/>
        <v>0</v>
      </c>
      <c r="AH786" s="1743" t="b">
        <f t="shared" si="343"/>
        <v>0</v>
      </c>
      <c r="AI786" s="1744" t="b">
        <f t="shared" si="343"/>
        <v>0</v>
      </c>
      <c r="AP786" s="1135" t="s">
        <v>2411</v>
      </c>
    </row>
    <row r="787" spans="2:42" ht="12.75" customHeight="1" thickBot="1">
      <c r="B787" s="1124"/>
      <c r="C787" s="485"/>
      <c r="D787" s="971"/>
      <c r="E787" s="972" t="s">
        <v>921</v>
      </c>
      <c r="F787" s="948"/>
      <c r="G787" s="1881"/>
      <c r="H787" s="605" t="str">
        <f t="shared" ref="H787:N787" si="351">IF(COUNT(H777:H786)&gt;0,SUM(H777:H786),"")</f>
        <v/>
      </c>
      <c r="I787" s="973" t="str">
        <f t="shared" si="351"/>
        <v/>
      </c>
      <c r="J787" s="1804" t="str">
        <f t="shared" si="351"/>
        <v/>
      </c>
      <c r="K787" s="1805" t="str">
        <f t="shared" si="351"/>
        <v/>
      </c>
      <c r="L787" s="1805" t="str">
        <f t="shared" si="351"/>
        <v/>
      </c>
      <c r="M787" s="1805" t="str">
        <f t="shared" si="351"/>
        <v/>
      </c>
      <c r="N787" s="1805" t="str">
        <f t="shared" si="351"/>
        <v/>
      </c>
      <c r="O787" s="485"/>
      <c r="P787" s="485"/>
      <c r="S787" s="1435"/>
      <c r="T787" s="1435"/>
      <c r="AB787" s="1848" t="b">
        <f>AND(AB777:AB786)</f>
        <v>0</v>
      </c>
    </row>
    <row r="788" spans="2:42" ht="12.75" customHeight="1" thickBot="1">
      <c r="B788" s="479"/>
      <c r="C788" s="479"/>
      <c r="D788" s="479"/>
      <c r="E788" s="479"/>
      <c r="F788" s="479"/>
      <c r="G788" s="479"/>
      <c r="H788" s="479"/>
      <c r="I788" s="479"/>
      <c r="J788" s="479"/>
      <c r="K788" s="479"/>
      <c r="L788" s="479"/>
      <c r="M788" s="485"/>
      <c r="N788" s="485"/>
      <c r="O788" s="485"/>
      <c r="P788" s="485"/>
      <c r="Q788" s="1435"/>
      <c r="S788" s="1435"/>
      <c r="T788" s="1435"/>
    </row>
    <row r="789" spans="2:42" ht="5.0999999999999996" customHeight="1">
      <c r="B789" s="479"/>
      <c r="C789" s="975"/>
      <c r="D789" s="976"/>
      <c r="E789" s="976"/>
      <c r="F789" s="976"/>
      <c r="G789" s="976"/>
      <c r="H789" s="976"/>
      <c r="I789" s="976"/>
      <c r="J789" s="976"/>
      <c r="K789" s="976"/>
      <c r="L789" s="976"/>
      <c r="M789" s="774"/>
      <c r="N789" s="775"/>
      <c r="O789" s="485"/>
      <c r="P789" s="485"/>
      <c r="Q789" s="1435"/>
      <c r="S789" s="1435"/>
      <c r="T789" s="1435"/>
    </row>
    <row r="790" spans="2:42" ht="15" customHeight="1">
      <c r="B790" s="1124"/>
      <c r="C790" s="977"/>
      <c r="D790" s="2678" t="s">
        <v>2330</v>
      </c>
      <c r="E790" s="2672"/>
      <c r="F790" s="2672"/>
      <c r="G790" s="2672"/>
      <c r="H790" s="2672"/>
      <c r="I790" s="2672"/>
      <c r="J790" s="2672"/>
      <c r="K790" s="2672"/>
      <c r="L790" s="2672"/>
      <c r="M790" s="2672"/>
      <c r="N790" s="2673"/>
      <c r="O790" s="485"/>
      <c r="P790" s="485"/>
      <c r="S790" s="1435"/>
      <c r="T790" s="1435"/>
    </row>
    <row r="791" spans="2:42" ht="5.0999999999999996" customHeight="1">
      <c r="B791" s="1124"/>
      <c r="C791" s="980"/>
      <c r="D791" s="813"/>
      <c r="E791" s="813"/>
      <c r="F791" s="813"/>
      <c r="G791" s="813"/>
      <c r="H791" s="813"/>
      <c r="I791" s="813"/>
      <c r="J791" s="813"/>
      <c r="K791" s="813"/>
      <c r="L791" s="813"/>
      <c r="M791" s="813"/>
      <c r="N791" s="814"/>
      <c r="O791" s="485"/>
      <c r="P791" s="485"/>
      <c r="S791" s="1435"/>
      <c r="T791" s="1435"/>
    </row>
    <row r="792" spans="2:42" ht="15" customHeight="1">
      <c r="B792" s="1124"/>
      <c r="C792" s="980"/>
      <c r="D792" s="2679" t="str">
        <f>EUconst_BMSubinst &amp; ":"</f>
        <v>Sub-installation with product benchmark:</v>
      </c>
      <c r="E792" s="2646"/>
      <c r="F792" s="2646"/>
      <c r="G792" s="2646"/>
      <c r="H792" s="2680"/>
      <c r="I792" s="3293" t="str">
        <f>I657</f>
        <v/>
      </c>
      <c r="J792" s="3294"/>
      <c r="K792" s="3294"/>
      <c r="L792" s="3294"/>
      <c r="M792" s="3294"/>
      <c r="N792" s="3295"/>
      <c r="O792" s="485"/>
      <c r="P792" s="485"/>
      <c r="S792" s="1435"/>
      <c r="T792" s="1435"/>
    </row>
    <row r="793" spans="2:42" ht="5.0999999999999996" customHeight="1">
      <c r="B793" s="1124"/>
      <c r="C793" s="980"/>
      <c r="D793" s="813"/>
      <c r="E793" s="813"/>
      <c r="F793" s="813"/>
      <c r="G793" s="813"/>
      <c r="H793" s="813"/>
      <c r="I793" s="813"/>
      <c r="J793" s="813"/>
      <c r="K793" s="813"/>
      <c r="L793" s="813"/>
      <c r="M793" s="813"/>
      <c r="N793" s="814"/>
      <c r="O793" s="485"/>
      <c r="P793" s="485"/>
      <c r="S793" s="1435"/>
      <c r="T793" s="1435"/>
    </row>
    <row r="794" spans="2:42" ht="30" customHeight="1">
      <c r="B794" s="479"/>
      <c r="C794" s="977"/>
      <c r="D794" s="981"/>
      <c r="E794" s="2691" t="s">
        <v>2154</v>
      </c>
      <c r="F794" s="2691"/>
      <c r="G794" s="2691"/>
      <c r="H794" s="2691"/>
      <c r="I794" s="2691"/>
      <c r="J794" s="2691"/>
      <c r="K794" s="2691"/>
      <c r="L794" s="2691"/>
      <c r="M794" s="2691"/>
      <c r="N794" s="2692"/>
      <c r="O794" s="485"/>
      <c r="P794" s="485"/>
      <c r="Q794" s="1435"/>
    </row>
    <row r="795" spans="2:42" ht="30" customHeight="1">
      <c r="B795" s="479"/>
      <c r="C795" s="977"/>
      <c r="D795" s="981"/>
      <c r="E795" s="2691" t="s">
        <v>2153</v>
      </c>
      <c r="F795" s="2691"/>
      <c r="G795" s="2691"/>
      <c r="H795" s="2691"/>
      <c r="I795" s="2691"/>
      <c r="J795" s="2691"/>
      <c r="K795" s="2691"/>
      <c r="L795" s="2691"/>
      <c r="M795" s="2691"/>
      <c r="N795" s="2650"/>
      <c r="O795" s="485"/>
      <c r="P795" s="485"/>
      <c r="Q795" s="1435"/>
    </row>
    <row r="796" spans="2:42" ht="12.75" customHeight="1">
      <c r="B796" s="479"/>
      <c r="C796" s="977"/>
      <c r="D796" s="981"/>
      <c r="E796" s="2691" t="s">
        <v>1549</v>
      </c>
      <c r="F796" s="2391"/>
      <c r="G796" s="2391"/>
      <c r="H796" s="2391"/>
      <c r="I796" s="2391"/>
      <c r="J796" s="2391"/>
      <c r="K796" s="2391"/>
      <c r="L796" s="2391"/>
      <c r="M796" s="2391"/>
      <c r="N796" s="2650"/>
      <c r="O796" s="485"/>
      <c r="P796" s="485"/>
      <c r="Q796" s="1435"/>
    </row>
    <row r="797" spans="2:42" ht="15" customHeight="1">
      <c r="B797" s="479"/>
      <c r="C797" s="977"/>
      <c r="D797" s="981"/>
      <c r="E797" s="3269" t="s">
        <v>2215</v>
      </c>
      <c r="F797" s="3269"/>
      <c r="G797" s="3269"/>
      <c r="H797" s="3269"/>
      <c r="I797" s="3269"/>
      <c r="J797" s="3269"/>
      <c r="K797" s="3269"/>
      <c r="L797" s="3269"/>
      <c r="M797" s="3269"/>
      <c r="N797" s="2694"/>
      <c r="O797" s="485"/>
      <c r="P797" s="485"/>
      <c r="Q797" s="1435"/>
    </row>
    <row r="798" spans="2:42" ht="5.0999999999999996" customHeight="1">
      <c r="B798" s="1124"/>
      <c r="C798" s="980"/>
      <c r="D798" s="813"/>
      <c r="E798" s="813"/>
      <c r="F798" s="813"/>
      <c r="G798" s="813"/>
      <c r="H798" s="813"/>
      <c r="I798" s="813"/>
      <c r="J798" s="813"/>
      <c r="K798" s="813"/>
      <c r="L798" s="813"/>
      <c r="M798" s="813"/>
      <c r="N798" s="814"/>
      <c r="O798" s="485"/>
      <c r="P798" s="485"/>
      <c r="S798" s="1435"/>
      <c r="T798" s="1435"/>
    </row>
    <row r="799" spans="2:42" ht="15" customHeight="1">
      <c r="B799" s="479"/>
      <c r="C799" s="977"/>
      <c r="D799" s="981"/>
      <c r="E799" s="3291" t="s">
        <v>1475</v>
      </c>
      <c r="F799" s="3291"/>
      <c r="G799" s="3291"/>
      <c r="H799" s="3291"/>
      <c r="I799" s="3291"/>
      <c r="J799" s="3291"/>
      <c r="K799" s="3291"/>
      <c r="L799" s="3291"/>
      <c r="M799" s="3291"/>
      <c r="N799" s="2694"/>
      <c r="O799" s="485"/>
      <c r="P799" s="485"/>
      <c r="Q799" s="1435"/>
    </row>
    <row r="800" spans="2:42" ht="5.0999999999999996" customHeight="1">
      <c r="B800" s="1124"/>
      <c r="C800" s="980"/>
      <c r="D800" s="813"/>
      <c r="E800" s="813"/>
      <c r="F800" s="813"/>
      <c r="G800" s="813"/>
      <c r="H800" s="813"/>
      <c r="I800" s="813"/>
      <c r="J800" s="813"/>
      <c r="K800" s="813"/>
      <c r="L800" s="813"/>
      <c r="M800" s="813"/>
      <c r="N800" s="814"/>
      <c r="O800" s="485"/>
      <c r="P800" s="485"/>
      <c r="S800" s="1435"/>
      <c r="T800" s="1435"/>
    </row>
    <row r="801" spans="2:37" ht="12.75" customHeight="1">
      <c r="B801" s="479"/>
      <c r="C801" s="977"/>
      <c r="D801" s="982" t="s">
        <v>266</v>
      </c>
      <c r="E801" s="2671" t="s">
        <v>1617</v>
      </c>
      <c r="F801" s="2672"/>
      <c r="G801" s="2672"/>
      <c r="H801" s="2672"/>
      <c r="I801" s="2672"/>
      <c r="J801" s="2672"/>
      <c r="K801" s="2672"/>
      <c r="L801" s="2672"/>
      <c r="M801" s="2672"/>
      <c r="N801" s="2673"/>
      <c r="O801" s="485"/>
      <c r="P801" s="485"/>
      <c r="Q801" s="1435"/>
      <c r="S801" s="1435"/>
      <c r="T801" s="1435"/>
    </row>
    <row r="802" spans="2:37" ht="12.75" customHeight="1">
      <c r="B802" s="479"/>
      <c r="C802" s="977"/>
      <c r="D802" s="777"/>
      <c r="E802" s="3292" t="s">
        <v>2295</v>
      </c>
      <c r="F802" s="2671"/>
      <c r="G802" s="2671"/>
      <c r="H802" s="2671"/>
      <c r="I802" s="2671"/>
      <c r="J802" s="2671"/>
      <c r="K802" s="2671"/>
      <c r="L802" s="2671"/>
      <c r="M802" s="2671"/>
      <c r="N802" s="2712"/>
      <c r="O802" s="485"/>
      <c r="P802" s="485"/>
      <c r="Q802" s="1435"/>
      <c r="S802" s="1435"/>
      <c r="T802" s="1435"/>
    </row>
    <row r="803" spans="2:37" ht="12.75" customHeight="1">
      <c r="B803" s="479"/>
      <c r="C803" s="977"/>
      <c r="D803" s="981"/>
      <c r="E803" s="3288" t="s">
        <v>1618</v>
      </c>
      <c r="F803" s="3288"/>
      <c r="G803" s="3288"/>
      <c r="H803" s="3288"/>
      <c r="I803" s="3288"/>
      <c r="J803" s="3288"/>
      <c r="K803" s="3288"/>
      <c r="L803" s="3288"/>
      <c r="M803" s="3288"/>
      <c r="N803" s="3289"/>
      <c r="O803" s="485"/>
      <c r="P803" s="485"/>
      <c r="Q803" s="1435"/>
      <c r="S803" s="1435"/>
    </row>
    <row r="804" spans="2:37" ht="25.5" customHeight="1">
      <c r="B804" s="479"/>
      <c r="C804" s="977"/>
      <c r="D804" s="981"/>
      <c r="E804" s="985" t="s">
        <v>1021</v>
      </c>
      <c r="F804" s="3290" t="s">
        <v>1616</v>
      </c>
      <c r="G804" s="2646"/>
      <c r="H804" s="2646"/>
      <c r="I804" s="2646"/>
      <c r="J804" s="2646"/>
      <c r="K804" s="2646"/>
      <c r="L804" s="2646"/>
      <c r="M804" s="2646"/>
      <c r="N804" s="2647"/>
      <c r="O804" s="485"/>
      <c r="P804" s="485"/>
      <c r="Q804" s="1435"/>
      <c r="S804" s="1435"/>
    </row>
    <row r="805" spans="2:37" ht="38.25" customHeight="1">
      <c r="B805" s="479"/>
      <c r="C805" s="977"/>
      <c r="D805" s="981"/>
      <c r="E805" s="985"/>
      <c r="F805" s="3267" t="s">
        <v>1615</v>
      </c>
      <c r="G805" s="2380"/>
      <c r="H805" s="2380"/>
      <c r="I805" s="2380"/>
      <c r="J805" s="2380"/>
      <c r="K805" s="2380"/>
      <c r="L805" s="2380"/>
      <c r="M805" s="2380"/>
      <c r="N805" s="3268"/>
      <c r="O805" s="485"/>
      <c r="P805" s="485"/>
      <c r="Q805" s="1435"/>
      <c r="S805" s="1435"/>
    </row>
    <row r="806" spans="2:37" ht="12.75" customHeight="1">
      <c r="B806" s="479"/>
      <c r="C806" s="977"/>
      <c r="D806" s="981"/>
      <c r="E806" s="985" t="s">
        <v>1021</v>
      </c>
      <c r="F806" s="3290" t="s">
        <v>1278</v>
      </c>
      <c r="G806" s="2646"/>
      <c r="H806" s="2646"/>
      <c r="I806" s="2646"/>
      <c r="J806" s="2646"/>
      <c r="K806" s="2646"/>
      <c r="L806" s="2646"/>
      <c r="M806" s="2646"/>
      <c r="N806" s="2647"/>
      <c r="O806" s="485"/>
      <c r="P806" s="485"/>
      <c r="Q806" s="1435"/>
      <c r="S806" s="1435"/>
    </row>
    <row r="807" spans="2:37" ht="38.85" customHeight="1">
      <c r="B807" s="479"/>
      <c r="C807" s="977"/>
      <c r="D807" s="981"/>
      <c r="E807" s="985"/>
      <c r="F807" s="3290" t="s">
        <v>1620</v>
      </c>
      <c r="G807" s="2646"/>
      <c r="H807" s="2646"/>
      <c r="I807" s="2646"/>
      <c r="J807" s="2646"/>
      <c r="K807" s="2646"/>
      <c r="L807" s="2646"/>
      <c r="M807" s="2646"/>
      <c r="N807" s="2647"/>
      <c r="O807" s="485"/>
      <c r="P807" s="485"/>
      <c r="Q807" s="1435"/>
      <c r="S807" s="1435"/>
    </row>
    <row r="808" spans="2:37" ht="25.5" customHeight="1">
      <c r="B808" s="479"/>
      <c r="C808" s="977"/>
      <c r="D808" s="981"/>
      <c r="E808" s="985"/>
      <c r="F808" s="3290" t="s">
        <v>1619</v>
      </c>
      <c r="G808" s="2646"/>
      <c r="H808" s="2646"/>
      <c r="I808" s="2646"/>
      <c r="J808" s="2646"/>
      <c r="K808" s="2646"/>
      <c r="L808" s="2646"/>
      <c r="M808" s="2646"/>
      <c r="N808" s="2647"/>
      <c r="O808" s="485"/>
      <c r="P808" s="485"/>
      <c r="Q808" s="1435"/>
      <c r="S808" s="1435"/>
    </row>
    <row r="809" spans="2:37" ht="25.5" customHeight="1">
      <c r="B809" s="479"/>
      <c r="C809" s="977"/>
      <c r="D809" s="981"/>
      <c r="E809" s="985" t="s">
        <v>1021</v>
      </c>
      <c r="F809" s="3290" t="s">
        <v>1542</v>
      </c>
      <c r="G809" s="2646"/>
      <c r="H809" s="2646"/>
      <c r="I809" s="2646"/>
      <c r="J809" s="2646"/>
      <c r="K809" s="2646"/>
      <c r="L809" s="2646"/>
      <c r="M809" s="2646"/>
      <c r="N809" s="2647"/>
      <c r="O809" s="485"/>
      <c r="P809" s="485"/>
      <c r="Q809" s="1435"/>
      <c r="S809" s="1435"/>
    </row>
    <row r="810" spans="2:37" ht="25.5" customHeight="1" thickBot="1">
      <c r="B810" s="479"/>
      <c r="C810" s="977"/>
      <c r="D810" s="981"/>
      <c r="E810" s="985" t="s">
        <v>1021</v>
      </c>
      <c r="F810" s="3290" t="s">
        <v>1458</v>
      </c>
      <c r="G810" s="2646"/>
      <c r="H810" s="2646"/>
      <c r="I810" s="2646"/>
      <c r="J810" s="2646"/>
      <c r="K810" s="2646"/>
      <c r="L810" s="2646"/>
      <c r="M810" s="2646"/>
      <c r="N810" s="2647"/>
      <c r="O810" s="485"/>
      <c r="P810" s="485"/>
      <c r="Q810" s="1435"/>
      <c r="S810" s="1435"/>
    </row>
    <row r="811" spans="2:37" ht="12.75" customHeight="1" thickBot="1">
      <c r="B811" s="479"/>
      <c r="C811" s="977"/>
      <c r="D811" s="982"/>
      <c r="E811" s="2648" t="s">
        <v>1612</v>
      </c>
      <c r="F811" s="2648"/>
      <c r="G811" s="987" t="str">
        <f>EUconst_Unit</f>
        <v>Unit</v>
      </c>
      <c r="H811" s="782">
        <f t="shared" ref="H811:N811" si="352">H$3242</f>
        <v>2024</v>
      </c>
      <c r="I811" s="988">
        <f t="shared" si="352"/>
        <v>2025</v>
      </c>
      <c r="J811" s="1810">
        <f t="shared" si="352"/>
        <v>2026</v>
      </c>
      <c r="K811" s="1747">
        <f t="shared" si="352"/>
        <v>2027</v>
      </c>
      <c r="L811" s="1747">
        <f t="shared" si="352"/>
        <v>2028</v>
      </c>
      <c r="M811" s="1747">
        <f t="shared" si="352"/>
        <v>2029</v>
      </c>
      <c r="N811" s="1748">
        <f t="shared" si="352"/>
        <v>2030</v>
      </c>
      <c r="O811" s="485"/>
      <c r="P811" s="485"/>
      <c r="Q811" s="1435"/>
      <c r="S811" s="1648"/>
      <c r="T811" s="1749">
        <f t="shared" ref="T811:Z811" si="353">H811</f>
        <v>2024</v>
      </c>
      <c r="U811" s="1749">
        <f t="shared" si="353"/>
        <v>2025</v>
      </c>
      <c r="V811" s="1749">
        <f t="shared" si="353"/>
        <v>2026</v>
      </c>
      <c r="W811" s="1749">
        <f t="shared" si="353"/>
        <v>2027</v>
      </c>
      <c r="X811" s="1749">
        <f t="shared" si="353"/>
        <v>2028</v>
      </c>
      <c r="Y811" s="1749">
        <f t="shared" si="353"/>
        <v>2029</v>
      </c>
      <c r="Z811" s="1750">
        <f t="shared" si="353"/>
        <v>2030</v>
      </c>
      <c r="AC811" s="1638">
        <f t="shared" ref="AC811:AI811" si="354">H$20</f>
        <v>2024</v>
      </c>
      <c r="AD811" s="1638">
        <f t="shared" si="354"/>
        <v>2025</v>
      </c>
      <c r="AE811" s="1638">
        <f t="shared" si="354"/>
        <v>2026</v>
      </c>
      <c r="AF811" s="1638">
        <f t="shared" si="354"/>
        <v>2027</v>
      </c>
      <c r="AG811" s="1638">
        <f t="shared" si="354"/>
        <v>2028</v>
      </c>
      <c r="AH811" s="1638">
        <f t="shared" si="354"/>
        <v>2029</v>
      </c>
      <c r="AI811" s="1638">
        <f t="shared" si="354"/>
        <v>2030</v>
      </c>
    </row>
    <row r="812" spans="2:37" ht="12.75" customHeight="1" thickBot="1">
      <c r="B812" s="479"/>
      <c r="C812" s="977"/>
      <c r="D812" s="981"/>
      <c r="E812" s="3285" t="str">
        <f>I657</f>
        <v/>
      </c>
      <c r="F812" s="2410"/>
      <c r="G812" s="815" t="str">
        <f>EUconst_tCO2epa</f>
        <v>t CO2e/year</v>
      </c>
      <c r="H812" s="1479" t="str">
        <f>c_ALR2025!M3458</f>
        <v/>
      </c>
      <c r="I812" s="1532"/>
      <c r="J812" s="1811"/>
      <c r="K812" s="1751"/>
      <c r="L812" s="1751"/>
      <c r="M812" s="1751"/>
      <c r="N812" s="1752"/>
      <c r="O812" s="485"/>
      <c r="P812" s="9"/>
      <c r="Q812" s="1644" t="str">
        <f>EUconst_CNTR_Emissions &amp; I657</f>
        <v>DirEmissions_</v>
      </c>
      <c r="S812" s="1753" t="str">
        <f>EUconst_CNTR_AttributedEmissions &amp; I657</f>
        <v>AttrEmissions_</v>
      </c>
      <c r="T812" s="1743" t="str">
        <f t="shared" ref="T812:Z812" si="355">IF(T665,SUM(H812),"")</f>
        <v/>
      </c>
      <c r="U812" s="1743" t="str">
        <f t="shared" si="355"/>
        <v/>
      </c>
      <c r="V812" s="1743" t="str">
        <f t="shared" si="355"/>
        <v/>
      </c>
      <c r="W812" s="1743" t="str">
        <f t="shared" si="355"/>
        <v/>
      </c>
      <c r="X812" s="1743" t="str">
        <f t="shared" si="355"/>
        <v/>
      </c>
      <c r="Y812" s="1743" t="str">
        <f t="shared" si="355"/>
        <v/>
      </c>
      <c r="Z812" s="1744" t="str">
        <f t="shared" si="355"/>
        <v/>
      </c>
      <c r="AB812" s="1641" t="s">
        <v>717</v>
      </c>
      <c r="AC812" s="1443" t="b">
        <f t="shared" ref="AC812:AI812" si="356">AC727</f>
        <v>0</v>
      </c>
      <c r="AD812" s="1443" t="b">
        <f t="shared" si="356"/>
        <v>0</v>
      </c>
      <c r="AE812" s="1443" t="b">
        <f t="shared" si="356"/>
        <v>0</v>
      </c>
      <c r="AF812" s="1443" t="b">
        <f t="shared" si="356"/>
        <v>0</v>
      </c>
      <c r="AG812" s="1443" t="b">
        <f t="shared" si="356"/>
        <v>0</v>
      </c>
      <c r="AH812" s="1443" t="b">
        <f t="shared" si="356"/>
        <v>0</v>
      </c>
      <c r="AI812" s="1443" t="b">
        <f t="shared" si="356"/>
        <v>0</v>
      </c>
      <c r="AJ812" s="1633" t="s">
        <v>1954</v>
      </c>
      <c r="AK812" s="1635" t="str">
        <f>IF(AND(CNTR_ExistSubInstEntries,MSconst_RequireSubAttrEmissions,COUNTIFS(AC812:AI812,FALSE,H812:N812,"")&gt;0),EUconst_Error&amp;"BM"&amp;$Q657,"")</f>
        <v/>
      </c>
    </row>
    <row r="813" spans="2:37" ht="12.75" customHeight="1">
      <c r="B813" s="479"/>
      <c r="C813" s="977"/>
      <c r="D813" s="981"/>
      <c r="E813" s="981"/>
      <c r="F813" s="981"/>
      <c r="G813" s="981"/>
      <c r="H813" s="981"/>
      <c r="I813" s="981"/>
      <c r="J813" s="981"/>
      <c r="K813" s="981"/>
      <c r="L813" s="981"/>
      <c r="M813" s="813"/>
      <c r="N813" s="814"/>
      <c r="O813" s="485"/>
      <c r="P813" s="485"/>
      <c r="Q813" s="1435"/>
      <c r="S813" s="1435"/>
    </row>
    <row r="814" spans="2:37" ht="12.75" customHeight="1">
      <c r="B814" s="479"/>
      <c r="C814" s="977"/>
      <c r="D814" s="982" t="s">
        <v>269</v>
      </c>
      <c r="E814" s="2649" t="s">
        <v>1189</v>
      </c>
      <c r="F814" s="2391"/>
      <c r="G814" s="2391"/>
      <c r="H814" s="2391"/>
      <c r="I814" s="2391"/>
      <c r="J814" s="2391"/>
      <c r="K814" s="2391"/>
      <c r="L814" s="2391"/>
      <c r="M814" s="2391"/>
      <c r="N814" s="2650"/>
      <c r="O814" s="485"/>
      <c r="P814" s="485"/>
      <c r="Q814" s="1435"/>
      <c r="R814" s="1435"/>
      <c r="S814" s="1435"/>
    </row>
    <row r="815" spans="2:37" ht="25.5" customHeight="1">
      <c r="B815" s="479"/>
      <c r="C815" s="977"/>
      <c r="D815" s="981"/>
      <c r="E815" s="3288" t="s">
        <v>1605</v>
      </c>
      <c r="F815" s="3288"/>
      <c r="G815" s="3288"/>
      <c r="H815" s="3288"/>
      <c r="I815" s="3288"/>
      <c r="J815" s="3288"/>
      <c r="K815" s="3288"/>
      <c r="L815" s="3288"/>
      <c r="M815" s="3288"/>
      <c r="N815" s="3289"/>
      <c r="O815" s="485"/>
      <c r="P815" s="485"/>
      <c r="Q815" s="1435"/>
      <c r="R815" s="1435"/>
      <c r="S815" s="1435"/>
    </row>
    <row r="816" spans="2:37" ht="25.5" customHeight="1">
      <c r="B816" s="479"/>
      <c r="C816" s="977"/>
      <c r="D816" s="981"/>
      <c r="E816" s="3288" t="s">
        <v>1357</v>
      </c>
      <c r="F816" s="3288"/>
      <c r="G816" s="3288"/>
      <c r="H816" s="3288"/>
      <c r="I816" s="3288"/>
      <c r="J816" s="3288"/>
      <c r="K816" s="3288"/>
      <c r="L816" s="3288"/>
      <c r="M816" s="3288"/>
      <c r="N816" s="3289"/>
      <c r="O816" s="485"/>
      <c r="P816" s="485"/>
      <c r="Q816" s="1435"/>
      <c r="S816" s="1435"/>
    </row>
    <row r="817" spans="2:37" ht="12.75" customHeight="1">
      <c r="B817" s="479"/>
      <c r="C817" s="977"/>
      <c r="D817" s="981"/>
      <c r="E817" s="3288" t="s">
        <v>1594</v>
      </c>
      <c r="F817" s="3288"/>
      <c r="G817" s="3288"/>
      <c r="H817" s="3288"/>
      <c r="I817" s="3288"/>
      <c r="J817" s="3288"/>
      <c r="K817" s="3288"/>
      <c r="L817" s="3288"/>
      <c r="M817" s="3288"/>
      <c r="N817" s="3289"/>
      <c r="O817" s="485"/>
      <c r="P817" s="485"/>
      <c r="Q817" s="1435"/>
      <c r="S817" s="1435"/>
    </row>
    <row r="818" spans="2:37" ht="12.75" customHeight="1">
      <c r="B818" s="479"/>
      <c r="C818" s="977"/>
      <c r="D818" s="981"/>
      <c r="E818" s="3272" t="s">
        <v>1557</v>
      </c>
      <c r="F818" s="2380"/>
      <c r="G818" s="2380"/>
      <c r="H818" s="2380"/>
      <c r="I818" s="2380"/>
      <c r="J818" s="2380"/>
      <c r="K818" s="2380"/>
      <c r="L818" s="2380"/>
      <c r="M818" s="2380"/>
      <c r="N818" s="3268"/>
      <c r="O818" s="485"/>
      <c r="P818" s="485"/>
      <c r="Q818" s="1435"/>
      <c r="S818" s="1435"/>
    </row>
    <row r="819" spans="2:37" ht="12.75" customHeight="1" thickBot="1">
      <c r="B819" s="479"/>
      <c r="C819" s="977"/>
      <c r="D819" s="982"/>
      <c r="E819" s="989"/>
      <c r="F819" s="990"/>
      <c r="G819" s="987" t="str">
        <f>EUconst_Unit</f>
        <v>Unit</v>
      </c>
      <c r="H819" s="782">
        <f t="shared" ref="H819:N819" si="357">H$3242</f>
        <v>2024</v>
      </c>
      <c r="I819" s="988">
        <f t="shared" si="357"/>
        <v>2025</v>
      </c>
      <c r="J819" s="1810">
        <f t="shared" si="357"/>
        <v>2026</v>
      </c>
      <c r="K819" s="1747">
        <f t="shared" si="357"/>
        <v>2027</v>
      </c>
      <c r="L819" s="1747">
        <f t="shared" si="357"/>
        <v>2028</v>
      </c>
      <c r="M819" s="1747">
        <f t="shared" si="357"/>
        <v>2029</v>
      </c>
      <c r="N819" s="1748">
        <f t="shared" si="357"/>
        <v>2030</v>
      </c>
      <c r="O819" s="485"/>
      <c r="P819" s="485"/>
      <c r="Q819" s="1435"/>
      <c r="S819" s="1435"/>
      <c r="AC819" s="1638">
        <f t="shared" ref="AC819:AI819" si="358">H$20</f>
        <v>2024</v>
      </c>
      <c r="AD819" s="1638">
        <f t="shared" si="358"/>
        <v>2025</v>
      </c>
      <c r="AE819" s="1638">
        <f t="shared" si="358"/>
        <v>2026</v>
      </c>
      <c r="AF819" s="1638">
        <f t="shared" si="358"/>
        <v>2027</v>
      </c>
      <c r="AG819" s="1638">
        <f t="shared" si="358"/>
        <v>2028</v>
      </c>
      <c r="AH819" s="1638">
        <f t="shared" si="358"/>
        <v>2029</v>
      </c>
      <c r="AI819" s="1638">
        <f t="shared" si="358"/>
        <v>2030</v>
      </c>
    </row>
    <row r="820" spans="2:37" ht="12.75" customHeight="1">
      <c r="B820" s="479"/>
      <c r="C820" s="977"/>
      <c r="D820" s="777" t="s">
        <v>6</v>
      </c>
      <c r="E820" s="2475" t="s">
        <v>1344</v>
      </c>
      <c r="F820" s="2410"/>
      <c r="G820" s="815" t="str">
        <f>EUconst_TJpa</f>
        <v>TJ / year</v>
      </c>
      <c r="H820" s="1479" t="str">
        <f>c_ALR2025!M3466</f>
        <v/>
      </c>
      <c r="I820" s="1532"/>
      <c r="J820" s="1811"/>
      <c r="K820" s="1751"/>
      <c r="L820" s="1751"/>
      <c r="M820" s="1751"/>
      <c r="N820" s="1752"/>
      <c r="O820" s="485"/>
      <c r="P820" s="9"/>
      <c r="Q820" s="1644" t="str">
        <f>EUconst_CNTR_FuelInput &amp; I657</f>
        <v>FuelInput_</v>
      </c>
      <c r="S820" s="1435"/>
      <c r="AB820" s="1641" t="s">
        <v>717</v>
      </c>
      <c r="AC820" s="1443" t="b">
        <f t="shared" ref="AC820:AI820" si="359">AC727</f>
        <v>0</v>
      </c>
      <c r="AD820" s="1443" t="b">
        <f t="shared" si="359"/>
        <v>0</v>
      </c>
      <c r="AE820" s="1443" t="b">
        <f t="shared" si="359"/>
        <v>0</v>
      </c>
      <c r="AF820" s="1443" t="b">
        <f t="shared" si="359"/>
        <v>0</v>
      </c>
      <c r="AG820" s="1443" t="b">
        <f t="shared" si="359"/>
        <v>0</v>
      </c>
      <c r="AH820" s="1443" t="b">
        <f t="shared" si="359"/>
        <v>0</v>
      </c>
      <c r="AI820" s="1443" t="b">
        <f t="shared" si="359"/>
        <v>0</v>
      </c>
      <c r="AJ820" s="1633" t="s">
        <v>1954</v>
      </c>
      <c r="AK820" s="1635" t="str">
        <f>IF(AND(CNTR_ExistSubInstEntries,MSconst_RequireSubAttrEmissions,COUNTIFS(AC820:AI820,FALSE,H820:N820,"")&gt;0),EUconst_Error&amp;"BM"&amp;$Q657,"")</f>
        <v/>
      </c>
    </row>
    <row r="821" spans="2:37" ht="12.75" customHeight="1">
      <c r="B821" s="479"/>
      <c r="C821" s="977"/>
      <c r="D821" s="777" t="s">
        <v>7</v>
      </c>
      <c r="E821" s="2475" t="s">
        <v>1182</v>
      </c>
      <c r="F821" s="2410"/>
      <c r="G821" s="991" t="str">
        <f>EUconst_tCO2pTJ</f>
        <v>t CO2 / TJ</v>
      </c>
      <c r="H821" s="1582" t="str">
        <f>c_ALR2025!M3467</f>
        <v/>
      </c>
      <c r="I821" s="1882"/>
      <c r="J821" s="1811"/>
      <c r="K821" s="1751"/>
      <c r="L821" s="1751"/>
      <c r="M821" s="1751"/>
      <c r="N821" s="1752"/>
      <c r="O821" s="485"/>
      <c r="P821" s="9"/>
      <c r="Q821" s="1644" t="str">
        <f>EUconst_CNTR_FuelEF &amp; I657</f>
        <v>FuelEF_</v>
      </c>
      <c r="S821" s="1435"/>
      <c r="AC821" s="1443" t="b">
        <f>AC820</f>
        <v>0</v>
      </c>
      <c r="AD821" s="1443" t="b">
        <f t="shared" ref="AD821:AI821" si="360">AD820</f>
        <v>0</v>
      </c>
      <c r="AE821" s="1443" t="b">
        <f t="shared" si="360"/>
        <v>0</v>
      </c>
      <c r="AF821" s="1443" t="b">
        <f t="shared" si="360"/>
        <v>0</v>
      </c>
      <c r="AG821" s="1443" t="b">
        <f t="shared" si="360"/>
        <v>0</v>
      </c>
      <c r="AH821" s="1443" t="b">
        <f t="shared" si="360"/>
        <v>0</v>
      </c>
      <c r="AI821" s="1443" t="b">
        <f t="shared" si="360"/>
        <v>0</v>
      </c>
      <c r="AJ821" s="1633" t="s">
        <v>1954</v>
      </c>
      <c r="AK821" s="1635" t="str">
        <f>IF(AND(CNTR_ExistSubInstEntries,MSconst_RequireSubAttrEmissions,COUNTIFS(AC821:AI821,FALSE,H821:N821,"")&gt;0),EUconst_Error&amp;"BM"&amp;$Q657,"")</f>
        <v/>
      </c>
    </row>
    <row r="822" spans="2:37" ht="12.75" customHeight="1">
      <c r="B822" s="479"/>
      <c r="C822" s="977"/>
      <c r="D822" s="981"/>
      <c r="E822" s="981"/>
      <c r="F822" s="981"/>
      <c r="G822" s="981"/>
      <c r="H822" s="981"/>
      <c r="I822" s="981"/>
      <c r="J822" s="981"/>
      <c r="K822" s="981"/>
      <c r="L822" s="981"/>
      <c r="M822" s="813"/>
      <c r="N822" s="814"/>
      <c r="O822" s="485"/>
      <c r="P822" s="485"/>
      <c r="Q822" s="1435"/>
      <c r="S822" s="1435"/>
    </row>
    <row r="823" spans="2:37" ht="12.75" customHeight="1">
      <c r="B823" s="479"/>
      <c r="C823" s="977"/>
      <c r="D823" s="982" t="s">
        <v>271</v>
      </c>
      <c r="E823" s="2649" t="s">
        <v>1416</v>
      </c>
      <c r="F823" s="2391"/>
      <c r="G823" s="2391"/>
      <c r="H823" s="2391"/>
      <c r="I823" s="2391"/>
      <c r="J823" s="2391"/>
      <c r="K823" s="2391"/>
      <c r="L823" s="2391"/>
      <c r="M823" s="2391"/>
      <c r="N823" s="2650"/>
      <c r="O823" s="485"/>
      <c r="P823" s="485"/>
      <c r="Q823" s="1435"/>
      <c r="R823" s="1435"/>
      <c r="S823" s="1435"/>
    </row>
    <row r="824" spans="2:37" ht="12.75" customHeight="1">
      <c r="B824" s="479"/>
      <c r="C824" s="977"/>
      <c r="D824" s="777"/>
      <c r="E824" s="3272" t="s">
        <v>2295</v>
      </c>
      <c r="F824" s="2380"/>
      <c r="G824" s="2380"/>
      <c r="H824" s="2380"/>
      <c r="I824" s="2380"/>
      <c r="J824" s="2380"/>
      <c r="K824" s="2380"/>
      <c r="L824" s="2380"/>
      <c r="M824" s="2380"/>
      <c r="N824" s="3268"/>
      <c r="O824" s="485"/>
      <c r="P824" s="485"/>
      <c r="Q824" s="1435"/>
      <c r="S824" s="1435"/>
      <c r="T824" s="1435"/>
      <c r="U824" s="1435"/>
      <c r="V824" s="1435"/>
    </row>
    <row r="825" spans="2:37" ht="25.5" customHeight="1">
      <c r="B825" s="479"/>
      <c r="C825" s="977"/>
      <c r="D825" s="981"/>
      <c r="E825" s="3272" t="s">
        <v>1551</v>
      </c>
      <c r="F825" s="2380"/>
      <c r="G825" s="2380"/>
      <c r="H825" s="2380"/>
      <c r="I825" s="2380"/>
      <c r="J825" s="2380"/>
      <c r="K825" s="2380"/>
      <c r="L825" s="2380"/>
      <c r="M825" s="2380"/>
      <c r="N825" s="3268"/>
      <c r="O825" s="485"/>
      <c r="P825" s="485"/>
      <c r="Q825" s="1435"/>
      <c r="R825" s="1435"/>
      <c r="S825" s="1435"/>
    </row>
    <row r="826" spans="2:37" ht="12.75" customHeight="1">
      <c r="B826" s="479"/>
      <c r="C826" s="977"/>
      <c r="D826" s="981"/>
      <c r="E826" s="3267" t="s">
        <v>1552</v>
      </c>
      <c r="F826" s="2380"/>
      <c r="G826" s="2380"/>
      <c r="H826" s="2380"/>
      <c r="I826" s="2380"/>
      <c r="J826" s="2380"/>
      <c r="K826" s="2380"/>
      <c r="L826" s="2380"/>
      <c r="M826" s="2380"/>
      <c r="N826" s="3268"/>
      <c r="O826" s="485"/>
      <c r="P826" s="485"/>
      <c r="Q826" s="1435"/>
      <c r="R826" s="1435"/>
      <c r="S826" s="1435"/>
    </row>
    <row r="827" spans="2:37" ht="38.85" customHeight="1">
      <c r="B827" s="479"/>
      <c r="C827" s="977"/>
      <c r="D827" s="981"/>
      <c r="E827" s="3267" t="s">
        <v>1553</v>
      </c>
      <c r="F827" s="2380"/>
      <c r="G827" s="2380"/>
      <c r="H827" s="2380"/>
      <c r="I827" s="2380"/>
      <c r="J827" s="2380"/>
      <c r="K827" s="2380"/>
      <c r="L827" s="2380"/>
      <c r="M827" s="2380"/>
      <c r="N827" s="3268"/>
      <c r="O827" s="485"/>
      <c r="P827" s="485"/>
      <c r="Q827" s="1435"/>
      <c r="S827" s="1435"/>
    </row>
    <row r="828" spans="2:37" ht="51" customHeight="1">
      <c r="B828" s="479"/>
      <c r="C828" s="977"/>
      <c r="D828" s="981"/>
      <c r="E828" s="3267" t="s">
        <v>1567</v>
      </c>
      <c r="F828" s="2380"/>
      <c r="G828" s="2380"/>
      <c r="H828" s="2380"/>
      <c r="I828" s="2380"/>
      <c r="J828" s="2380"/>
      <c r="K828" s="2380"/>
      <c r="L828" s="2380"/>
      <c r="M828" s="2380"/>
      <c r="N828" s="3268"/>
      <c r="O828" s="485"/>
      <c r="P828" s="485"/>
      <c r="Q828" s="1435"/>
      <c r="S828" s="1435"/>
    </row>
    <row r="829" spans="2:37" ht="25.5" customHeight="1">
      <c r="B829" s="479"/>
      <c r="C829" s="977"/>
      <c r="D829" s="981"/>
      <c r="E829" s="3267" t="s">
        <v>1565</v>
      </c>
      <c r="F829" s="2380"/>
      <c r="G829" s="2380"/>
      <c r="H829" s="2380"/>
      <c r="I829" s="2380"/>
      <c r="J829" s="2380"/>
      <c r="K829" s="2380"/>
      <c r="L829" s="2380"/>
      <c r="M829" s="2380"/>
      <c r="N829" s="3268"/>
      <c r="O829" s="485"/>
      <c r="P829" s="485"/>
      <c r="Q829" s="1435"/>
      <c r="S829" s="1435"/>
    </row>
    <row r="830" spans="2:37" ht="12.75" customHeight="1">
      <c r="B830" s="479"/>
      <c r="C830" s="977"/>
      <c r="D830" s="777" t="s">
        <v>6</v>
      </c>
      <c r="E830" s="2682" t="s">
        <v>1456</v>
      </c>
      <c r="F830" s="2391"/>
      <c r="G830" s="2391"/>
      <c r="H830" s="2391"/>
      <c r="I830" s="2391"/>
      <c r="J830" s="2391"/>
      <c r="K830" s="2512"/>
      <c r="L830" s="1478" t="str">
        <f>c_ALR2025!L3476</f>
        <v/>
      </c>
      <c r="M830" s="978"/>
      <c r="N830" s="979"/>
      <c r="O830" s="485"/>
      <c r="P830" s="9"/>
      <c r="Q830" s="1435"/>
      <c r="S830" s="1435"/>
      <c r="AF830" s="1641" t="s">
        <v>717</v>
      </c>
      <c r="AG830" s="1423" t="b">
        <f>AND(CNTR_ExistSubInstEntries,I657="")</f>
        <v>0</v>
      </c>
    </row>
    <row r="831" spans="2:37" ht="12.75" customHeight="1">
      <c r="B831" s="479"/>
      <c r="C831" s="977"/>
      <c r="D831" s="981"/>
      <c r="E831" s="3267" t="s">
        <v>1216</v>
      </c>
      <c r="F831" s="2380"/>
      <c r="G831" s="2380"/>
      <c r="H831" s="2380"/>
      <c r="I831" s="2380"/>
      <c r="J831" s="2380"/>
      <c r="K831" s="2380"/>
      <c r="L831" s="2380"/>
      <c r="M831" s="2380"/>
      <c r="N831" s="3268"/>
      <c r="O831" s="485"/>
      <c r="P831" s="485"/>
      <c r="Q831" s="1435"/>
      <c r="S831" s="1435"/>
    </row>
    <row r="832" spans="2:37" ht="12.75" customHeight="1">
      <c r="B832" s="479"/>
      <c r="C832" s="977"/>
      <c r="D832" s="777" t="s">
        <v>7</v>
      </c>
      <c r="E832" s="2649" t="s">
        <v>1214</v>
      </c>
      <c r="F832" s="2391"/>
      <c r="G832" s="2391"/>
      <c r="H832" s="2512"/>
      <c r="I832" s="3211" t="str">
        <f>c_ALR2025!I3478</f>
        <v/>
      </c>
      <c r="J832" s="3286"/>
      <c r="K832" s="3286"/>
      <c r="L832" s="3286"/>
      <c r="M832" s="3287"/>
      <c r="N832" s="992"/>
      <c r="O832" s="485"/>
      <c r="P832" s="9"/>
      <c r="Q832" s="1435"/>
      <c r="S832" s="1435"/>
      <c r="AC832" s="1641" t="s">
        <v>717</v>
      </c>
      <c r="AD832" s="1423" t="b">
        <f>OR(AG830,AND($L830&lt;&gt;"",$L830=FALSE))</f>
        <v>0</v>
      </c>
    </row>
    <row r="833" spans="2:37" ht="5.0999999999999996" customHeight="1">
      <c r="B833" s="479"/>
      <c r="C833" s="977"/>
      <c r="D833" s="981"/>
      <c r="E833" s="986"/>
      <c r="F833" s="978"/>
      <c r="G833" s="978"/>
      <c r="H833" s="978"/>
      <c r="I833" s="978"/>
      <c r="J833" s="978"/>
      <c r="K833" s="978"/>
      <c r="L833" s="978"/>
      <c r="M833" s="978"/>
      <c r="N833" s="979"/>
      <c r="O833" s="485"/>
      <c r="P833" s="485"/>
      <c r="Q833" s="1435"/>
      <c r="S833" s="1435"/>
    </row>
    <row r="834" spans="2:37" ht="12.75" customHeight="1" thickBot="1">
      <c r="B834" s="479"/>
      <c r="C834" s="977"/>
      <c r="D834" s="981"/>
      <c r="E834" s="2648" t="s">
        <v>1154</v>
      </c>
      <c r="F834" s="2493"/>
      <c r="G834" s="987" t="str">
        <f>EUconst_Unit</f>
        <v>Unit</v>
      </c>
      <c r="H834" s="782">
        <f t="shared" ref="H834:N834" si="361">H$3242</f>
        <v>2024</v>
      </c>
      <c r="I834" s="988">
        <f t="shared" si="361"/>
        <v>2025</v>
      </c>
      <c r="J834" s="1810">
        <f t="shared" si="361"/>
        <v>2026</v>
      </c>
      <c r="K834" s="1747">
        <f t="shared" si="361"/>
        <v>2027</v>
      </c>
      <c r="L834" s="1747">
        <f t="shared" si="361"/>
        <v>2028</v>
      </c>
      <c r="M834" s="1747">
        <f t="shared" si="361"/>
        <v>2029</v>
      </c>
      <c r="N834" s="1748">
        <f t="shared" si="361"/>
        <v>2030</v>
      </c>
      <c r="O834" s="485"/>
      <c r="P834" s="485"/>
      <c r="Q834" s="1435"/>
      <c r="S834" s="1435"/>
      <c r="AC834" s="1638">
        <f t="shared" ref="AC834:AI834" si="362">H$20</f>
        <v>2024</v>
      </c>
      <c r="AD834" s="1638">
        <f t="shared" si="362"/>
        <v>2025</v>
      </c>
      <c r="AE834" s="1638">
        <f t="shared" si="362"/>
        <v>2026</v>
      </c>
      <c r="AF834" s="1638">
        <f t="shared" si="362"/>
        <v>2027</v>
      </c>
      <c r="AG834" s="1638">
        <f t="shared" si="362"/>
        <v>2028</v>
      </c>
      <c r="AH834" s="1638">
        <f t="shared" si="362"/>
        <v>2029</v>
      </c>
      <c r="AI834" s="1638">
        <f t="shared" si="362"/>
        <v>2030</v>
      </c>
    </row>
    <row r="835" spans="2:37" ht="12.75" customHeight="1">
      <c r="B835" s="479"/>
      <c r="C835" s="977"/>
      <c r="D835" s="777" t="s">
        <v>8</v>
      </c>
      <c r="E835" s="2471" t="s">
        <v>1153</v>
      </c>
      <c r="F835" s="2472"/>
      <c r="G835" s="811" t="str">
        <f>EUconst_tpa</f>
        <v>t / year</v>
      </c>
      <c r="H835" s="1552" t="str">
        <f>c_ALR2025!M3481</f>
        <v/>
      </c>
      <c r="I835" s="1611"/>
      <c r="J835" s="1811"/>
      <c r="K835" s="1751"/>
      <c r="L835" s="1751"/>
      <c r="M835" s="1751"/>
      <c r="N835" s="1752"/>
      <c r="O835" s="485"/>
      <c r="P835" s="9"/>
      <c r="Q835" s="1435"/>
      <c r="S835" s="1435"/>
      <c r="AB835" s="1641" t="s">
        <v>717</v>
      </c>
      <c r="AC835" s="1423" t="b">
        <f t="shared" ref="AC835:AI835" si="363">OR(AND($L830&lt;&gt;"",$L830=FALSE),AC727)</f>
        <v>0</v>
      </c>
      <c r="AD835" s="1443" t="b">
        <f t="shared" si="363"/>
        <v>0</v>
      </c>
      <c r="AE835" s="1443" t="b">
        <f t="shared" si="363"/>
        <v>0</v>
      </c>
      <c r="AF835" s="1443" t="b">
        <f t="shared" si="363"/>
        <v>0</v>
      </c>
      <c r="AG835" s="1443" t="b">
        <f t="shared" si="363"/>
        <v>0</v>
      </c>
      <c r="AH835" s="1443" t="b">
        <f t="shared" si="363"/>
        <v>0</v>
      </c>
      <c r="AI835" s="1443" t="b">
        <f t="shared" si="363"/>
        <v>0</v>
      </c>
      <c r="AJ835" s="1633" t="s">
        <v>1954</v>
      </c>
      <c r="AK835" s="1635" t="str">
        <f>IF(AND(CNTR_ExistSubInstEntries,MSconst_RequireSubAttrEmissions,COUNTIFS(AC835:AI835,FALSE,H835:N835,"")&gt;0),EUconst_Error&amp;"BM"&amp;$Q657,"")</f>
        <v/>
      </c>
    </row>
    <row r="836" spans="2:37" ht="12.75" customHeight="1">
      <c r="B836" s="479"/>
      <c r="C836" s="977"/>
      <c r="D836" s="777" t="s">
        <v>18</v>
      </c>
      <c r="E836" s="2685" t="s">
        <v>946</v>
      </c>
      <c r="F836" s="2608"/>
      <c r="G836" s="993" t="str">
        <f>EUconst_GJpt</f>
        <v>GJ / t</v>
      </c>
      <c r="H836" s="1557" t="str">
        <f>c_ALR2025!M3482</f>
        <v/>
      </c>
      <c r="I836" s="1883"/>
      <c r="J836" s="1811"/>
      <c r="K836" s="1751"/>
      <c r="L836" s="1751"/>
      <c r="M836" s="1751"/>
      <c r="N836" s="1752"/>
      <c r="O836" s="485"/>
      <c r="P836" s="9"/>
      <c r="Q836" s="1435"/>
      <c r="S836" s="1435"/>
      <c r="AC836" s="1443" t="b">
        <f t="shared" ref="AC836:AI836" si="364">AC835</f>
        <v>0</v>
      </c>
      <c r="AD836" s="1443" t="b">
        <f t="shared" si="364"/>
        <v>0</v>
      </c>
      <c r="AE836" s="1443" t="b">
        <f t="shared" si="364"/>
        <v>0</v>
      </c>
      <c r="AF836" s="1443" t="b">
        <f t="shared" si="364"/>
        <v>0</v>
      </c>
      <c r="AG836" s="1443" t="b">
        <f t="shared" si="364"/>
        <v>0</v>
      </c>
      <c r="AH836" s="1443" t="b">
        <f t="shared" si="364"/>
        <v>0</v>
      </c>
      <c r="AI836" s="1443" t="b">
        <f t="shared" si="364"/>
        <v>0</v>
      </c>
      <c r="AJ836" s="1633" t="s">
        <v>1954</v>
      </c>
      <c r="AK836" s="1635" t="str">
        <f>IF(AND(CNTR_ExistSubInstEntries,MSconst_RequireSubAttrEmissions,COUNTIFS(AC836:AI836,FALSE,H836:N836,"")&gt;0),EUconst_Error&amp;"BM"&amp;$Q657,"")</f>
        <v/>
      </c>
    </row>
    <row r="837" spans="2:37" ht="12.75" customHeight="1" thickBot="1">
      <c r="B837" s="479"/>
      <c r="C837" s="977"/>
      <c r="D837" s="777" t="s">
        <v>787</v>
      </c>
      <c r="E837" s="2685" t="s">
        <v>945</v>
      </c>
      <c r="F837" s="2608"/>
      <c r="G837" s="994" t="s">
        <v>878</v>
      </c>
      <c r="H837" s="1557" t="str">
        <f>c_ALR2025!M3483</f>
        <v/>
      </c>
      <c r="I837" s="1883"/>
      <c r="J837" s="1811"/>
      <c r="K837" s="1751"/>
      <c r="L837" s="1751"/>
      <c r="M837" s="1751"/>
      <c r="N837" s="1752"/>
      <c r="O837" s="485"/>
      <c r="P837" s="9"/>
      <c r="Q837" s="1435"/>
      <c r="S837" s="1435"/>
      <c r="AC837" s="1443" t="b">
        <f t="shared" ref="AC837:AI837" si="365">AC836</f>
        <v>0</v>
      </c>
      <c r="AD837" s="1443" t="b">
        <f t="shared" si="365"/>
        <v>0</v>
      </c>
      <c r="AE837" s="1443" t="b">
        <f t="shared" si="365"/>
        <v>0</v>
      </c>
      <c r="AF837" s="1443" t="b">
        <f t="shared" si="365"/>
        <v>0</v>
      </c>
      <c r="AG837" s="1443" t="b">
        <f t="shared" si="365"/>
        <v>0</v>
      </c>
      <c r="AH837" s="1443" t="b">
        <f t="shared" si="365"/>
        <v>0</v>
      </c>
      <c r="AI837" s="1443" t="b">
        <f t="shared" si="365"/>
        <v>0</v>
      </c>
      <c r="AJ837" s="1633" t="s">
        <v>1954</v>
      </c>
      <c r="AK837" s="1635" t="str">
        <f>IF(AND(CNTR_ExistSubInstEntries,MSconst_RequireSubAttrEmissions,COUNTIFS(AC837:AI837,FALSE,H837:N837,"")&gt;0),EUconst_Error&amp;"BM"&amp;$Q657,"")</f>
        <v/>
      </c>
    </row>
    <row r="838" spans="2:37" ht="12.75" customHeight="1">
      <c r="B838" s="479"/>
      <c r="C838" s="977"/>
      <c r="D838" s="777" t="s">
        <v>788</v>
      </c>
      <c r="E838" s="2473" t="s">
        <v>880</v>
      </c>
      <c r="F838" s="2474"/>
      <c r="G838" s="812" t="s">
        <v>878</v>
      </c>
      <c r="H838" s="1558" t="str">
        <f>c_ALR2025!M3484</f>
        <v/>
      </c>
      <c r="I838" s="1884"/>
      <c r="J838" s="1811"/>
      <c r="K838" s="1751"/>
      <c r="L838" s="1751"/>
      <c r="M838" s="1751"/>
      <c r="N838" s="1752"/>
      <c r="O838" s="485"/>
      <c r="P838" s="9"/>
      <c r="Q838" s="1435"/>
      <c r="S838" s="1648"/>
      <c r="T838" s="1749">
        <f t="shared" ref="T838:Z838" si="366">H834</f>
        <v>2024</v>
      </c>
      <c r="U838" s="1749">
        <f t="shared" si="366"/>
        <v>2025</v>
      </c>
      <c r="V838" s="1749">
        <f t="shared" si="366"/>
        <v>2026</v>
      </c>
      <c r="W838" s="1749">
        <f t="shared" si="366"/>
        <v>2027</v>
      </c>
      <c r="X838" s="1749">
        <f t="shared" si="366"/>
        <v>2028</v>
      </c>
      <c r="Y838" s="1749">
        <f t="shared" si="366"/>
        <v>2029</v>
      </c>
      <c r="Z838" s="1750">
        <f t="shared" si="366"/>
        <v>2030</v>
      </c>
      <c r="AC838" s="1443" t="b">
        <f t="shared" ref="AC838:AI838" si="367">AC837</f>
        <v>0</v>
      </c>
      <c r="AD838" s="1443" t="b">
        <f t="shared" si="367"/>
        <v>0</v>
      </c>
      <c r="AE838" s="1443" t="b">
        <f t="shared" si="367"/>
        <v>0</v>
      </c>
      <c r="AF838" s="1443" t="b">
        <f t="shared" si="367"/>
        <v>0</v>
      </c>
      <c r="AG838" s="1443" t="b">
        <f t="shared" si="367"/>
        <v>0</v>
      </c>
      <c r="AH838" s="1443" t="b">
        <f t="shared" si="367"/>
        <v>0</v>
      </c>
      <c r="AI838" s="1443" t="b">
        <f t="shared" si="367"/>
        <v>0</v>
      </c>
      <c r="AJ838" s="1633" t="s">
        <v>1954</v>
      </c>
      <c r="AK838" s="1635" t="str">
        <f>IF(AND(CNTR_ExistSubInstEntries,MSconst_RequireSubAttrEmissions,COUNTIFS(AC838:AI838,FALSE,H838:N838,"")&gt;0),EUconst_Error&amp;"BM"&amp;$Q657,"")</f>
        <v/>
      </c>
    </row>
    <row r="839" spans="2:37" ht="12.75" customHeight="1" thickBot="1">
      <c r="B839" s="479"/>
      <c r="C839" s="977"/>
      <c r="D839" s="777" t="s">
        <v>789</v>
      </c>
      <c r="E839" s="2471" t="s">
        <v>882</v>
      </c>
      <c r="F839" s="2472"/>
      <c r="G839" s="995" t="str">
        <f>EUconst_tCO2pa</f>
        <v>t CO2 / year</v>
      </c>
      <c r="H839" s="996" t="str">
        <f t="shared" ref="H839:N839" si="368">IF(AND(COUNT(H835:H838)&gt;0,H842=""),3.664*H835*(H837/100)*(1-H838/100),"")</f>
        <v/>
      </c>
      <c r="I839" s="997" t="str">
        <f t="shared" si="368"/>
        <v/>
      </c>
      <c r="J839" s="1812" t="str">
        <f t="shared" si="368"/>
        <v/>
      </c>
      <c r="K839" s="1754" t="str">
        <f t="shared" si="368"/>
        <v/>
      </c>
      <c r="L839" s="1754" t="str">
        <f t="shared" si="368"/>
        <v/>
      </c>
      <c r="M839" s="1754" t="str">
        <f t="shared" si="368"/>
        <v/>
      </c>
      <c r="N839" s="1755" t="str">
        <f t="shared" si="368"/>
        <v/>
      </c>
      <c r="O839" s="485"/>
      <c r="P839" s="485"/>
      <c r="Q839" s="1644" t="str">
        <f>EUconst_CNTR_EmissionsIntSource1 &amp; I657</f>
        <v>EmInternalSource1_</v>
      </c>
      <c r="S839" s="1753" t="str">
        <f>EUconst_CNTR_AttributedEmissions &amp; I657</f>
        <v>AttrEmissions_</v>
      </c>
      <c r="T839" s="1743" t="str">
        <f t="shared" ref="T839:Z839" si="369">IF(T665,SUM(H839),"")</f>
        <v/>
      </c>
      <c r="U839" s="1743" t="str">
        <f t="shared" si="369"/>
        <v/>
      </c>
      <c r="V839" s="1743" t="str">
        <f t="shared" si="369"/>
        <v/>
      </c>
      <c r="W839" s="1743" t="str">
        <f t="shared" si="369"/>
        <v/>
      </c>
      <c r="X839" s="1743" t="str">
        <f t="shared" si="369"/>
        <v/>
      </c>
      <c r="Y839" s="1743" t="str">
        <f t="shared" si="369"/>
        <v/>
      </c>
      <c r="Z839" s="1744" t="str">
        <f t="shared" si="369"/>
        <v/>
      </c>
    </row>
    <row r="840" spans="2:37" ht="12.75" customHeight="1">
      <c r="B840" s="479"/>
      <c r="C840" s="977"/>
      <c r="D840" s="777" t="s">
        <v>790</v>
      </c>
      <c r="E840" s="2670" t="s">
        <v>879</v>
      </c>
      <c r="F840" s="2608"/>
      <c r="G840" s="998" t="str">
        <f>EUconst_tCO2pa</f>
        <v>t CO2 / year</v>
      </c>
      <c r="H840" s="999" t="str">
        <f t="shared" ref="H840:N840" si="370">IF(ISNUMBER(H839),3.664*H835*(H837/100)*(H838/100),"")</f>
        <v/>
      </c>
      <c r="I840" s="1000" t="str">
        <f t="shared" si="370"/>
        <v/>
      </c>
      <c r="J840" s="1813" t="str">
        <f t="shared" si="370"/>
        <v/>
      </c>
      <c r="K840" s="1756" t="str">
        <f t="shared" si="370"/>
        <v/>
      </c>
      <c r="L840" s="1756" t="str">
        <f t="shared" si="370"/>
        <v/>
      </c>
      <c r="M840" s="1756" t="str">
        <f t="shared" si="370"/>
        <v/>
      </c>
      <c r="N840" s="1757" t="str">
        <f t="shared" si="370"/>
        <v/>
      </c>
      <c r="O840" s="485"/>
      <c r="P840" s="485"/>
      <c r="Q840" s="1435"/>
      <c r="S840" s="1435"/>
    </row>
    <row r="841" spans="2:37" ht="12.75" customHeight="1">
      <c r="B841" s="479"/>
      <c r="C841" s="977"/>
      <c r="D841" s="777" t="s">
        <v>791</v>
      </c>
      <c r="E841" s="2473" t="s">
        <v>41</v>
      </c>
      <c r="F841" s="2474"/>
      <c r="G841" s="1001" t="str">
        <f>EUconst_TJpa</f>
        <v>TJ / year</v>
      </c>
      <c r="H841" s="605" t="str">
        <f t="shared" ref="H841:N841" si="371">IF(COUNT(H835:H836)=2,H835*H836/1000,"")</f>
        <v/>
      </c>
      <c r="I841" s="973" t="str">
        <f t="shared" si="371"/>
        <v/>
      </c>
      <c r="J841" s="1811" t="str">
        <f t="shared" si="371"/>
        <v/>
      </c>
      <c r="K841" s="1751" t="str">
        <f t="shared" si="371"/>
        <v/>
      </c>
      <c r="L841" s="1751" t="str">
        <f t="shared" si="371"/>
        <v/>
      </c>
      <c r="M841" s="1751" t="str">
        <f t="shared" si="371"/>
        <v/>
      </c>
      <c r="N841" s="1752" t="str">
        <f t="shared" si="371"/>
        <v/>
      </c>
      <c r="O841" s="485"/>
      <c r="P841" s="485"/>
      <c r="Q841" s="1435"/>
      <c r="S841" s="1435"/>
    </row>
    <row r="842" spans="2:37" ht="12.75" customHeight="1">
      <c r="B842" s="479"/>
      <c r="C842" s="977"/>
      <c r="D842" s="777" t="s">
        <v>64</v>
      </c>
      <c r="E842" s="2687" t="s">
        <v>393</v>
      </c>
      <c r="F842" s="2688"/>
      <c r="G842" s="1002"/>
      <c r="H842" s="1003" t="str">
        <f t="shared" ref="H842:N842" si="372">IF(COUNT(H835,H837:H838)&gt;0,IF(COUNTIF(H836:H838,"&lt;0")&gt;0,EUconst_Negative,IF(COUNT(H835,H837:H838)&lt;3,EUconst_Incomplete,"")),"")</f>
        <v/>
      </c>
      <c r="I842" s="1004" t="str">
        <f t="shared" si="372"/>
        <v/>
      </c>
      <c r="J842" s="1814" t="str">
        <f t="shared" si="372"/>
        <v/>
      </c>
      <c r="K842" s="1758" t="str">
        <f t="shared" si="372"/>
        <v/>
      </c>
      <c r="L842" s="1758" t="str">
        <f t="shared" si="372"/>
        <v/>
      </c>
      <c r="M842" s="1758" t="str">
        <f t="shared" si="372"/>
        <v/>
      </c>
      <c r="N842" s="1759" t="str">
        <f t="shared" si="372"/>
        <v/>
      </c>
      <c r="O842" s="485"/>
      <c r="P842" s="485"/>
      <c r="Q842" s="1435"/>
      <c r="S842" s="1435"/>
    </row>
    <row r="843" spans="2:37" ht="12.75" customHeight="1">
      <c r="B843" s="479"/>
      <c r="C843" s="977"/>
      <c r="D843" s="777"/>
      <c r="E843" s="981"/>
      <c r="F843" s="981"/>
      <c r="G843" s="981"/>
      <c r="H843" s="981"/>
      <c r="I843" s="981"/>
      <c r="J843" s="981"/>
      <c r="K843" s="981"/>
      <c r="L843" s="981"/>
      <c r="M843" s="813"/>
      <c r="N843" s="814"/>
      <c r="O843" s="485"/>
      <c r="P843" s="485"/>
      <c r="Q843" s="1435"/>
      <c r="S843" s="1435"/>
    </row>
    <row r="844" spans="2:37" ht="12.75" customHeight="1">
      <c r="B844" s="479"/>
      <c r="C844" s="977"/>
      <c r="D844" s="777" t="s">
        <v>65</v>
      </c>
      <c r="E844" s="2649" t="s">
        <v>1215</v>
      </c>
      <c r="F844" s="2391"/>
      <c r="G844" s="2391"/>
      <c r="H844" s="2512"/>
      <c r="I844" s="3211" t="str">
        <f>c_ALR2025!I3490</f>
        <v/>
      </c>
      <c r="J844" s="3206"/>
      <c r="K844" s="3206"/>
      <c r="L844" s="3206"/>
      <c r="M844" s="3207"/>
      <c r="N844" s="979"/>
      <c r="O844" s="485"/>
      <c r="P844" s="9"/>
      <c r="Q844" s="1435"/>
      <c r="S844" s="1435"/>
      <c r="AC844" s="1641" t="s">
        <v>717</v>
      </c>
      <c r="AD844" s="1443" t="b">
        <f>AD832</f>
        <v>0</v>
      </c>
    </row>
    <row r="845" spans="2:37" ht="5.0999999999999996" customHeight="1">
      <c r="B845" s="479"/>
      <c r="C845" s="977"/>
      <c r="D845" s="981"/>
      <c r="E845" s="986"/>
      <c r="F845" s="978"/>
      <c r="G845" s="981"/>
      <c r="H845" s="981"/>
      <c r="I845" s="978"/>
      <c r="J845" s="978"/>
      <c r="K845" s="978"/>
      <c r="L845" s="978"/>
      <c r="M845" s="978"/>
      <c r="N845" s="979"/>
      <c r="O845" s="485"/>
      <c r="P845" s="485"/>
      <c r="Q845" s="1435"/>
      <c r="S845" s="1435"/>
    </row>
    <row r="846" spans="2:37" ht="12.75" customHeight="1" thickBot="1">
      <c r="B846" s="479"/>
      <c r="C846" s="977"/>
      <c r="D846" s="777"/>
      <c r="E846" s="2648" t="s">
        <v>1155</v>
      </c>
      <c r="F846" s="2493"/>
      <c r="G846" s="987" t="str">
        <f>EUconst_Unit</f>
        <v>Unit</v>
      </c>
      <c r="H846" s="782">
        <f t="shared" ref="H846:N846" si="373">H$3242</f>
        <v>2024</v>
      </c>
      <c r="I846" s="988">
        <f t="shared" si="373"/>
        <v>2025</v>
      </c>
      <c r="J846" s="1810">
        <f t="shared" si="373"/>
        <v>2026</v>
      </c>
      <c r="K846" s="1747">
        <f t="shared" si="373"/>
        <v>2027</v>
      </c>
      <c r="L846" s="1747">
        <f t="shared" si="373"/>
        <v>2028</v>
      </c>
      <c r="M846" s="1747">
        <f t="shared" si="373"/>
        <v>2029</v>
      </c>
      <c r="N846" s="1748">
        <f t="shared" si="373"/>
        <v>2030</v>
      </c>
      <c r="O846" s="485"/>
      <c r="P846" s="485"/>
      <c r="Q846" s="1435"/>
      <c r="S846" s="1435"/>
      <c r="AC846" s="1638">
        <f t="shared" ref="AC846:AI846" si="374">H$20</f>
        <v>2024</v>
      </c>
      <c r="AD846" s="1638">
        <f t="shared" si="374"/>
        <v>2025</v>
      </c>
      <c r="AE846" s="1638">
        <f t="shared" si="374"/>
        <v>2026</v>
      </c>
      <c r="AF846" s="1638">
        <f t="shared" si="374"/>
        <v>2027</v>
      </c>
      <c r="AG846" s="1638">
        <f t="shared" si="374"/>
        <v>2028</v>
      </c>
      <c r="AH846" s="1638">
        <f t="shared" si="374"/>
        <v>2029</v>
      </c>
      <c r="AI846" s="1638">
        <f t="shared" si="374"/>
        <v>2030</v>
      </c>
    </row>
    <row r="847" spans="2:37" ht="12.75" customHeight="1">
      <c r="B847" s="479"/>
      <c r="C847" s="977"/>
      <c r="D847" s="777" t="s">
        <v>66</v>
      </c>
      <c r="E847" s="2471" t="s">
        <v>1153</v>
      </c>
      <c r="F847" s="2472"/>
      <c r="G847" s="811" t="str">
        <f>EUconst_tpa</f>
        <v>t / year</v>
      </c>
      <c r="H847" s="1552" t="str">
        <f>c_ALR2025!M3493</f>
        <v/>
      </c>
      <c r="I847" s="1611"/>
      <c r="J847" s="1811"/>
      <c r="K847" s="1751"/>
      <c r="L847" s="1751"/>
      <c r="M847" s="1751"/>
      <c r="N847" s="1752"/>
      <c r="O847" s="485"/>
      <c r="P847" s="9"/>
      <c r="Q847" s="1435"/>
      <c r="S847" s="1435"/>
      <c r="AB847" s="1641" t="s">
        <v>717</v>
      </c>
      <c r="AC847" s="1443" t="b">
        <f>AC835</f>
        <v>0</v>
      </c>
      <c r="AD847" s="1443" t="b">
        <f t="shared" ref="AD847:AI847" si="375">AD835</f>
        <v>0</v>
      </c>
      <c r="AE847" s="1443" t="b">
        <f t="shared" si="375"/>
        <v>0</v>
      </c>
      <c r="AF847" s="1443" t="b">
        <f t="shared" si="375"/>
        <v>0</v>
      </c>
      <c r="AG847" s="1443" t="b">
        <f t="shared" si="375"/>
        <v>0</v>
      </c>
      <c r="AH847" s="1443" t="b">
        <f t="shared" si="375"/>
        <v>0</v>
      </c>
      <c r="AI847" s="1443" t="b">
        <f t="shared" si="375"/>
        <v>0</v>
      </c>
      <c r="AJ847" s="1633" t="s">
        <v>1954</v>
      </c>
      <c r="AK847" s="1635" t="str">
        <f>IF(AND(CNTR_ExistSubInstEntries,MSconst_RequireSubAttrEmissions,COUNTIFS(AC847:AI847,FALSE,H847:N847,"")&gt;0),EUconst_Error&amp;"BM"&amp;$Q657,"")</f>
        <v/>
      </c>
    </row>
    <row r="848" spans="2:37" ht="12.75" customHeight="1">
      <c r="B848" s="479"/>
      <c r="C848" s="977"/>
      <c r="D848" s="777" t="s">
        <v>1105</v>
      </c>
      <c r="E848" s="2685" t="s">
        <v>946</v>
      </c>
      <c r="F848" s="2608"/>
      <c r="G848" s="993" t="str">
        <f>EUconst_GJpt</f>
        <v>GJ / t</v>
      </c>
      <c r="H848" s="1557" t="str">
        <f>c_ALR2025!M3494</f>
        <v/>
      </c>
      <c r="I848" s="1883"/>
      <c r="J848" s="1811"/>
      <c r="K848" s="1751"/>
      <c r="L848" s="1751"/>
      <c r="M848" s="1751"/>
      <c r="N848" s="1752"/>
      <c r="O848" s="485"/>
      <c r="P848" s="9"/>
      <c r="Q848" s="1435"/>
      <c r="S848" s="1435"/>
      <c r="AC848" s="1443" t="b">
        <f t="shared" ref="AC848:AI848" si="376">AC836</f>
        <v>0</v>
      </c>
      <c r="AD848" s="1443" t="b">
        <f t="shared" si="376"/>
        <v>0</v>
      </c>
      <c r="AE848" s="1443" t="b">
        <f t="shared" si="376"/>
        <v>0</v>
      </c>
      <c r="AF848" s="1443" t="b">
        <f t="shared" si="376"/>
        <v>0</v>
      </c>
      <c r="AG848" s="1443" t="b">
        <f t="shared" si="376"/>
        <v>0</v>
      </c>
      <c r="AH848" s="1443" t="b">
        <f t="shared" si="376"/>
        <v>0</v>
      </c>
      <c r="AI848" s="1443" t="b">
        <f t="shared" si="376"/>
        <v>0</v>
      </c>
      <c r="AJ848" s="1633" t="s">
        <v>1954</v>
      </c>
      <c r="AK848" s="1635" t="str">
        <f>IF(AND(CNTR_ExistSubInstEntries,MSconst_RequireSubAttrEmissions,COUNTIFS(AC848:AI848,FALSE,H848:N848,"")&gt;0),EUconst_Error&amp;"BM"&amp;$Q657,"")</f>
        <v/>
      </c>
    </row>
    <row r="849" spans="2:37" ht="12.75" customHeight="1" thickBot="1">
      <c r="B849" s="479"/>
      <c r="C849" s="977"/>
      <c r="D849" s="777" t="s">
        <v>1106</v>
      </c>
      <c r="E849" s="2685" t="s">
        <v>945</v>
      </c>
      <c r="F849" s="2608"/>
      <c r="G849" s="994" t="s">
        <v>878</v>
      </c>
      <c r="H849" s="1557" t="str">
        <f>c_ALR2025!M3495</f>
        <v/>
      </c>
      <c r="I849" s="1883"/>
      <c r="J849" s="1811"/>
      <c r="K849" s="1751"/>
      <c r="L849" s="1751"/>
      <c r="M849" s="1751"/>
      <c r="N849" s="1752"/>
      <c r="O849" s="485"/>
      <c r="P849" s="9"/>
      <c r="Q849" s="1435"/>
      <c r="S849" s="1435"/>
      <c r="AC849" s="1443" t="b">
        <f t="shared" ref="AC849:AI849" si="377">AC837</f>
        <v>0</v>
      </c>
      <c r="AD849" s="1443" t="b">
        <f t="shared" si="377"/>
        <v>0</v>
      </c>
      <c r="AE849" s="1443" t="b">
        <f t="shared" si="377"/>
        <v>0</v>
      </c>
      <c r="AF849" s="1443" t="b">
        <f t="shared" si="377"/>
        <v>0</v>
      </c>
      <c r="AG849" s="1443" t="b">
        <f t="shared" si="377"/>
        <v>0</v>
      </c>
      <c r="AH849" s="1443" t="b">
        <f t="shared" si="377"/>
        <v>0</v>
      </c>
      <c r="AI849" s="1443" t="b">
        <f t="shared" si="377"/>
        <v>0</v>
      </c>
      <c r="AJ849" s="1633" t="s">
        <v>1954</v>
      </c>
      <c r="AK849" s="1635" t="str">
        <f>IF(AND(CNTR_ExistSubInstEntries,MSconst_RequireSubAttrEmissions,COUNTIFS(AC849:AI849,FALSE,H849:N849,"")&gt;0),EUconst_Error&amp;"BM"&amp;$Q657,"")</f>
        <v/>
      </c>
    </row>
    <row r="850" spans="2:37" ht="12.75" customHeight="1">
      <c r="B850" s="479"/>
      <c r="C850" s="977"/>
      <c r="D850" s="777" t="s">
        <v>1107</v>
      </c>
      <c r="E850" s="2473" t="s">
        <v>880</v>
      </c>
      <c r="F850" s="2474"/>
      <c r="G850" s="812" t="s">
        <v>878</v>
      </c>
      <c r="H850" s="1558" t="str">
        <f>c_ALR2025!M3496</f>
        <v/>
      </c>
      <c r="I850" s="1884"/>
      <c r="J850" s="1811"/>
      <c r="K850" s="1751"/>
      <c r="L850" s="1751"/>
      <c r="M850" s="1751"/>
      <c r="N850" s="1752"/>
      <c r="O850" s="485"/>
      <c r="P850" s="9"/>
      <c r="Q850" s="1435"/>
      <c r="S850" s="1648"/>
      <c r="T850" s="1749">
        <f t="shared" ref="T850:Z850" si="378">H846</f>
        <v>2024</v>
      </c>
      <c r="U850" s="1749">
        <f t="shared" si="378"/>
        <v>2025</v>
      </c>
      <c r="V850" s="1749">
        <f t="shared" si="378"/>
        <v>2026</v>
      </c>
      <c r="W850" s="1749">
        <f t="shared" si="378"/>
        <v>2027</v>
      </c>
      <c r="X850" s="1749">
        <f t="shared" si="378"/>
        <v>2028</v>
      </c>
      <c r="Y850" s="1749">
        <f t="shared" si="378"/>
        <v>2029</v>
      </c>
      <c r="Z850" s="1750">
        <f t="shared" si="378"/>
        <v>2030</v>
      </c>
      <c r="AC850" s="1443" t="b">
        <f t="shared" ref="AC850:AI850" si="379">AC838</f>
        <v>0</v>
      </c>
      <c r="AD850" s="1443" t="b">
        <f t="shared" si="379"/>
        <v>0</v>
      </c>
      <c r="AE850" s="1443" t="b">
        <f t="shared" si="379"/>
        <v>0</v>
      </c>
      <c r="AF850" s="1443" t="b">
        <f t="shared" si="379"/>
        <v>0</v>
      </c>
      <c r="AG850" s="1443" t="b">
        <f t="shared" si="379"/>
        <v>0</v>
      </c>
      <c r="AH850" s="1443" t="b">
        <f t="shared" si="379"/>
        <v>0</v>
      </c>
      <c r="AI850" s="1443" t="b">
        <f t="shared" si="379"/>
        <v>0</v>
      </c>
      <c r="AJ850" s="1633" t="s">
        <v>1954</v>
      </c>
      <c r="AK850" s="1635" t="str">
        <f>IF(AND(CNTR_ExistSubInstEntries,MSconst_RequireSubAttrEmissions,COUNTIFS(AC850:AI850,FALSE,H850:N850,"")&gt;0),EUconst_Error&amp;"BM"&amp;$Q657,"")</f>
        <v/>
      </c>
    </row>
    <row r="851" spans="2:37" ht="12.75" customHeight="1" thickBot="1">
      <c r="B851" s="479"/>
      <c r="C851" s="977"/>
      <c r="D851" s="777" t="s">
        <v>1108</v>
      </c>
      <c r="E851" s="2471" t="s">
        <v>882</v>
      </c>
      <c r="F851" s="2472"/>
      <c r="G851" s="995" t="str">
        <f>EUconst_tCO2pa</f>
        <v>t CO2 / year</v>
      </c>
      <c r="H851" s="996" t="str">
        <f t="shared" ref="H851:N851" si="380">IF(AND(COUNT(H847:H850)&gt;0,H854=""),3.664*H847*(H849/100)*(1-H850/100),"")</f>
        <v/>
      </c>
      <c r="I851" s="997" t="str">
        <f t="shared" si="380"/>
        <v/>
      </c>
      <c r="J851" s="1812" t="str">
        <f t="shared" si="380"/>
        <v/>
      </c>
      <c r="K851" s="1754" t="str">
        <f t="shared" si="380"/>
        <v/>
      </c>
      <c r="L851" s="1754" t="str">
        <f t="shared" si="380"/>
        <v/>
      </c>
      <c r="M851" s="1754" t="str">
        <f t="shared" si="380"/>
        <v/>
      </c>
      <c r="N851" s="1755" t="str">
        <f t="shared" si="380"/>
        <v/>
      </c>
      <c r="O851" s="485"/>
      <c r="P851" s="485"/>
      <c r="Q851" s="1644" t="str">
        <f>EUconst_CNTR_EmissionsIntSource2 &amp; I657</f>
        <v>EmInternalSource2_</v>
      </c>
      <c r="S851" s="1753" t="str">
        <f>EUconst_CNTR_AttributedEmissions &amp; I657</f>
        <v>AttrEmissions_</v>
      </c>
      <c r="T851" s="1743" t="str">
        <f t="shared" ref="T851:Z851" si="381">IF(T665,SUM(H851),"")</f>
        <v/>
      </c>
      <c r="U851" s="1743" t="str">
        <f t="shared" si="381"/>
        <v/>
      </c>
      <c r="V851" s="1743" t="str">
        <f t="shared" si="381"/>
        <v/>
      </c>
      <c r="W851" s="1743" t="str">
        <f t="shared" si="381"/>
        <v/>
      </c>
      <c r="X851" s="1743" t="str">
        <f t="shared" si="381"/>
        <v/>
      </c>
      <c r="Y851" s="1743" t="str">
        <f t="shared" si="381"/>
        <v/>
      </c>
      <c r="Z851" s="1744" t="str">
        <f t="shared" si="381"/>
        <v/>
      </c>
    </row>
    <row r="852" spans="2:37" ht="12.75" customHeight="1">
      <c r="B852" s="479"/>
      <c r="C852" s="977"/>
      <c r="D852" s="777" t="s">
        <v>1109</v>
      </c>
      <c r="E852" s="2670" t="s">
        <v>879</v>
      </c>
      <c r="F852" s="2608"/>
      <c r="G852" s="998" t="str">
        <f>EUconst_tCO2pa</f>
        <v>t CO2 / year</v>
      </c>
      <c r="H852" s="999" t="str">
        <f t="shared" ref="H852:N852" si="382">IF(ISNUMBER(H851),3.664*H847*(H849/100)*(H850/100),"")</f>
        <v/>
      </c>
      <c r="I852" s="1000" t="str">
        <f t="shared" si="382"/>
        <v/>
      </c>
      <c r="J852" s="1813" t="str">
        <f t="shared" si="382"/>
        <v/>
      </c>
      <c r="K852" s="1756" t="str">
        <f t="shared" si="382"/>
        <v/>
      </c>
      <c r="L852" s="1756" t="str">
        <f t="shared" si="382"/>
        <v/>
      </c>
      <c r="M852" s="1756" t="str">
        <f t="shared" si="382"/>
        <v/>
      </c>
      <c r="N852" s="1757" t="str">
        <f t="shared" si="382"/>
        <v/>
      </c>
      <c r="O852" s="485"/>
      <c r="P852" s="485"/>
      <c r="Q852" s="1435"/>
      <c r="S852" s="1435"/>
    </row>
    <row r="853" spans="2:37" ht="12.75" customHeight="1">
      <c r="B853" s="479"/>
      <c r="C853" s="977"/>
      <c r="D853" s="777" t="s">
        <v>1110</v>
      </c>
      <c r="E853" s="2473" t="s">
        <v>41</v>
      </c>
      <c r="F853" s="2474"/>
      <c r="G853" s="1001" t="str">
        <f>EUconst_TJpa</f>
        <v>TJ / year</v>
      </c>
      <c r="H853" s="605" t="str">
        <f t="shared" ref="H853:N853" si="383">IF(COUNT(H847:H848)=2,H847*H848/1000,"")</f>
        <v/>
      </c>
      <c r="I853" s="973" t="str">
        <f t="shared" si="383"/>
        <v/>
      </c>
      <c r="J853" s="1811" t="str">
        <f t="shared" si="383"/>
        <v/>
      </c>
      <c r="K853" s="1751" t="str">
        <f t="shared" si="383"/>
        <v/>
      </c>
      <c r="L853" s="1751" t="str">
        <f t="shared" si="383"/>
        <v/>
      </c>
      <c r="M853" s="1751" t="str">
        <f t="shared" si="383"/>
        <v/>
      </c>
      <c r="N853" s="1752" t="str">
        <f t="shared" si="383"/>
        <v/>
      </c>
      <c r="O853" s="485"/>
      <c r="P853" s="485"/>
      <c r="Q853" s="1435"/>
      <c r="S853" s="1435"/>
    </row>
    <row r="854" spans="2:37" ht="12.75" customHeight="1">
      <c r="B854" s="479"/>
      <c r="C854" s="977"/>
      <c r="D854" s="777" t="s">
        <v>1106</v>
      </c>
      <c r="E854" s="2687" t="s">
        <v>393</v>
      </c>
      <c r="F854" s="2688"/>
      <c r="G854" s="1002"/>
      <c r="H854" s="1003" t="str">
        <f t="shared" ref="H854:N854" si="384">IF(COUNT(H847,H849:H850)&gt;0,IF(COUNTIF(H848:H850,"&lt;0")&gt;0,EUconst_Negative,IF(COUNT(H847,H849:H850)&lt;3,EUconst_Incomplete,"")),"")</f>
        <v/>
      </c>
      <c r="I854" s="1004" t="str">
        <f t="shared" si="384"/>
        <v/>
      </c>
      <c r="J854" s="1814" t="str">
        <f t="shared" si="384"/>
        <v/>
      </c>
      <c r="K854" s="1758" t="str">
        <f t="shared" si="384"/>
        <v/>
      </c>
      <c r="L854" s="1758" t="str">
        <f t="shared" si="384"/>
        <v/>
      </c>
      <c r="M854" s="1758" t="str">
        <f t="shared" si="384"/>
        <v/>
      </c>
      <c r="N854" s="1759" t="str">
        <f t="shared" si="384"/>
        <v/>
      </c>
      <c r="O854" s="485"/>
      <c r="P854" s="485"/>
      <c r="Q854" s="1435"/>
      <c r="S854" s="1435"/>
    </row>
    <row r="855" spans="2:37" ht="12.75" customHeight="1">
      <c r="B855" s="479"/>
      <c r="C855" s="977"/>
      <c r="D855" s="981"/>
      <c r="E855" s="981"/>
      <c r="F855" s="981"/>
      <c r="G855" s="981"/>
      <c r="H855" s="981"/>
      <c r="I855" s="981"/>
      <c r="J855" s="981"/>
      <c r="K855" s="981"/>
      <c r="L855" s="981"/>
      <c r="M855" s="813"/>
      <c r="N855" s="814"/>
      <c r="O855" s="485"/>
      <c r="P855" s="485"/>
      <c r="Q855" s="1435"/>
      <c r="S855" s="1435"/>
    </row>
    <row r="856" spans="2:37" ht="12.75" customHeight="1">
      <c r="B856" s="479"/>
      <c r="C856" s="977"/>
      <c r="D856" s="982" t="s">
        <v>478</v>
      </c>
      <c r="E856" s="2649" t="s">
        <v>1457</v>
      </c>
      <c r="F856" s="2391"/>
      <c r="G856" s="2391"/>
      <c r="H856" s="2391"/>
      <c r="I856" s="2391"/>
      <c r="J856" s="2391"/>
      <c r="K856" s="2391"/>
      <c r="L856" s="2391"/>
      <c r="M856" s="2391"/>
      <c r="N856" s="2650"/>
      <c r="O856" s="485"/>
      <c r="P856" s="485"/>
      <c r="Q856" s="1435"/>
      <c r="S856" s="1435"/>
    </row>
    <row r="857" spans="2:37" ht="12.75" customHeight="1">
      <c r="B857" s="479"/>
      <c r="C857" s="977"/>
      <c r="D857" s="777"/>
      <c r="E857" s="3272" t="s">
        <v>2295</v>
      </c>
      <c r="F857" s="2380"/>
      <c r="G857" s="2380"/>
      <c r="H857" s="2380"/>
      <c r="I857" s="2380"/>
      <c r="J857" s="2380"/>
      <c r="K857" s="2380"/>
      <c r="L857" s="2380"/>
      <c r="M857" s="2380"/>
      <c r="N857" s="3268"/>
      <c r="O857" s="485"/>
      <c r="P857" s="485"/>
      <c r="Q857" s="1435"/>
      <c r="S857" s="1435"/>
      <c r="T857" s="1435"/>
      <c r="U857" s="1435"/>
      <c r="V857" s="1435"/>
    </row>
    <row r="858" spans="2:37" ht="25.5" customHeight="1">
      <c r="B858" s="479"/>
      <c r="C858" s="977"/>
      <c r="D858" s="981"/>
      <c r="E858" s="3267" t="s">
        <v>2300</v>
      </c>
      <c r="F858" s="2380"/>
      <c r="G858" s="2380"/>
      <c r="H858" s="2380"/>
      <c r="I858" s="2380"/>
      <c r="J858" s="2380"/>
      <c r="K858" s="2380"/>
      <c r="L858" s="2380"/>
      <c r="M858" s="2380"/>
      <c r="N858" s="3268"/>
      <c r="O858" s="485"/>
      <c r="P858" s="485"/>
      <c r="Q858" s="1435"/>
      <c r="S858" s="1435"/>
    </row>
    <row r="859" spans="2:37" ht="12.75" customHeight="1" thickBot="1">
      <c r="B859" s="479"/>
      <c r="C859" s="977"/>
      <c r="D859" s="981"/>
      <c r="E859" s="3267" t="s">
        <v>1365</v>
      </c>
      <c r="F859" s="2380"/>
      <c r="G859" s="2380"/>
      <c r="H859" s="2380"/>
      <c r="I859" s="2380"/>
      <c r="J859" s="2380"/>
      <c r="K859" s="2380"/>
      <c r="L859" s="2380"/>
      <c r="M859" s="2380"/>
      <c r="N859" s="3268"/>
      <c r="O859" s="485"/>
      <c r="P859" s="485"/>
      <c r="Q859" s="1435"/>
      <c r="S859" s="1435"/>
    </row>
    <row r="860" spans="2:37" ht="12.75" customHeight="1" thickBot="1">
      <c r="B860" s="479"/>
      <c r="C860" s="977"/>
      <c r="D860" s="982"/>
      <c r="E860" s="989"/>
      <c r="F860" s="990"/>
      <c r="G860" s="987" t="str">
        <f>EUconst_Unit</f>
        <v>Unit</v>
      </c>
      <c r="H860" s="782">
        <f t="shared" ref="H860:N860" si="385">H$3242</f>
        <v>2024</v>
      </c>
      <c r="I860" s="988">
        <f t="shared" si="385"/>
        <v>2025</v>
      </c>
      <c r="J860" s="1810">
        <f t="shared" si="385"/>
        <v>2026</v>
      </c>
      <c r="K860" s="1747">
        <f t="shared" si="385"/>
        <v>2027</v>
      </c>
      <c r="L860" s="1747">
        <f t="shared" si="385"/>
        <v>2028</v>
      </c>
      <c r="M860" s="1747">
        <f t="shared" si="385"/>
        <v>2029</v>
      </c>
      <c r="N860" s="1748">
        <f t="shared" si="385"/>
        <v>2030</v>
      </c>
      <c r="O860" s="485"/>
      <c r="P860" s="485"/>
      <c r="Q860" s="1435"/>
      <c r="S860" s="1648"/>
      <c r="T860" s="1749">
        <f t="shared" ref="T860:Z860" si="386">H860</f>
        <v>2024</v>
      </c>
      <c r="U860" s="1749">
        <f t="shared" si="386"/>
        <v>2025</v>
      </c>
      <c r="V860" s="1749">
        <f t="shared" si="386"/>
        <v>2026</v>
      </c>
      <c r="W860" s="1749">
        <f t="shared" si="386"/>
        <v>2027</v>
      </c>
      <c r="X860" s="1749">
        <f t="shared" si="386"/>
        <v>2028</v>
      </c>
      <c r="Y860" s="1749">
        <f t="shared" si="386"/>
        <v>2029</v>
      </c>
      <c r="Z860" s="1750">
        <f t="shared" si="386"/>
        <v>2030</v>
      </c>
      <c r="AC860" s="1638">
        <f t="shared" ref="AC860:AI860" si="387">H$20</f>
        <v>2024</v>
      </c>
      <c r="AD860" s="1638">
        <f t="shared" si="387"/>
        <v>2025</v>
      </c>
      <c r="AE860" s="1638">
        <f t="shared" si="387"/>
        <v>2026</v>
      </c>
      <c r="AF860" s="1638">
        <f t="shared" si="387"/>
        <v>2027</v>
      </c>
      <c r="AG860" s="1638">
        <f t="shared" si="387"/>
        <v>2028</v>
      </c>
      <c r="AH860" s="1638">
        <f t="shared" si="387"/>
        <v>2029</v>
      </c>
      <c r="AI860" s="1638">
        <f t="shared" si="387"/>
        <v>2030</v>
      </c>
    </row>
    <row r="861" spans="2:37" ht="12.75" customHeight="1" thickBot="1">
      <c r="B861" s="479"/>
      <c r="C861" s="977"/>
      <c r="D861" s="777"/>
      <c r="E861" s="2475" t="s">
        <v>1156</v>
      </c>
      <c r="F861" s="2410"/>
      <c r="G861" s="815" t="str">
        <f>EUconst_tCO2epa</f>
        <v>t CO2e/year</v>
      </c>
      <c r="H861" s="1479" t="str">
        <f>c_ALR2025!M3507</f>
        <v/>
      </c>
      <c r="I861" s="1532"/>
      <c r="J861" s="1811"/>
      <c r="K861" s="1751"/>
      <c r="L861" s="1751"/>
      <c r="M861" s="1751"/>
      <c r="N861" s="1752"/>
      <c r="O861" s="485"/>
      <c r="P861" s="9"/>
      <c r="Q861" s="1644" t="str">
        <f>EUconst_CNTR_CO2Feedstock &amp; I657</f>
        <v>EmCO2Feedstock_</v>
      </c>
      <c r="S861" s="1753" t="str">
        <f>EUconst_CNTR_AttributedEmissions &amp; I657</f>
        <v>AttrEmissions_</v>
      </c>
      <c r="T861" s="1743" t="str">
        <f t="shared" ref="T861:Z861" si="388">IF(T665,SUM(H861),"")</f>
        <v/>
      </c>
      <c r="U861" s="1743" t="str">
        <f t="shared" si="388"/>
        <v/>
      </c>
      <c r="V861" s="1743" t="str">
        <f t="shared" si="388"/>
        <v/>
      </c>
      <c r="W861" s="1743" t="str">
        <f t="shared" si="388"/>
        <v/>
      </c>
      <c r="X861" s="1743" t="str">
        <f t="shared" si="388"/>
        <v/>
      </c>
      <c r="Y861" s="1743" t="str">
        <f t="shared" si="388"/>
        <v/>
      </c>
      <c r="Z861" s="1744" t="str">
        <f t="shared" si="388"/>
        <v/>
      </c>
      <c r="AB861" s="1641" t="s">
        <v>717</v>
      </c>
      <c r="AC861" s="1443" t="b">
        <f t="shared" ref="AC861:AI861" si="389">AC727</f>
        <v>0</v>
      </c>
      <c r="AD861" s="1443" t="b">
        <f t="shared" si="389"/>
        <v>0</v>
      </c>
      <c r="AE861" s="1443" t="b">
        <f t="shared" si="389"/>
        <v>0</v>
      </c>
      <c r="AF861" s="1443" t="b">
        <f t="shared" si="389"/>
        <v>0</v>
      </c>
      <c r="AG861" s="1443" t="b">
        <f t="shared" si="389"/>
        <v>0</v>
      </c>
      <c r="AH861" s="1443" t="b">
        <f t="shared" si="389"/>
        <v>0</v>
      </c>
      <c r="AI861" s="1443" t="b">
        <f t="shared" si="389"/>
        <v>0</v>
      </c>
      <c r="AJ861" s="1633" t="s">
        <v>1954</v>
      </c>
      <c r="AK861" s="1635" t="str">
        <f>IF(AND(CNTR_ExistSubInstEntries,MSconst_RequireSubAttrEmissions,COUNTIFS(AC861:AI861,FALSE,H861:N861,"")&gt;0),EUconst_Error&amp;"BM"&amp;$Q657,"")</f>
        <v/>
      </c>
    </row>
    <row r="862" spans="2:37" ht="12.75" customHeight="1">
      <c r="B862" s="479"/>
      <c r="C862" s="977"/>
      <c r="D862" s="981"/>
      <c r="E862" s="981"/>
      <c r="F862" s="981"/>
      <c r="G862" s="981"/>
      <c r="H862" s="981"/>
      <c r="I862" s="981"/>
      <c r="J862" s="981"/>
      <c r="K862" s="981"/>
      <c r="L862" s="981"/>
      <c r="M862" s="813"/>
      <c r="N862" s="814"/>
      <c r="O862" s="485"/>
      <c r="P862" s="485"/>
      <c r="Q862" s="1435"/>
      <c r="S862" s="1435"/>
    </row>
    <row r="863" spans="2:37" ht="12.75" customHeight="1">
      <c r="B863" s="479"/>
      <c r="C863" s="977"/>
      <c r="D863" s="982" t="s">
        <v>479</v>
      </c>
      <c r="E863" s="2649" t="s">
        <v>1118</v>
      </c>
      <c r="F863" s="2391"/>
      <c r="G863" s="2391"/>
      <c r="H863" s="2391"/>
      <c r="I863" s="2391"/>
      <c r="J863" s="2391"/>
      <c r="K863" s="2391"/>
      <c r="L863" s="2391"/>
      <c r="M863" s="2391"/>
      <c r="N863" s="2650"/>
      <c r="O863" s="485"/>
      <c r="P863" s="485"/>
      <c r="Q863" s="1435"/>
      <c r="S863" s="1435"/>
    </row>
    <row r="864" spans="2:37" ht="12.75" customHeight="1">
      <c r="B864" s="479"/>
      <c r="C864" s="977"/>
      <c r="D864" s="777"/>
      <c r="E864" s="3272" t="s">
        <v>2297</v>
      </c>
      <c r="F864" s="2380"/>
      <c r="G864" s="2380"/>
      <c r="H864" s="2380"/>
      <c r="I864" s="2380"/>
      <c r="J864" s="2380"/>
      <c r="K864" s="2380"/>
      <c r="L864" s="2380"/>
      <c r="M864" s="2380"/>
      <c r="N864" s="3268"/>
      <c r="O864" s="485"/>
      <c r="P864" s="485"/>
      <c r="Q864" s="1435"/>
      <c r="S864" s="1435"/>
      <c r="T864" s="1435"/>
      <c r="U864" s="1435"/>
      <c r="V864" s="1435"/>
    </row>
    <row r="865" spans="2:37" ht="38.85" customHeight="1">
      <c r="B865" s="479"/>
      <c r="C865" s="977"/>
      <c r="D865" s="981"/>
      <c r="E865" s="3267" t="s">
        <v>2118</v>
      </c>
      <c r="F865" s="2380"/>
      <c r="G865" s="2380"/>
      <c r="H865" s="2380"/>
      <c r="I865" s="2380"/>
      <c r="J865" s="2380"/>
      <c r="K865" s="2380"/>
      <c r="L865" s="2380"/>
      <c r="M865" s="2380"/>
      <c r="N865" s="3268"/>
      <c r="O865" s="485"/>
      <c r="P865" s="485"/>
      <c r="Q865" s="1435"/>
      <c r="S865" s="1435"/>
    </row>
    <row r="866" spans="2:37" ht="25.5" customHeight="1">
      <c r="B866" s="479"/>
      <c r="C866" s="977"/>
      <c r="D866" s="981"/>
      <c r="E866" s="3267" t="s">
        <v>1614</v>
      </c>
      <c r="F866" s="2380"/>
      <c r="G866" s="2380"/>
      <c r="H866" s="2380"/>
      <c r="I866" s="2380"/>
      <c r="J866" s="2380"/>
      <c r="K866" s="2380"/>
      <c r="L866" s="2380"/>
      <c r="M866" s="2380"/>
      <c r="N866" s="3268"/>
      <c r="O866" s="485"/>
      <c r="P866" s="485"/>
      <c r="Q866" s="1435"/>
      <c r="S866" s="1435"/>
    </row>
    <row r="867" spans="2:37" ht="25.5" customHeight="1">
      <c r="B867" s="479"/>
      <c r="C867" s="977"/>
      <c r="D867" s="981"/>
      <c r="E867" s="3267" t="s">
        <v>1593</v>
      </c>
      <c r="F867" s="2380"/>
      <c r="G867" s="2380"/>
      <c r="H867" s="2380"/>
      <c r="I867" s="2380"/>
      <c r="J867" s="2380"/>
      <c r="K867" s="2380"/>
      <c r="L867" s="2380"/>
      <c r="M867" s="2380"/>
      <c r="N867" s="3268"/>
      <c r="O867" s="485"/>
      <c r="P867" s="485"/>
      <c r="Q867" s="1435"/>
      <c r="S867" s="1435"/>
    </row>
    <row r="868" spans="2:37" ht="12.75" customHeight="1" thickBot="1">
      <c r="B868" s="479"/>
      <c r="C868" s="977"/>
      <c r="D868" s="981"/>
      <c r="E868" s="3269" t="s">
        <v>1555</v>
      </c>
      <c r="F868" s="3270"/>
      <c r="G868" s="3270"/>
      <c r="H868" s="3270"/>
      <c r="I868" s="3270"/>
      <c r="J868" s="3270"/>
      <c r="K868" s="3270"/>
      <c r="L868" s="3270"/>
      <c r="M868" s="3270"/>
      <c r="N868" s="3271"/>
      <c r="O868" s="485"/>
      <c r="P868" s="485"/>
      <c r="Q868" s="1435"/>
    </row>
    <row r="869" spans="2:37" ht="12.75" customHeight="1" thickBot="1">
      <c r="B869" s="479"/>
      <c r="C869" s="977"/>
      <c r="D869" s="981"/>
      <c r="E869" s="2648" t="s">
        <v>1151</v>
      </c>
      <c r="F869" s="2493"/>
      <c r="G869" s="987" t="str">
        <f>EUconst_Unit</f>
        <v>Unit</v>
      </c>
      <c r="H869" s="782">
        <f t="shared" ref="H869:N869" si="390">H$3242</f>
        <v>2024</v>
      </c>
      <c r="I869" s="988">
        <f t="shared" si="390"/>
        <v>2025</v>
      </c>
      <c r="J869" s="1810">
        <f t="shared" si="390"/>
        <v>2026</v>
      </c>
      <c r="K869" s="1747">
        <f t="shared" si="390"/>
        <v>2027</v>
      </c>
      <c r="L869" s="1747">
        <f t="shared" si="390"/>
        <v>2028</v>
      </c>
      <c r="M869" s="1747">
        <f t="shared" si="390"/>
        <v>2029</v>
      </c>
      <c r="N869" s="1748">
        <f t="shared" si="390"/>
        <v>2030</v>
      </c>
      <c r="O869" s="485"/>
      <c r="P869" s="485"/>
      <c r="Q869" s="1435"/>
      <c r="S869" s="1648"/>
      <c r="T869" s="1749">
        <f t="shared" ref="T869:Z869" si="391">H869</f>
        <v>2024</v>
      </c>
      <c r="U869" s="1749">
        <f t="shared" si="391"/>
        <v>2025</v>
      </c>
      <c r="V869" s="1749">
        <f t="shared" si="391"/>
        <v>2026</v>
      </c>
      <c r="W869" s="1749">
        <f t="shared" si="391"/>
        <v>2027</v>
      </c>
      <c r="X869" s="1749">
        <f t="shared" si="391"/>
        <v>2028</v>
      </c>
      <c r="Y869" s="1749">
        <f t="shared" si="391"/>
        <v>2029</v>
      </c>
      <c r="Z869" s="1750">
        <f t="shared" si="391"/>
        <v>2030</v>
      </c>
      <c r="AC869" s="1638">
        <f t="shared" ref="AC869:AI869" si="392">H$20</f>
        <v>2024</v>
      </c>
      <c r="AD869" s="1638">
        <f t="shared" si="392"/>
        <v>2025</v>
      </c>
      <c r="AE869" s="1638">
        <f t="shared" si="392"/>
        <v>2026</v>
      </c>
      <c r="AF869" s="1638">
        <f t="shared" si="392"/>
        <v>2027</v>
      </c>
      <c r="AG869" s="1638">
        <f t="shared" si="392"/>
        <v>2028</v>
      </c>
      <c r="AH869" s="1638">
        <f t="shared" si="392"/>
        <v>2029</v>
      </c>
      <c r="AI869" s="1638">
        <f t="shared" si="392"/>
        <v>2030</v>
      </c>
    </row>
    <row r="870" spans="2:37" ht="12.75" customHeight="1">
      <c r="B870" s="479"/>
      <c r="C870" s="977"/>
      <c r="D870" s="777" t="s">
        <v>6</v>
      </c>
      <c r="E870" s="2475" t="s">
        <v>1087</v>
      </c>
      <c r="F870" s="2410"/>
      <c r="G870" s="815" t="str">
        <f>EUconst_TJpa</f>
        <v>TJ / year</v>
      </c>
      <c r="H870" s="1479" t="str">
        <f>c_ALR2025!M3516</f>
        <v/>
      </c>
      <c r="I870" s="1532"/>
      <c r="J870" s="1811"/>
      <c r="K870" s="1751"/>
      <c r="L870" s="1751"/>
      <c r="M870" s="1751"/>
      <c r="N870" s="1752"/>
      <c r="O870" s="485"/>
      <c r="P870" s="9"/>
      <c r="Q870" s="1644" t="str">
        <f>EUconst_CNTR_HeatImport &amp; I657</f>
        <v>HeatIm_</v>
      </c>
      <c r="S870" s="1874" t="str">
        <f>EUconst_ERR_AttrEmBMapplied &amp; I657</f>
        <v>ERR_AttrEmBM_</v>
      </c>
      <c r="T870" s="1443">
        <f t="shared" ref="T870:Z870" si="393">IF(AND(H870&lt;&gt;0,H871="",EUconst_StatusOfDataCollection=FALSE),1,0)</f>
        <v>0</v>
      </c>
      <c r="U870" s="1443">
        <f t="shared" si="393"/>
        <v>0</v>
      </c>
      <c r="V870" s="1443">
        <f t="shared" si="393"/>
        <v>0</v>
      </c>
      <c r="W870" s="1443">
        <f t="shared" si="393"/>
        <v>0</v>
      </c>
      <c r="X870" s="1443">
        <f t="shared" si="393"/>
        <v>0</v>
      </c>
      <c r="Y870" s="1443">
        <f t="shared" si="393"/>
        <v>0</v>
      </c>
      <c r="Z870" s="1737">
        <f t="shared" si="393"/>
        <v>0</v>
      </c>
      <c r="AA870" s="1503"/>
      <c r="AB870" s="1641" t="s">
        <v>717</v>
      </c>
      <c r="AC870" s="1443" t="b">
        <f t="shared" ref="AC870:AI870" si="394">AC727</f>
        <v>0</v>
      </c>
      <c r="AD870" s="1443" t="b">
        <f t="shared" si="394"/>
        <v>0</v>
      </c>
      <c r="AE870" s="1443" t="b">
        <f t="shared" si="394"/>
        <v>0</v>
      </c>
      <c r="AF870" s="1443" t="b">
        <f t="shared" si="394"/>
        <v>0</v>
      </c>
      <c r="AG870" s="1443" t="b">
        <f t="shared" si="394"/>
        <v>0</v>
      </c>
      <c r="AH870" s="1443" t="b">
        <f t="shared" si="394"/>
        <v>0</v>
      </c>
      <c r="AI870" s="1443" t="b">
        <f t="shared" si="394"/>
        <v>0</v>
      </c>
      <c r="AJ870" s="1633" t="s">
        <v>1954</v>
      </c>
      <c r="AK870" s="1635" t="str">
        <f>IF(AND(CNTR_ExistSubInstEntries,MSconst_RequireSubAttrEmissions,COUNTIFS(AC870:AI870,FALSE,H870:N870,"")&gt;0),EUconst_Error&amp;"BM"&amp;$Q657,"")</f>
        <v/>
      </c>
    </row>
    <row r="871" spans="2:37" ht="12.75" customHeight="1" thickBot="1">
      <c r="B871" s="479"/>
      <c r="C871" s="977"/>
      <c r="D871" s="777" t="s">
        <v>7</v>
      </c>
      <c r="E871" s="2475" t="s">
        <v>1103</v>
      </c>
      <c r="F871" s="2410"/>
      <c r="G871" s="815" t="str">
        <f>EUconst_tCO2pTJ</f>
        <v>t CO2 / TJ</v>
      </c>
      <c r="H871" s="1479" t="str">
        <f>c_ALR2025!M3517</f>
        <v/>
      </c>
      <c r="I871" s="1532"/>
      <c r="J871" s="1811"/>
      <c r="K871" s="1751"/>
      <c r="L871" s="1751"/>
      <c r="M871" s="1751"/>
      <c r="N871" s="1752"/>
      <c r="O871" s="485"/>
      <c r="P871" s="9"/>
      <c r="Q871" s="1644" t="str">
        <f>EUconst_CNTR_HeatImportEF &amp; I657</f>
        <v>HeatImEF_</v>
      </c>
      <c r="S871" s="1753" t="str">
        <f>EUconst_CNTR_AttributedEmissions &amp; I657</f>
        <v>AttrEmissions_</v>
      </c>
      <c r="T871" s="1743" t="str">
        <f t="shared" ref="T871:Z871" si="395">IF(T665,SUM(H870)*IF(ISNUMBER(H871),H871,EUconst_HeatBMvalue),"")</f>
        <v/>
      </c>
      <c r="U871" s="1743" t="str">
        <f t="shared" si="395"/>
        <v/>
      </c>
      <c r="V871" s="1743" t="str">
        <f t="shared" si="395"/>
        <v/>
      </c>
      <c r="W871" s="1743" t="str">
        <f t="shared" si="395"/>
        <v/>
      </c>
      <c r="X871" s="1743" t="str">
        <f t="shared" si="395"/>
        <v/>
      </c>
      <c r="Y871" s="1743" t="str">
        <f t="shared" si="395"/>
        <v/>
      </c>
      <c r="Z871" s="1744" t="str">
        <f t="shared" si="395"/>
        <v/>
      </c>
      <c r="AC871" s="1443" t="b">
        <f>AC870</f>
        <v>0</v>
      </c>
      <c r="AD871" s="1443" t="b">
        <f t="shared" ref="AD871:AI871" si="396">AD870</f>
        <v>0</v>
      </c>
      <c r="AE871" s="1443" t="b">
        <f t="shared" si="396"/>
        <v>0</v>
      </c>
      <c r="AF871" s="1443" t="b">
        <f t="shared" si="396"/>
        <v>0</v>
      </c>
      <c r="AG871" s="1443" t="b">
        <f t="shared" si="396"/>
        <v>0</v>
      </c>
      <c r="AH871" s="1443" t="b">
        <f t="shared" si="396"/>
        <v>0</v>
      </c>
      <c r="AI871" s="1443" t="b">
        <f t="shared" si="396"/>
        <v>0</v>
      </c>
    </row>
    <row r="872" spans="2:37" ht="5.0999999999999996" customHeight="1">
      <c r="B872" s="479"/>
      <c r="C872" s="977"/>
      <c r="D872" s="981"/>
      <c r="E872" s="981"/>
      <c r="F872" s="981"/>
      <c r="G872" s="981"/>
      <c r="H872" s="981"/>
      <c r="I872" s="981"/>
      <c r="J872" s="1815"/>
      <c r="K872" s="1760"/>
      <c r="L872" s="1760"/>
      <c r="M872" s="1760"/>
      <c r="N872" s="1761"/>
      <c r="O872" s="485"/>
      <c r="P872" s="485"/>
      <c r="Q872" s="1435"/>
      <c r="S872" s="1435"/>
      <c r="T872" s="1435"/>
      <c r="U872" s="1435"/>
      <c r="V872" s="1435"/>
    </row>
    <row r="873" spans="2:37" ht="12.75" customHeight="1" thickBot="1">
      <c r="B873" s="479"/>
      <c r="C873" s="977"/>
      <c r="D873" s="981"/>
      <c r="E873" s="2648" t="s">
        <v>1406</v>
      </c>
      <c r="F873" s="2493"/>
      <c r="G873" s="987" t="str">
        <f>EUconst_Unit</f>
        <v>Unit</v>
      </c>
      <c r="H873" s="782">
        <f t="shared" ref="H873:N873" si="397">H$3242</f>
        <v>2024</v>
      </c>
      <c r="I873" s="988">
        <f t="shared" si="397"/>
        <v>2025</v>
      </c>
      <c r="J873" s="1810">
        <f t="shared" si="397"/>
        <v>2026</v>
      </c>
      <c r="K873" s="1747">
        <f t="shared" si="397"/>
        <v>2027</v>
      </c>
      <c r="L873" s="1747">
        <f t="shared" si="397"/>
        <v>2028</v>
      </c>
      <c r="M873" s="1747">
        <f t="shared" si="397"/>
        <v>2029</v>
      </c>
      <c r="N873" s="1748">
        <f t="shared" si="397"/>
        <v>2030</v>
      </c>
      <c r="O873" s="485"/>
      <c r="P873" s="485"/>
      <c r="Q873" s="1435"/>
      <c r="S873" s="1435"/>
      <c r="T873" s="1435"/>
      <c r="U873" s="1435"/>
      <c r="V873" s="1435"/>
      <c r="AC873" s="1638">
        <f t="shared" ref="AC873:AI873" si="398">H$20</f>
        <v>2024</v>
      </c>
      <c r="AD873" s="1638">
        <f t="shared" si="398"/>
        <v>2025</v>
      </c>
      <c r="AE873" s="1638">
        <f t="shared" si="398"/>
        <v>2026</v>
      </c>
      <c r="AF873" s="1638">
        <f t="shared" si="398"/>
        <v>2027</v>
      </c>
      <c r="AG873" s="1638">
        <f t="shared" si="398"/>
        <v>2028</v>
      </c>
      <c r="AH873" s="1638">
        <f t="shared" si="398"/>
        <v>2029</v>
      </c>
      <c r="AI873" s="1638">
        <f t="shared" si="398"/>
        <v>2030</v>
      </c>
    </row>
    <row r="874" spans="2:37" ht="12.75" customHeight="1">
      <c r="B874" s="479"/>
      <c r="C874" s="977"/>
      <c r="D874" s="777" t="s">
        <v>8</v>
      </c>
      <c r="E874" s="2475" t="s">
        <v>1556</v>
      </c>
      <c r="F874" s="2410"/>
      <c r="G874" s="815" t="str">
        <f>EUconst_TJpa</f>
        <v>TJ / year</v>
      </c>
      <c r="H874" s="1762" t="str">
        <f>c_ALR2025!M3520</f>
        <v/>
      </c>
      <c r="I874" s="1885"/>
      <c r="J874" s="1811"/>
      <c r="K874" s="1751"/>
      <c r="L874" s="1751"/>
      <c r="M874" s="1751"/>
      <c r="N874" s="1752"/>
      <c r="O874" s="485"/>
      <c r="P874" s="9"/>
      <c r="Q874" s="1644" t="str">
        <f>EUconst_CNTR_HeatImportPulp &amp; I657</f>
        <v>HeatImPulp_</v>
      </c>
      <c r="S874" s="1435"/>
      <c r="T874" s="1435"/>
      <c r="U874" s="1435"/>
      <c r="V874" s="1435"/>
      <c r="AB874" s="1641" t="s">
        <v>717</v>
      </c>
      <c r="AC874" s="1443" t="b">
        <f t="shared" ref="AC874:AI874" si="399">AC727</f>
        <v>0</v>
      </c>
      <c r="AD874" s="1443" t="b">
        <f t="shared" si="399"/>
        <v>0</v>
      </c>
      <c r="AE874" s="1443" t="b">
        <f t="shared" si="399"/>
        <v>0</v>
      </c>
      <c r="AF874" s="1443" t="b">
        <f t="shared" si="399"/>
        <v>0</v>
      </c>
      <c r="AG874" s="1443" t="b">
        <f t="shared" si="399"/>
        <v>0</v>
      </c>
      <c r="AH874" s="1443" t="b">
        <f t="shared" si="399"/>
        <v>0</v>
      </c>
      <c r="AI874" s="1443" t="b">
        <f t="shared" si="399"/>
        <v>0</v>
      </c>
      <c r="AJ874" s="1633" t="s">
        <v>1954</v>
      </c>
      <c r="AK874" s="1635" t="str">
        <f>IF(AND(CNTR_ExistSubInstEntries,MSconst_RequireSubAttrEmissions,COUNTIFS(AC874:AI874,FALSE,H874:N874,"")&gt;0),EUconst_Error&amp;"BM"&amp;$Q657,"")</f>
        <v/>
      </c>
    </row>
    <row r="875" spans="2:37" ht="25.5" customHeight="1">
      <c r="B875" s="479"/>
      <c r="C875" s="977"/>
      <c r="D875" s="777" t="s">
        <v>18</v>
      </c>
      <c r="E875" s="2475" t="s">
        <v>1149</v>
      </c>
      <c r="F875" s="2410"/>
      <c r="G875" s="815" t="str">
        <f>EUconst_TJpa</f>
        <v>TJ / year</v>
      </c>
      <c r="H875" s="1479" t="str">
        <f>c_ALR2025!M3521</f>
        <v/>
      </c>
      <c r="I875" s="1532"/>
      <c r="J875" s="1811"/>
      <c r="K875" s="1751"/>
      <c r="L875" s="1751"/>
      <c r="M875" s="1751"/>
      <c r="N875" s="1752"/>
      <c r="O875" s="485"/>
      <c r="P875" s="9"/>
      <c r="Q875" s="1644" t="str">
        <f>EUconst_CNTR_HeatImportNitric &amp; I657</f>
        <v>HeatImNitric_</v>
      </c>
      <c r="S875" s="1435"/>
      <c r="T875" s="1435"/>
      <c r="U875" s="1435"/>
      <c r="V875" s="1435"/>
      <c r="AC875" s="1443" t="b">
        <f>AC874</f>
        <v>0</v>
      </c>
      <c r="AD875" s="1443" t="b">
        <f t="shared" ref="AD875:AI875" si="400">AD874</f>
        <v>0</v>
      </c>
      <c r="AE875" s="1443" t="b">
        <f t="shared" si="400"/>
        <v>0</v>
      </c>
      <c r="AF875" s="1443" t="b">
        <f t="shared" si="400"/>
        <v>0</v>
      </c>
      <c r="AG875" s="1443" t="b">
        <f t="shared" si="400"/>
        <v>0</v>
      </c>
      <c r="AH875" s="1443" t="b">
        <f t="shared" si="400"/>
        <v>0</v>
      </c>
      <c r="AI875" s="1443" t="b">
        <f t="shared" si="400"/>
        <v>0</v>
      </c>
      <c r="AJ875" s="1633" t="s">
        <v>1954</v>
      </c>
      <c r="AK875" s="1635" t="str">
        <f>IF(AND(CNTR_ExistSubInstEntries,MSconst_RequireSubAttrEmissions,COUNTIFS(AC875:AI875,FALSE,H875:N875,"")&gt;0),EUconst_Error&amp;"BM"&amp;$Q657,"")</f>
        <v/>
      </c>
    </row>
    <row r="876" spans="2:37" ht="5.0999999999999996" customHeight="1" thickBot="1">
      <c r="B876" s="479"/>
      <c r="C876" s="977"/>
      <c r="D876" s="981"/>
      <c r="E876" s="981"/>
      <c r="F876" s="981"/>
      <c r="G876" s="981"/>
      <c r="H876" s="981"/>
      <c r="I876" s="981"/>
      <c r="J876" s="1815"/>
      <c r="K876" s="1760"/>
      <c r="L876" s="1760"/>
      <c r="M876" s="1760"/>
      <c r="N876" s="1761"/>
      <c r="O876" s="485"/>
      <c r="P876" s="485"/>
      <c r="Q876" s="1435"/>
      <c r="S876" s="1435"/>
      <c r="T876" s="1435"/>
      <c r="U876" s="1435"/>
      <c r="V876" s="1435"/>
    </row>
    <row r="877" spans="2:37" ht="12.75" customHeight="1" thickBot="1">
      <c r="B877" s="479"/>
      <c r="C877" s="977"/>
      <c r="D877" s="981"/>
      <c r="E877" s="2648" t="s">
        <v>1152</v>
      </c>
      <c r="F877" s="2493"/>
      <c r="G877" s="987" t="str">
        <f>EUconst_Unit</f>
        <v>Unit</v>
      </c>
      <c r="H877" s="782">
        <f t="shared" ref="H877:N877" si="401">H$3242</f>
        <v>2024</v>
      </c>
      <c r="I877" s="988">
        <f t="shared" si="401"/>
        <v>2025</v>
      </c>
      <c r="J877" s="1810">
        <f t="shared" si="401"/>
        <v>2026</v>
      </c>
      <c r="K877" s="1747">
        <f t="shared" si="401"/>
        <v>2027</v>
      </c>
      <c r="L877" s="1747">
        <f t="shared" si="401"/>
        <v>2028</v>
      </c>
      <c r="M877" s="1747">
        <f t="shared" si="401"/>
        <v>2029</v>
      </c>
      <c r="N877" s="1748">
        <f t="shared" si="401"/>
        <v>2030</v>
      </c>
      <c r="O877" s="485"/>
      <c r="P877" s="485"/>
      <c r="Q877" s="1435"/>
      <c r="S877" s="1648"/>
      <c r="T877" s="1749">
        <f t="shared" ref="T877:Z877" si="402">H877</f>
        <v>2024</v>
      </c>
      <c r="U877" s="1749">
        <f t="shared" si="402"/>
        <v>2025</v>
      </c>
      <c r="V877" s="1749">
        <f t="shared" si="402"/>
        <v>2026</v>
      </c>
      <c r="W877" s="1749">
        <f t="shared" si="402"/>
        <v>2027</v>
      </c>
      <c r="X877" s="1749">
        <f t="shared" si="402"/>
        <v>2028</v>
      </c>
      <c r="Y877" s="1749">
        <f t="shared" si="402"/>
        <v>2029</v>
      </c>
      <c r="Z877" s="1750">
        <f t="shared" si="402"/>
        <v>2030</v>
      </c>
      <c r="AC877" s="1638">
        <f t="shared" ref="AC877:AI877" si="403">H$20</f>
        <v>2024</v>
      </c>
      <c r="AD877" s="1638">
        <f t="shared" si="403"/>
        <v>2025</v>
      </c>
      <c r="AE877" s="1638">
        <f t="shared" si="403"/>
        <v>2026</v>
      </c>
      <c r="AF877" s="1638">
        <f t="shared" si="403"/>
        <v>2027</v>
      </c>
      <c r="AG877" s="1638">
        <f t="shared" si="403"/>
        <v>2028</v>
      </c>
      <c r="AH877" s="1638">
        <f t="shared" si="403"/>
        <v>2029</v>
      </c>
      <c r="AI877" s="1638">
        <f t="shared" si="403"/>
        <v>2030</v>
      </c>
    </row>
    <row r="878" spans="2:37" ht="12.75" customHeight="1">
      <c r="B878" s="479"/>
      <c r="C878" s="977"/>
      <c r="D878" s="777" t="s">
        <v>787</v>
      </c>
      <c r="E878" s="2475" t="s">
        <v>1079</v>
      </c>
      <c r="F878" s="2410"/>
      <c r="G878" s="815" t="str">
        <f>EUconst_TJpa</f>
        <v>TJ / year</v>
      </c>
      <c r="H878" s="1479" t="str">
        <f>c_ALR2025!M3524</f>
        <v/>
      </c>
      <c r="I878" s="1532"/>
      <c r="J878" s="1811"/>
      <c r="K878" s="1751"/>
      <c r="L878" s="1751"/>
      <c r="M878" s="1751"/>
      <c r="N878" s="1752"/>
      <c r="O878" s="485"/>
      <c r="P878" s="9"/>
      <c r="Q878" s="1644" t="str">
        <f>EUconst_CNTR_HeatExport &amp; I657</f>
        <v>HeatEx_</v>
      </c>
      <c r="S878" s="1874" t="str">
        <f>EUconst_ERR_AttrEmBMapplied &amp; I657</f>
        <v>ERR_AttrEmBM_</v>
      </c>
      <c r="T878" s="1443">
        <f t="shared" ref="T878:Z878" si="404">IF(AND(H878&lt;&gt;0,H879="",EUconst_StatusOfDataCollection=FALSE),1,0)</f>
        <v>0</v>
      </c>
      <c r="U878" s="1443">
        <f t="shared" si="404"/>
        <v>0</v>
      </c>
      <c r="V878" s="1443">
        <f t="shared" si="404"/>
        <v>0</v>
      </c>
      <c r="W878" s="1443">
        <f t="shared" si="404"/>
        <v>0</v>
      </c>
      <c r="X878" s="1443">
        <f t="shared" si="404"/>
        <v>0</v>
      </c>
      <c r="Y878" s="1443">
        <f t="shared" si="404"/>
        <v>0</v>
      </c>
      <c r="Z878" s="1737">
        <f t="shared" si="404"/>
        <v>0</v>
      </c>
      <c r="AB878" s="1641" t="s">
        <v>717</v>
      </c>
      <c r="AC878" s="1443" t="b">
        <f>AC874</f>
        <v>0</v>
      </c>
      <c r="AD878" s="1443" t="b">
        <f t="shared" ref="AD878:AI878" si="405">AD874</f>
        <v>0</v>
      </c>
      <c r="AE878" s="1443" t="b">
        <f t="shared" si="405"/>
        <v>0</v>
      </c>
      <c r="AF878" s="1443" t="b">
        <f t="shared" si="405"/>
        <v>0</v>
      </c>
      <c r="AG878" s="1443" t="b">
        <f t="shared" si="405"/>
        <v>0</v>
      </c>
      <c r="AH878" s="1443" t="b">
        <f t="shared" si="405"/>
        <v>0</v>
      </c>
      <c r="AI878" s="1443" t="b">
        <f t="shared" si="405"/>
        <v>0</v>
      </c>
      <c r="AJ878" s="1633" t="s">
        <v>1954</v>
      </c>
      <c r="AK878" s="1635" t="str">
        <f>IF(AND(CNTR_ExistSubInstEntries,MSconst_RequireSubAttrEmissions,COUNTIFS(AC878:AI878,FALSE,H878:N878,"")&gt;0),EUconst_Error&amp;"BM"&amp;$Q657,"")</f>
        <v/>
      </c>
    </row>
    <row r="879" spans="2:37" ht="12.75" customHeight="1" thickBot="1">
      <c r="B879" s="479"/>
      <c r="C879" s="977"/>
      <c r="D879" s="777" t="s">
        <v>788</v>
      </c>
      <c r="E879" s="2475" t="s">
        <v>1104</v>
      </c>
      <c r="F879" s="2410"/>
      <c r="G879" s="815" t="str">
        <f>EUconst_tCO2pTJ</f>
        <v>t CO2 / TJ</v>
      </c>
      <c r="H879" s="1479" t="str">
        <f>c_ALR2025!M3525</f>
        <v/>
      </c>
      <c r="I879" s="1532"/>
      <c r="J879" s="1811"/>
      <c r="K879" s="1751"/>
      <c r="L879" s="1751"/>
      <c r="M879" s="1751"/>
      <c r="N879" s="1752"/>
      <c r="O879" s="485"/>
      <c r="P879" s="9"/>
      <c r="Q879" s="1644" t="str">
        <f>EUconst_CNTR_HeatExportEF &amp; I657</f>
        <v>HeatExEF_</v>
      </c>
      <c r="S879" s="1753" t="str">
        <f>EUconst_CNTR_AttributedEmissions &amp; I657</f>
        <v>AttrEmissions_</v>
      </c>
      <c r="T879" s="1743" t="str">
        <f t="shared" ref="T879:Z879" si="406">IF(T665,-SUM(H878)*IF(INDEX(EUconst_BMlistNumberOfBM,MATCH($I657,EUconst_BMlistNames,0))=39,0,IF(ISNUMBER(H879),H879,EUconst_HeatBMvalue)),"")</f>
        <v/>
      </c>
      <c r="U879" s="1743" t="str">
        <f t="shared" si="406"/>
        <v/>
      </c>
      <c r="V879" s="1743" t="str">
        <f t="shared" si="406"/>
        <v/>
      </c>
      <c r="W879" s="1743" t="str">
        <f t="shared" si="406"/>
        <v/>
      </c>
      <c r="X879" s="1743" t="str">
        <f t="shared" si="406"/>
        <v/>
      </c>
      <c r="Y879" s="1743" t="str">
        <f t="shared" si="406"/>
        <v/>
      </c>
      <c r="Z879" s="1744" t="str">
        <f t="shared" si="406"/>
        <v/>
      </c>
      <c r="AC879" s="1443" t="b">
        <f>AC878</f>
        <v>0</v>
      </c>
      <c r="AD879" s="1443" t="b">
        <f t="shared" ref="AD879:AI879" si="407">AD878</f>
        <v>0</v>
      </c>
      <c r="AE879" s="1443" t="b">
        <f t="shared" si="407"/>
        <v>0</v>
      </c>
      <c r="AF879" s="1443" t="b">
        <f t="shared" si="407"/>
        <v>0</v>
      </c>
      <c r="AG879" s="1443" t="b">
        <f t="shared" si="407"/>
        <v>0</v>
      </c>
      <c r="AH879" s="1443" t="b">
        <f t="shared" si="407"/>
        <v>0</v>
      </c>
      <c r="AI879" s="1443" t="b">
        <f t="shared" si="407"/>
        <v>0</v>
      </c>
    </row>
    <row r="880" spans="2:37" ht="12.75" customHeight="1">
      <c r="B880" s="479"/>
      <c r="C880" s="977"/>
      <c r="D880" s="981"/>
      <c r="E880" s="981"/>
      <c r="F880" s="981"/>
      <c r="G880" s="981"/>
      <c r="H880" s="981"/>
      <c r="I880" s="981"/>
      <c r="J880" s="981"/>
      <c r="K880" s="981"/>
      <c r="L880" s="981"/>
      <c r="M880" s="813"/>
      <c r="N880" s="814"/>
      <c r="O880" s="485"/>
      <c r="P880" s="485"/>
      <c r="Q880" s="1435"/>
      <c r="S880" s="1435"/>
      <c r="T880" s="1435"/>
      <c r="U880" s="1435"/>
      <c r="V880" s="1435"/>
    </row>
    <row r="881" spans="2:37" ht="12.75" customHeight="1">
      <c r="B881" s="479"/>
      <c r="C881" s="977"/>
      <c r="D881" s="982" t="s">
        <v>481</v>
      </c>
      <c r="E881" s="2649" t="s">
        <v>1312</v>
      </c>
      <c r="F881" s="2391"/>
      <c r="G881" s="2391"/>
      <c r="H881" s="2391"/>
      <c r="I881" s="2391"/>
      <c r="J881" s="2391"/>
      <c r="K881" s="2391"/>
      <c r="L881" s="2391"/>
      <c r="M881" s="2391"/>
      <c r="N881" s="2650"/>
      <c r="O881" s="485"/>
      <c r="P881" s="485"/>
      <c r="Q881" s="1435"/>
      <c r="S881" s="1435"/>
      <c r="T881" s="1435"/>
      <c r="U881" s="1435"/>
      <c r="V881" s="1435"/>
    </row>
    <row r="882" spans="2:37" ht="5.0999999999999996" customHeight="1">
      <c r="B882" s="479"/>
      <c r="C882" s="977"/>
      <c r="D882" s="981"/>
      <c r="E882" s="986"/>
      <c r="F882" s="986"/>
      <c r="G882" s="986"/>
      <c r="H882" s="986"/>
      <c r="I882" s="986"/>
      <c r="J882" s="986"/>
      <c r="K882" s="986"/>
      <c r="L882" s="986"/>
      <c r="M882" s="986"/>
      <c r="N882" s="1007"/>
      <c r="O882" s="485"/>
      <c r="P882" s="485"/>
      <c r="Q882" s="1435"/>
      <c r="S882" s="1435"/>
      <c r="T882" s="1435"/>
      <c r="U882" s="1435"/>
      <c r="V882" s="1435"/>
    </row>
    <row r="883" spans="2:37" ht="12.75" customHeight="1">
      <c r="B883" s="479"/>
      <c r="C883" s="977"/>
      <c r="D883" s="777" t="s">
        <v>6</v>
      </c>
      <c r="E883" s="2649" t="s">
        <v>1313</v>
      </c>
      <c r="F883" s="2391"/>
      <c r="G883" s="2391"/>
      <c r="H883" s="2391"/>
      <c r="I883" s="2391"/>
      <c r="J883" s="2391"/>
      <c r="K883" s="2512"/>
      <c r="L883" s="1478" t="str">
        <f>c_ALR2025!L3529</f>
        <v/>
      </c>
      <c r="M883" s="978"/>
      <c r="N883" s="979"/>
      <c r="O883" s="485"/>
      <c r="P883" s="9"/>
      <c r="Q883" s="1435"/>
      <c r="S883" s="1435"/>
      <c r="AF883" s="1641" t="s">
        <v>717</v>
      </c>
      <c r="AG883" s="1423" t="b">
        <f>AND(CNTR_ExistSubInstEntries,I657="")</f>
        <v>0</v>
      </c>
    </row>
    <row r="884" spans="2:37" ht="12.75" customHeight="1">
      <c r="B884" s="479"/>
      <c r="C884" s="977"/>
      <c r="D884" s="981"/>
      <c r="E884" s="3267" t="s">
        <v>1314</v>
      </c>
      <c r="F884" s="2380"/>
      <c r="G884" s="2380"/>
      <c r="H884" s="2380"/>
      <c r="I884" s="2380"/>
      <c r="J884" s="2380"/>
      <c r="K884" s="2380"/>
      <c r="L884" s="2380"/>
      <c r="M884" s="2380"/>
      <c r="N884" s="3268"/>
      <c r="O884" s="485"/>
      <c r="P884" s="485"/>
      <c r="Q884" s="1435"/>
      <c r="S884" s="1435"/>
    </row>
    <row r="885" spans="2:37" ht="12.75" customHeight="1">
      <c r="B885" s="479"/>
      <c r="C885" s="977"/>
      <c r="D885" s="777" t="s">
        <v>7</v>
      </c>
      <c r="E885" s="2649" t="s">
        <v>1219</v>
      </c>
      <c r="F885" s="2391"/>
      <c r="G885" s="2391"/>
      <c r="H885" s="2512"/>
      <c r="I885" s="3211" t="str">
        <f>c_ALR2025!I3531</f>
        <v/>
      </c>
      <c r="J885" s="3206"/>
      <c r="K885" s="3206"/>
      <c r="L885" s="3206"/>
      <c r="M885" s="3207"/>
      <c r="N885" s="979"/>
      <c r="O885" s="485"/>
      <c r="P885" s="9"/>
      <c r="Q885" s="1435"/>
      <c r="S885" s="1435"/>
      <c r="AC885" s="1641" t="s">
        <v>717</v>
      </c>
      <c r="AD885" s="1423" t="b">
        <f>OR(AG883,AND($L883&lt;&gt;"",$L883=FALSE))</f>
        <v>0</v>
      </c>
    </row>
    <row r="886" spans="2:37" ht="12.75" customHeight="1">
      <c r="B886" s="479"/>
      <c r="C886" s="977"/>
      <c r="D886" s="981"/>
      <c r="E886" s="3267" t="s">
        <v>1316</v>
      </c>
      <c r="F886" s="2380"/>
      <c r="G886" s="2380"/>
      <c r="H886" s="2380"/>
      <c r="I886" s="2380"/>
      <c r="J886" s="2380"/>
      <c r="K886" s="2380"/>
      <c r="L886" s="2380"/>
      <c r="M886" s="2380"/>
      <c r="N886" s="3268"/>
      <c r="O886" s="485"/>
      <c r="P886" s="485"/>
      <c r="Q886" s="1435"/>
      <c r="S886" s="1435"/>
      <c r="T886" s="1435"/>
      <c r="U886" s="1435"/>
      <c r="V886" s="1435"/>
    </row>
    <row r="887" spans="2:37" ht="12.75" customHeight="1">
      <c r="B887" s="479"/>
      <c r="C887" s="977"/>
      <c r="D887" s="981"/>
      <c r="E887" s="3272" t="s">
        <v>1557</v>
      </c>
      <c r="F887" s="2380"/>
      <c r="G887" s="2380"/>
      <c r="H887" s="2380"/>
      <c r="I887" s="2380"/>
      <c r="J887" s="2380"/>
      <c r="K887" s="2380"/>
      <c r="L887" s="2380"/>
      <c r="M887" s="2380"/>
      <c r="N887" s="3268"/>
      <c r="O887" s="485"/>
      <c r="P887" s="485"/>
      <c r="Q887" s="1435"/>
      <c r="S887" s="1435"/>
      <c r="T887" s="1435"/>
      <c r="U887" s="1435"/>
      <c r="V887" s="1435"/>
    </row>
    <row r="888" spans="2:37" ht="12.75" customHeight="1" thickBot="1">
      <c r="B888" s="479"/>
      <c r="C888" s="977"/>
      <c r="D888" s="981"/>
      <c r="E888" s="989"/>
      <c r="F888" s="990"/>
      <c r="G888" s="987" t="str">
        <f>EUconst_Unit</f>
        <v>Unit</v>
      </c>
      <c r="H888" s="782">
        <f t="shared" ref="H888:N888" si="408">H$3242</f>
        <v>2024</v>
      </c>
      <c r="I888" s="988">
        <f t="shared" si="408"/>
        <v>2025</v>
      </c>
      <c r="J888" s="1810">
        <f t="shared" si="408"/>
        <v>2026</v>
      </c>
      <c r="K888" s="1747">
        <f t="shared" si="408"/>
        <v>2027</v>
      </c>
      <c r="L888" s="1747">
        <f t="shared" si="408"/>
        <v>2028</v>
      </c>
      <c r="M888" s="1747">
        <f t="shared" si="408"/>
        <v>2029</v>
      </c>
      <c r="N888" s="1748">
        <f t="shared" si="408"/>
        <v>2030</v>
      </c>
      <c r="O888" s="485"/>
      <c r="P888" s="485"/>
      <c r="Q888" s="1435"/>
      <c r="S888" s="1435"/>
      <c r="T888" s="1435"/>
      <c r="U888" s="1435"/>
      <c r="V888" s="1435"/>
      <c r="AC888" s="1638">
        <f t="shared" ref="AC888:AI888" si="409">H$20</f>
        <v>2024</v>
      </c>
      <c r="AD888" s="1638">
        <f t="shared" si="409"/>
        <v>2025</v>
      </c>
      <c r="AE888" s="1638">
        <f t="shared" si="409"/>
        <v>2026</v>
      </c>
      <c r="AF888" s="1638">
        <f t="shared" si="409"/>
        <v>2027</v>
      </c>
      <c r="AG888" s="1638">
        <f t="shared" si="409"/>
        <v>2028</v>
      </c>
      <c r="AH888" s="1638">
        <f t="shared" si="409"/>
        <v>2029</v>
      </c>
      <c r="AI888" s="1638">
        <f t="shared" si="409"/>
        <v>2030</v>
      </c>
    </row>
    <row r="889" spans="2:37" ht="12.75" customHeight="1">
      <c r="B889" s="479"/>
      <c r="C889" s="977"/>
      <c r="D889" s="777" t="s">
        <v>8</v>
      </c>
      <c r="E889" s="2471" t="s">
        <v>1305</v>
      </c>
      <c r="F889" s="2472"/>
      <c r="G889" s="1763" t="str">
        <f>c_ALR2025!G3535</f>
        <v/>
      </c>
      <c r="H889" s="1552" t="str">
        <f>c_ALR2025!M3535</f>
        <v/>
      </c>
      <c r="I889" s="1611"/>
      <c r="J889" s="1811"/>
      <c r="K889" s="1751"/>
      <c r="L889" s="1751"/>
      <c r="M889" s="1751"/>
      <c r="N889" s="1752"/>
      <c r="O889" s="485"/>
      <c r="P889" s="9"/>
      <c r="Q889" s="1435"/>
      <c r="S889" s="1435"/>
      <c r="T889" s="1435"/>
      <c r="U889" s="1435"/>
      <c r="V889" s="1435"/>
      <c r="AB889" s="1641" t="s">
        <v>717</v>
      </c>
      <c r="AC889" s="1423" t="b">
        <f t="shared" ref="AC889:AI889" si="410">OR(AND($L883&lt;&gt;"",$L883=FALSE),AC727)</f>
        <v>0</v>
      </c>
      <c r="AD889" s="1443" t="b">
        <f t="shared" si="410"/>
        <v>0</v>
      </c>
      <c r="AE889" s="1443" t="b">
        <f t="shared" si="410"/>
        <v>0</v>
      </c>
      <c r="AF889" s="1443" t="b">
        <f t="shared" si="410"/>
        <v>0</v>
      </c>
      <c r="AG889" s="1443" t="b">
        <f t="shared" si="410"/>
        <v>0</v>
      </c>
      <c r="AH889" s="1443" t="b">
        <f t="shared" si="410"/>
        <v>0</v>
      </c>
      <c r="AI889" s="1443" t="b">
        <f t="shared" si="410"/>
        <v>0</v>
      </c>
      <c r="AJ889" s="1633" t="s">
        <v>1954</v>
      </c>
      <c r="AK889" s="1635" t="str">
        <f>IF(AND(CNTR_ExistSubInstEntries,MSconst_RequireSubAttrEmissions,COUNTIFS(AC889:AI889,FALSE,H889:N889,"")&gt;0),EUconst_Error&amp;"BM"&amp;$Q657,"")</f>
        <v/>
      </c>
    </row>
    <row r="890" spans="2:37" ht="12.75" customHeight="1">
      <c r="B890" s="479"/>
      <c r="C890" s="977"/>
      <c r="D890" s="777" t="s">
        <v>18</v>
      </c>
      <c r="E890" s="2473" t="s">
        <v>661</v>
      </c>
      <c r="F890" s="2474"/>
      <c r="G890" s="1008" t="e">
        <f>IF(ISBLANK(G889),EUconst_GJperUnit,INDEX(EUconst_GJperTorKNm3,MATCH(G889,EUconst_TonnesOrkNm3pa,0)))</f>
        <v>#N/A</v>
      </c>
      <c r="H890" s="1558" t="str">
        <f>c_ALR2025!M3536</f>
        <v/>
      </c>
      <c r="I890" s="1884"/>
      <c r="J890" s="1811"/>
      <c r="K890" s="1751"/>
      <c r="L890" s="1751"/>
      <c r="M890" s="1751"/>
      <c r="N890" s="1752"/>
      <c r="O890" s="485"/>
      <c r="P890" s="9"/>
      <c r="S890" s="1435"/>
      <c r="T890" s="1435"/>
      <c r="U890" s="1435"/>
      <c r="V890" s="1435"/>
      <c r="W890" s="1435"/>
      <c r="X890" s="1435"/>
      <c r="Y890" s="1435"/>
      <c r="Z890" s="1435"/>
      <c r="AC890" s="1443" t="b">
        <f>AC889</f>
        <v>0</v>
      </c>
      <c r="AD890" s="1443" t="b">
        <f t="shared" ref="AD890:AI890" si="411">AD889</f>
        <v>0</v>
      </c>
      <c r="AE890" s="1443" t="b">
        <f t="shared" si="411"/>
        <v>0</v>
      </c>
      <c r="AF890" s="1443" t="b">
        <f t="shared" si="411"/>
        <v>0</v>
      </c>
      <c r="AG890" s="1443" t="b">
        <f t="shared" si="411"/>
        <v>0</v>
      </c>
      <c r="AH890" s="1443" t="b">
        <f t="shared" si="411"/>
        <v>0</v>
      </c>
      <c r="AI890" s="1443" t="b">
        <f t="shared" si="411"/>
        <v>0</v>
      </c>
      <c r="AJ890" s="1633" t="s">
        <v>1954</v>
      </c>
      <c r="AK890" s="1635" t="str">
        <f>IF(AND(CNTR_ExistSubInstEntries,MSconst_RequireSubAttrEmissions,COUNTIFS(AC890:AI890,FALSE,H890:N890,"")&gt;0),EUconst_Error&amp;"BM"&amp;$Q657,"")</f>
        <v/>
      </c>
    </row>
    <row r="891" spans="2:37" ht="12.75" customHeight="1">
      <c r="B891" s="479"/>
      <c r="C891" s="977"/>
      <c r="D891" s="777" t="s">
        <v>787</v>
      </c>
      <c r="E891" s="2475" t="s">
        <v>1141</v>
      </c>
      <c r="F891" s="2410"/>
      <c r="G891" s="815" t="str">
        <f>EUconst_TJpa</f>
        <v>TJ / year</v>
      </c>
      <c r="H891" s="1005" t="str">
        <f t="shared" ref="H891:N891" si="412">IF(COUNT(H889:H890)=2,H889*H890/1000,"")</f>
        <v/>
      </c>
      <c r="I891" s="1006" t="str">
        <f t="shared" si="412"/>
        <v/>
      </c>
      <c r="J891" s="1811" t="str">
        <f t="shared" si="412"/>
        <v/>
      </c>
      <c r="K891" s="1751" t="str">
        <f t="shared" si="412"/>
        <v/>
      </c>
      <c r="L891" s="1751" t="str">
        <f t="shared" si="412"/>
        <v/>
      </c>
      <c r="M891" s="1751" t="str">
        <f t="shared" si="412"/>
        <v/>
      </c>
      <c r="N891" s="1752" t="str">
        <f t="shared" si="412"/>
        <v/>
      </c>
      <c r="O891" s="485"/>
      <c r="P891" s="485"/>
      <c r="Q891" s="1644" t="str">
        <f>EUconst_CNTR_WGProduced &amp; I657</f>
        <v>WasteGasProd_</v>
      </c>
      <c r="S891" s="1435"/>
      <c r="T891" s="1435"/>
      <c r="U891" s="1435"/>
      <c r="V891" s="1435"/>
      <c r="W891" s="1435"/>
      <c r="X891" s="1435"/>
      <c r="Y891" s="1435"/>
      <c r="Z891" s="1435"/>
    </row>
    <row r="892" spans="2:37" ht="12.75" customHeight="1">
      <c r="B892" s="479"/>
      <c r="C892" s="977"/>
      <c r="D892" s="777" t="s">
        <v>788</v>
      </c>
      <c r="E892" s="2475" t="s">
        <v>1258</v>
      </c>
      <c r="F892" s="2410"/>
      <c r="G892" s="815" t="str">
        <f>EUconst_tCO2pTJ</f>
        <v>t CO2 / TJ</v>
      </c>
      <c r="H892" s="1479" t="str">
        <f>c_ALR2025!M3538</f>
        <v/>
      </c>
      <c r="I892" s="1532"/>
      <c r="J892" s="1811"/>
      <c r="K892" s="1751"/>
      <c r="L892" s="1751"/>
      <c r="M892" s="1751"/>
      <c r="N892" s="1752"/>
      <c r="O892" s="485"/>
      <c r="P892" s="9"/>
      <c r="Q892" s="1644" t="str">
        <f>EUconst_CNTR_WGProducedEF &amp; I657</f>
        <v>WasteGasProdEF_</v>
      </c>
      <c r="S892" s="1435"/>
      <c r="T892" s="1435"/>
      <c r="U892" s="1435"/>
      <c r="V892" s="1435"/>
      <c r="W892" s="1435"/>
      <c r="X892" s="1435"/>
      <c r="Y892" s="1435"/>
      <c r="Z892" s="1435"/>
      <c r="AB892" s="1641" t="s">
        <v>717</v>
      </c>
      <c r="AC892" s="1443" t="b">
        <f>AC890</f>
        <v>0</v>
      </c>
      <c r="AD892" s="1443" t="b">
        <f t="shared" ref="AD892:AI892" si="413">AD890</f>
        <v>0</v>
      </c>
      <c r="AE892" s="1443" t="b">
        <f t="shared" si="413"/>
        <v>0</v>
      </c>
      <c r="AF892" s="1443" t="b">
        <f t="shared" si="413"/>
        <v>0</v>
      </c>
      <c r="AG892" s="1443" t="b">
        <f t="shared" si="413"/>
        <v>0</v>
      </c>
      <c r="AH892" s="1443" t="b">
        <f t="shared" si="413"/>
        <v>0</v>
      </c>
      <c r="AI892" s="1443" t="b">
        <f t="shared" si="413"/>
        <v>0</v>
      </c>
      <c r="AJ892" s="1633" t="s">
        <v>1954</v>
      </c>
      <c r="AK892" s="1635" t="str">
        <f>IF(AND(CNTR_ExistSubInstEntries,MSconst_RequireSubAttrEmissions,COUNTIFS(AC892:AI892,FALSE,H892:N892,"")&gt;0),EUconst_Error&amp;"BM"&amp;$Q657,"")</f>
        <v/>
      </c>
    </row>
    <row r="893" spans="2:37" ht="12.75" customHeight="1">
      <c r="B893" s="479"/>
      <c r="C893" s="977"/>
      <c r="D893" s="981"/>
      <c r="E893" s="981"/>
      <c r="F893" s="981"/>
      <c r="G893" s="981"/>
      <c r="H893" s="983"/>
      <c r="I893" s="981"/>
      <c r="J893" s="981"/>
      <c r="K893" s="981"/>
      <c r="L893" s="981"/>
      <c r="M893" s="813"/>
      <c r="N893" s="814"/>
      <c r="O893" s="485"/>
      <c r="P893" s="485"/>
      <c r="Q893" s="1435"/>
      <c r="S893" s="1435"/>
      <c r="T893" s="1435"/>
      <c r="U893" s="1435"/>
      <c r="V893" s="1435"/>
      <c r="W893" s="1435"/>
      <c r="X893" s="1435"/>
      <c r="Y893" s="1435"/>
      <c r="Z893" s="1435"/>
    </row>
    <row r="894" spans="2:37" ht="12.75" customHeight="1">
      <c r="B894" s="479"/>
      <c r="C894" s="977"/>
      <c r="D894" s="777" t="s">
        <v>789</v>
      </c>
      <c r="E894" s="2649" t="s">
        <v>1301</v>
      </c>
      <c r="F894" s="2391"/>
      <c r="G894" s="2391"/>
      <c r="H894" s="2512"/>
      <c r="I894" s="3211" t="str">
        <f>c_ALR2025!I3540</f>
        <v/>
      </c>
      <c r="J894" s="3206"/>
      <c r="K894" s="3206"/>
      <c r="L894" s="3206"/>
      <c r="M894" s="3207"/>
      <c r="N894" s="979"/>
      <c r="O894" s="485"/>
      <c r="P894" s="9"/>
      <c r="Q894" s="1435"/>
      <c r="S894" s="1435"/>
      <c r="T894" s="1435"/>
      <c r="U894" s="1435"/>
      <c r="V894" s="1435"/>
      <c r="W894" s="1435"/>
      <c r="X894" s="1435"/>
      <c r="Y894" s="1435"/>
      <c r="Z894" s="1435"/>
      <c r="AC894" s="1641" t="s">
        <v>717</v>
      </c>
      <c r="AD894" s="1443" t="b">
        <f>AD885</f>
        <v>0</v>
      </c>
    </row>
    <row r="895" spans="2:37" ht="25.5" customHeight="1">
      <c r="B895" s="479"/>
      <c r="C895" s="977"/>
      <c r="D895" s="777"/>
      <c r="E895" s="3267" t="s">
        <v>1606</v>
      </c>
      <c r="F895" s="2380"/>
      <c r="G895" s="2380"/>
      <c r="H895" s="2380"/>
      <c r="I895" s="2380"/>
      <c r="J895" s="2380"/>
      <c r="K895" s="2380"/>
      <c r="L895" s="2380"/>
      <c r="M895" s="2380"/>
      <c r="N895" s="3268"/>
      <c r="O895" s="485"/>
      <c r="P895" s="485"/>
      <c r="Q895" s="1435"/>
      <c r="S895" s="1435"/>
      <c r="T895" s="1435"/>
      <c r="U895" s="1435"/>
      <c r="V895" s="1435"/>
      <c r="W895" s="1435"/>
      <c r="X895" s="1435"/>
      <c r="Y895" s="1435"/>
      <c r="Z895" s="1435"/>
    </row>
    <row r="896" spans="2:37" ht="12.75" customHeight="1">
      <c r="B896" s="479"/>
      <c r="C896" s="977"/>
      <c r="D896" s="981"/>
      <c r="E896" s="3272" t="s">
        <v>1557</v>
      </c>
      <c r="F896" s="2380"/>
      <c r="G896" s="2380"/>
      <c r="H896" s="2380"/>
      <c r="I896" s="2380"/>
      <c r="J896" s="2380"/>
      <c r="K896" s="2380"/>
      <c r="L896" s="2380"/>
      <c r="M896" s="2380"/>
      <c r="N896" s="3268"/>
      <c r="O896" s="485"/>
      <c r="P896" s="485"/>
      <c r="Q896" s="1435"/>
      <c r="S896" s="1435"/>
      <c r="T896" s="1435"/>
      <c r="U896" s="1435"/>
      <c r="V896" s="1435"/>
      <c r="W896" s="1435"/>
      <c r="X896" s="1435"/>
      <c r="Y896" s="1435"/>
      <c r="Z896" s="1435"/>
    </row>
    <row r="897" spans="2:37" ht="12.75" customHeight="1" thickBot="1">
      <c r="B897" s="479"/>
      <c r="C897" s="977"/>
      <c r="D897" s="981"/>
      <c r="E897" s="989"/>
      <c r="F897" s="990"/>
      <c r="G897" s="987" t="str">
        <f>EUconst_Unit</f>
        <v>Unit</v>
      </c>
      <c r="H897" s="782">
        <f t="shared" ref="H897:N897" si="414">H$3242</f>
        <v>2024</v>
      </c>
      <c r="I897" s="988">
        <f t="shared" si="414"/>
        <v>2025</v>
      </c>
      <c r="J897" s="1810">
        <f t="shared" si="414"/>
        <v>2026</v>
      </c>
      <c r="K897" s="1747">
        <f t="shared" si="414"/>
        <v>2027</v>
      </c>
      <c r="L897" s="1747">
        <f t="shared" si="414"/>
        <v>2028</v>
      </c>
      <c r="M897" s="1747">
        <f t="shared" si="414"/>
        <v>2029</v>
      </c>
      <c r="N897" s="1748">
        <f t="shared" si="414"/>
        <v>2030</v>
      </c>
      <c r="O897" s="485"/>
      <c r="P897" s="485"/>
      <c r="Q897" s="1435"/>
      <c r="S897" s="1435"/>
      <c r="T897" s="1435"/>
      <c r="U897" s="1435"/>
      <c r="V897" s="1435"/>
      <c r="W897" s="1435"/>
      <c r="X897" s="1435"/>
      <c r="Y897" s="1435"/>
      <c r="Z897" s="1435"/>
      <c r="AC897" s="1638">
        <f t="shared" ref="AC897:AI897" si="415">H$20</f>
        <v>2024</v>
      </c>
      <c r="AD897" s="1638">
        <f t="shared" si="415"/>
        <v>2025</v>
      </c>
      <c r="AE897" s="1638">
        <f t="shared" si="415"/>
        <v>2026</v>
      </c>
      <c r="AF897" s="1638">
        <f t="shared" si="415"/>
        <v>2027</v>
      </c>
      <c r="AG897" s="1638">
        <f t="shared" si="415"/>
        <v>2028</v>
      </c>
      <c r="AH897" s="1638">
        <f t="shared" si="415"/>
        <v>2029</v>
      </c>
      <c r="AI897" s="1638">
        <f t="shared" si="415"/>
        <v>2030</v>
      </c>
    </row>
    <row r="898" spans="2:37" ht="12.75" customHeight="1">
      <c r="B898" s="479"/>
      <c r="C898" s="977"/>
      <c r="D898" s="777" t="s">
        <v>790</v>
      </c>
      <c r="E898" s="2471" t="s">
        <v>1306</v>
      </c>
      <c r="F898" s="2472"/>
      <c r="G898" s="1763" t="str">
        <f>c_ALR2025!G3544</f>
        <v/>
      </c>
      <c r="H898" s="1552" t="str">
        <f>c_ALR2025!M3544</f>
        <v/>
      </c>
      <c r="I898" s="1611"/>
      <c r="J898" s="1811"/>
      <c r="K898" s="1751"/>
      <c r="L898" s="1751"/>
      <c r="M898" s="1751"/>
      <c r="N898" s="1752"/>
      <c r="O898" s="485"/>
      <c r="P898" s="9"/>
      <c r="Q898" s="1435"/>
      <c r="S898" s="1435"/>
      <c r="T898" s="1435"/>
      <c r="U898" s="1435"/>
      <c r="V898" s="1435"/>
      <c r="W898" s="1435"/>
      <c r="X898" s="1435"/>
      <c r="Y898" s="1435"/>
      <c r="Z898" s="1435"/>
      <c r="AB898" s="1641" t="s">
        <v>717</v>
      </c>
      <c r="AC898" s="1443" t="b">
        <f>AC889</f>
        <v>0</v>
      </c>
      <c r="AD898" s="1443" t="b">
        <f t="shared" ref="AD898:AI898" si="416">AD889</f>
        <v>0</v>
      </c>
      <c r="AE898" s="1443" t="b">
        <f t="shared" si="416"/>
        <v>0</v>
      </c>
      <c r="AF898" s="1443" t="b">
        <f t="shared" si="416"/>
        <v>0</v>
      </c>
      <c r="AG898" s="1443" t="b">
        <f t="shared" si="416"/>
        <v>0</v>
      </c>
      <c r="AH898" s="1443" t="b">
        <f t="shared" si="416"/>
        <v>0</v>
      </c>
      <c r="AI898" s="1443" t="b">
        <f t="shared" si="416"/>
        <v>0</v>
      </c>
      <c r="AJ898" s="1633" t="s">
        <v>1954</v>
      </c>
      <c r="AK898" s="1635" t="str">
        <f>IF(AND(CNTR_ExistSubInstEntries,MSconst_RequireSubAttrEmissions,COUNTIFS(AC898:AI898,FALSE,H898:N898,"")&gt;0),EUconst_Error&amp;"BM"&amp;$Q657,"")</f>
        <v/>
      </c>
    </row>
    <row r="899" spans="2:37" ht="12.75" customHeight="1">
      <c r="B899" s="479"/>
      <c r="C899" s="977"/>
      <c r="D899" s="777" t="s">
        <v>791</v>
      </c>
      <c r="E899" s="2473" t="s">
        <v>661</v>
      </c>
      <c r="F899" s="2474"/>
      <c r="G899" s="1008" t="e">
        <f>IF(ISBLANK(G898),EUconst_GJperUnit,INDEX(EUconst_GJperTorKNm3,MATCH(G898,EUconst_TonnesOrkNm3pa,0)))</f>
        <v>#N/A</v>
      </c>
      <c r="H899" s="1558" t="str">
        <f>c_ALR2025!M3545</f>
        <v/>
      </c>
      <c r="I899" s="1884"/>
      <c r="J899" s="1811"/>
      <c r="K899" s="1751"/>
      <c r="L899" s="1751"/>
      <c r="M899" s="1751"/>
      <c r="N899" s="1752"/>
      <c r="O899" s="485"/>
      <c r="P899" s="9"/>
      <c r="S899" s="1435"/>
      <c r="T899" s="1435"/>
      <c r="U899" s="1435"/>
      <c r="V899" s="1435"/>
      <c r="W899" s="1435"/>
      <c r="X899" s="1435"/>
      <c r="Y899" s="1435"/>
      <c r="Z899" s="1435"/>
      <c r="AC899" s="1443" t="b">
        <f>AC898</f>
        <v>0</v>
      </c>
      <c r="AD899" s="1443" t="b">
        <f t="shared" ref="AD899:AI899" si="417">AD898</f>
        <v>0</v>
      </c>
      <c r="AE899" s="1443" t="b">
        <f t="shared" si="417"/>
        <v>0</v>
      </c>
      <c r="AF899" s="1443" t="b">
        <f t="shared" si="417"/>
        <v>0</v>
      </c>
      <c r="AG899" s="1443" t="b">
        <f t="shared" si="417"/>
        <v>0</v>
      </c>
      <c r="AH899" s="1443" t="b">
        <f t="shared" si="417"/>
        <v>0</v>
      </c>
      <c r="AI899" s="1443" t="b">
        <f t="shared" si="417"/>
        <v>0</v>
      </c>
      <c r="AJ899" s="1633" t="s">
        <v>1954</v>
      </c>
      <c r="AK899" s="1635" t="str">
        <f>IF(AND(CNTR_ExistSubInstEntries,MSconst_RequireSubAttrEmissions,COUNTIFS(AC899:AI899,FALSE,H899:N899,"")&gt;0),EUconst_Error&amp;"BM"&amp;$Q657,"")</f>
        <v/>
      </c>
    </row>
    <row r="900" spans="2:37" ht="12.75" customHeight="1">
      <c r="B900" s="479"/>
      <c r="C900" s="977"/>
      <c r="D900" s="777" t="s">
        <v>64</v>
      </c>
      <c r="E900" s="2475" t="s">
        <v>1309</v>
      </c>
      <c r="F900" s="2410"/>
      <c r="G900" s="815" t="str">
        <f>EUconst_TJpa</f>
        <v>TJ / year</v>
      </c>
      <c r="H900" s="1005" t="str">
        <f t="shared" ref="H900:N900" si="418">IF(COUNT(H898:H899)=2,H898*H899/1000,"")</f>
        <v/>
      </c>
      <c r="I900" s="1006" t="str">
        <f t="shared" si="418"/>
        <v/>
      </c>
      <c r="J900" s="1811" t="str">
        <f t="shared" si="418"/>
        <v/>
      </c>
      <c r="K900" s="1751" t="str">
        <f t="shared" si="418"/>
        <v/>
      </c>
      <c r="L900" s="1751" t="str">
        <f t="shared" si="418"/>
        <v/>
      </c>
      <c r="M900" s="1751" t="str">
        <f t="shared" si="418"/>
        <v/>
      </c>
      <c r="N900" s="1752" t="str">
        <f t="shared" si="418"/>
        <v/>
      </c>
      <c r="O900" s="485"/>
      <c r="P900" s="485"/>
      <c r="Q900" s="1644" t="str">
        <f>EUconst_CNTR_WGConsumed &amp; I657</f>
        <v>WasteGasCons_</v>
      </c>
      <c r="S900" s="1435"/>
      <c r="T900" s="1435"/>
      <c r="U900" s="1435"/>
      <c r="V900" s="1435"/>
      <c r="W900" s="1435"/>
      <c r="X900" s="1435"/>
      <c r="Y900" s="1435"/>
      <c r="Z900" s="1435"/>
    </row>
    <row r="901" spans="2:37" ht="12.75" customHeight="1">
      <c r="B901" s="479"/>
      <c r="C901" s="977"/>
      <c r="D901" s="777" t="s">
        <v>65</v>
      </c>
      <c r="E901" s="2475" t="s">
        <v>1307</v>
      </c>
      <c r="F901" s="2410"/>
      <c r="G901" s="815" t="str">
        <f>EUconst_tCO2pTJ</f>
        <v>t CO2 / TJ</v>
      </c>
      <c r="H901" s="1479" t="str">
        <f>c_ALR2025!M3547</f>
        <v/>
      </c>
      <c r="I901" s="1532"/>
      <c r="J901" s="1811"/>
      <c r="K901" s="1751"/>
      <c r="L901" s="1751"/>
      <c r="M901" s="1751"/>
      <c r="N901" s="1752"/>
      <c r="O901" s="485"/>
      <c r="P901" s="9"/>
      <c r="Q901" s="1644" t="str">
        <f>EUconst_CNTR_WGConsumedEF &amp; I657</f>
        <v>WasteGasConsEF_</v>
      </c>
      <c r="S901" s="1435"/>
      <c r="T901" s="1435"/>
      <c r="U901" s="1435"/>
      <c r="V901" s="1435"/>
      <c r="W901" s="1435"/>
      <c r="X901" s="1435"/>
      <c r="Y901" s="1435"/>
      <c r="Z901" s="1435"/>
      <c r="AB901" s="1641" t="s">
        <v>717</v>
      </c>
      <c r="AC901" s="1443" t="b">
        <f>AC899</f>
        <v>0</v>
      </c>
      <c r="AD901" s="1443" t="b">
        <f t="shared" ref="AD901:AI901" si="419">AD899</f>
        <v>0</v>
      </c>
      <c r="AE901" s="1443" t="b">
        <f t="shared" si="419"/>
        <v>0</v>
      </c>
      <c r="AF901" s="1443" t="b">
        <f t="shared" si="419"/>
        <v>0</v>
      </c>
      <c r="AG901" s="1443" t="b">
        <f t="shared" si="419"/>
        <v>0</v>
      </c>
      <c r="AH901" s="1443" t="b">
        <f t="shared" si="419"/>
        <v>0</v>
      </c>
      <c r="AI901" s="1443" t="b">
        <f t="shared" si="419"/>
        <v>0</v>
      </c>
      <c r="AJ901" s="1633" t="s">
        <v>1954</v>
      </c>
      <c r="AK901" s="1635" t="str">
        <f>IF(AND(CNTR_ExistSubInstEntries,MSconst_RequireSubAttrEmissions,COUNTIFS(AC901:AI901,FALSE,H901:N901,"")&gt;0),EUconst_Error&amp;"BM"&amp;$Q657,"")</f>
        <v/>
      </c>
    </row>
    <row r="902" spans="2:37" ht="12.75" customHeight="1">
      <c r="B902" s="479"/>
      <c r="C902" s="977"/>
      <c r="D902" s="981"/>
      <c r="E902" s="981"/>
      <c r="F902" s="981"/>
      <c r="G902" s="981"/>
      <c r="H902" s="983"/>
      <c r="I902" s="981"/>
      <c r="J902" s="981"/>
      <c r="K902" s="981"/>
      <c r="L902" s="981"/>
      <c r="M902" s="813"/>
      <c r="N902" s="814"/>
      <c r="O902" s="485"/>
      <c r="P902" s="485"/>
      <c r="Q902" s="1435"/>
      <c r="S902" s="1435"/>
      <c r="T902" s="1435"/>
      <c r="U902" s="1435"/>
      <c r="V902" s="1435"/>
    </row>
    <row r="903" spans="2:37" ht="12.75" customHeight="1">
      <c r="B903" s="479"/>
      <c r="C903" s="977"/>
      <c r="D903" s="777" t="s">
        <v>66</v>
      </c>
      <c r="E903" s="2649" t="s">
        <v>1287</v>
      </c>
      <c r="F903" s="2391"/>
      <c r="G903" s="2391"/>
      <c r="H903" s="2512"/>
      <c r="I903" s="3211" t="str">
        <f>c_ALR2025!I3549</f>
        <v/>
      </c>
      <c r="J903" s="3206"/>
      <c r="K903" s="3206"/>
      <c r="L903" s="3206"/>
      <c r="M903" s="3207"/>
      <c r="N903" s="979"/>
      <c r="O903" s="485"/>
      <c r="P903" s="9"/>
      <c r="Q903" s="1435"/>
      <c r="S903" s="1435"/>
      <c r="AC903" s="1641" t="s">
        <v>717</v>
      </c>
      <c r="AD903" s="1443" t="b">
        <f>AD894</f>
        <v>0</v>
      </c>
    </row>
    <row r="904" spans="2:37" ht="12.75" customHeight="1">
      <c r="B904" s="479"/>
      <c r="C904" s="977"/>
      <c r="D904" s="777"/>
      <c r="E904" s="3267" t="s">
        <v>1476</v>
      </c>
      <c r="F904" s="2380"/>
      <c r="G904" s="2380"/>
      <c r="H904" s="2380"/>
      <c r="I904" s="2380"/>
      <c r="J904" s="2380"/>
      <c r="K904" s="2380"/>
      <c r="L904" s="2380"/>
      <c r="M904" s="2380"/>
      <c r="N904" s="3268"/>
      <c r="O904" s="485"/>
      <c r="P904" s="485"/>
      <c r="Q904" s="1435"/>
      <c r="T904" s="1435"/>
      <c r="U904" s="1435"/>
      <c r="V904" s="1435"/>
    </row>
    <row r="905" spans="2:37" ht="12.75" customHeight="1">
      <c r="B905" s="479"/>
      <c r="C905" s="977"/>
      <c r="D905" s="981"/>
      <c r="E905" s="3267" t="s">
        <v>1558</v>
      </c>
      <c r="F905" s="2380"/>
      <c r="G905" s="2380"/>
      <c r="H905" s="2380"/>
      <c r="I905" s="2380"/>
      <c r="J905" s="2380"/>
      <c r="K905" s="2380"/>
      <c r="L905" s="2380"/>
      <c r="M905" s="2380"/>
      <c r="N905" s="3268"/>
      <c r="O905" s="485"/>
      <c r="P905" s="485"/>
      <c r="Q905" s="1435"/>
      <c r="S905" s="1435"/>
      <c r="T905" s="1435"/>
      <c r="U905" s="1435"/>
      <c r="V905" s="1435"/>
    </row>
    <row r="906" spans="2:37" ht="12.75" customHeight="1">
      <c r="B906" s="479"/>
      <c r="C906" s="977"/>
      <c r="D906" s="981"/>
      <c r="E906" s="3272" t="s">
        <v>1559</v>
      </c>
      <c r="F906" s="2380"/>
      <c r="G906" s="2380"/>
      <c r="H906" s="2380"/>
      <c r="I906" s="2380"/>
      <c r="J906" s="2380"/>
      <c r="K906" s="2380"/>
      <c r="L906" s="2380"/>
      <c r="M906" s="2380"/>
      <c r="N906" s="3268"/>
      <c r="O906" s="485"/>
      <c r="P906" s="485"/>
      <c r="Q906" s="1435"/>
      <c r="S906" s="1435"/>
      <c r="T906" s="1435"/>
      <c r="U906" s="1435"/>
      <c r="V906" s="1435"/>
      <c r="W906" s="1435"/>
      <c r="X906" s="1435"/>
      <c r="Y906" s="1435"/>
      <c r="Z906" s="1435"/>
    </row>
    <row r="907" spans="2:37" ht="12.75" customHeight="1" thickBot="1">
      <c r="B907" s="479"/>
      <c r="C907" s="977"/>
      <c r="D907" s="981"/>
      <c r="E907" s="989"/>
      <c r="F907" s="990"/>
      <c r="G907" s="987" t="str">
        <f>EUconst_Unit</f>
        <v>Unit</v>
      </c>
      <c r="H907" s="782">
        <f t="shared" ref="H907:N907" si="420">H$3242</f>
        <v>2024</v>
      </c>
      <c r="I907" s="988">
        <f t="shared" si="420"/>
        <v>2025</v>
      </c>
      <c r="J907" s="1810">
        <f t="shared" si="420"/>
        <v>2026</v>
      </c>
      <c r="K907" s="1747">
        <f t="shared" si="420"/>
        <v>2027</v>
      </c>
      <c r="L907" s="1747">
        <f t="shared" si="420"/>
        <v>2028</v>
      </c>
      <c r="M907" s="1747">
        <f t="shared" si="420"/>
        <v>2029</v>
      </c>
      <c r="N907" s="1748">
        <f t="shared" si="420"/>
        <v>2030</v>
      </c>
      <c r="O907" s="485"/>
      <c r="P907" s="485"/>
      <c r="Q907" s="1435"/>
      <c r="S907" s="1435"/>
      <c r="T907" s="1435"/>
      <c r="U907" s="1435"/>
      <c r="V907" s="1435"/>
      <c r="W907" s="1435"/>
      <c r="X907" s="1435"/>
      <c r="Y907" s="1435"/>
      <c r="Z907" s="1435"/>
      <c r="AC907" s="1638">
        <f t="shared" ref="AC907:AI907" si="421">H$20</f>
        <v>2024</v>
      </c>
      <c r="AD907" s="1638">
        <f t="shared" si="421"/>
        <v>2025</v>
      </c>
      <c r="AE907" s="1638">
        <f t="shared" si="421"/>
        <v>2026</v>
      </c>
      <c r="AF907" s="1638">
        <f t="shared" si="421"/>
        <v>2027</v>
      </c>
      <c r="AG907" s="1638">
        <f t="shared" si="421"/>
        <v>2028</v>
      </c>
      <c r="AH907" s="1638">
        <f t="shared" si="421"/>
        <v>2029</v>
      </c>
      <c r="AI907" s="1638">
        <f t="shared" si="421"/>
        <v>2030</v>
      </c>
    </row>
    <row r="908" spans="2:37" ht="12.75" customHeight="1">
      <c r="B908" s="479"/>
      <c r="C908" s="977"/>
      <c r="D908" s="777" t="s">
        <v>1105</v>
      </c>
      <c r="E908" s="2471" t="s">
        <v>1302</v>
      </c>
      <c r="F908" s="2472"/>
      <c r="G908" s="1763" t="str">
        <f>c_ALR2025!G3554</f>
        <v/>
      </c>
      <c r="H908" s="1552" t="str">
        <f>c_ALR2025!M3554</f>
        <v/>
      </c>
      <c r="I908" s="1611"/>
      <c r="J908" s="1811"/>
      <c r="K908" s="1751"/>
      <c r="L908" s="1751"/>
      <c r="M908" s="1751"/>
      <c r="N908" s="1752"/>
      <c r="O908" s="485"/>
      <c r="P908" s="9"/>
      <c r="Q908" s="1435"/>
      <c r="S908" s="1435"/>
      <c r="T908" s="1435"/>
      <c r="U908" s="1435"/>
      <c r="V908" s="1435"/>
      <c r="W908" s="1435"/>
      <c r="X908" s="1435"/>
      <c r="Y908" s="1435"/>
      <c r="Z908" s="1435"/>
      <c r="AB908" s="1641" t="s">
        <v>717</v>
      </c>
      <c r="AC908" s="1443" t="b">
        <f>AC898</f>
        <v>0</v>
      </c>
      <c r="AD908" s="1443" t="b">
        <f t="shared" ref="AD908:AI908" si="422">AD898</f>
        <v>0</v>
      </c>
      <c r="AE908" s="1443" t="b">
        <f t="shared" si="422"/>
        <v>0</v>
      </c>
      <c r="AF908" s="1443" t="b">
        <f t="shared" si="422"/>
        <v>0</v>
      </c>
      <c r="AG908" s="1443" t="b">
        <f t="shared" si="422"/>
        <v>0</v>
      </c>
      <c r="AH908" s="1443" t="b">
        <f t="shared" si="422"/>
        <v>0</v>
      </c>
      <c r="AI908" s="1443" t="b">
        <f t="shared" si="422"/>
        <v>0</v>
      </c>
      <c r="AJ908" s="1633" t="s">
        <v>1954</v>
      </c>
      <c r="AK908" s="1635" t="str">
        <f>IF(AND(CNTR_ExistSubInstEntries,MSconst_RequireSubAttrEmissions,COUNTIFS(AC908:AI908,FALSE,H908:N908,"")&gt;0),EUconst_Error&amp;"BM"&amp;$Q657,"")</f>
        <v/>
      </c>
    </row>
    <row r="909" spans="2:37" ht="12.75" customHeight="1">
      <c r="B909" s="479"/>
      <c r="C909" s="977"/>
      <c r="D909" s="777" t="s">
        <v>1106</v>
      </c>
      <c r="E909" s="2473" t="s">
        <v>661</v>
      </c>
      <c r="F909" s="2474"/>
      <c r="G909" s="1008" t="e">
        <f>IF(ISBLANK(G908),EUconst_GJperUnit,INDEX(EUconst_GJperTorKNm3,MATCH(G908,EUconst_TonnesOrkNm3pa,0)))</f>
        <v>#N/A</v>
      </c>
      <c r="H909" s="1558" t="str">
        <f>c_ALR2025!M3555</f>
        <v/>
      </c>
      <c r="I909" s="1884"/>
      <c r="J909" s="1811"/>
      <c r="K909" s="1751"/>
      <c r="L909" s="1751"/>
      <c r="M909" s="1751"/>
      <c r="N909" s="1752"/>
      <c r="O909" s="485"/>
      <c r="P909" s="9"/>
      <c r="S909" s="1435"/>
      <c r="T909" s="1435"/>
      <c r="U909" s="1435"/>
      <c r="V909" s="1435"/>
      <c r="W909" s="1435"/>
      <c r="X909" s="1435"/>
      <c r="Y909" s="1435"/>
      <c r="Z909" s="1435"/>
      <c r="AC909" s="1443" t="b">
        <f>AC908</f>
        <v>0</v>
      </c>
      <c r="AD909" s="1443" t="b">
        <f t="shared" ref="AD909:AI909" si="423">AD908</f>
        <v>0</v>
      </c>
      <c r="AE909" s="1443" t="b">
        <f t="shared" si="423"/>
        <v>0</v>
      </c>
      <c r="AF909" s="1443" t="b">
        <f t="shared" si="423"/>
        <v>0</v>
      </c>
      <c r="AG909" s="1443" t="b">
        <f t="shared" si="423"/>
        <v>0</v>
      </c>
      <c r="AH909" s="1443" t="b">
        <f t="shared" si="423"/>
        <v>0</v>
      </c>
      <c r="AI909" s="1443" t="b">
        <f t="shared" si="423"/>
        <v>0</v>
      </c>
      <c r="AJ909" s="1633" t="s">
        <v>1954</v>
      </c>
      <c r="AK909" s="1635" t="str">
        <f>IF(AND(CNTR_ExistSubInstEntries,MSconst_RequireSubAttrEmissions,COUNTIFS(AC909:AI909,FALSE,H909:N909,"")&gt;0),EUconst_Error&amp;"BM"&amp;$Q657,"")</f>
        <v/>
      </c>
    </row>
    <row r="910" spans="2:37" ht="12.75" customHeight="1">
      <c r="B910" s="479"/>
      <c r="C910" s="977"/>
      <c r="D910" s="777" t="s">
        <v>1107</v>
      </c>
      <c r="E910" s="2475" t="s">
        <v>1288</v>
      </c>
      <c r="F910" s="2410"/>
      <c r="G910" s="815" t="str">
        <f>EUconst_TJpa</f>
        <v>TJ / year</v>
      </c>
      <c r="H910" s="1005" t="str">
        <f t="shared" ref="H910:N910" si="424">IF(COUNT(H908:H909)=2,H908*H909/1000,"")</f>
        <v/>
      </c>
      <c r="I910" s="1006" t="str">
        <f t="shared" si="424"/>
        <v/>
      </c>
      <c r="J910" s="1811" t="str">
        <f t="shared" si="424"/>
        <v/>
      </c>
      <c r="K910" s="1751" t="str">
        <f t="shared" si="424"/>
        <v/>
      </c>
      <c r="L910" s="1751" t="str">
        <f t="shared" si="424"/>
        <v/>
      </c>
      <c r="M910" s="1751" t="str">
        <f t="shared" si="424"/>
        <v/>
      </c>
      <c r="N910" s="1752" t="str">
        <f t="shared" si="424"/>
        <v/>
      </c>
      <c r="O910" s="485"/>
      <c r="P910" s="485"/>
      <c r="Q910" s="1644" t="str">
        <f>EUconst_CNTR_WGFlared &amp; I657</f>
        <v>WasteGasFlare_</v>
      </c>
      <c r="S910" s="1435"/>
      <c r="T910" s="1435"/>
      <c r="U910" s="1435"/>
      <c r="V910" s="1435"/>
      <c r="W910" s="1435"/>
      <c r="X910" s="1435"/>
      <c r="Y910" s="1435"/>
      <c r="Z910" s="1435"/>
    </row>
    <row r="911" spans="2:37" ht="12.75" customHeight="1">
      <c r="B911" s="479"/>
      <c r="C911" s="977"/>
      <c r="D911" s="777" t="s">
        <v>1108</v>
      </c>
      <c r="E911" s="2475" t="s">
        <v>1308</v>
      </c>
      <c r="F911" s="2410"/>
      <c r="G911" s="815" t="str">
        <f>EUconst_tCO2pTJ</f>
        <v>t CO2 / TJ</v>
      </c>
      <c r="H911" s="1479" t="str">
        <f>c_ALR2025!M3557</f>
        <v/>
      </c>
      <c r="I911" s="1532"/>
      <c r="J911" s="1811"/>
      <c r="K911" s="1751"/>
      <c r="L911" s="1751"/>
      <c r="M911" s="1751"/>
      <c r="N911" s="1752"/>
      <c r="O911" s="485"/>
      <c r="P911" s="9"/>
      <c r="Q911" s="1644" t="str">
        <f>EUconst_CNTR_WGFlaredEF &amp; I657</f>
        <v>WasteGasFlareEF_</v>
      </c>
      <c r="S911" s="1435"/>
      <c r="T911" s="1435"/>
      <c r="U911" s="1435"/>
      <c r="V911" s="1435"/>
      <c r="W911" s="1435"/>
      <c r="X911" s="1435"/>
      <c r="Y911" s="1435"/>
      <c r="Z911" s="1435"/>
      <c r="AB911" s="1641" t="s">
        <v>717</v>
      </c>
      <c r="AC911" s="1443" t="b">
        <f>AC909</f>
        <v>0</v>
      </c>
      <c r="AD911" s="1443" t="b">
        <f t="shared" ref="AD911:AI911" si="425">AD909</f>
        <v>0</v>
      </c>
      <c r="AE911" s="1443" t="b">
        <f t="shared" si="425"/>
        <v>0</v>
      </c>
      <c r="AF911" s="1443" t="b">
        <f t="shared" si="425"/>
        <v>0</v>
      </c>
      <c r="AG911" s="1443" t="b">
        <f t="shared" si="425"/>
        <v>0</v>
      </c>
      <c r="AH911" s="1443" t="b">
        <f t="shared" si="425"/>
        <v>0</v>
      </c>
      <c r="AI911" s="1443" t="b">
        <f t="shared" si="425"/>
        <v>0</v>
      </c>
      <c r="AJ911" s="1633" t="s">
        <v>1954</v>
      </c>
      <c r="AK911" s="1635" t="str">
        <f>IF(AND(CNTR_ExistSubInstEntries,MSconst_RequireSubAttrEmissions,COUNTIFS(AC911:AI911,FALSE,H911:N911,"")&gt;0),EUconst_Error&amp;"BM"&amp;$Q657,"")</f>
        <v/>
      </c>
    </row>
    <row r="912" spans="2:37" ht="5.0999999999999996" customHeight="1" thickBot="1">
      <c r="B912" s="479"/>
      <c r="C912" s="977"/>
      <c r="D912" s="981"/>
      <c r="E912" s="981"/>
      <c r="F912" s="981"/>
      <c r="G912" s="981"/>
      <c r="H912" s="983"/>
      <c r="I912" s="981"/>
      <c r="J912" s="1815"/>
      <c r="K912" s="1760"/>
      <c r="L912" s="1760"/>
      <c r="M912" s="1760"/>
      <c r="N912" s="1761"/>
      <c r="O912" s="485"/>
      <c r="P912" s="485"/>
      <c r="Q912" s="1435"/>
      <c r="S912" s="1435"/>
      <c r="T912" s="1435"/>
      <c r="U912" s="1435"/>
      <c r="V912" s="1435"/>
    </row>
    <row r="913" spans="1:37" ht="12.75" customHeight="1" thickBot="1">
      <c r="B913" s="479"/>
      <c r="C913" s="977"/>
      <c r="D913" s="981"/>
      <c r="E913" s="2475" t="s">
        <v>1844</v>
      </c>
      <c r="F913" s="2475"/>
      <c r="G913" s="1009" t="str">
        <f>EUconst_tCO2</f>
        <v>t CO2</v>
      </c>
      <c r="H913" s="638" t="str">
        <f t="shared" ref="H913:N913" si="426">IF(T665,SUM(H910)*SUM(H911),"")</f>
        <v/>
      </c>
      <c r="I913" s="684" t="str">
        <f t="shared" si="426"/>
        <v/>
      </c>
      <c r="J913" s="1815" t="str">
        <f t="shared" si="426"/>
        <v/>
      </c>
      <c r="K913" s="1760" t="str">
        <f t="shared" si="426"/>
        <v/>
      </c>
      <c r="L913" s="1760" t="str">
        <f t="shared" si="426"/>
        <v/>
      </c>
      <c r="M913" s="1760" t="str">
        <f t="shared" si="426"/>
        <v/>
      </c>
      <c r="N913" s="1761" t="str">
        <f t="shared" si="426"/>
        <v/>
      </c>
      <c r="O913" s="485"/>
      <c r="P913" s="485"/>
      <c r="Q913" s="1644" t="str">
        <f>EUconst_CNTR_HAL &amp; EUconst_CNTR_WGFlared &amp; I657</f>
        <v>HAL_WasteGasFlare_</v>
      </c>
      <c r="S913" s="1633" t="s">
        <v>1758</v>
      </c>
      <c r="T913" s="1629" t="b">
        <f>CNTR_SubPeriod=2</f>
        <v>1</v>
      </c>
      <c r="U913" s="1435"/>
      <c r="V913" s="1435"/>
    </row>
    <row r="914" spans="1:37" ht="5.0999999999999996" customHeight="1" thickBot="1">
      <c r="B914" s="479"/>
      <c r="C914" s="977"/>
      <c r="D914" s="981"/>
      <c r="E914" s="981"/>
      <c r="F914" s="981"/>
      <c r="G914" s="981"/>
      <c r="H914" s="983"/>
      <c r="I914" s="981"/>
      <c r="J914" s="981"/>
      <c r="K914" s="981"/>
      <c r="L914" s="981"/>
      <c r="M914" s="813"/>
      <c r="N914" s="814"/>
      <c r="O914" s="485"/>
      <c r="P914" s="485"/>
      <c r="Q914" s="1435"/>
      <c r="S914" s="1435"/>
      <c r="T914" s="1435"/>
      <c r="U914" s="1435"/>
      <c r="V914" s="1435"/>
    </row>
    <row r="915" spans="1:37" ht="5.0999999999999996" customHeight="1" thickBot="1">
      <c r="B915" s="479"/>
      <c r="C915" s="977"/>
      <c r="D915" s="1010"/>
      <c r="E915" s="1011"/>
      <c r="F915" s="1011"/>
      <c r="G915" s="1011"/>
      <c r="H915" s="1012"/>
      <c r="I915" s="1011"/>
      <c r="J915" s="1765"/>
      <c r="K915" s="1815"/>
      <c r="L915" s="1760"/>
      <c r="M915" s="1760"/>
      <c r="N915" s="1761"/>
      <c r="O915" s="485"/>
      <c r="P915" s="485"/>
      <c r="Q915" s="1435"/>
      <c r="S915" s="1435"/>
      <c r="T915" s="1435"/>
      <c r="U915" s="1435"/>
      <c r="V915" s="1435"/>
    </row>
    <row r="916" spans="1:37" ht="12.75" customHeight="1">
      <c r="B916" s="479"/>
      <c r="C916" s="977"/>
      <c r="D916" s="907" t="s">
        <v>1917</v>
      </c>
      <c r="E916" s="2713" t="s">
        <v>1773</v>
      </c>
      <c r="F916" s="2493"/>
      <c r="G916" s="2493"/>
      <c r="H916" s="910" t="str">
        <f>EUconst_Unit</f>
        <v>Unit</v>
      </c>
      <c r="I916" s="911" t="s">
        <v>2213</v>
      </c>
      <c r="J916" s="1647">
        <f>J$3242</f>
        <v>2026</v>
      </c>
      <c r="K916" s="1810">
        <f>K$3242</f>
        <v>2027</v>
      </c>
      <c r="L916" s="1747">
        <f>L$3242</f>
        <v>2028</v>
      </c>
      <c r="M916" s="1747">
        <f>M$3242</f>
        <v>2029</v>
      </c>
      <c r="N916" s="1748">
        <f>N$3242</f>
        <v>2030</v>
      </c>
      <c r="O916" s="485"/>
      <c r="P916" s="485"/>
      <c r="Q916" s="1435"/>
      <c r="U916" s="1648"/>
      <c r="V916" s="1649">
        <f>J916</f>
        <v>2026</v>
      </c>
      <c r="W916" s="1649">
        <f>K916</f>
        <v>2027</v>
      </c>
      <c r="X916" s="1649">
        <f>L916</f>
        <v>2028</v>
      </c>
      <c r="Y916" s="1649">
        <f>M916</f>
        <v>2029</v>
      </c>
      <c r="Z916" s="1650">
        <f>N916</f>
        <v>2030</v>
      </c>
    </row>
    <row r="917" spans="1:37" ht="12.75" customHeight="1">
      <c r="B917" s="479"/>
      <c r="C917" s="977"/>
      <c r="D917" s="915" t="s">
        <v>6</v>
      </c>
      <c r="E917" s="2714" t="s">
        <v>1691</v>
      </c>
      <c r="F917" s="2410"/>
      <c r="G917" s="2410"/>
      <c r="H917" s="944" t="str">
        <f>G913</f>
        <v>t CO2</v>
      </c>
      <c r="I917" s="917" t="str">
        <f>INDEX('B+C_SubInstallations'!$K:$K,MATCH(Q917,'B+C_SubInstallations'!$V:$V,0))</f>
        <v/>
      </c>
      <c r="J917" s="1703" t="str">
        <f>IF($T913&lt;&gt;TRUE,"",IF(AND(V917&gt;=3,CNTR_ReportingYear&gt;J916-1),AVERAGE(SUM(H913),SUM(I913)),""))</f>
        <v/>
      </c>
      <c r="K917" s="1832" t="str">
        <f>IF($T913&lt;&gt;TRUE,"",IF(AND(W917&gt;=3,CNTR_ReportingYear&gt;K916-1),AVERAGE(SUM(I913),SUM(J913)),""))</f>
        <v/>
      </c>
      <c r="L917" s="1766" t="str">
        <f>IF($T913&lt;&gt;TRUE,"",IF(AND(X917&gt;=3,CNTR_ReportingYear&gt;L916-1),AVERAGE(SUM(J913),SUM(K913)),""))</f>
        <v/>
      </c>
      <c r="M917" s="1766" t="str">
        <f>IF($T913&lt;&gt;TRUE,"",IF(AND(Y917&gt;=3,CNTR_ReportingYear&gt;M916-1),AVERAGE(SUM(K913),SUM(L913)),""))</f>
        <v/>
      </c>
      <c r="N917" s="1767" t="str">
        <f>IF($T913&lt;&gt;TRUE,"",IF(AND(Z917&gt;=3,CNTR_ReportingYear&gt;N916-1),AVERAGE(SUM(L913),SUM(M913)),""))</f>
        <v/>
      </c>
      <c r="O917" s="485"/>
      <c r="P917" s="485"/>
      <c r="Q917" s="1644" t="str">
        <f>EUconst_CNTR_HALinitial &amp; EUconst_CNTR_WGFlared &amp; I657</f>
        <v>HALini_WasteGasFlare_</v>
      </c>
      <c r="U917" s="1693" t="s">
        <v>1650</v>
      </c>
      <c r="V917" s="1635">
        <f>V679</f>
        <v>0</v>
      </c>
      <c r="W917" s="1635">
        <f>W679</f>
        <v>0</v>
      </c>
      <c r="X917" s="1635">
        <f>X679</f>
        <v>0</v>
      </c>
      <c r="Y917" s="1635">
        <f>Y679</f>
        <v>0</v>
      </c>
      <c r="Z917" s="1654">
        <f>Z679</f>
        <v>0</v>
      </c>
    </row>
    <row r="918" spans="1:37" ht="12.75" hidden="1" customHeight="1">
      <c r="A918" s="618" t="s">
        <v>2289</v>
      </c>
      <c r="B918" s="479"/>
      <c r="C918" s="977"/>
      <c r="D918" s="915"/>
      <c r="E918" s="2714" t="s">
        <v>1776</v>
      </c>
      <c r="F918" s="2410"/>
      <c r="G918" s="2410"/>
      <c r="H918" s="921"/>
      <c r="I918" s="1657"/>
      <c r="J918" s="17" t="str">
        <f>IF(J917="","",IF($I920=0,IF(J917=0,0%,100%),J917/$I920-1))</f>
        <v/>
      </c>
      <c r="K918" s="41" t="str">
        <f>IF(K917="","",IF($I920=0,IF(K917=0,0%,100%),K917/$I920-1))</f>
        <v/>
      </c>
      <c r="L918" s="18" t="str">
        <f>IF(L917="","",IF($I920=0,IF(L917=0,0%,100%),L917/$I920-1))</f>
        <v/>
      </c>
      <c r="M918" s="18" t="str">
        <f>IF(M917="","",IF($I920=0,IF(M917=0,0%,100%),M917/$I920-1))</f>
        <v/>
      </c>
      <c r="N918" s="38" t="str">
        <f>IF(N917="","",IF($I920=0,IF(N917=0,0%,100%),N917/$I920-1))</f>
        <v/>
      </c>
      <c r="O918" s="485"/>
      <c r="P918" s="485"/>
      <c r="Q918" s="1644" t="str">
        <f>EUconst_CNTR_RelThreshold &amp; Q920</f>
        <v>RelThresh_HALprelim_WasteGasFlare_</v>
      </c>
      <c r="U918" s="1693" t="s">
        <v>1655</v>
      </c>
      <c r="V918" s="1158" t="str">
        <f>IF(J917="","",ABS(J918)&gt;15%)</f>
        <v/>
      </c>
      <c r="W918" s="1158" t="str">
        <f>IF(K917="","",ABS(K918)&gt;15%)</f>
        <v/>
      </c>
      <c r="X918" s="1158" t="str">
        <f>IF(L917="","",ABS(L918)&gt;15%)</f>
        <v/>
      </c>
      <c r="Y918" s="1158" t="str">
        <f>IF(M917="","",ABS(M918)&gt;15%)</f>
        <v/>
      </c>
      <c r="Z918" s="1656" t="str">
        <f>IF(N917="","",ABS(N918)&gt;15%)</f>
        <v/>
      </c>
    </row>
    <row r="919" spans="1:37" ht="12.75" customHeight="1">
      <c r="A919" s="618"/>
      <c r="B919" s="479"/>
      <c r="C919" s="977"/>
      <c r="D919" s="915" t="s">
        <v>7</v>
      </c>
      <c r="E919" s="2714" t="s">
        <v>1654</v>
      </c>
      <c r="F919" s="2410"/>
      <c r="G919" s="2410"/>
      <c r="H919" s="921"/>
      <c r="I919" s="1657"/>
      <c r="J919" s="1658" t="str">
        <f>IF(J917="","",IF(V918=FALSE,0%,J918))</f>
        <v/>
      </c>
      <c r="K919" s="1833" t="str">
        <f>IF(K917="","",IF(W918=FALSE,0%,K918))</f>
        <v/>
      </c>
      <c r="L919" s="1768" t="str">
        <f>IF(L917="","",IF(X918=FALSE,0%,L918))</f>
        <v/>
      </c>
      <c r="M919" s="1768" t="str">
        <f>IF(M917="","",IF(Y918=FALSE,0%,M918))</f>
        <v/>
      </c>
      <c r="N919" s="1769" t="str">
        <f>IF(N917="","",IF(Z918=FALSE,0%,N918))</f>
        <v/>
      </c>
      <c r="O919" s="485"/>
      <c r="P919" s="485"/>
      <c r="Q919" s="1435"/>
      <c r="U919" s="1694"/>
      <c r="Z919" s="1664"/>
    </row>
    <row r="920" spans="1:37" ht="12.75" hidden="1" customHeight="1">
      <c r="A920" s="618" t="s">
        <v>2289</v>
      </c>
      <c r="B920" s="479"/>
      <c r="C920" s="977"/>
      <c r="D920" s="915"/>
      <c r="E920" s="2714" t="s">
        <v>1689</v>
      </c>
      <c r="F920" s="2410"/>
      <c r="G920" s="2410"/>
      <c r="H920" s="944" t="str">
        <f>H917</f>
        <v>t CO2</v>
      </c>
      <c r="I920" s="917" t="str">
        <f>IF($I657="","",IF(AB657=FALSE,EUconst_NA,IF(V657&gt;($J$3242-3),INDEX(H913:N913,MATCH(V657,H907:N907,0)),SUM(I917))))</f>
        <v/>
      </c>
      <c r="J920" s="1651" t="str">
        <f>IF($I657="","",IF(V917&lt;2,SUM(J913),IF(V917&lt;3,SUM(I913),IF(V920="",I920,V920))))</f>
        <v/>
      </c>
      <c r="K920" s="1832" t="str">
        <f>IF($I657="","",IF(W917&lt;2,SUM(K913),IF(W917&lt;3,SUM(J913),IF(W920="",J920,W920))))</f>
        <v/>
      </c>
      <c r="L920" s="1766" t="str">
        <f>IF($I657="","",IF(X917&lt;2,SUM(L913),IF(X917&lt;3,SUM(K913),IF(X920="",K920,X920))))</f>
        <v/>
      </c>
      <c r="M920" s="1766" t="str">
        <f>IF($I657="","",IF(Y917&lt;2,SUM(M913),IF(Y917&lt;3,SUM(L913),IF(Y920="",L920,Y920))))</f>
        <v/>
      </c>
      <c r="N920" s="1767" t="str">
        <f>IF($I657="","",IF(Z917&lt;2,SUM(N913),IF(Z917&lt;3,SUM(M913),IF(Z920="",M920,Z920))))</f>
        <v/>
      </c>
      <c r="O920" s="485"/>
      <c r="P920" s="485"/>
      <c r="Q920" s="1644" t="str">
        <f>EUconst_CNTR_HALprelim&amp;EUconst_CNTR_WGFlared &amp; I657</f>
        <v>HALprelim_WasteGasFlare_</v>
      </c>
      <c r="U920" s="1693" t="s">
        <v>1697</v>
      </c>
      <c r="V920" s="1660" t="str">
        <f>IF(J917="","",IF(CNTR_ReportingYear&lt;J916,I919,IF($I920=0,J917,$I920*(1+J919))))</f>
        <v/>
      </c>
      <c r="W920" s="1660" t="str">
        <f>IF(K917="","",IF(CNTR_ReportingYear&lt;K916,J919,IF($I920=0,K917,$I920*(1+K919))))</f>
        <v/>
      </c>
      <c r="X920" s="1660" t="str">
        <f>IF(L917="","",IF(CNTR_ReportingYear&lt;L916,K919,IF($I920=0,L917,$I920*(1+L919))))</f>
        <v/>
      </c>
      <c r="Y920" s="1660" t="str">
        <f>IF(M917="","",IF(CNTR_ReportingYear&lt;M916,L919,IF($I920=0,M917,$I920*(1+M919))))</f>
        <v/>
      </c>
      <c r="Z920" s="1661" t="str">
        <f>IF(N917="","",IF(CNTR_ReportingYear&lt;N916,M919,IF($I920=0,N917,$I920*(1+N919))))</f>
        <v/>
      </c>
    </row>
    <row r="921" spans="1:37" ht="5.0999999999999996" customHeight="1">
      <c r="A921" s="618"/>
      <c r="B921" s="479"/>
      <c r="C921" s="977"/>
      <c r="D921" s="915"/>
      <c r="E921" s="909"/>
      <c r="F921" s="909"/>
      <c r="G921" s="909"/>
      <c r="H921" s="909"/>
      <c r="I921" s="909"/>
      <c r="J921" s="922"/>
      <c r="K921" s="1815"/>
      <c r="L921" s="1760"/>
      <c r="M921" s="1760"/>
      <c r="N921" s="1761"/>
      <c r="O921" s="485"/>
      <c r="P921" s="485"/>
      <c r="Q921" s="1435"/>
      <c r="U921" s="1663"/>
      <c r="V921" s="1435"/>
      <c r="Z921" s="1664"/>
    </row>
    <row r="922" spans="1:37" ht="12.75" customHeight="1">
      <c r="A922" s="618"/>
      <c r="B922" s="479"/>
      <c r="C922" s="977"/>
      <c r="D922" s="915"/>
      <c r="E922" s="2713" t="s">
        <v>1653</v>
      </c>
      <c r="F922" s="2493"/>
      <c r="G922" s="2493"/>
      <c r="H922" s="2493"/>
      <c r="I922" s="2493"/>
      <c r="J922" s="1647">
        <f>J$3242</f>
        <v>2026</v>
      </c>
      <c r="K922" s="1810">
        <f>K$3242</f>
        <v>2027</v>
      </c>
      <c r="L922" s="1747">
        <f>L$3242</f>
        <v>2028</v>
      </c>
      <c r="M922" s="1747">
        <f>M$3242</f>
        <v>2029</v>
      </c>
      <c r="N922" s="1748">
        <f>N$3242</f>
        <v>2030</v>
      </c>
      <c r="O922" s="485"/>
      <c r="P922" s="485"/>
      <c r="Q922" s="1435"/>
      <c r="U922" s="1665"/>
      <c r="Z922" s="1664"/>
    </row>
    <row r="923" spans="1:37" ht="12.75" customHeight="1">
      <c r="A923" s="618"/>
      <c r="B923" s="479"/>
      <c r="C923" s="977"/>
      <c r="D923" s="915" t="s">
        <v>8</v>
      </c>
      <c r="E923" s="2714" t="s">
        <v>2108</v>
      </c>
      <c r="F923" s="2410"/>
      <c r="G923" s="2410"/>
      <c r="H923" s="2410"/>
      <c r="I923" s="2410"/>
      <c r="J923" s="1666" t="str">
        <f>IF($I657="","",INDEX(K_Summary!J:J,MATCH($Q923,K_Summary!$P:$P,0)))</f>
        <v/>
      </c>
      <c r="K923" s="1815" t="str">
        <f>IF($I657="","",INDEX(K_Summary!K:K,MATCH($Q923,K_Summary!$P:$P,0)))</f>
        <v/>
      </c>
      <c r="L923" s="1760" t="str">
        <f>IF($I657="","",INDEX(K_Summary!L:L,MATCH($Q923,K_Summary!$P:$P,0)))</f>
        <v/>
      </c>
      <c r="M923" s="1760" t="str">
        <f>IF($I657="","",INDEX(K_Summary!M:M,MATCH($Q923,K_Summary!$P:$P,0)))</f>
        <v/>
      </c>
      <c r="N923" s="1761" t="str">
        <f>IF($I657="","",INDEX(K_Summary!N:N,MATCH($Q923,K_Summary!$P:$P,0)))</f>
        <v/>
      </c>
      <c r="O923" s="485"/>
      <c r="P923" s="485"/>
      <c r="Q923" s="1644" t="str">
        <f>EUconst_CNTR_100EUA_WGFlare&amp;I657</f>
        <v>EUA100WGFlare_</v>
      </c>
      <c r="U923" s="1665"/>
      <c r="Z923" s="1664"/>
    </row>
    <row r="924" spans="1:37" ht="5.0999999999999996" customHeight="1" thickBot="1">
      <c r="A924" s="618"/>
      <c r="B924" s="479"/>
      <c r="C924" s="977"/>
      <c r="D924" s="915"/>
      <c r="E924" s="909"/>
      <c r="F924" s="909"/>
      <c r="G924" s="909"/>
      <c r="H924" s="909"/>
      <c r="I924" s="909"/>
      <c r="J924" s="922"/>
      <c r="K924" s="1815"/>
      <c r="L924" s="1760"/>
      <c r="M924" s="1760"/>
      <c r="N924" s="1761"/>
      <c r="O924" s="485"/>
      <c r="P924" s="485"/>
      <c r="Q924" s="1435"/>
      <c r="U924" s="1663"/>
      <c r="V924" s="1435"/>
      <c r="Z924" s="1664"/>
    </row>
    <row r="925" spans="1:37" ht="12.75" customHeight="1" thickBot="1">
      <c r="B925" s="479"/>
      <c r="C925" s="977"/>
      <c r="D925" s="915" t="s">
        <v>18</v>
      </c>
      <c r="E925" s="2714" t="s">
        <v>1657</v>
      </c>
      <c r="F925" s="2410"/>
      <c r="G925" s="2410"/>
      <c r="H925" s="2410"/>
      <c r="I925" s="2410"/>
      <c r="J925" s="1668" t="str">
        <f>IF(J923="","",IF(OR(J923,V917&lt;1),J919,I925))</f>
        <v/>
      </c>
      <c r="K925" s="1834" t="str">
        <f>IF(K923="","",IF(OR(K923,W917&lt;1),K919,J925))</f>
        <v/>
      </c>
      <c r="L925" s="1770" t="str">
        <f>IF(L923="","",IF(OR(L923,X917&lt;1),L919,K925))</f>
        <v/>
      </c>
      <c r="M925" s="1770" t="str">
        <f>IF(M923="","",IF(OR(M923,Y917&lt;1),M919,L925))</f>
        <v/>
      </c>
      <c r="N925" s="1771" t="str">
        <f>IF(N923="","",IF(OR(N923,Z917&lt;1),N919,M925))</f>
        <v/>
      </c>
      <c r="O925" s="485"/>
      <c r="P925" s="485"/>
      <c r="Q925" s="1435"/>
      <c r="U925" s="1663" t="s">
        <v>1658</v>
      </c>
      <c r="V925" s="1670">
        <f>J922</f>
        <v>2026</v>
      </c>
      <c r="W925" s="1670">
        <f>K922</f>
        <v>2027</v>
      </c>
      <c r="X925" s="1670">
        <f>L922</f>
        <v>2028</v>
      </c>
      <c r="Y925" s="1670">
        <f>M922</f>
        <v>2029</v>
      </c>
      <c r="Z925" s="1671">
        <f>N922</f>
        <v>2030</v>
      </c>
    </row>
    <row r="926" spans="1:37" ht="12.75" customHeight="1" thickBot="1">
      <c r="A926" s="618"/>
      <c r="B926" s="479"/>
      <c r="C926" s="977"/>
      <c r="D926" s="915" t="s">
        <v>787</v>
      </c>
      <c r="E926" s="2714" t="s">
        <v>1659</v>
      </c>
      <c r="F926" s="2410"/>
      <c r="G926" s="2410"/>
      <c r="H926" s="944" t="str">
        <f>H917</f>
        <v>t CO2</v>
      </c>
      <c r="I926" s="917" t="str">
        <f>I920</f>
        <v/>
      </c>
      <c r="J926" s="1672" t="str">
        <f>IF($I657="","",IF(OR($I926=0,$I926=EUconst_NA),IF(OR(J923=TRUE,J922=$V657),J920,SUM(I926)),IF(J925="",J920,$I926*(1+SUM(J925)))))</f>
        <v/>
      </c>
      <c r="K926" s="1835" t="str">
        <f>IF($I657="","",IF(OR($I926=0,$I926=EUconst_NA),IF(OR(K923=TRUE,K922=$V657),K920,SUM(J926)),IF(K925="",K920,$I926*(1+SUM(K925)))))</f>
        <v/>
      </c>
      <c r="L926" s="1772" t="str">
        <f>IF($I657="","",IF(OR($I926=0,$I926=EUconst_NA),IF(OR(L923=TRUE,L922=$V657),L920,SUM(K926)),IF(L925="",L920,$I926*(1+SUM(L925)))))</f>
        <v/>
      </c>
      <c r="M926" s="1772" t="str">
        <f>IF($I657="","",IF(OR($I926=0,$I926=EUconst_NA),IF(OR(M923=TRUE,M922=$V657),M920,SUM(L926)),IF(M925="",M920,$I926*(1+SUM(M925)))))</f>
        <v/>
      </c>
      <c r="N926" s="1773" t="str">
        <f>IF($I657="","",IF(OR($I926=0,$I926=EUconst_NA),IF(OR(N923=TRUE,N922=$V657),N920,SUM(M926)),IF(N925="",N920,$I926*(1+SUM(N925)))))</f>
        <v/>
      </c>
      <c r="O926" s="485"/>
      <c r="P926" s="485"/>
      <c r="Q926" s="1644" t="str">
        <f>EUconst_CNTR_HALfinal&amp;EUconst_CNTR_WGFlared &amp; I657</f>
        <v>HALfinal_WasteGasFlare_</v>
      </c>
      <c r="U926" s="1674" t="b">
        <v>0</v>
      </c>
      <c r="V926" s="1675" t="str">
        <f>IF(V876,IF(J923=TRUE,V665,U926),"")</f>
        <v/>
      </c>
      <c r="W926" s="1675" t="str">
        <f>IF(W876,IF(K923=TRUE,W665,V926),"")</f>
        <v/>
      </c>
      <c r="X926" s="1675" t="str">
        <f>IF(X876,IF(L923=TRUE,X665,W926),"")</f>
        <v/>
      </c>
      <c r="Y926" s="1675" t="str">
        <f>IF(Y876,IF(M923=TRUE,Y665,X926),"")</f>
        <v/>
      </c>
      <c r="Z926" s="1676" t="str">
        <f>IF(Z876,IF(N923=TRUE,Z665,Y926),"")</f>
        <v/>
      </c>
      <c r="AJ926" s="1633" t="s">
        <v>1951</v>
      </c>
      <c r="AK926" s="1443" t="str">
        <f>IF(OR(ISERROR(J926),ISERROR(K926),ISERROR(L926),ISERROR(M926),ISERROR(N926)),EUconst_Error &amp; "BM" &amp; Q657,"")</f>
        <v/>
      </c>
    </row>
    <row r="927" spans="1:37" ht="5.0999999999999996" customHeight="1" thickBot="1">
      <c r="B927" s="479"/>
      <c r="C927" s="977"/>
      <c r="D927" s="946"/>
      <c r="E927" s="947"/>
      <c r="F927" s="947"/>
      <c r="G927" s="947"/>
      <c r="H927" s="1014"/>
      <c r="I927" s="947"/>
      <c r="J927" s="1700"/>
      <c r="K927" s="1815"/>
      <c r="L927" s="1760"/>
      <c r="M927" s="1760"/>
      <c r="N927" s="1761"/>
      <c r="O927" s="485"/>
      <c r="P927" s="485"/>
      <c r="Q927" s="1435"/>
      <c r="S927" s="1435"/>
      <c r="T927" s="1435"/>
      <c r="U927" s="1435"/>
      <c r="V927" s="1435"/>
    </row>
    <row r="928" spans="1:37" ht="5.0999999999999996" customHeight="1">
      <c r="B928" s="479"/>
      <c r="C928" s="977"/>
      <c r="D928" s="981"/>
      <c r="E928" s="981"/>
      <c r="F928" s="981"/>
      <c r="G928" s="981"/>
      <c r="H928" s="983"/>
      <c r="I928" s="981"/>
      <c r="J928" s="981"/>
      <c r="K928" s="981"/>
      <c r="L928" s="981"/>
      <c r="M928" s="813"/>
      <c r="N928" s="814"/>
      <c r="O928" s="485"/>
      <c r="P928" s="485"/>
      <c r="Q928" s="1435"/>
      <c r="S928" s="1435"/>
      <c r="T928" s="1435"/>
      <c r="U928" s="1435"/>
      <c r="V928" s="1435"/>
    </row>
    <row r="929" spans="1:42" ht="12.75" customHeight="1">
      <c r="B929" s="479"/>
      <c r="C929" s="977"/>
      <c r="D929" s="777" t="s">
        <v>1109</v>
      </c>
      <c r="E929" s="2649" t="s">
        <v>1218</v>
      </c>
      <c r="F929" s="2391"/>
      <c r="G929" s="2391"/>
      <c r="H929" s="2512"/>
      <c r="I929" s="3211" t="str">
        <f>c_ALR2025!I3575</f>
        <v/>
      </c>
      <c r="J929" s="3206"/>
      <c r="K929" s="3206"/>
      <c r="L929" s="3206"/>
      <c r="M929" s="3207"/>
      <c r="N929" s="814"/>
      <c r="O929" s="485"/>
      <c r="P929" s="9"/>
      <c r="Q929" s="1435"/>
      <c r="S929" s="1435"/>
      <c r="AC929" s="1641" t="s">
        <v>717</v>
      </c>
      <c r="AD929" s="1443" t="b">
        <f>AD903</f>
        <v>0</v>
      </c>
    </row>
    <row r="930" spans="1:42" ht="12.75" customHeight="1">
      <c r="B930" s="479"/>
      <c r="C930" s="977"/>
      <c r="D930" s="777"/>
      <c r="E930" s="3272" t="s">
        <v>2298</v>
      </c>
      <c r="F930" s="2380"/>
      <c r="G930" s="2380"/>
      <c r="H930" s="2380"/>
      <c r="I930" s="2380"/>
      <c r="J930" s="2380"/>
      <c r="K930" s="2380"/>
      <c r="L930" s="2380"/>
      <c r="M930" s="2380"/>
      <c r="N930" s="3268"/>
      <c r="O930" s="485"/>
      <c r="P930" s="485"/>
      <c r="Q930" s="1435"/>
      <c r="S930" s="1435"/>
      <c r="T930" s="1435"/>
      <c r="U930" s="1435"/>
      <c r="V930" s="1435"/>
    </row>
    <row r="931" spans="1:42" ht="25.5" customHeight="1">
      <c r="B931" s="479"/>
      <c r="C931" s="977"/>
      <c r="D931" s="777"/>
      <c r="E931" s="3267" t="s">
        <v>1560</v>
      </c>
      <c r="F931" s="2380"/>
      <c r="G931" s="2380"/>
      <c r="H931" s="2380"/>
      <c r="I931" s="2380"/>
      <c r="J931" s="2380"/>
      <c r="K931" s="2380"/>
      <c r="L931" s="2380"/>
      <c r="M931" s="2380"/>
      <c r="N931" s="3268"/>
      <c r="O931" s="485"/>
      <c r="P931" s="485"/>
      <c r="Q931" s="1435"/>
      <c r="S931" s="1435"/>
      <c r="T931" s="1435"/>
      <c r="U931" s="1435"/>
      <c r="V931" s="1435"/>
    </row>
    <row r="932" spans="1:42" ht="12.75" customHeight="1" thickBot="1">
      <c r="B932" s="479"/>
      <c r="C932" s="977"/>
      <c r="D932" s="981"/>
      <c r="E932" s="989"/>
      <c r="F932" s="990"/>
      <c r="G932" s="987" t="str">
        <f>EUconst_Unit</f>
        <v>Unit</v>
      </c>
      <c r="H932" s="782">
        <f t="shared" ref="H932:N932" si="427">H$3242</f>
        <v>2024</v>
      </c>
      <c r="I932" s="988">
        <f t="shared" si="427"/>
        <v>2025</v>
      </c>
      <c r="J932" s="1810">
        <f t="shared" si="427"/>
        <v>2026</v>
      </c>
      <c r="K932" s="1747">
        <f t="shared" si="427"/>
        <v>2027</v>
      </c>
      <c r="L932" s="1747">
        <f t="shared" si="427"/>
        <v>2028</v>
      </c>
      <c r="M932" s="1747">
        <f t="shared" si="427"/>
        <v>2029</v>
      </c>
      <c r="N932" s="1748">
        <f t="shared" si="427"/>
        <v>2030</v>
      </c>
      <c r="O932" s="485"/>
      <c r="P932" s="485"/>
      <c r="Q932" s="1435"/>
      <c r="S932" s="1435"/>
      <c r="T932" s="1435"/>
      <c r="U932" s="1435"/>
      <c r="V932" s="1435"/>
      <c r="AC932" s="1638">
        <f t="shared" ref="AC932:AI932" si="428">H$20</f>
        <v>2024</v>
      </c>
      <c r="AD932" s="1638">
        <f t="shared" si="428"/>
        <v>2025</v>
      </c>
      <c r="AE932" s="1638">
        <f t="shared" si="428"/>
        <v>2026</v>
      </c>
      <c r="AF932" s="1638">
        <f t="shared" si="428"/>
        <v>2027</v>
      </c>
      <c r="AG932" s="1638">
        <f t="shared" si="428"/>
        <v>2028</v>
      </c>
      <c r="AH932" s="1638">
        <f t="shared" si="428"/>
        <v>2029</v>
      </c>
      <c r="AI932" s="1638">
        <f t="shared" si="428"/>
        <v>2030</v>
      </c>
    </row>
    <row r="933" spans="1:42" ht="12.75" customHeight="1" thickBot="1">
      <c r="B933" s="479"/>
      <c r="C933" s="977"/>
      <c r="D933" s="777" t="s">
        <v>1110</v>
      </c>
      <c r="E933" s="2471" t="s">
        <v>1303</v>
      </c>
      <c r="F933" s="2472"/>
      <c r="G933" s="1763" t="str">
        <f>c_ALR2025!G3579</f>
        <v/>
      </c>
      <c r="H933" s="1552" t="str">
        <f>c_ALR2025!M3579</f>
        <v/>
      </c>
      <c r="I933" s="1611"/>
      <c r="J933" s="1811"/>
      <c r="K933" s="1751"/>
      <c r="L933" s="1751"/>
      <c r="M933" s="1751"/>
      <c r="N933" s="1752"/>
      <c r="O933" s="485"/>
      <c r="P933" s="9"/>
      <c r="Q933" s="1435"/>
      <c r="S933" s="1435"/>
      <c r="T933" s="1435"/>
      <c r="U933" s="1435"/>
      <c r="V933" s="1435"/>
      <c r="AB933" s="1641" t="s">
        <v>717</v>
      </c>
      <c r="AC933" s="1443" t="b">
        <f t="shared" ref="AC933:AI933" si="429">AC889</f>
        <v>0</v>
      </c>
      <c r="AD933" s="1443" t="b">
        <f t="shared" si="429"/>
        <v>0</v>
      </c>
      <c r="AE933" s="1443" t="b">
        <f t="shared" si="429"/>
        <v>0</v>
      </c>
      <c r="AF933" s="1443" t="b">
        <f t="shared" si="429"/>
        <v>0</v>
      </c>
      <c r="AG933" s="1443" t="b">
        <f t="shared" si="429"/>
        <v>0</v>
      </c>
      <c r="AH933" s="1443" t="b">
        <f t="shared" si="429"/>
        <v>0</v>
      </c>
      <c r="AI933" s="1443" t="b">
        <f t="shared" si="429"/>
        <v>0</v>
      </c>
      <c r="AJ933" s="1633" t="s">
        <v>1954</v>
      </c>
      <c r="AK933" s="1635" t="str">
        <f>IF(AND(CNTR_ExistSubInstEntries,MSconst_RequireSubAttrEmissions,COUNTIFS(AC933:AI933,FALSE,H933:N933,"")&gt;0),EUconst_Error&amp;"BM"&amp;$Q657,"")</f>
        <v/>
      </c>
    </row>
    <row r="934" spans="1:42" ht="12.75" customHeight="1">
      <c r="B934" s="479"/>
      <c r="C934" s="977"/>
      <c r="D934" s="777" t="s">
        <v>1111</v>
      </c>
      <c r="E934" s="2473" t="s">
        <v>661</v>
      </c>
      <c r="F934" s="2474"/>
      <c r="G934" s="1008" t="e">
        <f>IF(ISBLANK(G933),EUconst_GJperUnit,INDEX(EUconst_GJperTorKNm3,MATCH(G933,EUconst_TonnesOrkNm3pa,0)))</f>
        <v>#N/A</v>
      </c>
      <c r="H934" s="1558" t="str">
        <f>c_ALR2025!M3580</f>
        <v/>
      </c>
      <c r="I934" s="1884"/>
      <c r="J934" s="1811"/>
      <c r="K934" s="1751"/>
      <c r="L934" s="1751"/>
      <c r="M934" s="1751"/>
      <c r="N934" s="1752"/>
      <c r="O934" s="485"/>
      <c r="P934" s="9"/>
      <c r="Q934" s="1435"/>
      <c r="S934" s="1648"/>
      <c r="T934" s="1749">
        <f t="shared" ref="T934:Z934" si="430">H932</f>
        <v>2024</v>
      </c>
      <c r="U934" s="1749">
        <f t="shared" si="430"/>
        <v>2025</v>
      </c>
      <c r="V934" s="1749">
        <f t="shared" si="430"/>
        <v>2026</v>
      </c>
      <c r="W934" s="1749">
        <f t="shared" si="430"/>
        <v>2027</v>
      </c>
      <c r="X934" s="1749">
        <f t="shared" si="430"/>
        <v>2028</v>
      </c>
      <c r="Y934" s="1749">
        <f t="shared" si="430"/>
        <v>2029</v>
      </c>
      <c r="Z934" s="1750">
        <f t="shared" si="430"/>
        <v>2030</v>
      </c>
      <c r="AC934" s="1443" t="b">
        <f>AC933</f>
        <v>0</v>
      </c>
      <c r="AD934" s="1443" t="b">
        <f t="shared" ref="AD934:AI934" si="431">AD933</f>
        <v>0</v>
      </c>
      <c r="AE934" s="1443" t="b">
        <f t="shared" si="431"/>
        <v>0</v>
      </c>
      <c r="AF934" s="1443" t="b">
        <f t="shared" si="431"/>
        <v>0</v>
      </c>
      <c r="AG934" s="1443" t="b">
        <f t="shared" si="431"/>
        <v>0</v>
      </c>
      <c r="AH934" s="1443" t="b">
        <f t="shared" si="431"/>
        <v>0</v>
      </c>
      <c r="AI934" s="1443" t="b">
        <f t="shared" si="431"/>
        <v>0</v>
      </c>
      <c r="AJ934" s="1633" t="s">
        <v>1954</v>
      </c>
      <c r="AK934" s="1635" t="str">
        <f>IF(AND(CNTR_ExistSubInstEntries,MSconst_RequireSubAttrEmissions,COUNTIFS(AC934:AI934,FALSE,H934:N934,"")&gt;0),EUconst_Error&amp;"BM"&amp;$Q657,"")</f>
        <v/>
      </c>
    </row>
    <row r="935" spans="1:42" ht="12.75" customHeight="1">
      <c r="B935" s="479"/>
      <c r="C935" s="977"/>
      <c r="D935" s="777" t="s">
        <v>1112</v>
      </c>
      <c r="E935" s="2475" t="s">
        <v>1102</v>
      </c>
      <c r="F935" s="2410"/>
      <c r="G935" s="815" t="str">
        <f>EUconst_TJpa</f>
        <v>TJ / year</v>
      </c>
      <c r="H935" s="646" t="str">
        <f t="shared" ref="H935:N935" si="432">IF(COUNT(H933:H934)=2,H933*H934/1000,"")</f>
        <v/>
      </c>
      <c r="I935" s="949" t="str">
        <f t="shared" si="432"/>
        <v/>
      </c>
      <c r="J935" s="1811" t="str">
        <f t="shared" si="432"/>
        <v/>
      </c>
      <c r="K935" s="1751" t="str">
        <f t="shared" si="432"/>
        <v/>
      </c>
      <c r="L935" s="1751" t="str">
        <f t="shared" si="432"/>
        <v/>
      </c>
      <c r="M935" s="1751" t="str">
        <f t="shared" si="432"/>
        <v/>
      </c>
      <c r="N935" s="1752" t="str">
        <f t="shared" si="432"/>
        <v/>
      </c>
      <c r="O935" s="485"/>
      <c r="P935" s="485"/>
      <c r="Q935" s="1644" t="str">
        <f>EUconst_CNTR_WGImport &amp; I657</f>
        <v>WasteGasIm_</v>
      </c>
      <c r="S935" s="1874" t="str">
        <f>EUconst_ERR_AttrEmBMapplied &amp; I657</f>
        <v>ERR_AttrEmBM_</v>
      </c>
      <c r="T935" s="1443">
        <f t="shared" ref="T935:Z935" si="433">IF(AND(H935&lt;&gt;"",EUconst_StatusOfDataCollection=FALSE),1,0)</f>
        <v>0</v>
      </c>
      <c r="U935" s="1443">
        <f t="shared" si="433"/>
        <v>0</v>
      </c>
      <c r="V935" s="1443">
        <f t="shared" si="433"/>
        <v>0</v>
      </c>
      <c r="W935" s="1443">
        <f t="shared" si="433"/>
        <v>0</v>
      </c>
      <c r="X935" s="1443">
        <f t="shared" si="433"/>
        <v>0</v>
      </c>
      <c r="Y935" s="1443">
        <f t="shared" si="433"/>
        <v>0</v>
      </c>
      <c r="Z935" s="1737">
        <f t="shared" si="433"/>
        <v>0</v>
      </c>
    </row>
    <row r="936" spans="1:42" s="562" customFormat="1" ht="12.75" customHeight="1" thickBot="1">
      <c r="A936" s="618"/>
      <c r="B936" s="479"/>
      <c r="C936" s="977"/>
      <c r="D936" s="777" t="s">
        <v>1113</v>
      </c>
      <c r="E936" s="2475" t="s">
        <v>1275</v>
      </c>
      <c r="F936" s="2410"/>
      <c r="G936" s="815" t="str">
        <f>EUconst_tCO2pTJ</f>
        <v>t CO2 / TJ</v>
      </c>
      <c r="H936" s="1479" t="str">
        <f>c_ALR2025!M3582</f>
        <v/>
      </c>
      <c r="I936" s="1532"/>
      <c r="J936" s="1811"/>
      <c r="K936" s="1751"/>
      <c r="L936" s="1751"/>
      <c r="M936" s="1751"/>
      <c r="N936" s="1752"/>
      <c r="O936" s="485"/>
      <c r="P936" s="9"/>
      <c r="Q936" s="1644" t="str">
        <f>EUconst_CNTR_WGImportEF &amp; I657</f>
        <v>WasteGasImEF_</v>
      </c>
      <c r="R936" s="1435"/>
      <c r="S936" s="1753" t="str">
        <f>EUconst_CNTR_AttributedEmissions &amp; I657</f>
        <v>AttrEmissions_</v>
      </c>
      <c r="T936" s="1743" t="str">
        <f t="shared" ref="T936:Z936" si="434">IF(T665,SUM(H935)*EUconst_FuelBMvalue,"")</f>
        <v/>
      </c>
      <c r="U936" s="1743" t="str">
        <f t="shared" si="434"/>
        <v/>
      </c>
      <c r="V936" s="1743" t="str">
        <f t="shared" si="434"/>
        <v/>
      </c>
      <c r="W936" s="1743" t="str">
        <f t="shared" si="434"/>
        <v/>
      </c>
      <c r="X936" s="1743" t="str">
        <f t="shared" si="434"/>
        <v/>
      </c>
      <c r="Y936" s="1743" t="str">
        <f t="shared" si="434"/>
        <v/>
      </c>
      <c r="Z936" s="1744" t="str">
        <f t="shared" si="434"/>
        <v/>
      </c>
      <c r="AA936" s="1435"/>
      <c r="AB936" s="1641" t="s">
        <v>717</v>
      </c>
      <c r="AC936" s="1443" t="b">
        <f>AC934</f>
        <v>0</v>
      </c>
      <c r="AD936" s="1443" t="b">
        <f t="shared" ref="AD936:AI936" si="435">AD934</f>
        <v>0</v>
      </c>
      <c r="AE936" s="1443" t="b">
        <f t="shared" si="435"/>
        <v>0</v>
      </c>
      <c r="AF936" s="1443" t="b">
        <f t="shared" si="435"/>
        <v>0</v>
      </c>
      <c r="AG936" s="1443" t="b">
        <f t="shared" si="435"/>
        <v>0</v>
      </c>
      <c r="AH936" s="1443" t="b">
        <f t="shared" si="435"/>
        <v>0</v>
      </c>
      <c r="AI936" s="1443" t="b">
        <f t="shared" si="435"/>
        <v>0</v>
      </c>
      <c r="AJ936" s="1633" t="s">
        <v>1954</v>
      </c>
      <c r="AK936" s="1635" t="str">
        <f>IF(AND(CNTR_ExistSubInstEntries,MSconst_RequireSubAttrEmissions,COUNTIFS(AC936:AI936,FALSE,H936:N936,"")&gt;0),EUconst_Error&amp;"BM"&amp;$Q657,"")</f>
        <v/>
      </c>
      <c r="AL936" s="1198"/>
      <c r="AP936" s="1135"/>
    </row>
    <row r="937" spans="1:42" ht="12.75" customHeight="1">
      <c r="B937" s="479"/>
      <c r="C937" s="977"/>
      <c r="D937" s="981"/>
      <c r="E937" s="981"/>
      <c r="F937" s="981"/>
      <c r="G937" s="981"/>
      <c r="H937" s="983"/>
      <c r="I937" s="981"/>
      <c r="J937" s="981"/>
      <c r="K937" s="981"/>
      <c r="L937" s="981"/>
      <c r="M937" s="813"/>
      <c r="N937" s="814"/>
      <c r="O937" s="485"/>
      <c r="P937" s="485"/>
      <c r="Q937" s="1435"/>
      <c r="S937" s="1435"/>
      <c r="T937" s="1435"/>
      <c r="U937" s="1435"/>
      <c r="V937" s="1435"/>
    </row>
    <row r="938" spans="1:42" ht="12.75" customHeight="1">
      <c r="B938" s="479"/>
      <c r="C938" s="977"/>
      <c r="D938" s="777" t="s">
        <v>1114</v>
      </c>
      <c r="E938" s="2649" t="s">
        <v>1217</v>
      </c>
      <c r="F938" s="2391"/>
      <c r="G938" s="2391"/>
      <c r="H938" s="2512"/>
      <c r="I938" s="3211" t="str">
        <f>c_ALR2025!I3584</f>
        <v/>
      </c>
      <c r="J938" s="3206"/>
      <c r="K938" s="3206"/>
      <c r="L938" s="3206"/>
      <c r="M938" s="3207"/>
      <c r="N938" s="979"/>
      <c r="O938" s="485"/>
      <c r="P938" s="9"/>
      <c r="Q938" s="1435"/>
      <c r="S938" s="1435"/>
      <c r="AC938" s="1641" t="s">
        <v>717</v>
      </c>
      <c r="AD938" s="1443" t="b">
        <f>AD929</f>
        <v>0</v>
      </c>
    </row>
    <row r="939" spans="1:42" ht="12.75" customHeight="1">
      <c r="B939" s="479"/>
      <c r="C939" s="977"/>
      <c r="D939" s="777"/>
      <c r="E939" s="3272" t="s">
        <v>2298</v>
      </c>
      <c r="F939" s="2380"/>
      <c r="G939" s="2380"/>
      <c r="H939" s="2380"/>
      <c r="I939" s="2380"/>
      <c r="J939" s="2380"/>
      <c r="K939" s="2380"/>
      <c r="L939" s="2380"/>
      <c r="M939" s="2380"/>
      <c r="N939" s="3268"/>
      <c r="O939" s="485"/>
      <c r="P939" s="485"/>
      <c r="Q939" s="1435"/>
      <c r="S939" s="1435"/>
      <c r="T939" s="1435"/>
      <c r="U939" s="1435"/>
      <c r="V939" s="1435"/>
    </row>
    <row r="940" spans="1:42" ht="25.5" customHeight="1">
      <c r="B940" s="479"/>
      <c r="C940" s="977"/>
      <c r="D940" s="777"/>
      <c r="E940" s="3267" t="s">
        <v>1317</v>
      </c>
      <c r="F940" s="2380"/>
      <c r="G940" s="2380"/>
      <c r="H940" s="2380"/>
      <c r="I940" s="2380"/>
      <c r="J940" s="2380"/>
      <c r="K940" s="2380"/>
      <c r="L940" s="2380"/>
      <c r="M940" s="2380"/>
      <c r="N940" s="3268"/>
      <c r="O940" s="485"/>
      <c r="P940" s="485"/>
      <c r="Q940" s="1435"/>
      <c r="S940" s="1435"/>
      <c r="T940" s="1435"/>
      <c r="U940" s="1435"/>
      <c r="V940" s="1435"/>
    </row>
    <row r="941" spans="1:42" ht="12.75" customHeight="1" thickBot="1">
      <c r="B941" s="479"/>
      <c r="C941" s="977"/>
      <c r="D941" s="981"/>
      <c r="E941" s="989"/>
      <c r="F941" s="990"/>
      <c r="G941" s="987" t="str">
        <f>EUconst_Unit</f>
        <v>Unit</v>
      </c>
      <c r="H941" s="782">
        <f t="shared" ref="H941:N941" si="436">H$3242</f>
        <v>2024</v>
      </c>
      <c r="I941" s="988">
        <f t="shared" si="436"/>
        <v>2025</v>
      </c>
      <c r="J941" s="1810">
        <f t="shared" si="436"/>
        <v>2026</v>
      </c>
      <c r="K941" s="1747">
        <f t="shared" si="436"/>
        <v>2027</v>
      </c>
      <c r="L941" s="1747">
        <f t="shared" si="436"/>
        <v>2028</v>
      </c>
      <c r="M941" s="1747">
        <f t="shared" si="436"/>
        <v>2029</v>
      </c>
      <c r="N941" s="1748">
        <f t="shared" si="436"/>
        <v>2030</v>
      </c>
      <c r="O941" s="485"/>
      <c r="P941" s="485"/>
      <c r="Q941" s="1435"/>
      <c r="S941" s="1435"/>
      <c r="T941" s="1435"/>
      <c r="U941" s="1435"/>
      <c r="V941" s="1435"/>
      <c r="AC941" s="1638">
        <f t="shared" ref="AC941:AI941" si="437">H$20</f>
        <v>2024</v>
      </c>
      <c r="AD941" s="1638">
        <f t="shared" si="437"/>
        <v>2025</v>
      </c>
      <c r="AE941" s="1638">
        <f t="shared" si="437"/>
        <v>2026</v>
      </c>
      <c r="AF941" s="1638">
        <f t="shared" si="437"/>
        <v>2027</v>
      </c>
      <c r="AG941" s="1638">
        <f t="shared" si="437"/>
        <v>2028</v>
      </c>
      <c r="AH941" s="1638">
        <f t="shared" si="437"/>
        <v>2029</v>
      </c>
      <c r="AI941" s="1638">
        <f t="shared" si="437"/>
        <v>2030</v>
      </c>
    </row>
    <row r="942" spans="1:42" ht="12.75" customHeight="1">
      <c r="B942" s="479"/>
      <c r="C942" s="977"/>
      <c r="D942" s="777" t="s">
        <v>1115</v>
      </c>
      <c r="E942" s="2471" t="s">
        <v>1304</v>
      </c>
      <c r="F942" s="2472"/>
      <c r="G942" s="1763" t="str">
        <f>c_ALR2025!G3588</f>
        <v/>
      </c>
      <c r="H942" s="1552" t="str">
        <f>c_ALR2025!M3588</f>
        <v/>
      </c>
      <c r="I942" s="1611"/>
      <c r="J942" s="1811"/>
      <c r="K942" s="1751"/>
      <c r="L942" s="1751"/>
      <c r="M942" s="1751"/>
      <c r="N942" s="1752"/>
      <c r="O942" s="485"/>
      <c r="P942" s="9"/>
      <c r="Q942" s="1435"/>
      <c r="S942" s="1435"/>
      <c r="T942" s="1435"/>
      <c r="U942" s="1435"/>
      <c r="V942" s="1435"/>
      <c r="AB942" s="1641" t="s">
        <v>717</v>
      </c>
      <c r="AC942" s="1443" t="b">
        <f>AC889</f>
        <v>0</v>
      </c>
      <c r="AD942" s="1443" t="b">
        <f t="shared" ref="AD942:AI942" si="438">AD889</f>
        <v>0</v>
      </c>
      <c r="AE942" s="1443" t="b">
        <f t="shared" si="438"/>
        <v>0</v>
      </c>
      <c r="AF942" s="1443" t="b">
        <f t="shared" si="438"/>
        <v>0</v>
      </c>
      <c r="AG942" s="1443" t="b">
        <f t="shared" si="438"/>
        <v>0</v>
      </c>
      <c r="AH942" s="1443" t="b">
        <f t="shared" si="438"/>
        <v>0</v>
      </c>
      <c r="AI942" s="1443" t="b">
        <f t="shared" si="438"/>
        <v>0</v>
      </c>
      <c r="AJ942" s="1633" t="s">
        <v>1954</v>
      </c>
      <c r="AK942" s="1635" t="str">
        <f>IF(AND(CNTR_ExistSubInstEntries,MSconst_RequireSubAttrEmissions,COUNTIFS(AC942:AI942,FALSE,H942:N942,"")&gt;0),EUconst_Error&amp;"BM"&amp;$Q657,"")</f>
        <v/>
      </c>
    </row>
    <row r="943" spans="1:42" ht="12.75" customHeight="1" thickBot="1">
      <c r="B943" s="479"/>
      <c r="C943" s="977"/>
      <c r="D943" s="777" t="s">
        <v>1561</v>
      </c>
      <c r="E943" s="2473" t="s">
        <v>661</v>
      </c>
      <c r="F943" s="2474"/>
      <c r="G943" s="1008" t="e">
        <f>IF(ISBLANK(G942),EUconst_GJperUnit,INDEX(EUconst_GJperTorKNm3,MATCH(G942,EUconst_TonnesOrkNm3pa,0)))</f>
        <v>#N/A</v>
      </c>
      <c r="H943" s="1558" t="str">
        <f>c_ALR2025!M3589</f>
        <v/>
      </c>
      <c r="I943" s="1884"/>
      <c r="J943" s="1811"/>
      <c r="K943" s="1751"/>
      <c r="L943" s="1751"/>
      <c r="M943" s="1751"/>
      <c r="N943" s="1752"/>
      <c r="O943" s="485"/>
      <c r="P943" s="9"/>
      <c r="Q943" s="1435"/>
      <c r="S943" s="1435"/>
      <c r="T943" s="1435"/>
      <c r="U943" s="1435"/>
      <c r="V943" s="1435"/>
      <c r="AC943" s="1443" t="b">
        <f>AC942</f>
        <v>0</v>
      </c>
      <c r="AD943" s="1443" t="b">
        <f t="shared" ref="AD943:AI943" si="439">AD942</f>
        <v>0</v>
      </c>
      <c r="AE943" s="1443" t="b">
        <f t="shared" si="439"/>
        <v>0</v>
      </c>
      <c r="AF943" s="1443" t="b">
        <f t="shared" si="439"/>
        <v>0</v>
      </c>
      <c r="AG943" s="1443" t="b">
        <f t="shared" si="439"/>
        <v>0</v>
      </c>
      <c r="AH943" s="1443" t="b">
        <f t="shared" si="439"/>
        <v>0</v>
      </c>
      <c r="AI943" s="1443" t="b">
        <f t="shared" si="439"/>
        <v>0</v>
      </c>
      <c r="AJ943" s="1633" t="s">
        <v>1954</v>
      </c>
      <c r="AK943" s="1635" t="str">
        <f>IF(AND(CNTR_ExistSubInstEntries,MSconst_RequireSubAttrEmissions,COUNTIFS(AC943:AI943,FALSE,H943:N943,"")&gt;0),EUconst_Error&amp;"BM"&amp;$Q657,"")</f>
        <v/>
      </c>
    </row>
    <row r="944" spans="1:42" ht="12.75" customHeight="1">
      <c r="B944" s="479"/>
      <c r="C944" s="977"/>
      <c r="D944" s="777" t="s">
        <v>1599</v>
      </c>
      <c r="E944" s="2475" t="s">
        <v>1080</v>
      </c>
      <c r="F944" s="2410"/>
      <c r="G944" s="815" t="str">
        <f>EUconst_TJpa</f>
        <v>TJ / year</v>
      </c>
      <c r="H944" s="646" t="str">
        <f t="shared" ref="H944:N944" si="440">IF(COUNT(H942:H943)=2,H942*H943/1000,"")</f>
        <v/>
      </c>
      <c r="I944" s="949" t="str">
        <f t="shared" si="440"/>
        <v/>
      </c>
      <c r="J944" s="1811" t="str">
        <f t="shared" si="440"/>
        <v/>
      </c>
      <c r="K944" s="1751" t="str">
        <f t="shared" si="440"/>
        <v/>
      </c>
      <c r="L944" s="1751" t="str">
        <f t="shared" si="440"/>
        <v/>
      </c>
      <c r="M944" s="1751" t="str">
        <f t="shared" si="440"/>
        <v/>
      </c>
      <c r="N944" s="1752" t="str">
        <f t="shared" si="440"/>
        <v/>
      </c>
      <c r="O944" s="485"/>
      <c r="P944" s="485"/>
      <c r="Q944" s="1644" t="str">
        <f>EUconst_CNTR_WGExport &amp; I657</f>
        <v>WasteGasEx_</v>
      </c>
      <c r="S944" s="1648"/>
      <c r="T944" s="1749">
        <f t="shared" ref="T944:Z944" si="441">H941</f>
        <v>2024</v>
      </c>
      <c r="U944" s="1749">
        <f t="shared" si="441"/>
        <v>2025</v>
      </c>
      <c r="V944" s="1749">
        <f t="shared" si="441"/>
        <v>2026</v>
      </c>
      <c r="W944" s="1749">
        <f t="shared" si="441"/>
        <v>2027</v>
      </c>
      <c r="X944" s="1749">
        <f t="shared" si="441"/>
        <v>2028</v>
      </c>
      <c r="Y944" s="1749">
        <f t="shared" si="441"/>
        <v>2029</v>
      </c>
      <c r="Z944" s="1750">
        <f t="shared" si="441"/>
        <v>2030</v>
      </c>
    </row>
    <row r="945" spans="1:42" s="562" customFormat="1" ht="12.75" customHeight="1" thickBot="1">
      <c r="A945" s="1116"/>
      <c r="B945" s="479"/>
      <c r="C945" s="977"/>
      <c r="D945" s="777" t="s">
        <v>1600</v>
      </c>
      <c r="E945" s="2475" t="s">
        <v>1276</v>
      </c>
      <c r="F945" s="2410"/>
      <c r="G945" s="815" t="str">
        <f>EUconst_tCO2pTJ</f>
        <v>t CO2 / TJ</v>
      </c>
      <c r="H945" s="1479" t="str">
        <f>c_ALR2025!M3591</f>
        <v/>
      </c>
      <c r="I945" s="1532"/>
      <c r="J945" s="1811"/>
      <c r="K945" s="1751"/>
      <c r="L945" s="1751"/>
      <c r="M945" s="1751"/>
      <c r="N945" s="1752"/>
      <c r="O945" s="485"/>
      <c r="P945" s="9"/>
      <c r="Q945" s="1644" t="str">
        <f>EUconst_CNTR_WGExportEF &amp; I657</f>
        <v>WasteGasExEF_</v>
      </c>
      <c r="R945" s="1435"/>
      <c r="S945" s="1753" t="str">
        <f>EUconst_CNTR_AttributedEmissions &amp; I657</f>
        <v>AttrEmissions_</v>
      </c>
      <c r="T945" s="1743" t="str">
        <f t="shared" ref="T945:Z945" si="442">IF(T665,-SUM(H944)*EUconst_NGEFvalue*EUconst_WasteGasCorrFactor,"")</f>
        <v/>
      </c>
      <c r="U945" s="1743" t="str">
        <f t="shared" si="442"/>
        <v/>
      </c>
      <c r="V945" s="1743" t="str">
        <f t="shared" si="442"/>
        <v/>
      </c>
      <c r="W945" s="1743" t="str">
        <f t="shared" si="442"/>
        <v/>
      </c>
      <c r="X945" s="1743" t="str">
        <f t="shared" si="442"/>
        <v/>
      </c>
      <c r="Y945" s="1743" t="str">
        <f t="shared" si="442"/>
        <v/>
      </c>
      <c r="Z945" s="1744" t="str">
        <f t="shared" si="442"/>
        <v/>
      </c>
      <c r="AA945" s="1435"/>
      <c r="AB945" s="1641" t="s">
        <v>717</v>
      </c>
      <c r="AC945" s="1443" t="b">
        <f t="shared" ref="AC945:AI945" si="443">AC892</f>
        <v>0</v>
      </c>
      <c r="AD945" s="1443" t="b">
        <f t="shared" si="443"/>
        <v>0</v>
      </c>
      <c r="AE945" s="1443" t="b">
        <f t="shared" si="443"/>
        <v>0</v>
      </c>
      <c r="AF945" s="1443" t="b">
        <f t="shared" si="443"/>
        <v>0</v>
      </c>
      <c r="AG945" s="1443" t="b">
        <f t="shared" si="443"/>
        <v>0</v>
      </c>
      <c r="AH945" s="1443" t="b">
        <f t="shared" si="443"/>
        <v>0</v>
      </c>
      <c r="AI945" s="1443" t="b">
        <f t="shared" si="443"/>
        <v>0</v>
      </c>
      <c r="AJ945" s="1633" t="s">
        <v>1954</v>
      </c>
      <c r="AK945" s="1635" t="str">
        <f>IF(AND(CNTR_ExistSubInstEntries,MSconst_RequireSubAttrEmissions,COUNTIFS(AC945:AI945,FALSE,H945:N945,"")&gt;0),EUconst_Error&amp;"BM"&amp;$Q657,"")</f>
        <v/>
      </c>
      <c r="AL945" s="1198"/>
      <c r="AP945" s="1135"/>
    </row>
    <row r="946" spans="1:42" ht="12.75" customHeight="1">
      <c r="B946" s="479"/>
      <c r="C946" s="977"/>
      <c r="D946" s="981"/>
      <c r="E946" s="981"/>
      <c r="F946" s="981"/>
      <c r="G946" s="981"/>
      <c r="H946" s="981"/>
      <c r="I946" s="983"/>
      <c r="J946" s="981"/>
      <c r="K946" s="981"/>
      <c r="L946" s="981"/>
      <c r="M946" s="981"/>
      <c r="N946" s="814"/>
      <c r="O946" s="485"/>
      <c r="P946" s="485"/>
      <c r="Q946" s="1435"/>
      <c r="S946" s="1435"/>
    </row>
    <row r="947" spans="1:42" ht="12.75" customHeight="1">
      <c r="B947" s="479"/>
      <c r="C947" s="977"/>
      <c r="D947" s="982" t="s">
        <v>482</v>
      </c>
      <c r="E947" s="2649" t="s">
        <v>1127</v>
      </c>
      <c r="F947" s="2391"/>
      <c r="G947" s="2391"/>
      <c r="H947" s="2391"/>
      <c r="I947" s="2391"/>
      <c r="J947" s="2391"/>
      <c r="K947" s="2391"/>
      <c r="L947" s="2391"/>
      <c r="M947" s="2391"/>
      <c r="N947" s="2650"/>
      <c r="O947" s="485"/>
      <c r="P947" s="485"/>
      <c r="Q947" s="1435"/>
      <c r="S947" s="1435"/>
    </row>
    <row r="948" spans="1:42" ht="12.75" customHeight="1">
      <c r="B948" s="479"/>
      <c r="C948" s="977"/>
      <c r="D948" s="777"/>
      <c r="E948" s="3272" t="s">
        <v>2299</v>
      </c>
      <c r="F948" s="2380"/>
      <c r="G948" s="2380"/>
      <c r="H948" s="2380"/>
      <c r="I948" s="2380"/>
      <c r="J948" s="2380"/>
      <c r="K948" s="2380"/>
      <c r="L948" s="2380"/>
      <c r="M948" s="2380"/>
      <c r="N948" s="3268"/>
      <c r="O948" s="485"/>
      <c r="P948" s="485"/>
      <c r="Q948" s="1435"/>
      <c r="S948" s="1435"/>
      <c r="T948" s="1435"/>
      <c r="U948" s="1435"/>
      <c r="V948" s="1435"/>
    </row>
    <row r="949" spans="1:42" ht="25.5" customHeight="1" thickBot="1">
      <c r="B949" s="479"/>
      <c r="C949" s="977"/>
      <c r="D949" s="981"/>
      <c r="E949" s="3267" t="s">
        <v>2331</v>
      </c>
      <c r="F949" s="2380"/>
      <c r="G949" s="2380"/>
      <c r="H949" s="2380"/>
      <c r="I949" s="2380"/>
      <c r="J949" s="2380"/>
      <c r="K949" s="2380"/>
      <c r="L949" s="2380"/>
      <c r="M949" s="2380"/>
      <c r="N949" s="3268"/>
      <c r="O949" s="485"/>
      <c r="P949" s="485"/>
      <c r="Q949" s="1435"/>
      <c r="S949" s="1435"/>
    </row>
    <row r="950" spans="1:42" ht="12.75" customHeight="1" thickBot="1">
      <c r="B950" s="479"/>
      <c r="C950" s="977"/>
      <c r="D950" s="982"/>
      <c r="E950" s="989"/>
      <c r="F950" s="990"/>
      <c r="G950" s="987" t="str">
        <f>EUconst_Unit</f>
        <v>Unit</v>
      </c>
      <c r="H950" s="782">
        <f t="shared" ref="H950:N950" si="444">H$3242</f>
        <v>2024</v>
      </c>
      <c r="I950" s="988">
        <f t="shared" si="444"/>
        <v>2025</v>
      </c>
      <c r="J950" s="1810">
        <f t="shared" si="444"/>
        <v>2026</v>
      </c>
      <c r="K950" s="1747">
        <f t="shared" si="444"/>
        <v>2027</v>
      </c>
      <c r="L950" s="1747">
        <f t="shared" si="444"/>
        <v>2028</v>
      </c>
      <c r="M950" s="1747">
        <f t="shared" si="444"/>
        <v>2029</v>
      </c>
      <c r="N950" s="1748">
        <f t="shared" si="444"/>
        <v>2030</v>
      </c>
      <c r="O950" s="485"/>
      <c r="P950" s="485"/>
      <c r="Q950" s="1435"/>
      <c r="S950" s="1648"/>
      <c r="T950" s="1749">
        <f t="shared" ref="T950:Z950" si="445">H950</f>
        <v>2024</v>
      </c>
      <c r="U950" s="1749">
        <f t="shared" si="445"/>
        <v>2025</v>
      </c>
      <c r="V950" s="1749">
        <f t="shared" si="445"/>
        <v>2026</v>
      </c>
      <c r="W950" s="1749">
        <f t="shared" si="445"/>
        <v>2027</v>
      </c>
      <c r="X950" s="1749">
        <f t="shared" si="445"/>
        <v>2028</v>
      </c>
      <c r="Y950" s="1749">
        <f t="shared" si="445"/>
        <v>2029</v>
      </c>
      <c r="Z950" s="1750">
        <f t="shared" si="445"/>
        <v>2030</v>
      </c>
      <c r="AC950" s="1638">
        <f t="shared" ref="AC950:AI950" si="446">H$20</f>
        <v>2024</v>
      </c>
      <c r="AD950" s="1638">
        <f t="shared" si="446"/>
        <v>2025</v>
      </c>
      <c r="AE950" s="1638">
        <f t="shared" si="446"/>
        <v>2026</v>
      </c>
      <c r="AF950" s="1638">
        <f t="shared" si="446"/>
        <v>2027</v>
      </c>
      <c r="AG950" s="1638">
        <f t="shared" si="446"/>
        <v>2028</v>
      </c>
      <c r="AH950" s="1638">
        <f t="shared" si="446"/>
        <v>2029</v>
      </c>
      <c r="AI950" s="1638">
        <f t="shared" si="446"/>
        <v>2030</v>
      </c>
    </row>
    <row r="951" spans="1:42" ht="12.75" customHeight="1" thickBot="1">
      <c r="B951" s="479"/>
      <c r="C951" s="977"/>
      <c r="D951" s="777"/>
      <c r="E951" s="2475" t="s">
        <v>1354</v>
      </c>
      <c r="F951" s="2410"/>
      <c r="G951" s="815" t="str">
        <f>EUconst_MWhpa</f>
        <v>MWh / year</v>
      </c>
      <c r="H951" s="1479" t="str">
        <f>c_ALR2025!M3597</f>
        <v/>
      </c>
      <c r="I951" s="1532"/>
      <c r="J951" s="1811"/>
      <c r="K951" s="1751"/>
      <c r="L951" s="1751"/>
      <c r="M951" s="1751"/>
      <c r="N951" s="1752"/>
      <c r="O951" s="485"/>
      <c r="P951" s="9"/>
      <c r="Q951" s="1644" t="str">
        <f>EUconst_CNTR_ElectricityExported &amp; I657</f>
        <v>ElecEx_</v>
      </c>
      <c r="S951" s="1753" t="str">
        <f>EUconst_CNTR_AttributedEmissions &amp; I657</f>
        <v>AttrEmissions_</v>
      </c>
      <c r="T951" s="1743" t="str">
        <f t="shared" ref="T951:Z951" si="447">IF(T665,-SUM(H951)*EUconst_ElBM,"")</f>
        <v/>
      </c>
      <c r="U951" s="1743" t="str">
        <f t="shared" si="447"/>
        <v/>
      </c>
      <c r="V951" s="1743" t="str">
        <f t="shared" si="447"/>
        <v/>
      </c>
      <c r="W951" s="1743" t="str">
        <f t="shared" si="447"/>
        <v/>
      </c>
      <c r="X951" s="1743" t="str">
        <f t="shared" si="447"/>
        <v/>
      </c>
      <c r="Y951" s="1743" t="str">
        <f t="shared" si="447"/>
        <v/>
      </c>
      <c r="Z951" s="1744" t="str">
        <f t="shared" si="447"/>
        <v/>
      </c>
      <c r="AB951" s="1641" t="s">
        <v>717</v>
      </c>
      <c r="AC951" s="1443" t="b">
        <f t="shared" ref="AC951:AI951" si="448">AC727</f>
        <v>0</v>
      </c>
      <c r="AD951" s="1443" t="b">
        <f t="shared" si="448"/>
        <v>0</v>
      </c>
      <c r="AE951" s="1443" t="b">
        <f t="shared" si="448"/>
        <v>0</v>
      </c>
      <c r="AF951" s="1443" t="b">
        <f t="shared" si="448"/>
        <v>0</v>
      </c>
      <c r="AG951" s="1443" t="b">
        <f t="shared" si="448"/>
        <v>0</v>
      </c>
      <c r="AH951" s="1443" t="b">
        <f t="shared" si="448"/>
        <v>0</v>
      </c>
      <c r="AI951" s="1443" t="b">
        <f t="shared" si="448"/>
        <v>0</v>
      </c>
      <c r="AJ951" s="1633" t="s">
        <v>1954</v>
      </c>
      <c r="AK951" s="1635" t="str">
        <f>IF(AND(CNTR_ExistSubInstEntries,MSconst_RequireSubAttrEmissions,COUNTIFS(AC951:AI951,FALSE,H951:N951,"")&gt;0),EUconst_Error&amp;"BM"&amp;$Q657,"")</f>
        <v/>
      </c>
    </row>
    <row r="952" spans="1:42" ht="12.75" customHeight="1">
      <c r="B952" s="479"/>
      <c r="C952" s="977"/>
      <c r="D952" s="981"/>
      <c r="E952" s="981"/>
      <c r="F952" s="981"/>
      <c r="G952" s="981"/>
      <c r="H952" s="981"/>
      <c r="I952" s="983"/>
      <c r="J952" s="981"/>
      <c r="K952" s="981"/>
      <c r="L952" s="981"/>
      <c r="M952" s="981"/>
      <c r="N952" s="814"/>
      <c r="O952" s="485"/>
      <c r="P952" s="485"/>
      <c r="Q952" s="1435"/>
      <c r="S952" s="1435"/>
      <c r="V952" s="1435"/>
    </row>
    <row r="953" spans="1:42" ht="12.75" customHeight="1">
      <c r="B953" s="479"/>
      <c r="C953" s="977"/>
      <c r="D953" s="982" t="s">
        <v>245</v>
      </c>
      <c r="E953" s="2649" t="s">
        <v>1157</v>
      </c>
      <c r="F953" s="2391"/>
      <c r="G953" s="2391"/>
      <c r="H953" s="2391"/>
      <c r="I953" s="2391"/>
      <c r="J953" s="2391"/>
      <c r="K953" s="2391"/>
      <c r="L953" s="2391"/>
      <c r="M953" s="2391"/>
      <c r="N953" s="2650"/>
      <c r="O953" s="485"/>
      <c r="P953" s="485"/>
      <c r="V953" s="1435"/>
    </row>
    <row r="954" spans="1:42" ht="25.5" customHeight="1">
      <c r="B954" s="479"/>
      <c r="C954" s="977"/>
      <c r="D954" s="981"/>
      <c r="E954" s="3267" t="s">
        <v>1264</v>
      </c>
      <c r="F954" s="2380"/>
      <c r="G954" s="2380"/>
      <c r="H954" s="2380"/>
      <c r="I954" s="2380"/>
      <c r="J954" s="2380"/>
      <c r="K954" s="2380"/>
      <c r="L954" s="2380"/>
      <c r="M954" s="2380"/>
      <c r="N954" s="3268"/>
      <c r="O954" s="485"/>
      <c r="P954" s="485"/>
      <c r="Q954" s="1435"/>
      <c r="S954" s="1435"/>
      <c r="V954" s="1435"/>
    </row>
    <row r="955" spans="1:42" ht="12.75" customHeight="1">
      <c r="B955" s="479"/>
      <c r="C955" s="977"/>
      <c r="D955" s="981"/>
      <c r="E955" s="3267" t="s">
        <v>1563</v>
      </c>
      <c r="F955" s="2380"/>
      <c r="G955" s="2380"/>
      <c r="H955" s="2380"/>
      <c r="I955" s="2380"/>
      <c r="J955" s="2380"/>
      <c r="K955" s="2380"/>
      <c r="L955" s="2380"/>
      <c r="M955" s="2380"/>
      <c r="N955" s="3268"/>
      <c r="O955" s="485"/>
      <c r="P955" s="485"/>
      <c r="Q955" s="1435"/>
      <c r="S955" s="1435"/>
      <c r="V955" s="1435"/>
    </row>
    <row r="956" spans="1:42" ht="12.75" customHeight="1" thickBot="1">
      <c r="B956" s="479"/>
      <c r="C956" s="977"/>
      <c r="D956" s="777"/>
      <c r="E956" s="3283" t="s">
        <v>1598</v>
      </c>
      <c r="F956" s="3284"/>
      <c r="G956" s="3284"/>
      <c r="H956" s="3284"/>
      <c r="I956" s="3284"/>
      <c r="J956" s="2380"/>
      <c r="K956" s="2380"/>
      <c r="L956" s="2380"/>
      <c r="M956" s="2380"/>
      <c r="N956" s="3268"/>
      <c r="O956" s="485"/>
      <c r="P956" s="485"/>
      <c r="Q956" s="1435"/>
      <c r="S956" s="1435"/>
      <c r="V956" s="1435"/>
      <c r="AC956" s="1638">
        <f t="shared" ref="AC956:AI956" si="449">H$20</f>
        <v>2024</v>
      </c>
      <c r="AD956" s="1638">
        <f t="shared" si="449"/>
        <v>2025</v>
      </c>
      <c r="AE956" s="1638">
        <f t="shared" si="449"/>
        <v>2026</v>
      </c>
      <c r="AF956" s="1638">
        <f t="shared" si="449"/>
        <v>2027</v>
      </c>
      <c r="AG956" s="1638">
        <f t="shared" si="449"/>
        <v>2028</v>
      </c>
      <c r="AH956" s="1638">
        <f t="shared" si="449"/>
        <v>2029</v>
      </c>
      <c r="AI956" s="1638">
        <f t="shared" si="449"/>
        <v>2030</v>
      </c>
    </row>
    <row r="957" spans="1:42" ht="12.75" customHeight="1">
      <c r="B957" s="479"/>
      <c r="C957" s="977"/>
      <c r="D957" s="777"/>
      <c r="E957" s="3285" t="str">
        <f>IF(I657="","",IF(INDEX(EUconst_BMlistPulp,MATCH(I657,EUconst_BMlistNames,0)),I657,""))</f>
        <v/>
      </c>
      <c r="F957" s="2410"/>
      <c r="G957" s="815" t="str">
        <f>EUconst_Tons</f>
        <v>tonnes</v>
      </c>
      <c r="H957" s="1479" t="str">
        <f>c_ALR2025!M3603</f>
        <v/>
      </c>
      <c r="I957" s="1532"/>
      <c r="J957" s="1811"/>
      <c r="K957" s="1751"/>
      <c r="L957" s="1751"/>
      <c r="M957" s="1751"/>
      <c r="N957" s="1752"/>
      <c r="O957" s="485"/>
      <c r="P957" s="9"/>
      <c r="Q957" s="1644" t="str">
        <f>EUconst_CNTR_HALPulpTotal &amp; I657</f>
        <v>HALPulpTotal_</v>
      </c>
      <c r="S957" s="1435"/>
      <c r="AB957" s="1641" t="s">
        <v>717</v>
      </c>
      <c r="AC957" s="1423" t="b">
        <f t="shared" ref="AC957:AI957" si="450">IF($I657&lt;&gt;"",IF(INDEX(EUconst_BMlistPulp,MATCH($I657,EUconst_BMlistNames,0))=TRUE,FALSE,TRUE),AC727)</f>
        <v>0</v>
      </c>
      <c r="AD957" s="1443" t="b">
        <f t="shared" si="450"/>
        <v>0</v>
      </c>
      <c r="AE957" s="1443" t="b">
        <f t="shared" si="450"/>
        <v>0</v>
      </c>
      <c r="AF957" s="1443" t="b">
        <f t="shared" si="450"/>
        <v>0</v>
      </c>
      <c r="AG957" s="1443" t="b">
        <f t="shared" si="450"/>
        <v>0</v>
      </c>
      <c r="AH957" s="1443" t="b">
        <f t="shared" si="450"/>
        <v>0</v>
      </c>
      <c r="AI957" s="1443" t="b">
        <f t="shared" si="450"/>
        <v>0</v>
      </c>
      <c r="AJ957" s="1633" t="s">
        <v>1954</v>
      </c>
      <c r="AK957" s="1635" t="str">
        <f>IF(AND(CNTR_ExistSubInstEntries,MSconst_RequireSubAttrEmissions,COUNTIFS(AC957:AI957,FALSE,H957:N957,"")&gt;0),EUconst_Error&amp;"BM"&amp;$Q657,"")</f>
        <v/>
      </c>
    </row>
    <row r="958" spans="1:42" ht="12.75" customHeight="1">
      <c r="B958" s="479"/>
      <c r="C958" s="977"/>
      <c r="D958" s="777"/>
      <c r="E958" s="777"/>
      <c r="F958" s="777"/>
      <c r="G958" s="777"/>
      <c r="H958" s="983"/>
      <c r="I958" s="777"/>
      <c r="J958" s="777"/>
      <c r="K958" s="777"/>
      <c r="L958" s="777"/>
      <c r="M958" s="777"/>
      <c r="N958" s="1007"/>
      <c r="O958" s="485"/>
      <c r="P958" s="485"/>
      <c r="Q958" s="1435"/>
      <c r="S958" s="1435"/>
      <c r="V958" s="1435"/>
    </row>
    <row r="959" spans="1:42" ht="12.75" customHeight="1">
      <c r="B959" s="479"/>
      <c r="C959" s="977"/>
      <c r="D959" s="982" t="s">
        <v>832</v>
      </c>
      <c r="E959" s="2649" t="s">
        <v>1142</v>
      </c>
      <c r="F959" s="2391"/>
      <c r="G959" s="2391"/>
      <c r="H959" s="2391"/>
      <c r="I959" s="2391"/>
      <c r="J959" s="2391"/>
      <c r="K959" s="2391"/>
      <c r="L959" s="2391"/>
      <c r="M959" s="2391"/>
      <c r="N959" s="2650"/>
      <c r="O959" s="485"/>
      <c r="P959" s="485"/>
      <c r="Q959" s="1435"/>
      <c r="S959" s="1435"/>
      <c r="V959" s="1435"/>
    </row>
    <row r="960" spans="1:42" ht="25.5" customHeight="1">
      <c r="B960" s="479"/>
      <c r="C960" s="977"/>
      <c r="D960" s="981"/>
      <c r="E960" s="3267" t="s">
        <v>1366</v>
      </c>
      <c r="F960" s="2380"/>
      <c r="G960" s="2380"/>
      <c r="H960" s="2380"/>
      <c r="I960" s="2380"/>
      <c r="J960" s="2380"/>
      <c r="K960" s="2380"/>
      <c r="L960" s="2380"/>
      <c r="M960" s="2380"/>
      <c r="N960" s="3268"/>
      <c r="O960" s="485"/>
      <c r="P960" s="485"/>
      <c r="Q960" s="1435"/>
      <c r="S960" s="1435"/>
      <c r="V960" s="1435"/>
    </row>
    <row r="961" spans="2:37" ht="12.75" customHeight="1">
      <c r="B961" s="479"/>
      <c r="C961" s="977"/>
      <c r="D961" s="981"/>
      <c r="E961" s="3272" t="s">
        <v>1610</v>
      </c>
      <c r="F961" s="2380"/>
      <c r="G961" s="2380"/>
      <c r="H961" s="2380"/>
      <c r="I961" s="2380"/>
      <c r="J961" s="2380"/>
      <c r="K961" s="2380"/>
      <c r="L961" s="2380"/>
      <c r="M961" s="2380"/>
      <c r="N961" s="3268"/>
      <c r="O961" s="485"/>
      <c r="P961" s="485"/>
      <c r="Q961" s="1435"/>
      <c r="S961" s="1435"/>
      <c r="V961" s="1435"/>
    </row>
    <row r="962" spans="2:37" ht="12.75" customHeight="1">
      <c r="B962" s="1124"/>
      <c r="C962" s="977"/>
      <c r="D962" s="777" t="s">
        <v>6</v>
      </c>
      <c r="E962" s="2682" t="s">
        <v>1145</v>
      </c>
      <c r="F962" s="2391"/>
      <c r="G962" s="2391"/>
      <c r="H962" s="2391"/>
      <c r="I962" s="2391"/>
      <c r="J962" s="2391"/>
      <c r="K962" s="2512"/>
      <c r="L962" s="1478" t="str">
        <f>c_ALR2025!L3608</f>
        <v/>
      </c>
      <c r="M962" s="813"/>
      <c r="N962" s="1015"/>
      <c r="O962" s="485"/>
      <c r="P962" s="9"/>
      <c r="AF962" s="1641" t="s">
        <v>717</v>
      </c>
      <c r="AG962" s="1423" t="b">
        <f>AND(CNTR_ExistSubInstEntries,I657="")</f>
        <v>0</v>
      </c>
    </row>
    <row r="963" spans="2:37" ht="5.0999999999999996" customHeight="1">
      <c r="B963" s="479"/>
      <c r="C963" s="977"/>
      <c r="D963" s="777"/>
      <c r="E963" s="777"/>
      <c r="F963" s="777"/>
      <c r="G963" s="777"/>
      <c r="H963" s="983"/>
      <c r="I963" s="777"/>
      <c r="J963" s="777"/>
      <c r="K963" s="777"/>
      <c r="L963" s="777"/>
      <c r="M963" s="777"/>
      <c r="N963" s="1007"/>
      <c r="O963" s="485"/>
      <c r="P963" s="485"/>
      <c r="Q963" s="1435"/>
      <c r="S963" s="1435"/>
      <c r="V963" s="1435"/>
    </row>
    <row r="964" spans="2:37" ht="12.75" customHeight="1" thickBot="1">
      <c r="B964" s="479"/>
      <c r="C964" s="977"/>
      <c r="D964" s="982"/>
      <c r="E964" s="2648" t="s">
        <v>1144</v>
      </c>
      <c r="F964" s="2493"/>
      <c r="G964" s="778" t="str">
        <f>EUconst_Unit</f>
        <v>Unit</v>
      </c>
      <c r="H964" s="782">
        <f t="shared" ref="H964:N964" si="451">H$3242</f>
        <v>2024</v>
      </c>
      <c r="I964" s="988">
        <f t="shared" si="451"/>
        <v>2025</v>
      </c>
      <c r="J964" s="1810">
        <f t="shared" si="451"/>
        <v>2026</v>
      </c>
      <c r="K964" s="1747">
        <f t="shared" si="451"/>
        <v>2027</v>
      </c>
      <c r="L964" s="1747">
        <f t="shared" si="451"/>
        <v>2028</v>
      </c>
      <c r="M964" s="1747">
        <f t="shared" si="451"/>
        <v>2029</v>
      </c>
      <c r="N964" s="1748">
        <f t="shared" si="451"/>
        <v>2030</v>
      </c>
      <c r="O964" s="485"/>
      <c r="P964" s="485"/>
      <c r="Q964" s="1435"/>
      <c r="S964" s="1435"/>
      <c r="V964" s="1435"/>
      <c r="AC964" s="1638">
        <f t="shared" ref="AC964:AI964" si="452">H$20</f>
        <v>2024</v>
      </c>
      <c r="AD964" s="1638">
        <f t="shared" si="452"/>
        <v>2025</v>
      </c>
      <c r="AE964" s="1638">
        <f t="shared" si="452"/>
        <v>2026</v>
      </c>
      <c r="AF964" s="1638">
        <f t="shared" si="452"/>
        <v>2027</v>
      </c>
      <c r="AG964" s="1638">
        <f t="shared" si="452"/>
        <v>2028</v>
      </c>
      <c r="AH964" s="1638">
        <f t="shared" si="452"/>
        <v>2029</v>
      </c>
      <c r="AI964" s="1638">
        <f t="shared" si="452"/>
        <v>2030</v>
      </c>
    </row>
    <row r="965" spans="2:37" ht="12.75" customHeight="1">
      <c r="B965" s="479"/>
      <c r="C965" s="977"/>
      <c r="D965" s="777" t="s">
        <v>7</v>
      </c>
      <c r="E965" s="3279"/>
      <c r="F965" s="3280"/>
      <c r="G965" s="1016" t="str">
        <f>IF(E965&lt;&gt;"",INDEX(EUconst_BMlistUnits,MATCH(E965,EUconst_BMlistNames,0)),EUconst_Tons)</f>
        <v>tonnes</v>
      </c>
      <c r="H965" s="1774" t="str">
        <f>c_ALR2025!M3611</f>
        <v/>
      </c>
      <c r="I965" s="1886"/>
      <c r="J965" s="1812"/>
      <c r="K965" s="1754"/>
      <c r="L965" s="1754"/>
      <c r="M965" s="1754"/>
      <c r="N965" s="1755"/>
      <c r="O965" s="485"/>
      <c r="P965" s="9"/>
      <c r="Q965" s="1644" t="str">
        <f>EUconst_CNTR_IntermediateImport &amp; S965 &amp; "_" &amp; I657</f>
        <v>IntImp_1_</v>
      </c>
      <c r="S965" s="1644">
        <v>1</v>
      </c>
      <c r="V965" s="1435"/>
      <c r="AB965" s="1641" t="s">
        <v>717</v>
      </c>
      <c r="AC965" s="1423" t="b">
        <f t="shared" ref="AC965:AI965" si="453">OR(AND($L962&lt;&gt;"",$L962=FALSE),AC727)</f>
        <v>0</v>
      </c>
      <c r="AD965" s="1443" t="b">
        <f t="shared" si="453"/>
        <v>0</v>
      </c>
      <c r="AE965" s="1443" t="b">
        <f t="shared" si="453"/>
        <v>0</v>
      </c>
      <c r="AF965" s="1443" t="b">
        <f t="shared" si="453"/>
        <v>0</v>
      </c>
      <c r="AG965" s="1443" t="b">
        <f t="shared" si="453"/>
        <v>0</v>
      </c>
      <c r="AH965" s="1443" t="b">
        <f t="shared" si="453"/>
        <v>0</v>
      </c>
      <c r="AI965" s="1443" t="b">
        <f t="shared" si="453"/>
        <v>0</v>
      </c>
      <c r="AJ965" s="1633" t="s">
        <v>1954</v>
      </c>
      <c r="AK965" s="1635" t="str">
        <f>IF(AND(CNTR_ExistSubInstEntries,MSconst_RequireSubAttrEmissions,COUNTIFS(AC965:AI965,FALSE,H965:N965,"")&gt;0),EUconst_Error&amp;"BM"&amp;$Q657,"")</f>
        <v/>
      </c>
    </row>
    <row r="966" spans="2:37" ht="12.75" customHeight="1">
      <c r="B966" s="479"/>
      <c r="C966" s="977"/>
      <c r="D966" s="777" t="s">
        <v>8</v>
      </c>
      <c r="E966" s="3281"/>
      <c r="F966" s="3282"/>
      <c r="G966" s="1008" t="str">
        <f>IF(E966&lt;&gt;"",INDEX(EUconst_BMlistUnits,MATCH(E966,EUconst_BMlistNames,0)),EUconst_Tons)</f>
        <v>tonnes</v>
      </c>
      <c r="H966" s="1816" t="str">
        <f>c_ALR2025!M3612</f>
        <v/>
      </c>
      <c r="I966" s="1887"/>
      <c r="J966" s="1812"/>
      <c r="K966" s="1754"/>
      <c r="L966" s="1754"/>
      <c r="M966" s="1754"/>
      <c r="N966" s="1755"/>
      <c r="O966" s="485"/>
      <c r="P966" s="9"/>
      <c r="Q966" s="1644" t="str">
        <f>EUconst_CNTR_IntermediateImport &amp; S966 &amp; "_" &amp; I657</f>
        <v>IntImp_2_</v>
      </c>
      <c r="S966" s="1644">
        <v>2</v>
      </c>
      <c r="V966" s="1435"/>
      <c r="AC966" s="1443" t="b">
        <f>AC965</f>
        <v>0</v>
      </c>
      <c r="AD966" s="1443" t="b">
        <f t="shared" ref="AD966:AI966" si="454">AD965</f>
        <v>0</v>
      </c>
      <c r="AE966" s="1443" t="b">
        <f t="shared" si="454"/>
        <v>0</v>
      </c>
      <c r="AF966" s="1443" t="b">
        <f t="shared" si="454"/>
        <v>0</v>
      </c>
      <c r="AG966" s="1443" t="b">
        <f t="shared" si="454"/>
        <v>0</v>
      </c>
      <c r="AH966" s="1443" t="b">
        <f t="shared" si="454"/>
        <v>0</v>
      </c>
      <c r="AI966" s="1443" t="b">
        <f t="shared" si="454"/>
        <v>0</v>
      </c>
    </row>
    <row r="967" spans="2:37" ht="5.0999999999999996" customHeight="1">
      <c r="B967" s="479"/>
      <c r="C967" s="977"/>
      <c r="D967" s="777"/>
      <c r="E967" s="777"/>
      <c r="F967" s="777"/>
      <c r="G967" s="777"/>
      <c r="H967" s="777"/>
      <c r="I967" s="777"/>
      <c r="J967" s="1817"/>
      <c r="K967" s="1776"/>
      <c r="L967" s="1776"/>
      <c r="M967" s="1776"/>
      <c r="N967" s="1777"/>
      <c r="O967" s="485"/>
      <c r="P967" s="485"/>
      <c r="Q967" s="1435"/>
      <c r="S967" s="1435"/>
      <c r="V967" s="1435"/>
    </row>
    <row r="968" spans="2:37" ht="12.75" customHeight="1" thickBot="1">
      <c r="B968" s="479"/>
      <c r="C968" s="977"/>
      <c r="D968" s="982"/>
      <c r="E968" s="2648" t="s">
        <v>1143</v>
      </c>
      <c r="F968" s="2493"/>
      <c r="G968" s="778" t="str">
        <f>EUconst_Unit</f>
        <v>Unit</v>
      </c>
      <c r="H968" s="782">
        <f t="shared" ref="H968:N968" si="455">H$3242</f>
        <v>2024</v>
      </c>
      <c r="I968" s="988">
        <f t="shared" si="455"/>
        <v>2025</v>
      </c>
      <c r="J968" s="1810">
        <f t="shared" si="455"/>
        <v>2026</v>
      </c>
      <c r="K968" s="1747">
        <f t="shared" si="455"/>
        <v>2027</v>
      </c>
      <c r="L968" s="1747">
        <f t="shared" si="455"/>
        <v>2028</v>
      </c>
      <c r="M968" s="1747">
        <f t="shared" si="455"/>
        <v>2029</v>
      </c>
      <c r="N968" s="1748">
        <f t="shared" si="455"/>
        <v>2030</v>
      </c>
      <c r="O968" s="485"/>
      <c r="P968" s="485"/>
      <c r="Q968" s="1435"/>
      <c r="S968" s="1435"/>
      <c r="V968" s="1435"/>
      <c r="AC968" s="1638">
        <f t="shared" ref="AC968:AI968" si="456">H$20</f>
        <v>2024</v>
      </c>
      <c r="AD968" s="1638">
        <f t="shared" si="456"/>
        <v>2025</v>
      </c>
      <c r="AE968" s="1638">
        <f t="shared" si="456"/>
        <v>2026</v>
      </c>
      <c r="AF968" s="1638">
        <f t="shared" si="456"/>
        <v>2027</v>
      </c>
      <c r="AG968" s="1638">
        <f t="shared" si="456"/>
        <v>2028</v>
      </c>
      <c r="AH968" s="1638">
        <f t="shared" si="456"/>
        <v>2029</v>
      </c>
      <c r="AI968" s="1638">
        <f t="shared" si="456"/>
        <v>2030</v>
      </c>
    </row>
    <row r="969" spans="2:37" ht="12.75" customHeight="1">
      <c r="B969" s="479"/>
      <c r="C969" s="977"/>
      <c r="D969" s="777" t="s">
        <v>18</v>
      </c>
      <c r="E969" s="3279"/>
      <c r="F969" s="3280"/>
      <c r="G969" s="1016" t="str">
        <f>IF(E969&lt;&gt;"",INDEX(EUconst_BMlistUnits,MATCH(E969,EUconst_BMlistNames,0)),EUconst_Tons)</f>
        <v>tonnes</v>
      </c>
      <c r="H969" s="1774" t="str">
        <f>c_ALR2025!M3615</f>
        <v/>
      </c>
      <c r="I969" s="1886"/>
      <c r="J969" s="1812"/>
      <c r="K969" s="1754"/>
      <c r="L969" s="1754"/>
      <c r="M969" s="1754"/>
      <c r="N969" s="1755"/>
      <c r="O969" s="485"/>
      <c r="P969" s="9"/>
      <c r="Q969" s="1644" t="str">
        <f>EUconst_CNTR_IntermediateExport &amp; S965 &amp; "_" &amp; I657</f>
        <v>IntExp_1_</v>
      </c>
      <c r="S969" s="1644">
        <v>1</v>
      </c>
      <c r="V969" s="1435"/>
      <c r="X969" s="1778"/>
      <c r="Y969" s="1778"/>
      <c r="AB969" s="1641" t="s">
        <v>717</v>
      </c>
      <c r="AC969" s="1443" t="b">
        <f>AC965</f>
        <v>0</v>
      </c>
      <c r="AD969" s="1443" t="b">
        <f t="shared" ref="AD969:AI969" si="457">AD965</f>
        <v>0</v>
      </c>
      <c r="AE969" s="1443" t="b">
        <f t="shared" si="457"/>
        <v>0</v>
      </c>
      <c r="AF969" s="1443" t="b">
        <f t="shared" si="457"/>
        <v>0</v>
      </c>
      <c r="AG969" s="1443" t="b">
        <f t="shared" si="457"/>
        <v>0</v>
      </c>
      <c r="AH969" s="1443" t="b">
        <f t="shared" si="457"/>
        <v>0</v>
      </c>
      <c r="AI969" s="1443" t="b">
        <f t="shared" si="457"/>
        <v>0</v>
      </c>
      <c r="AJ969" s="1633" t="s">
        <v>1954</v>
      </c>
      <c r="AK969" s="1635" t="str">
        <f>IF(AND(CNTR_ExistSubInstEntries,MSconst_RequireSubAttrEmissions,COUNTIFS(AC969:AI969,FALSE,H969:N969,"")&gt;0),EUconst_Error&amp;"BM"&amp;$Q657,"")</f>
        <v/>
      </c>
    </row>
    <row r="970" spans="2:37" ht="12.75" customHeight="1">
      <c r="B970" s="479"/>
      <c r="C970" s="977"/>
      <c r="D970" s="777" t="s">
        <v>787</v>
      </c>
      <c r="E970" s="3281"/>
      <c r="F970" s="3282"/>
      <c r="G970" s="1008" t="str">
        <f>IF(E970&lt;&gt;"",INDEX(EUconst_BMlistUnits,MATCH(E970,EUconst_BMlistNames,0)),EUconst_Tons)</f>
        <v>tonnes</v>
      </c>
      <c r="H970" s="1816" t="str">
        <f>c_ALR2025!M3616</f>
        <v/>
      </c>
      <c r="I970" s="1887"/>
      <c r="J970" s="1812"/>
      <c r="K970" s="1754"/>
      <c r="L970" s="1754"/>
      <c r="M970" s="1754"/>
      <c r="N970" s="1755"/>
      <c r="O970" s="485"/>
      <c r="P970" s="9"/>
      <c r="Q970" s="1644" t="str">
        <f>EUconst_CNTR_IntermediateExport &amp; S970 &amp; "_" &amp; I657</f>
        <v>IntExp_2_</v>
      </c>
      <c r="S970" s="1644">
        <v>2</v>
      </c>
      <c r="V970" s="1435"/>
      <c r="X970" s="1778"/>
      <c r="Y970" s="1778"/>
      <c r="AC970" s="1443" t="b">
        <f t="shared" ref="AC970:AI970" si="458">AC966</f>
        <v>0</v>
      </c>
      <c r="AD970" s="1443" t="b">
        <f t="shared" si="458"/>
        <v>0</v>
      </c>
      <c r="AE970" s="1443" t="b">
        <f t="shared" si="458"/>
        <v>0</v>
      </c>
      <c r="AF970" s="1443" t="b">
        <f t="shared" si="458"/>
        <v>0</v>
      </c>
      <c r="AG970" s="1443" t="b">
        <f t="shared" si="458"/>
        <v>0</v>
      </c>
      <c r="AH970" s="1443" t="b">
        <f t="shared" si="458"/>
        <v>0</v>
      </c>
      <c r="AI970" s="1443" t="b">
        <f t="shared" si="458"/>
        <v>0</v>
      </c>
    </row>
    <row r="971" spans="2:37" ht="5.0999999999999996" customHeight="1">
      <c r="B971" s="479"/>
      <c r="C971" s="977"/>
      <c r="D971" s="777"/>
      <c r="E971" s="777"/>
      <c r="F971" s="777"/>
      <c r="G971" s="777"/>
      <c r="H971" s="777"/>
      <c r="I971" s="777"/>
      <c r="J971" s="777"/>
      <c r="K971" s="777"/>
      <c r="L971" s="777"/>
      <c r="M971" s="777"/>
      <c r="N971" s="1007"/>
      <c r="O971" s="485"/>
      <c r="P971" s="485"/>
      <c r="Q971" s="1435"/>
      <c r="S971" s="1435"/>
      <c r="V971" s="1435"/>
      <c r="X971" s="1778"/>
      <c r="Y971" s="1778"/>
    </row>
    <row r="972" spans="2:37" ht="12.75" customHeight="1">
      <c r="B972" s="479"/>
      <c r="C972" s="977"/>
      <c r="D972" s="777" t="s">
        <v>788</v>
      </c>
      <c r="E972" s="813" t="s">
        <v>1146</v>
      </c>
      <c r="F972" s="813"/>
      <c r="G972" s="813"/>
      <c r="H972" s="813"/>
      <c r="I972" s="813"/>
      <c r="J972" s="813"/>
      <c r="K972" s="813"/>
      <c r="L972" s="813"/>
      <c r="M972" s="813"/>
      <c r="N972" s="1007"/>
      <c r="O972" s="485"/>
      <c r="P972" s="485"/>
      <c r="Q972" s="1435"/>
      <c r="S972" s="1435"/>
      <c r="V972" s="1435"/>
      <c r="X972" s="1778"/>
      <c r="Y972" s="1778"/>
    </row>
    <row r="973" spans="2:37" ht="12.75" customHeight="1">
      <c r="B973" s="479"/>
      <c r="C973" s="977"/>
      <c r="D973" s="777"/>
      <c r="E973" s="1779" t="s">
        <v>1459</v>
      </c>
      <c r="F973" s="978"/>
      <c r="G973" s="978"/>
      <c r="H973" s="978"/>
      <c r="I973" s="978"/>
      <c r="J973" s="978"/>
      <c r="K973" s="978"/>
      <c r="L973" s="978"/>
      <c r="M973" s="978"/>
      <c r="N973" s="979"/>
      <c r="O973" s="485"/>
      <c r="P973" s="485"/>
      <c r="Q973" s="1435"/>
      <c r="S973" s="1435"/>
      <c r="V973" s="1435"/>
      <c r="X973" s="1778"/>
      <c r="Y973" s="1778"/>
    </row>
    <row r="974" spans="2:37" ht="12.75" customHeight="1">
      <c r="B974" s="479"/>
      <c r="C974" s="977"/>
      <c r="D974" s="777"/>
      <c r="E974" s="3273"/>
      <c r="F974" s="3274"/>
      <c r="G974" s="3274"/>
      <c r="H974" s="3274"/>
      <c r="I974" s="3274"/>
      <c r="J974" s="3274"/>
      <c r="K974" s="3274"/>
      <c r="L974" s="3274"/>
      <c r="M974" s="3275"/>
      <c r="N974" s="1007"/>
      <c r="O974" s="485"/>
      <c r="P974" s="9"/>
      <c r="Q974" s="1435"/>
      <c r="S974" s="1435"/>
      <c r="V974" s="1435"/>
      <c r="X974" s="1778"/>
      <c r="Y974" s="1778"/>
      <c r="AB974" s="1641" t="s">
        <v>717</v>
      </c>
      <c r="AC974" s="1443" t="b">
        <f>AND(AC969:AI969)</f>
        <v>0</v>
      </c>
    </row>
    <row r="975" spans="2:37" ht="12.75" customHeight="1">
      <c r="B975" s="479"/>
      <c r="C975" s="977"/>
      <c r="D975" s="777"/>
      <c r="E975" s="3276"/>
      <c r="F975" s="3277"/>
      <c r="G975" s="3277"/>
      <c r="H975" s="3277"/>
      <c r="I975" s="3277"/>
      <c r="J975" s="3277"/>
      <c r="K975" s="3277"/>
      <c r="L975" s="3277"/>
      <c r="M975" s="3278"/>
      <c r="N975" s="1007"/>
      <c r="O975" s="485"/>
      <c r="P975" s="485"/>
      <c r="Q975" s="1435"/>
      <c r="S975" s="1435"/>
      <c r="V975" s="1435"/>
      <c r="X975" s="1778"/>
      <c r="Y975" s="1778"/>
      <c r="AC975" s="1443" t="b">
        <f>AC974</f>
        <v>0</v>
      </c>
    </row>
    <row r="976" spans="2:37" ht="12.75" customHeight="1" thickBot="1">
      <c r="B976" s="479"/>
      <c r="C976" s="1018"/>
      <c r="D976" s="1019"/>
      <c r="E976" s="1019"/>
      <c r="F976" s="1019"/>
      <c r="G976" s="1019"/>
      <c r="H976" s="1019"/>
      <c r="I976" s="1019"/>
      <c r="J976" s="1019"/>
      <c r="K976" s="1019"/>
      <c r="L976" s="1019"/>
      <c r="M976" s="805"/>
      <c r="N976" s="806"/>
      <c r="O976" s="485"/>
      <c r="P976" s="485"/>
      <c r="Q976" s="1435"/>
      <c r="S976" s="1435"/>
      <c r="V976" s="1435"/>
    </row>
    <row r="977" spans="1:38" ht="12.75" customHeight="1" thickBot="1">
      <c r="A977" s="618"/>
      <c r="B977" s="467"/>
      <c r="C977" s="467"/>
      <c r="D977" s="467"/>
      <c r="E977" s="467"/>
      <c r="F977" s="467"/>
      <c r="G977" s="467"/>
      <c r="H977" s="467"/>
      <c r="I977" s="467"/>
      <c r="J977" s="467"/>
      <c r="K977" s="467"/>
      <c r="L977" s="467"/>
      <c r="M977" s="481"/>
      <c r="N977" s="481"/>
      <c r="O977" s="481"/>
      <c r="P977" s="481"/>
      <c r="Q977" s="1488" t="str">
        <f>IF(OR(AND(CNTR_ExistProductSubEntries=FALSE,Q657=1),AND(I657&lt;&gt;"",COUNTIF(Q978:$Q3271,"PRINT")=0)),"PRINT","")</f>
        <v/>
      </c>
      <c r="R977" s="1249"/>
      <c r="S977" s="1249"/>
      <c r="T977" s="1249"/>
      <c r="U977" s="1249"/>
      <c r="V977" s="1249"/>
      <c r="W977" s="1249"/>
      <c r="X977" s="1249"/>
      <c r="Y977" s="1249"/>
      <c r="AE977" s="1118"/>
      <c r="AF977" s="1118"/>
      <c r="AG977" s="1118"/>
      <c r="AH977" s="1118"/>
      <c r="AI977" s="1118"/>
      <c r="AJ977" s="1118"/>
      <c r="AK977" s="1118"/>
      <c r="AL977" s="1118"/>
    </row>
    <row r="978" spans="1:38" ht="5.0999999999999996" customHeight="1" thickBot="1">
      <c r="B978" s="479"/>
      <c r="C978" s="1020"/>
      <c r="D978" s="1020"/>
      <c r="E978" s="1020"/>
      <c r="F978" s="1020"/>
      <c r="G978" s="1020"/>
      <c r="H978" s="1020"/>
      <c r="I978" s="1020"/>
      <c r="J978" s="1020"/>
      <c r="K978" s="1020"/>
      <c r="L978" s="1020"/>
      <c r="M978" s="1020"/>
      <c r="N978" s="1020"/>
      <c r="O978" s="485"/>
      <c r="P978" s="485"/>
      <c r="Q978" s="1780"/>
      <c r="R978" s="1780"/>
      <c r="S978" s="1780"/>
      <c r="T978" s="1780"/>
      <c r="U978" s="1780"/>
      <c r="V978" s="1780"/>
      <c r="W978" s="1780"/>
      <c r="X978" s="1780"/>
      <c r="Y978" s="1780"/>
      <c r="Z978" s="1780"/>
      <c r="AA978" s="1780"/>
      <c r="AB978" s="1780"/>
      <c r="AC978" s="1780"/>
      <c r="AD978" s="1780"/>
      <c r="AE978" s="1780"/>
      <c r="AF978" s="1780"/>
      <c r="AG978" s="1780"/>
      <c r="AH978" s="1780"/>
      <c r="AI978" s="1780"/>
      <c r="AJ978" s="1780"/>
      <c r="AK978" s="1780"/>
      <c r="AL978" s="1780"/>
    </row>
    <row r="979" spans="1:38" ht="14.45" customHeight="1" thickBot="1">
      <c r="B979" s="479"/>
      <c r="C979" s="897">
        <f>C657+1</f>
        <v>4</v>
      </c>
      <c r="D979" s="2482" t="str">
        <f>EUconst_BMSubinst &amp; ":"</f>
        <v>Sub-installation with product benchmark:</v>
      </c>
      <c r="E979" s="2400"/>
      <c r="F979" s="2400"/>
      <c r="G979" s="2400"/>
      <c r="H979" s="2585"/>
      <c r="I979" s="3293" t="str">
        <f>IF(INDEX(CNTR_SubInstListIsProdBM,$C979),INDEX(CNTR_SubInstListNames,$C979),"")</f>
        <v/>
      </c>
      <c r="J979" s="3294"/>
      <c r="K979" s="3294"/>
      <c r="L979" s="3294"/>
      <c r="M979" s="3294"/>
      <c r="N979" s="3297"/>
      <c r="O979" s="485"/>
      <c r="P979" s="485"/>
      <c r="Q979" s="1488">
        <f>C979</f>
        <v>4</v>
      </c>
      <c r="S979" s="1633" t="s">
        <v>558</v>
      </c>
      <c r="T979" s="1634" t="str">
        <f>IF(I979="","",MAX(INDEX(CNTR_SubInstStartDate,MATCH($I979,CNTR_SubInstListNames,0)),DATE(2005,1,1)))</f>
        <v/>
      </c>
      <c r="U979" s="1435" t="s">
        <v>1673</v>
      </c>
      <c r="V979" s="1635">
        <f>IF(ISNUMBER(T979),YEAR($T979-1)+1,2005)</f>
        <v>2005</v>
      </c>
      <c r="W979" s="1633" t="s">
        <v>1676</v>
      </c>
      <c r="X979" s="1634" t="str">
        <f>IF(I979="","",INDEX(CNTR_SubInstCessationDate,MATCH($I979,CNTR_SubInstListNames,0)))</f>
        <v/>
      </c>
      <c r="Y979" s="1633" t="s">
        <v>1677</v>
      </c>
      <c r="Z979" s="1635">
        <f>IF(SUM(X979)=0,2050,YEAR($X979))</f>
        <v>2050</v>
      </c>
      <c r="AA979" s="1633" t="s">
        <v>1925</v>
      </c>
      <c r="AB979" s="1635" t="b">
        <f>CNTR_ReportingYear&gt;V979</f>
        <v>1</v>
      </c>
      <c r="AL979" s="1848" t="b">
        <f>AND(CNTR_ExistSubInstEntries,I979="")</f>
        <v>0</v>
      </c>
    </row>
    <row r="980" spans="1:38" ht="12.75" customHeight="1">
      <c r="B980" s="479"/>
      <c r="C980" s="479"/>
      <c r="D980" s="485"/>
      <c r="E980" s="2385" t="s">
        <v>216</v>
      </c>
      <c r="F980" s="2846"/>
      <c r="G980" s="2846"/>
      <c r="H980" s="2846"/>
      <c r="I980" s="2846"/>
      <c r="J980" s="2846"/>
      <c r="K980" s="2846"/>
      <c r="L980" s="2846"/>
      <c r="M980" s="2846"/>
      <c r="N980" s="2846"/>
      <c r="O980" s="485"/>
      <c r="P980" s="485"/>
      <c r="Q980" s="1435"/>
      <c r="S980" s="1435"/>
      <c r="T980" s="1435"/>
    </row>
    <row r="981" spans="1:38" ht="5.0999999999999996" customHeight="1">
      <c r="B981" s="479"/>
      <c r="C981" s="479"/>
      <c r="D981" s="479"/>
      <c r="E981" s="479"/>
      <c r="F981" s="479"/>
      <c r="G981" s="479"/>
      <c r="H981" s="479"/>
      <c r="I981" s="479"/>
      <c r="J981" s="479"/>
      <c r="K981" s="479"/>
      <c r="L981" s="479"/>
      <c r="M981" s="485"/>
      <c r="N981" s="485"/>
      <c r="O981" s="485"/>
      <c r="P981" s="485"/>
      <c r="Q981" s="1435"/>
      <c r="S981" s="1435"/>
      <c r="T981" s="1435"/>
    </row>
    <row r="982" spans="1:38">
      <c r="B982" s="479"/>
      <c r="C982" s="479"/>
      <c r="D982" s="482" t="s">
        <v>400</v>
      </c>
      <c r="E982" s="2373" t="s">
        <v>1930</v>
      </c>
      <c r="F982" s="2400"/>
      <c r="G982" s="2400"/>
      <c r="H982" s="2400"/>
      <c r="I982" s="2400"/>
      <c r="J982" s="2400"/>
      <c r="K982" s="2400"/>
      <c r="L982" s="2400"/>
      <c r="M982" s="2400"/>
      <c r="N982" s="2400"/>
      <c r="O982" s="485"/>
      <c r="P982" s="485"/>
      <c r="Q982" s="1435"/>
    </row>
    <row r="983" spans="1:38" ht="12.75" customHeight="1">
      <c r="B983" s="479"/>
      <c r="C983" s="479"/>
      <c r="D983" s="485"/>
      <c r="E983" s="2385" t="s">
        <v>801</v>
      </c>
      <c r="F983" s="2846"/>
      <c r="G983" s="2846"/>
      <c r="H983" s="2846"/>
      <c r="I983" s="2846"/>
      <c r="J983" s="2846"/>
      <c r="K983" s="2846"/>
      <c r="L983" s="2846"/>
      <c r="M983" s="2846"/>
      <c r="N983" s="2846"/>
      <c r="O983" s="485"/>
      <c r="P983" s="485"/>
      <c r="Q983" s="1435"/>
      <c r="S983" s="1435"/>
      <c r="T983" s="1435"/>
      <c r="U983" s="1435"/>
    </row>
    <row r="984" spans="1:38" ht="12.75" customHeight="1">
      <c r="B984" s="479"/>
      <c r="C984" s="479"/>
      <c r="D984" s="485"/>
      <c r="E984" s="2385" t="s">
        <v>1199</v>
      </c>
      <c r="F984" s="2846"/>
      <c r="G984" s="2846"/>
      <c r="H984" s="2846"/>
      <c r="I984" s="2846"/>
      <c r="J984" s="2846"/>
      <c r="K984" s="2846"/>
      <c r="L984" s="2846"/>
      <c r="M984" s="2846"/>
      <c r="N984" s="2846"/>
      <c r="O984" s="485"/>
      <c r="P984" s="485"/>
      <c r="Q984" s="1435"/>
      <c r="S984" s="1435"/>
      <c r="T984" s="1435"/>
      <c r="U984" s="1435"/>
    </row>
    <row r="985" spans="1:38" ht="12.75" customHeight="1">
      <c r="B985" s="479"/>
      <c r="C985" s="479"/>
      <c r="D985" s="485"/>
      <c r="E985" s="2385" t="s">
        <v>125</v>
      </c>
      <c r="F985" s="2846"/>
      <c r="G985" s="2846"/>
      <c r="H985" s="2846"/>
      <c r="I985" s="2846"/>
      <c r="J985" s="2846"/>
      <c r="K985" s="2846"/>
      <c r="L985" s="2846"/>
      <c r="M985" s="2846"/>
      <c r="N985" s="2846"/>
      <c r="O985" s="485"/>
      <c r="P985" s="485"/>
      <c r="Q985" s="1435"/>
      <c r="S985" s="1435"/>
      <c r="Z985" s="1435"/>
    </row>
    <row r="986" spans="1:38" ht="13.5" customHeight="1" thickBot="1">
      <c r="B986" s="1124"/>
      <c r="C986" s="485"/>
      <c r="D986" s="482"/>
      <c r="E986" s="2509" t="s">
        <v>1447</v>
      </c>
      <c r="F986" s="2509"/>
      <c r="G986" s="663" t="str">
        <f>EUconst_Unit</f>
        <v>Unit</v>
      </c>
      <c r="H986" s="578">
        <f t="shared" ref="H986:N986" si="459">H$3242</f>
        <v>2024</v>
      </c>
      <c r="I986" s="697">
        <f t="shared" si="459"/>
        <v>2025</v>
      </c>
      <c r="J986" s="1489">
        <f t="shared" si="459"/>
        <v>2026</v>
      </c>
      <c r="K986" s="1490">
        <f t="shared" si="459"/>
        <v>2027</v>
      </c>
      <c r="L986" s="1490">
        <f t="shared" si="459"/>
        <v>2028</v>
      </c>
      <c r="M986" s="1490">
        <f t="shared" si="459"/>
        <v>2029</v>
      </c>
      <c r="N986" s="1490">
        <f t="shared" si="459"/>
        <v>2030</v>
      </c>
      <c r="O986" s="485"/>
      <c r="P986" s="485"/>
      <c r="Q986" s="1435"/>
      <c r="T986" s="1638">
        <f t="shared" ref="T986:Z986" si="460">H986</f>
        <v>2024</v>
      </c>
      <c r="U986" s="1638">
        <f t="shared" si="460"/>
        <v>2025</v>
      </c>
      <c r="V986" s="1638">
        <f t="shared" si="460"/>
        <v>2026</v>
      </c>
      <c r="W986" s="1638">
        <f t="shared" si="460"/>
        <v>2027</v>
      </c>
      <c r="X986" s="1638">
        <f t="shared" si="460"/>
        <v>2028</v>
      </c>
      <c r="Y986" s="1638">
        <f t="shared" si="460"/>
        <v>2029</v>
      </c>
      <c r="Z986" s="1638">
        <f t="shared" si="460"/>
        <v>2030</v>
      </c>
      <c r="AC986" s="1638">
        <f t="shared" ref="AC986:AI986" si="461">H$20</f>
        <v>2024</v>
      </c>
      <c r="AD986" s="1638">
        <f t="shared" si="461"/>
        <v>2025</v>
      </c>
      <c r="AE986" s="1638">
        <f t="shared" si="461"/>
        <v>2026</v>
      </c>
      <c r="AF986" s="1638">
        <f t="shared" si="461"/>
        <v>2027</v>
      </c>
      <c r="AG986" s="1638">
        <f t="shared" si="461"/>
        <v>2028</v>
      </c>
      <c r="AH986" s="1638">
        <f t="shared" si="461"/>
        <v>2029</v>
      </c>
      <c r="AI986" s="1638">
        <f t="shared" si="461"/>
        <v>2030</v>
      </c>
      <c r="AL986" s="1435"/>
    </row>
    <row r="987" spans="1:38" ht="13.5" thickBot="1">
      <c r="B987" s="1124"/>
      <c r="C987" s="485"/>
      <c r="D987" s="561" t="s">
        <v>6</v>
      </c>
      <c r="E987" s="3296" t="str">
        <f>I979</f>
        <v/>
      </c>
      <c r="F987" s="3296"/>
      <c r="G987" s="898" t="str">
        <f>IF(INDEX(CNTR_SubInstListIsProdBM,$C979),INDEX(CNTR_SubInstListHALUnit,$C979),EUconst_Tons)</f>
        <v>tonnes</v>
      </c>
      <c r="H987" s="1818" t="str">
        <f>c_ALR2025!M3633</f>
        <v/>
      </c>
      <c r="I987" s="1878"/>
      <c r="J987" s="1819"/>
      <c r="K987" s="1820"/>
      <c r="L987" s="1820"/>
      <c r="M987" s="1820"/>
      <c r="N987" s="1820"/>
      <c r="O987" s="485"/>
      <c r="P987" s="9"/>
      <c r="S987" s="1435" t="s">
        <v>1674</v>
      </c>
      <c r="T987" s="1850" t="b">
        <f t="shared" ref="T987:Z987" si="462">AND($I979&lt;&gt;"",H986&lt;CNTR_ReportingYear,H986&gt;=$V979-1)</f>
        <v>0</v>
      </c>
      <c r="U987" s="1851" t="b">
        <f t="shared" si="462"/>
        <v>0</v>
      </c>
      <c r="V987" s="1851" t="b">
        <f t="shared" si="462"/>
        <v>0</v>
      </c>
      <c r="W987" s="1851" t="b">
        <f t="shared" si="462"/>
        <v>0</v>
      </c>
      <c r="X987" s="1851" t="b">
        <f t="shared" si="462"/>
        <v>0</v>
      </c>
      <c r="Y987" s="1851" t="b">
        <f t="shared" si="462"/>
        <v>0</v>
      </c>
      <c r="Z987" s="1852" t="b">
        <f t="shared" si="462"/>
        <v>0</v>
      </c>
      <c r="AA987" s="1435"/>
      <c r="AB987" s="1641" t="s">
        <v>717</v>
      </c>
      <c r="AC987" s="1853" t="b">
        <f t="shared" ref="AC987:AI987" si="463">IF(CNTR_ExistSubInstEntries,OR($I979="",$R991,H986&gt;=CNTR_ReportingYear,AC986&lt;$V979-1),FALSE)</f>
        <v>0</v>
      </c>
      <c r="AD987" s="1642" t="b">
        <f t="shared" si="463"/>
        <v>0</v>
      </c>
      <c r="AE987" s="1642" t="b">
        <f t="shared" si="463"/>
        <v>0</v>
      </c>
      <c r="AF987" s="1642" t="b">
        <f t="shared" si="463"/>
        <v>0</v>
      </c>
      <c r="AG987" s="1642" t="b">
        <f t="shared" si="463"/>
        <v>0</v>
      </c>
      <c r="AH987" s="1642" t="b">
        <f t="shared" si="463"/>
        <v>0</v>
      </c>
      <c r="AI987" s="1643" t="b">
        <f t="shared" si="463"/>
        <v>0</v>
      </c>
      <c r="AJ987" s="1633" t="s">
        <v>1954</v>
      </c>
      <c r="AK987" s="1635" t="str">
        <f>IF(AND(CNTR_ExistSubInstEntries,COUNTIFS(AC987:AI987,FALSE,H987:N987,"")&gt;0),EUconst_Error&amp;"BM"&amp;$Q979,"")</f>
        <v/>
      </c>
    </row>
    <row r="988" spans="1:38" ht="13.15" customHeight="1" thickBot="1">
      <c r="B988" s="1124"/>
      <c r="C988" s="485"/>
      <c r="D988" s="561" t="s">
        <v>7</v>
      </c>
      <c r="E988" s="3296" t="s">
        <v>123</v>
      </c>
      <c r="F988" s="3296"/>
      <c r="G988" s="898" t="str">
        <f>G987</f>
        <v>tonnes</v>
      </c>
      <c r="H988" s="899" t="str">
        <f>IF(OR($I979="",H986&gt;=CNTR_ReportingYear),"",IF($R991,SUMIF(H_SpecialBM!$Q$9:$Q$414,$Q988,H_SpecialBM!H$9:H$414),""))</f>
        <v/>
      </c>
      <c r="I988" s="900" t="str">
        <f>IF(OR($I979="",I986&gt;=CNTR_ReportingYear),"",IF($R991,SUMIF(H_SpecialBM!$Q$9:$Q$414,$Q988,H_SpecialBM!I$9:I$414),""))</f>
        <v/>
      </c>
      <c r="J988" s="1819" t="str">
        <f>IF(OR($I979="",J986&gt;=CNTR_ReportingYear),"",IF($R991,SUMIF(H_SpecialBM!$Q$9:$Q$414,$Q988,H_SpecialBM!J$9:J$414),""))</f>
        <v/>
      </c>
      <c r="K988" s="1820" t="str">
        <f>IF(OR($I979="",K986&gt;=CNTR_ReportingYear),"",IF($R991,SUMIF(H_SpecialBM!$Q$9:$Q$414,$Q988,H_SpecialBM!K$9:K$414),""))</f>
        <v/>
      </c>
      <c r="L988" s="1820" t="str">
        <f>IF(OR($I979="",L986&gt;=CNTR_ReportingYear),"",IF($R991,SUMIF(H_SpecialBM!$Q$9:$Q$414,$Q988,H_SpecialBM!L$9:L$414),""))</f>
        <v/>
      </c>
      <c r="M988" s="1820" t="str">
        <f>IF(OR($I979="",M986&gt;=CNTR_ReportingYear),"",IF($R991,SUMIF(H_SpecialBM!$Q$9:$Q$414,$Q988,H_SpecialBM!M$9:M$414),""))</f>
        <v/>
      </c>
      <c r="N988" s="1820" t="str">
        <f>IF(OR($I979="",N986&gt;=CNTR_ReportingYear),"",IF($R991,SUMIF(H_SpecialBM!$Q$9:$Q$414,$Q988,H_SpecialBM!N$9:N$414),""))</f>
        <v/>
      </c>
      <c r="O988" s="485"/>
      <c r="P988" s="485"/>
      <c r="Q988" s="1644" t="str">
        <f>EUconst_CNTR_HALspecial&amp;I979</f>
        <v>HALspecial_</v>
      </c>
      <c r="AB988" s="1641" t="s">
        <v>717</v>
      </c>
      <c r="AC988" s="1853" t="b">
        <f t="shared" ref="AC988:AI988" si="464">AND(CNTR_HasEntries_A_I,OR($R991=FALSE,H986&gt;=CNTR_ReportingYear))</f>
        <v>0</v>
      </c>
      <c r="AD988" s="1642" t="b">
        <f t="shared" si="464"/>
        <v>0</v>
      </c>
      <c r="AE988" s="1642" t="b">
        <f t="shared" si="464"/>
        <v>0</v>
      </c>
      <c r="AF988" s="1642" t="b">
        <f t="shared" si="464"/>
        <v>0</v>
      </c>
      <c r="AG988" s="1642" t="b">
        <f t="shared" si="464"/>
        <v>0</v>
      </c>
      <c r="AH988" s="1642" t="b">
        <f t="shared" si="464"/>
        <v>0</v>
      </c>
      <c r="AI988" s="1643" t="b">
        <f t="shared" si="464"/>
        <v>0</v>
      </c>
      <c r="AJ988" s="1624"/>
      <c r="AK988" s="1624"/>
      <c r="AL988" s="1435"/>
    </row>
    <row r="989" spans="1:38" ht="13.15" customHeight="1">
      <c r="B989" s="1124"/>
      <c r="C989" s="485"/>
      <c r="D989" s="561" t="s">
        <v>8</v>
      </c>
      <c r="E989" s="3296" t="s">
        <v>124</v>
      </c>
      <c r="F989" s="3296"/>
      <c r="G989" s="898" t="str">
        <f>G988</f>
        <v>tonnes</v>
      </c>
      <c r="H989" s="899" t="str">
        <f t="shared" ref="H989:N989" si="465">IF(OR($I979="",H986&gt;=CNTR_ReportingYear),"",IF($R991=TRUE,IF(ISNUMBER(H988),H988,0),IF(AND(H986&gt;=$V979-1,ISNUMBER(H987)),H987,0)))</f>
        <v/>
      </c>
      <c r="I989" s="900" t="str">
        <f t="shared" si="465"/>
        <v/>
      </c>
      <c r="J989" s="1819" t="str">
        <f t="shared" si="465"/>
        <v/>
      </c>
      <c r="K989" s="1820" t="str">
        <f t="shared" si="465"/>
        <v/>
      </c>
      <c r="L989" s="1820" t="str">
        <f t="shared" si="465"/>
        <v/>
      </c>
      <c r="M989" s="1820" t="str">
        <f t="shared" si="465"/>
        <v/>
      </c>
      <c r="N989" s="1820" t="str">
        <f t="shared" si="465"/>
        <v/>
      </c>
      <c r="O989" s="485"/>
      <c r="P989" s="1136"/>
      <c r="Q989" s="1644" t="str">
        <f>EUconst_CNTR_HAL&amp;I979</f>
        <v>HAL_</v>
      </c>
      <c r="AJ989" s="1633" t="s">
        <v>1951</v>
      </c>
      <c r="AK989" s="1443" t="str">
        <f>IF(COUNTIFS(H986:N986,"&lt;"&amp;YEAR(SUM(T979)),H989:N989,"&gt;"&amp;0)&gt;0,EUconst_Error&amp;"BM"&amp;Q979,"")</f>
        <v/>
      </c>
      <c r="AL989" s="1435"/>
    </row>
    <row r="990" spans="1:38" ht="5.0999999999999996" customHeight="1">
      <c r="B990" s="479"/>
      <c r="C990" s="479"/>
      <c r="D990" s="479"/>
      <c r="E990" s="479"/>
      <c r="F990" s="479"/>
      <c r="G990" s="479"/>
      <c r="H990" s="479"/>
      <c r="I990" s="479"/>
      <c r="J990" s="479"/>
      <c r="K990" s="479"/>
      <c r="L990" s="479"/>
      <c r="M990" s="485"/>
      <c r="N990" s="485"/>
      <c r="O990" s="485"/>
      <c r="P990" s="485"/>
      <c r="Q990" s="1435"/>
      <c r="S990" s="1435"/>
      <c r="T990" s="1435"/>
    </row>
    <row r="991" spans="1:38" ht="12.75" customHeight="1">
      <c r="B991" s="479"/>
      <c r="C991" s="479"/>
      <c r="D991" s="561" t="s">
        <v>18</v>
      </c>
      <c r="E991" s="2373" t="s">
        <v>922</v>
      </c>
      <c r="F991" s="2373"/>
      <c r="G991" s="2604"/>
      <c r="H991" s="2652" t="str">
        <f>IF(I979="","",HYPERLINK(INDEX(EUconst_BMlistSpecialJumpTable,MATCH(I979,EUconst_BMlistNames,0)),INDEX(EUconst_BMlistSpecialReporting,MATCH(I979,EUconst_BMlistNames,0))))</f>
        <v/>
      </c>
      <c r="I991" s="2689"/>
      <c r="J991" s="2689"/>
      <c r="K991" s="2689"/>
      <c r="L991" s="2689"/>
      <c r="M991" s="2689"/>
      <c r="N991" s="2690"/>
      <c r="O991" s="485"/>
      <c r="P991" s="485"/>
      <c r="Q991" s="1633" t="s">
        <v>122</v>
      </c>
      <c r="R991" s="1443" t="str">
        <f>IF(I979="","",IF(AND(INDEX(EUconst_BMlistSpecialJumpTable,MATCH(I979,EUconst_BMlistNames,0))&lt;&gt;"",MATCH(I979,EUconst_BMlistNames,0)&lt;&gt;47),TRUE,FALSE))</f>
        <v/>
      </c>
      <c r="S991" s="1435"/>
      <c r="T991" s="1435"/>
    </row>
    <row r="992" spans="1:38" ht="12.75" customHeight="1">
      <c r="B992" s="479"/>
      <c r="C992" s="479"/>
      <c r="D992" s="485"/>
      <c r="E992" s="2385" t="s">
        <v>923</v>
      </c>
      <c r="F992" s="2846"/>
      <c r="G992" s="2846"/>
      <c r="H992" s="2846"/>
      <c r="I992" s="2846"/>
      <c r="J992" s="2846"/>
      <c r="K992" s="2846"/>
      <c r="L992" s="2846"/>
      <c r="M992" s="2846"/>
      <c r="N992" s="2846"/>
      <c r="O992" s="485"/>
      <c r="P992" s="485"/>
      <c r="Q992" s="1435"/>
      <c r="S992" s="1435"/>
      <c r="T992" s="1435"/>
    </row>
    <row r="993" spans="1:38" ht="5.0999999999999996" customHeight="1">
      <c r="B993" s="479"/>
      <c r="C993" s="479"/>
      <c r="D993" s="485"/>
      <c r="E993" s="485"/>
      <c r="F993" s="485"/>
      <c r="G993" s="485"/>
      <c r="H993" s="485"/>
      <c r="I993" s="485"/>
      <c r="J993" s="485"/>
      <c r="K993" s="485"/>
      <c r="L993" s="485"/>
      <c r="M993" s="485"/>
      <c r="N993" s="485"/>
      <c r="O993" s="485"/>
      <c r="P993" s="485"/>
      <c r="Q993" s="1435"/>
      <c r="S993" s="1435"/>
      <c r="T993" s="1435"/>
      <c r="Z993" s="1435"/>
      <c r="AL993" s="1435"/>
    </row>
    <row r="994" spans="1:38" ht="12.75" customHeight="1">
      <c r="B994" s="479"/>
      <c r="C994" s="479"/>
      <c r="D994" s="482" t="s">
        <v>876</v>
      </c>
      <c r="E994" s="2373" t="s">
        <v>1709</v>
      </c>
      <c r="F994" s="2400"/>
      <c r="G994" s="2400"/>
      <c r="H994" s="2400"/>
      <c r="I994" s="2400"/>
      <c r="J994" s="2400"/>
      <c r="K994" s="2400"/>
      <c r="L994" s="2400"/>
      <c r="M994" s="2400"/>
      <c r="N994" s="2400"/>
      <c r="O994" s="485"/>
      <c r="P994" s="485"/>
      <c r="Q994" s="1435"/>
      <c r="S994" s="1435"/>
      <c r="T994" s="1435"/>
      <c r="Z994" s="1435"/>
      <c r="AL994" s="1435"/>
    </row>
    <row r="995" spans="1:38" ht="12.75" customHeight="1">
      <c r="B995" s="479"/>
      <c r="C995" s="479"/>
      <c r="D995" s="485"/>
      <c r="E995" s="2385" t="s">
        <v>1958</v>
      </c>
      <c r="F995" s="2846"/>
      <c r="G995" s="2846"/>
      <c r="H995" s="2846"/>
      <c r="I995" s="2846"/>
      <c r="J995" s="2846"/>
      <c r="K995" s="2846"/>
      <c r="L995" s="2846"/>
      <c r="M995" s="2846"/>
      <c r="N995" s="2846"/>
      <c r="O995" s="485"/>
      <c r="P995" s="485"/>
      <c r="Q995" s="1435"/>
      <c r="S995" s="1435"/>
      <c r="T995" s="1435"/>
      <c r="U995" s="1435"/>
    </row>
    <row r="996" spans="1:38" ht="25.5" customHeight="1">
      <c r="B996" s="479"/>
      <c r="C996" s="479"/>
      <c r="D996" s="485"/>
      <c r="E996" s="2385" t="s">
        <v>1696</v>
      </c>
      <c r="F996" s="2846"/>
      <c r="G996" s="2846"/>
      <c r="H996" s="2846"/>
      <c r="I996" s="2846"/>
      <c r="J996" s="2846"/>
      <c r="K996" s="2846"/>
      <c r="L996" s="2846"/>
      <c r="M996" s="2846"/>
      <c r="N996" s="2846"/>
      <c r="O996" s="485"/>
      <c r="P996" s="485"/>
      <c r="Q996" s="1435"/>
      <c r="S996" s="1435"/>
      <c r="T996" s="1435"/>
      <c r="U996" s="1435"/>
    </row>
    <row r="997" spans="1:38" ht="12.75" customHeight="1">
      <c r="B997" s="479"/>
      <c r="C997" s="479"/>
      <c r="D997" s="485"/>
      <c r="E997" s="901" t="s">
        <v>1021</v>
      </c>
      <c r="F997" s="3050" t="s">
        <v>2734</v>
      </c>
      <c r="G997" s="2584"/>
      <c r="H997" s="2584"/>
      <c r="I997" s="2584"/>
      <c r="J997" s="2584"/>
      <c r="K997" s="2584"/>
      <c r="L997" s="2584"/>
      <c r="M997" s="2584"/>
      <c r="N997" s="2584"/>
      <c r="O997" s="485"/>
      <c r="P997" s="485"/>
      <c r="Q997" s="1435"/>
      <c r="S997" s="1435"/>
      <c r="T997" s="1435"/>
      <c r="U997" s="1435"/>
    </row>
    <row r="998" spans="1:38" ht="12.75" customHeight="1" thickBot="1">
      <c r="B998" s="479"/>
      <c r="C998" s="479"/>
      <c r="D998" s="485"/>
      <c r="E998" s="901" t="s">
        <v>1021</v>
      </c>
      <c r="F998" s="3050" t="s">
        <v>1985</v>
      </c>
      <c r="G998" s="2584"/>
      <c r="H998" s="2584"/>
      <c r="I998" s="2584"/>
      <c r="J998" s="2584"/>
      <c r="K998" s="2584"/>
      <c r="L998" s="2584"/>
      <c r="M998" s="2584"/>
      <c r="N998" s="2584"/>
      <c r="O998" s="485"/>
      <c r="P998" s="485"/>
      <c r="Q998" s="1435"/>
      <c r="S998" s="1435"/>
      <c r="T998" s="1435"/>
      <c r="U998" s="1435"/>
    </row>
    <row r="999" spans="1:38" ht="5.0999999999999996" customHeight="1" thickBot="1">
      <c r="B999" s="479"/>
      <c r="C999" s="479"/>
      <c r="D999" s="902"/>
      <c r="E999" s="903"/>
      <c r="F999" s="904"/>
      <c r="G999" s="905"/>
      <c r="H999" s="905"/>
      <c r="I999" s="905"/>
      <c r="J999" s="906"/>
      <c r="K999" s="1798"/>
      <c r="L999" s="1798"/>
      <c r="M999" s="1798"/>
      <c r="N999" s="1798"/>
      <c r="O999" s="485"/>
      <c r="P999" s="485"/>
      <c r="Q999" s="1435"/>
      <c r="S999" s="1435"/>
      <c r="T999" s="1435"/>
      <c r="U999" s="1435"/>
    </row>
    <row r="1000" spans="1:38" ht="12.75" customHeight="1">
      <c r="B1000" s="479"/>
      <c r="C1000" s="479"/>
      <c r="D1000" s="907"/>
      <c r="E1000" s="908" t="s">
        <v>1690</v>
      </c>
      <c r="F1000" s="909"/>
      <c r="G1000" s="909"/>
      <c r="H1000" s="910" t="str">
        <f>EUconst_Unit</f>
        <v>Unit</v>
      </c>
      <c r="I1000" s="911" t="s">
        <v>2220</v>
      </c>
      <c r="J1000" s="1647">
        <f>J$3242</f>
        <v>2026</v>
      </c>
      <c r="K1000" s="1490">
        <f>K$3242</f>
        <v>2027</v>
      </c>
      <c r="L1000" s="1490">
        <f>L$3242</f>
        <v>2028</v>
      </c>
      <c r="M1000" s="1490">
        <f>M$3242</f>
        <v>2029</v>
      </c>
      <c r="N1000" s="1490">
        <f>N$3242</f>
        <v>2030</v>
      </c>
      <c r="O1000" s="485"/>
      <c r="P1000" s="485"/>
      <c r="Q1000" s="1435"/>
      <c r="U1000" s="1648"/>
      <c r="V1000" s="1649">
        <f>J1000</f>
        <v>2026</v>
      </c>
      <c r="W1000" s="1649">
        <f>K1000</f>
        <v>2027</v>
      </c>
      <c r="X1000" s="1649">
        <f>L1000</f>
        <v>2028</v>
      </c>
      <c r="Y1000" s="1649">
        <f>M1000</f>
        <v>2029</v>
      </c>
      <c r="Z1000" s="1650">
        <f>N1000</f>
        <v>2030</v>
      </c>
    </row>
    <row r="1001" spans="1:38" ht="12.75" customHeight="1">
      <c r="B1001" s="479"/>
      <c r="C1001" s="479"/>
      <c r="D1001" s="915" t="s">
        <v>6</v>
      </c>
      <c r="E1001" s="916" t="s">
        <v>1976</v>
      </c>
      <c r="F1001" s="916"/>
      <c r="G1001" s="916"/>
      <c r="H1001" s="639" t="str">
        <f>IF(INDEX(CNTR_SubInstListIsProdBM,$C979),INDEX(CNTR_SubInstListHALUnit,$C979),EUconst_Tons)</f>
        <v>tonnes</v>
      </c>
      <c r="I1001" s="917" t="str">
        <f>IF(V979&gt;($J$3242-3),EUconst_NA,INDEX('B+C_SubInstallations'!$I:$I,MATCH(Q1001,'B+C_SubInstallations'!$T:$T,0)))</f>
        <v/>
      </c>
      <c r="J1001" s="1651" t="str">
        <f>IF(AND(V1001&gt;=3,CNTR_ReportingYear&gt;J1000-1),AVERAGE(H989:I989),"")</f>
        <v/>
      </c>
      <c r="K1001" s="1799" t="str">
        <f>IF(AND(W1001&gt;=3,CNTR_ReportingYear&gt;K1000-1),AVERAGE(I989:J989),"")</f>
        <v/>
      </c>
      <c r="L1001" s="1799" t="str">
        <f>IF(AND(X1001&gt;=3,CNTR_ReportingYear&gt;L1000-1),AVERAGE(J989:K989),"")</f>
        <v/>
      </c>
      <c r="M1001" s="1799" t="str">
        <f>IF(AND(Y1001&gt;=3,CNTR_ReportingYear&gt;M1000-1),AVERAGE(K989:L989),"")</f>
        <v/>
      </c>
      <c r="N1001" s="1799" t="str">
        <f>IF(AND(Z1001&gt;=3,CNTR_ReportingYear&gt;N1000-1),AVERAGE(L989:M989),"")</f>
        <v/>
      </c>
      <c r="O1001" s="485"/>
      <c r="P1001" s="485"/>
      <c r="Q1001" s="1641" t="str">
        <f>EUconst_CNTR_HALinitial&amp;I979</f>
        <v>HALini_</v>
      </c>
      <c r="U1001" s="1653" t="s">
        <v>1650</v>
      </c>
      <c r="V1001" s="1635">
        <f>IF($I979="",0,V1000-$V979+1)</f>
        <v>0</v>
      </c>
      <c r="W1001" s="1635">
        <f>IF($I979="",0,W1000-$V979+1)</f>
        <v>0</v>
      </c>
      <c r="X1001" s="1635">
        <f>IF($I979="",0,X1000-$V979+1)</f>
        <v>0</v>
      </c>
      <c r="Y1001" s="1635">
        <f>IF($I979="",0,Y1000-$V979+1)</f>
        <v>0</v>
      </c>
      <c r="Z1001" s="1654">
        <f>IF($I979="",0,Z1000-$V979+1)</f>
        <v>0</v>
      </c>
    </row>
    <row r="1002" spans="1:38" ht="12.75" hidden="1" customHeight="1">
      <c r="A1002" s="618" t="s">
        <v>2289</v>
      </c>
      <c r="B1002" s="479"/>
      <c r="C1002" s="479"/>
      <c r="D1002" s="918"/>
      <c r="E1002" s="919" t="s">
        <v>1648</v>
      </c>
      <c r="F1002" s="919"/>
      <c r="G1002" s="919"/>
      <c r="H1002" s="920"/>
      <c r="I1002" s="1655"/>
      <c r="J1002" s="16" t="str">
        <f>IF(J1001="","",IF($I1004=0,IF(J1001=0,0%,100%),J1001/$I1004-1))</f>
        <v/>
      </c>
      <c r="K1002" s="22" t="str">
        <f>IF(K1001="","",IF($I1004=0,IF(K1001=0,0%,100%),K1001/$I1004-1))</f>
        <v/>
      </c>
      <c r="L1002" s="22" t="str">
        <f>IF(L1001="","",IF($I1004=0,IF(L1001=0,0%,100%),L1001/$I1004-1))</f>
        <v/>
      </c>
      <c r="M1002" s="22" t="str">
        <f>IF(M1001="","",IF($I1004=0,IF(M1001=0,0%,100%),M1001/$I1004-1))</f>
        <v/>
      </c>
      <c r="N1002" s="22" t="str">
        <f>IF(N1001="","",IF($I1004=0,IF(N1001=0,0%,100%),N1001/$I1004-1))</f>
        <v/>
      </c>
      <c r="O1002" s="485"/>
      <c r="P1002" s="485"/>
      <c r="Q1002" s="1644" t="str">
        <f>EUconst_CNTR_RelThreshold &amp; Q1004</f>
        <v>RelThresh_HALprelim_</v>
      </c>
      <c r="U1002" s="1653" t="s">
        <v>1655</v>
      </c>
      <c r="V1002" s="1158" t="str">
        <f>IF(J1001="","",ABS(J1002)&gt;15%)</f>
        <v/>
      </c>
      <c r="W1002" s="1158" t="str">
        <f>IF(K1001="","",ABS(K1002)&gt;15%)</f>
        <v/>
      </c>
      <c r="X1002" s="1158" t="str">
        <f>IF(L1001="","",ABS(L1002)&gt;15%)</f>
        <v/>
      </c>
      <c r="Y1002" s="1158" t="str">
        <f>IF(M1001="","",ABS(M1002)&gt;15%)</f>
        <v/>
      </c>
      <c r="Z1002" s="1656" t="str">
        <f>IF(N1001="","",ABS(N1002)&gt;15%)</f>
        <v/>
      </c>
      <c r="AL1002" s="1435"/>
    </row>
    <row r="1003" spans="1:38" ht="12.75" customHeight="1">
      <c r="A1003" s="618"/>
      <c r="B1003" s="479"/>
      <c r="C1003" s="479"/>
      <c r="D1003" s="915" t="s">
        <v>7</v>
      </c>
      <c r="E1003" s="916" t="s">
        <v>1654</v>
      </c>
      <c r="F1003" s="916"/>
      <c r="G1003" s="916"/>
      <c r="H1003" s="921"/>
      <c r="I1003" s="1657"/>
      <c r="J1003" s="1658" t="str">
        <f>IF(J1001="","",IF(V1002=FALSE,0%,IF(V1003,J1002,I1009)))</f>
        <v/>
      </c>
      <c r="K1003" s="1795" t="str">
        <f>IF(K1001="","",IF(W1002=FALSE,0%,IF(W1003,K1002,J1009)))</f>
        <v/>
      </c>
      <c r="L1003" s="1795" t="str">
        <f>IF(L1001="","",IF(X1002=FALSE,0%,IF(X1003,L1002,K1009)))</f>
        <v/>
      </c>
      <c r="M1003" s="1795" t="str">
        <f>IF(M1001="","",IF(Y1002=FALSE,0%,IF(Y1003,M1002,L1009)))</f>
        <v/>
      </c>
      <c r="N1003" s="1795" t="str">
        <f>IF(N1001="","",IF(Z1002=FALSE,0%,IF(Z1003,N1002,M1009)))</f>
        <v/>
      </c>
      <c r="O1003" s="485"/>
      <c r="P1003" s="485"/>
      <c r="U1003" s="1653" t="s">
        <v>1656</v>
      </c>
      <c r="V1003" s="1158" t="str">
        <f>IF(J1001="","",AND(V1002,IF(SUM(I1009)&lt;0,OR(SUM(J1002)&lt;SUM(I1009)-MOD(SUM(I1009),5%),J1002&gt;=SUM(I1009)+5%-MOD(SUM(I1009),5%)),OR(SUM(J1002)&lt;=SUM(I1009)-MOD(SUM(I1009),5%),SUM(J1002)&gt;SUM(I1009)+5%-MOD(SUM(I1009),5%)))))</f>
        <v/>
      </c>
      <c r="W1003" s="1158" t="str">
        <f>IF(K1001="","",AND(W1002,IF(SUM(J1009)&lt;0,OR(SUM(K1002)&lt;SUM(J1009)-MOD(SUM(J1009),5%),K1002&gt;=SUM(J1009)+5%-MOD(SUM(J1009),5%)),OR(SUM(K1002)&lt;=SUM(J1009)-MOD(SUM(J1009),5%),SUM(K1002)&gt;SUM(J1009)+5%-MOD(SUM(J1009),5%)))))</f>
        <v/>
      </c>
      <c r="X1003" s="1158" t="str">
        <f>IF(L1001="","",AND(X1002,IF(SUM(K1009)&lt;0,OR(SUM(L1002)&lt;SUM(K1009)-MOD(SUM(K1009),5%),L1002&gt;=SUM(K1009)+5%-MOD(SUM(K1009),5%)),OR(SUM(L1002)&lt;=SUM(K1009)-MOD(SUM(K1009),5%),SUM(L1002)&gt;SUM(K1009)+5%-MOD(SUM(K1009),5%)))))</f>
        <v/>
      </c>
      <c r="Y1003" s="1158" t="str">
        <f>IF(M1001="","",AND(Y1002,IF(SUM(L1009)&lt;0,OR(SUM(M1002)&lt;SUM(L1009)-MOD(SUM(L1009),5%),M1002&gt;=SUM(L1009)+5%-MOD(SUM(L1009),5%)),OR(SUM(M1002)&lt;=SUM(L1009)-MOD(SUM(L1009),5%),SUM(M1002)&gt;SUM(L1009)+5%-MOD(SUM(L1009),5%)))))</f>
        <v/>
      </c>
      <c r="Z1003" s="1656" t="str">
        <f>IF(N1001="","",AND(Z1002,IF(SUM(M1009)&lt;0,OR(SUM(N1002)&lt;SUM(M1009)-MOD(SUM(M1009),5%),N1002&gt;=SUM(M1009)+5%-MOD(SUM(M1009),5%)),OR(SUM(N1002)&lt;=SUM(M1009)-MOD(SUM(M1009),5%),SUM(N1002)&gt;SUM(M1009)+5%-MOD(SUM(M1009),5%)))))</f>
        <v/>
      </c>
      <c r="AL1003" s="1435"/>
    </row>
    <row r="1004" spans="1:38" ht="12.75" hidden="1" customHeight="1">
      <c r="A1004" s="618" t="s">
        <v>2289</v>
      </c>
      <c r="B1004" s="479"/>
      <c r="C1004" s="479"/>
      <c r="D1004" s="918"/>
      <c r="E1004" s="916" t="s">
        <v>1689</v>
      </c>
      <c r="F1004" s="916"/>
      <c r="G1004" s="916"/>
      <c r="H1004" s="639" t="str">
        <f>H1001</f>
        <v>tonnes</v>
      </c>
      <c r="I1004" s="917" t="str">
        <f>IF(I979="","",IF(AB979=FALSE,EUconst_NA,IF(V979&gt;($J$3242-3),INDEX(H989:N989,MATCH(V979,H986:N986,0)),SUM(I1001))))</f>
        <v/>
      </c>
      <c r="J1004" s="1651" t="str">
        <f>IF($I979="","",IF(V1001&lt;2,SUM(J989),IF(V1001&lt;3,SUM(I989),IF(V1004="",I1004,V1004))))</f>
        <v/>
      </c>
      <c r="K1004" s="1799" t="str">
        <f>IF($I979="","",IF(W1001&lt;2,SUM(K989),IF(W1001&lt;3,SUM(J989),IF(W1004="",J1004,W1004))))</f>
        <v/>
      </c>
      <c r="L1004" s="1799" t="str">
        <f>IF($I979="","",IF(X1001&lt;2,SUM(L989),IF(X1001&lt;3,SUM(K989),IF(X1004="",K1004,X1004))))</f>
        <v/>
      </c>
      <c r="M1004" s="1799" t="str">
        <f>IF($I979="","",IF(Y1001&lt;2,SUM(M989),IF(Y1001&lt;3,SUM(L989),IF(Y1004="",L1004,Y1004))))</f>
        <v/>
      </c>
      <c r="N1004" s="1799" t="str">
        <f>IF($I979="","",IF(Z1001&lt;2,SUM(N989),IF(Z1001&lt;3,SUM(M989),IF(Z1004="",M1004,Z1004))))</f>
        <v/>
      </c>
      <c r="O1004" s="485"/>
      <c r="P1004" s="485"/>
      <c r="Q1004" s="1641" t="str">
        <f>EUconst_CNTR_HALprelim&amp;I979</f>
        <v>HALprelim_</v>
      </c>
      <c r="U1004" s="1653" t="s">
        <v>1697</v>
      </c>
      <c r="V1004" s="1660" t="str">
        <f>IF(J1001="","",IF(CNTR_ReportingYear&lt;J1000,I1003,IF($I1004=0,J1001,$I1004*(1+J1003))))</f>
        <v/>
      </c>
      <c r="W1004" s="1660" t="str">
        <f>IF(K1001="","",IF(CNTR_ReportingYear&lt;K1000,J1003,IF($I1004=0,K1001,$I1004*(1+K1003))))</f>
        <v/>
      </c>
      <c r="X1004" s="1660" t="str">
        <f>IF(L1001="","",IF(CNTR_ReportingYear&lt;L1000,K1003,IF($I1004=0,L1001,$I1004*(1+L1003))))</f>
        <v/>
      </c>
      <c r="Y1004" s="1660" t="str">
        <f>IF(M1001="","",IF(CNTR_ReportingYear&lt;M1000,L1003,IF($I1004=0,M1001,$I1004*(1+M1003))))</f>
        <v/>
      </c>
      <c r="Z1004" s="1661" t="str">
        <f>IF(N1001="","",IF(CNTR_ReportingYear&lt;N1000,M1003,IF($I1004=0,N1001,$I1004*(1+N1003))))</f>
        <v/>
      </c>
      <c r="AL1004" s="1435"/>
    </row>
    <row r="1005" spans="1:38" ht="5.0999999999999996" customHeight="1">
      <c r="A1005" s="618"/>
      <c r="B1005" s="479"/>
      <c r="C1005" s="479"/>
      <c r="D1005" s="918"/>
      <c r="E1005" s="909"/>
      <c r="F1005" s="909"/>
      <c r="G1005" s="909"/>
      <c r="H1005" s="909"/>
      <c r="I1005" s="909"/>
      <c r="J1005" s="922"/>
      <c r="K1005" s="1791"/>
      <c r="L1005" s="1791"/>
      <c r="M1005" s="1791"/>
      <c r="N1005" s="1791"/>
      <c r="O1005" s="485"/>
      <c r="P1005" s="485"/>
      <c r="Q1005" s="1435"/>
      <c r="U1005" s="1663"/>
      <c r="V1005" s="1435"/>
      <c r="Z1005" s="1664"/>
      <c r="AL1005" s="1435"/>
    </row>
    <row r="1006" spans="1:38" ht="12.75" customHeight="1">
      <c r="A1006" s="618"/>
      <c r="B1006" s="479"/>
      <c r="C1006" s="479"/>
      <c r="D1006" s="918"/>
      <c r="E1006" s="923" t="s">
        <v>1653</v>
      </c>
      <c r="F1006" s="923"/>
      <c r="G1006" s="923"/>
      <c r="H1006" s="923"/>
      <c r="I1006" s="923"/>
      <c r="J1006" s="1647">
        <f>J$3242</f>
        <v>2026</v>
      </c>
      <c r="K1006" s="1490">
        <f>K$3242</f>
        <v>2027</v>
      </c>
      <c r="L1006" s="1490">
        <f>L$3242</f>
        <v>2028</v>
      </c>
      <c r="M1006" s="1490">
        <f>M$3242</f>
        <v>2029</v>
      </c>
      <c r="N1006" s="1490">
        <f>N$3242</f>
        <v>2030</v>
      </c>
      <c r="O1006" s="485"/>
      <c r="P1006" s="485"/>
      <c r="Q1006" s="1435"/>
      <c r="U1006" s="1665"/>
      <c r="Z1006" s="1664"/>
      <c r="AL1006" s="1435"/>
    </row>
    <row r="1007" spans="1:38" ht="12.75" customHeight="1">
      <c r="A1007" s="618"/>
      <c r="B1007" s="479"/>
      <c r="C1007" s="479"/>
      <c r="D1007" s="915" t="s">
        <v>8</v>
      </c>
      <c r="E1007" s="916" t="s">
        <v>2108</v>
      </c>
      <c r="F1007" s="916"/>
      <c r="G1007" s="916"/>
      <c r="H1007" s="916"/>
      <c r="I1007" s="916"/>
      <c r="J1007" s="1666" t="str">
        <f>IF($I979="","",INDEX(K_Summary!J:J,MATCH($Q1007,K_Summary!$P:$P,0)))</f>
        <v/>
      </c>
      <c r="K1007" s="1791" t="str">
        <f>IF($I979="","",INDEX(K_Summary!K:K,MATCH($Q1007,K_Summary!$P:$P,0)))</f>
        <v/>
      </c>
      <c r="L1007" s="1791" t="str">
        <f>IF($I979="","",INDEX(K_Summary!L:L,MATCH($Q1007,K_Summary!$P:$P,0)))</f>
        <v/>
      </c>
      <c r="M1007" s="1791" t="str">
        <f>IF($I979="","",INDEX(K_Summary!M:M,MATCH($Q1007,K_Summary!$P:$P,0)))</f>
        <v/>
      </c>
      <c r="N1007" s="1791" t="str">
        <f>IF($I979="","",INDEX(K_Summary!N:N,MATCH($Q1007,K_Summary!$P:$P,0)))</f>
        <v/>
      </c>
      <c r="O1007" s="485"/>
      <c r="P1007" s="485"/>
      <c r="Q1007" s="1641" t="str">
        <f>EUconst_CNTR_100EUA_ActivityLevel&amp;I979</f>
        <v>EUA100AL_</v>
      </c>
      <c r="U1007" s="1665"/>
      <c r="V1007" s="8"/>
      <c r="W1007" s="8"/>
      <c r="X1007" s="8"/>
      <c r="Y1007" s="8"/>
      <c r="Z1007" s="1664"/>
      <c r="AL1007" s="1435"/>
    </row>
    <row r="1008" spans="1:38" ht="5.0999999999999996" customHeight="1" thickBot="1">
      <c r="A1008" s="618"/>
      <c r="B1008" s="479"/>
      <c r="C1008" s="479"/>
      <c r="D1008" s="918"/>
      <c r="E1008" s="909"/>
      <c r="F1008" s="909"/>
      <c r="G1008" s="909"/>
      <c r="H1008" s="909"/>
      <c r="I1008" s="909"/>
      <c r="J1008" s="922"/>
      <c r="K1008" s="1791"/>
      <c r="L1008" s="1791"/>
      <c r="M1008" s="1791"/>
      <c r="N1008" s="1791"/>
      <c r="O1008" s="485"/>
      <c r="P1008" s="485"/>
      <c r="Q1008" s="1435"/>
      <c r="U1008" s="1663"/>
      <c r="V1008" s="1435"/>
      <c r="Z1008" s="1664"/>
      <c r="AL1008" s="1435"/>
    </row>
    <row r="1009" spans="1:42" ht="12.75" customHeight="1" thickBot="1">
      <c r="B1009" s="479"/>
      <c r="C1009" s="479"/>
      <c r="D1009" s="915" t="s">
        <v>18</v>
      </c>
      <c r="E1009" s="916" t="s">
        <v>1657</v>
      </c>
      <c r="F1009" s="916"/>
      <c r="G1009" s="916"/>
      <c r="H1009" s="921"/>
      <c r="I1009" s="1667"/>
      <c r="J1009" s="1668" t="str">
        <f>IF(J1007="","",IF(J1000&gt;$Z979,-100%,IF(OR(J1007,V1001&lt;1),J1003,I1009)))</f>
        <v/>
      </c>
      <c r="K1009" s="1796" t="str">
        <f>IF(K1007="","",IF(K1000&gt;$Z979,-100%,IF(OR(K1007,W1001&lt;1),K1003,J1009)))</f>
        <v/>
      </c>
      <c r="L1009" s="1796" t="str">
        <f>IF(L1007="","",IF(L1000&gt;$Z979,-100%,IF(OR(L1007,X1001&lt;1),L1003,K1009)))</f>
        <v/>
      </c>
      <c r="M1009" s="1796" t="str">
        <f>IF(M1007="","",IF(M1000&gt;$Z979,-100%,IF(OR(M1007,Y1001&lt;1),M1003,L1009)))</f>
        <v/>
      </c>
      <c r="N1009" s="1796" t="str">
        <f>IF(N1007="","",IF(N1000&gt;$Z979,-100%,IF(OR(N1007,Z1001&lt;1),N1003,M1009)))</f>
        <v/>
      </c>
      <c r="O1009" s="485"/>
      <c r="P1009" s="1136"/>
      <c r="Q1009" s="1644" t="str">
        <f>EUconst_CNTR_HALAdjPct &amp; I979</f>
        <v>HALAdjPct_</v>
      </c>
      <c r="U1009" s="1663" t="s">
        <v>1658</v>
      </c>
      <c r="V1009" s="1670">
        <f>J1006</f>
        <v>2026</v>
      </c>
      <c r="W1009" s="1670">
        <f>K1006</f>
        <v>2027</v>
      </c>
      <c r="X1009" s="1670">
        <f>L1006</f>
        <v>2028</v>
      </c>
      <c r="Y1009" s="1670">
        <f>M1006</f>
        <v>2029</v>
      </c>
      <c r="Z1009" s="1671">
        <f>N1006</f>
        <v>2030</v>
      </c>
      <c r="AL1009" s="1435"/>
    </row>
    <row r="1010" spans="1:42" ht="12.75" customHeight="1" thickBot="1">
      <c r="A1010" s="618"/>
      <c r="B1010" s="479"/>
      <c r="C1010" s="479"/>
      <c r="D1010" s="915" t="s">
        <v>787</v>
      </c>
      <c r="E1010" s="916" t="s">
        <v>1659</v>
      </c>
      <c r="F1010" s="916"/>
      <c r="G1010" s="916"/>
      <c r="H1010" s="639" t="str">
        <f>H1001</f>
        <v>tonnes</v>
      </c>
      <c r="I1010" s="917" t="str">
        <f>I1004</f>
        <v/>
      </c>
      <c r="J1010" s="1672" t="str">
        <f>IF($I979="","",IF(OR($I1010=0,J1009="",$I1010=EUconst_NA),IF(OR(J1007=TRUE,J1006&lt;=$V979),J1004,SUM(I1010)),$I1010*(1+SUM(J1009))))</f>
        <v/>
      </c>
      <c r="K1010" s="1800" t="str">
        <f>IF($I979="","",IF(OR($I1010=0,K1009="",$I1010=EUconst_NA),IF(OR(K1007=TRUE,K1006&lt;=$V979),K1004,SUM(J1010)),$I1010*(1+SUM(K1009))))</f>
        <v/>
      </c>
      <c r="L1010" s="1800" t="str">
        <f>IF($I979="","",IF(OR($I1010=0,L1009="",$I1010=EUconst_NA),IF(OR(L1007=TRUE,L1006&lt;=$V979),L1004,SUM(K1010)),$I1010*(1+SUM(L1009))))</f>
        <v/>
      </c>
      <c r="M1010" s="1800" t="str">
        <f>IF($I979="","",IF(OR($I1010=0,M1009="",$I1010=EUconst_NA),IF(OR(M1007=TRUE,M1006&lt;=$V979),M1004,SUM(L1010)),$I1010*(1+SUM(M1009))))</f>
        <v/>
      </c>
      <c r="N1010" s="1800" t="str">
        <f>IF($I979="","",IF(OR($I1010=0,N1009="",$I1010=EUconst_NA),IF(OR(N1007=TRUE,N1006&lt;=$V979),N1004,SUM(M1010)),$I1010*(1+SUM(N1009))))</f>
        <v/>
      </c>
      <c r="O1010" s="485"/>
      <c r="P1010" s="485"/>
      <c r="Q1010" s="1641" t="str">
        <f>EUconst_CNTR_HALfinal&amp;I979</f>
        <v>HALfinal_</v>
      </c>
      <c r="U1010" s="1674" t="b">
        <v>0</v>
      </c>
      <c r="V1010" s="1675" t="str">
        <f>IF(V987,IF(J1007=TRUE,V1002,U1010),"")</f>
        <v/>
      </c>
      <c r="W1010" s="1675" t="str">
        <f>IF(W987,IF(K1007=TRUE,W1002,V1010),"")</f>
        <v/>
      </c>
      <c r="X1010" s="1675" t="str">
        <f>IF(X987,IF(L1007=TRUE,X1002,W1010),"")</f>
        <v/>
      </c>
      <c r="Y1010" s="1675" t="str">
        <f>IF(Y987,IF(M1007=TRUE,Y1002,X1010),"")</f>
        <v/>
      </c>
      <c r="Z1010" s="1676" t="str">
        <f>IF(Z987,IF(N1007=TRUE,Z1002,Y1010),"")</f>
        <v/>
      </c>
      <c r="AJ1010" s="1633" t="s">
        <v>1951</v>
      </c>
      <c r="AK1010" s="1443" t="str">
        <f>IF(OR(ISERROR(J1010),ISERROR(K1010),ISERROR(L1010),ISERROR(M1010),ISERROR(N1010)),EUconst_Error &amp; "BM" &amp; Q979,"")</f>
        <v/>
      </c>
      <c r="AL1010" s="1435"/>
    </row>
    <row r="1011" spans="1:42" ht="5.0999999999999996" customHeight="1" thickBot="1">
      <c r="B1011" s="479"/>
      <c r="C1011" s="479"/>
      <c r="D1011" s="924"/>
      <c r="E1011" s="925"/>
      <c r="F1011" s="925"/>
      <c r="G1011" s="925"/>
      <c r="H1011" s="925"/>
      <c r="I1011" s="925"/>
      <c r="J1011" s="926"/>
      <c r="K1011" s="1791"/>
      <c r="L1011" s="1791"/>
      <c r="M1011" s="1791"/>
      <c r="N1011" s="1791"/>
      <c r="O1011" s="485"/>
      <c r="P1011" s="485"/>
      <c r="Q1011" s="1435"/>
      <c r="U1011" s="1435"/>
      <c r="V1011" s="1435"/>
      <c r="AL1011" s="1435"/>
    </row>
    <row r="1012" spans="1:42" ht="5.0999999999999996" customHeight="1">
      <c r="B1012" s="479"/>
      <c r="C1012" s="479"/>
      <c r="D1012" s="485"/>
      <c r="E1012" s="485"/>
      <c r="F1012" s="485"/>
      <c r="G1012" s="485"/>
      <c r="H1012" s="485"/>
      <c r="I1012" s="485"/>
      <c r="J1012" s="485"/>
      <c r="K1012" s="485"/>
      <c r="L1012" s="485"/>
      <c r="M1012" s="485"/>
      <c r="N1012" s="485"/>
      <c r="O1012" s="485"/>
      <c r="P1012" s="485"/>
      <c r="Q1012" s="1435"/>
      <c r="U1012" s="1435"/>
      <c r="V1012" s="1435"/>
      <c r="AL1012" s="1435"/>
    </row>
    <row r="1013" spans="1:42" ht="15" customHeight="1">
      <c r="B1013" s="1124"/>
      <c r="C1013" s="479"/>
      <c r="D1013" s="2482" t="s">
        <v>1229</v>
      </c>
      <c r="E1013" s="2400"/>
      <c r="F1013" s="2400"/>
      <c r="G1013" s="2400"/>
      <c r="H1013" s="2400"/>
      <c r="I1013" s="2400"/>
      <c r="J1013" s="2400"/>
      <c r="K1013" s="2400"/>
      <c r="L1013" s="2400"/>
      <c r="M1013" s="2400"/>
      <c r="N1013" s="2400"/>
      <c r="O1013" s="485"/>
      <c r="P1013" s="485"/>
      <c r="U1013" s="1435"/>
      <c r="V1013" s="1435"/>
    </row>
    <row r="1014" spans="1:42" ht="5.0999999999999996" customHeight="1">
      <c r="B1014" s="479"/>
      <c r="C1014" s="479"/>
      <c r="D1014" s="479"/>
      <c r="E1014" s="479"/>
      <c r="F1014" s="479"/>
      <c r="G1014" s="479"/>
      <c r="H1014" s="479"/>
      <c r="I1014" s="479"/>
      <c r="J1014" s="479"/>
      <c r="K1014" s="479"/>
      <c r="L1014" s="479"/>
      <c r="M1014" s="479"/>
      <c r="N1014" s="479"/>
      <c r="O1014" s="485"/>
      <c r="P1014" s="485"/>
      <c r="Q1014" s="1435"/>
      <c r="U1014" s="1435"/>
      <c r="V1014" s="1435"/>
    </row>
    <row r="1015" spans="1:42" ht="12.75" customHeight="1">
      <c r="B1015" s="1124"/>
      <c r="C1015" s="485"/>
      <c r="D1015" s="482" t="s">
        <v>48</v>
      </c>
      <c r="E1015" s="2373" t="s">
        <v>800</v>
      </c>
      <c r="F1015" s="2400"/>
      <c r="G1015" s="2400"/>
      <c r="H1015" s="2400"/>
      <c r="I1015" s="2585"/>
      <c r="J1015" s="2652" t="str">
        <f>IF(I979="","",IF(T1015,EUconst_MsgEnterThisSection,HYPERLINK(R1015,EUconst_MsgGoOn)))</f>
        <v/>
      </c>
      <c r="K1015" s="2653"/>
      <c r="L1015" s="2653"/>
      <c r="M1015" s="2653"/>
      <c r="N1015" s="2654"/>
      <c r="O1015" s="485"/>
      <c r="P1015" s="485"/>
      <c r="Q1015" s="1198" t="s">
        <v>441</v>
      </c>
      <c r="R1015" s="1488" t="str">
        <f>"#"&amp;ADDRESS(ROW(D1043),COLUMN(D1043))</f>
        <v>#$D$1043</v>
      </c>
      <c r="S1015" s="1633" t="s">
        <v>1674</v>
      </c>
      <c r="T1015" s="1644" t="str">
        <f>IF(I979="","",INDEX(EUconst_BMlistElExchangability,MATCH(I979,EUconst_BMlistNames,0)))</f>
        <v/>
      </c>
      <c r="U1015" s="1435"/>
      <c r="V1015" s="1435"/>
    </row>
    <row r="1016" spans="1:42" ht="12.75" customHeight="1">
      <c r="B1016" s="479"/>
      <c r="C1016" s="479"/>
      <c r="D1016" s="485"/>
      <c r="E1016" s="2385" t="s">
        <v>1241</v>
      </c>
      <c r="F1016" s="2846"/>
      <c r="G1016" s="2846"/>
      <c r="H1016" s="2846"/>
      <c r="I1016" s="2846"/>
      <c r="J1016" s="2846"/>
      <c r="K1016" s="2846"/>
      <c r="L1016" s="2846"/>
      <c r="M1016" s="2846"/>
      <c r="N1016" s="2846"/>
      <c r="O1016" s="485"/>
      <c r="P1016" s="485"/>
      <c r="U1016" s="1435"/>
      <c r="V1016" s="1435"/>
    </row>
    <row r="1017" spans="1:42" ht="12.75" customHeight="1">
      <c r="B1017" s="479"/>
      <c r="C1017" s="479"/>
      <c r="D1017" s="485"/>
      <c r="E1017" s="2385" t="s">
        <v>1526</v>
      </c>
      <c r="F1017" s="2846"/>
      <c r="G1017" s="2846"/>
      <c r="H1017" s="2846"/>
      <c r="I1017" s="2846"/>
      <c r="J1017" s="2846"/>
      <c r="K1017" s="2846"/>
      <c r="L1017" s="2846"/>
      <c r="M1017" s="2846"/>
      <c r="N1017" s="2846"/>
      <c r="O1017" s="485"/>
      <c r="P1017" s="485"/>
      <c r="Q1017" s="1435"/>
      <c r="U1017" s="1435"/>
      <c r="V1017" s="1435"/>
      <c r="W1017" s="1435"/>
      <c r="X1017" s="1435"/>
      <c r="Y1017" s="1435"/>
      <c r="Z1017" s="1435"/>
    </row>
    <row r="1018" spans="1:42" ht="25.5" customHeight="1">
      <c r="B1018" s="479"/>
      <c r="C1018" s="479"/>
      <c r="D1018" s="485"/>
      <c r="E1018" s="2385" t="s">
        <v>1635</v>
      </c>
      <c r="F1018" s="2846"/>
      <c r="G1018" s="2846"/>
      <c r="H1018" s="2846"/>
      <c r="I1018" s="2846"/>
      <c r="J1018" s="2846"/>
      <c r="K1018" s="2846"/>
      <c r="L1018" s="2846"/>
      <c r="M1018" s="2846"/>
      <c r="N1018" s="2846"/>
      <c r="O1018" s="485"/>
      <c r="P1018" s="485"/>
      <c r="Q1018" s="1435"/>
      <c r="U1018" s="1435"/>
      <c r="V1018" s="1435"/>
      <c r="W1018" s="1435"/>
      <c r="X1018" s="1435"/>
      <c r="Y1018" s="1435"/>
      <c r="Z1018" s="1435"/>
    </row>
    <row r="1019" spans="1:42" s="562" customFormat="1" ht="13.5" thickBot="1">
      <c r="A1019" s="618"/>
      <c r="B1019" s="485"/>
      <c r="C1019" s="485"/>
      <c r="D1019" s="482"/>
      <c r="E1019" s="927" t="s">
        <v>62</v>
      </c>
      <c r="F1019" s="518"/>
      <c r="G1019" s="663" t="str">
        <f>EUconst_Unit</f>
        <v>Unit</v>
      </c>
      <c r="H1019" s="578">
        <f>H$3242</f>
        <v>2024</v>
      </c>
      <c r="I1019" s="697">
        <f>I$3242</f>
        <v>2025</v>
      </c>
      <c r="J1019" s="1489">
        <f>J$112</f>
        <v>2026</v>
      </c>
      <c r="K1019" s="1490">
        <f>K$112</f>
        <v>2027</v>
      </c>
      <c r="L1019" s="1490">
        <f>L$112</f>
        <v>2028</v>
      </c>
      <c r="M1019" s="1490">
        <f>M$112</f>
        <v>2029</v>
      </c>
      <c r="N1019" s="1490">
        <f>N$112</f>
        <v>2030</v>
      </c>
      <c r="O1019" s="485"/>
      <c r="P1019" s="485"/>
      <c r="Q1019" s="1435"/>
      <c r="R1019" s="1435"/>
      <c r="S1019" s="1198"/>
      <c r="T1019" s="1198"/>
      <c r="U1019" s="1435"/>
      <c r="V1019" s="1435"/>
      <c r="W1019" s="1435"/>
      <c r="X1019" s="1435"/>
      <c r="Y1019" s="1435"/>
      <c r="Z1019" s="1435"/>
      <c r="AA1019" s="1435"/>
      <c r="AB1019" s="1198"/>
      <c r="AC1019" s="1638">
        <f t="shared" ref="AC1019:AI1019" si="466">H$20</f>
        <v>2024</v>
      </c>
      <c r="AD1019" s="1638">
        <f t="shared" si="466"/>
        <v>2025</v>
      </c>
      <c r="AE1019" s="1638">
        <f t="shared" si="466"/>
        <v>2026</v>
      </c>
      <c r="AF1019" s="1638">
        <f t="shared" si="466"/>
        <v>2027</v>
      </c>
      <c r="AG1019" s="1638">
        <f t="shared" si="466"/>
        <v>2028</v>
      </c>
      <c r="AH1019" s="1638">
        <f t="shared" si="466"/>
        <v>2029</v>
      </c>
      <c r="AI1019" s="1638">
        <f t="shared" si="466"/>
        <v>2030</v>
      </c>
      <c r="AJ1019" s="1198"/>
      <c r="AK1019" s="1198"/>
      <c r="AL1019" s="1198"/>
      <c r="AP1019" s="1135"/>
    </row>
    <row r="1020" spans="1:42" s="562" customFormat="1" ht="13.5" customHeight="1">
      <c r="A1020" s="618"/>
      <c r="B1020" s="485"/>
      <c r="C1020" s="485"/>
      <c r="D1020" s="561" t="s">
        <v>6</v>
      </c>
      <c r="E1020" s="863" t="s">
        <v>63</v>
      </c>
      <c r="F1020" s="863"/>
      <c r="G1020" s="579" t="str">
        <f>EUconst_tCO2pa</f>
        <v>t CO2 / year</v>
      </c>
      <c r="H1020" s="1678" t="str">
        <f>c_ALR2025!M3666</f>
        <v/>
      </c>
      <c r="I1020" s="1879"/>
      <c r="J1020" s="1786"/>
      <c r="K1020" s="1787"/>
      <c r="L1020" s="1787"/>
      <c r="M1020" s="1787"/>
      <c r="N1020" s="1787"/>
      <c r="O1020" s="485"/>
      <c r="P1020" s="9"/>
      <c r="Q1020" s="1435"/>
      <c r="R1020" s="1435"/>
      <c r="S1020" s="1198"/>
      <c r="T1020" s="1198"/>
      <c r="U1020" s="1435"/>
      <c r="V1020" s="1435"/>
      <c r="W1020" s="1435"/>
      <c r="X1020" s="1435"/>
      <c r="Y1020" s="1435"/>
      <c r="Z1020" s="1435"/>
      <c r="AA1020" s="1435"/>
      <c r="AB1020" s="1641" t="s">
        <v>717</v>
      </c>
      <c r="AC1020" s="1855" t="b">
        <f t="shared" ref="AC1020:AI1020" si="467">IF(CNTR_ExistSubInstEntries,IF($I979="",TRUE,OR(H1019&gt;=CNTR_ReportingYear,AC1019&lt;$V979-1,INDEX(EUconst_BMlistElExchangability,MATCH($I979,EUconst_BMlistNames,0))=FALSE)),FALSE)</f>
        <v>0</v>
      </c>
      <c r="AD1020" s="1680" t="b">
        <f t="shared" si="467"/>
        <v>0</v>
      </c>
      <c r="AE1020" s="1680" t="b">
        <f t="shared" si="467"/>
        <v>0</v>
      </c>
      <c r="AF1020" s="1680" t="b">
        <f t="shared" si="467"/>
        <v>0</v>
      </c>
      <c r="AG1020" s="1680" t="b">
        <f t="shared" si="467"/>
        <v>0</v>
      </c>
      <c r="AH1020" s="1680" t="b">
        <f t="shared" si="467"/>
        <v>0</v>
      </c>
      <c r="AI1020" s="1681" t="b">
        <f t="shared" si="467"/>
        <v>0</v>
      </c>
      <c r="AJ1020" s="1633" t="s">
        <v>1954</v>
      </c>
      <c r="AK1020" s="1635" t="str">
        <f>IF(AND(CNTR_ExistSubInstEntries,COUNTIFS(AC1020:AI1020,FALSE,H1020:N1020,"")&gt;0),EUconst_Error&amp;"BM"&amp;$Q979,"")</f>
        <v/>
      </c>
      <c r="AL1020" s="1198"/>
      <c r="AP1020" s="1135"/>
    </row>
    <row r="1021" spans="1:42" s="562" customFormat="1" ht="12.75" customHeight="1">
      <c r="A1021" s="618"/>
      <c r="B1021" s="485"/>
      <c r="C1021" s="485"/>
      <c r="D1021" s="561" t="s">
        <v>7</v>
      </c>
      <c r="E1021" s="865" t="s">
        <v>257</v>
      </c>
      <c r="F1021" s="865"/>
      <c r="G1021" s="582" t="str">
        <f>EUconst_TJpa</f>
        <v>TJ / year</v>
      </c>
      <c r="H1021" s="662" t="str">
        <f t="shared" ref="H1021:N1021" si="468">IF(AND($I979&lt;&gt;"",H1019&lt;CNTR_ReportingYear),IF(INDEX(EUconst_BMlistElExchangability,MATCH($I979,EUconst_BMlistNames,0)),SUM(H1192),""),"")</f>
        <v/>
      </c>
      <c r="I1021" s="931" t="str">
        <f t="shared" si="468"/>
        <v/>
      </c>
      <c r="J1021" s="1788" t="str">
        <f t="shared" si="468"/>
        <v/>
      </c>
      <c r="K1021" s="1789" t="str">
        <f t="shared" si="468"/>
        <v/>
      </c>
      <c r="L1021" s="1789" t="str">
        <f t="shared" si="468"/>
        <v/>
      </c>
      <c r="M1021" s="1789" t="str">
        <f t="shared" si="468"/>
        <v/>
      </c>
      <c r="N1021" s="1789" t="str">
        <f t="shared" si="468"/>
        <v/>
      </c>
      <c r="O1021" s="485"/>
      <c r="P1021" s="485"/>
      <c r="Q1021" s="1435"/>
      <c r="R1021" s="1435"/>
      <c r="S1021" s="1198"/>
      <c r="T1021" s="1198">
        <f t="shared" ref="T1021:Z1021" si="469">H1019</f>
        <v>2024</v>
      </c>
      <c r="U1021" s="1435">
        <f t="shared" si="469"/>
        <v>2025</v>
      </c>
      <c r="V1021" s="1435">
        <f t="shared" si="469"/>
        <v>2026</v>
      </c>
      <c r="W1021" s="1435">
        <f t="shared" si="469"/>
        <v>2027</v>
      </c>
      <c r="X1021" s="1435">
        <f t="shared" si="469"/>
        <v>2028</v>
      </c>
      <c r="Y1021" s="1435">
        <f t="shared" si="469"/>
        <v>2029</v>
      </c>
      <c r="Z1021" s="1435">
        <f t="shared" si="469"/>
        <v>2030</v>
      </c>
      <c r="AA1021" s="1435"/>
      <c r="AB1021" s="1435"/>
      <c r="AC1021" s="1665"/>
      <c r="AD1021" s="1435"/>
      <c r="AE1021" s="1435"/>
      <c r="AF1021" s="1435"/>
      <c r="AG1021" s="1435"/>
      <c r="AH1021" s="1435"/>
      <c r="AI1021" s="1683"/>
      <c r="AJ1021" s="1435"/>
      <c r="AK1021" s="1435"/>
      <c r="AL1021" s="1198"/>
      <c r="AP1021" s="1135"/>
    </row>
    <row r="1022" spans="1:42" s="562" customFormat="1" ht="12.75" customHeight="1" thickBot="1">
      <c r="A1022" s="618"/>
      <c r="B1022" s="485"/>
      <c r="C1022" s="485"/>
      <c r="D1022" s="561" t="s">
        <v>8</v>
      </c>
      <c r="E1022" s="932" t="s">
        <v>914</v>
      </c>
      <c r="F1022" s="932"/>
      <c r="G1022" s="933" t="str">
        <f>EUconst_MWhpa</f>
        <v>MWh / year</v>
      </c>
      <c r="H1022" s="1582" t="str">
        <f>c_ALR2025!M3668</f>
        <v/>
      </c>
      <c r="I1022" s="1880"/>
      <c r="J1022" s="1491"/>
      <c r="K1022" s="1492"/>
      <c r="L1022" s="1492"/>
      <c r="M1022" s="1492"/>
      <c r="N1022" s="1492"/>
      <c r="O1022" s="485"/>
      <c r="P1022" s="9"/>
      <c r="Q1022" s="1644" t="str">
        <f>EUconst_CNTR_HAL&amp;EUconst_CNTR_ELEXCH</f>
        <v>HAL_ELEXCH_</v>
      </c>
      <c r="R1022" s="1644" t="str">
        <f>EUconst_CNTR_HAL&amp;EUconst_CNTR_ELEXCH &amp; I979</f>
        <v>HAL_ELEXCH_</v>
      </c>
      <c r="S1022" s="1198" t="str">
        <f>EUconst_CNTR_AttributedEmissions &amp; I979</f>
        <v>AttrEmissions_</v>
      </c>
      <c r="T1022" s="1198" t="str">
        <f t="shared" ref="T1022:Z1022" si="470">IF(T987,SUM(H1022)*EUconst_ElBM,"")</f>
        <v/>
      </c>
      <c r="U1022" s="1435" t="str">
        <f t="shared" si="470"/>
        <v/>
      </c>
      <c r="V1022" s="1435" t="str">
        <f t="shared" si="470"/>
        <v/>
      </c>
      <c r="W1022" s="1435" t="str">
        <f t="shared" si="470"/>
        <v/>
      </c>
      <c r="X1022" s="1435" t="str">
        <f t="shared" si="470"/>
        <v/>
      </c>
      <c r="Y1022" s="1435" t="str">
        <f t="shared" si="470"/>
        <v/>
      </c>
      <c r="Z1022" s="1435" t="str">
        <f t="shared" si="470"/>
        <v/>
      </c>
      <c r="AA1022" s="1435"/>
      <c r="AB1022" s="1435"/>
      <c r="AC1022" s="1685" t="b">
        <f>AC1020</f>
        <v>0</v>
      </c>
      <c r="AD1022" s="1686" t="b">
        <f t="shared" ref="AD1022:AI1022" si="471">AD1020</f>
        <v>0</v>
      </c>
      <c r="AE1022" s="1686" t="b">
        <f t="shared" si="471"/>
        <v>0</v>
      </c>
      <c r="AF1022" s="1686" t="b">
        <f t="shared" si="471"/>
        <v>0</v>
      </c>
      <c r="AG1022" s="1686" t="b">
        <f t="shared" si="471"/>
        <v>0</v>
      </c>
      <c r="AH1022" s="1686" t="b">
        <f t="shared" si="471"/>
        <v>0</v>
      </c>
      <c r="AI1022" s="1687" t="b">
        <f t="shared" si="471"/>
        <v>0</v>
      </c>
      <c r="AJ1022" s="1633" t="s">
        <v>1954</v>
      </c>
      <c r="AK1022" s="1635" t="str">
        <f>IF(AND(CNTR_ExistSubInstEntries,COUNTIFS(AC1022:AI1022,FALSE,H1022:N1022,"")&gt;0),EUconst_Error&amp;"BM"&amp;$Q979,"")</f>
        <v/>
      </c>
      <c r="AL1022" s="1198"/>
      <c r="AP1022" s="1135"/>
    </row>
    <row r="1023" spans="1:42" s="562" customFormat="1" ht="13.5" customHeight="1">
      <c r="A1023" s="618"/>
      <c r="B1023" s="485"/>
      <c r="C1023" s="485"/>
      <c r="D1023" s="561" t="s">
        <v>18</v>
      </c>
      <c r="E1023" s="863" t="s">
        <v>915</v>
      </c>
      <c r="F1023" s="863"/>
      <c r="G1023" s="579" t="str">
        <f>EUconst_tCO2pa</f>
        <v>t CO2 / year</v>
      </c>
      <c r="H1023" s="929" t="str">
        <f t="shared" ref="H1023:N1023" si="472">IF(ISNUMBER(H1020),H1020+SUM(H1021)*EUconst_HeatBMvalue,"")</f>
        <v/>
      </c>
      <c r="I1023" s="930" t="str">
        <f t="shared" si="472"/>
        <v/>
      </c>
      <c r="J1023" s="1786" t="str">
        <f t="shared" si="472"/>
        <v/>
      </c>
      <c r="K1023" s="1787" t="str">
        <f t="shared" si="472"/>
        <v/>
      </c>
      <c r="L1023" s="1787" t="str">
        <f t="shared" si="472"/>
        <v/>
      </c>
      <c r="M1023" s="1787" t="str">
        <f t="shared" si="472"/>
        <v/>
      </c>
      <c r="N1023" s="1787" t="str">
        <f t="shared" si="472"/>
        <v/>
      </c>
      <c r="O1023" s="485"/>
      <c r="P1023" s="485"/>
      <c r="Q1023" s="1435"/>
      <c r="R1023" s="1435"/>
      <c r="S1023" s="1198"/>
      <c r="T1023" s="1198"/>
      <c r="U1023" s="1435"/>
      <c r="V1023" s="1435"/>
      <c r="W1023" s="1435"/>
      <c r="X1023" s="1435"/>
      <c r="Y1023" s="1435"/>
      <c r="Z1023" s="1435"/>
      <c r="AA1023" s="1435"/>
      <c r="AB1023" s="1435"/>
      <c r="AC1023" s="1435"/>
      <c r="AD1023" s="1435"/>
      <c r="AE1023" s="1435"/>
      <c r="AF1023" s="1435"/>
      <c r="AG1023" s="1435"/>
      <c r="AH1023" s="1435"/>
      <c r="AI1023" s="1435"/>
      <c r="AJ1023" s="1435"/>
      <c r="AK1023" s="1435"/>
      <c r="AL1023" s="1198"/>
      <c r="AP1023" s="1135"/>
    </row>
    <row r="1024" spans="1:42" s="562" customFormat="1" ht="13.5" customHeight="1">
      <c r="A1024" s="618"/>
      <c r="B1024" s="485"/>
      <c r="C1024" s="485"/>
      <c r="D1024" s="561" t="s">
        <v>787</v>
      </c>
      <c r="E1024" s="867" t="s">
        <v>916</v>
      </c>
      <c r="F1024" s="867"/>
      <c r="G1024" s="584" t="str">
        <f>EUconst_tCO2pa</f>
        <v>t CO2 / year</v>
      </c>
      <c r="H1024" s="935" t="str">
        <f t="shared" ref="H1024:N1024" si="473">IF(ISNUMBER(H1022),H1022*EUconst_ElBM,"")</f>
        <v/>
      </c>
      <c r="I1024" s="936" t="str">
        <f t="shared" si="473"/>
        <v/>
      </c>
      <c r="J1024" s="1786" t="str">
        <f t="shared" si="473"/>
        <v/>
      </c>
      <c r="K1024" s="1787" t="str">
        <f t="shared" si="473"/>
        <v/>
      </c>
      <c r="L1024" s="1787" t="str">
        <f t="shared" si="473"/>
        <v/>
      </c>
      <c r="M1024" s="1787" t="str">
        <f t="shared" si="473"/>
        <v/>
      </c>
      <c r="N1024" s="1787" t="str">
        <f t="shared" si="473"/>
        <v/>
      </c>
      <c r="O1024" s="485"/>
      <c r="P1024" s="485"/>
      <c r="Q1024" s="1435"/>
      <c r="R1024" s="1435"/>
      <c r="S1024" s="1198"/>
      <c r="T1024" s="1198"/>
      <c r="U1024" s="1435"/>
      <c r="V1024" s="1435"/>
      <c r="W1024" s="1435"/>
      <c r="X1024" s="1435"/>
      <c r="Y1024" s="1435"/>
      <c r="Z1024" s="1435"/>
      <c r="AA1024" s="1435"/>
      <c r="AB1024" s="1435"/>
      <c r="AC1024" s="1435"/>
      <c r="AD1024" s="1435"/>
      <c r="AE1024" s="1435"/>
      <c r="AF1024" s="1435"/>
      <c r="AG1024" s="1435"/>
      <c r="AH1024" s="1435"/>
      <c r="AI1024" s="1435"/>
      <c r="AJ1024" s="1435"/>
      <c r="AK1024" s="1435"/>
      <c r="AL1024" s="1198"/>
      <c r="AP1024" s="1135"/>
    </row>
    <row r="1025" spans="1:38" ht="5.0999999999999996" customHeight="1">
      <c r="B1025" s="479"/>
      <c r="C1025" s="479"/>
      <c r="D1025" s="479"/>
      <c r="E1025" s="479"/>
      <c r="F1025" s="479"/>
      <c r="G1025" s="479"/>
      <c r="H1025" s="479"/>
      <c r="I1025" s="479"/>
      <c r="J1025" s="1790"/>
      <c r="K1025" s="1791"/>
      <c r="L1025" s="1791"/>
      <c r="M1025" s="1791"/>
      <c r="N1025" s="1791"/>
      <c r="O1025" s="485"/>
      <c r="P1025" s="485"/>
      <c r="Q1025" s="1435"/>
      <c r="U1025" s="1435"/>
      <c r="V1025" s="1435"/>
      <c r="W1025" s="1435"/>
      <c r="X1025" s="1435"/>
      <c r="Y1025" s="1435"/>
      <c r="Z1025" s="1435"/>
    </row>
    <row r="1026" spans="1:38" ht="12.75" customHeight="1">
      <c r="B1026" s="479"/>
      <c r="C1026" s="479"/>
      <c r="D1026" s="561" t="s">
        <v>788</v>
      </c>
      <c r="E1026" s="698" t="s">
        <v>1389</v>
      </c>
      <c r="F1026" s="938"/>
      <c r="G1026" s="939" t="s">
        <v>1021</v>
      </c>
      <c r="H1026" s="940" t="str">
        <f t="shared" ref="H1026:N1026" si="474">IF(COUNT(H1023:H1024)&gt;0,SUM(H1023)/SUM(H1023:H1024),IF($T1015=TRUE,IF(H1019&gt;CNTR_ReportingYear,"",1),""))</f>
        <v/>
      </c>
      <c r="I1026" s="941" t="str">
        <f t="shared" si="474"/>
        <v/>
      </c>
      <c r="J1026" s="1792" t="str">
        <f t="shared" si="474"/>
        <v/>
      </c>
      <c r="K1026" s="1793" t="str">
        <f t="shared" si="474"/>
        <v/>
      </c>
      <c r="L1026" s="1793" t="str">
        <f t="shared" si="474"/>
        <v/>
      </c>
      <c r="M1026" s="1793" t="str">
        <f t="shared" si="474"/>
        <v/>
      </c>
      <c r="N1026" s="1793" t="str">
        <f t="shared" si="474"/>
        <v/>
      </c>
      <c r="O1026" s="485"/>
      <c r="P1026" s="485"/>
      <c r="Q1026" s="1644" t="str">
        <f>EUconst_CNTR_ELEXCH &amp; I979</f>
        <v>ELEXCH_</v>
      </c>
    </row>
    <row r="1027" spans="1:38" ht="5.0999999999999996" customHeight="1">
      <c r="B1027" s="479"/>
      <c r="C1027" s="479"/>
      <c r="D1027" s="479"/>
      <c r="E1027" s="479"/>
      <c r="F1027" s="479"/>
      <c r="G1027" s="479"/>
      <c r="H1027" s="479"/>
      <c r="I1027" s="479"/>
      <c r="J1027" s="479"/>
      <c r="K1027" s="479"/>
      <c r="L1027" s="479"/>
      <c r="M1027" s="485"/>
      <c r="N1027" s="485"/>
      <c r="O1027" s="485"/>
      <c r="P1027" s="485"/>
      <c r="Q1027" s="1435"/>
    </row>
    <row r="1028" spans="1:38" ht="25.5" customHeight="1" thickBot="1">
      <c r="B1028" s="479"/>
      <c r="C1028" s="479"/>
      <c r="D1028" s="485"/>
      <c r="E1028" s="2385" t="s">
        <v>2733</v>
      </c>
      <c r="F1028" s="2846"/>
      <c r="G1028" s="2846"/>
      <c r="H1028" s="2846"/>
      <c r="I1028" s="2846"/>
      <c r="J1028" s="2846"/>
      <c r="K1028" s="2846"/>
      <c r="L1028" s="2846"/>
      <c r="M1028" s="2846"/>
      <c r="N1028" s="2846"/>
      <c r="O1028" s="485"/>
      <c r="P1028" s="485"/>
      <c r="Q1028" s="1435"/>
      <c r="S1028" s="1435"/>
      <c r="T1028" s="1435"/>
      <c r="U1028" s="1435"/>
    </row>
    <row r="1029" spans="1:38" ht="5.0999999999999996" customHeight="1" thickBot="1">
      <c r="B1029" s="479"/>
      <c r="C1029" s="479"/>
      <c r="D1029" s="902"/>
      <c r="E1029" s="942"/>
      <c r="F1029" s="942"/>
      <c r="G1029" s="942"/>
      <c r="H1029" s="942"/>
      <c r="I1029" s="942"/>
      <c r="J1029" s="943"/>
      <c r="K1029" s="1791"/>
      <c r="L1029" s="1791"/>
      <c r="M1029" s="1791"/>
      <c r="N1029" s="1791"/>
      <c r="O1029" s="485"/>
      <c r="P1029" s="485"/>
      <c r="Q1029" s="1435"/>
      <c r="S1029" s="1435"/>
      <c r="T1029" s="1435"/>
      <c r="U1029" s="1435"/>
    </row>
    <row r="1030" spans="1:38" ht="12.75" customHeight="1">
      <c r="B1030" s="479"/>
      <c r="C1030" s="479"/>
      <c r="D1030" s="907" t="s">
        <v>1915</v>
      </c>
      <c r="E1030" s="908" t="s">
        <v>1775</v>
      </c>
      <c r="F1030" s="909"/>
      <c r="G1030" s="909"/>
      <c r="H1030" s="910" t="str">
        <f>EUconst_Unit</f>
        <v>Unit</v>
      </c>
      <c r="I1030" s="911" t="s">
        <v>2220</v>
      </c>
      <c r="J1030" s="1647">
        <f>J$3242</f>
        <v>2026</v>
      </c>
      <c r="K1030" s="1490">
        <f>K$3242</f>
        <v>2027</v>
      </c>
      <c r="L1030" s="1490">
        <f>L$3242</f>
        <v>2028</v>
      </c>
      <c r="M1030" s="1490">
        <f>M$3242</f>
        <v>2029</v>
      </c>
      <c r="N1030" s="1490">
        <f>N$3242</f>
        <v>2030</v>
      </c>
      <c r="O1030" s="485"/>
      <c r="P1030" s="485"/>
      <c r="Q1030" s="1435"/>
      <c r="U1030" s="1648"/>
      <c r="V1030" s="1649">
        <f>J1030</f>
        <v>2026</v>
      </c>
      <c r="W1030" s="1649">
        <f>K1030</f>
        <v>2027</v>
      </c>
      <c r="X1030" s="1649">
        <f>L1030</f>
        <v>2028</v>
      </c>
      <c r="Y1030" s="1649">
        <f>M1030</f>
        <v>2029</v>
      </c>
      <c r="Z1030" s="1650">
        <f>N1030</f>
        <v>2030</v>
      </c>
      <c r="AL1030" s="1435"/>
    </row>
    <row r="1031" spans="1:38" ht="12.75" customHeight="1">
      <c r="B1031" s="479"/>
      <c r="C1031" s="479"/>
      <c r="D1031" s="915" t="s">
        <v>6</v>
      </c>
      <c r="E1031" s="916" t="s">
        <v>1691</v>
      </c>
      <c r="F1031" s="916"/>
      <c r="G1031" s="916"/>
      <c r="H1031" s="944" t="str">
        <f>G1026</f>
        <v>-</v>
      </c>
      <c r="I1031" s="945" t="str">
        <f>IF($T1015&lt;&gt;TRUE,"",INDEX('B+C_SubInstallations'!$L:$L,MATCH(Q1031,'B+C_SubInstallations'!$W:$W,0)))</f>
        <v/>
      </c>
      <c r="J1031" s="1691" t="str">
        <f>IF($T1015&lt;&gt;TRUE,"",IF(AND(V1031&gt;=3,CNTR_ReportingYear&gt;J1030-1),AVERAGE(SUM(H1026),SUM(I1026)),""))</f>
        <v/>
      </c>
      <c r="K1031" s="1794" t="str">
        <f>IF($T1015&lt;&gt;TRUE,"",IF(AND(W1031&gt;=3,CNTR_ReportingYear&gt;K1030-1),AVERAGE(SUM(I1026),SUM(J1026)),""))</f>
        <v/>
      </c>
      <c r="L1031" s="1794" t="str">
        <f>IF($T1015&lt;&gt;TRUE,"",IF(AND(X1031&gt;=3,CNTR_ReportingYear&gt;L1030-1),AVERAGE(SUM(J1026),SUM(K1026)),""))</f>
        <v/>
      </c>
      <c r="M1031" s="1794" t="str">
        <f>IF($T1015&lt;&gt;TRUE,"",IF(AND(Y1031&gt;=3,CNTR_ReportingYear&gt;M1030-1),AVERAGE(SUM(K1026),SUM(L1026)),""))</f>
        <v/>
      </c>
      <c r="N1031" s="1794" t="str">
        <f>IF($T1015&lt;&gt;TRUE,"",IF(AND(Z1031&gt;=3,CNTR_ReportingYear&gt;N1030-1),AVERAGE(SUM(L1026),SUM(M1026)),""))</f>
        <v/>
      </c>
      <c r="O1031" s="485"/>
      <c r="P1031" s="485"/>
      <c r="Q1031" s="1644" t="str">
        <f>EUconst_CNTR_HAL &amp; EUconst_CNTR_ELEXCHInitial &amp; I979</f>
        <v>HAL_ELEXCHIni_</v>
      </c>
      <c r="U1031" s="1693" t="s">
        <v>1650</v>
      </c>
      <c r="V1031" s="1635">
        <f>V1001</f>
        <v>0</v>
      </c>
      <c r="W1031" s="1635">
        <f>W1001</f>
        <v>0</v>
      </c>
      <c r="X1031" s="1635">
        <f>X1001</f>
        <v>0</v>
      </c>
      <c r="Y1031" s="1635">
        <f>Y1001</f>
        <v>0</v>
      </c>
      <c r="Z1031" s="1654">
        <f>Z1001</f>
        <v>0</v>
      </c>
      <c r="AL1031" s="1435"/>
    </row>
    <row r="1032" spans="1:38" ht="12.75" hidden="1" customHeight="1">
      <c r="A1032" s="618" t="s">
        <v>2289</v>
      </c>
      <c r="B1032" s="479"/>
      <c r="C1032" s="479"/>
      <c r="D1032" s="915"/>
      <c r="E1032" s="916" t="s">
        <v>1776</v>
      </c>
      <c r="F1032" s="916"/>
      <c r="G1032" s="916"/>
      <c r="H1032" s="921"/>
      <c r="I1032" s="1657"/>
      <c r="J1032" s="17" t="str">
        <f>IF(J1031="","",IF($I1034=0,IF(J1031=0,0%,100%),J1031/$I1034-1))</f>
        <v/>
      </c>
      <c r="K1032" s="22" t="str">
        <f>IF(K1031="","",IF($I1034=0,IF(K1031=0,0%,100%),K1031/$I1034-1))</f>
        <v/>
      </c>
      <c r="L1032" s="22" t="str">
        <f>IF(L1031="","",IF($I1034=0,IF(L1031=0,0%,100%),L1031/$I1034-1))</f>
        <v/>
      </c>
      <c r="M1032" s="22" t="str">
        <f>IF(M1031="","",IF($I1034=0,IF(M1031=0,0%,100%),M1031/$I1034-1))</f>
        <v/>
      </c>
      <c r="N1032" s="22" t="str">
        <f>IF(N1031="","",IF($I1034=0,IF(N1031=0,0%,100%),N1031/$I1034-1))</f>
        <v/>
      </c>
      <c r="O1032" s="485"/>
      <c r="P1032" s="485"/>
      <c r="Q1032" s="1644" t="str">
        <f>EUconst_CNTR_RelThreshold &amp; Q1034</f>
        <v>RelThresh_HALprelim_ELEXCH_</v>
      </c>
      <c r="U1032" s="1693" t="s">
        <v>1655</v>
      </c>
      <c r="V1032" s="1158" t="str">
        <f>IF(J1031="","",ABS(J1032)&gt;15%)</f>
        <v/>
      </c>
      <c r="W1032" s="1158" t="str">
        <f>IF(K1031="","",ABS(K1032)&gt;15%)</f>
        <v/>
      </c>
      <c r="X1032" s="1158" t="str">
        <f>IF(L1031="","",ABS(L1032)&gt;15%)</f>
        <v/>
      </c>
      <c r="Y1032" s="1158" t="str">
        <f>IF(M1031="","",ABS(M1032)&gt;15%)</f>
        <v/>
      </c>
      <c r="Z1032" s="1656" t="str">
        <f>IF(N1031="","",ABS(N1032)&gt;15%)</f>
        <v/>
      </c>
      <c r="AL1032" s="1435"/>
    </row>
    <row r="1033" spans="1:38" ht="12.75" customHeight="1">
      <c r="A1033" s="618"/>
      <c r="B1033" s="479"/>
      <c r="C1033" s="479"/>
      <c r="D1033" s="915" t="s">
        <v>7</v>
      </c>
      <c r="E1033" s="916" t="s">
        <v>1654</v>
      </c>
      <c r="F1033" s="916"/>
      <c r="G1033" s="916"/>
      <c r="H1033" s="921"/>
      <c r="I1033" s="1657"/>
      <c r="J1033" s="1658" t="str">
        <f>IF(J1031="","",IF(V1032=FALSE,0%,J1032))</f>
        <v/>
      </c>
      <c r="K1033" s="1795" t="str">
        <f>IF(K1031="","",IF(W1032=FALSE,0%,K1032))</f>
        <v/>
      </c>
      <c r="L1033" s="1795" t="str">
        <f>IF(L1031="","",IF(X1032=FALSE,0%,L1032))</f>
        <v/>
      </c>
      <c r="M1033" s="1795" t="str">
        <f>IF(M1031="","",IF(Y1032=FALSE,0%,M1032))</f>
        <v/>
      </c>
      <c r="N1033" s="1795" t="str">
        <f>IF(N1031="","",IF(Z1032=FALSE,0%,N1032))</f>
        <v/>
      </c>
      <c r="O1033" s="485"/>
      <c r="P1033" s="485"/>
      <c r="Q1033" s="1435"/>
      <c r="U1033" s="1694"/>
      <c r="Z1033" s="1664"/>
      <c r="AL1033" s="1435"/>
    </row>
    <row r="1034" spans="1:38" ht="12.75" hidden="1" customHeight="1">
      <c r="A1034" s="618" t="s">
        <v>2289</v>
      </c>
      <c r="B1034" s="479"/>
      <c r="C1034" s="479"/>
      <c r="D1034" s="915"/>
      <c r="E1034" s="916" t="s">
        <v>1689</v>
      </c>
      <c r="F1034" s="916"/>
      <c r="G1034" s="916"/>
      <c r="H1034" s="944" t="str">
        <f>H1031</f>
        <v>-</v>
      </c>
      <c r="I1034" s="945" t="str">
        <f>IF($T1015&lt;&gt;TRUE,"",IF(AB979=FALSE,EUconst_NA,IF(V979&gt;($J$3242-3),INDEX(H1026:N1026,MATCH(V979,H1019:N1019,0)),SUM(I1031))))</f>
        <v/>
      </c>
      <c r="J1034" s="1695" t="str">
        <f>IF(OR($I979="",$T1015=FALSE),"",IF(V1031&lt;2,SUM(J1026),IF(V1031&lt;3,SUM(I1026),IF(V1034="",I1034,V1034))))</f>
        <v/>
      </c>
      <c r="K1034" s="1794" t="str">
        <f>IF(OR($I979="",$T1015=FALSE),"",IF(W1031&lt;2,SUM(K1026),IF(W1031&lt;3,SUM(J1026),IF(W1034="",J1034,W1034))))</f>
        <v/>
      </c>
      <c r="L1034" s="1794" t="str">
        <f>IF(OR($I979="",$T1015=FALSE),"",IF(X1031&lt;2,SUM(L1026),IF(X1031&lt;3,SUM(K1026),IF(X1034="",K1034,X1034))))</f>
        <v/>
      </c>
      <c r="M1034" s="1794" t="str">
        <f>IF(OR($I979="",$T1015=FALSE),"",IF(Y1031&lt;2,SUM(M1026),IF(Y1031&lt;3,SUM(L1026),IF(Y1034="",L1034,Y1034))))</f>
        <v/>
      </c>
      <c r="N1034" s="1794" t="str">
        <f>IF(OR($I979="",$T1015=FALSE),"",IF(Z1031&lt;2,SUM(N1026),IF(Z1031&lt;3,SUM(M1026),IF(Z1034="",M1034,Z1034))))</f>
        <v/>
      </c>
      <c r="O1034" s="485"/>
      <c r="P1034" s="485"/>
      <c r="Q1034" s="1644" t="str">
        <f>EUconst_CNTR_HALprelim&amp;EUconst_CNTR_ELEXCH &amp; I979</f>
        <v>HALprelim_ELEXCH_</v>
      </c>
      <c r="U1034" s="1693" t="s">
        <v>1697</v>
      </c>
      <c r="V1034" s="1696" t="str">
        <f>IF(J1031="","",IF(CNTR_ReportingYear&lt;J1030,I1033,IF($I1034=0,J1031,$I1034*(1+J1033))))</f>
        <v/>
      </c>
      <c r="W1034" s="1696" t="str">
        <f>IF(K1031="","",IF(CNTR_ReportingYear&lt;K1030,J1033,IF($I1034=0,K1031,$I1034*(1+K1033))))</f>
        <v/>
      </c>
      <c r="X1034" s="1696" t="str">
        <f>IF(L1031="","",IF(CNTR_ReportingYear&lt;L1030,K1033,IF($I1034=0,L1031,$I1034*(1+L1033))))</f>
        <v/>
      </c>
      <c r="Y1034" s="1696" t="str">
        <f>IF(M1031="","",IF(CNTR_ReportingYear&lt;M1030,L1033,IF($I1034=0,M1031,$I1034*(1+M1033))))</f>
        <v/>
      </c>
      <c r="Z1034" s="1697" t="str">
        <f>IF(N1031="","",IF(CNTR_ReportingYear&lt;N1030,M1033,IF($I1034=0,N1031,$I1034*(1+N1033))))</f>
        <v/>
      </c>
      <c r="AL1034" s="1435"/>
    </row>
    <row r="1035" spans="1:38" ht="5.0999999999999996" customHeight="1">
      <c r="A1035" s="618"/>
      <c r="B1035" s="479"/>
      <c r="C1035" s="479"/>
      <c r="D1035" s="915"/>
      <c r="E1035" s="909"/>
      <c r="F1035" s="909"/>
      <c r="G1035" s="909"/>
      <c r="H1035" s="909"/>
      <c r="I1035" s="909"/>
      <c r="J1035" s="922"/>
      <c r="K1035" s="1791"/>
      <c r="L1035" s="1791"/>
      <c r="M1035" s="1791"/>
      <c r="N1035" s="1791"/>
      <c r="O1035" s="485"/>
      <c r="P1035" s="485"/>
      <c r="Q1035" s="1435"/>
      <c r="U1035" s="1663"/>
      <c r="V1035" s="1435"/>
      <c r="Z1035" s="1664"/>
      <c r="AL1035" s="1435"/>
    </row>
    <row r="1036" spans="1:38" ht="12.75" customHeight="1">
      <c r="A1036" s="618"/>
      <c r="B1036" s="479"/>
      <c r="C1036" s="479"/>
      <c r="D1036" s="915"/>
      <c r="E1036" s="923" t="s">
        <v>1653</v>
      </c>
      <c r="F1036" s="923"/>
      <c r="G1036" s="923"/>
      <c r="H1036" s="923"/>
      <c r="I1036" s="923"/>
      <c r="J1036" s="1647">
        <f>J$3242</f>
        <v>2026</v>
      </c>
      <c r="K1036" s="1490">
        <f>K$3242</f>
        <v>2027</v>
      </c>
      <c r="L1036" s="1490">
        <f>L$3242</f>
        <v>2028</v>
      </c>
      <c r="M1036" s="1490">
        <f>M$3242</f>
        <v>2029</v>
      </c>
      <c r="N1036" s="1490">
        <f>N$3242</f>
        <v>2030</v>
      </c>
      <c r="O1036" s="485"/>
      <c r="P1036" s="485"/>
      <c r="Q1036" s="1435"/>
      <c r="U1036" s="1665"/>
      <c r="Z1036" s="1664"/>
      <c r="AL1036" s="1435"/>
    </row>
    <row r="1037" spans="1:38" ht="12.75" customHeight="1">
      <c r="A1037" s="618"/>
      <c r="B1037" s="479"/>
      <c r="C1037" s="479"/>
      <c r="D1037" s="915" t="s">
        <v>8</v>
      </c>
      <c r="E1037" s="916" t="s">
        <v>2108</v>
      </c>
      <c r="F1037" s="916"/>
      <c r="G1037" s="916"/>
      <c r="H1037" s="916"/>
      <c r="I1037" s="916"/>
      <c r="J1037" s="1666" t="str">
        <f>IF(OR($I979="",$T1015=FALSE),"",INDEX(K_Summary!J:J,MATCH($Q1037,K_Summary!$P:$P,0)))</f>
        <v/>
      </c>
      <c r="K1037" s="1791" t="str">
        <f>IF(OR($I979="",$T1015=FALSE),"",INDEX(K_Summary!K:K,MATCH($Q1037,K_Summary!$P:$P,0)))</f>
        <v/>
      </c>
      <c r="L1037" s="1791" t="str">
        <f>IF(OR($I979="",$T1015=FALSE),"",INDEX(K_Summary!L:L,MATCH($Q1037,K_Summary!$P:$P,0)))</f>
        <v/>
      </c>
      <c r="M1037" s="1791" t="str">
        <f>IF(OR($I979="",$T1015=FALSE),"",INDEX(K_Summary!M:M,MATCH($Q1037,K_Summary!$P:$P,0)))</f>
        <v/>
      </c>
      <c r="N1037" s="1791" t="str">
        <f>IF(OR($I979="",$T1015=FALSE),"",INDEX(K_Summary!N:N,MATCH($Q1037,K_Summary!$P:$P,0)))</f>
        <v/>
      </c>
      <c r="O1037" s="485"/>
      <c r="P1037" s="485"/>
      <c r="Q1037" s="1644" t="str">
        <f>EUconst_CNTR_100EUA_ElExch&amp;I979</f>
        <v>EUA100ElExch_</v>
      </c>
      <c r="U1037" s="1665"/>
      <c r="Z1037" s="1664"/>
      <c r="AL1037" s="1435"/>
    </row>
    <row r="1038" spans="1:38" ht="5.0999999999999996" customHeight="1" thickBot="1">
      <c r="A1038" s="618"/>
      <c r="B1038" s="479"/>
      <c r="C1038" s="479"/>
      <c r="D1038" s="915"/>
      <c r="E1038" s="909"/>
      <c r="F1038" s="909"/>
      <c r="G1038" s="909"/>
      <c r="H1038" s="909"/>
      <c r="I1038" s="909"/>
      <c r="J1038" s="922"/>
      <c r="K1038" s="1791"/>
      <c r="L1038" s="1791"/>
      <c r="M1038" s="1791"/>
      <c r="N1038" s="1791"/>
      <c r="O1038" s="485"/>
      <c r="P1038" s="485"/>
      <c r="Q1038" s="1435"/>
      <c r="U1038" s="1663"/>
      <c r="V1038" s="1435"/>
      <c r="Z1038" s="1664"/>
      <c r="AL1038" s="1435"/>
    </row>
    <row r="1039" spans="1:38" ht="12.75" customHeight="1" thickBot="1">
      <c r="B1039" s="479"/>
      <c r="C1039" s="479"/>
      <c r="D1039" s="915" t="s">
        <v>18</v>
      </c>
      <c r="E1039" s="916" t="s">
        <v>1657</v>
      </c>
      <c r="F1039" s="916"/>
      <c r="G1039" s="916"/>
      <c r="H1039" s="921"/>
      <c r="I1039" s="1667"/>
      <c r="J1039" s="1668" t="str">
        <f>IF(J1037="","",IF(OR(J1037,V1031&lt;1),J1033,I1039))</f>
        <v/>
      </c>
      <c r="K1039" s="1796" t="str">
        <f>IF(K1037="","",IF(OR(K1037,W1031&lt;1),K1033,J1039))</f>
        <v/>
      </c>
      <c r="L1039" s="1796" t="str">
        <f>IF(L1037="","",IF(OR(L1037,X1031&lt;1),L1033,K1039))</f>
        <v/>
      </c>
      <c r="M1039" s="1796" t="str">
        <f>IF(M1037="","",IF(OR(M1037,Y1031&lt;1),M1033,L1039))</f>
        <v/>
      </c>
      <c r="N1039" s="1796" t="str">
        <f>IF(N1037="","",IF(OR(N1037,Z1031&lt;1),N1033,M1039))</f>
        <v/>
      </c>
      <c r="O1039" s="485"/>
      <c r="P1039" s="485"/>
      <c r="Q1039" s="1435"/>
      <c r="U1039" s="1663" t="s">
        <v>1658</v>
      </c>
      <c r="V1039" s="1670">
        <f>J1036</f>
        <v>2026</v>
      </c>
      <c r="W1039" s="1670">
        <f>K1036</f>
        <v>2027</v>
      </c>
      <c r="X1039" s="1670">
        <f>L1036</f>
        <v>2028</v>
      </c>
      <c r="Y1039" s="1670">
        <f>M1036</f>
        <v>2029</v>
      </c>
      <c r="Z1039" s="1671">
        <f>N1036</f>
        <v>2030</v>
      </c>
      <c r="AL1039" s="1435"/>
    </row>
    <row r="1040" spans="1:38" ht="12.75" customHeight="1" thickBot="1">
      <c r="A1040" s="618"/>
      <c r="B1040" s="479"/>
      <c r="C1040" s="479"/>
      <c r="D1040" s="915" t="s">
        <v>787</v>
      </c>
      <c r="E1040" s="916" t="s">
        <v>1659</v>
      </c>
      <c r="F1040" s="916"/>
      <c r="G1040" s="916"/>
      <c r="H1040" s="944" t="str">
        <f>H1031</f>
        <v>-</v>
      </c>
      <c r="I1040" s="945" t="str">
        <f>I1034</f>
        <v/>
      </c>
      <c r="J1040" s="1698" t="str">
        <f>IF(OR($I979="",$T1015=FALSE),"",IF(OR($I1040=0,$I1040=EUconst_NA,J1039="",J1036&lt;=$V979),J1034,$I1040*(1+SUM(J1039))))</f>
        <v/>
      </c>
      <c r="K1040" s="1797" t="str">
        <f>IF(OR($I979="",$T1015=FALSE),"",IF(OR($I1040=0,$I1040=EUconst_NA,K1039="",K1036&lt;=$V979),K1034,$I1040*(1+SUM(K1039))))</f>
        <v/>
      </c>
      <c r="L1040" s="1797" t="str">
        <f>IF(OR($I979="",$T1015=FALSE),"",IF(OR($I1040=0,$I1040=EUconst_NA,L1039="",L1036&lt;=$V979),L1034,$I1040*(1+SUM(L1039))))</f>
        <v/>
      </c>
      <c r="M1040" s="1797" t="str">
        <f>IF(OR($I979="",$T1015=FALSE),"",IF(OR($I1040=0,$I1040=EUconst_NA,M1039="",M1036&lt;=$V979),M1034,$I1040*(1+SUM(M1039))))</f>
        <v/>
      </c>
      <c r="N1040" s="1797" t="str">
        <f>IF(OR($I979="",$T1015=FALSE),"",IF(OR($I1040=0,$I1040=EUconst_NA,N1039="",N1036&lt;=$V979),N1034,$I1040*(1+SUM(N1039))))</f>
        <v/>
      </c>
      <c r="O1040" s="485"/>
      <c r="P1040" s="485"/>
      <c r="Q1040" s="1644" t="str">
        <f>EUconst_CNTR_HALfinal&amp;EUconst_CNTR_ELEXCH &amp; I979</f>
        <v>HALfinal_ELEXCH_</v>
      </c>
      <c r="U1040" s="1674" t="b">
        <v>0</v>
      </c>
      <c r="V1040" s="1675" t="str">
        <f>IF(V987,IF(J1037=TRUE,V1032,U1040),"")</f>
        <v/>
      </c>
      <c r="W1040" s="1675" t="str">
        <f>IF(W987,IF(K1037=TRUE,W1032,V1040),"")</f>
        <v/>
      </c>
      <c r="X1040" s="1675" t="str">
        <f>IF(X987,IF(L1037=TRUE,X1032,W1040),"")</f>
        <v/>
      </c>
      <c r="Y1040" s="1675" t="str">
        <f>IF(Y987,IF(M1037=TRUE,Y1032,X1040),"")</f>
        <v/>
      </c>
      <c r="Z1040" s="1676" t="str">
        <f>IF(Z987,IF(N1037=TRUE,Z1032,Y1040),"")</f>
        <v/>
      </c>
      <c r="AJ1040" s="1633" t="s">
        <v>1951</v>
      </c>
      <c r="AK1040" s="1443" t="str">
        <f>IF(OR(ISERROR(J1040),ISERROR(K1040),ISERROR(L1040),ISERROR(M1040),ISERROR(N1040)),EUconst_Error &amp; "BM" &amp; Q979,"")</f>
        <v/>
      </c>
      <c r="AL1040" s="1435"/>
    </row>
    <row r="1041" spans="2:37" ht="5.0999999999999996" customHeight="1" thickBot="1">
      <c r="B1041" s="479"/>
      <c r="C1041" s="479"/>
      <c r="D1041" s="946"/>
      <c r="E1041" s="947"/>
      <c r="F1041" s="947"/>
      <c r="G1041" s="947"/>
      <c r="H1041" s="947"/>
      <c r="I1041" s="947"/>
      <c r="J1041" s="1700"/>
      <c r="K1041" s="1791"/>
      <c r="L1041" s="1791"/>
      <c r="M1041" s="1791"/>
      <c r="N1041" s="1791"/>
      <c r="O1041" s="485"/>
      <c r="P1041" s="485"/>
      <c r="Q1041" s="1435"/>
    </row>
    <row r="1042" spans="2:37" ht="5.0999999999999996" customHeight="1">
      <c r="B1042" s="479"/>
      <c r="C1042" s="479"/>
      <c r="D1042" s="479"/>
      <c r="E1042" s="479"/>
      <c r="F1042" s="479"/>
      <c r="G1042" s="479"/>
      <c r="H1042" s="479"/>
      <c r="I1042" s="479"/>
      <c r="J1042" s="479"/>
      <c r="K1042" s="479"/>
      <c r="L1042" s="479"/>
      <c r="M1042" s="485"/>
      <c r="N1042" s="485"/>
      <c r="O1042" s="485"/>
      <c r="P1042" s="485"/>
      <c r="Q1042" s="1435"/>
    </row>
    <row r="1043" spans="2:37" ht="12.75" customHeight="1">
      <c r="B1043" s="479"/>
      <c r="C1043" s="479"/>
      <c r="D1043" s="482" t="s">
        <v>881</v>
      </c>
      <c r="E1043" s="2373" t="s">
        <v>941</v>
      </c>
      <c r="F1043" s="2373"/>
      <c r="G1043" s="2373"/>
      <c r="H1043" s="2373"/>
      <c r="I1043" s="2604"/>
      <c r="J1043" s="2652" t="str">
        <f>IF(I979="","",HYPERLINK(R1043,EUconst_MsgGoOnIfNotRelevant))</f>
        <v/>
      </c>
      <c r="K1043" s="2653"/>
      <c r="L1043" s="2653"/>
      <c r="M1043" s="2653"/>
      <c r="N1043" s="2654"/>
      <c r="O1043" s="485"/>
      <c r="P1043" s="485"/>
      <c r="Q1043" s="1198" t="s">
        <v>441</v>
      </c>
      <c r="R1043" s="1488" t="str">
        <f>"#"&amp;ADDRESS(ROW(D1068),COLUMN(D1068))</f>
        <v>#$D$1068</v>
      </c>
    </row>
    <row r="1044" spans="2:37" ht="12.75" customHeight="1">
      <c r="B1044" s="479"/>
      <c r="C1044" s="479"/>
      <c r="D1044" s="485"/>
      <c r="E1044" s="2385" t="s">
        <v>1368</v>
      </c>
      <c r="F1044" s="2846"/>
      <c r="G1044" s="2846"/>
      <c r="H1044" s="2846"/>
      <c r="I1044" s="2846"/>
      <c r="J1044" s="2846"/>
      <c r="K1044" s="2846"/>
      <c r="L1044" s="2846"/>
      <c r="M1044" s="2846"/>
      <c r="N1044" s="2846"/>
      <c r="O1044" s="485"/>
      <c r="P1044" s="485"/>
      <c r="Q1044" s="1435"/>
      <c r="U1044" s="1435"/>
      <c r="V1044" s="1435"/>
    </row>
    <row r="1045" spans="2:37" ht="12.75" customHeight="1">
      <c r="B1045" s="479"/>
      <c r="C1045" s="479"/>
      <c r="D1045" s="485"/>
      <c r="E1045" s="2385" t="s">
        <v>1474</v>
      </c>
      <c r="F1045" s="2846"/>
      <c r="G1045" s="2846"/>
      <c r="H1045" s="2846"/>
      <c r="I1045" s="2846"/>
      <c r="J1045" s="2846"/>
      <c r="K1045" s="2846"/>
      <c r="L1045" s="2846"/>
      <c r="M1045" s="2846"/>
      <c r="N1045" s="2846"/>
      <c r="O1045" s="485"/>
      <c r="P1045" s="485"/>
      <c r="Q1045" s="1435"/>
      <c r="U1045" s="1435"/>
      <c r="V1045" s="1435"/>
    </row>
    <row r="1046" spans="2:37" ht="12.75" customHeight="1">
      <c r="B1046" s="479"/>
      <c r="C1046" s="479"/>
      <c r="D1046" s="485"/>
      <c r="E1046" s="2385" t="s">
        <v>1300</v>
      </c>
      <c r="F1046" s="2846"/>
      <c r="G1046" s="2846"/>
      <c r="H1046" s="2846"/>
      <c r="I1046" s="2846"/>
      <c r="J1046" s="2846"/>
      <c r="K1046" s="2846"/>
      <c r="L1046" s="2846"/>
      <c r="M1046" s="2846"/>
      <c r="N1046" s="2846"/>
      <c r="O1046" s="485"/>
      <c r="P1046" s="485"/>
      <c r="Q1046" s="1435"/>
      <c r="U1046" s="1435"/>
      <c r="V1046" s="1435"/>
    </row>
    <row r="1047" spans="2:37" ht="12.75" customHeight="1">
      <c r="B1047" s="479"/>
      <c r="C1047" s="479"/>
      <c r="D1047" s="485"/>
      <c r="E1047" s="2385" t="s">
        <v>1608</v>
      </c>
      <c r="F1047" s="2846"/>
      <c r="G1047" s="2846"/>
      <c r="H1047" s="2846"/>
      <c r="I1047" s="2846"/>
      <c r="J1047" s="2846"/>
      <c r="K1047" s="2846"/>
      <c r="L1047" s="2846"/>
      <c r="M1047" s="2846"/>
      <c r="N1047" s="2846"/>
      <c r="O1047" s="485"/>
      <c r="P1047" s="485"/>
      <c r="Q1047" s="1435"/>
      <c r="U1047" s="1435"/>
      <c r="V1047" s="1435"/>
      <c r="W1047" s="1435"/>
      <c r="X1047" s="1435"/>
      <c r="Y1047" s="1435"/>
      <c r="Z1047" s="1435"/>
    </row>
    <row r="1048" spans="2:37" ht="13.5" thickBot="1">
      <c r="B1048" s="1124"/>
      <c r="C1048" s="485"/>
      <c r="D1048" s="482"/>
      <c r="E1048" s="927" t="s">
        <v>62</v>
      </c>
      <c r="F1048" s="518"/>
      <c r="G1048" s="663" t="str">
        <f>EUconst_Unit</f>
        <v>Unit</v>
      </c>
      <c r="H1048" s="578">
        <f>H$3242</f>
        <v>2024</v>
      </c>
      <c r="I1048" s="697">
        <f>I$3242</f>
        <v>2025</v>
      </c>
      <c r="J1048" s="1489">
        <f>J$112</f>
        <v>2026</v>
      </c>
      <c r="K1048" s="1490">
        <f>K$112</f>
        <v>2027</v>
      </c>
      <c r="L1048" s="1490">
        <f>L$112</f>
        <v>2028</v>
      </c>
      <c r="M1048" s="1490">
        <f>M$112</f>
        <v>2029</v>
      </c>
      <c r="N1048" s="1490">
        <f>N$112</f>
        <v>2030</v>
      </c>
      <c r="O1048" s="485"/>
      <c r="P1048" s="485"/>
      <c r="R1048" s="1503"/>
      <c r="S1048" s="1633" t="s">
        <v>1846</v>
      </c>
      <c r="T1048" s="1638">
        <f t="shared" ref="T1048:Z1048" si="475">H1048</f>
        <v>2024</v>
      </c>
      <c r="U1048" s="1638">
        <f t="shared" si="475"/>
        <v>2025</v>
      </c>
      <c r="V1048" s="1638">
        <f t="shared" si="475"/>
        <v>2026</v>
      </c>
      <c r="W1048" s="1638">
        <f t="shared" si="475"/>
        <v>2027</v>
      </c>
      <c r="X1048" s="1638">
        <f t="shared" si="475"/>
        <v>2028</v>
      </c>
      <c r="Y1048" s="1638">
        <f t="shared" si="475"/>
        <v>2029</v>
      </c>
      <c r="Z1048" s="1638">
        <f t="shared" si="475"/>
        <v>2030</v>
      </c>
      <c r="AA1048" s="1503"/>
      <c r="AC1048" s="1638">
        <f t="shared" ref="AC1048:AI1048" si="476">H$20</f>
        <v>2024</v>
      </c>
      <c r="AD1048" s="1638">
        <f t="shared" si="476"/>
        <v>2025</v>
      </c>
      <c r="AE1048" s="1638">
        <f t="shared" si="476"/>
        <v>2026</v>
      </c>
      <c r="AF1048" s="1638">
        <f t="shared" si="476"/>
        <v>2027</v>
      </c>
      <c r="AG1048" s="1638">
        <f t="shared" si="476"/>
        <v>2028</v>
      </c>
      <c r="AH1048" s="1638">
        <f t="shared" si="476"/>
        <v>2029</v>
      </c>
      <c r="AI1048" s="1638">
        <f t="shared" si="476"/>
        <v>2030</v>
      </c>
    </row>
    <row r="1049" spans="2:37" ht="13.15" customHeight="1" thickBot="1">
      <c r="B1049" s="1124"/>
      <c r="C1049" s="485"/>
      <c r="D1049" s="561" t="s">
        <v>6</v>
      </c>
      <c r="E1049" s="2788" t="s">
        <v>650</v>
      </c>
      <c r="F1049" s="2788"/>
      <c r="G1049" s="730" t="str">
        <f>EUconst_TJpa</f>
        <v>TJ / year</v>
      </c>
      <c r="H1049" s="1479" t="str">
        <f>c_ALR2025!M3695</f>
        <v/>
      </c>
      <c r="I1049" s="1530"/>
      <c r="J1049" s="1491"/>
      <c r="K1049" s="1492"/>
      <c r="L1049" s="1492"/>
      <c r="M1049" s="1492"/>
      <c r="N1049" s="1492"/>
      <c r="O1049" s="485"/>
      <c r="P1049" s="9"/>
      <c r="Q1049" s="1443" t="str">
        <f>EUconst_CNTR_HAL&amp;EUconst_CNTR_nonETSMeasHeat</f>
        <v>HAL_non-ETS measurable heat</v>
      </c>
      <c r="S1049" s="1633"/>
      <c r="T1049" s="1701" t="str">
        <f t="shared" ref="T1049:Z1049" si="477">IF(H1049="","",SUM(H1049)*EUconst_HeatBMvalue)</f>
        <v/>
      </c>
      <c r="U1049" s="1701" t="str">
        <f t="shared" si="477"/>
        <v/>
      </c>
      <c r="V1049" s="1701" t="str">
        <f t="shared" si="477"/>
        <v/>
      </c>
      <c r="W1049" s="1701" t="str">
        <f t="shared" si="477"/>
        <v/>
      </c>
      <c r="X1049" s="1701" t="str">
        <f t="shared" si="477"/>
        <v/>
      </c>
      <c r="Y1049" s="1701" t="str">
        <f t="shared" si="477"/>
        <v/>
      </c>
      <c r="Z1049" s="1701" t="str">
        <f t="shared" si="477"/>
        <v/>
      </c>
      <c r="AB1049" s="1641" t="s">
        <v>717</v>
      </c>
      <c r="AC1049" s="1853" t="b">
        <f t="shared" ref="AC1049:AI1049" si="478">IF(CNTR_ExistSubInstEntries,OR($I979="",H986&gt;=CNTR_ReportingYear,AC1048&lt;$V979-1),FALSE)</f>
        <v>0</v>
      </c>
      <c r="AD1049" s="1642" t="b">
        <f t="shared" si="478"/>
        <v>0</v>
      </c>
      <c r="AE1049" s="1642" t="b">
        <f t="shared" si="478"/>
        <v>0</v>
      </c>
      <c r="AF1049" s="1642" t="b">
        <f t="shared" si="478"/>
        <v>0</v>
      </c>
      <c r="AG1049" s="1642" t="b">
        <f t="shared" si="478"/>
        <v>0</v>
      </c>
      <c r="AH1049" s="1642" t="b">
        <f t="shared" si="478"/>
        <v>0</v>
      </c>
      <c r="AI1049" s="1643" t="b">
        <f t="shared" si="478"/>
        <v>0</v>
      </c>
      <c r="AJ1049" s="1633" t="s">
        <v>1954</v>
      </c>
      <c r="AK1049" s="1635" t="str">
        <f>IF(AND(CNTR_ExistSubInstEntries,COUNTIFS(AC1049:AI1049,FALSE,H1049:N1049,"")&gt;0),EUconst_Error&amp;"BM"&amp;$Q979,"")</f>
        <v/>
      </c>
    </row>
    <row r="1050" spans="2:37">
      <c r="B1050" s="1124"/>
      <c r="C1050" s="485"/>
      <c r="D1050" s="561" t="s">
        <v>7</v>
      </c>
      <c r="E1050" s="2606" t="s">
        <v>107</v>
      </c>
      <c r="F1050" s="2606"/>
      <c r="G1050" s="950" t="s">
        <v>1022</v>
      </c>
      <c r="H1050" s="36" t="str">
        <f>IF(AND(ISNUMBER(H1049),ISNUMBER(E_EnergyFlows!H$114)), H1049/E_EnergyFlows!H$114*100,"")</f>
        <v/>
      </c>
      <c r="I1050" s="39" t="str">
        <f>IF(AND(ISNUMBER(I1049),ISNUMBER(E_EnergyFlows!I$114)), I1049/E_EnergyFlows!I$114*100,"")</f>
        <v/>
      </c>
      <c r="J1050" s="34" t="str">
        <f>IF(AND(ISNUMBER(J1049),ISNUMBER(E_EnergyFlows!J$114)), J1049/E_EnergyFlows!J$114*100,"")</f>
        <v/>
      </c>
      <c r="K1050" s="21" t="str">
        <f>IF(AND(ISNUMBER(K1049),ISNUMBER(E_EnergyFlows!K$114)), K1049/E_EnergyFlows!K$114*100,"")</f>
        <v/>
      </c>
      <c r="L1050" s="21" t="str">
        <f>IF(AND(ISNUMBER(L1049),ISNUMBER(E_EnergyFlows!L$114)), L1049/E_EnergyFlows!L$114*100,"")</f>
        <v/>
      </c>
      <c r="M1050" s="21" t="str">
        <f>IF(AND(ISNUMBER(M1049),ISNUMBER(E_EnergyFlows!M$114)), M1049/E_EnergyFlows!M$114*100,"")</f>
        <v/>
      </c>
      <c r="N1050" s="21" t="str">
        <f>IF(AND(ISNUMBER(N1049),ISNUMBER(E_EnergyFlows!N$114)), N1049/E_EnergyFlows!N$114*100,"")</f>
        <v/>
      </c>
      <c r="O1050" s="485"/>
      <c r="P1050" s="485"/>
      <c r="Q1050" s="1504" t="str">
        <f>EUconst_CNTR_HEAT &amp; I979</f>
        <v>HEAT_</v>
      </c>
      <c r="R1050" s="1435"/>
      <c r="U1050" s="1435"/>
      <c r="V1050" s="1435"/>
    </row>
    <row r="1051" spans="2:37" ht="12.6" customHeight="1">
      <c r="B1051" s="1124"/>
      <c r="C1051" s="485"/>
      <c r="D1051" s="561" t="s">
        <v>8</v>
      </c>
      <c r="E1051" s="2586" t="s">
        <v>1548</v>
      </c>
      <c r="F1051" s="2586"/>
      <c r="G1051" s="951" t="s">
        <v>1022</v>
      </c>
      <c r="H1051" s="37" t="str">
        <f>IFERROR(IF(AND(H1192&gt;0,ISNUMBER(H1049)), H1049/H1192*100,""),"")</f>
        <v/>
      </c>
      <c r="I1051" s="40" t="str">
        <f t="shared" ref="I1051:N1051" si="479">IF(AND(I1192&gt;0,ISNUMBER(I1049)), I1049/I1192*100,"")</f>
        <v/>
      </c>
      <c r="J1051" s="34" t="str">
        <f t="shared" si="479"/>
        <v/>
      </c>
      <c r="K1051" s="21" t="str">
        <f t="shared" si="479"/>
        <v/>
      </c>
      <c r="L1051" s="21" t="str">
        <f t="shared" si="479"/>
        <v/>
      </c>
      <c r="M1051" s="21" t="str">
        <f t="shared" si="479"/>
        <v/>
      </c>
      <c r="N1051" s="21" t="str">
        <f t="shared" si="479"/>
        <v/>
      </c>
      <c r="O1051" s="485"/>
      <c r="P1051" s="485"/>
      <c r="U1051" s="1435"/>
      <c r="V1051" s="1435"/>
    </row>
    <row r="1052" spans="2:37" ht="5.0999999999999996" customHeight="1">
      <c r="B1052" s="1124"/>
      <c r="C1052" s="485"/>
      <c r="D1052" s="485"/>
      <c r="E1052" s="485"/>
      <c r="F1052" s="485"/>
      <c r="G1052" s="485"/>
      <c r="H1052" s="485"/>
      <c r="I1052" s="952"/>
      <c r="J1052" s="485"/>
      <c r="K1052" s="485"/>
      <c r="L1052" s="485"/>
      <c r="M1052" s="485"/>
      <c r="N1052" s="485"/>
      <c r="O1052" s="485"/>
      <c r="P1052" s="485"/>
      <c r="Q1052" s="1702"/>
      <c r="U1052" s="1435"/>
      <c r="V1052" s="1435"/>
    </row>
    <row r="1053" spans="2:37" ht="25.5" customHeight="1" thickBot="1">
      <c r="B1053" s="479"/>
      <c r="C1053" s="479"/>
      <c r="D1053" s="485"/>
      <c r="E1053" s="2385" t="s">
        <v>2733</v>
      </c>
      <c r="F1053" s="2846"/>
      <c r="G1053" s="2846"/>
      <c r="H1053" s="2846"/>
      <c r="I1053" s="2846"/>
      <c r="J1053" s="2846"/>
      <c r="K1053" s="2846"/>
      <c r="L1053" s="2846"/>
      <c r="M1053" s="2846"/>
      <c r="N1053" s="2846"/>
      <c r="O1053" s="485"/>
      <c r="P1053" s="485"/>
      <c r="Q1053" s="1435"/>
      <c r="S1053" s="1435"/>
      <c r="T1053" s="1435"/>
      <c r="U1053" s="1435"/>
    </row>
    <row r="1054" spans="2:37" ht="5.0999999999999996" customHeight="1" thickBot="1">
      <c r="B1054" s="479"/>
      <c r="C1054" s="479"/>
      <c r="D1054" s="902"/>
      <c r="E1054" s="904"/>
      <c r="F1054" s="953"/>
      <c r="G1054" s="953"/>
      <c r="H1054" s="953"/>
      <c r="I1054" s="953"/>
      <c r="J1054" s="954"/>
      <c r="K1054" s="1798"/>
      <c r="L1054" s="1798"/>
      <c r="M1054" s="1798"/>
      <c r="N1054" s="1798"/>
      <c r="O1054" s="485"/>
      <c r="P1054" s="485"/>
      <c r="Q1054" s="1435"/>
      <c r="S1054" s="1435"/>
      <c r="T1054" s="1435"/>
      <c r="U1054" s="1435"/>
    </row>
    <row r="1055" spans="2:37" ht="12.75" customHeight="1">
      <c r="B1055" s="479"/>
      <c r="C1055" s="479"/>
      <c r="D1055" s="907" t="s">
        <v>1916</v>
      </c>
      <c r="E1055" s="908" t="s">
        <v>1774</v>
      </c>
      <c r="F1055" s="909"/>
      <c r="G1055" s="909"/>
      <c r="H1055" s="910" t="str">
        <f>EUconst_Unit</f>
        <v>Unit</v>
      </c>
      <c r="I1055" s="911" t="s">
        <v>2213</v>
      </c>
      <c r="J1055" s="1647">
        <f>J$3242</f>
        <v>2026</v>
      </c>
      <c r="K1055" s="1490">
        <f>K$3242</f>
        <v>2027</v>
      </c>
      <c r="L1055" s="1490">
        <f>L$3242</f>
        <v>2028</v>
      </c>
      <c r="M1055" s="1490">
        <f>M$3242</f>
        <v>2029</v>
      </c>
      <c r="N1055" s="1490">
        <f>N$3242</f>
        <v>2030</v>
      </c>
      <c r="O1055" s="485"/>
      <c r="P1055" s="485"/>
      <c r="Q1055" s="1435"/>
      <c r="U1055" s="1648"/>
      <c r="V1055" s="1649">
        <f>J1055</f>
        <v>2026</v>
      </c>
      <c r="W1055" s="1649">
        <f>K1055</f>
        <v>2027</v>
      </c>
      <c r="X1055" s="1649">
        <f>L1055</f>
        <v>2028</v>
      </c>
      <c r="Y1055" s="1649">
        <f>M1055</f>
        <v>2029</v>
      </c>
      <c r="Z1055" s="1650">
        <f>N1055</f>
        <v>2030</v>
      </c>
    </row>
    <row r="1056" spans="2:37" ht="12.75" customHeight="1">
      <c r="B1056" s="479"/>
      <c r="C1056" s="479"/>
      <c r="D1056" s="915" t="s">
        <v>6</v>
      </c>
      <c r="E1056" s="916" t="s">
        <v>1691</v>
      </c>
      <c r="F1056" s="916"/>
      <c r="G1056" s="916"/>
      <c r="H1056" s="944" t="str">
        <f>EUconst_tCO2</f>
        <v>t CO2</v>
      </c>
      <c r="I1056" s="917" t="str">
        <f>INDEX('B+C_SubInstallations'!$J:$J,MATCH(Q1056,'B+C_SubInstallations'!$U:$U,0))</f>
        <v/>
      </c>
      <c r="J1056" s="1703" t="str">
        <f>IF(AND(V1056&gt;=3,CNTR_ReportingYear&gt;J1055-1),AVERAGE(SUM(T1049),SUM(U1049)),"")</f>
        <v/>
      </c>
      <c r="K1056" s="1799" t="str">
        <f>IF(AND(W1056&gt;=3,CNTR_ReportingYear&gt;K1055-1),AVERAGE(SUM(U1049),SUM(V1049)),"")</f>
        <v/>
      </c>
      <c r="L1056" s="1799" t="str">
        <f>IF(AND(X1056&gt;=3,CNTR_ReportingYear&gt;L1055-1),AVERAGE(SUM(V1049),SUM(W1049)),"")</f>
        <v/>
      </c>
      <c r="M1056" s="1799" t="str">
        <f>IF(AND(Y1056&gt;=3,CNTR_ReportingYear&gt;M1055-1),AVERAGE(SUM(W1049),SUM(X1049)),"")</f>
        <v/>
      </c>
      <c r="N1056" s="1799" t="str">
        <f>IF(AND(Z1056&gt;=3,CNTR_ReportingYear&gt;N1055-1),AVERAGE(SUM(X1049),SUM(Y1049)),"")</f>
        <v/>
      </c>
      <c r="O1056" s="485"/>
      <c r="P1056" s="485"/>
      <c r="Q1056" s="1704" t="str">
        <f>EUconst_CNTR_HEATInitial &amp; I979</f>
        <v>HEATIni_</v>
      </c>
      <c r="U1056" s="1663" t="s">
        <v>1650</v>
      </c>
      <c r="V1056" s="1635">
        <f>V1001</f>
        <v>0</v>
      </c>
      <c r="W1056" s="1635">
        <f>W1001</f>
        <v>0</v>
      </c>
      <c r="X1056" s="1635">
        <f>X1001</f>
        <v>0</v>
      </c>
      <c r="Y1056" s="1635">
        <f>Y1001</f>
        <v>0</v>
      </c>
      <c r="Z1056" s="1654">
        <f>Z1001</f>
        <v>0</v>
      </c>
    </row>
    <row r="1057" spans="1:38" ht="12.75" hidden="1" customHeight="1">
      <c r="A1057" s="618" t="s">
        <v>2289</v>
      </c>
      <c r="B1057" s="479"/>
      <c r="C1057" s="479"/>
      <c r="D1057" s="915"/>
      <c r="E1057" s="916" t="s">
        <v>1776</v>
      </c>
      <c r="F1057" s="916"/>
      <c r="G1057" s="916"/>
      <c r="H1057" s="921"/>
      <c r="I1057" s="1657"/>
      <c r="J1057" s="17" t="str">
        <f>IF(J1056="","",IF($I1059=0,IF(J1056=0,0%,100%),J1056/$I1059-1))</f>
        <v/>
      </c>
      <c r="K1057" s="22" t="str">
        <f>IF(K1056="","",IF($I1059=0,IF(K1056=0,0%,100%),K1056/$I1059-1))</f>
        <v/>
      </c>
      <c r="L1057" s="22" t="str">
        <f>IF(L1056="","",IF($I1059=0,IF(L1056=0,0%,100%),L1056/$I1059-1))</f>
        <v/>
      </c>
      <c r="M1057" s="22" t="str">
        <f>IF(M1056="","",IF($I1059=0,IF(M1056=0,0%,100%),M1056/$I1059-1))</f>
        <v/>
      </c>
      <c r="N1057" s="22" t="str">
        <f>IF(N1056="","",IF($I1059=0,IF(N1056=0,0%,100%),N1056/$I1059-1))</f>
        <v/>
      </c>
      <c r="O1057" s="485"/>
      <c r="P1057" s="485"/>
      <c r="Q1057" s="1644" t="str">
        <f>EUconst_CNTR_RelThreshold &amp; Q1059</f>
        <v>RelThresh_HEATprelim_</v>
      </c>
      <c r="U1057" s="1663" t="s">
        <v>1655</v>
      </c>
      <c r="V1057" s="1158" t="str">
        <f>IF(J1056="","",ABS(J1057)&gt;15%)</f>
        <v/>
      </c>
      <c r="W1057" s="1158" t="str">
        <f>IF(K1056="","",ABS(K1057)&gt;15%)</f>
        <v/>
      </c>
      <c r="X1057" s="1158" t="str">
        <f>IF(L1056="","",ABS(L1057)&gt;15%)</f>
        <v/>
      </c>
      <c r="Y1057" s="1158" t="str">
        <f>IF(M1056="","",ABS(M1057)&gt;15%)</f>
        <v/>
      </c>
      <c r="Z1057" s="1656" t="str">
        <f>IF(N1056="","",ABS(N1057)&gt;15%)</f>
        <v/>
      </c>
    </row>
    <row r="1058" spans="1:38" ht="12.75" customHeight="1">
      <c r="A1058" s="618"/>
      <c r="B1058" s="479"/>
      <c r="C1058" s="479"/>
      <c r="D1058" s="915" t="s">
        <v>7</v>
      </c>
      <c r="E1058" s="916" t="s">
        <v>1654</v>
      </c>
      <c r="F1058" s="916"/>
      <c r="G1058" s="916"/>
      <c r="H1058" s="921"/>
      <c r="I1058" s="1657"/>
      <c r="J1058" s="1658" t="str">
        <f>IF(J1056="","",IF(V1057=FALSE,0%,J1057))</f>
        <v/>
      </c>
      <c r="K1058" s="1795" t="str">
        <f>IF(K1056="","",IF(W1057=FALSE,0%,K1057))</f>
        <v/>
      </c>
      <c r="L1058" s="1795" t="str">
        <f>IF(L1056="","",IF(X1057=FALSE,0%,L1057))</f>
        <v/>
      </c>
      <c r="M1058" s="1795" t="str">
        <f>IF(M1056="","",IF(Y1057=FALSE,0%,M1057))</f>
        <v/>
      </c>
      <c r="N1058" s="1795" t="str">
        <f>IF(N1056="","",IF(Z1057=FALSE,0%,N1057))</f>
        <v/>
      </c>
      <c r="O1058" s="485"/>
      <c r="P1058" s="485"/>
      <c r="Q1058" s="1435"/>
      <c r="U1058" s="1665"/>
      <c r="Z1058" s="1664"/>
      <c r="AL1058" s="1435"/>
    </row>
    <row r="1059" spans="1:38" ht="12.75" hidden="1" customHeight="1">
      <c r="A1059" s="618" t="s">
        <v>2289</v>
      </c>
      <c r="B1059" s="479"/>
      <c r="C1059" s="479"/>
      <c r="D1059" s="915"/>
      <c r="E1059" s="916" t="s">
        <v>1689</v>
      </c>
      <c r="F1059" s="916"/>
      <c r="G1059" s="916"/>
      <c r="H1059" s="944" t="str">
        <f>H1056</f>
        <v>t CO2</v>
      </c>
      <c r="I1059" s="917" t="str">
        <f>IF($I979="","",IF(AB979=FALSE,EUconst_NA,IF(V979&gt;($J$3242-3),SUM(INDEX(H1049:N1049,MATCH(V979,H1048:N1048,0))*EUconst_HeatBMvalue),SUM(I1056))))</f>
        <v/>
      </c>
      <c r="J1059" s="1651" t="str">
        <f>IF($I979="","",IF(V1056&lt;2,SUM(V1049),IF(V1056&lt;3,SUM(U1049),IF(V1059="",I1059,V1059))))</f>
        <v/>
      </c>
      <c r="K1059" s="1799" t="str">
        <f>IF($I979="","",IF(W1056&lt;2,SUM(W1049),IF(W1056&lt;3,SUM(V1049),IF(W1059="",J1059,W1059))))</f>
        <v/>
      </c>
      <c r="L1059" s="1799" t="str">
        <f>IF($I979="","",IF(X1056&lt;2,SUM(X1049),IF(X1056&lt;3,SUM(W1049),IF(X1059="",K1059,X1059))))</f>
        <v/>
      </c>
      <c r="M1059" s="1799" t="str">
        <f>IF($I979="","",IF(Y1056&lt;2,SUM(Y1049),IF(Y1056&lt;3,SUM(X1049),IF(Y1059="",L1059,Y1059))))</f>
        <v/>
      </c>
      <c r="N1059" s="1799" t="str">
        <f>IF($I979="","",IF(Z1056&lt;2,SUM(Z1049),IF(Z1056&lt;3,SUM(Y1049),IF(Z1059="",M1059,Z1059))))</f>
        <v/>
      </c>
      <c r="O1059" s="485"/>
      <c r="P1059" s="485"/>
      <c r="Q1059" s="1644" t="str">
        <f>EUconst_CNTR_HEATprelim &amp; I979</f>
        <v>HEATprelim_</v>
      </c>
      <c r="U1059" s="1663" t="s">
        <v>1697</v>
      </c>
      <c r="V1059" s="1705" t="str">
        <f>IF(J1056="","",IF(CNTR_ReportingYear&lt;J1055,I1058,IF($I1059=0,J1056,$I1059*(1+J1058))))</f>
        <v/>
      </c>
      <c r="W1059" s="1705" t="str">
        <f>IF(K1056="","",IF(CNTR_ReportingYear&lt;K1055,J1058,IF($I1059=0,K1056,$I1059*(1+K1058))))</f>
        <v/>
      </c>
      <c r="X1059" s="1705" t="str">
        <f>IF(L1056="","",IF(CNTR_ReportingYear&lt;L1055,K1058,IF($I1059=0,L1056,$I1059*(1+L1058))))</f>
        <v/>
      </c>
      <c r="Y1059" s="1705" t="str">
        <f>IF(M1056="","",IF(CNTR_ReportingYear&lt;M1055,L1058,IF($I1059=0,M1056,$I1059*(1+M1058))))</f>
        <v/>
      </c>
      <c r="Z1059" s="1706" t="str">
        <f>IF(N1056="","",IF(CNTR_ReportingYear&lt;N1055,M1058,IF($I1059=0,N1056,$I1059*(1+N1058))))</f>
        <v/>
      </c>
      <c r="AL1059" s="1435"/>
    </row>
    <row r="1060" spans="1:38" ht="5.0999999999999996" customHeight="1">
      <c r="A1060" s="618"/>
      <c r="B1060" s="479"/>
      <c r="C1060" s="479"/>
      <c r="D1060" s="915"/>
      <c r="E1060" s="909"/>
      <c r="F1060" s="909"/>
      <c r="G1060" s="909"/>
      <c r="H1060" s="909"/>
      <c r="I1060" s="909"/>
      <c r="J1060" s="922"/>
      <c r="K1060" s="1791"/>
      <c r="L1060" s="1791"/>
      <c r="M1060" s="1791"/>
      <c r="N1060" s="1791"/>
      <c r="O1060" s="485"/>
      <c r="P1060" s="485"/>
      <c r="Q1060" s="1435"/>
      <c r="U1060" s="1663"/>
      <c r="V1060" s="1435"/>
      <c r="Z1060" s="1664"/>
      <c r="AL1060" s="1435"/>
    </row>
    <row r="1061" spans="1:38" ht="12.75" customHeight="1">
      <c r="A1061" s="618"/>
      <c r="B1061" s="479"/>
      <c r="C1061" s="479"/>
      <c r="D1061" s="915"/>
      <c r="E1061" s="923" t="s">
        <v>1653</v>
      </c>
      <c r="F1061" s="923"/>
      <c r="G1061" s="923"/>
      <c r="H1061" s="923"/>
      <c r="I1061" s="923"/>
      <c r="J1061" s="1647">
        <f>J$3242</f>
        <v>2026</v>
      </c>
      <c r="K1061" s="1490">
        <f>K$3242</f>
        <v>2027</v>
      </c>
      <c r="L1061" s="1490">
        <f>L$3242</f>
        <v>2028</v>
      </c>
      <c r="M1061" s="1490">
        <f>M$3242</f>
        <v>2029</v>
      </c>
      <c r="N1061" s="1490">
        <f>N$3242</f>
        <v>2030</v>
      </c>
      <c r="O1061" s="485"/>
      <c r="P1061" s="485"/>
      <c r="Q1061" s="1435"/>
      <c r="U1061" s="1665"/>
      <c r="Z1061" s="1664"/>
      <c r="AL1061" s="1435"/>
    </row>
    <row r="1062" spans="1:38" ht="12.75" customHeight="1">
      <c r="A1062" s="618"/>
      <c r="B1062" s="479"/>
      <c r="C1062" s="479"/>
      <c r="D1062" s="915" t="s">
        <v>8</v>
      </c>
      <c r="E1062" s="916" t="s">
        <v>2108</v>
      </c>
      <c r="F1062" s="916"/>
      <c r="G1062" s="916"/>
      <c r="H1062" s="916"/>
      <c r="I1062" s="916"/>
      <c r="J1062" s="1666" t="str">
        <f>IF($I979="","",INDEX(K_Summary!J:J,MATCH($Q1062,K_Summary!$P:$P,0)))</f>
        <v/>
      </c>
      <c r="K1062" s="1791" t="str">
        <f>IF($I979="","",INDEX(K_Summary!K:K,MATCH($Q1062,K_Summary!$P:$P,0)))</f>
        <v/>
      </c>
      <c r="L1062" s="1791" t="str">
        <f>IF($I979="","",INDEX(K_Summary!L:L,MATCH($Q1062,K_Summary!$P:$P,0)))</f>
        <v/>
      </c>
      <c r="M1062" s="1791" t="str">
        <f>IF($I979="","",INDEX(K_Summary!M:M,MATCH($Q1062,K_Summary!$P:$P,0)))</f>
        <v/>
      </c>
      <c r="N1062" s="1791" t="str">
        <f>IF($I979="","",INDEX(K_Summary!N:N,MATCH($Q1062,K_Summary!$P:$P,0)))</f>
        <v/>
      </c>
      <c r="O1062" s="485"/>
      <c r="P1062" s="485"/>
      <c r="Q1062" s="1644" t="str">
        <f>EUconst_CNTR_100EUA_HEAT&amp;I979</f>
        <v>EUA100HEAT_</v>
      </c>
      <c r="U1062" s="1665"/>
      <c r="Z1062" s="1664"/>
      <c r="AL1062" s="1435"/>
    </row>
    <row r="1063" spans="1:38" ht="5.0999999999999996" customHeight="1" thickBot="1">
      <c r="A1063" s="618"/>
      <c r="B1063" s="479"/>
      <c r="C1063" s="479"/>
      <c r="D1063" s="915"/>
      <c r="E1063" s="909"/>
      <c r="F1063" s="909"/>
      <c r="G1063" s="909"/>
      <c r="H1063" s="909"/>
      <c r="I1063" s="909"/>
      <c r="J1063" s="922"/>
      <c r="K1063" s="1791"/>
      <c r="L1063" s="1791"/>
      <c r="M1063" s="1791"/>
      <c r="N1063" s="1791"/>
      <c r="O1063" s="485"/>
      <c r="P1063" s="485"/>
      <c r="Q1063" s="1435"/>
      <c r="U1063" s="1663"/>
      <c r="V1063" s="1435"/>
      <c r="Z1063" s="1664"/>
      <c r="AL1063" s="1435"/>
    </row>
    <row r="1064" spans="1:38" ht="12.75" customHeight="1" thickBot="1">
      <c r="B1064" s="479"/>
      <c r="C1064" s="479"/>
      <c r="D1064" s="915" t="s">
        <v>18</v>
      </c>
      <c r="E1064" s="916" t="s">
        <v>1657</v>
      </c>
      <c r="F1064" s="916"/>
      <c r="G1064" s="916"/>
      <c r="H1064" s="921"/>
      <c r="I1064" s="1667"/>
      <c r="J1064" s="1668" t="str">
        <f>IF(J1062="","",IF(OR(J1062,V1056&lt;1),J1058,I1064))</f>
        <v/>
      </c>
      <c r="K1064" s="1796" t="str">
        <f>IF(K1062="","",IF(OR(K1062,W1056&lt;1),K1058,J1064))</f>
        <v/>
      </c>
      <c r="L1064" s="1796" t="str">
        <f>IF(L1062="","",IF(OR(L1062,X1056&lt;1),L1058,K1064))</f>
        <v/>
      </c>
      <c r="M1064" s="1796" t="str">
        <f>IF(M1062="","",IF(OR(M1062,Y1056&lt;1),M1058,L1064))</f>
        <v/>
      </c>
      <c r="N1064" s="1796" t="str">
        <f>IF(N1062="","",IF(OR(N1062,Z1056&lt;1),N1058,M1064))</f>
        <v/>
      </c>
      <c r="O1064" s="485"/>
      <c r="P1064" s="485"/>
      <c r="Q1064" s="1435"/>
      <c r="U1064" s="1663" t="s">
        <v>1658</v>
      </c>
      <c r="V1064" s="1670">
        <f>J1061</f>
        <v>2026</v>
      </c>
      <c r="W1064" s="1670">
        <f>K1061</f>
        <v>2027</v>
      </c>
      <c r="X1064" s="1670">
        <f>L1061</f>
        <v>2028</v>
      </c>
      <c r="Y1064" s="1670">
        <f>M1061</f>
        <v>2029</v>
      </c>
      <c r="Z1064" s="1671">
        <f>N1061</f>
        <v>2030</v>
      </c>
      <c r="AL1064" s="1435"/>
    </row>
    <row r="1065" spans="1:38" ht="12.75" customHeight="1" thickBot="1">
      <c r="A1065" s="618"/>
      <c r="B1065" s="479"/>
      <c r="C1065" s="479"/>
      <c r="D1065" s="915" t="s">
        <v>787</v>
      </c>
      <c r="E1065" s="916" t="s">
        <v>1659</v>
      </c>
      <c r="F1065" s="916"/>
      <c r="G1065" s="916"/>
      <c r="H1065" s="944" t="str">
        <f>H1056</f>
        <v>t CO2</v>
      </c>
      <c r="I1065" s="917" t="str">
        <f>I1059</f>
        <v/>
      </c>
      <c r="J1065" s="1672" t="str">
        <f>IF($I979="","",IF(OR($I1065=0,$I1065=EUconst_NA,J1064=""),IF(OR(J1062=TRUE,J1061&lt;=$V979),J1059,SUM(I1065)),$I1065*(1+SUM(J1064))))</f>
        <v/>
      </c>
      <c r="K1065" s="1800" t="str">
        <f>IF($I979="","",IF(OR($I1065=0,$I1065=EUconst_NA,K1064=""),IF(OR(K1062=TRUE,K1061&lt;=$V979),K1059,SUM(J1065)),$I1065*(1+SUM(K1064))))</f>
        <v/>
      </c>
      <c r="L1065" s="1800" t="str">
        <f>IF($I979="","",IF(OR($I1065=0,$I1065=EUconst_NA,L1064=""),IF(OR(L1062=TRUE,L1061&lt;=$V979),L1059,SUM(K1065)),$I1065*(1+SUM(L1064))))</f>
        <v/>
      </c>
      <c r="M1065" s="1800" t="str">
        <f>IF($I979="","",IF(OR($I1065=0,$I1065=EUconst_NA,M1064=""),IF(OR(M1062=TRUE,M1061&lt;=$V979),M1059,SUM(L1065)),$I1065*(1+SUM(M1064))))</f>
        <v/>
      </c>
      <c r="N1065" s="1800" t="str">
        <f>IF($I979="","",IF(OR($I1065=0,$I1065=EUconst_NA,N1064=""),IF(OR(N1062=TRUE,N1061&lt;=$V979),N1059,SUM(M1065)),$I1065*(1+SUM(N1064))))</f>
        <v/>
      </c>
      <c r="O1065" s="485"/>
      <c r="P1065" s="485"/>
      <c r="Q1065" s="1644" t="str">
        <f>EUconst_CNTR_HEATfinal &amp; I979</f>
        <v>HEATfinal_</v>
      </c>
      <c r="U1065" s="1674" t="b">
        <v>0</v>
      </c>
      <c r="V1065" s="1675" t="str">
        <f>IF(V987,IF(J1062=TRUE,V1057,U1065),"")</f>
        <v/>
      </c>
      <c r="W1065" s="1675" t="str">
        <f>IF(W987,IF(K1062=TRUE,W1057,V1065),"")</f>
        <v/>
      </c>
      <c r="X1065" s="1675" t="str">
        <f>IF(X987,IF(L1062=TRUE,X1057,W1065),"")</f>
        <v/>
      </c>
      <c r="Y1065" s="1675" t="str">
        <f>IF(Y987,IF(M1062=TRUE,Y1057,X1065),"")</f>
        <v/>
      </c>
      <c r="Z1065" s="1676" t="str">
        <f>IF(Z987,IF(N1062=TRUE,Z1057,Y1065),"")</f>
        <v/>
      </c>
      <c r="AJ1065" s="1633" t="s">
        <v>1951</v>
      </c>
      <c r="AK1065" s="1443" t="str">
        <f>IF(OR(ISERROR(J1065),ISERROR(K1065),ISERROR(L1065),ISERROR(M1065),ISERROR(N1065)),EUconst_Error &amp; "BM" &amp; Q979,"")</f>
        <v/>
      </c>
    </row>
    <row r="1066" spans="1:38" ht="5.0999999999999996" customHeight="1" thickBot="1">
      <c r="B1066" s="1124"/>
      <c r="C1066" s="485"/>
      <c r="D1066" s="924"/>
      <c r="E1066" s="925"/>
      <c r="F1066" s="925"/>
      <c r="G1066" s="925"/>
      <c r="H1066" s="925"/>
      <c r="I1066" s="955"/>
      <c r="J1066" s="926"/>
      <c r="K1066" s="1791"/>
      <c r="L1066" s="1791"/>
      <c r="M1066" s="1791"/>
      <c r="N1066" s="1791"/>
      <c r="O1066" s="485"/>
      <c r="P1066" s="485"/>
      <c r="Q1066" s="1702"/>
      <c r="S1066" s="1435"/>
      <c r="T1066" s="1435"/>
    </row>
    <row r="1067" spans="1:38" ht="5.0999999999999996" customHeight="1">
      <c r="B1067" s="1124"/>
      <c r="C1067" s="485"/>
      <c r="D1067" s="485"/>
      <c r="E1067" s="485"/>
      <c r="F1067" s="485"/>
      <c r="G1067" s="485"/>
      <c r="H1067" s="485"/>
      <c r="I1067" s="952"/>
      <c r="J1067" s="485"/>
      <c r="K1067" s="485"/>
      <c r="L1067" s="485"/>
      <c r="M1067" s="485"/>
      <c r="N1067" s="485"/>
      <c r="O1067" s="485"/>
      <c r="P1067" s="485"/>
      <c r="Q1067" s="1702"/>
      <c r="S1067" s="1435"/>
      <c r="T1067" s="1435"/>
    </row>
    <row r="1068" spans="1:38" ht="15" customHeight="1">
      <c r="B1068" s="1124"/>
      <c r="C1068" s="856"/>
      <c r="D1068" s="2482" t="s">
        <v>103</v>
      </c>
      <c r="E1068" s="2400"/>
      <c r="F1068" s="2400"/>
      <c r="G1068" s="2400"/>
      <c r="H1068" s="2400"/>
      <c r="I1068" s="2400"/>
      <c r="J1068" s="2400"/>
      <c r="K1068" s="2400"/>
      <c r="L1068" s="2400"/>
      <c r="M1068" s="2400"/>
      <c r="N1068" s="2400"/>
      <c r="O1068" s="485"/>
      <c r="P1068" s="485"/>
      <c r="S1068" s="1435"/>
      <c r="T1068" s="1435"/>
    </row>
    <row r="1069" spans="1:38" ht="5.0999999999999996" customHeight="1">
      <c r="B1069" s="479"/>
      <c r="C1069" s="479"/>
      <c r="D1069" s="479"/>
      <c r="E1069" s="479"/>
      <c r="F1069" s="479"/>
      <c r="G1069" s="479"/>
      <c r="H1069" s="479"/>
      <c r="I1069" s="479"/>
      <c r="J1069" s="479"/>
      <c r="K1069" s="479"/>
      <c r="L1069" s="479"/>
      <c r="M1069" s="479"/>
      <c r="N1069" s="479"/>
      <c r="O1069" s="485"/>
      <c r="P1069" s="485"/>
      <c r="Q1069" s="1435"/>
      <c r="R1069" s="1435"/>
      <c r="S1069" s="1435"/>
      <c r="T1069" s="1435"/>
    </row>
    <row r="1070" spans="1:38" ht="12.75" customHeight="1">
      <c r="B1070" s="479"/>
      <c r="C1070" s="482"/>
      <c r="D1070" s="482" t="s">
        <v>57</v>
      </c>
      <c r="E1070" s="2373" t="s">
        <v>108</v>
      </c>
      <c r="F1070" s="2400"/>
      <c r="G1070" s="2400"/>
      <c r="H1070" s="2400"/>
      <c r="I1070" s="2400"/>
      <c r="J1070" s="2400"/>
      <c r="K1070" s="2400"/>
      <c r="L1070" s="2400"/>
      <c r="M1070" s="2400"/>
      <c r="N1070" s="2400"/>
      <c r="O1070" s="485"/>
      <c r="P1070" s="485"/>
      <c r="Q1070" s="1435"/>
      <c r="S1070" s="1435"/>
      <c r="T1070" s="1435"/>
    </row>
    <row r="1071" spans="1:38" ht="25.5" customHeight="1">
      <c r="B1071" s="479"/>
      <c r="C1071" s="485"/>
      <c r="D1071" s="485"/>
      <c r="E1071" s="2465" t="s">
        <v>1935</v>
      </c>
      <c r="F1071" s="2400"/>
      <c r="G1071" s="2400"/>
      <c r="H1071" s="2400"/>
      <c r="I1071" s="2400"/>
      <c r="J1071" s="2400"/>
      <c r="K1071" s="2400"/>
      <c r="L1071" s="2400"/>
      <c r="M1071" s="2400"/>
      <c r="N1071" s="2400"/>
      <c r="O1071" s="485"/>
      <c r="P1071" s="485"/>
      <c r="Q1071" s="1435"/>
      <c r="S1071" s="1435"/>
      <c r="T1071" s="1435"/>
    </row>
    <row r="1072" spans="1:38" ht="25.5" customHeight="1">
      <c r="B1072" s="479"/>
      <c r="C1072" s="485"/>
      <c r="D1072" s="485"/>
      <c r="E1072" s="2385" t="s">
        <v>1636</v>
      </c>
      <c r="F1072" s="2846"/>
      <c r="G1072" s="2846"/>
      <c r="H1072" s="2846"/>
      <c r="I1072" s="2846"/>
      <c r="J1072" s="2846"/>
      <c r="K1072" s="2846"/>
      <c r="L1072" s="2846"/>
      <c r="M1072" s="2846"/>
      <c r="N1072" s="2846"/>
      <c r="O1072" s="485"/>
      <c r="P1072" s="485"/>
      <c r="Q1072" s="1435"/>
      <c r="S1072" s="1435"/>
      <c r="T1072" s="1435"/>
    </row>
    <row r="1073" spans="2:35" ht="12.75" customHeight="1">
      <c r="B1073" s="479"/>
      <c r="C1073" s="485"/>
      <c r="D1073" s="485"/>
      <c r="E1073" s="2385" t="s">
        <v>2119</v>
      </c>
      <c r="F1073" s="2846"/>
      <c r="G1073" s="2846"/>
      <c r="H1073" s="2846"/>
      <c r="I1073" s="2846"/>
      <c r="J1073" s="2846"/>
      <c r="K1073" s="2846"/>
      <c r="L1073" s="2846"/>
      <c r="M1073" s="2846"/>
      <c r="N1073" s="2846"/>
      <c r="O1073" s="485"/>
      <c r="P1073" s="485"/>
      <c r="Q1073" s="1435"/>
      <c r="S1073" s="1435"/>
      <c r="T1073" s="1435"/>
    </row>
    <row r="1074" spans="2:35">
      <c r="B1074" s="479"/>
      <c r="C1074" s="485"/>
      <c r="D1074" s="485"/>
      <c r="E1074" s="2677" t="s">
        <v>2120</v>
      </c>
      <c r="F1074" s="2364"/>
      <c r="G1074" s="2364"/>
      <c r="H1074" s="2364"/>
      <c r="I1074" s="2364"/>
      <c r="J1074" s="2364"/>
      <c r="K1074" s="2364"/>
      <c r="L1074" s="2364"/>
      <c r="M1074" s="2364"/>
      <c r="N1074" s="2364"/>
      <c r="O1074" s="485"/>
      <c r="P1074" s="485"/>
      <c r="Q1074" s="1435"/>
      <c r="S1074" s="1435"/>
      <c r="T1074" s="1435"/>
    </row>
    <row r="1075" spans="2:35" ht="5.0999999999999996" customHeight="1">
      <c r="B1075" s="479"/>
      <c r="C1075" s="479"/>
      <c r="D1075" s="479"/>
      <c r="E1075" s="479"/>
      <c r="F1075" s="479"/>
      <c r="G1075" s="479"/>
      <c r="H1075" s="479"/>
      <c r="I1075" s="479"/>
      <c r="J1075" s="479"/>
      <c r="K1075" s="479"/>
      <c r="L1075" s="479"/>
      <c r="M1075" s="479"/>
      <c r="N1075" s="479"/>
      <c r="O1075" s="485"/>
      <c r="P1075" s="485"/>
      <c r="Q1075" s="1435"/>
      <c r="R1075" s="1435"/>
      <c r="S1075" s="1435"/>
      <c r="T1075" s="1435"/>
    </row>
    <row r="1076" spans="2:35" ht="12.75" customHeight="1">
      <c r="B1076" s="479"/>
      <c r="C1076" s="482"/>
      <c r="D1076" s="482" t="s">
        <v>58</v>
      </c>
      <c r="E1076" s="2373" t="s">
        <v>1013</v>
      </c>
      <c r="F1076" s="2400"/>
      <c r="G1076" s="2400"/>
      <c r="H1076" s="2400"/>
      <c r="I1076" s="2400"/>
      <c r="J1076" s="2400"/>
      <c r="K1076" s="2400"/>
      <c r="L1076" s="2400"/>
      <c r="M1076" s="2400"/>
      <c r="N1076" s="2400"/>
      <c r="O1076" s="485"/>
      <c r="P1076" s="485"/>
      <c r="Q1076" s="1435"/>
      <c r="S1076" s="1435"/>
      <c r="T1076" s="1435"/>
    </row>
    <row r="1077" spans="2:35" ht="5.0999999999999996" customHeight="1">
      <c r="B1077" s="479"/>
      <c r="C1077" s="479"/>
      <c r="D1077" s="485"/>
      <c r="E1077" s="617"/>
      <c r="F1077" s="617"/>
      <c r="G1077" s="617"/>
      <c r="H1077" s="617"/>
      <c r="I1077" s="617"/>
      <c r="J1077" s="468"/>
      <c r="K1077" s="468"/>
      <c r="L1077" s="468"/>
      <c r="M1077" s="485"/>
      <c r="N1077" s="485"/>
      <c r="O1077" s="485"/>
      <c r="P1077" s="485"/>
      <c r="Q1077" s="1435"/>
      <c r="S1077" s="1435"/>
      <c r="T1077" s="1435"/>
    </row>
    <row r="1078" spans="2:35" ht="30" customHeight="1" thickBot="1">
      <c r="B1078" s="1124"/>
      <c r="C1078" s="485"/>
      <c r="D1078" s="956"/>
      <c r="E1078" s="1068" t="s">
        <v>2112</v>
      </c>
      <c r="F1078" s="958" t="s">
        <v>949</v>
      </c>
      <c r="G1078" s="959" t="str">
        <f>EUconst_Unit</f>
        <v>Unit</v>
      </c>
      <c r="H1078" s="578">
        <f>H$3242</f>
        <v>2024</v>
      </c>
      <c r="I1078" s="697">
        <f>I$3242</f>
        <v>2025</v>
      </c>
      <c r="J1078" s="1801"/>
      <c r="K1078" s="1802"/>
      <c r="L1078" s="1802"/>
      <c r="M1078" s="1802"/>
      <c r="N1078" s="1802"/>
      <c r="O1078" s="485"/>
      <c r="P1078" s="485"/>
      <c r="S1078" s="1709" t="s">
        <v>2057</v>
      </c>
      <c r="T1078" s="1435"/>
      <c r="Z1078" s="1710" t="s">
        <v>717</v>
      </c>
      <c r="AC1078" s="1638">
        <f t="shared" ref="AC1078:AI1078" si="480">H$20</f>
        <v>2024</v>
      </c>
      <c r="AD1078" s="1638">
        <f t="shared" si="480"/>
        <v>2025</v>
      </c>
      <c r="AE1078" s="1638">
        <f t="shared" si="480"/>
        <v>2026</v>
      </c>
      <c r="AF1078" s="1638">
        <f t="shared" si="480"/>
        <v>2027</v>
      </c>
      <c r="AG1078" s="1638">
        <f t="shared" si="480"/>
        <v>2028</v>
      </c>
      <c r="AH1078" s="1638">
        <f t="shared" si="480"/>
        <v>2029</v>
      </c>
      <c r="AI1078" s="1638">
        <f t="shared" si="480"/>
        <v>2030</v>
      </c>
    </row>
    <row r="1079" spans="2:35" ht="13.15" customHeight="1">
      <c r="B1079" s="1124"/>
      <c r="C1079" s="485"/>
      <c r="D1079" s="579">
        <v>1</v>
      </c>
      <c r="E1079" s="1711" t="str">
        <f>c_ALR2025!E3725</f>
        <v/>
      </c>
      <c r="F1079" s="1711" t="str">
        <f>c_ALR2025!F3725</f>
        <v/>
      </c>
      <c r="G1079" s="1712" t="str">
        <f>c_ALR2025!G3725</f>
        <v/>
      </c>
      <c r="H1079" s="1713" t="str">
        <f>c_ALR2025!M3725</f>
        <v/>
      </c>
      <c r="I1079" s="1858"/>
      <c r="J1079" s="1801"/>
      <c r="K1079" s="1802"/>
      <c r="L1079" s="1802"/>
      <c r="M1079" s="1802"/>
      <c r="N1079" s="1802"/>
      <c r="O1079" s="485"/>
      <c r="P1079" s="9"/>
      <c r="S1079" s="1715" t="b">
        <f>IF(E1079 = "", TRUE, FALSE)</f>
        <v>1</v>
      </c>
      <c r="T1079" s="1435"/>
      <c r="Z1079" s="1435"/>
      <c r="AC1079" s="1803"/>
      <c r="AD1079" s="1803"/>
      <c r="AE1079" s="1803"/>
      <c r="AF1079" s="1803"/>
      <c r="AG1079" s="1803"/>
      <c r="AH1079" s="1803"/>
    </row>
    <row r="1080" spans="2:35" ht="13.15" customHeight="1">
      <c r="B1080" s="1124"/>
      <c r="C1080" s="485"/>
      <c r="D1080" s="582">
        <f>D1079+1</f>
        <v>2</v>
      </c>
      <c r="E1080" s="1717" t="str">
        <f>c_ALR2025!E3726</f>
        <v/>
      </c>
      <c r="F1080" s="1717" t="str">
        <f>c_ALR2025!F3726</f>
        <v/>
      </c>
      <c r="G1080" s="1718" t="str">
        <f>c_ALR2025!G3726</f>
        <v/>
      </c>
      <c r="H1080" s="1719" t="str">
        <f>c_ALR2025!M3726</f>
        <v/>
      </c>
      <c r="I1080" s="1859"/>
      <c r="J1080" s="1801"/>
      <c r="K1080" s="1802"/>
      <c r="L1080" s="1802"/>
      <c r="M1080" s="1802"/>
      <c r="N1080" s="1802"/>
      <c r="O1080" s="485"/>
      <c r="P1080" s="9"/>
      <c r="S1080" s="1715" t="b">
        <f t="shared" ref="S1080:S1088" si="481">IF(E1080 = "", TRUE, FALSE)</f>
        <v>1</v>
      </c>
      <c r="T1080" s="1435"/>
      <c r="Z1080" s="1435"/>
      <c r="AC1080" s="1803"/>
      <c r="AD1080" s="1803"/>
      <c r="AE1080" s="1803"/>
      <c r="AF1080" s="1803"/>
      <c r="AG1080" s="1803"/>
      <c r="AH1080" s="1803"/>
    </row>
    <row r="1081" spans="2:35" ht="13.15" customHeight="1">
      <c r="B1081" s="1124"/>
      <c r="C1081" s="485"/>
      <c r="D1081" s="582">
        <f t="shared" ref="D1081:D1088" si="482">D1080+1</f>
        <v>3</v>
      </c>
      <c r="E1081" s="1717" t="str">
        <f>c_ALR2025!E3727</f>
        <v/>
      </c>
      <c r="F1081" s="1717" t="str">
        <f>c_ALR2025!F3727</f>
        <v/>
      </c>
      <c r="G1081" s="1718" t="str">
        <f>c_ALR2025!G3727</f>
        <v/>
      </c>
      <c r="H1081" s="1719" t="str">
        <f>c_ALR2025!M3727</f>
        <v/>
      </c>
      <c r="I1081" s="1859"/>
      <c r="J1081" s="1801"/>
      <c r="K1081" s="1802"/>
      <c r="L1081" s="1802"/>
      <c r="M1081" s="1802"/>
      <c r="N1081" s="1802"/>
      <c r="O1081" s="485"/>
      <c r="P1081" s="9"/>
      <c r="S1081" s="1715" t="b">
        <f t="shared" si="481"/>
        <v>1</v>
      </c>
      <c r="T1081" s="1435"/>
      <c r="Z1081" s="1435"/>
      <c r="AC1081" s="1803"/>
      <c r="AD1081" s="1803"/>
      <c r="AE1081" s="1803"/>
      <c r="AF1081" s="1803"/>
      <c r="AG1081" s="1803"/>
      <c r="AH1081" s="1803"/>
    </row>
    <row r="1082" spans="2:35" ht="13.15" customHeight="1">
      <c r="B1082" s="1124"/>
      <c r="C1082" s="485"/>
      <c r="D1082" s="582">
        <f t="shared" si="482"/>
        <v>4</v>
      </c>
      <c r="E1082" s="1717" t="str">
        <f>c_ALR2025!E3728</f>
        <v/>
      </c>
      <c r="F1082" s="1717" t="str">
        <f>c_ALR2025!F3728</f>
        <v/>
      </c>
      <c r="G1082" s="1718" t="str">
        <f>c_ALR2025!G3728</f>
        <v/>
      </c>
      <c r="H1082" s="1719" t="str">
        <f>c_ALR2025!M3728</f>
        <v/>
      </c>
      <c r="I1082" s="1859"/>
      <c r="J1082" s="1801"/>
      <c r="K1082" s="1802"/>
      <c r="L1082" s="1802"/>
      <c r="M1082" s="1802"/>
      <c r="N1082" s="1802"/>
      <c r="O1082" s="485"/>
      <c r="P1082" s="9"/>
      <c r="S1082" s="1715" t="b">
        <f t="shared" si="481"/>
        <v>1</v>
      </c>
      <c r="T1082" s="1435"/>
      <c r="Z1082" s="1435"/>
      <c r="AC1082" s="1803"/>
      <c r="AD1082" s="1803"/>
      <c r="AE1082" s="1803"/>
      <c r="AF1082" s="1803"/>
      <c r="AG1082" s="1803"/>
      <c r="AH1082" s="1803"/>
    </row>
    <row r="1083" spans="2:35" ht="13.15" customHeight="1">
      <c r="B1083" s="1124"/>
      <c r="C1083" s="485"/>
      <c r="D1083" s="582">
        <f t="shared" si="482"/>
        <v>5</v>
      </c>
      <c r="E1083" s="1717" t="str">
        <f>c_ALR2025!E3729</f>
        <v/>
      </c>
      <c r="F1083" s="1717" t="str">
        <f>c_ALR2025!F3729</f>
        <v/>
      </c>
      <c r="G1083" s="1718" t="str">
        <f>c_ALR2025!G3729</f>
        <v/>
      </c>
      <c r="H1083" s="1719" t="str">
        <f>c_ALR2025!M3729</f>
        <v/>
      </c>
      <c r="I1083" s="1859"/>
      <c r="J1083" s="1801"/>
      <c r="K1083" s="1802"/>
      <c r="L1083" s="1802"/>
      <c r="M1083" s="1802"/>
      <c r="N1083" s="1802"/>
      <c r="O1083" s="485"/>
      <c r="P1083" s="9"/>
      <c r="S1083" s="1715" t="b">
        <f t="shared" si="481"/>
        <v>1</v>
      </c>
      <c r="T1083" s="1435"/>
      <c r="Z1083" s="1435"/>
      <c r="AC1083" s="1803"/>
      <c r="AD1083" s="1803"/>
      <c r="AE1083" s="1803"/>
      <c r="AF1083" s="1803"/>
      <c r="AG1083" s="1803"/>
      <c r="AH1083" s="1803"/>
    </row>
    <row r="1084" spans="2:35" ht="13.15" customHeight="1">
      <c r="B1084" s="1124"/>
      <c r="C1084" s="485"/>
      <c r="D1084" s="582">
        <f t="shared" si="482"/>
        <v>6</v>
      </c>
      <c r="E1084" s="1717" t="str">
        <f>c_ALR2025!E3730</f>
        <v/>
      </c>
      <c r="F1084" s="1717" t="str">
        <f>c_ALR2025!F3730</f>
        <v/>
      </c>
      <c r="G1084" s="1718" t="str">
        <f>c_ALR2025!G3730</f>
        <v/>
      </c>
      <c r="H1084" s="1719" t="str">
        <f>c_ALR2025!M3730</f>
        <v/>
      </c>
      <c r="I1084" s="1859"/>
      <c r="J1084" s="1801"/>
      <c r="K1084" s="1802"/>
      <c r="L1084" s="1802"/>
      <c r="M1084" s="1802"/>
      <c r="N1084" s="1802"/>
      <c r="O1084" s="485"/>
      <c r="P1084" s="9"/>
      <c r="S1084" s="1715" t="b">
        <f t="shared" si="481"/>
        <v>1</v>
      </c>
      <c r="T1084" s="1435"/>
      <c r="Z1084" s="1435"/>
      <c r="AC1084" s="1803"/>
      <c r="AD1084" s="1803"/>
      <c r="AE1084" s="1803"/>
      <c r="AF1084" s="1803"/>
      <c r="AG1084" s="1803"/>
      <c r="AH1084" s="1803"/>
    </row>
    <row r="1085" spans="2:35" ht="13.15" customHeight="1">
      <c r="B1085" s="1124"/>
      <c r="C1085" s="485"/>
      <c r="D1085" s="582">
        <f t="shared" si="482"/>
        <v>7</v>
      </c>
      <c r="E1085" s="1717" t="str">
        <f>c_ALR2025!E3731</f>
        <v/>
      </c>
      <c r="F1085" s="1717" t="str">
        <f>c_ALR2025!F3731</f>
        <v/>
      </c>
      <c r="G1085" s="1718" t="str">
        <f>c_ALR2025!G3731</f>
        <v/>
      </c>
      <c r="H1085" s="1719" t="str">
        <f>c_ALR2025!M3731</f>
        <v/>
      </c>
      <c r="I1085" s="1859"/>
      <c r="J1085" s="1801"/>
      <c r="K1085" s="1802"/>
      <c r="L1085" s="1802"/>
      <c r="M1085" s="1802"/>
      <c r="N1085" s="1802"/>
      <c r="O1085" s="485"/>
      <c r="P1085" s="9"/>
      <c r="S1085" s="1715" t="b">
        <f t="shared" si="481"/>
        <v>1</v>
      </c>
      <c r="T1085" s="1435"/>
      <c r="Z1085" s="1435"/>
      <c r="AC1085" s="1803"/>
      <c r="AD1085" s="1803"/>
      <c r="AE1085" s="1803"/>
      <c r="AF1085" s="1803"/>
      <c r="AG1085" s="1803"/>
      <c r="AH1085" s="1803"/>
    </row>
    <row r="1086" spans="2:35" ht="13.15" customHeight="1">
      <c r="B1086" s="1124"/>
      <c r="C1086" s="485"/>
      <c r="D1086" s="582">
        <f t="shared" si="482"/>
        <v>8</v>
      </c>
      <c r="E1086" s="1717" t="str">
        <f>c_ALR2025!E3732</f>
        <v/>
      </c>
      <c r="F1086" s="1717" t="str">
        <f>c_ALR2025!F3732</f>
        <v/>
      </c>
      <c r="G1086" s="1718" t="str">
        <f>c_ALR2025!G3732</f>
        <v/>
      </c>
      <c r="H1086" s="1719" t="str">
        <f>c_ALR2025!M3732</f>
        <v/>
      </c>
      <c r="I1086" s="1859"/>
      <c r="J1086" s="1801"/>
      <c r="K1086" s="1802"/>
      <c r="L1086" s="1802"/>
      <c r="M1086" s="1802"/>
      <c r="N1086" s="1802"/>
      <c r="O1086" s="485"/>
      <c r="P1086" s="9"/>
      <c r="S1086" s="1715" t="b">
        <f t="shared" si="481"/>
        <v>1</v>
      </c>
      <c r="T1086" s="1435"/>
      <c r="Z1086" s="1435"/>
      <c r="AC1086" s="1803"/>
      <c r="AD1086" s="1803"/>
      <c r="AE1086" s="1803"/>
      <c r="AF1086" s="1803"/>
      <c r="AG1086" s="1803"/>
      <c r="AH1086" s="1803"/>
    </row>
    <row r="1087" spans="2:35" ht="13.15" customHeight="1">
      <c r="B1087" s="1124"/>
      <c r="C1087" s="485"/>
      <c r="D1087" s="582">
        <f t="shared" si="482"/>
        <v>9</v>
      </c>
      <c r="E1087" s="1717" t="str">
        <f>c_ALR2025!E3733</f>
        <v/>
      </c>
      <c r="F1087" s="1717" t="str">
        <f>c_ALR2025!F3733</f>
        <v/>
      </c>
      <c r="G1087" s="1718" t="str">
        <f>c_ALR2025!G3733</f>
        <v/>
      </c>
      <c r="H1087" s="1719" t="str">
        <f>c_ALR2025!M3733</f>
        <v/>
      </c>
      <c r="I1087" s="1859"/>
      <c r="J1087" s="1801"/>
      <c r="K1087" s="1802"/>
      <c r="L1087" s="1802"/>
      <c r="M1087" s="1802"/>
      <c r="N1087" s="1802"/>
      <c r="O1087" s="485"/>
      <c r="P1087" s="9"/>
      <c r="S1087" s="1715" t="b">
        <f t="shared" si="481"/>
        <v>1</v>
      </c>
      <c r="T1087" s="1435"/>
      <c r="Z1087" s="1435"/>
      <c r="AC1087" s="1803"/>
      <c r="AD1087" s="1803"/>
      <c r="AE1087" s="1803"/>
      <c r="AF1087" s="1803"/>
      <c r="AG1087" s="1803"/>
      <c r="AH1087" s="1803"/>
    </row>
    <row r="1088" spans="2:35" ht="13.15" customHeight="1">
      <c r="B1088" s="1124"/>
      <c r="C1088" s="485"/>
      <c r="D1088" s="584">
        <f t="shared" si="482"/>
        <v>10</v>
      </c>
      <c r="E1088" s="1720" t="str">
        <f>c_ALR2025!E3734</f>
        <v/>
      </c>
      <c r="F1088" s="1720" t="str">
        <f>c_ALR2025!F3734</f>
        <v/>
      </c>
      <c r="G1088" s="1721" t="str">
        <f>c_ALR2025!G3734</f>
        <v/>
      </c>
      <c r="H1088" s="1722" t="str">
        <f>c_ALR2025!M3734</f>
        <v/>
      </c>
      <c r="I1088" s="1860"/>
      <c r="J1088" s="1801"/>
      <c r="K1088" s="1802"/>
      <c r="L1088" s="1802"/>
      <c r="M1088" s="1802"/>
      <c r="N1088" s="1802"/>
      <c r="O1088" s="485"/>
      <c r="P1088" s="9"/>
      <c r="S1088" s="1715" t="b">
        <f t="shared" si="481"/>
        <v>1</v>
      </c>
      <c r="T1088" s="1435"/>
      <c r="Z1088" s="1435"/>
      <c r="AC1088" s="1803"/>
      <c r="AD1088" s="1803"/>
      <c r="AE1088" s="1803"/>
      <c r="AF1088" s="1803"/>
      <c r="AG1088" s="1803"/>
      <c r="AH1088" s="1803"/>
    </row>
    <row r="1089" spans="2:42" ht="13.15" customHeight="1">
      <c r="B1089" s="1124"/>
      <c r="C1089" s="485"/>
      <c r="D1089" s="579">
        <v>1</v>
      </c>
      <c r="E1089" s="1861"/>
      <c r="F1089" s="1861"/>
      <c r="G1089" s="1862"/>
      <c r="H1089" s="1723"/>
      <c r="I1089" s="1863"/>
      <c r="J1089" s="1801"/>
      <c r="K1089" s="1802"/>
      <c r="L1089" s="1802"/>
      <c r="M1089" s="1802"/>
      <c r="N1089" s="1802"/>
      <c r="O1089" s="485"/>
      <c r="P1089" s="9"/>
      <c r="S1089" s="1715" t="b">
        <f>NOT(S1079)</f>
        <v>0</v>
      </c>
      <c r="T1089" s="1435"/>
      <c r="Z1089" s="1435"/>
      <c r="AC1089" s="1803"/>
      <c r="AD1089" s="1803"/>
      <c r="AE1089" s="1803"/>
      <c r="AF1089" s="1803"/>
      <c r="AG1089" s="1803"/>
      <c r="AH1089" s="1803"/>
    </row>
    <row r="1090" spans="2:42" ht="13.15" customHeight="1">
      <c r="B1090" s="1124"/>
      <c r="C1090" s="485"/>
      <c r="D1090" s="582">
        <f>D1089+1</f>
        <v>2</v>
      </c>
      <c r="E1090" s="1864"/>
      <c r="F1090" s="1864"/>
      <c r="G1090" s="1865"/>
      <c r="H1090" s="1724"/>
      <c r="I1090" s="1859"/>
      <c r="J1090" s="1801"/>
      <c r="K1090" s="1802"/>
      <c r="L1090" s="1802"/>
      <c r="M1090" s="1802"/>
      <c r="N1090" s="1802"/>
      <c r="O1090" s="485"/>
      <c r="P1090" s="9"/>
      <c r="S1090" s="1715" t="b">
        <f t="shared" ref="S1090:S1098" si="483">NOT(S1080)</f>
        <v>0</v>
      </c>
      <c r="T1090" s="1435"/>
      <c r="Z1090" s="1435"/>
      <c r="AC1090" s="1803"/>
      <c r="AD1090" s="1803"/>
      <c r="AE1090" s="1803"/>
      <c r="AF1090" s="1803"/>
      <c r="AG1090" s="1803"/>
      <c r="AH1090" s="1803"/>
    </row>
    <row r="1091" spans="2:42" ht="13.15" customHeight="1">
      <c r="B1091" s="1124"/>
      <c r="C1091" s="485"/>
      <c r="D1091" s="582">
        <f t="shared" ref="D1091:D1098" si="484">D1090+1</f>
        <v>3</v>
      </c>
      <c r="E1091" s="1864"/>
      <c r="F1091" s="1864"/>
      <c r="G1091" s="1865"/>
      <c r="H1091" s="1724"/>
      <c r="I1091" s="1859"/>
      <c r="J1091" s="1801"/>
      <c r="K1091" s="1802"/>
      <c r="L1091" s="1802"/>
      <c r="M1091" s="1802"/>
      <c r="N1091" s="1802"/>
      <c r="O1091" s="485"/>
      <c r="P1091" s="9"/>
      <c r="S1091" s="1715" t="b">
        <f t="shared" si="483"/>
        <v>0</v>
      </c>
      <c r="T1091" s="1435"/>
      <c r="Z1091" s="1435"/>
      <c r="AC1091" s="1803"/>
      <c r="AD1091" s="1803"/>
      <c r="AE1091" s="1803"/>
      <c r="AF1091" s="1803"/>
      <c r="AG1091" s="1803"/>
      <c r="AH1091" s="1803"/>
    </row>
    <row r="1092" spans="2:42" ht="13.15" customHeight="1">
      <c r="B1092" s="1124"/>
      <c r="C1092" s="485"/>
      <c r="D1092" s="582">
        <f t="shared" si="484"/>
        <v>4</v>
      </c>
      <c r="E1092" s="1864"/>
      <c r="F1092" s="1864"/>
      <c r="G1092" s="1865"/>
      <c r="H1092" s="1724"/>
      <c r="I1092" s="1859"/>
      <c r="J1092" s="1801"/>
      <c r="K1092" s="1802"/>
      <c r="L1092" s="1802"/>
      <c r="M1092" s="1802"/>
      <c r="N1092" s="1802"/>
      <c r="O1092" s="485"/>
      <c r="P1092" s="9"/>
      <c r="S1092" s="1715" t="b">
        <f t="shared" si="483"/>
        <v>0</v>
      </c>
      <c r="T1092" s="1435"/>
      <c r="Z1092" s="1435"/>
      <c r="AC1092" s="1803"/>
      <c r="AD1092" s="1803"/>
      <c r="AE1092" s="1803"/>
      <c r="AF1092" s="1803"/>
      <c r="AG1092" s="1803"/>
      <c r="AH1092" s="1803"/>
    </row>
    <row r="1093" spans="2:42" ht="13.15" customHeight="1">
      <c r="B1093" s="1124"/>
      <c r="C1093" s="485"/>
      <c r="D1093" s="582">
        <f t="shared" si="484"/>
        <v>5</v>
      </c>
      <c r="E1093" s="1864"/>
      <c r="F1093" s="1864"/>
      <c r="G1093" s="1865"/>
      <c r="H1093" s="1724"/>
      <c r="I1093" s="1859"/>
      <c r="J1093" s="1801"/>
      <c r="K1093" s="1802"/>
      <c r="L1093" s="1802"/>
      <c r="M1093" s="1802"/>
      <c r="N1093" s="1802"/>
      <c r="O1093" s="485"/>
      <c r="P1093" s="9"/>
      <c r="S1093" s="1715" t="b">
        <f t="shared" si="483"/>
        <v>0</v>
      </c>
      <c r="T1093" s="1435"/>
      <c r="Z1093" s="1435"/>
      <c r="AC1093" s="1803"/>
      <c r="AD1093" s="1803"/>
      <c r="AE1093" s="1803"/>
      <c r="AF1093" s="1803"/>
      <c r="AG1093" s="1803"/>
      <c r="AH1093" s="1803"/>
    </row>
    <row r="1094" spans="2:42" ht="13.15" customHeight="1">
      <c r="B1094" s="1124"/>
      <c r="C1094" s="485"/>
      <c r="D1094" s="582">
        <f t="shared" si="484"/>
        <v>6</v>
      </c>
      <c r="E1094" s="1864"/>
      <c r="F1094" s="1864"/>
      <c r="G1094" s="1865"/>
      <c r="H1094" s="1724"/>
      <c r="I1094" s="1859"/>
      <c r="J1094" s="1801"/>
      <c r="K1094" s="1802"/>
      <c r="L1094" s="1802"/>
      <c r="M1094" s="1802"/>
      <c r="N1094" s="1802"/>
      <c r="O1094" s="485"/>
      <c r="P1094" s="9"/>
      <c r="S1094" s="1715" t="b">
        <f t="shared" si="483"/>
        <v>0</v>
      </c>
      <c r="T1094" s="1435"/>
      <c r="Z1094" s="1435"/>
      <c r="AC1094" s="1803"/>
      <c r="AD1094" s="1803"/>
      <c r="AE1094" s="1803"/>
      <c r="AF1094" s="1803"/>
      <c r="AG1094" s="1803"/>
      <c r="AH1094" s="1803"/>
    </row>
    <row r="1095" spans="2:42" ht="13.15" customHeight="1">
      <c r="B1095" s="1124"/>
      <c r="C1095" s="485"/>
      <c r="D1095" s="582">
        <f t="shared" si="484"/>
        <v>7</v>
      </c>
      <c r="E1095" s="1864"/>
      <c r="F1095" s="1864"/>
      <c r="G1095" s="1865"/>
      <c r="H1095" s="1724"/>
      <c r="I1095" s="1859"/>
      <c r="J1095" s="1801"/>
      <c r="K1095" s="1802"/>
      <c r="L1095" s="1802"/>
      <c r="M1095" s="1802"/>
      <c r="N1095" s="1802"/>
      <c r="O1095" s="485"/>
      <c r="P1095" s="9"/>
      <c r="S1095" s="1715" t="b">
        <f t="shared" si="483"/>
        <v>0</v>
      </c>
      <c r="T1095" s="1435"/>
      <c r="Z1095" s="1435"/>
      <c r="AC1095" s="1803"/>
      <c r="AD1095" s="1803"/>
      <c r="AE1095" s="1803"/>
      <c r="AF1095" s="1803"/>
      <c r="AG1095" s="1803"/>
      <c r="AH1095" s="1803"/>
    </row>
    <row r="1096" spans="2:42" ht="13.15" customHeight="1">
      <c r="B1096" s="1124"/>
      <c r="C1096" s="485"/>
      <c r="D1096" s="582">
        <f t="shared" si="484"/>
        <v>8</v>
      </c>
      <c r="E1096" s="1864"/>
      <c r="F1096" s="1864"/>
      <c r="G1096" s="1865"/>
      <c r="H1096" s="1724"/>
      <c r="I1096" s="1859"/>
      <c r="J1096" s="1801"/>
      <c r="K1096" s="1802"/>
      <c r="L1096" s="1802"/>
      <c r="M1096" s="1802"/>
      <c r="N1096" s="1802"/>
      <c r="O1096" s="485"/>
      <c r="P1096" s="9"/>
      <c r="S1096" s="1715" t="b">
        <f t="shared" si="483"/>
        <v>0</v>
      </c>
      <c r="T1096" s="1435"/>
      <c r="Z1096" s="1435"/>
      <c r="AC1096" s="1803"/>
      <c r="AD1096" s="1803"/>
      <c r="AE1096" s="1803"/>
      <c r="AF1096" s="1803"/>
      <c r="AG1096" s="1803"/>
      <c r="AH1096" s="1803"/>
    </row>
    <row r="1097" spans="2:42" ht="13.15" customHeight="1">
      <c r="B1097" s="1124"/>
      <c r="C1097" s="485"/>
      <c r="D1097" s="582">
        <f t="shared" si="484"/>
        <v>9</v>
      </c>
      <c r="E1097" s="1864"/>
      <c r="F1097" s="1864"/>
      <c r="G1097" s="1865"/>
      <c r="H1097" s="1724"/>
      <c r="I1097" s="1859"/>
      <c r="J1097" s="1801"/>
      <c r="K1097" s="1802"/>
      <c r="L1097" s="1802"/>
      <c r="M1097" s="1802"/>
      <c r="N1097" s="1802"/>
      <c r="O1097" s="485"/>
      <c r="P1097" s="9"/>
      <c r="S1097" s="1715" t="b">
        <f t="shared" si="483"/>
        <v>0</v>
      </c>
      <c r="T1097" s="1435"/>
      <c r="Z1097" s="1435"/>
      <c r="AC1097" s="1803"/>
      <c r="AD1097" s="1803"/>
      <c r="AE1097" s="1803"/>
      <c r="AF1097" s="1803"/>
      <c r="AG1097" s="1803"/>
      <c r="AH1097" s="1803"/>
    </row>
    <row r="1098" spans="2:42" ht="13.15" customHeight="1" thickBot="1">
      <c r="B1098" s="1124"/>
      <c r="C1098" s="485"/>
      <c r="D1098" s="584">
        <f t="shared" si="484"/>
        <v>10</v>
      </c>
      <c r="E1098" s="1866"/>
      <c r="F1098" s="1866"/>
      <c r="G1098" s="1867"/>
      <c r="H1098" s="1725"/>
      <c r="I1098" s="1860"/>
      <c r="J1098" s="1801"/>
      <c r="K1098" s="1802"/>
      <c r="L1098" s="1802"/>
      <c r="M1098" s="1802"/>
      <c r="N1098" s="1802"/>
      <c r="O1098" s="485"/>
      <c r="P1098" s="9"/>
      <c r="S1098" s="1726" t="b">
        <f t="shared" si="483"/>
        <v>0</v>
      </c>
      <c r="T1098" s="1435"/>
      <c r="Z1098" s="1435"/>
      <c r="AC1098" s="1803"/>
      <c r="AD1098" s="1803"/>
      <c r="AE1098" s="1803"/>
      <c r="AF1098" s="1803"/>
      <c r="AG1098" s="1803"/>
      <c r="AH1098" s="1803"/>
    </row>
    <row r="1099" spans="2:42">
      <c r="B1099" s="1124"/>
      <c r="C1099" s="485"/>
      <c r="D1099" s="579">
        <v>1</v>
      </c>
      <c r="E1099" s="864" t="str">
        <f t="shared" ref="E1099:E1108" si="485">IF(E1089&lt;&gt; "",E1089,IF(E1079 &lt;&gt; "", E1079,""))</f>
        <v/>
      </c>
      <c r="F1099" s="960" t="str">
        <f t="shared" ref="F1099:I1099" si="486">IF(F1089&lt;&gt; "",F1089,IF(F1079 &lt;&gt; "", F1079,""))</f>
        <v/>
      </c>
      <c r="G1099" s="961" t="str">
        <f t="shared" si="486"/>
        <v/>
      </c>
      <c r="H1099" s="656" t="str">
        <f t="shared" si="486"/>
        <v/>
      </c>
      <c r="I1099" s="962" t="str">
        <f t="shared" si="486"/>
        <v/>
      </c>
      <c r="J1099" s="1804"/>
      <c r="K1099" s="1805"/>
      <c r="L1099" s="1805"/>
      <c r="M1099" s="1805"/>
      <c r="N1099" s="1805"/>
      <c r="O1099" s="485"/>
      <c r="S1099" s="1435"/>
      <c r="T1099" s="1435"/>
      <c r="Z1099" s="1730" t="b">
        <f t="shared" ref="Z1099:Z1108" si="487">AA1099</f>
        <v>0</v>
      </c>
      <c r="AA1099" s="1731" t="b">
        <f t="shared" ref="AA1099:AA1108" si="488">AB1099</f>
        <v>0</v>
      </c>
      <c r="AB1099" s="1868" t="b">
        <f>AND(AC1099:AI1099)</f>
        <v>0</v>
      </c>
      <c r="AC1099" s="1732" t="b">
        <f t="shared" ref="AC1099:AI1099" si="489">AC1049</f>
        <v>0</v>
      </c>
      <c r="AD1099" s="1680" t="b">
        <f t="shared" si="489"/>
        <v>0</v>
      </c>
      <c r="AE1099" s="1680" t="b">
        <f t="shared" si="489"/>
        <v>0</v>
      </c>
      <c r="AF1099" s="1680" t="b">
        <f t="shared" si="489"/>
        <v>0</v>
      </c>
      <c r="AG1099" s="1680" t="b">
        <f t="shared" si="489"/>
        <v>0</v>
      </c>
      <c r="AH1099" s="1680" t="b">
        <f t="shared" si="489"/>
        <v>0</v>
      </c>
      <c r="AI1099" s="1681" t="b">
        <f t="shared" si="489"/>
        <v>0</v>
      </c>
      <c r="AJ1099" s="1633" t="s">
        <v>1954</v>
      </c>
      <c r="AK1099" s="1635" t="str">
        <f>IF(AND(CNTR_ExistSubInstEntries,COUNTIFS(AC1099:AI1099,FALSE,H1099:N1099,"")&gt;0),EUconst_Error&amp;"BM"&amp;$Q979,"")</f>
        <v/>
      </c>
      <c r="AP1099" s="1135" t="s">
        <v>2412</v>
      </c>
    </row>
    <row r="1100" spans="2:42">
      <c r="B1100" s="1124"/>
      <c r="C1100" s="485"/>
      <c r="D1100" s="582">
        <f>D1099+1</f>
        <v>2</v>
      </c>
      <c r="E1100" s="866" t="str">
        <f t="shared" si="485"/>
        <v/>
      </c>
      <c r="F1100" s="964" t="str">
        <f t="shared" ref="F1100:I1100" si="490">IF(F1090&lt;&gt; "",F1090,IF(F1080 &lt;&gt; "", F1080,""))</f>
        <v/>
      </c>
      <c r="G1100" s="895" t="str">
        <f t="shared" si="490"/>
        <v/>
      </c>
      <c r="H1100" s="658" t="str">
        <f t="shared" si="490"/>
        <v/>
      </c>
      <c r="I1100" s="965" t="str">
        <f t="shared" si="490"/>
        <v/>
      </c>
      <c r="J1100" s="1804"/>
      <c r="K1100" s="1805"/>
      <c r="L1100" s="1805"/>
      <c r="M1100" s="1805"/>
      <c r="N1100" s="1805"/>
      <c r="O1100" s="485"/>
      <c r="S1100" s="1435"/>
      <c r="T1100" s="1435"/>
      <c r="Z1100" s="1736" t="b">
        <f t="shared" si="487"/>
        <v>0</v>
      </c>
      <c r="AA1100" s="1443" t="b">
        <f t="shared" si="488"/>
        <v>0</v>
      </c>
      <c r="AB1100" s="1737" t="b">
        <f t="shared" ref="AB1100:AB1108" si="491">AND(AC1100:AI1100)</f>
        <v>0</v>
      </c>
      <c r="AC1100" s="1738" t="b">
        <f>AC1099</f>
        <v>0</v>
      </c>
      <c r="AD1100" s="1443" t="b">
        <f t="shared" ref="AD1100:AI1100" si="492">AD1099</f>
        <v>0</v>
      </c>
      <c r="AE1100" s="1443" t="b">
        <f t="shared" si="492"/>
        <v>0</v>
      </c>
      <c r="AF1100" s="1443" t="b">
        <f t="shared" si="492"/>
        <v>0</v>
      </c>
      <c r="AG1100" s="1443" t="b">
        <f t="shared" si="492"/>
        <v>0</v>
      </c>
      <c r="AH1100" s="1443" t="b">
        <f t="shared" si="492"/>
        <v>0</v>
      </c>
      <c r="AI1100" s="1737" t="b">
        <f t="shared" si="492"/>
        <v>0</v>
      </c>
      <c r="AP1100" s="1135" t="s">
        <v>2402</v>
      </c>
    </row>
    <row r="1101" spans="2:42">
      <c r="B1101" s="1124"/>
      <c r="C1101" s="485"/>
      <c r="D1101" s="582">
        <f t="shared" ref="D1101:D1108" si="493">D1100+1</f>
        <v>3</v>
      </c>
      <c r="E1101" s="866" t="str">
        <f t="shared" si="485"/>
        <v/>
      </c>
      <c r="F1101" s="964" t="str">
        <f t="shared" ref="F1101:I1101" si="494">IF(F1091&lt;&gt; "",F1091,IF(F1081 &lt;&gt; "", F1081,""))</f>
        <v/>
      </c>
      <c r="G1101" s="895" t="str">
        <f t="shared" si="494"/>
        <v/>
      </c>
      <c r="H1101" s="658" t="str">
        <f t="shared" si="494"/>
        <v/>
      </c>
      <c r="I1101" s="965" t="str">
        <f t="shared" si="494"/>
        <v/>
      </c>
      <c r="J1101" s="1804"/>
      <c r="K1101" s="1805"/>
      <c r="L1101" s="1805"/>
      <c r="M1101" s="1805"/>
      <c r="N1101" s="1805"/>
      <c r="O1101" s="485"/>
      <c r="S1101" s="1435"/>
      <c r="T1101" s="1435"/>
      <c r="Z1101" s="1736" t="b">
        <f t="shared" si="487"/>
        <v>0</v>
      </c>
      <c r="AA1101" s="1443" t="b">
        <f t="shared" si="488"/>
        <v>0</v>
      </c>
      <c r="AB1101" s="1737" t="b">
        <f t="shared" si="491"/>
        <v>0</v>
      </c>
      <c r="AC1101" s="1738" t="b">
        <f t="shared" ref="AC1101:AI1108" si="495">AC1100</f>
        <v>0</v>
      </c>
      <c r="AD1101" s="1443" t="b">
        <f t="shared" si="495"/>
        <v>0</v>
      </c>
      <c r="AE1101" s="1443" t="b">
        <f t="shared" si="495"/>
        <v>0</v>
      </c>
      <c r="AF1101" s="1443" t="b">
        <f t="shared" si="495"/>
        <v>0</v>
      </c>
      <c r="AG1101" s="1443" t="b">
        <f t="shared" si="495"/>
        <v>0</v>
      </c>
      <c r="AH1101" s="1443" t="b">
        <f t="shared" si="495"/>
        <v>0</v>
      </c>
      <c r="AI1101" s="1737" t="b">
        <f t="shared" si="495"/>
        <v>0</v>
      </c>
      <c r="AP1101" s="1135" t="s">
        <v>2413</v>
      </c>
    </row>
    <row r="1102" spans="2:42">
      <c r="B1102" s="1124"/>
      <c r="C1102" s="485"/>
      <c r="D1102" s="582">
        <f t="shared" si="493"/>
        <v>4</v>
      </c>
      <c r="E1102" s="866" t="str">
        <f t="shared" si="485"/>
        <v/>
      </c>
      <c r="F1102" s="964" t="str">
        <f t="shared" ref="F1102:I1102" si="496">IF(F1092&lt;&gt; "",F1092,IF(F1082 &lt;&gt; "", F1082,""))</f>
        <v/>
      </c>
      <c r="G1102" s="895" t="str">
        <f t="shared" si="496"/>
        <v/>
      </c>
      <c r="H1102" s="658" t="str">
        <f t="shared" si="496"/>
        <v/>
      </c>
      <c r="I1102" s="965" t="str">
        <f t="shared" si="496"/>
        <v/>
      </c>
      <c r="J1102" s="1804"/>
      <c r="K1102" s="1805"/>
      <c r="L1102" s="1805"/>
      <c r="M1102" s="1805"/>
      <c r="N1102" s="1805"/>
      <c r="O1102" s="485"/>
      <c r="S1102" s="1435"/>
      <c r="T1102" s="1435"/>
      <c r="Z1102" s="1736" t="b">
        <f t="shared" si="487"/>
        <v>0</v>
      </c>
      <c r="AA1102" s="1443" t="b">
        <f t="shared" si="488"/>
        <v>0</v>
      </c>
      <c r="AB1102" s="1737" t="b">
        <f t="shared" si="491"/>
        <v>0</v>
      </c>
      <c r="AC1102" s="1738" t="b">
        <f t="shared" si="495"/>
        <v>0</v>
      </c>
      <c r="AD1102" s="1443" t="b">
        <f t="shared" si="495"/>
        <v>0</v>
      </c>
      <c r="AE1102" s="1443" t="b">
        <f t="shared" si="495"/>
        <v>0</v>
      </c>
      <c r="AF1102" s="1443" t="b">
        <f t="shared" si="495"/>
        <v>0</v>
      </c>
      <c r="AG1102" s="1443" t="b">
        <f t="shared" si="495"/>
        <v>0</v>
      </c>
      <c r="AH1102" s="1443" t="b">
        <f t="shared" si="495"/>
        <v>0</v>
      </c>
      <c r="AI1102" s="1737" t="b">
        <f t="shared" si="495"/>
        <v>0</v>
      </c>
      <c r="AP1102" s="1135" t="s">
        <v>2414</v>
      </c>
    </row>
    <row r="1103" spans="2:42">
      <c r="B1103" s="1124"/>
      <c r="C1103" s="485"/>
      <c r="D1103" s="582">
        <f t="shared" si="493"/>
        <v>5</v>
      </c>
      <c r="E1103" s="866" t="str">
        <f t="shared" si="485"/>
        <v/>
      </c>
      <c r="F1103" s="964" t="str">
        <f t="shared" ref="F1103:I1103" si="497">IF(F1093&lt;&gt; "",F1093,IF(F1083 &lt;&gt; "", F1083,""))</f>
        <v/>
      </c>
      <c r="G1103" s="895" t="str">
        <f t="shared" si="497"/>
        <v/>
      </c>
      <c r="H1103" s="658" t="str">
        <f t="shared" si="497"/>
        <v/>
      </c>
      <c r="I1103" s="965" t="str">
        <f t="shared" si="497"/>
        <v/>
      </c>
      <c r="J1103" s="1804"/>
      <c r="K1103" s="1805"/>
      <c r="L1103" s="1805"/>
      <c r="M1103" s="1805"/>
      <c r="N1103" s="1805"/>
      <c r="O1103" s="485"/>
      <c r="S1103" s="1435"/>
      <c r="T1103" s="1435"/>
      <c r="Z1103" s="1736" t="b">
        <f t="shared" si="487"/>
        <v>0</v>
      </c>
      <c r="AA1103" s="1443" t="b">
        <f t="shared" si="488"/>
        <v>0</v>
      </c>
      <c r="AB1103" s="1737" t="b">
        <f t="shared" si="491"/>
        <v>0</v>
      </c>
      <c r="AC1103" s="1738" t="b">
        <f t="shared" si="495"/>
        <v>0</v>
      </c>
      <c r="AD1103" s="1443" t="b">
        <f t="shared" si="495"/>
        <v>0</v>
      </c>
      <c r="AE1103" s="1443" t="b">
        <f t="shared" si="495"/>
        <v>0</v>
      </c>
      <c r="AF1103" s="1443" t="b">
        <f t="shared" si="495"/>
        <v>0</v>
      </c>
      <c r="AG1103" s="1443" t="b">
        <f t="shared" si="495"/>
        <v>0</v>
      </c>
      <c r="AH1103" s="1443" t="b">
        <f t="shared" si="495"/>
        <v>0</v>
      </c>
      <c r="AI1103" s="1737" t="b">
        <f t="shared" si="495"/>
        <v>0</v>
      </c>
      <c r="AP1103" s="1135" t="s">
        <v>2415</v>
      </c>
    </row>
    <row r="1104" spans="2:42">
      <c r="B1104" s="1124"/>
      <c r="C1104" s="485"/>
      <c r="D1104" s="582">
        <f t="shared" si="493"/>
        <v>6</v>
      </c>
      <c r="E1104" s="866" t="str">
        <f t="shared" si="485"/>
        <v/>
      </c>
      <c r="F1104" s="964" t="str">
        <f t="shared" ref="F1104:I1104" si="498">IF(F1094&lt;&gt; "",F1094,IF(F1084 &lt;&gt; "", F1084,""))</f>
        <v/>
      </c>
      <c r="G1104" s="895" t="str">
        <f t="shared" si="498"/>
        <v/>
      </c>
      <c r="H1104" s="658" t="str">
        <f t="shared" si="498"/>
        <v/>
      </c>
      <c r="I1104" s="965" t="str">
        <f t="shared" si="498"/>
        <v/>
      </c>
      <c r="J1104" s="1804"/>
      <c r="K1104" s="1805"/>
      <c r="L1104" s="1805"/>
      <c r="M1104" s="1805"/>
      <c r="N1104" s="1805"/>
      <c r="O1104" s="485"/>
      <c r="S1104" s="1435"/>
      <c r="T1104" s="1435"/>
      <c r="Z1104" s="1736" t="b">
        <f t="shared" si="487"/>
        <v>0</v>
      </c>
      <c r="AA1104" s="1443" t="b">
        <f t="shared" si="488"/>
        <v>0</v>
      </c>
      <c r="AB1104" s="1737" t="b">
        <f t="shared" si="491"/>
        <v>0</v>
      </c>
      <c r="AC1104" s="1738" t="b">
        <f t="shared" si="495"/>
        <v>0</v>
      </c>
      <c r="AD1104" s="1443" t="b">
        <f t="shared" si="495"/>
        <v>0</v>
      </c>
      <c r="AE1104" s="1443" t="b">
        <f t="shared" si="495"/>
        <v>0</v>
      </c>
      <c r="AF1104" s="1443" t="b">
        <f t="shared" si="495"/>
        <v>0</v>
      </c>
      <c r="AG1104" s="1443" t="b">
        <f t="shared" si="495"/>
        <v>0</v>
      </c>
      <c r="AH1104" s="1443" t="b">
        <f t="shared" si="495"/>
        <v>0</v>
      </c>
      <c r="AI1104" s="1737" t="b">
        <f t="shared" si="495"/>
        <v>0</v>
      </c>
      <c r="AP1104" s="1135" t="s">
        <v>2416</v>
      </c>
    </row>
    <row r="1105" spans="2:42">
      <c r="B1105" s="1124"/>
      <c r="C1105" s="485"/>
      <c r="D1105" s="582">
        <f t="shared" si="493"/>
        <v>7</v>
      </c>
      <c r="E1105" s="866" t="str">
        <f t="shared" si="485"/>
        <v/>
      </c>
      <c r="F1105" s="964" t="str">
        <f t="shared" ref="F1105:I1105" si="499">IF(F1095&lt;&gt; "",F1095,IF(F1085 &lt;&gt; "", F1085,""))</f>
        <v/>
      </c>
      <c r="G1105" s="895" t="str">
        <f t="shared" si="499"/>
        <v/>
      </c>
      <c r="H1105" s="658" t="str">
        <f t="shared" si="499"/>
        <v/>
      </c>
      <c r="I1105" s="965" t="str">
        <f t="shared" si="499"/>
        <v/>
      </c>
      <c r="J1105" s="1804"/>
      <c r="K1105" s="1805"/>
      <c r="L1105" s="1805"/>
      <c r="M1105" s="1805"/>
      <c r="N1105" s="1805"/>
      <c r="O1105" s="485"/>
      <c r="S1105" s="1435"/>
      <c r="T1105" s="1435"/>
      <c r="Z1105" s="1736" t="b">
        <f t="shared" si="487"/>
        <v>0</v>
      </c>
      <c r="AA1105" s="1443" t="b">
        <f t="shared" si="488"/>
        <v>0</v>
      </c>
      <c r="AB1105" s="1737" t="b">
        <f t="shared" si="491"/>
        <v>0</v>
      </c>
      <c r="AC1105" s="1738" t="b">
        <f t="shared" si="495"/>
        <v>0</v>
      </c>
      <c r="AD1105" s="1443" t="b">
        <f t="shared" si="495"/>
        <v>0</v>
      </c>
      <c r="AE1105" s="1443" t="b">
        <f t="shared" si="495"/>
        <v>0</v>
      </c>
      <c r="AF1105" s="1443" t="b">
        <f t="shared" si="495"/>
        <v>0</v>
      </c>
      <c r="AG1105" s="1443" t="b">
        <f t="shared" si="495"/>
        <v>0</v>
      </c>
      <c r="AH1105" s="1443" t="b">
        <f t="shared" si="495"/>
        <v>0</v>
      </c>
      <c r="AI1105" s="1737" t="b">
        <f t="shared" si="495"/>
        <v>0</v>
      </c>
      <c r="AP1105" s="1135" t="s">
        <v>2417</v>
      </c>
    </row>
    <row r="1106" spans="2:42">
      <c r="B1106" s="1124"/>
      <c r="C1106" s="485"/>
      <c r="D1106" s="582">
        <f t="shared" si="493"/>
        <v>8</v>
      </c>
      <c r="E1106" s="866" t="str">
        <f t="shared" si="485"/>
        <v/>
      </c>
      <c r="F1106" s="964" t="str">
        <f t="shared" ref="F1106:I1106" si="500">IF(F1096&lt;&gt; "",F1096,IF(F1086 &lt;&gt; "", F1086,""))</f>
        <v/>
      </c>
      <c r="G1106" s="895" t="str">
        <f t="shared" si="500"/>
        <v/>
      </c>
      <c r="H1106" s="658" t="str">
        <f t="shared" si="500"/>
        <v/>
      </c>
      <c r="I1106" s="965" t="str">
        <f t="shared" si="500"/>
        <v/>
      </c>
      <c r="J1106" s="1804"/>
      <c r="K1106" s="1805"/>
      <c r="L1106" s="1805"/>
      <c r="M1106" s="1805"/>
      <c r="N1106" s="1805"/>
      <c r="O1106" s="485"/>
      <c r="S1106" s="1435"/>
      <c r="T1106" s="1435"/>
      <c r="Z1106" s="1736" t="b">
        <f t="shared" si="487"/>
        <v>0</v>
      </c>
      <c r="AA1106" s="1443" t="b">
        <f t="shared" si="488"/>
        <v>0</v>
      </c>
      <c r="AB1106" s="1737" t="b">
        <f t="shared" si="491"/>
        <v>0</v>
      </c>
      <c r="AC1106" s="1738" t="b">
        <f t="shared" si="495"/>
        <v>0</v>
      </c>
      <c r="AD1106" s="1443" t="b">
        <f t="shared" si="495"/>
        <v>0</v>
      </c>
      <c r="AE1106" s="1443" t="b">
        <f t="shared" si="495"/>
        <v>0</v>
      </c>
      <c r="AF1106" s="1443" t="b">
        <f t="shared" si="495"/>
        <v>0</v>
      </c>
      <c r="AG1106" s="1443" t="b">
        <f t="shared" si="495"/>
        <v>0</v>
      </c>
      <c r="AH1106" s="1443" t="b">
        <f t="shared" si="495"/>
        <v>0</v>
      </c>
      <c r="AI1106" s="1737" t="b">
        <f t="shared" si="495"/>
        <v>0</v>
      </c>
      <c r="AP1106" s="1135" t="s">
        <v>2418</v>
      </c>
    </row>
    <row r="1107" spans="2:42">
      <c r="B1107" s="1124"/>
      <c r="C1107" s="485"/>
      <c r="D1107" s="582">
        <f t="shared" si="493"/>
        <v>9</v>
      </c>
      <c r="E1107" s="866" t="str">
        <f t="shared" si="485"/>
        <v/>
      </c>
      <c r="F1107" s="964" t="str">
        <f t="shared" ref="F1107:I1107" si="501">IF(F1097&lt;&gt; "",F1097,IF(F1087 &lt;&gt; "", F1087,""))</f>
        <v/>
      </c>
      <c r="G1107" s="895" t="str">
        <f t="shared" si="501"/>
        <v/>
      </c>
      <c r="H1107" s="658" t="str">
        <f t="shared" si="501"/>
        <v/>
      </c>
      <c r="I1107" s="965" t="str">
        <f t="shared" si="501"/>
        <v/>
      </c>
      <c r="J1107" s="1804"/>
      <c r="K1107" s="1805"/>
      <c r="L1107" s="1805"/>
      <c r="M1107" s="1805"/>
      <c r="N1107" s="1805"/>
      <c r="O1107" s="485"/>
      <c r="S1107" s="1435"/>
      <c r="T1107" s="1435"/>
      <c r="Z1107" s="1736" t="b">
        <f t="shared" si="487"/>
        <v>0</v>
      </c>
      <c r="AA1107" s="1443" t="b">
        <f t="shared" si="488"/>
        <v>0</v>
      </c>
      <c r="AB1107" s="1737" t="b">
        <f t="shared" si="491"/>
        <v>0</v>
      </c>
      <c r="AC1107" s="1738" t="b">
        <f t="shared" si="495"/>
        <v>0</v>
      </c>
      <c r="AD1107" s="1443" t="b">
        <f t="shared" si="495"/>
        <v>0</v>
      </c>
      <c r="AE1107" s="1443" t="b">
        <f t="shared" si="495"/>
        <v>0</v>
      </c>
      <c r="AF1107" s="1443" t="b">
        <f t="shared" si="495"/>
        <v>0</v>
      </c>
      <c r="AG1107" s="1443" t="b">
        <f t="shared" si="495"/>
        <v>0</v>
      </c>
      <c r="AH1107" s="1443" t="b">
        <f t="shared" si="495"/>
        <v>0</v>
      </c>
      <c r="AI1107" s="1737" t="b">
        <f t="shared" si="495"/>
        <v>0</v>
      </c>
      <c r="AP1107" s="1135" t="s">
        <v>2419</v>
      </c>
    </row>
    <row r="1108" spans="2:42" ht="13.5" thickBot="1">
      <c r="B1108" s="1124"/>
      <c r="C1108" s="485"/>
      <c r="D1108" s="584">
        <f t="shared" si="493"/>
        <v>10</v>
      </c>
      <c r="E1108" s="868" t="str">
        <f t="shared" si="485"/>
        <v/>
      </c>
      <c r="F1108" s="967" t="str">
        <f t="shared" ref="F1108:I1108" si="502">IF(F1098&lt;&gt; "",F1098,IF(F1088 &lt;&gt; "", F1088,""))</f>
        <v/>
      </c>
      <c r="G1108" s="968" t="str">
        <f t="shared" si="502"/>
        <v/>
      </c>
      <c r="H1108" s="660" t="str">
        <f t="shared" si="502"/>
        <v/>
      </c>
      <c r="I1108" s="969" t="str">
        <f t="shared" si="502"/>
        <v/>
      </c>
      <c r="J1108" s="1804"/>
      <c r="K1108" s="1805"/>
      <c r="L1108" s="1805"/>
      <c r="M1108" s="1805"/>
      <c r="N1108" s="1805"/>
      <c r="O1108" s="485"/>
      <c r="S1108" s="1435"/>
      <c r="T1108" s="1435"/>
      <c r="Z1108" s="1742" t="b">
        <f t="shared" si="487"/>
        <v>0</v>
      </c>
      <c r="AA1108" s="1743" t="b">
        <f t="shared" si="488"/>
        <v>0</v>
      </c>
      <c r="AB1108" s="1744" t="b">
        <f t="shared" si="491"/>
        <v>0</v>
      </c>
      <c r="AC1108" s="1745" t="b">
        <f t="shared" si="495"/>
        <v>0</v>
      </c>
      <c r="AD1108" s="1743" t="b">
        <f t="shared" si="495"/>
        <v>0</v>
      </c>
      <c r="AE1108" s="1743" t="b">
        <f t="shared" si="495"/>
        <v>0</v>
      </c>
      <c r="AF1108" s="1743" t="b">
        <f t="shared" si="495"/>
        <v>0</v>
      </c>
      <c r="AG1108" s="1743" t="b">
        <f t="shared" si="495"/>
        <v>0</v>
      </c>
      <c r="AH1108" s="1743" t="b">
        <f t="shared" si="495"/>
        <v>0</v>
      </c>
      <c r="AI1108" s="1744" t="b">
        <f t="shared" si="495"/>
        <v>0</v>
      </c>
      <c r="AP1108" s="1135" t="s">
        <v>2420</v>
      </c>
    </row>
    <row r="1109" spans="2:42" ht="12.75" customHeight="1" thickBot="1">
      <c r="B1109" s="1124"/>
      <c r="C1109" s="485"/>
      <c r="D1109" s="971"/>
      <c r="E1109" s="972" t="s">
        <v>921</v>
      </c>
      <c r="F1109" s="948"/>
      <c r="G1109" s="1881"/>
      <c r="H1109" s="605" t="str">
        <f t="shared" ref="H1109:I1109" si="503">IF(COUNT(H1099:H1108)&gt;0,SUM(H1099:H1108),"")</f>
        <v/>
      </c>
      <c r="I1109" s="973" t="str">
        <f t="shared" si="503"/>
        <v/>
      </c>
      <c r="J1109" s="1804"/>
      <c r="K1109" s="1805"/>
      <c r="L1109" s="1805"/>
      <c r="M1109" s="1805"/>
      <c r="N1109" s="1805"/>
      <c r="O1109" s="485"/>
      <c r="P1109" s="485"/>
      <c r="S1109" s="1435"/>
      <c r="T1109" s="1435"/>
      <c r="AB1109" s="1848" t="b">
        <f>AND(AB1099:AB1108)</f>
        <v>0</v>
      </c>
    </row>
    <row r="1110" spans="2:42" ht="12.75" customHeight="1" thickBot="1">
      <c r="B1110" s="479"/>
      <c r="C1110" s="479"/>
      <c r="D1110" s="479"/>
      <c r="E1110" s="479"/>
      <c r="F1110" s="479"/>
      <c r="G1110" s="479"/>
      <c r="H1110" s="479"/>
      <c r="I1110" s="479"/>
      <c r="J1110" s="479"/>
      <c r="K1110" s="479"/>
      <c r="L1110" s="479"/>
      <c r="M1110" s="485"/>
      <c r="N1110" s="485"/>
      <c r="O1110" s="485"/>
      <c r="P1110" s="485"/>
      <c r="Q1110" s="1435"/>
      <c r="S1110" s="1435"/>
      <c r="T1110" s="1435"/>
    </row>
    <row r="1111" spans="2:42" ht="5.0999999999999996" customHeight="1">
      <c r="B1111" s="479"/>
      <c r="C1111" s="975"/>
      <c r="D1111" s="976"/>
      <c r="E1111" s="976"/>
      <c r="F1111" s="976"/>
      <c r="G1111" s="976"/>
      <c r="H1111" s="976"/>
      <c r="I1111" s="976"/>
      <c r="J1111" s="976"/>
      <c r="K1111" s="976"/>
      <c r="L1111" s="976"/>
      <c r="M1111" s="774"/>
      <c r="N1111" s="775"/>
      <c r="O1111" s="485"/>
      <c r="P1111" s="485"/>
      <c r="Q1111" s="1435"/>
      <c r="S1111" s="1435"/>
      <c r="T1111" s="1435"/>
    </row>
    <row r="1112" spans="2:42" ht="15" customHeight="1">
      <c r="B1112" s="1124"/>
      <c r="C1112" s="977"/>
      <c r="D1112" s="2678" t="s">
        <v>2330</v>
      </c>
      <c r="E1112" s="2672"/>
      <c r="F1112" s="2672"/>
      <c r="G1112" s="2672"/>
      <c r="H1112" s="2672"/>
      <c r="I1112" s="2672"/>
      <c r="J1112" s="2672"/>
      <c r="K1112" s="2672"/>
      <c r="L1112" s="2672"/>
      <c r="M1112" s="2672"/>
      <c r="N1112" s="2673"/>
      <c r="O1112" s="485"/>
      <c r="P1112" s="485"/>
      <c r="S1112" s="1435"/>
      <c r="T1112" s="1435"/>
    </row>
    <row r="1113" spans="2:42" ht="5.0999999999999996" customHeight="1">
      <c r="B1113" s="1124"/>
      <c r="C1113" s="980"/>
      <c r="D1113" s="813"/>
      <c r="E1113" s="813"/>
      <c r="F1113" s="813"/>
      <c r="G1113" s="813"/>
      <c r="H1113" s="813"/>
      <c r="I1113" s="813"/>
      <c r="J1113" s="813"/>
      <c r="K1113" s="813"/>
      <c r="L1113" s="813"/>
      <c r="M1113" s="813"/>
      <c r="N1113" s="814"/>
      <c r="O1113" s="485"/>
      <c r="P1113" s="485"/>
      <c r="S1113" s="1435"/>
      <c r="T1113" s="1435"/>
    </row>
    <row r="1114" spans="2:42" ht="15" customHeight="1">
      <c r="B1114" s="1124"/>
      <c r="C1114" s="980"/>
      <c r="D1114" s="2679" t="str">
        <f>EUconst_BMSubinst &amp; ":"</f>
        <v>Sub-installation with product benchmark:</v>
      </c>
      <c r="E1114" s="2646"/>
      <c r="F1114" s="2646"/>
      <c r="G1114" s="2646"/>
      <c r="H1114" s="2680"/>
      <c r="I1114" s="3293" t="str">
        <f>I979</f>
        <v/>
      </c>
      <c r="J1114" s="3294"/>
      <c r="K1114" s="3294"/>
      <c r="L1114" s="3294"/>
      <c r="M1114" s="3294"/>
      <c r="N1114" s="3295"/>
      <c r="O1114" s="485"/>
      <c r="P1114" s="485"/>
      <c r="S1114" s="1435"/>
      <c r="T1114" s="1435"/>
    </row>
    <row r="1115" spans="2:42" ht="5.0999999999999996" customHeight="1">
      <c r="B1115" s="1124"/>
      <c r="C1115" s="980"/>
      <c r="D1115" s="813"/>
      <c r="E1115" s="813"/>
      <c r="F1115" s="813"/>
      <c r="G1115" s="813"/>
      <c r="H1115" s="813"/>
      <c r="I1115" s="813"/>
      <c r="J1115" s="813"/>
      <c r="K1115" s="813"/>
      <c r="L1115" s="813"/>
      <c r="M1115" s="813"/>
      <c r="N1115" s="814"/>
      <c r="O1115" s="485"/>
      <c r="P1115" s="485"/>
      <c r="S1115" s="1435"/>
      <c r="T1115" s="1435"/>
    </row>
    <row r="1116" spans="2:42" ht="30" customHeight="1">
      <c r="B1116" s="479"/>
      <c r="C1116" s="977"/>
      <c r="D1116" s="981"/>
      <c r="E1116" s="2691" t="s">
        <v>2154</v>
      </c>
      <c r="F1116" s="2691"/>
      <c r="G1116" s="2691"/>
      <c r="H1116" s="2691"/>
      <c r="I1116" s="2691"/>
      <c r="J1116" s="2691"/>
      <c r="K1116" s="2691"/>
      <c r="L1116" s="2691"/>
      <c r="M1116" s="2691"/>
      <c r="N1116" s="2692"/>
      <c r="O1116" s="485"/>
      <c r="P1116" s="485"/>
      <c r="Q1116" s="1435"/>
    </row>
    <row r="1117" spans="2:42" ht="30" customHeight="1">
      <c r="B1117" s="479"/>
      <c r="C1117" s="977"/>
      <c r="D1117" s="981"/>
      <c r="E1117" s="2691" t="s">
        <v>1550</v>
      </c>
      <c r="F1117" s="2691"/>
      <c r="G1117" s="2691"/>
      <c r="H1117" s="2691"/>
      <c r="I1117" s="2691"/>
      <c r="J1117" s="2691"/>
      <c r="K1117" s="2691"/>
      <c r="L1117" s="2691"/>
      <c r="M1117" s="2691"/>
      <c r="N1117" s="2650"/>
      <c r="O1117" s="485"/>
      <c r="P1117" s="485"/>
      <c r="Q1117" s="1435"/>
    </row>
    <row r="1118" spans="2:42" ht="12.75" customHeight="1">
      <c r="B1118" s="479"/>
      <c r="C1118" s="977"/>
      <c r="D1118" s="981"/>
      <c r="E1118" s="2691" t="s">
        <v>1549</v>
      </c>
      <c r="F1118" s="2391"/>
      <c r="G1118" s="2391"/>
      <c r="H1118" s="2391"/>
      <c r="I1118" s="2391"/>
      <c r="J1118" s="2391"/>
      <c r="K1118" s="2391"/>
      <c r="L1118" s="2391"/>
      <c r="M1118" s="2391"/>
      <c r="N1118" s="2650"/>
      <c r="O1118" s="485"/>
      <c r="P1118" s="485"/>
      <c r="Q1118" s="1435"/>
    </row>
    <row r="1119" spans="2:42" ht="15" customHeight="1">
      <c r="B1119" s="479"/>
      <c r="C1119" s="977"/>
      <c r="D1119" s="981"/>
      <c r="E1119" s="3269" t="s">
        <v>2215</v>
      </c>
      <c r="F1119" s="3269"/>
      <c r="G1119" s="3269"/>
      <c r="H1119" s="3269"/>
      <c r="I1119" s="3269"/>
      <c r="J1119" s="3269"/>
      <c r="K1119" s="3269"/>
      <c r="L1119" s="3269"/>
      <c r="M1119" s="3269"/>
      <c r="N1119" s="2694"/>
      <c r="O1119" s="485"/>
      <c r="P1119" s="485"/>
      <c r="Q1119" s="1435"/>
    </row>
    <row r="1120" spans="2:42" ht="5.0999999999999996" customHeight="1">
      <c r="B1120" s="1124"/>
      <c r="C1120" s="980"/>
      <c r="D1120" s="813"/>
      <c r="E1120" s="813"/>
      <c r="F1120" s="813"/>
      <c r="G1120" s="813"/>
      <c r="H1120" s="813"/>
      <c r="I1120" s="813"/>
      <c r="J1120" s="813"/>
      <c r="K1120" s="813"/>
      <c r="L1120" s="813"/>
      <c r="M1120" s="813"/>
      <c r="N1120" s="814"/>
      <c r="O1120" s="485"/>
      <c r="P1120" s="485"/>
      <c r="S1120" s="1435"/>
      <c r="T1120" s="1435"/>
    </row>
    <row r="1121" spans="2:37" ht="15" customHeight="1">
      <c r="B1121" s="479"/>
      <c r="C1121" s="977"/>
      <c r="D1121" s="981"/>
      <c r="E1121" s="3291" t="s">
        <v>1475</v>
      </c>
      <c r="F1121" s="3291"/>
      <c r="G1121" s="3291"/>
      <c r="H1121" s="3291"/>
      <c r="I1121" s="3291"/>
      <c r="J1121" s="3291"/>
      <c r="K1121" s="3291"/>
      <c r="L1121" s="3291"/>
      <c r="M1121" s="3291"/>
      <c r="N1121" s="2694"/>
      <c r="O1121" s="485"/>
      <c r="P1121" s="485"/>
      <c r="Q1121" s="1435"/>
    </row>
    <row r="1122" spans="2:37" ht="5.0999999999999996" customHeight="1">
      <c r="B1122" s="1124"/>
      <c r="C1122" s="980"/>
      <c r="D1122" s="813"/>
      <c r="E1122" s="813"/>
      <c r="F1122" s="813"/>
      <c r="G1122" s="813"/>
      <c r="H1122" s="813"/>
      <c r="I1122" s="813"/>
      <c r="J1122" s="813"/>
      <c r="K1122" s="813"/>
      <c r="L1122" s="813"/>
      <c r="M1122" s="813"/>
      <c r="N1122" s="814"/>
      <c r="O1122" s="485"/>
      <c r="P1122" s="485"/>
      <c r="S1122" s="1435"/>
      <c r="T1122" s="1435"/>
    </row>
    <row r="1123" spans="2:37" ht="12.75" customHeight="1">
      <c r="B1123" s="479"/>
      <c r="C1123" s="977"/>
      <c r="D1123" s="982" t="s">
        <v>266</v>
      </c>
      <c r="E1123" s="2671" t="s">
        <v>1617</v>
      </c>
      <c r="F1123" s="2672"/>
      <c r="G1123" s="2672"/>
      <c r="H1123" s="2672"/>
      <c r="I1123" s="2672"/>
      <c r="J1123" s="2672"/>
      <c r="K1123" s="2672"/>
      <c r="L1123" s="2672"/>
      <c r="M1123" s="2672"/>
      <c r="N1123" s="2673"/>
      <c r="O1123" s="485"/>
      <c r="P1123" s="485"/>
      <c r="Q1123" s="1435"/>
      <c r="S1123" s="1435"/>
      <c r="T1123" s="1435"/>
    </row>
    <row r="1124" spans="2:37" ht="12.75" customHeight="1">
      <c r="B1124" s="479"/>
      <c r="C1124" s="977"/>
      <c r="D1124" s="777"/>
      <c r="E1124" s="3292" t="s">
        <v>2295</v>
      </c>
      <c r="F1124" s="2671"/>
      <c r="G1124" s="2671"/>
      <c r="H1124" s="2671"/>
      <c r="I1124" s="2671"/>
      <c r="J1124" s="2671"/>
      <c r="K1124" s="2671"/>
      <c r="L1124" s="2671"/>
      <c r="M1124" s="2671"/>
      <c r="N1124" s="2712"/>
      <c r="O1124" s="485"/>
      <c r="P1124" s="485"/>
      <c r="Q1124" s="1435"/>
      <c r="S1124" s="1435"/>
      <c r="T1124" s="1435"/>
    </row>
    <row r="1125" spans="2:37" ht="12.75" customHeight="1">
      <c r="B1125" s="479"/>
      <c r="C1125" s="977"/>
      <c r="D1125" s="981"/>
      <c r="E1125" s="3288" t="s">
        <v>1618</v>
      </c>
      <c r="F1125" s="3288"/>
      <c r="G1125" s="3288"/>
      <c r="H1125" s="3288"/>
      <c r="I1125" s="3288"/>
      <c r="J1125" s="3288"/>
      <c r="K1125" s="3288"/>
      <c r="L1125" s="3288"/>
      <c r="M1125" s="3288"/>
      <c r="N1125" s="3289"/>
      <c r="O1125" s="485"/>
      <c r="P1125" s="485"/>
      <c r="Q1125" s="1435"/>
      <c r="S1125" s="1435"/>
    </row>
    <row r="1126" spans="2:37" ht="25.5" customHeight="1">
      <c r="B1126" s="479"/>
      <c r="C1126" s="977"/>
      <c r="D1126" s="981"/>
      <c r="E1126" s="985" t="s">
        <v>1021</v>
      </c>
      <c r="F1126" s="3290" t="s">
        <v>1616</v>
      </c>
      <c r="G1126" s="2646"/>
      <c r="H1126" s="2646"/>
      <c r="I1126" s="2646"/>
      <c r="J1126" s="2646"/>
      <c r="K1126" s="2646"/>
      <c r="L1126" s="2646"/>
      <c r="M1126" s="2646"/>
      <c r="N1126" s="2647"/>
      <c r="O1126" s="485"/>
      <c r="P1126" s="485"/>
      <c r="Q1126" s="1435"/>
      <c r="S1126" s="1435"/>
    </row>
    <row r="1127" spans="2:37" ht="38.25" customHeight="1">
      <c r="B1127" s="479"/>
      <c r="C1127" s="977"/>
      <c r="D1127" s="981"/>
      <c r="E1127" s="985"/>
      <c r="F1127" s="3267" t="s">
        <v>1615</v>
      </c>
      <c r="G1127" s="2380"/>
      <c r="H1127" s="2380"/>
      <c r="I1127" s="2380"/>
      <c r="J1127" s="2380"/>
      <c r="K1127" s="2380"/>
      <c r="L1127" s="2380"/>
      <c r="M1127" s="2380"/>
      <c r="N1127" s="3268"/>
      <c r="O1127" s="485"/>
      <c r="P1127" s="485"/>
      <c r="Q1127" s="1435"/>
      <c r="S1127" s="1435"/>
    </row>
    <row r="1128" spans="2:37" ht="12.75" customHeight="1">
      <c r="B1128" s="479"/>
      <c r="C1128" s="977"/>
      <c r="D1128" s="981"/>
      <c r="E1128" s="985" t="s">
        <v>1021</v>
      </c>
      <c r="F1128" s="3290" t="s">
        <v>1278</v>
      </c>
      <c r="G1128" s="2646"/>
      <c r="H1128" s="2646"/>
      <c r="I1128" s="2646"/>
      <c r="J1128" s="2646"/>
      <c r="K1128" s="2646"/>
      <c r="L1128" s="2646"/>
      <c r="M1128" s="2646"/>
      <c r="N1128" s="2647"/>
      <c r="O1128" s="485"/>
      <c r="P1128" s="485"/>
      <c r="Q1128" s="1435"/>
      <c r="S1128" s="1435"/>
    </row>
    <row r="1129" spans="2:37" ht="38.85" customHeight="1">
      <c r="B1129" s="479"/>
      <c r="C1129" s="977"/>
      <c r="D1129" s="981"/>
      <c r="E1129" s="985"/>
      <c r="F1129" s="3290" t="s">
        <v>1620</v>
      </c>
      <c r="G1129" s="2646"/>
      <c r="H1129" s="2646"/>
      <c r="I1129" s="2646"/>
      <c r="J1129" s="2646"/>
      <c r="K1129" s="2646"/>
      <c r="L1129" s="2646"/>
      <c r="M1129" s="2646"/>
      <c r="N1129" s="2647"/>
      <c r="O1129" s="485"/>
      <c r="P1129" s="485"/>
      <c r="Q1129" s="1435"/>
      <c r="S1129" s="1435"/>
    </row>
    <row r="1130" spans="2:37" ht="25.5" customHeight="1">
      <c r="B1130" s="479"/>
      <c r="C1130" s="977"/>
      <c r="D1130" s="981"/>
      <c r="E1130" s="985"/>
      <c r="F1130" s="3290" t="s">
        <v>1619</v>
      </c>
      <c r="G1130" s="2646"/>
      <c r="H1130" s="2646"/>
      <c r="I1130" s="2646"/>
      <c r="J1130" s="2646"/>
      <c r="K1130" s="2646"/>
      <c r="L1130" s="2646"/>
      <c r="M1130" s="2646"/>
      <c r="N1130" s="2647"/>
      <c r="O1130" s="485"/>
      <c r="P1130" s="485"/>
      <c r="Q1130" s="1435"/>
      <c r="S1130" s="1435"/>
    </row>
    <row r="1131" spans="2:37" ht="25.5" customHeight="1">
      <c r="B1131" s="479"/>
      <c r="C1131" s="977"/>
      <c r="D1131" s="981"/>
      <c r="E1131" s="985" t="s">
        <v>1021</v>
      </c>
      <c r="F1131" s="3290" t="s">
        <v>1542</v>
      </c>
      <c r="G1131" s="2646"/>
      <c r="H1131" s="2646"/>
      <c r="I1131" s="2646"/>
      <c r="J1131" s="2646"/>
      <c r="K1131" s="2646"/>
      <c r="L1131" s="2646"/>
      <c r="M1131" s="2646"/>
      <c r="N1131" s="2647"/>
      <c r="O1131" s="485"/>
      <c r="P1131" s="485"/>
      <c r="Q1131" s="1435"/>
      <c r="S1131" s="1435"/>
    </row>
    <row r="1132" spans="2:37" ht="25.5" customHeight="1" thickBot="1">
      <c r="B1132" s="479"/>
      <c r="C1132" s="977"/>
      <c r="D1132" s="981"/>
      <c r="E1132" s="985" t="s">
        <v>1021</v>
      </c>
      <c r="F1132" s="3290" t="s">
        <v>1458</v>
      </c>
      <c r="G1132" s="2646"/>
      <c r="H1132" s="2646"/>
      <c r="I1132" s="2646"/>
      <c r="J1132" s="2646"/>
      <c r="K1132" s="2646"/>
      <c r="L1132" s="2646"/>
      <c r="M1132" s="2646"/>
      <c r="N1132" s="2647"/>
      <c r="O1132" s="485"/>
      <c r="P1132" s="485"/>
      <c r="Q1132" s="1435"/>
      <c r="S1132" s="1435"/>
    </row>
    <row r="1133" spans="2:37" ht="12.75" customHeight="1" thickBot="1">
      <c r="B1133" s="479"/>
      <c r="C1133" s="977"/>
      <c r="D1133" s="982"/>
      <c r="E1133" s="2648" t="s">
        <v>1612</v>
      </c>
      <c r="F1133" s="2648"/>
      <c r="G1133" s="987" t="str">
        <f>EUconst_Unit</f>
        <v>Unit</v>
      </c>
      <c r="H1133" s="782">
        <f t="shared" ref="H1133:N1133" si="504">H$3242</f>
        <v>2024</v>
      </c>
      <c r="I1133" s="988">
        <f t="shared" si="504"/>
        <v>2025</v>
      </c>
      <c r="J1133" s="1810">
        <f t="shared" si="504"/>
        <v>2026</v>
      </c>
      <c r="K1133" s="1747">
        <f t="shared" si="504"/>
        <v>2027</v>
      </c>
      <c r="L1133" s="1747">
        <f t="shared" si="504"/>
        <v>2028</v>
      </c>
      <c r="M1133" s="1747">
        <f t="shared" si="504"/>
        <v>2029</v>
      </c>
      <c r="N1133" s="1748">
        <f t="shared" si="504"/>
        <v>2030</v>
      </c>
      <c r="O1133" s="485"/>
      <c r="P1133" s="485"/>
      <c r="Q1133" s="1435"/>
      <c r="S1133" s="1648"/>
      <c r="T1133" s="1749">
        <f t="shared" ref="T1133:Z1133" si="505">H1133</f>
        <v>2024</v>
      </c>
      <c r="U1133" s="1749">
        <f t="shared" si="505"/>
        <v>2025</v>
      </c>
      <c r="V1133" s="1749">
        <f t="shared" si="505"/>
        <v>2026</v>
      </c>
      <c r="W1133" s="1749">
        <f t="shared" si="505"/>
        <v>2027</v>
      </c>
      <c r="X1133" s="1749">
        <f t="shared" si="505"/>
        <v>2028</v>
      </c>
      <c r="Y1133" s="1749">
        <f t="shared" si="505"/>
        <v>2029</v>
      </c>
      <c r="Z1133" s="1750">
        <f t="shared" si="505"/>
        <v>2030</v>
      </c>
      <c r="AC1133" s="1638">
        <f t="shared" ref="AC1133:AI1133" si="506">H$20</f>
        <v>2024</v>
      </c>
      <c r="AD1133" s="1638">
        <f t="shared" si="506"/>
        <v>2025</v>
      </c>
      <c r="AE1133" s="1638">
        <f t="shared" si="506"/>
        <v>2026</v>
      </c>
      <c r="AF1133" s="1638">
        <f t="shared" si="506"/>
        <v>2027</v>
      </c>
      <c r="AG1133" s="1638">
        <f t="shared" si="506"/>
        <v>2028</v>
      </c>
      <c r="AH1133" s="1638">
        <f t="shared" si="506"/>
        <v>2029</v>
      </c>
      <c r="AI1133" s="1638">
        <f t="shared" si="506"/>
        <v>2030</v>
      </c>
    </row>
    <row r="1134" spans="2:37" ht="12.75" customHeight="1" thickBot="1">
      <c r="B1134" s="479"/>
      <c r="C1134" s="977"/>
      <c r="D1134" s="981"/>
      <c r="E1134" s="3285" t="str">
        <f>I979</f>
        <v/>
      </c>
      <c r="F1134" s="2410"/>
      <c r="G1134" s="815" t="str">
        <f>EUconst_tCO2epa</f>
        <v>t CO2e/year</v>
      </c>
      <c r="H1134" s="1479" t="str">
        <f>c_ALR2025!M3760</f>
        <v/>
      </c>
      <c r="I1134" s="1532"/>
      <c r="J1134" s="1811"/>
      <c r="K1134" s="1751"/>
      <c r="L1134" s="1751"/>
      <c r="M1134" s="1751"/>
      <c r="N1134" s="1752"/>
      <c r="O1134" s="485"/>
      <c r="P1134" s="9">
        <v>0</v>
      </c>
      <c r="Q1134" s="1644" t="str">
        <f>EUconst_CNTR_Emissions &amp; I979</f>
        <v>DirEmissions_</v>
      </c>
      <c r="S1134" s="1753" t="str">
        <f>EUconst_CNTR_AttributedEmissions &amp; I979</f>
        <v>AttrEmissions_</v>
      </c>
      <c r="T1134" s="1743" t="str">
        <f t="shared" ref="T1134:Z1134" si="507">IF(T987,SUM(H1134),"")</f>
        <v/>
      </c>
      <c r="U1134" s="1743" t="str">
        <f t="shared" si="507"/>
        <v/>
      </c>
      <c r="V1134" s="1743" t="str">
        <f t="shared" si="507"/>
        <v/>
      </c>
      <c r="W1134" s="1743" t="str">
        <f t="shared" si="507"/>
        <v/>
      </c>
      <c r="X1134" s="1743" t="str">
        <f t="shared" si="507"/>
        <v/>
      </c>
      <c r="Y1134" s="1743" t="str">
        <f t="shared" si="507"/>
        <v/>
      </c>
      <c r="Z1134" s="1744" t="str">
        <f t="shared" si="507"/>
        <v/>
      </c>
      <c r="AB1134" s="1641" t="s">
        <v>717</v>
      </c>
      <c r="AC1134" s="1443" t="b">
        <f>AC1049</f>
        <v>0</v>
      </c>
      <c r="AD1134" s="1443" t="b">
        <f t="shared" ref="AD1134:AI1134" si="508">AD1049</f>
        <v>0</v>
      </c>
      <c r="AE1134" s="1443" t="b">
        <f t="shared" si="508"/>
        <v>0</v>
      </c>
      <c r="AF1134" s="1443" t="b">
        <f t="shared" si="508"/>
        <v>0</v>
      </c>
      <c r="AG1134" s="1443" t="b">
        <f t="shared" si="508"/>
        <v>0</v>
      </c>
      <c r="AH1134" s="1443" t="b">
        <f t="shared" si="508"/>
        <v>0</v>
      </c>
      <c r="AI1134" s="1443" t="b">
        <f t="shared" si="508"/>
        <v>0</v>
      </c>
      <c r="AJ1134" s="1633" t="s">
        <v>1954</v>
      </c>
      <c r="AK1134" s="1635" t="str">
        <f>IF(AND(CNTR_ExistSubInstEntries,MSconst_RequireSubAttrEmissions,COUNTIFS(AC1134:AI1134,FALSE,H1134:N1134,"")&gt;0),EUconst_Error&amp;"BM"&amp;$Q979,"")</f>
        <v/>
      </c>
    </row>
    <row r="1135" spans="2:37" ht="12.75" customHeight="1">
      <c r="B1135" s="479"/>
      <c r="C1135" s="977"/>
      <c r="D1135" s="981"/>
      <c r="E1135" s="981"/>
      <c r="F1135" s="981"/>
      <c r="G1135" s="981"/>
      <c r="H1135" s="981"/>
      <c r="I1135" s="981"/>
      <c r="J1135" s="981"/>
      <c r="K1135" s="981"/>
      <c r="L1135" s="981"/>
      <c r="M1135" s="813"/>
      <c r="N1135" s="814"/>
      <c r="O1135" s="485"/>
      <c r="P1135" s="485"/>
      <c r="Q1135" s="1435"/>
      <c r="S1135" s="1435"/>
    </row>
    <row r="1136" spans="2:37" ht="12.75" customHeight="1">
      <c r="B1136" s="479"/>
      <c r="C1136" s="977"/>
      <c r="D1136" s="982" t="s">
        <v>269</v>
      </c>
      <c r="E1136" s="2649" t="s">
        <v>1189</v>
      </c>
      <c r="F1136" s="2391"/>
      <c r="G1136" s="2391"/>
      <c r="H1136" s="2391"/>
      <c r="I1136" s="2391"/>
      <c r="J1136" s="2391"/>
      <c r="K1136" s="2391"/>
      <c r="L1136" s="2391"/>
      <c r="M1136" s="2391"/>
      <c r="N1136" s="2650"/>
      <c r="O1136" s="485"/>
      <c r="P1136" s="485"/>
      <c r="Q1136" s="1435"/>
      <c r="R1136" s="1435"/>
      <c r="S1136" s="1435"/>
    </row>
    <row r="1137" spans="2:37" ht="25.5" customHeight="1">
      <c r="B1137" s="479"/>
      <c r="C1137" s="977"/>
      <c r="D1137" s="981"/>
      <c r="E1137" s="3288" t="s">
        <v>1605</v>
      </c>
      <c r="F1137" s="3288"/>
      <c r="G1137" s="3288"/>
      <c r="H1137" s="3288"/>
      <c r="I1137" s="3288"/>
      <c r="J1137" s="3288"/>
      <c r="K1137" s="3288"/>
      <c r="L1137" s="3288"/>
      <c r="M1137" s="3288"/>
      <c r="N1137" s="3289"/>
      <c r="O1137" s="485"/>
      <c r="P1137" s="485"/>
      <c r="Q1137" s="1435"/>
      <c r="R1137" s="1435"/>
      <c r="S1137" s="1435"/>
    </row>
    <row r="1138" spans="2:37" ht="25.5" customHeight="1">
      <c r="B1138" s="479"/>
      <c r="C1138" s="977"/>
      <c r="D1138" s="981"/>
      <c r="E1138" s="3288" t="s">
        <v>1357</v>
      </c>
      <c r="F1138" s="3288"/>
      <c r="G1138" s="3288"/>
      <c r="H1138" s="3288"/>
      <c r="I1138" s="3288"/>
      <c r="J1138" s="3288"/>
      <c r="K1138" s="3288"/>
      <c r="L1138" s="3288"/>
      <c r="M1138" s="3288"/>
      <c r="N1138" s="3289"/>
      <c r="O1138" s="485"/>
      <c r="P1138" s="485"/>
      <c r="Q1138" s="1435"/>
      <c r="S1138" s="1435"/>
    </row>
    <row r="1139" spans="2:37" ht="12.75" customHeight="1">
      <c r="B1139" s="479"/>
      <c r="C1139" s="977"/>
      <c r="D1139" s="981"/>
      <c r="E1139" s="3288" t="s">
        <v>1594</v>
      </c>
      <c r="F1139" s="3288"/>
      <c r="G1139" s="3288"/>
      <c r="H1139" s="3288"/>
      <c r="I1139" s="3288"/>
      <c r="J1139" s="3288"/>
      <c r="K1139" s="3288"/>
      <c r="L1139" s="3288"/>
      <c r="M1139" s="3288"/>
      <c r="N1139" s="3289"/>
      <c r="O1139" s="485"/>
      <c r="P1139" s="485"/>
      <c r="Q1139" s="1435"/>
      <c r="S1139" s="1435"/>
    </row>
    <row r="1140" spans="2:37" ht="12.75" customHeight="1">
      <c r="B1140" s="479"/>
      <c r="C1140" s="977"/>
      <c r="D1140" s="981"/>
      <c r="E1140" s="3303" t="s">
        <v>1557</v>
      </c>
      <c r="F1140" s="3304"/>
      <c r="G1140" s="3304"/>
      <c r="H1140" s="3304"/>
      <c r="I1140" s="3304"/>
      <c r="J1140" s="3304"/>
      <c r="K1140" s="3304"/>
      <c r="L1140" s="3304"/>
      <c r="M1140" s="3304"/>
      <c r="N1140" s="3305"/>
      <c r="O1140" s="485"/>
      <c r="P1140" s="485"/>
      <c r="Q1140" s="1435"/>
      <c r="S1140" s="1435"/>
    </row>
    <row r="1141" spans="2:37" ht="12.75" customHeight="1" thickBot="1">
      <c r="B1141" s="479"/>
      <c r="C1141" s="977"/>
      <c r="D1141" s="982"/>
      <c r="E1141" s="989"/>
      <c r="F1141" s="990"/>
      <c r="G1141" s="987" t="str">
        <f>EUconst_Unit</f>
        <v>Unit</v>
      </c>
      <c r="H1141" s="782">
        <f t="shared" ref="H1141:N1141" si="509">H$3242</f>
        <v>2024</v>
      </c>
      <c r="I1141" s="988">
        <f t="shared" si="509"/>
        <v>2025</v>
      </c>
      <c r="J1141" s="1810">
        <f t="shared" si="509"/>
        <v>2026</v>
      </c>
      <c r="K1141" s="1747">
        <f t="shared" si="509"/>
        <v>2027</v>
      </c>
      <c r="L1141" s="1747">
        <f t="shared" si="509"/>
        <v>2028</v>
      </c>
      <c r="M1141" s="1747">
        <f t="shared" si="509"/>
        <v>2029</v>
      </c>
      <c r="N1141" s="1748">
        <f t="shared" si="509"/>
        <v>2030</v>
      </c>
      <c r="O1141" s="485"/>
      <c r="P1141" s="485"/>
      <c r="Q1141" s="1435"/>
      <c r="S1141" s="1435"/>
      <c r="AC1141" s="1638">
        <f t="shared" ref="AC1141:AI1141" si="510">H$20</f>
        <v>2024</v>
      </c>
      <c r="AD1141" s="1638">
        <f t="shared" si="510"/>
        <v>2025</v>
      </c>
      <c r="AE1141" s="1638">
        <f t="shared" si="510"/>
        <v>2026</v>
      </c>
      <c r="AF1141" s="1638">
        <f t="shared" si="510"/>
        <v>2027</v>
      </c>
      <c r="AG1141" s="1638">
        <f t="shared" si="510"/>
        <v>2028</v>
      </c>
      <c r="AH1141" s="1638">
        <f t="shared" si="510"/>
        <v>2029</v>
      </c>
      <c r="AI1141" s="1638">
        <f t="shared" si="510"/>
        <v>2030</v>
      </c>
    </row>
    <row r="1142" spans="2:37" ht="12.75" customHeight="1">
      <c r="B1142" s="479"/>
      <c r="C1142" s="977"/>
      <c r="D1142" s="777" t="s">
        <v>6</v>
      </c>
      <c r="E1142" s="2475" t="s">
        <v>1344</v>
      </c>
      <c r="F1142" s="2410"/>
      <c r="G1142" s="815" t="str">
        <f>EUconst_TJpa</f>
        <v>TJ / year</v>
      </c>
      <c r="H1142" s="1479" t="str">
        <f>c_ALR2025!M3768</f>
        <v/>
      </c>
      <c r="I1142" s="1532"/>
      <c r="J1142" s="1811"/>
      <c r="K1142" s="1751"/>
      <c r="L1142" s="1751"/>
      <c r="M1142" s="1751"/>
      <c r="N1142" s="1752"/>
      <c r="O1142" s="485"/>
      <c r="P1142" s="9">
        <v>0</v>
      </c>
      <c r="Q1142" s="1644" t="str">
        <f>EUconst_CNTR_FuelInput &amp; I979</f>
        <v>FuelInput_</v>
      </c>
      <c r="S1142" s="1435"/>
      <c r="AB1142" s="1641" t="s">
        <v>717</v>
      </c>
      <c r="AC1142" s="1443" t="b">
        <f>AC1049</f>
        <v>0</v>
      </c>
      <c r="AD1142" s="1443" t="b">
        <f t="shared" ref="AD1142:AI1142" si="511">AD1049</f>
        <v>0</v>
      </c>
      <c r="AE1142" s="1443" t="b">
        <f t="shared" si="511"/>
        <v>0</v>
      </c>
      <c r="AF1142" s="1443" t="b">
        <f t="shared" si="511"/>
        <v>0</v>
      </c>
      <c r="AG1142" s="1443" t="b">
        <f t="shared" si="511"/>
        <v>0</v>
      </c>
      <c r="AH1142" s="1443" t="b">
        <f t="shared" si="511"/>
        <v>0</v>
      </c>
      <c r="AI1142" s="1443" t="b">
        <f t="shared" si="511"/>
        <v>0</v>
      </c>
      <c r="AJ1142" s="1633" t="s">
        <v>1954</v>
      </c>
      <c r="AK1142" s="1635" t="str">
        <f>IF(AND(CNTR_ExistSubInstEntries,MSconst_RequireSubAttrEmissions,COUNTIFS(AC1142:AI1142,FALSE,H1142:N1142,"")&gt;0),EUconst_Error&amp;"BM"&amp;$Q979,"")</f>
        <v/>
      </c>
    </row>
    <row r="1143" spans="2:37" ht="12.75" customHeight="1">
      <c r="B1143" s="479"/>
      <c r="C1143" s="977"/>
      <c r="D1143" s="777" t="s">
        <v>7</v>
      </c>
      <c r="E1143" s="2475" t="s">
        <v>1182</v>
      </c>
      <c r="F1143" s="2410"/>
      <c r="G1143" s="991" t="str">
        <f>EUconst_tCO2pTJ</f>
        <v>t CO2 / TJ</v>
      </c>
      <c r="H1143" s="1582" t="str">
        <f>c_ALR2025!M3769</f>
        <v/>
      </c>
      <c r="I1143" s="1882"/>
      <c r="J1143" s="1811"/>
      <c r="K1143" s="1751"/>
      <c r="L1143" s="1751"/>
      <c r="M1143" s="1751"/>
      <c r="N1143" s="1752"/>
      <c r="O1143" s="485"/>
      <c r="P1143" s="9">
        <v>0</v>
      </c>
      <c r="Q1143" s="1644" t="str">
        <f>EUconst_CNTR_FuelEF &amp; I979</f>
        <v>FuelEF_</v>
      </c>
      <c r="S1143" s="1435"/>
      <c r="AC1143" s="1443" t="b">
        <f>AC1142</f>
        <v>0</v>
      </c>
      <c r="AD1143" s="1443" t="b">
        <f t="shared" ref="AD1143:AI1143" si="512">AD1142</f>
        <v>0</v>
      </c>
      <c r="AE1143" s="1443" t="b">
        <f t="shared" si="512"/>
        <v>0</v>
      </c>
      <c r="AF1143" s="1443" t="b">
        <f t="shared" si="512"/>
        <v>0</v>
      </c>
      <c r="AG1143" s="1443" t="b">
        <f t="shared" si="512"/>
        <v>0</v>
      </c>
      <c r="AH1143" s="1443" t="b">
        <f t="shared" si="512"/>
        <v>0</v>
      </c>
      <c r="AI1143" s="1443" t="b">
        <f t="shared" si="512"/>
        <v>0</v>
      </c>
      <c r="AJ1143" s="1633" t="s">
        <v>1954</v>
      </c>
      <c r="AK1143" s="1635" t="str">
        <f>IF(AND(CNTR_ExistSubInstEntries,MSconst_RequireSubAttrEmissions,COUNTIFS(AC1143:AI1143,FALSE,H1143:N1143,"")&gt;0),EUconst_Error&amp;"BM"&amp;$Q979,"")</f>
        <v/>
      </c>
    </row>
    <row r="1144" spans="2:37" ht="12.75" customHeight="1">
      <c r="B1144" s="479"/>
      <c r="C1144" s="977"/>
      <c r="D1144" s="981"/>
      <c r="E1144" s="981"/>
      <c r="F1144" s="981"/>
      <c r="G1144" s="981"/>
      <c r="H1144" s="981"/>
      <c r="I1144" s="981"/>
      <c r="J1144" s="981"/>
      <c r="K1144" s="981"/>
      <c r="L1144" s="981"/>
      <c r="M1144" s="813"/>
      <c r="N1144" s="814"/>
      <c r="O1144" s="485"/>
      <c r="P1144" s="485"/>
      <c r="Q1144" s="1435"/>
      <c r="S1144" s="1435"/>
    </row>
    <row r="1145" spans="2:37" ht="12.75" customHeight="1">
      <c r="B1145" s="479"/>
      <c r="C1145" s="977"/>
      <c r="D1145" s="982" t="s">
        <v>271</v>
      </c>
      <c r="E1145" s="2649" t="s">
        <v>1416</v>
      </c>
      <c r="F1145" s="2391"/>
      <c r="G1145" s="2391"/>
      <c r="H1145" s="2391"/>
      <c r="I1145" s="2391"/>
      <c r="J1145" s="2391"/>
      <c r="K1145" s="2391"/>
      <c r="L1145" s="2391"/>
      <c r="M1145" s="2391"/>
      <c r="N1145" s="2650"/>
      <c r="O1145" s="485"/>
      <c r="P1145" s="485"/>
      <c r="Q1145" s="1435"/>
      <c r="R1145" s="1435"/>
      <c r="S1145" s="1435"/>
    </row>
    <row r="1146" spans="2:37" ht="12.75" customHeight="1">
      <c r="B1146" s="479"/>
      <c r="C1146" s="977"/>
      <c r="D1146" s="777"/>
      <c r="E1146" s="3272" t="s">
        <v>2295</v>
      </c>
      <c r="F1146" s="2380"/>
      <c r="G1146" s="2380"/>
      <c r="H1146" s="2380"/>
      <c r="I1146" s="2380"/>
      <c r="J1146" s="2380"/>
      <c r="K1146" s="2380"/>
      <c r="L1146" s="2380"/>
      <c r="M1146" s="2380"/>
      <c r="N1146" s="3268"/>
      <c r="O1146" s="485"/>
      <c r="P1146" s="485"/>
      <c r="Q1146" s="1435"/>
      <c r="S1146" s="1435"/>
      <c r="T1146" s="1435"/>
      <c r="U1146" s="1435"/>
      <c r="V1146" s="1435"/>
    </row>
    <row r="1147" spans="2:37" ht="25.5" customHeight="1">
      <c r="B1147" s="479"/>
      <c r="C1147" s="977"/>
      <c r="D1147" s="981"/>
      <c r="E1147" s="3272" t="s">
        <v>1551</v>
      </c>
      <c r="F1147" s="2380"/>
      <c r="G1147" s="2380"/>
      <c r="H1147" s="2380"/>
      <c r="I1147" s="2380"/>
      <c r="J1147" s="2380"/>
      <c r="K1147" s="2380"/>
      <c r="L1147" s="2380"/>
      <c r="M1147" s="2380"/>
      <c r="N1147" s="3268"/>
      <c r="O1147" s="485"/>
      <c r="P1147" s="485"/>
      <c r="Q1147" s="1435"/>
      <c r="R1147" s="1435"/>
      <c r="S1147" s="1435"/>
    </row>
    <row r="1148" spans="2:37" ht="12.75" customHeight="1">
      <c r="B1148" s="479"/>
      <c r="C1148" s="977"/>
      <c r="D1148" s="981"/>
      <c r="E1148" s="3267" t="s">
        <v>1552</v>
      </c>
      <c r="F1148" s="2380"/>
      <c r="G1148" s="2380"/>
      <c r="H1148" s="2380"/>
      <c r="I1148" s="2380"/>
      <c r="J1148" s="2380"/>
      <c r="K1148" s="2380"/>
      <c r="L1148" s="2380"/>
      <c r="M1148" s="2380"/>
      <c r="N1148" s="3268"/>
      <c r="O1148" s="485"/>
      <c r="P1148" s="485"/>
      <c r="Q1148" s="1435"/>
      <c r="R1148" s="1435"/>
      <c r="S1148" s="1435"/>
    </row>
    <row r="1149" spans="2:37" ht="38.85" customHeight="1">
      <c r="B1149" s="479"/>
      <c r="C1149" s="977"/>
      <c r="D1149" s="981"/>
      <c r="E1149" s="3267" t="s">
        <v>1553</v>
      </c>
      <c r="F1149" s="2380"/>
      <c r="G1149" s="2380"/>
      <c r="H1149" s="2380"/>
      <c r="I1149" s="2380"/>
      <c r="J1149" s="2380"/>
      <c r="K1149" s="2380"/>
      <c r="L1149" s="2380"/>
      <c r="M1149" s="2380"/>
      <c r="N1149" s="3268"/>
      <c r="O1149" s="485"/>
      <c r="P1149" s="485"/>
      <c r="Q1149" s="1435"/>
      <c r="S1149" s="1435"/>
    </row>
    <row r="1150" spans="2:37" ht="51" customHeight="1">
      <c r="B1150" s="479"/>
      <c r="C1150" s="977"/>
      <c r="D1150" s="981"/>
      <c r="E1150" s="3267" t="s">
        <v>1567</v>
      </c>
      <c r="F1150" s="2380"/>
      <c r="G1150" s="2380"/>
      <c r="H1150" s="2380"/>
      <c r="I1150" s="2380"/>
      <c r="J1150" s="2380"/>
      <c r="K1150" s="2380"/>
      <c r="L1150" s="2380"/>
      <c r="M1150" s="2380"/>
      <c r="N1150" s="3268"/>
      <c r="O1150" s="485"/>
      <c r="P1150" s="485"/>
      <c r="Q1150" s="1435"/>
      <c r="S1150" s="1435"/>
    </row>
    <row r="1151" spans="2:37" ht="25.5" customHeight="1">
      <c r="B1151" s="479"/>
      <c r="C1151" s="977"/>
      <c r="D1151" s="981"/>
      <c r="E1151" s="3267" t="s">
        <v>1565</v>
      </c>
      <c r="F1151" s="2380"/>
      <c r="G1151" s="2380"/>
      <c r="H1151" s="2380"/>
      <c r="I1151" s="2380"/>
      <c r="J1151" s="2380"/>
      <c r="K1151" s="2380"/>
      <c r="L1151" s="2380"/>
      <c r="M1151" s="2380"/>
      <c r="N1151" s="3268"/>
      <c r="O1151" s="485"/>
      <c r="P1151" s="485"/>
      <c r="Q1151" s="1435"/>
      <c r="S1151" s="1435"/>
    </row>
    <row r="1152" spans="2:37" ht="12.75" customHeight="1">
      <c r="B1152" s="479"/>
      <c r="C1152" s="977"/>
      <c r="D1152" s="777" t="s">
        <v>6</v>
      </c>
      <c r="E1152" s="2682" t="s">
        <v>1456</v>
      </c>
      <c r="F1152" s="2391"/>
      <c r="G1152" s="2391"/>
      <c r="H1152" s="2391"/>
      <c r="I1152" s="2391"/>
      <c r="J1152" s="2391"/>
      <c r="K1152" s="2512"/>
      <c r="L1152" s="1478" t="str">
        <f>c_ALR2025!L3778</f>
        <v/>
      </c>
      <c r="M1152" s="978"/>
      <c r="N1152" s="979"/>
      <c r="O1152" s="485"/>
      <c r="P1152" s="9">
        <v>0</v>
      </c>
      <c r="Q1152" s="1435"/>
      <c r="S1152" s="1435"/>
      <c r="AF1152" s="1641" t="s">
        <v>717</v>
      </c>
      <c r="AG1152" s="1423" t="b">
        <f>AND(CNTR_ExistSubInstEntries,I979="")</f>
        <v>0</v>
      </c>
    </row>
    <row r="1153" spans="2:37" ht="12.75" customHeight="1">
      <c r="B1153" s="479"/>
      <c r="C1153" s="977"/>
      <c r="D1153" s="981"/>
      <c r="E1153" s="3267" t="s">
        <v>1216</v>
      </c>
      <c r="F1153" s="2380"/>
      <c r="G1153" s="2380"/>
      <c r="H1153" s="2380"/>
      <c r="I1153" s="2380"/>
      <c r="J1153" s="2380"/>
      <c r="K1153" s="2380"/>
      <c r="L1153" s="2380"/>
      <c r="M1153" s="2380"/>
      <c r="N1153" s="3268"/>
      <c r="O1153" s="485"/>
      <c r="P1153" s="485"/>
      <c r="Q1153" s="1435"/>
      <c r="S1153" s="1435"/>
    </row>
    <row r="1154" spans="2:37" ht="12.75" customHeight="1">
      <c r="B1154" s="479"/>
      <c r="C1154" s="977"/>
      <c r="D1154" s="777" t="s">
        <v>7</v>
      </c>
      <c r="E1154" s="2649" t="s">
        <v>1214</v>
      </c>
      <c r="F1154" s="2391"/>
      <c r="G1154" s="2391"/>
      <c r="H1154" s="2512"/>
      <c r="I1154" s="3211" t="str">
        <f>c_ALR2025!I3780</f>
        <v/>
      </c>
      <c r="J1154" s="3286"/>
      <c r="K1154" s="3286"/>
      <c r="L1154" s="3286"/>
      <c r="M1154" s="3287"/>
      <c r="N1154" s="992"/>
      <c r="O1154" s="485"/>
      <c r="P1154" s="9">
        <v>0</v>
      </c>
      <c r="Q1154" s="1435"/>
      <c r="S1154" s="1435"/>
      <c r="AC1154" s="1641" t="s">
        <v>717</v>
      </c>
      <c r="AD1154" s="1423" t="b">
        <f>OR(AG1152,AND($L1152&lt;&gt;"",$L1152=FALSE))</f>
        <v>0</v>
      </c>
    </row>
    <row r="1155" spans="2:37" ht="5.0999999999999996" customHeight="1">
      <c r="B1155" s="479"/>
      <c r="C1155" s="977"/>
      <c r="D1155" s="981"/>
      <c r="E1155" s="986"/>
      <c r="F1155" s="978"/>
      <c r="G1155" s="978"/>
      <c r="H1155" s="978"/>
      <c r="I1155" s="978"/>
      <c r="J1155" s="978"/>
      <c r="K1155" s="978"/>
      <c r="L1155" s="978"/>
      <c r="M1155" s="978"/>
      <c r="N1155" s="979"/>
      <c r="O1155" s="485"/>
      <c r="P1155" s="485"/>
      <c r="Q1155" s="1435"/>
      <c r="S1155" s="1435"/>
    </row>
    <row r="1156" spans="2:37" ht="12.75" customHeight="1" thickBot="1">
      <c r="B1156" s="479"/>
      <c r="C1156" s="977"/>
      <c r="D1156" s="981"/>
      <c r="E1156" s="2648" t="s">
        <v>1154</v>
      </c>
      <c r="F1156" s="2493"/>
      <c r="G1156" s="987" t="str">
        <f>EUconst_Unit</f>
        <v>Unit</v>
      </c>
      <c r="H1156" s="782">
        <f t="shared" ref="H1156:N1156" si="513">H$3242</f>
        <v>2024</v>
      </c>
      <c r="I1156" s="988">
        <f t="shared" si="513"/>
        <v>2025</v>
      </c>
      <c r="J1156" s="1810">
        <f t="shared" si="513"/>
        <v>2026</v>
      </c>
      <c r="K1156" s="1747">
        <f t="shared" si="513"/>
        <v>2027</v>
      </c>
      <c r="L1156" s="1747">
        <f t="shared" si="513"/>
        <v>2028</v>
      </c>
      <c r="M1156" s="1747">
        <f t="shared" si="513"/>
        <v>2029</v>
      </c>
      <c r="N1156" s="1748">
        <f t="shared" si="513"/>
        <v>2030</v>
      </c>
      <c r="O1156" s="485"/>
      <c r="P1156" s="485"/>
      <c r="Q1156" s="1435"/>
      <c r="S1156" s="1435"/>
      <c r="AC1156" s="1638">
        <f t="shared" ref="AC1156:AI1156" si="514">H$20</f>
        <v>2024</v>
      </c>
      <c r="AD1156" s="1638">
        <f t="shared" si="514"/>
        <v>2025</v>
      </c>
      <c r="AE1156" s="1638">
        <f t="shared" si="514"/>
        <v>2026</v>
      </c>
      <c r="AF1156" s="1638">
        <f t="shared" si="514"/>
        <v>2027</v>
      </c>
      <c r="AG1156" s="1638">
        <f t="shared" si="514"/>
        <v>2028</v>
      </c>
      <c r="AH1156" s="1638">
        <f t="shared" si="514"/>
        <v>2029</v>
      </c>
      <c r="AI1156" s="1638">
        <f t="shared" si="514"/>
        <v>2030</v>
      </c>
    </row>
    <row r="1157" spans="2:37" ht="12.75" customHeight="1">
      <c r="B1157" s="479"/>
      <c r="C1157" s="977"/>
      <c r="D1157" s="777" t="s">
        <v>8</v>
      </c>
      <c r="E1157" s="2471" t="s">
        <v>1153</v>
      </c>
      <c r="F1157" s="2472"/>
      <c r="G1157" s="811" t="str">
        <f>EUconst_tpa</f>
        <v>t / year</v>
      </c>
      <c r="H1157" s="1552" t="str">
        <f>c_ALR2025!M3783</f>
        <v/>
      </c>
      <c r="I1157" s="1611"/>
      <c r="J1157" s="1811"/>
      <c r="K1157" s="1751"/>
      <c r="L1157" s="1751"/>
      <c r="M1157" s="1751"/>
      <c r="N1157" s="1752"/>
      <c r="O1157" s="485"/>
      <c r="P1157" s="9">
        <v>0</v>
      </c>
      <c r="Q1157" s="1435"/>
      <c r="S1157" s="1435"/>
      <c r="AB1157" s="1641" t="s">
        <v>717</v>
      </c>
      <c r="AC1157" s="1423" t="b">
        <f>OR(AND($L1152&lt;&gt;"",$L1152=FALSE),AC1049)</f>
        <v>0</v>
      </c>
      <c r="AD1157" s="1443" t="b">
        <f t="shared" ref="AD1157:AI1157" si="515">OR(AND($L1152&lt;&gt;"",$L1152=FALSE),AD1049)</f>
        <v>0</v>
      </c>
      <c r="AE1157" s="1443" t="b">
        <f t="shared" si="515"/>
        <v>0</v>
      </c>
      <c r="AF1157" s="1443" t="b">
        <f t="shared" si="515"/>
        <v>0</v>
      </c>
      <c r="AG1157" s="1443" t="b">
        <f t="shared" si="515"/>
        <v>0</v>
      </c>
      <c r="AH1157" s="1443" t="b">
        <f t="shared" si="515"/>
        <v>0</v>
      </c>
      <c r="AI1157" s="1443" t="b">
        <f t="shared" si="515"/>
        <v>0</v>
      </c>
      <c r="AJ1157" s="1633" t="s">
        <v>1954</v>
      </c>
      <c r="AK1157" s="1635" t="str">
        <f>IF(AND(CNTR_ExistSubInstEntries,MSconst_RequireSubAttrEmissions,COUNTIFS(AC1157:AI1157,FALSE,H1157:N1157,"")&gt;0),EUconst_Error&amp;"BM"&amp;$Q979,"")</f>
        <v/>
      </c>
    </row>
    <row r="1158" spans="2:37" ht="12.75" customHeight="1">
      <c r="B1158" s="479"/>
      <c r="C1158" s="977"/>
      <c r="D1158" s="777" t="s">
        <v>18</v>
      </c>
      <c r="E1158" s="2685" t="s">
        <v>946</v>
      </c>
      <c r="F1158" s="2608"/>
      <c r="G1158" s="993" t="str">
        <f>EUconst_GJpt</f>
        <v>GJ / t</v>
      </c>
      <c r="H1158" s="1557" t="str">
        <f>c_ALR2025!M3784</f>
        <v/>
      </c>
      <c r="I1158" s="1883"/>
      <c r="J1158" s="1811"/>
      <c r="K1158" s="1751"/>
      <c r="L1158" s="1751"/>
      <c r="M1158" s="1751"/>
      <c r="N1158" s="1752"/>
      <c r="O1158" s="485"/>
      <c r="P1158" s="9">
        <v>0</v>
      </c>
      <c r="Q1158" s="1435"/>
      <c r="S1158" s="1435"/>
      <c r="AC1158" s="1443" t="b">
        <f t="shared" ref="AC1158:AI1158" si="516">AC1157</f>
        <v>0</v>
      </c>
      <c r="AD1158" s="1443" t="b">
        <f t="shared" si="516"/>
        <v>0</v>
      </c>
      <c r="AE1158" s="1443" t="b">
        <f t="shared" si="516"/>
        <v>0</v>
      </c>
      <c r="AF1158" s="1443" t="b">
        <f t="shared" si="516"/>
        <v>0</v>
      </c>
      <c r="AG1158" s="1443" t="b">
        <f t="shared" si="516"/>
        <v>0</v>
      </c>
      <c r="AH1158" s="1443" t="b">
        <f t="shared" si="516"/>
        <v>0</v>
      </c>
      <c r="AI1158" s="1443" t="b">
        <f t="shared" si="516"/>
        <v>0</v>
      </c>
      <c r="AJ1158" s="1633" t="s">
        <v>1954</v>
      </c>
      <c r="AK1158" s="1635" t="str">
        <f>IF(AND(CNTR_ExistSubInstEntries,MSconst_RequireSubAttrEmissions,COUNTIFS(AC1158:AI1158,FALSE,H1158:N1158,"")&gt;0),EUconst_Error&amp;"BM"&amp;$Q979,"")</f>
        <v/>
      </c>
    </row>
    <row r="1159" spans="2:37" ht="12.75" customHeight="1" thickBot="1">
      <c r="B1159" s="479"/>
      <c r="C1159" s="977"/>
      <c r="D1159" s="777" t="s">
        <v>787</v>
      </c>
      <c r="E1159" s="2685" t="s">
        <v>945</v>
      </c>
      <c r="F1159" s="2608"/>
      <c r="G1159" s="994" t="s">
        <v>878</v>
      </c>
      <c r="H1159" s="1557" t="str">
        <f>c_ALR2025!M3785</f>
        <v/>
      </c>
      <c r="I1159" s="1883"/>
      <c r="J1159" s="1811"/>
      <c r="K1159" s="1751"/>
      <c r="L1159" s="1751"/>
      <c r="M1159" s="1751"/>
      <c r="N1159" s="1752"/>
      <c r="O1159" s="485"/>
      <c r="P1159" s="9">
        <v>0</v>
      </c>
      <c r="Q1159" s="1435"/>
      <c r="S1159" s="1435"/>
      <c r="AC1159" s="1443" t="b">
        <f t="shared" ref="AC1159:AI1159" si="517">AC1158</f>
        <v>0</v>
      </c>
      <c r="AD1159" s="1443" t="b">
        <f t="shared" si="517"/>
        <v>0</v>
      </c>
      <c r="AE1159" s="1443" t="b">
        <f t="shared" si="517"/>
        <v>0</v>
      </c>
      <c r="AF1159" s="1443" t="b">
        <f t="shared" si="517"/>
        <v>0</v>
      </c>
      <c r="AG1159" s="1443" t="b">
        <f t="shared" si="517"/>
        <v>0</v>
      </c>
      <c r="AH1159" s="1443" t="b">
        <f t="shared" si="517"/>
        <v>0</v>
      </c>
      <c r="AI1159" s="1443" t="b">
        <f t="shared" si="517"/>
        <v>0</v>
      </c>
      <c r="AJ1159" s="1633" t="s">
        <v>1954</v>
      </c>
      <c r="AK1159" s="1635" t="str">
        <f>IF(AND(CNTR_ExistSubInstEntries,MSconst_RequireSubAttrEmissions,COUNTIFS(AC1159:AI1159,FALSE,H1159:N1159,"")&gt;0),EUconst_Error&amp;"BM"&amp;$Q979,"")</f>
        <v/>
      </c>
    </row>
    <row r="1160" spans="2:37" ht="12.75" customHeight="1">
      <c r="B1160" s="479"/>
      <c r="C1160" s="977"/>
      <c r="D1160" s="777" t="s">
        <v>788</v>
      </c>
      <c r="E1160" s="2473" t="s">
        <v>880</v>
      </c>
      <c r="F1160" s="2474"/>
      <c r="G1160" s="812" t="s">
        <v>878</v>
      </c>
      <c r="H1160" s="1558" t="str">
        <f>c_ALR2025!M3786</f>
        <v/>
      </c>
      <c r="I1160" s="1884"/>
      <c r="J1160" s="1811"/>
      <c r="K1160" s="1751"/>
      <c r="L1160" s="1751"/>
      <c r="M1160" s="1751"/>
      <c r="N1160" s="1752"/>
      <c r="O1160" s="485"/>
      <c r="P1160" s="9">
        <v>0</v>
      </c>
      <c r="Q1160" s="1435"/>
      <c r="S1160" s="1648"/>
      <c r="T1160" s="1749">
        <f t="shared" ref="T1160:Z1160" si="518">H1156</f>
        <v>2024</v>
      </c>
      <c r="U1160" s="1749">
        <f t="shared" si="518"/>
        <v>2025</v>
      </c>
      <c r="V1160" s="1749">
        <f t="shared" si="518"/>
        <v>2026</v>
      </c>
      <c r="W1160" s="1749">
        <f t="shared" si="518"/>
        <v>2027</v>
      </c>
      <c r="X1160" s="1749">
        <f t="shared" si="518"/>
        <v>2028</v>
      </c>
      <c r="Y1160" s="1749">
        <f t="shared" si="518"/>
        <v>2029</v>
      </c>
      <c r="Z1160" s="1750">
        <f t="shared" si="518"/>
        <v>2030</v>
      </c>
      <c r="AC1160" s="1443" t="b">
        <f t="shared" ref="AC1160:AI1160" si="519">AC1159</f>
        <v>0</v>
      </c>
      <c r="AD1160" s="1443" t="b">
        <f t="shared" si="519"/>
        <v>0</v>
      </c>
      <c r="AE1160" s="1443" t="b">
        <f t="shared" si="519"/>
        <v>0</v>
      </c>
      <c r="AF1160" s="1443" t="b">
        <f t="shared" si="519"/>
        <v>0</v>
      </c>
      <c r="AG1160" s="1443" t="b">
        <f t="shared" si="519"/>
        <v>0</v>
      </c>
      <c r="AH1160" s="1443" t="b">
        <f t="shared" si="519"/>
        <v>0</v>
      </c>
      <c r="AI1160" s="1443" t="b">
        <f t="shared" si="519"/>
        <v>0</v>
      </c>
      <c r="AJ1160" s="1633" t="s">
        <v>1954</v>
      </c>
      <c r="AK1160" s="1635" t="str">
        <f>IF(AND(CNTR_ExistSubInstEntries,MSconst_RequireSubAttrEmissions,COUNTIFS(AC1160:AI1160,FALSE,H1160:N1160,"")&gt;0),EUconst_Error&amp;"BM"&amp;$Q979,"")</f>
        <v/>
      </c>
    </row>
    <row r="1161" spans="2:37" ht="12.75" customHeight="1" thickBot="1">
      <c r="B1161" s="479"/>
      <c r="C1161" s="977"/>
      <c r="D1161" s="777" t="s">
        <v>789</v>
      </c>
      <c r="E1161" s="2471" t="s">
        <v>882</v>
      </c>
      <c r="F1161" s="2472"/>
      <c r="G1161" s="995" t="str">
        <f>EUconst_tCO2pa</f>
        <v>t CO2 / year</v>
      </c>
      <c r="H1161" s="996" t="str">
        <f t="shared" ref="H1161:N1161" si="520">IF(AND(COUNT(H1157:H1160)&gt;0,H1164=""),3.664*H1157*(H1159/100)*(1-H1160/100),"")</f>
        <v/>
      </c>
      <c r="I1161" s="997" t="str">
        <f t="shared" si="520"/>
        <v/>
      </c>
      <c r="J1161" s="1812" t="str">
        <f t="shared" si="520"/>
        <v/>
      </c>
      <c r="K1161" s="1754" t="str">
        <f t="shared" si="520"/>
        <v/>
      </c>
      <c r="L1161" s="1754" t="str">
        <f t="shared" si="520"/>
        <v/>
      </c>
      <c r="M1161" s="1754" t="str">
        <f t="shared" si="520"/>
        <v/>
      </c>
      <c r="N1161" s="1755" t="str">
        <f t="shared" si="520"/>
        <v/>
      </c>
      <c r="O1161" s="485"/>
      <c r="P1161" s="485"/>
      <c r="Q1161" s="1644" t="str">
        <f>EUconst_CNTR_EmissionsIntSource1 &amp; I979</f>
        <v>EmInternalSource1_</v>
      </c>
      <c r="S1161" s="1753" t="str">
        <f>EUconst_CNTR_AttributedEmissions &amp; I979</f>
        <v>AttrEmissions_</v>
      </c>
      <c r="T1161" s="1743" t="str">
        <f t="shared" ref="T1161:Z1161" si="521">IF(T987,SUM(H1161),"")</f>
        <v/>
      </c>
      <c r="U1161" s="1743" t="str">
        <f t="shared" si="521"/>
        <v/>
      </c>
      <c r="V1161" s="1743" t="str">
        <f t="shared" si="521"/>
        <v/>
      </c>
      <c r="W1161" s="1743" t="str">
        <f t="shared" si="521"/>
        <v/>
      </c>
      <c r="X1161" s="1743" t="str">
        <f t="shared" si="521"/>
        <v/>
      </c>
      <c r="Y1161" s="1743" t="str">
        <f t="shared" si="521"/>
        <v/>
      </c>
      <c r="Z1161" s="1744" t="str">
        <f t="shared" si="521"/>
        <v/>
      </c>
    </row>
    <row r="1162" spans="2:37" ht="12.75" customHeight="1">
      <c r="B1162" s="479"/>
      <c r="C1162" s="977"/>
      <c r="D1162" s="777" t="s">
        <v>790</v>
      </c>
      <c r="E1162" s="2670" t="s">
        <v>879</v>
      </c>
      <c r="F1162" s="2608"/>
      <c r="G1162" s="998" t="str">
        <f>EUconst_tCO2pa</f>
        <v>t CO2 / year</v>
      </c>
      <c r="H1162" s="999" t="str">
        <f t="shared" ref="H1162:N1162" si="522">IF(ISNUMBER(H1161),3.664*H1157*(H1159/100)*(H1160/100),"")</f>
        <v/>
      </c>
      <c r="I1162" s="1000" t="str">
        <f t="shared" si="522"/>
        <v/>
      </c>
      <c r="J1162" s="1813" t="str">
        <f t="shared" si="522"/>
        <v/>
      </c>
      <c r="K1162" s="1756" t="str">
        <f t="shared" si="522"/>
        <v/>
      </c>
      <c r="L1162" s="1756" t="str">
        <f t="shared" si="522"/>
        <v/>
      </c>
      <c r="M1162" s="1756" t="str">
        <f t="shared" si="522"/>
        <v/>
      </c>
      <c r="N1162" s="1757" t="str">
        <f t="shared" si="522"/>
        <v/>
      </c>
      <c r="O1162" s="485"/>
      <c r="P1162" s="485"/>
      <c r="Q1162" s="1435"/>
      <c r="S1162" s="1435"/>
    </row>
    <row r="1163" spans="2:37" ht="12.75" customHeight="1">
      <c r="B1163" s="479"/>
      <c r="C1163" s="977"/>
      <c r="D1163" s="777" t="s">
        <v>791</v>
      </c>
      <c r="E1163" s="2473" t="s">
        <v>41</v>
      </c>
      <c r="F1163" s="2474"/>
      <c r="G1163" s="1001" t="str">
        <f>EUconst_TJpa</f>
        <v>TJ / year</v>
      </c>
      <c r="H1163" s="605" t="str">
        <f t="shared" ref="H1163:N1163" si="523">IF(COUNT(H1157:H1158)=2,H1157*H1158/1000,"")</f>
        <v/>
      </c>
      <c r="I1163" s="973" t="str">
        <f t="shared" si="523"/>
        <v/>
      </c>
      <c r="J1163" s="1811" t="str">
        <f t="shared" si="523"/>
        <v/>
      </c>
      <c r="K1163" s="1751" t="str">
        <f t="shared" si="523"/>
        <v/>
      </c>
      <c r="L1163" s="1751" t="str">
        <f t="shared" si="523"/>
        <v/>
      </c>
      <c r="M1163" s="1751" t="str">
        <f t="shared" si="523"/>
        <v/>
      </c>
      <c r="N1163" s="1752" t="str">
        <f t="shared" si="523"/>
        <v/>
      </c>
      <c r="O1163" s="485"/>
      <c r="P1163" s="485"/>
      <c r="Q1163" s="1435"/>
      <c r="S1163" s="1435"/>
    </row>
    <row r="1164" spans="2:37" ht="12.75" customHeight="1">
      <c r="B1164" s="479"/>
      <c r="C1164" s="977"/>
      <c r="D1164" s="777" t="s">
        <v>64</v>
      </c>
      <c r="E1164" s="2687" t="s">
        <v>393</v>
      </c>
      <c r="F1164" s="2688"/>
      <c r="G1164" s="1002"/>
      <c r="H1164" s="1003" t="str">
        <f t="shared" ref="H1164:N1164" si="524">IF(COUNT(H1157,H1159:H1160)&gt;0,IF(COUNTIF(H1158:H1160,"&lt;0")&gt;0,EUconst_Negative,IF(COUNT(H1157,H1159:H1160)&lt;3,EUconst_Incomplete,"")),"")</f>
        <v/>
      </c>
      <c r="I1164" s="1004" t="str">
        <f t="shared" si="524"/>
        <v/>
      </c>
      <c r="J1164" s="1814" t="str">
        <f t="shared" si="524"/>
        <v/>
      </c>
      <c r="K1164" s="1758" t="str">
        <f t="shared" si="524"/>
        <v/>
      </c>
      <c r="L1164" s="1758" t="str">
        <f t="shared" si="524"/>
        <v/>
      </c>
      <c r="M1164" s="1758" t="str">
        <f t="shared" si="524"/>
        <v/>
      </c>
      <c r="N1164" s="1759" t="str">
        <f t="shared" si="524"/>
        <v/>
      </c>
      <c r="O1164" s="485"/>
      <c r="P1164" s="485"/>
      <c r="Q1164" s="1435"/>
      <c r="S1164" s="1435"/>
    </row>
    <row r="1165" spans="2:37" ht="12.75" customHeight="1">
      <c r="B1165" s="479"/>
      <c r="C1165" s="977"/>
      <c r="D1165" s="777"/>
      <c r="E1165" s="981"/>
      <c r="F1165" s="981"/>
      <c r="G1165" s="981"/>
      <c r="H1165" s="981"/>
      <c r="I1165" s="981"/>
      <c r="J1165" s="981"/>
      <c r="K1165" s="981"/>
      <c r="L1165" s="981"/>
      <c r="M1165" s="813"/>
      <c r="N1165" s="814"/>
      <c r="O1165" s="485"/>
      <c r="P1165" s="485"/>
      <c r="Q1165" s="1435"/>
      <c r="S1165" s="1435"/>
    </row>
    <row r="1166" spans="2:37" ht="12.75" customHeight="1">
      <c r="B1166" s="479"/>
      <c r="C1166" s="977"/>
      <c r="D1166" s="777" t="s">
        <v>65</v>
      </c>
      <c r="E1166" s="2649" t="s">
        <v>1215</v>
      </c>
      <c r="F1166" s="2391"/>
      <c r="G1166" s="2391"/>
      <c r="H1166" s="2512"/>
      <c r="I1166" s="3211" t="str">
        <f>c_ALR2025!I3792</f>
        <v/>
      </c>
      <c r="J1166" s="3206"/>
      <c r="K1166" s="3206"/>
      <c r="L1166" s="3206"/>
      <c r="M1166" s="3207"/>
      <c r="N1166" s="979"/>
      <c r="O1166" s="485"/>
      <c r="P1166" s="9">
        <v>0</v>
      </c>
      <c r="Q1166" s="1435"/>
      <c r="S1166" s="1435"/>
      <c r="AC1166" s="1641" t="s">
        <v>717</v>
      </c>
      <c r="AD1166" s="1443" t="b">
        <f>AD1154</f>
        <v>0</v>
      </c>
    </row>
    <row r="1167" spans="2:37" ht="5.0999999999999996" customHeight="1">
      <c r="B1167" s="479"/>
      <c r="C1167" s="977"/>
      <c r="D1167" s="981"/>
      <c r="E1167" s="986"/>
      <c r="F1167" s="978"/>
      <c r="G1167" s="981"/>
      <c r="H1167" s="981"/>
      <c r="I1167" s="978"/>
      <c r="J1167" s="978"/>
      <c r="K1167" s="978"/>
      <c r="L1167" s="978"/>
      <c r="M1167" s="978"/>
      <c r="N1167" s="979"/>
      <c r="O1167" s="485"/>
      <c r="P1167" s="485"/>
      <c r="Q1167" s="1435"/>
      <c r="S1167" s="1435"/>
    </row>
    <row r="1168" spans="2:37" ht="12.75" customHeight="1" thickBot="1">
      <c r="B1168" s="479"/>
      <c r="C1168" s="977"/>
      <c r="D1168" s="777"/>
      <c r="E1168" s="2648" t="s">
        <v>1155</v>
      </c>
      <c r="F1168" s="2493"/>
      <c r="G1168" s="987" t="str">
        <f>EUconst_Unit</f>
        <v>Unit</v>
      </c>
      <c r="H1168" s="782">
        <f t="shared" ref="H1168:N1168" si="525">H$3242</f>
        <v>2024</v>
      </c>
      <c r="I1168" s="988">
        <f t="shared" si="525"/>
        <v>2025</v>
      </c>
      <c r="J1168" s="1810">
        <f t="shared" si="525"/>
        <v>2026</v>
      </c>
      <c r="K1168" s="1747">
        <f t="shared" si="525"/>
        <v>2027</v>
      </c>
      <c r="L1168" s="1747">
        <f t="shared" si="525"/>
        <v>2028</v>
      </c>
      <c r="M1168" s="1747">
        <f t="shared" si="525"/>
        <v>2029</v>
      </c>
      <c r="N1168" s="1748">
        <f t="shared" si="525"/>
        <v>2030</v>
      </c>
      <c r="O1168" s="485"/>
      <c r="P1168" s="485"/>
      <c r="Q1168" s="1435"/>
      <c r="S1168" s="1435"/>
      <c r="AC1168" s="1638">
        <f t="shared" ref="AC1168:AI1168" si="526">H$20</f>
        <v>2024</v>
      </c>
      <c r="AD1168" s="1638">
        <f t="shared" si="526"/>
        <v>2025</v>
      </c>
      <c r="AE1168" s="1638">
        <f t="shared" si="526"/>
        <v>2026</v>
      </c>
      <c r="AF1168" s="1638">
        <f t="shared" si="526"/>
        <v>2027</v>
      </c>
      <c r="AG1168" s="1638">
        <f t="shared" si="526"/>
        <v>2028</v>
      </c>
      <c r="AH1168" s="1638">
        <f t="shared" si="526"/>
        <v>2029</v>
      </c>
      <c r="AI1168" s="1638">
        <f t="shared" si="526"/>
        <v>2030</v>
      </c>
    </row>
    <row r="1169" spans="2:37" ht="12.75" customHeight="1">
      <c r="B1169" s="479"/>
      <c r="C1169" s="977"/>
      <c r="D1169" s="777" t="s">
        <v>66</v>
      </c>
      <c r="E1169" s="2471" t="s">
        <v>1153</v>
      </c>
      <c r="F1169" s="2472"/>
      <c r="G1169" s="811" t="str">
        <f>EUconst_tpa</f>
        <v>t / year</v>
      </c>
      <c r="H1169" s="1552" t="str">
        <f>c_ALR2025!M3795</f>
        <v/>
      </c>
      <c r="I1169" s="1611"/>
      <c r="J1169" s="1811"/>
      <c r="K1169" s="1751"/>
      <c r="L1169" s="1751"/>
      <c r="M1169" s="1751"/>
      <c r="N1169" s="1752"/>
      <c r="O1169" s="485"/>
      <c r="P1169" s="9">
        <v>0</v>
      </c>
      <c r="Q1169" s="1435"/>
      <c r="S1169" s="1435"/>
      <c r="AB1169" s="1641" t="s">
        <v>717</v>
      </c>
      <c r="AC1169" s="1443" t="b">
        <f>AC1157</f>
        <v>0</v>
      </c>
      <c r="AD1169" s="1443" t="b">
        <f t="shared" ref="AD1169:AI1169" si="527">AD1157</f>
        <v>0</v>
      </c>
      <c r="AE1169" s="1443" t="b">
        <f t="shared" si="527"/>
        <v>0</v>
      </c>
      <c r="AF1169" s="1443" t="b">
        <f t="shared" si="527"/>
        <v>0</v>
      </c>
      <c r="AG1169" s="1443" t="b">
        <f t="shared" si="527"/>
        <v>0</v>
      </c>
      <c r="AH1169" s="1443" t="b">
        <f t="shared" si="527"/>
        <v>0</v>
      </c>
      <c r="AI1169" s="1443" t="b">
        <f t="shared" si="527"/>
        <v>0</v>
      </c>
      <c r="AJ1169" s="1633" t="s">
        <v>1954</v>
      </c>
      <c r="AK1169" s="1635" t="str">
        <f>IF(AND(CNTR_ExistSubInstEntries,MSconst_RequireSubAttrEmissions,COUNTIFS(AC1169:AI1169,FALSE,H1169:N1169,"")&gt;0),EUconst_Error&amp;"BM"&amp;$Q979,"")</f>
        <v/>
      </c>
    </row>
    <row r="1170" spans="2:37" ht="12.75" customHeight="1">
      <c r="B1170" s="479"/>
      <c r="C1170" s="977"/>
      <c r="D1170" s="777" t="s">
        <v>1105</v>
      </c>
      <c r="E1170" s="2685" t="s">
        <v>946</v>
      </c>
      <c r="F1170" s="2608"/>
      <c r="G1170" s="993" t="str">
        <f>EUconst_GJpt</f>
        <v>GJ / t</v>
      </c>
      <c r="H1170" s="1557" t="str">
        <f>c_ALR2025!M3796</f>
        <v/>
      </c>
      <c r="I1170" s="1883"/>
      <c r="J1170" s="1811"/>
      <c r="K1170" s="1751"/>
      <c r="L1170" s="1751"/>
      <c r="M1170" s="1751"/>
      <c r="N1170" s="1752"/>
      <c r="O1170" s="485"/>
      <c r="P1170" s="9">
        <v>0</v>
      </c>
      <c r="Q1170" s="1435"/>
      <c r="S1170" s="1435"/>
      <c r="AC1170" s="1443" t="b">
        <f t="shared" ref="AC1170:AI1170" si="528">AC1158</f>
        <v>0</v>
      </c>
      <c r="AD1170" s="1443" t="b">
        <f t="shared" si="528"/>
        <v>0</v>
      </c>
      <c r="AE1170" s="1443" t="b">
        <f t="shared" si="528"/>
        <v>0</v>
      </c>
      <c r="AF1170" s="1443" t="b">
        <f t="shared" si="528"/>
        <v>0</v>
      </c>
      <c r="AG1170" s="1443" t="b">
        <f t="shared" si="528"/>
        <v>0</v>
      </c>
      <c r="AH1170" s="1443" t="b">
        <f t="shared" si="528"/>
        <v>0</v>
      </c>
      <c r="AI1170" s="1443" t="b">
        <f t="shared" si="528"/>
        <v>0</v>
      </c>
      <c r="AJ1170" s="1633" t="s">
        <v>1954</v>
      </c>
      <c r="AK1170" s="1635" t="str">
        <f>IF(AND(CNTR_ExistSubInstEntries,MSconst_RequireSubAttrEmissions,COUNTIFS(AC1170:AI1170,FALSE,H1170:N1170,"")&gt;0),EUconst_Error&amp;"BM"&amp;$Q979,"")</f>
        <v/>
      </c>
    </row>
    <row r="1171" spans="2:37" ht="12.75" customHeight="1" thickBot="1">
      <c r="B1171" s="479"/>
      <c r="C1171" s="977"/>
      <c r="D1171" s="777" t="s">
        <v>1106</v>
      </c>
      <c r="E1171" s="2685" t="s">
        <v>945</v>
      </c>
      <c r="F1171" s="2608"/>
      <c r="G1171" s="994" t="s">
        <v>878</v>
      </c>
      <c r="H1171" s="1557" t="str">
        <f>c_ALR2025!M3797</f>
        <v/>
      </c>
      <c r="I1171" s="1883"/>
      <c r="J1171" s="1811"/>
      <c r="K1171" s="1751"/>
      <c r="L1171" s="1751"/>
      <c r="M1171" s="1751"/>
      <c r="N1171" s="1752"/>
      <c r="O1171" s="485"/>
      <c r="P1171" s="9">
        <v>0</v>
      </c>
      <c r="Q1171" s="1435"/>
      <c r="S1171" s="1435"/>
      <c r="AC1171" s="1443" t="b">
        <f t="shared" ref="AC1171:AI1171" si="529">AC1159</f>
        <v>0</v>
      </c>
      <c r="AD1171" s="1443" t="b">
        <f t="shared" si="529"/>
        <v>0</v>
      </c>
      <c r="AE1171" s="1443" t="b">
        <f t="shared" si="529"/>
        <v>0</v>
      </c>
      <c r="AF1171" s="1443" t="b">
        <f t="shared" si="529"/>
        <v>0</v>
      </c>
      <c r="AG1171" s="1443" t="b">
        <f t="shared" si="529"/>
        <v>0</v>
      </c>
      <c r="AH1171" s="1443" t="b">
        <f t="shared" si="529"/>
        <v>0</v>
      </c>
      <c r="AI1171" s="1443" t="b">
        <f t="shared" si="529"/>
        <v>0</v>
      </c>
      <c r="AJ1171" s="1633" t="s">
        <v>1954</v>
      </c>
      <c r="AK1171" s="1635" t="str">
        <f>IF(AND(CNTR_ExistSubInstEntries,MSconst_RequireSubAttrEmissions,COUNTIFS(AC1171:AI1171,FALSE,H1171:N1171,"")&gt;0),EUconst_Error&amp;"BM"&amp;$Q979,"")</f>
        <v/>
      </c>
    </row>
    <row r="1172" spans="2:37" ht="12.75" customHeight="1">
      <c r="B1172" s="479"/>
      <c r="C1172" s="977"/>
      <c r="D1172" s="777" t="s">
        <v>1107</v>
      </c>
      <c r="E1172" s="2473" t="s">
        <v>880</v>
      </c>
      <c r="F1172" s="2474"/>
      <c r="G1172" s="812" t="s">
        <v>878</v>
      </c>
      <c r="H1172" s="1558" t="str">
        <f>c_ALR2025!M3798</f>
        <v/>
      </c>
      <c r="I1172" s="1884"/>
      <c r="J1172" s="1811"/>
      <c r="K1172" s="1751"/>
      <c r="L1172" s="1751"/>
      <c r="M1172" s="1751"/>
      <c r="N1172" s="1752"/>
      <c r="O1172" s="485"/>
      <c r="P1172" s="9">
        <v>0</v>
      </c>
      <c r="Q1172" s="1435"/>
      <c r="S1172" s="1648"/>
      <c r="T1172" s="1749">
        <f t="shared" ref="T1172:Z1172" si="530">H1168</f>
        <v>2024</v>
      </c>
      <c r="U1172" s="1749">
        <f t="shared" si="530"/>
        <v>2025</v>
      </c>
      <c r="V1172" s="1749">
        <f t="shared" si="530"/>
        <v>2026</v>
      </c>
      <c r="W1172" s="1749">
        <f t="shared" si="530"/>
        <v>2027</v>
      </c>
      <c r="X1172" s="1749">
        <f t="shared" si="530"/>
        <v>2028</v>
      </c>
      <c r="Y1172" s="1749">
        <f t="shared" si="530"/>
        <v>2029</v>
      </c>
      <c r="Z1172" s="1750">
        <f t="shared" si="530"/>
        <v>2030</v>
      </c>
      <c r="AC1172" s="1443" t="b">
        <f t="shared" ref="AC1172:AI1172" si="531">AC1160</f>
        <v>0</v>
      </c>
      <c r="AD1172" s="1443" t="b">
        <f t="shared" si="531"/>
        <v>0</v>
      </c>
      <c r="AE1172" s="1443" t="b">
        <f t="shared" si="531"/>
        <v>0</v>
      </c>
      <c r="AF1172" s="1443" t="b">
        <f t="shared" si="531"/>
        <v>0</v>
      </c>
      <c r="AG1172" s="1443" t="b">
        <f t="shared" si="531"/>
        <v>0</v>
      </c>
      <c r="AH1172" s="1443" t="b">
        <f t="shared" si="531"/>
        <v>0</v>
      </c>
      <c r="AI1172" s="1443" t="b">
        <f t="shared" si="531"/>
        <v>0</v>
      </c>
      <c r="AJ1172" s="1633" t="s">
        <v>1954</v>
      </c>
      <c r="AK1172" s="1635" t="str">
        <f>IF(AND(CNTR_ExistSubInstEntries,MSconst_RequireSubAttrEmissions,COUNTIFS(AC1172:AI1172,FALSE,H1172:N1172,"")&gt;0),EUconst_Error&amp;"BM"&amp;$Q979,"")</f>
        <v/>
      </c>
    </row>
    <row r="1173" spans="2:37" ht="12.75" customHeight="1" thickBot="1">
      <c r="B1173" s="479"/>
      <c r="C1173" s="977"/>
      <c r="D1173" s="777" t="s">
        <v>1108</v>
      </c>
      <c r="E1173" s="2471" t="s">
        <v>882</v>
      </c>
      <c r="F1173" s="2472"/>
      <c r="G1173" s="995" t="str">
        <f>EUconst_tCO2pa</f>
        <v>t CO2 / year</v>
      </c>
      <c r="H1173" s="996" t="str">
        <f t="shared" ref="H1173:N1173" si="532">IF(AND(COUNT(H1169:H1172)&gt;0,H1176=""),3.664*H1169*(H1171/100)*(1-H1172/100),"")</f>
        <v/>
      </c>
      <c r="I1173" s="997" t="str">
        <f t="shared" si="532"/>
        <v/>
      </c>
      <c r="J1173" s="1812" t="str">
        <f t="shared" si="532"/>
        <v/>
      </c>
      <c r="K1173" s="1754" t="str">
        <f t="shared" si="532"/>
        <v/>
      </c>
      <c r="L1173" s="1754" t="str">
        <f t="shared" si="532"/>
        <v/>
      </c>
      <c r="M1173" s="1754" t="str">
        <f t="shared" si="532"/>
        <v/>
      </c>
      <c r="N1173" s="1755" t="str">
        <f t="shared" si="532"/>
        <v/>
      </c>
      <c r="O1173" s="485"/>
      <c r="P1173" s="485"/>
      <c r="Q1173" s="1644" t="str">
        <f>EUconst_CNTR_EmissionsIntSource2 &amp; I979</f>
        <v>EmInternalSource2_</v>
      </c>
      <c r="S1173" s="1753" t="str">
        <f>EUconst_CNTR_AttributedEmissions &amp; I979</f>
        <v>AttrEmissions_</v>
      </c>
      <c r="T1173" s="1743" t="str">
        <f t="shared" ref="T1173:Z1173" si="533">IF(T987,SUM(H1173),"")</f>
        <v/>
      </c>
      <c r="U1173" s="1743" t="str">
        <f t="shared" si="533"/>
        <v/>
      </c>
      <c r="V1173" s="1743" t="str">
        <f t="shared" si="533"/>
        <v/>
      </c>
      <c r="W1173" s="1743" t="str">
        <f t="shared" si="533"/>
        <v/>
      </c>
      <c r="X1173" s="1743" t="str">
        <f t="shared" si="533"/>
        <v/>
      </c>
      <c r="Y1173" s="1743" t="str">
        <f t="shared" si="533"/>
        <v/>
      </c>
      <c r="Z1173" s="1744" t="str">
        <f t="shared" si="533"/>
        <v/>
      </c>
    </row>
    <row r="1174" spans="2:37" ht="12.75" customHeight="1">
      <c r="B1174" s="479"/>
      <c r="C1174" s="977"/>
      <c r="D1174" s="777" t="s">
        <v>1109</v>
      </c>
      <c r="E1174" s="2670" t="s">
        <v>879</v>
      </c>
      <c r="F1174" s="2608"/>
      <c r="G1174" s="998" t="str">
        <f>EUconst_tCO2pa</f>
        <v>t CO2 / year</v>
      </c>
      <c r="H1174" s="999" t="str">
        <f t="shared" ref="H1174:N1174" si="534">IF(ISNUMBER(H1173),3.664*H1169*(H1171/100)*(H1172/100),"")</f>
        <v/>
      </c>
      <c r="I1174" s="1000" t="str">
        <f t="shared" si="534"/>
        <v/>
      </c>
      <c r="J1174" s="1813" t="str">
        <f t="shared" si="534"/>
        <v/>
      </c>
      <c r="K1174" s="1756" t="str">
        <f t="shared" si="534"/>
        <v/>
      </c>
      <c r="L1174" s="1756" t="str">
        <f t="shared" si="534"/>
        <v/>
      </c>
      <c r="M1174" s="1756" t="str">
        <f t="shared" si="534"/>
        <v/>
      </c>
      <c r="N1174" s="1757" t="str">
        <f t="shared" si="534"/>
        <v/>
      </c>
      <c r="O1174" s="485"/>
      <c r="P1174" s="485"/>
      <c r="Q1174" s="1435"/>
      <c r="S1174" s="1435"/>
    </row>
    <row r="1175" spans="2:37" ht="12.75" customHeight="1">
      <c r="B1175" s="479"/>
      <c r="C1175" s="977"/>
      <c r="D1175" s="777" t="s">
        <v>1110</v>
      </c>
      <c r="E1175" s="2473" t="s">
        <v>41</v>
      </c>
      <c r="F1175" s="2474"/>
      <c r="G1175" s="1001" t="str">
        <f>EUconst_TJpa</f>
        <v>TJ / year</v>
      </c>
      <c r="H1175" s="605" t="str">
        <f t="shared" ref="H1175:N1175" si="535">IF(COUNT(H1169:H1170)=2,H1169*H1170/1000,"")</f>
        <v/>
      </c>
      <c r="I1175" s="973" t="str">
        <f t="shared" si="535"/>
        <v/>
      </c>
      <c r="J1175" s="1811" t="str">
        <f t="shared" si="535"/>
        <v/>
      </c>
      <c r="K1175" s="1751" t="str">
        <f t="shared" si="535"/>
        <v/>
      </c>
      <c r="L1175" s="1751" t="str">
        <f t="shared" si="535"/>
        <v/>
      </c>
      <c r="M1175" s="1751" t="str">
        <f t="shared" si="535"/>
        <v/>
      </c>
      <c r="N1175" s="1752" t="str">
        <f t="shared" si="535"/>
        <v/>
      </c>
      <c r="O1175" s="485"/>
      <c r="P1175" s="485"/>
      <c r="Q1175" s="1435"/>
      <c r="S1175" s="1435"/>
    </row>
    <row r="1176" spans="2:37" ht="12.75" customHeight="1">
      <c r="B1176" s="479"/>
      <c r="C1176" s="977"/>
      <c r="D1176" s="777" t="s">
        <v>1106</v>
      </c>
      <c r="E1176" s="2687" t="s">
        <v>393</v>
      </c>
      <c r="F1176" s="2688"/>
      <c r="G1176" s="1002"/>
      <c r="H1176" s="1003" t="str">
        <f t="shared" ref="H1176:N1176" si="536">IF(COUNT(H1169,H1171:H1172)&gt;0,IF(COUNTIF(H1170:H1172,"&lt;0")&gt;0,EUconst_Negative,IF(COUNT(H1169,H1171:H1172)&lt;3,EUconst_Incomplete,"")),"")</f>
        <v/>
      </c>
      <c r="I1176" s="1004" t="str">
        <f t="shared" si="536"/>
        <v/>
      </c>
      <c r="J1176" s="1814" t="str">
        <f t="shared" si="536"/>
        <v/>
      </c>
      <c r="K1176" s="1758" t="str">
        <f t="shared" si="536"/>
        <v/>
      </c>
      <c r="L1176" s="1758" t="str">
        <f t="shared" si="536"/>
        <v/>
      </c>
      <c r="M1176" s="1758" t="str">
        <f t="shared" si="536"/>
        <v/>
      </c>
      <c r="N1176" s="1759" t="str">
        <f t="shared" si="536"/>
        <v/>
      </c>
      <c r="O1176" s="485"/>
      <c r="P1176" s="485"/>
      <c r="Q1176" s="1435"/>
      <c r="S1176" s="1435"/>
    </row>
    <row r="1177" spans="2:37" ht="12.75" customHeight="1">
      <c r="B1177" s="479"/>
      <c r="C1177" s="977"/>
      <c r="D1177" s="981"/>
      <c r="E1177" s="981"/>
      <c r="F1177" s="981"/>
      <c r="G1177" s="981"/>
      <c r="H1177" s="981"/>
      <c r="I1177" s="981"/>
      <c r="J1177" s="981"/>
      <c r="K1177" s="981"/>
      <c r="L1177" s="981"/>
      <c r="M1177" s="813"/>
      <c r="N1177" s="814"/>
      <c r="O1177" s="485"/>
      <c r="P1177" s="485"/>
      <c r="Q1177" s="1435"/>
      <c r="S1177" s="1435"/>
    </row>
    <row r="1178" spans="2:37" ht="12.75" customHeight="1">
      <c r="B1178" s="479"/>
      <c r="C1178" s="977"/>
      <c r="D1178" s="982" t="s">
        <v>478</v>
      </c>
      <c r="E1178" s="2649" t="s">
        <v>1457</v>
      </c>
      <c r="F1178" s="2391"/>
      <c r="G1178" s="2391"/>
      <c r="H1178" s="2391"/>
      <c r="I1178" s="2391"/>
      <c r="J1178" s="2391"/>
      <c r="K1178" s="2391"/>
      <c r="L1178" s="2391"/>
      <c r="M1178" s="2391"/>
      <c r="N1178" s="2650"/>
      <c r="O1178" s="485"/>
      <c r="P1178" s="485"/>
      <c r="Q1178" s="1435"/>
      <c r="S1178" s="1435"/>
    </row>
    <row r="1179" spans="2:37" ht="12.75" customHeight="1">
      <c r="B1179" s="479"/>
      <c r="C1179" s="977"/>
      <c r="D1179" s="777"/>
      <c r="E1179" s="3272" t="s">
        <v>2295</v>
      </c>
      <c r="F1179" s="2380"/>
      <c r="G1179" s="2380"/>
      <c r="H1179" s="2380"/>
      <c r="I1179" s="2380"/>
      <c r="J1179" s="2380"/>
      <c r="K1179" s="2380"/>
      <c r="L1179" s="2380"/>
      <c r="M1179" s="2380"/>
      <c r="N1179" s="3268"/>
      <c r="O1179" s="485"/>
      <c r="P1179" s="485"/>
      <c r="Q1179" s="1435"/>
      <c r="S1179" s="1435"/>
      <c r="T1179" s="1435"/>
      <c r="U1179" s="1435"/>
      <c r="V1179" s="1435"/>
    </row>
    <row r="1180" spans="2:37" ht="25.5" customHeight="1">
      <c r="B1180" s="479"/>
      <c r="C1180" s="977"/>
      <c r="D1180" s="981"/>
      <c r="E1180" s="3267" t="s">
        <v>2300</v>
      </c>
      <c r="F1180" s="2380"/>
      <c r="G1180" s="2380"/>
      <c r="H1180" s="2380"/>
      <c r="I1180" s="2380"/>
      <c r="J1180" s="2380"/>
      <c r="K1180" s="2380"/>
      <c r="L1180" s="2380"/>
      <c r="M1180" s="2380"/>
      <c r="N1180" s="3268"/>
      <c r="O1180" s="485"/>
      <c r="P1180" s="485"/>
      <c r="Q1180" s="1435"/>
      <c r="S1180" s="1435"/>
    </row>
    <row r="1181" spans="2:37" ht="12.75" customHeight="1" thickBot="1">
      <c r="B1181" s="479"/>
      <c r="C1181" s="977"/>
      <c r="D1181" s="981"/>
      <c r="E1181" s="3267" t="s">
        <v>1365</v>
      </c>
      <c r="F1181" s="2380"/>
      <c r="G1181" s="2380"/>
      <c r="H1181" s="2380"/>
      <c r="I1181" s="2380"/>
      <c r="J1181" s="2380"/>
      <c r="K1181" s="2380"/>
      <c r="L1181" s="2380"/>
      <c r="M1181" s="2380"/>
      <c r="N1181" s="3268"/>
      <c r="O1181" s="485"/>
      <c r="P1181" s="485"/>
      <c r="Q1181" s="1435"/>
      <c r="S1181" s="1435"/>
    </row>
    <row r="1182" spans="2:37" ht="12.75" customHeight="1" thickBot="1">
      <c r="B1182" s="479"/>
      <c r="C1182" s="977"/>
      <c r="D1182" s="982"/>
      <c r="E1182" s="989"/>
      <c r="F1182" s="990"/>
      <c r="G1182" s="987" t="str">
        <f>EUconst_Unit</f>
        <v>Unit</v>
      </c>
      <c r="H1182" s="782">
        <f t="shared" ref="H1182:N1182" si="537">H$3242</f>
        <v>2024</v>
      </c>
      <c r="I1182" s="988">
        <f t="shared" si="537"/>
        <v>2025</v>
      </c>
      <c r="J1182" s="1810">
        <f t="shared" si="537"/>
        <v>2026</v>
      </c>
      <c r="K1182" s="1747">
        <f t="shared" si="537"/>
        <v>2027</v>
      </c>
      <c r="L1182" s="1747">
        <f t="shared" si="537"/>
        <v>2028</v>
      </c>
      <c r="M1182" s="1747">
        <f t="shared" si="537"/>
        <v>2029</v>
      </c>
      <c r="N1182" s="1748">
        <f t="shared" si="537"/>
        <v>2030</v>
      </c>
      <c r="O1182" s="485"/>
      <c r="P1182" s="485"/>
      <c r="Q1182" s="1435"/>
      <c r="S1182" s="1648"/>
      <c r="T1182" s="1749">
        <f t="shared" ref="T1182:Z1182" si="538">H1182</f>
        <v>2024</v>
      </c>
      <c r="U1182" s="1749">
        <f t="shared" si="538"/>
        <v>2025</v>
      </c>
      <c r="V1182" s="1749">
        <f t="shared" si="538"/>
        <v>2026</v>
      </c>
      <c r="W1182" s="1749">
        <f t="shared" si="538"/>
        <v>2027</v>
      </c>
      <c r="X1182" s="1749">
        <f t="shared" si="538"/>
        <v>2028</v>
      </c>
      <c r="Y1182" s="1749">
        <f t="shared" si="538"/>
        <v>2029</v>
      </c>
      <c r="Z1182" s="1750">
        <f t="shared" si="538"/>
        <v>2030</v>
      </c>
      <c r="AC1182" s="1638">
        <f t="shared" ref="AC1182:AI1182" si="539">H$20</f>
        <v>2024</v>
      </c>
      <c r="AD1182" s="1638">
        <f t="shared" si="539"/>
        <v>2025</v>
      </c>
      <c r="AE1182" s="1638">
        <f t="shared" si="539"/>
        <v>2026</v>
      </c>
      <c r="AF1182" s="1638">
        <f t="shared" si="539"/>
        <v>2027</v>
      </c>
      <c r="AG1182" s="1638">
        <f t="shared" si="539"/>
        <v>2028</v>
      </c>
      <c r="AH1182" s="1638">
        <f t="shared" si="539"/>
        <v>2029</v>
      </c>
      <c r="AI1182" s="1638">
        <f t="shared" si="539"/>
        <v>2030</v>
      </c>
    </row>
    <row r="1183" spans="2:37" ht="12.75" customHeight="1" thickBot="1">
      <c r="B1183" s="479"/>
      <c r="C1183" s="977"/>
      <c r="D1183" s="777"/>
      <c r="E1183" s="2475" t="s">
        <v>1156</v>
      </c>
      <c r="F1183" s="2410"/>
      <c r="G1183" s="815" t="str">
        <f>EUconst_tCO2epa</f>
        <v>t CO2e/year</v>
      </c>
      <c r="H1183" s="1479" t="str">
        <f>c_ALR2025!M3809</f>
        <v/>
      </c>
      <c r="I1183" s="1532"/>
      <c r="J1183" s="1811"/>
      <c r="K1183" s="1751"/>
      <c r="L1183" s="1751"/>
      <c r="M1183" s="1751"/>
      <c r="N1183" s="1752"/>
      <c r="O1183" s="485"/>
      <c r="P1183" s="9">
        <v>0</v>
      </c>
      <c r="Q1183" s="1644" t="str">
        <f>EUconst_CNTR_CO2Feedstock &amp; I979</f>
        <v>EmCO2Feedstock_</v>
      </c>
      <c r="S1183" s="1753" t="str">
        <f>EUconst_CNTR_AttributedEmissions &amp; I979</f>
        <v>AttrEmissions_</v>
      </c>
      <c r="T1183" s="1743" t="str">
        <f t="shared" ref="T1183:Z1183" si="540">IF(T987,SUM(H1183),"")</f>
        <v/>
      </c>
      <c r="U1183" s="1743" t="str">
        <f t="shared" si="540"/>
        <v/>
      </c>
      <c r="V1183" s="1743" t="str">
        <f t="shared" si="540"/>
        <v/>
      </c>
      <c r="W1183" s="1743" t="str">
        <f t="shared" si="540"/>
        <v/>
      </c>
      <c r="X1183" s="1743" t="str">
        <f t="shared" si="540"/>
        <v/>
      </c>
      <c r="Y1183" s="1743" t="str">
        <f t="shared" si="540"/>
        <v/>
      </c>
      <c r="Z1183" s="1744" t="str">
        <f t="shared" si="540"/>
        <v/>
      </c>
      <c r="AB1183" s="1641" t="s">
        <v>717</v>
      </c>
      <c r="AC1183" s="1443" t="b">
        <f>AC1049</f>
        <v>0</v>
      </c>
      <c r="AD1183" s="1443" t="b">
        <f t="shared" ref="AD1183:AI1183" si="541">AD1049</f>
        <v>0</v>
      </c>
      <c r="AE1183" s="1443" t="b">
        <f t="shared" si="541"/>
        <v>0</v>
      </c>
      <c r="AF1183" s="1443" t="b">
        <f t="shared" si="541"/>
        <v>0</v>
      </c>
      <c r="AG1183" s="1443" t="b">
        <f t="shared" si="541"/>
        <v>0</v>
      </c>
      <c r="AH1183" s="1443" t="b">
        <f t="shared" si="541"/>
        <v>0</v>
      </c>
      <c r="AI1183" s="1443" t="b">
        <f t="shared" si="541"/>
        <v>0</v>
      </c>
      <c r="AJ1183" s="1633" t="s">
        <v>1954</v>
      </c>
      <c r="AK1183" s="1635" t="str">
        <f>IF(AND(CNTR_ExistSubInstEntries,MSconst_RequireSubAttrEmissions,COUNTIFS(AC1183:AI1183,FALSE,H1183:N1183,"")&gt;0),EUconst_Error&amp;"BM"&amp;$Q979,"")</f>
        <v/>
      </c>
    </row>
    <row r="1184" spans="2:37" ht="12.75" customHeight="1">
      <c r="B1184" s="479"/>
      <c r="C1184" s="977"/>
      <c r="D1184" s="981"/>
      <c r="E1184" s="981"/>
      <c r="F1184" s="981"/>
      <c r="G1184" s="981"/>
      <c r="H1184" s="981"/>
      <c r="I1184" s="981"/>
      <c r="J1184" s="981"/>
      <c r="K1184" s="981"/>
      <c r="L1184" s="981"/>
      <c r="M1184" s="813"/>
      <c r="N1184" s="814"/>
      <c r="O1184" s="485"/>
      <c r="P1184" s="485"/>
      <c r="Q1184" s="1435"/>
      <c r="S1184" s="1435"/>
    </row>
    <row r="1185" spans="2:37" ht="12.75" customHeight="1">
      <c r="B1185" s="479"/>
      <c r="C1185" s="977"/>
      <c r="D1185" s="982" t="s">
        <v>479</v>
      </c>
      <c r="E1185" s="2649" t="s">
        <v>1118</v>
      </c>
      <c r="F1185" s="2391"/>
      <c r="G1185" s="2391"/>
      <c r="H1185" s="2391"/>
      <c r="I1185" s="2391"/>
      <c r="J1185" s="2391"/>
      <c r="K1185" s="2391"/>
      <c r="L1185" s="2391"/>
      <c r="M1185" s="2391"/>
      <c r="N1185" s="2650"/>
      <c r="O1185" s="485"/>
      <c r="P1185" s="485"/>
      <c r="Q1185" s="1435"/>
      <c r="S1185" s="1435"/>
    </row>
    <row r="1186" spans="2:37" ht="12.75" customHeight="1">
      <c r="B1186" s="479"/>
      <c r="C1186" s="977"/>
      <c r="D1186" s="777"/>
      <c r="E1186" s="3272" t="s">
        <v>2297</v>
      </c>
      <c r="F1186" s="2380"/>
      <c r="G1186" s="2380"/>
      <c r="H1186" s="2380"/>
      <c r="I1186" s="2380"/>
      <c r="J1186" s="2380"/>
      <c r="K1186" s="2380"/>
      <c r="L1186" s="2380"/>
      <c r="M1186" s="2380"/>
      <c r="N1186" s="3268"/>
      <c r="O1186" s="485"/>
      <c r="P1186" s="485"/>
      <c r="Q1186" s="1435"/>
      <c r="S1186" s="1435"/>
      <c r="T1186" s="1435"/>
      <c r="U1186" s="1435"/>
      <c r="V1186" s="1435"/>
    </row>
    <row r="1187" spans="2:37" ht="38.85" customHeight="1">
      <c r="B1187" s="479"/>
      <c r="C1187" s="977"/>
      <c r="D1187" s="981"/>
      <c r="E1187" s="3267" t="s">
        <v>2118</v>
      </c>
      <c r="F1187" s="2380"/>
      <c r="G1187" s="2380"/>
      <c r="H1187" s="2380"/>
      <c r="I1187" s="2380"/>
      <c r="J1187" s="2380"/>
      <c r="K1187" s="2380"/>
      <c r="L1187" s="2380"/>
      <c r="M1187" s="2380"/>
      <c r="N1187" s="3268"/>
      <c r="O1187" s="485"/>
      <c r="P1187" s="485"/>
      <c r="Q1187" s="1435"/>
      <c r="S1187" s="1435"/>
    </row>
    <row r="1188" spans="2:37" ht="25.5" customHeight="1">
      <c r="B1188" s="479"/>
      <c r="C1188" s="977"/>
      <c r="D1188" s="981"/>
      <c r="E1188" s="3267" t="s">
        <v>1614</v>
      </c>
      <c r="F1188" s="2380"/>
      <c r="G1188" s="2380"/>
      <c r="H1188" s="2380"/>
      <c r="I1188" s="2380"/>
      <c r="J1188" s="2380"/>
      <c r="K1188" s="2380"/>
      <c r="L1188" s="2380"/>
      <c r="M1188" s="2380"/>
      <c r="N1188" s="3268"/>
      <c r="O1188" s="485"/>
      <c r="P1188" s="485"/>
      <c r="Q1188" s="1435"/>
      <c r="S1188" s="1435"/>
    </row>
    <row r="1189" spans="2:37" ht="25.5" customHeight="1">
      <c r="B1189" s="479"/>
      <c r="C1189" s="977"/>
      <c r="D1189" s="981"/>
      <c r="E1189" s="3267" t="s">
        <v>1593</v>
      </c>
      <c r="F1189" s="2380"/>
      <c r="G1189" s="2380"/>
      <c r="H1189" s="2380"/>
      <c r="I1189" s="2380"/>
      <c r="J1189" s="2380"/>
      <c r="K1189" s="2380"/>
      <c r="L1189" s="2380"/>
      <c r="M1189" s="2380"/>
      <c r="N1189" s="3268"/>
      <c r="O1189" s="485"/>
      <c r="P1189" s="485"/>
      <c r="Q1189" s="1435"/>
      <c r="S1189" s="1435"/>
    </row>
    <row r="1190" spans="2:37" ht="12.75" customHeight="1" thickBot="1">
      <c r="B1190" s="479"/>
      <c r="C1190" s="977"/>
      <c r="D1190" s="981"/>
      <c r="E1190" s="3269" t="s">
        <v>1555</v>
      </c>
      <c r="F1190" s="3270"/>
      <c r="G1190" s="3270"/>
      <c r="H1190" s="3270"/>
      <c r="I1190" s="3270"/>
      <c r="J1190" s="3270"/>
      <c r="K1190" s="3270"/>
      <c r="L1190" s="3270"/>
      <c r="M1190" s="3270"/>
      <c r="N1190" s="3271"/>
      <c r="O1190" s="485"/>
      <c r="P1190" s="485"/>
      <c r="Q1190" s="1435"/>
    </row>
    <row r="1191" spans="2:37" ht="12.75" customHeight="1" thickBot="1">
      <c r="B1191" s="479"/>
      <c r="C1191" s="977"/>
      <c r="D1191" s="981"/>
      <c r="E1191" s="2648" t="s">
        <v>1151</v>
      </c>
      <c r="F1191" s="2493"/>
      <c r="G1191" s="987" t="str">
        <f>EUconst_Unit</f>
        <v>Unit</v>
      </c>
      <c r="H1191" s="782">
        <f t="shared" ref="H1191:N1191" si="542">H$3242</f>
        <v>2024</v>
      </c>
      <c r="I1191" s="988">
        <f t="shared" si="542"/>
        <v>2025</v>
      </c>
      <c r="J1191" s="1810">
        <f t="shared" si="542"/>
        <v>2026</v>
      </c>
      <c r="K1191" s="1747">
        <f t="shared" si="542"/>
        <v>2027</v>
      </c>
      <c r="L1191" s="1747">
        <f t="shared" si="542"/>
        <v>2028</v>
      </c>
      <c r="M1191" s="1747">
        <f t="shared" si="542"/>
        <v>2029</v>
      </c>
      <c r="N1191" s="1748">
        <f t="shared" si="542"/>
        <v>2030</v>
      </c>
      <c r="O1191" s="485"/>
      <c r="P1191" s="485"/>
      <c r="Q1191" s="1435"/>
      <c r="S1191" s="1648"/>
      <c r="T1191" s="1749">
        <f t="shared" ref="T1191:Z1191" si="543">H1191</f>
        <v>2024</v>
      </c>
      <c r="U1191" s="1749">
        <f t="shared" si="543"/>
        <v>2025</v>
      </c>
      <c r="V1191" s="1749">
        <f t="shared" si="543"/>
        <v>2026</v>
      </c>
      <c r="W1191" s="1749">
        <f t="shared" si="543"/>
        <v>2027</v>
      </c>
      <c r="X1191" s="1749">
        <f t="shared" si="543"/>
        <v>2028</v>
      </c>
      <c r="Y1191" s="1749">
        <f t="shared" si="543"/>
        <v>2029</v>
      </c>
      <c r="Z1191" s="1750">
        <f t="shared" si="543"/>
        <v>2030</v>
      </c>
      <c r="AC1191" s="1638">
        <f t="shared" ref="AC1191:AI1191" si="544">H$20</f>
        <v>2024</v>
      </c>
      <c r="AD1191" s="1638">
        <f t="shared" si="544"/>
        <v>2025</v>
      </c>
      <c r="AE1191" s="1638">
        <f t="shared" si="544"/>
        <v>2026</v>
      </c>
      <c r="AF1191" s="1638">
        <f t="shared" si="544"/>
        <v>2027</v>
      </c>
      <c r="AG1191" s="1638">
        <f t="shared" si="544"/>
        <v>2028</v>
      </c>
      <c r="AH1191" s="1638">
        <f t="shared" si="544"/>
        <v>2029</v>
      </c>
      <c r="AI1191" s="1638">
        <f t="shared" si="544"/>
        <v>2030</v>
      </c>
    </row>
    <row r="1192" spans="2:37" ht="12.75" customHeight="1">
      <c r="B1192" s="479"/>
      <c r="C1192" s="977"/>
      <c r="D1192" s="777" t="s">
        <v>6</v>
      </c>
      <c r="E1192" s="2475" t="s">
        <v>1087</v>
      </c>
      <c r="F1192" s="2410"/>
      <c r="G1192" s="815" t="str">
        <f>EUconst_TJpa</f>
        <v>TJ / year</v>
      </c>
      <c r="H1192" s="1479" t="str">
        <f>c_ALR2025!M3818</f>
        <v/>
      </c>
      <c r="I1192" s="1532"/>
      <c r="J1192" s="1811"/>
      <c r="K1192" s="1751"/>
      <c r="L1192" s="1751"/>
      <c r="M1192" s="1751"/>
      <c r="N1192" s="1752"/>
      <c r="O1192" s="485"/>
      <c r="P1192" s="9">
        <v>0</v>
      </c>
      <c r="Q1192" s="1644" t="str">
        <f>EUconst_CNTR_HeatImport &amp; I979</f>
        <v>HeatIm_</v>
      </c>
      <c r="S1192" s="1874" t="str">
        <f>EUconst_ERR_AttrEmBMapplied &amp; I979</f>
        <v>ERR_AttrEmBM_</v>
      </c>
      <c r="T1192" s="1443">
        <f t="shared" ref="T1192:Z1192" si="545">IF(AND(H1192&lt;&gt;0,H1193="",EUconst_StatusOfDataCollection=FALSE),1,0)</f>
        <v>0</v>
      </c>
      <c r="U1192" s="1443">
        <f t="shared" si="545"/>
        <v>0</v>
      </c>
      <c r="V1192" s="1443">
        <f t="shared" si="545"/>
        <v>0</v>
      </c>
      <c r="W1192" s="1443">
        <f t="shared" si="545"/>
        <v>0</v>
      </c>
      <c r="X1192" s="1443">
        <f t="shared" si="545"/>
        <v>0</v>
      </c>
      <c r="Y1192" s="1443">
        <f t="shared" si="545"/>
        <v>0</v>
      </c>
      <c r="Z1192" s="1737">
        <f t="shared" si="545"/>
        <v>0</v>
      </c>
      <c r="AA1192" s="1503"/>
      <c r="AB1192" s="1641" t="s">
        <v>717</v>
      </c>
      <c r="AC1192" s="1443" t="b">
        <f t="shared" ref="AC1192:AI1192" si="546">AC1049</f>
        <v>0</v>
      </c>
      <c r="AD1192" s="1443" t="b">
        <f t="shared" si="546"/>
        <v>0</v>
      </c>
      <c r="AE1192" s="1443" t="b">
        <f t="shared" si="546"/>
        <v>0</v>
      </c>
      <c r="AF1192" s="1443" t="b">
        <f t="shared" si="546"/>
        <v>0</v>
      </c>
      <c r="AG1192" s="1443" t="b">
        <f t="shared" si="546"/>
        <v>0</v>
      </c>
      <c r="AH1192" s="1443" t="b">
        <f t="shared" si="546"/>
        <v>0</v>
      </c>
      <c r="AI1192" s="1443" t="b">
        <f t="shared" si="546"/>
        <v>0</v>
      </c>
      <c r="AJ1192" s="1633" t="s">
        <v>1954</v>
      </c>
      <c r="AK1192" s="1635" t="str">
        <f>IF(AND(CNTR_ExistSubInstEntries,MSconst_RequireSubAttrEmissions,COUNTIFS(AC1192:AI1192,FALSE,H1192:N1192,"")&gt;0),EUconst_Error&amp;"BM"&amp;$Q979,"")</f>
        <v/>
      </c>
    </row>
    <row r="1193" spans="2:37" ht="12.75" customHeight="1" thickBot="1">
      <c r="B1193" s="479"/>
      <c r="C1193" s="977"/>
      <c r="D1193" s="777" t="s">
        <v>7</v>
      </c>
      <c r="E1193" s="2475" t="s">
        <v>1103</v>
      </c>
      <c r="F1193" s="2410"/>
      <c r="G1193" s="815" t="str">
        <f>EUconst_tCO2pTJ</f>
        <v>t CO2 / TJ</v>
      </c>
      <c r="H1193" s="1479" t="str">
        <f>c_ALR2025!M3819</f>
        <v/>
      </c>
      <c r="I1193" s="1532"/>
      <c r="J1193" s="1811"/>
      <c r="K1193" s="1751"/>
      <c r="L1193" s="1751"/>
      <c r="M1193" s="1751"/>
      <c r="N1193" s="1752"/>
      <c r="O1193" s="485"/>
      <c r="P1193" s="9">
        <v>0</v>
      </c>
      <c r="Q1193" s="1644" t="str">
        <f>EUconst_CNTR_HeatImportEF &amp; I979</f>
        <v>HeatImEF_</v>
      </c>
      <c r="S1193" s="1753" t="str">
        <f>EUconst_CNTR_AttributedEmissions &amp; I979</f>
        <v>AttrEmissions_</v>
      </c>
      <c r="T1193" s="1743" t="str">
        <f t="shared" ref="T1193:Z1193" si="547">IF(T987,SUM(H1192)*IF(ISNUMBER(H1193),H1193,EUconst_HeatBMvalue),"")</f>
        <v/>
      </c>
      <c r="U1193" s="1743" t="str">
        <f t="shared" si="547"/>
        <v/>
      </c>
      <c r="V1193" s="1743" t="str">
        <f t="shared" si="547"/>
        <v/>
      </c>
      <c r="W1193" s="1743" t="str">
        <f t="shared" si="547"/>
        <v/>
      </c>
      <c r="X1193" s="1743" t="str">
        <f t="shared" si="547"/>
        <v/>
      </c>
      <c r="Y1193" s="1743" t="str">
        <f t="shared" si="547"/>
        <v/>
      </c>
      <c r="Z1193" s="1744" t="str">
        <f t="shared" si="547"/>
        <v/>
      </c>
      <c r="AC1193" s="1443" t="b">
        <f>AC1192</f>
        <v>0</v>
      </c>
      <c r="AD1193" s="1443" t="b">
        <f t="shared" ref="AD1193:AI1193" si="548">AD1192</f>
        <v>0</v>
      </c>
      <c r="AE1193" s="1443" t="b">
        <f t="shared" si="548"/>
        <v>0</v>
      </c>
      <c r="AF1193" s="1443" t="b">
        <f t="shared" si="548"/>
        <v>0</v>
      </c>
      <c r="AG1193" s="1443" t="b">
        <f t="shared" si="548"/>
        <v>0</v>
      </c>
      <c r="AH1193" s="1443" t="b">
        <f t="shared" si="548"/>
        <v>0</v>
      </c>
      <c r="AI1193" s="1443" t="b">
        <f t="shared" si="548"/>
        <v>0</v>
      </c>
    </row>
    <row r="1194" spans="2:37" ht="5.0999999999999996" customHeight="1">
      <c r="B1194" s="479"/>
      <c r="C1194" s="977"/>
      <c r="D1194" s="981"/>
      <c r="E1194" s="981"/>
      <c r="F1194" s="981"/>
      <c r="G1194" s="981"/>
      <c r="H1194" s="981"/>
      <c r="I1194" s="981"/>
      <c r="J1194" s="1815"/>
      <c r="K1194" s="1760"/>
      <c r="L1194" s="1760"/>
      <c r="M1194" s="1760"/>
      <c r="N1194" s="1761"/>
      <c r="O1194" s="485"/>
      <c r="P1194" s="485"/>
      <c r="Q1194" s="1435"/>
      <c r="S1194" s="1435"/>
      <c r="T1194" s="1435"/>
      <c r="U1194" s="1435"/>
      <c r="V1194" s="1435"/>
    </row>
    <row r="1195" spans="2:37" ht="12.75" customHeight="1" thickBot="1">
      <c r="B1195" s="479"/>
      <c r="C1195" s="977"/>
      <c r="D1195" s="981"/>
      <c r="E1195" s="2648" t="s">
        <v>1406</v>
      </c>
      <c r="F1195" s="2493"/>
      <c r="G1195" s="987" t="str">
        <f>EUconst_Unit</f>
        <v>Unit</v>
      </c>
      <c r="H1195" s="782">
        <f t="shared" ref="H1195:N1195" si="549">H$3242</f>
        <v>2024</v>
      </c>
      <c r="I1195" s="988">
        <f t="shared" si="549"/>
        <v>2025</v>
      </c>
      <c r="J1195" s="1810">
        <f t="shared" si="549"/>
        <v>2026</v>
      </c>
      <c r="K1195" s="1747">
        <f t="shared" si="549"/>
        <v>2027</v>
      </c>
      <c r="L1195" s="1747">
        <f t="shared" si="549"/>
        <v>2028</v>
      </c>
      <c r="M1195" s="1747">
        <f t="shared" si="549"/>
        <v>2029</v>
      </c>
      <c r="N1195" s="1748">
        <f t="shared" si="549"/>
        <v>2030</v>
      </c>
      <c r="O1195" s="485"/>
      <c r="P1195" s="485"/>
      <c r="Q1195" s="1435"/>
      <c r="S1195" s="1435"/>
      <c r="T1195" s="1435"/>
      <c r="U1195" s="1435"/>
      <c r="V1195" s="1435"/>
      <c r="AC1195" s="1638">
        <f t="shared" ref="AC1195:AI1195" si="550">H$20</f>
        <v>2024</v>
      </c>
      <c r="AD1195" s="1638">
        <f t="shared" si="550"/>
        <v>2025</v>
      </c>
      <c r="AE1195" s="1638">
        <f t="shared" si="550"/>
        <v>2026</v>
      </c>
      <c r="AF1195" s="1638">
        <f t="shared" si="550"/>
        <v>2027</v>
      </c>
      <c r="AG1195" s="1638">
        <f t="shared" si="550"/>
        <v>2028</v>
      </c>
      <c r="AH1195" s="1638">
        <f t="shared" si="550"/>
        <v>2029</v>
      </c>
      <c r="AI1195" s="1638">
        <f t="shared" si="550"/>
        <v>2030</v>
      </c>
    </row>
    <row r="1196" spans="2:37" ht="12.75" customHeight="1">
      <c r="B1196" s="479"/>
      <c r="C1196" s="977"/>
      <c r="D1196" s="777" t="s">
        <v>8</v>
      </c>
      <c r="E1196" s="2475" t="s">
        <v>1556</v>
      </c>
      <c r="F1196" s="2410"/>
      <c r="G1196" s="815" t="str">
        <f>EUconst_TJpa</f>
        <v>TJ / year</v>
      </c>
      <c r="H1196" s="1762" t="str">
        <f>c_ALR2025!M3822</f>
        <v/>
      </c>
      <c r="I1196" s="1885"/>
      <c r="J1196" s="1811"/>
      <c r="K1196" s="1751"/>
      <c r="L1196" s="1751"/>
      <c r="M1196" s="1751"/>
      <c r="N1196" s="1752"/>
      <c r="O1196" s="485"/>
      <c r="P1196" s="9">
        <v>0</v>
      </c>
      <c r="Q1196" s="1644" t="str">
        <f>EUconst_CNTR_HeatImportPulp &amp; I979</f>
        <v>HeatImPulp_</v>
      </c>
      <c r="S1196" s="1435"/>
      <c r="T1196" s="1435"/>
      <c r="U1196" s="1435"/>
      <c r="V1196" s="1435"/>
      <c r="AB1196" s="1641" t="s">
        <v>717</v>
      </c>
      <c r="AC1196" s="1443" t="b">
        <f>AC1049</f>
        <v>0</v>
      </c>
      <c r="AD1196" s="1443" t="b">
        <f t="shared" ref="AD1196:AI1196" si="551">AD1049</f>
        <v>0</v>
      </c>
      <c r="AE1196" s="1443" t="b">
        <f t="shared" si="551"/>
        <v>0</v>
      </c>
      <c r="AF1196" s="1443" t="b">
        <f t="shared" si="551"/>
        <v>0</v>
      </c>
      <c r="AG1196" s="1443" t="b">
        <f t="shared" si="551"/>
        <v>0</v>
      </c>
      <c r="AH1196" s="1443" t="b">
        <f t="shared" si="551"/>
        <v>0</v>
      </c>
      <c r="AI1196" s="1443" t="b">
        <f t="shared" si="551"/>
        <v>0</v>
      </c>
      <c r="AJ1196" s="1633" t="s">
        <v>1954</v>
      </c>
      <c r="AK1196" s="1635" t="str">
        <f>IF(AND(CNTR_ExistSubInstEntries,MSconst_RequireSubAttrEmissions,COUNTIFS(AC1196:AI1196,FALSE,H1196:N1196,"")&gt;0),EUconst_Error&amp;"BM"&amp;$Q979,"")</f>
        <v/>
      </c>
    </row>
    <row r="1197" spans="2:37" ht="25.5" customHeight="1">
      <c r="B1197" s="479"/>
      <c r="C1197" s="977"/>
      <c r="D1197" s="777" t="s">
        <v>18</v>
      </c>
      <c r="E1197" s="2475" t="s">
        <v>1149</v>
      </c>
      <c r="F1197" s="2410"/>
      <c r="G1197" s="815" t="str">
        <f>EUconst_TJpa</f>
        <v>TJ / year</v>
      </c>
      <c r="H1197" s="1479" t="str">
        <f>c_ALR2025!M3823</f>
        <v/>
      </c>
      <c r="I1197" s="1532"/>
      <c r="J1197" s="1811"/>
      <c r="K1197" s="1751"/>
      <c r="L1197" s="1751"/>
      <c r="M1197" s="1751"/>
      <c r="N1197" s="1752"/>
      <c r="O1197" s="485"/>
      <c r="P1197" s="9">
        <v>0</v>
      </c>
      <c r="Q1197" s="1644" t="str">
        <f>EUconst_CNTR_HeatImportNitric &amp; I979</f>
        <v>HeatImNitric_</v>
      </c>
      <c r="S1197" s="1435"/>
      <c r="T1197" s="1435"/>
      <c r="U1197" s="1435"/>
      <c r="V1197" s="1435"/>
      <c r="AC1197" s="1443" t="b">
        <f>AC1196</f>
        <v>0</v>
      </c>
      <c r="AD1197" s="1443" t="b">
        <f t="shared" ref="AD1197:AI1197" si="552">AD1196</f>
        <v>0</v>
      </c>
      <c r="AE1197" s="1443" t="b">
        <f t="shared" si="552"/>
        <v>0</v>
      </c>
      <c r="AF1197" s="1443" t="b">
        <f t="shared" si="552"/>
        <v>0</v>
      </c>
      <c r="AG1197" s="1443" t="b">
        <f t="shared" si="552"/>
        <v>0</v>
      </c>
      <c r="AH1197" s="1443" t="b">
        <f t="shared" si="552"/>
        <v>0</v>
      </c>
      <c r="AI1197" s="1443" t="b">
        <f t="shared" si="552"/>
        <v>0</v>
      </c>
      <c r="AJ1197" s="1633" t="s">
        <v>1954</v>
      </c>
      <c r="AK1197" s="1635" t="str">
        <f>IF(AND(CNTR_ExistSubInstEntries,MSconst_RequireSubAttrEmissions,COUNTIFS(AC1197:AI1197,FALSE,H1197:N1197,"")&gt;0),EUconst_Error&amp;"BM"&amp;$Q979,"")</f>
        <v/>
      </c>
    </row>
    <row r="1198" spans="2:37" ht="5.0999999999999996" customHeight="1" thickBot="1">
      <c r="B1198" s="479"/>
      <c r="C1198" s="977"/>
      <c r="D1198" s="981"/>
      <c r="E1198" s="981"/>
      <c r="F1198" s="981"/>
      <c r="G1198" s="981"/>
      <c r="H1198" s="981"/>
      <c r="I1198" s="981"/>
      <c r="J1198" s="1815"/>
      <c r="K1198" s="1760"/>
      <c r="L1198" s="1760"/>
      <c r="M1198" s="1760"/>
      <c r="N1198" s="1761"/>
      <c r="O1198" s="485"/>
      <c r="P1198" s="485"/>
      <c r="Q1198" s="1435"/>
      <c r="S1198" s="1435"/>
      <c r="T1198" s="1435"/>
      <c r="U1198" s="1435"/>
      <c r="V1198" s="1435"/>
    </row>
    <row r="1199" spans="2:37" ht="12.75" customHeight="1" thickBot="1">
      <c r="B1199" s="479"/>
      <c r="C1199" s="977"/>
      <c r="D1199" s="981"/>
      <c r="E1199" s="2648" t="s">
        <v>1152</v>
      </c>
      <c r="F1199" s="2493"/>
      <c r="G1199" s="987" t="str">
        <f>EUconst_Unit</f>
        <v>Unit</v>
      </c>
      <c r="H1199" s="782">
        <f t="shared" ref="H1199:N1199" si="553">H$3242</f>
        <v>2024</v>
      </c>
      <c r="I1199" s="988">
        <f t="shared" si="553"/>
        <v>2025</v>
      </c>
      <c r="J1199" s="1810">
        <f t="shared" si="553"/>
        <v>2026</v>
      </c>
      <c r="K1199" s="1747">
        <f t="shared" si="553"/>
        <v>2027</v>
      </c>
      <c r="L1199" s="1747">
        <f t="shared" si="553"/>
        <v>2028</v>
      </c>
      <c r="M1199" s="1747">
        <f t="shared" si="553"/>
        <v>2029</v>
      </c>
      <c r="N1199" s="1748">
        <f t="shared" si="553"/>
        <v>2030</v>
      </c>
      <c r="O1199" s="485"/>
      <c r="P1199" s="485"/>
      <c r="Q1199" s="1435"/>
      <c r="S1199" s="1648"/>
      <c r="T1199" s="1749">
        <f t="shared" ref="T1199:Z1199" si="554">H1199</f>
        <v>2024</v>
      </c>
      <c r="U1199" s="1749">
        <f t="shared" si="554"/>
        <v>2025</v>
      </c>
      <c r="V1199" s="1749">
        <f t="shared" si="554"/>
        <v>2026</v>
      </c>
      <c r="W1199" s="1749">
        <f t="shared" si="554"/>
        <v>2027</v>
      </c>
      <c r="X1199" s="1749">
        <f t="shared" si="554"/>
        <v>2028</v>
      </c>
      <c r="Y1199" s="1749">
        <f t="shared" si="554"/>
        <v>2029</v>
      </c>
      <c r="Z1199" s="1750">
        <f t="shared" si="554"/>
        <v>2030</v>
      </c>
      <c r="AC1199" s="1638">
        <f t="shared" ref="AC1199:AI1199" si="555">H$20</f>
        <v>2024</v>
      </c>
      <c r="AD1199" s="1638">
        <f t="shared" si="555"/>
        <v>2025</v>
      </c>
      <c r="AE1199" s="1638">
        <f t="shared" si="555"/>
        <v>2026</v>
      </c>
      <c r="AF1199" s="1638">
        <f t="shared" si="555"/>
        <v>2027</v>
      </c>
      <c r="AG1199" s="1638">
        <f t="shared" si="555"/>
        <v>2028</v>
      </c>
      <c r="AH1199" s="1638">
        <f t="shared" si="555"/>
        <v>2029</v>
      </c>
      <c r="AI1199" s="1638">
        <f t="shared" si="555"/>
        <v>2030</v>
      </c>
    </row>
    <row r="1200" spans="2:37" ht="12.75" customHeight="1">
      <c r="B1200" s="479"/>
      <c r="C1200" s="977"/>
      <c r="D1200" s="777" t="s">
        <v>787</v>
      </c>
      <c r="E1200" s="2475" t="s">
        <v>1079</v>
      </c>
      <c r="F1200" s="2410"/>
      <c r="G1200" s="815" t="str">
        <f>EUconst_TJpa</f>
        <v>TJ / year</v>
      </c>
      <c r="H1200" s="1479" t="str">
        <f>c_ALR2025!M3826</f>
        <v/>
      </c>
      <c r="I1200" s="1532"/>
      <c r="J1200" s="1811"/>
      <c r="K1200" s="1751"/>
      <c r="L1200" s="1751"/>
      <c r="M1200" s="1751"/>
      <c r="N1200" s="1752"/>
      <c r="O1200" s="485"/>
      <c r="P1200" s="9">
        <v>0</v>
      </c>
      <c r="Q1200" s="1644" t="str">
        <f>EUconst_CNTR_HeatExport &amp; I979</f>
        <v>HeatEx_</v>
      </c>
      <c r="S1200" s="1874" t="str">
        <f>EUconst_ERR_AttrEmBMapplied &amp; I979</f>
        <v>ERR_AttrEmBM_</v>
      </c>
      <c r="T1200" s="1443">
        <f t="shared" ref="T1200:Z1200" si="556">IF(AND(H1200&lt;&gt;0,H1201="",EUconst_StatusOfDataCollection=FALSE),1,0)</f>
        <v>0</v>
      </c>
      <c r="U1200" s="1443">
        <f t="shared" si="556"/>
        <v>0</v>
      </c>
      <c r="V1200" s="1443">
        <f t="shared" si="556"/>
        <v>0</v>
      </c>
      <c r="W1200" s="1443">
        <f t="shared" si="556"/>
        <v>0</v>
      </c>
      <c r="X1200" s="1443">
        <f t="shared" si="556"/>
        <v>0</v>
      </c>
      <c r="Y1200" s="1443">
        <f t="shared" si="556"/>
        <v>0</v>
      </c>
      <c r="Z1200" s="1737">
        <f t="shared" si="556"/>
        <v>0</v>
      </c>
      <c r="AB1200" s="1641" t="s">
        <v>717</v>
      </c>
      <c r="AC1200" s="1443" t="b">
        <f>AC1196</f>
        <v>0</v>
      </c>
      <c r="AD1200" s="1443" t="b">
        <f t="shared" ref="AD1200:AI1200" si="557">AD1196</f>
        <v>0</v>
      </c>
      <c r="AE1200" s="1443" t="b">
        <f t="shared" si="557"/>
        <v>0</v>
      </c>
      <c r="AF1200" s="1443" t="b">
        <f t="shared" si="557"/>
        <v>0</v>
      </c>
      <c r="AG1200" s="1443" t="b">
        <f t="shared" si="557"/>
        <v>0</v>
      </c>
      <c r="AH1200" s="1443" t="b">
        <f t="shared" si="557"/>
        <v>0</v>
      </c>
      <c r="AI1200" s="1443" t="b">
        <f t="shared" si="557"/>
        <v>0</v>
      </c>
      <c r="AJ1200" s="1633" t="s">
        <v>1954</v>
      </c>
      <c r="AK1200" s="1635" t="str">
        <f>IF(AND(CNTR_ExistSubInstEntries,MSconst_RequireSubAttrEmissions,COUNTIFS(AC1200:AI1200,FALSE,H1200:N1200,"")&gt;0),EUconst_Error&amp;"BM"&amp;$Q979,"")</f>
        <v/>
      </c>
    </row>
    <row r="1201" spans="2:37" ht="12.75" customHeight="1" thickBot="1">
      <c r="B1201" s="479"/>
      <c r="C1201" s="977"/>
      <c r="D1201" s="777" t="s">
        <v>788</v>
      </c>
      <c r="E1201" s="2475" t="s">
        <v>1104</v>
      </c>
      <c r="F1201" s="2410"/>
      <c r="G1201" s="815" t="str">
        <f>EUconst_tCO2pTJ</f>
        <v>t CO2 / TJ</v>
      </c>
      <c r="H1201" s="1479" t="str">
        <f>c_ALR2025!M3827</f>
        <v/>
      </c>
      <c r="I1201" s="1532"/>
      <c r="J1201" s="1811"/>
      <c r="K1201" s="1751"/>
      <c r="L1201" s="1751"/>
      <c r="M1201" s="1751"/>
      <c r="N1201" s="1752"/>
      <c r="O1201" s="485"/>
      <c r="P1201" s="9">
        <v>0</v>
      </c>
      <c r="Q1201" s="1644" t="str">
        <f>EUconst_CNTR_HeatExportEF &amp; I979</f>
        <v>HeatExEF_</v>
      </c>
      <c r="S1201" s="1753" t="str">
        <f>EUconst_CNTR_AttributedEmissions &amp; I979</f>
        <v>AttrEmissions_</v>
      </c>
      <c r="T1201" s="1743" t="str">
        <f t="shared" ref="T1201:Z1201" si="558">IF(T987,-SUM(H1200)*IF(INDEX(EUconst_BMlistNumberOfBM,MATCH($I979,EUconst_BMlistNames,0))=39,0,IF(ISNUMBER(H1201),H1201,EUconst_HeatBMvalue)),"")</f>
        <v/>
      </c>
      <c r="U1201" s="1743" t="str">
        <f t="shared" si="558"/>
        <v/>
      </c>
      <c r="V1201" s="1743" t="str">
        <f t="shared" si="558"/>
        <v/>
      </c>
      <c r="W1201" s="1743" t="str">
        <f t="shared" si="558"/>
        <v/>
      </c>
      <c r="X1201" s="1743" t="str">
        <f t="shared" si="558"/>
        <v/>
      </c>
      <c r="Y1201" s="1743" t="str">
        <f t="shared" si="558"/>
        <v/>
      </c>
      <c r="Z1201" s="1744" t="str">
        <f t="shared" si="558"/>
        <v/>
      </c>
      <c r="AC1201" s="1443" t="b">
        <f>AC1200</f>
        <v>0</v>
      </c>
      <c r="AD1201" s="1443" t="b">
        <f t="shared" ref="AD1201:AI1201" si="559">AD1200</f>
        <v>0</v>
      </c>
      <c r="AE1201" s="1443" t="b">
        <f t="shared" si="559"/>
        <v>0</v>
      </c>
      <c r="AF1201" s="1443" t="b">
        <f t="shared" si="559"/>
        <v>0</v>
      </c>
      <c r="AG1201" s="1443" t="b">
        <f t="shared" si="559"/>
        <v>0</v>
      </c>
      <c r="AH1201" s="1443" t="b">
        <f t="shared" si="559"/>
        <v>0</v>
      </c>
      <c r="AI1201" s="1443" t="b">
        <f t="shared" si="559"/>
        <v>0</v>
      </c>
    </row>
    <row r="1202" spans="2:37" ht="12.75" customHeight="1">
      <c r="B1202" s="479"/>
      <c r="C1202" s="977"/>
      <c r="D1202" s="981"/>
      <c r="E1202" s="981"/>
      <c r="F1202" s="981"/>
      <c r="G1202" s="981"/>
      <c r="H1202" s="981"/>
      <c r="I1202" s="981"/>
      <c r="J1202" s="981"/>
      <c r="K1202" s="981"/>
      <c r="L1202" s="981"/>
      <c r="M1202" s="813"/>
      <c r="N1202" s="814"/>
      <c r="O1202" s="485"/>
      <c r="P1202" s="485"/>
      <c r="Q1202" s="1435"/>
      <c r="S1202" s="1435"/>
      <c r="T1202" s="1435"/>
      <c r="U1202" s="1435"/>
      <c r="V1202" s="1435"/>
    </row>
    <row r="1203" spans="2:37" ht="12.75" customHeight="1">
      <c r="B1203" s="479"/>
      <c r="C1203" s="977"/>
      <c r="D1203" s="982" t="s">
        <v>481</v>
      </c>
      <c r="E1203" s="2649" t="s">
        <v>1312</v>
      </c>
      <c r="F1203" s="2391"/>
      <c r="G1203" s="2391"/>
      <c r="H1203" s="2391"/>
      <c r="I1203" s="2391"/>
      <c r="J1203" s="2391"/>
      <c r="K1203" s="2391"/>
      <c r="L1203" s="2391"/>
      <c r="M1203" s="2391"/>
      <c r="N1203" s="2650"/>
      <c r="O1203" s="485"/>
      <c r="P1203" s="485"/>
      <c r="Q1203" s="1435"/>
      <c r="S1203" s="1435"/>
      <c r="T1203" s="1435"/>
      <c r="U1203" s="1435"/>
      <c r="V1203" s="1435"/>
    </row>
    <row r="1204" spans="2:37" ht="5.0999999999999996" customHeight="1">
      <c r="B1204" s="479"/>
      <c r="C1204" s="977"/>
      <c r="D1204" s="981"/>
      <c r="E1204" s="986"/>
      <c r="F1204" s="986"/>
      <c r="G1204" s="986"/>
      <c r="H1204" s="986"/>
      <c r="I1204" s="986"/>
      <c r="J1204" s="986"/>
      <c r="K1204" s="986"/>
      <c r="L1204" s="986"/>
      <c r="M1204" s="986"/>
      <c r="N1204" s="1007"/>
      <c r="O1204" s="485"/>
      <c r="P1204" s="485"/>
      <c r="Q1204" s="1435"/>
      <c r="S1204" s="1435"/>
      <c r="T1204" s="1435"/>
      <c r="U1204" s="1435"/>
      <c r="V1204" s="1435"/>
    </row>
    <row r="1205" spans="2:37" ht="12.75" customHeight="1">
      <c r="B1205" s="479"/>
      <c r="C1205" s="977"/>
      <c r="D1205" s="777" t="s">
        <v>6</v>
      </c>
      <c r="E1205" s="2649" t="s">
        <v>1313</v>
      </c>
      <c r="F1205" s="2391"/>
      <c r="G1205" s="2391"/>
      <c r="H1205" s="2391"/>
      <c r="I1205" s="2391"/>
      <c r="J1205" s="2391"/>
      <c r="K1205" s="2512"/>
      <c r="L1205" s="1478" t="str">
        <f>c_ALR2025!L3831</f>
        <v/>
      </c>
      <c r="M1205" s="978"/>
      <c r="N1205" s="979"/>
      <c r="O1205" s="485"/>
      <c r="P1205" s="9">
        <v>0</v>
      </c>
      <c r="Q1205" s="1435"/>
      <c r="S1205" s="1435"/>
      <c r="AF1205" s="1641" t="s">
        <v>717</v>
      </c>
      <c r="AG1205" s="1423" t="b">
        <f>AND(CNTR_ExistSubInstEntries,I979="")</f>
        <v>0</v>
      </c>
    </row>
    <row r="1206" spans="2:37" ht="12.75" customHeight="1">
      <c r="B1206" s="479"/>
      <c r="C1206" s="977"/>
      <c r="D1206" s="981"/>
      <c r="E1206" s="3267" t="s">
        <v>1314</v>
      </c>
      <c r="F1206" s="2380"/>
      <c r="G1206" s="2380"/>
      <c r="H1206" s="2380"/>
      <c r="I1206" s="2380"/>
      <c r="J1206" s="2380"/>
      <c r="K1206" s="2380"/>
      <c r="L1206" s="2380"/>
      <c r="M1206" s="2380"/>
      <c r="N1206" s="3268"/>
      <c r="O1206" s="485"/>
      <c r="P1206" s="485"/>
      <c r="Q1206" s="1435"/>
      <c r="S1206" s="1435"/>
    </row>
    <row r="1207" spans="2:37" ht="12.75" customHeight="1">
      <c r="B1207" s="479"/>
      <c r="C1207" s="977"/>
      <c r="D1207" s="777" t="s">
        <v>7</v>
      </c>
      <c r="E1207" s="2649" t="s">
        <v>1219</v>
      </c>
      <c r="F1207" s="2391"/>
      <c r="G1207" s="2391"/>
      <c r="H1207" s="2512"/>
      <c r="I1207" s="3211" t="str">
        <f>c_ALR2025!I3833</f>
        <v/>
      </c>
      <c r="J1207" s="3206"/>
      <c r="K1207" s="3206"/>
      <c r="L1207" s="3206"/>
      <c r="M1207" s="3207"/>
      <c r="N1207" s="979"/>
      <c r="O1207" s="485"/>
      <c r="P1207" s="9">
        <v>0</v>
      </c>
      <c r="Q1207" s="1435"/>
      <c r="S1207" s="1435"/>
      <c r="AC1207" s="1641" t="s">
        <v>717</v>
      </c>
      <c r="AD1207" s="1423" t="b">
        <f>OR(AG1205,AND($L1205&lt;&gt;"",$L1205=FALSE))</f>
        <v>0</v>
      </c>
    </row>
    <row r="1208" spans="2:37" ht="12.75" customHeight="1">
      <c r="B1208" s="479"/>
      <c r="C1208" s="977"/>
      <c r="D1208" s="981"/>
      <c r="E1208" s="3267" t="s">
        <v>1316</v>
      </c>
      <c r="F1208" s="2380"/>
      <c r="G1208" s="2380"/>
      <c r="H1208" s="2380"/>
      <c r="I1208" s="2380"/>
      <c r="J1208" s="2380"/>
      <c r="K1208" s="2380"/>
      <c r="L1208" s="2380"/>
      <c r="M1208" s="2380"/>
      <c r="N1208" s="3268"/>
      <c r="O1208" s="485"/>
      <c r="P1208" s="485"/>
      <c r="Q1208" s="1435"/>
      <c r="S1208" s="1435"/>
      <c r="T1208" s="1435"/>
      <c r="U1208" s="1435"/>
      <c r="V1208" s="1435"/>
    </row>
    <row r="1209" spans="2:37" ht="12.75" customHeight="1">
      <c r="B1209" s="479"/>
      <c r="C1209" s="977"/>
      <c r="D1209" s="981"/>
      <c r="E1209" s="3272" t="s">
        <v>1557</v>
      </c>
      <c r="F1209" s="2380"/>
      <c r="G1209" s="2380"/>
      <c r="H1209" s="2380"/>
      <c r="I1209" s="2380"/>
      <c r="J1209" s="2380"/>
      <c r="K1209" s="2380"/>
      <c r="L1209" s="2380"/>
      <c r="M1209" s="2380"/>
      <c r="N1209" s="3268"/>
      <c r="O1209" s="485"/>
      <c r="P1209" s="485"/>
      <c r="Q1209" s="1435"/>
      <c r="S1209" s="1435"/>
      <c r="T1209" s="1435"/>
      <c r="U1209" s="1435"/>
      <c r="V1209" s="1435"/>
    </row>
    <row r="1210" spans="2:37" ht="12.75" customHeight="1" thickBot="1">
      <c r="B1210" s="479"/>
      <c r="C1210" s="977"/>
      <c r="D1210" s="981"/>
      <c r="E1210" s="989"/>
      <c r="F1210" s="990"/>
      <c r="G1210" s="987" t="str">
        <f>EUconst_Unit</f>
        <v>Unit</v>
      </c>
      <c r="H1210" s="782">
        <f t="shared" ref="H1210:N1210" si="560">H$3242</f>
        <v>2024</v>
      </c>
      <c r="I1210" s="988">
        <f t="shared" si="560"/>
        <v>2025</v>
      </c>
      <c r="J1210" s="1810">
        <f t="shared" si="560"/>
        <v>2026</v>
      </c>
      <c r="K1210" s="1747">
        <f t="shared" si="560"/>
        <v>2027</v>
      </c>
      <c r="L1210" s="1747">
        <f t="shared" si="560"/>
        <v>2028</v>
      </c>
      <c r="M1210" s="1747">
        <f t="shared" si="560"/>
        <v>2029</v>
      </c>
      <c r="N1210" s="1748">
        <f t="shared" si="560"/>
        <v>2030</v>
      </c>
      <c r="O1210" s="485"/>
      <c r="P1210" s="485"/>
      <c r="Q1210" s="1435"/>
      <c r="S1210" s="1435"/>
      <c r="T1210" s="1435"/>
      <c r="U1210" s="1435"/>
      <c r="V1210" s="1435"/>
      <c r="AC1210" s="1638">
        <f t="shared" ref="AC1210:AI1210" si="561">H$20</f>
        <v>2024</v>
      </c>
      <c r="AD1210" s="1638">
        <f t="shared" si="561"/>
        <v>2025</v>
      </c>
      <c r="AE1210" s="1638">
        <f t="shared" si="561"/>
        <v>2026</v>
      </c>
      <c r="AF1210" s="1638">
        <f t="shared" si="561"/>
        <v>2027</v>
      </c>
      <c r="AG1210" s="1638">
        <f t="shared" si="561"/>
        <v>2028</v>
      </c>
      <c r="AH1210" s="1638">
        <f t="shared" si="561"/>
        <v>2029</v>
      </c>
      <c r="AI1210" s="1638">
        <f t="shared" si="561"/>
        <v>2030</v>
      </c>
    </row>
    <row r="1211" spans="2:37" ht="12.75" customHeight="1">
      <c r="B1211" s="479"/>
      <c r="C1211" s="977"/>
      <c r="D1211" s="777" t="s">
        <v>8</v>
      </c>
      <c r="E1211" s="2471" t="s">
        <v>1305</v>
      </c>
      <c r="F1211" s="2472"/>
      <c r="G1211" s="1763" t="str">
        <f>c_ALR2025!G3837</f>
        <v/>
      </c>
      <c r="H1211" s="1552" t="str">
        <f>c_ALR2025!M3837</f>
        <v/>
      </c>
      <c r="I1211" s="1611"/>
      <c r="J1211" s="1811"/>
      <c r="K1211" s="1751"/>
      <c r="L1211" s="1751"/>
      <c r="M1211" s="1751"/>
      <c r="N1211" s="1752"/>
      <c r="O1211" s="485"/>
      <c r="P1211" s="9">
        <v>0</v>
      </c>
      <c r="Q1211" s="1435"/>
      <c r="S1211" s="1435"/>
      <c r="T1211" s="1435"/>
      <c r="U1211" s="1435"/>
      <c r="V1211" s="1435"/>
      <c r="AB1211" s="1641" t="s">
        <v>717</v>
      </c>
      <c r="AC1211" s="1423" t="b">
        <f>OR(AND($L1205&lt;&gt;"",$L1205=FALSE),AC1049)</f>
        <v>0</v>
      </c>
      <c r="AD1211" s="1443" t="b">
        <f t="shared" ref="AD1211:AI1211" si="562">OR(AND($L1205&lt;&gt;"",$L1205=FALSE),AD1049)</f>
        <v>0</v>
      </c>
      <c r="AE1211" s="1443" t="b">
        <f t="shared" si="562"/>
        <v>0</v>
      </c>
      <c r="AF1211" s="1443" t="b">
        <f t="shared" si="562"/>
        <v>0</v>
      </c>
      <c r="AG1211" s="1443" t="b">
        <f t="shared" si="562"/>
        <v>0</v>
      </c>
      <c r="AH1211" s="1443" t="b">
        <f t="shared" si="562"/>
        <v>0</v>
      </c>
      <c r="AI1211" s="1443" t="b">
        <f t="shared" si="562"/>
        <v>0</v>
      </c>
      <c r="AJ1211" s="1633" t="s">
        <v>1954</v>
      </c>
      <c r="AK1211" s="1635" t="str">
        <f>IF(AND(CNTR_ExistSubInstEntries,MSconst_RequireSubAttrEmissions,COUNTIFS(AC1211:AI1211,FALSE,H1211:N1211,"")&gt;0),EUconst_Error&amp;"BM"&amp;$Q979,"")</f>
        <v/>
      </c>
    </row>
    <row r="1212" spans="2:37" ht="12.75" customHeight="1">
      <c r="B1212" s="479"/>
      <c r="C1212" s="977"/>
      <c r="D1212" s="777" t="s">
        <v>18</v>
      </c>
      <c r="E1212" s="2473" t="s">
        <v>661</v>
      </c>
      <c r="F1212" s="2474"/>
      <c r="G1212" s="1008" t="e">
        <f>IF(ISBLANK(G1211),EUconst_GJperUnit,INDEX(EUconst_GJperTorKNm3,MATCH(G1211,EUconst_TonnesOrkNm3pa,0)))</f>
        <v>#N/A</v>
      </c>
      <c r="H1212" s="1558" t="str">
        <f>c_ALR2025!M3838</f>
        <v/>
      </c>
      <c r="I1212" s="1884"/>
      <c r="J1212" s="1811"/>
      <c r="K1212" s="1751"/>
      <c r="L1212" s="1751"/>
      <c r="M1212" s="1751"/>
      <c r="N1212" s="1752"/>
      <c r="O1212" s="485"/>
      <c r="P1212" s="9">
        <v>0</v>
      </c>
      <c r="S1212" s="1435"/>
      <c r="T1212" s="1435"/>
      <c r="U1212" s="1435"/>
      <c r="V1212" s="1435"/>
      <c r="W1212" s="1435"/>
      <c r="X1212" s="1435"/>
      <c r="Y1212" s="1435"/>
      <c r="Z1212" s="1435"/>
      <c r="AC1212" s="1443" t="b">
        <f>AC1211</f>
        <v>0</v>
      </c>
      <c r="AD1212" s="1443" t="b">
        <f t="shared" ref="AD1212:AI1212" si="563">AD1211</f>
        <v>0</v>
      </c>
      <c r="AE1212" s="1443" t="b">
        <f t="shared" si="563"/>
        <v>0</v>
      </c>
      <c r="AF1212" s="1443" t="b">
        <f t="shared" si="563"/>
        <v>0</v>
      </c>
      <c r="AG1212" s="1443" t="b">
        <f t="shared" si="563"/>
        <v>0</v>
      </c>
      <c r="AH1212" s="1443" t="b">
        <f t="shared" si="563"/>
        <v>0</v>
      </c>
      <c r="AI1212" s="1443" t="b">
        <f t="shared" si="563"/>
        <v>0</v>
      </c>
      <c r="AJ1212" s="1633" t="s">
        <v>1954</v>
      </c>
      <c r="AK1212" s="1635" t="str">
        <f>IF(AND(CNTR_ExistSubInstEntries,MSconst_RequireSubAttrEmissions,COUNTIFS(AC1212:AI1212,FALSE,H1212:N1212,"")&gt;0),EUconst_Error&amp;"BM"&amp;$Q979,"")</f>
        <v/>
      </c>
    </row>
    <row r="1213" spans="2:37" ht="12.75" customHeight="1">
      <c r="B1213" s="479"/>
      <c r="C1213" s="977"/>
      <c r="D1213" s="777" t="s">
        <v>787</v>
      </c>
      <c r="E1213" s="2475" t="s">
        <v>1141</v>
      </c>
      <c r="F1213" s="2410"/>
      <c r="G1213" s="815" t="str">
        <f>EUconst_TJpa</f>
        <v>TJ / year</v>
      </c>
      <c r="H1213" s="1005" t="str">
        <f t="shared" ref="H1213:N1213" si="564">IF(COUNT(H1211:H1212)=2,H1211*H1212/1000,"")</f>
        <v/>
      </c>
      <c r="I1213" s="1006" t="str">
        <f t="shared" si="564"/>
        <v/>
      </c>
      <c r="J1213" s="1811" t="str">
        <f t="shared" si="564"/>
        <v/>
      </c>
      <c r="K1213" s="1751" t="str">
        <f t="shared" si="564"/>
        <v/>
      </c>
      <c r="L1213" s="1751" t="str">
        <f t="shared" si="564"/>
        <v/>
      </c>
      <c r="M1213" s="1751" t="str">
        <f t="shared" si="564"/>
        <v/>
      </c>
      <c r="N1213" s="1752" t="str">
        <f t="shared" si="564"/>
        <v/>
      </c>
      <c r="O1213" s="485"/>
      <c r="P1213" s="485"/>
      <c r="Q1213" s="1644" t="str">
        <f>EUconst_CNTR_WGProduced &amp; I979</f>
        <v>WasteGasProd_</v>
      </c>
      <c r="S1213" s="1435"/>
      <c r="T1213" s="1435"/>
      <c r="U1213" s="1435"/>
      <c r="V1213" s="1435"/>
      <c r="W1213" s="1435"/>
      <c r="X1213" s="1435"/>
      <c r="Y1213" s="1435"/>
      <c r="Z1213" s="1435"/>
    </row>
    <row r="1214" spans="2:37" ht="12.75" customHeight="1">
      <c r="B1214" s="479"/>
      <c r="C1214" s="977"/>
      <c r="D1214" s="777" t="s">
        <v>788</v>
      </c>
      <c r="E1214" s="2475" t="s">
        <v>1258</v>
      </c>
      <c r="F1214" s="2410"/>
      <c r="G1214" s="815" t="str">
        <f>EUconst_tCO2pTJ</f>
        <v>t CO2 / TJ</v>
      </c>
      <c r="H1214" s="1479" t="str">
        <f>c_ALR2025!M3840</f>
        <v/>
      </c>
      <c r="I1214" s="1532"/>
      <c r="J1214" s="1811"/>
      <c r="K1214" s="1751"/>
      <c r="L1214" s="1751"/>
      <c r="M1214" s="1751"/>
      <c r="N1214" s="1752"/>
      <c r="O1214" s="485"/>
      <c r="P1214" s="9">
        <v>0</v>
      </c>
      <c r="Q1214" s="1644" t="str">
        <f>EUconst_CNTR_WGProducedEF &amp; I979</f>
        <v>WasteGasProdEF_</v>
      </c>
      <c r="S1214" s="1435"/>
      <c r="T1214" s="1435"/>
      <c r="U1214" s="1435"/>
      <c r="V1214" s="1435"/>
      <c r="W1214" s="1435"/>
      <c r="X1214" s="1435"/>
      <c r="Y1214" s="1435"/>
      <c r="Z1214" s="1435"/>
      <c r="AB1214" s="1641" t="s">
        <v>717</v>
      </c>
      <c r="AC1214" s="1443" t="b">
        <f>AC1212</f>
        <v>0</v>
      </c>
      <c r="AD1214" s="1443" t="b">
        <f t="shared" ref="AD1214:AI1214" si="565">AD1212</f>
        <v>0</v>
      </c>
      <c r="AE1214" s="1443" t="b">
        <f t="shared" si="565"/>
        <v>0</v>
      </c>
      <c r="AF1214" s="1443" t="b">
        <f t="shared" si="565"/>
        <v>0</v>
      </c>
      <c r="AG1214" s="1443" t="b">
        <f t="shared" si="565"/>
        <v>0</v>
      </c>
      <c r="AH1214" s="1443" t="b">
        <f t="shared" si="565"/>
        <v>0</v>
      </c>
      <c r="AI1214" s="1443" t="b">
        <f t="shared" si="565"/>
        <v>0</v>
      </c>
      <c r="AJ1214" s="1633" t="s">
        <v>1954</v>
      </c>
      <c r="AK1214" s="1635" t="str">
        <f>IF(AND(CNTR_ExistSubInstEntries,MSconst_RequireSubAttrEmissions,COUNTIFS(AC1214:AI1214,FALSE,H1214:N1214,"")&gt;0),EUconst_Error&amp;"BM"&amp;$Q979,"")</f>
        <v/>
      </c>
    </row>
    <row r="1215" spans="2:37" ht="12.75" customHeight="1">
      <c r="B1215" s="479"/>
      <c r="C1215" s="977"/>
      <c r="D1215" s="981"/>
      <c r="E1215" s="981"/>
      <c r="F1215" s="981"/>
      <c r="G1215" s="981"/>
      <c r="H1215" s="983"/>
      <c r="I1215" s="981"/>
      <c r="J1215" s="981"/>
      <c r="K1215" s="981"/>
      <c r="L1215" s="981"/>
      <c r="M1215" s="813"/>
      <c r="N1215" s="814"/>
      <c r="O1215" s="485"/>
      <c r="P1215" s="485"/>
      <c r="Q1215" s="1435"/>
      <c r="S1215" s="1435"/>
      <c r="T1215" s="1435"/>
      <c r="U1215" s="1435"/>
      <c r="V1215" s="1435"/>
      <c r="W1215" s="1435"/>
      <c r="X1215" s="1435"/>
      <c r="Y1215" s="1435"/>
      <c r="Z1215" s="1435"/>
    </row>
    <row r="1216" spans="2:37" ht="12.75" customHeight="1">
      <c r="B1216" s="479"/>
      <c r="C1216" s="977"/>
      <c r="D1216" s="777" t="s">
        <v>789</v>
      </c>
      <c r="E1216" s="2649" t="s">
        <v>1301</v>
      </c>
      <c r="F1216" s="2391"/>
      <c r="G1216" s="2391"/>
      <c r="H1216" s="2512"/>
      <c r="I1216" s="3211" t="str">
        <f>c_ALR2025!I3842</f>
        <v/>
      </c>
      <c r="J1216" s="3206"/>
      <c r="K1216" s="3206"/>
      <c r="L1216" s="3206"/>
      <c r="M1216" s="3207"/>
      <c r="N1216" s="979"/>
      <c r="O1216" s="485"/>
      <c r="P1216" s="9">
        <v>0</v>
      </c>
      <c r="Q1216" s="1435"/>
      <c r="S1216" s="1435"/>
      <c r="T1216" s="1435"/>
      <c r="U1216" s="1435"/>
      <c r="V1216" s="1435"/>
      <c r="W1216" s="1435"/>
      <c r="X1216" s="1435"/>
      <c r="Y1216" s="1435"/>
      <c r="Z1216" s="1435"/>
      <c r="AC1216" s="1641" t="s">
        <v>717</v>
      </c>
      <c r="AD1216" s="1443" t="b">
        <f>AD1207</f>
        <v>0</v>
      </c>
    </row>
    <row r="1217" spans="2:37" ht="25.5" customHeight="1">
      <c r="B1217" s="479"/>
      <c r="C1217" s="977"/>
      <c r="D1217" s="777"/>
      <c r="E1217" s="3267" t="s">
        <v>1606</v>
      </c>
      <c r="F1217" s="2380"/>
      <c r="G1217" s="2380"/>
      <c r="H1217" s="2380"/>
      <c r="I1217" s="2380"/>
      <c r="J1217" s="2380"/>
      <c r="K1217" s="2380"/>
      <c r="L1217" s="2380"/>
      <c r="M1217" s="2380"/>
      <c r="N1217" s="3268"/>
      <c r="O1217" s="485"/>
      <c r="P1217" s="485"/>
      <c r="Q1217" s="1435"/>
      <c r="S1217" s="1435"/>
      <c r="T1217" s="1435"/>
      <c r="U1217" s="1435"/>
      <c r="V1217" s="1435"/>
      <c r="W1217" s="1435"/>
      <c r="X1217" s="1435"/>
      <c r="Y1217" s="1435"/>
      <c r="Z1217" s="1435"/>
    </row>
    <row r="1218" spans="2:37" ht="12.75" customHeight="1">
      <c r="B1218" s="479"/>
      <c r="C1218" s="977"/>
      <c r="D1218" s="981"/>
      <c r="E1218" s="3272" t="s">
        <v>1557</v>
      </c>
      <c r="F1218" s="2380"/>
      <c r="G1218" s="2380"/>
      <c r="H1218" s="2380"/>
      <c r="I1218" s="2380"/>
      <c r="J1218" s="2380"/>
      <c r="K1218" s="2380"/>
      <c r="L1218" s="2380"/>
      <c r="M1218" s="2380"/>
      <c r="N1218" s="3268"/>
      <c r="O1218" s="485"/>
      <c r="P1218" s="485"/>
      <c r="Q1218" s="1435"/>
      <c r="S1218" s="1435"/>
      <c r="T1218" s="1435"/>
      <c r="U1218" s="1435"/>
      <c r="V1218" s="1435"/>
      <c r="W1218" s="1435"/>
      <c r="X1218" s="1435"/>
      <c r="Y1218" s="1435"/>
      <c r="Z1218" s="1435"/>
    </row>
    <row r="1219" spans="2:37" ht="12.75" customHeight="1" thickBot="1">
      <c r="B1219" s="479"/>
      <c r="C1219" s="977"/>
      <c r="D1219" s="981"/>
      <c r="E1219" s="989"/>
      <c r="F1219" s="990"/>
      <c r="G1219" s="987" t="str">
        <f>EUconst_Unit</f>
        <v>Unit</v>
      </c>
      <c r="H1219" s="782">
        <f t="shared" ref="H1219:N1219" si="566">H$3242</f>
        <v>2024</v>
      </c>
      <c r="I1219" s="988">
        <f t="shared" si="566"/>
        <v>2025</v>
      </c>
      <c r="J1219" s="1810">
        <f t="shared" si="566"/>
        <v>2026</v>
      </c>
      <c r="K1219" s="1747">
        <f t="shared" si="566"/>
        <v>2027</v>
      </c>
      <c r="L1219" s="1747">
        <f t="shared" si="566"/>
        <v>2028</v>
      </c>
      <c r="M1219" s="1747">
        <f t="shared" si="566"/>
        <v>2029</v>
      </c>
      <c r="N1219" s="1748">
        <f t="shared" si="566"/>
        <v>2030</v>
      </c>
      <c r="O1219" s="485"/>
      <c r="P1219" s="485"/>
      <c r="Q1219" s="1435"/>
      <c r="S1219" s="1435"/>
      <c r="T1219" s="1435"/>
      <c r="U1219" s="1435"/>
      <c r="V1219" s="1435"/>
      <c r="W1219" s="1435"/>
      <c r="X1219" s="1435"/>
      <c r="Y1219" s="1435"/>
      <c r="Z1219" s="1435"/>
      <c r="AC1219" s="1638">
        <f t="shared" ref="AC1219:AI1219" si="567">H$20</f>
        <v>2024</v>
      </c>
      <c r="AD1219" s="1638">
        <f t="shared" si="567"/>
        <v>2025</v>
      </c>
      <c r="AE1219" s="1638">
        <f t="shared" si="567"/>
        <v>2026</v>
      </c>
      <c r="AF1219" s="1638">
        <f t="shared" si="567"/>
        <v>2027</v>
      </c>
      <c r="AG1219" s="1638">
        <f t="shared" si="567"/>
        <v>2028</v>
      </c>
      <c r="AH1219" s="1638">
        <f t="shared" si="567"/>
        <v>2029</v>
      </c>
      <c r="AI1219" s="1638">
        <f t="shared" si="567"/>
        <v>2030</v>
      </c>
    </row>
    <row r="1220" spans="2:37" ht="12.75" customHeight="1">
      <c r="B1220" s="479"/>
      <c r="C1220" s="977"/>
      <c r="D1220" s="777" t="s">
        <v>790</v>
      </c>
      <c r="E1220" s="2471" t="s">
        <v>1306</v>
      </c>
      <c r="F1220" s="2472"/>
      <c r="G1220" s="1763" t="str">
        <f>c_ALR2025!G3846</f>
        <v/>
      </c>
      <c r="H1220" s="1552" t="str">
        <f>c_ALR2025!M3846</f>
        <v/>
      </c>
      <c r="I1220" s="1611"/>
      <c r="J1220" s="1811"/>
      <c r="K1220" s="1751"/>
      <c r="L1220" s="1751"/>
      <c r="M1220" s="1751"/>
      <c r="N1220" s="1752"/>
      <c r="O1220" s="485"/>
      <c r="P1220" s="9">
        <v>0</v>
      </c>
      <c r="Q1220" s="1435"/>
      <c r="S1220" s="1435"/>
      <c r="T1220" s="1435"/>
      <c r="U1220" s="1435"/>
      <c r="V1220" s="1435"/>
      <c r="W1220" s="1435"/>
      <c r="X1220" s="1435"/>
      <c r="Y1220" s="1435"/>
      <c r="Z1220" s="1435"/>
      <c r="AB1220" s="1641" t="s">
        <v>717</v>
      </c>
      <c r="AC1220" s="1443" t="b">
        <f>AC1211</f>
        <v>0</v>
      </c>
      <c r="AD1220" s="1443" t="b">
        <f t="shared" ref="AD1220:AI1220" si="568">AD1211</f>
        <v>0</v>
      </c>
      <c r="AE1220" s="1443" t="b">
        <f t="shared" si="568"/>
        <v>0</v>
      </c>
      <c r="AF1220" s="1443" t="b">
        <f t="shared" si="568"/>
        <v>0</v>
      </c>
      <c r="AG1220" s="1443" t="b">
        <f t="shared" si="568"/>
        <v>0</v>
      </c>
      <c r="AH1220" s="1443" t="b">
        <f t="shared" si="568"/>
        <v>0</v>
      </c>
      <c r="AI1220" s="1443" t="b">
        <f t="shared" si="568"/>
        <v>0</v>
      </c>
      <c r="AJ1220" s="1633" t="s">
        <v>1954</v>
      </c>
      <c r="AK1220" s="1635" t="str">
        <f>IF(AND(CNTR_ExistSubInstEntries,MSconst_RequireSubAttrEmissions,COUNTIFS(AC1220:AI1220,FALSE,H1220:N1220,"")&gt;0),EUconst_Error&amp;"BM"&amp;$Q979,"")</f>
        <v/>
      </c>
    </row>
    <row r="1221" spans="2:37" ht="12.75" customHeight="1">
      <c r="B1221" s="479"/>
      <c r="C1221" s="977"/>
      <c r="D1221" s="777" t="s">
        <v>791</v>
      </c>
      <c r="E1221" s="2473" t="s">
        <v>661</v>
      </c>
      <c r="F1221" s="2474"/>
      <c r="G1221" s="1008" t="e">
        <f>IF(ISBLANK(G1220),EUconst_GJperUnit,INDEX(EUconst_GJperTorKNm3,MATCH(G1220,EUconst_TonnesOrkNm3pa,0)))</f>
        <v>#N/A</v>
      </c>
      <c r="H1221" s="1558" t="str">
        <f>c_ALR2025!M3847</f>
        <v/>
      </c>
      <c r="I1221" s="1884"/>
      <c r="J1221" s="1811"/>
      <c r="K1221" s="1751"/>
      <c r="L1221" s="1751"/>
      <c r="M1221" s="1751"/>
      <c r="N1221" s="1752"/>
      <c r="O1221" s="485"/>
      <c r="P1221" s="9">
        <v>0</v>
      </c>
      <c r="S1221" s="1435"/>
      <c r="T1221" s="1435"/>
      <c r="U1221" s="1435"/>
      <c r="V1221" s="1435"/>
      <c r="W1221" s="1435"/>
      <c r="X1221" s="1435"/>
      <c r="Y1221" s="1435"/>
      <c r="Z1221" s="1435"/>
      <c r="AC1221" s="1443" t="b">
        <f>AC1220</f>
        <v>0</v>
      </c>
      <c r="AD1221" s="1443" t="b">
        <f t="shared" ref="AD1221:AI1221" si="569">AD1220</f>
        <v>0</v>
      </c>
      <c r="AE1221" s="1443" t="b">
        <f t="shared" si="569"/>
        <v>0</v>
      </c>
      <c r="AF1221" s="1443" t="b">
        <f t="shared" si="569"/>
        <v>0</v>
      </c>
      <c r="AG1221" s="1443" t="b">
        <f t="shared" si="569"/>
        <v>0</v>
      </c>
      <c r="AH1221" s="1443" t="b">
        <f t="shared" si="569"/>
        <v>0</v>
      </c>
      <c r="AI1221" s="1443" t="b">
        <f t="shared" si="569"/>
        <v>0</v>
      </c>
      <c r="AJ1221" s="1633" t="s">
        <v>1954</v>
      </c>
      <c r="AK1221" s="1635" t="str">
        <f>IF(AND(CNTR_ExistSubInstEntries,MSconst_RequireSubAttrEmissions,COUNTIFS(AC1221:AI1221,FALSE,H1221:N1221,"")&gt;0),EUconst_Error&amp;"BM"&amp;$Q979,"")</f>
        <v/>
      </c>
    </row>
    <row r="1222" spans="2:37" ht="12.75" customHeight="1">
      <c r="B1222" s="479"/>
      <c r="C1222" s="977"/>
      <c r="D1222" s="777" t="s">
        <v>64</v>
      </c>
      <c r="E1222" s="2475" t="s">
        <v>1309</v>
      </c>
      <c r="F1222" s="2410"/>
      <c r="G1222" s="815" t="str">
        <f>EUconst_TJpa</f>
        <v>TJ / year</v>
      </c>
      <c r="H1222" s="1005" t="str">
        <f t="shared" ref="H1222:N1222" si="570">IF(COUNT(H1220:H1221)=2,H1220*H1221/1000,"")</f>
        <v/>
      </c>
      <c r="I1222" s="1006" t="str">
        <f t="shared" si="570"/>
        <v/>
      </c>
      <c r="J1222" s="1811" t="str">
        <f t="shared" si="570"/>
        <v/>
      </c>
      <c r="K1222" s="1751" t="str">
        <f t="shared" si="570"/>
        <v/>
      </c>
      <c r="L1222" s="1751" t="str">
        <f t="shared" si="570"/>
        <v/>
      </c>
      <c r="M1222" s="1751" t="str">
        <f t="shared" si="570"/>
        <v/>
      </c>
      <c r="N1222" s="1752" t="str">
        <f t="shared" si="570"/>
        <v/>
      </c>
      <c r="O1222" s="485"/>
      <c r="P1222" s="485"/>
      <c r="Q1222" s="1644" t="str">
        <f>EUconst_CNTR_WGConsumed &amp; I979</f>
        <v>WasteGasCons_</v>
      </c>
      <c r="S1222" s="1435"/>
      <c r="T1222" s="1435"/>
      <c r="U1222" s="1435"/>
      <c r="V1222" s="1435"/>
      <c r="W1222" s="1435"/>
      <c r="X1222" s="1435"/>
      <c r="Y1222" s="1435"/>
      <c r="Z1222" s="1435"/>
    </row>
    <row r="1223" spans="2:37" ht="12.75" customHeight="1">
      <c r="B1223" s="479"/>
      <c r="C1223" s="977"/>
      <c r="D1223" s="777" t="s">
        <v>65</v>
      </c>
      <c r="E1223" s="2475" t="s">
        <v>1307</v>
      </c>
      <c r="F1223" s="2410"/>
      <c r="G1223" s="815" t="str">
        <f>EUconst_tCO2pTJ</f>
        <v>t CO2 / TJ</v>
      </c>
      <c r="H1223" s="1479" t="str">
        <f>c_ALR2025!M3849</f>
        <v/>
      </c>
      <c r="I1223" s="1532"/>
      <c r="J1223" s="1811"/>
      <c r="K1223" s="1751"/>
      <c r="L1223" s="1751"/>
      <c r="M1223" s="1751"/>
      <c r="N1223" s="1752"/>
      <c r="O1223" s="485"/>
      <c r="P1223" s="9">
        <v>0</v>
      </c>
      <c r="Q1223" s="1644" t="str">
        <f>EUconst_CNTR_WGConsumedEF &amp; I979</f>
        <v>WasteGasConsEF_</v>
      </c>
      <c r="S1223" s="1435"/>
      <c r="T1223" s="1435"/>
      <c r="U1223" s="1435"/>
      <c r="V1223" s="1435"/>
      <c r="W1223" s="1435"/>
      <c r="X1223" s="1435"/>
      <c r="Y1223" s="1435"/>
      <c r="Z1223" s="1435"/>
      <c r="AB1223" s="1641" t="s">
        <v>717</v>
      </c>
      <c r="AC1223" s="1443" t="b">
        <f>AC1221</f>
        <v>0</v>
      </c>
      <c r="AD1223" s="1443" t="b">
        <f t="shared" ref="AD1223:AI1223" si="571">AD1221</f>
        <v>0</v>
      </c>
      <c r="AE1223" s="1443" t="b">
        <f t="shared" si="571"/>
        <v>0</v>
      </c>
      <c r="AF1223" s="1443" t="b">
        <f t="shared" si="571"/>
        <v>0</v>
      </c>
      <c r="AG1223" s="1443" t="b">
        <f t="shared" si="571"/>
        <v>0</v>
      </c>
      <c r="AH1223" s="1443" t="b">
        <f t="shared" si="571"/>
        <v>0</v>
      </c>
      <c r="AI1223" s="1443" t="b">
        <f t="shared" si="571"/>
        <v>0</v>
      </c>
      <c r="AJ1223" s="1633" t="s">
        <v>1954</v>
      </c>
      <c r="AK1223" s="1635" t="str">
        <f>IF(AND(CNTR_ExistSubInstEntries,MSconst_RequireSubAttrEmissions,COUNTIFS(AC1223:AI1223,FALSE,H1223:N1223,"")&gt;0),EUconst_Error&amp;"BM"&amp;$Q979,"")</f>
        <v/>
      </c>
    </row>
    <row r="1224" spans="2:37" ht="12.75" customHeight="1">
      <c r="B1224" s="479"/>
      <c r="C1224" s="977"/>
      <c r="D1224" s="981"/>
      <c r="E1224" s="981"/>
      <c r="F1224" s="981"/>
      <c r="G1224" s="981"/>
      <c r="H1224" s="983"/>
      <c r="I1224" s="981"/>
      <c r="J1224" s="981"/>
      <c r="K1224" s="981"/>
      <c r="L1224" s="981"/>
      <c r="M1224" s="813"/>
      <c r="N1224" s="814"/>
      <c r="O1224" s="485"/>
      <c r="P1224" s="485"/>
      <c r="Q1224" s="1435"/>
      <c r="S1224" s="1435"/>
      <c r="T1224" s="1435"/>
      <c r="U1224" s="1435"/>
      <c r="V1224" s="1435"/>
    </row>
    <row r="1225" spans="2:37" ht="12.75" customHeight="1">
      <c r="B1225" s="479"/>
      <c r="C1225" s="977"/>
      <c r="D1225" s="777" t="s">
        <v>66</v>
      </c>
      <c r="E1225" s="2649" t="s">
        <v>1287</v>
      </c>
      <c r="F1225" s="2391"/>
      <c r="G1225" s="2391"/>
      <c r="H1225" s="2512"/>
      <c r="I1225" s="3211" t="str">
        <f>c_ALR2025!I3851</f>
        <v/>
      </c>
      <c r="J1225" s="3206"/>
      <c r="K1225" s="3206"/>
      <c r="L1225" s="3206"/>
      <c r="M1225" s="3207"/>
      <c r="N1225" s="979"/>
      <c r="O1225" s="485"/>
      <c r="P1225" s="9">
        <v>0</v>
      </c>
      <c r="Q1225" s="1435"/>
      <c r="S1225" s="1435"/>
      <c r="AC1225" s="1641" t="s">
        <v>717</v>
      </c>
      <c r="AD1225" s="1443" t="b">
        <f>AD1216</f>
        <v>0</v>
      </c>
    </row>
    <row r="1226" spans="2:37" ht="12.75" customHeight="1">
      <c r="B1226" s="479"/>
      <c r="C1226" s="977"/>
      <c r="D1226" s="777"/>
      <c r="E1226" s="3267" t="s">
        <v>1476</v>
      </c>
      <c r="F1226" s="2380"/>
      <c r="G1226" s="2380"/>
      <c r="H1226" s="2380"/>
      <c r="I1226" s="2380"/>
      <c r="J1226" s="2380"/>
      <c r="K1226" s="2380"/>
      <c r="L1226" s="2380"/>
      <c r="M1226" s="2380"/>
      <c r="N1226" s="3268"/>
      <c r="O1226" s="485"/>
      <c r="P1226" s="485"/>
      <c r="Q1226" s="1435"/>
      <c r="T1226" s="1435"/>
      <c r="U1226" s="1435"/>
      <c r="V1226" s="1435"/>
    </row>
    <row r="1227" spans="2:37" ht="12.75" customHeight="1">
      <c r="B1227" s="479"/>
      <c r="C1227" s="977"/>
      <c r="D1227" s="981"/>
      <c r="E1227" s="3267" t="s">
        <v>1558</v>
      </c>
      <c r="F1227" s="2380"/>
      <c r="G1227" s="2380"/>
      <c r="H1227" s="2380"/>
      <c r="I1227" s="2380"/>
      <c r="J1227" s="2380"/>
      <c r="K1227" s="2380"/>
      <c r="L1227" s="2380"/>
      <c r="M1227" s="2380"/>
      <c r="N1227" s="3268"/>
      <c r="O1227" s="485"/>
      <c r="P1227" s="485"/>
      <c r="Q1227" s="1435"/>
      <c r="S1227" s="1435"/>
      <c r="T1227" s="1435"/>
      <c r="U1227" s="1435"/>
      <c r="V1227" s="1435"/>
    </row>
    <row r="1228" spans="2:37" ht="12.75" customHeight="1">
      <c r="B1228" s="479"/>
      <c r="C1228" s="977"/>
      <c r="D1228" s="981"/>
      <c r="E1228" s="3272" t="s">
        <v>1559</v>
      </c>
      <c r="F1228" s="2380"/>
      <c r="G1228" s="2380"/>
      <c r="H1228" s="2380"/>
      <c r="I1228" s="2380"/>
      <c r="J1228" s="2380"/>
      <c r="K1228" s="2380"/>
      <c r="L1228" s="2380"/>
      <c r="M1228" s="2380"/>
      <c r="N1228" s="3268"/>
      <c r="O1228" s="485"/>
      <c r="P1228" s="485"/>
      <c r="Q1228" s="1435"/>
      <c r="S1228" s="1435"/>
      <c r="T1228" s="1435"/>
      <c r="U1228" s="1435"/>
      <c r="V1228" s="1435"/>
      <c r="W1228" s="1435"/>
      <c r="X1228" s="1435"/>
      <c r="Y1228" s="1435"/>
      <c r="Z1228" s="1435"/>
    </row>
    <row r="1229" spans="2:37" ht="12.75" customHeight="1" thickBot="1">
      <c r="B1229" s="479"/>
      <c r="C1229" s="977"/>
      <c r="D1229" s="981"/>
      <c r="E1229" s="989"/>
      <c r="F1229" s="990"/>
      <c r="G1229" s="987" t="str">
        <f>EUconst_Unit</f>
        <v>Unit</v>
      </c>
      <c r="H1229" s="782">
        <f t="shared" ref="H1229:N1229" si="572">H$3242</f>
        <v>2024</v>
      </c>
      <c r="I1229" s="988">
        <f t="shared" si="572"/>
        <v>2025</v>
      </c>
      <c r="J1229" s="1810">
        <f t="shared" si="572"/>
        <v>2026</v>
      </c>
      <c r="K1229" s="1747">
        <f t="shared" si="572"/>
        <v>2027</v>
      </c>
      <c r="L1229" s="1747">
        <f t="shared" si="572"/>
        <v>2028</v>
      </c>
      <c r="M1229" s="1747">
        <f t="shared" si="572"/>
        <v>2029</v>
      </c>
      <c r="N1229" s="1748">
        <f t="shared" si="572"/>
        <v>2030</v>
      </c>
      <c r="O1229" s="485"/>
      <c r="P1229" s="485"/>
      <c r="Q1229" s="1435"/>
      <c r="S1229" s="1435"/>
      <c r="T1229" s="1435"/>
      <c r="U1229" s="1435"/>
      <c r="V1229" s="1435"/>
      <c r="W1229" s="1435"/>
      <c r="X1229" s="1435"/>
      <c r="Y1229" s="1435"/>
      <c r="Z1229" s="1435"/>
      <c r="AC1229" s="1638">
        <f t="shared" ref="AC1229:AI1229" si="573">H$20</f>
        <v>2024</v>
      </c>
      <c r="AD1229" s="1638">
        <f t="shared" si="573"/>
        <v>2025</v>
      </c>
      <c r="AE1229" s="1638">
        <f t="shared" si="573"/>
        <v>2026</v>
      </c>
      <c r="AF1229" s="1638">
        <f t="shared" si="573"/>
        <v>2027</v>
      </c>
      <c r="AG1229" s="1638">
        <f t="shared" si="573"/>
        <v>2028</v>
      </c>
      <c r="AH1229" s="1638">
        <f t="shared" si="573"/>
        <v>2029</v>
      </c>
      <c r="AI1229" s="1638">
        <f t="shared" si="573"/>
        <v>2030</v>
      </c>
    </row>
    <row r="1230" spans="2:37" ht="12.75" customHeight="1">
      <c r="B1230" s="479"/>
      <c r="C1230" s="977"/>
      <c r="D1230" s="777" t="s">
        <v>1105</v>
      </c>
      <c r="E1230" s="2471" t="s">
        <v>1302</v>
      </c>
      <c r="F1230" s="2472"/>
      <c r="G1230" s="1763" t="str">
        <f>c_ALR2025!G3856</f>
        <v/>
      </c>
      <c r="H1230" s="1552" t="str">
        <f>c_ALR2025!M3856</f>
        <v/>
      </c>
      <c r="I1230" s="1611"/>
      <c r="J1230" s="1811"/>
      <c r="K1230" s="1751"/>
      <c r="L1230" s="1751"/>
      <c r="M1230" s="1751"/>
      <c r="N1230" s="1752"/>
      <c r="O1230" s="485"/>
      <c r="P1230" s="9">
        <v>0</v>
      </c>
      <c r="Q1230" s="1435"/>
      <c r="S1230" s="1435"/>
      <c r="T1230" s="1435"/>
      <c r="U1230" s="1435"/>
      <c r="V1230" s="1435"/>
      <c r="W1230" s="1435"/>
      <c r="X1230" s="1435"/>
      <c r="Y1230" s="1435"/>
      <c r="Z1230" s="1435"/>
      <c r="AB1230" s="1641" t="s">
        <v>717</v>
      </c>
      <c r="AC1230" s="1443" t="b">
        <f>AC1220</f>
        <v>0</v>
      </c>
      <c r="AD1230" s="1443" t="b">
        <f t="shared" ref="AD1230:AI1230" si="574">AD1220</f>
        <v>0</v>
      </c>
      <c r="AE1230" s="1443" t="b">
        <f t="shared" si="574"/>
        <v>0</v>
      </c>
      <c r="AF1230" s="1443" t="b">
        <f t="shared" si="574"/>
        <v>0</v>
      </c>
      <c r="AG1230" s="1443" t="b">
        <f t="shared" si="574"/>
        <v>0</v>
      </c>
      <c r="AH1230" s="1443" t="b">
        <f t="shared" si="574"/>
        <v>0</v>
      </c>
      <c r="AI1230" s="1443" t="b">
        <f t="shared" si="574"/>
        <v>0</v>
      </c>
      <c r="AJ1230" s="1633" t="s">
        <v>1954</v>
      </c>
      <c r="AK1230" s="1635" t="str">
        <f>IF(AND(CNTR_ExistSubInstEntries,MSconst_RequireSubAttrEmissions,COUNTIFS(AC1230:AI1230,FALSE,H1230:N1230,"")&gt;0),EUconst_Error&amp;"BM"&amp;$Q979,"")</f>
        <v/>
      </c>
    </row>
    <row r="1231" spans="2:37" ht="12.75" customHeight="1">
      <c r="B1231" s="479"/>
      <c r="C1231" s="977"/>
      <c r="D1231" s="777" t="s">
        <v>1106</v>
      </c>
      <c r="E1231" s="2473" t="s">
        <v>661</v>
      </c>
      <c r="F1231" s="2474"/>
      <c r="G1231" s="1008" t="e">
        <f>IF(ISBLANK(G1230),EUconst_GJperUnit,INDEX(EUconst_GJperTorKNm3,MATCH(G1230,EUconst_TonnesOrkNm3pa,0)))</f>
        <v>#N/A</v>
      </c>
      <c r="H1231" s="1558" t="str">
        <f>c_ALR2025!M3857</f>
        <v/>
      </c>
      <c r="I1231" s="1884"/>
      <c r="J1231" s="1811"/>
      <c r="K1231" s="1751"/>
      <c r="L1231" s="1751"/>
      <c r="M1231" s="1751"/>
      <c r="N1231" s="1752"/>
      <c r="O1231" s="485"/>
      <c r="P1231" s="9">
        <v>0</v>
      </c>
      <c r="S1231" s="1435"/>
      <c r="T1231" s="1435"/>
      <c r="U1231" s="1435"/>
      <c r="V1231" s="1435"/>
      <c r="W1231" s="1435"/>
      <c r="X1231" s="1435"/>
      <c r="Y1231" s="1435"/>
      <c r="Z1231" s="1435"/>
      <c r="AC1231" s="1443" t="b">
        <f>AC1230</f>
        <v>0</v>
      </c>
      <c r="AD1231" s="1443" t="b">
        <f t="shared" ref="AD1231:AI1231" si="575">AD1230</f>
        <v>0</v>
      </c>
      <c r="AE1231" s="1443" t="b">
        <f t="shared" si="575"/>
        <v>0</v>
      </c>
      <c r="AF1231" s="1443" t="b">
        <f t="shared" si="575"/>
        <v>0</v>
      </c>
      <c r="AG1231" s="1443" t="b">
        <f t="shared" si="575"/>
        <v>0</v>
      </c>
      <c r="AH1231" s="1443" t="b">
        <f t="shared" si="575"/>
        <v>0</v>
      </c>
      <c r="AI1231" s="1443" t="b">
        <f t="shared" si="575"/>
        <v>0</v>
      </c>
      <c r="AJ1231" s="1633" t="s">
        <v>1954</v>
      </c>
      <c r="AK1231" s="1635" t="str">
        <f>IF(AND(CNTR_ExistSubInstEntries,MSconst_RequireSubAttrEmissions,COUNTIFS(AC1231:AI1231,FALSE,H1231:N1231,"")&gt;0),EUconst_Error&amp;"BM"&amp;$Q979,"")</f>
        <v/>
      </c>
    </row>
    <row r="1232" spans="2:37" ht="12.75" customHeight="1">
      <c r="B1232" s="479"/>
      <c r="C1232" s="977"/>
      <c r="D1232" s="777" t="s">
        <v>1107</v>
      </c>
      <c r="E1232" s="2475" t="s">
        <v>1288</v>
      </c>
      <c r="F1232" s="2410"/>
      <c r="G1232" s="815" t="str">
        <f>EUconst_TJpa</f>
        <v>TJ / year</v>
      </c>
      <c r="H1232" s="1005" t="str">
        <f t="shared" ref="H1232:N1232" si="576">IF(COUNT(H1230:H1231)=2,H1230*H1231/1000,"")</f>
        <v/>
      </c>
      <c r="I1232" s="1006" t="str">
        <f t="shared" si="576"/>
        <v/>
      </c>
      <c r="J1232" s="1811" t="str">
        <f t="shared" si="576"/>
        <v/>
      </c>
      <c r="K1232" s="1751" t="str">
        <f t="shared" si="576"/>
        <v/>
      </c>
      <c r="L1232" s="1751" t="str">
        <f t="shared" si="576"/>
        <v/>
      </c>
      <c r="M1232" s="1751" t="str">
        <f t="shared" si="576"/>
        <v/>
      </c>
      <c r="N1232" s="1752" t="str">
        <f t="shared" si="576"/>
        <v/>
      </c>
      <c r="O1232" s="485"/>
      <c r="P1232" s="485"/>
      <c r="Q1232" s="1644" t="str">
        <f>EUconst_CNTR_WGFlared &amp; I979</f>
        <v>WasteGasFlare_</v>
      </c>
      <c r="S1232" s="1435"/>
      <c r="T1232" s="1435"/>
      <c r="U1232" s="1435"/>
      <c r="V1232" s="1435"/>
      <c r="W1232" s="1435"/>
      <c r="X1232" s="1435"/>
      <c r="Y1232" s="1435"/>
      <c r="Z1232" s="1435"/>
    </row>
    <row r="1233" spans="1:37" ht="12.75" customHeight="1">
      <c r="B1233" s="479"/>
      <c r="C1233" s="977"/>
      <c r="D1233" s="777" t="s">
        <v>1108</v>
      </c>
      <c r="E1233" s="2475" t="s">
        <v>1308</v>
      </c>
      <c r="F1233" s="2410"/>
      <c r="G1233" s="815" t="str">
        <f>EUconst_tCO2pTJ</f>
        <v>t CO2 / TJ</v>
      </c>
      <c r="H1233" s="1479" t="str">
        <f>c_ALR2025!M3859</f>
        <v/>
      </c>
      <c r="I1233" s="1532"/>
      <c r="J1233" s="1811"/>
      <c r="K1233" s="1751"/>
      <c r="L1233" s="1751"/>
      <c r="M1233" s="1751"/>
      <c r="N1233" s="1752"/>
      <c r="O1233" s="485"/>
      <c r="P1233" s="9">
        <v>0</v>
      </c>
      <c r="Q1233" s="1644" t="str">
        <f>EUconst_CNTR_WGFlaredEF &amp; I979</f>
        <v>WasteGasFlareEF_</v>
      </c>
      <c r="S1233" s="1435"/>
      <c r="T1233" s="1435"/>
      <c r="U1233" s="1435"/>
      <c r="V1233" s="1435"/>
      <c r="W1233" s="1435"/>
      <c r="X1233" s="1435"/>
      <c r="Y1233" s="1435"/>
      <c r="Z1233" s="1435"/>
      <c r="AB1233" s="1641" t="s">
        <v>717</v>
      </c>
      <c r="AC1233" s="1443" t="b">
        <f>AC1231</f>
        <v>0</v>
      </c>
      <c r="AD1233" s="1443" t="b">
        <f t="shared" ref="AD1233:AI1233" si="577">AD1231</f>
        <v>0</v>
      </c>
      <c r="AE1233" s="1443" t="b">
        <f t="shared" si="577"/>
        <v>0</v>
      </c>
      <c r="AF1233" s="1443" t="b">
        <f t="shared" si="577"/>
        <v>0</v>
      </c>
      <c r="AG1233" s="1443" t="b">
        <f t="shared" si="577"/>
        <v>0</v>
      </c>
      <c r="AH1233" s="1443" t="b">
        <f t="shared" si="577"/>
        <v>0</v>
      </c>
      <c r="AI1233" s="1443" t="b">
        <f t="shared" si="577"/>
        <v>0</v>
      </c>
      <c r="AJ1233" s="1633" t="s">
        <v>1954</v>
      </c>
      <c r="AK1233" s="1635" t="str">
        <f>IF(AND(CNTR_ExistSubInstEntries,MSconst_RequireSubAttrEmissions,COUNTIFS(AC1233:AI1233,FALSE,H1233:N1233,"")&gt;0),EUconst_Error&amp;"BM"&amp;$Q979,"")</f>
        <v/>
      </c>
    </row>
    <row r="1234" spans="1:37" ht="5.0999999999999996" customHeight="1" thickBot="1">
      <c r="B1234" s="479"/>
      <c r="C1234" s="977"/>
      <c r="D1234" s="981"/>
      <c r="E1234" s="981"/>
      <c r="F1234" s="981"/>
      <c r="G1234" s="981"/>
      <c r="H1234" s="983"/>
      <c r="I1234" s="981"/>
      <c r="J1234" s="1815"/>
      <c r="K1234" s="1760"/>
      <c r="L1234" s="1760"/>
      <c r="M1234" s="1760"/>
      <c r="N1234" s="1761"/>
      <c r="O1234" s="485"/>
      <c r="P1234" s="485"/>
      <c r="Q1234" s="1435"/>
      <c r="S1234" s="1435"/>
      <c r="T1234" s="1435"/>
      <c r="U1234" s="1435"/>
      <c r="V1234" s="1435"/>
    </row>
    <row r="1235" spans="1:37" ht="12.75" customHeight="1" thickBot="1">
      <c r="B1235" s="479"/>
      <c r="C1235" s="977"/>
      <c r="D1235" s="981"/>
      <c r="E1235" s="2475" t="s">
        <v>1844</v>
      </c>
      <c r="F1235" s="2475"/>
      <c r="G1235" s="1009" t="str">
        <f>EUconst_tCO2</f>
        <v>t CO2</v>
      </c>
      <c r="H1235" s="638" t="str">
        <f t="shared" ref="H1235:N1235" si="578">IF(T987,SUM(H1232)*SUM(H1233),"")</f>
        <v/>
      </c>
      <c r="I1235" s="684" t="str">
        <f t="shared" si="578"/>
        <v/>
      </c>
      <c r="J1235" s="1815" t="str">
        <f t="shared" si="578"/>
        <v/>
      </c>
      <c r="K1235" s="1760" t="str">
        <f t="shared" si="578"/>
        <v/>
      </c>
      <c r="L1235" s="1760" t="str">
        <f t="shared" si="578"/>
        <v/>
      </c>
      <c r="M1235" s="1760" t="str">
        <f t="shared" si="578"/>
        <v/>
      </c>
      <c r="N1235" s="1761" t="str">
        <f t="shared" si="578"/>
        <v/>
      </c>
      <c r="O1235" s="485"/>
      <c r="P1235" s="485"/>
      <c r="Q1235" s="1644" t="str">
        <f>EUconst_CNTR_HAL &amp; EUconst_CNTR_WGFlared &amp; I979</f>
        <v>HAL_WasteGasFlare_</v>
      </c>
      <c r="S1235" s="1633" t="s">
        <v>1758</v>
      </c>
      <c r="T1235" s="1629" t="b">
        <f>CNTR_SubPeriod=2</f>
        <v>1</v>
      </c>
      <c r="U1235" s="1435"/>
      <c r="V1235" s="1435"/>
    </row>
    <row r="1236" spans="1:37" ht="5.0999999999999996" customHeight="1" thickBot="1">
      <c r="B1236" s="479"/>
      <c r="C1236" s="977"/>
      <c r="D1236" s="981"/>
      <c r="E1236" s="981"/>
      <c r="F1236" s="981"/>
      <c r="G1236" s="981"/>
      <c r="H1236" s="983"/>
      <c r="I1236" s="981"/>
      <c r="J1236" s="981"/>
      <c r="K1236" s="981"/>
      <c r="L1236" s="981"/>
      <c r="M1236" s="813"/>
      <c r="N1236" s="814"/>
      <c r="O1236" s="485"/>
      <c r="P1236" s="485"/>
      <c r="Q1236" s="1435"/>
      <c r="S1236" s="1435"/>
      <c r="T1236" s="1435"/>
      <c r="U1236" s="1435"/>
      <c r="V1236" s="1435"/>
    </row>
    <row r="1237" spans="1:37" ht="5.0999999999999996" customHeight="1" thickBot="1">
      <c r="B1237" s="479"/>
      <c r="C1237" s="977"/>
      <c r="D1237" s="1010"/>
      <c r="E1237" s="1011"/>
      <c r="F1237" s="1011"/>
      <c r="G1237" s="1011"/>
      <c r="H1237" s="1012"/>
      <c r="I1237" s="1011"/>
      <c r="J1237" s="1765"/>
      <c r="K1237" s="1760"/>
      <c r="L1237" s="1760"/>
      <c r="M1237" s="1760"/>
      <c r="N1237" s="1761"/>
      <c r="O1237" s="485"/>
      <c r="P1237" s="485"/>
      <c r="Q1237" s="1435"/>
      <c r="S1237" s="1435"/>
      <c r="T1237" s="1435"/>
      <c r="U1237" s="1435"/>
      <c r="V1237" s="1435"/>
    </row>
    <row r="1238" spans="1:37" ht="12.75" customHeight="1">
      <c r="B1238" s="479"/>
      <c r="C1238" s="977"/>
      <c r="D1238" s="907" t="s">
        <v>1917</v>
      </c>
      <c r="E1238" s="2713" t="s">
        <v>1773</v>
      </c>
      <c r="F1238" s="2493"/>
      <c r="G1238" s="2493"/>
      <c r="H1238" s="910" t="str">
        <f>EUconst_Unit</f>
        <v>Unit</v>
      </c>
      <c r="I1238" s="911" t="s">
        <v>2220</v>
      </c>
      <c r="J1238" s="1647">
        <f>J$3242</f>
        <v>2026</v>
      </c>
      <c r="K1238" s="1747">
        <f>K$3242</f>
        <v>2027</v>
      </c>
      <c r="L1238" s="1747">
        <f>L$3242</f>
        <v>2028</v>
      </c>
      <c r="M1238" s="1747">
        <f>M$3242</f>
        <v>2029</v>
      </c>
      <c r="N1238" s="1748">
        <f>N$3242</f>
        <v>2030</v>
      </c>
      <c r="O1238" s="485"/>
      <c r="P1238" s="485"/>
      <c r="Q1238" s="1435"/>
      <c r="U1238" s="1648"/>
      <c r="V1238" s="1649">
        <f>J1238</f>
        <v>2026</v>
      </c>
      <c r="W1238" s="1649">
        <f>K1238</f>
        <v>2027</v>
      </c>
      <c r="X1238" s="1649">
        <f>L1238</f>
        <v>2028</v>
      </c>
      <c r="Y1238" s="1649">
        <f>M1238</f>
        <v>2029</v>
      </c>
      <c r="Z1238" s="1650">
        <f>N1238</f>
        <v>2030</v>
      </c>
    </row>
    <row r="1239" spans="1:37" ht="12.75" customHeight="1">
      <c r="B1239" s="479"/>
      <c r="C1239" s="977"/>
      <c r="D1239" s="915" t="s">
        <v>6</v>
      </c>
      <c r="E1239" s="2714" t="s">
        <v>1691</v>
      </c>
      <c r="F1239" s="2410"/>
      <c r="G1239" s="2410"/>
      <c r="H1239" s="944" t="str">
        <f>G1235</f>
        <v>t CO2</v>
      </c>
      <c r="I1239" s="917" t="str">
        <f>INDEX('B+C_SubInstallations'!$K:$K,MATCH(Q1239,'B+C_SubInstallations'!$V:$V,0))</f>
        <v/>
      </c>
      <c r="J1239" s="1703" t="str">
        <f>IF($T1235&lt;&gt;TRUE,"",IF(AND(V1239&gt;=3,CNTR_ReportingYear&gt;J1238-1),AVERAGE(SUM(H1235),SUM(I1235)),""))</f>
        <v/>
      </c>
      <c r="K1239" s="1766" t="str">
        <f>IF($T1235&lt;&gt;TRUE,"",IF(AND(W1239&gt;=3,CNTR_ReportingYear&gt;K1238-1),AVERAGE(SUM(I1235),SUM(J1235)),""))</f>
        <v/>
      </c>
      <c r="L1239" s="1766" t="str">
        <f>IF($T1235&lt;&gt;TRUE,"",IF(AND(X1239&gt;=3,CNTR_ReportingYear&gt;L1238-1),AVERAGE(SUM(J1235),SUM(K1235)),""))</f>
        <v/>
      </c>
      <c r="M1239" s="1766" t="str">
        <f>IF($T1235&lt;&gt;TRUE,"",IF(AND(Y1239&gt;=3,CNTR_ReportingYear&gt;M1238-1),AVERAGE(SUM(K1235),SUM(L1235)),""))</f>
        <v/>
      </c>
      <c r="N1239" s="1767" t="str">
        <f>IF($T1235&lt;&gt;TRUE,"",IF(AND(Z1239&gt;=3,CNTR_ReportingYear&gt;N1238-1),AVERAGE(SUM(L1235),SUM(M1235)),""))</f>
        <v/>
      </c>
      <c r="O1239" s="485"/>
      <c r="P1239" s="485"/>
      <c r="Q1239" s="1644" t="str">
        <f>EUconst_CNTR_HALinitial &amp; EUconst_CNTR_WGFlared &amp; I979</f>
        <v>HALini_WasteGasFlare_</v>
      </c>
      <c r="U1239" s="1693" t="s">
        <v>1650</v>
      </c>
      <c r="V1239" s="1635">
        <f>V1001</f>
        <v>0</v>
      </c>
      <c r="W1239" s="1635">
        <f>W1001</f>
        <v>0</v>
      </c>
      <c r="X1239" s="1635">
        <f>X1001</f>
        <v>0</v>
      </c>
      <c r="Y1239" s="1635">
        <f>Y1001</f>
        <v>0</v>
      </c>
      <c r="Z1239" s="1654">
        <f>Z1001</f>
        <v>0</v>
      </c>
    </row>
    <row r="1240" spans="1:37" ht="12.75" hidden="1" customHeight="1">
      <c r="A1240" s="618" t="s">
        <v>2289</v>
      </c>
      <c r="B1240" s="479"/>
      <c r="C1240" s="977"/>
      <c r="D1240" s="915"/>
      <c r="E1240" s="2714" t="s">
        <v>1776</v>
      </c>
      <c r="F1240" s="2410"/>
      <c r="G1240" s="2410"/>
      <c r="H1240" s="921"/>
      <c r="I1240" s="1657"/>
      <c r="J1240" s="17" t="str">
        <f>IF(J1239="","",IF($I1242=0,IF(J1239=0,0%,100%),J1239/$I1242-1))</f>
        <v/>
      </c>
      <c r="K1240" s="18" t="str">
        <f>IF(K1239="","",IF($I1242=0,IF(K1239=0,0%,100%),K1239/$I1242-1))</f>
        <v/>
      </c>
      <c r="L1240" s="18" t="str">
        <f>IF(L1239="","",IF($I1242=0,IF(L1239=0,0%,100%),L1239/$I1242-1))</f>
        <v/>
      </c>
      <c r="M1240" s="18" t="str">
        <f>IF(M1239="","",IF($I1242=0,IF(M1239=0,0%,100%),M1239/$I1242-1))</f>
        <v/>
      </c>
      <c r="N1240" s="38" t="str">
        <f>IF(N1239="","",IF($I1242=0,IF(N1239=0,0%,100%),N1239/$I1242-1))</f>
        <v/>
      </c>
      <c r="O1240" s="485"/>
      <c r="P1240" s="485"/>
      <c r="Q1240" s="1644" t="str">
        <f>EUconst_CNTR_RelThreshold &amp; Q1242</f>
        <v>RelThresh_HALprelim_WasteGasFlare_</v>
      </c>
      <c r="U1240" s="1693" t="s">
        <v>1655</v>
      </c>
      <c r="V1240" s="1158" t="str">
        <f>IF(J1239="","",ABS(J1240)&gt;15%)</f>
        <v/>
      </c>
      <c r="W1240" s="1158" t="str">
        <f>IF(K1239="","",ABS(K1240)&gt;15%)</f>
        <v/>
      </c>
      <c r="X1240" s="1158" t="str">
        <f>IF(L1239="","",ABS(L1240)&gt;15%)</f>
        <v/>
      </c>
      <c r="Y1240" s="1158" t="str">
        <f>IF(M1239="","",ABS(M1240)&gt;15%)</f>
        <v/>
      </c>
      <c r="Z1240" s="1656" t="str">
        <f>IF(N1239="","",ABS(N1240)&gt;15%)</f>
        <v/>
      </c>
    </row>
    <row r="1241" spans="1:37" ht="12.75" customHeight="1">
      <c r="A1241" s="618"/>
      <c r="B1241" s="479"/>
      <c r="C1241" s="977"/>
      <c r="D1241" s="915" t="s">
        <v>7</v>
      </c>
      <c r="E1241" s="2714" t="s">
        <v>1654</v>
      </c>
      <c r="F1241" s="2410"/>
      <c r="G1241" s="2410"/>
      <c r="H1241" s="921"/>
      <c r="I1241" s="1657"/>
      <c r="J1241" s="1658" t="str">
        <f>IF(J1239="","",IF(V1240=FALSE,0%,J1240))</f>
        <v/>
      </c>
      <c r="K1241" s="1768" t="str">
        <f>IF(K1239="","",IF(W1240=FALSE,0%,K1240))</f>
        <v/>
      </c>
      <c r="L1241" s="1768" t="str">
        <f>IF(L1239="","",IF(X1240=FALSE,0%,L1240))</f>
        <v/>
      </c>
      <c r="M1241" s="1768" t="str">
        <f>IF(M1239="","",IF(Y1240=FALSE,0%,M1240))</f>
        <v/>
      </c>
      <c r="N1241" s="1769" t="str">
        <f>IF(N1239="","",IF(Z1240=FALSE,0%,N1240))</f>
        <v/>
      </c>
      <c r="O1241" s="485"/>
      <c r="P1241" s="485"/>
      <c r="Q1241" s="1435"/>
      <c r="U1241" s="1694"/>
      <c r="Z1241" s="1664"/>
    </row>
    <row r="1242" spans="1:37" ht="12.75" hidden="1" customHeight="1">
      <c r="A1242" s="618" t="s">
        <v>2289</v>
      </c>
      <c r="B1242" s="479"/>
      <c r="C1242" s="977"/>
      <c r="D1242" s="915"/>
      <c r="E1242" s="2714" t="s">
        <v>1689</v>
      </c>
      <c r="F1242" s="2410"/>
      <c r="G1242" s="2410"/>
      <c r="H1242" s="944" t="str">
        <f>H1239</f>
        <v>t CO2</v>
      </c>
      <c r="I1242" s="917" t="str">
        <f>IF($I979="","",IF(AB979=FALSE,EUconst_NA,IF(V979&gt;($J$3242-3),INDEX(H1235:N1235,MATCH(V979,H1229:N1229,0)),SUM(I1239))))</f>
        <v/>
      </c>
      <c r="J1242" s="1651" t="str">
        <f>IF($I979="","",IF(V1239&lt;2,SUM(J1235),IF(V1239&lt;3,SUM(I1235),IF(V1242="",I1242,V1242))))</f>
        <v/>
      </c>
      <c r="K1242" s="1766" t="str">
        <f>IF($I979="","",IF(W1239&lt;2,SUM(K1235),IF(W1239&lt;3,SUM(J1235),IF(W1242="",J1242,W1242))))</f>
        <v/>
      </c>
      <c r="L1242" s="1766" t="str">
        <f>IF($I979="","",IF(X1239&lt;2,SUM(L1235),IF(X1239&lt;3,SUM(K1235),IF(X1242="",K1242,X1242))))</f>
        <v/>
      </c>
      <c r="M1242" s="1766" t="str">
        <f>IF($I979="","",IF(Y1239&lt;2,SUM(M1235),IF(Y1239&lt;3,SUM(L1235),IF(Y1242="",L1242,Y1242))))</f>
        <v/>
      </c>
      <c r="N1242" s="1767" t="str">
        <f>IF($I979="","",IF(Z1239&lt;2,SUM(N1235),IF(Z1239&lt;3,SUM(M1235),IF(Z1242="",M1242,Z1242))))</f>
        <v/>
      </c>
      <c r="O1242" s="485"/>
      <c r="P1242" s="485"/>
      <c r="Q1242" s="1644" t="str">
        <f>EUconst_CNTR_HALprelim&amp;EUconst_CNTR_WGFlared &amp; I979</f>
        <v>HALprelim_WasteGasFlare_</v>
      </c>
      <c r="U1242" s="1693" t="s">
        <v>1697</v>
      </c>
      <c r="V1242" s="1660" t="str">
        <f>IF(J1239="","",IF(CNTR_ReportingYear&lt;J1238,I1241,IF($I1242=0,J1239,$I1242*(1+J1241))))</f>
        <v/>
      </c>
      <c r="W1242" s="1660" t="str">
        <f>IF(K1239="","",IF(CNTR_ReportingYear&lt;K1238,J1241,IF($I1242=0,K1239,$I1242*(1+K1241))))</f>
        <v/>
      </c>
      <c r="X1242" s="1660" t="str">
        <f>IF(L1239="","",IF(CNTR_ReportingYear&lt;L1238,K1241,IF($I1242=0,L1239,$I1242*(1+L1241))))</f>
        <v/>
      </c>
      <c r="Y1242" s="1660" t="str">
        <f>IF(M1239="","",IF(CNTR_ReportingYear&lt;M1238,L1241,IF($I1242=0,M1239,$I1242*(1+M1241))))</f>
        <v/>
      </c>
      <c r="Z1242" s="1661" t="str">
        <f>IF(N1239="","",IF(CNTR_ReportingYear&lt;N1238,M1241,IF($I1242=0,N1239,$I1242*(1+N1241))))</f>
        <v/>
      </c>
    </row>
    <row r="1243" spans="1:37" ht="5.0999999999999996" customHeight="1">
      <c r="A1243" s="618"/>
      <c r="B1243" s="479"/>
      <c r="C1243" s="977"/>
      <c r="D1243" s="915"/>
      <c r="E1243" s="909"/>
      <c r="F1243" s="909"/>
      <c r="G1243" s="909"/>
      <c r="H1243" s="909"/>
      <c r="I1243" s="909"/>
      <c r="J1243" s="922"/>
      <c r="K1243" s="1760"/>
      <c r="L1243" s="1760"/>
      <c r="M1243" s="1760"/>
      <c r="N1243" s="1761"/>
      <c r="O1243" s="485"/>
      <c r="P1243" s="485"/>
      <c r="Q1243" s="1435"/>
      <c r="U1243" s="1663"/>
      <c r="V1243" s="1435"/>
      <c r="Z1243" s="1664"/>
    </row>
    <row r="1244" spans="1:37" ht="12.75" customHeight="1">
      <c r="A1244" s="618"/>
      <c r="B1244" s="479"/>
      <c r="C1244" s="977"/>
      <c r="D1244" s="915"/>
      <c r="E1244" s="2713" t="s">
        <v>1653</v>
      </c>
      <c r="F1244" s="2493"/>
      <c r="G1244" s="2493"/>
      <c r="H1244" s="2493"/>
      <c r="I1244" s="2708"/>
      <c r="J1244" s="1647">
        <f>J$3242</f>
        <v>2026</v>
      </c>
      <c r="K1244" s="1747">
        <f>K$3242</f>
        <v>2027</v>
      </c>
      <c r="L1244" s="1747">
        <f>L$3242</f>
        <v>2028</v>
      </c>
      <c r="M1244" s="1747">
        <f>M$3242</f>
        <v>2029</v>
      </c>
      <c r="N1244" s="1748">
        <f>N$3242</f>
        <v>2030</v>
      </c>
      <c r="O1244" s="485"/>
      <c r="P1244" s="485"/>
      <c r="Q1244" s="1435"/>
      <c r="U1244" s="1665"/>
      <c r="Z1244" s="1664"/>
    </row>
    <row r="1245" spans="1:37" ht="12.75" customHeight="1">
      <c r="A1245" s="618"/>
      <c r="B1245" s="479"/>
      <c r="C1245" s="977"/>
      <c r="D1245" s="915" t="s">
        <v>8</v>
      </c>
      <c r="E1245" s="2714" t="s">
        <v>2108</v>
      </c>
      <c r="F1245" s="2410"/>
      <c r="G1245" s="2410"/>
      <c r="H1245" s="2410"/>
      <c r="I1245" s="2715"/>
      <c r="J1245" s="1666" t="str">
        <f>IF($I979="","",INDEX(K_Summary!J:J,MATCH($Q1245,K_Summary!$P:$P,0)))</f>
        <v/>
      </c>
      <c r="K1245" s="1760" t="str">
        <f>IF($I979="","",INDEX(K_Summary!K:K,MATCH($Q1245,K_Summary!$P:$P,0)))</f>
        <v/>
      </c>
      <c r="L1245" s="1760" t="str">
        <f>IF($I979="","",INDEX(K_Summary!L:L,MATCH($Q1245,K_Summary!$P:$P,0)))</f>
        <v/>
      </c>
      <c r="M1245" s="1760" t="str">
        <f>IF($I979="","",INDEX(K_Summary!M:M,MATCH($Q1245,K_Summary!$P:$P,0)))</f>
        <v/>
      </c>
      <c r="N1245" s="1761" t="str">
        <f>IF($I979="","",INDEX(K_Summary!N:N,MATCH($Q1245,K_Summary!$P:$P,0)))</f>
        <v/>
      </c>
      <c r="O1245" s="485"/>
      <c r="P1245" s="485"/>
      <c r="Q1245" s="1644" t="str">
        <f>EUconst_CNTR_100EUA_WGFlare&amp;I979</f>
        <v>EUA100WGFlare_</v>
      </c>
      <c r="U1245" s="1665"/>
      <c r="Z1245" s="1664"/>
    </row>
    <row r="1246" spans="1:37" ht="5.0999999999999996" customHeight="1" thickBot="1">
      <c r="A1246" s="618"/>
      <c r="B1246" s="479"/>
      <c r="C1246" s="977"/>
      <c r="D1246" s="915"/>
      <c r="E1246" s="909"/>
      <c r="F1246" s="909"/>
      <c r="G1246" s="909"/>
      <c r="H1246" s="909"/>
      <c r="I1246" s="909"/>
      <c r="J1246" s="922"/>
      <c r="K1246" s="1760"/>
      <c r="L1246" s="1760"/>
      <c r="M1246" s="1760"/>
      <c r="N1246" s="1761"/>
      <c r="O1246" s="485"/>
      <c r="P1246" s="485"/>
      <c r="Q1246" s="1435"/>
      <c r="U1246" s="1663"/>
      <c r="V1246" s="1435"/>
      <c r="Z1246" s="1664"/>
    </row>
    <row r="1247" spans="1:37" ht="12.75" customHeight="1" thickBot="1">
      <c r="B1247" s="479"/>
      <c r="C1247" s="977"/>
      <c r="D1247" s="915" t="s">
        <v>18</v>
      </c>
      <c r="E1247" s="2714" t="s">
        <v>1657</v>
      </c>
      <c r="F1247" s="2410"/>
      <c r="G1247" s="2410"/>
      <c r="H1247" s="2410"/>
      <c r="I1247" s="2715"/>
      <c r="J1247" s="1668" t="str">
        <f>IF(J1245="","",IF(OR(J1245,V1239&lt;1),J1241,I1247))</f>
        <v/>
      </c>
      <c r="K1247" s="1770" t="str">
        <f>IF(K1245="","",IF(OR(K1245,W1239&lt;1),K1241,J1247))</f>
        <v/>
      </c>
      <c r="L1247" s="1770" t="str">
        <f>IF(L1245="","",IF(OR(L1245,X1239&lt;1),L1241,K1247))</f>
        <v/>
      </c>
      <c r="M1247" s="1770" t="str">
        <f>IF(M1245="","",IF(OR(M1245,Y1239&lt;1),M1241,L1247))</f>
        <v/>
      </c>
      <c r="N1247" s="1771" t="str">
        <f>IF(N1245="","",IF(OR(N1245,Z1239&lt;1),N1241,M1247))</f>
        <v/>
      </c>
      <c r="O1247" s="485"/>
      <c r="P1247" s="485"/>
      <c r="Q1247" s="1435"/>
      <c r="U1247" s="1663" t="s">
        <v>1658</v>
      </c>
      <c r="V1247" s="1670">
        <f>J1244</f>
        <v>2026</v>
      </c>
      <c r="W1247" s="1670">
        <f>K1244</f>
        <v>2027</v>
      </c>
      <c r="X1247" s="1670">
        <f>L1244</f>
        <v>2028</v>
      </c>
      <c r="Y1247" s="1670">
        <f>M1244</f>
        <v>2029</v>
      </c>
      <c r="Z1247" s="1671">
        <f>N1244</f>
        <v>2030</v>
      </c>
    </row>
    <row r="1248" spans="1:37" ht="12.75" customHeight="1" thickBot="1">
      <c r="A1248" s="618"/>
      <c r="B1248" s="479"/>
      <c r="C1248" s="977"/>
      <c r="D1248" s="915" t="s">
        <v>787</v>
      </c>
      <c r="E1248" s="2714" t="s">
        <v>1659</v>
      </c>
      <c r="F1248" s="2410"/>
      <c r="G1248" s="2410"/>
      <c r="H1248" s="944" t="str">
        <f>H1239</f>
        <v>t CO2</v>
      </c>
      <c r="I1248" s="917" t="str">
        <f>I1242</f>
        <v/>
      </c>
      <c r="J1248" s="1672" t="str">
        <f>IF($I979="","",IF(OR($I1248=0,$I1248=EUconst_NA),IF(OR(J1245=TRUE,J1244=$V979),J1242,SUM(I1248)),IF(J1247="",J1242,$I1248*(1+SUM(J1247)))))</f>
        <v/>
      </c>
      <c r="K1248" s="1772" t="str">
        <f>IF($I979="","",IF(OR($I1248=0,$I1248=EUconst_NA),IF(OR(K1245=TRUE,K1244=$V979),K1242,SUM(J1248)),IF(K1247="",K1242,$I1248*(1+SUM(K1247)))))</f>
        <v/>
      </c>
      <c r="L1248" s="1772" t="str">
        <f>IF($I979="","",IF(OR($I1248=0,$I1248=EUconst_NA),IF(OR(L1245=TRUE,L1244=$V979),L1242,SUM(K1248)),IF(L1247="",L1242,$I1248*(1+SUM(L1247)))))</f>
        <v/>
      </c>
      <c r="M1248" s="1772" t="str">
        <f>IF($I979="","",IF(OR($I1248=0,$I1248=EUconst_NA),IF(OR(M1245=TRUE,M1244=$V979),M1242,SUM(L1248)),IF(M1247="",M1242,$I1248*(1+SUM(M1247)))))</f>
        <v/>
      </c>
      <c r="N1248" s="1773" t="str">
        <f>IF($I979="","",IF(OR($I1248=0,$I1248=EUconst_NA),IF(OR(N1245=TRUE,N1244=$V979),N1242,SUM(M1248)),IF(N1247="",N1242,$I1248*(1+SUM(N1247)))))</f>
        <v/>
      </c>
      <c r="O1248" s="485"/>
      <c r="P1248" s="485"/>
      <c r="Q1248" s="1644" t="str">
        <f>EUconst_CNTR_HALfinal&amp;EUconst_CNTR_WGFlared &amp; I979</f>
        <v>HALfinal_WasteGasFlare_</v>
      </c>
      <c r="U1248" s="1674" t="b">
        <v>0</v>
      </c>
      <c r="V1248" s="1675" t="str">
        <f>IF(V1198,IF(J1245=TRUE,V987,U1248),"")</f>
        <v/>
      </c>
      <c r="W1248" s="1675" t="str">
        <f>IF(W1198,IF(K1245=TRUE,W987,V1248),"")</f>
        <v/>
      </c>
      <c r="X1248" s="1675" t="str">
        <f>IF(X1198,IF(L1245=TRUE,X987,W1248),"")</f>
        <v/>
      </c>
      <c r="Y1248" s="1675" t="str">
        <f>IF(Y1198,IF(M1245=TRUE,Y987,X1248),"")</f>
        <v/>
      </c>
      <c r="Z1248" s="1676" t="str">
        <f>IF(Z1198,IF(N1245=TRUE,Z987,Y1248),"")</f>
        <v/>
      </c>
      <c r="AJ1248" s="1633" t="s">
        <v>1951</v>
      </c>
      <c r="AK1248" s="1443" t="str">
        <f>IF(OR(ISERROR(J1248),ISERROR(K1248),ISERROR(L1248),ISERROR(M1248),ISERROR(N1248)),EUconst_Error &amp; "BM" &amp; Q979,"")</f>
        <v/>
      </c>
    </row>
    <row r="1249" spans="1:42" ht="5.0999999999999996" customHeight="1" thickBot="1">
      <c r="B1249" s="479"/>
      <c r="C1249" s="977"/>
      <c r="D1249" s="946"/>
      <c r="E1249" s="947"/>
      <c r="F1249" s="947"/>
      <c r="G1249" s="947"/>
      <c r="H1249" s="1014"/>
      <c r="I1249" s="947"/>
      <c r="J1249" s="1700"/>
      <c r="K1249" s="1760"/>
      <c r="L1249" s="1760"/>
      <c r="M1249" s="1760"/>
      <c r="N1249" s="1761"/>
      <c r="O1249" s="485"/>
      <c r="P1249" s="485"/>
      <c r="Q1249" s="1435"/>
      <c r="S1249" s="1435"/>
      <c r="T1249" s="1435"/>
      <c r="U1249" s="1435"/>
      <c r="V1249" s="1435"/>
    </row>
    <row r="1250" spans="1:42" ht="5.0999999999999996" customHeight="1">
      <c r="B1250" s="479"/>
      <c r="C1250" s="977"/>
      <c r="D1250" s="981"/>
      <c r="E1250" s="981"/>
      <c r="F1250" s="981"/>
      <c r="G1250" s="981"/>
      <c r="H1250" s="983"/>
      <c r="I1250" s="981"/>
      <c r="J1250" s="981"/>
      <c r="K1250" s="981"/>
      <c r="L1250" s="981"/>
      <c r="M1250" s="813"/>
      <c r="N1250" s="814"/>
      <c r="O1250" s="485"/>
      <c r="P1250" s="485"/>
      <c r="Q1250" s="1435"/>
      <c r="S1250" s="1435"/>
      <c r="T1250" s="1435"/>
      <c r="U1250" s="1435"/>
      <c r="V1250" s="1435"/>
    </row>
    <row r="1251" spans="1:42" ht="12.75" customHeight="1">
      <c r="B1251" s="479"/>
      <c r="C1251" s="977"/>
      <c r="D1251" s="777" t="s">
        <v>1109</v>
      </c>
      <c r="E1251" s="2649" t="s">
        <v>1218</v>
      </c>
      <c r="F1251" s="2391"/>
      <c r="G1251" s="2391"/>
      <c r="H1251" s="2512"/>
      <c r="I1251" s="3211" t="str">
        <f>c_ALR2025!I3877</f>
        <v/>
      </c>
      <c r="J1251" s="3206"/>
      <c r="K1251" s="3206"/>
      <c r="L1251" s="3206"/>
      <c r="M1251" s="3207"/>
      <c r="N1251" s="814"/>
      <c r="O1251" s="485"/>
      <c r="P1251" s="9">
        <v>0</v>
      </c>
      <c r="Q1251" s="1435"/>
      <c r="S1251" s="1435"/>
      <c r="AC1251" s="1641" t="s">
        <v>717</v>
      </c>
      <c r="AD1251" s="1443" t="b">
        <f>AD1225</f>
        <v>0</v>
      </c>
    </row>
    <row r="1252" spans="1:42" ht="12.75" customHeight="1">
      <c r="B1252" s="479"/>
      <c r="C1252" s="977"/>
      <c r="D1252" s="777"/>
      <c r="E1252" s="3272" t="s">
        <v>2298</v>
      </c>
      <c r="F1252" s="2380"/>
      <c r="G1252" s="2380"/>
      <c r="H1252" s="2380"/>
      <c r="I1252" s="2380"/>
      <c r="J1252" s="2380"/>
      <c r="K1252" s="2380"/>
      <c r="L1252" s="2380"/>
      <c r="M1252" s="2380"/>
      <c r="N1252" s="3268"/>
      <c r="O1252" s="485"/>
      <c r="P1252" s="485"/>
      <c r="Q1252" s="1435"/>
      <c r="S1252" s="1435"/>
      <c r="T1252" s="1435"/>
      <c r="U1252" s="1435"/>
      <c r="V1252" s="1435"/>
    </row>
    <row r="1253" spans="1:42" ht="25.5" customHeight="1">
      <c r="B1253" s="479"/>
      <c r="C1253" s="977"/>
      <c r="D1253" s="777"/>
      <c r="E1253" s="3267" t="s">
        <v>1560</v>
      </c>
      <c r="F1253" s="2380"/>
      <c r="G1253" s="2380"/>
      <c r="H1253" s="2380"/>
      <c r="I1253" s="2380"/>
      <c r="J1253" s="2380"/>
      <c r="K1253" s="2380"/>
      <c r="L1253" s="2380"/>
      <c r="M1253" s="2380"/>
      <c r="N1253" s="3268"/>
      <c r="O1253" s="485"/>
      <c r="P1253" s="485"/>
      <c r="Q1253" s="1435"/>
      <c r="S1253" s="1435"/>
      <c r="T1253" s="1435"/>
      <c r="U1253" s="1435"/>
      <c r="V1253" s="1435"/>
    </row>
    <row r="1254" spans="1:42" ht="12.75" customHeight="1" thickBot="1">
      <c r="B1254" s="479"/>
      <c r="C1254" s="977"/>
      <c r="D1254" s="981"/>
      <c r="E1254" s="989"/>
      <c r="F1254" s="990"/>
      <c r="G1254" s="987" t="str">
        <f>EUconst_Unit</f>
        <v>Unit</v>
      </c>
      <c r="H1254" s="782">
        <f t="shared" ref="H1254:N1254" si="579">H$3242</f>
        <v>2024</v>
      </c>
      <c r="I1254" s="988">
        <f t="shared" si="579"/>
        <v>2025</v>
      </c>
      <c r="J1254" s="1810">
        <f t="shared" si="579"/>
        <v>2026</v>
      </c>
      <c r="K1254" s="1747">
        <f t="shared" si="579"/>
        <v>2027</v>
      </c>
      <c r="L1254" s="1747">
        <f t="shared" si="579"/>
        <v>2028</v>
      </c>
      <c r="M1254" s="1747">
        <f t="shared" si="579"/>
        <v>2029</v>
      </c>
      <c r="N1254" s="1748">
        <f t="shared" si="579"/>
        <v>2030</v>
      </c>
      <c r="O1254" s="485"/>
      <c r="P1254" s="485"/>
      <c r="Q1254" s="1435"/>
      <c r="S1254" s="1435"/>
      <c r="T1254" s="1435"/>
      <c r="U1254" s="1435"/>
      <c r="V1254" s="1435"/>
      <c r="AC1254" s="1638">
        <f t="shared" ref="AC1254:AI1254" si="580">H$20</f>
        <v>2024</v>
      </c>
      <c r="AD1254" s="1638">
        <f t="shared" si="580"/>
        <v>2025</v>
      </c>
      <c r="AE1254" s="1638">
        <f t="shared" si="580"/>
        <v>2026</v>
      </c>
      <c r="AF1254" s="1638">
        <f t="shared" si="580"/>
        <v>2027</v>
      </c>
      <c r="AG1254" s="1638">
        <f t="shared" si="580"/>
        <v>2028</v>
      </c>
      <c r="AH1254" s="1638">
        <f t="shared" si="580"/>
        <v>2029</v>
      </c>
      <c r="AI1254" s="1638">
        <f t="shared" si="580"/>
        <v>2030</v>
      </c>
    </row>
    <row r="1255" spans="1:42" ht="12.75" customHeight="1" thickBot="1">
      <c r="B1255" s="479"/>
      <c r="C1255" s="977"/>
      <c r="D1255" s="777" t="s">
        <v>1110</v>
      </c>
      <c r="E1255" s="2471" t="s">
        <v>1303</v>
      </c>
      <c r="F1255" s="2472"/>
      <c r="G1255" s="1763" t="str">
        <f>c_ALR2025!G3881</f>
        <v/>
      </c>
      <c r="H1255" s="1552" t="str">
        <f>c_ALR2025!M3881</f>
        <v/>
      </c>
      <c r="I1255" s="1611"/>
      <c r="J1255" s="1811"/>
      <c r="K1255" s="1751"/>
      <c r="L1255" s="1751"/>
      <c r="M1255" s="1751"/>
      <c r="N1255" s="1752"/>
      <c r="O1255" s="485"/>
      <c r="P1255" s="9">
        <v>0</v>
      </c>
      <c r="Q1255" s="1435"/>
      <c r="S1255" s="1435"/>
      <c r="T1255" s="1435"/>
      <c r="U1255" s="1435"/>
      <c r="V1255" s="1435"/>
      <c r="AB1255" s="1641" t="s">
        <v>717</v>
      </c>
      <c r="AC1255" s="1443" t="b">
        <f t="shared" ref="AC1255:AI1255" si="581">AC1211</f>
        <v>0</v>
      </c>
      <c r="AD1255" s="1443" t="b">
        <f t="shared" si="581"/>
        <v>0</v>
      </c>
      <c r="AE1255" s="1443" t="b">
        <f t="shared" si="581"/>
        <v>0</v>
      </c>
      <c r="AF1255" s="1443" t="b">
        <f t="shared" si="581"/>
        <v>0</v>
      </c>
      <c r="AG1255" s="1443" t="b">
        <f t="shared" si="581"/>
        <v>0</v>
      </c>
      <c r="AH1255" s="1443" t="b">
        <f t="shared" si="581"/>
        <v>0</v>
      </c>
      <c r="AI1255" s="1443" t="b">
        <f t="shared" si="581"/>
        <v>0</v>
      </c>
      <c r="AJ1255" s="1633" t="s">
        <v>1954</v>
      </c>
      <c r="AK1255" s="1635" t="str">
        <f>IF(AND(CNTR_ExistSubInstEntries,MSconst_RequireSubAttrEmissions,COUNTIFS(AC1255:AI1255,FALSE,H1255:N1255,"")&gt;0),EUconst_Error&amp;"BM"&amp;$Q979,"")</f>
        <v/>
      </c>
    </row>
    <row r="1256" spans="1:42" ht="12.75" customHeight="1">
      <c r="B1256" s="479"/>
      <c r="C1256" s="977"/>
      <c r="D1256" s="777" t="s">
        <v>1111</v>
      </c>
      <c r="E1256" s="2473" t="s">
        <v>661</v>
      </c>
      <c r="F1256" s="2474"/>
      <c r="G1256" s="1008" t="e">
        <f>IF(ISBLANK(G1255),EUconst_GJperUnit,INDEX(EUconst_GJperTorKNm3,MATCH(G1255,EUconst_TonnesOrkNm3pa,0)))</f>
        <v>#N/A</v>
      </c>
      <c r="H1256" s="1558" t="str">
        <f>c_ALR2025!M3882</f>
        <v/>
      </c>
      <c r="I1256" s="1884"/>
      <c r="J1256" s="1811"/>
      <c r="K1256" s="1751"/>
      <c r="L1256" s="1751"/>
      <c r="M1256" s="1751"/>
      <c r="N1256" s="1752"/>
      <c r="O1256" s="485"/>
      <c r="P1256" s="9"/>
      <c r="Q1256" s="1435"/>
      <c r="S1256" s="1648"/>
      <c r="T1256" s="1749">
        <f t="shared" ref="T1256:Z1256" si="582">H1254</f>
        <v>2024</v>
      </c>
      <c r="U1256" s="1749">
        <f t="shared" si="582"/>
        <v>2025</v>
      </c>
      <c r="V1256" s="1749">
        <f t="shared" si="582"/>
        <v>2026</v>
      </c>
      <c r="W1256" s="1749">
        <f t="shared" si="582"/>
        <v>2027</v>
      </c>
      <c r="X1256" s="1749">
        <f t="shared" si="582"/>
        <v>2028</v>
      </c>
      <c r="Y1256" s="1749">
        <f t="shared" si="582"/>
        <v>2029</v>
      </c>
      <c r="Z1256" s="1750">
        <f t="shared" si="582"/>
        <v>2030</v>
      </c>
      <c r="AC1256" s="1443" t="b">
        <f>AC1255</f>
        <v>0</v>
      </c>
      <c r="AD1256" s="1443" t="b">
        <f t="shared" ref="AD1256:AI1256" si="583">AD1255</f>
        <v>0</v>
      </c>
      <c r="AE1256" s="1443" t="b">
        <f t="shared" si="583"/>
        <v>0</v>
      </c>
      <c r="AF1256" s="1443" t="b">
        <f t="shared" si="583"/>
        <v>0</v>
      </c>
      <c r="AG1256" s="1443" t="b">
        <f t="shared" si="583"/>
        <v>0</v>
      </c>
      <c r="AH1256" s="1443" t="b">
        <f t="shared" si="583"/>
        <v>0</v>
      </c>
      <c r="AI1256" s="1443" t="b">
        <f t="shared" si="583"/>
        <v>0</v>
      </c>
      <c r="AJ1256" s="1633" t="s">
        <v>1954</v>
      </c>
      <c r="AK1256" s="1635" t="str">
        <f>IF(AND(CNTR_ExistSubInstEntries,MSconst_RequireSubAttrEmissions,COUNTIFS(AC1256:AI1256,FALSE,H1256:N1256,"")&gt;0),EUconst_Error&amp;"BM"&amp;$Q979,"")</f>
        <v/>
      </c>
    </row>
    <row r="1257" spans="1:42" ht="12.75" customHeight="1">
      <c r="B1257" s="479"/>
      <c r="C1257" s="977"/>
      <c r="D1257" s="777" t="s">
        <v>1112</v>
      </c>
      <c r="E1257" s="2475" t="s">
        <v>1102</v>
      </c>
      <c r="F1257" s="2410"/>
      <c r="G1257" s="815" t="str">
        <f>EUconst_TJpa</f>
        <v>TJ / year</v>
      </c>
      <c r="H1257" s="646" t="str">
        <f t="shared" ref="H1257:N1257" si="584">IF(COUNT(H1255:H1256)=2,H1255*H1256/1000,"")</f>
        <v/>
      </c>
      <c r="I1257" s="949" t="str">
        <f t="shared" si="584"/>
        <v/>
      </c>
      <c r="J1257" s="1811" t="str">
        <f t="shared" si="584"/>
        <v/>
      </c>
      <c r="K1257" s="1751" t="str">
        <f t="shared" si="584"/>
        <v/>
      </c>
      <c r="L1257" s="1751" t="str">
        <f t="shared" si="584"/>
        <v/>
      </c>
      <c r="M1257" s="1751" t="str">
        <f t="shared" si="584"/>
        <v/>
      </c>
      <c r="N1257" s="1752" t="str">
        <f t="shared" si="584"/>
        <v/>
      </c>
      <c r="O1257" s="485"/>
      <c r="P1257" s="485"/>
      <c r="Q1257" s="1644" t="str">
        <f>EUconst_CNTR_WGImport &amp; I979</f>
        <v>WasteGasIm_</v>
      </c>
      <c r="S1257" s="1874" t="str">
        <f>EUconst_ERR_AttrEmBMapplied &amp; I979</f>
        <v>ERR_AttrEmBM_</v>
      </c>
      <c r="T1257" s="1443">
        <f t="shared" ref="T1257:Z1257" si="585">IF(AND(H1257&lt;&gt;"",EUconst_StatusOfDataCollection=FALSE),1,0)</f>
        <v>0</v>
      </c>
      <c r="U1257" s="1443">
        <f t="shared" si="585"/>
        <v>0</v>
      </c>
      <c r="V1257" s="1443">
        <f t="shared" si="585"/>
        <v>0</v>
      </c>
      <c r="W1257" s="1443">
        <f t="shared" si="585"/>
        <v>0</v>
      </c>
      <c r="X1257" s="1443">
        <f t="shared" si="585"/>
        <v>0</v>
      </c>
      <c r="Y1257" s="1443">
        <f t="shared" si="585"/>
        <v>0</v>
      </c>
      <c r="Z1257" s="1737">
        <f t="shared" si="585"/>
        <v>0</v>
      </c>
    </row>
    <row r="1258" spans="1:42" s="562" customFormat="1" ht="12.75" customHeight="1" thickBot="1">
      <c r="A1258" s="618"/>
      <c r="B1258" s="479"/>
      <c r="C1258" s="977"/>
      <c r="D1258" s="777" t="s">
        <v>1113</v>
      </c>
      <c r="E1258" s="2475" t="s">
        <v>1275</v>
      </c>
      <c r="F1258" s="2410"/>
      <c r="G1258" s="815" t="str">
        <f>EUconst_tCO2pTJ</f>
        <v>t CO2 / TJ</v>
      </c>
      <c r="H1258" s="1479" t="str">
        <f>c_ALR2025!M3884</f>
        <v/>
      </c>
      <c r="I1258" s="1532"/>
      <c r="J1258" s="1811"/>
      <c r="K1258" s="1751"/>
      <c r="L1258" s="1751"/>
      <c r="M1258" s="1751"/>
      <c r="N1258" s="1752"/>
      <c r="O1258" s="485"/>
      <c r="P1258" s="9"/>
      <c r="Q1258" s="1644" t="str">
        <f>EUconst_CNTR_WGImportEF &amp; I979</f>
        <v>WasteGasImEF_</v>
      </c>
      <c r="R1258" s="1435"/>
      <c r="S1258" s="1753" t="str">
        <f>EUconst_CNTR_AttributedEmissions &amp; I979</f>
        <v>AttrEmissions_</v>
      </c>
      <c r="T1258" s="1743" t="str">
        <f t="shared" ref="T1258:Z1258" si="586">IF(T987,SUM(H1257)*EUconst_FuelBMvalue,"")</f>
        <v/>
      </c>
      <c r="U1258" s="1743" t="str">
        <f t="shared" si="586"/>
        <v/>
      </c>
      <c r="V1258" s="1743" t="str">
        <f t="shared" si="586"/>
        <v/>
      </c>
      <c r="W1258" s="1743" t="str">
        <f t="shared" si="586"/>
        <v/>
      </c>
      <c r="X1258" s="1743" t="str">
        <f t="shared" si="586"/>
        <v/>
      </c>
      <c r="Y1258" s="1743" t="str">
        <f t="shared" si="586"/>
        <v/>
      </c>
      <c r="Z1258" s="1744" t="str">
        <f t="shared" si="586"/>
        <v/>
      </c>
      <c r="AA1258" s="1435"/>
      <c r="AB1258" s="1641" t="s">
        <v>717</v>
      </c>
      <c r="AC1258" s="1443" t="b">
        <f>AC1256</f>
        <v>0</v>
      </c>
      <c r="AD1258" s="1443" t="b">
        <f t="shared" ref="AD1258:AI1258" si="587">AD1256</f>
        <v>0</v>
      </c>
      <c r="AE1258" s="1443" t="b">
        <f t="shared" si="587"/>
        <v>0</v>
      </c>
      <c r="AF1258" s="1443" t="b">
        <f t="shared" si="587"/>
        <v>0</v>
      </c>
      <c r="AG1258" s="1443" t="b">
        <f t="shared" si="587"/>
        <v>0</v>
      </c>
      <c r="AH1258" s="1443" t="b">
        <f t="shared" si="587"/>
        <v>0</v>
      </c>
      <c r="AI1258" s="1443" t="b">
        <f t="shared" si="587"/>
        <v>0</v>
      </c>
      <c r="AJ1258" s="1633" t="s">
        <v>1954</v>
      </c>
      <c r="AK1258" s="1635" t="str">
        <f>IF(AND(CNTR_ExistSubInstEntries,MSconst_RequireSubAttrEmissions,COUNTIFS(AC1258:AI1258,FALSE,H1258:N1258,"")&gt;0),EUconst_Error&amp;"BM"&amp;$Q979,"")</f>
        <v/>
      </c>
      <c r="AL1258" s="1198"/>
      <c r="AP1258" s="1135"/>
    </row>
    <row r="1259" spans="1:42" ht="12.75" customHeight="1">
      <c r="B1259" s="479"/>
      <c r="C1259" s="977"/>
      <c r="D1259" s="981"/>
      <c r="E1259" s="981"/>
      <c r="F1259" s="981"/>
      <c r="G1259" s="981"/>
      <c r="H1259" s="983"/>
      <c r="I1259" s="981"/>
      <c r="J1259" s="981"/>
      <c r="K1259" s="981"/>
      <c r="L1259" s="981"/>
      <c r="M1259" s="813"/>
      <c r="N1259" s="814"/>
      <c r="O1259" s="485"/>
      <c r="P1259" s="485"/>
      <c r="Q1259" s="1435"/>
      <c r="S1259" s="1435"/>
      <c r="T1259" s="1435"/>
      <c r="U1259" s="1435"/>
      <c r="V1259" s="1435"/>
    </row>
    <row r="1260" spans="1:42" ht="12.75" customHeight="1">
      <c r="B1260" s="479"/>
      <c r="C1260" s="977"/>
      <c r="D1260" s="777" t="s">
        <v>1114</v>
      </c>
      <c r="E1260" s="2649" t="s">
        <v>1217</v>
      </c>
      <c r="F1260" s="2391"/>
      <c r="G1260" s="2391"/>
      <c r="H1260" s="2512"/>
      <c r="I1260" s="3211" t="str">
        <f>c_ALR2025!I3886</f>
        <v/>
      </c>
      <c r="J1260" s="3206"/>
      <c r="K1260" s="3206"/>
      <c r="L1260" s="3206"/>
      <c r="M1260" s="3207"/>
      <c r="N1260" s="979"/>
      <c r="O1260" s="485"/>
      <c r="P1260" s="9"/>
      <c r="Q1260" s="1435"/>
      <c r="S1260" s="1435"/>
      <c r="AC1260" s="1641" t="s">
        <v>717</v>
      </c>
      <c r="AD1260" s="1443" t="b">
        <f>AD1251</f>
        <v>0</v>
      </c>
    </row>
    <row r="1261" spans="1:42" ht="12.75" customHeight="1">
      <c r="B1261" s="479"/>
      <c r="C1261" s="977"/>
      <c r="D1261" s="777"/>
      <c r="E1261" s="3272" t="s">
        <v>2298</v>
      </c>
      <c r="F1261" s="2380"/>
      <c r="G1261" s="2380"/>
      <c r="H1261" s="2380"/>
      <c r="I1261" s="2380"/>
      <c r="J1261" s="2380"/>
      <c r="K1261" s="2380"/>
      <c r="L1261" s="2380"/>
      <c r="M1261" s="2380"/>
      <c r="N1261" s="3268"/>
      <c r="O1261" s="485"/>
      <c r="P1261" s="485"/>
      <c r="Q1261" s="1435"/>
      <c r="S1261" s="1435"/>
      <c r="T1261" s="1435"/>
      <c r="U1261" s="1435"/>
      <c r="V1261" s="1435"/>
    </row>
    <row r="1262" spans="1:42" ht="25.5" customHeight="1">
      <c r="B1262" s="479"/>
      <c r="C1262" s="977"/>
      <c r="D1262" s="777"/>
      <c r="E1262" s="3267" t="s">
        <v>1317</v>
      </c>
      <c r="F1262" s="2380"/>
      <c r="G1262" s="2380"/>
      <c r="H1262" s="2380"/>
      <c r="I1262" s="2380"/>
      <c r="J1262" s="2380"/>
      <c r="K1262" s="2380"/>
      <c r="L1262" s="2380"/>
      <c r="M1262" s="2380"/>
      <c r="N1262" s="3268"/>
      <c r="O1262" s="485"/>
      <c r="P1262" s="485"/>
      <c r="Q1262" s="1435"/>
      <c r="S1262" s="1435"/>
      <c r="T1262" s="1435"/>
      <c r="U1262" s="1435"/>
      <c r="V1262" s="1435"/>
    </row>
    <row r="1263" spans="1:42" ht="12.75" customHeight="1" thickBot="1">
      <c r="B1263" s="479"/>
      <c r="C1263" s="977"/>
      <c r="D1263" s="981"/>
      <c r="E1263" s="989"/>
      <c r="F1263" s="990"/>
      <c r="G1263" s="987" t="str">
        <f>EUconst_Unit</f>
        <v>Unit</v>
      </c>
      <c r="H1263" s="782">
        <f t="shared" ref="H1263:N1263" si="588">H$3242</f>
        <v>2024</v>
      </c>
      <c r="I1263" s="988">
        <f t="shared" si="588"/>
        <v>2025</v>
      </c>
      <c r="J1263" s="1810">
        <f t="shared" si="588"/>
        <v>2026</v>
      </c>
      <c r="K1263" s="1747">
        <f t="shared" si="588"/>
        <v>2027</v>
      </c>
      <c r="L1263" s="1747">
        <f t="shared" si="588"/>
        <v>2028</v>
      </c>
      <c r="M1263" s="1747">
        <f t="shared" si="588"/>
        <v>2029</v>
      </c>
      <c r="N1263" s="1748">
        <f t="shared" si="588"/>
        <v>2030</v>
      </c>
      <c r="O1263" s="485"/>
      <c r="P1263" s="485"/>
      <c r="Q1263" s="1435"/>
      <c r="S1263" s="1435"/>
      <c r="T1263" s="1435"/>
      <c r="U1263" s="1435"/>
      <c r="V1263" s="1435"/>
      <c r="AC1263" s="1638">
        <f t="shared" ref="AC1263:AI1263" si="589">H$20</f>
        <v>2024</v>
      </c>
      <c r="AD1263" s="1638">
        <f t="shared" si="589"/>
        <v>2025</v>
      </c>
      <c r="AE1263" s="1638">
        <f t="shared" si="589"/>
        <v>2026</v>
      </c>
      <c r="AF1263" s="1638">
        <f t="shared" si="589"/>
        <v>2027</v>
      </c>
      <c r="AG1263" s="1638">
        <f t="shared" si="589"/>
        <v>2028</v>
      </c>
      <c r="AH1263" s="1638">
        <f t="shared" si="589"/>
        <v>2029</v>
      </c>
      <c r="AI1263" s="1638">
        <f t="shared" si="589"/>
        <v>2030</v>
      </c>
    </row>
    <row r="1264" spans="1:42" ht="12.75" customHeight="1">
      <c r="B1264" s="479"/>
      <c r="C1264" s="977"/>
      <c r="D1264" s="777" t="s">
        <v>1115</v>
      </c>
      <c r="E1264" s="2471" t="s">
        <v>1304</v>
      </c>
      <c r="F1264" s="2472"/>
      <c r="G1264" s="1763" t="str">
        <f>c_ALR2025!G3890</f>
        <v/>
      </c>
      <c r="H1264" s="1552" t="str">
        <f>c_ALR2025!M3890</f>
        <v/>
      </c>
      <c r="I1264" s="1611"/>
      <c r="J1264" s="1811"/>
      <c r="K1264" s="1751"/>
      <c r="L1264" s="1751"/>
      <c r="M1264" s="1751"/>
      <c r="N1264" s="1752"/>
      <c r="O1264" s="485"/>
      <c r="P1264" s="9"/>
      <c r="Q1264" s="1435"/>
      <c r="S1264" s="1435"/>
      <c r="T1264" s="1435"/>
      <c r="U1264" s="1435"/>
      <c r="V1264" s="1435"/>
      <c r="AB1264" s="1641" t="s">
        <v>717</v>
      </c>
      <c r="AC1264" s="1443" t="b">
        <f>AC1211</f>
        <v>0</v>
      </c>
      <c r="AD1264" s="1443" t="b">
        <f t="shared" ref="AD1264:AI1264" si="590">AD1211</f>
        <v>0</v>
      </c>
      <c r="AE1264" s="1443" t="b">
        <f t="shared" si="590"/>
        <v>0</v>
      </c>
      <c r="AF1264" s="1443" t="b">
        <f t="shared" si="590"/>
        <v>0</v>
      </c>
      <c r="AG1264" s="1443" t="b">
        <f t="shared" si="590"/>
        <v>0</v>
      </c>
      <c r="AH1264" s="1443" t="b">
        <f t="shared" si="590"/>
        <v>0</v>
      </c>
      <c r="AI1264" s="1443" t="b">
        <f t="shared" si="590"/>
        <v>0</v>
      </c>
      <c r="AJ1264" s="1633" t="s">
        <v>1954</v>
      </c>
      <c r="AK1264" s="1635" t="str">
        <f>IF(AND(CNTR_ExistSubInstEntries,MSconst_RequireSubAttrEmissions,COUNTIFS(AC1264:AI1264,FALSE,H1264:N1264,"")&gt;0),EUconst_Error&amp;"BM"&amp;$Q979,"")</f>
        <v/>
      </c>
    </row>
    <row r="1265" spans="1:42" ht="12.75" customHeight="1" thickBot="1">
      <c r="B1265" s="479"/>
      <c r="C1265" s="977"/>
      <c r="D1265" s="777" t="s">
        <v>1561</v>
      </c>
      <c r="E1265" s="2473" t="s">
        <v>661</v>
      </c>
      <c r="F1265" s="2474"/>
      <c r="G1265" s="1008" t="e">
        <f>IF(ISBLANK(G1264),EUconst_GJperUnit,INDEX(EUconst_GJperTorKNm3,MATCH(G1264,EUconst_TonnesOrkNm3pa,0)))</f>
        <v>#N/A</v>
      </c>
      <c r="H1265" s="1558" t="str">
        <f>c_ALR2025!M3891</f>
        <v/>
      </c>
      <c r="I1265" s="1884"/>
      <c r="J1265" s="1811"/>
      <c r="K1265" s="1751"/>
      <c r="L1265" s="1751"/>
      <c r="M1265" s="1751"/>
      <c r="N1265" s="1752"/>
      <c r="O1265" s="485"/>
      <c r="P1265" s="9"/>
      <c r="Q1265" s="1435"/>
      <c r="S1265" s="1435"/>
      <c r="T1265" s="1435"/>
      <c r="U1265" s="1435"/>
      <c r="V1265" s="1435"/>
      <c r="AC1265" s="1443" t="b">
        <f>AC1264</f>
        <v>0</v>
      </c>
      <c r="AD1265" s="1443" t="b">
        <f t="shared" ref="AD1265:AI1265" si="591">AD1264</f>
        <v>0</v>
      </c>
      <c r="AE1265" s="1443" t="b">
        <f t="shared" si="591"/>
        <v>0</v>
      </c>
      <c r="AF1265" s="1443" t="b">
        <f t="shared" si="591"/>
        <v>0</v>
      </c>
      <c r="AG1265" s="1443" t="b">
        <f t="shared" si="591"/>
        <v>0</v>
      </c>
      <c r="AH1265" s="1443" t="b">
        <f t="shared" si="591"/>
        <v>0</v>
      </c>
      <c r="AI1265" s="1443" t="b">
        <f t="shared" si="591"/>
        <v>0</v>
      </c>
      <c r="AJ1265" s="1633" t="s">
        <v>1954</v>
      </c>
      <c r="AK1265" s="1635" t="str">
        <f>IF(AND(CNTR_ExistSubInstEntries,MSconst_RequireSubAttrEmissions,COUNTIFS(AC1265:AI1265,FALSE,H1265:N1265,"")&gt;0),EUconst_Error&amp;"BM"&amp;$Q979,"")</f>
        <v/>
      </c>
    </row>
    <row r="1266" spans="1:42" ht="12.75" customHeight="1">
      <c r="B1266" s="479"/>
      <c r="C1266" s="977"/>
      <c r="D1266" s="777" t="s">
        <v>1599</v>
      </c>
      <c r="E1266" s="2475" t="s">
        <v>1080</v>
      </c>
      <c r="F1266" s="2410"/>
      <c r="G1266" s="815" t="str">
        <f>EUconst_TJpa</f>
        <v>TJ / year</v>
      </c>
      <c r="H1266" s="646" t="str">
        <f t="shared" ref="H1266:N1266" si="592">IF(COUNT(H1264:H1265)=2,H1264*H1265/1000,"")</f>
        <v/>
      </c>
      <c r="I1266" s="949" t="str">
        <f t="shared" si="592"/>
        <v/>
      </c>
      <c r="J1266" s="1811" t="str">
        <f t="shared" si="592"/>
        <v/>
      </c>
      <c r="K1266" s="1751" t="str">
        <f t="shared" si="592"/>
        <v/>
      </c>
      <c r="L1266" s="1751" t="str">
        <f t="shared" si="592"/>
        <v/>
      </c>
      <c r="M1266" s="1751" t="str">
        <f t="shared" si="592"/>
        <v/>
      </c>
      <c r="N1266" s="1752" t="str">
        <f t="shared" si="592"/>
        <v/>
      </c>
      <c r="O1266" s="485"/>
      <c r="P1266" s="485"/>
      <c r="Q1266" s="1644" t="str">
        <f>EUconst_CNTR_WGExport &amp; I979</f>
        <v>WasteGasEx_</v>
      </c>
      <c r="S1266" s="1648"/>
      <c r="T1266" s="1749">
        <f t="shared" ref="T1266:Z1266" si="593">H1263</f>
        <v>2024</v>
      </c>
      <c r="U1266" s="1749">
        <f t="shared" si="593"/>
        <v>2025</v>
      </c>
      <c r="V1266" s="1749">
        <f t="shared" si="593"/>
        <v>2026</v>
      </c>
      <c r="W1266" s="1749">
        <f t="shared" si="593"/>
        <v>2027</v>
      </c>
      <c r="X1266" s="1749">
        <f t="shared" si="593"/>
        <v>2028</v>
      </c>
      <c r="Y1266" s="1749">
        <f t="shared" si="593"/>
        <v>2029</v>
      </c>
      <c r="Z1266" s="1750">
        <f t="shared" si="593"/>
        <v>2030</v>
      </c>
    </row>
    <row r="1267" spans="1:42" s="562" customFormat="1" ht="12.75" customHeight="1" thickBot="1">
      <c r="A1267" s="1116"/>
      <c r="B1267" s="479"/>
      <c r="C1267" s="977"/>
      <c r="D1267" s="777" t="s">
        <v>1600</v>
      </c>
      <c r="E1267" s="2475" t="s">
        <v>1276</v>
      </c>
      <c r="F1267" s="2410"/>
      <c r="G1267" s="815" t="str">
        <f>EUconst_tCO2pTJ</f>
        <v>t CO2 / TJ</v>
      </c>
      <c r="H1267" s="1479" t="str">
        <f>c_ALR2025!M3893</f>
        <v/>
      </c>
      <c r="I1267" s="1532"/>
      <c r="J1267" s="1811"/>
      <c r="K1267" s="1751"/>
      <c r="L1267" s="1751"/>
      <c r="M1267" s="1751"/>
      <c r="N1267" s="1752"/>
      <c r="O1267" s="485"/>
      <c r="P1267" s="9"/>
      <c r="Q1267" s="1644" t="str">
        <f>EUconst_CNTR_WGExportEF &amp; I979</f>
        <v>WasteGasExEF_</v>
      </c>
      <c r="R1267" s="1435"/>
      <c r="S1267" s="1753" t="str">
        <f>EUconst_CNTR_AttributedEmissions &amp; I979</f>
        <v>AttrEmissions_</v>
      </c>
      <c r="T1267" s="1743" t="str">
        <f t="shared" ref="T1267:Z1267" si="594">IF(T987,-SUM(H1266)*EUconst_NGEFvalue*EUconst_WasteGasCorrFactor,"")</f>
        <v/>
      </c>
      <c r="U1267" s="1743" t="str">
        <f t="shared" si="594"/>
        <v/>
      </c>
      <c r="V1267" s="1743" t="str">
        <f t="shared" si="594"/>
        <v/>
      </c>
      <c r="W1267" s="1743" t="str">
        <f t="shared" si="594"/>
        <v/>
      </c>
      <c r="X1267" s="1743" t="str">
        <f t="shared" si="594"/>
        <v/>
      </c>
      <c r="Y1267" s="1743" t="str">
        <f t="shared" si="594"/>
        <v/>
      </c>
      <c r="Z1267" s="1744" t="str">
        <f t="shared" si="594"/>
        <v/>
      </c>
      <c r="AA1267" s="1435"/>
      <c r="AB1267" s="1641" t="s">
        <v>717</v>
      </c>
      <c r="AC1267" s="1443" t="b">
        <f t="shared" ref="AC1267:AI1267" si="595">AC1214</f>
        <v>0</v>
      </c>
      <c r="AD1267" s="1443" t="b">
        <f t="shared" si="595"/>
        <v>0</v>
      </c>
      <c r="AE1267" s="1443" t="b">
        <f t="shared" si="595"/>
        <v>0</v>
      </c>
      <c r="AF1267" s="1443" t="b">
        <f t="shared" si="595"/>
        <v>0</v>
      </c>
      <c r="AG1267" s="1443" t="b">
        <f t="shared" si="595"/>
        <v>0</v>
      </c>
      <c r="AH1267" s="1443" t="b">
        <f t="shared" si="595"/>
        <v>0</v>
      </c>
      <c r="AI1267" s="1443" t="b">
        <f t="shared" si="595"/>
        <v>0</v>
      </c>
      <c r="AJ1267" s="1633" t="s">
        <v>1954</v>
      </c>
      <c r="AK1267" s="1635" t="str">
        <f>IF(AND(CNTR_ExistSubInstEntries,MSconst_RequireSubAttrEmissions,COUNTIFS(AC1267:AI1267,FALSE,H1267:N1267,"")&gt;0),EUconst_Error&amp;"BM"&amp;$Q979,"")</f>
        <v/>
      </c>
      <c r="AL1267" s="1198"/>
      <c r="AP1267" s="1135"/>
    </row>
    <row r="1268" spans="1:42" ht="12.75" customHeight="1">
      <c r="B1268" s="479"/>
      <c r="C1268" s="977"/>
      <c r="D1268" s="981"/>
      <c r="E1268" s="981"/>
      <c r="F1268" s="981"/>
      <c r="G1268" s="981"/>
      <c r="H1268" s="981"/>
      <c r="I1268" s="983"/>
      <c r="J1268" s="981"/>
      <c r="K1268" s="981"/>
      <c r="L1268" s="981"/>
      <c r="M1268" s="981"/>
      <c r="N1268" s="814"/>
      <c r="O1268" s="485"/>
      <c r="P1268" s="485"/>
      <c r="Q1268" s="1435"/>
      <c r="S1268" s="1435"/>
    </row>
    <row r="1269" spans="1:42" ht="12.75" customHeight="1">
      <c r="B1269" s="479"/>
      <c r="C1269" s="977"/>
      <c r="D1269" s="982" t="s">
        <v>482</v>
      </c>
      <c r="E1269" s="2649" t="s">
        <v>1127</v>
      </c>
      <c r="F1269" s="2391"/>
      <c r="G1269" s="2391"/>
      <c r="H1269" s="2391"/>
      <c r="I1269" s="2391"/>
      <c r="J1269" s="2391"/>
      <c r="K1269" s="2391"/>
      <c r="L1269" s="2391"/>
      <c r="M1269" s="2391"/>
      <c r="N1269" s="2650"/>
      <c r="O1269" s="485"/>
      <c r="P1269" s="485"/>
      <c r="Q1269" s="1435"/>
      <c r="S1269" s="1435"/>
    </row>
    <row r="1270" spans="1:42" ht="12.75" customHeight="1">
      <c r="B1270" s="479"/>
      <c r="C1270" s="977"/>
      <c r="D1270" s="777"/>
      <c r="E1270" s="3272" t="s">
        <v>2299</v>
      </c>
      <c r="F1270" s="2380"/>
      <c r="G1270" s="2380"/>
      <c r="H1270" s="2380"/>
      <c r="I1270" s="2380"/>
      <c r="J1270" s="2380"/>
      <c r="K1270" s="2380"/>
      <c r="L1270" s="2380"/>
      <c r="M1270" s="2380"/>
      <c r="N1270" s="3268"/>
      <c r="O1270" s="485"/>
      <c r="P1270" s="485"/>
      <c r="Q1270" s="1435"/>
      <c r="S1270" s="1435"/>
      <c r="T1270" s="1435"/>
      <c r="U1270" s="1435"/>
      <c r="V1270" s="1435"/>
    </row>
    <row r="1271" spans="1:42" ht="25.5" customHeight="1" thickBot="1">
      <c r="B1271" s="479"/>
      <c r="C1271" s="977"/>
      <c r="D1271" s="981"/>
      <c r="E1271" s="3267" t="s">
        <v>2331</v>
      </c>
      <c r="F1271" s="2380"/>
      <c r="G1271" s="2380"/>
      <c r="H1271" s="2380"/>
      <c r="I1271" s="2380"/>
      <c r="J1271" s="2380"/>
      <c r="K1271" s="2380"/>
      <c r="L1271" s="2380"/>
      <c r="M1271" s="2380"/>
      <c r="N1271" s="3268"/>
      <c r="O1271" s="485"/>
      <c r="P1271" s="485"/>
      <c r="Q1271" s="1435"/>
      <c r="S1271" s="1435"/>
    </row>
    <row r="1272" spans="1:42" ht="12.75" customHeight="1" thickBot="1">
      <c r="B1272" s="479"/>
      <c r="C1272" s="977"/>
      <c r="D1272" s="982"/>
      <c r="E1272" s="989"/>
      <c r="F1272" s="990"/>
      <c r="G1272" s="987" t="str">
        <f>EUconst_Unit</f>
        <v>Unit</v>
      </c>
      <c r="H1272" s="782">
        <f t="shared" ref="H1272:N1272" si="596">H$3242</f>
        <v>2024</v>
      </c>
      <c r="I1272" s="988">
        <f t="shared" si="596"/>
        <v>2025</v>
      </c>
      <c r="J1272" s="1810">
        <f t="shared" si="596"/>
        <v>2026</v>
      </c>
      <c r="K1272" s="1747">
        <f t="shared" si="596"/>
        <v>2027</v>
      </c>
      <c r="L1272" s="1747">
        <f t="shared" si="596"/>
        <v>2028</v>
      </c>
      <c r="M1272" s="1747">
        <f t="shared" si="596"/>
        <v>2029</v>
      </c>
      <c r="N1272" s="1748">
        <f t="shared" si="596"/>
        <v>2030</v>
      </c>
      <c r="O1272" s="485"/>
      <c r="P1272" s="485"/>
      <c r="Q1272" s="1435"/>
      <c r="S1272" s="1648"/>
      <c r="T1272" s="1749">
        <f t="shared" ref="T1272:Z1272" si="597">H1272</f>
        <v>2024</v>
      </c>
      <c r="U1272" s="1749">
        <f t="shared" si="597"/>
        <v>2025</v>
      </c>
      <c r="V1272" s="1749">
        <f t="shared" si="597"/>
        <v>2026</v>
      </c>
      <c r="W1272" s="1749">
        <f t="shared" si="597"/>
        <v>2027</v>
      </c>
      <c r="X1272" s="1749">
        <f t="shared" si="597"/>
        <v>2028</v>
      </c>
      <c r="Y1272" s="1749">
        <f t="shared" si="597"/>
        <v>2029</v>
      </c>
      <c r="Z1272" s="1750">
        <f t="shared" si="597"/>
        <v>2030</v>
      </c>
      <c r="AC1272" s="1638">
        <f t="shared" ref="AC1272:AI1272" si="598">H$20</f>
        <v>2024</v>
      </c>
      <c r="AD1272" s="1638">
        <f t="shared" si="598"/>
        <v>2025</v>
      </c>
      <c r="AE1272" s="1638">
        <f t="shared" si="598"/>
        <v>2026</v>
      </c>
      <c r="AF1272" s="1638">
        <f t="shared" si="598"/>
        <v>2027</v>
      </c>
      <c r="AG1272" s="1638">
        <f t="shared" si="598"/>
        <v>2028</v>
      </c>
      <c r="AH1272" s="1638">
        <f t="shared" si="598"/>
        <v>2029</v>
      </c>
      <c r="AI1272" s="1638">
        <f t="shared" si="598"/>
        <v>2030</v>
      </c>
    </row>
    <row r="1273" spans="1:42" ht="12.75" customHeight="1" thickBot="1">
      <c r="B1273" s="479"/>
      <c r="C1273" s="977"/>
      <c r="D1273" s="777"/>
      <c r="E1273" s="2475" t="s">
        <v>1354</v>
      </c>
      <c r="F1273" s="2410"/>
      <c r="G1273" s="815" t="str">
        <f>EUconst_MWhpa</f>
        <v>MWh / year</v>
      </c>
      <c r="H1273" s="1479" t="str">
        <f>c_ALR2025!M3899</f>
        <v/>
      </c>
      <c r="I1273" s="1532"/>
      <c r="J1273" s="1811"/>
      <c r="K1273" s="1751"/>
      <c r="L1273" s="1751"/>
      <c r="M1273" s="1751"/>
      <c r="N1273" s="1752"/>
      <c r="O1273" s="485"/>
      <c r="P1273" s="9"/>
      <c r="Q1273" s="1644" t="str">
        <f>EUconst_CNTR_ElectricityExported &amp; I979</f>
        <v>ElecEx_</v>
      </c>
      <c r="S1273" s="1753" t="str">
        <f>EUconst_CNTR_AttributedEmissions &amp; I979</f>
        <v>AttrEmissions_</v>
      </c>
      <c r="T1273" s="1743" t="str">
        <f t="shared" ref="T1273:Z1273" si="599">IF(T987,-SUM(H1273)*EUconst_ElBM,"")</f>
        <v/>
      </c>
      <c r="U1273" s="1743" t="str">
        <f t="shared" si="599"/>
        <v/>
      </c>
      <c r="V1273" s="1743" t="str">
        <f t="shared" si="599"/>
        <v/>
      </c>
      <c r="W1273" s="1743" t="str">
        <f t="shared" si="599"/>
        <v/>
      </c>
      <c r="X1273" s="1743" t="str">
        <f t="shared" si="599"/>
        <v/>
      </c>
      <c r="Y1273" s="1743" t="str">
        <f t="shared" si="599"/>
        <v/>
      </c>
      <c r="Z1273" s="1744" t="str">
        <f t="shared" si="599"/>
        <v/>
      </c>
      <c r="AB1273" s="1641" t="s">
        <v>717</v>
      </c>
      <c r="AC1273" s="1443" t="b">
        <f>AC1049</f>
        <v>0</v>
      </c>
      <c r="AD1273" s="1443" t="b">
        <f t="shared" ref="AD1273:AI1273" si="600">AD1049</f>
        <v>0</v>
      </c>
      <c r="AE1273" s="1443" t="b">
        <f t="shared" si="600"/>
        <v>0</v>
      </c>
      <c r="AF1273" s="1443" t="b">
        <f t="shared" si="600"/>
        <v>0</v>
      </c>
      <c r="AG1273" s="1443" t="b">
        <f t="shared" si="600"/>
        <v>0</v>
      </c>
      <c r="AH1273" s="1443" t="b">
        <f t="shared" si="600"/>
        <v>0</v>
      </c>
      <c r="AI1273" s="1443" t="b">
        <f t="shared" si="600"/>
        <v>0</v>
      </c>
      <c r="AJ1273" s="1633" t="s">
        <v>1954</v>
      </c>
      <c r="AK1273" s="1635" t="str">
        <f>IF(AND(CNTR_ExistSubInstEntries,MSconst_RequireSubAttrEmissions,COUNTIFS(AC1273:AI1273,FALSE,H1273:N1273,"")&gt;0),EUconst_Error&amp;"BM"&amp;$Q979,"")</f>
        <v/>
      </c>
    </row>
    <row r="1274" spans="1:42" ht="12.75" customHeight="1">
      <c r="B1274" s="479"/>
      <c r="C1274" s="977"/>
      <c r="D1274" s="981"/>
      <c r="E1274" s="981"/>
      <c r="F1274" s="981"/>
      <c r="G1274" s="981"/>
      <c r="H1274" s="981"/>
      <c r="I1274" s="983"/>
      <c r="J1274" s="981"/>
      <c r="K1274" s="981"/>
      <c r="L1274" s="981"/>
      <c r="M1274" s="981"/>
      <c r="N1274" s="814"/>
      <c r="O1274" s="485"/>
      <c r="P1274" s="485"/>
      <c r="Q1274" s="1435"/>
      <c r="S1274" s="1435"/>
      <c r="V1274" s="1435"/>
    </row>
    <row r="1275" spans="1:42" ht="12.75" customHeight="1">
      <c r="B1275" s="479"/>
      <c r="C1275" s="977"/>
      <c r="D1275" s="982" t="s">
        <v>245</v>
      </c>
      <c r="E1275" s="2649" t="s">
        <v>1157</v>
      </c>
      <c r="F1275" s="2391"/>
      <c r="G1275" s="2391"/>
      <c r="H1275" s="2391"/>
      <c r="I1275" s="2391"/>
      <c r="J1275" s="2391"/>
      <c r="K1275" s="2391"/>
      <c r="L1275" s="2391"/>
      <c r="M1275" s="2391"/>
      <c r="N1275" s="2650"/>
      <c r="O1275" s="485"/>
      <c r="P1275" s="485"/>
      <c r="V1275" s="1435"/>
    </row>
    <row r="1276" spans="1:42" ht="25.5" customHeight="1">
      <c r="B1276" s="479"/>
      <c r="C1276" s="977"/>
      <c r="D1276" s="981"/>
      <c r="E1276" s="3267" t="s">
        <v>1264</v>
      </c>
      <c r="F1276" s="2380"/>
      <c r="G1276" s="2380"/>
      <c r="H1276" s="2380"/>
      <c r="I1276" s="2380"/>
      <c r="J1276" s="2380"/>
      <c r="K1276" s="2380"/>
      <c r="L1276" s="2380"/>
      <c r="M1276" s="2380"/>
      <c r="N1276" s="3268"/>
      <c r="O1276" s="485"/>
      <c r="P1276" s="485"/>
      <c r="Q1276" s="1435"/>
      <c r="S1276" s="1435"/>
      <c r="V1276" s="1435"/>
    </row>
    <row r="1277" spans="1:42" ht="12.75" customHeight="1">
      <c r="B1277" s="479"/>
      <c r="C1277" s="977"/>
      <c r="D1277" s="981"/>
      <c r="E1277" s="3267" t="s">
        <v>1563</v>
      </c>
      <c r="F1277" s="2380"/>
      <c r="G1277" s="2380"/>
      <c r="H1277" s="2380"/>
      <c r="I1277" s="2380"/>
      <c r="J1277" s="2380"/>
      <c r="K1277" s="2380"/>
      <c r="L1277" s="2380"/>
      <c r="M1277" s="2380"/>
      <c r="N1277" s="3268"/>
      <c r="O1277" s="485"/>
      <c r="P1277" s="485"/>
      <c r="Q1277" s="1435"/>
      <c r="S1277" s="1435"/>
      <c r="V1277" s="1435"/>
    </row>
    <row r="1278" spans="1:42" ht="12.75" customHeight="1" thickBot="1">
      <c r="B1278" s="479"/>
      <c r="C1278" s="977"/>
      <c r="D1278" s="777"/>
      <c r="E1278" s="3283" t="s">
        <v>1598</v>
      </c>
      <c r="F1278" s="3284"/>
      <c r="G1278" s="3284"/>
      <c r="H1278" s="3284"/>
      <c r="I1278" s="3284"/>
      <c r="J1278" s="2380"/>
      <c r="K1278" s="2380"/>
      <c r="L1278" s="2380"/>
      <c r="M1278" s="2380"/>
      <c r="N1278" s="3268"/>
      <c r="O1278" s="485"/>
      <c r="P1278" s="485"/>
      <c r="Q1278" s="1435"/>
      <c r="S1278" s="1435"/>
      <c r="V1278" s="1435"/>
      <c r="AC1278" s="1638">
        <f t="shared" ref="AC1278:AI1278" si="601">H$20</f>
        <v>2024</v>
      </c>
      <c r="AD1278" s="1638">
        <f t="shared" si="601"/>
        <v>2025</v>
      </c>
      <c r="AE1278" s="1638">
        <f t="shared" si="601"/>
        <v>2026</v>
      </c>
      <c r="AF1278" s="1638">
        <f t="shared" si="601"/>
        <v>2027</v>
      </c>
      <c r="AG1278" s="1638">
        <f t="shared" si="601"/>
        <v>2028</v>
      </c>
      <c r="AH1278" s="1638">
        <f t="shared" si="601"/>
        <v>2029</v>
      </c>
      <c r="AI1278" s="1638">
        <f t="shared" si="601"/>
        <v>2030</v>
      </c>
    </row>
    <row r="1279" spans="1:42" ht="12.75" customHeight="1">
      <c r="B1279" s="479"/>
      <c r="C1279" s="977"/>
      <c r="D1279" s="777"/>
      <c r="E1279" s="3285" t="str">
        <f>IF(I979="","",IF(INDEX(EUconst_BMlistPulp,MATCH(I979,EUconst_BMlistNames,0)),I979,""))</f>
        <v/>
      </c>
      <c r="F1279" s="2410"/>
      <c r="G1279" s="815" t="str">
        <f>EUconst_Tons</f>
        <v>tonnes</v>
      </c>
      <c r="H1279" s="1869"/>
      <c r="I1279" s="1532"/>
      <c r="J1279" s="1811"/>
      <c r="K1279" s="1751"/>
      <c r="L1279" s="1751"/>
      <c r="M1279" s="1751"/>
      <c r="N1279" s="1752"/>
      <c r="O1279" s="485"/>
      <c r="P1279" s="9"/>
      <c r="Q1279" s="1644" t="str">
        <f>EUconst_CNTR_HALPulpTotal &amp; I979</f>
        <v>HALPulpTotal_</v>
      </c>
      <c r="S1279" s="1435"/>
      <c r="AB1279" s="1641" t="s">
        <v>717</v>
      </c>
      <c r="AC1279" s="1423" t="b">
        <f t="shared" ref="AC1279:AI1279" si="602">IF($I979&lt;&gt;"",IF(INDEX(EUconst_BMlistPulp,MATCH($I979,EUconst_BMlistNames,0))=TRUE,FALSE,TRUE),AC1049)</f>
        <v>0</v>
      </c>
      <c r="AD1279" s="1443" t="b">
        <f t="shared" si="602"/>
        <v>0</v>
      </c>
      <c r="AE1279" s="1443" t="b">
        <f t="shared" si="602"/>
        <v>0</v>
      </c>
      <c r="AF1279" s="1443" t="b">
        <f t="shared" si="602"/>
        <v>0</v>
      </c>
      <c r="AG1279" s="1443" t="b">
        <f t="shared" si="602"/>
        <v>0</v>
      </c>
      <c r="AH1279" s="1443" t="b">
        <f t="shared" si="602"/>
        <v>0</v>
      </c>
      <c r="AI1279" s="1443" t="b">
        <f t="shared" si="602"/>
        <v>0</v>
      </c>
      <c r="AJ1279" s="1633" t="s">
        <v>1954</v>
      </c>
      <c r="AK1279" s="1635" t="str">
        <f>IF(AND(CNTR_ExistSubInstEntries,MSconst_RequireSubAttrEmissions,COUNTIFS(AC1279:AI1279,FALSE,H1279:N1279,"")&gt;0),EUconst_Error&amp;"BM"&amp;$Q979,"")</f>
        <v/>
      </c>
    </row>
    <row r="1280" spans="1:42" ht="12.75" customHeight="1">
      <c r="B1280" s="479"/>
      <c r="C1280" s="977"/>
      <c r="D1280" s="777"/>
      <c r="E1280" s="777"/>
      <c r="F1280" s="777"/>
      <c r="G1280" s="777"/>
      <c r="H1280" s="983"/>
      <c r="I1280" s="777"/>
      <c r="J1280" s="777"/>
      <c r="K1280" s="777"/>
      <c r="L1280" s="777"/>
      <c r="M1280" s="777"/>
      <c r="N1280" s="1007"/>
      <c r="O1280" s="485"/>
      <c r="P1280" s="485"/>
      <c r="Q1280" s="1435"/>
      <c r="S1280" s="1435"/>
      <c r="V1280" s="1435"/>
    </row>
    <row r="1281" spans="2:37" ht="12.75" customHeight="1">
      <c r="B1281" s="479"/>
      <c r="C1281" s="977"/>
      <c r="D1281" s="982" t="s">
        <v>832</v>
      </c>
      <c r="E1281" s="2649" t="s">
        <v>1142</v>
      </c>
      <c r="F1281" s="2391"/>
      <c r="G1281" s="2391"/>
      <c r="H1281" s="2391"/>
      <c r="I1281" s="2391"/>
      <c r="J1281" s="2391"/>
      <c r="K1281" s="2391"/>
      <c r="L1281" s="2391"/>
      <c r="M1281" s="2391"/>
      <c r="N1281" s="2650"/>
      <c r="O1281" s="485"/>
      <c r="P1281" s="485"/>
      <c r="Q1281" s="1435"/>
      <c r="S1281" s="1435"/>
      <c r="V1281" s="1435"/>
    </row>
    <row r="1282" spans="2:37" ht="25.5" customHeight="1">
      <c r="B1282" s="479"/>
      <c r="C1282" s="977"/>
      <c r="D1282" s="981"/>
      <c r="E1282" s="3267" t="s">
        <v>1366</v>
      </c>
      <c r="F1282" s="2380"/>
      <c r="G1282" s="2380"/>
      <c r="H1282" s="2380"/>
      <c r="I1282" s="2380"/>
      <c r="J1282" s="2380"/>
      <c r="K1282" s="2380"/>
      <c r="L1282" s="2380"/>
      <c r="M1282" s="2380"/>
      <c r="N1282" s="3268"/>
      <c r="O1282" s="485"/>
      <c r="P1282" s="485"/>
      <c r="Q1282" s="1435"/>
      <c r="S1282" s="1435"/>
      <c r="V1282" s="1435"/>
    </row>
    <row r="1283" spans="2:37" ht="12.75" customHeight="1">
      <c r="B1283" s="479"/>
      <c r="C1283" s="977"/>
      <c r="D1283" s="981"/>
      <c r="E1283" s="3272" t="s">
        <v>1610</v>
      </c>
      <c r="F1283" s="2380"/>
      <c r="G1283" s="2380"/>
      <c r="H1283" s="2380"/>
      <c r="I1283" s="2380"/>
      <c r="J1283" s="2380"/>
      <c r="K1283" s="2380"/>
      <c r="L1283" s="2380"/>
      <c r="M1283" s="2380"/>
      <c r="N1283" s="3268"/>
      <c r="O1283" s="485"/>
      <c r="P1283" s="485"/>
      <c r="Q1283" s="1435"/>
      <c r="S1283" s="1435"/>
      <c r="V1283" s="1435"/>
    </row>
    <row r="1284" spans="2:37" ht="12.75" customHeight="1">
      <c r="B1284" s="1124"/>
      <c r="C1284" s="977"/>
      <c r="D1284" s="777" t="s">
        <v>6</v>
      </c>
      <c r="E1284" s="2682" t="s">
        <v>1145</v>
      </c>
      <c r="F1284" s="2391"/>
      <c r="G1284" s="2391"/>
      <c r="H1284" s="2391"/>
      <c r="I1284" s="2391"/>
      <c r="J1284" s="2391"/>
      <c r="K1284" s="2512"/>
      <c r="L1284" s="1478" t="str">
        <f>c_ALR2025!L3910</f>
        <v/>
      </c>
      <c r="M1284" s="813"/>
      <c r="N1284" s="1015"/>
      <c r="O1284" s="485"/>
      <c r="P1284" s="9"/>
      <c r="AF1284" s="1641" t="s">
        <v>717</v>
      </c>
      <c r="AG1284" s="1423" t="b">
        <f>AND(CNTR_ExistSubInstEntries,I979="")</f>
        <v>0</v>
      </c>
    </row>
    <row r="1285" spans="2:37" ht="5.0999999999999996" customHeight="1">
      <c r="B1285" s="479"/>
      <c r="C1285" s="977"/>
      <c r="D1285" s="777"/>
      <c r="E1285" s="777"/>
      <c r="F1285" s="777"/>
      <c r="G1285" s="777"/>
      <c r="H1285" s="983"/>
      <c r="I1285" s="777"/>
      <c r="J1285" s="777"/>
      <c r="K1285" s="777"/>
      <c r="L1285" s="777"/>
      <c r="M1285" s="777"/>
      <c r="N1285" s="1007"/>
      <c r="O1285" s="485"/>
      <c r="P1285" s="485"/>
      <c r="Q1285" s="1435"/>
      <c r="S1285" s="1435"/>
      <c r="V1285" s="1435"/>
    </row>
    <row r="1286" spans="2:37" ht="12.75" customHeight="1" thickBot="1">
      <c r="B1286" s="479"/>
      <c r="C1286" s="977"/>
      <c r="D1286" s="982"/>
      <c r="E1286" s="2648" t="s">
        <v>1144</v>
      </c>
      <c r="F1286" s="2493"/>
      <c r="G1286" s="778" t="str">
        <f>EUconst_Unit</f>
        <v>Unit</v>
      </c>
      <c r="H1286" s="782">
        <f t="shared" ref="H1286:N1286" si="603">H$3242</f>
        <v>2024</v>
      </c>
      <c r="I1286" s="988">
        <f t="shared" si="603"/>
        <v>2025</v>
      </c>
      <c r="J1286" s="1810">
        <f t="shared" si="603"/>
        <v>2026</v>
      </c>
      <c r="K1286" s="1747">
        <f t="shared" si="603"/>
        <v>2027</v>
      </c>
      <c r="L1286" s="1747">
        <f t="shared" si="603"/>
        <v>2028</v>
      </c>
      <c r="M1286" s="1747">
        <f t="shared" si="603"/>
        <v>2029</v>
      </c>
      <c r="N1286" s="1748">
        <f t="shared" si="603"/>
        <v>2030</v>
      </c>
      <c r="O1286" s="485"/>
      <c r="P1286" s="485"/>
      <c r="Q1286" s="1435"/>
      <c r="S1286" s="1435"/>
      <c r="V1286" s="1435"/>
      <c r="AC1286" s="1638">
        <f t="shared" ref="AC1286:AI1286" si="604">H$20</f>
        <v>2024</v>
      </c>
      <c r="AD1286" s="1638">
        <f t="shared" si="604"/>
        <v>2025</v>
      </c>
      <c r="AE1286" s="1638">
        <f t="shared" si="604"/>
        <v>2026</v>
      </c>
      <c r="AF1286" s="1638">
        <f t="shared" si="604"/>
        <v>2027</v>
      </c>
      <c r="AG1286" s="1638">
        <f t="shared" si="604"/>
        <v>2028</v>
      </c>
      <c r="AH1286" s="1638">
        <f t="shared" si="604"/>
        <v>2029</v>
      </c>
      <c r="AI1286" s="1638">
        <f t="shared" si="604"/>
        <v>2030</v>
      </c>
    </row>
    <row r="1287" spans="2:37" ht="12.75" customHeight="1">
      <c r="B1287" s="479"/>
      <c r="C1287" s="977"/>
      <c r="D1287" s="777" t="s">
        <v>7</v>
      </c>
      <c r="E1287" s="3279"/>
      <c r="F1287" s="3280"/>
      <c r="G1287" s="1016" t="str">
        <f>IF(E1287&lt;&gt;"",INDEX(EUconst_BMlistUnits,MATCH(E1287,EUconst_BMlistNames,0)),EUconst_Tons)</f>
        <v>tonnes</v>
      </c>
      <c r="H1287" s="1774" t="str">
        <f>c_ALR2025!M3913</f>
        <v/>
      </c>
      <c r="I1287" s="1886"/>
      <c r="J1287" s="1812"/>
      <c r="K1287" s="1754"/>
      <c r="L1287" s="1754"/>
      <c r="M1287" s="1754"/>
      <c r="N1287" s="1755"/>
      <c r="O1287" s="485"/>
      <c r="P1287" s="9"/>
      <c r="Q1287" s="1644" t="str">
        <f>EUconst_CNTR_IntermediateImport &amp; S1287 &amp; "_" &amp; I979</f>
        <v>IntImp_1_</v>
      </c>
      <c r="S1287" s="1644">
        <v>1</v>
      </c>
      <c r="V1287" s="1435"/>
      <c r="AB1287" s="1641" t="s">
        <v>717</v>
      </c>
      <c r="AC1287" s="1423" t="b">
        <f>OR(AND($L1284&lt;&gt;"",$L1284=FALSE),AC1049)</f>
        <v>0</v>
      </c>
      <c r="AD1287" s="1443" t="b">
        <f t="shared" ref="AD1287:AI1287" si="605">OR(AND($L1284&lt;&gt;"",$L1284=FALSE),AD1049)</f>
        <v>0</v>
      </c>
      <c r="AE1287" s="1443" t="b">
        <f t="shared" si="605"/>
        <v>0</v>
      </c>
      <c r="AF1287" s="1443" t="b">
        <f t="shared" si="605"/>
        <v>0</v>
      </c>
      <c r="AG1287" s="1443" t="b">
        <f t="shared" si="605"/>
        <v>0</v>
      </c>
      <c r="AH1287" s="1443" t="b">
        <f t="shared" si="605"/>
        <v>0</v>
      </c>
      <c r="AI1287" s="1443" t="b">
        <f t="shared" si="605"/>
        <v>0</v>
      </c>
      <c r="AJ1287" s="1633" t="s">
        <v>1954</v>
      </c>
      <c r="AK1287" s="1635" t="str">
        <f>IF(AND(CNTR_ExistSubInstEntries,MSconst_RequireSubAttrEmissions,COUNTIFS(AC1287:AI1287,FALSE,H1287:N1287,"")&gt;0),EUconst_Error&amp;"BM"&amp;$Q979,"")</f>
        <v/>
      </c>
    </row>
    <row r="1288" spans="2:37" ht="12.75" customHeight="1">
      <c r="B1288" s="479"/>
      <c r="C1288" s="977"/>
      <c r="D1288" s="777" t="s">
        <v>8</v>
      </c>
      <c r="E1288" s="3281"/>
      <c r="F1288" s="3282"/>
      <c r="G1288" s="1008" t="str">
        <f>IF(E1288&lt;&gt;"",INDEX(EUconst_BMlistUnits,MATCH(E1288,EUconst_BMlistNames,0)),EUconst_Tons)</f>
        <v>tonnes</v>
      </c>
      <c r="H1288" s="1816" t="str">
        <f>c_ALR2025!M3914</f>
        <v/>
      </c>
      <c r="I1288" s="1887"/>
      <c r="J1288" s="1812"/>
      <c r="K1288" s="1754"/>
      <c r="L1288" s="1754"/>
      <c r="M1288" s="1754"/>
      <c r="N1288" s="1755"/>
      <c r="O1288" s="485"/>
      <c r="P1288" s="9"/>
      <c r="Q1288" s="1644" t="str">
        <f>EUconst_CNTR_IntermediateImport &amp; S1288 &amp; "_" &amp; I979</f>
        <v>IntImp_2_</v>
      </c>
      <c r="S1288" s="1644">
        <v>2</v>
      </c>
      <c r="V1288" s="1435"/>
      <c r="AC1288" s="1443" t="b">
        <f>AC1287</f>
        <v>0</v>
      </c>
      <c r="AD1288" s="1443" t="b">
        <f t="shared" ref="AD1288:AI1288" si="606">AD1287</f>
        <v>0</v>
      </c>
      <c r="AE1288" s="1443" t="b">
        <f t="shared" si="606"/>
        <v>0</v>
      </c>
      <c r="AF1288" s="1443" t="b">
        <f t="shared" si="606"/>
        <v>0</v>
      </c>
      <c r="AG1288" s="1443" t="b">
        <f t="shared" si="606"/>
        <v>0</v>
      </c>
      <c r="AH1288" s="1443" t="b">
        <f t="shared" si="606"/>
        <v>0</v>
      </c>
      <c r="AI1288" s="1443" t="b">
        <f t="shared" si="606"/>
        <v>0</v>
      </c>
    </row>
    <row r="1289" spans="2:37" ht="5.0999999999999996" customHeight="1">
      <c r="B1289" s="479"/>
      <c r="C1289" s="977"/>
      <c r="D1289" s="777"/>
      <c r="E1289" s="777"/>
      <c r="F1289" s="777"/>
      <c r="G1289" s="777"/>
      <c r="H1289" s="777"/>
      <c r="I1289" s="777"/>
      <c r="J1289" s="1817"/>
      <c r="K1289" s="1776"/>
      <c r="L1289" s="1776"/>
      <c r="M1289" s="1776"/>
      <c r="N1289" s="1777"/>
      <c r="O1289" s="485"/>
      <c r="P1289" s="485"/>
      <c r="Q1289" s="1435"/>
      <c r="S1289" s="1435"/>
      <c r="V1289" s="1435"/>
    </row>
    <row r="1290" spans="2:37" ht="12.75" customHeight="1" thickBot="1">
      <c r="B1290" s="479"/>
      <c r="C1290" s="977"/>
      <c r="D1290" s="982"/>
      <c r="E1290" s="2648" t="s">
        <v>1143</v>
      </c>
      <c r="F1290" s="2493"/>
      <c r="G1290" s="778" t="str">
        <f>EUconst_Unit</f>
        <v>Unit</v>
      </c>
      <c r="H1290" s="782">
        <f t="shared" ref="H1290:N1290" si="607">H$3242</f>
        <v>2024</v>
      </c>
      <c r="I1290" s="988">
        <f t="shared" si="607"/>
        <v>2025</v>
      </c>
      <c r="J1290" s="1810">
        <f t="shared" si="607"/>
        <v>2026</v>
      </c>
      <c r="K1290" s="1747">
        <f t="shared" si="607"/>
        <v>2027</v>
      </c>
      <c r="L1290" s="1747">
        <f t="shared" si="607"/>
        <v>2028</v>
      </c>
      <c r="M1290" s="1747">
        <f t="shared" si="607"/>
        <v>2029</v>
      </c>
      <c r="N1290" s="1748">
        <f t="shared" si="607"/>
        <v>2030</v>
      </c>
      <c r="O1290" s="485"/>
      <c r="P1290" s="485"/>
      <c r="Q1290" s="1435"/>
      <c r="S1290" s="1435"/>
      <c r="V1290" s="1435"/>
      <c r="AC1290" s="1638">
        <f t="shared" ref="AC1290:AI1290" si="608">H$20</f>
        <v>2024</v>
      </c>
      <c r="AD1290" s="1638">
        <f t="shared" si="608"/>
        <v>2025</v>
      </c>
      <c r="AE1290" s="1638">
        <f t="shared" si="608"/>
        <v>2026</v>
      </c>
      <c r="AF1290" s="1638">
        <f t="shared" si="608"/>
        <v>2027</v>
      </c>
      <c r="AG1290" s="1638">
        <f t="shared" si="608"/>
        <v>2028</v>
      </c>
      <c r="AH1290" s="1638">
        <f t="shared" si="608"/>
        <v>2029</v>
      </c>
      <c r="AI1290" s="1638">
        <f t="shared" si="608"/>
        <v>2030</v>
      </c>
    </row>
    <row r="1291" spans="2:37" ht="12.75" customHeight="1">
      <c r="B1291" s="479"/>
      <c r="C1291" s="977"/>
      <c r="D1291" s="777" t="s">
        <v>18</v>
      </c>
      <c r="E1291" s="3279"/>
      <c r="F1291" s="3280"/>
      <c r="G1291" s="1016" t="str">
        <f>IF(E1291&lt;&gt;"",INDEX(EUconst_BMlistUnits,MATCH(E1291,EUconst_BMlistNames,0)),EUconst_Tons)</f>
        <v>tonnes</v>
      </c>
      <c r="H1291" s="1774" t="str">
        <f>c_ALR2025!M3917</f>
        <v/>
      </c>
      <c r="I1291" s="1886"/>
      <c r="J1291" s="1812"/>
      <c r="K1291" s="1754"/>
      <c r="L1291" s="1754"/>
      <c r="M1291" s="1754"/>
      <c r="N1291" s="1755"/>
      <c r="O1291" s="485"/>
      <c r="P1291" s="9"/>
      <c r="Q1291" s="1644" t="str">
        <f>EUconst_CNTR_IntermediateExport &amp; S1287 &amp; "_" &amp; I979</f>
        <v>IntExp_1_</v>
      </c>
      <c r="S1291" s="1644">
        <v>1</v>
      </c>
      <c r="V1291" s="1435"/>
      <c r="X1291" s="1778"/>
      <c r="Y1291" s="1778"/>
      <c r="AB1291" s="1641" t="s">
        <v>717</v>
      </c>
      <c r="AC1291" s="1443" t="b">
        <f>AC1287</f>
        <v>0</v>
      </c>
      <c r="AD1291" s="1443" t="b">
        <f t="shared" ref="AD1291:AI1291" si="609">AD1287</f>
        <v>0</v>
      </c>
      <c r="AE1291" s="1443" t="b">
        <f t="shared" si="609"/>
        <v>0</v>
      </c>
      <c r="AF1291" s="1443" t="b">
        <f t="shared" si="609"/>
        <v>0</v>
      </c>
      <c r="AG1291" s="1443" t="b">
        <f t="shared" si="609"/>
        <v>0</v>
      </c>
      <c r="AH1291" s="1443" t="b">
        <f t="shared" si="609"/>
        <v>0</v>
      </c>
      <c r="AI1291" s="1443" t="b">
        <f t="shared" si="609"/>
        <v>0</v>
      </c>
      <c r="AJ1291" s="1633" t="s">
        <v>1954</v>
      </c>
      <c r="AK1291" s="1635" t="str">
        <f>IF(AND(CNTR_ExistSubInstEntries,MSconst_RequireSubAttrEmissions,COUNTIFS(AC1291:AI1291,FALSE,H1291:N1291,"")&gt;0),EUconst_Error&amp;"BM"&amp;$Q979,"")</f>
        <v/>
      </c>
    </row>
    <row r="1292" spans="2:37" ht="12.75" customHeight="1">
      <c r="B1292" s="479"/>
      <c r="C1292" s="977"/>
      <c r="D1292" s="777" t="s">
        <v>787</v>
      </c>
      <c r="E1292" s="3281"/>
      <c r="F1292" s="3282"/>
      <c r="G1292" s="1008" t="str">
        <f>IF(E1292&lt;&gt;"",INDEX(EUconst_BMlistUnits,MATCH(E1292,EUconst_BMlistNames,0)),EUconst_Tons)</f>
        <v>tonnes</v>
      </c>
      <c r="H1292" s="1816" t="str">
        <f>c_ALR2025!M3918</f>
        <v/>
      </c>
      <c r="I1292" s="1887"/>
      <c r="J1292" s="1812"/>
      <c r="K1292" s="1754"/>
      <c r="L1292" s="1754"/>
      <c r="M1292" s="1754"/>
      <c r="N1292" s="1755"/>
      <c r="O1292" s="485"/>
      <c r="P1292" s="9"/>
      <c r="Q1292" s="1644" t="str">
        <f>EUconst_CNTR_IntermediateExport &amp; S1292 &amp; "_" &amp; I979</f>
        <v>IntExp_2_</v>
      </c>
      <c r="S1292" s="1644">
        <v>2</v>
      </c>
      <c r="V1292" s="1435"/>
      <c r="X1292" s="1778"/>
      <c r="Y1292" s="1778"/>
      <c r="AC1292" s="1443" t="b">
        <f t="shared" ref="AC1292:AI1292" si="610">AC1288</f>
        <v>0</v>
      </c>
      <c r="AD1292" s="1443" t="b">
        <f t="shared" si="610"/>
        <v>0</v>
      </c>
      <c r="AE1292" s="1443" t="b">
        <f t="shared" si="610"/>
        <v>0</v>
      </c>
      <c r="AF1292" s="1443" t="b">
        <f t="shared" si="610"/>
        <v>0</v>
      </c>
      <c r="AG1292" s="1443" t="b">
        <f t="shared" si="610"/>
        <v>0</v>
      </c>
      <c r="AH1292" s="1443" t="b">
        <f t="shared" si="610"/>
        <v>0</v>
      </c>
      <c r="AI1292" s="1443" t="b">
        <f t="shared" si="610"/>
        <v>0</v>
      </c>
    </row>
    <row r="1293" spans="2:37" ht="5.0999999999999996" customHeight="1">
      <c r="B1293" s="479"/>
      <c r="C1293" s="977"/>
      <c r="D1293" s="777"/>
      <c r="E1293" s="777"/>
      <c r="F1293" s="777"/>
      <c r="G1293" s="777"/>
      <c r="H1293" s="777"/>
      <c r="I1293" s="777"/>
      <c r="J1293" s="777"/>
      <c r="K1293" s="777"/>
      <c r="L1293" s="777"/>
      <c r="M1293" s="777"/>
      <c r="N1293" s="1007"/>
      <c r="O1293" s="485"/>
      <c r="P1293" s="485"/>
      <c r="Q1293" s="1435"/>
      <c r="S1293" s="1435"/>
      <c r="V1293" s="1435"/>
      <c r="X1293" s="1778"/>
      <c r="Y1293" s="1778"/>
    </row>
    <row r="1294" spans="2:37" ht="12.75" customHeight="1">
      <c r="B1294" s="479"/>
      <c r="C1294" s="977"/>
      <c r="D1294" s="777" t="s">
        <v>788</v>
      </c>
      <c r="E1294" s="813" t="s">
        <v>1146</v>
      </c>
      <c r="F1294" s="813"/>
      <c r="G1294" s="813"/>
      <c r="H1294" s="813"/>
      <c r="I1294" s="813"/>
      <c r="J1294" s="813"/>
      <c r="K1294" s="813"/>
      <c r="L1294" s="813"/>
      <c r="M1294" s="813"/>
      <c r="N1294" s="1007"/>
      <c r="O1294" s="485"/>
      <c r="P1294" s="485"/>
      <c r="Q1294" s="1435"/>
      <c r="S1294" s="1435"/>
      <c r="V1294" s="1435"/>
      <c r="X1294" s="1778"/>
      <c r="Y1294" s="1778"/>
    </row>
    <row r="1295" spans="2:37" ht="12.75" customHeight="1">
      <c r="B1295" s="479"/>
      <c r="C1295" s="977"/>
      <c r="D1295" s="777"/>
      <c r="E1295" s="1836" t="s">
        <v>1459</v>
      </c>
      <c r="F1295" s="978"/>
      <c r="G1295" s="978"/>
      <c r="H1295" s="978"/>
      <c r="I1295" s="978"/>
      <c r="J1295" s="978"/>
      <c r="K1295" s="978"/>
      <c r="L1295" s="978"/>
      <c r="M1295" s="978"/>
      <c r="N1295" s="979"/>
      <c r="O1295" s="485"/>
      <c r="P1295" s="485"/>
      <c r="Q1295" s="1435"/>
      <c r="S1295" s="1435"/>
      <c r="V1295" s="1435"/>
      <c r="X1295" s="1778"/>
      <c r="Y1295" s="1778"/>
    </row>
    <row r="1296" spans="2:37" ht="12.75" customHeight="1">
      <c r="B1296" s="479"/>
      <c r="C1296" s="977"/>
      <c r="D1296" s="777"/>
      <c r="E1296" s="3273"/>
      <c r="F1296" s="3274"/>
      <c r="G1296" s="3274"/>
      <c r="H1296" s="3274"/>
      <c r="I1296" s="3274"/>
      <c r="J1296" s="3274"/>
      <c r="K1296" s="3274"/>
      <c r="L1296" s="3274"/>
      <c r="M1296" s="3275"/>
      <c r="N1296" s="1007"/>
      <c r="O1296" s="485"/>
      <c r="P1296" s="9"/>
      <c r="Q1296" s="1435"/>
      <c r="S1296" s="1435"/>
      <c r="V1296" s="1435"/>
      <c r="X1296" s="1778"/>
      <c r="Y1296" s="1778"/>
      <c r="AB1296" s="1641" t="s">
        <v>717</v>
      </c>
      <c r="AC1296" s="1443" t="b">
        <f>AND(AC1291:AI1291)</f>
        <v>0</v>
      </c>
    </row>
    <row r="1297" spans="1:38" ht="12.75" customHeight="1">
      <c r="B1297" s="479"/>
      <c r="C1297" s="977"/>
      <c r="D1297" s="777"/>
      <c r="E1297" s="3276"/>
      <c r="F1297" s="3277"/>
      <c r="G1297" s="3277"/>
      <c r="H1297" s="3277"/>
      <c r="I1297" s="3277"/>
      <c r="J1297" s="3277"/>
      <c r="K1297" s="3277"/>
      <c r="L1297" s="3277"/>
      <c r="M1297" s="3278"/>
      <c r="N1297" s="1007"/>
      <c r="O1297" s="485"/>
      <c r="P1297" s="485"/>
      <c r="Q1297" s="1435"/>
      <c r="S1297" s="1435"/>
      <c r="V1297" s="1435"/>
      <c r="X1297" s="1778"/>
      <c r="Y1297" s="1778"/>
      <c r="AC1297" s="1443" t="b">
        <f>AC1296</f>
        <v>0</v>
      </c>
    </row>
    <row r="1298" spans="1:38" ht="12.75" customHeight="1" thickBot="1">
      <c r="B1298" s="479"/>
      <c r="C1298" s="1018"/>
      <c r="D1298" s="1019"/>
      <c r="E1298" s="1019"/>
      <c r="F1298" s="1019"/>
      <c r="G1298" s="1019"/>
      <c r="H1298" s="1019"/>
      <c r="I1298" s="1019"/>
      <c r="J1298" s="1019"/>
      <c r="K1298" s="1019"/>
      <c r="L1298" s="1019"/>
      <c r="M1298" s="805"/>
      <c r="N1298" s="806"/>
      <c r="O1298" s="485"/>
      <c r="P1298" s="485"/>
      <c r="Q1298" s="1435"/>
      <c r="S1298" s="1435"/>
      <c r="V1298" s="1435"/>
    </row>
    <row r="1299" spans="1:38" ht="12.75" customHeight="1" thickBot="1">
      <c r="A1299" s="618"/>
      <c r="B1299" s="467"/>
      <c r="C1299" s="467"/>
      <c r="D1299" s="467"/>
      <c r="E1299" s="467"/>
      <c r="F1299" s="467"/>
      <c r="G1299" s="467"/>
      <c r="H1299" s="467"/>
      <c r="I1299" s="467"/>
      <c r="J1299" s="467"/>
      <c r="K1299" s="467"/>
      <c r="L1299" s="467"/>
      <c r="M1299" s="481"/>
      <c r="N1299" s="481"/>
      <c r="O1299" s="481"/>
      <c r="P1299" s="481"/>
      <c r="Q1299" s="1488" t="str">
        <f>IF(OR(AND(CNTR_ExistProductSubEntries=FALSE,Q979=1),AND(I979&lt;&gt;"",COUNTIF(Q1300:$Q3271,"PRINT")=0)),"PRINT","")</f>
        <v/>
      </c>
      <c r="R1299" s="1249"/>
      <c r="S1299" s="1249"/>
      <c r="T1299" s="1249"/>
      <c r="U1299" s="1249"/>
      <c r="V1299" s="1249"/>
      <c r="W1299" s="1249"/>
      <c r="X1299" s="1249"/>
      <c r="Y1299" s="1249"/>
      <c r="AE1299" s="1118"/>
      <c r="AF1299" s="1118"/>
      <c r="AG1299" s="1118"/>
      <c r="AH1299" s="1118"/>
      <c r="AI1299" s="1118"/>
      <c r="AJ1299" s="1118"/>
      <c r="AK1299" s="1118"/>
      <c r="AL1299" s="1118"/>
    </row>
    <row r="1300" spans="1:38" ht="5.0999999999999996" customHeight="1" thickBot="1">
      <c r="B1300" s="479"/>
      <c r="C1300" s="1020"/>
      <c r="D1300" s="1020"/>
      <c r="E1300" s="1020"/>
      <c r="F1300" s="1020"/>
      <c r="G1300" s="1020"/>
      <c r="H1300" s="1020"/>
      <c r="I1300" s="1020"/>
      <c r="J1300" s="1020"/>
      <c r="K1300" s="1020"/>
      <c r="L1300" s="1020"/>
      <c r="M1300" s="1020"/>
      <c r="N1300" s="1020"/>
      <c r="O1300" s="485"/>
      <c r="P1300" s="485"/>
      <c r="Q1300" s="1780"/>
      <c r="R1300" s="1780"/>
      <c r="S1300" s="1780"/>
      <c r="T1300" s="1780"/>
      <c r="U1300" s="1780"/>
      <c r="V1300" s="1780"/>
      <c r="W1300" s="1780"/>
      <c r="X1300" s="1780"/>
      <c r="Y1300" s="1780"/>
      <c r="Z1300" s="1780"/>
      <c r="AA1300" s="1780"/>
      <c r="AB1300" s="1780"/>
      <c r="AC1300" s="1780"/>
      <c r="AD1300" s="1780"/>
      <c r="AE1300" s="1780"/>
      <c r="AF1300" s="1780"/>
      <c r="AG1300" s="1780"/>
      <c r="AH1300" s="1780"/>
      <c r="AI1300" s="1780"/>
      <c r="AJ1300" s="1780"/>
      <c r="AK1300" s="1780"/>
      <c r="AL1300" s="1780"/>
    </row>
    <row r="1301" spans="1:38" ht="14.45" customHeight="1" thickBot="1">
      <c r="B1301" s="479"/>
      <c r="C1301" s="897">
        <f>C979+1</f>
        <v>5</v>
      </c>
      <c r="D1301" s="2482" t="str">
        <f>EUconst_BMSubinst &amp; ":"</f>
        <v>Sub-installation with product benchmark:</v>
      </c>
      <c r="E1301" s="2400"/>
      <c r="F1301" s="2400"/>
      <c r="G1301" s="2400"/>
      <c r="H1301" s="2585"/>
      <c r="I1301" s="3293" t="str">
        <f>IF(INDEX(CNTR_SubInstListIsProdBM,$C1301),INDEX(CNTR_SubInstListNames,$C1301),"")</f>
        <v/>
      </c>
      <c r="J1301" s="3294"/>
      <c r="K1301" s="3294"/>
      <c r="L1301" s="3294"/>
      <c r="M1301" s="3294"/>
      <c r="N1301" s="3297"/>
      <c r="O1301" s="485"/>
      <c r="P1301" s="485"/>
      <c r="Q1301" s="1488">
        <f>C1301</f>
        <v>5</v>
      </c>
      <c r="S1301" s="1633" t="s">
        <v>558</v>
      </c>
      <c r="T1301" s="1634" t="str">
        <f>IF(I1301="","",MAX(INDEX(CNTR_SubInstStartDate,MATCH($I1301,CNTR_SubInstListNames,0)),DATE(2005,1,1)))</f>
        <v/>
      </c>
      <c r="U1301" s="1435" t="s">
        <v>1673</v>
      </c>
      <c r="V1301" s="1635">
        <f>IF(ISNUMBER(T1301),YEAR($T1301-1)+1,2005)</f>
        <v>2005</v>
      </c>
      <c r="W1301" s="1633" t="s">
        <v>1676</v>
      </c>
      <c r="X1301" s="1634" t="str">
        <f>IF(I1301="","",INDEX(CNTR_SubInstCessationDate,MATCH($I1301,CNTR_SubInstListNames,0)))</f>
        <v/>
      </c>
      <c r="Y1301" s="1633" t="s">
        <v>1677</v>
      </c>
      <c r="Z1301" s="1635">
        <f>IF(SUM(X1301)=0,2050,YEAR($X1301))</f>
        <v>2050</v>
      </c>
      <c r="AA1301" s="1633" t="s">
        <v>1925</v>
      </c>
      <c r="AB1301" s="1635" t="b">
        <f>CNTR_ReportingYear&gt;V1301</f>
        <v>1</v>
      </c>
      <c r="AL1301" s="1848" t="b">
        <f>AND(CNTR_ExistSubInstEntries,I1301="")</f>
        <v>0</v>
      </c>
    </row>
    <row r="1302" spans="1:38" ht="12.75" customHeight="1">
      <c r="B1302" s="479"/>
      <c r="C1302" s="479"/>
      <c r="D1302" s="485"/>
      <c r="E1302" s="2385" t="s">
        <v>216</v>
      </c>
      <c r="F1302" s="2846"/>
      <c r="G1302" s="2846"/>
      <c r="H1302" s="2846"/>
      <c r="I1302" s="2846"/>
      <c r="J1302" s="2846"/>
      <c r="K1302" s="2846"/>
      <c r="L1302" s="2846"/>
      <c r="M1302" s="2846"/>
      <c r="N1302" s="2846"/>
      <c r="O1302" s="485"/>
      <c r="P1302" s="485"/>
      <c r="Q1302" s="1435"/>
      <c r="S1302" s="1435"/>
      <c r="T1302" s="1435"/>
    </row>
    <row r="1303" spans="1:38" ht="5.0999999999999996" customHeight="1">
      <c r="B1303" s="479"/>
      <c r="C1303" s="479"/>
      <c r="D1303" s="479"/>
      <c r="E1303" s="479"/>
      <c r="F1303" s="479"/>
      <c r="G1303" s="479"/>
      <c r="H1303" s="479"/>
      <c r="I1303" s="479"/>
      <c r="J1303" s="479"/>
      <c r="K1303" s="479"/>
      <c r="L1303" s="479"/>
      <c r="M1303" s="485"/>
      <c r="N1303" s="485"/>
      <c r="O1303" s="485"/>
      <c r="P1303" s="485"/>
      <c r="Q1303" s="1435"/>
      <c r="S1303" s="1435"/>
      <c r="T1303" s="1435"/>
    </row>
    <row r="1304" spans="1:38">
      <c r="B1304" s="479"/>
      <c r="C1304" s="479"/>
      <c r="D1304" s="482" t="s">
        <v>400</v>
      </c>
      <c r="E1304" s="2373" t="s">
        <v>1930</v>
      </c>
      <c r="F1304" s="2400"/>
      <c r="G1304" s="2400"/>
      <c r="H1304" s="2400"/>
      <c r="I1304" s="2400"/>
      <c r="J1304" s="2400"/>
      <c r="K1304" s="2400"/>
      <c r="L1304" s="2400"/>
      <c r="M1304" s="2400"/>
      <c r="N1304" s="2400"/>
      <c r="O1304" s="485"/>
      <c r="P1304" s="485"/>
      <c r="Q1304" s="1435"/>
    </row>
    <row r="1305" spans="1:38" ht="12.75" customHeight="1">
      <c r="B1305" s="479"/>
      <c r="C1305" s="479"/>
      <c r="D1305" s="485"/>
      <c r="E1305" s="2385" t="s">
        <v>801</v>
      </c>
      <c r="F1305" s="2846"/>
      <c r="G1305" s="2846"/>
      <c r="H1305" s="2846"/>
      <c r="I1305" s="2846"/>
      <c r="J1305" s="2846"/>
      <c r="K1305" s="2846"/>
      <c r="L1305" s="2846"/>
      <c r="M1305" s="2846"/>
      <c r="N1305" s="2846"/>
      <c r="O1305" s="485"/>
      <c r="P1305" s="485"/>
      <c r="Q1305" s="1435"/>
      <c r="S1305" s="1435"/>
      <c r="T1305" s="1435"/>
      <c r="U1305" s="1435"/>
    </row>
    <row r="1306" spans="1:38" ht="12.75" customHeight="1">
      <c r="B1306" s="479"/>
      <c r="C1306" s="479"/>
      <c r="D1306" s="485"/>
      <c r="E1306" s="2385" t="s">
        <v>1199</v>
      </c>
      <c r="F1306" s="2846"/>
      <c r="G1306" s="2846"/>
      <c r="H1306" s="2846"/>
      <c r="I1306" s="2846"/>
      <c r="J1306" s="2846"/>
      <c r="K1306" s="2846"/>
      <c r="L1306" s="2846"/>
      <c r="M1306" s="2846"/>
      <c r="N1306" s="2846"/>
      <c r="O1306" s="485"/>
      <c r="P1306" s="485"/>
      <c r="Q1306" s="1435"/>
      <c r="S1306" s="1435"/>
      <c r="T1306" s="1435"/>
      <c r="U1306" s="1435"/>
    </row>
    <row r="1307" spans="1:38" ht="12.75" customHeight="1">
      <c r="B1307" s="479"/>
      <c r="C1307" s="479"/>
      <c r="D1307" s="485"/>
      <c r="E1307" s="2385" t="s">
        <v>125</v>
      </c>
      <c r="F1307" s="2846"/>
      <c r="G1307" s="2846"/>
      <c r="H1307" s="2846"/>
      <c r="I1307" s="2846"/>
      <c r="J1307" s="2846"/>
      <c r="K1307" s="2846"/>
      <c r="L1307" s="2846"/>
      <c r="M1307" s="2846"/>
      <c r="N1307" s="2846"/>
      <c r="O1307" s="485"/>
      <c r="P1307" s="485"/>
      <c r="Q1307" s="1435"/>
      <c r="S1307" s="1435"/>
      <c r="Z1307" s="1435"/>
    </row>
    <row r="1308" spans="1:38" ht="13.5" customHeight="1" thickBot="1">
      <c r="B1308" s="1124"/>
      <c r="C1308" s="485"/>
      <c r="D1308" s="482"/>
      <c r="E1308" s="2509" t="s">
        <v>1447</v>
      </c>
      <c r="F1308" s="2509"/>
      <c r="G1308" s="663" t="str">
        <f>EUconst_Unit</f>
        <v>Unit</v>
      </c>
      <c r="H1308" s="578">
        <f t="shared" ref="H1308:N1308" si="611">H$3242</f>
        <v>2024</v>
      </c>
      <c r="I1308" s="697">
        <f t="shared" si="611"/>
        <v>2025</v>
      </c>
      <c r="J1308" s="1489">
        <f t="shared" si="611"/>
        <v>2026</v>
      </c>
      <c r="K1308" s="1490">
        <f t="shared" si="611"/>
        <v>2027</v>
      </c>
      <c r="L1308" s="1490">
        <f t="shared" si="611"/>
        <v>2028</v>
      </c>
      <c r="M1308" s="1490">
        <f t="shared" si="611"/>
        <v>2029</v>
      </c>
      <c r="N1308" s="1490">
        <f t="shared" si="611"/>
        <v>2030</v>
      </c>
      <c r="O1308" s="485"/>
      <c r="P1308" s="485"/>
      <c r="Q1308" s="1435"/>
      <c r="T1308" s="1638">
        <f t="shared" ref="T1308:Z1308" si="612">H1308</f>
        <v>2024</v>
      </c>
      <c r="U1308" s="1638">
        <f t="shared" si="612"/>
        <v>2025</v>
      </c>
      <c r="V1308" s="1638">
        <f t="shared" si="612"/>
        <v>2026</v>
      </c>
      <c r="W1308" s="1638">
        <f t="shared" si="612"/>
        <v>2027</v>
      </c>
      <c r="X1308" s="1638">
        <f t="shared" si="612"/>
        <v>2028</v>
      </c>
      <c r="Y1308" s="1638">
        <f t="shared" si="612"/>
        <v>2029</v>
      </c>
      <c r="Z1308" s="1638">
        <f t="shared" si="612"/>
        <v>2030</v>
      </c>
      <c r="AC1308" s="1638">
        <f t="shared" ref="AC1308:AI1308" si="613">H$20</f>
        <v>2024</v>
      </c>
      <c r="AD1308" s="1638">
        <f t="shared" si="613"/>
        <v>2025</v>
      </c>
      <c r="AE1308" s="1638">
        <f t="shared" si="613"/>
        <v>2026</v>
      </c>
      <c r="AF1308" s="1638">
        <f t="shared" si="613"/>
        <v>2027</v>
      </c>
      <c r="AG1308" s="1638">
        <f t="shared" si="613"/>
        <v>2028</v>
      </c>
      <c r="AH1308" s="1638">
        <f t="shared" si="613"/>
        <v>2029</v>
      </c>
      <c r="AI1308" s="1638">
        <f t="shared" si="613"/>
        <v>2030</v>
      </c>
      <c r="AL1308" s="1435"/>
    </row>
    <row r="1309" spans="1:38" ht="13.5" thickBot="1">
      <c r="B1309" s="1124"/>
      <c r="C1309" s="485"/>
      <c r="D1309" s="561" t="s">
        <v>6</v>
      </c>
      <c r="E1309" s="3296" t="str">
        <f>I1301</f>
        <v/>
      </c>
      <c r="F1309" s="3296"/>
      <c r="G1309" s="898" t="str">
        <f>IF(INDEX(CNTR_SubInstListIsProdBM,$C1301),INDEX(CNTR_SubInstListHALUnit,$C1301),EUconst_Tons)</f>
        <v>tonnes</v>
      </c>
      <c r="H1309" s="1818" t="str">
        <f>c_ALR2025!M3935</f>
        <v/>
      </c>
      <c r="I1309" s="1878"/>
      <c r="J1309" s="1819"/>
      <c r="K1309" s="1820"/>
      <c r="L1309" s="1820"/>
      <c r="M1309" s="1820"/>
      <c r="N1309" s="1820"/>
      <c r="O1309" s="485"/>
      <c r="P1309" s="9"/>
      <c r="S1309" s="1435" t="s">
        <v>1674</v>
      </c>
      <c r="T1309" s="1850" t="b">
        <f t="shared" ref="T1309:Z1309" si="614">AND($I1301&lt;&gt;"",H1308&lt;CNTR_ReportingYear,H1308&gt;=$V1301-1)</f>
        <v>0</v>
      </c>
      <c r="U1309" s="1851" t="b">
        <f t="shared" si="614"/>
        <v>0</v>
      </c>
      <c r="V1309" s="1851" t="b">
        <f t="shared" si="614"/>
        <v>0</v>
      </c>
      <c r="W1309" s="1851" t="b">
        <f t="shared" si="614"/>
        <v>0</v>
      </c>
      <c r="X1309" s="1851" t="b">
        <f t="shared" si="614"/>
        <v>0</v>
      </c>
      <c r="Y1309" s="1851" t="b">
        <f t="shared" si="614"/>
        <v>0</v>
      </c>
      <c r="Z1309" s="1852" t="b">
        <f t="shared" si="614"/>
        <v>0</v>
      </c>
      <c r="AA1309" s="1435"/>
      <c r="AB1309" s="1641" t="s">
        <v>717</v>
      </c>
      <c r="AC1309" s="1853" t="b">
        <f t="shared" ref="AC1309:AI1309" si="615">IF(CNTR_ExistSubInstEntries,OR($I1301="",$R1313,H1308&gt;=CNTR_ReportingYear,AC1308&lt;$V1301-1),FALSE)</f>
        <v>0</v>
      </c>
      <c r="AD1309" s="1642" t="b">
        <f t="shared" si="615"/>
        <v>0</v>
      </c>
      <c r="AE1309" s="1642" t="b">
        <f t="shared" si="615"/>
        <v>0</v>
      </c>
      <c r="AF1309" s="1642" t="b">
        <f t="shared" si="615"/>
        <v>0</v>
      </c>
      <c r="AG1309" s="1642" t="b">
        <f t="shared" si="615"/>
        <v>0</v>
      </c>
      <c r="AH1309" s="1642" t="b">
        <f t="shared" si="615"/>
        <v>0</v>
      </c>
      <c r="AI1309" s="1643" t="b">
        <f t="shared" si="615"/>
        <v>0</v>
      </c>
      <c r="AJ1309" s="1633" t="s">
        <v>1954</v>
      </c>
      <c r="AK1309" s="1635" t="str">
        <f>IF(AND(CNTR_ExistSubInstEntries,COUNTIFS(AC1309:AI1309,FALSE,H1309:N1309,"")&gt;0),EUconst_Error&amp;"BM"&amp;$Q1301,"")</f>
        <v/>
      </c>
    </row>
    <row r="1310" spans="1:38" ht="13.15" customHeight="1" thickBot="1">
      <c r="B1310" s="1124"/>
      <c r="C1310" s="485"/>
      <c r="D1310" s="561" t="s">
        <v>7</v>
      </c>
      <c r="E1310" s="3296" t="s">
        <v>123</v>
      </c>
      <c r="F1310" s="3296"/>
      <c r="G1310" s="898" t="str">
        <f>G1309</f>
        <v>tonnes</v>
      </c>
      <c r="H1310" s="899" t="str">
        <f>IF(OR($I1301="",H1308&gt;=CNTR_ReportingYear),"",IF($R1313,SUMIF(H_SpecialBM!$Q$9:$Q$414,$Q1310,H_SpecialBM!H$9:H$414),""))</f>
        <v/>
      </c>
      <c r="I1310" s="900" t="str">
        <f>IF(OR($I1301="",I1308&gt;=CNTR_ReportingYear),"",IF($R1313,SUMIF(H_SpecialBM!$Q$9:$Q$414,$Q1310,H_SpecialBM!I$9:I$414),""))</f>
        <v/>
      </c>
      <c r="J1310" s="1819" t="str">
        <f>IF(OR($I1301="",J1308&gt;=CNTR_ReportingYear),"",IF($R1313,SUMIF(H_SpecialBM!$Q$9:$Q$414,$Q1310,H_SpecialBM!J$9:J$414),""))</f>
        <v/>
      </c>
      <c r="K1310" s="1820" t="str">
        <f>IF(OR($I1301="",K1308&gt;=CNTR_ReportingYear),"",IF($R1313,SUMIF(H_SpecialBM!$Q$9:$Q$414,$Q1310,H_SpecialBM!K$9:K$414),""))</f>
        <v/>
      </c>
      <c r="L1310" s="1820" t="str">
        <f>IF(OR($I1301="",L1308&gt;=CNTR_ReportingYear),"",IF($R1313,SUMIF(H_SpecialBM!$Q$9:$Q$414,$Q1310,H_SpecialBM!L$9:L$414),""))</f>
        <v/>
      </c>
      <c r="M1310" s="1820" t="str">
        <f>IF(OR($I1301="",M1308&gt;=CNTR_ReportingYear),"",IF($R1313,SUMIF(H_SpecialBM!$Q$9:$Q$414,$Q1310,H_SpecialBM!M$9:M$414),""))</f>
        <v/>
      </c>
      <c r="N1310" s="1820" t="str">
        <f>IF(OR($I1301="",N1308&gt;=CNTR_ReportingYear),"",IF($R1313,SUMIF(H_SpecialBM!$Q$9:$Q$414,$Q1310,H_SpecialBM!N$9:N$414),""))</f>
        <v/>
      </c>
      <c r="O1310" s="485"/>
      <c r="P1310" s="485"/>
      <c r="Q1310" s="1644" t="str">
        <f>EUconst_CNTR_HALspecial&amp;I1301</f>
        <v>HALspecial_</v>
      </c>
      <c r="AB1310" s="1641" t="s">
        <v>717</v>
      </c>
      <c r="AC1310" s="1853" t="b">
        <f t="shared" ref="AC1310:AI1310" si="616">AND(CNTR_HasEntries_A_I,OR($R1313=FALSE,H1308&gt;=CNTR_ReportingYear))</f>
        <v>0</v>
      </c>
      <c r="AD1310" s="1642" t="b">
        <f t="shared" si="616"/>
        <v>0</v>
      </c>
      <c r="AE1310" s="1642" t="b">
        <f t="shared" si="616"/>
        <v>0</v>
      </c>
      <c r="AF1310" s="1642" t="b">
        <f t="shared" si="616"/>
        <v>0</v>
      </c>
      <c r="AG1310" s="1642" t="b">
        <f t="shared" si="616"/>
        <v>0</v>
      </c>
      <c r="AH1310" s="1642" t="b">
        <f t="shared" si="616"/>
        <v>0</v>
      </c>
      <c r="AI1310" s="1643" t="b">
        <f t="shared" si="616"/>
        <v>0</v>
      </c>
      <c r="AJ1310" s="1624"/>
      <c r="AK1310" s="1624"/>
      <c r="AL1310" s="1435"/>
    </row>
    <row r="1311" spans="1:38" ht="13.15" customHeight="1">
      <c r="B1311" s="1124"/>
      <c r="C1311" s="485"/>
      <c r="D1311" s="561" t="s">
        <v>8</v>
      </c>
      <c r="E1311" s="3296" t="s">
        <v>124</v>
      </c>
      <c r="F1311" s="3296"/>
      <c r="G1311" s="898" t="str">
        <f>G1310</f>
        <v>tonnes</v>
      </c>
      <c r="H1311" s="899" t="str">
        <f t="shared" ref="H1311:N1311" si="617">IF(OR($I1301="",H1308&gt;=CNTR_ReportingYear),"",IF($R1313=TRUE,IF(ISNUMBER(H1310),H1310,0),IF(AND(H1308&gt;=$V1301-1,ISNUMBER(H1309)),H1309,0)))</f>
        <v/>
      </c>
      <c r="I1311" s="900" t="str">
        <f t="shared" si="617"/>
        <v/>
      </c>
      <c r="J1311" s="1819" t="str">
        <f t="shared" si="617"/>
        <v/>
      </c>
      <c r="K1311" s="1820" t="str">
        <f t="shared" si="617"/>
        <v/>
      </c>
      <c r="L1311" s="1820" t="str">
        <f t="shared" si="617"/>
        <v/>
      </c>
      <c r="M1311" s="1820" t="str">
        <f t="shared" si="617"/>
        <v/>
      </c>
      <c r="N1311" s="1820" t="str">
        <f t="shared" si="617"/>
        <v/>
      </c>
      <c r="O1311" s="485"/>
      <c r="P1311" s="1136"/>
      <c r="Q1311" s="1644" t="str">
        <f>EUconst_CNTR_HAL&amp;I1301</f>
        <v>HAL_</v>
      </c>
      <c r="AJ1311" s="1633" t="s">
        <v>1951</v>
      </c>
      <c r="AK1311" s="1443" t="str">
        <f>IF(COUNTIFS(H1308:N1308,"&lt;"&amp;YEAR(SUM(T1301)),H1311:N1311,"&gt;"&amp;0)&gt;0,EUconst_Error&amp;"BM"&amp;Q1301,"")</f>
        <v/>
      </c>
      <c r="AL1311" s="1435"/>
    </row>
    <row r="1312" spans="1:38" ht="5.0999999999999996" customHeight="1">
      <c r="B1312" s="479"/>
      <c r="C1312" s="479"/>
      <c r="D1312" s="479"/>
      <c r="E1312" s="479"/>
      <c r="F1312" s="479"/>
      <c r="G1312" s="479"/>
      <c r="H1312" s="479"/>
      <c r="I1312" s="479"/>
      <c r="J1312" s="479"/>
      <c r="K1312" s="479"/>
      <c r="L1312" s="479"/>
      <c r="M1312" s="485"/>
      <c r="N1312" s="485"/>
      <c r="O1312" s="485"/>
      <c r="P1312" s="485"/>
      <c r="Q1312" s="1435"/>
      <c r="S1312" s="1435"/>
      <c r="T1312" s="1435"/>
    </row>
    <row r="1313" spans="1:38" ht="12.75" customHeight="1">
      <c r="B1313" s="479"/>
      <c r="C1313" s="479"/>
      <c r="D1313" s="561" t="s">
        <v>18</v>
      </c>
      <c r="E1313" s="2373" t="s">
        <v>922</v>
      </c>
      <c r="F1313" s="2373"/>
      <c r="G1313" s="2604"/>
      <c r="H1313" s="2652" t="str">
        <f>IF(I1301="","",HYPERLINK(INDEX(EUconst_BMlistSpecialJumpTable,MATCH(I1301,EUconst_BMlistNames,0)),INDEX(EUconst_BMlistSpecialReporting,MATCH(I1301,EUconst_BMlistNames,0))))</f>
        <v/>
      </c>
      <c r="I1313" s="2689"/>
      <c r="J1313" s="2689"/>
      <c r="K1313" s="2689"/>
      <c r="L1313" s="2689"/>
      <c r="M1313" s="2689"/>
      <c r="N1313" s="2690"/>
      <c r="O1313" s="485"/>
      <c r="P1313" s="485"/>
      <c r="Q1313" s="1633" t="s">
        <v>122</v>
      </c>
      <c r="R1313" s="1443" t="str">
        <f>IF(I1301="","",IF(AND(INDEX(EUconst_BMlistSpecialJumpTable,MATCH(I1301,EUconst_BMlistNames,0))&lt;&gt;"",MATCH(I1301,EUconst_BMlistNames,0)&lt;&gt;47),TRUE,FALSE))</f>
        <v/>
      </c>
      <c r="S1313" s="1435"/>
      <c r="T1313" s="1435"/>
    </row>
    <row r="1314" spans="1:38" ht="12.75" customHeight="1">
      <c r="B1314" s="479"/>
      <c r="C1314" s="479"/>
      <c r="D1314" s="485"/>
      <c r="E1314" s="2385" t="s">
        <v>923</v>
      </c>
      <c r="F1314" s="2846"/>
      <c r="G1314" s="2846"/>
      <c r="H1314" s="2846"/>
      <c r="I1314" s="2846"/>
      <c r="J1314" s="2846"/>
      <c r="K1314" s="2846"/>
      <c r="L1314" s="2846"/>
      <c r="M1314" s="2846"/>
      <c r="N1314" s="2846"/>
      <c r="O1314" s="485"/>
      <c r="P1314" s="485"/>
      <c r="Q1314" s="1435"/>
      <c r="S1314" s="1435"/>
      <c r="T1314" s="1435"/>
    </row>
    <row r="1315" spans="1:38" ht="5.0999999999999996" customHeight="1">
      <c r="B1315" s="479"/>
      <c r="C1315" s="479"/>
      <c r="D1315" s="485"/>
      <c r="E1315" s="485"/>
      <c r="F1315" s="485"/>
      <c r="G1315" s="485"/>
      <c r="H1315" s="485"/>
      <c r="I1315" s="485"/>
      <c r="J1315" s="485"/>
      <c r="K1315" s="485"/>
      <c r="L1315" s="485"/>
      <c r="M1315" s="485"/>
      <c r="N1315" s="485"/>
      <c r="O1315" s="485"/>
      <c r="P1315" s="485"/>
      <c r="Q1315" s="1435"/>
      <c r="S1315" s="1435"/>
      <c r="T1315" s="1435"/>
      <c r="Z1315" s="1435"/>
      <c r="AL1315" s="1435"/>
    </row>
    <row r="1316" spans="1:38" ht="12.75" customHeight="1">
      <c r="B1316" s="479"/>
      <c r="C1316" s="479"/>
      <c r="D1316" s="482" t="s">
        <v>876</v>
      </c>
      <c r="E1316" s="2373" t="s">
        <v>1709</v>
      </c>
      <c r="F1316" s="2400"/>
      <c r="G1316" s="2400"/>
      <c r="H1316" s="2400"/>
      <c r="I1316" s="2400"/>
      <c r="J1316" s="2400"/>
      <c r="K1316" s="2400"/>
      <c r="L1316" s="2400"/>
      <c r="M1316" s="2400"/>
      <c r="N1316" s="2400"/>
      <c r="O1316" s="485"/>
      <c r="P1316" s="485"/>
      <c r="Q1316" s="1435"/>
      <c r="S1316" s="1435"/>
      <c r="T1316" s="1435"/>
      <c r="Z1316" s="1435"/>
      <c r="AL1316" s="1435"/>
    </row>
    <row r="1317" spans="1:38" ht="12.75" customHeight="1">
      <c r="B1317" s="479"/>
      <c r="C1317" s="479"/>
      <c r="D1317" s="485"/>
      <c r="E1317" s="2385" t="s">
        <v>1958</v>
      </c>
      <c r="F1317" s="2846"/>
      <c r="G1317" s="2846"/>
      <c r="H1317" s="2846"/>
      <c r="I1317" s="2846"/>
      <c r="J1317" s="2846"/>
      <c r="K1317" s="2846"/>
      <c r="L1317" s="2846"/>
      <c r="M1317" s="2846"/>
      <c r="N1317" s="2846"/>
      <c r="O1317" s="485"/>
      <c r="P1317" s="485"/>
      <c r="Q1317" s="1435"/>
      <c r="S1317" s="1435"/>
      <c r="T1317" s="1435"/>
      <c r="U1317" s="1435"/>
    </row>
    <row r="1318" spans="1:38" ht="25.5" customHeight="1">
      <c r="B1318" s="479"/>
      <c r="C1318" s="479"/>
      <c r="D1318" s="485"/>
      <c r="E1318" s="2385" t="s">
        <v>1696</v>
      </c>
      <c r="F1318" s="2846"/>
      <c r="G1318" s="2846"/>
      <c r="H1318" s="2846"/>
      <c r="I1318" s="2846"/>
      <c r="J1318" s="2846"/>
      <c r="K1318" s="2846"/>
      <c r="L1318" s="2846"/>
      <c r="M1318" s="2846"/>
      <c r="N1318" s="2846"/>
      <c r="O1318" s="485"/>
      <c r="P1318" s="485"/>
      <c r="Q1318" s="1435"/>
      <c r="S1318" s="1435"/>
      <c r="T1318" s="1435"/>
      <c r="U1318" s="1435"/>
    </row>
    <row r="1319" spans="1:38" ht="12.75" customHeight="1">
      <c r="B1319" s="479"/>
      <c r="C1319" s="479"/>
      <c r="D1319" s="485"/>
      <c r="E1319" s="901" t="s">
        <v>1021</v>
      </c>
      <c r="F1319" s="3050" t="s">
        <v>2734</v>
      </c>
      <c r="G1319" s="2584"/>
      <c r="H1319" s="2584"/>
      <c r="I1319" s="2584"/>
      <c r="J1319" s="2584"/>
      <c r="K1319" s="2584"/>
      <c r="L1319" s="2584"/>
      <c r="M1319" s="2584"/>
      <c r="N1319" s="2584"/>
      <c r="O1319" s="485"/>
      <c r="P1319" s="485"/>
      <c r="Q1319" s="1435"/>
      <c r="S1319" s="1435"/>
      <c r="T1319" s="1435"/>
      <c r="U1319" s="1435"/>
    </row>
    <row r="1320" spans="1:38" ht="12.75" customHeight="1" thickBot="1">
      <c r="B1320" s="479"/>
      <c r="C1320" s="479"/>
      <c r="D1320" s="485"/>
      <c r="E1320" s="901" t="s">
        <v>1021</v>
      </c>
      <c r="F1320" s="3050" t="s">
        <v>1985</v>
      </c>
      <c r="G1320" s="2584"/>
      <c r="H1320" s="2584"/>
      <c r="I1320" s="2584"/>
      <c r="J1320" s="2584"/>
      <c r="K1320" s="2584"/>
      <c r="L1320" s="2584"/>
      <c r="M1320" s="2584"/>
      <c r="N1320" s="2584"/>
      <c r="O1320" s="485"/>
      <c r="P1320" s="485"/>
      <c r="Q1320" s="1435"/>
      <c r="S1320" s="1435"/>
      <c r="T1320" s="1435"/>
      <c r="U1320" s="1435"/>
    </row>
    <row r="1321" spans="1:38" ht="5.0999999999999996" customHeight="1" thickBot="1">
      <c r="B1321" s="479"/>
      <c r="C1321" s="479"/>
      <c r="D1321" s="902"/>
      <c r="E1321" s="903"/>
      <c r="F1321" s="904"/>
      <c r="G1321" s="905"/>
      <c r="H1321" s="905"/>
      <c r="I1321" s="905"/>
      <c r="J1321" s="906"/>
      <c r="K1321" s="1798"/>
      <c r="L1321" s="1798"/>
      <c r="M1321" s="1798"/>
      <c r="N1321" s="1798"/>
      <c r="O1321" s="485"/>
      <c r="P1321" s="485"/>
      <c r="Q1321" s="1435"/>
      <c r="S1321" s="1435"/>
      <c r="T1321" s="1435"/>
      <c r="U1321" s="1435"/>
    </row>
    <row r="1322" spans="1:38" ht="12.75" customHeight="1">
      <c r="B1322" s="479"/>
      <c r="C1322" s="479"/>
      <c r="D1322" s="907"/>
      <c r="E1322" s="908" t="s">
        <v>1690</v>
      </c>
      <c r="F1322" s="909"/>
      <c r="G1322" s="909"/>
      <c r="H1322" s="910" t="str">
        <f>EUconst_Unit</f>
        <v>Unit</v>
      </c>
      <c r="I1322" s="911" t="s">
        <v>2220</v>
      </c>
      <c r="J1322" s="1647">
        <f>J$3242</f>
        <v>2026</v>
      </c>
      <c r="K1322" s="1490">
        <f>K$3242</f>
        <v>2027</v>
      </c>
      <c r="L1322" s="1490">
        <f>L$3242</f>
        <v>2028</v>
      </c>
      <c r="M1322" s="1490">
        <f>M$3242</f>
        <v>2029</v>
      </c>
      <c r="N1322" s="1490">
        <f>N$3242</f>
        <v>2030</v>
      </c>
      <c r="O1322" s="485"/>
      <c r="P1322" s="485"/>
      <c r="Q1322" s="1435"/>
      <c r="U1322" s="1648"/>
      <c r="V1322" s="1649">
        <f>J1322</f>
        <v>2026</v>
      </c>
      <c r="W1322" s="1649">
        <f>K1322</f>
        <v>2027</v>
      </c>
      <c r="X1322" s="1649">
        <f>L1322</f>
        <v>2028</v>
      </c>
      <c r="Y1322" s="1649">
        <f>M1322</f>
        <v>2029</v>
      </c>
      <c r="Z1322" s="1650">
        <f>N1322</f>
        <v>2030</v>
      </c>
    </row>
    <row r="1323" spans="1:38" ht="12.75" customHeight="1">
      <c r="B1323" s="479"/>
      <c r="C1323" s="479"/>
      <c r="D1323" s="915" t="s">
        <v>6</v>
      </c>
      <c r="E1323" s="916" t="s">
        <v>1976</v>
      </c>
      <c r="F1323" s="916"/>
      <c r="G1323" s="916"/>
      <c r="H1323" s="639" t="str">
        <f>IF(INDEX(CNTR_SubInstListIsProdBM,$C1301),INDEX(CNTR_SubInstListHALUnit,$C1301),EUconst_Tons)</f>
        <v>tonnes</v>
      </c>
      <c r="I1323" s="917" t="str">
        <f>IF(V1301&gt;($J$3242-3),EUconst_NA,INDEX('B+C_SubInstallations'!$I:$I,MATCH(Q1323,'B+C_SubInstallations'!$T:$T,0)))</f>
        <v/>
      </c>
      <c r="J1323" s="1651" t="str">
        <f>IF(AND(V1323&gt;=3,CNTR_ReportingYear&gt;J1322-1),AVERAGE(H1311:I1311),"")</f>
        <v/>
      </c>
      <c r="K1323" s="1799" t="str">
        <f>IF(AND(W1323&gt;=3,CNTR_ReportingYear&gt;K1322-1),AVERAGE(I1311:J1311),"")</f>
        <v/>
      </c>
      <c r="L1323" s="1799" t="str">
        <f>IF(AND(X1323&gt;=3,CNTR_ReportingYear&gt;L1322-1),AVERAGE(J1311:K1311),"")</f>
        <v/>
      </c>
      <c r="M1323" s="1799" t="str">
        <f>IF(AND(Y1323&gt;=3,CNTR_ReportingYear&gt;M1322-1),AVERAGE(K1311:L1311),"")</f>
        <v/>
      </c>
      <c r="N1323" s="1799" t="str">
        <f>IF(AND(Z1323&gt;=3,CNTR_ReportingYear&gt;N1322-1),AVERAGE(L1311:M1311),"")</f>
        <v/>
      </c>
      <c r="O1323" s="485"/>
      <c r="P1323" s="485"/>
      <c r="Q1323" s="1641" t="str">
        <f>EUconst_CNTR_HALinitial&amp;I1301</f>
        <v>HALini_</v>
      </c>
      <c r="U1323" s="1653" t="s">
        <v>1650</v>
      </c>
      <c r="V1323" s="1635">
        <f>IF($I1301="",0,V1322-$V1301+1)</f>
        <v>0</v>
      </c>
      <c r="W1323" s="1635">
        <f>IF($I1301="",0,W1322-$V1301+1)</f>
        <v>0</v>
      </c>
      <c r="X1323" s="1635">
        <f>IF($I1301="",0,X1322-$V1301+1)</f>
        <v>0</v>
      </c>
      <c r="Y1323" s="1635">
        <f>IF($I1301="",0,Y1322-$V1301+1)</f>
        <v>0</v>
      </c>
      <c r="Z1323" s="1654">
        <f>IF($I1301="",0,Z1322-$V1301+1)</f>
        <v>0</v>
      </c>
    </row>
    <row r="1324" spans="1:38" ht="12.75" hidden="1" customHeight="1">
      <c r="A1324" s="618" t="s">
        <v>2289</v>
      </c>
      <c r="B1324" s="479"/>
      <c r="C1324" s="479"/>
      <c r="D1324" s="918"/>
      <c r="E1324" s="919" t="s">
        <v>1648</v>
      </c>
      <c r="F1324" s="919"/>
      <c r="G1324" s="919"/>
      <c r="H1324" s="920"/>
      <c r="I1324" s="1655"/>
      <c r="J1324" s="16" t="str">
        <f>IF(J1323="","",IF($I1326=0,IF(J1323=0,0%,100%),J1323/$I1326-1))</f>
        <v/>
      </c>
      <c r="K1324" s="22" t="str">
        <f>IF(K1323="","",IF($I1326=0,IF(K1323=0,0%,100%),K1323/$I1326-1))</f>
        <v/>
      </c>
      <c r="L1324" s="22" t="str">
        <f>IF(L1323="","",IF($I1326=0,IF(L1323=0,0%,100%),L1323/$I1326-1))</f>
        <v/>
      </c>
      <c r="M1324" s="22" t="str">
        <f>IF(M1323="","",IF($I1326=0,IF(M1323=0,0%,100%),M1323/$I1326-1))</f>
        <v/>
      </c>
      <c r="N1324" s="22" t="str">
        <f>IF(N1323="","",IF($I1326=0,IF(N1323=0,0%,100%),N1323/$I1326-1))</f>
        <v/>
      </c>
      <c r="O1324" s="485"/>
      <c r="P1324" s="485"/>
      <c r="Q1324" s="1644" t="str">
        <f>EUconst_CNTR_RelThreshold &amp; Q1326</f>
        <v>RelThresh_HALprelim_</v>
      </c>
      <c r="U1324" s="1653" t="s">
        <v>1655</v>
      </c>
      <c r="V1324" s="1158" t="str">
        <f>IF(J1323="","",ABS(J1324)&gt;15%)</f>
        <v/>
      </c>
      <c r="W1324" s="1158" t="str">
        <f>IF(K1323="","",ABS(K1324)&gt;15%)</f>
        <v/>
      </c>
      <c r="X1324" s="1158" t="str">
        <f>IF(L1323="","",ABS(L1324)&gt;15%)</f>
        <v/>
      </c>
      <c r="Y1324" s="1158" t="str">
        <f>IF(M1323="","",ABS(M1324)&gt;15%)</f>
        <v/>
      </c>
      <c r="Z1324" s="1656" t="str">
        <f>IF(N1323="","",ABS(N1324)&gt;15%)</f>
        <v/>
      </c>
      <c r="AL1324" s="1435"/>
    </row>
    <row r="1325" spans="1:38" ht="12.75" customHeight="1">
      <c r="A1325" s="618"/>
      <c r="B1325" s="479"/>
      <c r="C1325" s="479"/>
      <c r="D1325" s="915" t="s">
        <v>7</v>
      </c>
      <c r="E1325" s="916" t="s">
        <v>1654</v>
      </c>
      <c r="F1325" s="916"/>
      <c r="G1325" s="916"/>
      <c r="H1325" s="921"/>
      <c r="I1325" s="1657"/>
      <c r="J1325" s="1658" t="str">
        <f>IF(J1323="","",IF(V1324=FALSE,0%,IF(V1325,J1324,I1331)))</f>
        <v/>
      </c>
      <c r="K1325" s="1795" t="str">
        <f>IF(K1323="","",IF(W1324=FALSE,0%,IF(W1325,K1324,J1331)))</f>
        <v/>
      </c>
      <c r="L1325" s="1795" t="str">
        <f>IF(L1323="","",IF(X1324=FALSE,0%,IF(X1325,L1324,K1331)))</f>
        <v/>
      </c>
      <c r="M1325" s="1795" t="str">
        <f>IF(M1323="","",IF(Y1324=FALSE,0%,IF(Y1325,M1324,L1331)))</f>
        <v/>
      </c>
      <c r="N1325" s="1795" t="str">
        <f>IF(N1323="","",IF(Z1324=FALSE,0%,IF(Z1325,N1324,M1331)))</f>
        <v/>
      </c>
      <c r="O1325" s="485"/>
      <c r="P1325" s="485"/>
      <c r="U1325" s="1653" t="s">
        <v>1656</v>
      </c>
      <c r="V1325" s="1158" t="str">
        <f>IF(J1323="","",AND(V1324,IF(SUM(I1331)&lt;0,OR(SUM(J1324)&lt;SUM(I1331)-MOD(SUM(I1331),5%),J1324&gt;=SUM(I1331)+5%-MOD(SUM(I1331),5%)),OR(SUM(J1324)&lt;=SUM(I1331)-MOD(SUM(I1331),5%),SUM(J1324)&gt;SUM(I1331)+5%-MOD(SUM(I1331),5%)))))</f>
        <v/>
      </c>
      <c r="W1325" s="1158" t="str">
        <f>IF(K1323="","",AND(W1324,IF(SUM(J1331)&lt;0,OR(SUM(K1324)&lt;SUM(J1331)-MOD(SUM(J1331),5%),K1324&gt;=SUM(J1331)+5%-MOD(SUM(J1331),5%)),OR(SUM(K1324)&lt;=SUM(J1331)-MOD(SUM(J1331),5%),SUM(K1324)&gt;SUM(J1331)+5%-MOD(SUM(J1331),5%)))))</f>
        <v/>
      </c>
      <c r="X1325" s="1158" t="str">
        <f>IF(L1323="","",AND(X1324,IF(SUM(K1331)&lt;0,OR(SUM(L1324)&lt;SUM(K1331)-MOD(SUM(K1331),5%),L1324&gt;=SUM(K1331)+5%-MOD(SUM(K1331),5%)),OR(SUM(L1324)&lt;=SUM(K1331)-MOD(SUM(K1331),5%),SUM(L1324)&gt;SUM(K1331)+5%-MOD(SUM(K1331),5%)))))</f>
        <v/>
      </c>
      <c r="Y1325" s="1158" t="str">
        <f>IF(M1323="","",AND(Y1324,IF(SUM(L1331)&lt;0,OR(SUM(M1324)&lt;SUM(L1331)-MOD(SUM(L1331),5%),M1324&gt;=SUM(L1331)+5%-MOD(SUM(L1331),5%)),OR(SUM(M1324)&lt;=SUM(L1331)-MOD(SUM(L1331),5%),SUM(M1324)&gt;SUM(L1331)+5%-MOD(SUM(L1331),5%)))))</f>
        <v/>
      </c>
      <c r="Z1325" s="1656" t="str">
        <f>IF(N1323="","",AND(Z1324,IF(SUM(M1331)&lt;0,OR(SUM(N1324)&lt;SUM(M1331)-MOD(SUM(M1331),5%),N1324&gt;=SUM(M1331)+5%-MOD(SUM(M1331),5%)),OR(SUM(N1324)&lt;=SUM(M1331)-MOD(SUM(M1331),5%),SUM(N1324)&gt;SUM(M1331)+5%-MOD(SUM(M1331),5%)))))</f>
        <v/>
      </c>
      <c r="AL1325" s="1435"/>
    </row>
    <row r="1326" spans="1:38" ht="12.75" hidden="1" customHeight="1">
      <c r="A1326" s="618" t="s">
        <v>2289</v>
      </c>
      <c r="B1326" s="479"/>
      <c r="C1326" s="479"/>
      <c r="D1326" s="918"/>
      <c r="E1326" s="916" t="s">
        <v>1689</v>
      </c>
      <c r="F1326" s="916"/>
      <c r="G1326" s="916"/>
      <c r="H1326" s="639" t="str">
        <f>H1323</f>
        <v>tonnes</v>
      </c>
      <c r="I1326" s="917" t="str">
        <f>IF(I1301="","",IF(AB1301=FALSE,EUconst_NA,IF(V1301&gt;($J$3242-3),INDEX(H1311:N1311,MATCH(V1301,H1308:N1308,0)),SUM(I1323))))</f>
        <v/>
      </c>
      <c r="J1326" s="1651" t="str">
        <f>IF($I1301="","",IF(V1323&lt;2,SUM(J1311),IF(V1323&lt;3,SUM(I1311),IF(V1326="",I1326,V1326))))</f>
        <v/>
      </c>
      <c r="K1326" s="1799" t="str">
        <f>IF($I1301="","",IF(W1323&lt;2,SUM(K1311),IF(W1323&lt;3,SUM(J1311),IF(W1326="",J1326,W1326))))</f>
        <v/>
      </c>
      <c r="L1326" s="1799" t="str">
        <f>IF($I1301="","",IF(X1323&lt;2,SUM(L1311),IF(X1323&lt;3,SUM(K1311),IF(X1326="",K1326,X1326))))</f>
        <v/>
      </c>
      <c r="M1326" s="1799" t="str">
        <f>IF($I1301="","",IF(Y1323&lt;2,SUM(M1311),IF(Y1323&lt;3,SUM(L1311),IF(Y1326="",L1326,Y1326))))</f>
        <v/>
      </c>
      <c r="N1326" s="1799" t="str">
        <f>IF($I1301="","",IF(Z1323&lt;2,SUM(N1311),IF(Z1323&lt;3,SUM(M1311),IF(Z1326="",M1326,Z1326))))</f>
        <v/>
      </c>
      <c r="O1326" s="485"/>
      <c r="P1326" s="485"/>
      <c r="Q1326" s="1641" t="str">
        <f>EUconst_CNTR_HALprelim&amp;I1301</f>
        <v>HALprelim_</v>
      </c>
      <c r="U1326" s="1653" t="s">
        <v>1697</v>
      </c>
      <c r="V1326" s="1660" t="str">
        <f>IF(J1323="","",IF(CNTR_ReportingYear&lt;J1322,I1325,IF($I1326=0,J1323,$I1326*(1+J1325))))</f>
        <v/>
      </c>
      <c r="W1326" s="1660" t="str">
        <f>IF(K1323="","",IF(CNTR_ReportingYear&lt;K1322,J1325,IF($I1326=0,K1323,$I1326*(1+K1325))))</f>
        <v/>
      </c>
      <c r="X1326" s="1660" t="str">
        <f>IF(L1323="","",IF(CNTR_ReportingYear&lt;L1322,K1325,IF($I1326=0,L1323,$I1326*(1+L1325))))</f>
        <v/>
      </c>
      <c r="Y1326" s="1660" t="str">
        <f>IF(M1323="","",IF(CNTR_ReportingYear&lt;M1322,L1325,IF($I1326=0,M1323,$I1326*(1+M1325))))</f>
        <v/>
      </c>
      <c r="Z1326" s="1661" t="str">
        <f>IF(N1323="","",IF(CNTR_ReportingYear&lt;N1322,M1325,IF($I1326=0,N1323,$I1326*(1+N1325))))</f>
        <v/>
      </c>
      <c r="AL1326" s="1435"/>
    </row>
    <row r="1327" spans="1:38" ht="5.0999999999999996" customHeight="1">
      <c r="A1327" s="618"/>
      <c r="B1327" s="479"/>
      <c r="C1327" s="479"/>
      <c r="D1327" s="918"/>
      <c r="E1327" s="909"/>
      <c r="F1327" s="909"/>
      <c r="G1327" s="909"/>
      <c r="H1327" s="909"/>
      <c r="I1327" s="909"/>
      <c r="J1327" s="922"/>
      <c r="K1327" s="1791"/>
      <c r="L1327" s="1791"/>
      <c r="M1327" s="1791"/>
      <c r="N1327" s="1791"/>
      <c r="O1327" s="485"/>
      <c r="P1327" s="485"/>
      <c r="Q1327" s="1435"/>
      <c r="U1327" s="1663"/>
      <c r="V1327" s="1435"/>
      <c r="Z1327" s="1664"/>
      <c r="AL1327" s="1435"/>
    </row>
    <row r="1328" spans="1:38" ht="12.75" customHeight="1">
      <c r="A1328" s="618"/>
      <c r="B1328" s="479"/>
      <c r="C1328" s="479"/>
      <c r="D1328" s="918"/>
      <c r="E1328" s="923" t="s">
        <v>1653</v>
      </c>
      <c r="F1328" s="923"/>
      <c r="G1328" s="923"/>
      <c r="H1328" s="923"/>
      <c r="I1328" s="923"/>
      <c r="J1328" s="1647">
        <f>J$3242</f>
        <v>2026</v>
      </c>
      <c r="K1328" s="1490">
        <f>K$3242</f>
        <v>2027</v>
      </c>
      <c r="L1328" s="1490">
        <f>L$3242</f>
        <v>2028</v>
      </c>
      <c r="M1328" s="1490">
        <f>M$3242</f>
        <v>2029</v>
      </c>
      <c r="N1328" s="1490">
        <f>N$3242</f>
        <v>2030</v>
      </c>
      <c r="O1328" s="485"/>
      <c r="P1328" s="485"/>
      <c r="Q1328" s="1435"/>
      <c r="U1328" s="1665"/>
      <c r="Z1328" s="1664"/>
      <c r="AL1328" s="1435"/>
    </row>
    <row r="1329" spans="1:42" ht="12.75" customHeight="1">
      <c r="A1329" s="618"/>
      <c r="B1329" s="479"/>
      <c r="C1329" s="479"/>
      <c r="D1329" s="915" t="s">
        <v>8</v>
      </c>
      <c r="E1329" s="916" t="s">
        <v>2108</v>
      </c>
      <c r="F1329" s="916"/>
      <c r="G1329" s="916"/>
      <c r="H1329" s="916"/>
      <c r="I1329" s="916"/>
      <c r="J1329" s="1666" t="str">
        <f>IF($I1301="","",INDEX(K_Summary!J:J,MATCH($Q1329,K_Summary!$P:$P,0)))</f>
        <v/>
      </c>
      <c r="K1329" s="1791" t="str">
        <f>IF($I1301="","",INDEX(K_Summary!K:K,MATCH($Q1329,K_Summary!$P:$P,0)))</f>
        <v/>
      </c>
      <c r="L1329" s="1791" t="str">
        <f>IF($I1301="","",INDEX(K_Summary!L:L,MATCH($Q1329,K_Summary!$P:$P,0)))</f>
        <v/>
      </c>
      <c r="M1329" s="1791" t="str">
        <f>IF($I1301="","",INDEX(K_Summary!M:M,MATCH($Q1329,K_Summary!$P:$P,0)))</f>
        <v/>
      </c>
      <c r="N1329" s="1791" t="str">
        <f>IF($I1301="","",INDEX(K_Summary!N:N,MATCH($Q1329,K_Summary!$P:$P,0)))</f>
        <v/>
      </c>
      <c r="O1329" s="485"/>
      <c r="P1329" s="485"/>
      <c r="Q1329" s="1641" t="str">
        <f>EUconst_CNTR_100EUA_ActivityLevel&amp;I1301</f>
        <v>EUA100AL_</v>
      </c>
      <c r="U1329" s="1665"/>
      <c r="V1329" s="8"/>
      <c r="W1329" s="8"/>
      <c r="X1329" s="8"/>
      <c r="Y1329" s="8"/>
      <c r="Z1329" s="1664"/>
      <c r="AL1329" s="1435"/>
    </row>
    <row r="1330" spans="1:42" ht="5.0999999999999996" customHeight="1" thickBot="1">
      <c r="A1330" s="618"/>
      <c r="B1330" s="479"/>
      <c r="C1330" s="479"/>
      <c r="D1330" s="918"/>
      <c r="E1330" s="909"/>
      <c r="F1330" s="909"/>
      <c r="G1330" s="909"/>
      <c r="H1330" s="909"/>
      <c r="I1330" s="909"/>
      <c r="J1330" s="922"/>
      <c r="K1330" s="1791"/>
      <c r="L1330" s="1791"/>
      <c r="M1330" s="1791"/>
      <c r="N1330" s="1791"/>
      <c r="O1330" s="485"/>
      <c r="P1330" s="485"/>
      <c r="Q1330" s="1435"/>
      <c r="U1330" s="1663"/>
      <c r="V1330" s="1435"/>
      <c r="Z1330" s="1664"/>
      <c r="AL1330" s="1435"/>
    </row>
    <row r="1331" spans="1:42" ht="12.75" customHeight="1" thickBot="1">
      <c r="B1331" s="479"/>
      <c r="C1331" s="479"/>
      <c r="D1331" s="915" t="s">
        <v>18</v>
      </c>
      <c r="E1331" s="916" t="s">
        <v>1657</v>
      </c>
      <c r="F1331" s="916"/>
      <c r="G1331" s="916"/>
      <c r="H1331" s="921"/>
      <c r="I1331" s="1667"/>
      <c r="J1331" s="1668" t="str">
        <f>IF(J1329="","",IF(J1322&gt;$Z1301,-100%,IF(OR(J1329,V1323&lt;1),J1325,I1331)))</f>
        <v/>
      </c>
      <c r="K1331" s="1796" t="str">
        <f>IF(K1329="","",IF(K1322&gt;$Z1301,-100%,IF(OR(K1329,W1323&lt;1),K1325,J1331)))</f>
        <v/>
      </c>
      <c r="L1331" s="1796" t="str">
        <f>IF(L1329="","",IF(L1322&gt;$Z1301,-100%,IF(OR(L1329,X1323&lt;1),L1325,K1331)))</f>
        <v/>
      </c>
      <c r="M1331" s="1796" t="str">
        <f>IF(M1329="","",IF(M1322&gt;$Z1301,-100%,IF(OR(M1329,Y1323&lt;1),M1325,L1331)))</f>
        <v/>
      </c>
      <c r="N1331" s="1796" t="str">
        <f>IF(N1329="","",IF(N1322&gt;$Z1301,-100%,IF(OR(N1329,Z1323&lt;1),N1325,M1331)))</f>
        <v/>
      </c>
      <c r="O1331" s="485"/>
      <c r="P1331" s="1136"/>
      <c r="Q1331" s="1644" t="str">
        <f>EUconst_CNTR_HALAdjPct &amp; I1301</f>
        <v>HALAdjPct_</v>
      </c>
      <c r="U1331" s="1663" t="s">
        <v>1658</v>
      </c>
      <c r="V1331" s="1670">
        <f>J1328</f>
        <v>2026</v>
      </c>
      <c r="W1331" s="1670">
        <f>K1328</f>
        <v>2027</v>
      </c>
      <c r="X1331" s="1670">
        <f>L1328</f>
        <v>2028</v>
      </c>
      <c r="Y1331" s="1670">
        <f>M1328</f>
        <v>2029</v>
      </c>
      <c r="Z1331" s="1671">
        <f>N1328</f>
        <v>2030</v>
      </c>
      <c r="AL1331" s="1435"/>
    </row>
    <row r="1332" spans="1:42" ht="12.75" customHeight="1" thickBot="1">
      <c r="A1332" s="618"/>
      <c r="B1332" s="479"/>
      <c r="C1332" s="479"/>
      <c r="D1332" s="915" t="s">
        <v>787</v>
      </c>
      <c r="E1332" s="916" t="s">
        <v>1659</v>
      </c>
      <c r="F1332" s="916"/>
      <c r="G1332" s="916"/>
      <c r="H1332" s="639" t="str">
        <f>H1323</f>
        <v>tonnes</v>
      </c>
      <c r="I1332" s="917" t="str">
        <f>I1326</f>
        <v/>
      </c>
      <c r="J1332" s="1672" t="str">
        <f>IF($I1301="","",IF(OR($I1332=0,J1331="",$I1332=EUconst_NA),IF(OR(J1329=TRUE,J1328&lt;=$V1301),J1326,SUM(I1332)),$I1332*(1+SUM(J1331))))</f>
        <v/>
      </c>
      <c r="K1332" s="1800" t="str">
        <f>IF($I1301="","",IF(OR($I1332=0,K1331="",$I1332=EUconst_NA),IF(OR(K1329=TRUE,K1328&lt;=$V1301),K1326,SUM(J1332)),$I1332*(1+SUM(K1331))))</f>
        <v/>
      </c>
      <c r="L1332" s="1800" t="str">
        <f>IF($I1301="","",IF(OR($I1332=0,L1331="",$I1332=EUconst_NA),IF(OR(L1329=TRUE,L1328&lt;=$V1301),L1326,SUM(K1332)),$I1332*(1+SUM(L1331))))</f>
        <v/>
      </c>
      <c r="M1332" s="1800" t="str">
        <f>IF($I1301="","",IF(OR($I1332=0,M1331="",$I1332=EUconst_NA),IF(OR(M1329=TRUE,M1328&lt;=$V1301),M1326,SUM(L1332)),$I1332*(1+SUM(M1331))))</f>
        <v/>
      </c>
      <c r="N1332" s="1800" t="str">
        <f>IF($I1301="","",IF(OR($I1332=0,N1331="",$I1332=EUconst_NA),IF(OR(N1329=TRUE,N1328&lt;=$V1301),N1326,SUM(M1332)),$I1332*(1+SUM(N1331))))</f>
        <v/>
      </c>
      <c r="O1332" s="485"/>
      <c r="P1332" s="485"/>
      <c r="Q1332" s="1641" t="str">
        <f>EUconst_CNTR_HALfinal&amp;I1301</f>
        <v>HALfinal_</v>
      </c>
      <c r="U1332" s="1674" t="b">
        <v>0</v>
      </c>
      <c r="V1332" s="1675" t="str">
        <f>IF(V1309,IF(J1329=TRUE,V1324,U1332),"")</f>
        <v/>
      </c>
      <c r="W1332" s="1675" t="str">
        <f>IF(W1309,IF(K1329=TRUE,W1324,V1332),"")</f>
        <v/>
      </c>
      <c r="X1332" s="1675" t="str">
        <f>IF(X1309,IF(L1329=TRUE,X1324,W1332),"")</f>
        <v/>
      </c>
      <c r="Y1332" s="1675" t="str">
        <f>IF(Y1309,IF(M1329=TRUE,Y1324,X1332),"")</f>
        <v/>
      </c>
      <c r="Z1332" s="1676" t="str">
        <f>IF(Z1309,IF(N1329=TRUE,Z1324,Y1332),"")</f>
        <v/>
      </c>
      <c r="AJ1332" s="1633" t="s">
        <v>1951</v>
      </c>
      <c r="AK1332" s="1443" t="str">
        <f>IF(OR(ISERROR(J1332),ISERROR(K1332),ISERROR(L1332),ISERROR(M1332),ISERROR(N1332)),EUconst_Error &amp; "BM" &amp; Q1301,"")</f>
        <v/>
      </c>
      <c r="AL1332" s="1435"/>
    </row>
    <row r="1333" spans="1:42" ht="5.0999999999999996" customHeight="1" thickBot="1">
      <c r="B1333" s="479"/>
      <c r="C1333" s="479"/>
      <c r="D1333" s="924"/>
      <c r="E1333" s="925"/>
      <c r="F1333" s="925"/>
      <c r="G1333" s="925"/>
      <c r="H1333" s="925"/>
      <c r="I1333" s="925"/>
      <c r="J1333" s="926"/>
      <c r="K1333" s="1791"/>
      <c r="L1333" s="1791"/>
      <c r="M1333" s="1791"/>
      <c r="N1333" s="1791"/>
      <c r="O1333" s="485"/>
      <c r="P1333" s="485"/>
      <c r="Q1333" s="1435"/>
      <c r="U1333" s="1435"/>
      <c r="V1333" s="1435"/>
      <c r="AL1333" s="1435"/>
    </row>
    <row r="1334" spans="1:42" ht="5.0999999999999996" customHeight="1">
      <c r="B1334" s="479"/>
      <c r="C1334" s="479"/>
      <c r="D1334" s="485"/>
      <c r="E1334" s="485"/>
      <c r="F1334" s="485"/>
      <c r="G1334" s="485"/>
      <c r="H1334" s="485"/>
      <c r="I1334" s="485"/>
      <c r="J1334" s="485"/>
      <c r="K1334" s="485"/>
      <c r="L1334" s="485"/>
      <c r="M1334" s="485"/>
      <c r="N1334" s="485"/>
      <c r="O1334" s="485"/>
      <c r="P1334" s="485"/>
      <c r="Q1334" s="1435"/>
      <c r="U1334" s="1435"/>
      <c r="V1334" s="1435"/>
      <c r="AL1334" s="1435"/>
    </row>
    <row r="1335" spans="1:42" ht="15" customHeight="1">
      <c r="B1335" s="1124"/>
      <c r="C1335" s="479"/>
      <c r="D1335" s="2482" t="s">
        <v>1229</v>
      </c>
      <c r="E1335" s="2400"/>
      <c r="F1335" s="2400"/>
      <c r="G1335" s="2400"/>
      <c r="H1335" s="2400"/>
      <c r="I1335" s="2400"/>
      <c r="J1335" s="2400"/>
      <c r="K1335" s="2400"/>
      <c r="L1335" s="2400"/>
      <c r="M1335" s="2400"/>
      <c r="N1335" s="2400"/>
      <c r="O1335" s="485"/>
      <c r="P1335" s="485"/>
      <c r="U1335" s="1435"/>
      <c r="V1335" s="1435"/>
    </row>
    <row r="1336" spans="1:42" ht="5.0999999999999996" customHeight="1">
      <c r="B1336" s="479"/>
      <c r="C1336" s="479"/>
      <c r="D1336" s="479"/>
      <c r="E1336" s="479"/>
      <c r="F1336" s="479"/>
      <c r="G1336" s="479"/>
      <c r="H1336" s="479"/>
      <c r="I1336" s="479"/>
      <c r="J1336" s="479"/>
      <c r="K1336" s="479"/>
      <c r="L1336" s="479"/>
      <c r="M1336" s="479"/>
      <c r="N1336" s="479"/>
      <c r="O1336" s="485"/>
      <c r="P1336" s="485"/>
      <c r="Q1336" s="1435"/>
      <c r="U1336" s="1435"/>
      <c r="V1336" s="1435"/>
    </row>
    <row r="1337" spans="1:42" ht="12.75" customHeight="1">
      <c r="B1337" s="1124"/>
      <c r="C1337" s="485"/>
      <c r="D1337" s="482" t="s">
        <v>48</v>
      </c>
      <c r="E1337" s="2373" t="s">
        <v>800</v>
      </c>
      <c r="F1337" s="2400"/>
      <c r="G1337" s="2400"/>
      <c r="H1337" s="2400"/>
      <c r="I1337" s="2585"/>
      <c r="J1337" s="2652" t="str">
        <f>IF(I1301="","",IF(T1337,EUconst_MsgEnterThisSection,HYPERLINK(R1337,EUconst_MsgGoOn)))</f>
        <v/>
      </c>
      <c r="K1337" s="2653"/>
      <c r="L1337" s="2653"/>
      <c r="M1337" s="2653"/>
      <c r="N1337" s="2654"/>
      <c r="O1337" s="485"/>
      <c r="P1337" s="485"/>
      <c r="Q1337" s="1198" t="s">
        <v>441</v>
      </c>
      <c r="R1337" s="1488" t="str">
        <f>"#"&amp;ADDRESS(ROW(D1365),COLUMN(D1365))</f>
        <v>#$D$1365</v>
      </c>
      <c r="S1337" s="1633" t="s">
        <v>1674</v>
      </c>
      <c r="T1337" s="1644" t="str">
        <f>IF(I1301="","",INDEX(EUconst_BMlistElExchangability,MATCH(I1301,EUconst_BMlistNames,0)))</f>
        <v/>
      </c>
      <c r="U1337" s="1435"/>
      <c r="V1337" s="1435"/>
    </row>
    <row r="1338" spans="1:42" ht="12.75" customHeight="1">
      <c r="B1338" s="479"/>
      <c r="C1338" s="479"/>
      <c r="D1338" s="485"/>
      <c r="E1338" s="2385" t="s">
        <v>1241</v>
      </c>
      <c r="F1338" s="2846"/>
      <c r="G1338" s="2846"/>
      <c r="H1338" s="2846"/>
      <c r="I1338" s="2846"/>
      <c r="J1338" s="2846"/>
      <c r="K1338" s="2846"/>
      <c r="L1338" s="2846"/>
      <c r="M1338" s="2846"/>
      <c r="N1338" s="2846"/>
      <c r="O1338" s="485"/>
      <c r="P1338" s="485"/>
      <c r="U1338" s="1435"/>
      <c r="V1338" s="1435"/>
    </row>
    <row r="1339" spans="1:42" ht="12.75" customHeight="1">
      <c r="B1339" s="479"/>
      <c r="C1339" s="479"/>
      <c r="D1339" s="485"/>
      <c r="E1339" s="2385" t="s">
        <v>1526</v>
      </c>
      <c r="F1339" s="2846"/>
      <c r="G1339" s="2846"/>
      <c r="H1339" s="2846"/>
      <c r="I1339" s="2846"/>
      <c r="J1339" s="2846"/>
      <c r="K1339" s="2846"/>
      <c r="L1339" s="2846"/>
      <c r="M1339" s="2846"/>
      <c r="N1339" s="2846"/>
      <c r="O1339" s="485"/>
      <c r="P1339" s="485"/>
      <c r="Q1339" s="1435"/>
      <c r="U1339" s="1435"/>
      <c r="V1339" s="1435"/>
      <c r="W1339" s="1435"/>
      <c r="X1339" s="1435"/>
      <c r="Y1339" s="1435"/>
      <c r="Z1339" s="1435"/>
    </row>
    <row r="1340" spans="1:42" ht="25.5" customHeight="1">
      <c r="B1340" s="479"/>
      <c r="C1340" s="479"/>
      <c r="D1340" s="485"/>
      <c r="E1340" s="2385" t="s">
        <v>1635</v>
      </c>
      <c r="F1340" s="2846"/>
      <c r="G1340" s="2846"/>
      <c r="H1340" s="2846"/>
      <c r="I1340" s="2846"/>
      <c r="J1340" s="2846"/>
      <c r="K1340" s="2846"/>
      <c r="L1340" s="2846"/>
      <c r="M1340" s="2846"/>
      <c r="N1340" s="2846"/>
      <c r="O1340" s="485"/>
      <c r="P1340" s="485"/>
      <c r="Q1340" s="1435"/>
      <c r="U1340" s="1435"/>
      <c r="V1340" s="1435"/>
      <c r="W1340" s="1435"/>
      <c r="X1340" s="1435"/>
      <c r="Y1340" s="1435"/>
      <c r="Z1340" s="1435"/>
    </row>
    <row r="1341" spans="1:42" s="562" customFormat="1" ht="13.5" thickBot="1">
      <c r="A1341" s="618"/>
      <c r="B1341" s="485"/>
      <c r="C1341" s="485"/>
      <c r="D1341" s="482"/>
      <c r="E1341" s="927" t="s">
        <v>62</v>
      </c>
      <c r="F1341" s="518"/>
      <c r="G1341" s="663" t="str">
        <f>EUconst_Unit</f>
        <v>Unit</v>
      </c>
      <c r="H1341" s="578">
        <f>H$3242</f>
        <v>2024</v>
      </c>
      <c r="I1341" s="697">
        <f>I$3242</f>
        <v>2025</v>
      </c>
      <c r="J1341" s="1489">
        <f>J$112</f>
        <v>2026</v>
      </c>
      <c r="K1341" s="1490">
        <f>K$112</f>
        <v>2027</v>
      </c>
      <c r="L1341" s="1490">
        <f>L$112</f>
        <v>2028</v>
      </c>
      <c r="M1341" s="1490">
        <f>M$112</f>
        <v>2029</v>
      </c>
      <c r="N1341" s="1490">
        <f>N$112</f>
        <v>2030</v>
      </c>
      <c r="O1341" s="485"/>
      <c r="P1341" s="485"/>
      <c r="Q1341" s="1435"/>
      <c r="R1341" s="1435"/>
      <c r="S1341" s="1198"/>
      <c r="T1341" s="1198"/>
      <c r="U1341" s="1435"/>
      <c r="V1341" s="1435"/>
      <c r="W1341" s="1435"/>
      <c r="X1341" s="1435"/>
      <c r="Y1341" s="1435"/>
      <c r="Z1341" s="1435"/>
      <c r="AA1341" s="1435"/>
      <c r="AB1341" s="1198"/>
      <c r="AC1341" s="1638">
        <f t="shared" ref="AC1341:AI1341" si="618">H$20</f>
        <v>2024</v>
      </c>
      <c r="AD1341" s="1638">
        <f t="shared" si="618"/>
        <v>2025</v>
      </c>
      <c r="AE1341" s="1638">
        <f t="shared" si="618"/>
        <v>2026</v>
      </c>
      <c r="AF1341" s="1638">
        <f t="shared" si="618"/>
        <v>2027</v>
      </c>
      <c r="AG1341" s="1638">
        <f t="shared" si="618"/>
        <v>2028</v>
      </c>
      <c r="AH1341" s="1638">
        <f t="shared" si="618"/>
        <v>2029</v>
      </c>
      <c r="AI1341" s="1638">
        <f t="shared" si="618"/>
        <v>2030</v>
      </c>
      <c r="AJ1341" s="1198"/>
      <c r="AK1341" s="1198"/>
      <c r="AL1341" s="1198"/>
      <c r="AP1341" s="1135"/>
    </row>
    <row r="1342" spans="1:42" s="562" customFormat="1" ht="13.5" customHeight="1">
      <c r="A1342" s="618"/>
      <c r="B1342" s="485"/>
      <c r="C1342" s="485"/>
      <c r="D1342" s="561" t="s">
        <v>6</v>
      </c>
      <c r="E1342" s="863" t="s">
        <v>63</v>
      </c>
      <c r="F1342" s="863"/>
      <c r="G1342" s="579" t="str">
        <f>EUconst_tCO2pa</f>
        <v>t CO2 / year</v>
      </c>
      <c r="H1342" s="1678" t="str">
        <f>c_ALR2025!M3968</f>
        <v/>
      </c>
      <c r="I1342" s="1879"/>
      <c r="J1342" s="1786"/>
      <c r="K1342" s="1787"/>
      <c r="L1342" s="1787"/>
      <c r="M1342" s="1787"/>
      <c r="N1342" s="1787"/>
      <c r="O1342" s="485"/>
      <c r="P1342" s="9"/>
      <c r="Q1342" s="1435"/>
      <c r="R1342" s="1435"/>
      <c r="S1342" s="1198"/>
      <c r="T1342" s="1198"/>
      <c r="U1342" s="1435"/>
      <c r="V1342" s="1435"/>
      <c r="W1342" s="1435"/>
      <c r="X1342" s="1435"/>
      <c r="Y1342" s="1435"/>
      <c r="Z1342" s="1435"/>
      <c r="AA1342" s="1435"/>
      <c r="AB1342" s="1641" t="s">
        <v>717</v>
      </c>
      <c r="AC1342" s="1855" t="b">
        <f t="shared" ref="AC1342:AI1342" si="619">IF(CNTR_ExistSubInstEntries,IF($I1301="",TRUE,OR(H1341&gt;=CNTR_ReportingYear,AC1341&lt;$V1301-1,INDEX(EUconst_BMlistElExchangability,MATCH($I1301,EUconst_BMlistNames,0))=FALSE)),FALSE)</f>
        <v>0</v>
      </c>
      <c r="AD1342" s="1680" t="b">
        <f t="shared" si="619"/>
        <v>0</v>
      </c>
      <c r="AE1342" s="1680" t="b">
        <f t="shared" si="619"/>
        <v>0</v>
      </c>
      <c r="AF1342" s="1680" t="b">
        <f t="shared" si="619"/>
        <v>0</v>
      </c>
      <c r="AG1342" s="1680" t="b">
        <f t="shared" si="619"/>
        <v>0</v>
      </c>
      <c r="AH1342" s="1680" t="b">
        <f t="shared" si="619"/>
        <v>0</v>
      </c>
      <c r="AI1342" s="1681" t="b">
        <f t="shared" si="619"/>
        <v>0</v>
      </c>
      <c r="AJ1342" s="1633" t="s">
        <v>1954</v>
      </c>
      <c r="AK1342" s="1635" t="str">
        <f>IF(AND(CNTR_ExistSubInstEntries,COUNTIFS(AC1342:AI1342,FALSE,H1342:N1342,"")&gt;0),EUconst_Error&amp;"BM"&amp;$Q1301,"")</f>
        <v/>
      </c>
      <c r="AL1342" s="1198"/>
      <c r="AP1342" s="1135"/>
    </row>
    <row r="1343" spans="1:42" s="562" customFormat="1" ht="12.75" customHeight="1">
      <c r="A1343" s="618"/>
      <c r="B1343" s="485"/>
      <c r="C1343" s="485"/>
      <c r="D1343" s="561" t="s">
        <v>7</v>
      </c>
      <c r="E1343" s="865" t="s">
        <v>257</v>
      </c>
      <c r="F1343" s="865"/>
      <c r="G1343" s="582" t="str">
        <f>EUconst_TJpa</f>
        <v>TJ / year</v>
      </c>
      <c r="H1343" s="662" t="str">
        <f t="shared" ref="H1343:N1343" si="620">IF(AND($I1301&lt;&gt;"",H1341&lt;CNTR_ReportingYear),IF(INDEX(EUconst_BMlistElExchangability,MATCH($I1301,EUconst_BMlistNames,0)),SUM(H1514),""),"")</f>
        <v/>
      </c>
      <c r="I1343" s="931" t="str">
        <f t="shared" si="620"/>
        <v/>
      </c>
      <c r="J1343" s="1788" t="str">
        <f t="shared" si="620"/>
        <v/>
      </c>
      <c r="K1343" s="1789" t="str">
        <f t="shared" si="620"/>
        <v/>
      </c>
      <c r="L1343" s="1789" t="str">
        <f t="shared" si="620"/>
        <v/>
      </c>
      <c r="M1343" s="1789" t="str">
        <f t="shared" si="620"/>
        <v/>
      </c>
      <c r="N1343" s="1789" t="str">
        <f t="shared" si="620"/>
        <v/>
      </c>
      <c r="O1343" s="485"/>
      <c r="P1343" s="485"/>
      <c r="Q1343" s="1435"/>
      <c r="R1343" s="1435"/>
      <c r="S1343" s="1198"/>
      <c r="T1343" s="1198">
        <f t="shared" ref="T1343:Z1343" si="621">H1341</f>
        <v>2024</v>
      </c>
      <c r="U1343" s="1435">
        <f t="shared" si="621"/>
        <v>2025</v>
      </c>
      <c r="V1343" s="1435">
        <f t="shared" si="621"/>
        <v>2026</v>
      </c>
      <c r="W1343" s="1435">
        <f t="shared" si="621"/>
        <v>2027</v>
      </c>
      <c r="X1343" s="1435">
        <f t="shared" si="621"/>
        <v>2028</v>
      </c>
      <c r="Y1343" s="1435">
        <f t="shared" si="621"/>
        <v>2029</v>
      </c>
      <c r="Z1343" s="1435">
        <f t="shared" si="621"/>
        <v>2030</v>
      </c>
      <c r="AA1343" s="1435"/>
      <c r="AB1343" s="1435"/>
      <c r="AC1343" s="1665"/>
      <c r="AD1343" s="1435"/>
      <c r="AE1343" s="1435"/>
      <c r="AF1343" s="1435"/>
      <c r="AG1343" s="1435"/>
      <c r="AH1343" s="1435"/>
      <c r="AI1343" s="1683"/>
      <c r="AJ1343" s="1435"/>
      <c r="AK1343" s="1435"/>
      <c r="AL1343" s="1198"/>
      <c r="AP1343" s="1135"/>
    </row>
    <row r="1344" spans="1:42" s="562" customFormat="1" ht="12.75" customHeight="1" thickBot="1">
      <c r="A1344" s="618"/>
      <c r="B1344" s="485"/>
      <c r="C1344" s="485"/>
      <c r="D1344" s="561" t="s">
        <v>8</v>
      </c>
      <c r="E1344" s="932" t="s">
        <v>914</v>
      </c>
      <c r="F1344" s="932"/>
      <c r="G1344" s="933" t="str">
        <f>EUconst_MWhpa</f>
        <v>MWh / year</v>
      </c>
      <c r="H1344" s="1582" t="str">
        <f>c_ALR2025!M3970</f>
        <v/>
      </c>
      <c r="I1344" s="1880"/>
      <c r="J1344" s="1491"/>
      <c r="K1344" s="1492"/>
      <c r="L1344" s="1492"/>
      <c r="M1344" s="1492"/>
      <c r="N1344" s="1492"/>
      <c r="O1344" s="485"/>
      <c r="P1344" s="9"/>
      <c r="Q1344" s="1644" t="str">
        <f>EUconst_CNTR_HAL&amp;EUconst_CNTR_ELEXCH</f>
        <v>HAL_ELEXCH_</v>
      </c>
      <c r="R1344" s="1644" t="str">
        <f>EUconst_CNTR_HAL&amp;EUconst_CNTR_ELEXCH &amp; I1301</f>
        <v>HAL_ELEXCH_</v>
      </c>
      <c r="S1344" s="1198" t="str">
        <f>EUconst_CNTR_AttributedEmissions &amp; I1301</f>
        <v>AttrEmissions_</v>
      </c>
      <c r="T1344" s="1198" t="str">
        <f t="shared" ref="T1344:Z1344" si="622">IF(T1309,SUM(H1344)*EUconst_ElBM,"")</f>
        <v/>
      </c>
      <c r="U1344" s="1435" t="str">
        <f t="shared" si="622"/>
        <v/>
      </c>
      <c r="V1344" s="1435" t="str">
        <f t="shared" si="622"/>
        <v/>
      </c>
      <c r="W1344" s="1435" t="str">
        <f t="shared" si="622"/>
        <v/>
      </c>
      <c r="X1344" s="1435" t="str">
        <f t="shared" si="622"/>
        <v/>
      </c>
      <c r="Y1344" s="1435" t="str">
        <f t="shared" si="622"/>
        <v/>
      </c>
      <c r="Z1344" s="1435" t="str">
        <f t="shared" si="622"/>
        <v/>
      </c>
      <c r="AA1344" s="1435"/>
      <c r="AB1344" s="1435"/>
      <c r="AC1344" s="1685" t="b">
        <f>AC1342</f>
        <v>0</v>
      </c>
      <c r="AD1344" s="1686" t="b">
        <f t="shared" ref="AD1344:AI1344" si="623">AD1342</f>
        <v>0</v>
      </c>
      <c r="AE1344" s="1686" t="b">
        <f t="shared" si="623"/>
        <v>0</v>
      </c>
      <c r="AF1344" s="1686" t="b">
        <f t="shared" si="623"/>
        <v>0</v>
      </c>
      <c r="AG1344" s="1686" t="b">
        <f t="shared" si="623"/>
        <v>0</v>
      </c>
      <c r="AH1344" s="1686" t="b">
        <f t="shared" si="623"/>
        <v>0</v>
      </c>
      <c r="AI1344" s="1687" t="b">
        <f t="shared" si="623"/>
        <v>0</v>
      </c>
      <c r="AJ1344" s="1633" t="s">
        <v>1954</v>
      </c>
      <c r="AK1344" s="1635" t="str">
        <f>IF(AND(CNTR_ExistSubInstEntries,COUNTIFS(AC1344:AI1344,FALSE,H1344:N1344,"")&gt;0),EUconst_Error&amp;"BM"&amp;$Q1301,"")</f>
        <v/>
      </c>
      <c r="AL1344" s="1198"/>
      <c r="AP1344" s="1135"/>
    </row>
    <row r="1345" spans="1:42" s="562" customFormat="1" ht="13.5" customHeight="1">
      <c r="A1345" s="618"/>
      <c r="B1345" s="485"/>
      <c r="C1345" s="485"/>
      <c r="D1345" s="561" t="s">
        <v>18</v>
      </c>
      <c r="E1345" s="863" t="s">
        <v>915</v>
      </c>
      <c r="F1345" s="863"/>
      <c r="G1345" s="579" t="str">
        <f>EUconst_tCO2pa</f>
        <v>t CO2 / year</v>
      </c>
      <c r="H1345" s="929" t="str">
        <f t="shared" ref="H1345:N1345" si="624">IF(ISNUMBER(H1342),H1342+SUM(H1343)*EUconst_HeatBMvalue,"")</f>
        <v/>
      </c>
      <c r="I1345" s="930" t="str">
        <f t="shared" si="624"/>
        <v/>
      </c>
      <c r="J1345" s="1786" t="str">
        <f t="shared" si="624"/>
        <v/>
      </c>
      <c r="K1345" s="1787" t="str">
        <f t="shared" si="624"/>
        <v/>
      </c>
      <c r="L1345" s="1787" t="str">
        <f t="shared" si="624"/>
        <v/>
      </c>
      <c r="M1345" s="1787" t="str">
        <f t="shared" si="624"/>
        <v/>
      </c>
      <c r="N1345" s="1787" t="str">
        <f t="shared" si="624"/>
        <v/>
      </c>
      <c r="O1345" s="485"/>
      <c r="P1345" s="485"/>
      <c r="Q1345" s="1435"/>
      <c r="R1345" s="1435"/>
      <c r="S1345" s="1198"/>
      <c r="T1345" s="1198"/>
      <c r="U1345" s="1435"/>
      <c r="V1345" s="1435"/>
      <c r="W1345" s="1435"/>
      <c r="X1345" s="1435"/>
      <c r="Y1345" s="1435"/>
      <c r="Z1345" s="1435"/>
      <c r="AA1345" s="1435"/>
      <c r="AB1345" s="1435"/>
      <c r="AC1345" s="1435"/>
      <c r="AD1345" s="1435"/>
      <c r="AE1345" s="1435"/>
      <c r="AF1345" s="1435"/>
      <c r="AG1345" s="1435"/>
      <c r="AH1345" s="1435"/>
      <c r="AI1345" s="1435"/>
      <c r="AJ1345" s="1435"/>
      <c r="AK1345" s="1435"/>
      <c r="AL1345" s="1198"/>
      <c r="AP1345" s="1135"/>
    </row>
    <row r="1346" spans="1:42" s="562" customFormat="1" ht="13.5" customHeight="1">
      <c r="A1346" s="618"/>
      <c r="B1346" s="485"/>
      <c r="C1346" s="485"/>
      <c r="D1346" s="561" t="s">
        <v>787</v>
      </c>
      <c r="E1346" s="867" t="s">
        <v>916</v>
      </c>
      <c r="F1346" s="867"/>
      <c r="G1346" s="584" t="str">
        <f>EUconst_tCO2pa</f>
        <v>t CO2 / year</v>
      </c>
      <c r="H1346" s="935" t="str">
        <f t="shared" ref="H1346:N1346" si="625">IF(ISNUMBER(H1344),H1344*EUconst_ElBM,"")</f>
        <v/>
      </c>
      <c r="I1346" s="936" t="str">
        <f t="shared" si="625"/>
        <v/>
      </c>
      <c r="J1346" s="1786" t="str">
        <f t="shared" si="625"/>
        <v/>
      </c>
      <c r="K1346" s="1787" t="str">
        <f t="shared" si="625"/>
        <v/>
      </c>
      <c r="L1346" s="1787" t="str">
        <f t="shared" si="625"/>
        <v/>
      </c>
      <c r="M1346" s="1787" t="str">
        <f t="shared" si="625"/>
        <v/>
      </c>
      <c r="N1346" s="1787" t="str">
        <f t="shared" si="625"/>
        <v/>
      </c>
      <c r="O1346" s="485"/>
      <c r="P1346" s="485"/>
      <c r="Q1346" s="1435"/>
      <c r="R1346" s="1435"/>
      <c r="S1346" s="1198"/>
      <c r="T1346" s="1198"/>
      <c r="U1346" s="1435"/>
      <c r="V1346" s="1435"/>
      <c r="W1346" s="1435"/>
      <c r="X1346" s="1435"/>
      <c r="Y1346" s="1435"/>
      <c r="Z1346" s="1435"/>
      <c r="AA1346" s="1435"/>
      <c r="AB1346" s="1435"/>
      <c r="AC1346" s="1435"/>
      <c r="AD1346" s="1435"/>
      <c r="AE1346" s="1435"/>
      <c r="AF1346" s="1435"/>
      <c r="AG1346" s="1435"/>
      <c r="AH1346" s="1435"/>
      <c r="AI1346" s="1435"/>
      <c r="AJ1346" s="1435"/>
      <c r="AK1346" s="1435"/>
      <c r="AL1346" s="1198"/>
      <c r="AP1346" s="1135"/>
    </row>
    <row r="1347" spans="1:42" ht="5.0999999999999996" customHeight="1">
      <c r="B1347" s="479"/>
      <c r="C1347" s="479"/>
      <c r="D1347" s="479"/>
      <c r="E1347" s="479"/>
      <c r="F1347" s="479"/>
      <c r="G1347" s="479"/>
      <c r="H1347" s="479"/>
      <c r="I1347" s="479"/>
      <c r="J1347" s="1790"/>
      <c r="K1347" s="1791"/>
      <c r="L1347" s="1791"/>
      <c r="M1347" s="1791"/>
      <c r="N1347" s="1791"/>
      <c r="O1347" s="485"/>
      <c r="P1347" s="485"/>
      <c r="Q1347" s="1435"/>
      <c r="U1347" s="1435"/>
      <c r="V1347" s="1435"/>
      <c r="W1347" s="1435"/>
      <c r="X1347" s="1435"/>
      <c r="Y1347" s="1435"/>
      <c r="Z1347" s="1435"/>
    </row>
    <row r="1348" spans="1:42" ht="12.75" customHeight="1">
      <c r="B1348" s="479"/>
      <c r="C1348" s="479"/>
      <c r="D1348" s="561" t="s">
        <v>788</v>
      </c>
      <c r="E1348" s="698" t="s">
        <v>1389</v>
      </c>
      <c r="F1348" s="938"/>
      <c r="G1348" s="939" t="s">
        <v>1021</v>
      </c>
      <c r="H1348" s="940" t="str">
        <f t="shared" ref="H1348:N1348" si="626">IF(COUNT(H1345:H1346)&gt;0,SUM(H1345)/SUM(H1345:H1346),IF($T1337=TRUE,IF(H1341&gt;CNTR_ReportingYear,"",1),""))</f>
        <v/>
      </c>
      <c r="I1348" s="941" t="str">
        <f t="shared" si="626"/>
        <v/>
      </c>
      <c r="J1348" s="1792" t="str">
        <f t="shared" si="626"/>
        <v/>
      </c>
      <c r="K1348" s="1793" t="str">
        <f t="shared" si="626"/>
        <v/>
      </c>
      <c r="L1348" s="1793" t="str">
        <f t="shared" si="626"/>
        <v/>
      </c>
      <c r="M1348" s="1793" t="str">
        <f t="shared" si="626"/>
        <v/>
      </c>
      <c r="N1348" s="1793" t="str">
        <f t="shared" si="626"/>
        <v/>
      </c>
      <c r="O1348" s="485"/>
      <c r="P1348" s="485"/>
      <c r="Q1348" s="1644" t="str">
        <f>EUconst_CNTR_ELEXCH &amp; I1301</f>
        <v>ELEXCH_</v>
      </c>
    </row>
    <row r="1349" spans="1:42" ht="5.0999999999999996" customHeight="1">
      <c r="B1349" s="479"/>
      <c r="C1349" s="479"/>
      <c r="D1349" s="479"/>
      <c r="E1349" s="479"/>
      <c r="F1349" s="479"/>
      <c r="G1349" s="479"/>
      <c r="H1349" s="479"/>
      <c r="I1349" s="479"/>
      <c r="J1349" s="479"/>
      <c r="K1349" s="479"/>
      <c r="L1349" s="479"/>
      <c r="M1349" s="485"/>
      <c r="N1349" s="485"/>
      <c r="O1349" s="485"/>
      <c r="P1349" s="485"/>
      <c r="Q1349" s="1435"/>
    </row>
    <row r="1350" spans="1:42" ht="25.5" customHeight="1" thickBot="1">
      <c r="B1350" s="479"/>
      <c r="C1350" s="479"/>
      <c r="D1350" s="485"/>
      <c r="E1350" s="2385" t="s">
        <v>2703</v>
      </c>
      <c r="F1350" s="2846"/>
      <c r="G1350" s="2846"/>
      <c r="H1350" s="2846"/>
      <c r="I1350" s="2846"/>
      <c r="J1350" s="2846"/>
      <c r="K1350" s="2846"/>
      <c r="L1350" s="2846"/>
      <c r="M1350" s="2846"/>
      <c r="N1350" s="2846"/>
      <c r="O1350" s="485"/>
      <c r="P1350" s="485"/>
      <c r="Q1350" s="1435"/>
      <c r="S1350" s="1435"/>
      <c r="T1350" s="1435"/>
      <c r="U1350" s="1435"/>
    </row>
    <row r="1351" spans="1:42" ht="5.0999999999999996" customHeight="1" thickBot="1">
      <c r="B1351" s="479"/>
      <c r="C1351" s="479"/>
      <c r="D1351" s="902"/>
      <c r="E1351" s="942"/>
      <c r="F1351" s="942"/>
      <c r="G1351" s="942"/>
      <c r="H1351" s="942"/>
      <c r="I1351" s="942"/>
      <c r="J1351" s="943"/>
      <c r="K1351" s="1791"/>
      <c r="L1351" s="1791"/>
      <c r="M1351" s="1791"/>
      <c r="N1351" s="1791"/>
      <c r="O1351" s="485"/>
      <c r="P1351" s="485"/>
      <c r="Q1351" s="1435"/>
      <c r="S1351" s="1435"/>
      <c r="T1351" s="1435"/>
      <c r="U1351" s="1435"/>
    </row>
    <row r="1352" spans="1:42" ht="12.75" customHeight="1">
      <c r="B1352" s="479"/>
      <c r="C1352" s="479"/>
      <c r="D1352" s="907" t="s">
        <v>1915</v>
      </c>
      <c r="E1352" s="908" t="s">
        <v>1775</v>
      </c>
      <c r="F1352" s="909"/>
      <c r="G1352" s="909"/>
      <c r="H1352" s="910" t="str">
        <f>EUconst_Unit</f>
        <v>Unit</v>
      </c>
      <c r="I1352" s="911" t="s">
        <v>2220</v>
      </c>
      <c r="J1352" s="1647">
        <f>J$3242</f>
        <v>2026</v>
      </c>
      <c r="K1352" s="1490">
        <f>K$3242</f>
        <v>2027</v>
      </c>
      <c r="L1352" s="1490">
        <f>L$3242</f>
        <v>2028</v>
      </c>
      <c r="M1352" s="1490">
        <f>M$3242</f>
        <v>2029</v>
      </c>
      <c r="N1352" s="1490">
        <f>N$3242</f>
        <v>2030</v>
      </c>
      <c r="O1352" s="485"/>
      <c r="P1352" s="485"/>
      <c r="Q1352" s="1435"/>
      <c r="U1352" s="1648"/>
      <c r="V1352" s="1649">
        <f>J1352</f>
        <v>2026</v>
      </c>
      <c r="W1352" s="1649">
        <f>K1352</f>
        <v>2027</v>
      </c>
      <c r="X1352" s="1649">
        <f>L1352</f>
        <v>2028</v>
      </c>
      <c r="Y1352" s="1649">
        <f>M1352</f>
        <v>2029</v>
      </c>
      <c r="Z1352" s="1650">
        <f>N1352</f>
        <v>2030</v>
      </c>
      <c r="AL1352" s="1435"/>
    </row>
    <row r="1353" spans="1:42" ht="12.75" customHeight="1">
      <c r="B1353" s="479"/>
      <c r="C1353" s="479"/>
      <c r="D1353" s="915" t="s">
        <v>6</v>
      </c>
      <c r="E1353" s="916" t="s">
        <v>1691</v>
      </c>
      <c r="F1353" s="916"/>
      <c r="G1353" s="916"/>
      <c r="H1353" s="944" t="str">
        <f>G1348</f>
        <v>-</v>
      </c>
      <c r="I1353" s="945" t="str">
        <f>IF($T1337&lt;&gt;TRUE,"",INDEX('B+C_SubInstallations'!$L:$L,MATCH(Q1353,'B+C_SubInstallations'!$W:$W,0)))</f>
        <v/>
      </c>
      <c r="J1353" s="1691" t="str">
        <f>IF($T1337&lt;&gt;TRUE,"",IF(AND(V1353&gt;=3,CNTR_ReportingYear&gt;J1352-1),AVERAGE(SUM(H1348),SUM(I1348)),""))</f>
        <v/>
      </c>
      <c r="K1353" s="1794" t="str">
        <f>IF($T1337&lt;&gt;TRUE,"",IF(AND(W1353&gt;=3,CNTR_ReportingYear&gt;K1352-1),AVERAGE(SUM(I1348),SUM(J1348)),""))</f>
        <v/>
      </c>
      <c r="L1353" s="1794" t="str">
        <f>IF($T1337&lt;&gt;TRUE,"",IF(AND(X1353&gt;=3,CNTR_ReportingYear&gt;L1352-1),AVERAGE(SUM(J1348),SUM(K1348)),""))</f>
        <v/>
      </c>
      <c r="M1353" s="1794" t="str">
        <f>IF($T1337&lt;&gt;TRUE,"",IF(AND(Y1353&gt;=3,CNTR_ReportingYear&gt;M1352-1),AVERAGE(SUM(K1348),SUM(L1348)),""))</f>
        <v/>
      </c>
      <c r="N1353" s="1794" t="str">
        <f>IF($T1337&lt;&gt;TRUE,"",IF(AND(Z1353&gt;=3,CNTR_ReportingYear&gt;N1352-1),AVERAGE(SUM(L1348),SUM(M1348)),""))</f>
        <v/>
      </c>
      <c r="O1353" s="485"/>
      <c r="P1353" s="485"/>
      <c r="Q1353" s="1644" t="str">
        <f>EUconst_CNTR_HAL &amp; EUconst_CNTR_ELEXCHInitial &amp; I1301</f>
        <v>HAL_ELEXCHIni_</v>
      </c>
      <c r="U1353" s="1693" t="s">
        <v>1650</v>
      </c>
      <c r="V1353" s="1635">
        <f>V1323</f>
        <v>0</v>
      </c>
      <c r="W1353" s="1635">
        <f>W1323</f>
        <v>0</v>
      </c>
      <c r="X1353" s="1635">
        <f>X1323</f>
        <v>0</v>
      </c>
      <c r="Y1353" s="1635">
        <f>Y1323</f>
        <v>0</v>
      </c>
      <c r="Z1353" s="1654">
        <f>Z1323</f>
        <v>0</v>
      </c>
      <c r="AL1353" s="1435"/>
    </row>
    <row r="1354" spans="1:42" ht="12.75" hidden="1" customHeight="1">
      <c r="A1354" s="618" t="s">
        <v>2289</v>
      </c>
      <c r="B1354" s="479"/>
      <c r="C1354" s="479"/>
      <c r="D1354" s="915"/>
      <c r="E1354" s="916" t="s">
        <v>1776</v>
      </c>
      <c r="F1354" s="916"/>
      <c r="G1354" s="916"/>
      <c r="H1354" s="921"/>
      <c r="I1354" s="1657"/>
      <c r="J1354" s="17" t="str">
        <f>IF(J1353="","",IF($I1356=0,IF(J1353=0,0%,100%),J1353/$I1356-1))</f>
        <v/>
      </c>
      <c r="K1354" s="22" t="str">
        <f>IF(K1353="","",IF($I1356=0,IF(K1353=0,0%,100%),K1353/$I1356-1))</f>
        <v/>
      </c>
      <c r="L1354" s="22" t="str">
        <f>IF(L1353="","",IF($I1356=0,IF(L1353=0,0%,100%),L1353/$I1356-1))</f>
        <v/>
      </c>
      <c r="M1354" s="22" t="str">
        <f>IF(M1353="","",IF($I1356=0,IF(M1353=0,0%,100%),M1353/$I1356-1))</f>
        <v/>
      </c>
      <c r="N1354" s="22" t="str">
        <f>IF(N1353="","",IF($I1356=0,IF(N1353=0,0%,100%),N1353/$I1356-1))</f>
        <v/>
      </c>
      <c r="O1354" s="485"/>
      <c r="P1354" s="485"/>
      <c r="Q1354" s="1644" t="str">
        <f>EUconst_CNTR_RelThreshold &amp; Q1356</f>
        <v>RelThresh_HALprelim_ELEXCH_</v>
      </c>
      <c r="U1354" s="1693" t="s">
        <v>1655</v>
      </c>
      <c r="V1354" s="1158" t="str">
        <f>IF(J1353="","",ABS(J1354)&gt;15%)</f>
        <v/>
      </c>
      <c r="W1354" s="1158" t="str">
        <f>IF(K1353="","",ABS(K1354)&gt;15%)</f>
        <v/>
      </c>
      <c r="X1354" s="1158" t="str">
        <f>IF(L1353="","",ABS(L1354)&gt;15%)</f>
        <v/>
      </c>
      <c r="Y1354" s="1158" t="str">
        <f>IF(M1353="","",ABS(M1354)&gt;15%)</f>
        <v/>
      </c>
      <c r="Z1354" s="1656" t="str">
        <f>IF(N1353="","",ABS(N1354)&gt;15%)</f>
        <v/>
      </c>
      <c r="AL1354" s="1435"/>
    </row>
    <row r="1355" spans="1:42" ht="12.75" customHeight="1">
      <c r="A1355" s="618"/>
      <c r="B1355" s="479"/>
      <c r="C1355" s="479"/>
      <c r="D1355" s="915" t="s">
        <v>7</v>
      </c>
      <c r="E1355" s="916" t="s">
        <v>1654</v>
      </c>
      <c r="F1355" s="916"/>
      <c r="G1355" s="916"/>
      <c r="H1355" s="921"/>
      <c r="I1355" s="1657"/>
      <c r="J1355" s="1658" t="str">
        <f>IF(J1353="","",IF(V1354=FALSE,0%,J1354))</f>
        <v/>
      </c>
      <c r="K1355" s="1795" t="str">
        <f>IF(K1353="","",IF(W1354=FALSE,0%,K1354))</f>
        <v/>
      </c>
      <c r="L1355" s="1795" t="str">
        <f>IF(L1353="","",IF(X1354=FALSE,0%,L1354))</f>
        <v/>
      </c>
      <c r="M1355" s="1795" t="str">
        <f>IF(M1353="","",IF(Y1354=FALSE,0%,M1354))</f>
        <v/>
      </c>
      <c r="N1355" s="1795" t="str">
        <f>IF(N1353="","",IF(Z1354=FALSE,0%,N1354))</f>
        <v/>
      </c>
      <c r="O1355" s="485"/>
      <c r="P1355" s="485"/>
      <c r="Q1355" s="1435"/>
      <c r="U1355" s="1694"/>
      <c r="Z1355" s="1664"/>
      <c r="AL1355" s="1435"/>
    </row>
    <row r="1356" spans="1:42" ht="12.75" hidden="1" customHeight="1">
      <c r="A1356" s="618" t="s">
        <v>2289</v>
      </c>
      <c r="B1356" s="479"/>
      <c r="C1356" s="479"/>
      <c r="D1356" s="915"/>
      <c r="E1356" s="916" t="s">
        <v>1689</v>
      </c>
      <c r="F1356" s="916"/>
      <c r="G1356" s="916"/>
      <c r="H1356" s="944" t="str">
        <f>H1353</f>
        <v>-</v>
      </c>
      <c r="I1356" s="945" t="str">
        <f>IF($T1337&lt;&gt;TRUE,"",IF(AB1301=FALSE,EUconst_NA,IF(V1301&gt;($J$3242-3),INDEX(H1348:N1348,MATCH(V1301,H1341:N1341,0)),SUM(I1353))))</f>
        <v/>
      </c>
      <c r="J1356" s="1695" t="str">
        <f>IF(OR($I1301="",$T1337=FALSE),"",IF(V1353&lt;2,SUM(J1348),IF(V1353&lt;3,SUM(I1348),IF(V1356="",I1356,V1356))))</f>
        <v/>
      </c>
      <c r="K1356" s="1794" t="str">
        <f>IF(OR($I1301="",$T1337=FALSE),"",IF(W1353&lt;2,SUM(K1348),IF(W1353&lt;3,SUM(J1348),IF(W1356="",J1356,W1356))))</f>
        <v/>
      </c>
      <c r="L1356" s="1794" t="str">
        <f>IF(OR($I1301="",$T1337=FALSE),"",IF(X1353&lt;2,SUM(L1348),IF(X1353&lt;3,SUM(K1348),IF(X1356="",K1356,X1356))))</f>
        <v/>
      </c>
      <c r="M1356" s="1794" t="str">
        <f>IF(OR($I1301="",$T1337=FALSE),"",IF(Y1353&lt;2,SUM(M1348),IF(Y1353&lt;3,SUM(L1348),IF(Y1356="",L1356,Y1356))))</f>
        <v/>
      </c>
      <c r="N1356" s="1794" t="str">
        <f>IF(OR($I1301="",$T1337=FALSE),"",IF(Z1353&lt;2,SUM(N1348),IF(Z1353&lt;3,SUM(M1348),IF(Z1356="",M1356,Z1356))))</f>
        <v/>
      </c>
      <c r="O1356" s="485"/>
      <c r="P1356" s="485"/>
      <c r="Q1356" s="1644" t="str">
        <f>EUconst_CNTR_HALprelim&amp;EUconst_CNTR_ELEXCH &amp; I1301</f>
        <v>HALprelim_ELEXCH_</v>
      </c>
      <c r="U1356" s="1693" t="s">
        <v>1697</v>
      </c>
      <c r="V1356" s="1696" t="str">
        <f>IF(J1353="","",IF(CNTR_ReportingYear&lt;J1352,I1355,IF($I1356=0,J1353,$I1356*(1+J1355))))</f>
        <v/>
      </c>
      <c r="W1356" s="1696" t="str">
        <f>IF(K1353="","",IF(CNTR_ReportingYear&lt;K1352,J1355,IF($I1356=0,K1353,$I1356*(1+K1355))))</f>
        <v/>
      </c>
      <c r="X1356" s="1696" t="str">
        <f>IF(L1353="","",IF(CNTR_ReportingYear&lt;L1352,K1355,IF($I1356=0,L1353,$I1356*(1+L1355))))</f>
        <v/>
      </c>
      <c r="Y1356" s="1696" t="str">
        <f>IF(M1353="","",IF(CNTR_ReportingYear&lt;M1352,L1355,IF($I1356=0,M1353,$I1356*(1+M1355))))</f>
        <v/>
      </c>
      <c r="Z1356" s="1697" t="str">
        <f>IF(N1353="","",IF(CNTR_ReportingYear&lt;N1352,M1355,IF($I1356=0,N1353,$I1356*(1+N1355))))</f>
        <v/>
      </c>
      <c r="AL1356" s="1435"/>
    </row>
    <row r="1357" spans="1:42" ht="5.0999999999999996" customHeight="1">
      <c r="A1357" s="618"/>
      <c r="B1357" s="479"/>
      <c r="C1357" s="479"/>
      <c r="D1357" s="915"/>
      <c r="E1357" s="909"/>
      <c r="F1357" s="909"/>
      <c r="G1357" s="909"/>
      <c r="H1357" s="909"/>
      <c r="I1357" s="909"/>
      <c r="J1357" s="922"/>
      <c r="K1357" s="1791"/>
      <c r="L1357" s="1791"/>
      <c r="M1357" s="1791"/>
      <c r="N1357" s="1791"/>
      <c r="O1357" s="485"/>
      <c r="P1357" s="485"/>
      <c r="Q1357" s="1435"/>
      <c r="U1357" s="1663"/>
      <c r="V1357" s="1435"/>
      <c r="Z1357" s="1664"/>
      <c r="AL1357" s="1435"/>
    </row>
    <row r="1358" spans="1:42" ht="12.75" customHeight="1">
      <c r="A1358" s="618"/>
      <c r="B1358" s="479"/>
      <c r="C1358" s="479"/>
      <c r="D1358" s="915"/>
      <c r="E1358" s="923" t="s">
        <v>1653</v>
      </c>
      <c r="F1358" s="923"/>
      <c r="G1358" s="923"/>
      <c r="H1358" s="923"/>
      <c r="I1358" s="923"/>
      <c r="J1358" s="1647">
        <f>J$3242</f>
        <v>2026</v>
      </c>
      <c r="K1358" s="1490">
        <f>K$3242</f>
        <v>2027</v>
      </c>
      <c r="L1358" s="1490">
        <f>L$3242</f>
        <v>2028</v>
      </c>
      <c r="M1358" s="1490">
        <f>M$3242</f>
        <v>2029</v>
      </c>
      <c r="N1358" s="1490">
        <f>N$3242</f>
        <v>2030</v>
      </c>
      <c r="O1358" s="485"/>
      <c r="P1358" s="485"/>
      <c r="Q1358" s="1435"/>
      <c r="U1358" s="1665"/>
      <c r="Z1358" s="1664"/>
      <c r="AL1358" s="1435"/>
    </row>
    <row r="1359" spans="1:42" ht="12.75" customHeight="1">
      <c r="A1359" s="618"/>
      <c r="B1359" s="479"/>
      <c r="C1359" s="479"/>
      <c r="D1359" s="915" t="s">
        <v>8</v>
      </c>
      <c r="E1359" s="916" t="s">
        <v>2108</v>
      </c>
      <c r="F1359" s="916"/>
      <c r="G1359" s="916"/>
      <c r="H1359" s="916"/>
      <c r="I1359" s="916"/>
      <c r="J1359" s="1666" t="str">
        <f>IF(OR($I1301="",$T1337=FALSE),"",INDEX(K_Summary!J:J,MATCH($Q1359,K_Summary!$P:$P,0)))</f>
        <v/>
      </c>
      <c r="K1359" s="1791" t="str">
        <f>IF(OR($I1301="",$T1337=FALSE),"",INDEX(K_Summary!K:K,MATCH($Q1359,K_Summary!$P:$P,0)))</f>
        <v/>
      </c>
      <c r="L1359" s="1791" t="str">
        <f>IF(OR($I1301="",$T1337=FALSE),"",INDEX(K_Summary!L:L,MATCH($Q1359,K_Summary!$P:$P,0)))</f>
        <v/>
      </c>
      <c r="M1359" s="1791" t="str">
        <f>IF(OR($I1301="",$T1337=FALSE),"",INDEX(K_Summary!M:M,MATCH($Q1359,K_Summary!$P:$P,0)))</f>
        <v/>
      </c>
      <c r="N1359" s="1791" t="str">
        <f>IF(OR($I1301="",$T1337=FALSE),"",INDEX(K_Summary!N:N,MATCH($Q1359,K_Summary!$P:$P,0)))</f>
        <v/>
      </c>
      <c r="O1359" s="485"/>
      <c r="P1359" s="485"/>
      <c r="Q1359" s="1644" t="str">
        <f>EUconst_CNTR_100EUA_ElExch&amp;I1301</f>
        <v>EUA100ElExch_</v>
      </c>
      <c r="U1359" s="1665"/>
      <c r="Z1359" s="1664"/>
      <c r="AL1359" s="1435"/>
    </row>
    <row r="1360" spans="1:42" ht="5.0999999999999996" customHeight="1" thickBot="1">
      <c r="A1360" s="618"/>
      <c r="B1360" s="479"/>
      <c r="C1360" s="479"/>
      <c r="D1360" s="915"/>
      <c r="E1360" s="909"/>
      <c r="F1360" s="909"/>
      <c r="G1360" s="909"/>
      <c r="H1360" s="909"/>
      <c r="I1360" s="909"/>
      <c r="J1360" s="922"/>
      <c r="K1360" s="1791"/>
      <c r="L1360" s="1791"/>
      <c r="M1360" s="1791"/>
      <c r="N1360" s="1791"/>
      <c r="O1360" s="485"/>
      <c r="P1360" s="485"/>
      <c r="Q1360" s="1435"/>
      <c r="U1360" s="1663"/>
      <c r="V1360" s="1435"/>
      <c r="Z1360" s="1664"/>
      <c r="AL1360" s="1435"/>
    </row>
    <row r="1361" spans="1:38" ht="12.75" customHeight="1" thickBot="1">
      <c r="B1361" s="479"/>
      <c r="C1361" s="479"/>
      <c r="D1361" s="915" t="s">
        <v>18</v>
      </c>
      <c r="E1361" s="916" t="s">
        <v>1657</v>
      </c>
      <c r="F1361" s="916"/>
      <c r="G1361" s="916"/>
      <c r="H1361" s="921"/>
      <c r="I1361" s="1667"/>
      <c r="J1361" s="1668" t="str">
        <f>IF(J1359="","",IF(OR(J1359,V1353&lt;1),J1355,I1361))</f>
        <v/>
      </c>
      <c r="K1361" s="1796" t="str">
        <f>IF(K1359="","",IF(OR(K1359,W1353&lt;1),K1355,J1361))</f>
        <v/>
      </c>
      <c r="L1361" s="1796" t="str">
        <f>IF(L1359="","",IF(OR(L1359,X1353&lt;1),L1355,K1361))</f>
        <v/>
      </c>
      <c r="M1361" s="1796" t="str">
        <f>IF(M1359="","",IF(OR(M1359,Y1353&lt;1),M1355,L1361))</f>
        <v/>
      </c>
      <c r="N1361" s="1796" t="str">
        <f>IF(N1359="","",IF(OR(N1359,Z1353&lt;1),N1355,M1361))</f>
        <v/>
      </c>
      <c r="O1361" s="485"/>
      <c r="P1361" s="485"/>
      <c r="Q1361" s="1435"/>
      <c r="U1361" s="1663" t="s">
        <v>1658</v>
      </c>
      <c r="V1361" s="1670">
        <f>J1358</f>
        <v>2026</v>
      </c>
      <c r="W1361" s="1670">
        <f>K1358</f>
        <v>2027</v>
      </c>
      <c r="X1361" s="1670">
        <f>L1358</f>
        <v>2028</v>
      </c>
      <c r="Y1361" s="1670">
        <f>M1358</f>
        <v>2029</v>
      </c>
      <c r="Z1361" s="1671">
        <f>N1358</f>
        <v>2030</v>
      </c>
      <c r="AL1361" s="1435"/>
    </row>
    <row r="1362" spans="1:38" ht="12.75" customHeight="1" thickBot="1">
      <c r="A1362" s="618"/>
      <c r="B1362" s="479"/>
      <c r="C1362" s="479"/>
      <c r="D1362" s="915" t="s">
        <v>787</v>
      </c>
      <c r="E1362" s="916" t="s">
        <v>1659</v>
      </c>
      <c r="F1362" s="916"/>
      <c r="G1362" s="916"/>
      <c r="H1362" s="944" t="str">
        <f>H1353</f>
        <v>-</v>
      </c>
      <c r="I1362" s="945" t="str">
        <f>I1356</f>
        <v/>
      </c>
      <c r="J1362" s="1698" t="str">
        <f>IF(OR($I1301="",$T1337=FALSE),"",IF(OR($I1362=0,$I1362=EUconst_NA,J1361="",J1358&lt;=$V1301),J1356,$I1362*(1+SUM(J1361))))</f>
        <v/>
      </c>
      <c r="K1362" s="1797" t="str">
        <f>IF(OR($I1301="",$T1337=FALSE),"",IF(OR($I1362=0,$I1362=EUconst_NA,K1361="",K1358&lt;=$V1301),K1356,$I1362*(1+SUM(K1361))))</f>
        <v/>
      </c>
      <c r="L1362" s="1797" t="str">
        <f>IF(OR($I1301="",$T1337=FALSE),"",IF(OR($I1362=0,$I1362=EUconst_NA,L1361="",L1358&lt;=$V1301),L1356,$I1362*(1+SUM(L1361))))</f>
        <v/>
      </c>
      <c r="M1362" s="1797" t="str">
        <f>IF(OR($I1301="",$T1337=FALSE),"",IF(OR($I1362=0,$I1362=EUconst_NA,M1361="",M1358&lt;=$V1301),M1356,$I1362*(1+SUM(M1361))))</f>
        <v/>
      </c>
      <c r="N1362" s="1797" t="str">
        <f>IF(OR($I1301="",$T1337=FALSE),"",IF(OR($I1362=0,$I1362=EUconst_NA,N1361="",N1358&lt;=$V1301),N1356,$I1362*(1+SUM(N1361))))</f>
        <v/>
      </c>
      <c r="O1362" s="485"/>
      <c r="P1362" s="485"/>
      <c r="Q1362" s="1644" t="str">
        <f>EUconst_CNTR_HALfinal&amp;EUconst_CNTR_ELEXCH &amp; I1301</f>
        <v>HALfinal_ELEXCH_</v>
      </c>
      <c r="U1362" s="1674" t="b">
        <v>0</v>
      </c>
      <c r="V1362" s="1675" t="str">
        <f>IF(V1309,IF(J1359=TRUE,V1354,U1362),"")</f>
        <v/>
      </c>
      <c r="W1362" s="1675" t="str">
        <f>IF(W1309,IF(K1359=TRUE,W1354,V1362),"")</f>
        <v/>
      </c>
      <c r="X1362" s="1675" t="str">
        <f>IF(X1309,IF(L1359=TRUE,X1354,W1362),"")</f>
        <v/>
      </c>
      <c r="Y1362" s="1675" t="str">
        <f>IF(Y1309,IF(M1359=TRUE,Y1354,X1362),"")</f>
        <v/>
      </c>
      <c r="Z1362" s="1676" t="str">
        <f>IF(Z1309,IF(N1359=TRUE,Z1354,Y1362),"")</f>
        <v/>
      </c>
      <c r="AJ1362" s="1633" t="s">
        <v>1951</v>
      </c>
      <c r="AK1362" s="1443" t="str">
        <f>IF(OR(ISERROR(J1362),ISERROR(K1362),ISERROR(L1362),ISERROR(M1362),ISERROR(N1362)),EUconst_Error &amp; "BM" &amp; Q1301,"")</f>
        <v/>
      </c>
      <c r="AL1362" s="1435"/>
    </row>
    <row r="1363" spans="1:38" ht="5.0999999999999996" customHeight="1" thickBot="1">
      <c r="B1363" s="479"/>
      <c r="C1363" s="479"/>
      <c r="D1363" s="946"/>
      <c r="E1363" s="947"/>
      <c r="F1363" s="947"/>
      <c r="G1363" s="947"/>
      <c r="H1363" s="947"/>
      <c r="I1363" s="947"/>
      <c r="J1363" s="1700"/>
      <c r="K1363" s="1791"/>
      <c r="L1363" s="1791"/>
      <c r="M1363" s="1791"/>
      <c r="N1363" s="1791"/>
      <c r="O1363" s="485"/>
      <c r="P1363" s="485"/>
      <c r="Q1363" s="1435"/>
    </row>
    <row r="1364" spans="1:38" ht="5.0999999999999996" customHeight="1">
      <c r="B1364" s="479"/>
      <c r="C1364" s="479"/>
      <c r="D1364" s="479"/>
      <c r="E1364" s="479"/>
      <c r="F1364" s="479"/>
      <c r="G1364" s="479"/>
      <c r="H1364" s="479"/>
      <c r="I1364" s="479"/>
      <c r="J1364" s="479"/>
      <c r="K1364" s="479"/>
      <c r="L1364" s="479"/>
      <c r="M1364" s="485"/>
      <c r="N1364" s="485"/>
      <c r="O1364" s="485"/>
      <c r="P1364" s="485"/>
      <c r="Q1364" s="1435"/>
    </row>
    <row r="1365" spans="1:38" ht="12.75" customHeight="1">
      <c r="B1365" s="479"/>
      <c r="C1365" s="479"/>
      <c r="D1365" s="482" t="s">
        <v>881</v>
      </c>
      <c r="E1365" s="2373" t="s">
        <v>941</v>
      </c>
      <c r="F1365" s="2373"/>
      <c r="G1365" s="2373"/>
      <c r="H1365" s="2373"/>
      <c r="I1365" s="2604"/>
      <c r="J1365" s="2652" t="str">
        <f>IF(I1301="","",HYPERLINK(R1365,EUconst_MsgGoOnIfNotRelevant))</f>
        <v/>
      </c>
      <c r="K1365" s="2653"/>
      <c r="L1365" s="2653"/>
      <c r="M1365" s="2653"/>
      <c r="N1365" s="2654"/>
      <c r="O1365" s="485"/>
      <c r="P1365" s="485"/>
      <c r="Q1365" s="1198" t="s">
        <v>441</v>
      </c>
      <c r="R1365" s="1488" t="str">
        <f>"#"&amp;ADDRESS(ROW(D1390),COLUMN(D1390))</f>
        <v>#$D$1390</v>
      </c>
    </row>
    <row r="1366" spans="1:38" ht="12.75" customHeight="1">
      <c r="B1366" s="479"/>
      <c r="C1366" s="479"/>
      <c r="D1366" s="485"/>
      <c r="E1366" s="2385" t="s">
        <v>1368</v>
      </c>
      <c r="F1366" s="2846"/>
      <c r="G1366" s="2846"/>
      <c r="H1366" s="2846"/>
      <c r="I1366" s="2846"/>
      <c r="J1366" s="2846"/>
      <c r="K1366" s="2846"/>
      <c r="L1366" s="2846"/>
      <c r="M1366" s="2846"/>
      <c r="N1366" s="2846"/>
      <c r="O1366" s="485"/>
      <c r="P1366" s="485"/>
      <c r="Q1366" s="1435"/>
      <c r="U1366" s="1435"/>
      <c r="V1366" s="1435"/>
    </row>
    <row r="1367" spans="1:38" ht="12.75" customHeight="1">
      <c r="B1367" s="479"/>
      <c r="C1367" s="479"/>
      <c r="D1367" s="485"/>
      <c r="E1367" s="2385" t="s">
        <v>1474</v>
      </c>
      <c r="F1367" s="2846"/>
      <c r="G1367" s="2846"/>
      <c r="H1367" s="2846"/>
      <c r="I1367" s="2846"/>
      <c r="J1367" s="2846"/>
      <c r="K1367" s="2846"/>
      <c r="L1367" s="2846"/>
      <c r="M1367" s="2846"/>
      <c r="N1367" s="2846"/>
      <c r="O1367" s="485"/>
      <c r="P1367" s="485"/>
      <c r="Q1367" s="1435"/>
      <c r="U1367" s="1435"/>
      <c r="V1367" s="1435"/>
    </row>
    <row r="1368" spans="1:38" ht="12.75" customHeight="1">
      <c r="B1368" s="479"/>
      <c r="C1368" s="479"/>
      <c r="D1368" s="485"/>
      <c r="E1368" s="2385" t="s">
        <v>1300</v>
      </c>
      <c r="F1368" s="2846"/>
      <c r="G1368" s="2846"/>
      <c r="H1368" s="2846"/>
      <c r="I1368" s="2846"/>
      <c r="J1368" s="2846"/>
      <c r="K1368" s="2846"/>
      <c r="L1368" s="2846"/>
      <c r="M1368" s="2846"/>
      <c r="N1368" s="2846"/>
      <c r="O1368" s="485"/>
      <c r="P1368" s="485"/>
      <c r="Q1368" s="1435"/>
      <c r="U1368" s="1435"/>
      <c r="V1368" s="1435"/>
    </row>
    <row r="1369" spans="1:38" ht="12.75" customHeight="1">
      <c r="B1369" s="479"/>
      <c r="C1369" s="479"/>
      <c r="D1369" s="485"/>
      <c r="E1369" s="2385" t="s">
        <v>1608</v>
      </c>
      <c r="F1369" s="2846"/>
      <c r="G1369" s="2846"/>
      <c r="H1369" s="2846"/>
      <c r="I1369" s="2846"/>
      <c r="J1369" s="2846"/>
      <c r="K1369" s="2846"/>
      <c r="L1369" s="2846"/>
      <c r="M1369" s="2846"/>
      <c r="N1369" s="2846"/>
      <c r="O1369" s="485"/>
      <c r="P1369" s="485"/>
      <c r="Q1369" s="1435"/>
      <c r="U1369" s="1435"/>
      <c r="V1369" s="1435"/>
      <c r="W1369" s="1435"/>
      <c r="X1369" s="1435"/>
      <c r="Y1369" s="1435"/>
      <c r="Z1369" s="1435"/>
    </row>
    <row r="1370" spans="1:38" ht="13.5" thickBot="1">
      <c r="B1370" s="1124"/>
      <c r="C1370" s="485"/>
      <c r="D1370" s="482"/>
      <c r="E1370" s="927" t="s">
        <v>62</v>
      </c>
      <c r="F1370" s="518"/>
      <c r="G1370" s="663" t="str">
        <f>EUconst_Unit</f>
        <v>Unit</v>
      </c>
      <c r="H1370" s="578">
        <f>H$3242</f>
        <v>2024</v>
      </c>
      <c r="I1370" s="697">
        <f>I$3242</f>
        <v>2025</v>
      </c>
      <c r="J1370" s="1489">
        <f>J$112</f>
        <v>2026</v>
      </c>
      <c r="K1370" s="1490">
        <f>K$112</f>
        <v>2027</v>
      </c>
      <c r="L1370" s="1490">
        <f>L$112</f>
        <v>2028</v>
      </c>
      <c r="M1370" s="1490">
        <f>M$112</f>
        <v>2029</v>
      </c>
      <c r="N1370" s="1490">
        <f>N$112</f>
        <v>2030</v>
      </c>
      <c r="O1370" s="485"/>
      <c r="P1370" s="485"/>
      <c r="R1370" s="1503"/>
      <c r="S1370" s="1633" t="s">
        <v>1846</v>
      </c>
      <c r="T1370" s="1638">
        <f t="shared" ref="T1370:Z1370" si="627">H1370</f>
        <v>2024</v>
      </c>
      <c r="U1370" s="1638">
        <f t="shared" si="627"/>
        <v>2025</v>
      </c>
      <c r="V1370" s="1638">
        <f t="shared" si="627"/>
        <v>2026</v>
      </c>
      <c r="W1370" s="1638">
        <f t="shared" si="627"/>
        <v>2027</v>
      </c>
      <c r="X1370" s="1638">
        <f t="shared" si="627"/>
        <v>2028</v>
      </c>
      <c r="Y1370" s="1638">
        <f t="shared" si="627"/>
        <v>2029</v>
      </c>
      <c r="Z1370" s="1638">
        <f t="shared" si="627"/>
        <v>2030</v>
      </c>
      <c r="AA1370" s="1503"/>
      <c r="AC1370" s="1638">
        <f t="shared" ref="AC1370:AI1370" si="628">H$20</f>
        <v>2024</v>
      </c>
      <c r="AD1370" s="1638">
        <f t="shared" si="628"/>
        <v>2025</v>
      </c>
      <c r="AE1370" s="1638">
        <f t="shared" si="628"/>
        <v>2026</v>
      </c>
      <c r="AF1370" s="1638">
        <f t="shared" si="628"/>
        <v>2027</v>
      </c>
      <c r="AG1370" s="1638">
        <f t="shared" si="628"/>
        <v>2028</v>
      </c>
      <c r="AH1370" s="1638">
        <f t="shared" si="628"/>
        <v>2029</v>
      </c>
      <c r="AI1370" s="1638">
        <f t="shared" si="628"/>
        <v>2030</v>
      </c>
    </row>
    <row r="1371" spans="1:38" ht="13.15" customHeight="1" thickBot="1">
      <c r="B1371" s="1124"/>
      <c r="C1371" s="485"/>
      <c r="D1371" s="561" t="s">
        <v>6</v>
      </c>
      <c r="E1371" s="2788" t="s">
        <v>650</v>
      </c>
      <c r="F1371" s="2788"/>
      <c r="G1371" s="730" t="str">
        <f>EUconst_TJpa</f>
        <v>TJ / year</v>
      </c>
      <c r="H1371" s="1479" t="str">
        <f>c_ALR2025!M3997</f>
        <v/>
      </c>
      <c r="I1371" s="1530"/>
      <c r="J1371" s="1491"/>
      <c r="K1371" s="1492"/>
      <c r="L1371" s="1492"/>
      <c r="M1371" s="1492"/>
      <c r="N1371" s="1492"/>
      <c r="O1371" s="485"/>
      <c r="P1371" s="9"/>
      <c r="Q1371" s="1443" t="str">
        <f>EUconst_CNTR_HAL&amp;EUconst_CNTR_nonETSMeasHeat</f>
        <v>HAL_non-ETS measurable heat</v>
      </c>
      <c r="S1371" s="1633"/>
      <c r="T1371" s="1701" t="str">
        <f t="shared" ref="T1371:Z1371" si="629">IF(H1371="","",SUM(H1371)*EUconst_HeatBMvalue)</f>
        <v/>
      </c>
      <c r="U1371" s="1701" t="str">
        <f t="shared" si="629"/>
        <v/>
      </c>
      <c r="V1371" s="1701" t="str">
        <f t="shared" si="629"/>
        <v/>
      </c>
      <c r="W1371" s="1701" t="str">
        <f t="shared" si="629"/>
        <v/>
      </c>
      <c r="X1371" s="1701" t="str">
        <f t="shared" si="629"/>
        <v/>
      </c>
      <c r="Y1371" s="1701" t="str">
        <f t="shared" si="629"/>
        <v/>
      </c>
      <c r="Z1371" s="1701" t="str">
        <f t="shared" si="629"/>
        <v/>
      </c>
      <c r="AB1371" s="1641" t="s">
        <v>717</v>
      </c>
      <c r="AC1371" s="1853" t="b">
        <f t="shared" ref="AC1371:AI1371" si="630">IF(CNTR_ExistSubInstEntries,OR($I1301="",H1308&gt;=CNTR_ReportingYear,AC1370&lt;$V1301-1),FALSE)</f>
        <v>0</v>
      </c>
      <c r="AD1371" s="1642" t="b">
        <f t="shared" si="630"/>
        <v>0</v>
      </c>
      <c r="AE1371" s="1642" t="b">
        <f t="shared" si="630"/>
        <v>0</v>
      </c>
      <c r="AF1371" s="1642" t="b">
        <f t="shared" si="630"/>
        <v>0</v>
      </c>
      <c r="AG1371" s="1642" t="b">
        <f t="shared" si="630"/>
        <v>0</v>
      </c>
      <c r="AH1371" s="1642" t="b">
        <f t="shared" si="630"/>
        <v>0</v>
      </c>
      <c r="AI1371" s="1643" t="b">
        <f t="shared" si="630"/>
        <v>0</v>
      </c>
      <c r="AJ1371" s="1633" t="s">
        <v>1954</v>
      </c>
      <c r="AK1371" s="1635" t="str">
        <f>IF(AND(CNTR_ExistSubInstEntries,COUNTIFS(AC1371:AI1371,FALSE,H1371:N1371,"")&gt;0),EUconst_Error&amp;"BM"&amp;$Q1301,"")</f>
        <v/>
      </c>
    </row>
    <row r="1372" spans="1:38">
      <c r="B1372" s="1124"/>
      <c r="C1372" s="485"/>
      <c r="D1372" s="561" t="s">
        <v>7</v>
      </c>
      <c r="E1372" s="2606" t="s">
        <v>107</v>
      </c>
      <c r="F1372" s="2606"/>
      <c r="G1372" s="950" t="s">
        <v>1022</v>
      </c>
      <c r="H1372" s="36" t="str">
        <f>IF(AND(ISNUMBER(H1371),ISNUMBER(E_EnergyFlows!H$114)), H1371/E_EnergyFlows!H$114*100,"")</f>
        <v/>
      </c>
      <c r="I1372" s="39" t="str">
        <f>IF(AND(ISNUMBER(I1371),ISNUMBER(E_EnergyFlows!I$114)), I1371/E_EnergyFlows!I$114*100,"")</f>
        <v/>
      </c>
      <c r="J1372" s="34" t="str">
        <f>IF(AND(ISNUMBER(J1371),ISNUMBER(E_EnergyFlows!J$114)), J1371/E_EnergyFlows!J$114*100,"")</f>
        <v/>
      </c>
      <c r="K1372" s="21" t="str">
        <f>IF(AND(ISNUMBER(K1371),ISNUMBER(E_EnergyFlows!K$114)), K1371/E_EnergyFlows!K$114*100,"")</f>
        <v/>
      </c>
      <c r="L1372" s="21" t="str">
        <f>IF(AND(ISNUMBER(L1371),ISNUMBER(E_EnergyFlows!L$114)), L1371/E_EnergyFlows!L$114*100,"")</f>
        <v/>
      </c>
      <c r="M1372" s="21" t="str">
        <f>IF(AND(ISNUMBER(M1371),ISNUMBER(E_EnergyFlows!M$114)), M1371/E_EnergyFlows!M$114*100,"")</f>
        <v/>
      </c>
      <c r="N1372" s="21" t="str">
        <f>IF(AND(ISNUMBER(N1371),ISNUMBER(E_EnergyFlows!N$114)), N1371/E_EnergyFlows!N$114*100,"")</f>
        <v/>
      </c>
      <c r="O1372" s="485"/>
      <c r="P1372" s="485"/>
      <c r="Q1372" s="1504" t="str">
        <f>EUconst_CNTR_HEAT &amp; I1301</f>
        <v>HEAT_</v>
      </c>
      <c r="R1372" s="1435"/>
      <c r="U1372" s="1435"/>
      <c r="V1372" s="1435"/>
    </row>
    <row r="1373" spans="1:38" ht="12.6" customHeight="1">
      <c r="B1373" s="1124"/>
      <c r="C1373" s="485"/>
      <c r="D1373" s="561" t="s">
        <v>8</v>
      </c>
      <c r="E1373" s="2586" t="s">
        <v>1548</v>
      </c>
      <c r="F1373" s="2586"/>
      <c r="G1373" s="951" t="s">
        <v>1022</v>
      </c>
      <c r="H1373" s="37" t="str">
        <f>IFERROR(IF(AND(H1514&gt;0,ISNUMBER(H1371)), H1371/H1514*100,""),"")</f>
        <v/>
      </c>
      <c r="I1373" s="40" t="str">
        <f t="shared" ref="I1373:N1373" si="631">IF(AND(I1514&gt;0,ISNUMBER(I1371)), I1371/I1514*100,"")</f>
        <v/>
      </c>
      <c r="J1373" s="34" t="str">
        <f t="shared" si="631"/>
        <v/>
      </c>
      <c r="K1373" s="21" t="str">
        <f t="shared" si="631"/>
        <v/>
      </c>
      <c r="L1373" s="21" t="str">
        <f t="shared" si="631"/>
        <v/>
      </c>
      <c r="M1373" s="21" t="str">
        <f t="shared" si="631"/>
        <v/>
      </c>
      <c r="N1373" s="21" t="str">
        <f t="shared" si="631"/>
        <v/>
      </c>
      <c r="O1373" s="485"/>
      <c r="P1373" s="485"/>
      <c r="U1373" s="1435"/>
      <c r="V1373" s="1435"/>
    </row>
    <row r="1374" spans="1:38" ht="5.0999999999999996" customHeight="1">
      <c r="B1374" s="1124"/>
      <c r="C1374" s="485"/>
      <c r="D1374" s="485"/>
      <c r="E1374" s="485"/>
      <c r="F1374" s="485"/>
      <c r="G1374" s="485"/>
      <c r="H1374" s="485"/>
      <c r="I1374" s="952"/>
      <c r="J1374" s="485"/>
      <c r="K1374" s="485"/>
      <c r="L1374" s="485"/>
      <c r="M1374" s="485"/>
      <c r="N1374" s="485"/>
      <c r="O1374" s="485"/>
      <c r="P1374" s="485"/>
      <c r="Q1374" s="1702"/>
      <c r="U1374" s="1435"/>
      <c r="V1374" s="1435"/>
    </row>
    <row r="1375" spans="1:38" ht="25.5" customHeight="1" thickBot="1">
      <c r="B1375" s="479"/>
      <c r="C1375" s="479"/>
      <c r="D1375" s="485"/>
      <c r="E1375" s="2385" t="s">
        <v>2703</v>
      </c>
      <c r="F1375" s="2846"/>
      <c r="G1375" s="2846"/>
      <c r="H1375" s="2846"/>
      <c r="I1375" s="2846"/>
      <c r="J1375" s="2846"/>
      <c r="K1375" s="2846"/>
      <c r="L1375" s="2846"/>
      <c r="M1375" s="2846"/>
      <c r="N1375" s="2846"/>
      <c r="O1375" s="485"/>
      <c r="P1375" s="485"/>
      <c r="Q1375" s="1435"/>
      <c r="S1375" s="1435"/>
      <c r="T1375" s="1435"/>
      <c r="U1375" s="1435"/>
    </row>
    <row r="1376" spans="1:38" ht="5.0999999999999996" customHeight="1" thickBot="1">
      <c r="B1376" s="479"/>
      <c r="C1376" s="479"/>
      <c r="D1376" s="902"/>
      <c r="E1376" s="904"/>
      <c r="F1376" s="953"/>
      <c r="G1376" s="953"/>
      <c r="H1376" s="953"/>
      <c r="I1376" s="953"/>
      <c r="J1376" s="954"/>
      <c r="K1376" s="1798"/>
      <c r="L1376" s="1798"/>
      <c r="M1376" s="1798"/>
      <c r="N1376" s="1798"/>
      <c r="O1376" s="485"/>
      <c r="P1376" s="485"/>
      <c r="Q1376" s="1435"/>
      <c r="S1376" s="1435"/>
      <c r="T1376" s="1435"/>
      <c r="U1376" s="1435"/>
    </row>
    <row r="1377" spans="1:38" ht="12.75" customHeight="1">
      <c r="B1377" s="479"/>
      <c r="C1377" s="479"/>
      <c r="D1377" s="907" t="s">
        <v>1916</v>
      </c>
      <c r="E1377" s="908" t="s">
        <v>1774</v>
      </c>
      <c r="F1377" s="909"/>
      <c r="G1377" s="909"/>
      <c r="H1377" s="910" t="str">
        <f>EUconst_Unit</f>
        <v>Unit</v>
      </c>
      <c r="I1377" s="911" t="s">
        <v>2220</v>
      </c>
      <c r="J1377" s="1647">
        <f>J$3242</f>
        <v>2026</v>
      </c>
      <c r="K1377" s="1490">
        <f>K$3242</f>
        <v>2027</v>
      </c>
      <c r="L1377" s="1490">
        <f>L$3242</f>
        <v>2028</v>
      </c>
      <c r="M1377" s="1490">
        <f>M$3242</f>
        <v>2029</v>
      </c>
      <c r="N1377" s="1490">
        <f>N$3242</f>
        <v>2030</v>
      </c>
      <c r="O1377" s="485"/>
      <c r="P1377" s="485"/>
      <c r="Q1377" s="1435"/>
      <c r="U1377" s="1648"/>
      <c r="V1377" s="1649">
        <f>J1377</f>
        <v>2026</v>
      </c>
      <c r="W1377" s="1649">
        <f>K1377</f>
        <v>2027</v>
      </c>
      <c r="X1377" s="1649">
        <f>L1377</f>
        <v>2028</v>
      </c>
      <c r="Y1377" s="1649">
        <f>M1377</f>
        <v>2029</v>
      </c>
      <c r="Z1377" s="1650">
        <f>N1377</f>
        <v>2030</v>
      </c>
    </row>
    <row r="1378" spans="1:38" ht="12.75" customHeight="1">
      <c r="B1378" s="479"/>
      <c r="C1378" s="479"/>
      <c r="D1378" s="915" t="s">
        <v>6</v>
      </c>
      <c r="E1378" s="916" t="s">
        <v>1691</v>
      </c>
      <c r="F1378" s="916"/>
      <c r="G1378" s="916"/>
      <c r="H1378" s="944" t="str">
        <f>EUconst_tCO2</f>
        <v>t CO2</v>
      </c>
      <c r="I1378" s="917" t="str">
        <f>INDEX('B+C_SubInstallations'!$J:$J,MATCH(Q1378,'B+C_SubInstallations'!$U:$U,0))</f>
        <v/>
      </c>
      <c r="J1378" s="1703" t="str">
        <f>IF(AND(V1378&gt;=3,CNTR_ReportingYear&gt;J1377-1),AVERAGE(SUM(T1371),SUM(U1371)),"")</f>
        <v/>
      </c>
      <c r="K1378" s="1799" t="str">
        <f>IF(AND(W1378&gt;=3,CNTR_ReportingYear&gt;K1377-1),AVERAGE(SUM(U1371),SUM(V1371)),"")</f>
        <v/>
      </c>
      <c r="L1378" s="1799" t="str">
        <f>IF(AND(X1378&gt;=3,CNTR_ReportingYear&gt;L1377-1),AVERAGE(SUM(V1371),SUM(W1371)),"")</f>
        <v/>
      </c>
      <c r="M1378" s="1799" t="str">
        <f>IF(AND(Y1378&gt;=3,CNTR_ReportingYear&gt;M1377-1),AVERAGE(SUM(W1371),SUM(X1371)),"")</f>
        <v/>
      </c>
      <c r="N1378" s="1799" t="str">
        <f>IF(AND(Z1378&gt;=3,CNTR_ReportingYear&gt;N1377-1),AVERAGE(SUM(X1371),SUM(Y1371)),"")</f>
        <v/>
      </c>
      <c r="O1378" s="485"/>
      <c r="P1378" s="485"/>
      <c r="Q1378" s="1704" t="str">
        <f>EUconst_CNTR_HEATInitial &amp; I1301</f>
        <v>HEATIni_</v>
      </c>
      <c r="U1378" s="1663" t="s">
        <v>1650</v>
      </c>
      <c r="V1378" s="1635">
        <f>V1323</f>
        <v>0</v>
      </c>
      <c r="W1378" s="1635">
        <f>W1323</f>
        <v>0</v>
      </c>
      <c r="X1378" s="1635">
        <f>X1323</f>
        <v>0</v>
      </c>
      <c r="Y1378" s="1635">
        <f>Y1323</f>
        <v>0</v>
      </c>
      <c r="Z1378" s="1654">
        <f>Z1323</f>
        <v>0</v>
      </c>
    </row>
    <row r="1379" spans="1:38" ht="12.75" hidden="1" customHeight="1">
      <c r="A1379" s="618" t="s">
        <v>2289</v>
      </c>
      <c r="B1379" s="479"/>
      <c r="C1379" s="479"/>
      <c r="D1379" s="915"/>
      <c r="E1379" s="916" t="s">
        <v>1776</v>
      </c>
      <c r="F1379" s="916"/>
      <c r="G1379" s="916"/>
      <c r="H1379" s="921"/>
      <c r="I1379" s="1657"/>
      <c r="J1379" s="17" t="str">
        <f>IF(J1378="","",IF($I1381=0,IF(J1378=0,0%,100%),J1378/$I1381-1))</f>
        <v/>
      </c>
      <c r="K1379" s="22" t="str">
        <f>IF(K1378="","",IF($I1381=0,IF(K1378=0,0%,100%),K1378/$I1381-1))</f>
        <v/>
      </c>
      <c r="L1379" s="22" t="str">
        <f>IF(L1378="","",IF($I1381=0,IF(L1378=0,0%,100%),L1378/$I1381-1))</f>
        <v/>
      </c>
      <c r="M1379" s="22" t="str">
        <f>IF(M1378="","",IF($I1381=0,IF(M1378=0,0%,100%),M1378/$I1381-1))</f>
        <v/>
      </c>
      <c r="N1379" s="22" t="str">
        <f>IF(N1378="","",IF($I1381=0,IF(N1378=0,0%,100%),N1378/$I1381-1))</f>
        <v/>
      </c>
      <c r="O1379" s="485"/>
      <c r="P1379" s="485"/>
      <c r="Q1379" s="1644" t="str">
        <f>EUconst_CNTR_RelThreshold &amp; Q1381</f>
        <v>RelThresh_HEATprelim_</v>
      </c>
      <c r="U1379" s="1663" t="s">
        <v>1655</v>
      </c>
      <c r="V1379" s="1158" t="str">
        <f>IF(J1378="","",ABS(J1379)&gt;15%)</f>
        <v/>
      </c>
      <c r="W1379" s="1158" t="str">
        <f>IF(K1378="","",ABS(K1379)&gt;15%)</f>
        <v/>
      </c>
      <c r="X1379" s="1158" t="str">
        <f>IF(L1378="","",ABS(L1379)&gt;15%)</f>
        <v/>
      </c>
      <c r="Y1379" s="1158" t="str">
        <f>IF(M1378="","",ABS(M1379)&gt;15%)</f>
        <v/>
      </c>
      <c r="Z1379" s="1656" t="str">
        <f>IF(N1378="","",ABS(N1379)&gt;15%)</f>
        <v/>
      </c>
    </row>
    <row r="1380" spans="1:38" ht="12.75" customHeight="1">
      <c r="A1380" s="618"/>
      <c r="B1380" s="479"/>
      <c r="C1380" s="479"/>
      <c r="D1380" s="915" t="s">
        <v>7</v>
      </c>
      <c r="E1380" s="916" t="s">
        <v>1654</v>
      </c>
      <c r="F1380" s="916"/>
      <c r="G1380" s="916"/>
      <c r="H1380" s="921"/>
      <c r="I1380" s="1657"/>
      <c r="J1380" s="1658" t="str">
        <f>IF(J1378="","",IF(V1379=FALSE,0%,J1379))</f>
        <v/>
      </c>
      <c r="K1380" s="1795" t="str">
        <f>IF(K1378="","",IF(W1379=FALSE,0%,K1379))</f>
        <v/>
      </c>
      <c r="L1380" s="1795" t="str">
        <f>IF(L1378="","",IF(X1379=FALSE,0%,L1379))</f>
        <v/>
      </c>
      <c r="M1380" s="1795" t="str">
        <f>IF(M1378="","",IF(Y1379=FALSE,0%,M1379))</f>
        <v/>
      </c>
      <c r="N1380" s="1795" t="str">
        <f>IF(N1378="","",IF(Z1379=FALSE,0%,N1379))</f>
        <v/>
      </c>
      <c r="O1380" s="485"/>
      <c r="P1380" s="485"/>
      <c r="Q1380" s="1435"/>
      <c r="U1380" s="1665"/>
      <c r="Z1380" s="1664"/>
      <c r="AL1380" s="1435"/>
    </row>
    <row r="1381" spans="1:38" ht="12.75" hidden="1" customHeight="1">
      <c r="A1381" s="618" t="s">
        <v>2289</v>
      </c>
      <c r="B1381" s="479"/>
      <c r="C1381" s="479"/>
      <c r="D1381" s="915"/>
      <c r="E1381" s="916" t="s">
        <v>1689</v>
      </c>
      <c r="F1381" s="916"/>
      <c r="G1381" s="916"/>
      <c r="H1381" s="944" t="str">
        <f>H1378</f>
        <v>t CO2</v>
      </c>
      <c r="I1381" s="917" t="str">
        <f>IF($I1301="","",IF(AB1301=FALSE,EUconst_NA,IF(V1301&gt;($J$3242-3),SUM(INDEX(H1371:N1371,MATCH(V1301,H1370:N1370,0))*EUconst_HeatBMvalue),SUM(I1378))))</f>
        <v/>
      </c>
      <c r="J1381" s="1651" t="str">
        <f>IF($I1301="","",IF(V1378&lt;2,SUM(V1371),IF(V1378&lt;3,SUM(U1371),IF(V1381="",I1381,V1381))))</f>
        <v/>
      </c>
      <c r="K1381" s="1799" t="str">
        <f>IF($I1301="","",IF(W1378&lt;2,SUM(W1371),IF(W1378&lt;3,SUM(V1371),IF(W1381="",J1381,W1381))))</f>
        <v/>
      </c>
      <c r="L1381" s="1799" t="str">
        <f>IF($I1301="","",IF(X1378&lt;2,SUM(X1371),IF(X1378&lt;3,SUM(W1371),IF(X1381="",K1381,X1381))))</f>
        <v/>
      </c>
      <c r="M1381" s="1799" t="str">
        <f>IF($I1301="","",IF(Y1378&lt;2,SUM(Y1371),IF(Y1378&lt;3,SUM(X1371),IF(Y1381="",L1381,Y1381))))</f>
        <v/>
      </c>
      <c r="N1381" s="1799" t="str">
        <f>IF($I1301="","",IF(Z1378&lt;2,SUM(Z1371),IF(Z1378&lt;3,SUM(Y1371),IF(Z1381="",M1381,Z1381))))</f>
        <v/>
      </c>
      <c r="O1381" s="485"/>
      <c r="P1381" s="485"/>
      <c r="Q1381" s="1644" t="str">
        <f>EUconst_CNTR_HEATprelim &amp; I1301</f>
        <v>HEATprelim_</v>
      </c>
      <c r="U1381" s="1663" t="s">
        <v>1697</v>
      </c>
      <c r="V1381" s="1705" t="str">
        <f>IF(J1378="","",IF(CNTR_ReportingYear&lt;J1377,I1380,IF($I1381=0,J1378,$I1381*(1+J1380))))</f>
        <v/>
      </c>
      <c r="W1381" s="1705" t="str">
        <f>IF(K1378="","",IF(CNTR_ReportingYear&lt;K1377,J1380,IF($I1381=0,K1378,$I1381*(1+K1380))))</f>
        <v/>
      </c>
      <c r="X1381" s="1705" t="str">
        <f>IF(L1378="","",IF(CNTR_ReportingYear&lt;L1377,K1380,IF($I1381=0,L1378,$I1381*(1+L1380))))</f>
        <v/>
      </c>
      <c r="Y1381" s="1705" t="str">
        <f>IF(M1378="","",IF(CNTR_ReportingYear&lt;M1377,L1380,IF($I1381=0,M1378,$I1381*(1+M1380))))</f>
        <v/>
      </c>
      <c r="Z1381" s="1706" t="str">
        <f>IF(N1378="","",IF(CNTR_ReportingYear&lt;N1377,M1380,IF($I1381=0,N1378,$I1381*(1+N1380))))</f>
        <v/>
      </c>
      <c r="AL1381" s="1435"/>
    </row>
    <row r="1382" spans="1:38" ht="5.0999999999999996" customHeight="1">
      <c r="A1382" s="618"/>
      <c r="B1382" s="479"/>
      <c r="C1382" s="479"/>
      <c r="D1382" s="915"/>
      <c r="E1382" s="909"/>
      <c r="F1382" s="909"/>
      <c r="G1382" s="909"/>
      <c r="H1382" s="909"/>
      <c r="I1382" s="909"/>
      <c r="J1382" s="922"/>
      <c r="K1382" s="1791"/>
      <c r="L1382" s="1791"/>
      <c r="M1382" s="1791"/>
      <c r="N1382" s="1791"/>
      <c r="O1382" s="485"/>
      <c r="P1382" s="485"/>
      <c r="Q1382" s="1435"/>
      <c r="U1382" s="1663"/>
      <c r="V1382" s="1435"/>
      <c r="Z1382" s="1664"/>
      <c r="AL1382" s="1435"/>
    </row>
    <row r="1383" spans="1:38" ht="12.75" customHeight="1">
      <c r="A1383" s="618"/>
      <c r="B1383" s="479"/>
      <c r="C1383" s="479"/>
      <c r="D1383" s="915"/>
      <c r="E1383" s="923" t="s">
        <v>1653</v>
      </c>
      <c r="F1383" s="923"/>
      <c r="G1383" s="923"/>
      <c r="H1383" s="923"/>
      <c r="I1383" s="923"/>
      <c r="J1383" s="1647">
        <f>J$3242</f>
        <v>2026</v>
      </c>
      <c r="K1383" s="1490">
        <f>K$3242</f>
        <v>2027</v>
      </c>
      <c r="L1383" s="1490">
        <f>L$3242</f>
        <v>2028</v>
      </c>
      <c r="M1383" s="1490">
        <f>M$3242</f>
        <v>2029</v>
      </c>
      <c r="N1383" s="1490">
        <f>N$3242</f>
        <v>2030</v>
      </c>
      <c r="O1383" s="485"/>
      <c r="P1383" s="485"/>
      <c r="Q1383" s="1435"/>
      <c r="U1383" s="1665"/>
      <c r="Z1383" s="1664"/>
      <c r="AL1383" s="1435"/>
    </row>
    <row r="1384" spans="1:38" ht="12.75" customHeight="1">
      <c r="A1384" s="618"/>
      <c r="B1384" s="479"/>
      <c r="C1384" s="479"/>
      <c r="D1384" s="915" t="s">
        <v>8</v>
      </c>
      <c r="E1384" s="916" t="s">
        <v>2108</v>
      </c>
      <c r="F1384" s="916"/>
      <c r="G1384" s="916"/>
      <c r="H1384" s="916"/>
      <c r="I1384" s="916"/>
      <c r="J1384" s="1666" t="str">
        <f>IF($I1301="","",INDEX(K_Summary!J:J,MATCH($Q1384,K_Summary!$P:$P,0)))</f>
        <v/>
      </c>
      <c r="K1384" s="1791" t="str">
        <f>IF($I1301="","",INDEX(K_Summary!K:K,MATCH($Q1384,K_Summary!$P:$P,0)))</f>
        <v/>
      </c>
      <c r="L1384" s="1791" t="str">
        <f>IF($I1301="","",INDEX(K_Summary!L:L,MATCH($Q1384,K_Summary!$P:$P,0)))</f>
        <v/>
      </c>
      <c r="M1384" s="1791" t="str">
        <f>IF($I1301="","",INDEX(K_Summary!M:M,MATCH($Q1384,K_Summary!$P:$P,0)))</f>
        <v/>
      </c>
      <c r="N1384" s="1791" t="str">
        <f>IF($I1301="","",INDEX(K_Summary!N:N,MATCH($Q1384,K_Summary!$P:$P,0)))</f>
        <v/>
      </c>
      <c r="O1384" s="485"/>
      <c r="P1384" s="485"/>
      <c r="Q1384" s="1644" t="str">
        <f>EUconst_CNTR_100EUA_HEAT&amp;I1301</f>
        <v>EUA100HEAT_</v>
      </c>
      <c r="U1384" s="1665"/>
      <c r="Z1384" s="1664"/>
      <c r="AL1384" s="1435"/>
    </row>
    <row r="1385" spans="1:38" ht="5.0999999999999996" customHeight="1" thickBot="1">
      <c r="A1385" s="618"/>
      <c r="B1385" s="479"/>
      <c r="C1385" s="479"/>
      <c r="D1385" s="915"/>
      <c r="E1385" s="909"/>
      <c r="F1385" s="909"/>
      <c r="G1385" s="909"/>
      <c r="H1385" s="909"/>
      <c r="I1385" s="909"/>
      <c r="J1385" s="922"/>
      <c r="K1385" s="1791"/>
      <c r="L1385" s="1791"/>
      <c r="M1385" s="1791"/>
      <c r="N1385" s="1791"/>
      <c r="O1385" s="485"/>
      <c r="P1385" s="485"/>
      <c r="Q1385" s="1435"/>
      <c r="U1385" s="1663"/>
      <c r="V1385" s="1435"/>
      <c r="Z1385" s="1664"/>
      <c r="AL1385" s="1435"/>
    </row>
    <row r="1386" spans="1:38" ht="12.75" customHeight="1" thickBot="1">
      <c r="B1386" s="479"/>
      <c r="C1386" s="479"/>
      <c r="D1386" s="915" t="s">
        <v>18</v>
      </c>
      <c r="E1386" s="916" t="s">
        <v>1657</v>
      </c>
      <c r="F1386" s="916"/>
      <c r="G1386" s="916"/>
      <c r="H1386" s="921"/>
      <c r="I1386" s="1667"/>
      <c r="J1386" s="1668" t="str">
        <f>IF(J1384="","",IF(OR(J1384,V1378&lt;1),J1380,I1386))</f>
        <v/>
      </c>
      <c r="K1386" s="1796" t="str">
        <f>IF(K1384="","",IF(OR(K1384,W1378&lt;1),K1380,J1386))</f>
        <v/>
      </c>
      <c r="L1386" s="1796" t="str">
        <f>IF(L1384="","",IF(OR(L1384,X1378&lt;1),L1380,K1386))</f>
        <v/>
      </c>
      <c r="M1386" s="1796" t="str">
        <f>IF(M1384="","",IF(OR(M1384,Y1378&lt;1),M1380,L1386))</f>
        <v/>
      </c>
      <c r="N1386" s="1796" t="str">
        <f>IF(N1384="","",IF(OR(N1384,Z1378&lt;1),N1380,M1386))</f>
        <v/>
      </c>
      <c r="O1386" s="485"/>
      <c r="P1386" s="485"/>
      <c r="Q1386" s="1435"/>
      <c r="U1386" s="1663" t="s">
        <v>1658</v>
      </c>
      <c r="V1386" s="1670">
        <f>J1383</f>
        <v>2026</v>
      </c>
      <c r="W1386" s="1670">
        <f>K1383</f>
        <v>2027</v>
      </c>
      <c r="X1386" s="1670">
        <f>L1383</f>
        <v>2028</v>
      </c>
      <c r="Y1386" s="1670">
        <f>M1383</f>
        <v>2029</v>
      </c>
      <c r="Z1386" s="1671">
        <f>N1383</f>
        <v>2030</v>
      </c>
      <c r="AL1386" s="1435"/>
    </row>
    <row r="1387" spans="1:38" ht="12.75" customHeight="1" thickBot="1">
      <c r="A1387" s="618"/>
      <c r="B1387" s="479"/>
      <c r="C1387" s="479"/>
      <c r="D1387" s="915" t="s">
        <v>787</v>
      </c>
      <c r="E1387" s="916" t="s">
        <v>1659</v>
      </c>
      <c r="F1387" s="916"/>
      <c r="G1387" s="916"/>
      <c r="H1387" s="944" t="str">
        <f>H1378</f>
        <v>t CO2</v>
      </c>
      <c r="I1387" s="917" t="str">
        <f>I1381</f>
        <v/>
      </c>
      <c r="J1387" s="1672" t="str">
        <f>IF($I1301="","",IF(OR($I1387=0,$I1387=EUconst_NA,J1386=""),IF(OR(J1384=TRUE,J1383&lt;=$V1301),J1381,SUM(I1387)),$I1387*(1+SUM(J1386))))</f>
        <v/>
      </c>
      <c r="K1387" s="1800" t="str">
        <f>IF($I1301="","",IF(OR($I1387=0,$I1387=EUconst_NA,K1386=""),IF(OR(K1384=TRUE,K1383&lt;=$V1301),K1381,SUM(J1387)),$I1387*(1+SUM(K1386))))</f>
        <v/>
      </c>
      <c r="L1387" s="1800" t="str">
        <f>IF($I1301="","",IF(OR($I1387=0,$I1387=EUconst_NA,L1386=""),IF(OR(L1384=TRUE,L1383&lt;=$V1301),L1381,SUM(K1387)),$I1387*(1+SUM(L1386))))</f>
        <v/>
      </c>
      <c r="M1387" s="1800" t="str">
        <f>IF($I1301="","",IF(OR($I1387=0,$I1387=EUconst_NA,M1386=""),IF(OR(M1384=TRUE,M1383&lt;=$V1301),M1381,SUM(L1387)),$I1387*(1+SUM(M1386))))</f>
        <v/>
      </c>
      <c r="N1387" s="1800" t="str">
        <f>IF($I1301="","",IF(OR($I1387=0,$I1387=EUconst_NA,N1386=""),IF(OR(N1384=TRUE,N1383&lt;=$V1301),N1381,SUM(M1387)),$I1387*(1+SUM(N1386))))</f>
        <v/>
      </c>
      <c r="O1387" s="485"/>
      <c r="P1387" s="485"/>
      <c r="Q1387" s="1644" t="str">
        <f>EUconst_CNTR_HEATfinal &amp; I1301</f>
        <v>HEATfinal_</v>
      </c>
      <c r="U1387" s="1674" t="b">
        <v>0</v>
      </c>
      <c r="V1387" s="1675" t="str">
        <f>IF(V1309,IF(J1384=TRUE,V1379,U1387),"")</f>
        <v/>
      </c>
      <c r="W1387" s="1675" t="str">
        <f>IF(W1309,IF(K1384=TRUE,W1379,V1387),"")</f>
        <v/>
      </c>
      <c r="X1387" s="1675" t="str">
        <f>IF(X1309,IF(L1384=TRUE,X1379,W1387),"")</f>
        <v/>
      </c>
      <c r="Y1387" s="1675" t="str">
        <f>IF(Y1309,IF(M1384=TRUE,Y1379,X1387),"")</f>
        <v/>
      </c>
      <c r="Z1387" s="1676" t="str">
        <f>IF(Z1309,IF(N1384=TRUE,Z1379,Y1387),"")</f>
        <v/>
      </c>
      <c r="AJ1387" s="1633" t="s">
        <v>1951</v>
      </c>
      <c r="AK1387" s="1443" t="str">
        <f>IF(OR(ISERROR(J1387),ISERROR(K1387),ISERROR(L1387),ISERROR(M1387),ISERROR(N1387)),EUconst_Error &amp; "BM" &amp; Q1301,"")</f>
        <v/>
      </c>
    </row>
    <row r="1388" spans="1:38" ht="5.0999999999999996" customHeight="1" thickBot="1">
      <c r="B1388" s="1124"/>
      <c r="C1388" s="485"/>
      <c r="D1388" s="924"/>
      <c r="E1388" s="925"/>
      <c r="F1388" s="925"/>
      <c r="G1388" s="925"/>
      <c r="H1388" s="925"/>
      <c r="I1388" s="955"/>
      <c r="J1388" s="926"/>
      <c r="K1388" s="1791"/>
      <c r="L1388" s="1791"/>
      <c r="M1388" s="1791"/>
      <c r="N1388" s="1791"/>
      <c r="O1388" s="485"/>
      <c r="P1388" s="485"/>
      <c r="Q1388" s="1702"/>
      <c r="S1388" s="1435"/>
      <c r="T1388" s="1435"/>
    </row>
    <row r="1389" spans="1:38" ht="5.0999999999999996" customHeight="1">
      <c r="B1389" s="1124"/>
      <c r="C1389" s="485"/>
      <c r="D1389" s="485"/>
      <c r="E1389" s="485"/>
      <c r="F1389" s="485"/>
      <c r="G1389" s="485"/>
      <c r="H1389" s="485"/>
      <c r="I1389" s="952"/>
      <c r="J1389" s="485"/>
      <c r="K1389" s="485"/>
      <c r="L1389" s="485"/>
      <c r="M1389" s="485"/>
      <c r="N1389" s="485"/>
      <c r="O1389" s="485"/>
      <c r="P1389" s="485"/>
      <c r="Q1389" s="1702"/>
      <c r="S1389" s="1435"/>
      <c r="T1389" s="1435"/>
    </row>
    <row r="1390" spans="1:38" ht="15" customHeight="1">
      <c r="B1390" s="1124"/>
      <c r="C1390" s="856"/>
      <c r="D1390" s="2482" t="s">
        <v>103</v>
      </c>
      <c r="E1390" s="2400"/>
      <c r="F1390" s="2400"/>
      <c r="G1390" s="2400"/>
      <c r="H1390" s="2400"/>
      <c r="I1390" s="2400"/>
      <c r="J1390" s="2400"/>
      <c r="K1390" s="2400"/>
      <c r="L1390" s="2400"/>
      <c r="M1390" s="2400"/>
      <c r="N1390" s="2400"/>
      <c r="O1390" s="485"/>
      <c r="P1390" s="485"/>
      <c r="S1390" s="1435"/>
      <c r="T1390" s="1435"/>
    </row>
    <row r="1391" spans="1:38" ht="5.0999999999999996" customHeight="1">
      <c r="B1391" s="479"/>
      <c r="C1391" s="479"/>
      <c r="D1391" s="479"/>
      <c r="E1391" s="479"/>
      <c r="F1391" s="479"/>
      <c r="G1391" s="479"/>
      <c r="H1391" s="479"/>
      <c r="I1391" s="479"/>
      <c r="J1391" s="479"/>
      <c r="K1391" s="479"/>
      <c r="L1391" s="479"/>
      <c r="M1391" s="479"/>
      <c r="N1391" s="479"/>
      <c r="O1391" s="485"/>
      <c r="P1391" s="485"/>
      <c r="Q1391" s="1435"/>
      <c r="R1391" s="1435"/>
      <c r="S1391" s="1435"/>
      <c r="T1391" s="1435"/>
    </row>
    <row r="1392" spans="1:38" ht="12.75" customHeight="1">
      <c r="B1392" s="479"/>
      <c r="C1392" s="482"/>
      <c r="D1392" s="482" t="s">
        <v>57</v>
      </c>
      <c r="E1392" s="2373" t="s">
        <v>108</v>
      </c>
      <c r="F1392" s="2400"/>
      <c r="G1392" s="2400"/>
      <c r="H1392" s="2400"/>
      <c r="I1392" s="2400"/>
      <c r="J1392" s="2400"/>
      <c r="K1392" s="2400"/>
      <c r="L1392" s="2400"/>
      <c r="M1392" s="2400"/>
      <c r="N1392" s="2400"/>
      <c r="O1392" s="485"/>
      <c r="P1392" s="485"/>
      <c r="Q1392" s="1435"/>
      <c r="S1392" s="1435"/>
      <c r="T1392" s="1435"/>
    </row>
    <row r="1393" spans="2:35" ht="25.5" customHeight="1">
      <c r="B1393" s="479"/>
      <c r="C1393" s="485"/>
      <c r="D1393" s="485"/>
      <c r="E1393" s="2465" t="s">
        <v>1935</v>
      </c>
      <c r="F1393" s="2400"/>
      <c r="G1393" s="2400"/>
      <c r="H1393" s="2400"/>
      <c r="I1393" s="2400"/>
      <c r="J1393" s="2400"/>
      <c r="K1393" s="2400"/>
      <c r="L1393" s="2400"/>
      <c r="M1393" s="2400"/>
      <c r="N1393" s="2400"/>
      <c r="O1393" s="485"/>
      <c r="P1393" s="485"/>
      <c r="Q1393" s="1435"/>
      <c r="S1393" s="1435"/>
      <c r="T1393" s="1435"/>
    </row>
    <row r="1394" spans="2:35" ht="25.5" customHeight="1">
      <c r="B1394" s="479"/>
      <c r="C1394" s="485"/>
      <c r="D1394" s="485"/>
      <c r="E1394" s="2385" t="s">
        <v>1636</v>
      </c>
      <c r="F1394" s="2846"/>
      <c r="G1394" s="2846"/>
      <c r="H1394" s="2846"/>
      <c r="I1394" s="2846"/>
      <c r="J1394" s="2846"/>
      <c r="K1394" s="2846"/>
      <c r="L1394" s="2846"/>
      <c r="M1394" s="2846"/>
      <c r="N1394" s="2846"/>
      <c r="O1394" s="485"/>
      <c r="P1394" s="485"/>
      <c r="Q1394" s="1435"/>
      <c r="S1394" s="1435"/>
      <c r="T1394" s="1435"/>
    </row>
    <row r="1395" spans="2:35" ht="12.75" customHeight="1">
      <c r="B1395" s="479"/>
      <c r="C1395" s="485"/>
      <c r="D1395" s="485"/>
      <c r="E1395" s="2385" t="s">
        <v>2119</v>
      </c>
      <c r="F1395" s="2846"/>
      <c r="G1395" s="2846"/>
      <c r="H1395" s="2846"/>
      <c r="I1395" s="2846"/>
      <c r="J1395" s="2846"/>
      <c r="K1395" s="2846"/>
      <c r="L1395" s="2846"/>
      <c r="M1395" s="2846"/>
      <c r="N1395" s="2846"/>
      <c r="O1395" s="485"/>
      <c r="P1395" s="485"/>
      <c r="Q1395" s="1435"/>
      <c r="S1395" s="1435"/>
      <c r="T1395" s="1435"/>
    </row>
    <row r="1396" spans="2:35">
      <c r="B1396" s="479"/>
      <c r="C1396" s="485"/>
      <c r="D1396" s="485"/>
      <c r="E1396" s="2677" t="s">
        <v>2120</v>
      </c>
      <c r="F1396" s="2364"/>
      <c r="G1396" s="2364"/>
      <c r="H1396" s="2364"/>
      <c r="I1396" s="2364"/>
      <c r="J1396" s="2364"/>
      <c r="K1396" s="2364"/>
      <c r="L1396" s="2364"/>
      <c r="M1396" s="2364"/>
      <c r="N1396" s="2364"/>
      <c r="O1396" s="485"/>
      <c r="P1396" s="485"/>
      <c r="Q1396" s="1435"/>
      <c r="S1396" s="1435"/>
      <c r="T1396" s="1435"/>
    </row>
    <row r="1397" spans="2:35" ht="5.0999999999999996" customHeight="1">
      <c r="B1397" s="479"/>
      <c r="C1397" s="479"/>
      <c r="D1397" s="479"/>
      <c r="E1397" s="479"/>
      <c r="F1397" s="479"/>
      <c r="G1397" s="479"/>
      <c r="H1397" s="479"/>
      <c r="I1397" s="479"/>
      <c r="J1397" s="479"/>
      <c r="K1397" s="479"/>
      <c r="L1397" s="479"/>
      <c r="M1397" s="479"/>
      <c r="N1397" s="479"/>
      <c r="O1397" s="485"/>
      <c r="P1397" s="485"/>
      <c r="Q1397" s="1435"/>
      <c r="R1397" s="1435"/>
      <c r="S1397" s="1435"/>
      <c r="T1397" s="1435"/>
    </row>
    <row r="1398" spans="2:35" ht="12.75" customHeight="1">
      <c r="B1398" s="479"/>
      <c r="C1398" s="482"/>
      <c r="D1398" s="482" t="s">
        <v>58</v>
      </c>
      <c r="E1398" s="2373" t="s">
        <v>1013</v>
      </c>
      <c r="F1398" s="2400"/>
      <c r="G1398" s="2400"/>
      <c r="H1398" s="2400"/>
      <c r="I1398" s="2400"/>
      <c r="J1398" s="2400"/>
      <c r="K1398" s="2400"/>
      <c r="L1398" s="2400"/>
      <c r="M1398" s="2400"/>
      <c r="N1398" s="2400"/>
      <c r="O1398" s="485"/>
      <c r="P1398" s="485"/>
      <c r="Q1398" s="1435"/>
      <c r="S1398" s="1435"/>
      <c r="T1398" s="1435"/>
    </row>
    <row r="1399" spans="2:35" ht="5.0999999999999996" customHeight="1">
      <c r="B1399" s="479"/>
      <c r="C1399" s="479"/>
      <c r="D1399" s="485"/>
      <c r="E1399" s="617"/>
      <c r="F1399" s="617"/>
      <c r="G1399" s="617"/>
      <c r="H1399" s="617"/>
      <c r="I1399" s="617"/>
      <c r="J1399" s="468"/>
      <c r="K1399" s="468"/>
      <c r="L1399" s="468"/>
      <c r="M1399" s="485"/>
      <c r="N1399" s="485"/>
      <c r="O1399" s="485"/>
      <c r="P1399" s="485"/>
      <c r="Q1399" s="1435"/>
      <c r="S1399" s="1435"/>
      <c r="T1399" s="1435"/>
    </row>
    <row r="1400" spans="2:35" ht="30" customHeight="1" thickBot="1">
      <c r="B1400" s="1124"/>
      <c r="C1400" s="485"/>
      <c r="D1400" s="956"/>
      <c r="E1400" s="1068" t="s">
        <v>2112</v>
      </c>
      <c r="F1400" s="958" t="s">
        <v>949</v>
      </c>
      <c r="G1400" s="959" t="str">
        <f>EUconst_Unit</f>
        <v>Unit</v>
      </c>
      <c r="H1400" s="578">
        <f>H$3242</f>
        <v>2024</v>
      </c>
      <c r="I1400" s="697">
        <f>I$3242</f>
        <v>2025</v>
      </c>
      <c r="J1400" s="1801"/>
      <c r="K1400" s="1802"/>
      <c r="L1400" s="1802"/>
      <c r="M1400" s="1802"/>
      <c r="N1400" s="1802"/>
      <c r="O1400" s="485"/>
      <c r="P1400" s="485"/>
      <c r="S1400" s="1709" t="s">
        <v>2057</v>
      </c>
      <c r="T1400" s="1435"/>
      <c r="Z1400" s="1710" t="s">
        <v>717</v>
      </c>
      <c r="AC1400" s="1638">
        <f t="shared" ref="AC1400:AI1400" si="632">H$20</f>
        <v>2024</v>
      </c>
      <c r="AD1400" s="1638">
        <f t="shared" si="632"/>
        <v>2025</v>
      </c>
      <c r="AE1400" s="1638">
        <f t="shared" si="632"/>
        <v>2026</v>
      </c>
      <c r="AF1400" s="1638">
        <f t="shared" si="632"/>
        <v>2027</v>
      </c>
      <c r="AG1400" s="1638">
        <f t="shared" si="632"/>
        <v>2028</v>
      </c>
      <c r="AH1400" s="1638">
        <f t="shared" si="632"/>
        <v>2029</v>
      </c>
      <c r="AI1400" s="1638">
        <f t="shared" si="632"/>
        <v>2030</v>
      </c>
    </row>
    <row r="1401" spans="2:35" ht="13.15" customHeight="1">
      <c r="B1401" s="1124"/>
      <c r="C1401" s="485"/>
      <c r="D1401" s="579">
        <v>1</v>
      </c>
      <c r="E1401" s="1711" t="str">
        <f>c_ALR2025!E4027</f>
        <v/>
      </c>
      <c r="F1401" s="1711" t="str">
        <f>c_ALR2025!F4027</f>
        <v/>
      </c>
      <c r="G1401" s="1712" t="str">
        <f>c_ALR2025!G4027</f>
        <v/>
      </c>
      <c r="H1401" s="1713" t="str">
        <f>c_ALR2025!M4027</f>
        <v/>
      </c>
      <c r="I1401" s="1858"/>
      <c r="J1401" s="1801"/>
      <c r="K1401" s="1802"/>
      <c r="L1401" s="1802"/>
      <c r="M1401" s="1802"/>
      <c r="N1401" s="1802"/>
      <c r="O1401" s="485"/>
      <c r="P1401" s="9"/>
      <c r="S1401" s="1715" t="b">
        <f>IF(E1401 = "", TRUE, FALSE)</f>
        <v>1</v>
      </c>
      <c r="T1401" s="1435"/>
      <c r="Z1401" s="1435"/>
      <c r="AC1401" s="1803"/>
      <c r="AD1401" s="1803"/>
      <c r="AE1401" s="1803"/>
      <c r="AF1401" s="1803"/>
      <c r="AG1401" s="1803"/>
      <c r="AH1401" s="1803"/>
    </row>
    <row r="1402" spans="2:35" ht="13.15" customHeight="1">
      <c r="B1402" s="1124"/>
      <c r="C1402" s="485"/>
      <c r="D1402" s="582">
        <f>D1401+1</f>
        <v>2</v>
      </c>
      <c r="E1402" s="1717" t="str">
        <f>c_ALR2025!E4028</f>
        <v/>
      </c>
      <c r="F1402" s="1717" t="str">
        <f>c_ALR2025!F4028</f>
        <v/>
      </c>
      <c r="G1402" s="1718" t="str">
        <f>c_ALR2025!G4028</f>
        <v/>
      </c>
      <c r="H1402" s="1719" t="str">
        <f>c_ALR2025!M4028</f>
        <v/>
      </c>
      <c r="I1402" s="1859"/>
      <c r="J1402" s="1801"/>
      <c r="K1402" s="1802"/>
      <c r="L1402" s="1802"/>
      <c r="M1402" s="1802"/>
      <c r="N1402" s="1802"/>
      <c r="O1402" s="485"/>
      <c r="P1402" s="9"/>
      <c r="S1402" s="1715" t="b">
        <f t="shared" ref="S1402:S1410" si="633">IF(E1402 = "", TRUE, FALSE)</f>
        <v>1</v>
      </c>
      <c r="T1402" s="1435"/>
      <c r="Z1402" s="1435"/>
      <c r="AC1402" s="1803"/>
      <c r="AD1402" s="1803"/>
      <c r="AE1402" s="1803"/>
      <c r="AF1402" s="1803"/>
      <c r="AG1402" s="1803"/>
      <c r="AH1402" s="1803"/>
    </row>
    <row r="1403" spans="2:35" ht="13.15" customHeight="1">
      <c r="B1403" s="1124"/>
      <c r="C1403" s="485"/>
      <c r="D1403" s="582">
        <f t="shared" ref="D1403:D1410" si="634">D1402+1</f>
        <v>3</v>
      </c>
      <c r="E1403" s="1717" t="str">
        <f>c_ALR2025!E4029</f>
        <v/>
      </c>
      <c r="F1403" s="1717" t="str">
        <f>c_ALR2025!F4029</f>
        <v/>
      </c>
      <c r="G1403" s="1718" t="str">
        <f>c_ALR2025!G4029</f>
        <v/>
      </c>
      <c r="H1403" s="1719" t="str">
        <f>c_ALR2025!M4029</f>
        <v/>
      </c>
      <c r="I1403" s="1859"/>
      <c r="J1403" s="1801"/>
      <c r="K1403" s="1802"/>
      <c r="L1403" s="1802"/>
      <c r="M1403" s="1802"/>
      <c r="N1403" s="1802"/>
      <c r="O1403" s="485"/>
      <c r="P1403" s="9"/>
      <c r="S1403" s="1715" t="b">
        <f t="shared" si="633"/>
        <v>1</v>
      </c>
      <c r="T1403" s="1435"/>
      <c r="Z1403" s="1435"/>
      <c r="AC1403" s="1803"/>
      <c r="AD1403" s="1803"/>
      <c r="AE1403" s="1803"/>
      <c r="AF1403" s="1803"/>
      <c r="AG1403" s="1803"/>
      <c r="AH1403" s="1803"/>
    </row>
    <row r="1404" spans="2:35" ht="13.15" customHeight="1">
      <c r="B1404" s="1124"/>
      <c r="C1404" s="485"/>
      <c r="D1404" s="582">
        <f t="shared" si="634"/>
        <v>4</v>
      </c>
      <c r="E1404" s="1717" t="str">
        <f>c_ALR2025!E4030</f>
        <v/>
      </c>
      <c r="F1404" s="1717" t="str">
        <f>c_ALR2025!F4030</f>
        <v/>
      </c>
      <c r="G1404" s="1718" t="str">
        <f>c_ALR2025!G4030</f>
        <v/>
      </c>
      <c r="H1404" s="1719" t="str">
        <f>c_ALR2025!M4030</f>
        <v/>
      </c>
      <c r="I1404" s="1859"/>
      <c r="J1404" s="1801"/>
      <c r="K1404" s="1802"/>
      <c r="L1404" s="1802"/>
      <c r="M1404" s="1802"/>
      <c r="N1404" s="1802"/>
      <c r="O1404" s="485"/>
      <c r="P1404" s="9"/>
      <c r="S1404" s="1715" t="b">
        <f t="shared" si="633"/>
        <v>1</v>
      </c>
      <c r="T1404" s="1435"/>
      <c r="Z1404" s="1435"/>
      <c r="AC1404" s="1803"/>
      <c r="AD1404" s="1803"/>
      <c r="AE1404" s="1803"/>
      <c r="AF1404" s="1803"/>
      <c r="AG1404" s="1803"/>
      <c r="AH1404" s="1803"/>
    </row>
    <row r="1405" spans="2:35" ht="13.15" customHeight="1">
      <c r="B1405" s="1124"/>
      <c r="C1405" s="485"/>
      <c r="D1405" s="582">
        <f t="shared" si="634"/>
        <v>5</v>
      </c>
      <c r="E1405" s="1717" t="str">
        <f>c_ALR2025!E4031</f>
        <v/>
      </c>
      <c r="F1405" s="1717" t="str">
        <f>c_ALR2025!F4031</f>
        <v/>
      </c>
      <c r="G1405" s="1718" t="str">
        <f>c_ALR2025!G4031</f>
        <v/>
      </c>
      <c r="H1405" s="1719" t="str">
        <f>c_ALR2025!M4031</f>
        <v/>
      </c>
      <c r="I1405" s="1859"/>
      <c r="J1405" s="1801"/>
      <c r="K1405" s="1802"/>
      <c r="L1405" s="1802"/>
      <c r="M1405" s="1802"/>
      <c r="N1405" s="1802"/>
      <c r="O1405" s="485"/>
      <c r="P1405" s="9"/>
      <c r="S1405" s="1715" t="b">
        <f t="shared" si="633"/>
        <v>1</v>
      </c>
      <c r="T1405" s="1435"/>
      <c r="Z1405" s="1435"/>
      <c r="AC1405" s="1803"/>
      <c r="AD1405" s="1803"/>
      <c r="AE1405" s="1803"/>
      <c r="AF1405" s="1803"/>
      <c r="AG1405" s="1803"/>
      <c r="AH1405" s="1803"/>
    </row>
    <row r="1406" spans="2:35" ht="13.15" customHeight="1">
      <c r="B1406" s="1124"/>
      <c r="C1406" s="485"/>
      <c r="D1406" s="582">
        <f t="shared" si="634"/>
        <v>6</v>
      </c>
      <c r="E1406" s="1717" t="str">
        <f>c_ALR2025!E4032</f>
        <v/>
      </c>
      <c r="F1406" s="1717" t="str">
        <f>c_ALR2025!F4032</f>
        <v/>
      </c>
      <c r="G1406" s="1718" t="str">
        <f>c_ALR2025!G4032</f>
        <v/>
      </c>
      <c r="H1406" s="1719" t="str">
        <f>c_ALR2025!M4032</f>
        <v/>
      </c>
      <c r="I1406" s="1859"/>
      <c r="J1406" s="1801"/>
      <c r="K1406" s="1802"/>
      <c r="L1406" s="1802"/>
      <c r="M1406" s="1802"/>
      <c r="N1406" s="1802"/>
      <c r="O1406" s="485"/>
      <c r="P1406" s="9"/>
      <c r="S1406" s="1715" t="b">
        <f t="shared" si="633"/>
        <v>1</v>
      </c>
      <c r="T1406" s="1435"/>
      <c r="Z1406" s="1435"/>
      <c r="AC1406" s="1803"/>
      <c r="AD1406" s="1803"/>
      <c r="AE1406" s="1803"/>
      <c r="AF1406" s="1803"/>
      <c r="AG1406" s="1803"/>
      <c r="AH1406" s="1803"/>
    </row>
    <row r="1407" spans="2:35" ht="13.15" customHeight="1">
      <c r="B1407" s="1124"/>
      <c r="C1407" s="485"/>
      <c r="D1407" s="582">
        <f t="shared" si="634"/>
        <v>7</v>
      </c>
      <c r="E1407" s="1717" t="str">
        <f>c_ALR2025!E4033</f>
        <v/>
      </c>
      <c r="F1407" s="1717" t="str">
        <f>c_ALR2025!F4033</f>
        <v/>
      </c>
      <c r="G1407" s="1718" t="str">
        <f>c_ALR2025!G4033</f>
        <v/>
      </c>
      <c r="H1407" s="1719" t="str">
        <f>c_ALR2025!M4033</f>
        <v/>
      </c>
      <c r="I1407" s="1859"/>
      <c r="J1407" s="1801"/>
      <c r="K1407" s="1802"/>
      <c r="L1407" s="1802"/>
      <c r="M1407" s="1802"/>
      <c r="N1407" s="1802"/>
      <c r="O1407" s="485"/>
      <c r="P1407" s="9"/>
      <c r="S1407" s="1715" t="b">
        <f t="shared" si="633"/>
        <v>1</v>
      </c>
      <c r="T1407" s="1435"/>
      <c r="Z1407" s="1435"/>
      <c r="AC1407" s="1803"/>
      <c r="AD1407" s="1803"/>
      <c r="AE1407" s="1803"/>
      <c r="AF1407" s="1803"/>
      <c r="AG1407" s="1803"/>
      <c r="AH1407" s="1803"/>
    </row>
    <row r="1408" spans="2:35" ht="13.15" customHeight="1">
      <c r="B1408" s="1124"/>
      <c r="C1408" s="485"/>
      <c r="D1408" s="582">
        <f t="shared" si="634"/>
        <v>8</v>
      </c>
      <c r="E1408" s="1717" t="str">
        <f>c_ALR2025!E4034</f>
        <v/>
      </c>
      <c r="F1408" s="1717" t="str">
        <f>c_ALR2025!F4034</f>
        <v/>
      </c>
      <c r="G1408" s="1718" t="str">
        <f>c_ALR2025!G4034</f>
        <v/>
      </c>
      <c r="H1408" s="1719" t="str">
        <f>c_ALR2025!M4034</f>
        <v/>
      </c>
      <c r="I1408" s="1859"/>
      <c r="J1408" s="1801"/>
      <c r="K1408" s="1802"/>
      <c r="L1408" s="1802"/>
      <c r="M1408" s="1802"/>
      <c r="N1408" s="1802"/>
      <c r="O1408" s="485"/>
      <c r="P1408" s="9"/>
      <c r="S1408" s="1715" t="b">
        <f t="shared" si="633"/>
        <v>1</v>
      </c>
      <c r="T1408" s="1435"/>
      <c r="Z1408" s="1435"/>
      <c r="AC1408" s="1803"/>
      <c r="AD1408" s="1803"/>
      <c r="AE1408" s="1803"/>
      <c r="AF1408" s="1803"/>
      <c r="AG1408" s="1803"/>
      <c r="AH1408" s="1803"/>
    </row>
    <row r="1409" spans="2:42" ht="13.15" customHeight="1">
      <c r="B1409" s="1124"/>
      <c r="C1409" s="485"/>
      <c r="D1409" s="582">
        <f t="shared" si="634"/>
        <v>9</v>
      </c>
      <c r="E1409" s="1717" t="str">
        <f>c_ALR2025!E4035</f>
        <v/>
      </c>
      <c r="F1409" s="1717" t="str">
        <f>c_ALR2025!F4035</f>
        <v/>
      </c>
      <c r="G1409" s="1718" t="str">
        <f>c_ALR2025!G4035</f>
        <v/>
      </c>
      <c r="H1409" s="1719" t="str">
        <f>c_ALR2025!M4035</f>
        <v/>
      </c>
      <c r="I1409" s="1859"/>
      <c r="J1409" s="1801"/>
      <c r="K1409" s="1802"/>
      <c r="L1409" s="1802"/>
      <c r="M1409" s="1802"/>
      <c r="N1409" s="1802"/>
      <c r="O1409" s="485"/>
      <c r="P1409" s="9"/>
      <c r="S1409" s="1715" t="b">
        <f t="shared" si="633"/>
        <v>1</v>
      </c>
      <c r="T1409" s="1435"/>
      <c r="Z1409" s="1435"/>
      <c r="AC1409" s="1803"/>
      <c r="AD1409" s="1803"/>
      <c r="AE1409" s="1803"/>
      <c r="AF1409" s="1803"/>
      <c r="AG1409" s="1803"/>
      <c r="AH1409" s="1803"/>
    </row>
    <row r="1410" spans="2:42" ht="13.15" customHeight="1">
      <c r="B1410" s="1124"/>
      <c r="C1410" s="485"/>
      <c r="D1410" s="584">
        <f t="shared" si="634"/>
        <v>10</v>
      </c>
      <c r="E1410" s="1720" t="str">
        <f>c_ALR2025!E4036</f>
        <v/>
      </c>
      <c r="F1410" s="1720" t="str">
        <f>c_ALR2025!F4036</f>
        <v/>
      </c>
      <c r="G1410" s="1721" t="str">
        <f>c_ALR2025!G4036</f>
        <v/>
      </c>
      <c r="H1410" s="1722" t="str">
        <f>c_ALR2025!M4036</f>
        <v/>
      </c>
      <c r="I1410" s="1860"/>
      <c r="J1410" s="1801"/>
      <c r="K1410" s="1802"/>
      <c r="L1410" s="1802"/>
      <c r="M1410" s="1802"/>
      <c r="N1410" s="1802"/>
      <c r="O1410" s="485"/>
      <c r="P1410" s="9"/>
      <c r="S1410" s="1715" t="b">
        <f t="shared" si="633"/>
        <v>1</v>
      </c>
      <c r="T1410" s="1435"/>
      <c r="Z1410" s="1435"/>
      <c r="AC1410" s="1803"/>
      <c r="AD1410" s="1803"/>
      <c r="AE1410" s="1803"/>
      <c r="AF1410" s="1803"/>
      <c r="AG1410" s="1803"/>
      <c r="AH1410" s="1803"/>
    </row>
    <row r="1411" spans="2:42" ht="13.15" customHeight="1">
      <c r="B1411" s="1124"/>
      <c r="C1411" s="485"/>
      <c r="D1411" s="579">
        <v>1</v>
      </c>
      <c r="E1411" s="1861"/>
      <c r="F1411" s="1861"/>
      <c r="G1411" s="1862"/>
      <c r="H1411" s="1723"/>
      <c r="I1411" s="1863"/>
      <c r="J1411" s="1801"/>
      <c r="K1411" s="1802"/>
      <c r="L1411" s="1802"/>
      <c r="M1411" s="1802"/>
      <c r="N1411" s="1802"/>
      <c r="O1411" s="485"/>
      <c r="P1411" s="9"/>
      <c r="S1411" s="1715" t="b">
        <f>NOT(S1401)</f>
        <v>0</v>
      </c>
      <c r="T1411" s="1435"/>
      <c r="Z1411" s="1435"/>
      <c r="AC1411" s="1803"/>
      <c r="AD1411" s="1803"/>
      <c r="AE1411" s="1803"/>
      <c r="AF1411" s="1803"/>
      <c r="AG1411" s="1803"/>
      <c r="AH1411" s="1803"/>
    </row>
    <row r="1412" spans="2:42" ht="13.15" customHeight="1">
      <c r="B1412" s="1124"/>
      <c r="C1412" s="485"/>
      <c r="D1412" s="582">
        <f>D1411+1</f>
        <v>2</v>
      </c>
      <c r="E1412" s="1864"/>
      <c r="F1412" s="1864"/>
      <c r="G1412" s="1865"/>
      <c r="H1412" s="1724"/>
      <c r="I1412" s="1859"/>
      <c r="J1412" s="1801"/>
      <c r="K1412" s="1802"/>
      <c r="L1412" s="1802"/>
      <c r="M1412" s="1802"/>
      <c r="N1412" s="1802"/>
      <c r="O1412" s="485"/>
      <c r="P1412" s="9"/>
      <c r="S1412" s="1715" t="b">
        <f t="shared" ref="S1412:S1420" si="635">NOT(S1402)</f>
        <v>0</v>
      </c>
      <c r="T1412" s="1435"/>
      <c r="Z1412" s="1435"/>
      <c r="AC1412" s="1803"/>
      <c r="AD1412" s="1803"/>
      <c r="AE1412" s="1803"/>
      <c r="AF1412" s="1803"/>
      <c r="AG1412" s="1803"/>
      <c r="AH1412" s="1803"/>
    </row>
    <row r="1413" spans="2:42" ht="13.15" customHeight="1">
      <c r="B1413" s="1124"/>
      <c r="C1413" s="485"/>
      <c r="D1413" s="582">
        <f t="shared" ref="D1413:D1420" si="636">D1412+1</f>
        <v>3</v>
      </c>
      <c r="E1413" s="1864"/>
      <c r="F1413" s="1864"/>
      <c r="G1413" s="1865"/>
      <c r="H1413" s="1724"/>
      <c r="I1413" s="1859"/>
      <c r="J1413" s="1801"/>
      <c r="K1413" s="1802"/>
      <c r="L1413" s="1802"/>
      <c r="M1413" s="1802"/>
      <c r="N1413" s="1802"/>
      <c r="O1413" s="485"/>
      <c r="P1413" s="9"/>
      <c r="S1413" s="1715" t="b">
        <f t="shared" si="635"/>
        <v>0</v>
      </c>
      <c r="T1413" s="1435"/>
      <c r="Z1413" s="1435"/>
      <c r="AC1413" s="1803"/>
      <c r="AD1413" s="1803"/>
      <c r="AE1413" s="1803"/>
      <c r="AF1413" s="1803"/>
      <c r="AG1413" s="1803"/>
      <c r="AH1413" s="1803"/>
    </row>
    <row r="1414" spans="2:42" ht="13.15" customHeight="1">
      <c r="B1414" s="1124"/>
      <c r="C1414" s="485"/>
      <c r="D1414" s="582">
        <f t="shared" si="636"/>
        <v>4</v>
      </c>
      <c r="E1414" s="1864"/>
      <c r="F1414" s="1864"/>
      <c r="G1414" s="1865"/>
      <c r="H1414" s="1724"/>
      <c r="I1414" s="1859"/>
      <c r="J1414" s="1801"/>
      <c r="K1414" s="1802"/>
      <c r="L1414" s="1802"/>
      <c r="M1414" s="1802"/>
      <c r="N1414" s="1802"/>
      <c r="O1414" s="485"/>
      <c r="P1414" s="9"/>
      <c r="S1414" s="1715" t="b">
        <f t="shared" si="635"/>
        <v>0</v>
      </c>
      <c r="T1414" s="1435"/>
      <c r="Z1414" s="1435"/>
      <c r="AC1414" s="1803"/>
      <c r="AD1414" s="1803"/>
      <c r="AE1414" s="1803"/>
      <c r="AF1414" s="1803"/>
      <c r="AG1414" s="1803"/>
      <c r="AH1414" s="1803"/>
    </row>
    <row r="1415" spans="2:42" ht="13.15" customHeight="1">
      <c r="B1415" s="1124"/>
      <c r="C1415" s="485"/>
      <c r="D1415" s="582">
        <f t="shared" si="636"/>
        <v>5</v>
      </c>
      <c r="E1415" s="1864"/>
      <c r="F1415" s="1864"/>
      <c r="G1415" s="1865"/>
      <c r="H1415" s="1724"/>
      <c r="I1415" s="1859"/>
      <c r="J1415" s="1801"/>
      <c r="K1415" s="1802"/>
      <c r="L1415" s="1802"/>
      <c r="M1415" s="1802"/>
      <c r="N1415" s="1802"/>
      <c r="O1415" s="485"/>
      <c r="P1415" s="9"/>
      <c r="S1415" s="1715" t="b">
        <f t="shared" si="635"/>
        <v>0</v>
      </c>
      <c r="T1415" s="1435"/>
      <c r="Z1415" s="1435"/>
      <c r="AC1415" s="1803"/>
      <c r="AD1415" s="1803"/>
      <c r="AE1415" s="1803"/>
      <c r="AF1415" s="1803"/>
      <c r="AG1415" s="1803"/>
      <c r="AH1415" s="1803"/>
    </row>
    <row r="1416" spans="2:42" ht="13.15" customHeight="1">
      <c r="B1416" s="1124"/>
      <c r="C1416" s="485"/>
      <c r="D1416" s="582">
        <f t="shared" si="636"/>
        <v>6</v>
      </c>
      <c r="E1416" s="1864"/>
      <c r="F1416" s="1864"/>
      <c r="G1416" s="1865"/>
      <c r="H1416" s="1724"/>
      <c r="I1416" s="1859"/>
      <c r="J1416" s="1801"/>
      <c r="K1416" s="1802"/>
      <c r="L1416" s="1802"/>
      <c r="M1416" s="1802"/>
      <c r="N1416" s="1802"/>
      <c r="O1416" s="485"/>
      <c r="P1416" s="9"/>
      <c r="S1416" s="1715" t="b">
        <f t="shared" si="635"/>
        <v>0</v>
      </c>
      <c r="T1416" s="1435"/>
      <c r="Z1416" s="1435"/>
      <c r="AC1416" s="1803"/>
      <c r="AD1416" s="1803"/>
      <c r="AE1416" s="1803"/>
      <c r="AF1416" s="1803"/>
      <c r="AG1416" s="1803"/>
      <c r="AH1416" s="1803"/>
    </row>
    <row r="1417" spans="2:42" ht="13.15" customHeight="1">
      <c r="B1417" s="1124"/>
      <c r="C1417" s="485"/>
      <c r="D1417" s="582">
        <f t="shared" si="636"/>
        <v>7</v>
      </c>
      <c r="E1417" s="1864"/>
      <c r="F1417" s="1864"/>
      <c r="G1417" s="1865"/>
      <c r="H1417" s="1724"/>
      <c r="I1417" s="1859"/>
      <c r="J1417" s="1801"/>
      <c r="K1417" s="1802"/>
      <c r="L1417" s="1802"/>
      <c r="M1417" s="1802"/>
      <c r="N1417" s="1802"/>
      <c r="O1417" s="485"/>
      <c r="P1417" s="9"/>
      <c r="S1417" s="1715" t="b">
        <f t="shared" si="635"/>
        <v>0</v>
      </c>
      <c r="T1417" s="1435"/>
      <c r="Z1417" s="1435"/>
      <c r="AC1417" s="1803"/>
      <c r="AD1417" s="1803"/>
      <c r="AE1417" s="1803"/>
      <c r="AF1417" s="1803"/>
      <c r="AG1417" s="1803"/>
      <c r="AH1417" s="1803"/>
    </row>
    <row r="1418" spans="2:42" ht="13.15" customHeight="1">
      <c r="B1418" s="1124"/>
      <c r="C1418" s="485"/>
      <c r="D1418" s="582">
        <f t="shared" si="636"/>
        <v>8</v>
      </c>
      <c r="E1418" s="1864"/>
      <c r="F1418" s="1864"/>
      <c r="G1418" s="1865"/>
      <c r="H1418" s="1724"/>
      <c r="I1418" s="1859"/>
      <c r="J1418" s="1801"/>
      <c r="K1418" s="1802"/>
      <c r="L1418" s="1802"/>
      <c r="M1418" s="1802"/>
      <c r="N1418" s="1802"/>
      <c r="O1418" s="485"/>
      <c r="P1418" s="9"/>
      <c r="S1418" s="1715" t="b">
        <f t="shared" si="635"/>
        <v>0</v>
      </c>
      <c r="T1418" s="1435"/>
      <c r="Z1418" s="1435"/>
      <c r="AC1418" s="1803"/>
      <c r="AD1418" s="1803"/>
      <c r="AE1418" s="1803"/>
      <c r="AF1418" s="1803"/>
      <c r="AG1418" s="1803"/>
      <c r="AH1418" s="1803"/>
    </row>
    <row r="1419" spans="2:42" ht="13.15" customHeight="1">
      <c r="B1419" s="1124"/>
      <c r="C1419" s="485"/>
      <c r="D1419" s="582">
        <f t="shared" si="636"/>
        <v>9</v>
      </c>
      <c r="E1419" s="1864"/>
      <c r="F1419" s="1864"/>
      <c r="G1419" s="1865"/>
      <c r="H1419" s="1724"/>
      <c r="I1419" s="1859"/>
      <c r="J1419" s="1801"/>
      <c r="K1419" s="1802"/>
      <c r="L1419" s="1802"/>
      <c r="M1419" s="1802"/>
      <c r="N1419" s="1802"/>
      <c r="O1419" s="485"/>
      <c r="P1419" s="9"/>
      <c r="S1419" s="1715" t="b">
        <f t="shared" si="635"/>
        <v>0</v>
      </c>
      <c r="T1419" s="1435"/>
      <c r="Z1419" s="1435"/>
      <c r="AC1419" s="1803"/>
      <c r="AD1419" s="1803"/>
      <c r="AE1419" s="1803"/>
      <c r="AF1419" s="1803"/>
      <c r="AG1419" s="1803"/>
      <c r="AH1419" s="1803"/>
    </row>
    <row r="1420" spans="2:42" ht="13.15" customHeight="1" thickBot="1">
      <c r="B1420" s="1124"/>
      <c r="C1420" s="485"/>
      <c r="D1420" s="584">
        <f t="shared" si="636"/>
        <v>10</v>
      </c>
      <c r="E1420" s="1866"/>
      <c r="F1420" s="1866"/>
      <c r="G1420" s="1867"/>
      <c r="H1420" s="1725"/>
      <c r="I1420" s="1860"/>
      <c r="J1420" s="1801"/>
      <c r="K1420" s="1802"/>
      <c r="L1420" s="1802"/>
      <c r="M1420" s="1802"/>
      <c r="N1420" s="1802"/>
      <c r="O1420" s="485"/>
      <c r="P1420" s="9"/>
      <c r="S1420" s="1726" t="b">
        <f t="shared" si="635"/>
        <v>0</v>
      </c>
      <c r="T1420" s="1435"/>
      <c r="Z1420" s="1435"/>
      <c r="AC1420" s="1803"/>
      <c r="AD1420" s="1803"/>
      <c r="AE1420" s="1803"/>
      <c r="AF1420" s="1803"/>
      <c r="AG1420" s="1803"/>
      <c r="AH1420" s="1803"/>
    </row>
    <row r="1421" spans="2:42">
      <c r="B1421" s="1124"/>
      <c r="C1421" s="485"/>
      <c r="D1421" s="579">
        <v>1</v>
      </c>
      <c r="E1421" s="864" t="str">
        <f t="shared" ref="E1421:E1430" si="637">IF(E1411&lt;&gt; "",E1411,IF(E1401 &lt;&gt; "", E1401,""))</f>
        <v/>
      </c>
      <c r="F1421" s="960" t="str">
        <f t="shared" ref="F1421:I1421" si="638">IF(F1411&lt;&gt; "",F1411,IF(F1401 &lt;&gt; "", F1401,""))</f>
        <v/>
      </c>
      <c r="G1421" s="961" t="str">
        <f t="shared" si="638"/>
        <v/>
      </c>
      <c r="H1421" s="656" t="str">
        <f t="shared" si="638"/>
        <v/>
      </c>
      <c r="I1421" s="962" t="str">
        <f t="shared" si="638"/>
        <v/>
      </c>
      <c r="J1421" s="1804"/>
      <c r="K1421" s="1805"/>
      <c r="L1421" s="1805"/>
      <c r="M1421" s="1805"/>
      <c r="N1421" s="1805"/>
      <c r="O1421" s="485"/>
      <c r="S1421" s="1435"/>
      <c r="T1421" s="1435"/>
      <c r="Z1421" s="1730" t="b">
        <f t="shared" ref="Z1421:Z1430" si="639">AA1421</f>
        <v>0</v>
      </c>
      <c r="AA1421" s="1731" t="b">
        <f t="shared" ref="AA1421:AA1430" si="640">AB1421</f>
        <v>0</v>
      </c>
      <c r="AB1421" s="1868" t="b">
        <f>AND(AC1421:AI1421)</f>
        <v>0</v>
      </c>
      <c r="AC1421" s="1732" t="b">
        <f t="shared" ref="AC1421:AI1421" si="641">AC1371</f>
        <v>0</v>
      </c>
      <c r="AD1421" s="1680" t="b">
        <f t="shared" si="641"/>
        <v>0</v>
      </c>
      <c r="AE1421" s="1680" t="b">
        <f t="shared" si="641"/>
        <v>0</v>
      </c>
      <c r="AF1421" s="1680" t="b">
        <f t="shared" si="641"/>
        <v>0</v>
      </c>
      <c r="AG1421" s="1680" t="b">
        <f t="shared" si="641"/>
        <v>0</v>
      </c>
      <c r="AH1421" s="1680" t="b">
        <f t="shared" si="641"/>
        <v>0</v>
      </c>
      <c r="AI1421" s="1681" t="b">
        <f t="shared" si="641"/>
        <v>0</v>
      </c>
      <c r="AJ1421" s="1633" t="s">
        <v>1954</v>
      </c>
      <c r="AK1421" s="1635" t="str">
        <f>IF(AND(CNTR_ExistSubInstEntries,COUNTIFS(AC1421:AI1421,FALSE,H1421:N1421,"")&gt;0),EUconst_Error&amp;"BM"&amp;$Q1301,"")</f>
        <v/>
      </c>
      <c r="AP1421" s="1135" t="s">
        <v>2421</v>
      </c>
    </row>
    <row r="1422" spans="2:42">
      <c r="B1422" s="1124"/>
      <c r="C1422" s="485"/>
      <c r="D1422" s="582">
        <f>D1421+1</f>
        <v>2</v>
      </c>
      <c r="E1422" s="866" t="str">
        <f t="shared" si="637"/>
        <v/>
      </c>
      <c r="F1422" s="964" t="str">
        <f t="shared" ref="F1422:I1422" si="642">IF(F1412&lt;&gt; "",F1412,IF(F1402 &lt;&gt; "", F1402,""))</f>
        <v/>
      </c>
      <c r="G1422" s="895" t="str">
        <f t="shared" si="642"/>
        <v/>
      </c>
      <c r="H1422" s="658" t="str">
        <f t="shared" si="642"/>
        <v/>
      </c>
      <c r="I1422" s="965" t="str">
        <f t="shared" si="642"/>
        <v/>
      </c>
      <c r="J1422" s="1804"/>
      <c r="K1422" s="1805"/>
      <c r="L1422" s="1805"/>
      <c r="M1422" s="1805"/>
      <c r="N1422" s="1805"/>
      <c r="O1422" s="485"/>
      <c r="S1422" s="1435"/>
      <c r="T1422" s="1435"/>
      <c r="Z1422" s="1736" t="b">
        <f t="shared" si="639"/>
        <v>0</v>
      </c>
      <c r="AA1422" s="1443" t="b">
        <f t="shared" si="640"/>
        <v>0</v>
      </c>
      <c r="AB1422" s="1737" t="b">
        <f t="shared" ref="AB1422:AB1430" si="643">AND(AC1422:AI1422)</f>
        <v>0</v>
      </c>
      <c r="AC1422" s="1738" t="b">
        <f>AC1421</f>
        <v>0</v>
      </c>
      <c r="AD1422" s="1443" t="b">
        <f t="shared" ref="AD1422:AI1422" si="644">AD1421</f>
        <v>0</v>
      </c>
      <c r="AE1422" s="1443" t="b">
        <f t="shared" si="644"/>
        <v>0</v>
      </c>
      <c r="AF1422" s="1443" t="b">
        <f t="shared" si="644"/>
        <v>0</v>
      </c>
      <c r="AG1422" s="1443" t="b">
        <f t="shared" si="644"/>
        <v>0</v>
      </c>
      <c r="AH1422" s="1443" t="b">
        <f t="shared" si="644"/>
        <v>0</v>
      </c>
      <c r="AI1422" s="1737" t="b">
        <f t="shared" si="644"/>
        <v>0</v>
      </c>
      <c r="AP1422" s="1135" t="s">
        <v>2422</v>
      </c>
    </row>
    <row r="1423" spans="2:42">
      <c r="B1423" s="1124"/>
      <c r="C1423" s="485"/>
      <c r="D1423" s="582">
        <f t="shared" ref="D1423:D1430" si="645">D1422+1</f>
        <v>3</v>
      </c>
      <c r="E1423" s="866" t="str">
        <f t="shared" si="637"/>
        <v/>
      </c>
      <c r="F1423" s="964" t="str">
        <f t="shared" ref="F1423:I1423" si="646">IF(F1413&lt;&gt; "",F1413,IF(F1403 &lt;&gt; "", F1403,""))</f>
        <v/>
      </c>
      <c r="G1423" s="895" t="str">
        <f t="shared" si="646"/>
        <v/>
      </c>
      <c r="H1423" s="658" t="str">
        <f t="shared" si="646"/>
        <v/>
      </c>
      <c r="I1423" s="965" t="str">
        <f t="shared" si="646"/>
        <v/>
      </c>
      <c r="J1423" s="1804"/>
      <c r="K1423" s="1805"/>
      <c r="L1423" s="1805"/>
      <c r="M1423" s="1805"/>
      <c r="N1423" s="1805"/>
      <c r="O1423" s="485"/>
      <c r="S1423" s="1435"/>
      <c r="T1423" s="1435"/>
      <c r="Z1423" s="1736" t="b">
        <f t="shared" si="639"/>
        <v>0</v>
      </c>
      <c r="AA1423" s="1443" t="b">
        <f t="shared" si="640"/>
        <v>0</v>
      </c>
      <c r="AB1423" s="1737" t="b">
        <f t="shared" si="643"/>
        <v>0</v>
      </c>
      <c r="AC1423" s="1738" t="b">
        <f t="shared" ref="AC1423:AI1430" si="647">AC1422</f>
        <v>0</v>
      </c>
      <c r="AD1423" s="1443" t="b">
        <f t="shared" si="647"/>
        <v>0</v>
      </c>
      <c r="AE1423" s="1443" t="b">
        <f t="shared" si="647"/>
        <v>0</v>
      </c>
      <c r="AF1423" s="1443" t="b">
        <f t="shared" si="647"/>
        <v>0</v>
      </c>
      <c r="AG1423" s="1443" t="b">
        <f t="shared" si="647"/>
        <v>0</v>
      </c>
      <c r="AH1423" s="1443" t="b">
        <f t="shared" si="647"/>
        <v>0</v>
      </c>
      <c r="AI1423" s="1737" t="b">
        <f t="shared" si="647"/>
        <v>0</v>
      </c>
      <c r="AP1423" s="1135" t="s">
        <v>2423</v>
      </c>
    </row>
    <row r="1424" spans="2:42">
      <c r="B1424" s="1124"/>
      <c r="C1424" s="485"/>
      <c r="D1424" s="582">
        <f t="shared" si="645"/>
        <v>4</v>
      </c>
      <c r="E1424" s="866" t="str">
        <f t="shared" si="637"/>
        <v/>
      </c>
      <c r="F1424" s="964" t="str">
        <f t="shared" ref="F1424:I1424" si="648">IF(F1414&lt;&gt; "",F1414,IF(F1404 &lt;&gt; "", F1404,""))</f>
        <v/>
      </c>
      <c r="G1424" s="895" t="str">
        <f t="shared" si="648"/>
        <v/>
      </c>
      <c r="H1424" s="658" t="str">
        <f t="shared" si="648"/>
        <v/>
      </c>
      <c r="I1424" s="965" t="str">
        <f t="shared" si="648"/>
        <v/>
      </c>
      <c r="J1424" s="1804"/>
      <c r="K1424" s="1805"/>
      <c r="L1424" s="1805"/>
      <c r="M1424" s="1805"/>
      <c r="N1424" s="1805"/>
      <c r="O1424" s="485"/>
      <c r="S1424" s="1435"/>
      <c r="T1424" s="1435"/>
      <c r="Z1424" s="1736" t="b">
        <f t="shared" si="639"/>
        <v>0</v>
      </c>
      <c r="AA1424" s="1443" t="b">
        <f t="shared" si="640"/>
        <v>0</v>
      </c>
      <c r="AB1424" s="1737" t="b">
        <f t="shared" si="643"/>
        <v>0</v>
      </c>
      <c r="AC1424" s="1738" t="b">
        <f t="shared" si="647"/>
        <v>0</v>
      </c>
      <c r="AD1424" s="1443" t="b">
        <f t="shared" si="647"/>
        <v>0</v>
      </c>
      <c r="AE1424" s="1443" t="b">
        <f t="shared" si="647"/>
        <v>0</v>
      </c>
      <c r="AF1424" s="1443" t="b">
        <f t="shared" si="647"/>
        <v>0</v>
      </c>
      <c r="AG1424" s="1443" t="b">
        <f t="shared" si="647"/>
        <v>0</v>
      </c>
      <c r="AH1424" s="1443" t="b">
        <f t="shared" si="647"/>
        <v>0</v>
      </c>
      <c r="AI1424" s="1737" t="b">
        <f t="shared" si="647"/>
        <v>0</v>
      </c>
      <c r="AP1424" s="1135" t="s">
        <v>2424</v>
      </c>
    </row>
    <row r="1425" spans="2:42">
      <c r="B1425" s="1124"/>
      <c r="C1425" s="485"/>
      <c r="D1425" s="582">
        <f t="shared" si="645"/>
        <v>5</v>
      </c>
      <c r="E1425" s="866" t="str">
        <f t="shared" si="637"/>
        <v/>
      </c>
      <c r="F1425" s="964" t="str">
        <f t="shared" ref="F1425:I1425" si="649">IF(F1415&lt;&gt; "",F1415,IF(F1405 &lt;&gt; "", F1405,""))</f>
        <v/>
      </c>
      <c r="G1425" s="895" t="str">
        <f t="shared" si="649"/>
        <v/>
      </c>
      <c r="H1425" s="658" t="str">
        <f t="shared" si="649"/>
        <v/>
      </c>
      <c r="I1425" s="965" t="str">
        <f t="shared" si="649"/>
        <v/>
      </c>
      <c r="J1425" s="1804"/>
      <c r="K1425" s="1805"/>
      <c r="L1425" s="1805"/>
      <c r="M1425" s="1805"/>
      <c r="N1425" s="1805"/>
      <c r="O1425" s="485"/>
      <c r="S1425" s="1435"/>
      <c r="T1425" s="1435"/>
      <c r="Z1425" s="1736" t="b">
        <f t="shared" si="639"/>
        <v>0</v>
      </c>
      <c r="AA1425" s="1443" t="b">
        <f t="shared" si="640"/>
        <v>0</v>
      </c>
      <c r="AB1425" s="1737" t="b">
        <f t="shared" si="643"/>
        <v>0</v>
      </c>
      <c r="AC1425" s="1738" t="b">
        <f t="shared" si="647"/>
        <v>0</v>
      </c>
      <c r="AD1425" s="1443" t="b">
        <f t="shared" si="647"/>
        <v>0</v>
      </c>
      <c r="AE1425" s="1443" t="b">
        <f t="shared" si="647"/>
        <v>0</v>
      </c>
      <c r="AF1425" s="1443" t="b">
        <f t="shared" si="647"/>
        <v>0</v>
      </c>
      <c r="AG1425" s="1443" t="b">
        <f t="shared" si="647"/>
        <v>0</v>
      </c>
      <c r="AH1425" s="1443" t="b">
        <f t="shared" si="647"/>
        <v>0</v>
      </c>
      <c r="AI1425" s="1737" t="b">
        <f t="shared" si="647"/>
        <v>0</v>
      </c>
      <c r="AP1425" s="1135" t="s">
        <v>2425</v>
      </c>
    </row>
    <row r="1426" spans="2:42">
      <c r="B1426" s="1124"/>
      <c r="C1426" s="485"/>
      <c r="D1426" s="582">
        <f t="shared" si="645"/>
        <v>6</v>
      </c>
      <c r="E1426" s="866" t="str">
        <f t="shared" si="637"/>
        <v/>
      </c>
      <c r="F1426" s="964" t="str">
        <f t="shared" ref="F1426:I1426" si="650">IF(F1416&lt;&gt; "",F1416,IF(F1406 &lt;&gt; "", F1406,""))</f>
        <v/>
      </c>
      <c r="G1426" s="895" t="str">
        <f t="shared" si="650"/>
        <v/>
      </c>
      <c r="H1426" s="658" t="str">
        <f t="shared" si="650"/>
        <v/>
      </c>
      <c r="I1426" s="965" t="str">
        <f t="shared" si="650"/>
        <v/>
      </c>
      <c r="J1426" s="1804"/>
      <c r="K1426" s="1805"/>
      <c r="L1426" s="1805"/>
      <c r="M1426" s="1805"/>
      <c r="N1426" s="1805"/>
      <c r="O1426" s="485"/>
      <c r="S1426" s="1435"/>
      <c r="T1426" s="1435"/>
      <c r="Z1426" s="1736" t="b">
        <f t="shared" si="639"/>
        <v>0</v>
      </c>
      <c r="AA1426" s="1443" t="b">
        <f t="shared" si="640"/>
        <v>0</v>
      </c>
      <c r="AB1426" s="1737" t="b">
        <f t="shared" si="643"/>
        <v>0</v>
      </c>
      <c r="AC1426" s="1738" t="b">
        <f t="shared" si="647"/>
        <v>0</v>
      </c>
      <c r="AD1426" s="1443" t="b">
        <f t="shared" si="647"/>
        <v>0</v>
      </c>
      <c r="AE1426" s="1443" t="b">
        <f t="shared" si="647"/>
        <v>0</v>
      </c>
      <c r="AF1426" s="1443" t="b">
        <f t="shared" si="647"/>
        <v>0</v>
      </c>
      <c r="AG1426" s="1443" t="b">
        <f t="shared" si="647"/>
        <v>0</v>
      </c>
      <c r="AH1426" s="1443" t="b">
        <f t="shared" si="647"/>
        <v>0</v>
      </c>
      <c r="AI1426" s="1737" t="b">
        <f t="shared" si="647"/>
        <v>0</v>
      </c>
      <c r="AP1426" s="1135" t="s">
        <v>2426</v>
      </c>
    </row>
    <row r="1427" spans="2:42">
      <c r="B1427" s="1124"/>
      <c r="C1427" s="485"/>
      <c r="D1427" s="582">
        <f t="shared" si="645"/>
        <v>7</v>
      </c>
      <c r="E1427" s="866" t="str">
        <f t="shared" si="637"/>
        <v/>
      </c>
      <c r="F1427" s="964" t="str">
        <f t="shared" ref="F1427:I1427" si="651">IF(F1417&lt;&gt; "",F1417,IF(F1407 &lt;&gt; "", F1407,""))</f>
        <v/>
      </c>
      <c r="G1427" s="895" t="str">
        <f t="shared" si="651"/>
        <v/>
      </c>
      <c r="H1427" s="658" t="str">
        <f t="shared" si="651"/>
        <v/>
      </c>
      <c r="I1427" s="965" t="str">
        <f t="shared" si="651"/>
        <v/>
      </c>
      <c r="J1427" s="1804"/>
      <c r="K1427" s="1805"/>
      <c r="L1427" s="1805"/>
      <c r="M1427" s="1805"/>
      <c r="N1427" s="1805"/>
      <c r="O1427" s="485"/>
      <c r="S1427" s="1435"/>
      <c r="T1427" s="1435"/>
      <c r="Z1427" s="1736" t="b">
        <f t="shared" si="639"/>
        <v>0</v>
      </c>
      <c r="AA1427" s="1443" t="b">
        <f t="shared" si="640"/>
        <v>0</v>
      </c>
      <c r="AB1427" s="1737" t="b">
        <f t="shared" si="643"/>
        <v>0</v>
      </c>
      <c r="AC1427" s="1738" t="b">
        <f t="shared" si="647"/>
        <v>0</v>
      </c>
      <c r="AD1427" s="1443" t="b">
        <f t="shared" si="647"/>
        <v>0</v>
      </c>
      <c r="AE1427" s="1443" t="b">
        <f t="shared" si="647"/>
        <v>0</v>
      </c>
      <c r="AF1427" s="1443" t="b">
        <f t="shared" si="647"/>
        <v>0</v>
      </c>
      <c r="AG1427" s="1443" t="b">
        <f t="shared" si="647"/>
        <v>0</v>
      </c>
      <c r="AH1427" s="1443" t="b">
        <f t="shared" si="647"/>
        <v>0</v>
      </c>
      <c r="AI1427" s="1737" t="b">
        <f t="shared" si="647"/>
        <v>0</v>
      </c>
      <c r="AP1427" s="1135" t="s">
        <v>2427</v>
      </c>
    </row>
    <row r="1428" spans="2:42">
      <c r="B1428" s="1124"/>
      <c r="C1428" s="485"/>
      <c r="D1428" s="582">
        <f t="shared" si="645"/>
        <v>8</v>
      </c>
      <c r="E1428" s="866" t="str">
        <f t="shared" si="637"/>
        <v/>
      </c>
      <c r="F1428" s="964" t="str">
        <f t="shared" ref="F1428:I1428" si="652">IF(F1418&lt;&gt; "",F1418,IF(F1408 &lt;&gt; "", F1408,""))</f>
        <v/>
      </c>
      <c r="G1428" s="895" t="str">
        <f t="shared" si="652"/>
        <v/>
      </c>
      <c r="H1428" s="658" t="str">
        <f t="shared" si="652"/>
        <v/>
      </c>
      <c r="I1428" s="965" t="str">
        <f t="shared" si="652"/>
        <v/>
      </c>
      <c r="J1428" s="1804"/>
      <c r="K1428" s="1805"/>
      <c r="L1428" s="1805"/>
      <c r="M1428" s="1805"/>
      <c r="N1428" s="1805"/>
      <c r="O1428" s="485"/>
      <c r="S1428" s="1435"/>
      <c r="T1428" s="1435"/>
      <c r="Z1428" s="1736" t="b">
        <f t="shared" si="639"/>
        <v>0</v>
      </c>
      <c r="AA1428" s="1443" t="b">
        <f t="shared" si="640"/>
        <v>0</v>
      </c>
      <c r="AB1428" s="1737" t="b">
        <f t="shared" si="643"/>
        <v>0</v>
      </c>
      <c r="AC1428" s="1738" t="b">
        <f t="shared" si="647"/>
        <v>0</v>
      </c>
      <c r="AD1428" s="1443" t="b">
        <f t="shared" si="647"/>
        <v>0</v>
      </c>
      <c r="AE1428" s="1443" t="b">
        <f t="shared" si="647"/>
        <v>0</v>
      </c>
      <c r="AF1428" s="1443" t="b">
        <f t="shared" si="647"/>
        <v>0</v>
      </c>
      <c r="AG1428" s="1443" t="b">
        <f t="shared" si="647"/>
        <v>0</v>
      </c>
      <c r="AH1428" s="1443" t="b">
        <f t="shared" si="647"/>
        <v>0</v>
      </c>
      <c r="AI1428" s="1737" t="b">
        <f t="shared" si="647"/>
        <v>0</v>
      </c>
      <c r="AP1428" s="1135" t="s">
        <v>2428</v>
      </c>
    </row>
    <row r="1429" spans="2:42">
      <c r="B1429" s="1124"/>
      <c r="C1429" s="485"/>
      <c r="D1429" s="582">
        <f t="shared" si="645"/>
        <v>9</v>
      </c>
      <c r="E1429" s="866" t="str">
        <f t="shared" si="637"/>
        <v/>
      </c>
      <c r="F1429" s="964" t="str">
        <f t="shared" ref="F1429:I1429" si="653">IF(F1419&lt;&gt; "",F1419,IF(F1409 &lt;&gt; "", F1409,""))</f>
        <v/>
      </c>
      <c r="G1429" s="895" t="str">
        <f t="shared" si="653"/>
        <v/>
      </c>
      <c r="H1429" s="658" t="str">
        <f t="shared" si="653"/>
        <v/>
      </c>
      <c r="I1429" s="965" t="str">
        <f t="shared" si="653"/>
        <v/>
      </c>
      <c r="J1429" s="1804"/>
      <c r="K1429" s="1805"/>
      <c r="L1429" s="1805"/>
      <c r="M1429" s="1805"/>
      <c r="N1429" s="1805"/>
      <c r="O1429" s="485"/>
      <c r="S1429" s="1435"/>
      <c r="T1429" s="1435"/>
      <c r="Z1429" s="1736" t="b">
        <f t="shared" si="639"/>
        <v>0</v>
      </c>
      <c r="AA1429" s="1443" t="b">
        <f t="shared" si="640"/>
        <v>0</v>
      </c>
      <c r="AB1429" s="1737" t="b">
        <f t="shared" si="643"/>
        <v>0</v>
      </c>
      <c r="AC1429" s="1738" t="b">
        <f t="shared" si="647"/>
        <v>0</v>
      </c>
      <c r="AD1429" s="1443" t="b">
        <f t="shared" si="647"/>
        <v>0</v>
      </c>
      <c r="AE1429" s="1443" t="b">
        <f t="shared" si="647"/>
        <v>0</v>
      </c>
      <c r="AF1429" s="1443" t="b">
        <f t="shared" si="647"/>
        <v>0</v>
      </c>
      <c r="AG1429" s="1443" t="b">
        <f t="shared" si="647"/>
        <v>0</v>
      </c>
      <c r="AH1429" s="1443" t="b">
        <f t="shared" si="647"/>
        <v>0</v>
      </c>
      <c r="AI1429" s="1737" t="b">
        <f t="shared" si="647"/>
        <v>0</v>
      </c>
      <c r="AP1429" s="1135" t="s">
        <v>2429</v>
      </c>
    </row>
    <row r="1430" spans="2:42" ht="13.5" thickBot="1">
      <c r="B1430" s="1124"/>
      <c r="C1430" s="485"/>
      <c r="D1430" s="584">
        <f t="shared" si="645"/>
        <v>10</v>
      </c>
      <c r="E1430" s="868" t="str">
        <f t="shared" si="637"/>
        <v/>
      </c>
      <c r="F1430" s="967" t="str">
        <f t="shared" ref="F1430:I1430" si="654">IF(F1420&lt;&gt; "",F1420,IF(F1410 &lt;&gt; "", F1410,""))</f>
        <v/>
      </c>
      <c r="G1430" s="968" t="str">
        <f t="shared" si="654"/>
        <v/>
      </c>
      <c r="H1430" s="660" t="str">
        <f t="shared" si="654"/>
        <v/>
      </c>
      <c r="I1430" s="969" t="str">
        <f t="shared" si="654"/>
        <v/>
      </c>
      <c r="J1430" s="1804"/>
      <c r="K1430" s="1805"/>
      <c r="L1430" s="1805"/>
      <c r="M1430" s="1805"/>
      <c r="N1430" s="1805"/>
      <c r="O1430" s="485"/>
      <c r="S1430" s="1435"/>
      <c r="T1430" s="1435"/>
      <c r="Z1430" s="1742" t="b">
        <f t="shared" si="639"/>
        <v>0</v>
      </c>
      <c r="AA1430" s="1743" t="b">
        <f t="shared" si="640"/>
        <v>0</v>
      </c>
      <c r="AB1430" s="1744" t="b">
        <f t="shared" si="643"/>
        <v>0</v>
      </c>
      <c r="AC1430" s="1745" t="b">
        <f t="shared" si="647"/>
        <v>0</v>
      </c>
      <c r="AD1430" s="1743" t="b">
        <f t="shared" si="647"/>
        <v>0</v>
      </c>
      <c r="AE1430" s="1743" t="b">
        <f t="shared" si="647"/>
        <v>0</v>
      </c>
      <c r="AF1430" s="1743" t="b">
        <f t="shared" si="647"/>
        <v>0</v>
      </c>
      <c r="AG1430" s="1743" t="b">
        <f t="shared" si="647"/>
        <v>0</v>
      </c>
      <c r="AH1430" s="1743" t="b">
        <f t="shared" si="647"/>
        <v>0</v>
      </c>
      <c r="AI1430" s="1744" t="b">
        <f t="shared" si="647"/>
        <v>0</v>
      </c>
      <c r="AP1430" s="1135" t="s">
        <v>2430</v>
      </c>
    </row>
    <row r="1431" spans="2:42" ht="12.75" customHeight="1" thickBot="1">
      <c r="B1431" s="1124"/>
      <c r="C1431" s="485"/>
      <c r="D1431" s="971"/>
      <c r="E1431" s="972" t="s">
        <v>921</v>
      </c>
      <c r="F1431" s="948"/>
      <c r="G1431" s="1881"/>
      <c r="H1431" s="605" t="str">
        <f t="shared" ref="H1431:I1431" si="655">IF(COUNT(H1421:H1430)&gt;0,SUM(H1421:H1430),"")</f>
        <v/>
      </c>
      <c r="I1431" s="973" t="str">
        <f t="shared" si="655"/>
        <v/>
      </c>
      <c r="J1431" s="1804"/>
      <c r="K1431" s="1805"/>
      <c r="L1431" s="1805"/>
      <c r="M1431" s="1805"/>
      <c r="N1431" s="1805"/>
      <c r="O1431" s="485"/>
      <c r="P1431" s="485"/>
      <c r="S1431" s="1435"/>
      <c r="T1431" s="1435"/>
      <c r="AB1431" s="1848" t="b">
        <f>AND(AB1421:AB1430)</f>
        <v>0</v>
      </c>
    </row>
    <row r="1432" spans="2:42" ht="12.75" customHeight="1" thickBot="1">
      <c r="B1432" s="479"/>
      <c r="C1432" s="479"/>
      <c r="D1432" s="479"/>
      <c r="E1432" s="479"/>
      <c r="F1432" s="479"/>
      <c r="G1432" s="479"/>
      <c r="H1432" s="479"/>
      <c r="I1432" s="479"/>
      <c r="J1432" s="479"/>
      <c r="K1432" s="479"/>
      <c r="L1432" s="479"/>
      <c r="M1432" s="485"/>
      <c r="N1432" s="485"/>
      <c r="O1432" s="485"/>
      <c r="P1432" s="485"/>
      <c r="Q1432" s="1435"/>
      <c r="S1432" s="1435"/>
      <c r="T1432" s="1435"/>
    </row>
    <row r="1433" spans="2:42" ht="5.0999999999999996" customHeight="1">
      <c r="B1433" s="479"/>
      <c r="C1433" s="975"/>
      <c r="D1433" s="976"/>
      <c r="E1433" s="976"/>
      <c r="F1433" s="976"/>
      <c r="G1433" s="976"/>
      <c r="H1433" s="976"/>
      <c r="I1433" s="976"/>
      <c r="J1433" s="976"/>
      <c r="K1433" s="976"/>
      <c r="L1433" s="976"/>
      <c r="M1433" s="774"/>
      <c r="N1433" s="775"/>
      <c r="O1433" s="485"/>
      <c r="P1433" s="485"/>
      <c r="Q1433" s="1435"/>
      <c r="S1433" s="1435"/>
      <c r="T1433" s="1435"/>
    </row>
    <row r="1434" spans="2:42" ht="15" customHeight="1">
      <c r="B1434" s="1124"/>
      <c r="C1434" s="977"/>
      <c r="D1434" s="2678" t="s">
        <v>2330</v>
      </c>
      <c r="E1434" s="2672"/>
      <c r="F1434" s="2672"/>
      <c r="G1434" s="2672"/>
      <c r="H1434" s="2672"/>
      <c r="I1434" s="2672"/>
      <c r="J1434" s="2672"/>
      <c r="K1434" s="2672"/>
      <c r="L1434" s="2672"/>
      <c r="M1434" s="2672"/>
      <c r="N1434" s="2673"/>
      <c r="O1434" s="485"/>
      <c r="P1434" s="485"/>
      <c r="S1434" s="1435"/>
      <c r="T1434" s="1435"/>
    </row>
    <row r="1435" spans="2:42" ht="5.0999999999999996" customHeight="1">
      <c r="B1435" s="1124"/>
      <c r="C1435" s="980"/>
      <c r="D1435" s="813"/>
      <c r="E1435" s="813"/>
      <c r="F1435" s="813"/>
      <c r="G1435" s="813"/>
      <c r="H1435" s="813"/>
      <c r="I1435" s="813"/>
      <c r="J1435" s="813"/>
      <c r="K1435" s="813"/>
      <c r="L1435" s="813"/>
      <c r="M1435" s="813"/>
      <c r="N1435" s="814"/>
      <c r="O1435" s="485"/>
      <c r="P1435" s="485"/>
      <c r="S1435" s="1435"/>
      <c r="T1435" s="1435"/>
    </row>
    <row r="1436" spans="2:42" ht="15" customHeight="1">
      <c r="B1436" s="1124"/>
      <c r="C1436" s="980"/>
      <c r="D1436" s="2679" t="str">
        <f>EUconst_BMSubinst &amp; ":"</f>
        <v>Sub-installation with product benchmark:</v>
      </c>
      <c r="E1436" s="2646"/>
      <c r="F1436" s="2646"/>
      <c r="G1436" s="2646"/>
      <c r="H1436" s="2680"/>
      <c r="I1436" s="3293" t="str">
        <f>I1301</f>
        <v/>
      </c>
      <c r="J1436" s="3294"/>
      <c r="K1436" s="3294"/>
      <c r="L1436" s="3294"/>
      <c r="M1436" s="3294"/>
      <c r="N1436" s="3295"/>
      <c r="O1436" s="485"/>
      <c r="P1436" s="485"/>
      <c r="S1436" s="1435"/>
      <c r="T1436" s="1435"/>
    </row>
    <row r="1437" spans="2:42" ht="5.0999999999999996" customHeight="1">
      <c r="B1437" s="1124"/>
      <c r="C1437" s="980"/>
      <c r="D1437" s="813"/>
      <c r="E1437" s="813"/>
      <c r="F1437" s="813"/>
      <c r="G1437" s="813"/>
      <c r="H1437" s="813"/>
      <c r="I1437" s="813"/>
      <c r="J1437" s="813"/>
      <c r="K1437" s="813"/>
      <c r="L1437" s="813"/>
      <c r="M1437" s="813"/>
      <c r="N1437" s="814"/>
      <c r="O1437" s="485"/>
      <c r="P1437" s="485"/>
      <c r="S1437" s="1435"/>
      <c r="T1437" s="1435"/>
    </row>
    <row r="1438" spans="2:42" ht="30" customHeight="1">
      <c r="B1438" s="479"/>
      <c r="C1438" s="977"/>
      <c r="D1438" s="981"/>
      <c r="E1438" s="2691" t="s">
        <v>2154</v>
      </c>
      <c r="F1438" s="2691"/>
      <c r="G1438" s="2691"/>
      <c r="H1438" s="2691"/>
      <c r="I1438" s="2691"/>
      <c r="J1438" s="2691"/>
      <c r="K1438" s="2691"/>
      <c r="L1438" s="2691"/>
      <c r="M1438" s="2691"/>
      <c r="N1438" s="2692"/>
      <c r="O1438" s="485"/>
      <c r="P1438" s="485"/>
      <c r="Q1438" s="1435"/>
    </row>
    <row r="1439" spans="2:42" ht="30" customHeight="1">
      <c r="B1439" s="479"/>
      <c r="C1439" s="977"/>
      <c r="D1439" s="981"/>
      <c r="E1439" s="2691" t="s">
        <v>1550</v>
      </c>
      <c r="F1439" s="2691"/>
      <c r="G1439" s="2691"/>
      <c r="H1439" s="2691"/>
      <c r="I1439" s="2691"/>
      <c r="J1439" s="2691"/>
      <c r="K1439" s="2691"/>
      <c r="L1439" s="2691"/>
      <c r="M1439" s="2691"/>
      <c r="N1439" s="2650"/>
      <c r="O1439" s="485"/>
      <c r="P1439" s="485"/>
      <c r="Q1439" s="1435"/>
    </row>
    <row r="1440" spans="2:42" ht="12.75" customHeight="1">
      <c r="B1440" s="479"/>
      <c r="C1440" s="977"/>
      <c r="D1440" s="981"/>
      <c r="E1440" s="2691" t="s">
        <v>1549</v>
      </c>
      <c r="F1440" s="2391"/>
      <c r="G1440" s="2391"/>
      <c r="H1440" s="2391"/>
      <c r="I1440" s="2391"/>
      <c r="J1440" s="2391"/>
      <c r="K1440" s="2391"/>
      <c r="L1440" s="2391"/>
      <c r="M1440" s="2391"/>
      <c r="N1440" s="2650"/>
      <c r="O1440" s="485"/>
      <c r="P1440" s="485"/>
      <c r="Q1440" s="1435"/>
    </row>
    <row r="1441" spans="2:37" ht="15" customHeight="1">
      <c r="B1441" s="479"/>
      <c r="C1441" s="977"/>
      <c r="D1441" s="981"/>
      <c r="E1441" s="3269" t="s">
        <v>2215</v>
      </c>
      <c r="F1441" s="3269"/>
      <c r="G1441" s="3269"/>
      <c r="H1441" s="3269"/>
      <c r="I1441" s="3269"/>
      <c r="J1441" s="3269"/>
      <c r="K1441" s="3269"/>
      <c r="L1441" s="3269"/>
      <c r="M1441" s="3269"/>
      <c r="N1441" s="2694"/>
      <c r="O1441" s="485"/>
      <c r="P1441" s="485"/>
      <c r="Q1441" s="1435"/>
    </row>
    <row r="1442" spans="2:37" ht="5.0999999999999996" customHeight="1">
      <c r="B1442" s="1124"/>
      <c r="C1442" s="980"/>
      <c r="D1442" s="813"/>
      <c r="E1442" s="813"/>
      <c r="F1442" s="813"/>
      <c r="G1442" s="813"/>
      <c r="H1442" s="813"/>
      <c r="I1442" s="813"/>
      <c r="J1442" s="813"/>
      <c r="K1442" s="813"/>
      <c r="L1442" s="813"/>
      <c r="M1442" s="813"/>
      <c r="N1442" s="814"/>
      <c r="O1442" s="485"/>
      <c r="P1442" s="485"/>
      <c r="S1442" s="1435"/>
      <c r="T1442" s="1435"/>
    </row>
    <row r="1443" spans="2:37" ht="15" customHeight="1">
      <c r="B1443" s="479"/>
      <c r="C1443" s="977"/>
      <c r="D1443" s="981"/>
      <c r="E1443" s="3291" t="s">
        <v>1475</v>
      </c>
      <c r="F1443" s="3291"/>
      <c r="G1443" s="3291"/>
      <c r="H1443" s="3291"/>
      <c r="I1443" s="3291"/>
      <c r="J1443" s="3291"/>
      <c r="K1443" s="3291"/>
      <c r="L1443" s="3291"/>
      <c r="M1443" s="3291"/>
      <c r="N1443" s="2694"/>
      <c r="O1443" s="485"/>
      <c r="P1443" s="485"/>
      <c r="Q1443" s="1435"/>
    </row>
    <row r="1444" spans="2:37" ht="5.0999999999999996" customHeight="1">
      <c r="B1444" s="1124"/>
      <c r="C1444" s="980"/>
      <c r="D1444" s="813"/>
      <c r="E1444" s="813"/>
      <c r="F1444" s="813"/>
      <c r="G1444" s="813"/>
      <c r="H1444" s="813"/>
      <c r="I1444" s="813"/>
      <c r="J1444" s="813"/>
      <c r="K1444" s="813"/>
      <c r="L1444" s="813"/>
      <c r="M1444" s="813"/>
      <c r="N1444" s="814"/>
      <c r="O1444" s="485"/>
      <c r="P1444" s="485"/>
      <c r="S1444" s="1435"/>
      <c r="T1444" s="1435"/>
    </row>
    <row r="1445" spans="2:37" ht="12.75" customHeight="1">
      <c r="B1445" s="479"/>
      <c r="C1445" s="977"/>
      <c r="D1445" s="982" t="s">
        <v>266</v>
      </c>
      <c r="E1445" s="2671" t="s">
        <v>1617</v>
      </c>
      <c r="F1445" s="2672"/>
      <c r="G1445" s="2672"/>
      <c r="H1445" s="2672"/>
      <c r="I1445" s="2672"/>
      <c r="J1445" s="2672"/>
      <c r="K1445" s="2672"/>
      <c r="L1445" s="2672"/>
      <c r="M1445" s="2672"/>
      <c r="N1445" s="2673"/>
      <c r="O1445" s="485"/>
      <c r="P1445" s="485"/>
      <c r="Q1445" s="1435"/>
      <c r="S1445" s="1435"/>
      <c r="T1445" s="1435"/>
    </row>
    <row r="1446" spans="2:37" ht="12.75" customHeight="1">
      <c r="B1446" s="479"/>
      <c r="C1446" s="977"/>
      <c r="D1446" s="777"/>
      <c r="E1446" s="3300" t="s">
        <v>2295</v>
      </c>
      <c r="F1446" s="2671"/>
      <c r="G1446" s="2671"/>
      <c r="H1446" s="2671"/>
      <c r="I1446" s="2671"/>
      <c r="J1446" s="2671"/>
      <c r="K1446" s="2671"/>
      <c r="L1446" s="2671"/>
      <c r="M1446" s="2671"/>
      <c r="N1446" s="2712"/>
      <c r="O1446" s="485"/>
      <c r="P1446" s="485"/>
      <c r="Q1446" s="1435"/>
      <c r="S1446" s="1435"/>
      <c r="T1446" s="1435"/>
    </row>
    <row r="1447" spans="2:37" ht="12.75" customHeight="1">
      <c r="B1447" s="479"/>
      <c r="C1447" s="977"/>
      <c r="D1447" s="981"/>
      <c r="E1447" s="3301" t="s">
        <v>1618</v>
      </c>
      <c r="F1447" s="3301"/>
      <c r="G1447" s="3301"/>
      <c r="H1447" s="3301"/>
      <c r="I1447" s="3301"/>
      <c r="J1447" s="3301"/>
      <c r="K1447" s="3301"/>
      <c r="L1447" s="3301"/>
      <c r="M1447" s="3301"/>
      <c r="N1447" s="3302"/>
      <c r="O1447" s="485"/>
      <c r="P1447" s="485"/>
      <c r="Q1447" s="1435"/>
      <c r="S1447" s="1435"/>
    </row>
    <row r="1448" spans="2:37" ht="25.5" customHeight="1">
      <c r="B1448" s="479"/>
      <c r="C1448" s="977"/>
      <c r="D1448" s="981"/>
      <c r="E1448" s="985" t="s">
        <v>1021</v>
      </c>
      <c r="F1448" s="3290" t="s">
        <v>1616</v>
      </c>
      <c r="G1448" s="2646"/>
      <c r="H1448" s="2646"/>
      <c r="I1448" s="2646"/>
      <c r="J1448" s="2646"/>
      <c r="K1448" s="2646"/>
      <c r="L1448" s="2646"/>
      <c r="M1448" s="2646"/>
      <c r="N1448" s="2647"/>
      <c r="O1448" s="485"/>
      <c r="P1448" s="485"/>
      <c r="Q1448" s="1435"/>
      <c r="S1448" s="1435"/>
    </row>
    <row r="1449" spans="2:37" ht="38.25" customHeight="1">
      <c r="B1449" s="479"/>
      <c r="C1449" s="977"/>
      <c r="D1449" s="981"/>
      <c r="E1449" s="985"/>
      <c r="F1449" s="3267" t="s">
        <v>1615</v>
      </c>
      <c r="G1449" s="2380"/>
      <c r="H1449" s="2380"/>
      <c r="I1449" s="2380"/>
      <c r="J1449" s="2380"/>
      <c r="K1449" s="2380"/>
      <c r="L1449" s="2380"/>
      <c r="M1449" s="2380"/>
      <c r="N1449" s="3268"/>
      <c r="O1449" s="485"/>
      <c r="P1449" s="485"/>
      <c r="Q1449" s="1435"/>
      <c r="S1449" s="1435"/>
    </row>
    <row r="1450" spans="2:37" ht="12.75" customHeight="1">
      <c r="B1450" s="479"/>
      <c r="C1450" s="977"/>
      <c r="D1450" s="981"/>
      <c r="E1450" s="985" t="s">
        <v>1021</v>
      </c>
      <c r="F1450" s="3290" t="s">
        <v>1278</v>
      </c>
      <c r="G1450" s="2646"/>
      <c r="H1450" s="2646"/>
      <c r="I1450" s="2646"/>
      <c r="J1450" s="2646"/>
      <c r="K1450" s="2646"/>
      <c r="L1450" s="2646"/>
      <c r="M1450" s="2646"/>
      <c r="N1450" s="2647"/>
      <c r="O1450" s="485"/>
      <c r="P1450" s="485"/>
      <c r="Q1450" s="1435"/>
      <c r="S1450" s="1435"/>
    </row>
    <row r="1451" spans="2:37" ht="38.85" customHeight="1">
      <c r="B1451" s="479"/>
      <c r="C1451" s="977"/>
      <c r="D1451" s="981"/>
      <c r="E1451" s="985"/>
      <c r="F1451" s="3290" t="s">
        <v>1620</v>
      </c>
      <c r="G1451" s="2646"/>
      <c r="H1451" s="2646"/>
      <c r="I1451" s="2646"/>
      <c r="J1451" s="2646"/>
      <c r="K1451" s="2646"/>
      <c r="L1451" s="2646"/>
      <c r="M1451" s="2646"/>
      <c r="N1451" s="2647"/>
      <c r="O1451" s="485"/>
      <c r="P1451" s="485"/>
      <c r="Q1451" s="1435"/>
      <c r="S1451" s="1435"/>
    </row>
    <row r="1452" spans="2:37" ht="25.5" customHeight="1">
      <c r="B1452" s="479"/>
      <c r="C1452" s="977"/>
      <c r="D1452" s="981"/>
      <c r="E1452" s="985"/>
      <c r="F1452" s="3290" t="s">
        <v>1619</v>
      </c>
      <c r="G1452" s="2646"/>
      <c r="H1452" s="2646"/>
      <c r="I1452" s="2646"/>
      <c r="J1452" s="2646"/>
      <c r="K1452" s="2646"/>
      <c r="L1452" s="2646"/>
      <c r="M1452" s="2646"/>
      <c r="N1452" s="2647"/>
      <c r="O1452" s="485"/>
      <c r="P1452" s="485"/>
      <c r="Q1452" s="1435"/>
      <c r="S1452" s="1435"/>
    </row>
    <row r="1453" spans="2:37" ht="25.5" customHeight="1">
      <c r="B1453" s="479"/>
      <c r="C1453" s="977"/>
      <c r="D1453" s="981"/>
      <c r="E1453" s="985" t="s">
        <v>1021</v>
      </c>
      <c r="F1453" s="3290" t="s">
        <v>1542</v>
      </c>
      <c r="G1453" s="2646"/>
      <c r="H1453" s="2646"/>
      <c r="I1453" s="2646"/>
      <c r="J1453" s="2646"/>
      <c r="K1453" s="2646"/>
      <c r="L1453" s="2646"/>
      <c r="M1453" s="2646"/>
      <c r="N1453" s="2647"/>
      <c r="O1453" s="485"/>
      <c r="P1453" s="485"/>
      <c r="Q1453" s="1435"/>
      <c r="S1453" s="1435"/>
    </row>
    <row r="1454" spans="2:37" ht="25.5" customHeight="1" thickBot="1">
      <c r="B1454" s="479"/>
      <c r="C1454" s="977"/>
      <c r="D1454" s="981"/>
      <c r="E1454" s="985" t="s">
        <v>1021</v>
      </c>
      <c r="F1454" s="3290" t="s">
        <v>1458</v>
      </c>
      <c r="G1454" s="2646"/>
      <c r="H1454" s="2646"/>
      <c r="I1454" s="2646"/>
      <c r="J1454" s="2646"/>
      <c r="K1454" s="2646"/>
      <c r="L1454" s="2646"/>
      <c r="M1454" s="2646"/>
      <c r="N1454" s="2647"/>
      <c r="O1454" s="485"/>
      <c r="P1454" s="485"/>
      <c r="Q1454" s="1435"/>
      <c r="S1454" s="1435"/>
    </row>
    <row r="1455" spans="2:37" ht="12.75" customHeight="1" thickBot="1">
      <c r="B1455" s="479"/>
      <c r="C1455" s="977"/>
      <c r="D1455" s="982"/>
      <c r="E1455" s="2648" t="s">
        <v>1612</v>
      </c>
      <c r="F1455" s="2648"/>
      <c r="G1455" s="987" t="str">
        <f>EUconst_Unit</f>
        <v>Unit</v>
      </c>
      <c r="H1455" s="782">
        <f t="shared" ref="H1455:N1455" si="656">H$3242</f>
        <v>2024</v>
      </c>
      <c r="I1455" s="988">
        <f t="shared" si="656"/>
        <v>2025</v>
      </c>
      <c r="J1455" s="1810">
        <f t="shared" si="656"/>
        <v>2026</v>
      </c>
      <c r="K1455" s="1747">
        <f t="shared" si="656"/>
        <v>2027</v>
      </c>
      <c r="L1455" s="1747">
        <f t="shared" si="656"/>
        <v>2028</v>
      </c>
      <c r="M1455" s="1747">
        <f t="shared" si="656"/>
        <v>2029</v>
      </c>
      <c r="N1455" s="1748">
        <f t="shared" si="656"/>
        <v>2030</v>
      </c>
      <c r="O1455" s="485"/>
      <c r="P1455" s="485"/>
      <c r="Q1455" s="1435"/>
      <c r="S1455" s="1648"/>
      <c r="T1455" s="1749">
        <f t="shared" ref="T1455:Z1455" si="657">H1455</f>
        <v>2024</v>
      </c>
      <c r="U1455" s="1749">
        <f t="shared" si="657"/>
        <v>2025</v>
      </c>
      <c r="V1455" s="1749">
        <f t="shared" si="657"/>
        <v>2026</v>
      </c>
      <c r="W1455" s="1749">
        <f t="shared" si="657"/>
        <v>2027</v>
      </c>
      <c r="X1455" s="1749">
        <f t="shared" si="657"/>
        <v>2028</v>
      </c>
      <c r="Y1455" s="1749">
        <f t="shared" si="657"/>
        <v>2029</v>
      </c>
      <c r="Z1455" s="1750">
        <f t="shared" si="657"/>
        <v>2030</v>
      </c>
      <c r="AC1455" s="1638">
        <f t="shared" ref="AC1455:AI1455" si="658">H$20</f>
        <v>2024</v>
      </c>
      <c r="AD1455" s="1638">
        <f t="shared" si="658"/>
        <v>2025</v>
      </c>
      <c r="AE1455" s="1638">
        <f t="shared" si="658"/>
        <v>2026</v>
      </c>
      <c r="AF1455" s="1638">
        <f t="shared" si="658"/>
        <v>2027</v>
      </c>
      <c r="AG1455" s="1638">
        <f t="shared" si="658"/>
        <v>2028</v>
      </c>
      <c r="AH1455" s="1638">
        <f t="shared" si="658"/>
        <v>2029</v>
      </c>
      <c r="AI1455" s="1638">
        <f t="shared" si="658"/>
        <v>2030</v>
      </c>
    </row>
    <row r="1456" spans="2:37" ht="12.75" customHeight="1" thickBot="1">
      <c r="B1456" s="479"/>
      <c r="C1456" s="977"/>
      <c r="D1456" s="981"/>
      <c r="E1456" s="3285" t="str">
        <f>I1301</f>
        <v/>
      </c>
      <c r="F1456" s="2410"/>
      <c r="G1456" s="815" t="str">
        <f>EUconst_tCO2epa</f>
        <v>t CO2e/year</v>
      </c>
      <c r="H1456" s="1479" t="str">
        <f>c_ALR2025!M4062</f>
        <v/>
      </c>
      <c r="I1456" s="1532"/>
      <c r="J1456" s="1811"/>
      <c r="K1456" s="1751"/>
      <c r="L1456" s="1751"/>
      <c r="M1456" s="1751"/>
      <c r="N1456" s="1752"/>
      <c r="O1456" s="485"/>
      <c r="P1456" s="9">
        <v>0</v>
      </c>
      <c r="Q1456" s="1644" t="str">
        <f>EUconst_CNTR_Emissions &amp; I1301</f>
        <v>DirEmissions_</v>
      </c>
      <c r="S1456" s="1753" t="str">
        <f>EUconst_CNTR_AttributedEmissions &amp; I1301</f>
        <v>AttrEmissions_</v>
      </c>
      <c r="T1456" s="1743" t="str">
        <f t="shared" ref="T1456:Z1456" si="659">IF(T1309,SUM(H1456),"")</f>
        <v/>
      </c>
      <c r="U1456" s="1743" t="str">
        <f t="shared" si="659"/>
        <v/>
      </c>
      <c r="V1456" s="1743" t="str">
        <f t="shared" si="659"/>
        <v/>
      </c>
      <c r="W1456" s="1743" t="str">
        <f t="shared" si="659"/>
        <v/>
      </c>
      <c r="X1456" s="1743" t="str">
        <f t="shared" si="659"/>
        <v/>
      </c>
      <c r="Y1456" s="1743" t="str">
        <f t="shared" si="659"/>
        <v/>
      </c>
      <c r="Z1456" s="1744" t="str">
        <f t="shared" si="659"/>
        <v/>
      </c>
      <c r="AB1456" s="1641" t="s">
        <v>717</v>
      </c>
      <c r="AC1456" s="1443" t="b">
        <f>AC1371</f>
        <v>0</v>
      </c>
      <c r="AD1456" s="1443" t="b">
        <f t="shared" ref="AD1456:AI1456" si="660">AD1371</f>
        <v>0</v>
      </c>
      <c r="AE1456" s="1443" t="b">
        <f t="shared" si="660"/>
        <v>0</v>
      </c>
      <c r="AF1456" s="1443" t="b">
        <f t="shared" si="660"/>
        <v>0</v>
      </c>
      <c r="AG1456" s="1443" t="b">
        <f t="shared" si="660"/>
        <v>0</v>
      </c>
      <c r="AH1456" s="1443" t="b">
        <f t="shared" si="660"/>
        <v>0</v>
      </c>
      <c r="AI1456" s="1443" t="b">
        <f t="shared" si="660"/>
        <v>0</v>
      </c>
      <c r="AJ1456" s="1633" t="s">
        <v>1954</v>
      </c>
      <c r="AK1456" s="1635" t="str">
        <f>IF(AND(CNTR_ExistSubInstEntries,MSconst_RequireSubAttrEmissions,COUNTIFS(AC1456:AI1456,FALSE,H1456:N1456,"")&gt;0),EUconst_Error&amp;"BM"&amp;$Q1301,"")</f>
        <v/>
      </c>
    </row>
    <row r="1457" spans="2:37" ht="12.75" customHeight="1">
      <c r="B1457" s="479"/>
      <c r="C1457" s="977"/>
      <c r="D1457" s="981"/>
      <c r="E1457" s="981"/>
      <c r="F1457" s="981"/>
      <c r="G1457" s="981"/>
      <c r="H1457" s="981"/>
      <c r="I1457" s="981"/>
      <c r="J1457" s="981"/>
      <c r="K1457" s="981"/>
      <c r="L1457" s="981"/>
      <c r="M1457" s="813"/>
      <c r="N1457" s="814"/>
      <c r="O1457" s="485"/>
      <c r="P1457" s="485"/>
      <c r="Q1457" s="1435"/>
      <c r="S1457" s="1435"/>
    </row>
    <row r="1458" spans="2:37" ht="12.75" customHeight="1">
      <c r="B1458" s="479"/>
      <c r="C1458" s="977"/>
      <c r="D1458" s="982" t="s">
        <v>269</v>
      </c>
      <c r="E1458" s="2649" t="s">
        <v>1189</v>
      </c>
      <c r="F1458" s="2391"/>
      <c r="G1458" s="2391"/>
      <c r="H1458" s="2391"/>
      <c r="I1458" s="2391"/>
      <c r="J1458" s="2391"/>
      <c r="K1458" s="2391"/>
      <c r="L1458" s="2391"/>
      <c r="M1458" s="2391"/>
      <c r="N1458" s="2650"/>
      <c r="O1458" s="485"/>
      <c r="P1458" s="485"/>
      <c r="Q1458" s="1435"/>
      <c r="R1458" s="1435"/>
      <c r="S1458" s="1435"/>
    </row>
    <row r="1459" spans="2:37" ht="25.5" customHeight="1">
      <c r="B1459" s="479"/>
      <c r="C1459" s="977"/>
      <c r="D1459" s="981"/>
      <c r="E1459" s="3288" t="s">
        <v>1605</v>
      </c>
      <c r="F1459" s="3288"/>
      <c r="G1459" s="3288"/>
      <c r="H1459" s="3288"/>
      <c r="I1459" s="3288"/>
      <c r="J1459" s="3288"/>
      <c r="K1459" s="3288"/>
      <c r="L1459" s="3288"/>
      <c r="M1459" s="3288"/>
      <c r="N1459" s="3289"/>
      <c r="O1459" s="485"/>
      <c r="P1459" s="485"/>
      <c r="Q1459" s="1435"/>
      <c r="R1459" s="1435"/>
      <c r="S1459" s="1435"/>
    </row>
    <row r="1460" spans="2:37" ht="25.5" customHeight="1">
      <c r="B1460" s="479"/>
      <c r="C1460" s="977"/>
      <c r="D1460" s="981"/>
      <c r="E1460" s="3288" t="s">
        <v>1357</v>
      </c>
      <c r="F1460" s="3288"/>
      <c r="G1460" s="3288"/>
      <c r="H1460" s="3288"/>
      <c r="I1460" s="3288"/>
      <c r="J1460" s="3288"/>
      <c r="K1460" s="3288"/>
      <c r="L1460" s="3288"/>
      <c r="M1460" s="3288"/>
      <c r="N1460" s="3289"/>
      <c r="O1460" s="485"/>
      <c r="P1460" s="485"/>
      <c r="Q1460" s="1435"/>
      <c r="S1460" s="1435"/>
    </row>
    <row r="1461" spans="2:37" ht="12.75" customHeight="1">
      <c r="B1461" s="479"/>
      <c r="C1461" s="977"/>
      <c r="D1461" s="981"/>
      <c r="E1461" s="3288" t="s">
        <v>1594</v>
      </c>
      <c r="F1461" s="3288"/>
      <c r="G1461" s="3288"/>
      <c r="H1461" s="3288"/>
      <c r="I1461" s="3288"/>
      <c r="J1461" s="3288"/>
      <c r="K1461" s="3288"/>
      <c r="L1461" s="3288"/>
      <c r="M1461" s="3288"/>
      <c r="N1461" s="3289"/>
      <c r="O1461" s="485"/>
      <c r="P1461" s="485"/>
      <c r="Q1461" s="1435"/>
      <c r="S1461" s="1435"/>
    </row>
    <row r="1462" spans="2:37" ht="12.75" customHeight="1">
      <c r="B1462" s="479"/>
      <c r="C1462" s="977"/>
      <c r="D1462" s="981"/>
      <c r="E1462" s="3272" t="s">
        <v>1557</v>
      </c>
      <c r="F1462" s="2380"/>
      <c r="G1462" s="2380"/>
      <c r="H1462" s="2380"/>
      <c r="I1462" s="2380"/>
      <c r="J1462" s="2380"/>
      <c r="K1462" s="2380"/>
      <c r="L1462" s="2380"/>
      <c r="M1462" s="2380"/>
      <c r="N1462" s="3268"/>
      <c r="O1462" s="485"/>
      <c r="P1462" s="485"/>
      <c r="Q1462" s="1435"/>
      <c r="S1462" s="1435"/>
    </row>
    <row r="1463" spans="2:37" ht="12.75" customHeight="1" thickBot="1">
      <c r="B1463" s="479"/>
      <c r="C1463" s="977"/>
      <c r="D1463" s="982"/>
      <c r="E1463" s="989"/>
      <c r="F1463" s="990"/>
      <c r="G1463" s="987" t="str">
        <f>EUconst_Unit</f>
        <v>Unit</v>
      </c>
      <c r="H1463" s="782">
        <f t="shared" ref="H1463:N1463" si="661">H$3242</f>
        <v>2024</v>
      </c>
      <c r="I1463" s="988">
        <f t="shared" si="661"/>
        <v>2025</v>
      </c>
      <c r="J1463" s="1810">
        <f t="shared" si="661"/>
        <v>2026</v>
      </c>
      <c r="K1463" s="1747">
        <f t="shared" si="661"/>
        <v>2027</v>
      </c>
      <c r="L1463" s="1747">
        <f t="shared" si="661"/>
        <v>2028</v>
      </c>
      <c r="M1463" s="1747">
        <f t="shared" si="661"/>
        <v>2029</v>
      </c>
      <c r="N1463" s="1748">
        <f t="shared" si="661"/>
        <v>2030</v>
      </c>
      <c r="O1463" s="485"/>
      <c r="P1463" s="485"/>
      <c r="Q1463" s="1435"/>
      <c r="S1463" s="1435"/>
      <c r="AC1463" s="1638">
        <f t="shared" ref="AC1463:AI1463" si="662">H$20</f>
        <v>2024</v>
      </c>
      <c r="AD1463" s="1638">
        <f t="shared" si="662"/>
        <v>2025</v>
      </c>
      <c r="AE1463" s="1638">
        <f t="shared" si="662"/>
        <v>2026</v>
      </c>
      <c r="AF1463" s="1638">
        <f t="shared" si="662"/>
        <v>2027</v>
      </c>
      <c r="AG1463" s="1638">
        <f t="shared" si="662"/>
        <v>2028</v>
      </c>
      <c r="AH1463" s="1638">
        <f t="shared" si="662"/>
        <v>2029</v>
      </c>
      <c r="AI1463" s="1638">
        <f t="shared" si="662"/>
        <v>2030</v>
      </c>
    </row>
    <row r="1464" spans="2:37" ht="12.75" customHeight="1">
      <c r="B1464" s="479"/>
      <c r="C1464" s="977"/>
      <c r="D1464" s="777" t="s">
        <v>6</v>
      </c>
      <c r="E1464" s="2475" t="s">
        <v>1344</v>
      </c>
      <c r="F1464" s="2410"/>
      <c r="G1464" s="815" t="str">
        <f>EUconst_TJpa</f>
        <v>TJ / year</v>
      </c>
      <c r="H1464" s="1479" t="str">
        <f>c_ALR2025!M4070</f>
        <v/>
      </c>
      <c r="I1464" s="1532"/>
      <c r="J1464" s="1811"/>
      <c r="K1464" s="1751"/>
      <c r="L1464" s="1751"/>
      <c r="M1464" s="1751"/>
      <c r="N1464" s="1752"/>
      <c r="O1464" s="485"/>
      <c r="P1464" s="9">
        <v>0</v>
      </c>
      <c r="Q1464" s="1644" t="str">
        <f>EUconst_CNTR_FuelInput &amp; I1301</f>
        <v>FuelInput_</v>
      </c>
      <c r="S1464" s="1435"/>
      <c r="AB1464" s="1641" t="s">
        <v>717</v>
      </c>
      <c r="AC1464" s="1443" t="b">
        <f>AC1371</f>
        <v>0</v>
      </c>
      <c r="AD1464" s="1443" t="b">
        <f t="shared" ref="AD1464:AI1464" si="663">AD1371</f>
        <v>0</v>
      </c>
      <c r="AE1464" s="1443" t="b">
        <f t="shared" si="663"/>
        <v>0</v>
      </c>
      <c r="AF1464" s="1443" t="b">
        <f t="shared" si="663"/>
        <v>0</v>
      </c>
      <c r="AG1464" s="1443" t="b">
        <f t="shared" si="663"/>
        <v>0</v>
      </c>
      <c r="AH1464" s="1443" t="b">
        <f t="shared" si="663"/>
        <v>0</v>
      </c>
      <c r="AI1464" s="1443" t="b">
        <f t="shared" si="663"/>
        <v>0</v>
      </c>
      <c r="AJ1464" s="1633" t="s">
        <v>1954</v>
      </c>
      <c r="AK1464" s="1635" t="str">
        <f>IF(AND(CNTR_ExistSubInstEntries,MSconst_RequireSubAttrEmissions,COUNTIFS(AC1464:AI1464,FALSE,H1464:N1464,"")&gt;0),EUconst_Error&amp;"BM"&amp;$Q1301,"")</f>
        <v/>
      </c>
    </row>
    <row r="1465" spans="2:37" ht="12.75" customHeight="1">
      <c r="B1465" s="479"/>
      <c r="C1465" s="977"/>
      <c r="D1465" s="777" t="s">
        <v>7</v>
      </c>
      <c r="E1465" s="2475" t="s">
        <v>1182</v>
      </c>
      <c r="F1465" s="2410"/>
      <c r="G1465" s="991" t="str">
        <f>EUconst_tCO2pTJ</f>
        <v>t CO2 / TJ</v>
      </c>
      <c r="H1465" s="1582" t="str">
        <f>c_ALR2025!M4071</f>
        <v/>
      </c>
      <c r="I1465" s="1882"/>
      <c r="J1465" s="1811"/>
      <c r="K1465" s="1751"/>
      <c r="L1465" s="1751"/>
      <c r="M1465" s="1751"/>
      <c r="N1465" s="1752"/>
      <c r="O1465" s="485"/>
      <c r="P1465" s="9">
        <v>0</v>
      </c>
      <c r="Q1465" s="1644" t="str">
        <f>EUconst_CNTR_FuelEF &amp; I1301</f>
        <v>FuelEF_</v>
      </c>
      <c r="S1465" s="1435"/>
      <c r="AC1465" s="1443" t="b">
        <f>AC1464</f>
        <v>0</v>
      </c>
      <c r="AD1465" s="1443" t="b">
        <f t="shared" ref="AD1465:AI1465" si="664">AD1464</f>
        <v>0</v>
      </c>
      <c r="AE1465" s="1443" t="b">
        <f t="shared" si="664"/>
        <v>0</v>
      </c>
      <c r="AF1465" s="1443" t="b">
        <f t="shared" si="664"/>
        <v>0</v>
      </c>
      <c r="AG1465" s="1443" t="b">
        <f t="shared" si="664"/>
        <v>0</v>
      </c>
      <c r="AH1465" s="1443" t="b">
        <f t="shared" si="664"/>
        <v>0</v>
      </c>
      <c r="AI1465" s="1443" t="b">
        <f t="shared" si="664"/>
        <v>0</v>
      </c>
      <c r="AJ1465" s="1633" t="s">
        <v>1954</v>
      </c>
      <c r="AK1465" s="1635" t="str">
        <f>IF(AND(CNTR_ExistSubInstEntries,MSconst_RequireSubAttrEmissions,COUNTIFS(AC1465:AI1465,FALSE,H1465:N1465,"")&gt;0),EUconst_Error&amp;"BM"&amp;$Q1301,"")</f>
        <v/>
      </c>
    </row>
    <row r="1466" spans="2:37" ht="12.75" customHeight="1">
      <c r="B1466" s="479"/>
      <c r="C1466" s="977"/>
      <c r="D1466" s="981"/>
      <c r="E1466" s="981"/>
      <c r="F1466" s="981"/>
      <c r="G1466" s="981"/>
      <c r="H1466" s="981"/>
      <c r="I1466" s="981"/>
      <c r="J1466" s="981"/>
      <c r="K1466" s="981"/>
      <c r="L1466" s="981"/>
      <c r="M1466" s="813"/>
      <c r="N1466" s="814"/>
      <c r="O1466" s="485"/>
      <c r="P1466" s="485"/>
      <c r="Q1466" s="1435"/>
      <c r="S1466" s="1435"/>
    </row>
    <row r="1467" spans="2:37" ht="12.75" customHeight="1">
      <c r="B1467" s="479"/>
      <c r="C1467" s="977"/>
      <c r="D1467" s="982" t="s">
        <v>271</v>
      </c>
      <c r="E1467" s="2649" t="s">
        <v>1416</v>
      </c>
      <c r="F1467" s="2391"/>
      <c r="G1467" s="2391"/>
      <c r="H1467" s="2391"/>
      <c r="I1467" s="2391"/>
      <c r="J1467" s="2391"/>
      <c r="K1467" s="2391"/>
      <c r="L1467" s="2391"/>
      <c r="M1467" s="2391"/>
      <c r="N1467" s="2650"/>
      <c r="O1467" s="485"/>
      <c r="P1467" s="485"/>
      <c r="Q1467" s="1435"/>
      <c r="R1467" s="1435"/>
      <c r="S1467" s="1435"/>
    </row>
    <row r="1468" spans="2:37" ht="12.75" customHeight="1">
      <c r="B1468" s="479"/>
      <c r="C1468" s="977"/>
      <c r="D1468" s="777"/>
      <c r="E1468" s="3272" t="s">
        <v>2295</v>
      </c>
      <c r="F1468" s="2380"/>
      <c r="G1468" s="2380"/>
      <c r="H1468" s="2380"/>
      <c r="I1468" s="2380"/>
      <c r="J1468" s="2380"/>
      <c r="K1468" s="2380"/>
      <c r="L1468" s="2380"/>
      <c r="M1468" s="2380"/>
      <c r="N1468" s="3268"/>
      <c r="O1468" s="485"/>
      <c r="P1468" s="485"/>
      <c r="Q1468" s="1435"/>
      <c r="S1468" s="1435"/>
      <c r="T1468" s="1435"/>
      <c r="U1468" s="1435"/>
      <c r="V1468" s="1435"/>
    </row>
    <row r="1469" spans="2:37" ht="25.5" customHeight="1">
      <c r="B1469" s="479"/>
      <c r="C1469" s="977"/>
      <c r="D1469" s="981"/>
      <c r="E1469" s="3272" t="s">
        <v>1551</v>
      </c>
      <c r="F1469" s="2380"/>
      <c r="G1469" s="2380"/>
      <c r="H1469" s="2380"/>
      <c r="I1469" s="2380"/>
      <c r="J1469" s="2380"/>
      <c r="K1469" s="2380"/>
      <c r="L1469" s="2380"/>
      <c r="M1469" s="2380"/>
      <c r="N1469" s="3268"/>
      <c r="O1469" s="485"/>
      <c r="P1469" s="485"/>
      <c r="Q1469" s="1435"/>
      <c r="R1469" s="1435"/>
      <c r="S1469" s="1435"/>
    </row>
    <row r="1470" spans="2:37" ht="12.75" customHeight="1">
      <c r="B1470" s="479"/>
      <c r="C1470" s="977"/>
      <c r="D1470" s="981"/>
      <c r="E1470" s="3267" t="s">
        <v>1552</v>
      </c>
      <c r="F1470" s="2380"/>
      <c r="G1470" s="2380"/>
      <c r="H1470" s="2380"/>
      <c r="I1470" s="2380"/>
      <c r="J1470" s="2380"/>
      <c r="K1470" s="2380"/>
      <c r="L1470" s="2380"/>
      <c r="M1470" s="2380"/>
      <c r="N1470" s="3268"/>
      <c r="O1470" s="485"/>
      <c r="P1470" s="485"/>
      <c r="Q1470" s="1435"/>
      <c r="R1470" s="1435"/>
      <c r="S1470" s="1435"/>
    </row>
    <row r="1471" spans="2:37" ht="38.85" customHeight="1">
      <c r="B1471" s="479"/>
      <c r="C1471" s="977"/>
      <c r="D1471" s="981"/>
      <c r="E1471" s="3267" t="s">
        <v>1553</v>
      </c>
      <c r="F1471" s="2380"/>
      <c r="G1471" s="2380"/>
      <c r="H1471" s="2380"/>
      <c r="I1471" s="2380"/>
      <c r="J1471" s="2380"/>
      <c r="K1471" s="2380"/>
      <c r="L1471" s="2380"/>
      <c r="M1471" s="2380"/>
      <c r="N1471" s="3268"/>
      <c r="O1471" s="485"/>
      <c r="P1471" s="485"/>
      <c r="Q1471" s="1435"/>
      <c r="S1471" s="1435"/>
    </row>
    <row r="1472" spans="2:37" ht="51" customHeight="1">
      <c r="B1472" s="479"/>
      <c r="C1472" s="977"/>
      <c r="D1472" s="981"/>
      <c r="E1472" s="3267" t="s">
        <v>1567</v>
      </c>
      <c r="F1472" s="2380"/>
      <c r="G1472" s="2380"/>
      <c r="H1472" s="2380"/>
      <c r="I1472" s="2380"/>
      <c r="J1472" s="2380"/>
      <c r="K1472" s="2380"/>
      <c r="L1472" s="2380"/>
      <c r="M1472" s="2380"/>
      <c r="N1472" s="3268"/>
      <c r="O1472" s="485"/>
      <c r="P1472" s="485"/>
      <c r="Q1472" s="1435"/>
      <c r="S1472" s="1435"/>
    </row>
    <row r="1473" spans="2:37" ht="25.5" customHeight="1">
      <c r="B1473" s="479"/>
      <c r="C1473" s="977"/>
      <c r="D1473" s="981"/>
      <c r="E1473" s="3299" t="s">
        <v>1565</v>
      </c>
      <c r="F1473" s="2380"/>
      <c r="G1473" s="2380"/>
      <c r="H1473" s="2380"/>
      <c r="I1473" s="2380"/>
      <c r="J1473" s="2380"/>
      <c r="K1473" s="2380"/>
      <c r="L1473" s="2380"/>
      <c r="M1473" s="2380"/>
      <c r="N1473" s="3268"/>
      <c r="O1473" s="485"/>
      <c r="P1473" s="485"/>
      <c r="Q1473" s="1435"/>
      <c r="S1473" s="1435"/>
    </row>
    <row r="1474" spans="2:37" ht="12.75" customHeight="1">
      <c r="B1474" s="479"/>
      <c r="C1474" s="977"/>
      <c r="D1474" s="777" t="s">
        <v>6</v>
      </c>
      <c r="E1474" s="2682" t="s">
        <v>1456</v>
      </c>
      <c r="F1474" s="2391"/>
      <c r="G1474" s="2391"/>
      <c r="H1474" s="2391"/>
      <c r="I1474" s="2391"/>
      <c r="J1474" s="2391"/>
      <c r="K1474" s="2512"/>
      <c r="L1474" s="1478" t="str">
        <f>c_ALR2025!L4080</f>
        <v/>
      </c>
      <c r="M1474" s="978"/>
      <c r="N1474" s="979"/>
      <c r="O1474" s="485"/>
      <c r="P1474" s="9">
        <v>0</v>
      </c>
      <c r="Q1474" s="1435"/>
      <c r="S1474" s="1435"/>
      <c r="AF1474" s="1641" t="s">
        <v>717</v>
      </c>
      <c r="AG1474" s="1423" t="b">
        <f>AND(CNTR_ExistSubInstEntries,I1301="")</f>
        <v>0</v>
      </c>
    </row>
    <row r="1475" spans="2:37" ht="12.75" customHeight="1">
      <c r="B1475" s="479"/>
      <c r="C1475" s="977"/>
      <c r="D1475" s="981"/>
      <c r="E1475" s="3299" t="s">
        <v>1216</v>
      </c>
      <c r="F1475" s="2380"/>
      <c r="G1475" s="2380"/>
      <c r="H1475" s="2380"/>
      <c r="I1475" s="2380"/>
      <c r="J1475" s="2380"/>
      <c r="K1475" s="2380"/>
      <c r="L1475" s="2380"/>
      <c r="M1475" s="2380"/>
      <c r="N1475" s="3268"/>
      <c r="O1475" s="485"/>
      <c r="P1475" s="485"/>
      <c r="Q1475" s="1435"/>
      <c r="S1475" s="1435"/>
    </row>
    <row r="1476" spans="2:37" ht="12.75" customHeight="1">
      <c r="B1476" s="479"/>
      <c r="C1476" s="977"/>
      <c r="D1476" s="777" t="s">
        <v>7</v>
      </c>
      <c r="E1476" s="2649" t="s">
        <v>1214</v>
      </c>
      <c r="F1476" s="2391"/>
      <c r="G1476" s="2391"/>
      <c r="H1476" s="2512"/>
      <c r="I1476" s="3211" t="str">
        <f>c_ALR2025!I4082</f>
        <v/>
      </c>
      <c r="J1476" s="3286"/>
      <c r="K1476" s="3286"/>
      <c r="L1476" s="3286"/>
      <c r="M1476" s="3287"/>
      <c r="N1476" s="992"/>
      <c r="O1476" s="485"/>
      <c r="P1476" s="9">
        <v>0</v>
      </c>
      <c r="Q1476" s="1435"/>
      <c r="S1476" s="1435"/>
      <c r="AC1476" s="1641" t="s">
        <v>717</v>
      </c>
      <c r="AD1476" s="1423" t="b">
        <f>OR(AG1474,AND($L1474&lt;&gt;"",$L1474=FALSE))</f>
        <v>0</v>
      </c>
    </row>
    <row r="1477" spans="2:37" ht="5.0999999999999996" customHeight="1">
      <c r="B1477" s="479"/>
      <c r="C1477" s="977"/>
      <c r="D1477" s="981"/>
      <c r="E1477" s="986"/>
      <c r="F1477" s="978"/>
      <c r="G1477" s="978"/>
      <c r="H1477" s="978"/>
      <c r="I1477" s="978"/>
      <c r="J1477" s="978"/>
      <c r="K1477" s="978"/>
      <c r="L1477" s="978"/>
      <c r="M1477" s="978"/>
      <c r="N1477" s="979"/>
      <c r="O1477" s="485"/>
      <c r="P1477" s="485"/>
      <c r="Q1477" s="1435"/>
      <c r="S1477" s="1435"/>
    </row>
    <row r="1478" spans="2:37" ht="12.75" customHeight="1" thickBot="1">
      <c r="B1478" s="479"/>
      <c r="C1478" s="977"/>
      <c r="D1478" s="981"/>
      <c r="E1478" s="2648" t="s">
        <v>1154</v>
      </c>
      <c r="F1478" s="2493"/>
      <c r="G1478" s="987" t="str">
        <f>EUconst_Unit</f>
        <v>Unit</v>
      </c>
      <c r="H1478" s="782">
        <f t="shared" ref="H1478:N1478" si="665">H$3242</f>
        <v>2024</v>
      </c>
      <c r="I1478" s="988">
        <f t="shared" si="665"/>
        <v>2025</v>
      </c>
      <c r="J1478" s="1810">
        <f t="shared" si="665"/>
        <v>2026</v>
      </c>
      <c r="K1478" s="1747">
        <f t="shared" si="665"/>
        <v>2027</v>
      </c>
      <c r="L1478" s="1747">
        <f t="shared" si="665"/>
        <v>2028</v>
      </c>
      <c r="M1478" s="1747">
        <f t="shared" si="665"/>
        <v>2029</v>
      </c>
      <c r="N1478" s="1748">
        <f t="shared" si="665"/>
        <v>2030</v>
      </c>
      <c r="O1478" s="485"/>
      <c r="P1478" s="485"/>
      <c r="Q1478" s="1435"/>
      <c r="S1478" s="1435"/>
      <c r="AC1478" s="1638">
        <f t="shared" ref="AC1478:AI1478" si="666">H$20</f>
        <v>2024</v>
      </c>
      <c r="AD1478" s="1638">
        <f t="shared" si="666"/>
        <v>2025</v>
      </c>
      <c r="AE1478" s="1638">
        <f t="shared" si="666"/>
        <v>2026</v>
      </c>
      <c r="AF1478" s="1638">
        <f t="shared" si="666"/>
        <v>2027</v>
      </c>
      <c r="AG1478" s="1638">
        <f t="shared" si="666"/>
        <v>2028</v>
      </c>
      <c r="AH1478" s="1638">
        <f t="shared" si="666"/>
        <v>2029</v>
      </c>
      <c r="AI1478" s="1638">
        <f t="shared" si="666"/>
        <v>2030</v>
      </c>
    </row>
    <row r="1479" spans="2:37" ht="12.75" customHeight="1">
      <c r="B1479" s="479"/>
      <c r="C1479" s="977"/>
      <c r="D1479" s="777" t="s">
        <v>8</v>
      </c>
      <c r="E1479" s="2471" t="s">
        <v>1153</v>
      </c>
      <c r="F1479" s="2472"/>
      <c r="G1479" s="811" t="str">
        <f>EUconst_tpa</f>
        <v>t / year</v>
      </c>
      <c r="H1479" s="1552" t="str">
        <f>c_ALR2025!M4085</f>
        <v/>
      </c>
      <c r="I1479" s="1611"/>
      <c r="J1479" s="1811"/>
      <c r="K1479" s="1751"/>
      <c r="L1479" s="1751"/>
      <c r="M1479" s="1751"/>
      <c r="N1479" s="1752"/>
      <c r="O1479" s="485"/>
      <c r="P1479" s="9">
        <v>0</v>
      </c>
      <c r="Q1479" s="1435"/>
      <c r="S1479" s="1435"/>
      <c r="AB1479" s="1641" t="s">
        <v>717</v>
      </c>
      <c r="AC1479" s="1423" t="b">
        <f>OR(AND($L1474&lt;&gt;"",$L1474=FALSE),AC1371)</f>
        <v>0</v>
      </c>
      <c r="AD1479" s="1443" t="b">
        <f t="shared" ref="AD1479:AI1479" si="667">OR(AND($L1474&lt;&gt;"",$L1474=FALSE),AD1371)</f>
        <v>0</v>
      </c>
      <c r="AE1479" s="1443" t="b">
        <f t="shared" si="667"/>
        <v>0</v>
      </c>
      <c r="AF1479" s="1443" t="b">
        <f t="shared" si="667"/>
        <v>0</v>
      </c>
      <c r="AG1479" s="1443" t="b">
        <f t="shared" si="667"/>
        <v>0</v>
      </c>
      <c r="AH1479" s="1443" t="b">
        <f t="shared" si="667"/>
        <v>0</v>
      </c>
      <c r="AI1479" s="1443" t="b">
        <f t="shared" si="667"/>
        <v>0</v>
      </c>
      <c r="AJ1479" s="1633" t="s">
        <v>1954</v>
      </c>
      <c r="AK1479" s="1635" t="str">
        <f>IF(AND(CNTR_ExistSubInstEntries,MSconst_RequireSubAttrEmissions,COUNTIFS(AC1479:AI1479,FALSE,H1479:N1479,"")&gt;0),EUconst_Error&amp;"BM"&amp;$Q1301,"")</f>
        <v/>
      </c>
    </row>
    <row r="1480" spans="2:37" ht="12.75" customHeight="1">
      <c r="B1480" s="479"/>
      <c r="C1480" s="977"/>
      <c r="D1480" s="777" t="s">
        <v>18</v>
      </c>
      <c r="E1480" s="2685" t="s">
        <v>946</v>
      </c>
      <c r="F1480" s="2608"/>
      <c r="G1480" s="993" t="str">
        <f>EUconst_GJpt</f>
        <v>GJ / t</v>
      </c>
      <c r="H1480" s="1557" t="str">
        <f>c_ALR2025!M4086</f>
        <v/>
      </c>
      <c r="I1480" s="1883"/>
      <c r="J1480" s="1811"/>
      <c r="K1480" s="1751"/>
      <c r="L1480" s="1751"/>
      <c r="M1480" s="1751"/>
      <c r="N1480" s="1752"/>
      <c r="O1480" s="485"/>
      <c r="P1480" s="9">
        <v>0</v>
      </c>
      <c r="Q1480" s="1435"/>
      <c r="S1480" s="1435"/>
      <c r="AC1480" s="1443" t="b">
        <f t="shared" ref="AC1480:AI1480" si="668">AC1479</f>
        <v>0</v>
      </c>
      <c r="AD1480" s="1443" t="b">
        <f t="shared" si="668"/>
        <v>0</v>
      </c>
      <c r="AE1480" s="1443" t="b">
        <f t="shared" si="668"/>
        <v>0</v>
      </c>
      <c r="AF1480" s="1443" t="b">
        <f t="shared" si="668"/>
        <v>0</v>
      </c>
      <c r="AG1480" s="1443" t="b">
        <f t="shared" si="668"/>
        <v>0</v>
      </c>
      <c r="AH1480" s="1443" t="b">
        <f t="shared" si="668"/>
        <v>0</v>
      </c>
      <c r="AI1480" s="1443" t="b">
        <f t="shared" si="668"/>
        <v>0</v>
      </c>
      <c r="AJ1480" s="1633" t="s">
        <v>1954</v>
      </c>
      <c r="AK1480" s="1635" t="str">
        <f>IF(AND(CNTR_ExistSubInstEntries,MSconst_RequireSubAttrEmissions,COUNTIFS(AC1480:AI1480,FALSE,H1480:N1480,"")&gt;0),EUconst_Error&amp;"BM"&amp;$Q1301,"")</f>
        <v/>
      </c>
    </row>
    <row r="1481" spans="2:37" ht="12.75" customHeight="1" thickBot="1">
      <c r="B1481" s="479"/>
      <c r="C1481" s="977"/>
      <c r="D1481" s="777" t="s">
        <v>787</v>
      </c>
      <c r="E1481" s="2685" t="s">
        <v>945</v>
      </c>
      <c r="F1481" s="2608"/>
      <c r="G1481" s="994" t="s">
        <v>878</v>
      </c>
      <c r="H1481" s="1557" t="str">
        <f>c_ALR2025!M4087</f>
        <v/>
      </c>
      <c r="I1481" s="1883"/>
      <c r="J1481" s="1811"/>
      <c r="K1481" s="1751"/>
      <c r="L1481" s="1751"/>
      <c r="M1481" s="1751"/>
      <c r="N1481" s="1752"/>
      <c r="O1481" s="485"/>
      <c r="P1481" s="9">
        <v>0</v>
      </c>
      <c r="Q1481" s="1435"/>
      <c r="S1481" s="1435"/>
      <c r="AC1481" s="1443" t="b">
        <f t="shared" ref="AC1481:AI1481" si="669">AC1480</f>
        <v>0</v>
      </c>
      <c r="AD1481" s="1443" t="b">
        <f t="shared" si="669"/>
        <v>0</v>
      </c>
      <c r="AE1481" s="1443" t="b">
        <f t="shared" si="669"/>
        <v>0</v>
      </c>
      <c r="AF1481" s="1443" t="b">
        <f t="shared" si="669"/>
        <v>0</v>
      </c>
      <c r="AG1481" s="1443" t="b">
        <f t="shared" si="669"/>
        <v>0</v>
      </c>
      <c r="AH1481" s="1443" t="b">
        <f t="shared" si="669"/>
        <v>0</v>
      </c>
      <c r="AI1481" s="1443" t="b">
        <f t="shared" si="669"/>
        <v>0</v>
      </c>
      <c r="AJ1481" s="1633" t="s">
        <v>1954</v>
      </c>
      <c r="AK1481" s="1635" t="str">
        <f>IF(AND(CNTR_ExistSubInstEntries,MSconst_RequireSubAttrEmissions,COUNTIFS(AC1481:AI1481,FALSE,H1481:N1481,"")&gt;0),EUconst_Error&amp;"BM"&amp;$Q1301,"")</f>
        <v/>
      </c>
    </row>
    <row r="1482" spans="2:37" ht="12.75" customHeight="1">
      <c r="B1482" s="479"/>
      <c r="C1482" s="977"/>
      <c r="D1482" s="777" t="s">
        <v>788</v>
      </c>
      <c r="E1482" s="2473" t="s">
        <v>880</v>
      </c>
      <c r="F1482" s="2474"/>
      <c r="G1482" s="812" t="s">
        <v>878</v>
      </c>
      <c r="H1482" s="1558" t="str">
        <f>c_ALR2025!M4088</f>
        <v/>
      </c>
      <c r="I1482" s="1884"/>
      <c r="J1482" s="1811"/>
      <c r="K1482" s="1751"/>
      <c r="L1482" s="1751"/>
      <c r="M1482" s="1751"/>
      <c r="N1482" s="1752"/>
      <c r="O1482" s="485"/>
      <c r="P1482" s="9">
        <v>0</v>
      </c>
      <c r="Q1482" s="1435"/>
      <c r="S1482" s="1648"/>
      <c r="T1482" s="1749">
        <f t="shared" ref="T1482:Z1482" si="670">H1478</f>
        <v>2024</v>
      </c>
      <c r="U1482" s="1749">
        <f t="shared" si="670"/>
        <v>2025</v>
      </c>
      <c r="V1482" s="1749">
        <f t="shared" si="670"/>
        <v>2026</v>
      </c>
      <c r="W1482" s="1749">
        <f t="shared" si="670"/>
        <v>2027</v>
      </c>
      <c r="X1482" s="1749">
        <f t="shared" si="670"/>
        <v>2028</v>
      </c>
      <c r="Y1482" s="1749">
        <f t="shared" si="670"/>
        <v>2029</v>
      </c>
      <c r="Z1482" s="1750">
        <f t="shared" si="670"/>
        <v>2030</v>
      </c>
      <c r="AC1482" s="1443" t="b">
        <f t="shared" ref="AC1482:AI1482" si="671">AC1481</f>
        <v>0</v>
      </c>
      <c r="AD1482" s="1443" t="b">
        <f t="shared" si="671"/>
        <v>0</v>
      </c>
      <c r="AE1482" s="1443" t="b">
        <f t="shared" si="671"/>
        <v>0</v>
      </c>
      <c r="AF1482" s="1443" t="b">
        <f t="shared" si="671"/>
        <v>0</v>
      </c>
      <c r="AG1482" s="1443" t="b">
        <f t="shared" si="671"/>
        <v>0</v>
      </c>
      <c r="AH1482" s="1443" t="b">
        <f t="shared" si="671"/>
        <v>0</v>
      </c>
      <c r="AI1482" s="1443" t="b">
        <f t="shared" si="671"/>
        <v>0</v>
      </c>
      <c r="AJ1482" s="1633" t="s">
        <v>1954</v>
      </c>
      <c r="AK1482" s="1635" t="str">
        <f>IF(AND(CNTR_ExistSubInstEntries,MSconst_RequireSubAttrEmissions,COUNTIFS(AC1482:AI1482,FALSE,H1482:N1482,"")&gt;0),EUconst_Error&amp;"BM"&amp;$Q1301,"")</f>
        <v/>
      </c>
    </row>
    <row r="1483" spans="2:37" ht="12.75" customHeight="1" thickBot="1">
      <c r="B1483" s="479"/>
      <c r="C1483" s="977"/>
      <c r="D1483" s="777" t="s">
        <v>789</v>
      </c>
      <c r="E1483" s="2471" t="s">
        <v>882</v>
      </c>
      <c r="F1483" s="2472"/>
      <c r="G1483" s="995" t="str">
        <f>EUconst_tCO2pa</f>
        <v>t CO2 / year</v>
      </c>
      <c r="H1483" s="996" t="str">
        <f t="shared" ref="H1483:N1483" si="672">IF(AND(COUNT(H1479:H1482)&gt;0,H1486=""),3.664*H1479*(H1481/100)*(1-H1482/100),"")</f>
        <v/>
      </c>
      <c r="I1483" s="997" t="str">
        <f t="shared" si="672"/>
        <v/>
      </c>
      <c r="J1483" s="1812" t="str">
        <f t="shared" si="672"/>
        <v/>
      </c>
      <c r="K1483" s="1754" t="str">
        <f t="shared" si="672"/>
        <v/>
      </c>
      <c r="L1483" s="1754" t="str">
        <f t="shared" si="672"/>
        <v/>
      </c>
      <c r="M1483" s="1754" t="str">
        <f t="shared" si="672"/>
        <v/>
      </c>
      <c r="N1483" s="1755" t="str">
        <f t="shared" si="672"/>
        <v/>
      </c>
      <c r="O1483" s="485"/>
      <c r="P1483" s="485"/>
      <c r="Q1483" s="1644" t="str">
        <f>EUconst_CNTR_EmissionsIntSource1 &amp; I1301</f>
        <v>EmInternalSource1_</v>
      </c>
      <c r="S1483" s="1753" t="str">
        <f>EUconst_CNTR_AttributedEmissions &amp; I1301</f>
        <v>AttrEmissions_</v>
      </c>
      <c r="T1483" s="1743" t="str">
        <f t="shared" ref="T1483:Z1483" si="673">IF(T1309,SUM(H1483),"")</f>
        <v/>
      </c>
      <c r="U1483" s="1743" t="str">
        <f t="shared" si="673"/>
        <v/>
      </c>
      <c r="V1483" s="1743" t="str">
        <f t="shared" si="673"/>
        <v/>
      </c>
      <c r="W1483" s="1743" t="str">
        <f t="shared" si="673"/>
        <v/>
      </c>
      <c r="X1483" s="1743" t="str">
        <f t="shared" si="673"/>
        <v/>
      </c>
      <c r="Y1483" s="1743" t="str">
        <f t="shared" si="673"/>
        <v/>
      </c>
      <c r="Z1483" s="1744" t="str">
        <f t="shared" si="673"/>
        <v/>
      </c>
    </row>
    <row r="1484" spans="2:37" ht="12.75" customHeight="1">
      <c r="B1484" s="479"/>
      <c r="C1484" s="977"/>
      <c r="D1484" s="777" t="s">
        <v>790</v>
      </c>
      <c r="E1484" s="2670" t="s">
        <v>879</v>
      </c>
      <c r="F1484" s="2608"/>
      <c r="G1484" s="998" t="str">
        <f>EUconst_tCO2pa</f>
        <v>t CO2 / year</v>
      </c>
      <c r="H1484" s="999" t="str">
        <f t="shared" ref="H1484:N1484" si="674">IF(ISNUMBER(H1483),3.664*H1479*(H1481/100)*(H1482/100),"")</f>
        <v/>
      </c>
      <c r="I1484" s="1000" t="str">
        <f t="shared" si="674"/>
        <v/>
      </c>
      <c r="J1484" s="1813" t="str">
        <f t="shared" si="674"/>
        <v/>
      </c>
      <c r="K1484" s="1756" t="str">
        <f t="shared" si="674"/>
        <v/>
      </c>
      <c r="L1484" s="1756" t="str">
        <f t="shared" si="674"/>
        <v/>
      </c>
      <c r="M1484" s="1756" t="str">
        <f t="shared" si="674"/>
        <v/>
      </c>
      <c r="N1484" s="1757" t="str">
        <f t="shared" si="674"/>
        <v/>
      </c>
      <c r="O1484" s="485"/>
      <c r="P1484" s="485"/>
      <c r="Q1484" s="1435"/>
      <c r="S1484" s="1435"/>
    </row>
    <row r="1485" spans="2:37" ht="12.75" customHeight="1">
      <c r="B1485" s="479"/>
      <c r="C1485" s="977"/>
      <c r="D1485" s="777" t="s">
        <v>791</v>
      </c>
      <c r="E1485" s="2473" t="s">
        <v>41</v>
      </c>
      <c r="F1485" s="2474"/>
      <c r="G1485" s="1001" t="str">
        <f>EUconst_TJpa</f>
        <v>TJ / year</v>
      </c>
      <c r="H1485" s="605" t="str">
        <f t="shared" ref="H1485:N1485" si="675">IF(COUNT(H1479:H1480)=2,H1479*H1480/1000,"")</f>
        <v/>
      </c>
      <c r="I1485" s="973" t="str">
        <f t="shared" si="675"/>
        <v/>
      </c>
      <c r="J1485" s="1811" t="str">
        <f t="shared" si="675"/>
        <v/>
      </c>
      <c r="K1485" s="1751" t="str">
        <f t="shared" si="675"/>
        <v/>
      </c>
      <c r="L1485" s="1751" t="str">
        <f t="shared" si="675"/>
        <v/>
      </c>
      <c r="M1485" s="1751" t="str">
        <f t="shared" si="675"/>
        <v/>
      </c>
      <c r="N1485" s="1752" t="str">
        <f t="shared" si="675"/>
        <v/>
      </c>
      <c r="O1485" s="485"/>
      <c r="P1485" s="485"/>
      <c r="Q1485" s="1435"/>
      <c r="S1485" s="1435"/>
    </row>
    <row r="1486" spans="2:37" ht="12.75" customHeight="1">
      <c r="B1486" s="479"/>
      <c r="C1486" s="977"/>
      <c r="D1486" s="777" t="s">
        <v>64</v>
      </c>
      <c r="E1486" s="2687" t="s">
        <v>393</v>
      </c>
      <c r="F1486" s="2688"/>
      <c r="G1486" s="1002"/>
      <c r="H1486" s="1003" t="str">
        <f t="shared" ref="H1486:N1486" si="676">IF(COUNT(H1479,H1481:H1482)&gt;0,IF(COUNTIF(H1480:H1482,"&lt;0")&gt;0,EUconst_Negative,IF(COUNT(H1479,H1481:H1482)&lt;3,EUconst_Incomplete,"")),"")</f>
        <v/>
      </c>
      <c r="I1486" s="1004" t="str">
        <f t="shared" si="676"/>
        <v/>
      </c>
      <c r="J1486" s="1814" t="str">
        <f t="shared" si="676"/>
        <v/>
      </c>
      <c r="K1486" s="1758" t="str">
        <f t="shared" si="676"/>
        <v/>
      </c>
      <c r="L1486" s="1758" t="str">
        <f t="shared" si="676"/>
        <v/>
      </c>
      <c r="M1486" s="1758" t="str">
        <f t="shared" si="676"/>
        <v/>
      </c>
      <c r="N1486" s="1759" t="str">
        <f t="shared" si="676"/>
        <v/>
      </c>
      <c r="O1486" s="485"/>
      <c r="P1486" s="485"/>
      <c r="Q1486" s="1435"/>
      <c r="S1486" s="1435"/>
    </row>
    <row r="1487" spans="2:37" ht="12.75" customHeight="1">
      <c r="B1487" s="479"/>
      <c r="C1487" s="977"/>
      <c r="D1487" s="777"/>
      <c r="E1487" s="981"/>
      <c r="F1487" s="981"/>
      <c r="G1487" s="981"/>
      <c r="H1487" s="981"/>
      <c r="I1487" s="981"/>
      <c r="J1487" s="981"/>
      <c r="K1487" s="981"/>
      <c r="L1487" s="981"/>
      <c r="M1487" s="813"/>
      <c r="N1487" s="814"/>
      <c r="O1487" s="485"/>
      <c r="P1487" s="485"/>
      <c r="Q1487" s="1435"/>
      <c r="S1487" s="1435"/>
    </row>
    <row r="1488" spans="2:37" ht="12.75" customHeight="1">
      <c r="B1488" s="479"/>
      <c r="C1488" s="977"/>
      <c r="D1488" s="777" t="s">
        <v>65</v>
      </c>
      <c r="E1488" s="2649" t="s">
        <v>1215</v>
      </c>
      <c r="F1488" s="2391"/>
      <c r="G1488" s="2391"/>
      <c r="H1488" s="2512"/>
      <c r="I1488" s="3211" t="str">
        <f>c_ALR2025!I4094</f>
        <v/>
      </c>
      <c r="J1488" s="3206"/>
      <c r="K1488" s="3206"/>
      <c r="L1488" s="3206"/>
      <c r="M1488" s="3207"/>
      <c r="N1488" s="979"/>
      <c r="O1488" s="485"/>
      <c r="P1488" s="9">
        <v>0</v>
      </c>
      <c r="Q1488" s="1435"/>
      <c r="S1488" s="1435"/>
      <c r="AC1488" s="1641" t="s">
        <v>717</v>
      </c>
      <c r="AD1488" s="1443" t="b">
        <f>AD1476</f>
        <v>0</v>
      </c>
    </row>
    <row r="1489" spans="2:37" ht="5.0999999999999996" customHeight="1">
      <c r="B1489" s="479"/>
      <c r="C1489" s="977"/>
      <c r="D1489" s="981"/>
      <c r="E1489" s="986"/>
      <c r="F1489" s="978"/>
      <c r="G1489" s="981"/>
      <c r="H1489" s="981"/>
      <c r="I1489" s="978"/>
      <c r="J1489" s="978"/>
      <c r="K1489" s="978"/>
      <c r="L1489" s="978"/>
      <c r="M1489" s="978"/>
      <c r="N1489" s="979"/>
      <c r="O1489" s="485"/>
      <c r="P1489" s="485"/>
      <c r="Q1489" s="1435"/>
      <c r="S1489" s="1435"/>
    </row>
    <row r="1490" spans="2:37" ht="12.75" customHeight="1" thickBot="1">
      <c r="B1490" s="479"/>
      <c r="C1490" s="977"/>
      <c r="D1490" s="777"/>
      <c r="E1490" s="2648" t="s">
        <v>1155</v>
      </c>
      <c r="F1490" s="2493"/>
      <c r="G1490" s="987" t="str">
        <f>EUconst_Unit</f>
        <v>Unit</v>
      </c>
      <c r="H1490" s="782">
        <f t="shared" ref="H1490:N1490" si="677">H$3242</f>
        <v>2024</v>
      </c>
      <c r="I1490" s="988">
        <f t="shared" si="677"/>
        <v>2025</v>
      </c>
      <c r="J1490" s="1810">
        <f t="shared" si="677"/>
        <v>2026</v>
      </c>
      <c r="K1490" s="1747">
        <f t="shared" si="677"/>
        <v>2027</v>
      </c>
      <c r="L1490" s="1747">
        <f t="shared" si="677"/>
        <v>2028</v>
      </c>
      <c r="M1490" s="1747">
        <f t="shared" si="677"/>
        <v>2029</v>
      </c>
      <c r="N1490" s="1748">
        <f t="shared" si="677"/>
        <v>2030</v>
      </c>
      <c r="O1490" s="485"/>
      <c r="P1490" s="485"/>
      <c r="Q1490" s="1435"/>
      <c r="S1490" s="1435"/>
      <c r="AC1490" s="1638">
        <f t="shared" ref="AC1490:AI1490" si="678">H$20</f>
        <v>2024</v>
      </c>
      <c r="AD1490" s="1638">
        <f t="shared" si="678"/>
        <v>2025</v>
      </c>
      <c r="AE1490" s="1638">
        <f t="shared" si="678"/>
        <v>2026</v>
      </c>
      <c r="AF1490" s="1638">
        <f t="shared" si="678"/>
        <v>2027</v>
      </c>
      <c r="AG1490" s="1638">
        <f t="shared" si="678"/>
        <v>2028</v>
      </c>
      <c r="AH1490" s="1638">
        <f t="shared" si="678"/>
        <v>2029</v>
      </c>
      <c r="AI1490" s="1638">
        <f t="shared" si="678"/>
        <v>2030</v>
      </c>
    </row>
    <row r="1491" spans="2:37" ht="12.75" customHeight="1">
      <c r="B1491" s="479"/>
      <c r="C1491" s="977"/>
      <c r="D1491" s="777" t="s">
        <v>66</v>
      </c>
      <c r="E1491" s="2471" t="s">
        <v>1153</v>
      </c>
      <c r="F1491" s="2472"/>
      <c r="G1491" s="811" t="str">
        <f>EUconst_tpa</f>
        <v>t / year</v>
      </c>
      <c r="H1491" s="1552" t="str">
        <f>c_ALR2025!M4097</f>
        <v/>
      </c>
      <c r="I1491" s="1611"/>
      <c r="J1491" s="1811"/>
      <c r="K1491" s="1751"/>
      <c r="L1491" s="1751"/>
      <c r="M1491" s="1751"/>
      <c r="N1491" s="1752"/>
      <c r="O1491" s="485"/>
      <c r="P1491" s="9">
        <v>0</v>
      </c>
      <c r="Q1491" s="1435"/>
      <c r="S1491" s="1435"/>
      <c r="AB1491" s="1641" t="s">
        <v>717</v>
      </c>
      <c r="AC1491" s="1443" t="b">
        <f>AC1479</f>
        <v>0</v>
      </c>
      <c r="AD1491" s="1443" t="b">
        <f t="shared" ref="AD1491:AI1491" si="679">AD1479</f>
        <v>0</v>
      </c>
      <c r="AE1491" s="1443" t="b">
        <f t="shared" si="679"/>
        <v>0</v>
      </c>
      <c r="AF1491" s="1443" t="b">
        <f t="shared" si="679"/>
        <v>0</v>
      </c>
      <c r="AG1491" s="1443" t="b">
        <f t="shared" si="679"/>
        <v>0</v>
      </c>
      <c r="AH1491" s="1443" t="b">
        <f t="shared" si="679"/>
        <v>0</v>
      </c>
      <c r="AI1491" s="1443" t="b">
        <f t="shared" si="679"/>
        <v>0</v>
      </c>
      <c r="AJ1491" s="1633" t="s">
        <v>1954</v>
      </c>
      <c r="AK1491" s="1635" t="str">
        <f>IF(AND(CNTR_ExistSubInstEntries,MSconst_RequireSubAttrEmissions,COUNTIFS(AC1491:AI1491,FALSE,H1491:N1491,"")&gt;0),EUconst_Error&amp;"BM"&amp;$Q1301,"")</f>
        <v/>
      </c>
    </row>
    <row r="1492" spans="2:37" ht="12.75" customHeight="1">
      <c r="B1492" s="479"/>
      <c r="C1492" s="977"/>
      <c r="D1492" s="777" t="s">
        <v>1105</v>
      </c>
      <c r="E1492" s="2685" t="s">
        <v>946</v>
      </c>
      <c r="F1492" s="2608"/>
      <c r="G1492" s="993" t="str">
        <f>EUconst_GJpt</f>
        <v>GJ / t</v>
      </c>
      <c r="H1492" s="1557" t="str">
        <f>c_ALR2025!M4098</f>
        <v/>
      </c>
      <c r="I1492" s="1883"/>
      <c r="J1492" s="1811"/>
      <c r="K1492" s="1751"/>
      <c r="L1492" s="1751"/>
      <c r="M1492" s="1751"/>
      <c r="N1492" s="1752"/>
      <c r="O1492" s="485"/>
      <c r="P1492" s="9">
        <v>0</v>
      </c>
      <c r="Q1492" s="1435"/>
      <c r="S1492" s="1435"/>
      <c r="AC1492" s="1443" t="b">
        <f t="shared" ref="AC1492:AI1492" si="680">AC1480</f>
        <v>0</v>
      </c>
      <c r="AD1492" s="1443" t="b">
        <f t="shared" si="680"/>
        <v>0</v>
      </c>
      <c r="AE1492" s="1443" t="b">
        <f t="shared" si="680"/>
        <v>0</v>
      </c>
      <c r="AF1492" s="1443" t="b">
        <f t="shared" si="680"/>
        <v>0</v>
      </c>
      <c r="AG1492" s="1443" t="b">
        <f t="shared" si="680"/>
        <v>0</v>
      </c>
      <c r="AH1492" s="1443" t="b">
        <f t="shared" si="680"/>
        <v>0</v>
      </c>
      <c r="AI1492" s="1443" t="b">
        <f t="shared" si="680"/>
        <v>0</v>
      </c>
      <c r="AJ1492" s="1633" t="s">
        <v>1954</v>
      </c>
      <c r="AK1492" s="1635" t="str">
        <f>IF(AND(CNTR_ExistSubInstEntries,MSconst_RequireSubAttrEmissions,COUNTIFS(AC1492:AI1492,FALSE,H1492:N1492,"")&gt;0),EUconst_Error&amp;"BM"&amp;$Q1301,"")</f>
        <v/>
      </c>
    </row>
    <row r="1493" spans="2:37" ht="12.75" customHeight="1" thickBot="1">
      <c r="B1493" s="479"/>
      <c r="C1493" s="977"/>
      <c r="D1493" s="777" t="s">
        <v>1106</v>
      </c>
      <c r="E1493" s="2685" t="s">
        <v>945</v>
      </c>
      <c r="F1493" s="2608"/>
      <c r="G1493" s="994" t="s">
        <v>878</v>
      </c>
      <c r="H1493" s="1557" t="str">
        <f>c_ALR2025!M4099</f>
        <v/>
      </c>
      <c r="I1493" s="1883"/>
      <c r="J1493" s="1811"/>
      <c r="K1493" s="1751"/>
      <c r="L1493" s="1751"/>
      <c r="M1493" s="1751"/>
      <c r="N1493" s="1752"/>
      <c r="O1493" s="485"/>
      <c r="P1493" s="9">
        <v>0</v>
      </c>
      <c r="Q1493" s="1435"/>
      <c r="S1493" s="1435"/>
      <c r="AC1493" s="1443" t="b">
        <f t="shared" ref="AC1493:AI1493" si="681">AC1481</f>
        <v>0</v>
      </c>
      <c r="AD1493" s="1443" t="b">
        <f t="shared" si="681"/>
        <v>0</v>
      </c>
      <c r="AE1493" s="1443" t="b">
        <f t="shared" si="681"/>
        <v>0</v>
      </c>
      <c r="AF1493" s="1443" t="b">
        <f t="shared" si="681"/>
        <v>0</v>
      </c>
      <c r="AG1493" s="1443" t="b">
        <f t="shared" si="681"/>
        <v>0</v>
      </c>
      <c r="AH1493" s="1443" t="b">
        <f t="shared" si="681"/>
        <v>0</v>
      </c>
      <c r="AI1493" s="1443" t="b">
        <f t="shared" si="681"/>
        <v>0</v>
      </c>
      <c r="AJ1493" s="1633" t="s">
        <v>1954</v>
      </c>
      <c r="AK1493" s="1635" t="str">
        <f>IF(AND(CNTR_ExistSubInstEntries,MSconst_RequireSubAttrEmissions,COUNTIFS(AC1493:AI1493,FALSE,H1493:N1493,"")&gt;0),EUconst_Error&amp;"BM"&amp;$Q1301,"")</f>
        <v/>
      </c>
    </row>
    <row r="1494" spans="2:37" ht="12.75" customHeight="1">
      <c r="B1494" s="479"/>
      <c r="C1494" s="977"/>
      <c r="D1494" s="777" t="s">
        <v>1107</v>
      </c>
      <c r="E1494" s="2473" t="s">
        <v>880</v>
      </c>
      <c r="F1494" s="2474"/>
      <c r="G1494" s="812" t="s">
        <v>878</v>
      </c>
      <c r="H1494" s="1558" t="str">
        <f>c_ALR2025!M4100</f>
        <v/>
      </c>
      <c r="I1494" s="1884"/>
      <c r="J1494" s="1811"/>
      <c r="K1494" s="1751"/>
      <c r="L1494" s="1751"/>
      <c r="M1494" s="1751"/>
      <c r="N1494" s="1752"/>
      <c r="O1494" s="485"/>
      <c r="P1494" s="9">
        <v>0</v>
      </c>
      <c r="Q1494" s="1435"/>
      <c r="S1494" s="1648"/>
      <c r="T1494" s="1749">
        <f t="shared" ref="T1494:Z1494" si="682">H1490</f>
        <v>2024</v>
      </c>
      <c r="U1494" s="1749">
        <f t="shared" si="682"/>
        <v>2025</v>
      </c>
      <c r="V1494" s="1749">
        <f t="shared" si="682"/>
        <v>2026</v>
      </c>
      <c r="W1494" s="1749">
        <f t="shared" si="682"/>
        <v>2027</v>
      </c>
      <c r="X1494" s="1749">
        <f t="shared" si="682"/>
        <v>2028</v>
      </c>
      <c r="Y1494" s="1749">
        <f t="shared" si="682"/>
        <v>2029</v>
      </c>
      <c r="Z1494" s="1750">
        <f t="shared" si="682"/>
        <v>2030</v>
      </c>
      <c r="AC1494" s="1443" t="b">
        <f t="shared" ref="AC1494:AI1494" si="683">AC1482</f>
        <v>0</v>
      </c>
      <c r="AD1494" s="1443" t="b">
        <f t="shared" si="683"/>
        <v>0</v>
      </c>
      <c r="AE1494" s="1443" t="b">
        <f t="shared" si="683"/>
        <v>0</v>
      </c>
      <c r="AF1494" s="1443" t="b">
        <f t="shared" si="683"/>
        <v>0</v>
      </c>
      <c r="AG1494" s="1443" t="b">
        <f t="shared" si="683"/>
        <v>0</v>
      </c>
      <c r="AH1494" s="1443" t="b">
        <f t="shared" si="683"/>
        <v>0</v>
      </c>
      <c r="AI1494" s="1443" t="b">
        <f t="shared" si="683"/>
        <v>0</v>
      </c>
      <c r="AJ1494" s="1633" t="s">
        <v>1954</v>
      </c>
      <c r="AK1494" s="1635" t="str">
        <f>IF(AND(CNTR_ExistSubInstEntries,MSconst_RequireSubAttrEmissions,COUNTIFS(AC1494:AI1494,FALSE,H1494:N1494,"")&gt;0),EUconst_Error&amp;"BM"&amp;$Q1301,"")</f>
        <v/>
      </c>
    </row>
    <row r="1495" spans="2:37" ht="12.75" customHeight="1" thickBot="1">
      <c r="B1495" s="479"/>
      <c r="C1495" s="977"/>
      <c r="D1495" s="777" t="s">
        <v>1108</v>
      </c>
      <c r="E1495" s="2471" t="s">
        <v>882</v>
      </c>
      <c r="F1495" s="2472"/>
      <c r="G1495" s="995" t="str">
        <f>EUconst_tCO2pa</f>
        <v>t CO2 / year</v>
      </c>
      <c r="H1495" s="996" t="str">
        <f t="shared" ref="H1495:N1495" si="684">IF(AND(COUNT(H1491:H1494)&gt;0,H1498=""),3.664*H1491*(H1493/100)*(1-H1494/100),"")</f>
        <v/>
      </c>
      <c r="I1495" s="997" t="str">
        <f t="shared" si="684"/>
        <v/>
      </c>
      <c r="J1495" s="1812" t="str">
        <f t="shared" si="684"/>
        <v/>
      </c>
      <c r="K1495" s="1754" t="str">
        <f t="shared" si="684"/>
        <v/>
      </c>
      <c r="L1495" s="1754" t="str">
        <f t="shared" si="684"/>
        <v/>
      </c>
      <c r="M1495" s="1754" t="str">
        <f t="shared" si="684"/>
        <v/>
      </c>
      <c r="N1495" s="1755" t="str">
        <f t="shared" si="684"/>
        <v/>
      </c>
      <c r="O1495" s="485"/>
      <c r="P1495" s="485"/>
      <c r="Q1495" s="1644" t="str">
        <f>EUconst_CNTR_EmissionsIntSource2 &amp; I1301</f>
        <v>EmInternalSource2_</v>
      </c>
      <c r="S1495" s="1753" t="str">
        <f>EUconst_CNTR_AttributedEmissions &amp; I1301</f>
        <v>AttrEmissions_</v>
      </c>
      <c r="T1495" s="1743" t="str">
        <f t="shared" ref="T1495:Z1495" si="685">IF(T1309,SUM(H1495),"")</f>
        <v/>
      </c>
      <c r="U1495" s="1743" t="str">
        <f t="shared" si="685"/>
        <v/>
      </c>
      <c r="V1495" s="1743" t="str">
        <f t="shared" si="685"/>
        <v/>
      </c>
      <c r="W1495" s="1743" t="str">
        <f t="shared" si="685"/>
        <v/>
      </c>
      <c r="X1495" s="1743" t="str">
        <f t="shared" si="685"/>
        <v/>
      </c>
      <c r="Y1495" s="1743" t="str">
        <f t="shared" si="685"/>
        <v/>
      </c>
      <c r="Z1495" s="1744" t="str">
        <f t="shared" si="685"/>
        <v/>
      </c>
    </row>
    <row r="1496" spans="2:37" ht="12.75" customHeight="1">
      <c r="B1496" s="479"/>
      <c r="C1496" s="977"/>
      <c r="D1496" s="777" t="s">
        <v>1109</v>
      </c>
      <c r="E1496" s="2670" t="s">
        <v>879</v>
      </c>
      <c r="F1496" s="2608"/>
      <c r="G1496" s="998" t="str">
        <f>EUconst_tCO2pa</f>
        <v>t CO2 / year</v>
      </c>
      <c r="H1496" s="999" t="str">
        <f t="shared" ref="H1496:N1496" si="686">IF(ISNUMBER(H1495),3.664*H1491*(H1493/100)*(H1494/100),"")</f>
        <v/>
      </c>
      <c r="I1496" s="1000" t="str">
        <f t="shared" si="686"/>
        <v/>
      </c>
      <c r="J1496" s="1813" t="str">
        <f t="shared" si="686"/>
        <v/>
      </c>
      <c r="K1496" s="1756" t="str">
        <f t="shared" si="686"/>
        <v/>
      </c>
      <c r="L1496" s="1756" t="str">
        <f t="shared" si="686"/>
        <v/>
      </c>
      <c r="M1496" s="1756" t="str">
        <f t="shared" si="686"/>
        <v/>
      </c>
      <c r="N1496" s="1757" t="str">
        <f t="shared" si="686"/>
        <v/>
      </c>
      <c r="O1496" s="485"/>
      <c r="P1496" s="485"/>
      <c r="Q1496" s="1435"/>
      <c r="S1496" s="1435"/>
    </row>
    <row r="1497" spans="2:37" ht="12.75" customHeight="1">
      <c r="B1497" s="479"/>
      <c r="C1497" s="977"/>
      <c r="D1497" s="777" t="s">
        <v>1110</v>
      </c>
      <c r="E1497" s="2473" t="s">
        <v>41</v>
      </c>
      <c r="F1497" s="2474"/>
      <c r="G1497" s="1001" t="str">
        <f>EUconst_TJpa</f>
        <v>TJ / year</v>
      </c>
      <c r="H1497" s="605" t="str">
        <f t="shared" ref="H1497:N1497" si="687">IF(COUNT(H1491:H1492)=2,H1491*H1492/1000,"")</f>
        <v/>
      </c>
      <c r="I1497" s="973" t="str">
        <f t="shared" si="687"/>
        <v/>
      </c>
      <c r="J1497" s="1811" t="str">
        <f t="shared" si="687"/>
        <v/>
      </c>
      <c r="K1497" s="1751" t="str">
        <f t="shared" si="687"/>
        <v/>
      </c>
      <c r="L1497" s="1751" t="str">
        <f t="shared" si="687"/>
        <v/>
      </c>
      <c r="M1497" s="1751" t="str">
        <f t="shared" si="687"/>
        <v/>
      </c>
      <c r="N1497" s="1752" t="str">
        <f t="shared" si="687"/>
        <v/>
      </c>
      <c r="O1497" s="485"/>
      <c r="P1497" s="485"/>
      <c r="Q1497" s="1435"/>
      <c r="S1497" s="1435"/>
    </row>
    <row r="1498" spans="2:37" ht="12.75" customHeight="1">
      <c r="B1498" s="479"/>
      <c r="C1498" s="977"/>
      <c r="D1498" s="777" t="s">
        <v>1106</v>
      </c>
      <c r="E1498" s="2687" t="s">
        <v>393</v>
      </c>
      <c r="F1498" s="2688"/>
      <c r="G1498" s="1002"/>
      <c r="H1498" s="1003" t="str">
        <f t="shared" ref="H1498:N1498" si="688">IF(COUNT(H1491,H1493:H1494)&gt;0,IF(COUNTIF(H1492:H1494,"&lt;0")&gt;0,EUconst_Negative,IF(COUNT(H1491,H1493:H1494)&lt;3,EUconst_Incomplete,"")),"")</f>
        <v/>
      </c>
      <c r="I1498" s="1004" t="str">
        <f t="shared" si="688"/>
        <v/>
      </c>
      <c r="J1498" s="1814" t="str">
        <f t="shared" si="688"/>
        <v/>
      </c>
      <c r="K1498" s="1758" t="str">
        <f t="shared" si="688"/>
        <v/>
      </c>
      <c r="L1498" s="1758" t="str">
        <f t="shared" si="688"/>
        <v/>
      </c>
      <c r="M1498" s="1758" t="str">
        <f t="shared" si="688"/>
        <v/>
      </c>
      <c r="N1498" s="1759" t="str">
        <f t="shared" si="688"/>
        <v/>
      </c>
      <c r="O1498" s="485"/>
      <c r="P1498" s="485"/>
      <c r="Q1498" s="1435"/>
      <c r="S1498" s="1435"/>
    </row>
    <row r="1499" spans="2:37" ht="12.75" customHeight="1">
      <c r="B1499" s="479"/>
      <c r="C1499" s="977"/>
      <c r="D1499" s="981"/>
      <c r="E1499" s="981"/>
      <c r="F1499" s="981"/>
      <c r="G1499" s="981"/>
      <c r="H1499" s="981"/>
      <c r="I1499" s="981"/>
      <c r="J1499" s="981"/>
      <c r="K1499" s="981"/>
      <c r="L1499" s="981"/>
      <c r="M1499" s="813"/>
      <c r="N1499" s="814"/>
      <c r="O1499" s="485"/>
      <c r="P1499" s="485"/>
      <c r="Q1499" s="1435"/>
      <c r="S1499" s="1435"/>
    </row>
    <row r="1500" spans="2:37" ht="12.75" customHeight="1">
      <c r="B1500" s="479"/>
      <c r="C1500" s="977"/>
      <c r="D1500" s="982" t="s">
        <v>478</v>
      </c>
      <c r="E1500" s="2649" t="s">
        <v>1457</v>
      </c>
      <c r="F1500" s="2391"/>
      <c r="G1500" s="2391"/>
      <c r="H1500" s="2391"/>
      <c r="I1500" s="2391"/>
      <c r="J1500" s="2391"/>
      <c r="K1500" s="2391"/>
      <c r="L1500" s="2391"/>
      <c r="M1500" s="2391"/>
      <c r="N1500" s="2650"/>
      <c r="O1500" s="485"/>
      <c r="P1500" s="485"/>
      <c r="Q1500" s="1435"/>
      <c r="S1500" s="1435"/>
    </row>
    <row r="1501" spans="2:37" ht="12.75" customHeight="1">
      <c r="B1501" s="479"/>
      <c r="C1501" s="977"/>
      <c r="D1501" s="777"/>
      <c r="E1501" s="3272" t="s">
        <v>2295</v>
      </c>
      <c r="F1501" s="2380"/>
      <c r="G1501" s="2380"/>
      <c r="H1501" s="2380"/>
      <c r="I1501" s="2380"/>
      <c r="J1501" s="2380"/>
      <c r="K1501" s="2380"/>
      <c r="L1501" s="2380"/>
      <c r="M1501" s="2380"/>
      <c r="N1501" s="3268"/>
      <c r="O1501" s="485"/>
      <c r="P1501" s="485"/>
      <c r="Q1501" s="1435"/>
      <c r="S1501" s="1435"/>
      <c r="T1501" s="1435"/>
      <c r="U1501" s="1435"/>
      <c r="V1501" s="1435"/>
    </row>
    <row r="1502" spans="2:37" ht="25.5" customHeight="1">
      <c r="B1502" s="479"/>
      <c r="C1502" s="977"/>
      <c r="D1502" s="981"/>
      <c r="E1502" s="3267" t="s">
        <v>2332</v>
      </c>
      <c r="F1502" s="2380"/>
      <c r="G1502" s="2380"/>
      <c r="H1502" s="2380"/>
      <c r="I1502" s="2380"/>
      <c r="J1502" s="2380"/>
      <c r="K1502" s="2380"/>
      <c r="L1502" s="2380"/>
      <c r="M1502" s="2380"/>
      <c r="N1502" s="3268"/>
      <c r="O1502" s="485"/>
      <c r="P1502" s="485"/>
      <c r="Q1502" s="1435"/>
      <c r="S1502" s="1435"/>
    </row>
    <row r="1503" spans="2:37" ht="12.75" customHeight="1" thickBot="1">
      <c r="B1503" s="479"/>
      <c r="C1503" s="977"/>
      <c r="D1503" s="981"/>
      <c r="E1503" s="3267" t="s">
        <v>1365</v>
      </c>
      <c r="F1503" s="2380"/>
      <c r="G1503" s="2380"/>
      <c r="H1503" s="2380"/>
      <c r="I1503" s="2380"/>
      <c r="J1503" s="2380"/>
      <c r="K1503" s="2380"/>
      <c r="L1503" s="2380"/>
      <c r="M1503" s="2380"/>
      <c r="N1503" s="3268"/>
      <c r="O1503" s="485"/>
      <c r="P1503" s="485"/>
      <c r="Q1503" s="1435"/>
      <c r="S1503" s="1435"/>
    </row>
    <row r="1504" spans="2:37" ht="12.75" customHeight="1" thickBot="1">
      <c r="B1504" s="479"/>
      <c r="C1504" s="977"/>
      <c r="D1504" s="982"/>
      <c r="E1504" s="989"/>
      <c r="F1504" s="990"/>
      <c r="G1504" s="987" t="str">
        <f>EUconst_Unit</f>
        <v>Unit</v>
      </c>
      <c r="H1504" s="782">
        <f t="shared" ref="H1504:N1504" si="689">H$3242</f>
        <v>2024</v>
      </c>
      <c r="I1504" s="988">
        <f t="shared" si="689"/>
        <v>2025</v>
      </c>
      <c r="J1504" s="1810">
        <f t="shared" si="689"/>
        <v>2026</v>
      </c>
      <c r="K1504" s="1747">
        <f t="shared" si="689"/>
        <v>2027</v>
      </c>
      <c r="L1504" s="1747">
        <f t="shared" si="689"/>
        <v>2028</v>
      </c>
      <c r="M1504" s="1747">
        <f t="shared" si="689"/>
        <v>2029</v>
      </c>
      <c r="N1504" s="1748">
        <f t="shared" si="689"/>
        <v>2030</v>
      </c>
      <c r="O1504" s="485"/>
      <c r="P1504" s="485"/>
      <c r="Q1504" s="1435"/>
      <c r="S1504" s="1648"/>
      <c r="T1504" s="1749">
        <f t="shared" ref="T1504:Z1504" si="690">H1504</f>
        <v>2024</v>
      </c>
      <c r="U1504" s="1749">
        <f t="shared" si="690"/>
        <v>2025</v>
      </c>
      <c r="V1504" s="1749">
        <f t="shared" si="690"/>
        <v>2026</v>
      </c>
      <c r="W1504" s="1749">
        <f t="shared" si="690"/>
        <v>2027</v>
      </c>
      <c r="X1504" s="1749">
        <f t="shared" si="690"/>
        <v>2028</v>
      </c>
      <c r="Y1504" s="1749">
        <f t="shared" si="690"/>
        <v>2029</v>
      </c>
      <c r="Z1504" s="1750">
        <f t="shared" si="690"/>
        <v>2030</v>
      </c>
      <c r="AC1504" s="1638">
        <f t="shared" ref="AC1504:AI1504" si="691">H$20</f>
        <v>2024</v>
      </c>
      <c r="AD1504" s="1638">
        <f t="shared" si="691"/>
        <v>2025</v>
      </c>
      <c r="AE1504" s="1638">
        <f t="shared" si="691"/>
        <v>2026</v>
      </c>
      <c r="AF1504" s="1638">
        <f t="shared" si="691"/>
        <v>2027</v>
      </c>
      <c r="AG1504" s="1638">
        <f t="shared" si="691"/>
        <v>2028</v>
      </c>
      <c r="AH1504" s="1638">
        <f t="shared" si="691"/>
        <v>2029</v>
      </c>
      <c r="AI1504" s="1638">
        <f t="shared" si="691"/>
        <v>2030</v>
      </c>
    </row>
    <row r="1505" spans="2:37" ht="12.75" customHeight="1" thickBot="1">
      <c r="B1505" s="479"/>
      <c r="C1505" s="977"/>
      <c r="D1505" s="777"/>
      <c r="E1505" s="2475" t="s">
        <v>1156</v>
      </c>
      <c r="F1505" s="2410"/>
      <c r="G1505" s="815" t="str">
        <f>EUconst_tCO2epa</f>
        <v>t CO2e/year</v>
      </c>
      <c r="H1505" s="1479" t="str">
        <f>c_ALR2025!M4111</f>
        <v/>
      </c>
      <c r="I1505" s="1532"/>
      <c r="J1505" s="1811"/>
      <c r="K1505" s="1751"/>
      <c r="L1505" s="1751"/>
      <c r="M1505" s="1751"/>
      <c r="N1505" s="1752"/>
      <c r="O1505" s="485"/>
      <c r="P1505" s="9">
        <v>0</v>
      </c>
      <c r="Q1505" s="1644" t="str">
        <f>EUconst_CNTR_CO2Feedstock &amp; I1301</f>
        <v>EmCO2Feedstock_</v>
      </c>
      <c r="S1505" s="1753" t="str">
        <f>EUconst_CNTR_AttributedEmissions &amp; I1301</f>
        <v>AttrEmissions_</v>
      </c>
      <c r="T1505" s="1743" t="str">
        <f t="shared" ref="T1505:Z1505" si="692">IF(T1309,SUM(H1505),"")</f>
        <v/>
      </c>
      <c r="U1505" s="1743" t="str">
        <f t="shared" si="692"/>
        <v/>
      </c>
      <c r="V1505" s="1743" t="str">
        <f t="shared" si="692"/>
        <v/>
      </c>
      <c r="W1505" s="1743" t="str">
        <f t="shared" si="692"/>
        <v/>
      </c>
      <c r="X1505" s="1743" t="str">
        <f t="shared" si="692"/>
        <v/>
      </c>
      <c r="Y1505" s="1743" t="str">
        <f t="shared" si="692"/>
        <v/>
      </c>
      <c r="Z1505" s="1744" t="str">
        <f t="shared" si="692"/>
        <v/>
      </c>
      <c r="AB1505" s="1641" t="s">
        <v>717</v>
      </c>
      <c r="AC1505" s="1443" t="b">
        <f>AC1371</f>
        <v>0</v>
      </c>
      <c r="AD1505" s="1443" t="b">
        <f t="shared" ref="AD1505:AI1505" si="693">AD1371</f>
        <v>0</v>
      </c>
      <c r="AE1505" s="1443" t="b">
        <f t="shared" si="693"/>
        <v>0</v>
      </c>
      <c r="AF1505" s="1443" t="b">
        <f t="shared" si="693"/>
        <v>0</v>
      </c>
      <c r="AG1505" s="1443" t="b">
        <f t="shared" si="693"/>
        <v>0</v>
      </c>
      <c r="AH1505" s="1443" t="b">
        <f t="shared" si="693"/>
        <v>0</v>
      </c>
      <c r="AI1505" s="1443" t="b">
        <f t="shared" si="693"/>
        <v>0</v>
      </c>
      <c r="AJ1505" s="1633" t="s">
        <v>1954</v>
      </c>
      <c r="AK1505" s="1635" t="str">
        <f>IF(AND(CNTR_ExistSubInstEntries,MSconst_RequireSubAttrEmissions,COUNTIFS(AC1505:AI1505,FALSE,H1505:N1505,"")&gt;0),EUconst_Error&amp;"BM"&amp;$Q1301,"")</f>
        <v/>
      </c>
    </row>
    <row r="1506" spans="2:37" ht="12.75" customHeight="1">
      <c r="B1506" s="479"/>
      <c r="C1506" s="977"/>
      <c r="D1506" s="981"/>
      <c r="E1506" s="981"/>
      <c r="F1506" s="981"/>
      <c r="G1506" s="981"/>
      <c r="H1506" s="981"/>
      <c r="I1506" s="981"/>
      <c r="J1506" s="981"/>
      <c r="K1506" s="981"/>
      <c r="L1506" s="981"/>
      <c r="M1506" s="813"/>
      <c r="N1506" s="814"/>
      <c r="O1506" s="485"/>
      <c r="P1506" s="485"/>
      <c r="Q1506" s="1435"/>
      <c r="S1506" s="1435"/>
    </row>
    <row r="1507" spans="2:37" ht="12.75" customHeight="1">
      <c r="B1507" s="479"/>
      <c r="C1507" s="977"/>
      <c r="D1507" s="982" t="s">
        <v>479</v>
      </c>
      <c r="E1507" s="2649" t="s">
        <v>1118</v>
      </c>
      <c r="F1507" s="2391"/>
      <c r="G1507" s="2391"/>
      <c r="H1507" s="2391"/>
      <c r="I1507" s="2391"/>
      <c r="J1507" s="2391"/>
      <c r="K1507" s="2391"/>
      <c r="L1507" s="2391"/>
      <c r="M1507" s="2391"/>
      <c r="N1507" s="2650"/>
      <c r="O1507" s="485"/>
      <c r="P1507" s="485"/>
      <c r="Q1507" s="1435"/>
      <c r="S1507" s="1435"/>
    </row>
    <row r="1508" spans="2:37" ht="12.75" customHeight="1">
      <c r="B1508" s="479"/>
      <c r="C1508" s="977"/>
      <c r="D1508" s="777"/>
      <c r="E1508" s="3272" t="s">
        <v>2297</v>
      </c>
      <c r="F1508" s="2380"/>
      <c r="G1508" s="2380"/>
      <c r="H1508" s="2380"/>
      <c r="I1508" s="2380"/>
      <c r="J1508" s="2380"/>
      <c r="K1508" s="2380"/>
      <c r="L1508" s="2380"/>
      <c r="M1508" s="2380"/>
      <c r="N1508" s="3268"/>
      <c r="O1508" s="485"/>
      <c r="P1508" s="485"/>
      <c r="Q1508" s="1435"/>
      <c r="S1508" s="1435"/>
      <c r="T1508" s="1435"/>
      <c r="U1508" s="1435"/>
      <c r="V1508" s="1435"/>
    </row>
    <row r="1509" spans="2:37" ht="38.85" customHeight="1">
      <c r="B1509" s="479"/>
      <c r="C1509" s="977"/>
      <c r="D1509" s="981"/>
      <c r="E1509" s="3267" t="s">
        <v>2118</v>
      </c>
      <c r="F1509" s="2380"/>
      <c r="G1509" s="2380"/>
      <c r="H1509" s="2380"/>
      <c r="I1509" s="2380"/>
      <c r="J1509" s="2380"/>
      <c r="K1509" s="2380"/>
      <c r="L1509" s="2380"/>
      <c r="M1509" s="2380"/>
      <c r="N1509" s="3268"/>
      <c r="O1509" s="485"/>
      <c r="P1509" s="485"/>
      <c r="Q1509" s="1435"/>
      <c r="S1509" s="1435"/>
    </row>
    <row r="1510" spans="2:37" ht="25.5" customHeight="1">
      <c r="B1510" s="479"/>
      <c r="C1510" s="977"/>
      <c r="D1510" s="981"/>
      <c r="E1510" s="3267" t="s">
        <v>1614</v>
      </c>
      <c r="F1510" s="2380"/>
      <c r="G1510" s="2380"/>
      <c r="H1510" s="2380"/>
      <c r="I1510" s="2380"/>
      <c r="J1510" s="2380"/>
      <c r="K1510" s="2380"/>
      <c r="L1510" s="2380"/>
      <c r="M1510" s="2380"/>
      <c r="N1510" s="3268"/>
      <c r="O1510" s="485"/>
      <c r="P1510" s="485"/>
      <c r="Q1510" s="1435"/>
      <c r="S1510" s="1435"/>
    </row>
    <row r="1511" spans="2:37" ht="25.5" customHeight="1">
      <c r="B1511" s="479"/>
      <c r="C1511" s="977"/>
      <c r="D1511" s="981"/>
      <c r="E1511" s="3267" t="s">
        <v>1593</v>
      </c>
      <c r="F1511" s="2380"/>
      <c r="G1511" s="2380"/>
      <c r="H1511" s="2380"/>
      <c r="I1511" s="2380"/>
      <c r="J1511" s="2380"/>
      <c r="K1511" s="2380"/>
      <c r="L1511" s="2380"/>
      <c r="M1511" s="2380"/>
      <c r="N1511" s="3268"/>
      <c r="O1511" s="485"/>
      <c r="P1511" s="485"/>
      <c r="Q1511" s="1435"/>
      <c r="S1511" s="1435"/>
    </row>
    <row r="1512" spans="2:37" ht="12.75" customHeight="1" thickBot="1">
      <c r="B1512" s="479"/>
      <c r="C1512" s="977"/>
      <c r="D1512" s="981"/>
      <c r="E1512" s="3269" t="s">
        <v>1555</v>
      </c>
      <c r="F1512" s="3270"/>
      <c r="G1512" s="3270"/>
      <c r="H1512" s="3270"/>
      <c r="I1512" s="3270"/>
      <c r="J1512" s="3270"/>
      <c r="K1512" s="3270"/>
      <c r="L1512" s="3270"/>
      <c r="M1512" s="3270"/>
      <c r="N1512" s="3271"/>
      <c r="O1512" s="485"/>
      <c r="P1512" s="485"/>
      <c r="Q1512" s="1435"/>
    </row>
    <row r="1513" spans="2:37" ht="12.75" customHeight="1" thickBot="1">
      <c r="B1513" s="479"/>
      <c r="C1513" s="977"/>
      <c r="D1513" s="981"/>
      <c r="E1513" s="2648" t="s">
        <v>1151</v>
      </c>
      <c r="F1513" s="2493"/>
      <c r="G1513" s="987" t="str">
        <f>EUconst_Unit</f>
        <v>Unit</v>
      </c>
      <c r="H1513" s="782">
        <f t="shared" ref="H1513:N1513" si="694">H$3242</f>
        <v>2024</v>
      </c>
      <c r="I1513" s="988">
        <f t="shared" si="694"/>
        <v>2025</v>
      </c>
      <c r="J1513" s="1810">
        <f t="shared" si="694"/>
        <v>2026</v>
      </c>
      <c r="K1513" s="1747">
        <f t="shared" si="694"/>
        <v>2027</v>
      </c>
      <c r="L1513" s="1747">
        <f t="shared" si="694"/>
        <v>2028</v>
      </c>
      <c r="M1513" s="1747">
        <f t="shared" si="694"/>
        <v>2029</v>
      </c>
      <c r="N1513" s="1748">
        <f t="shared" si="694"/>
        <v>2030</v>
      </c>
      <c r="O1513" s="485"/>
      <c r="P1513" s="485"/>
      <c r="Q1513" s="1435"/>
      <c r="S1513" s="1648"/>
      <c r="T1513" s="1749">
        <f t="shared" ref="T1513:Z1513" si="695">H1513</f>
        <v>2024</v>
      </c>
      <c r="U1513" s="1749">
        <f t="shared" si="695"/>
        <v>2025</v>
      </c>
      <c r="V1513" s="1749">
        <f t="shared" si="695"/>
        <v>2026</v>
      </c>
      <c r="W1513" s="1749">
        <f t="shared" si="695"/>
        <v>2027</v>
      </c>
      <c r="X1513" s="1749">
        <f t="shared" si="695"/>
        <v>2028</v>
      </c>
      <c r="Y1513" s="1749">
        <f t="shared" si="695"/>
        <v>2029</v>
      </c>
      <c r="Z1513" s="1750">
        <f t="shared" si="695"/>
        <v>2030</v>
      </c>
      <c r="AC1513" s="1638">
        <f t="shared" ref="AC1513:AI1513" si="696">H$20</f>
        <v>2024</v>
      </c>
      <c r="AD1513" s="1638">
        <f t="shared" si="696"/>
        <v>2025</v>
      </c>
      <c r="AE1513" s="1638">
        <f t="shared" si="696"/>
        <v>2026</v>
      </c>
      <c r="AF1513" s="1638">
        <f t="shared" si="696"/>
        <v>2027</v>
      </c>
      <c r="AG1513" s="1638">
        <f t="shared" si="696"/>
        <v>2028</v>
      </c>
      <c r="AH1513" s="1638">
        <f t="shared" si="696"/>
        <v>2029</v>
      </c>
      <c r="AI1513" s="1638">
        <f t="shared" si="696"/>
        <v>2030</v>
      </c>
    </row>
    <row r="1514" spans="2:37" ht="12.75" customHeight="1">
      <c r="B1514" s="479"/>
      <c r="C1514" s="977"/>
      <c r="D1514" s="777" t="s">
        <v>6</v>
      </c>
      <c r="E1514" s="2475" t="s">
        <v>1087</v>
      </c>
      <c r="F1514" s="2410"/>
      <c r="G1514" s="815" t="str">
        <f>EUconst_TJpa</f>
        <v>TJ / year</v>
      </c>
      <c r="H1514" s="1479" t="str">
        <f>c_ALR2025!M4120</f>
        <v/>
      </c>
      <c r="I1514" s="1532"/>
      <c r="J1514" s="1811"/>
      <c r="K1514" s="1751"/>
      <c r="L1514" s="1751"/>
      <c r="M1514" s="1751"/>
      <c r="N1514" s="1752"/>
      <c r="O1514" s="485"/>
      <c r="P1514" s="9">
        <v>0</v>
      </c>
      <c r="Q1514" s="1644" t="str">
        <f>EUconst_CNTR_HeatImport &amp; I1301</f>
        <v>HeatIm_</v>
      </c>
      <c r="S1514" s="1874" t="str">
        <f>EUconst_ERR_AttrEmBMapplied &amp; I1301</f>
        <v>ERR_AttrEmBM_</v>
      </c>
      <c r="T1514" s="1443">
        <f t="shared" ref="T1514:Z1514" si="697">IF(AND(H1514&lt;&gt;0,H1515="",EUconst_StatusOfDataCollection=FALSE),1,0)</f>
        <v>0</v>
      </c>
      <c r="U1514" s="1443">
        <f t="shared" si="697"/>
        <v>0</v>
      </c>
      <c r="V1514" s="1443">
        <f t="shared" si="697"/>
        <v>0</v>
      </c>
      <c r="W1514" s="1443">
        <f t="shared" si="697"/>
        <v>0</v>
      </c>
      <c r="X1514" s="1443">
        <f t="shared" si="697"/>
        <v>0</v>
      </c>
      <c r="Y1514" s="1443">
        <f t="shared" si="697"/>
        <v>0</v>
      </c>
      <c r="Z1514" s="1737">
        <f t="shared" si="697"/>
        <v>0</v>
      </c>
      <c r="AA1514" s="1503"/>
      <c r="AB1514" s="1641" t="s">
        <v>717</v>
      </c>
      <c r="AC1514" s="1443" t="b">
        <f t="shared" ref="AC1514:AI1514" si="698">AC1371</f>
        <v>0</v>
      </c>
      <c r="AD1514" s="1443" t="b">
        <f t="shared" si="698"/>
        <v>0</v>
      </c>
      <c r="AE1514" s="1443" t="b">
        <f t="shared" si="698"/>
        <v>0</v>
      </c>
      <c r="AF1514" s="1443" t="b">
        <f t="shared" si="698"/>
        <v>0</v>
      </c>
      <c r="AG1514" s="1443" t="b">
        <f t="shared" si="698"/>
        <v>0</v>
      </c>
      <c r="AH1514" s="1443" t="b">
        <f t="shared" si="698"/>
        <v>0</v>
      </c>
      <c r="AI1514" s="1443" t="b">
        <f t="shared" si="698"/>
        <v>0</v>
      </c>
      <c r="AJ1514" s="1633" t="s">
        <v>1954</v>
      </c>
      <c r="AK1514" s="1635" t="str">
        <f>IF(AND(CNTR_ExistSubInstEntries,MSconst_RequireSubAttrEmissions,COUNTIFS(AC1514:AI1514,FALSE,H1514:N1514,"")&gt;0),EUconst_Error&amp;"BM"&amp;$Q1301,"")</f>
        <v/>
      </c>
    </row>
    <row r="1515" spans="2:37" ht="12.75" customHeight="1" thickBot="1">
      <c r="B1515" s="479"/>
      <c r="C1515" s="977"/>
      <c r="D1515" s="777" t="s">
        <v>7</v>
      </c>
      <c r="E1515" s="2475" t="s">
        <v>1103</v>
      </c>
      <c r="F1515" s="2410"/>
      <c r="G1515" s="815" t="str">
        <f>EUconst_tCO2pTJ</f>
        <v>t CO2 / TJ</v>
      </c>
      <c r="H1515" s="1479" t="str">
        <f>c_ALR2025!M4121</f>
        <v/>
      </c>
      <c r="I1515" s="1532"/>
      <c r="J1515" s="1811"/>
      <c r="K1515" s="1751"/>
      <c r="L1515" s="1751"/>
      <c r="M1515" s="1751"/>
      <c r="N1515" s="1752"/>
      <c r="O1515" s="485"/>
      <c r="P1515" s="9">
        <v>0</v>
      </c>
      <c r="Q1515" s="1644" t="str">
        <f>EUconst_CNTR_HeatImportEF &amp; I1301</f>
        <v>HeatImEF_</v>
      </c>
      <c r="S1515" s="1753" t="str">
        <f>EUconst_CNTR_AttributedEmissions &amp; I1301</f>
        <v>AttrEmissions_</v>
      </c>
      <c r="T1515" s="1743" t="str">
        <f t="shared" ref="T1515:Z1515" si="699">IF(T1309,SUM(H1514)*IF(ISNUMBER(H1515),H1515,EUconst_HeatBMvalue),"")</f>
        <v/>
      </c>
      <c r="U1515" s="1743" t="str">
        <f t="shared" si="699"/>
        <v/>
      </c>
      <c r="V1515" s="1743" t="str">
        <f t="shared" si="699"/>
        <v/>
      </c>
      <c r="W1515" s="1743" t="str">
        <f t="shared" si="699"/>
        <v/>
      </c>
      <c r="X1515" s="1743" t="str">
        <f t="shared" si="699"/>
        <v/>
      </c>
      <c r="Y1515" s="1743" t="str">
        <f t="shared" si="699"/>
        <v/>
      </c>
      <c r="Z1515" s="1744" t="str">
        <f t="shared" si="699"/>
        <v/>
      </c>
      <c r="AC1515" s="1443" t="b">
        <f>AC1514</f>
        <v>0</v>
      </c>
      <c r="AD1515" s="1443" t="b">
        <f t="shared" ref="AD1515:AI1515" si="700">AD1514</f>
        <v>0</v>
      </c>
      <c r="AE1515" s="1443" t="b">
        <f t="shared" si="700"/>
        <v>0</v>
      </c>
      <c r="AF1515" s="1443" t="b">
        <f t="shared" si="700"/>
        <v>0</v>
      </c>
      <c r="AG1515" s="1443" t="b">
        <f t="shared" si="700"/>
        <v>0</v>
      </c>
      <c r="AH1515" s="1443" t="b">
        <f t="shared" si="700"/>
        <v>0</v>
      </c>
      <c r="AI1515" s="1443" t="b">
        <f t="shared" si="700"/>
        <v>0</v>
      </c>
    </row>
    <row r="1516" spans="2:37" ht="5.0999999999999996" customHeight="1">
      <c r="B1516" s="479"/>
      <c r="C1516" s="977"/>
      <c r="D1516" s="981"/>
      <c r="E1516" s="981"/>
      <c r="F1516" s="981"/>
      <c r="G1516" s="981"/>
      <c r="H1516" s="981"/>
      <c r="I1516" s="981"/>
      <c r="J1516" s="1815"/>
      <c r="K1516" s="1760"/>
      <c r="L1516" s="1760"/>
      <c r="M1516" s="1760"/>
      <c r="N1516" s="1761"/>
      <c r="O1516" s="485"/>
      <c r="P1516" s="485"/>
      <c r="Q1516" s="1435"/>
      <c r="S1516" s="1435"/>
      <c r="T1516" s="1435"/>
      <c r="U1516" s="1435"/>
      <c r="V1516" s="1435"/>
    </row>
    <row r="1517" spans="2:37" ht="12.75" customHeight="1" thickBot="1">
      <c r="B1517" s="479"/>
      <c r="C1517" s="977"/>
      <c r="D1517" s="981"/>
      <c r="E1517" s="2648" t="s">
        <v>1406</v>
      </c>
      <c r="F1517" s="2493"/>
      <c r="G1517" s="987" t="str">
        <f>EUconst_Unit</f>
        <v>Unit</v>
      </c>
      <c r="H1517" s="782">
        <f t="shared" ref="H1517:N1517" si="701">H$3242</f>
        <v>2024</v>
      </c>
      <c r="I1517" s="988">
        <f t="shared" si="701"/>
        <v>2025</v>
      </c>
      <c r="J1517" s="1810">
        <f t="shared" si="701"/>
        <v>2026</v>
      </c>
      <c r="K1517" s="1747">
        <f t="shared" si="701"/>
        <v>2027</v>
      </c>
      <c r="L1517" s="1747">
        <f t="shared" si="701"/>
        <v>2028</v>
      </c>
      <c r="M1517" s="1747">
        <f t="shared" si="701"/>
        <v>2029</v>
      </c>
      <c r="N1517" s="1748">
        <f t="shared" si="701"/>
        <v>2030</v>
      </c>
      <c r="O1517" s="485"/>
      <c r="P1517" s="485"/>
      <c r="Q1517" s="1435"/>
      <c r="S1517" s="1435"/>
      <c r="T1517" s="1435"/>
      <c r="U1517" s="1435"/>
      <c r="V1517" s="1435"/>
      <c r="AC1517" s="1638">
        <f t="shared" ref="AC1517:AI1517" si="702">H$20</f>
        <v>2024</v>
      </c>
      <c r="AD1517" s="1638">
        <f t="shared" si="702"/>
        <v>2025</v>
      </c>
      <c r="AE1517" s="1638">
        <f t="shared" si="702"/>
        <v>2026</v>
      </c>
      <c r="AF1517" s="1638">
        <f t="shared" si="702"/>
        <v>2027</v>
      </c>
      <c r="AG1517" s="1638">
        <f t="shared" si="702"/>
        <v>2028</v>
      </c>
      <c r="AH1517" s="1638">
        <f t="shared" si="702"/>
        <v>2029</v>
      </c>
      <c r="AI1517" s="1638">
        <f t="shared" si="702"/>
        <v>2030</v>
      </c>
    </row>
    <row r="1518" spans="2:37" ht="12.75" customHeight="1">
      <c r="B1518" s="479"/>
      <c r="C1518" s="977"/>
      <c r="D1518" s="777" t="s">
        <v>8</v>
      </c>
      <c r="E1518" s="2475" t="s">
        <v>1556</v>
      </c>
      <c r="F1518" s="2410"/>
      <c r="G1518" s="815" t="str">
        <f>EUconst_TJpa</f>
        <v>TJ / year</v>
      </c>
      <c r="H1518" s="1762" t="str">
        <f>c_ALR2025!M4124</f>
        <v/>
      </c>
      <c r="I1518" s="1885"/>
      <c r="J1518" s="1811"/>
      <c r="K1518" s="1751"/>
      <c r="L1518" s="1751"/>
      <c r="M1518" s="1751"/>
      <c r="N1518" s="1752"/>
      <c r="O1518" s="485"/>
      <c r="P1518" s="9">
        <v>0</v>
      </c>
      <c r="Q1518" s="1644" t="str">
        <f>EUconst_CNTR_HeatImportPulp &amp; I1301</f>
        <v>HeatImPulp_</v>
      </c>
      <c r="S1518" s="1435"/>
      <c r="T1518" s="1435"/>
      <c r="U1518" s="1435"/>
      <c r="V1518" s="1435"/>
      <c r="AB1518" s="1641" t="s">
        <v>717</v>
      </c>
      <c r="AC1518" s="1443" t="b">
        <f>AC1371</f>
        <v>0</v>
      </c>
      <c r="AD1518" s="1443" t="b">
        <f t="shared" ref="AD1518:AI1518" si="703">AD1371</f>
        <v>0</v>
      </c>
      <c r="AE1518" s="1443" t="b">
        <f t="shared" si="703"/>
        <v>0</v>
      </c>
      <c r="AF1518" s="1443" t="b">
        <f t="shared" si="703"/>
        <v>0</v>
      </c>
      <c r="AG1518" s="1443" t="b">
        <f t="shared" si="703"/>
        <v>0</v>
      </c>
      <c r="AH1518" s="1443" t="b">
        <f t="shared" si="703"/>
        <v>0</v>
      </c>
      <c r="AI1518" s="1443" t="b">
        <f t="shared" si="703"/>
        <v>0</v>
      </c>
      <c r="AJ1518" s="1633" t="s">
        <v>1954</v>
      </c>
      <c r="AK1518" s="1635" t="str">
        <f>IF(AND(CNTR_ExistSubInstEntries,MSconst_RequireSubAttrEmissions,COUNTIFS(AC1518:AI1518,FALSE,H1518:N1518,"")&gt;0),EUconst_Error&amp;"BM"&amp;$Q1301,"")</f>
        <v/>
      </c>
    </row>
    <row r="1519" spans="2:37" ht="25.5" customHeight="1">
      <c r="B1519" s="479"/>
      <c r="C1519" s="977"/>
      <c r="D1519" s="777" t="s">
        <v>18</v>
      </c>
      <c r="E1519" s="2475" t="s">
        <v>1149</v>
      </c>
      <c r="F1519" s="2410"/>
      <c r="G1519" s="815" t="str">
        <f>EUconst_TJpa</f>
        <v>TJ / year</v>
      </c>
      <c r="H1519" s="1479" t="str">
        <f>c_ALR2025!M4125</f>
        <v/>
      </c>
      <c r="I1519" s="1532"/>
      <c r="J1519" s="1811"/>
      <c r="K1519" s="1751"/>
      <c r="L1519" s="1751"/>
      <c r="M1519" s="1751"/>
      <c r="N1519" s="1752"/>
      <c r="O1519" s="485"/>
      <c r="P1519" s="9">
        <v>0</v>
      </c>
      <c r="Q1519" s="1644" t="str">
        <f>EUconst_CNTR_HeatImportNitric &amp; I1301</f>
        <v>HeatImNitric_</v>
      </c>
      <c r="S1519" s="1435"/>
      <c r="T1519" s="1435"/>
      <c r="U1519" s="1435"/>
      <c r="V1519" s="1435"/>
      <c r="AC1519" s="1443" t="b">
        <f>AC1518</f>
        <v>0</v>
      </c>
      <c r="AD1519" s="1443" t="b">
        <f t="shared" ref="AD1519:AI1519" si="704">AD1518</f>
        <v>0</v>
      </c>
      <c r="AE1519" s="1443" t="b">
        <f t="shared" si="704"/>
        <v>0</v>
      </c>
      <c r="AF1519" s="1443" t="b">
        <f t="shared" si="704"/>
        <v>0</v>
      </c>
      <c r="AG1519" s="1443" t="b">
        <f t="shared" si="704"/>
        <v>0</v>
      </c>
      <c r="AH1519" s="1443" t="b">
        <f t="shared" si="704"/>
        <v>0</v>
      </c>
      <c r="AI1519" s="1443" t="b">
        <f t="shared" si="704"/>
        <v>0</v>
      </c>
      <c r="AJ1519" s="1633" t="s">
        <v>1954</v>
      </c>
      <c r="AK1519" s="1635" t="str">
        <f>IF(AND(CNTR_ExistSubInstEntries,MSconst_RequireSubAttrEmissions,COUNTIFS(AC1519:AI1519,FALSE,H1519:N1519,"")&gt;0),EUconst_Error&amp;"BM"&amp;$Q1301,"")</f>
        <v/>
      </c>
    </row>
    <row r="1520" spans="2:37" ht="5.0999999999999996" customHeight="1" thickBot="1">
      <c r="B1520" s="479"/>
      <c r="C1520" s="977"/>
      <c r="D1520" s="981"/>
      <c r="E1520" s="981"/>
      <c r="F1520" s="981"/>
      <c r="G1520" s="981"/>
      <c r="H1520" s="981"/>
      <c r="I1520" s="981"/>
      <c r="J1520" s="1815"/>
      <c r="K1520" s="1760"/>
      <c r="L1520" s="1760"/>
      <c r="M1520" s="1760"/>
      <c r="N1520" s="1761"/>
      <c r="O1520" s="485"/>
      <c r="P1520" s="485"/>
      <c r="Q1520" s="1435"/>
      <c r="S1520" s="1435"/>
      <c r="T1520" s="1435"/>
      <c r="U1520" s="1435"/>
      <c r="V1520" s="1435"/>
    </row>
    <row r="1521" spans="2:37" ht="12.75" customHeight="1" thickBot="1">
      <c r="B1521" s="479"/>
      <c r="C1521" s="977"/>
      <c r="D1521" s="981"/>
      <c r="E1521" s="2648" t="s">
        <v>1152</v>
      </c>
      <c r="F1521" s="2493"/>
      <c r="G1521" s="987" t="str">
        <f>EUconst_Unit</f>
        <v>Unit</v>
      </c>
      <c r="H1521" s="782">
        <f t="shared" ref="H1521:N1521" si="705">H$3242</f>
        <v>2024</v>
      </c>
      <c r="I1521" s="988">
        <f t="shared" si="705"/>
        <v>2025</v>
      </c>
      <c r="J1521" s="1810">
        <f t="shared" si="705"/>
        <v>2026</v>
      </c>
      <c r="K1521" s="1747">
        <f t="shared" si="705"/>
        <v>2027</v>
      </c>
      <c r="L1521" s="1747">
        <f t="shared" si="705"/>
        <v>2028</v>
      </c>
      <c r="M1521" s="1747">
        <f t="shared" si="705"/>
        <v>2029</v>
      </c>
      <c r="N1521" s="1748">
        <f t="shared" si="705"/>
        <v>2030</v>
      </c>
      <c r="O1521" s="485"/>
      <c r="P1521" s="485"/>
      <c r="Q1521" s="1435"/>
      <c r="S1521" s="1648"/>
      <c r="T1521" s="1749">
        <f t="shared" ref="T1521:Z1521" si="706">H1521</f>
        <v>2024</v>
      </c>
      <c r="U1521" s="1749">
        <f t="shared" si="706"/>
        <v>2025</v>
      </c>
      <c r="V1521" s="1749">
        <f t="shared" si="706"/>
        <v>2026</v>
      </c>
      <c r="W1521" s="1749">
        <f t="shared" si="706"/>
        <v>2027</v>
      </c>
      <c r="X1521" s="1749">
        <f t="shared" si="706"/>
        <v>2028</v>
      </c>
      <c r="Y1521" s="1749">
        <f t="shared" si="706"/>
        <v>2029</v>
      </c>
      <c r="Z1521" s="1750">
        <f t="shared" si="706"/>
        <v>2030</v>
      </c>
      <c r="AC1521" s="1638">
        <f t="shared" ref="AC1521:AI1521" si="707">H$20</f>
        <v>2024</v>
      </c>
      <c r="AD1521" s="1638">
        <f t="shared" si="707"/>
        <v>2025</v>
      </c>
      <c r="AE1521" s="1638">
        <f t="shared" si="707"/>
        <v>2026</v>
      </c>
      <c r="AF1521" s="1638">
        <f t="shared" si="707"/>
        <v>2027</v>
      </c>
      <c r="AG1521" s="1638">
        <f t="shared" si="707"/>
        <v>2028</v>
      </c>
      <c r="AH1521" s="1638">
        <f t="shared" si="707"/>
        <v>2029</v>
      </c>
      <c r="AI1521" s="1638">
        <f t="shared" si="707"/>
        <v>2030</v>
      </c>
    </row>
    <row r="1522" spans="2:37" ht="12.75" customHeight="1">
      <c r="B1522" s="479"/>
      <c r="C1522" s="977"/>
      <c r="D1522" s="777" t="s">
        <v>787</v>
      </c>
      <c r="E1522" s="2475" t="s">
        <v>1079</v>
      </c>
      <c r="F1522" s="2410"/>
      <c r="G1522" s="815" t="str">
        <f>EUconst_TJpa</f>
        <v>TJ / year</v>
      </c>
      <c r="H1522" s="1479" t="str">
        <f>c_ALR2025!M4128</f>
        <v/>
      </c>
      <c r="I1522" s="1532"/>
      <c r="J1522" s="1811"/>
      <c r="K1522" s="1751"/>
      <c r="L1522" s="1751"/>
      <c r="M1522" s="1751"/>
      <c r="N1522" s="1752"/>
      <c r="O1522" s="485"/>
      <c r="P1522" s="9">
        <v>0</v>
      </c>
      <c r="Q1522" s="1644" t="str">
        <f>EUconst_CNTR_HeatExport &amp; I1301</f>
        <v>HeatEx_</v>
      </c>
      <c r="S1522" s="1874" t="str">
        <f>EUconst_ERR_AttrEmBMapplied &amp; I1301</f>
        <v>ERR_AttrEmBM_</v>
      </c>
      <c r="T1522" s="1443">
        <f t="shared" ref="T1522:Z1522" si="708">IF(AND(H1522&lt;&gt;0,H1523="",EUconst_StatusOfDataCollection=FALSE),1,0)</f>
        <v>0</v>
      </c>
      <c r="U1522" s="1443">
        <f t="shared" si="708"/>
        <v>0</v>
      </c>
      <c r="V1522" s="1443">
        <f t="shared" si="708"/>
        <v>0</v>
      </c>
      <c r="W1522" s="1443">
        <f t="shared" si="708"/>
        <v>0</v>
      </c>
      <c r="X1522" s="1443">
        <f t="shared" si="708"/>
        <v>0</v>
      </c>
      <c r="Y1522" s="1443">
        <f t="shared" si="708"/>
        <v>0</v>
      </c>
      <c r="Z1522" s="1737">
        <f t="shared" si="708"/>
        <v>0</v>
      </c>
      <c r="AB1522" s="1641" t="s">
        <v>717</v>
      </c>
      <c r="AC1522" s="1443" t="b">
        <f>AC1518</f>
        <v>0</v>
      </c>
      <c r="AD1522" s="1443" t="b">
        <f t="shared" ref="AD1522:AI1522" si="709">AD1518</f>
        <v>0</v>
      </c>
      <c r="AE1522" s="1443" t="b">
        <f t="shared" si="709"/>
        <v>0</v>
      </c>
      <c r="AF1522" s="1443" t="b">
        <f t="shared" si="709"/>
        <v>0</v>
      </c>
      <c r="AG1522" s="1443" t="b">
        <f t="shared" si="709"/>
        <v>0</v>
      </c>
      <c r="AH1522" s="1443" t="b">
        <f t="shared" si="709"/>
        <v>0</v>
      </c>
      <c r="AI1522" s="1443" t="b">
        <f t="shared" si="709"/>
        <v>0</v>
      </c>
      <c r="AJ1522" s="1633" t="s">
        <v>1954</v>
      </c>
      <c r="AK1522" s="1635" t="str">
        <f>IF(AND(CNTR_ExistSubInstEntries,MSconst_RequireSubAttrEmissions,COUNTIFS(AC1522:AI1522,FALSE,H1522:N1522,"")&gt;0),EUconst_Error&amp;"BM"&amp;$Q1301,"")</f>
        <v/>
      </c>
    </row>
    <row r="1523" spans="2:37" ht="12.75" customHeight="1" thickBot="1">
      <c r="B1523" s="479"/>
      <c r="C1523" s="977"/>
      <c r="D1523" s="777" t="s">
        <v>788</v>
      </c>
      <c r="E1523" s="2475" t="s">
        <v>1104</v>
      </c>
      <c r="F1523" s="2410"/>
      <c r="G1523" s="815" t="str">
        <f>EUconst_tCO2pTJ</f>
        <v>t CO2 / TJ</v>
      </c>
      <c r="H1523" s="1479" t="str">
        <f>c_ALR2025!M4129</f>
        <v/>
      </c>
      <c r="I1523" s="1532"/>
      <c r="J1523" s="1811"/>
      <c r="K1523" s="1751"/>
      <c r="L1523" s="1751"/>
      <c r="M1523" s="1751"/>
      <c r="N1523" s="1752"/>
      <c r="O1523" s="485"/>
      <c r="P1523" s="9">
        <v>0</v>
      </c>
      <c r="Q1523" s="1644" t="str">
        <f>EUconst_CNTR_HeatExportEF &amp; I1301</f>
        <v>HeatExEF_</v>
      </c>
      <c r="S1523" s="1753" t="str">
        <f>EUconst_CNTR_AttributedEmissions &amp; I1301</f>
        <v>AttrEmissions_</v>
      </c>
      <c r="T1523" s="1743" t="str">
        <f t="shared" ref="T1523:Z1523" si="710">IF(T1309,-SUM(H1522)*IF(INDEX(EUconst_BMlistNumberOfBM,MATCH($I1301,EUconst_BMlistNames,0))=39,0,IF(ISNUMBER(H1523),H1523,EUconst_HeatBMvalue)),"")</f>
        <v/>
      </c>
      <c r="U1523" s="1743" t="str">
        <f t="shared" si="710"/>
        <v/>
      </c>
      <c r="V1523" s="1743" t="str">
        <f t="shared" si="710"/>
        <v/>
      </c>
      <c r="W1523" s="1743" t="str">
        <f t="shared" si="710"/>
        <v/>
      </c>
      <c r="X1523" s="1743" t="str">
        <f t="shared" si="710"/>
        <v/>
      </c>
      <c r="Y1523" s="1743" t="str">
        <f t="shared" si="710"/>
        <v/>
      </c>
      <c r="Z1523" s="1744" t="str">
        <f t="shared" si="710"/>
        <v/>
      </c>
      <c r="AC1523" s="1443" t="b">
        <f>AC1522</f>
        <v>0</v>
      </c>
      <c r="AD1523" s="1443" t="b">
        <f t="shared" ref="AD1523:AI1523" si="711">AD1522</f>
        <v>0</v>
      </c>
      <c r="AE1523" s="1443" t="b">
        <f t="shared" si="711"/>
        <v>0</v>
      </c>
      <c r="AF1523" s="1443" t="b">
        <f t="shared" si="711"/>
        <v>0</v>
      </c>
      <c r="AG1523" s="1443" t="b">
        <f t="shared" si="711"/>
        <v>0</v>
      </c>
      <c r="AH1523" s="1443" t="b">
        <f t="shared" si="711"/>
        <v>0</v>
      </c>
      <c r="AI1523" s="1443" t="b">
        <f t="shared" si="711"/>
        <v>0</v>
      </c>
    </row>
    <row r="1524" spans="2:37" ht="12.75" customHeight="1">
      <c r="B1524" s="479"/>
      <c r="C1524" s="977"/>
      <c r="D1524" s="981"/>
      <c r="E1524" s="981"/>
      <c r="F1524" s="981"/>
      <c r="G1524" s="981"/>
      <c r="H1524" s="981"/>
      <c r="I1524" s="981"/>
      <c r="J1524" s="981"/>
      <c r="K1524" s="981"/>
      <c r="L1524" s="981"/>
      <c r="M1524" s="813"/>
      <c r="N1524" s="814"/>
      <c r="O1524" s="485"/>
      <c r="P1524" s="485"/>
      <c r="Q1524" s="1435"/>
      <c r="S1524" s="1435"/>
      <c r="T1524" s="1435"/>
      <c r="U1524" s="1435"/>
      <c r="V1524" s="1435"/>
    </row>
    <row r="1525" spans="2:37" ht="12.75" customHeight="1">
      <c r="B1525" s="479"/>
      <c r="C1525" s="977"/>
      <c r="D1525" s="982" t="s">
        <v>481</v>
      </c>
      <c r="E1525" s="2649" t="s">
        <v>1312</v>
      </c>
      <c r="F1525" s="2391"/>
      <c r="G1525" s="2391"/>
      <c r="H1525" s="2391"/>
      <c r="I1525" s="2391"/>
      <c r="J1525" s="2391"/>
      <c r="K1525" s="2391"/>
      <c r="L1525" s="2391"/>
      <c r="M1525" s="2391"/>
      <c r="N1525" s="2650"/>
      <c r="O1525" s="485"/>
      <c r="P1525" s="485"/>
      <c r="Q1525" s="1435"/>
      <c r="S1525" s="1435"/>
      <c r="T1525" s="1435"/>
      <c r="U1525" s="1435"/>
      <c r="V1525" s="1435"/>
    </row>
    <row r="1526" spans="2:37" ht="5.0999999999999996" customHeight="1">
      <c r="B1526" s="479"/>
      <c r="C1526" s="977"/>
      <c r="D1526" s="981"/>
      <c r="E1526" s="986"/>
      <c r="F1526" s="986"/>
      <c r="G1526" s="986"/>
      <c r="H1526" s="986"/>
      <c r="I1526" s="986"/>
      <c r="J1526" s="986"/>
      <c r="K1526" s="986"/>
      <c r="L1526" s="986"/>
      <c r="M1526" s="986"/>
      <c r="N1526" s="1007"/>
      <c r="O1526" s="485"/>
      <c r="P1526" s="485"/>
      <c r="Q1526" s="1435"/>
      <c r="S1526" s="1435"/>
      <c r="T1526" s="1435"/>
      <c r="U1526" s="1435"/>
      <c r="V1526" s="1435"/>
    </row>
    <row r="1527" spans="2:37" ht="12.75" customHeight="1">
      <c r="B1527" s="479"/>
      <c r="C1527" s="977"/>
      <c r="D1527" s="777" t="s">
        <v>6</v>
      </c>
      <c r="E1527" s="2649" t="s">
        <v>1313</v>
      </c>
      <c r="F1527" s="2391"/>
      <c r="G1527" s="2391"/>
      <c r="H1527" s="2391"/>
      <c r="I1527" s="2391"/>
      <c r="J1527" s="2391"/>
      <c r="K1527" s="2512"/>
      <c r="L1527" s="1478" t="str">
        <f>c_ALR2025!L4133</f>
        <v/>
      </c>
      <c r="M1527" s="978"/>
      <c r="N1527" s="979"/>
      <c r="O1527" s="485"/>
      <c r="P1527" s="9">
        <v>0</v>
      </c>
      <c r="Q1527" s="1435"/>
      <c r="S1527" s="1435"/>
      <c r="AF1527" s="1641" t="s">
        <v>717</v>
      </c>
      <c r="AG1527" s="1423" t="b">
        <f>AND(CNTR_ExistSubInstEntries,I1301="")</f>
        <v>0</v>
      </c>
    </row>
    <row r="1528" spans="2:37" ht="12.75" customHeight="1">
      <c r="B1528" s="479"/>
      <c r="C1528" s="977"/>
      <c r="D1528" s="981"/>
      <c r="E1528" s="3267" t="s">
        <v>1314</v>
      </c>
      <c r="F1528" s="2380"/>
      <c r="G1528" s="2380"/>
      <c r="H1528" s="2380"/>
      <c r="I1528" s="2380"/>
      <c r="J1528" s="2380"/>
      <c r="K1528" s="2380"/>
      <c r="L1528" s="2380"/>
      <c r="M1528" s="2380"/>
      <c r="N1528" s="3268"/>
      <c r="O1528" s="485"/>
      <c r="P1528" s="485"/>
      <c r="Q1528" s="1435"/>
      <c r="S1528" s="1435"/>
    </row>
    <row r="1529" spans="2:37" ht="12.75" customHeight="1">
      <c r="B1529" s="479"/>
      <c r="C1529" s="977"/>
      <c r="D1529" s="777" t="s">
        <v>7</v>
      </c>
      <c r="E1529" s="2649" t="s">
        <v>1219</v>
      </c>
      <c r="F1529" s="2391"/>
      <c r="G1529" s="2391"/>
      <c r="H1529" s="2512"/>
      <c r="I1529" s="3211" t="str">
        <f>c_ALR2025!I4135</f>
        <v/>
      </c>
      <c r="J1529" s="3206"/>
      <c r="K1529" s="3206"/>
      <c r="L1529" s="3206"/>
      <c r="M1529" s="3207"/>
      <c r="N1529" s="979"/>
      <c r="O1529" s="485"/>
      <c r="P1529" s="9">
        <v>0</v>
      </c>
      <c r="Q1529" s="1435"/>
      <c r="S1529" s="1435"/>
      <c r="AC1529" s="1641" t="s">
        <v>717</v>
      </c>
      <c r="AD1529" s="1423" t="b">
        <f>OR(AG1527,AND($L1527&lt;&gt;"",$L1527=FALSE))</f>
        <v>0</v>
      </c>
    </row>
    <row r="1530" spans="2:37" ht="12.75" customHeight="1">
      <c r="B1530" s="479"/>
      <c r="C1530" s="977"/>
      <c r="D1530" s="981"/>
      <c r="E1530" s="3267" t="s">
        <v>1316</v>
      </c>
      <c r="F1530" s="2380"/>
      <c r="G1530" s="2380"/>
      <c r="H1530" s="2380"/>
      <c r="I1530" s="2380"/>
      <c r="J1530" s="2380"/>
      <c r="K1530" s="2380"/>
      <c r="L1530" s="2380"/>
      <c r="M1530" s="2380"/>
      <c r="N1530" s="3268"/>
      <c r="O1530" s="485"/>
      <c r="P1530" s="485"/>
      <c r="Q1530" s="1435"/>
      <c r="S1530" s="1435"/>
      <c r="T1530" s="1435"/>
      <c r="U1530" s="1435"/>
      <c r="V1530" s="1435"/>
    </row>
    <row r="1531" spans="2:37" ht="12.75" customHeight="1">
      <c r="B1531" s="479"/>
      <c r="C1531" s="977"/>
      <c r="D1531" s="981"/>
      <c r="E1531" s="3272" t="s">
        <v>1557</v>
      </c>
      <c r="F1531" s="2380"/>
      <c r="G1531" s="2380"/>
      <c r="H1531" s="2380"/>
      <c r="I1531" s="2380"/>
      <c r="J1531" s="2380"/>
      <c r="K1531" s="2380"/>
      <c r="L1531" s="2380"/>
      <c r="M1531" s="2380"/>
      <c r="N1531" s="3268"/>
      <c r="O1531" s="485"/>
      <c r="P1531" s="485"/>
      <c r="Q1531" s="1435"/>
      <c r="S1531" s="1435"/>
      <c r="T1531" s="1435"/>
      <c r="U1531" s="1435"/>
      <c r="V1531" s="1435"/>
    </row>
    <row r="1532" spans="2:37" ht="12.75" customHeight="1" thickBot="1">
      <c r="B1532" s="479"/>
      <c r="C1532" s="977"/>
      <c r="D1532" s="981"/>
      <c r="E1532" s="989"/>
      <c r="F1532" s="990"/>
      <c r="G1532" s="987" t="str">
        <f>EUconst_Unit</f>
        <v>Unit</v>
      </c>
      <c r="H1532" s="782">
        <f t="shared" ref="H1532:N1532" si="712">H$3242</f>
        <v>2024</v>
      </c>
      <c r="I1532" s="988">
        <f t="shared" si="712"/>
        <v>2025</v>
      </c>
      <c r="J1532" s="1810">
        <f t="shared" si="712"/>
        <v>2026</v>
      </c>
      <c r="K1532" s="1747">
        <f t="shared" si="712"/>
        <v>2027</v>
      </c>
      <c r="L1532" s="1747">
        <f t="shared" si="712"/>
        <v>2028</v>
      </c>
      <c r="M1532" s="1747">
        <f t="shared" si="712"/>
        <v>2029</v>
      </c>
      <c r="N1532" s="1748">
        <f t="shared" si="712"/>
        <v>2030</v>
      </c>
      <c r="O1532" s="485"/>
      <c r="P1532" s="485"/>
      <c r="Q1532" s="1435"/>
      <c r="S1532" s="1435"/>
      <c r="T1532" s="1435"/>
      <c r="U1532" s="1435"/>
      <c r="V1532" s="1435"/>
      <c r="AC1532" s="1638">
        <f t="shared" ref="AC1532:AI1532" si="713">H$20</f>
        <v>2024</v>
      </c>
      <c r="AD1532" s="1638">
        <f t="shared" si="713"/>
        <v>2025</v>
      </c>
      <c r="AE1532" s="1638">
        <f t="shared" si="713"/>
        <v>2026</v>
      </c>
      <c r="AF1532" s="1638">
        <f t="shared" si="713"/>
        <v>2027</v>
      </c>
      <c r="AG1532" s="1638">
        <f t="shared" si="713"/>
        <v>2028</v>
      </c>
      <c r="AH1532" s="1638">
        <f t="shared" si="713"/>
        <v>2029</v>
      </c>
      <c r="AI1532" s="1638">
        <f t="shared" si="713"/>
        <v>2030</v>
      </c>
    </row>
    <row r="1533" spans="2:37" ht="12.75" customHeight="1">
      <c r="B1533" s="479"/>
      <c r="C1533" s="977"/>
      <c r="D1533" s="777" t="s">
        <v>8</v>
      </c>
      <c r="E1533" s="2471" t="s">
        <v>1305</v>
      </c>
      <c r="F1533" s="2472"/>
      <c r="G1533" s="1763" t="str">
        <f>c_ALR2025!G4139</f>
        <v/>
      </c>
      <c r="H1533" s="1552" t="str">
        <f>c_ALR2025!M4139</f>
        <v/>
      </c>
      <c r="I1533" s="1611"/>
      <c r="J1533" s="1811"/>
      <c r="K1533" s="1751"/>
      <c r="L1533" s="1751"/>
      <c r="M1533" s="1751"/>
      <c r="N1533" s="1752"/>
      <c r="O1533" s="485"/>
      <c r="P1533" s="9">
        <v>0</v>
      </c>
      <c r="Q1533" s="1435"/>
      <c r="S1533" s="1435"/>
      <c r="T1533" s="1435"/>
      <c r="U1533" s="1435"/>
      <c r="V1533" s="1435"/>
      <c r="AB1533" s="1641" t="s">
        <v>717</v>
      </c>
      <c r="AC1533" s="1423" t="b">
        <f>OR(AND($L1527&lt;&gt;"",$L1527=FALSE),AC1371)</f>
        <v>0</v>
      </c>
      <c r="AD1533" s="1443" t="b">
        <f t="shared" ref="AD1533:AI1533" si="714">OR(AND($L1527&lt;&gt;"",$L1527=FALSE),AD1371)</f>
        <v>0</v>
      </c>
      <c r="AE1533" s="1443" t="b">
        <f t="shared" si="714"/>
        <v>0</v>
      </c>
      <c r="AF1533" s="1443" t="b">
        <f t="shared" si="714"/>
        <v>0</v>
      </c>
      <c r="AG1533" s="1443" t="b">
        <f t="shared" si="714"/>
        <v>0</v>
      </c>
      <c r="AH1533" s="1443" t="b">
        <f t="shared" si="714"/>
        <v>0</v>
      </c>
      <c r="AI1533" s="1443" t="b">
        <f t="shared" si="714"/>
        <v>0</v>
      </c>
      <c r="AJ1533" s="1633" t="s">
        <v>1954</v>
      </c>
      <c r="AK1533" s="1635" t="str">
        <f>IF(AND(CNTR_ExistSubInstEntries,MSconst_RequireSubAttrEmissions,COUNTIFS(AC1533:AI1533,FALSE,H1533:N1533,"")&gt;0),EUconst_Error&amp;"BM"&amp;$Q1301,"")</f>
        <v/>
      </c>
    </row>
    <row r="1534" spans="2:37" ht="12.75" customHeight="1">
      <c r="B1534" s="479"/>
      <c r="C1534" s="977"/>
      <c r="D1534" s="777" t="s">
        <v>18</v>
      </c>
      <c r="E1534" s="2473" t="s">
        <v>661</v>
      </c>
      <c r="F1534" s="2474"/>
      <c r="G1534" s="1008" t="e">
        <f>IF(ISBLANK(G1533),EUconst_GJperUnit,INDEX(EUconst_GJperTorKNm3,MATCH(G1533,EUconst_TonnesOrkNm3pa,0)))</f>
        <v>#N/A</v>
      </c>
      <c r="H1534" s="1558" t="str">
        <f>c_ALR2025!M4140</f>
        <v/>
      </c>
      <c r="I1534" s="1884"/>
      <c r="J1534" s="1811"/>
      <c r="K1534" s="1751"/>
      <c r="L1534" s="1751"/>
      <c r="M1534" s="1751"/>
      <c r="N1534" s="1752"/>
      <c r="O1534" s="485"/>
      <c r="P1534" s="9">
        <v>0</v>
      </c>
      <c r="S1534" s="1435"/>
      <c r="T1534" s="1435"/>
      <c r="U1534" s="1435"/>
      <c r="V1534" s="1435"/>
      <c r="W1534" s="1435"/>
      <c r="X1534" s="1435"/>
      <c r="Y1534" s="1435"/>
      <c r="Z1534" s="1435"/>
      <c r="AC1534" s="1443" t="b">
        <f>AC1533</f>
        <v>0</v>
      </c>
      <c r="AD1534" s="1443" t="b">
        <f t="shared" ref="AD1534:AI1534" si="715">AD1533</f>
        <v>0</v>
      </c>
      <c r="AE1534" s="1443" t="b">
        <f t="shared" si="715"/>
        <v>0</v>
      </c>
      <c r="AF1534" s="1443" t="b">
        <f t="shared" si="715"/>
        <v>0</v>
      </c>
      <c r="AG1534" s="1443" t="b">
        <f t="shared" si="715"/>
        <v>0</v>
      </c>
      <c r="AH1534" s="1443" t="b">
        <f t="shared" si="715"/>
        <v>0</v>
      </c>
      <c r="AI1534" s="1443" t="b">
        <f t="shared" si="715"/>
        <v>0</v>
      </c>
      <c r="AJ1534" s="1633" t="s">
        <v>1954</v>
      </c>
      <c r="AK1534" s="1635" t="str">
        <f>IF(AND(CNTR_ExistSubInstEntries,MSconst_RequireSubAttrEmissions,COUNTIFS(AC1534:AI1534,FALSE,H1534:N1534,"")&gt;0),EUconst_Error&amp;"BM"&amp;$Q1301,"")</f>
        <v/>
      </c>
    </row>
    <row r="1535" spans="2:37" ht="12.75" customHeight="1">
      <c r="B1535" s="479"/>
      <c r="C1535" s="977"/>
      <c r="D1535" s="777" t="s">
        <v>787</v>
      </c>
      <c r="E1535" s="2475" t="s">
        <v>1141</v>
      </c>
      <c r="F1535" s="2410"/>
      <c r="G1535" s="815" t="str">
        <f>EUconst_TJpa</f>
        <v>TJ / year</v>
      </c>
      <c r="H1535" s="1005" t="str">
        <f t="shared" ref="H1535:N1535" si="716">IF(COUNT(H1533:H1534)=2,H1533*H1534/1000,"")</f>
        <v/>
      </c>
      <c r="I1535" s="1006" t="str">
        <f t="shared" si="716"/>
        <v/>
      </c>
      <c r="J1535" s="1811" t="str">
        <f t="shared" si="716"/>
        <v/>
      </c>
      <c r="K1535" s="1751" t="str">
        <f t="shared" si="716"/>
        <v/>
      </c>
      <c r="L1535" s="1751" t="str">
        <f t="shared" si="716"/>
        <v/>
      </c>
      <c r="M1535" s="1751" t="str">
        <f t="shared" si="716"/>
        <v/>
      </c>
      <c r="N1535" s="1752" t="str">
        <f t="shared" si="716"/>
        <v/>
      </c>
      <c r="O1535" s="485"/>
      <c r="P1535" s="485"/>
      <c r="Q1535" s="1644" t="str">
        <f>EUconst_CNTR_WGProduced &amp; I1301</f>
        <v>WasteGasProd_</v>
      </c>
      <c r="S1535" s="1435"/>
      <c r="T1535" s="1435"/>
      <c r="U1535" s="1435"/>
      <c r="V1535" s="1435"/>
      <c r="W1535" s="1435"/>
      <c r="X1535" s="1435"/>
      <c r="Y1535" s="1435"/>
      <c r="Z1535" s="1435"/>
    </row>
    <row r="1536" spans="2:37" ht="12.75" customHeight="1">
      <c r="B1536" s="479"/>
      <c r="C1536" s="977"/>
      <c r="D1536" s="777" t="s">
        <v>788</v>
      </c>
      <c r="E1536" s="2475" t="s">
        <v>1258</v>
      </c>
      <c r="F1536" s="2410"/>
      <c r="G1536" s="815" t="str">
        <f>EUconst_tCO2pTJ</f>
        <v>t CO2 / TJ</v>
      </c>
      <c r="H1536" s="1479" t="str">
        <f>c_ALR2025!M4142</f>
        <v/>
      </c>
      <c r="I1536" s="1532"/>
      <c r="J1536" s="1811"/>
      <c r="K1536" s="1751"/>
      <c r="L1536" s="1751"/>
      <c r="M1536" s="1751"/>
      <c r="N1536" s="1752"/>
      <c r="O1536" s="485"/>
      <c r="P1536" s="9">
        <v>0</v>
      </c>
      <c r="Q1536" s="1644" t="str">
        <f>EUconst_CNTR_WGProducedEF &amp; I1301</f>
        <v>WasteGasProdEF_</v>
      </c>
      <c r="S1536" s="1435"/>
      <c r="T1536" s="1435"/>
      <c r="U1536" s="1435"/>
      <c r="V1536" s="1435"/>
      <c r="W1536" s="1435"/>
      <c r="X1536" s="1435"/>
      <c r="Y1536" s="1435"/>
      <c r="Z1536" s="1435"/>
      <c r="AB1536" s="1641" t="s">
        <v>717</v>
      </c>
      <c r="AC1536" s="1443" t="b">
        <f>AC1534</f>
        <v>0</v>
      </c>
      <c r="AD1536" s="1443" t="b">
        <f t="shared" ref="AD1536:AI1536" si="717">AD1534</f>
        <v>0</v>
      </c>
      <c r="AE1536" s="1443" t="b">
        <f t="shared" si="717"/>
        <v>0</v>
      </c>
      <c r="AF1536" s="1443" t="b">
        <f t="shared" si="717"/>
        <v>0</v>
      </c>
      <c r="AG1536" s="1443" t="b">
        <f t="shared" si="717"/>
        <v>0</v>
      </c>
      <c r="AH1536" s="1443" t="b">
        <f t="shared" si="717"/>
        <v>0</v>
      </c>
      <c r="AI1536" s="1443" t="b">
        <f t="shared" si="717"/>
        <v>0</v>
      </c>
      <c r="AJ1536" s="1633" t="s">
        <v>1954</v>
      </c>
      <c r="AK1536" s="1635" t="str">
        <f>IF(AND(CNTR_ExistSubInstEntries,MSconst_RequireSubAttrEmissions,COUNTIFS(AC1536:AI1536,FALSE,H1536:N1536,"")&gt;0),EUconst_Error&amp;"BM"&amp;$Q1301,"")</f>
        <v/>
      </c>
    </row>
    <row r="1537" spans="2:37" ht="12.75" customHeight="1">
      <c r="B1537" s="479"/>
      <c r="C1537" s="977"/>
      <c r="D1537" s="981"/>
      <c r="E1537" s="981"/>
      <c r="F1537" s="981"/>
      <c r="G1537" s="981"/>
      <c r="H1537" s="983"/>
      <c r="I1537" s="981"/>
      <c r="J1537" s="981"/>
      <c r="K1537" s="981"/>
      <c r="L1537" s="981"/>
      <c r="M1537" s="813"/>
      <c r="N1537" s="814"/>
      <c r="O1537" s="485"/>
      <c r="P1537" s="485"/>
      <c r="Q1537" s="1435"/>
      <c r="S1537" s="1435"/>
      <c r="T1537" s="1435"/>
      <c r="U1537" s="1435"/>
      <c r="V1537" s="1435"/>
      <c r="W1537" s="1435"/>
      <c r="X1537" s="1435"/>
      <c r="Y1537" s="1435"/>
      <c r="Z1537" s="1435"/>
    </row>
    <row r="1538" spans="2:37" ht="12.75" customHeight="1">
      <c r="B1538" s="479"/>
      <c r="C1538" s="977"/>
      <c r="D1538" s="777" t="s">
        <v>789</v>
      </c>
      <c r="E1538" s="2649" t="s">
        <v>1301</v>
      </c>
      <c r="F1538" s="2391"/>
      <c r="G1538" s="2391"/>
      <c r="H1538" s="2512"/>
      <c r="I1538" s="3211" t="str">
        <f>c_ALR2025!I4144</f>
        <v/>
      </c>
      <c r="J1538" s="3206"/>
      <c r="K1538" s="3206"/>
      <c r="L1538" s="3206"/>
      <c r="M1538" s="3207"/>
      <c r="N1538" s="979"/>
      <c r="O1538" s="485"/>
      <c r="P1538" s="9">
        <v>0</v>
      </c>
      <c r="Q1538" s="1435"/>
      <c r="S1538" s="1435"/>
      <c r="T1538" s="1435"/>
      <c r="U1538" s="1435"/>
      <c r="V1538" s="1435"/>
      <c r="W1538" s="1435"/>
      <c r="X1538" s="1435"/>
      <c r="Y1538" s="1435"/>
      <c r="Z1538" s="1435"/>
      <c r="AC1538" s="1641" t="s">
        <v>717</v>
      </c>
      <c r="AD1538" s="1443" t="b">
        <f>AD1529</f>
        <v>0</v>
      </c>
    </row>
    <row r="1539" spans="2:37" ht="25.5" customHeight="1">
      <c r="B1539" s="479"/>
      <c r="C1539" s="977"/>
      <c r="D1539" s="777"/>
      <c r="E1539" s="3267" t="s">
        <v>1606</v>
      </c>
      <c r="F1539" s="2380"/>
      <c r="G1539" s="2380"/>
      <c r="H1539" s="2380"/>
      <c r="I1539" s="2380"/>
      <c r="J1539" s="2380"/>
      <c r="K1539" s="2380"/>
      <c r="L1539" s="2380"/>
      <c r="M1539" s="2380"/>
      <c r="N1539" s="3268"/>
      <c r="O1539" s="485"/>
      <c r="P1539" s="485"/>
      <c r="Q1539" s="1435"/>
      <c r="S1539" s="1435"/>
      <c r="T1539" s="1435"/>
      <c r="U1539" s="1435"/>
      <c r="V1539" s="1435"/>
      <c r="W1539" s="1435"/>
      <c r="X1539" s="1435"/>
      <c r="Y1539" s="1435"/>
      <c r="Z1539" s="1435"/>
    </row>
    <row r="1540" spans="2:37" ht="12.75" customHeight="1">
      <c r="B1540" s="479"/>
      <c r="C1540" s="977"/>
      <c r="D1540" s="981"/>
      <c r="E1540" s="3272" t="s">
        <v>1557</v>
      </c>
      <c r="F1540" s="2380"/>
      <c r="G1540" s="2380"/>
      <c r="H1540" s="2380"/>
      <c r="I1540" s="2380"/>
      <c r="J1540" s="2380"/>
      <c r="K1540" s="2380"/>
      <c r="L1540" s="2380"/>
      <c r="M1540" s="2380"/>
      <c r="N1540" s="3268"/>
      <c r="O1540" s="485"/>
      <c r="P1540" s="485"/>
      <c r="Q1540" s="1435"/>
      <c r="S1540" s="1435"/>
      <c r="T1540" s="1435"/>
      <c r="U1540" s="1435"/>
      <c r="V1540" s="1435"/>
      <c r="W1540" s="1435"/>
      <c r="X1540" s="1435"/>
      <c r="Y1540" s="1435"/>
      <c r="Z1540" s="1435"/>
    </row>
    <row r="1541" spans="2:37" ht="12.75" customHeight="1" thickBot="1">
      <c r="B1541" s="479"/>
      <c r="C1541" s="977"/>
      <c r="D1541" s="981"/>
      <c r="E1541" s="989"/>
      <c r="F1541" s="990"/>
      <c r="G1541" s="987" t="str">
        <f>EUconst_Unit</f>
        <v>Unit</v>
      </c>
      <c r="H1541" s="782">
        <f t="shared" ref="H1541:N1541" si="718">H$3242</f>
        <v>2024</v>
      </c>
      <c r="I1541" s="988">
        <f t="shared" si="718"/>
        <v>2025</v>
      </c>
      <c r="J1541" s="1810">
        <f t="shared" si="718"/>
        <v>2026</v>
      </c>
      <c r="K1541" s="1747">
        <f t="shared" si="718"/>
        <v>2027</v>
      </c>
      <c r="L1541" s="1747">
        <f t="shared" si="718"/>
        <v>2028</v>
      </c>
      <c r="M1541" s="1747">
        <f t="shared" si="718"/>
        <v>2029</v>
      </c>
      <c r="N1541" s="1748">
        <f t="shared" si="718"/>
        <v>2030</v>
      </c>
      <c r="O1541" s="485"/>
      <c r="P1541" s="485"/>
      <c r="Q1541" s="1435"/>
      <c r="S1541" s="1435"/>
      <c r="T1541" s="1435"/>
      <c r="U1541" s="1435"/>
      <c r="V1541" s="1435"/>
      <c r="W1541" s="1435"/>
      <c r="X1541" s="1435"/>
      <c r="Y1541" s="1435"/>
      <c r="Z1541" s="1435"/>
      <c r="AC1541" s="1638">
        <f t="shared" ref="AC1541:AI1541" si="719">H$20</f>
        <v>2024</v>
      </c>
      <c r="AD1541" s="1638">
        <f t="shared" si="719"/>
        <v>2025</v>
      </c>
      <c r="AE1541" s="1638">
        <f t="shared" si="719"/>
        <v>2026</v>
      </c>
      <c r="AF1541" s="1638">
        <f t="shared" si="719"/>
        <v>2027</v>
      </c>
      <c r="AG1541" s="1638">
        <f t="shared" si="719"/>
        <v>2028</v>
      </c>
      <c r="AH1541" s="1638">
        <f t="shared" si="719"/>
        <v>2029</v>
      </c>
      <c r="AI1541" s="1638">
        <f t="shared" si="719"/>
        <v>2030</v>
      </c>
    </row>
    <row r="1542" spans="2:37" ht="12.75" customHeight="1">
      <c r="B1542" s="479"/>
      <c r="C1542" s="977"/>
      <c r="D1542" s="777" t="s">
        <v>790</v>
      </c>
      <c r="E1542" s="2471" t="s">
        <v>1306</v>
      </c>
      <c r="F1542" s="2472"/>
      <c r="G1542" s="1763" t="str">
        <f>c_ALR2025!G4148</f>
        <v/>
      </c>
      <c r="H1542" s="1552" t="str">
        <f>c_ALR2025!M4148</f>
        <v/>
      </c>
      <c r="I1542" s="1611"/>
      <c r="J1542" s="1811"/>
      <c r="K1542" s="1751"/>
      <c r="L1542" s="1751"/>
      <c r="M1542" s="1751"/>
      <c r="N1542" s="1752"/>
      <c r="O1542" s="485"/>
      <c r="P1542" s="9">
        <v>0</v>
      </c>
      <c r="Q1542" s="1435"/>
      <c r="S1542" s="1435"/>
      <c r="T1542" s="1435"/>
      <c r="U1542" s="1435"/>
      <c r="V1542" s="1435"/>
      <c r="W1542" s="1435"/>
      <c r="X1542" s="1435"/>
      <c r="Y1542" s="1435"/>
      <c r="Z1542" s="1435"/>
      <c r="AB1542" s="1641" t="s">
        <v>717</v>
      </c>
      <c r="AC1542" s="1443" t="b">
        <f>AC1533</f>
        <v>0</v>
      </c>
      <c r="AD1542" s="1443" t="b">
        <f t="shared" ref="AD1542:AI1542" si="720">AD1533</f>
        <v>0</v>
      </c>
      <c r="AE1542" s="1443" t="b">
        <f t="shared" si="720"/>
        <v>0</v>
      </c>
      <c r="AF1542" s="1443" t="b">
        <f t="shared" si="720"/>
        <v>0</v>
      </c>
      <c r="AG1542" s="1443" t="b">
        <f t="shared" si="720"/>
        <v>0</v>
      </c>
      <c r="AH1542" s="1443" t="b">
        <f t="shared" si="720"/>
        <v>0</v>
      </c>
      <c r="AI1542" s="1443" t="b">
        <f t="shared" si="720"/>
        <v>0</v>
      </c>
      <c r="AJ1542" s="1633" t="s">
        <v>1954</v>
      </c>
      <c r="AK1542" s="1635" t="str">
        <f>IF(AND(CNTR_ExistSubInstEntries,MSconst_RequireSubAttrEmissions,COUNTIFS(AC1542:AI1542,FALSE,H1542:N1542,"")&gt;0),EUconst_Error&amp;"BM"&amp;$Q1301,"")</f>
        <v/>
      </c>
    </row>
    <row r="1543" spans="2:37" ht="12.75" customHeight="1">
      <c r="B1543" s="479"/>
      <c r="C1543" s="977"/>
      <c r="D1543" s="777" t="s">
        <v>791</v>
      </c>
      <c r="E1543" s="2473" t="s">
        <v>661</v>
      </c>
      <c r="F1543" s="2474"/>
      <c r="G1543" s="1008" t="e">
        <f>IF(ISBLANK(G1542),EUconst_GJperUnit,INDEX(EUconst_GJperTorKNm3,MATCH(G1542,EUconst_TonnesOrkNm3pa,0)))</f>
        <v>#N/A</v>
      </c>
      <c r="H1543" s="1558" t="str">
        <f>c_ALR2025!M4149</f>
        <v/>
      </c>
      <c r="I1543" s="1884"/>
      <c r="J1543" s="1811"/>
      <c r="K1543" s="1751"/>
      <c r="L1543" s="1751"/>
      <c r="M1543" s="1751"/>
      <c r="N1543" s="1752"/>
      <c r="O1543" s="485"/>
      <c r="P1543" s="9">
        <v>0</v>
      </c>
      <c r="S1543" s="1435"/>
      <c r="T1543" s="1435"/>
      <c r="U1543" s="1435"/>
      <c r="V1543" s="1435"/>
      <c r="W1543" s="1435"/>
      <c r="X1543" s="1435"/>
      <c r="Y1543" s="1435"/>
      <c r="Z1543" s="1435"/>
      <c r="AC1543" s="1443" t="b">
        <f>AC1542</f>
        <v>0</v>
      </c>
      <c r="AD1543" s="1443" t="b">
        <f t="shared" ref="AD1543:AI1543" si="721">AD1542</f>
        <v>0</v>
      </c>
      <c r="AE1543" s="1443" t="b">
        <f t="shared" si="721"/>
        <v>0</v>
      </c>
      <c r="AF1543" s="1443" t="b">
        <f t="shared" si="721"/>
        <v>0</v>
      </c>
      <c r="AG1543" s="1443" t="b">
        <f t="shared" si="721"/>
        <v>0</v>
      </c>
      <c r="AH1543" s="1443" t="b">
        <f t="shared" si="721"/>
        <v>0</v>
      </c>
      <c r="AI1543" s="1443" t="b">
        <f t="shared" si="721"/>
        <v>0</v>
      </c>
      <c r="AJ1543" s="1633" t="s">
        <v>1954</v>
      </c>
      <c r="AK1543" s="1635" t="str">
        <f>IF(AND(CNTR_ExistSubInstEntries,MSconst_RequireSubAttrEmissions,COUNTIFS(AC1543:AI1543,FALSE,H1543:N1543,"")&gt;0),EUconst_Error&amp;"BM"&amp;$Q1301,"")</f>
        <v/>
      </c>
    </row>
    <row r="1544" spans="2:37" ht="12.75" customHeight="1">
      <c r="B1544" s="479"/>
      <c r="C1544" s="977"/>
      <c r="D1544" s="777" t="s">
        <v>64</v>
      </c>
      <c r="E1544" s="2475" t="s">
        <v>1309</v>
      </c>
      <c r="F1544" s="2410"/>
      <c r="G1544" s="815" t="str">
        <f>EUconst_TJpa</f>
        <v>TJ / year</v>
      </c>
      <c r="H1544" s="1005" t="str">
        <f t="shared" ref="H1544:N1544" si="722">IF(COUNT(H1542:H1543)=2,H1542*H1543/1000,"")</f>
        <v/>
      </c>
      <c r="I1544" s="1006" t="str">
        <f t="shared" si="722"/>
        <v/>
      </c>
      <c r="J1544" s="1811" t="str">
        <f t="shared" si="722"/>
        <v/>
      </c>
      <c r="K1544" s="1751" t="str">
        <f t="shared" si="722"/>
        <v/>
      </c>
      <c r="L1544" s="1751" t="str">
        <f t="shared" si="722"/>
        <v/>
      </c>
      <c r="M1544" s="1751" t="str">
        <f t="shared" si="722"/>
        <v/>
      </c>
      <c r="N1544" s="1752" t="str">
        <f t="shared" si="722"/>
        <v/>
      </c>
      <c r="O1544" s="485"/>
      <c r="P1544" s="485"/>
      <c r="Q1544" s="1644" t="str">
        <f>EUconst_CNTR_WGConsumed &amp; I1301</f>
        <v>WasteGasCons_</v>
      </c>
      <c r="S1544" s="1435"/>
      <c r="T1544" s="1435"/>
      <c r="U1544" s="1435"/>
      <c r="V1544" s="1435"/>
      <c r="W1544" s="1435"/>
      <c r="X1544" s="1435"/>
      <c r="Y1544" s="1435"/>
      <c r="Z1544" s="1435"/>
    </row>
    <row r="1545" spans="2:37" ht="12.75" customHeight="1">
      <c r="B1545" s="479"/>
      <c r="C1545" s="977"/>
      <c r="D1545" s="777" t="s">
        <v>65</v>
      </c>
      <c r="E1545" s="2475" t="s">
        <v>1307</v>
      </c>
      <c r="F1545" s="2410"/>
      <c r="G1545" s="815" t="str">
        <f>EUconst_tCO2pTJ</f>
        <v>t CO2 / TJ</v>
      </c>
      <c r="H1545" s="1479" t="str">
        <f>c_ALR2025!M4151</f>
        <v/>
      </c>
      <c r="I1545" s="1532"/>
      <c r="J1545" s="1811"/>
      <c r="K1545" s="1751"/>
      <c r="L1545" s="1751"/>
      <c r="M1545" s="1751"/>
      <c r="N1545" s="1752"/>
      <c r="O1545" s="485"/>
      <c r="P1545" s="9">
        <v>0</v>
      </c>
      <c r="Q1545" s="1644" t="str">
        <f>EUconst_CNTR_WGConsumedEF &amp; I1301</f>
        <v>WasteGasConsEF_</v>
      </c>
      <c r="S1545" s="1435"/>
      <c r="T1545" s="1435"/>
      <c r="U1545" s="1435"/>
      <c r="V1545" s="1435"/>
      <c r="W1545" s="1435"/>
      <c r="X1545" s="1435"/>
      <c r="Y1545" s="1435"/>
      <c r="Z1545" s="1435"/>
      <c r="AB1545" s="1641" t="s">
        <v>717</v>
      </c>
      <c r="AC1545" s="1443" t="b">
        <f>AC1543</f>
        <v>0</v>
      </c>
      <c r="AD1545" s="1443" t="b">
        <f t="shared" ref="AD1545:AI1545" si="723">AD1543</f>
        <v>0</v>
      </c>
      <c r="AE1545" s="1443" t="b">
        <f t="shared" si="723"/>
        <v>0</v>
      </c>
      <c r="AF1545" s="1443" t="b">
        <f t="shared" si="723"/>
        <v>0</v>
      </c>
      <c r="AG1545" s="1443" t="b">
        <f t="shared" si="723"/>
        <v>0</v>
      </c>
      <c r="AH1545" s="1443" t="b">
        <f t="shared" si="723"/>
        <v>0</v>
      </c>
      <c r="AI1545" s="1443" t="b">
        <f t="shared" si="723"/>
        <v>0</v>
      </c>
      <c r="AJ1545" s="1633" t="s">
        <v>1954</v>
      </c>
      <c r="AK1545" s="1635" t="str">
        <f>IF(AND(CNTR_ExistSubInstEntries,MSconst_RequireSubAttrEmissions,COUNTIFS(AC1545:AI1545,FALSE,H1545:N1545,"")&gt;0),EUconst_Error&amp;"BM"&amp;$Q1301,"")</f>
        <v/>
      </c>
    </row>
    <row r="1546" spans="2:37" ht="12.75" customHeight="1">
      <c r="B1546" s="479"/>
      <c r="C1546" s="977"/>
      <c r="D1546" s="981"/>
      <c r="E1546" s="981"/>
      <c r="F1546" s="981"/>
      <c r="G1546" s="981"/>
      <c r="H1546" s="983"/>
      <c r="I1546" s="981"/>
      <c r="J1546" s="981"/>
      <c r="K1546" s="981"/>
      <c r="L1546" s="981"/>
      <c r="M1546" s="813"/>
      <c r="N1546" s="814"/>
      <c r="O1546" s="485"/>
      <c r="P1546" s="485"/>
      <c r="Q1546" s="1435"/>
      <c r="S1546" s="1435"/>
      <c r="T1546" s="1435"/>
      <c r="U1546" s="1435"/>
      <c r="V1546" s="1435"/>
    </row>
    <row r="1547" spans="2:37" ht="12.75" customHeight="1">
      <c r="B1547" s="479"/>
      <c r="C1547" s="977"/>
      <c r="D1547" s="777" t="s">
        <v>66</v>
      </c>
      <c r="E1547" s="2649" t="s">
        <v>1287</v>
      </c>
      <c r="F1547" s="2391"/>
      <c r="G1547" s="2391"/>
      <c r="H1547" s="2512"/>
      <c r="I1547" s="3211" t="str">
        <f>c_ALR2025!I4153</f>
        <v/>
      </c>
      <c r="J1547" s="3206"/>
      <c r="K1547" s="3206"/>
      <c r="L1547" s="3206"/>
      <c r="M1547" s="3207"/>
      <c r="N1547" s="979"/>
      <c r="O1547" s="485"/>
      <c r="P1547" s="9">
        <v>0</v>
      </c>
      <c r="Q1547" s="1435"/>
      <c r="S1547" s="1435"/>
      <c r="AC1547" s="1641" t="s">
        <v>717</v>
      </c>
      <c r="AD1547" s="1443" t="b">
        <f>AD1538</f>
        <v>0</v>
      </c>
    </row>
    <row r="1548" spans="2:37" ht="12.75" customHeight="1">
      <c r="B1548" s="479"/>
      <c r="C1548" s="977"/>
      <c r="D1548" s="777"/>
      <c r="E1548" s="3267" t="s">
        <v>1476</v>
      </c>
      <c r="F1548" s="2380"/>
      <c r="G1548" s="2380"/>
      <c r="H1548" s="2380"/>
      <c r="I1548" s="2380"/>
      <c r="J1548" s="2380"/>
      <c r="K1548" s="2380"/>
      <c r="L1548" s="2380"/>
      <c r="M1548" s="2380"/>
      <c r="N1548" s="3268"/>
      <c r="O1548" s="485"/>
      <c r="P1548" s="485"/>
      <c r="Q1548" s="1435"/>
      <c r="T1548" s="1435"/>
      <c r="U1548" s="1435"/>
      <c r="V1548" s="1435"/>
    </row>
    <row r="1549" spans="2:37" ht="12.75" customHeight="1">
      <c r="B1549" s="479"/>
      <c r="C1549" s="977"/>
      <c r="D1549" s="981"/>
      <c r="E1549" s="3267" t="s">
        <v>1558</v>
      </c>
      <c r="F1549" s="2380"/>
      <c r="G1549" s="2380"/>
      <c r="H1549" s="2380"/>
      <c r="I1549" s="2380"/>
      <c r="J1549" s="2380"/>
      <c r="K1549" s="2380"/>
      <c r="L1549" s="2380"/>
      <c r="M1549" s="2380"/>
      <c r="N1549" s="3268"/>
      <c r="O1549" s="485"/>
      <c r="P1549" s="485"/>
      <c r="Q1549" s="1435"/>
      <c r="S1549" s="1435"/>
      <c r="T1549" s="1435"/>
      <c r="U1549" s="1435"/>
      <c r="V1549" s="1435"/>
    </row>
    <row r="1550" spans="2:37" ht="12.75" customHeight="1">
      <c r="B1550" s="479"/>
      <c r="C1550" s="977"/>
      <c r="D1550" s="981"/>
      <c r="E1550" s="3272" t="s">
        <v>1559</v>
      </c>
      <c r="F1550" s="2380"/>
      <c r="G1550" s="2380"/>
      <c r="H1550" s="2380"/>
      <c r="I1550" s="2380"/>
      <c r="J1550" s="2380"/>
      <c r="K1550" s="2380"/>
      <c r="L1550" s="2380"/>
      <c r="M1550" s="2380"/>
      <c r="N1550" s="3268"/>
      <c r="O1550" s="485"/>
      <c r="P1550" s="485"/>
      <c r="Q1550" s="1435"/>
      <c r="S1550" s="1435"/>
      <c r="T1550" s="1435"/>
      <c r="U1550" s="1435"/>
      <c r="V1550" s="1435"/>
      <c r="W1550" s="1435"/>
      <c r="X1550" s="1435"/>
      <c r="Y1550" s="1435"/>
      <c r="Z1550" s="1435"/>
    </row>
    <row r="1551" spans="2:37" ht="12.75" customHeight="1" thickBot="1">
      <c r="B1551" s="479"/>
      <c r="C1551" s="977"/>
      <c r="D1551" s="981"/>
      <c r="E1551" s="989"/>
      <c r="F1551" s="990"/>
      <c r="G1551" s="987" t="str">
        <f>EUconst_Unit</f>
        <v>Unit</v>
      </c>
      <c r="H1551" s="782">
        <f t="shared" ref="H1551:N1551" si="724">H$3242</f>
        <v>2024</v>
      </c>
      <c r="I1551" s="988">
        <f t="shared" si="724"/>
        <v>2025</v>
      </c>
      <c r="J1551" s="1810">
        <f t="shared" si="724"/>
        <v>2026</v>
      </c>
      <c r="K1551" s="1747">
        <f t="shared" si="724"/>
        <v>2027</v>
      </c>
      <c r="L1551" s="1747">
        <f t="shared" si="724"/>
        <v>2028</v>
      </c>
      <c r="M1551" s="1747">
        <f t="shared" si="724"/>
        <v>2029</v>
      </c>
      <c r="N1551" s="1748">
        <f t="shared" si="724"/>
        <v>2030</v>
      </c>
      <c r="O1551" s="485"/>
      <c r="P1551" s="485"/>
      <c r="Q1551" s="1435"/>
      <c r="S1551" s="1435"/>
      <c r="T1551" s="1435"/>
      <c r="U1551" s="1435"/>
      <c r="V1551" s="1435"/>
      <c r="W1551" s="1435"/>
      <c r="X1551" s="1435"/>
      <c r="Y1551" s="1435"/>
      <c r="Z1551" s="1435"/>
      <c r="AC1551" s="1638">
        <f t="shared" ref="AC1551:AI1551" si="725">H$20</f>
        <v>2024</v>
      </c>
      <c r="AD1551" s="1638">
        <f t="shared" si="725"/>
        <v>2025</v>
      </c>
      <c r="AE1551" s="1638">
        <f t="shared" si="725"/>
        <v>2026</v>
      </c>
      <c r="AF1551" s="1638">
        <f t="shared" si="725"/>
        <v>2027</v>
      </c>
      <c r="AG1551" s="1638">
        <f t="shared" si="725"/>
        <v>2028</v>
      </c>
      <c r="AH1551" s="1638">
        <f t="shared" si="725"/>
        <v>2029</v>
      </c>
      <c r="AI1551" s="1638">
        <f t="shared" si="725"/>
        <v>2030</v>
      </c>
    </row>
    <row r="1552" spans="2:37" ht="12.75" customHeight="1">
      <c r="B1552" s="479"/>
      <c r="C1552" s="977"/>
      <c r="D1552" s="777" t="s">
        <v>1105</v>
      </c>
      <c r="E1552" s="2471" t="s">
        <v>1302</v>
      </c>
      <c r="F1552" s="2472"/>
      <c r="G1552" s="1763" t="str">
        <f>c_ALR2025!G4158</f>
        <v/>
      </c>
      <c r="H1552" s="1552" t="str">
        <f>c_ALR2025!M4158</f>
        <v/>
      </c>
      <c r="I1552" s="1611"/>
      <c r="J1552" s="1811"/>
      <c r="K1552" s="1751"/>
      <c r="L1552" s="1751"/>
      <c r="M1552" s="1751"/>
      <c r="N1552" s="1752"/>
      <c r="O1552" s="485"/>
      <c r="P1552" s="9">
        <v>0</v>
      </c>
      <c r="Q1552" s="1435"/>
      <c r="S1552" s="1435"/>
      <c r="T1552" s="1435"/>
      <c r="U1552" s="1435"/>
      <c r="V1552" s="1435"/>
      <c r="W1552" s="1435"/>
      <c r="X1552" s="1435"/>
      <c r="Y1552" s="1435"/>
      <c r="Z1552" s="1435"/>
      <c r="AB1552" s="1641" t="s">
        <v>717</v>
      </c>
      <c r="AC1552" s="1443" t="b">
        <f>AC1542</f>
        <v>0</v>
      </c>
      <c r="AD1552" s="1443" t="b">
        <f t="shared" ref="AD1552:AI1552" si="726">AD1542</f>
        <v>0</v>
      </c>
      <c r="AE1552" s="1443" t="b">
        <f t="shared" si="726"/>
        <v>0</v>
      </c>
      <c r="AF1552" s="1443" t="b">
        <f t="shared" si="726"/>
        <v>0</v>
      </c>
      <c r="AG1552" s="1443" t="b">
        <f t="shared" si="726"/>
        <v>0</v>
      </c>
      <c r="AH1552" s="1443" t="b">
        <f t="shared" si="726"/>
        <v>0</v>
      </c>
      <c r="AI1552" s="1443" t="b">
        <f t="shared" si="726"/>
        <v>0</v>
      </c>
      <c r="AJ1552" s="1633" t="s">
        <v>1954</v>
      </c>
      <c r="AK1552" s="1635" t="str">
        <f>IF(AND(CNTR_ExistSubInstEntries,MSconst_RequireSubAttrEmissions,COUNTIFS(AC1552:AI1552,FALSE,H1552:N1552,"")&gt;0),EUconst_Error&amp;"BM"&amp;$Q1301,"")</f>
        <v/>
      </c>
    </row>
    <row r="1553" spans="1:37" ht="12.75" customHeight="1">
      <c r="B1553" s="479"/>
      <c r="C1553" s="977"/>
      <c r="D1553" s="777" t="s">
        <v>1106</v>
      </c>
      <c r="E1553" s="2473" t="s">
        <v>661</v>
      </c>
      <c r="F1553" s="2474"/>
      <c r="G1553" s="1008" t="e">
        <f>IF(ISBLANK(G1552),EUconst_GJperUnit,INDEX(EUconst_GJperTorKNm3,MATCH(G1552,EUconst_TonnesOrkNm3pa,0)))</f>
        <v>#N/A</v>
      </c>
      <c r="H1553" s="1558" t="str">
        <f>c_ALR2025!M4159</f>
        <v/>
      </c>
      <c r="I1553" s="1884"/>
      <c r="J1553" s="1811"/>
      <c r="K1553" s="1751"/>
      <c r="L1553" s="1751"/>
      <c r="M1553" s="1751"/>
      <c r="N1553" s="1752"/>
      <c r="O1553" s="485"/>
      <c r="P1553" s="9">
        <v>0</v>
      </c>
      <c r="S1553" s="1435"/>
      <c r="T1553" s="1435"/>
      <c r="U1553" s="1435"/>
      <c r="V1553" s="1435"/>
      <c r="W1553" s="1435"/>
      <c r="X1553" s="1435"/>
      <c r="Y1553" s="1435"/>
      <c r="Z1553" s="1435"/>
      <c r="AC1553" s="1443" t="b">
        <f>AC1552</f>
        <v>0</v>
      </c>
      <c r="AD1553" s="1443" t="b">
        <f t="shared" ref="AD1553:AI1553" si="727">AD1552</f>
        <v>0</v>
      </c>
      <c r="AE1553" s="1443" t="b">
        <f t="shared" si="727"/>
        <v>0</v>
      </c>
      <c r="AF1553" s="1443" t="b">
        <f t="shared" si="727"/>
        <v>0</v>
      </c>
      <c r="AG1553" s="1443" t="b">
        <f t="shared" si="727"/>
        <v>0</v>
      </c>
      <c r="AH1553" s="1443" t="b">
        <f t="shared" si="727"/>
        <v>0</v>
      </c>
      <c r="AI1553" s="1443" t="b">
        <f t="shared" si="727"/>
        <v>0</v>
      </c>
      <c r="AJ1553" s="1633" t="s">
        <v>1954</v>
      </c>
      <c r="AK1553" s="1635" t="str">
        <f>IF(AND(CNTR_ExistSubInstEntries,MSconst_RequireSubAttrEmissions,COUNTIFS(AC1553:AI1553,FALSE,H1553:N1553,"")&gt;0),EUconst_Error&amp;"BM"&amp;$Q1301,"")</f>
        <v/>
      </c>
    </row>
    <row r="1554" spans="1:37" ht="12.75" customHeight="1">
      <c r="B1554" s="479"/>
      <c r="C1554" s="977"/>
      <c r="D1554" s="777" t="s">
        <v>1107</v>
      </c>
      <c r="E1554" s="2475" t="s">
        <v>1288</v>
      </c>
      <c r="F1554" s="2410"/>
      <c r="G1554" s="815" t="str">
        <f>EUconst_TJpa</f>
        <v>TJ / year</v>
      </c>
      <c r="H1554" s="1005" t="str">
        <f t="shared" ref="H1554:N1554" si="728">IF(COUNT(H1552:H1553)=2,H1552*H1553/1000,"")</f>
        <v/>
      </c>
      <c r="I1554" s="1006" t="str">
        <f t="shared" si="728"/>
        <v/>
      </c>
      <c r="J1554" s="1811" t="str">
        <f t="shared" si="728"/>
        <v/>
      </c>
      <c r="K1554" s="1751" t="str">
        <f t="shared" si="728"/>
        <v/>
      </c>
      <c r="L1554" s="1751" t="str">
        <f t="shared" si="728"/>
        <v/>
      </c>
      <c r="M1554" s="1751" t="str">
        <f t="shared" si="728"/>
        <v/>
      </c>
      <c r="N1554" s="1752" t="str">
        <f t="shared" si="728"/>
        <v/>
      </c>
      <c r="O1554" s="485"/>
      <c r="P1554" s="485"/>
      <c r="Q1554" s="1644" t="str">
        <f>EUconst_CNTR_WGFlared &amp; I1301</f>
        <v>WasteGasFlare_</v>
      </c>
      <c r="S1554" s="1435"/>
      <c r="T1554" s="1435"/>
      <c r="U1554" s="1435"/>
      <c r="V1554" s="1435"/>
      <c r="W1554" s="1435"/>
      <c r="X1554" s="1435"/>
      <c r="Y1554" s="1435"/>
      <c r="Z1554" s="1435"/>
    </row>
    <row r="1555" spans="1:37" ht="12.75" customHeight="1">
      <c r="B1555" s="479"/>
      <c r="C1555" s="977"/>
      <c r="D1555" s="777" t="s">
        <v>1108</v>
      </c>
      <c r="E1555" s="2475" t="s">
        <v>1308</v>
      </c>
      <c r="F1555" s="2410"/>
      <c r="G1555" s="815" t="str">
        <f>EUconst_tCO2pTJ</f>
        <v>t CO2 / TJ</v>
      </c>
      <c r="H1555" s="1479" t="str">
        <f>c_ALR2025!M4161</f>
        <v/>
      </c>
      <c r="I1555" s="1532"/>
      <c r="J1555" s="1811"/>
      <c r="K1555" s="1751"/>
      <c r="L1555" s="1751"/>
      <c r="M1555" s="1751"/>
      <c r="N1555" s="1752"/>
      <c r="O1555" s="485"/>
      <c r="P1555" s="9">
        <v>0</v>
      </c>
      <c r="Q1555" s="1644" t="str">
        <f>EUconst_CNTR_WGFlaredEF &amp; I1301</f>
        <v>WasteGasFlareEF_</v>
      </c>
      <c r="S1555" s="1435"/>
      <c r="T1555" s="1435"/>
      <c r="U1555" s="1435"/>
      <c r="V1555" s="1435"/>
      <c r="W1555" s="1435"/>
      <c r="X1555" s="1435"/>
      <c r="Y1555" s="1435"/>
      <c r="Z1555" s="1435"/>
      <c r="AB1555" s="1641" t="s">
        <v>717</v>
      </c>
      <c r="AC1555" s="1443" t="b">
        <f>AC1553</f>
        <v>0</v>
      </c>
      <c r="AD1555" s="1443" t="b">
        <f t="shared" ref="AD1555:AI1555" si="729">AD1553</f>
        <v>0</v>
      </c>
      <c r="AE1555" s="1443" t="b">
        <f t="shared" si="729"/>
        <v>0</v>
      </c>
      <c r="AF1555" s="1443" t="b">
        <f t="shared" si="729"/>
        <v>0</v>
      </c>
      <c r="AG1555" s="1443" t="b">
        <f t="shared" si="729"/>
        <v>0</v>
      </c>
      <c r="AH1555" s="1443" t="b">
        <f t="shared" si="729"/>
        <v>0</v>
      </c>
      <c r="AI1555" s="1443" t="b">
        <f t="shared" si="729"/>
        <v>0</v>
      </c>
      <c r="AJ1555" s="1633" t="s">
        <v>1954</v>
      </c>
      <c r="AK1555" s="1635" t="str">
        <f>IF(AND(CNTR_ExistSubInstEntries,MSconst_RequireSubAttrEmissions,COUNTIFS(AC1555:AI1555,FALSE,H1555:N1555,"")&gt;0),EUconst_Error&amp;"BM"&amp;$Q1301,"")</f>
        <v/>
      </c>
    </row>
    <row r="1556" spans="1:37" ht="5.0999999999999996" customHeight="1" thickBot="1">
      <c r="B1556" s="479"/>
      <c r="C1556" s="977"/>
      <c r="D1556" s="981"/>
      <c r="E1556" s="981"/>
      <c r="F1556" s="981"/>
      <c r="G1556" s="981"/>
      <c r="H1556" s="983"/>
      <c r="I1556" s="981"/>
      <c r="J1556" s="1815"/>
      <c r="K1556" s="1760"/>
      <c r="L1556" s="1760"/>
      <c r="M1556" s="1760"/>
      <c r="N1556" s="1761"/>
      <c r="O1556" s="485"/>
      <c r="P1556" s="485"/>
      <c r="Q1556" s="1435"/>
      <c r="S1556" s="1435"/>
      <c r="T1556" s="1435"/>
      <c r="U1556" s="1435"/>
      <c r="V1556" s="1435"/>
    </row>
    <row r="1557" spans="1:37" ht="12.75" customHeight="1" thickBot="1">
      <c r="B1557" s="479"/>
      <c r="C1557" s="977"/>
      <c r="D1557" s="981"/>
      <c r="E1557" s="2475" t="s">
        <v>1844</v>
      </c>
      <c r="F1557" s="2475"/>
      <c r="G1557" s="1009" t="str">
        <f>EUconst_tCO2</f>
        <v>t CO2</v>
      </c>
      <c r="H1557" s="638" t="str">
        <f t="shared" ref="H1557:N1557" si="730">IF(T1309,SUM(H1554)*SUM(H1555),"")</f>
        <v/>
      </c>
      <c r="I1557" s="684" t="str">
        <f t="shared" si="730"/>
        <v/>
      </c>
      <c r="J1557" s="1815" t="str">
        <f t="shared" si="730"/>
        <v/>
      </c>
      <c r="K1557" s="1760" t="str">
        <f t="shared" si="730"/>
        <v/>
      </c>
      <c r="L1557" s="1760" t="str">
        <f t="shared" si="730"/>
        <v/>
      </c>
      <c r="M1557" s="1760" t="str">
        <f t="shared" si="730"/>
        <v/>
      </c>
      <c r="N1557" s="1761" t="str">
        <f t="shared" si="730"/>
        <v/>
      </c>
      <c r="O1557" s="485"/>
      <c r="P1557" s="485"/>
      <c r="Q1557" s="1644" t="str">
        <f>EUconst_CNTR_HAL &amp; EUconst_CNTR_WGFlared &amp; I1301</f>
        <v>HAL_WasteGasFlare_</v>
      </c>
      <c r="S1557" s="1633" t="s">
        <v>1758</v>
      </c>
      <c r="T1557" s="1629" t="b">
        <f>CNTR_SubPeriod=2</f>
        <v>1</v>
      </c>
      <c r="U1557" s="1435"/>
      <c r="V1557" s="1435"/>
    </row>
    <row r="1558" spans="1:37" ht="5.0999999999999996" customHeight="1" thickBot="1">
      <c r="B1558" s="479"/>
      <c r="C1558" s="977"/>
      <c r="D1558" s="981"/>
      <c r="E1558" s="981"/>
      <c r="F1558" s="981"/>
      <c r="G1558" s="981"/>
      <c r="H1558" s="983"/>
      <c r="I1558" s="981"/>
      <c r="J1558" s="1815"/>
      <c r="K1558" s="1760"/>
      <c r="L1558" s="1760"/>
      <c r="M1558" s="1760"/>
      <c r="N1558" s="1761"/>
      <c r="O1558" s="485"/>
      <c r="P1558" s="485"/>
      <c r="Q1558" s="1435"/>
      <c r="S1558" s="1435"/>
      <c r="T1558" s="1435"/>
      <c r="U1558" s="1435"/>
      <c r="V1558" s="1435"/>
    </row>
    <row r="1559" spans="1:37" ht="5.0999999999999996" customHeight="1" thickBot="1">
      <c r="B1559" s="479"/>
      <c r="C1559" s="977"/>
      <c r="D1559" s="1010"/>
      <c r="E1559" s="1011"/>
      <c r="F1559" s="1011"/>
      <c r="G1559" s="1011"/>
      <c r="H1559" s="1012"/>
      <c r="I1559" s="1011"/>
      <c r="J1559" s="1765"/>
      <c r="K1559" s="1760"/>
      <c r="L1559" s="1760"/>
      <c r="M1559" s="1760"/>
      <c r="N1559" s="1761"/>
      <c r="O1559" s="485"/>
      <c r="P1559" s="485"/>
      <c r="Q1559" s="1435"/>
      <c r="S1559" s="1435"/>
      <c r="T1559" s="1435"/>
      <c r="U1559" s="1435"/>
      <c r="V1559" s="1435"/>
    </row>
    <row r="1560" spans="1:37" ht="12.75" customHeight="1">
      <c r="B1560" s="479"/>
      <c r="C1560" s="977"/>
      <c r="D1560" s="907" t="s">
        <v>1917</v>
      </c>
      <c r="E1560" s="2713" t="s">
        <v>1773</v>
      </c>
      <c r="F1560" s="2493"/>
      <c r="G1560" s="2493"/>
      <c r="H1560" s="910" t="str">
        <f>EUconst_Unit</f>
        <v>Unit</v>
      </c>
      <c r="I1560" s="911" t="s">
        <v>2220</v>
      </c>
      <c r="J1560" s="1647">
        <f>J$3242</f>
        <v>2026</v>
      </c>
      <c r="K1560" s="1747">
        <f>K$3242</f>
        <v>2027</v>
      </c>
      <c r="L1560" s="1747">
        <f>L$3242</f>
        <v>2028</v>
      </c>
      <c r="M1560" s="1747">
        <f>M$3242</f>
        <v>2029</v>
      </c>
      <c r="N1560" s="1748">
        <f>N$3242</f>
        <v>2030</v>
      </c>
      <c r="O1560" s="485"/>
      <c r="P1560" s="485"/>
      <c r="Q1560" s="1435"/>
      <c r="U1560" s="1648"/>
      <c r="V1560" s="1649">
        <f>J1560</f>
        <v>2026</v>
      </c>
      <c r="W1560" s="1649">
        <f>K1560</f>
        <v>2027</v>
      </c>
      <c r="X1560" s="1649">
        <f>L1560</f>
        <v>2028</v>
      </c>
      <c r="Y1560" s="1649">
        <f>M1560</f>
        <v>2029</v>
      </c>
      <c r="Z1560" s="1650">
        <f>N1560</f>
        <v>2030</v>
      </c>
    </row>
    <row r="1561" spans="1:37" ht="12.75" customHeight="1">
      <c r="B1561" s="479"/>
      <c r="C1561" s="977"/>
      <c r="D1561" s="915" t="s">
        <v>6</v>
      </c>
      <c r="E1561" s="2714" t="s">
        <v>1691</v>
      </c>
      <c r="F1561" s="2410"/>
      <c r="G1561" s="2410"/>
      <c r="H1561" s="944" t="str">
        <f>G1557</f>
        <v>t CO2</v>
      </c>
      <c r="I1561" s="917" t="str">
        <f>INDEX('B+C_SubInstallations'!$K:$K,MATCH(Q1561,'B+C_SubInstallations'!$V:$V,0))</f>
        <v/>
      </c>
      <c r="J1561" s="1703" t="str">
        <f>IF($T1557&lt;&gt;TRUE,"",IF(AND(V1561&gt;=3,CNTR_ReportingYear&gt;J1560-1),AVERAGE(SUM(H1557),SUM(I1557)),""))</f>
        <v/>
      </c>
      <c r="K1561" s="1766" t="str">
        <f>IF($T1557&lt;&gt;TRUE,"",IF(AND(W1561&gt;=3,CNTR_ReportingYear&gt;K1560-1),AVERAGE(SUM(I1557),SUM(J1557)),""))</f>
        <v/>
      </c>
      <c r="L1561" s="1766" t="str">
        <f>IF($T1557&lt;&gt;TRUE,"",IF(AND(X1561&gt;=3,CNTR_ReportingYear&gt;L1560-1),AVERAGE(SUM(J1557),SUM(K1557)),""))</f>
        <v/>
      </c>
      <c r="M1561" s="1766" t="str">
        <f>IF($T1557&lt;&gt;TRUE,"",IF(AND(Y1561&gt;=3,CNTR_ReportingYear&gt;M1560-1),AVERAGE(SUM(K1557),SUM(L1557)),""))</f>
        <v/>
      </c>
      <c r="N1561" s="1767" t="str">
        <f>IF($T1557&lt;&gt;TRUE,"",IF(AND(Z1561&gt;=3,CNTR_ReportingYear&gt;N1560-1),AVERAGE(SUM(L1557),SUM(M1557)),""))</f>
        <v/>
      </c>
      <c r="O1561" s="485"/>
      <c r="P1561" s="485"/>
      <c r="Q1561" s="1644" t="str">
        <f>EUconst_CNTR_HALinitial &amp; EUconst_CNTR_WGFlared &amp; I1301</f>
        <v>HALini_WasteGasFlare_</v>
      </c>
      <c r="U1561" s="1693" t="s">
        <v>1650</v>
      </c>
      <c r="V1561" s="1635">
        <f>V1323</f>
        <v>0</v>
      </c>
      <c r="W1561" s="1635">
        <f>W1323</f>
        <v>0</v>
      </c>
      <c r="X1561" s="1635">
        <f>X1323</f>
        <v>0</v>
      </c>
      <c r="Y1561" s="1635">
        <f>Y1323</f>
        <v>0</v>
      </c>
      <c r="Z1561" s="1654">
        <f>Z1323</f>
        <v>0</v>
      </c>
    </row>
    <row r="1562" spans="1:37" ht="12.75" hidden="1" customHeight="1">
      <c r="A1562" s="618" t="s">
        <v>2289</v>
      </c>
      <c r="B1562" s="479"/>
      <c r="C1562" s="977"/>
      <c r="D1562" s="915"/>
      <c r="E1562" s="2714" t="s">
        <v>1776</v>
      </c>
      <c r="F1562" s="2410"/>
      <c r="G1562" s="2410"/>
      <c r="H1562" s="921"/>
      <c r="I1562" s="1657"/>
      <c r="J1562" s="17" t="str">
        <f>IF(J1561="","",IF($I1564=0,IF(J1561=0,0%,100%),J1561/$I1564-1))</f>
        <v/>
      </c>
      <c r="K1562" s="18" t="str">
        <f>IF(K1561="","",IF($I1564=0,IF(K1561=0,0%,100%),K1561/$I1564-1))</f>
        <v/>
      </c>
      <c r="L1562" s="18" t="str">
        <f>IF(L1561="","",IF($I1564=0,IF(L1561=0,0%,100%),L1561/$I1564-1))</f>
        <v/>
      </c>
      <c r="M1562" s="18" t="str">
        <f>IF(M1561="","",IF($I1564=0,IF(M1561=0,0%,100%),M1561/$I1564-1))</f>
        <v/>
      </c>
      <c r="N1562" s="38" t="str">
        <f>IF(N1561="","",IF($I1564=0,IF(N1561=0,0%,100%),N1561/$I1564-1))</f>
        <v/>
      </c>
      <c r="O1562" s="485"/>
      <c r="P1562" s="485"/>
      <c r="Q1562" s="1644" t="str">
        <f>EUconst_CNTR_RelThreshold &amp; Q1564</f>
        <v>RelThresh_HALprelim_WasteGasFlare_</v>
      </c>
      <c r="U1562" s="1693" t="s">
        <v>1655</v>
      </c>
      <c r="V1562" s="1158" t="str">
        <f>IF(J1561="","",ABS(J1562)&gt;15%)</f>
        <v/>
      </c>
      <c r="W1562" s="1158" t="str">
        <f>IF(K1561="","",ABS(K1562)&gt;15%)</f>
        <v/>
      </c>
      <c r="X1562" s="1158" t="str">
        <f>IF(L1561="","",ABS(L1562)&gt;15%)</f>
        <v/>
      </c>
      <c r="Y1562" s="1158" t="str">
        <f>IF(M1561="","",ABS(M1562)&gt;15%)</f>
        <v/>
      </c>
      <c r="Z1562" s="1656" t="str">
        <f>IF(N1561="","",ABS(N1562)&gt;15%)</f>
        <v/>
      </c>
    </row>
    <row r="1563" spans="1:37" ht="12.75" customHeight="1">
      <c r="A1563" s="618"/>
      <c r="B1563" s="479"/>
      <c r="C1563" s="977"/>
      <c r="D1563" s="915" t="s">
        <v>7</v>
      </c>
      <c r="E1563" s="2714" t="s">
        <v>1654</v>
      </c>
      <c r="F1563" s="2410"/>
      <c r="G1563" s="2410"/>
      <c r="H1563" s="921"/>
      <c r="I1563" s="1657"/>
      <c r="J1563" s="1658" t="str">
        <f>IF(J1561="","",IF(V1562=FALSE,0%,J1562))</f>
        <v/>
      </c>
      <c r="K1563" s="1768" t="str">
        <f>IF(K1561="","",IF(W1562=FALSE,0%,K1562))</f>
        <v/>
      </c>
      <c r="L1563" s="1768" t="str">
        <f>IF(L1561="","",IF(X1562=FALSE,0%,L1562))</f>
        <v/>
      </c>
      <c r="M1563" s="1768" t="str">
        <f>IF(M1561="","",IF(Y1562=FALSE,0%,M1562))</f>
        <v/>
      </c>
      <c r="N1563" s="1769" t="str">
        <f>IF(N1561="","",IF(Z1562=FALSE,0%,N1562))</f>
        <v/>
      </c>
      <c r="O1563" s="485"/>
      <c r="P1563" s="485"/>
      <c r="Q1563" s="1435"/>
      <c r="U1563" s="1694"/>
      <c r="Z1563" s="1664"/>
    </row>
    <row r="1564" spans="1:37" ht="12.75" hidden="1" customHeight="1">
      <c r="A1564" s="618" t="s">
        <v>2289</v>
      </c>
      <c r="B1564" s="479"/>
      <c r="C1564" s="977"/>
      <c r="D1564" s="915"/>
      <c r="E1564" s="2714" t="s">
        <v>1689</v>
      </c>
      <c r="F1564" s="2410"/>
      <c r="G1564" s="2410"/>
      <c r="H1564" s="944" t="str">
        <f>H1561</f>
        <v>t CO2</v>
      </c>
      <c r="I1564" s="917" t="str">
        <f>IF($I1301="","",IF(AB1301=FALSE,EUconst_NA,IF(V1301&gt;($J$3242-3),INDEX(H1557:N1557,MATCH(V1301,H1551:N1551,0)),SUM(I1561))))</f>
        <v/>
      </c>
      <c r="J1564" s="1651" t="str">
        <f>IF($I1301="","",IF(V1561&lt;2,SUM(J1557),IF(V1561&lt;3,SUM(I1557),IF(V1564="",I1564,V1564))))</f>
        <v/>
      </c>
      <c r="K1564" s="1766" t="str">
        <f>IF($I1301="","",IF(W1561&lt;2,SUM(K1557),IF(W1561&lt;3,SUM(J1557),IF(W1564="",J1564,W1564))))</f>
        <v/>
      </c>
      <c r="L1564" s="1766" t="str">
        <f>IF($I1301="","",IF(X1561&lt;2,SUM(L1557),IF(X1561&lt;3,SUM(K1557),IF(X1564="",K1564,X1564))))</f>
        <v/>
      </c>
      <c r="M1564" s="1766" t="str">
        <f>IF($I1301="","",IF(Y1561&lt;2,SUM(M1557),IF(Y1561&lt;3,SUM(L1557),IF(Y1564="",L1564,Y1564))))</f>
        <v/>
      </c>
      <c r="N1564" s="1767" t="str">
        <f>IF($I1301="","",IF(Z1561&lt;2,SUM(N1557),IF(Z1561&lt;3,SUM(M1557),IF(Z1564="",M1564,Z1564))))</f>
        <v/>
      </c>
      <c r="O1564" s="485"/>
      <c r="P1564" s="485"/>
      <c r="Q1564" s="1644" t="str">
        <f>EUconst_CNTR_HALprelim&amp;EUconst_CNTR_WGFlared &amp; I1301</f>
        <v>HALprelim_WasteGasFlare_</v>
      </c>
      <c r="U1564" s="1693" t="s">
        <v>1697</v>
      </c>
      <c r="V1564" s="1660" t="str">
        <f>IF(J1561="","",IF(CNTR_ReportingYear&lt;J1560,I1563,IF($I1564=0,J1561,$I1564*(1+J1563))))</f>
        <v/>
      </c>
      <c r="W1564" s="1660" t="str">
        <f>IF(K1561="","",IF(CNTR_ReportingYear&lt;K1560,J1563,IF($I1564=0,K1561,$I1564*(1+K1563))))</f>
        <v/>
      </c>
      <c r="X1564" s="1660" t="str">
        <f>IF(L1561="","",IF(CNTR_ReportingYear&lt;L1560,K1563,IF($I1564=0,L1561,$I1564*(1+L1563))))</f>
        <v/>
      </c>
      <c r="Y1564" s="1660" t="str">
        <f>IF(M1561="","",IF(CNTR_ReportingYear&lt;M1560,L1563,IF($I1564=0,M1561,$I1564*(1+M1563))))</f>
        <v/>
      </c>
      <c r="Z1564" s="1661" t="str">
        <f>IF(N1561="","",IF(CNTR_ReportingYear&lt;N1560,M1563,IF($I1564=0,N1561,$I1564*(1+N1563))))</f>
        <v/>
      </c>
    </row>
    <row r="1565" spans="1:37" ht="5.0999999999999996" customHeight="1">
      <c r="A1565" s="618"/>
      <c r="B1565" s="479"/>
      <c r="C1565" s="977"/>
      <c r="D1565" s="915"/>
      <c r="E1565" s="909"/>
      <c r="F1565" s="909"/>
      <c r="G1565" s="909"/>
      <c r="H1565" s="909"/>
      <c r="I1565" s="909"/>
      <c r="J1565" s="922"/>
      <c r="K1565" s="1760"/>
      <c r="L1565" s="1760"/>
      <c r="M1565" s="1760"/>
      <c r="N1565" s="1761"/>
      <c r="O1565" s="485"/>
      <c r="P1565" s="485"/>
      <c r="Q1565" s="1435"/>
      <c r="U1565" s="1663"/>
      <c r="V1565" s="1435"/>
      <c r="Z1565" s="1664"/>
    </row>
    <row r="1566" spans="1:37" ht="12.75" customHeight="1">
      <c r="A1566" s="618"/>
      <c r="B1566" s="479"/>
      <c r="C1566" s="977"/>
      <c r="D1566" s="915"/>
      <c r="E1566" s="2713" t="s">
        <v>1653</v>
      </c>
      <c r="F1566" s="2493"/>
      <c r="G1566" s="2493"/>
      <c r="H1566" s="2493"/>
      <c r="I1566" s="2493"/>
      <c r="J1566" s="1647">
        <f>J$3242</f>
        <v>2026</v>
      </c>
      <c r="K1566" s="1747">
        <f>K$3242</f>
        <v>2027</v>
      </c>
      <c r="L1566" s="1747">
        <f>L$3242</f>
        <v>2028</v>
      </c>
      <c r="M1566" s="1747">
        <f>M$3242</f>
        <v>2029</v>
      </c>
      <c r="N1566" s="1748">
        <f>N$3242</f>
        <v>2030</v>
      </c>
      <c r="O1566" s="485"/>
      <c r="P1566" s="485"/>
      <c r="Q1566" s="1435"/>
      <c r="U1566" s="1665"/>
      <c r="Z1566" s="1664"/>
    </row>
    <row r="1567" spans="1:37" ht="12.75" customHeight="1">
      <c r="A1567" s="618"/>
      <c r="B1567" s="479"/>
      <c r="C1567" s="977"/>
      <c r="D1567" s="915" t="s">
        <v>8</v>
      </c>
      <c r="E1567" s="2714" t="s">
        <v>2074</v>
      </c>
      <c r="F1567" s="2410"/>
      <c r="G1567" s="2410"/>
      <c r="H1567" s="2410"/>
      <c r="I1567" s="2410"/>
      <c r="J1567" s="1666" t="str">
        <f>IF($I1301="","",INDEX(K_Summary!J:J,MATCH($Q1567,K_Summary!$P:$P,0)))</f>
        <v/>
      </c>
      <c r="K1567" s="1760" t="str">
        <f>IF($I1301="","",INDEX(K_Summary!K:K,MATCH($Q1567,K_Summary!$P:$P,0)))</f>
        <v/>
      </c>
      <c r="L1567" s="1760" t="str">
        <f>IF($I1301="","",INDEX(K_Summary!L:L,MATCH($Q1567,K_Summary!$P:$P,0)))</f>
        <v/>
      </c>
      <c r="M1567" s="1760" t="str">
        <f>IF($I1301="","",INDEX(K_Summary!M:M,MATCH($Q1567,K_Summary!$P:$P,0)))</f>
        <v/>
      </c>
      <c r="N1567" s="1761" t="str">
        <f>IF($I1301="","",INDEX(K_Summary!N:N,MATCH($Q1567,K_Summary!$P:$P,0)))</f>
        <v/>
      </c>
      <c r="O1567" s="485"/>
      <c r="P1567" s="485"/>
      <c r="Q1567" s="1644" t="str">
        <f>EUconst_CNTR_100EUA_WGFlare&amp;I1301</f>
        <v>EUA100WGFlare_</v>
      </c>
      <c r="U1567" s="1665"/>
      <c r="Z1567" s="1664"/>
    </row>
    <row r="1568" spans="1:37" ht="5.0999999999999996" customHeight="1" thickBot="1">
      <c r="A1568" s="618"/>
      <c r="B1568" s="479"/>
      <c r="C1568" s="977"/>
      <c r="D1568" s="915"/>
      <c r="E1568" s="909"/>
      <c r="F1568" s="909"/>
      <c r="G1568" s="909"/>
      <c r="H1568" s="909"/>
      <c r="I1568" s="909"/>
      <c r="J1568" s="922"/>
      <c r="K1568" s="1760"/>
      <c r="L1568" s="1760"/>
      <c r="M1568" s="1760"/>
      <c r="N1568" s="1761"/>
      <c r="O1568" s="485"/>
      <c r="P1568" s="485"/>
      <c r="Q1568" s="1435"/>
      <c r="U1568" s="1663"/>
      <c r="V1568" s="1435"/>
      <c r="Z1568" s="1664"/>
    </row>
    <row r="1569" spans="1:42" ht="12.75" customHeight="1" thickBot="1">
      <c r="B1569" s="479"/>
      <c r="C1569" s="977"/>
      <c r="D1569" s="915" t="s">
        <v>18</v>
      </c>
      <c r="E1569" s="2714" t="s">
        <v>1657</v>
      </c>
      <c r="F1569" s="2410"/>
      <c r="G1569" s="2410"/>
      <c r="H1569" s="2410"/>
      <c r="I1569" s="2410"/>
      <c r="J1569" s="1668" t="str">
        <f>IF(J1567="","",IF(OR(J1567,V1561&lt;1),J1563,I1569))</f>
        <v/>
      </c>
      <c r="K1569" s="1770" t="str">
        <f>IF(K1567="","",IF(OR(K1567,W1561&lt;1),K1563,J1569))</f>
        <v/>
      </c>
      <c r="L1569" s="1770" t="str">
        <f>IF(L1567="","",IF(OR(L1567,X1561&lt;1),L1563,K1569))</f>
        <v/>
      </c>
      <c r="M1569" s="1770" t="str">
        <f>IF(M1567="","",IF(OR(M1567,Y1561&lt;1),M1563,L1569))</f>
        <v/>
      </c>
      <c r="N1569" s="1771" t="str">
        <f>IF(N1567="","",IF(OR(N1567,Z1561&lt;1),N1563,M1569))</f>
        <v/>
      </c>
      <c r="O1569" s="485"/>
      <c r="P1569" s="485"/>
      <c r="Q1569" s="1435"/>
      <c r="U1569" s="1663" t="s">
        <v>1658</v>
      </c>
      <c r="V1569" s="1670">
        <f>J1566</f>
        <v>2026</v>
      </c>
      <c r="W1569" s="1670">
        <f>K1566</f>
        <v>2027</v>
      </c>
      <c r="X1569" s="1670">
        <f>L1566</f>
        <v>2028</v>
      </c>
      <c r="Y1569" s="1670">
        <f>M1566</f>
        <v>2029</v>
      </c>
      <c r="Z1569" s="1671">
        <f>N1566</f>
        <v>2030</v>
      </c>
    </row>
    <row r="1570" spans="1:42" ht="12.75" customHeight="1" thickBot="1">
      <c r="A1570" s="618"/>
      <c r="B1570" s="479"/>
      <c r="C1570" s="977"/>
      <c r="D1570" s="915" t="s">
        <v>787</v>
      </c>
      <c r="E1570" s="2714" t="s">
        <v>1659</v>
      </c>
      <c r="F1570" s="2410"/>
      <c r="G1570" s="2410"/>
      <c r="H1570" s="944" t="str">
        <f>H1561</f>
        <v>t CO2</v>
      </c>
      <c r="I1570" s="917" t="str">
        <f>I1564</f>
        <v/>
      </c>
      <c r="J1570" s="1672" t="str">
        <f>IF($I1301="","",IF(OR($I1570=0,$I1570=EUconst_NA),IF(OR(J1567=TRUE,J1566=$V1301),J1564,SUM(I1570)),IF(J1569="",J1564,$I1570*(1+SUM(J1569)))))</f>
        <v/>
      </c>
      <c r="K1570" s="1772" t="str">
        <f>IF($I1301="","",IF(OR($I1570=0,$I1570=EUconst_NA),IF(OR(K1567=TRUE,K1566=$V1301),K1564,SUM(J1570)),IF(K1569="",K1564,$I1570*(1+SUM(K1569)))))</f>
        <v/>
      </c>
      <c r="L1570" s="1772" t="str">
        <f>IF($I1301="","",IF(OR($I1570=0,$I1570=EUconst_NA),IF(OR(L1567=TRUE,L1566=$V1301),L1564,SUM(K1570)),IF(L1569="",L1564,$I1570*(1+SUM(L1569)))))</f>
        <v/>
      </c>
      <c r="M1570" s="1772" t="str">
        <f>IF($I1301="","",IF(OR($I1570=0,$I1570=EUconst_NA),IF(OR(M1567=TRUE,M1566=$V1301),M1564,SUM(L1570)),IF(M1569="",M1564,$I1570*(1+SUM(M1569)))))</f>
        <v/>
      </c>
      <c r="N1570" s="1773" t="str">
        <f>IF($I1301="","",IF(OR($I1570=0,$I1570=EUconst_NA),IF(OR(N1567=TRUE,N1566=$V1301),N1564,SUM(M1570)),IF(N1569="",N1564,$I1570*(1+SUM(N1569)))))</f>
        <v/>
      </c>
      <c r="O1570" s="485"/>
      <c r="P1570" s="485"/>
      <c r="Q1570" s="1644" t="str">
        <f>EUconst_CNTR_HALfinal&amp;EUconst_CNTR_WGFlared &amp; I1301</f>
        <v>HALfinal_WasteGasFlare_</v>
      </c>
      <c r="U1570" s="1674" t="b">
        <v>0</v>
      </c>
      <c r="V1570" s="1675" t="str">
        <f>IF(V1520,IF(J1567=TRUE,V1309,U1570),"")</f>
        <v/>
      </c>
      <c r="W1570" s="1675" t="str">
        <f>IF(W1520,IF(K1567=TRUE,W1309,V1570),"")</f>
        <v/>
      </c>
      <c r="X1570" s="1675" t="str">
        <f>IF(X1520,IF(L1567=TRUE,X1309,W1570),"")</f>
        <v/>
      </c>
      <c r="Y1570" s="1675" t="str">
        <f>IF(Y1520,IF(M1567=TRUE,Y1309,X1570),"")</f>
        <v/>
      </c>
      <c r="Z1570" s="1676" t="str">
        <f>IF(Z1520,IF(N1567=TRUE,Z1309,Y1570),"")</f>
        <v/>
      </c>
      <c r="AJ1570" s="1633" t="s">
        <v>1951</v>
      </c>
      <c r="AK1570" s="1443" t="str">
        <f>IF(OR(ISERROR(J1570),ISERROR(K1570),ISERROR(L1570),ISERROR(M1570),ISERROR(N1570)),EUconst_Error &amp; "BM" &amp; Q1301,"")</f>
        <v/>
      </c>
    </row>
    <row r="1571" spans="1:42" ht="5.0999999999999996" customHeight="1" thickBot="1">
      <c r="B1571" s="479"/>
      <c r="C1571" s="977"/>
      <c r="D1571" s="946"/>
      <c r="E1571" s="947"/>
      <c r="F1571" s="947"/>
      <c r="G1571" s="947"/>
      <c r="H1571" s="1014"/>
      <c r="I1571" s="947"/>
      <c r="J1571" s="1700"/>
      <c r="K1571" s="1760"/>
      <c r="L1571" s="1760"/>
      <c r="M1571" s="1760"/>
      <c r="N1571" s="1761"/>
      <c r="O1571" s="485"/>
      <c r="P1571" s="485"/>
      <c r="Q1571" s="1435"/>
      <c r="S1571" s="1435"/>
      <c r="T1571" s="1435"/>
      <c r="U1571" s="1435"/>
      <c r="V1571" s="1435"/>
    </row>
    <row r="1572" spans="1:42" ht="5.0999999999999996" customHeight="1">
      <c r="B1572" s="479"/>
      <c r="C1572" s="977"/>
      <c r="D1572" s="981"/>
      <c r="E1572" s="981"/>
      <c r="F1572" s="981"/>
      <c r="G1572" s="981"/>
      <c r="H1572" s="983"/>
      <c r="I1572" s="981"/>
      <c r="J1572" s="981"/>
      <c r="K1572" s="981"/>
      <c r="L1572" s="981"/>
      <c r="M1572" s="813"/>
      <c r="N1572" s="814"/>
      <c r="O1572" s="485"/>
      <c r="P1572" s="485"/>
      <c r="Q1572" s="1435"/>
      <c r="S1572" s="1435"/>
      <c r="T1572" s="1435"/>
      <c r="U1572" s="1435"/>
      <c r="V1572" s="1435"/>
    </row>
    <row r="1573" spans="1:42" ht="12.75" customHeight="1">
      <c r="B1573" s="479"/>
      <c r="C1573" s="977"/>
      <c r="D1573" s="777" t="s">
        <v>1109</v>
      </c>
      <c r="E1573" s="2649" t="s">
        <v>1218</v>
      </c>
      <c r="F1573" s="2391"/>
      <c r="G1573" s="2391"/>
      <c r="H1573" s="2512"/>
      <c r="I1573" s="3211" t="str">
        <f>c_ALR2025!I4179</f>
        <v/>
      </c>
      <c r="J1573" s="3206"/>
      <c r="K1573" s="3206"/>
      <c r="L1573" s="3206"/>
      <c r="M1573" s="3207"/>
      <c r="N1573" s="814"/>
      <c r="O1573" s="485"/>
      <c r="P1573" s="9">
        <v>0</v>
      </c>
      <c r="Q1573" s="1435"/>
      <c r="S1573" s="1435"/>
      <c r="AC1573" s="1641" t="s">
        <v>717</v>
      </c>
      <c r="AD1573" s="1443" t="b">
        <f>AD1547</f>
        <v>0</v>
      </c>
    </row>
    <row r="1574" spans="1:42" ht="12.75" customHeight="1">
      <c r="B1574" s="479"/>
      <c r="C1574" s="977"/>
      <c r="D1574" s="777"/>
      <c r="E1574" s="3272" t="s">
        <v>2298</v>
      </c>
      <c r="F1574" s="2380"/>
      <c r="G1574" s="2380"/>
      <c r="H1574" s="2380"/>
      <c r="I1574" s="2380"/>
      <c r="J1574" s="2380"/>
      <c r="K1574" s="2380"/>
      <c r="L1574" s="2380"/>
      <c r="M1574" s="2380"/>
      <c r="N1574" s="3268"/>
      <c r="O1574" s="485"/>
      <c r="P1574" s="485"/>
      <c r="Q1574" s="1435"/>
      <c r="S1574" s="1435"/>
      <c r="T1574" s="1435"/>
      <c r="U1574" s="1435"/>
      <c r="V1574" s="1435"/>
    </row>
    <row r="1575" spans="1:42" ht="25.5" customHeight="1">
      <c r="B1575" s="479"/>
      <c r="C1575" s="977"/>
      <c r="D1575" s="777"/>
      <c r="E1575" s="3267" t="s">
        <v>1560</v>
      </c>
      <c r="F1575" s="2380"/>
      <c r="G1575" s="2380"/>
      <c r="H1575" s="2380"/>
      <c r="I1575" s="2380"/>
      <c r="J1575" s="2380"/>
      <c r="K1575" s="2380"/>
      <c r="L1575" s="2380"/>
      <c r="M1575" s="2380"/>
      <c r="N1575" s="3268"/>
      <c r="O1575" s="485"/>
      <c r="P1575" s="485"/>
      <c r="Q1575" s="1435"/>
      <c r="S1575" s="1435"/>
      <c r="T1575" s="1435"/>
      <c r="U1575" s="1435"/>
      <c r="V1575" s="1435"/>
    </row>
    <row r="1576" spans="1:42" ht="12.75" customHeight="1" thickBot="1">
      <c r="B1576" s="479"/>
      <c r="C1576" s="977"/>
      <c r="D1576" s="981"/>
      <c r="E1576" s="989"/>
      <c r="F1576" s="990"/>
      <c r="G1576" s="987" t="str">
        <f>EUconst_Unit</f>
        <v>Unit</v>
      </c>
      <c r="H1576" s="782">
        <f t="shared" ref="H1576:N1576" si="731">H$3242</f>
        <v>2024</v>
      </c>
      <c r="I1576" s="988">
        <f t="shared" si="731"/>
        <v>2025</v>
      </c>
      <c r="J1576" s="1810">
        <f t="shared" si="731"/>
        <v>2026</v>
      </c>
      <c r="K1576" s="1747">
        <f t="shared" si="731"/>
        <v>2027</v>
      </c>
      <c r="L1576" s="1747">
        <f t="shared" si="731"/>
        <v>2028</v>
      </c>
      <c r="M1576" s="1747">
        <f t="shared" si="731"/>
        <v>2029</v>
      </c>
      <c r="N1576" s="1748">
        <f t="shared" si="731"/>
        <v>2030</v>
      </c>
      <c r="O1576" s="485"/>
      <c r="P1576" s="485"/>
      <c r="Q1576" s="1435"/>
      <c r="S1576" s="1435"/>
      <c r="T1576" s="1435"/>
      <c r="U1576" s="1435"/>
      <c r="V1576" s="1435"/>
      <c r="AC1576" s="1638">
        <f t="shared" ref="AC1576:AI1576" si="732">H$20</f>
        <v>2024</v>
      </c>
      <c r="AD1576" s="1638">
        <f t="shared" si="732"/>
        <v>2025</v>
      </c>
      <c r="AE1576" s="1638">
        <f t="shared" si="732"/>
        <v>2026</v>
      </c>
      <c r="AF1576" s="1638">
        <f t="shared" si="732"/>
        <v>2027</v>
      </c>
      <c r="AG1576" s="1638">
        <f t="shared" si="732"/>
        <v>2028</v>
      </c>
      <c r="AH1576" s="1638">
        <f t="shared" si="732"/>
        <v>2029</v>
      </c>
      <c r="AI1576" s="1638">
        <f t="shared" si="732"/>
        <v>2030</v>
      </c>
    </row>
    <row r="1577" spans="1:42" ht="12.75" customHeight="1" thickBot="1">
      <c r="B1577" s="479"/>
      <c r="C1577" s="977"/>
      <c r="D1577" s="777" t="s">
        <v>1110</v>
      </c>
      <c r="E1577" s="2471" t="s">
        <v>1303</v>
      </c>
      <c r="F1577" s="2472"/>
      <c r="G1577" s="1763" t="str">
        <f>c_ALR2025!G4183</f>
        <v/>
      </c>
      <c r="H1577" s="1552" t="str">
        <f>c_ALR2025!M4183</f>
        <v/>
      </c>
      <c r="I1577" s="1611"/>
      <c r="J1577" s="1811"/>
      <c r="K1577" s="1751"/>
      <c r="L1577" s="1751"/>
      <c r="M1577" s="1751"/>
      <c r="N1577" s="1752"/>
      <c r="O1577" s="485"/>
      <c r="P1577" s="9">
        <v>0</v>
      </c>
      <c r="Q1577" s="1435"/>
      <c r="S1577" s="1435"/>
      <c r="T1577" s="1435"/>
      <c r="U1577" s="1435"/>
      <c r="V1577" s="1435"/>
      <c r="AB1577" s="1641" t="s">
        <v>717</v>
      </c>
      <c r="AC1577" s="1443" t="b">
        <f t="shared" ref="AC1577:AI1577" si="733">AC1533</f>
        <v>0</v>
      </c>
      <c r="AD1577" s="1443" t="b">
        <f t="shared" si="733"/>
        <v>0</v>
      </c>
      <c r="AE1577" s="1443" t="b">
        <f t="shared" si="733"/>
        <v>0</v>
      </c>
      <c r="AF1577" s="1443" t="b">
        <f t="shared" si="733"/>
        <v>0</v>
      </c>
      <c r="AG1577" s="1443" t="b">
        <f t="shared" si="733"/>
        <v>0</v>
      </c>
      <c r="AH1577" s="1443" t="b">
        <f t="shared" si="733"/>
        <v>0</v>
      </c>
      <c r="AI1577" s="1443" t="b">
        <f t="shared" si="733"/>
        <v>0</v>
      </c>
      <c r="AJ1577" s="1633" t="s">
        <v>1954</v>
      </c>
      <c r="AK1577" s="1635" t="str">
        <f>IF(AND(CNTR_ExistSubInstEntries,MSconst_RequireSubAttrEmissions,COUNTIFS(AC1577:AI1577,FALSE,H1577:N1577,"")&gt;0),EUconst_Error&amp;"BM"&amp;$Q1301,"")</f>
        <v/>
      </c>
    </row>
    <row r="1578" spans="1:42" ht="12.75" customHeight="1">
      <c r="B1578" s="479"/>
      <c r="C1578" s="977"/>
      <c r="D1578" s="777" t="s">
        <v>1111</v>
      </c>
      <c r="E1578" s="2473" t="s">
        <v>661</v>
      </c>
      <c r="F1578" s="2474"/>
      <c r="G1578" s="1008" t="e">
        <f>IF(ISBLANK(G1577),EUconst_GJperUnit,INDEX(EUconst_GJperTorKNm3,MATCH(G1577,EUconst_TonnesOrkNm3pa,0)))</f>
        <v>#N/A</v>
      </c>
      <c r="H1578" s="1558" t="str">
        <f>c_ALR2025!M4184</f>
        <v/>
      </c>
      <c r="I1578" s="1884"/>
      <c r="J1578" s="1811"/>
      <c r="K1578" s="1751"/>
      <c r="L1578" s="1751"/>
      <c r="M1578" s="1751"/>
      <c r="N1578" s="1752"/>
      <c r="O1578" s="485"/>
      <c r="P1578" s="9">
        <v>0</v>
      </c>
      <c r="Q1578" s="1435"/>
      <c r="S1578" s="1648"/>
      <c r="T1578" s="1749">
        <f t="shared" ref="T1578:Z1578" si="734">H1576</f>
        <v>2024</v>
      </c>
      <c r="U1578" s="1749">
        <f t="shared" si="734"/>
        <v>2025</v>
      </c>
      <c r="V1578" s="1749">
        <f t="shared" si="734"/>
        <v>2026</v>
      </c>
      <c r="W1578" s="1749">
        <f t="shared" si="734"/>
        <v>2027</v>
      </c>
      <c r="X1578" s="1749">
        <f t="shared" si="734"/>
        <v>2028</v>
      </c>
      <c r="Y1578" s="1749">
        <f t="shared" si="734"/>
        <v>2029</v>
      </c>
      <c r="Z1578" s="1750">
        <f t="shared" si="734"/>
        <v>2030</v>
      </c>
      <c r="AC1578" s="1443" t="b">
        <f>AC1577</f>
        <v>0</v>
      </c>
      <c r="AD1578" s="1443" t="b">
        <f t="shared" ref="AD1578:AI1578" si="735">AD1577</f>
        <v>0</v>
      </c>
      <c r="AE1578" s="1443" t="b">
        <f t="shared" si="735"/>
        <v>0</v>
      </c>
      <c r="AF1578" s="1443" t="b">
        <f t="shared" si="735"/>
        <v>0</v>
      </c>
      <c r="AG1578" s="1443" t="b">
        <f t="shared" si="735"/>
        <v>0</v>
      </c>
      <c r="AH1578" s="1443" t="b">
        <f t="shared" si="735"/>
        <v>0</v>
      </c>
      <c r="AI1578" s="1443" t="b">
        <f t="shared" si="735"/>
        <v>0</v>
      </c>
      <c r="AJ1578" s="1633" t="s">
        <v>1954</v>
      </c>
      <c r="AK1578" s="1635" t="str">
        <f>IF(AND(CNTR_ExistSubInstEntries,MSconst_RequireSubAttrEmissions,COUNTIFS(AC1578:AI1578,FALSE,H1578:N1578,"")&gt;0),EUconst_Error&amp;"BM"&amp;$Q1301,"")</f>
        <v/>
      </c>
    </row>
    <row r="1579" spans="1:42" ht="12.75" customHeight="1">
      <c r="B1579" s="479"/>
      <c r="C1579" s="977"/>
      <c r="D1579" s="777" t="s">
        <v>1112</v>
      </c>
      <c r="E1579" s="2475" t="s">
        <v>1102</v>
      </c>
      <c r="F1579" s="2410"/>
      <c r="G1579" s="815" t="str">
        <f>EUconst_TJpa</f>
        <v>TJ / year</v>
      </c>
      <c r="H1579" s="646" t="str">
        <f t="shared" ref="H1579:N1579" si="736">IF(COUNT(H1577:H1578)=2,H1577*H1578/1000,"")</f>
        <v/>
      </c>
      <c r="I1579" s="949" t="str">
        <f t="shared" si="736"/>
        <v/>
      </c>
      <c r="J1579" s="1811" t="str">
        <f t="shared" si="736"/>
        <v/>
      </c>
      <c r="K1579" s="1751" t="str">
        <f t="shared" si="736"/>
        <v/>
      </c>
      <c r="L1579" s="1751" t="str">
        <f t="shared" si="736"/>
        <v/>
      </c>
      <c r="M1579" s="1751" t="str">
        <f t="shared" si="736"/>
        <v/>
      </c>
      <c r="N1579" s="1752" t="str">
        <f t="shared" si="736"/>
        <v/>
      </c>
      <c r="O1579" s="485"/>
      <c r="P1579" s="485"/>
      <c r="Q1579" s="1644" t="str">
        <f>EUconst_CNTR_WGImport &amp; I1301</f>
        <v>WasteGasIm_</v>
      </c>
      <c r="S1579" s="1874" t="str">
        <f>EUconst_ERR_AttrEmBMapplied &amp; I1301</f>
        <v>ERR_AttrEmBM_</v>
      </c>
      <c r="T1579" s="1443">
        <f t="shared" ref="T1579:Z1579" si="737">IF(AND(H1579&lt;&gt;"",EUconst_StatusOfDataCollection=FALSE),1,0)</f>
        <v>0</v>
      </c>
      <c r="U1579" s="1443">
        <f t="shared" si="737"/>
        <v>0</v>
      </c>
      <c r="V1579" s="1443">
        <f t="shared" si="737"/>
        <v>0</v>
      </c>
      <c r="W1579" s="1443">
        <f t="shared" si="737"/>
        <v>0</v>
      </c>
      <c r="X1579" s="1443">
        <f t="shared" si="737"/>
        <v>0</v>
      </c>
      <c r="Y1579" s="1443">
        <f t="shared" si="737"/>
        <v>0</v>
      </c>
      <c r="Z1579" s="1737">
        <f t="shared" si="737"/>
        <v>0</v>
      </c>
    </row>
    <row r="1580" spans="1:42" s="562" customFormat="1" ht="12.75" customHeight="1" thickBot="1">
      <c r="A1580" s="618"/>
      <c r="B1580" s="479"/>
      <c r="C1580" s="977"/>
      <c r="D1580" s="777" t="s">
        <v>1113</v>
      </c>
      <c r="E1580" s="2475" t="s">
        <v>1275</v>
      </c>
      <c r="F1580" s="2410"/>
      <c r="G1580" s="815" t="str">
        <f>EUconst_tCO2pTJ</f>
        <v>t CO2 / TJ</v>
      </c>
      <c r="H1580" s="1479" t="str">
        <f>c_ALR2025!M4186</f>
        <v/>
      </c>
      <c r="I1580" s="1532"/>
      <c r="J1580" s="1811"/>
      <c r="K1580" s="1751"/>
      <c r="L1580" s="1751"/>
      <c r="M1580" s="1751"/>
      <c r="N1580" s="1752"/>
      <c r="O1580" s="485"/>
      <c r="P1580" s="9">
        <v>0</v>
      </c>
      <c r="Q1580" s="1644" t="str">
        <f>EUconst_CNTR_WGImportEF &amp; I1301</f>
        <v>WasteGasImEF_</v>
      </c>
      <c r="R1580" s="1435"/>
      <c r="S1580" s="1753" t="str">
        <f>EUconst_CNTR_AttributedEmissions &amp; I1301</f>
        <v>AttrEmissions_</v>
      </c>
      <c r="T1580" s="1743" t="str">
        <f t="shared" ref="T1580:Z1580" si="738">IF(T1309,SUM(H1579)*EUconst_FuelBMvalue,"")</f>
        <v/>
      </c>
      <c r="U1580" s="1743" t="str">
        <f t="shared" si="738"/>
        <v/>
      </c>
      <c r="V1580" s="1743" t="str">
        <f t="shared" si="738"/>
        <v/>
      </c>
      <c r="W1580" s="1743" t="str">
        <f t="shared" si="738"/>
        <v/>
      </c>
      <c r="X1580" s="1743" t="str">
        <f t="shared" si="738"/>
        <v/>
      </c>
      <c r="Y1580" s="1743" t="str">
        <f t="shared" si="738"/>
        <v/>
      </c>
      <c r="Z1580" s="1744" t="str">
        <f t="shared" si="738"/>
        <v/>
      </c>
      <c r="AA1580" s="1435"/>
      <c r="AB1580" s="1641" t="s">
        <v>717</v>
      </c>
      <c r="AC1580" s="1443" t="b">
        <f>AC1578</f>
        <v>0</v>
      </c>
      <c r="AD1580" s="1443" t="b">
        <f t="shared" ref="AD1580:AI1580" si="739">AD1578</f>
        <v>0</v>
      </c>
      <c r="AE1580" s="1443" t="b">
        <f t="shared" si="739"/>
        <v>0</v>
      </c>
      <c r="AF1580" s="1443" t="b">
        <f t="shared" si="739"/>
        <v>0</v>
      </c>
      <c r="AG1580" s="1443" t="b">
        <f t="shared" si="739"/>
        <v>0</v>
      </c>
      <c r="AH1580" s="1443" t="b">
        <f t="shared" si="739"/>
        <v>0</v>
      </c>
      <c r="AI1580" s="1443" t="b">
        <f t="shared" si="739"/>
        <v>0</v>
      </c>
      <c r="AJ1580" s="1633" t="s">
        <v>1954</v>
      </c>
      <c r="AK1580" s="1635" t="str">
        <f>IF(AND(CNTR_ExistSubInstEntries,MSconst_RequireSubAttrEmissions,COUNTIFS(AC1580:AI1580,FALSE,H1580:N1580,"")&gt;0),EUconst_Error&amp;"BM"&amp;$Q1301,"")</f>
        <v/>
      </c>
      <c r="AL1580" s="1198"/>
      <c r="AP1580" s="1135"/>
    </row>
    <row r="1581" spans="1:42" ht="12.75" customHeight="1">
      <c r="B1581" s="479"/>
      <c r="C1581" s="977"/>
      <c r="D1581" s="981"/>
      <c r="E1581" s="981"/>
      <c r="F1581" s="981"/>
      <c r="G1581" s="981"/>
      <c r="H1581" s="983"/>
      <c r="I1581" s="981"/>
      <c r="J1581" s="981"/>
      <c r="K1581" s="981"/>
      <c r="L1581" s="981"/>
      <c r="M1581" s="813"/>
      <c r="N1581" s="814"/>
      <c r="O1581" s="485"/>
      <c r="P1581" s="485"/>
      <c r="Q1581" s="1435"/>
      <c r="S1581" s="1435"/>
      <c r="T1581" s="1435"/>
      <c r="U1581" s="1435"/>
      <c r="V1581" s="1435"/>
    </row>
    <row r="1582" spans="1:42" ht="12.75" customHeight="1">
      <c r="B1582" s="479"/>
      <c r="C1582" s="977"/>
      <c r="D1582" s="777" t="s">
        <v>1114</v>
      </c>
      <c r="E1582" s="2649" t="s">
        <v>1217</v>
      </c>
      <c r="F1582" s="2391"/>
      <c r="G1582" s="2391"/>
      <c r="H1582" s="2512"/>
      <c r="I1582" s="3211" t="str">
        <f>c_ALR2025!I4188</f>
        <v/>
      </c>
      <c r="J1582" s="3206"/>
      <c r="K1582" s="3206"/>
      <c r="L1582" s="3206"/>
      <c r="M1582" s="3207"/>
      <c r="N1582" s="979"/>
      <c r="O1582" s="485"/>
      <c r="P1582" s="9">
        <v>0</v>
      </c>
      <c r="Q1582" s="1435"/>
      <c r="S1582" s="1435"/>
      <c r="AC1582" s="1641" t="s">
        <v>717</v>
      </c>
      <c r="AD1582" s="1443" t="b">
        <f>AD1573</f>
        <v>0</v>
      </c>
    </row>
    <row r="1583" spans="1:42" ht="12.75" customHeight="1">
      <c r="B1583" s="479"/>
      <c r="C1583" s="977"/>
      <c r="D1583" s="777"/>
      <c r="E1583" s="3272" t="s">
        <v>2298</v>
      </c>
      <c r="F1583" s="2380"/>
      <c r="G1583" s="2380"/>
      <c r="H1583" s="2380"/>
      <c r="I1583" s="2380"/>
      <c r="J1583" s="2380"/>
      <c r="K1583" s="2380"/>
      <c r="L1583" s="2380"/>
      <c r="M1583" s="2380"/>
      <c r="N1583" s="3268"/>
      <c r="O1583" s="485"/>
      <c r="P1583" s="485"/>
      <c r="Q1583" s="1435"/>
      <c r="S1583" s="1435"/>
      <c r="T1583" s="1435"/>
      <c r="U1583" s="1435"/>
      <c r="V1583" s="1435"/>
    </row>
    <row r="1584" spans="1:42" ht="25.5" customHeight="1">
      <c r="B1584" s="479"/>
      <c r="C1584" s="977"/>
      <c r="D1584" s="777"/>
      <c r="E1584" s="3267" t="s">
        <v>1317</v>
      </c>
      <c r="F1584" s="2380"/>
      <c r="G1584" s="2380"/>
      <c r="H1584" s="2380"/>
      <c r="I1584" s="2380"/>
      <c r="J1584" s="2380"/>
      <c r="K1584" s="2380"/>
      <c r="L1584" s="2380"/>
      <c r="M1584" s="2380"/>
      <c r="N1584" s="3268"/>
      <c r="O1584" s="485"/>
      <c r="P1584" s="485"/>
      <c r="Q1584" s="1435"/>
      <c r="S1584" s="1435"/>
      <c r="T1584" s="1435"/>
      <c r="U1584" s="1435"/>
      <c r="V1584" s="1435"/>
    </row>
    <row r="1585" spans="1:42" ht="12.75" customHeight="1" thickBot="1">
      <c r="B1585" s="479"/>
      <c r="C1585" s="977"/>
      <c r="D1585" s="981"/>
      <c r="E1585" s="989"/>
      <c r="F1585" s="990"/>
      <c r="G1585" s="987" t="str">
        <f>EUconst_Unit</f>
        <v>Unit</v>
      </c>
      <c r="H1585" s="782">
        <f t="shared" ref="H1585:N1585" si="740">H$3242</f>
        <v>2024</v>
      </c>
      <c r="I1585" s="988">
        <f t="shared" si="740"/>
        <v>2025</v>
      </c>
      <c r="J1585" s="1810">
        <f t="shared" si="740"/>
        <v>2026</v>
      </c>
      <c r="K1585" s="1747">
        <f t="shared" si="740"/>
        <v>2027</v>
      </c>
      <c r="L1585" s="1747">
        <f t="shared" si="740"/>
        <v>2028</v>
      </c>
      <c r="M1585" s="1747">
        <f t="shared" si="740"/>
        <v>2029</v>
      </c>
      <c r="N1585" s="1748">
        <f t="shared" si="740"/>
        <v>2030</v>
      </c>
      <c r="O1585" s="485"/>
      <c r="P1585" s="485"/>
      <c r="Q1585" s="1435"/>
      <c r="S1585" s="1435"/>
      <c r="T1585" s="1435"/>
      <c r="U1585" s="1435"/>
      <c r="V1585" s="1435"/>
      <c r="AC1585" s="1638">
        <f t="shared" ref="AC1585:AI1585" si="741">H$20</f>
        <v>2024</v>
      </c>
      <c r="AD1585" s="1638">
        <f t="shared" si="741"/>
        <v>2025</v>
      </c>
      <c r="AE1585" s="1638">
        <f t="shared" si="741"/>
        <v>2026</v>
      </c>
      <c r="AF1585" s="1638">
        <f t="shared" si="741"/>
        <v>2027</v>
      </c>
      <c r="AG1585" s="1638">
        <f t="shared" si="741"/>
        <v>2028</v>
      </c>
      <c r="AH1585" s="1638">
        <f t="shared" si="741"/>
        <v>2029</v>
      </c>
      <c r="AI1585" s="1638">
        <f t="shared" si="741"/>
        <v>2030</v>
      </c>
    </row>
    <row r="1586" spans="1:42" ht="12.75" customHeight="1">
      <c r="B1586" s="479"/>
      <c r="C1586" s="977"/>
      <c r="D1586" s="777" t="s">
        <v>1115</v>
      </c>
      <c r="E1586" s="2471" t="s">
        <v>1304</v>
      </c>
      <c r="F1586" s="2472"/>
      <c r="G1586" s="1763" t="str">
        <f>c_ALR2025!G4192</f>
        <v/>
      </c>
      <c r="H1586" s="1552" t="str">
        <f>c_ALR2025!M4192</f>
        <v/>
      </c>
      <c r="I1586" s="1611"/>
      <c r="J1586" s="1811"/>
      <c r="K1586" s="1751"/>
      <c r="L1586" s="1751"/>
      <c r="M1586" s="1751"/>
      <c r="N1586" s="1752"/>
      <c r="O1586" s="485"/>
      <c r="P1586" s="9">
        <v>0</v>
      </c>
      <c r="Q1586" s="1435"/>
      <c r="S1586" s="1435"/>
      <c r="T1586" s="1435"/>
      <c r="U1586" s="1435"/>
      <c r="V1586" s="1435"/>
      <c r="AB1586" s="1641" t="s">
        <v>717</v>
      </c>
      <c r="AC1586" s="1443" t="b">
        <f>AC1533</f>
        <v>0</v>
      </c>
      <c r="AD1586" s="1443" t="b">
        <f t="shared" ref="AD1586:AI1586" si="742">AD1533</f>
        <v>0</v>
      </c>
      <c r="AE1586" s="1443" t="b">
        <f t="shared" si="742"/>
        <v>0</v>
      </c>
      <c r="AF1586" s="1443" t="b">
        <f t="shared" si="742"/>
        <v>0</v>
      </c>
      <c r="AG1586" s="1443" t="b">
        <f t="shared" si="742"/>
        <v>0</v>
      </c>
      <c r="AH1586" s="1443" t="b">
        <f t="shared" si="742"/>
        <v>0</v>
      </c>
      <c r="AI1586" s="1443" t="b">
        <f t="shared" si="742"/>
        <v>0</v>
      </c>
      <c r="AJ1586" s="1633" t="s">
        <v>1954</v>
      </c>
      <c r="AK1586" s="1635" t="str">
        <f>IF(AND(CNTR_ExistSubInstEntries,MSconst_RequireSubAttrEmissions,COUNTIFS(AC1586:AI1586,FALSE,H1586:N1586,"")&gt;0),EUconst_Error&amp;"BM"&amp;$Q1301,"")</f>
        <v/>
      </c>
    </row>
    <row r="1587" spans="1:42" ht="12.75" customHeight="1" thickBot="1">
      <c r="B1587" s="479"/>
      <c r="C1587" s="977"/>
      <c r="D1587" s="777" t="s">
        <v>1561</v>
      </c>
      <c r="E1587" s="2473" t="s">
        <v>661</v>
      </c>
      <c r="F1587" s="2474"/>
      <c r="G1587" s="1008" t="e">
        <f>IF(ISBLANK(G1586),EUconst_GJperUnit,INDEX(EUconst_GJperTorKNm3,MATCH(G1586,EUconst_TonnesOrkNm3pa,0)))</f>
        <v>#N/A</v>
      </c>
      <c r="H1587" s="1558" t="str">
        <f>c_ALR2025!M4193</f>
        <v/>
      </c>
      <c r="I1587" s="1884"/>
      <c r="J1587" s="1811"/>
      <c r="K1587" s="1751"/>
      <c r="L1587" s="1751"/>
      <c r="M1587" s="1751"/>
      <c r="N1587" s="1752"/>
      <c r="O1587" s="485"/>
      <c r="P1587" s="9">
        <v>0</v>
      </c>
      <c r="Q1587" s="1435"/>
      <c r="S1587" s="1435"/>
      <c r="T1587" s="1435"/>
      <c r="U1587" s="1435"/>
      <c r="V1587" s="1435"/>
      <c r="AC1587" s="1443" t="b">
        <f>AC1586</f>
        <v>0</v>
      </c>
      <c r="AD1587" s="1443" t="b">
        <f t="shared" ref="AD1587:AI1587" si="743">AD1586</f>
        <v>0</v>
      </c>
      <c r="AE1587" s="1443" t="b">
        <f t="shared" si="743"/>
        <v>0</v>
      </c>
      <c r="AF1587" s="1443" t="b">
        <f t="shared" si="743"/>
        <v>0</v>
      </c>
      <c r="AG1587" s="1443" t="b">
        <f t="shared" si="743"/>
        <v>0</v>
      </c>
      <c r="AH1587" s="1443" t="b">
        <f t="shared" si="743"/>
        <v>0</v>
      </c>
      <c r="AI1587" s="1443" t="b">
        <f t="shared" si="743"/>
        <v>0</v>
      </c>
      <c r="AJ1587" s="1633" t="s">
        <v>1954</v>
      </c>
      <c r="AK1587" s="1635" t="str">
        <f>IF(AND(CNTR_ExistSubInstEntries,MSconst_RequireSubAttrEmissions,COUNTIFS(AC1587:AI1587,FALSE,H1587:N1587,"")&gt;0),EUconst_Error&amp;"BM"&amp;$Q1301,"")</f>
        <v/>
      </c>
    </row>
    <row r="1588" spans="1:42" ht="12.75" customHeight="1">
      <c r="B1588" s="479"/>
      <c r="C1588" s="977"/>
      <c r="D1588" s="777" t="s">
        <v>1599</v>
      </c>
      <c r="E1588" s="2475" t="s">
        <v>1080</v>
      </c>
      <c r="F1588" s="2410"/>
      <c r="G1588" s="815" t="str">
        <f>EUconst_TJpa</f>
        <v>TJ / year</v>
      </c>
      <c r="H1588" s="646" t="str">
        <f t="shared" ref="H1588:N1588" si="744">IF(COUNT(H1586:H1587)=2,H1586*H1587/1000,"")</f>
        <v/>
      </c>
      <c r="I1588" s="949" t="str">
        <f t="shared" si="744"/>
        <v/>
      </c>
      <c r="J1588" s="1811" t="str">
        <f t="shared" si="744"/>
        <v/>
      </c>
      <c r="K1588" s="1751" t="str">
        <f t="shared" si="744"/>
        <v/>
      </c>
      <c r="L1588" s="1751" t="str">
        <f t="shared" si="744"/>
        <v/>
      </c>
      <c r="M1588" s="1751" t="str">
        <f t="shared" si="744"/>
        <v/>
      </c>
      <c r="N1588" s="1752" t="str">
        <f t="shared" si="744"/>
        <v/>
      </c>
      <c r="O1588" s="485"/>
      <c r="P1588" s="485"/>
      <c r="Q1588" s="1644" t="str">
        <f>EUconst_CNTR_WGExport &amp; I1301</f>
        <v>WasteGasEx_</v>
      </c>
      <c r="S1588" s="1648"/>
      <c r="T1588" s="1749">
        <f t="shared" ref="T1588:Z1588" si="745">H1585</f>
        <v>2024</v>
      </c>
      <c r="U1588" s="1749">
        <f t="shared" si="745"/>
        <v>2025</v>
      </c>
      <c r="V1588" s="1749">
        <f t="shared" si="745"/>
        <v>2026</v>
      </c>
      <c r="W1588" s="1749">
        <f t="shared" si="745"/>
        <v>2027</v>
      </c>
      <c r="X1588" s="1749">
        <f t="shared" si="745"/>
        <v>2028</v>
      </c>
      <c r="Y1588" s="1749">
        <f t="shared" si="745"/>
        <v>2029</v>
      </c>
      <c r="Z1588" s="1750">
        <f t="shared" si="745"/>
        <v>2030</v>
      </c>
    </row>
    <row r="1589" spans="1:42" s="562" customFormat="1" ht="12.75" customHeight="1" thickBot="1">
      <c r="A1589" s="1116"/>
      <c r="B1589" s="479"/>
      <c r="C1589" s="977"/>
      <c r="D1589" s="777" t="s">
        <v>1600</v>
      </c>
      <c r="E1589" s="2475" t="s">
        <v>1276</v>
      </c>
      <c r="F1589" s="2410"/>
      <c r="G1589" s="815" t="str">
        <f>EUconst_tCO2pTJ</f>
        <v>t CO2 / TJ</v>
      </c>
      <c r="H1589" s="1479" t="str">
        <f>c_ALR2025!M4195</f>
        <v/>
      </c>
      <c r="I1589" s="1532"/>
      <c r="J1589" s="1811"/>
      <c r="K1589" s="1751"/>
      <c r="L1589" s="1751"/>
      <c r="M1589" s="1751"/>
      <c r="N1589" s="1752"/>
      <c r="O1589" s="485"/>
      <c r="P1589" s="9">
        <v>0</v>
      </c>
      <c r="Q1589" s="1644" t="str">
        <f>EUconst_CNTR_WGExportEF &amp; I1301</f>
        <v>WasteGasExEF_</v>
      </c>
      <c r="R1589" s="1435"/>
      <c r="S1589" s="1753" t="str">
        <f>EUconst_CNTR_AttributedEmissions &amp; I1301</f>
        <v>AttrEmissions_</v>
      </c>
      <c r="T1589" s="1743" t="str">
        <f t="shared" ref="T1589:Z1589" si="746">IF(T1309,-SUM(H1588)*EUconst_NGEFvalue*EUconst_WasteGasCorrFactor,"")</f>
        <v/>
      </c>
      <c r="U1589" s="1743" t="str">
        <f t="shared" si="746"/>
        <v/>
      </c>
      <c r="V1589" s="1743" t="str">
        <f t="shared" si="746"/>
        <v/>
      </c>
      <c r="W1589" s="1743" t="str">
        <f t="shared" si="746"/>
        <v/>
      </c>
      <c r="X1589" s="1743" t="str">
        <f t="shared" si="746"/>
        <v/>
      </c>
      <c r="Y1589" s="1743" t="str">
        <f t="shared" si="746"/>
        <v/>
      </c>
      <c r="Z1589" s="1744" t="str">
        <f t="shared" si="746"/>
        <v/>
      </c>
      <c r="AA1589" s="1435"/>
      <c r="AB1589" s="1641" t="s">
        <v>717</v>
      </c>
      <c r="AC1589" s="1443" t="b">
        <f t="shared" ref="AC1589:AI1589" si="747">AC1536</f>
        <v>0</v>
      </c>
      <c r="AD1589" s="1443" t="b">
        <f t="shared" si="747"/>
        <v>0</v>
      </c>
      <c r="AE1589" s="1443" t="b">
        <f t="shared" si="747"/>
        <v>0</v>
      </c>
      <c r="AF1589" s="1443" t="b">
        <f t="shared" si="747"/>
        <v>0</v>
      </c>
      <c r="AG1589" s="1443" t="b">
        <f t="shared" si="747"/>
        <v>0</v>
      </c>
      <c r="AH1589" s="1443" t="b">
        <f t="shared" si="747"/>
        <v>0</v>
      </c>
      <c r="AI1589" s="1443" t="b">
        <f t="shared" si="747"/>
        <v>0</v>
      </c>
      <c r="AJ1589" s="1633" t="s">
        <v>1954</v>
      </c>
      <c r="AK1589" s="1635" t="str">
        <f>IF(AND(CNTR_ExistSubInstEntries,MSconst_RequireSubAttrEmissions,COUNTIFS(AC1589:AI1589,FALSE,H1589:N1589,"")&gt;0),EUconst_Error&amp;"BM"&amp;$Q1301,"")</f>
        <v/>
      </c>
      <c r="AL1589" s="1198"/>
      <c r="AP1589" s="1135"/>
    </row>
    <row r="1590" spans="1:42" ht="12.75" customHeight="1">
      <c r="B1590" s="479"/>
      <c r="C1590" s="977"/>
      <c r="D1590" s="981"/>
      <c r="E1590" s="981"/>
      <c r="F1590" s="981"/>
      <c r="G1590" s="981"/>
      <c r="H1590" s="981"/>
      <c r="I1590" s="983"/>
      <c r="J1590" s="981"/>
      <c r="K1590" s="981"/>
      <c r="L1590" s="981"/>
      <c r="M1590" s="981"/>
      <c r="N1590" s="814"/>
      <c r="O1590" s="485"/>
      <c r="P1590" s="485"/>
      <c r="Q1590" s="1435"/>
      <c r="S1590" s="1435"/>
    </row>
    <row r="1591" spans="1:42" ht="12.75" customHeight="1">
      <c r="B1591" s="479"/>
      <c r="C1591" s="977"/>
      <c r="D1591" s="982" t="s">
        <v>482</v>
      </c>
      <c r="E1591" s="2649" t="s">
        <v>1127</v>
      </c>
      <c r="F1591" s="2391"/>
      <c r="G1591" s="2391"/>
      <c r="H1591" s="2391"/>
      <c r="I1591" s="2391"/>
      <c r="J1591" s="2391"/>
      <c r="K1591" s="2391"/>
      <c r="L1591" s="2391"/>
      <c r="M1591" s="2391"/>
      <c r="N1591" s="2650"/>
      <c r="O1591" s="485"/>
      <c r="P1591" s="485"/>
      <c r="Q1591" s="1435"/>
      <c r="S1591" s="1435"/>
    </row>
    <row r="1592" spans="1:42" ht="12.75" customHeight="1">
      <c r="B1592" s="479"/>
      <c r="C1592" s="977"/>
      <c r="D1592" s="777"/>
      <c r="E1592" s="3272" t="s">
        <v>2299</v>
      </c>
      <c r="F1592" s="2380"/>
      <c r="G1592" s="2380"/>
      <c r="H1592" s="2380"/>
      <c r="I1592" s="2380"/>
      <c r="J1592" s="2380"/>
      <c r="K1592" s="2380"/>
      <c r="L1592" s="2380"/>
      <c r="M1592" s="2380"/>
      <c r="N1592" s="3268"/>
      <c r="O1592" s="485"/>
      <c r="P1592" s="485"/>
      <c r="Q1592" s="1435"/>
      <c r="S1592" s="1435"/>
      <c r="T1592" s="1435"/>
      <c r="U1592" s="1435"/>
      <c r="V1592" s="1435"/>
    </row>
    <row r="1593" spans="1:42" ht="25.5" customHeight="1" thickBot="1">
      <c r="B1593" s="479"/>
      <c r="C1593" s="977"/>
      <c r="D1593" s="981"/>
      <c r="E1593" s="3267" t="s">
        <v>2331</v>
      </c>
      <c r="F1593" s="2380"/>
      <c r="G1593" s="2380"/>
      <c r="H1593" s="2380"/>
      <c r="I1593" s="2380"/>
      <c r="J1593" s="2380"/>
      <c r="K1593" s="2380"/>
      <c r="L1593" s="2380"/>
      <c r="M1593" s="2380"/>
      <c r="N1593" s="3268"/>
      <c r="O1593" s="485"/>
      <c r="P1593" s="485"/>
      <c r="Q1593" s="1435"/>
      <c r="S1593" s="1435"/>
    </row>
    <row r="1594" spans="1:42" ht="12.75" customHeight="1" thickBot="1">
      <c r="B1594" s="479"/>
      <c r="C1594" s="977"/>
      <c r="D1594" s="982"/>
      <c r="E1594" s="989"/>
      <c r="F1594" s="990"/>
      <c r="G1594" s="987" t="str">
        <f>EUconst_Unit</f>
        <v>Unit</v>
      </c>
      <c r="H1594" s="782">
        <f t="shared" ref="H1594:N1594" si="748">H$3242</f>
        <v>2024</v>
      </c>
      <c r="I1594" s="988">
        <f t="shared" si="748"/>
        <v>2025</v>
      </c>
      <c r="J1594" s="1810">
        <f t="shared" si="748"/>
        <v>2026</v>
      </c>
      <c r="K1594" s="1747">
        <f t="shared" si="748"/>
        <v>2027</v>
      </c>
      <c r="L1594" s="1747">
        <f t="shared" si="748"/>
        <v>2028</v>
      </c>
      <c r="M1594" s="1747">
        <f t="shared" si="748"/>
        <v>2029</v>
      </c>
      <c r="N1594" s="1748">
        <f t="shared" si="748"/>
        <v>2030</v>
      </c>
      <c r="O1594" s="485"/>
      <c r="P1594" s="485"/>
      <c r="Q1594" s="1435"/>
      <c r="S1594" s="1648"/>
      <c r="T1594" s="1749">
        <f t="shared" ref="T1594:Z1594" si="749">H1594</f>
        <v>2024</v>
      </c>
      <c r="U1594" s="1749">
        <f t="shared" si="749"/>
        <v>2025</v>
      </c>
      <c r="V1594" s="1749">
        <f t="shared" si="749"/>
        <v>2026</v>
      </c>
      <c r="W1594" s="1749">
        <f t="shared" si="749"/>
        <v>2027</v>
      </c>
      <c r="X1594" s="1749">
        <f t="shared" si="749"/>
        <v>2028</v>
      </c>
      <c r="Y1594" s="1749">
        <f t="shared" si="749"/>
        <v>2029</v>
      </c>
      <c r="Z1594" s="1750">
        <f t="shared" si="749"/>
        <v>2030</v>
      </c>
      <c r="AC1594" s="1638">
        <f t="shared" ref="AC1594:AI1594" si="750">H$20</f>
        <v>2024</v>
      </c>
      <c r="AD1594" s="1638">
        <f t="shared" si="750"/>
        <v>2025</v>
      </c>
      <c r="AE1594" s="1638">
        <f t="shared" si="750"/>
        <v>2026</v>
      </c>
      <c r="AF1594" s="1638">
        <f t="shared" si="750"/>
        <v>2027</v>
      </c>
      <c r="AG1594" s="1638">
        <f t="shared" si="750"/>
        <v>2028</v>
      </c>
      <c r="AH1594" s="1638">
        <f t="shared" si="750"/>
        <v>2029</v>
      </c>
      <c r="AI1594" s="1638">
        <f t="shared" si="750"/>
        <v>2030</v>
      </c>
    </row>
    <row r="1595" spans="1:42" ht="12.75" customHeight="1" thickBot="1">
      <c r="B1595" s="479"/>
      <c r="C1595" s="977"/>
      <c r="D1595" s="777"/>
      <c r="E1595" s="2475" t="s">
        <v>1354</v>
      </c>
      <c r="F1595" s="2410"/>
      <c r="G1595" s="815" t="str">
        <f>EUconst_MWhpa</f>
        <v>MWh / year</v>
      </c>
      <c r="H1595" s="1479" t="str">
        <f>c_ALR2025!M4201</f>
        <v/>
      </c>
      <c r="I1595" s="1532"/>
      <c r="J1595" s="1811"/>
      <c r="K1595" s="1751"/>
      <c r="L1595" s="1751"/>
      <c r="M1595" s="1751"/>
      <c r="N1595" s="1752"/>
      <c r="O1595" s="485"/>
      <c r="P1595" s="9">
        <v>0</v>
      </c>
      <c r="Q1595" s="1644" t="str">
        <f>EUconst_CNTR_ElectricityExported &amp; I1301</f>
        <v>ElecEx_</v>
      </c>
      <c r="S1595" s="1753" t="str">
        <f>EUconst_CNTR_AttributedEmissions &amp; I1301</f>
        <v>AttrEmissions_</v>
      </c>
      <c r="T1595" s="1743" t="str">
        <f t="shared" ref="T1595:Z1595" si="751">IF(T1309,-SUM(H1595)*EUconst_ElBM,"")</f>
        <v/>
      </c>
      <c r="U1595" s="1743" t="str">
        <f t="shared" si="751"/>
        <v/>
      </c>
      <c r="V1595" s="1743" t="str">
        <f t="shared" si="751"/>
        <v/>
      </c>
      <c r="W1595" s="1743" t="str">
        <f t="shared" si="751"/>
        <v/>
      </c>
      <c r="X1595" s="1743" t="str">
        <f t="shared" si="751"/>
        <v/>
      </c>
      <c r="Y1595" s="1743" t="str">
        <f t="shared" si="751"/>
        <v/>
      </c>
      <c r="Z1595" s="1744" t="str">
        <f t="shared" si="751"/>
        <v/>
      </c>
      <c r="AB1595" s="1641" t="s">
        <v>717</v>
      </c>
      <c r="AC1595" s="1443" t="b">
        <f>AC1371</f>
        <v>0</v>
      </c>
      <c r="AD1595" s="1443" t="b">
        <f t="shared" ref="AD1595:AI1595" si="752">AD1371</f>
        <v>0</v>
      </c>
      <c r="AE1595" s="1443" t="b">
        <f t="shared" si="752"/>
        <v>0</v>
      </c>
      <c r="AF1595" s="1443" t="b">
        <f t="shared" si="752"/>
        <v>0</v>
      </c>
      <c r="AG1595" s="1443" t="b">
        <f t="shared" si="752"/>
        <v>0</v>
      </c>
      <c r="AH1595" s="1443" t="b">
        <f t="shared" si="752"/>
        <v>0</v>
      </c>
      <c r="AI1595" s="1443" t="b">
        <f t="shared" si="752"/>
        <v>0</v>
      </c>
      <c r="AJ1595" s="1633" t="s">
        <v>1954</v>
      </c>
      <c r="AK1595" s="1635" t="str">
        <f>IF(AND(CNTR_ExistSubInstEntries,MSconst_RequireSubAttrEmissions,COUNTIFS(AC1595:AI1595,FALSE,H1595:N1595,"")&gt;0),EUconst_Error&amp;"BM"&amp;$Q1301,"")</f>
        <v/>
      </c>
    </row>
    <row r="1596" spans="1:42" ht="12.75" customHeight="1">
      <c r="B1596" s="479"/>
      <c r="C1596" s="977"/>
      <c r="D1596" s="981"/>
      <c r="E1596" s="981"/>
      <c r="F1596" s="981"/>
      <c r="G1596" s="981"/>
      <c r="H1596" s="981"/>
      <c r="I1596" s="983"/>
      <c r="J1596" s="981"/>
      <c r="K1596" s="981"/>
      <c r="L1596" s="981"/>
      <c r="M1596" s="981"/>
      <c r="N1596" s="814"/>
      <c r="O1596" s="485"/>
      <c r="P1596" s="485"/>
      <c r="Q1596" s="1435"/>
      <c r="S1596" s="1435"/>
      <c r="V1596" s="1435"/>
    </row>
    <row r="1597" spans="1:42" ht="12.75" customHeight="1">
      <c r="B1597" s="479"/>
      <c r="C1597" s="977"/>
      <c r="D1597" s="982" t="s">
        <v>245</v>
      </c>
      <c r="E1597" s="2649" t="s">
        <v>1157</v>
      </c>
      <c r="F1597" s="2391"/>
      <c r="G1597" s="2391"/>
      <c r="H1597" s="2391"/>
      <c r="I1597" s="2391"/>
      <c r="J1597" s="2391"/>
      <c r="K1597" s="2391"/>
      <c r="L1597" s="2391"/>
      <c r="M1597" s="2391"/>
      <c r="N1597" s="2650"/>
      <c r="O1597" s="485"/>
      <c r="P1597" s="485"/>
      <c r="V1597" s="1435"/>
    </row>
    <row r="1598" spans="1:42" ht="25.5" customHeight="1">
      <c r="B1598" s="479"/>
      <c r="C1598" s="977"/>
      <c r="D1598" s="981"/>
      <c r="E1598" s="3267" t="s">
        <v>1264</v>
      </c>
      <c r="F1598" s="2380"/>
      <c r="G1598" s="2380"/>
      <c r="H1598" s="2380"/>
      <c r="I1598" s="2380"/>
      <c r="J1598" s="2380"/>
      <c r="K1598" s="2380"/>
      <c r="L1598" s="2380"/>
      <c r="M1598" s="2380"/>
      <c r="N1598" s="3268"/>
      <c r="O1598" s="485"/>
      <c r="P1598" s="485"/>
      <c r="Q1598" s="1435"/>
      <c r="S1598" s="1435"/>
      <c r="V1598" s="1435"/>
    </row>
    <row r="1599" spans="1:42" ht="12.75" customHeight="1">
      <c r="B1599" s="479"/>
      <c r="C1599" s="977"/>
      <c r="D1599" s="981"/>
      <c r="E1599" s="3267" t="s">
        <v>1563</v>
      </c>
      <c r="F1599" s="2380"/>
      <c r="G1599" s="2380"/>
      <c r="H1599" s="2380"/>
      <c r="I1599" s="2380"/>
      <c r="J1599" s="2380"/>
      <c r="K1599" s="2380"/>
      <c r="L1599" s="2380"/>
      <c r="M1599" s="2380"/>
      <c r="N1599" s="3268"/>
      <c r="O1599" s="485"/>
      <c r="P1599" s="485"/>
      <c r="Q1599" s="1435"/>
      <c r="S1599" s="1435"/>
      <c r="V1599" s="1435"/>
    </row>
    <row r="1600" spans="1:42" ht="12.75" customHeight="1" thickBot="1">
      <c r="B1600" s="479"/>
      <c r="C1600" s="977"/>
      <c r="D1600" s="777"/>
      <c r="E1600" s="3283" t="s">
        <v>1598</v>
      </c>
      <c r="F1600" s="3284"/>
      <c r="G1600" s="3284"/>
      <c r="H1600" s="3284"/>
      <c r="I1600" s="3284"/>
      <c r="J1600" s="2380"/>
      <c r="K1600" s="2380"/>
      <c r="L1600" s="2380"/>
      <c r="M1600" s="2380"/>
      <c r="N1600" s="3268"/>
      <c r="O1600" s="485"/>
      <c r="P1600" s="485"/>
      <c r="Q1600" s="1435"/>
      <c r="S1600" s="1435"/>
      <c r="V1600" s="1435"/>
      <c r="AC1600" s="1638">
        <f t="shared" ref="AC1600:AI1600" si="753">H$20</f>
        <v>2024</v>
      </c>
      <c r="AD1600" s="1638">
        <f t="shared" si="753"/>
        <v>2025</v>
      </c>
      <c r="AE1600" s="1638">
        <f t="shared" si="753"/>
        <v>2026</v>
      </c>
      <c r="AF1600" s="1638">
        <f t="shared" si="753"/>
        <v>2027</v>
      </c>
      <c r="AG1600" s="1638">
        <f t="shared" si="753"/>
        <v>2028</v>
      </c>
      <c r="AH1600" s="1638">
        <f t="shared" si="753"/>
        <v>2029</v>
      </c>
      <c r="AI1600" s="1638">
        <f t="shared" si="753"/>
        <v>2030</v>
      </c>
    </row>
    <row r="1601" spans="2:37" ht="12.75" customHeight="1">
      <c r="B1601" s="479"/>
      <c r="C1601" s="977"/>
      <c r="D1601" s="777"/>
      <c r="E1601" s="3285" t="str">
        <f>IF(I1301="","",IF(INDEX(EUconst_BMlistPulp,MATCH(I1301,EUconst_BMlistNames,0)),I1301,""))</f>
        <v/>
      </c>
      <c r="F1601" s="2410"/>
      <c r="G1601" s="815" t="str">
        <f>EUconst_Tons</f>
        <v>tonnes</v>
      </c>
      <c r="H1601" s="1869"/>
      <c r="I1601" s="1532"/>
      <c r="J1601" s="1811"/>
      <c r="K1601" s="1751"/>
      <c r="L1601" s="1751"/>
      <c r="M1601" s="1751"/>
      <c r="N1601" s="1752"/>
      <c r="O1601" s="485"/>
      <c r="P1601" s="9">
        <v>0</v>
      </c>
      <c r="Q1601" s="1644" t="str">
        <f>EUconst_CNTR_HALPulpTotal &amp; I1301</f>
        <v>HALPulpTotal_</v>
      </c>
      <c r="S1601" s="1435"/>
      <c r="AB1601" s="1641" t="s">
        <v>717</v>
      </c>
      <c r="AC1601" s="1423" t="b">
        <f t="shared" ref="AC1601:AI1601" si="754">IF($I1301&lt;&gt;"",IF(INDEX(EUconst_BMlistPulp,MATCH($I1301,EUconst_BMlistNames,0))=TRUE,FALSE,TRUE),AC1371)</f>
        <v>0</v>
      </c>
      <c r="AD1601" s="1443" t="b">
        <f t="shared" si="754"/>
        <v>0</v>
      </c>
      <c r="AE1601" s="1443" t="b">
        <f t="shared" si="754"/>
        <v>0</v>
      </c>
      <c r="AF1601" s="1443" t="b">
        <f t="shared" si="754"/>
        <v>0</v>
      </c>
      <c r="AG1601" s="1443" t="b">
        <f t="shared" si="754"/>
        <v>0</v>
      </c>
      <c r="AH1601" s="1443" t="b">
        <f t="shared" si="754"/>
        <v>0</v>
      </c>
      <c r="AI1601" s="1443" t="b">
        <f t="shared" si="754"/>
        <v>0</v>
      </c>
      <c r="AJ1601" s="1633" t="s">
        <v>1954</v>
      </c>
      <c r="AK1601" s="1635" t="str">
        <f>IF(AND(CNTR_ExistSubInstEntries,MSconst_RequireSubAttrEmissions,COUNTIFS(AC1601:AI1601,FALSE,H1601:N1601,"")&gt;0),EUconst_Error&amp;"BM"&amp;$Q1301,"")</f>
        <v/>
      </c>
    </row>
    <row r="1602" spans="2:37" ht="12.75" customHeight="1">
      <c r="B1602" s="479"/>
      <c r="C1602" s="977"/>
      <c r="D1602" s="777"/>
      <c r="E1602" s="777"/>
      <c r="F1602" s="777"/>
      <c r="G1602" s="777"/>
      <c r="H1602" s="983"/>
      <c r="I1602" s="777"/>
      <c r="J1602" s="777"/>
      <c r="K1602" s="777"/>
      <c r="L1602" s="777"/>
      <c r="M1602" s="777"/>
      <c r="N1602" s="1007"/>
      <c r="O1602" s="485"/>
      <c r="P1602" s="485"/>
      <c r="Q1602" s="1435"/>
      <c r="S1602" s="1435"/>
      <c r="V1602" s="1435"/>
    </row>
    <row r="1603" spans="2:37" ht="12.75" customHeight="1">
      <c r="B1603" s="479"/>
      <c r="C1603" s="977"/>
      <c r="D1603" s="982" t="s">
        <v>832</v>
      </c>
      <c r="E1603" s="2649" t="s">
        <v>1142</v>
      </c>
      <c r="F1603" s="2391"/>
      <c r="G1603" s="2391"/>
      <c r="H1603" s="2391"/>
      <c r="I1603" s="2391"/>
      <c r="J1603" s="2391"/>
      <c r="K1603" s="2391"/>
      <c r="L1603" s="2391"/>
      <c r="M1603" s="2391"/>
      <c r="N1603" s="2650"/>
      <c r="O1603" s="485"/>
      <c r="P1603" s="485"/>
      <c r="Q1603" s="1435"/>
      <c r="S1603" s="1435"/>
      <c r="V1603" s="1435"/>
    </row>
    <row r="1604" spans="2:37" ht="25.5" customHeight="1">
      <c r="B1604" s="479"/>
      <c r="C1604" s="977"/>
      <c r="D1604" s="981"/>
      <c r="E1604" s="3267" t="s">
        <v>1366</v>
      </c>
      <c r="F1604" s="2380"/>
      <c r="G1604" s="2380"/>
      <c r="H1604" s="2380"/>
      <c r="I1604" s="2380"/>
      <c r="J1604" s="2380"/>
      <c r="K1604" s="2380"/>
      <c r="L1604" s="2380"/>
      <c r="M1604" s="2380"/>
      <c r="N1604" s="3268"/>
      <c r="O1604" s="485"/>
      <c r="P1604" s="485"/>
      <c r="Q1604" s="1435"/>
      <c r="S1604" s="1435"/>
      <c r="V1604" s="1435"/>
    </row>
    <row r="1605" spans="2:37" ht="12.75" customHeight="1">
      <c r="B1605" s="479"/>
      <c r="C1605" s="977"/>
      <c r="D1605" s="981"/>
      <c r="E1605" s="3272" t="s">
        <v>1610</v>
      </c>
      <c r="F1605" s="2380"/>
      <c r="G1605" s="2380"/>
      <c r="H1605" s="2380"/>
      <c r="I1605" s="2380"/>
      <c r="J1605" s="2380"/>
      <c r="K1605" s="2380"/>
      <c r="L1605" s="2380"/>
      <c r="M1605" s="2380"/>
      <c r="N1605" s="3268"/>
      <c r="O1605" s="485"/>
      <c r="P1605" s="485"/>
      <c r="Q1605" s="1435"/>
      <c r="S1605" s="1435"/>
      <c r="V1605" s="1435"/>
    </row>
    <row r="1606" spans="2:37" ht="12.75" customHeight="1">
      <c r="B1606" s="1124"/>
      <c r="C1606" s="977"/>
      <c r="D1606" s="777" t="s">
        <v>6</v>
      </c>
      <c r="E1606" s="2682" t="s">
        <v>1145</v>
      </c>
      <c r="F1606" s="2391"/>
      <c r="G1606" s="2391"/>
      <c r="H1606" s="2391"/>
      <c r="I1606" s="2391"/>
      <c r="J1606" s="2391"/>
      <c r="K1606" s="2512"/>
      <c r="L1606" s="1478" t="str">
        <f>c_ALR2025!L4212</f>
        <v/>
      </c>
      <c r="M1606" s="813"/>
      <c r="N1606" s="1015"/>
      <c r="O1606" s="485"/>
      <c r="P1606" s="9">
        <v>0</v>
      </c>
      <c r="AF1606" s="1641" t="s">
        <v>717</v>
      </c>
      <c r="AG1606" s="1423" t="b">
        <f>AND(CNTR_ExistSubInstEntries,I1301="")</f>
        <v>0</v>
      </c>
    </row>
    <row r="1607" spans="2:37" ht="5.0999999999999996" customHeight="1">
      <c r="B1607" s="479"/>
      <c r="C1607" s="977"/>
      <c r="D1607" s="777"/>
      <c r="E1607" s="777"/>
      <c r="F1607" s="777"/>
      <c r="G1607" s="777"/>
      <c r="H1607" s="983"/>
      <c r="I1607" s="777"/>
      <c r="J1607" s="777"/>
      <c r="K1607" s="777"/>
      <c r="L1607" s="777"/>
      <c r="M1607" s="777"/>
      <c r="N1607" s="1007"/>
      <c r="O1607" s="485"/>
      <c r="P1607" s="485"/>
      <c r="Q1607" s="1435"/>
      <c r="S1607" s="1435"/>
      <c r="V1607" s="1435"/>
    </row>
    <row r="1608" spans="2:37" ht="12.75" customHeight="1" thickBot="1">
      <c r="B1608" s="479"/>
      <c r="C1608" s="977"/>
      <c r="D1608" s="982"/>
      <c r="E1608" s="2648" t="s">
        <v>1144</v>
      </c>
      <c r="F1608" s="2493"/>
      <c r="G1608" s="778" t="str">
        <f>EUconst_Unit</f>
        <v>Unit</v>
      </c>
      <c r="H1608" s="782">
        <f t="shared" ref="H1608:N1608" si="755">H$3242</f>
        <v>2024</v>
      </c>
      <c r="I1608" s="988">
        <f t="shared" si="755"/>
        <v>2025</v>
      </c>
      <c r="J1608" s="1810">
        <f t="shared" si="755"/>
        <v>2026</v>
      </c>
      <c r="K1608" s="1747">
        <f t="shared" si="755"/>
        <v>2027</v>
      </c>
      <c r="L1608" s="1747">
        <f t="shared" si="755"/>
        <v>2028</v>
      </c>
      <c r="M1608" s="1747">
        <f t="shared" si="755"/>
        <v>2029</v>
      </c>
      <c r="N1608" s="1748">
        <f t="shared" si="755"/>
        <v>2030</v>
      </c>
      <c r="O1608" s="485"/>
      <c r="P1608" s="485"/>
      <c r="Q1608" s="1435"/>
      <c r="S1608" s="1435"/>
      <c r="V1608" s="1435"/>
      <c r="AC1608" s="1638">
        <f t="shared" ref="AC1608:AI1608" si="756">H$20</f>
        <v>2024</v>
      </c>
      <c r="AD1608" s="1638">
        <f t="shared" si="756"/>
        <v>2025</v>
      </c>
      <c r="AE1608" s="1638">
        <f t="shared" si="756"/>
        <v>2026</v>
      </c>
      <c r="AF1608" s="1638">
        <f t="shared" si="756"/>
        <v>2027</v>
      </c>
      <c r="AG1608" s="1638">
        <f t="shared" si="756"/>
        <v>2028</v>
      </c>
      <c r="AH1608" s="1638">
        <f t="shared" si="756"/>
        <v>2029</v>
      </c>
      <c r="AI1608" s="1638">
        <f t="shared" si="756"/>
        <v>2030</v>
      </c>
    </row>
    <row r="1609" spans="2:37" ht="12.75" customHeight="1">
      <c r="B1609" s="479"/>
      <c r="C1609" s="977"/>
      <c r="D1609" s="777" t="s">
        <v>7</v>
      </c>
      <c r="E1609" s="3279"/>
      <c r="F1609" s="3280"/>
      <c r="G1609" s="1016" t="str">
        <f>IF(E1609&lt;&gt;"",INDEX(EUconst_BMlistUnits,MATCH(E1609,EUconst_BMlistNames,0)),EUconst_Tons)</f>
        <v>tonnes</v>
      </c>
      <c r="H1609" s="1774" t="str">
        <f>c_ALR2025!M4215</f>
        <v/>
      </c>
      <c r="I1609" s="1886"/>
      <c r="J1609" s="1812"/>
      <c r="K1609" s="1754"/>
      <c r="L1609" s="1754"/>
      <c r="M1609" s="1754"/>
      <c r="N1609" s="1755"/>
      <c r="O1609" s="485"/>
      <c r="P1609" s="9">
        <v>0</v>
      </c>
      <c r="Q1609" s="1644" t="str">
        <f>EUconst_CNTR_IntermediateImport &amp; S1609 &amp; "_" &amp; I1301</f>
        <v>IntImp_1_</v>
      </c>
      <c r="S1609" s="1644">
        <v>1</v>
      </c>
      <c r="V1609" s="1435"/>
      <c r="AB1609" s="1641" t="s">
        <v>717</v>
      </c>
      <c r="AC1609" s="1423" t="b">
        <f>OR(AND($L1606&lt;&gt;"",$L1606=FALSE),AC1371)</f>
        <v>0</v>
      </c>
      <c r="AD1609" s="1443" t="b">
        <f t="shared" ref="AD1609:AI1609" si="757">OR(AND($L1606&lt;&gt;"",$L1606=FALSE),AD1371)</f>
        <v>0</v>
      </c>
      <c r="AE1609" s="1443" t="b">
        <f t="shared" si="757"/>
        <v>0</v>
      </c>
      <c r="AF1609" s="1443" t="b">
        <f t="shared" si="757"/>
        <v>0</v>
      </c>
      <c r="AG1609" s="1443" t="b">
        <f t="shared" si="757"/>
        <v>0</v>
      </c>
      <c r="AH1609" s="1443" t="b">
        <f t="shared" si="757"/>
        <v>0</v>
      </c>
      <c r="AI1609" s="1443" t="b">
        <f t="shared" si="757"/>
        <v>0</v>
      </c>
      <c r="AJ1609" s="1633" t="s">
        <v>1954</v>
      </c>
      <c r="AK1609" s="1635" t="str">
        <f>IF(AND(CNTR_ExistSubInstEntries,MSconst_RequireSubAttrEmissions,COUNTIFS(AC1609:AI1609,FALSE,H1609:N1609,"")&gt;0),EUconst_Error&amp;"BM"&amp;$Q1301,"")</f>
        <v/>
      </c>
    </row>
    <row r="1610" spans="2:37" ht="12.75" customHeight="1">
      <c r="B1610" s="479"/>
      <c r="C1610" s="977"/>
      <c r="D1610" s="777" t="s">
        <v>8</v>
      </c>
      <c r="E1610" s="3281"/>
      <c r="F1610" s="3282"/>
      <c r="G1610" s="1008" t="str">
        <f>IF(E1610&lt;&gt;"",INDEX(EUconst_BMlistUnits,MATCH(E1610,EUconst_BMlistNames,0)),EUconst_Tons)</f>
        <v>tonnes</v>
      </c>
      <c r="H1610" s="1816" t="str">
        <f>c_ALR2025!M4216</f>
        <v/>
      </c>
      <c r="I1610" s="1887"/>
      <c r="J1610" s="1812"/>
      <c r="K1610" s="1754"/>
      <c r="L1610" s="1754"/>
      <c r="M1610" s="1754"/>
      <c r="N1610" s="1755"/>
      <c r="O1610" s="485"/>
      <c r="P1610" s="9">
        <v>0</v>
      </c>
      <c r="Q1610" s="1644" t="str">
        <f>EUconst_CNTR_IntermediateImport &amp; S1610 &amp; "_" &amp; I1301</f>
        <v>IntImp_2_</v>
      </c>
      <c r="S1610" s="1644">
        <v>2</v>
      </c>
      <c r="V1610" s="1435"/>
      <c r="AC1610" s="1443" t="b">
        <f>AC1609</f>
        <v>0</v>
      </c>
      <c r="AD1610" s="1443" t="b">
        <f t="shared" ref="AD1610:AI1610" si="758">AD1609</f>
        <v>0</v>
      </c>
      <c r="AE1610" s="1443" t="b">
        <f t="shared" si="758"/>
        <v>0</v>
      </c>
      <c r="AF1610" s="1443" t="b">
        <f t="shared" si="758"/>
        <v>0</v>
      </c>
      <c r="AG1610" s="1443" t="b">
        <f t="shared" si="758"/>
        <v>0</v>
      </c>
      <c r="AH1610" s="1443" t="b">
        <f t="shared" si="758"/>
        <v>0</v>
      </c>
      <c r="AI1610" s="1443" t="b">
        <f t="shared" si="758"/>
        <v>0</v>
      </c>
    </row>
    <row r="1611" spans="2:37" ht="5.0999999999999996" customHeight="1">
      <c r="B1611" s="479"/>
      <c r="C1611" s="977"/>
      <c r="D1611" s="777"/>
      <c r="E1611" s="777"/>
      <c r="F1611" s="777"/>
      <c r="G1611" s="777"/>
      <c r="H1611" s="777"/>
      <c r="I1611" s="777"/>
      <c r="J1611" s="1817"/>
      <c r="K1611" s="1776"/>
      <c r="L1611" s="1776"/>
      <c r="M1611" s="1776"/>
      <c r="N1611" s="1777"/>
      <c r="O1611" s="485"/>
      <c r="P1611" s="485"/>
      <c r="Q1611" s="1435"/>
      <c r="S1611" s="1435"/>
      <c r="V1611" s="1435"/>
    </row>
    <row r="1612" spans="2:37" ht="12.75" customHeight="1" thickBot="1">
      <c r="B1612" s="479"/>
      <c r="C1612" s="977"/>
      <c r="D1612" s="982"/>
      <c r="E1612" s="2648" t="s">
        <v>1143</v>
      </c>
      <c r="F1612" s="2493"/>
      <c r="G1612" s="778" t="str">
        <f>EUconst_Unit</f>
        <v>Unit</v>
      </c>
      <c r="H1612" s="782">
        <f t="shared" ref="H1612:N1612" si="759">H$3242</f>
        <v>2024</v>
      </c>
      <c r="I1612" s="988">
        <f t="shared" si="759"/>
        <v>2025</v>
      </c>
      <c r="J1612" s="1810">
        <f t="shared" si="759"/>
        <v>2026</v>
      </c>
      <c r="K1612" s="1747">
        <f t="shared" si="759"/>
        <v>2027</v>
      </c>
      <c r="L1612" s="1747">
        <f t="shared" si="759"/>
        <v>2028</v>
      </c>
      <c r="M1612" s="1747">
        <f t="shared" si="759"/>
        <v>2029</v>
      </c>
      <c r="N1612" s="1748">
        <f t="shared" si="759"/>
        <v>2030</v>
      </c>
      <c r="O1612" s="485"/>
      <c r="P1612" s="485"/>
      <c r="Q1612" s="1435"/>
      <c r="S1612" s="1435"/>
      <c r="V1612" s="1435"/>
      <c r="AC1612" s="1638">
        <f t="shared" ref="AC1612:AI1612" si="760">H$20</f>
        <v>2024</v>
      </c>
      <c r="AD1612" s="1638">
        <f t="shared" si="760"/>
        <v>2025</v>
      </c>
      <c r="AE1612" s="1638">
        <f t="shared" si="760"/>
        <v>2026</v>
      </c>
      <c r="AF1612" s="1638">
        <f t="shared" si="760"/>
        <v>2027</v>
      </c>
      <c r="AG1612" s="1638">
        <f t="shared" si="760"/>
        <v>2028</v>
      </c>
      <c r="AH1612" s="1638">
        <f t="shared" si="760"/>
        <v>2029</v>
      </c>
      <c r="AI1612" s="1638">
        <f t="shared" si="760"/>
        <v>2030</v>
      </c>
    </row>
    <row r="1613" spans="2:37" ht="12.75" customHeight="1">
      <c r="B1613" s="479"/>
      <c r="C1613" s="977"/>
      <c r="D1613" s="777" t="s">
        <v>18</v>
      </c>
      <c r="E1613" s="3279"/>
      <c r="F1613" s="3280"/>
      <c r="G1613" s="1016" t="str">
        <f>IF(E1613&lt;&gt;"",INDEX(EUconst_BMlistUnits,MATCH(E1613,EUconst_BMlistNames,0)),EUconst_Tons)</f>
        <v>tonnes</v>
      </c>
      <c r="H1613" s="1774" t="str">
        <f>c_ALR2025!M4219</f>
        <v/>
      </c>
      <c r="I1613" s="1886"/>
      <c r="J1613" s="1812"/>
      <c r="K1613" s="1754"/>
      <c r="L1613" s="1754"/>
      <c r="M1613" s="1754"/>
      <c r="N1613" s="1755"/>
      <c r="O1613" s="485"/>
      <c r="P1613" s="9">
        <v>0</v>
      </c>
      <c r="Q1613" s="1644" t="str">
        <f>EUconst_CNTR_IntermediateExport &amp; S1609 &amp; "_" &amp; I1301</f>
        <v>IntExp_1_</v>
      </c>
      <c r="S1613" s="1644">
        <v>1</v>
      </c>
      <c r="V1613" s="1435"/>
      <c r="X1613" s="1778"/>
      <c r="Y1613" s="1778"/>
      <c r="AB1613" s="1641" t="s">
        <v>717</v>
      </c>
      <c r="AC1613" s="1443" t="b">
        <f>AC1609</f>
        <v>0</v>
      </c>
      <c r="AD1613" s="1443" t="b">
        <f t="shared" ref="AD1613:AI1613" si="761">AD1609</f>
        <v>0</v>
      </c>
      <c r="AE1613" s="1443" t="b">
        <f t="shared" si="761"/>
        <v>0</v>
      </c>
      <c r="AF1613" s="1443" t="b">
        <f t="shared" si="761"/>
        <v>0</v>
      </c>
      <c r="AG1613" s="1443" t="b">
        <f t="shared" si="761"/>
        <v>0</v>
      </c>
      <c r="AH1613" s="1443" t="b">
        <f t="shared" si="761"/>
        <v>0</v>
      </c>
      <c r="AI1613" s="1443" t="b">
        <f t="shared" si="761"/>
        <v>0</v>
      </c>
      <c r="AJ1613" s="1633" t="s">
        <v>1954</v>
      </c>
      <c r="AK1613" s="1635" t="str">
        <f>IF(AND(CNTR_ExistSubInstEntries,MSconst_RequireSubAttrEmissions,COUNTIFS(AC1613:AI1613,FALSE,H1613:N1613,"")&gt;0),EUconst_Error&amp;"BM"&amp;$Q1301,"")</f>
        <v/>
      </c>
    </row>
    <row r="1614" spans="2:37" ht="12.75" customHeight="1">
      <c r="B1614" s="479"/>
      <c r="C1614" s="977"/>
      <c r="D1614" s="777" t="s">
        <v>787</v>
      </c>
      <c r="E1614" s="3281"/>
      <c r="F1614" s="3282"/>
      <c r="G1614" s="1008" t="str">
        <f>IF(E1614&lt;&gt;"",INDEX(EUconst_BMlistUnits,MATCH(E1614,EUconst_BMlistNames,0)),EUconst_Tons)</f>
        <v>tonnes</v>
      </c>
      <c r="H1614" s="1816" t="str">
        <f>c_ALR2025!M4220</f>
        <v/>
      </c>
      <c r="I1614" s="1887"/>
      <c r="J1614" s="1812"/>
      <c r="K1614" s="1754"/>
      <c r="L1614" s="1754"/>
      <c r="M1614" s="1754"/>
      <c r="N1614" s="1755"/>
      <c r="O1614" s="485"/>
      <c r="P1614" s="9">
        <v>0</v>
      </c>
      <c r="Q1614" s="1644" t="str">
        <f>EUconst_CNTR_IntermediateExport &amp; S1614 &amp; "_" &amp; I1301</f>
        <v>IntExp_2_</v>
      </c>
      <c r="S1614" s="1644">
        <v>2</v>
      </c>
      <c r="V1614" s="1435"/>
      <c r="X1614" s="1778"/>
      <c r="Y1614" s="1778"/>
      <c r="AC1614" s="1443" t="b">
        <f t="shared" ref="AC1614:AI1614" si="762">AC1610</f>
        <v>0</v>
      </c>
      <c r="AD1614" s="1443" t="b">
        <f t="shared" si="762"/>
        <v>0</v>
      </c>
      <c r="AE1614" s="1443" t="b">
        <f t="shared" si="762"/>
        <v>0</v>
      </c>
      <c r="AF1614" s="1443" t="b">
        <f t="shared" si="762"/>
        <v>0</v>
      </c>
      <c r="AG1614" s="1443" t="b">
        <f t="shared" si="762"/>
        <v>0</v>
      </c>
      <c r="AH1614" s="1443" t="b">
        <f t="shared" si="762"/>
        <v>0</v>
      </c>
      <c r="AI1614" s="1443" t="b">
        <f t="shared" si="762"/>
        <v>0</v>
      </c>
    </row>
    <row r="1615" spans="2:37" ht="5.0999999999999996" customHeight="1">
      <c r="B1615" s="479"/>
      <c r="C1615" s="977"/>
      <c r="D1615" s="777"/>
      <c r="E1615" s="777"/>
      <c r="F1615" s="777"/>
      <c r="G1615" s="777"/>
      <c r="H1615" s="777"/>
      <c r="I1615" s="777"/>
      <c r="J1615" s="777"/>
      <c r="K1615" s="777"/>
      <c r="L1615" s="777"/>
      <c r="M1615" s="777"/>
      <c r="N1615" s="1007"/>
      <c r="O1615" s="485"/>
      <c r="P1615" s="485"/>
      <c r="Q1615" s="1435"/>
      <c r="S1615" s="1435"/>
      <c r="V1615" s="1435"/>
      <c r="X1615" s="1778"/>
      <c r="Y1615" s="1778"/>
    </row>
    <row r="1616" spans="2:37" ht="12.75" customHeight="1">
      <c r="B1616" s="479"/>
      <c r="C1616" s="977"/>
      <c r="D1616" s="777" t="s">
        <v>788</v>
      </c>
      <c r="E1616" s="813" t="s">
        <v>1146</v>
      </c>
      <c r="F1616" s="813"/>
      <c r="G1616" s="813"/>
      <c r="H1616" s="813"/>
      <c r="I1616" s="813"/>
      <c r="J1616" s="813"/>
      <c r="K1616" s="813"/>
      <c r="L1616" s="813"/>
      <c r="M1616" s="813"/>
      <c r="N1616" s="1007"/>
      <c r="O1616" s="485"/>
      <c r="P1616" s="485"/>
      <c r="Q1616" s="1435"/>
      <c r="S1616" s="1435"/>
      <c r="V1616" s="1435"/>
      <c r="X1616" s="1778"/>
      <c r="Y1616" s="1778"/>
    </row>
    <row r="1617" spans="1:38" ht="12.75" customHeight="1">
      <c r="B1617" s="479"/>
      <c r="C1617" s="977"/>
      <c r="D1617" s="777"/>
      <c r="E1617" s="1779" t="s">
        <v>1459</v>
      </c>
      <c r="F1617" s="978"/>
      <c r="G1617" s="978"/>
      <c r="H1617" s="978"/>
      <c r="I1617" s="978"/>
      <c r="J1617" s="978"/>
      <c r="K1617" s="978"/>
      <c r="L1617" s="978"/>
      <c r="M1617" s="978"/>
      <c r="N1617" s="979"/>
      <c r="O1617" s="485"/>
      <c r="P1617" s="485"/>
      <c r="Q1617" s="1435"/>
      <c r="S1617" s="1435"/>
      <c r="V1617" s="1435"/>
      <c r="X1617" s="1778"/>
      <c r="Y1617" s="1778"/>
    </row>
    <row r="1618" spans="1:38" ht="12.75" customHeight="1">
      <c r="B1618" s="479"/>
      <c r="C1618" s="977"/>
      <c r="D1618" s="777"/>
      <c r="E1618" s="3273"/>
      <c r="F1618" s="3274"/>
      <c r="G1618" s="3274"/>
      <c r="H1618" s="3274"/>
      <c r="I1618" s="3274"/>
      <c r="J1618" s="3274"/>
      <c r="K1618" s="3274"/>
      <c r="L1618" s="3274"/>
      <c r="M1618" s="3275"/>
      <c r="N1618" s="1007"/>
      <c r="O1618" s="485"/>
      <c r="P1618" s="9">
        <v>0</v>
      </c>
      <c r="Q1618" s="1435"/>
      <c r="S1618" s="1435"/>
      <c r="V1618" s="1435"/>
      <c r="X1618" s="1778"/>
      <c r="Y1618" s="1778"/>
      <c r="AB1618" s="1641" t="s">
        <v>717</v>
      </c>
      <c r="AC1618" s="1443" t="b">
        <f>AND(AC1613:AI1613)</f>
        <v>0</v>
      </c>
    </row>
    <row r="1619" spans="1:38" ht="12.75" customHeight="1">
      <c r="B1619" s="479"/>
      <c r="C1619" s="977"/>
      <c r="D1619" s="777"/>
      <c r="E1619" s="3276"/>
      <c r="F1619" s="3277"/>
      <c r="G1619" s="3277"/>
      <c r="H1619" s="3277"/>
      <c r="I1619" s="3277"/>
      <c r="J1619" s="3277"/>
      <c r="K1619" s="3277"/>
      <c r="L1619" s="3277"/>
      <c r="M1619" s="3278"/>
      <c r="N1619" s="1007"/>
      <c r="O1619" s="485"/>
      <c r="P1619" s="485"/>
      <c r="Q1619" s="1435"/>
      <c r="S1619" s="1435"/>
      <c r="V1619" s="1435"/>
      <c r="X1619" s="1778"/>
      <c r="Y1619" s="1778"/>
      <c r="AC1619" s="1443" t="b">
        <f>AC1618</f>
        <v>0</v>
      </c>
    </row>
    <row r="1620" spans="1:38" ht="12.75" customHeight="1" thickBot="1">
      <c r="B1620" s="479"/>
      <c r="C1620" s="1018"/>
      <c r="D1620" s="1019"/>
      <c r="E1620" s="1019"/>
      <c r="F1620" s="1019"/>
      <c r="G1620" s="1019"/>
      <c r="H1620" s="1019"/>
      <c r="I1620" s="1019"/>
      <c r="J1620" s="1019"/>
      <c r="K1620" s="1019"/>
      <c r="L1620" s="1019"/>
      <c r="M1620" s="805"/>
      <c r="N1620" s="806"/>
      <c r="O1620" s="485"/>
      <c r="P1620" s="485"/>
      <c r="Q1620" s="1435"/>
      <c r="S1620" s="1435"/>
      <c r="V1620" s="1435"/>
    </row>
    <row r="1621" spans="1:38" ht="12.75" customHeight="1" thickBot="1">
      <c r="A1621" s="618"/>
      <c r="B1621" s="467"/>
      <c r="C1621" s="467"/>
      <c r="D1621" s="467"/>
      <c r="E1621" s="467"/>
      <c r="F1621" s="467"/>
      <c r="G1621" s="467"/>
      <c r="H1621" s="467"/>
      <c r="I1621" s="467"/>
      <c r="J1621" s="467"/>
      <c r="K1621" s="467"/>
      <c r="L1621" s="467"/>
      <c r="M1621" s="481"/>
      <c r="N1621" s="481"/>
      <c r="O1621" s="481"/>
      <c r="P1621" s="481"/>
      <c r="Q1621" s="1488" t="str">
        <f>IF(OR(AND(CNTR_ExistProductSubEntries=FALSE,Q1301=1),AND(I1301&lt;&gt;"",COUNTIF(Q1622:$Q3271,"PRINT")=0)),"PRINT","")</f>
        <v/>
      </c>
      <c r="R1621" s="1249"/>
      <c r="S1621" s="1249"/>
      <c r="T1621" s="1249"/>
      <c r="U1621" s="1249"/>
      <c r="V1621" s="1249"/>
      <c r="W1621" s="1249"/>
      <c r="X1621" s="1249"/>
      <c r="Y1621" s="1249"/>
      <c r="AE1621" s="1118"/>
      <c r="AF1621" s="1118"/>
      <c r="AG1621" s="1118"/>
      <c r="AH1621" s="1118"/>
      <c r="AI1621" s="1118"/>
      <c r="AJ1621" s="1118"/>
      <c r="AK1621" s="1118"/>
      <c r="AL1621" s="1118"/>
    </row>
    <row r="1622" spans="1:38" ht="5.0999999999999996" customHeight="1" thickBot="1">
      <c r="B1622" s="479"/>
      <c r="C1622" s="1020"/>
      <c r="D1622" s="1020"/>
      <c r="E1622" s="1020"/>
      <c r="F1622" s="1020"/>
      <c r="G1622" s="1020"/>
      <c r="H1622" s="1020"/>
      <c r="I1622" s="1020"/>
      <c r="J1622" s="1020"/>
      <c r="K1622" s="1020"/>
      <c r="L1622" s="1020"/>
      <c r="M1622" s="1020"/>
      <c r="N1622" s="1020"/>
      <c r="O1622" s="485"/>
      <c r="P1622" s="485"/>
      <c r="Q1622" s="1780"/>
      <c r="R1622" s="1780"/>
      <c r="S1622" s="1780"/>
      <c r="T1622" s="1780"/>
      <c r="U1622" s="1780"/>
      <c r="V1622" s="1780"/>
      <c r="W1622" s="1780"/>
      <c r="X1622" s="1780"/>
      <c r="Y1622" s="1780"/>
      <c r="Z1622" s="1780"/>
      <c r="AA1622" s="1780"/>
      <c r="AB1622" s="1780"/>
      <c r="AC1622" s="1780"/>
      <c r="AD1622" s="1780"/>
      <c r="AE1622" s="1780"/>
      <c r="AF1622" s="1780"/>
      <c r="AG1622" s="1780"/>
      <c r="AH1622" s="1780"/>
      <c r="AI1622" s="1780"/>
      <c r="AJ1622" s="1780"/>
      <c r="AK1622" s="1780"/>
      <c r="AL1622" s="1780"/>
    </row>
    <row r="1623" spans="1:38" ht="14.45" customHeight="1" thickBot="1">
      <c r="B1623" s="479"/>
      <c r="C1623" s="897">
        <f>C1301+1</f>
        <v>6</v>
      </c>
      <c r="D1623" s="2482" t="str">
        <f>EUconst_BMSubinst &amp; ":"</f>
        <v>Sub-installation with product benchmark:</v>
      </c>
      <c r="E1623" s="2400"/>
      <c r="F1623" s="2400"/>
      <c r="G1623" s="2400"/>
      <c r="H1623" s="2585"/>
      <c r="I1623" s="3293" t="str">
        <f>IF(INDEX(CNTR_SubInstListIsProdBM,$C1623),INDEX(CNTR_SubInstListNames,$C1623),"")</f>
        <v/>
      </c>
      <c r="J1623" s="3294"/>
      <c r="K1623" s="3294"/>
      <c r="L1623" s="3294"/>
      <c r="M1623" s="3294"/>
      <c r="N1623" s="3297"/>
      <c r="O1623" s="485"/>
      <c r="P1623" s="485"/>
      <c r="Q1623" s="1488">
        <f>C1623</f>
        <v>6</v>
      </c>
      <c r="S1623" s="1633" t="s">
        <v>558</v>
      </c>
      <c r="T1623" s="1634" t="str">
        <f>IF(I1623="","",MAX(INDEX(CNTR_SubInstStartDate,MATCH($I1623,CNTR_SubInstListNames,0)),DATE(2005,1,1)))</f>
        <v/>
      </c>
      <c r="U1623" s="1435" t="s">
        <v>1673</v>
      </c>
      <c r="V1623" s="1635">
        <f>IF(ISNUMBER(T1623),YEAR($T1623-1)+1,2005)</f>
        <v>2005</v>
      </c>
      <c r="W1623" s="1633" t="s">
        <v>1676</v>
      </c>
      <c r="X1623" s="1634" t="str">
        <f>IF(I1623="","",INDEX(CNTR_SubInstCessationDate,MATCH($I1623,CNTR_SubInstListNames,0)))</f>
        <v/>
      </c>
      <c r="Y1623" s="1633" t="s">
        <v>1677</v>
      </c>
      <c r="Z1623" s="1635">
        <f>IF(SUM(X1623)=0,2050,YEAR($X1623))</f>
        <v>2050</v>
      </c>
      <c r="AA1623" s="1633" t="s">
        <v>1925</v>
      </c>
      <c r="AB1623" s="1635" t="b">
        <f>CNTR_ReportingYear&gt;V1623</f>
        <v>1</v>
      </c>
      <c r="AL1623" s="1848" t="b">
        <f>AND(CNTR_ExistSubInstEntries,I1623="")</f>
        <v>0</v>
      </c>
    </row>
    <row r="1624" spans="1:38" ht="12.75" customHeight="1">
      <c r="B1624" s="479"/>
      <c r="C1624" s="479"/>
      <c r="D1624" s="485"/>
      <c r="E1624" s="2385" t="s">
        <v>216</v>
      </c>
      <c r="F1624" s="2846"/>
      <c r="G1624" s="2846"/>
      <c r="H1624" s="2846"/>
      <c r="I1624" s="2846"/>
      <c r="J1624" s="2846"/>
      <c r="K1624" s="2846"/>
      <c r="L1624" s="2846"/>
      <c r="M1624" s="2846"/>
      <c r="N1624" s="2846"/>
      <c r="O1624" s="485"/>
      <c r="P1624" s="485"/>
      <c r="Q1624" s="1435"/>
      <c r="S1624" s="1435"/>
      <c r="T1624" s="1435"/>
    </row>
    <row r="1625" spans="1:38" ht="5.0999999999999996" customHeight="1">
      <c r="B1625" s="479"/>
      <c r="C1625" s="479"/>
      <c r="D1625" s="479"/>
      <c r="E1625" s="479"/>
      <c r="F1625" s="479"/>
      <c r="G1625" s="479"/>
      <c r="H1625" s="479"/>
      <c r="I1625" s="479"/>
      <c r="J1625" s="479"/>
      <c r="K1625" s="479"/>
      <c r="L1625" s="479"/>
      <c r="M1625" s="485"/>
      <c r="N1625" s="485"/>
      <c r="O1625" s="485"/>
      <c r="P1625" s="485"/>
      <c r="Q1625" s="1435"/>
      <c r="S1625" s="1435"/>
      <c r="T1625" s="1435"/>
    </row>
    <row r="1626" spans="1:38">
      <c r="B1626" s="479"/>
      <c r="C1626" s="479"/>
      <c r="D1626" s="482" t="s">
        <v>400</v>
      </c>
      <c r="E1626" s="2373" t="s">
        <v>1930</v>
      </c>
      <c r="F1626" s="2400"/>
      <c r="G1626" s="2400"/>
      <c r="H1626" s="2400"/>
      <c r="I1626" s="2400"/>
      <c r="J1626" s="2400"/>
      <c r="K1626" s="2400"/>
      <c r="L1626" s="2400"/>
      <c r="M1626" s="2400"/>
      <c r="N1626" s="2400"/>
      <c r="O1626" s="485"/>
      <c r="P1626" s="485"/>
      <c r="Q1626" s="1435"/>
    </row>
    <row r="1627" spans="1:38" ht="12.75" customHeight="1">
      <c r="B1627" s="479"/>
      <c r="C1627" s="479"/>
      <c r="D1627" s="485"/>
      <c r="E1627" s="2385" t="s">
        <v>801</v>
      </c>
      <c r="F1627" s="2846"/>
      <c r="G1627" s="2846"/>
      <c r="H1627" s="2846"/>
      <c r="I1627" s="2846"/>
      <c r="J1627" s="2846"/>
      <c r="K1627" s="2846"/>
      <c r="L1627" s="2846"/>
      <c r="M1627" s="2846"/>
      <c r="N1627" s="2846"/>
      <c r="O1627" s="485"/>
      <c r="P1627" s="485"/>
      <c r="Q1627" s="1435"/>
      <c r="S1627" s="1435"/>
      <c r="T1627" s="1435"/>
      <c r="U1627" s="1435"/>
    </row>
    <row r="1628" spans="1:38" ht="12.75" customHeight="1">
      <c r="B1628" s="479"/>
      <c r="C1628" s="479"/>
      <c r="D1628" s="485"/>
      <c r="E1628" s="2385" t="s">
        <v>1199</v>
      </c>
      <c r="F1628" s="2846"/>
      <c r="G1628" s="2846"/>
      <c r="H1628" s="2846"/>
      <c r="I1628" s="2846"/>
      <c r="J1628" s="2846"/>
      <c r="K1628" s="2846"/>
      <c r="L1628" s="2846"/>
      <c r="M1628" s="2846"/>
      <c r="N1628" s="2846"/>
      <c r="O1628" s="485"/>
      <c r="P1628" s="485"/>
      <c r="Q1628" s="1435"/>
      <c r="S1628" s="1435"/>
      <c r="T1628" s="1435"/>
      <c r="U1628" s="1435"/>
    </row>
    <row r="1629" spans="1:38" ht="12.75" customHeight="1">
      <c r="B1629" s="479"/>
      <c r="C1629" s="479"/>
      <c r="D1629" s="485"/>
      <c r="E1629" s="2385" t="s">
        <v>125</v>
      </c>
      <c r="F1629" s="2846"/>
      <c r="G1629" s="2846"/>
      <c r="H1629" s="2846"/>
      <c r="I1629" s="2846"/>
      <c r="J1629" s="2846"/>
      <c r="K1629" s="2846"/>
      <c r="L1629" s="2846"/>
      <c r="M1629" s="2846"/>
      <c r="N1629" s="2846"/>
      <c r="O1629" s="485"/>
      <c r="P1629" s="485"/>
      <c r="Q1629" s="1435"/>
      <c r="S1629" s="1435"/>
      <c r="Z1629" s="1435"/>
    </row>
    <row r="1630" spans="1:38" ht="13.5" customHeight="1" thickBot="1">
      <c r="B1630" s="1124"/>
      <c r="C1630" s="485"/>
      <c r="D1630" s="482"/>
      <c r="E1630" s="2509" t="s">
        <v>1447</v>
      </c>
      <c r="F1630" s="2509"/>
      <c r="G1630" s="663" t="str">
        <f>EUconst_Unit</f>
        <v>Unit</v>
      </c>
      <c r="H1630" s="578">
        <f t="shared" ref="H1630:N1630" si="763">H$3242</f>
        <v>2024</v>
      </c>
      <c r="I1630" s="697">
        <f t="shared" si="763"/>
        <v>2025</v>
      </c>
      <c r="J1630" s="1489">
        <f t="shared" si="763"/>
        <v>2026</v>
      </c>
      <c r="K1630" s="1490">
        <f t="shared" si="763"/>
        <v>2027</v>
      </c>
      <c r="L1630" s="1490">
        <f t="shared" si="763"/>
        <v>2028</v>
      </c>
      <c r="M1630" s="1490">
        <f t="shared" si="763"/>
        <v>2029</v>
      </c>
      <c r="N1630" s="1490">
        <f t="shared" si="763"/>
        <v>2030</v>
      </c>
      <c r="O1630" s="485"/>
      <c r="P1630" s="485"/>
      <c r="Q1630" s="1435"/>
      <c r="T1630" s="1638">
        <f t="shared" ref="T1630:Z1630" si="764">H1630</f>
        <v>2024</v>
      </c>
      <c r="U1630" s="1638">
        <f t="shared" si="764"/>
        <v>2025</v>
      </c>
      <c r="V1630" s="1638">
        <f t="shared" si="764"/>
        <v>2026</v>
      </c>
      <c r="W1630" s="1638">
        <f t="shared" si="764"/>
        <v>2027</v>
      </c>
      <c r="X1630" s="1638">
        <f t="shared" si="764"/>
        <v>2028</v>
      </c>
      <c r="Y1630" s="1638">
        <f t="shared" si="764"/>
        <v>2029</v>
      </c>
      <c r="Z1630" s="1638">
        <f t="shared" si="764"/>
        <v>2030</v>
      </c>
      <c r="AC1630" s="1638">
        <f t="shared" ref="AC1630:AI1630" si="765">H$20</f>
        <v>2024</v>
      </c>
      <c r="AD1630" s="1638">
        <f t="shared" si="765"/>
        <v>2025</v>
      </c>
      <c r="AE1630" s="1638">
        <f t="shared" si="765"/>
        <v>2026</v>
      </c>
      <c r="AF1630" s="1638">
        <f t="shared" si="765"/>
        <v>2027</v>
      </c>
      <c r="AG1630" s="1638">
        <f t="shared" si="765"/>
        <v>2028</v>
      </c>
      <c r="AH1630" s="1638">
        <f t="shared" si="765"/>
        <v>2029</v>
      </c>
      <c r="AI1630" s="1638">
        <f t="shared" si="765"/>
        <v>2030</v>
      </c>
      <c r="AL1630" s="1435"/>
    </row>
    <row r="1631" spans="1:38" ht="13.5" thickBot="1">
      <c r="B1631" s="1124"/>
      <c r="C1631" s="485"/>
      <c r="D1631" s="561" t="s">
        <v>6</v>
      </c>
      <c r="E1631" s="3296" t="str">
        <f>I1623</f>
        <v/>
      </c>
      <c r="F1631" s="3296"/>
      <c r="G1631" s="898" t="str">
        <f>IF(INDEX(CNTR_SubInstListIsProdBM,$C1623),INDEX(CNTR_SubInstListHALUnit,$C1623),EUconst_Tons)</f>
        <v>tonnes</v>
      </c>
      <c r="H1631" s="1818" t="str">
        <f>c_ALR2025!M4237</f>
        <v/>
      </c>
      <c r="I1631" s="1878"/>
      <c r="J1631" s="1819"/>
      <c r="K1631" s="1820"/>
      <c r="L1631" s="1820"/>
      <c r="M1631" s="1820"/>
      <c r="N1631" s="1820"/>
      <c r="O1631" s="485"/>
      <c r="P1631" s="9">
        <v>0</v>
      </c>
      <c r="S1631" s="1435" t="s">
        <v>1674</v>
      </c>
      <c r="T1631" s="1850" t="b">
        <f t="shared" ref="T1631:Z1631" si="766">AND($I1623&lt;&gt;"",H1630&lt;CNTR_ReportingYear,H1630&gt;=$V1623-1)</f>
        <v>0</v>
      </c>
      <c r="U1631" s="1851" t="b">
        <f t="shared" si="766"/>
        <v>0</v>
      </c>
      <c r="V1631" s="1851" t="b">
        <f t="shared" si="766"/>
        <v>0</v>
      </c>
      <c r="W1631" s="1851" t="b">
        <f t="shared" si="766"/>
        <v>0</v>
      </c>
      <c r="X1631" s="1851" t="b">
        <f t="shared" si="766"/>
        <v>0</v>
      </c>
      <c r="Y1631" s="1851" t="b">
        <f t="shared" si="766"/>
        <v>0</v>
      </c>
      <c r="Z1631" s="1852" t="b">
        <f t="shared" si="766"/>
        <v>0</v>
      </c>
      <c r="AA1631" s="1435"/>
      <c r="AB1631" s="1641" t="s">
        <v>717</v>
      </c>
      <c r="AC1631" s="1853" t="b">
        <f t="shared" ref="AC1631:AI1631" si="767">IF(CNTR_ExistSubInstEntries,OR($I1623="",$R1635,H1630&gt;=CNTR_ReportingYear,AC1630&lt;$V1623-1),FALSE)</f>
        <v>0</v>
      </c>
      <c r="AD1631" s="1642" t="b">
        <f t="shared" si="767"/>
        <v>0</v>
      </c>
      <c r="AE1631" s="1642" t="b">
        <f t="shared" si="767"/>
        <v>0</v>
      </c>
      <c r="AF1631" s="1642" t="b">
        <f t="shared" si="767"/>
        <v>0</v>
      </c>
      <c r="AG1631" s="1642" t="b">
        <f t="shared" si="767"/>
        <v>0</v>
      </c>
      <c r="AH1631" s="1642" t="b">
        <f t="shared" si="767"/>
        <v>0</v>
      </c>
      <c r="AI1631" s="1643" t="b">
        <f t="shared" si="767"/>
        <v>0</v>
      </c>
      <c r="AJ1631" s="1633" t="s">
        <v>1954</v>
      </c>
      <c r="AK1631" s="1635" t="str">
        <f>IF(AND(CNTR_ExistSubInstEntries,COUNTIFS(AC1631:AI1631,FALSE,H1631:N1631,"")&gt;0),EUconst_Error&amp;"BM"&amp;$Q1623,"")</f>
        <v/>
      </c>
    </row>
    <row r="1632" spans="1:38" ht="13.15" customHeight="1" thickBot="1">
      <c r="B1632" s="1124"/>
      <c r="C1632" s="485"/>
      <c r="D1632" s="561" t="s">
        <v>7</v>
      </c>
      <c r="E1632" s="3296" t="s">
        <v>123</v>
      </c>
      <c r="F1632" s="3296"/>
      <c r="G1632" s="898" t="str">
        <f>G1631</f>
        <v>tonnes</v>
      </c>
      <c r="H1632" s="899" t="str">
        <f>IF(OR($I1623="",H1630&gt;=CNTR_ReportingYear),"",IF($R1635,SUMIF(H_SpecialBM!$Q$9:$Q$414,$Q1632,H_SpecialBM!H$9:H$414),""))</f>
        <v/>
      </c>
      <c r="I1632" s="900" t="str">
        <f>IF(OR($I1623="",I1630&gt;=CNTR_ReportingYear),"",IF($R1635,SUMIF(H_SpecialBM!$Q$9:$Q$414,$Q1632,H_SpecialBM!I$9:I$414),""))</f>
        <v/>
      </c>
      <c r="J1632" s="1819" t="str">
        <f>IF(OR($I1623="",J1630&gt;=CNTR_ReportingYear),"",IF($R1635,SUMIF(H_SpecialBM!$Q$9:$Q$414,$Q1632,H_SpecialBM!J$9:J$414),""))</f>
        <v/>
      </c>
      <c r="K1632" s="1820" t="str">
        <f>IF(OR($I1623="",K1630&gt;=CNTR_ReportingYear),"",IF($R1635,SUMIF(H_SpecialBM!$Q$9:$Q$414,$Q1632,H_SpecialBM!K$9:K$414),""))</f>
        <v/>
      </c>
      <c r="L1632" s="1820" t="str">
        <f>IF(OR($I1623="",L1630&gt;=CNTR_ReportingYear),"",IF($R1635,SUMIF(H_SpecialBM!$Q$9:$Q$414,$Q1632,H_SpecialBM!L$9:L$414),""))</f>
        <v/>
      </c>
      <c r="M1632" s="1820" t="str">
        <f>IF(OR($I1623="",M1630&gt;=CNTR_ReportingYear),"",IF($R1635,SUMIF(H_SpecialBM!$Q$9:$Q$414,$Q1632,H_SpecialBM!M$9:M$414),""))</f>
        <v/>
      </c>
      <c r="N1632" s="1820" t="str">
        <f>IF(OR($I1623="",N1630&gt;=CNTR_ReportingYear),"",IF($R1635,SUMIF(H_SpecialBM!$Q$9:$Q$414,$Q1632,H_SpecialBM!N$9:N$414),""))</f>
        <v/>
      </c>
      <c r="O1632" s="485"/>
      <c r="P1632" s="485"/>
      <c r="Q1632" s="1644" t="str">
        <f>EUconst_CNTR_HALspecial&amp;I1623</f>
        <v>HALspecial_</v>
      </c>
      <c r="AB1632" s="1641" t="s">
        <v>717</v>
      </c>
      <c r="AC1632" s="1853" t="b">
        <f t="shared" ref="AC1632:AI1632" si="768">AND(CNTR_HasEntries_A_I,OR($R1635=FALSE,H1630&gt;=CNTR_ReportingYear))</f>
        <v>0</v>
      </c>
      <c r="AD1632" s="1642" t="b">
        <f t="shared" si="768"/>
        <v>0</v>
      </c>
      <c r="AE1632" s="1642" t="b">
        <f t="shared" si="768"/>
        <v>0</v>
      </c>
      <c r="AF1632" s="1642" t="b">
        <f t="shared" si="768"/>
        <v>0</v>
      </c>
      <c r="AG1632" s="1642" t="b">
        <f t="shared" si="768"/>
        <v>0</v>
      </c>
      <c r="AH1632" s="1642" t="b">
        <f t="shared" si="768"/>
        <v>0</v>
      </c>
      <c r="AI1632" s="1643" t="b">
        <f t="shared" si="768"/>
        <v>0</v>
      </c>
      <c r="AJ1632" s="1624"/>
      <c r="AK1632" s="1624"/>
      <c r="AL1632" s="1435"/>
    </row>
    <row r="1633" spans="1:38" ht="13.15" customHeight="1">
      <c r="B1633" s="1124"/>
      <c r="C1633" s="485"/>
      <c r="D1633" s="561" t="s">
        <v>8</v>
      </c>
      <c r="E1633" s="3296" t="s">
        <v>124</v>
      </c>
      <c r="F1633" s="3296"/>
      <c r="G1633" s="898" t="str">
        <f>G1632</f>
        <v>tonnes</v>
      </c>
      <c r="H1633" s="899" t="str">
        <f t="shared" ref="H1633:N1633" si="769">IF(OR($I1623="",H1630&gt;=CNTR_ReportingYear),"",IF($R1635=TRUE,IF(ISNUMBER(H1632),H1632,0),IF(AND(H1630&gt;=$V1623-1,ISNUMBER(H1631)),H1631,0)))</f>
        <v/>
      </c>
      <c r="I1633" s="900" t="str">
        <f t="shared" si="769"/>
        <v/>
      </c>
      <c r="J1633" s="1819" t="str">
        <f t="shared" si="769"/>
        <v/>
      </c>
      <c r="K1633" s="1820" t="str">
        <f t="shared" si="769"/>
        <v/>
      </c>
      <c r="L1633" s="1820" t="str">
        <f t="shared" si="769"/>
        <v/>
      </c>
      <c r="M1633" s="1820" t="str">
        <f t="shared" si="769"/>
        <v/>
      </c>
      <c r="N1633" s="1820" t="str">
        <f t="shared" si="769"/>
        <v/>
      </c>
      <c r="O1633" s="485"/>
      <c r="P1633" s="1136"/>
      <c r="Q1633" s="1644" t="str">
        <f>EUconst_CNTR_HAL&amp;I1623</f>
        <v>HAL_</v>
      </c>
      <c r="AJ1633" s="1633" t="s">
        <v>1951</v>
      </c>
      <c r="AK1633" s="1443" t="str">
        <f>IF(COUNTIFS(H1630:N1630,"&lt;"&amp;YEAR(SUM(T1623)),H1633:N1633,"&gt;"&amp;0)&gt;0,EUconst_Error&amp;"BM"&amp;Q1623,"")</f>
        <v/>
      </c>
      <c r="AL1633" s="1435"/>
    </row>
    <row r="1634" spans="1:38" ht="5.0999999999999996" customHeight="1">
      <c r="B1634" s="479"/>
      <c r="C1634" s="479"/>
      <c r="D1634" s="479"/>
      <c r="E1634" s="479"/>
      <c r="F1634" s="479"/>
      <c r="G1634" s="479"/>
      <c r="H1634" s="479"/>
      <c r="I1634" s="479"/>
      <c r="J1634" s="479"/>
      <c r="K1634" s="479"/>
      <c r="L1634" s="479"/>
      <c r="M1634" s="485"/>
      <c r="N1634" s="485"/>
      <c r="O1634" s="485"/>
      <c r="P1634" s="485"/>
      <c r="Q1634" s="1435"/>
      <c r="S1634" s="1435"/>
      <c r="T1634" s="1435"/>
    </row>
    <row r="1635" spans="1:38" ht="12.75" customHeight="1">
      <c r="B1635" s="479"/>
      <c r="C1635" s="479"/>
      <c r="D1635" s="561" t="s">
        <v>18</v>
      </c>
      <c r="E1635" s="2373" t="s">
        <v>922</v>
      </c>
      <c r="F1635" s="2373"/>
      <c r="G1635" s="2604"/>
      <c r="H1635" s="2652" t="str">
        <f>IF(I1623="","",HYPERLINK(INDEX(EUconst_BMlistSpecialJumpTable,MATCH(I1623,EUconst_BMlistNames,0)),INDEX(EUconst_BMlistSpecialReporting,MATCH(I1623,EUconst_BMlistNames,0))))</f>
        <v/>
      </c>
      <c r="I1635" s="2689"/>
      <c r="J1635" s="2689"/>
      <c r="K1635" s="2689"/>
      <c r="L1635" s="2689"/>
      <c r="M1635" s="2689"/>
      <c r="N1635" s="2690"/>
      <c r="O1635" s="485"/>
      <c r="P1635" s="485"/>
      <c r="Q1635" s="1633" t="s">
        <v>122</v>
      </c>
      <c r="R1635" s="1443" t="str">
        <f>IF(I1623="","",IF(AND(INDEX(EUconst_BMlistSpecialJumpTable,MATCH(I1623,EUconst_BMlistNames,0))&lt;&gt;"",MATCH(I1623,EUconst_BMlistNames,0)&lt;&gt;47),TRUE,FALSE))</f>
        <v/>
      </c>
      <c r="S1635" s="1435"/>
      <c r="T1635" s="1435"/>
    </row>
    <row r="1636" spans="1:38" ht="12.75" customHeight="1">
      <c r="B1636" s="479"/>
      <c r="C1636" s="479"/>
      <c r="D1636" s="485"/>
      <c r="E1636" s="2385" t="s">
        <v>923</v>
      </c>
      <c r="F1636" s="2846"/>
      <c r="G1636" s="2846"/>
      <c r="H1636" s="2846"/>
      <c r="I1636" s="2846"/>
      <c r="J1636" s="2846"/>
      <c r="K1636" s="2846"/>
      <c r="L1636" s="2846"/>
      <c r="M1636" s="2846"/>
      <c r="N1636" s="2846"/>
      <c r="O1636" s="485"/>
      <c r="P1636" s="485"/>
      <c r="Q1636" s="1435"/>
      <c r="S1636" s="1435"/>
      <c r="T1636" s="1435"/>
    </row>
    <row r="1637" spans="1:38" ht="5.0999999999999996" customHeight="1">
      <c r="B1637" s="479"/>
      <c r="C1637" s="479"/>
      <c r="D1637" s="485"/>
      <c r="E1637" s="485"/>
      <c r="F1637" s="485"/>
      <c r="G1637" s="485"/>
      <c r="H1637" s="485"/>
      <c r="I1637" s="485"/>
      <c r="J1637" s="485"/>
      <c r="K1637" s="485"/>
      <c r="L1637" s="485"/>
      <c r="M1637" s="485"/>
      <c r="N1637" s="485"/>
      <c r="O1637" s="485"/>
      <c r="P1637" s="485"/>
      <c r="Q1637" s="1435"/>
      <c r="S1637" s="1435"/>
      <c r="T1637" s="1435"/>
      <c r="Z1637" s="1435"/>
      <c r="AL1637" s="1435"/>
    </row>
    <row r="1638" spans="1:38" ht="12.75" customHeight="1">
      <c r="B1638" s="479"/>
      <c r="C1638" s="479"/>
      <c r="D1638" s="482" t="s">
        <v>876</v>
      </c>
      <c r="E1638" s="2373" t="s">
        <v>1709</v>
      </c>
      <c r="F1638" s="2400"/>
      <c r="G1638" s="2400"/>
      <c r="H1638" s="2400"/>
      <c r="I1638" s="2400"/>
      <c r="J1638" s="2400"/>
      <c r="K1638" s="2400"/>
      <c r="L1638" s="2400"/>
      <c r="M1638" s="2400"/>
      <c r="N1638" s="2400"/>
      <c r="O1638" s="485"/>
      <c r="P1638" s="485"/>
      <c r="Q1638" s="1435"/>
      <c r="S1638" s="1435"/>
      <c r="T1638" s="1435"/>
      <c r="Z1638" s="1435"/>
      <c r="AL1638" s="1435"/>
    </row>
    <row r="1639" spans="1:38" ht="12.75" customHeight="1">
      <c r="B1639" s="479"/>
      <c r="C1639" s="479"/>
      <c r="D1639" s="485"/>
      <c r="E1639" s="2385" t="s">
        <v>1958</v>
      </c>
      <c r="F1639" s="2846"/>
      <c r="G1639" s="2846"/>
      <c r="H1639" s="2846"/>
      <c r="I1639" s="2846"/>
      <c r="J1639" s="2846"/>
      <c r="K1639" s="2846"/>
      <c r="L1639" s="2846"/>
      <c r="M1639" s="2846"/>
      <c r="N1639" s="2846"/>
      <c r="O1639" s="485"/>
      <c r="P1639" s="485"/>
      <c r="Q1639" s="1435"/>
      <c r="S1639" s="1435"/>
      <c r="T1639" s="1435"/>
      <c r="U1639" s="1435"/>
    </row>
    <row r="1640" spans="1:38" ht="25.5" customHeight="1">
      <c r="B1640" s="479"/>
      <c r="C1640" s="479"/>
      <c r="D1640" s="485"/>
      <c r="E1640" s="2385" t="s">
        <v>1696</v>
      </c>
      <c r="F1640" s="2846"/>
      <c r="G1640" s="2846"/>
      <c r="H1640" s="2846"/>
      <c r="I1640" s="2846"/>
      <c r="J1640" s="2846"/>
      <c r="K1640" s="2846"/>
      <c r="L1640" s="2846"/>
      <c r="M1640" s="2846"/>
      <c r="N1640" s="2846"/>
      <c r="O1640" s="485"/>
      <c r="P1640" s="485"/>
      <c r="Q1640" s="1435"/>
      <c r="S1640" s="1435"/>
      <c r="T1640" s="1435"/>
      <c r="U1640" s="1435"/>
    </row>
    <row r="1641" spans="1:38" ht="12.75" customHeight="1">
      <c r="B1641" s="479"/>
      <c r="C1641" s="479"/>
      <c r="D1641" s="485"/>
      <c r="E1641" s="901" t="s">
        <v>1021</v>
      </c>
      <c r="F1641" s="3050" t="s">
        <v>2734</v>
      </c>
      <c r="G1641" s="2584"/>
      <c r="H1641" s="2584"/>
      <c r="I1641" s="2584"/>
      <c r="J1641" s="2584"/>
      <c r="K1641" s="2584"/>
      <c r="L1641" s="2584"/>
      <c r="M1641" s="2584"/>
      <c r="N1641" s="2584"/>
      <c r="O1641" s="485"/>
      <c r="P1641" s="485"/>
      <c r="Q1641" s="1435"/>
      <c r="S1641" s="1435"/>
      <c r="T1641" s="1435"/>
      <c r="U1641" s="1435"/>
    </row>
    <row r="1642" spans="1:38" ht="12.75" customHeight="1" thickBot="1">
      <c r="B1642" s="479"/>
      <c r="C1642" s="479"/>
      <c r="D1642" s="485"/>
      <c r="E1642" s="901" t="s">
        <v>1021</v>
      </c>
      <c r="F1642" s="3050" t="s">
        <v>1985</v>
      </c>
      <c r="G1642" s="2584"/>
      <c r="H1642" s="2584"/>
      <c r="I1642" s="2584"/>
      <c r="J1642" s="2584"/>
      <c r="K1642" s="2584"/>
      <c r="L1642" s="2584"/>
      <c r="M1642" s="2584"/>
      <c r="N1642" s="2584"/>
      <c r="O1642" s="485"/>
      <c r="P1642" s="485"/>
      <c r="Q1642" s="1435"/>
      <c r="S1642" s="1435"/>
      <c r="T1642" s="1435"/>
      <c r="U1642" s="1435"/>
    </row>
    <row r="1643" spans="1:38" ht="5.0999999999999996" customHeight="1" thickBot="1">
      <c r="B1643" s="479"/>
      <c r="C1643" s="479"/>
      <c r="D1643" s="902"/>
      <c r="E1643" s="903"/>
      <c r="F1643" s="904"/>
      <c r="G1643" s="905"/>
      <c r="H1643" s="905"/>
      <c r="I1643" s="905"/>
      <c r="J1643" s="906"/>
      <c r="K1643" s="1798"/>
      <c r="L1643" s="1798"/>
      <c r="M1643" s="1798"/>
      <c r="N1643" s="1798"/>
      <c r="O1643" s="485"/>
      <c r="P1643" s="485"/>
      <c r="Q1643" s="1435"/>
      <c r="S1643" s="1435"/>
      <c r="T1643" s="1435"/>
      <c r="U1643" s="1435"/>
    </row>
    <row r="1644" spans="1:38" ht="12.75" customHeight="1">
      <c r="B1644" s="479"/>
      <c r="C1644" s="479"/>
      <c r="D1644" s="907"/>
      <c r="E1644" s="908" t="s">
        <v>1690</v>
      </c>
      <c r="F1644" s="909"/>
      <c r="G1644" s="909"/>
      <c r="H1644" s="910" t="str">
        <f>EUconst_Unit</f>
        <v>Unit</v>
      </c>
      <c r="I1644" s="911" t="s">
        <v>1646</v>
      </c>
      <c r="J1644" s="1647">
        <f>J$3242</f>
        <v>2026</v>
      </c>
      <c r="K1644" s="1490">
        <f>K$3242</f>
        <v>2027</v>
      </c>
      <c r="L1644" s="1490">
        <f>L$3242</f>
        <v>2028</v>
      </c>
      <c r="M1644" s="1490">
        <f>M$3242</f>
        <v>2029</v>
      </c>
      <c r="N1644" s="1490">
        <f>N$3242</f>
        <v>2030</v>
      </c>
      <c r="O1644" s="485"/>
      <c r="P1644" s="485"/>
      <c r="Q1644" s="1435"/>
      <c r="U1644" s="1648"/>
      <c r="V1644" s="1649">
        <f>J1644</f>
        <v>2026</v>
      </c>
      <c r="W1644" s="1649">
        <f>K1644</f>
        <v>2027</v>
      </c>
      <c r="X1644" s="1649">
        <f>L1644</f>
        <v>2028</v>
      </c>
      <c r="Y1644" s="1649">
        <f>M1644</f>
        <v>2029</v>
      </c>
      <c r="Z1644" s="1650">
        <f>N1644</f>
        <v>2030</v>
      </c>
    </row>
    <row r="1645" spans="1:38" ht="12.75" customHeight="1">
      <c r="B1645" s="479"/>
      <c r="C1645" s="479"/>
      <c r="D1645" s="915" t="s">
        <v>6</v>
      </c>
      <c r="E1645" s="916" t="s">
        <v>1976</v>
      </c>
      <c r="F1645" s="916"/>
      <c r="G1645" s="916"/>
      <c r="H1645" s="639" t="str">
        <f>IF(INDEX(CNTR_SubInstListIsProdBM,$C1623),INDEX(CNTR_SubInstListHALUnit,$C1623),EUconst_Tons)</f>
        <v>tonnes</v>
      </c>
      <c r="I1645" s="917" t="str">
        <f>IF(V1623&gt;($J$3242-3),EUconst_NA,INDEX('B+C_SubInstallations'!$I:$I,MATCH(Q1645,'B+C_SubInstallations'!$T:$T,0)))</f>
        <v/>
      </c>
      <c r="J1645" s="1651" t="str">
        <f>IF(AND(V1645&gt;=3,CNTR_ReportingYear&gt;J1644-1),AVERAGE(H1633:I1633),"")</f>
        <v/>
      </c>
      <c r="K1645" s="1799" t="str">
        <f>IF(AND(W1645&gt;=3,CNTR_ReportingYear&gt;K1644-1),AVERAGE(I1633:J1633),"")</f>
        <v/>
      </c>
      <c r="L1645" s="1799" t="str">
        <f>IF(AND(X1645&gt;=3,CNTR_ReportingYear&gt;L1644-1),AVERAGE(J1633:K1633),"")</f>
        <v/>
      </c>
      <c r="M1645" s="1799" t="str">
        <f>IF(AND(Y1645&gt;=3,CNTR_ReportingYear&gt;M1644-1),AVERAGE(K1633:L1633),"")</f>
        <v/>
      </c>
      <c r="N1645" s="1799" t="str">
        <f>IF(AND(Z1645&gt;=3,CNTR_ReportingYear&gt;N1644-1),AVERAGE(L1633:M1633),"")</f>
        <v/>
      </c>
      <c r="O1645" s="485"/>
      <c r="P1645" s="485"/>
      <c r="Q1645" s="1641" t="str">
        <f>EUconst_CNTR_HALinitial&amp;I1623</f>
        <v>HALini_</v>
      </c>
      <c r="U1645" s="1653" t="s">
        <v>1650</v>
      </c>
      <c r="V1645" s="1635">
        <f>IF($I1623="",0,V1644-$V1623+1)</f>
        <v>0</v>
      </c>
      <c r="W1645" s="1635">
        <f>IF($I1623="",0,W1644-$V1623+1)</f>
        <v>0</v>
      </c>
      <c r="X1645" s="1635">
        <f>IF($I1623="",0,X1644-$V1623+1)</f>
        <v>0</v>
      </c>
      <c r="Y1645" s="1635">
        <f>IF($I1623="",0,Y1644-$V1623+1)</f>
        <v>0</v>
      </c>
      <c r="Z1645" s="1654">
        <f>IF($I1623="",0,Z1644-$V1623+1)</f>
        <v>0</v>
      </c>
    </row>
    <row r="1646" spans="1:38" ht="12.75" hidden="1" customHeight="1">
      <c r="A1646" s="618" t="s">
        <v>2289</v>
      </c>
      <c r="B1646" s="479"/>
      <c r="C1646" s="479"/>
      <c r="D1646" s="918"/>
      <c r="E1646" s="919" t="s">
        <v>1648</v>
      </c>
      <c r="F1646" s="919"/>
      <c r="G1646" s="919"/>
      <c r="H1646" s="920"/>
      <c r="I1646" s="1655"/>
      <c r="J1646" s="16" t="str">
        <f>IF(J1645="","",IF($I1648=0,IF(J1645=0,0%,100%),J1645/$I1648-1))</f>
        <v/>
      </c>
      <c r="K1646" s="22" t="str">
        <f>IF(K1645="","",IF($I1648=0,IF(K1645=0,0%,100%),K1645/$I1648-1))</f>
        <v/>
      </c>
      <c r="L1646" s="22" t="str">
        <f>IF(L1645="","",IF($I1648=0,IF(L1645=0,0%,100%),L1645/$I1648-1))</f>
        <v/>
      </c>
      <c r="M1646" s="22" t="str">
        <f>IF(M1645="","",IF($I1648=0,IF(M1645=0,0%,100%),M1645/$I1648-1))</f>
        <v/>
      </c>
      <c r="N1646" s="22" t="str">
        <f>IF(N1645="","",IF($I1648=0,IF(N1645=0,0%,100%),N1645/$I1648-1))</f>
        <v/>
      </c>
      <c r="O1646" s="485"/>
      <c r="P1646" s="485"/>
      <c r="Q1646" s="1644" t="str">
        <f>EUconst_CNTR_RelThreshold &amp; Q1648</f>
        <v>RelThresh_HALprelim_</v>
      </c>
      <c r="U1646" s="1653" t="s">
        <v>1655</v>
      </c>
      <c r="V1646" s="1158" t="str">
        <f>IF(J1645="","",ABS(J1646)&gt;15%)</f>
        <v/>
      </c>
      <c r="W1646" s="1158" t="str">
        <f>IF(K1645="","",ABS(K1646)&gt;15%)</f>
        <v/>
      </c>
      <c r="X1646" s="1158" t="str">
        <f>IF(L1645="","",ABS(L1646)&gt;15%)</f>
        <v/>
      </c>
      <c r="Y1646" s="1158" t="str">
        <f>IF(M1645="","",ABS(M1646)&gt;15%)</f>
        <v/>
      </c>
      <c r="Z1646" s="1656" t="str">
        <f>IF(N1645="","",ABS(N1646)&gt;15%)</f>
        <v/>
      </c>
      <c r="AL1646" s="1435"/>
    </row>
    <row r="1647" spans="1:38" ht="12.75" customHeight="1">
      <c r="A1647" s="618"/>
      <c r="B1647" s="479"/>
      <c r="C1647" s="479"/>
      <c r="D1647" s="915" t="s">
        <v>7</v>
      </c>
      <c r="E1647" s="916" t="s">
        <v>1654</v>
      </c>
      <c r="F1647" s="916"/>
      <c r="G1647" s="916"/>
      <c r="H1647" s="921"/>
      <c r="I1647" s="1657"/>
      <c r="J1647" s="1658" t="str">
        <f>IF(J1645="","",IF(V1646=FALSE,0%,IF(V1647,J1646,I1653)))</f>
        <v/>
      </c>
      <c r="K1647" s="1795" t="str">
        <f>IF(K1645="","",IF(W1646=FALSE,0%,IF(W1647,K1646,J1653)))</f>
        <v/>
      </c>
      <c r="L1647" s="1795" t="str">
        <f>IF(L1645="","",IF(X1646=FALSE,0%,IF(X1647,L1646,K1653)))</f>
        <v/>
      </c>
      <c r="M1647" s="1795" t="str">
        <f>IF(M1645="","",IF(Y1646=FALSE,0%,IF(Y1647,M1646,L1653)))</f>
        <v/>
      </c>
      <c r="N1647" s="1795" t="str">
        <f>IF(N1645="","",IF(Z1646=FALSE,0%,IF(Z1647,N1646,M1653)))</f>
        <v/>
      </c>
      <c r="O1647" s="485"/>
      <c r="P1647" s="485"/>
      <c r="U1647" s="1653" t="s">
        <v>1656</v>
      </c>
      <c r="V1647" s="1158" t="str">
        <f>IF(J1645="","",AND(V1646,IF(SUM(I1653)&lt;0,OR(SUM(J1646)&lt;SUM(I1653)-MOD(SUM(I1653),5%),J1646&gt;=SUM(I1653)+5%-MOD(SUM(I1653),5%)),OR(SUM(J1646)&lt;=SUM(I1653)-MOD(SUM(I1653),5%),SUM(J1646)&gt;SUM(I1653)+5%-MOD(SUM(I1653),5%)))))</f>
        <v/>
      </c>
      <c r="W1647" s="1158" t="str">
        <f>IF(K1645="","",AND(W1646,IF(SUM(J1653)&lt;0,OR(SUM(K1646)&lt;SUM(J1653)-MOD(SUM(J1653),5%),K1646&gt;=SUM(J1653)+5%-MOD(SUM(J1653),5%)),OR(SUM(K1646)&lt;=SUM(J1653)-MOD(SUM(J1653),5%),SUM(K1646)&gt;SUM(J1653)+5%-MOD(SUM(J1653),5%)))))</f>
        <v/>
      </c>
      <c r="X1647" s="1158" t="str">
        <f>IF(L1645="","",AND(X1646,IF(SUM(K1653)&lt;0,OR(SUM(L1646)&lt;SUM(K1653)-MOD(SUM(K1653),5%),L1646&gt;=SUM(K1653)+5%-MOD(SUM(K1653),5%)),OR(SUM(L1646)&lt;=SUM(K1653)-MOD(SUM(K1653),5%),SUM(L1646)&gt;SUM(K1653)+5%-MOD(SUM(K1653),5%)))))</f>
        <v/>
      </c>
      <c r="Y1647" s="1158" t="str">
        <f>IF(M1645="","",AND(Y1646,IF(SUM(L1653)&lt;0,OR(SUM(M1646)&lt;SUM(L1653)-MOD(SUM(L1653),5%),M1646&gt;=SUM(L1653)+5%-MOD(SUM(L1653),5%)),OR(SUM(M1646)&lt;=SUM(L1653)-MOD(SUM(L1653),5%),SUM(M1646)&gt;SUM(L1653)+5%-MOD(SUM(L1653),5%)))))</f>
        <v/>
      </c>
      <c r="Z1647" s="1656" t="str">
        <f>IF(N1645="","",AND(Z1646,IF(SUM(M1653)&lt;0,OR(SUM(N1646)&lt;SUM(M1653)-MOD(SUM(M1653),5%),N1646&gt;=SUM(M1653)+5%-MOD(SUM(M1653),5%)),OR(SUM(N1646)&lt;=SUM(M1653)-MOD(SUM(M1653),5%),SUM(N1646)&gt;SUM(M1653)+5%-MOD(SUM(M1653),5%)))))</f>
        <v/>
      </c>
      <c r="AL1647" s="1435"/>
    </row>
    <row r="1648" spans="1:38" ht="12.75" hidden="1" customHeight="1">
      <c r="A1648" s="618" t="s">
        <v>2289</v>
      </c>
      <c r="B1648" s="479"/>
      <c r="C1648" s="479"/>
      <c r="D1648" s="918"/>
      <c r="E1648" s="916" t="s">
        <v>1689</v>
      </c>
      <c r="F1648" s="916"/>
      <c r="G1648" s="916"/>
      <c r="H1648" s="639" t="str">
        <f>H1645</f>
        <v>tonnes</v>
      </c>
      <c r="I1648" s="917" t="str">
        <f>IF(I1623="","",IF(AB1623=FALSE,EUconst_NA,IF(V1623&gt;($J$3242-3),INDEX(H1633:N1633,MATCH(V1623,H1630:N1630,0)),SUM(I1645))))</f>
        <v/>
      </c>
      <c r="J1648" s="1651" t="str">
        <f>IF($I1623="","",IF(V1645&lt;2,SUM(J1633),IF(V1645&lt;3,SUM(I1633),IF(V1648="",I1648,V1648))))</f>
        <v/>
      </c>
      <c r="K1648" s="1799" t="str">
        <f>IF($I1623="","",IF(W1645&lt;2,SUM(K1633),IF(W1645&lt;3,SUM(J1633),IF(W1648="",J1648,W1648))))</f>
        <v/>
      </c>
      <c r="L1648" s="1799" t="str">
        <f>IF($I1623="","",IF(X1645&lt;2,SUM(L1633),IF(X1645&lt;3,SUM(K1633),IF(X1648="",K1648,X1648))))</f>
        <v/>
      </c>
      <c r="M1648" s="1799" t="str">
        <f>IF($I1623="","",IF(Y1645&lt;2,SUM(M1633),IF(Y1645&lt;3,SUM(L1633),IF(Y1648="",L1648,Y1648))))</f>
        <v/>
      </c>
      <c r="N1648" s="1799" t="str">
        <f>IF($I1623="","",IF(Z1645&lt;2,SUM(N1633),IF(Z1645&lt;3,SUM(M1633),IF(Z1648="",M1648,Z1648))))</f>
        <v/>
      </c>
      <c r="O1648" s="485"/>
      <c r="P1648" s="485"/>
      <c r="Q1648" s="1641" t="str">
        <f>EUconst_CNTR_HALprelim&amp;I1623</f>
        <v>HALprelim_</v>
      </c>
      <c r="U1648" s="1653" t="s">
        <v>1697</v>
      </c>
      <c r="V1648" s="1660" t="str">
        <f>IF(J1645="","",IF(CNTR_ReportingYear&lt;J1644,I1647,IF($I1648=0,J1645,$I1648*(1+J1647))))</f>
        <v/>
      </c>
      <c r="W1648" s="1660" t="str">
        <f>IF(K1645="","",IF(CNTR_ReportingYear&lt;K1644,J1647,IF($I1648=0,K1645,$I1648*(1+K1647))))</f>
        <v/>
      </c>
      <c r="X1648" s="1660" t="str">
        <f>IF(L1645="","",IF(CNTR_ReportingYear&lt;L1644,K1647,IF($I1648=0,L1645,$I1648*(1+L1647))))</f>
        <v/>
      </c>
      <c r="Y1648" s="1660" t="str">
        <f>IF(M1645="","",IF(CNTR_ReportingYear&lt;M1644,L1647,IF($I1648=0,M1645,$I1648*(1+M1647))))</f>
        <v/>
      </c>
      <c r="Z1648" s="1661" t="str">
        <f>IF(N1645="","",IF(CNTR_ReportingYear&lt;N1644,M1647,IF($I1648=0,N1645,$I1648*(1+N1647))))</f>
        <v/>
      </c>
      <c r="AL1648" s="1435"/>
    </row>
    <row r="1649" spans="1:42" ht="5.0999999999999996" customHeight="1">
      <c r="A1649" s="618"/>
      <c r="B1649" s="479"/>
      <c r="C1649" s="479"/>
      <c r="D1649" s="918"/>
      <c r="E1649" s="909"/>
      <c r="F1649" s="909"/>
      <c r="G1649" s="909"/>
      <c r="H1649" s="909"/>
      <c r="I1649" s="909"/>
      <c r="J1649" s="922"/>
      <c r="K1649" s="1791"/>
      <c r="L1649" s="1791"/>
      <c r="M1649" s="1791"/>
      <c r="N1649" s="1791"/>
      <c r="O1649" s="485"/>
      <c r="P1649" s="485"/>
      <c r="Q1649" s="1435"/>
      <c r="U1649" s="1663"/>
      <c r="V1649" s="1435"/>
      <c r="Z1649" s="1664"/>
      <c r="AL1649" s="1435"/>
    </row>
    <row r="1650" spans="1:42" ht="12.75" customHeight="1">
      <c r="A1650" s="618"/>
      <c r="B1650" s="479"/>
      <c r="C1650" s="479"/>
      <c r="D1650" s="918"/>
      <c r="E1650" s="923" t="s">
        <v>1653</v>
      </c>
      <c r="F1650" s="923"/>
      <c r="G1650" s="923"/>
      <c r="H1650" s="923"/>
      <c r="I1650" s="923"/>
      <c r="J1650" s="1647">
        <f>J$3242</f>
        <v>2026</v>
      </c>
      <c r="K1650" s="1490">
        <f>K$3242</f>
        <v>2027</v>
      </c>
      <c r="L1650" s="1490">
        <f>L$3242</f>
        <v>2028</v>
      </c>
      <c r="M1650" s="1490">
        <f>M$3242</f>
        <v>2029</v>
      </c>
      <c r="N1650" s="1490">
        <f>N$3242</f>
        <v>2030</v>
      </c>
      <c r="O1650" s="485"/>
      <c r="P1650" s="485"/>
      <c r="Q1650" s="1435"/>
      <c r="U1650" s="1665"/>
      <c r="Z1650" s="1664"/>
      <c r="AL1650" s="1435"/>
    </row>
    <row r="1651" spans="1:42" ht="12.75" customHeight="1">
      <c r="A1651" s="618"/>
      <c r="B1651" s="479"/>
      <c r="C1651" s="479"/>
      <c r="D1651" s="915" t="s">
        <v>8</v>
      </c>
      <c r="E1651" s="916" t="s">
        <v>2108</v>
      </c>
      <c r="F1651" s="916"/>
      <c r="G1651" s="916"/>
      <c r="H1651" s="916"/>
      <c r="I1651" s="916"/>
      <c r="J1651" s="1666" t="str">
        <f>IF($I1623="","",INDEX(K_Summary!J:J,MATCH($Q1651,K_Summary!$P:$P,0)))</f>
        <v/>
      </c>
      <c r="K1651" s="1791" t="str">
        <f>IF($I1623="","",INDEX(K_Summary!K:K,MATCH($Q1651,K_Summary!$P:$P,0)))</f>
        <v/>
      </c>
      <c r="L1651" s="1791" t="str">
        <f>IF($I1623="","",INDEX(K_Summary!L:L,MATCH($Q1651,K_Summary!$P:$P,0)))</f>
        <v/>
      </c>
      <c r="M1651" s="1791" t="str">
        <f>IF($I1623="","",INDEX(K_Summary!M:M,MATCH($Q1651,K_Summary!$P:$P,0)))</f>
        <v/>
      </c>
      <c r="N1651" s="1791" t="str">
        <f>IF($I1623="","",INDEX(K_Summary!N:N,MATCH($Q1651,K_Summary!$P:$P,0)))</f>
        <v/>
      </c>
      <c r="O1651" s="485"/>
      <c r="P1651" s="485"/>
      <c r="Q1651" s="1641" t="str">
        <f>EUconst_CNTR_100EUA_ActivityLevel&amp;I1623</f>
        <v>EUA100AL_</v>
      </c>
      <c r="U1651" s="1665"/>
      <c r="V1651" s="8"/>
      <c r="W1651" s="8"/>
      <c r="X1651" s="8"/>
      <c r="Y1651" s="8"/>
      <c r="Z1651" s="1664"/>
      <c r="AL1651" s="1435"/>
    </row>
    <row r="1652" spans="1:42" ht="5.0999999999999996" customHeight="1" thickBot="1">
      <c r="A1652" s="618"/>
      <c r="B1652" s="479"/>
      <c r="C1652" s="479"/>
      <c r="D1652" s="918"/>
      <c r="E1652" s="909"/>
      <c r="F1652" s="909"/>
      <c r="G1652" s="909"/>
      <c r="H1652" s="909"/>
      <c r="I1652" s="909"/>
      <c r="J1652" s="922"/>
      <c r="K1652" s="1791"/>
      <c r="L1652" s="1791"/>
      <c r="M1652" s="1791"/>
      <c r="N1652" s="1791"/>
      <c r="O1652" s="485"/>
      <c r="P1652" s="485"/>
      <c r="Q1652" s="1435"/>
      <c r="U1652" s="1663"/>
      <c r="V1652" s="1435"/>
      <c r="Z1652" s="1664"/>
      <c r="AL1652" s="1435"/>
    </row>
    <row r="1653" spans="1:42" ht="12.75" customHeight="1" thickBot="1">
      <c r="B1653" s="479"/>
      <c r="C1653" s="479"/>
      <c r="D1653" s="915" t="s">
        <v>18</v>
      </c>
      <c r="E1653" s="916" t="s">
        <v>1657</v>
      </c>
      <c r="F1653" s="916"/>
      <c r="G1653" s="916"/>
      <c r="H1653" s="921"/>
      <c r="I1653" s="1667"/>
      <c r="J1653" s="1668" t="str">
        <f>IF(J1651="","",IF(J1644&gt;$Z1623,-100%,IF(OR(J1651,V1645&lt;1),J1647,I1653)))</f>
        <v/>
      </c>
      <c r="K1653" s="1796" t="str">
        <f>IF(K1651="","",IF(K1644&gt;$Z1623,-100%,IF(OR(K1651,W1645&lt;1),K1647,J1653)))</f>
        <v/>
      </c>
      <c r="L1653" s="1796" t="str">
        <f>IF(L1651="","",IF(L1644&gt;$Z1623,-100%,IF(OR(L1651,X1645&lt;1),L1647,K1653)))</f>
        <v/>
      </c>
      <c r="M1653" s="1796" t="str">
        <f>IF(M1651="","",IF(M1644&gt;$Z1623,-100%,IF(OR(M1651,Y1645&lt;1),M1647,L1653)))</f>
        <v/>
      </c>
      <c r="N1653" s="1796" t="str">
        <f>IF(N1651="","",IF(N1644&gt;$Z1623,-100%,IF(OR(N1651,Z1645&lt;1),N1647,M1653)))</f>
        <v/>
      </c>
      <c r="O1653" s="485"/>
      <c r="P1653" s="1136"/>
      <c r="Q1653" s="1644" t="str">
        <f>EUconst_CNTR_HALAdjPct &amp; I1623</f>
        <v>HALAdjPct_</v>
      </c>
      <c r="U1653" s="1663" t="s">
        <v>1658</v>
      </c>
      <c r="V1653" s="1670">
        <f>J1650</f>
        <v>2026</v>
      </c>
      <c r="W1653" s="1670">
        <f>K1650</f>
        <v>2027</v>
      </c>
      <c r="X1653" s="1670">
        <f>L1650</f>
        <v>2028</v>
      </c>
      <c r="Y1653" s="1670">
        <f>M1650</f>
        <v>2029</v>
      </c>
      <c r="Z1653" s="1671">
        <f>N1650</f>
        <v>2030</v>
      </c>
      <c r="AL1653" s="1435"/>
    </row>
    <row r="1654" spans="1:42" ht="12.75" customHeight="1" thickBot="1">
      <c r="A1654" s="618"/>
      <c r="B1654" s="479"/>
      <c r="C1654" s="479"/>
      <c r="D1654" s="915" t="s">
        <v>787</v>
      </c>
      <c r="E1654" s="916" t="s">
        <v>1659</v>
      </c>
      <c r="F1654" s="916"/>
      <c r="G1654" s="916"/>
      <c r="H1654" s="639" t="str">
        <f>H1645</f>
        <v>tonnes</v>
      </c>
      <c r="I1654" s="917" t="str">
        <f>I1648</f>
        <v/>
      </c>
      <c r="J1654" s="1672" t="str">
        <f>IF($I1623="","",IF(OR($I1654=0,J1653="",$I1654=EUconst_NA),IF(OR(J1651=TRUE,J1650&lt;=$V1623),J1648,SUM(I1654)),$I1654*(1+SUM(J1653))))</f>
        <v/>
      </c>
      <c r="K1654" s="1800" t="str">
        <f>IF($I1623="","",IF(OR($I1654=0,K1653="",$I1654=EUconst_NA),IF(OR(K1651=TRUE,K1650&lt;=$V1623),K1648,SUM(J1654)),$I1654*(1+SUM(K1653))))</f>
        <v/>
      </c>
      <c r="L1654" s="1800" t="str">
        <f>IF($I1623="","",IF(OR($I1654=0,L1653="",$I1654=EUconst_NA),IF(OR(L1651=TRUE,L1650&lt;=$V1623),L1648,SUM(K1654)),$I1654*(1+SUM(L1653))))</f>
        <v/>
      </c>
      <c r="M1654" s="1800" t="str">
        <f>IF($I1623="","",IF(OR($I1654=0,M1653="",$I1654=EUconst_NA),IF(OR(M1651=TRUE,M1650&lt;=$V1623),M1648,SUM(L1654)),$I1654*(1+SUM(M1653))))</f>
        <v/>
      </c>
      <c r="N1654" s="1800" t="str">
        <f>IF($I1623="","",IF(OR($I1654=0,N1653="",$I1654=EUconst_NA),IF(OR(N1651=TRUE,N1650&lt;=$V1623),N1648,SUM(M1654)),$I1654*(1+SUM(N1653))))</f>
        <v/>
      </c>
      <c r="O1654" s="485"/>
      <c r="P1654" s="485"/>
      <c r="Q1654" s="1641" t="str">
        <f>EUconst_CNTR_HALfinal&amp;I1623</f>
        <v>HALfinal_</v>
      </c>
      <c r="U1654" s="1674" t="b">
        <v>0</v>
      </c>
      <c r="V1654" s="1675" t="str">
        <f>IF(V1631,IF(J1651=TRUE,V1646,U1654),"")</f>
        <v/>
      </c>
      <c r="W1654" s="1675" t="str">
        <f>IF(W1631,IF(K1651=TRUE,W1646,V1654),"")</f>
        <v/>
      </c>
      <c r="X1654" s="1675" t="str">
        <f>IF(X1631,IF(L1651=TRUE,X1646,W1654),"")</f>
        <v/>
      </c>
      <c r="Y1654" s="1675" t="str">
        <f>IF(Y1631,IF(M1651=TRUE,Y1646,X1654),"")</f>
        <v/>
      </c>
      <c r="Z1654" s="1676" t="str">
        <f>IF(Z1631,IF(N1651=TRUE,Z1646,Y1654),"")</f>
        <v/>
      </c>
      <c r="AJ1654" s="1633" t="s">
        <v>1951</v>
      </c>
      <c r="AK1654" s="1443" t="str">
        <f>IF(OR(ISERROR(J1654),ISERROR(K1654),ISERROR(L1654),ISERROR(M1654),ISERROR(N1654)),EUconst_Error &amp; "BM" &amp; Q1623,"")</f>
        <v/>
      </c>
      <c r="AL1654" s="1435"/>
    </row>
    <row r="1655" spans="1:42" ht="5.0999999999999996" customHeight="1" thickBot="1">
      <c r="B1655" s="479"/>
      <c r="C1655" s="479"/>
      <c r="D1655" s="924"/>
      <c r="E1655" s="925"/>
      <c r="F1655" s="925"/>
      <c r="G1655" s="925"/>
      <c r="H1655" s="925"/>
      <c r="I1655" s="925"/>
      <c r="J1655" s="926"/>
      <c r="K1655" s="1791"/>
      <c r="L1655" s="1791"/>
      <c r="M1655" s="1791"/>
      <c r="N1655" s="1791"/>
      <c r="O1655" s="485"/>
      <c r="P1655" s="485"/>
      <c r="Q1655" s="1435"/>
      <c r="U1655" s="1435"/>
      <c r="V1655" s="1435"/>
      <c r="AL1655" s="1435"/>
    </row>
    <row r="1656" spans="1:42" ht="5.0999999999999996" customHeight="1">
      <c r="B1656" s="479"/>
      <c r="C1656" s="479"/>
      <c r="D1656" s="485"/>
      <c r="E1656" s="485"/>
      <c r="F1656" s="485"/>
      <c r="G1656" s="485"/>
      <c r="H1656" s="485"/>
      <c r="I1656" s="485"/>
      <c r="J1656" s="485"/>
      <c r="K1656" s="485"/>
      <c r="L1656" s="485"/>
      <c r="M1656" s="485"/>
      <c r="N1656" s="485"/>
      <c r="O1656" s="485"/>
      <c r="P1656" s="485"/>
      <c r="Q1656" s="1435"/>
      <c r="U1656" s="1435"/>
      <c r="V1656" s="1435"/>
      <c r="AL1656" s="1435"/>
    </row>
    <row r="1657" spans="1:42" ht="15" customHeight="1">
      <c r="B1657" s="1124"/>
      <c r="C1657" s="479"/>
      <c r="D1657" s="2482" t="s">
        <v>1229</v>
      </c>
      <c r="E1657" s="2400"/>
      <c r="F1657" s="2400"/>
      <c r="G1657" s="2400"/>
      <c r="H1657" s="2400"/>
      <c r="I1657" s="2400"/>
      <c r="J1657" s="2400"/>
      <c r="K1657" s="2400"/>
      <c r="L1657" s="2400"/>
      <c r="M1657" s="2400"/>
      <c r="N1657" s="2400"/>
      <c r="O1657" s="485"/>
      <c r="P1657" s="485"/>
      <c r="U1657" s="1435"/>
      <c r="V1657" s="1435"/>
    </row>
    <row r="1658" spans="1:42" ht="5.0999999999999996" customHeight="1">
      <c r="B1658" s="479"/>
      <c r="C1658" s="479"/>
      <c r="D1658" s="479"/>
      <c r="E1658" s="479"/>
      <c r="F1658" s="479"/>
      <c r="G1658" s="479"/>
      <c r="H1658" s="479"/>
      <c r="I1658" s="479"/>
      <c r="J1658" s="479"/>
      <c r="K1658" s="479"/>
      <c r="L1658" s="479"/>
      <c r="M1658" s="479"/>
      <c r="N1658" s="479"/>
      <c r="O1658" s="485"/>
      <c r="P1658" s="485"/>
      <c r="Q1658" s="1435"/>
      <c r="U1658" s="1435"/>
      <c r="V1658" s="1435"/>
    </row>
    <row r="1659" spans="1:42" ht="12.75" customHeight="1">
      <c r="B1659" s="1124"/>
      <c r="C1659" s="485"/>
      <c r="D1659" s="482" t="s">
        <v>48</v>
      </c>
      <c r="E1659" s="2373" t="s">
        <v>800</v>
      </c>
      <c r="F1659" s="2400"/>
      <c r="G1659" s="2400"/>
      <c r="H1659" s="2400"/>
      <c r="I1659" s="2585"/>
      <c r="J1659" s="2652" t="str">
        <f>IF(I1623="","",IF(T1659,EUconst_MsgEnterThisSection,HYPERLINK(R1659,EUconst_MsgGoOn)))</f>
        <v/>
      </c>
      <c r="K1659" s="2653"/>
      <c r="L1659" s="2653"/>
      <c r="M1659" s="2653"/>
      <c r="N1659" s="2654"/>
      <c r="O1659" s="485"/>
      <c r="P1659" s="485"/>
      <c r="Q1659" s="1198" t="s">
        <v>441</v>
      </c>
      <c r="R1659" s="1488" t="str">
        <f>"#"&amp;ADDRESS(ROW(D1687),COLUMN(D1687))</f>
        <v>#$D$1687</v>
      </c>
      <c r="S1659" s="1633" t="s">
        <v>1674</v>
      </c>
      <c r="T1659" s="1644" t="str">
        <f>IF(I1623="","",INDEX(EUconst_BMlistElExchangability,MATCH(I1623,EUconst_BMlistNames,0)))</f>
        <v/>
      </c>
      <c r="U1659" s="1435"/>
      <c r="V1659" s="1435"/>
    </row>
    <row r="1660" spans="1:42" ht="12.75" customHeight="1">
      <c r="B1660" s="479"/>
      <c r="C1660" s="479"/>
      <c r="D1660" s="485"/>
      <c r="E1660" s="2385" t="s">
        <v>1241</v>
      </c>
      <c r="F1660" s="2846"/>
      <c r="G1660" s="2846"/>
      <c r="H1660" s="2846"/>
      <c r="I1660" s="2846"/>
      <c r="J1660" s="2846"/>
      <c r="K1660" s="2846"/>
      <c r="L1660" s="2846"/>
      <c r="M1660" s="2846"/>
      <c r="N1660" s="2846"/>
      <c r="O1660" s="485"/>
      <c r="P1660" s="485"/>
      <c r="U1660" s="1435"/>
      <c r="V1660" s="1435"/>
    </row>
    <row r="1661" spans="1:42" ht="12.75" customHeight="1">
      <c r="B1661" s="479"/>
      <c r="C1661" s="479"/>
      <c r="D1661" s="485"/>
      <c r="E1661" s="2385" t="s">
        <v>1526</v>
      </c>
      <c r="F1661" s="2846"/>
      <c r="G1661" s="2846"/>
      <c r="H1661" s="2846"/>
      <c r="I1661" s="2846"/>
      <c r="J1661" s="2846"/>
      <c r="K1661" s="2846"/>
      <c r="L1661" s="2846"/>
      <c r="M1661" s="2846"/>
      <c r="N1661" s="2846"/>
      <c r="O1661" s="485"/>
      <c r="P1661" s="485"/>
      <c r="Q1661" s="1435"/>
      <c r="U1661" s="1435"/>
      <c r="V1661" s="1435"/>
      <c r="W1661" s="1435"/>
      <c r="X1661" s="1435"/>
      <c r="Y1661" s="1435"/>
      <c r="Z1661" s="1435"/>
    </row>
    <row r="1662" spans="1:42" ht="25.5" customHeight="1">
      <c r="B1662" s="479"/>
      <c r="C1662" s="479"/>
      <c r="D1662" s="485"/>
      <c r="E1662" s="2385" t="s">
        <v>1635</v>
      </c>
      <c r="F1662" s="2846"/>
      <c r="G1662" s="2846"/>
      <c r="H1662" s="2846"/>
      <c r="I1662" s="2846"/>
      <c r="J1662" s="2846"/>
      <c r="K1662" s="2846"/>
      <c r="L1662" s="2846"/>
      <c r="M1662" s="2846"/>
      <c r="N1662" s="2846"/>
      <c r="O1662" s="485"/>
      <c r="P1662" s="485"/>
      <c r="Q1662" s="1435"/>
      <c r="U1662" s="1435"/>
      <c r="V1662" s="1435"/>
      <c r="W1662" s="1435"/>
      <c r="X1662" s="1435"/>
      <c r="Y1662" s="1435"/>
      <c r="Z1662" s="1435"/>
    </row>
    <row r="1663" spans="1:42" s="562" customFormat="1" ht="13.5" thickBot="1">
      <c r="A1663" s="618"/>
      <c r="B1663" s="485"/>
      <c r="C1663" s="485"/>
      <c r="D1663" s="482"/>
      <c r="E1663" s="927" t="s">
        <v>62</v>
      </c>
      <c r="F1663" s="518"/>
      <c r="G1663" s="663" t="str">
        <f>EUconst_Unit</f>
        <v>Unit</v>
      </c>
      <c r="H1663" s="578">
        <f>H$3242</f>
        <v>2024</v>
      </c>
      <c r="I1663" s="697">
        <f>I$3242</f>
        <v>2025</v>
      </c>
      <c r="J1663" s="1489">
        <f>J$112</f>
        <v>2026</v>
      </c>
      <c r="K1663" s="1490">
        <f>K$112</f>
        <v>2027</v>
      </c>
      <c r="L1663" s="1490">
        <f>L$112</f>
        <v>2028</v>
      </c>
      <c r="M1663" s="1490">
        <f>M$112</f>
        <v>2029</v>
      </c>
      <c r="N1663" s="1490">
        <f>N$112</f>
        <v>2030</v>
      </c>
      <c r="O1663" s="485"/>
      <c r="P1663" s="485"/>
      <c r="Q1663" s="1435"/>
      <c r="R1663" s="1435"/>
      <c r="S1663" s="1198"/>
      <c r="T1663" s="1198"/>
      <c r="U1663" s="1435"/>
      <c r="V1663" s="1435"/>
      <c r="W1663" s="1435"/>
      <c r="X1663" s="1435"/>
      <c r="Y1663" s="1435"/>
      <c r="Z1663" s="1435"/>
      <c r="AA1663" s="1435"/>
      <c r="AB1663" s="1198"/>
      <c r="AC1663" s="1638">
        <f t="shared" ref="AC1663:AI1663" si="770">H$20</f>
        <v>2024</v>
      </c>
      <c r="AD1663" s="1638">
        <f t="shared" si="770"/>
        <v>2025</v>
      </c>
      <c r="AE1663" s="1638">
        <f t="shared" si="770"/>
        <v>2026</v>
      </c>
      <c r="AF1663" s="1638">
        <f t="shared" si="770"/>
        <v>2027</v>
      </c>
      <c r="AG1663" s="1638">
        <f t="shared" si="770"/>
        <v>2028</v>
      </c>
      <c r="AH1663" s="1638">
        <f t="shared" si="770"/>
        <v>2029</v>
      </c>
      <c r="AI1663" s="1638">
        <f t="shared" si="770"/>
        <v>2030</v>
      </c>
      <c r="AJ1663" s="1198"/>
      <c r="AK1663" s="1198"/>
      <c r="AL1663" s="1198"/>
      <c r="AP1663" s="1135"/>
    </row>
    <row r="1664" spans="1:42" s="562" customFormat="1" ht="13.5" customHeight="1">
      <c r="A1664" s="618"/>
      <c r="B1664" s="485"/>
      <c r="C1664" s="485"/>
      <c r="D1664" s="561" t="s">
        <v>6</v>
      </c>
      <c r="E1664" s="863" t="s">
        <v>63</v>
      </c>
      <c r="F1664" s="863"/>
      <c r="G1664" s="579" t="str">
        <f>EUconst_tCO2pa</f>
        <v>t CO2 / year</v>
      </c>
      <c r="H1664" s="1678" t="str">
        <f>c_ALR2025!M4270</f>
        <v/>
      </c>
      <c r="I1664" s="1879"/>
      <c r="J1664" s="1786"/>
      <c r="K1664" s="1787"/>
      <c r="L1664" s="1787"/>
      <c r="M1664" s="1787"/>
      <c r="N1664" s="1787"/>
      <c r="O1664" s="485"/>
      <c r="P1664" s="9">
        <v>0</v>
      </c>
      <c r="Q1664" s="1435"/>
      <c r="R1664" s="1435"/>
      <c r="S1664" s="1198"/>
      <c r="T1664" s="1198"/>
      <c r="U1664" s="1435"/>
      <c r="V1664" s="1435"/>
      <c r="W1664" s="1435"/>
      <c r="X1664" s="1435"/>
      <c r="Y1664" s="1435"/>
      <c r="Z1664" s="1435"/>
      <c r="AA1664" s="1435"/>
      <c r="AB1664" s="1641" t="s">
        <v>717</v>
      </c>
      <c r="AC1664" s="1855" t="b">
        <f t="shared" ref="AC1664:AI1664" si="771">IF(CNTR_ExistSubInstEntries,IF($I1623="",TRUE,OR(H1663&gt;=CNTR_ReportingYear,AC1663&lt;$V1623-1,INDEX(EUconst_BMlistElExchangability,MATCH($I1623,EUconst_BMlistNames,0))=FALSE)),FALSE)</f>
        <v>0</v>
      </c>
      <c r="AD1664" s="1680" t="b">
        <f t="shared" si="771"/>
        <v>0</v>
      </c>
      <c r="AE1664" s="1680" t="b">
        <f t="shared" si="771"/>
        <v>0</v>
      </c>
      <c r="AF1664" s="1680" t="b">
        <f t="shared" si="771"/>
        <v>0</v>
      </c>
      <c r="AG1664" s="1680" t="b">
        <f t="shared" si="771"/>
        <v>0</v>
      </c>
      <c r="AH1664" s="1680" t="b">
        <f t="shared" si="771"/>
        <v>0</v>
      </c>
      <c r="AI1664" s="1681" t="b">
        <f t="shared" si="771"/>
        <v>0</v>
      </c>
      <c r="AJ1664" s="1633" t="s">
        <v>1954</v>
      </c>
      <c r="AK1664" s="1635" t="str">
        <f>IF(AND(CNTR_ExistSubInstEntries,COUNTIFS(AC1664:AI1664,FALSE,H1664:N1664,"")&gt;0),EUconst_Error&amp;"BM"&amp;$Q1623,"")</f>
        <v/>
      </c>
      <c r="AL1664" s="1198"/>
      <c r="AP1664" s="1135"/>
    </row>
    <row r="1665" spans="1:42" s="562" customFormat="1" ht="12.75" customHeight="1">
      <c r="A1665" s="618"/>
      <c r="B1665" s="485"/>
      <c r="C1665" s="485"/>
      <c r="D1665" s="561" t="s">
        <v>7</v>
      </c>
      <c r="E1665" s="865" t="s">
        <v>257</v>
      </c>
      <c r="F1665" s="865"/>
      <c r="G1665" s="582" t="str">
        <f>EUconst_TJpa</f>
        <v>TJ / year</v>
      </c>
      <c r="H1665" s="662" t="str">
        <f t="shared" ref="H1665:N1665" si="772">IF(AND($I1623&lt;&gt;"",H1663&lt;CNTR_ReportingYear),IF(INDEX(EUconst_BMlistElExchangability,MATCH($I1623,EUconst_BMlistNames,0)),SUM(H1836),""),"")</f>
        <v/>
      </c>
      <c r="I1665" s="931" t="str">
        <f t="shared" si="772"/>
        <v/>
      </c>
      <c r="J1665" s="1788" t="str">
        <f t="shared" si="772"/>
        <v/>
      </c>
      <c r="K1665" s="1789" t="str">
        <f t="shared" si="772"/>
        <v/>
      </c>
      <c r="L1665" s="1789" t="str">
        <f t="shared" si="772"/>
        <v/>
      </c>
      <c r="M1665" s="1789" t="str">
        <f t="shared" si="772"/>
        <v/>
      </c>
      <c r="N1665" s="1789" t="str">
        <f t="shared" si="772"/>
        <v/>
      </c>
      <c r="O1665" s="485"/>
      <c r="P1665" s="485"/>
      <c r="Q1665" s="1435"/>
      <c r="R1665" s="1435"/>
      <c r="S1665" s="1198"/>
      <c r="T1665" s="1198">
        <f t="shared" ref="T1665:Z1665" si="773">H1663</f>
        <v>2024</v>
      </c>
      <c r="U1665" s="1435">
        <f t="shared" si="773"/>
        <v>2025</v>
      </c>
      <c r="V1665" s="1435">
        <f t="shared" si="773"/>
        <v>2026</v>
      </c>
      <c r="W1665" s="1435">
        <f t="shared" si="773"/>
        <v>2027</v>
      </c>
      <c r="X1665" s="1435">
        <f t="shared" si="773"/>
        <v>2028</v>
      </c>
      <c r="Y1665" s="1435">
        <f t="shared" si="773"/>
        <v>2029</v>
      </c>
      <c r="Z1665" s="1435">
        <f t="shared" si="773"/>
        <v>2030</v>
      </c>
      <c r="AA1665" s="1435"/>
      <c r="AB1665" s="1435"/>
      <c r="AC1665" s="1665"/>
      <c r="AD1665" s="1435"/>
      <c r="AE1665" s="1435"/>
      <c r="AF1665" s="1435"/>
      <c r="AG1665" s="1435"/>
      <c r="AH1665" s="1435"/>
      <c r="AI1665" s="1683"/>
      <c r="AJ1665" s="1435"/>
      <c r="AK1665" s="1435"/>
      <c r="AL1665" s="1198"/>
      <c r="AP1665" s="1135"/>
    </row>
    <row r="1666" spans="1:42" s="562" customFormat="1" ht="12.75" customHeight="1" thickBot="1">
      <c r="A1666" s="618"/>
      <c r="B1666" s="485"/>
      <c r="C1666" s="485"/>
      <c r="D1666" s="561" t="s">
        <v>8</v>
      </c>
      <c r="E1666" s="932" t="s">
        <v>914</v>
      </c>
      <c r="F1666" s="932"/>
      <c r="G1666" s="933" t="str">
        <f>EUconst_MWhpa</f>
        <v>MWh / year</v>
      </c>
      <c r="H1666" s="1582" t="str">
        <f>c_ALR2025!M4272</f>
        <v/>
      </c>
      <c r="I1666" s="1880"/>
      <c r="J1666" s="1491"/>
      <c r="K1666" s="1492"/>
      <c r="L1666" s="1492"/>
      <c r="M1666" s="1492"/>
      <c r="N1666" s="1492"/>
      <c r="O1666" s="485"/>
      <c r="P1666" s="9">
        <v>0</v>
      </c>
      <c r="Q1666" s="1644" t="str">
        <f>EUconst_CNTR_HAL&amp;EUconst_CNTR_ELEXCH</f>
        <v>HAL_ELEXCH_</v>
      </c>
      <c r="R1666" s="1644" t="str">
        <f>EUconst_CNTR_HAL&amp;EUconst_CNTR_ELEXCH &amp; I1623</f>
        <v>HAL_ELEXCH_</v>
      </c>
      <c r="S1666" s="1198" t="str">
        <f>EUconst_CNTR_AttributedEmissions &amp; I1623</f>
        <v>AttrEmissions_</v>
      </c>
      <c r="T1666" s="1198" t="str">
        <f t="shared" ref="T1666:Z1666" si="774">IF(T1631,SUM(H1666)*EUconst_ElBM,"")</f>
        <v/>
      </c>
      <c r="U1666" s="1435" t="str">
        <f t="shared" si="774"/>
        <v/>
      </c>
      <c r="V1666" s="1435" t="str">
        <f t="shared" si="774"/>
        <v/>
      </c>
      <c r="W1666" s="1435" t="str">
        <f t="shared" si="774"/>
        <v/>
      </c>
      <c r="X1666" s="1435" t="str">
        <f t="shared" si="774"/>
        <v/>
      </c>
      <c r="Y1666" s="1435" t="str">
        <f t="shared" si="774"/>
        <v/>
      </c>
      <c r="Z1666" s="1435" t="str">
        <f t="shared" si="774"/>
        <v/>
      </c>
      <c r="AA1666" s="1435"/>
      <c r="AB1666" s="1435"/>
      <c r="AC1666" s="1685" t="b">
        <f>AC1664</f>
        <v>0</v>
      </c>
      <c r="AD1666" s="1686" t="b">
        <f t="shared" ref="AD1666:AI1666" si="775">AD1664</f>
        <v>0</v>
      </c>
      <c r="AE1666" s="1686" t="b">
        <f t="shared" si="775"/>
        <v>0</v>
      </c>
      <c r="AF1666" s="1686" t="b">
        <f t="shared" si="775"/>
        <v>0</v>
      </c>
      <c r="AG1666" s="1686" t="b">
        <f t="shared" si="775"/>
        <v>0</v>
      </c>
      <c r="AH1666" s="1686" t="b">
        <f t="shared" si="775"/>
        <v>0</v>
      </c>
      <c r="AI1666" s="1687" t="b">
        <f t="shared" si="775"/>
        <v>0</v>
      </c>
      <c r="AJ1666" s="1633" t="s">
        <v>1954</v>
      </c>
      <c r="AK1666" s="1635" t="str">
        <f>IF(AND(CNTR_ExistSubInstEntries,COUNTIFS(AC1666:AI1666,FALSE,H1666:N1666,"")&gt;0),EUconst_Error&amp;"BM"&amp;$Q1623,"")</f>
        <v/>
      </c>
      <c r="AL1666" s="1198"/>
      <c r="AP1666" s="1135"/>
    </row>
    <row r="1667" spans="1:42" s="562" customFormat="1" ht="13.5" customHeight="1">
      <c r="A1667" s="618"/>
      <c r="B1667" s="485"/>
      <c r="C1667" s="485"/>
      <c r="D1667" s="561" t="s">
        <v>18</v>
      </c>
      <c r="E1667" s="863" t="s">
        <v>915</v>
      </c>
      <c r="F1667" s="863"/>
      <c r="G1667" s="579" t="str">
        <f>EUconst_tCO2pa</f>
        <v>t CO2 / year</v>
      </c>
      <c r="H1667" s="929" t="str">
        <f t="shared" ref="H1667:N1667" si="776">IF(ISNUMBER(H1664),H1664+SUM(H1665)*EUconst_HeatBMvalue,"")</f>
        <v/>
      </c>
      <c r="I1667" s="930" t="str">
        <f t="shared" si="776"/>
        <v/>
      </c>
      <c r="J1667" s="1786" t="str">
        <f t="shared" si="776"/>
        <v/>
      </c>
      <c r="K1667" s="1787" t="str">
        <f t="shared" si="776"/>
        <v/>
      </c>
      <c r="L1667" s="1787" t="str">
        <f t="shared" si="776"/>
        <v/>
      </c>
      <c r="M1667" s="1787" t="str">
        <f t="shared" si="776"/>
        <v/>
      </c>
      <c r="N1667" s="1787" t="str">
        <f t="shared" si="776"/>
        <v/>
      </c>
      <c r="O1667" s="485"/>
      <c r="P1667" s="485"/>
      <c r="Q1667" s="1435"/>
      <c r="R1667" s="1435"/>
      <c r="S1667" s="1198"/>
      <c r="T1667" s="1198"/>
      <c r="U1667" s="1435"/>
      <c r="V1667" s="1435"/>
      <c r="W1667" s="1435"/>
      <c r="X1667" s="1435"/>
      <c r="Y1667" s="1435"/>
      <c r="Z1667" s="1435"/>
      <c r="AA1667" s="1435"/>
      <c r="AB1667" s="1435"/>
      <c r="AC1667" s="1435"/>
      <c r="AD1667" s="1435"/>
      <c r="AE1667" s="1435"/>
      <c r="AF1667" s="1435"/>
      <c r="AG1667" s="1435"/>
      <c r="AH1667" s="1435"/>
      <c r="AI1667" s="1435"/>
      <c r="AJ1667" s="1435"/>
      <c r="AK1667" s="1435"/>
      <c r="AL1667" s="1198"/>
      <c r="AP1667" s="1135"/>
    </row>
    <row r="1668" spans="1:42" s="562" customFormat="1" ht="13.5" customHeight="1">
      <c r="A1668" s="618"/>
      <c r="B1668" s="485"/>
      <c r="C1668" s="485"/>
      <c r="D1668" s="561" t="s">
        <v>787</v>
      </c>
      <c r="E1668" s="867" t="s">
        <v>916</v>
      </c>
      <c r="F1668" s="867"/>
      <c r="G1668" s="584" t="str">
        <f>EUconst_tCO2pa</f>
        <v>t CO2 / year</v>
      </c>
      <c r="H1668" s="935" t="str">
        <f t="shared" ref="H1668:N1668" si="777">IF(ISNUMBER(H1666),H1666*EUconst_ElBM,"")</f>
        <v/>
      </c>
      <c r="I1668" s="936" t="str">
        <f t="shared" si="777"/>
        <v/>
      </c>
      <c r="J1668" s="1786" t="str">
        <f t="shared" si="777"/>
        <v/>
      </c>
      <c r="K1668" s="1787" t="str">
        <f t="shared" si="777"/>
        <v/>
      </c>
      <c r="L1668" s="1787" t="str">
        <f t="shared" si="777"/>
        <v/>
      </c>
      <c r="M1668" s="1787" t="str">
        <f t="shared" si="777"/>
        <v/>
      </c>
      <c r="N1668" s="1787" t="str">
        <f t="shared" si="777"/>
        <v/>
      </c>
      <c r="O1668" s="485"/>
      <c r="P1668" s="485"/>
      <c r="Q1668" s="1435"/>
      <c r="R1668" s="1435"/>
      <c r="S1668" s="1198"/>
      <c r="T1668" s="1198"/>
      <c r="U1668" s="1435"/>
      <c r="V1668" s="1435"/>
      <c r="W1668" s="1435"/>
      <c r="X1668" s="1435"/>
      <c r="Y1668" s="1435"/>
      <c r="Z1668" s="1435"/>
      <c r="AA1668" s="1435"/>
      <c r="AB1668" s="1435"/>
      <c r="AC1668" s="1435"/>
      <c r="AD1668" s="1435"/>
      <c r="AE1668" s="1435"/>
      <c r="AF1668" s="1435"/>
      <c r="AG1668" s="1435"/>
      <c r="AH1668" s="1435"/>
      <c r="AI1668" s="1435"/>
      <c r="AJ1668" s="1435"/>
      <c r="AK1668" s="1435"/>
      <c r="AL1668" s="1198"/>
      <c r="AP1668" s="1135"/>
    </row>
    <row r="1669" spans="1:42" ht="5.0999999999999996" customHeight="1">
      <c r="B1669" s="479"/>
      <c r="C1669" s="479"/>
      <c r="D1669" s="479"/>
      <c r="E1669" s="479"/>
      <c r="F1669" s="479"/>
      <c r="G1669" s="479"/>
      <c r="H1669" s="479"/>
      <c r="I1669" s="479"/>
      <c r="J1669" s="1790"/>
      <c r="K1669" s="1791"/>
      <c r="L1669" s="1791"/>
      <c r="M1669" s="1791"/>
      <c r="N1669" s="1791"/>
      <c r="O1669" s="485"/>
      <c r="P1669" s="485"/>
      <c r="Q1669" s="1435"/>
      <c r="U1669" s="1435"/>
      <c r="V1669" s="1435"/>
      <c r="W1669" s="1435"/>
      <c r="X1669" s="1435"/>
      <c r="Y1669" s="1435"/>
      <c r="Z1669" s="1435"/>
    </row>
    <row r="1670" spans="1:42" ht="12.75" customHeight="1">
      <c r="B1670" s="479"/>
      <c r="C1670" s="479"/>
      <c r="D1670" s="561" t="s">
        <v>788</v>
      </c>
      <c r="E1670" s="698" t="s">
        <v>1389</v>
      </c>
      <c r="F1670" s="938"/>
      <c r="G1670" s="939" t="s">
        <v>1021</v>
      </c>
      <c r="H1670" s="940" t="str">
        <f t="shared" ref="H1670:N1670" si="778">IF(COUNT(H1667:H1668)&gt;0,SUM(H1667)/SUM(H1667:H1668),IF($T1659=TRUE,IF(H1663&gt;CNTR_ReportingYear,"",1),""))</f>
        <v/>
      </c>
      <c r="I1670" s="941" t="str">
        <f t="shared" si="778"/>
        <v/>
      </c>
      <c r="J1670" s="1792" t="str">
        <f t="shared" si="778"/>
        <v/>
      </c>
      <c r="K1670" s="1793" t="str">
        <f t="shared" si="778"/>
        <v/>
      </c>
      <c r="L1670" s="1793" t="str">
        <f t="shared" si="778"/>
        <v/>
      </c>
      <c r="M1670" s="1793" t="str">
        <f t="shared" si="778"/>
        <v/>
      </c>
      <c r="N1670" s="1793" t="str">
        <f t="shared" si="778"/>
        <v/>
      </c>
      <c r="O1670" s="485"/>
      <c r="P1670" s="485"/>
      <c r="Q1670" s="1644" t="str">
        <f>EUconst_CNTR_ELEXCH &amp; I1623</f>
        <v>ELEXCH_</v>
      </c>
    </row>
    <row r="1671" spans="1:42" ht="5.0999999999999996" customHeight="1">
      <c r="B1671" s="479"/>
      <c r="C1671" s="479"/>
      <c r="D1671" s="479"/>
      <c r="E1671" s="479"/>
      <c r="F1671" s="479"/>
      <c r="G1671" s="479"/>
      <c r="H1671" s="479"/>
      <c r="I1671" s="479"/>
      <c r="J1671" s="479"/>
      <c r="K1671" s="479"/>
      <c r="L1671" s="479"/>
      <c r="M1671" s="485"/>
      <c r="N1671" s="485"/>
      <c r="O1671" s="485"/>
      <c r="P1671" s="485"/>
      <c r="Q1671" s="1435"/>
    </row>
    <row r="1672" spans="1:42" ht="25.5" customHeight="1" thickBot="1">
      <c r="B1672" s="479"/>
      <c r="C1672" s="479"/>
      <c r="D1672" s="485"/>
      <c r="E1672" s="2385" t="s">
        <v>2737</v>
      </c>
      <c r="F1672" s="2846"/>
      <c r="G1672" s="2846"/>
      <c r="H1672" s="2846"/>
      <c r="I1672" s="2846"/>
      <c r="J1672" s="2846"/>
      <c r="K1672" s="2846"/>
      <c r="L1672" s="2846"/>
      <c r="M1672" s="2846"/>
      <c r="N1672" s="2846"/>
      <c r="O1672" s="485"/>
      <c r="P1672" s="485"/>
      <c r="Q1672" s="1435"/>
      <c r="S1672" s="1435"/>
      <c r="T1672" s="1435"/>
      <c r="U1672" s="1435"/>
    </row>
    <row r="1673" spans="1:42" ht="5.0999999999999996" customHeight="1" thickBot="1">
      <c r="B1673" s="479"/>
      <c r="C1673" s="479"/>
      <c r="D1673" s="902"/>
      <c r="E1673" s="942"/>
      <c r="F1673" s="942"/>
      <c r="G1673" s="942"/>
      <c r="H1673" s="942"/>
      <c r="I1673" s="942"/>
      <c r="J1673" s="943"/>
      <c r="K1673" s="1791"/>
      <c r="L1673" s="1791"/>
      <c r="M1673" s="1791"/>
      <c r="N1673" s="1791"/>
      <c r="O1673" s="485"/>
      <c r="P1673" s="485"/>
      <c r="Q1673" s="1435"/>
      <c r="S1673" s="1435"/>
      <c r="T1673" s="1435"/>
      <c r="U1673" s="1435"/>
    </row>
    <row r="1674" spans="1:42" ht="12.75" customHeight="1">
      <c r="B1674" s="479"/>
      <c r="C1674" s="479"/>
      <c r="D1674" s="907" t="s">
        <v>1915</v>
      </c>
      <c r="E1674" s="908" t="s">
        <v>1775</v>
      </c>
      <c r="F1674" s="909"/>
      <c r="G1674" s="909"/>
      <c r="H1674" s="910" t="str">
        <f>EUconst_Unit</f>
        <v>Unit</v>
      </c>
      <c r="I1674" s="911" t="s">
        <v>2213</v>
      </c>
      <c r="J1674" s="1647">
        <f>J$3242</f>
        <v>2026</v>
      </c>
      <c r="K1674" s="1490">
        <f>K$3242</f>
        <v>2027</v>
      </c>
      <c r="L1674" s="1490">
        <f>L$3242</f>
        <v>2028</v>
      </c>
      <c r="M1674" s="1490">
        <f>M$3242</f>
        <v>2029</v>
      </c>
      <c r="N1674" s="1490">
        <f>N$3242</f>
        <v>2030</v>
      </c>
      <c r="O1674" s="485"/>
      <c r="P1674" s="485"/>
      <c r="Q1674" s="1435"/>
      <c r="U1674" s="1648"/>
      <c r="V1674" s="1649">
        <f>J1674</f>
        <v>2026</v>
      </c>
      <c r="W1674" s="1649">
        <f>K1674</f>
        <v>2027</v>
      </c>
      <c r="X1674" s="1649">
        <f>L1674</f>
        <v>2028</v>
      </c>
      <c r="Y1674" s="1649">
        <f>M1674</f>
        <v>2029</v>
      </c>
      <c r="Z1674" s="1650">
        <f>N1674</f>
        <v>2030</v>
      </c>
      <c r="AL1674" s="1435"/>
    </row>
    <row r="1675" spans="1:42" ht="12.75" customHeight="1">
      <c r="B1675" s="479"/>
      <c r="C1675" s="479"/>
      <c r="D1675" s="915" t="s">
        <v>6</v>
      </c>
      <c r="E1675" s="916" t="s">
        <v>1691</v>
      </c>
      <c r="F1675" s="916"/>
      <c r="G1675" s="916"/>
      <c r="H1675" s="944" t="str">
        <f>G1670</f>
        <v>-</v>
      </c>
      <c r="I1675" s="945" t="str">
        <f>IF($T1659&lt;&gt;TRUE,"",INDEX('B+C_SubInstallations'!$L:$L,MATCH(Q1675,'B+C_SubInstallations'!$W:$W,0)))</f>
        <v/>
      </c>
      <c r="J1675" s="1691" t="str">
        <f>IF($T1659&lt;&gt;TRUE,"",IF(AND(V1675&gt;=3,CNTR_ReportingYear&gt;J1674-1),AVERAGE(SUM(H1670),SUM(I1670)),""))</f>
        <v/>
      </c>
      <c r="K1675" s="1794" t="str">
        <f>IF($T1659&lt;&gt;TRUE,"",IF(AND(W1675&gt;=3,CNTR_ReportingYear&gt;K1674-1),AVERAGE(SUM(I1670),SUM(J1670)),""))</f>
        <v/>
      </c>
      <c r="L1675" s="1794" t="str">
        <f>IF($T1659&lt;&gt;TRUE,"",IF(AND(X1675&gt;=3,CNTR_ReportingYear&gt;L1674-1),AVERAGE(SUM(J1670),SUM(K1670)),""))</f>
        <v/>
      </c>
      <c r="M1675" s="1794" t="str">
        <f>IF($T1659&lt;&gt;TRUE,"",IF(AND(Y1675&gt;=3,CNTR_ReportingYear&gt;M1674-1),AVERAGE(SUM(K1670),SUM(L1670)),""))</f>
        <v/>
      </c>
      <c r="N1675" s="1794" t="str">
        <f>IF($T1659&lt;&gt;TRUE,"",IF(AND(Z1675&gt;=3,CNTR_ReportingYear&gt;N1674-1),AVERAGE(SUM(L1670),SUM(M1670)),""))</f>
        <v/>
      </c>
      <c r="O1675" s="485"/>
      <c r="P1675" s="485"/>
      <c r="Q1675" s="1644" t="str">
        <f>EUconst_CNTR_HAL &amp; EUconst_CNTR_ELEXCHInitial &amp; I1623</f>
        <v>HAL_ELEXCHIni_</v>
      </c>
      <c r="U1675" s="1693" t="s">
        <v>1650</v>
      </c>
      <c r="V1675" s="1635">
        <f>V1645</f>
        <v>0</v>
      </c>
      <c r="W1675" s="1635">
        <f>W1645</f>
        <v>0</v>
      </c>
      <c r="X1675" s="1635">
        <f>X1645</f>
        <v>0</v>
      </c>
      <c r="Y1675" s="1635">
        <f>Y1645</f>
        <v>0</v>
      </c>
      <c r="Z1675" s="1654">
        <f>Z1645</f>
        <v>0</v>
      </c>
      <c r="AL1675" s="1435"/>
    </row>
    <row r="1676" spans="1:42" ht="12.75" hidden="1" customHeight="1">
      <c r="A1676" s="618" t="s">
        <v>2289</v>
      </c>
      <c r="B1676" s="479"/>
      <c r="C1676" s="479"/>
      <c r="D1676" s="915"/>
      <c r="E1676" s="916" t="s">
        <v>1776</v>
      </c>
      <c r="F1676" s="916"/>
      <c r="G1676" s="916"/>
      <c r="H1676" s="921"/>
      <c r="I1676" s="1657"/>
      <c r="J1676" s="17" t="str">
        <f>IF(J1675="","",IF($I1678=0,IF(J1675=0,0%,100%),J1675/$I1678-1))</f>
        <v/>
      </c>
      <c r="K1676" s="22" t="str">
        <f>IF(K1675="","",IF($I1678=0,IF(K1675=0,0%,100%),K1675/$I1678-1))</f>
        <v/>
      </c>
      <c r="L1676" s="22" t="str">
        <f>IF(L1675="","",IF($I1678=0,IF(L1675=0,0%,100%),L1675/$I1678-1))</f>
        <v/>
      </c>
      <c r="M1676" s="22" t="str">
        <f>IF(M1675="","",IF($I1678=0,IF(M1675=0,0%,100%),M1675/$I1678-1))</f>
        <v/>
      </c>
      <c r="N1676" s="22" t="str">
        <f>IF(N1675="","",IF($I1678=0,IF(N1675=0,0%,100%),N1675/$I1678-1))</f>
        <v/>
      </c>
      <c r="O1676" s="485"/>
      <c r="P1676" s="485"/>
      <c r="Q1676" s="1644" t="str">
        <f>EUconst_CNTR_RelThreshold &amp; Q1678</f>
        <v>RelThresh_HALprelim_ELEXCH_</v>
      </c>
      <c r="U1676" s="1693" t="s">
        <v>1655</v>
      </c>
      <c r="V1676" s="1158" t="str">
        <f>IF(J1675="","",ABS(J1676)&gt;15%)</f>
        <v/>
      </c>
      <c r="W1676" s="1158" t="str">
        <f>IF(K1675="","",ABS(K1676)&gt;15%)</f>
        <v/>
      </c>
      <c r="X1676" s="1158" t="str">
        <f>IF(L1675="","",ABS(L1676)&gt;15%)</f>
        <v/>
      </c>
      <c r="Y1676" s="1158" t="str">
        <f>IF(M1675="","",ABS(M1676)&gt;15%)</f>
        <v/>
      </c>
      <c r="Z1676" s="1656" t="str">
        <f>IF(N1675="","",ABS(N1676)&gt;15%)</f>
        <v/>
      </c>
      <c r="AL1676" s="1435"/>
    </row>
    <row r="1677" spans="1:42" ht="12.75" customHeight="1">
      <c r="A1677" s="618"/>
      <c r="B1677" s="479"/>
      <c r="C1677" s="479"/>
      <c r="D1677" s="915" t="s">
        <v>7</v>
      </c>
      <c r="E1677" s="916" t="s">
        <v>1654</v>
      </c>
      <c r="F1677" s="916"/>
      <c r="G1677" s="916"/>
      <c r="H1677" s="921"/>
      <c r="I1677" s="1657"/>
      <c r="J1677" s="1658" t="str">
        <f>IF(J1675="","",IF(V1676=FALSE,0%,J1676))</f>
        <v/>
      </c>
      <c r="K1677" s="1795" t="str">
        <f>IF(K1675="","",IF(W1676=FALSE,0%,K1676))</f>
        <v/>
      </c>
      <c r="L1677" s="1795" t="str">
        <f>IF(L1675="","",IF(X1676=FALSE,0%,L1676))</f>
        <v/>
      </c>
      <c r="M1677" s="1795" t="str">
        <f>IF(M1675="","",IF(Y1676=FALSE,0%,M1676))</f>
        <v/>
      </c>
      <c r="N1677" s="1795" t="str">
        <f>IF(N1675="","",IF(Z1676=FALSE,0%,N1676))</f>
        <v/>
      </c>
      <c r="O1677" s="485"/>
      <c r="P1677" s="485"/>
      <c r="Q1677" s="1435"/>
      <c r="U1677" s="1694"/>
      <c r="Z1677" s="1664"/>
      <c r="AL1677" s="1435"/>
    </row>
    <row r="1678" spans="1:42" ht="12.75" hidden="1" customHeight="1">
      <c r="A1678" s="618" t="s">
        <v>2289</v>
      </c>
      <c r="B1678" s="479"/>
      <c r="C1678" s="479"/>
      <c r="D1678" s="915"/>
      <c r="E1678" s="916" t="s">
        <v>1689</v>
      </c>
      <c r="F1678" s="916"/>
      <c r="G1678" s="916"/>
      <c r="H1678" s="944" t="str">
        <f>H1675</f>
        <v>-</v>
      </c>
      <c r="I1678" s="945" t="str">
        <f>IF($T1659&lt;&gt;TRUE,"",IF(AB1623=FALSE,EUconst_NA,IF(V1623&gt;($J$3242-3),INDEX(H1670:N1670,MATCH(V1623,H1663:N1663,0)),SUM(I1675))))</f>
        <v/>
      </c>
      <c r="J1678" s="1695" t="str">
        <f>IF(OR($I1623="",$T1659=FALSE),"",IF(V1675&lt;2,SUM(J1670),IF(V1675&lt;3,SUM(I1670),IF(V1678="",I1678,V1678))))</f>
        <v/>
      </c>
      <c r="K1678" s="1794" t="str">
        <f>IF(OR($I1623="",$T1659=FALSE),"",IF(W1675&lt;2,SUM(K1670),IF(W1675&lt;3,SUM(J1670),IF(W1678="",J1678,W1678))))</f>
        <v/>
      </c>
      <c r="L1678" s="1794" t="str">
        <f>IF(OR($I1623="",$T1659=FALSE),"",IF(X1675&lt;2,SUM(L1670),IF(X1675&lt;3,SUM(K1670),IF(X1678="",K1678,X1678))))</f>
        <v/>
      </c>
      <c r="M1678" s="1794" t="str">
        <f>IF(OR($I1623="",$T1659=FALSE),"",IF(Y1675&lt;2,SUM(M1670),IF(Y1675&lt;3,SUM(L1670),IF(Y1678="",L1678,Y1678))))</f>
        <v/>
      </c>
      <c r="N1678" s="1794" t="str">
        <f>IF(OR($I1623="",$T1659=FALSE),"",IF(Z1675&lt;2,SUM(N1670),IF(Z1675&lt;3,SUM(M1670),IF(Z1678="",M1678,Z1678))))</f>
        <v/>
      </c>
      <c r="O1678" s="485"/>
      <c r="P1678" s="485"/>
      <c r="Q1678" s="1644" t="str">
        <f>EUconst_CNTR_HALprelim&amp;EUconst_CNTR_ELEXCH &amp; I1623</f>
        <v>HALprelim_ELEXCH_</v>
      </c>
      <c r="U1678" s="1693" t="s">
        <v>1697</v>
      </c>
      <c r="V1678" s="1696" t="str">
        <f>IF(J1675="","",IF(CNTR_ReportingYear&lt;J1674,I1677,IF($I1678=0,J1675,$I1678*(1+J1677))))</f>
        <v/>
      </c>
      <c r="W1678" s="1696" t="str">
        <f>IF(K1675="","",IF(CNTR_ReportingYear&lt;K1674,J1677,IF($I1678=0,K1675,$I1678*(1+K1677))))</f>
        <v/>
      </c>
      <c r="X1678" s="1696" t="str">
        <f>IF(L1675="","",IF(CNTR_ReportingYear&lt;L1674,K1677,IF($I1678=0,L1675,$I1678*(1+L1677))))</f>
        <v/>
      </c>
      <c r="Y1678" s="1696" t="str">
        <f>IF(M1675="","",IF(CNTR_ReportingYear&lt;M1674,L1677,IF($I1678=0,M1675,$I1678*(1+M1677))))</f>
        <v/>
      </c>
      <c r="Z1678" s="1697" t="str">
        <f>IF(N1675="","",IF(CNTR_ReportingYear&lt;N1674,M1677,IF($I1678=0,N1675,$I1678*(1+N1677))))</f>
        <v/>
      </c>
      <c r="AL1678" s="1435"/>
    </row>
    <row r="1679" spans="1:42" ht="5.0999999999999996" customHeight="1">
      <c r="A1679" s="618"/>
      <c r="B1679" s="479"/>
      <c r="C1679" s="479"/>
      <c r="D1679" s="915"/>
      <c r="E1679" s="909"/>
      <c r="F1679" s="909"/>
      <c r="G1679" s="909"/>
      <c r="H1679" s="909"/>
      <c r="I1679" s="909"/>
      <c r="J1679" s="922"/>
      <c r="K1679" s="1791"/>
      <c r="L1679" s="1791"/>
      <c r="M1679" s="1791"/>
      <c r="N1679" s="1791"/>
      <c r="O1679" s="485"/>
      <c r="P1679" s="485"/>
      <c r="Q1679" s="1435"/>
      <c r="U1679" s="1663"/>
      <c r="V1679" s="1435"/>
      <c r="Z1679" s="1664"/>
      <c r="AL1679" s="1435"/>
    </row>
    <row r="1680" spans="1:42" ht="12.75" customHeight="1">
      <c r="A1680" s="618"/>
      <c r="B1680" s="479"/>
      <c r="C1680" s="479"/>
      <c r="D1680" s="915"/>
      <c r="E1680" s="923" t="s">
        <v>1653</v>
      </c>
      <c r="F1680" s="923"/>
      <c r="G1680" s="923"/>
      <c r="H1680" s="923"/>
      <c r="I1680" s="923"/>
      <c r="J1680" s="1647">
        <f>J$3242</f>
        <v>2026</v>
      </c>
      <c r="K1680" s="1490">
        <f>K$3242</f>
        <v>2027</v>
      </c>
      <c r="L1680" s="1490">
        <f>L$3242</f>
        <v>2028</v>
      </c>
      <c r="M1680" s="1490">
        <f>M$3242</f>
        <v>2029</v>
      </c>
      <c r="N1680" s="1490">
        <f>N$3242</f>
        <v>2030</v>
      </c>
      <c r="O1680" s="485"/>
      <c r="P1680" s="485"/>
      <c r="Q1680" s="1435"/>
      <c r="U1680" s="1665"/>
      <c r="Z1680" s="1664"/>
      <c r="AL1680" s="1435"/>
    </row>
    <row r="1681" spans="1:38" ht="12.75" customHeight="1">
      <c r="A1681" s="618"/>
      <c r="B1681" s="479"/>
      <c r="C1681" s="479"/>
      <c r="D1681" s="915" t="s">
        <v>8</v>
      </c>
      <c r="E1681" s="916" t="s">
        <v>2108</v>
      </c>
      <c r="F1681" s="916"/>
      <c r="G1681" s="916"/>
      <c r="H1681" s="916"/>
      <c r="I1681" s="916"/>
      <c r="J1681" s="1666" t="str">
        <f>IF(OR($I1623="",$T1659=FALSE),"",INDEX(K_Summary!J:J,MATCH($Q1681,K_Summary!$P:$P,0)))</f>
        <v/>
      </c>
      <c r="K1681" s="1791" t="str">
        <f>IF(OR($I1623="",$T1659=FALSE),"",INDEX(K_Summary!K:K,MATCH($Q1681,K_Summary!$P:$P,0)))</f>
        <v/>
      </c>
      <c r="L1681" s="1791" t="str">
        <f>IF(OR($I1623="",$T1659=FALSE),"",INDEX(K_Summary!L:L,MATCH($Q1681,K_Summary!$P:$P,0)))</f>
        <v/>
      </c>
      <c r="M1681" s="1791" t="str">
        <f>IF(OR($I1623="",$T1659=FALSE),"",INDEX(K_Summary!M:M,MATCH($Q1681,K_Summary!$P:$P,0)))</f>
        <v/>
      </c>
      <c r="N1681" s="1791" t="str">
        <f>IF(OR($I1623="",$T1659=FALSE),"",INDEX(K_Summary!N:N,MATCH($Q1681,K_Summary!$P:$P,0)))</f>
        <v/>
      </c>
      <c r="O1681" s="485"/>
      <c r="P1681" s="485"/>
      <c r="Q1681" s="1644" t="str">
        <f>EUconst_CNTR_100EUA_ElExch&amp;I1623</f>
        <v>EUA100ElExch_</v>
      </c>
      <c r="U1681" s="1665"/>
      <c r="Z1681" s="1664"/>
      <c r="AL1681" s="1435"/>
    </row>
    <row r="1682" spans="1:38" ht="5.0999999999999996" customHeight="1" thickBot="1">
      <c r="A1682" s="618"/>
      <c r="B1682" s="479"/>
      <c r="C1682" s="479"/>
      <c r="D1682" s="915"/>
      <c r="E1682" s="909"/>
      <c r="F1682" s="909"/>
      <c r="G1682" s="909"/>
      <c r="H1682" s="909"/>
      <c r="I1682" s="909"/>
      <c r="J1682" s="922"/>
      <c r="K1682" s="1791"/>
      <c r="L1682" s="1791"/>
      <c r="M1682" s="1791"/>
      <c r="N1682" s="1791"/>
      <c r="O1682" s="485"/>
      <c r="P1682" s="485"/>
      <c r="Q1682" s="1435"/>
      <c r="U1682" s="1663"/>
      <c r="V1682" s="1435"/>
      <c r="Z1682" s="1664"/>
      <c r="AL1682" s="1435"/>
    </row>
    <row r="1683" spans="1:38" ht="12.75" customHeight="1" thickBot="1">
      <c r="B1683" s="479"/>
      <c r="C1683" s="479"/>
      <c r="D1683" s="915" t="s">
        <v>18</v>
      </c>
      <c r="E1683" s="916" t="s">
        <v>1657</v>
      </c>
      <c r="F1683" s="916"/>
      <c r="G1683" s="916"/>
      <c r="H1683" s="921"/>
      <c r="I1683" s="1667"/>
      <c r="J1683" s="1668" t="str">
        <f>IF(J1681="","",IF(OR(J1681,V1675&lt;1),J1677,I1683))</f>
        <v/>
      </c>
      <c r="K1683" s="1796" t="str">
        <f>IF(K1681="","",IF(OR(K1681,W1675&lt;1),K1677,J1683))</f>
        <v/>
      </c>
      <c r="L1683" s="1796" t="str">
        <f>IF(L1681="","",IF(OR(L1681,X1675&lt;1),L1677,K1683))</f>
        <v/>
      </c>
      <c r="M1683" s="1796" t="str">
        <f>IF(M1681="","",IF(OR(M1681,Y1675&lt;1),M1677,L1683))</f>
        <v/>
      </c>
      <c r="N1683" s="1796" t="str">
        <f>IF(N1681="","",IF(OR(N1681,Z1675&lt;1),N1677,M1683))</f>
        <v/>
      </c>
      <c r="O1683" s="485"/>
      <c r="P1683" s="485"/>
      <c r="Q1683" s="1435"/>
      <c r="U1683" s="1663" t="s">
        <v>1658</v>
      </c>
      <c r="V1683" s="1670">
        <f>J1680</f>
        <v>2026</v>
      </c>
      <c r="W1683" s="1670">
        <f>K1680</f>
        <v>2027</v>
      </c>
      <c r="X1683" s="1670">
        <f>L1680</f>
        <v>2028</v>
      </c>
      <c r="Y1683" s="1670">
        <f>M1680</f>
        <v>2029</v>
      </c>
      <c r="Z1683" s="1671">
        <f>N1680</f>
        <v>2030</v>
      </c>
      <c r="AL1683" s="1435"/>
    </row>
    <row r="1684" spans="1:38" ht="12.75" customHeight="1" thickBot="1">
      <c r="A1684" s="618"/>
      <c r="B1684" s="479"/>
      <c r="C1684" s="479"/>
      <c r="D1684" s="915" t="s">
        <v>787</v>
      </c>
      <c r="E1684" s="916" t="s">
        <v>1659</v>
      </c>
      <c r="F1684" s="916"/>
      <c r="G1684" s="916"/>
      <c r="H1684" s="944" t="str">
        <f>H1675</f>
        <v>-</v>
      </c>
      <c r="I1684" s="945" t="str">
        <f>I1678</f>
        <v/>
      </c>
      <c r="J1684" s="1698" t="str">
        <f>IF(OR($I1623="",$T1659=FALSE),"",IF(OR($I1684=0,$I1684=EUconst_NA,J1683="",J1680&lt;=$V1623),J1678,$I1684*(1+SUM(J1683))))</f>
        <v/>
      </c>
      <c r="K1684" s="1797" t="str">
        <f>IF(OR($I1623="",$T1659=FALSE),"",IF(OR($I1684=0,$I1684=EUconst_NA,K1683="",K1680&lt;=$V1623),K1678,$I1684*(1+SUM(K1683))))</f>
        <v/>
      </c>
      <c r="L1684" s="1797" t="str">
        <f>IF(OR($I1623="",$T1659=FALSE),"",IF(OR($I1684=0,$I1684=EUconst_NA,L1683="",L1680&lt;=$V1623),L1678,$I1684*(1+SUM(L1683))))</f>
        <v/>
      </c>
      <c r="M1684" s="1797" t="str">
        <f>IF(OR($I1623="",$T1659=FALSE),"",IF(OR($I1684=0,$I1684=EUconst_NA,M1683="",M1680&lt;=$V1623),M1678,$I1684*(1+SUM(M1683))))</f>
        <v/>
      </c>
      <c r="N1684" s="1797" t="str">
        <f>IF(OR($I1623="",$T1659=FALSE),"",IF(OR($I1684=0,$I1684=EUconst_NA,N1683="",N1680&lt;=$V1623),N1678,$I1684*(1+SUM(N1683))))</f>
        <v/>
      </c>
      <c r="O1684" s="485"/>
      <c r="P1684" s="485"/>
      <c r="Q1684" s="1644" t="str">
        <f>EUconst_CNTR_HALfinal&amp;EUconst_CNTR_ELEXCH &amp; I1623</f>
        <v>HALfinal_ELEXCH_</v>
      </c>
      <c r="U1684" s="1674" t="b">
        <v>0</v>
      </c>
      <c r="V1684" s="1675" t="str">
        <f>IF(V1631,IF(J1681=TRUE,V1676,U1684),"")</f>
        <v/>
      </c>
      <c r="W1684" s="1675" t="str">
        <f>IF(W1631,IF(K1681=TRUE,W1676,V1684),"")</f>
        <v/>
      </c>
      <c r="X1684" s="1675" t="str">
        <f>IF(X1631,IF(L1681=TRUE,X1676,W1684),"")</f>
        <v/>
      </c>
      <c r="Y1684" s="1675" t="str">
        <f>IF(Y1631,IF(M1681=TRUE,Y1676,X1684),"")</f>
        <v/>
      </c>
      <c r="Z1684" s="1676" t="str">
        <f>IF(Z1631,IF(N1681=TRUE,Z1676,Y1684),"")</f>
        <v/>
      </c>
      <c r="AJ1684" s="1633" t="s">
        <v>1951</v>
      </c>
      <c r="AK1684" s="1443" t="str">
        <f>IF(OR(ISERROR(J1684),ISERROR(K1684),ISERROR(L1684),ISERROR(M1684),ISERROR(N1684)),EUconst_Error &amp; "BM" &amp; Q1623,"")</f>
        <v/>
      </c>
      <c r="AL1684" s="1435"/>
    </row>
    <row r="1685" spans="1:38" ht="5.0999999999999996" customHeight="1" thickBot="1">
      <c r="B1685" s="479"/>
      <c r="C1685" s="479"/>
      <c r="D1685" s="946"/>
      <c r="E1685" s="947"/>
      <c r="F1685" s="947"/>
      <c r="G1685" s="947"/>
      <c r="H1685" s="947"/>
      <c r="I1685" s="947"/>
      <c r="J1685" s="1700"/>
      <c r="K1685" s="1791"/>
      <c r="L1685" s="1791"/>
      <c r="M1685" s="1791"/>
      <c r="N1685" s="1791"/>
      <c r="O1685" s="485"/>
      <c r="P1685" s="485"/>
      <c r="Q1685" s="1435"/>
    </row>
    <row r="1686" spans="1:38" ht="5.0999999999999996" customHeight="1">
      <c r="B1686" s="479"/>
      <c r="C1686" s="479"/>
      <c r="D1686" s="479"/>
      <c r="E1686" s="479"/>
      <c r="F1686" s="479"/>
      <c r="G1686" s="479"/>
      <c r="H1686" s="479"/>
      <c r="I1686" s="479"/>
      <c r="J1686" s="479"/>
      <c r="K1686" s="479"/>
      <c r="L1686" s="479"/>
      <c r="M1686" s="485"/>
      <c r="N1686" s="485"/>
      <c r="O1686" s="485"/>
      <c r="P1686" s="485"/>
      <c r="Q1686" s="1435"/>
    </row>
    <row r="1687" spans="1:38" ht="12.75" customHeight="1">
      <c r="B1687" s="479"/>
      <c r="C1687" s="479"/>
      <c r="D1687" s="482" t="s">
        <v>881</v>
      </c>
      <c r="E1687" s="2373" t="s">
        <v>941</v>
      </c>
      <c r="F1687" s="2373"/>
      <c r="G1687" s="2373"/>
      <c r="H1687" s="2373"/>
      <c r="I1687" s="2604"/>
      <c r="J1687" s="2652" t="str">
        <f>IF(I1623="","",HYPERLINK(R1687,EUconst_MsgGoOnIfNotRelevant))</f>
        <v/>
      </c>
      <c r="K1687" s="2653"/>
      <c r="L1687" s="2653"/>
      <c r="M1687" s="2653"/>
      <c r="N1687" s="2654"/>
      <c r="O1687" s="485"/>
      <c r="P1687" s="485"/>
      <c r="Q1687" s="1198" t="s">
        <v>441</v>
      </c>
      <c r="R1687" s="1488" t="str">
        <f>"#"&amp;ADDRESS(ROW(D1712),COLUMN(D1712))</f>
        <v>#$D$1712</v>
      </c>
    </row>
    <row r="1688" spans="1:38" ht="12.75" customHeight="1">
      <c r="B1688" s="479"/>
      <c r="C1688" s="479"/>
      <c r="D1688" s="485"/>
      <c r="E1688" s="2385" t="s">
        <v>1368</v>
      </c>
      <c r="F1688" s="2846"/>
      <c r="G1688" s="2846"/>
      <c r="H1688" s="2846"/>
      <c r="I1688" s="2846"/>
      <c r="J1688" s="2846"/>
      <c r="K1688" s="2846"/>
      <c r="L1688" s="2846"/>
      <c r="M1688" s="2846"/>
      <c r="N1688" s="2846"/>
      <c r="O1688" s="485"/>
      <c r="P1688" s="485"/>
      <c r="Q1688" s="1435"/>
      <c r="U1688" s="1435"/>
      <c r="V1688" s="1435"/>
    </row>
    <row r="1689" spans="1:38" ht="12.75" customHeight="1">
      <c r="B1689" s="479"/>
      <c r="C1689" s="479"/>
      <c r="D1689" s="485"/>
      <c r="E1689" s="2385" t="s">
        <v>1474</v>
      </c>
      <c r="F1689" s="2846"/>
      <c r="G1689" s="2846"/>
      <c r="H1689" s="2846"/>
      <c r="I1689" s="2846"/>
      <c r="J1689" s="2846"/>
      <c r="K1689" s="2846"/>
      <c r="L1689" s="2846"/>
      <c r="M1689" s="2846"/>
      <c r="N1689" s="2846"/>
      <c r="O1689" s="485"/>
      <c r="P1689" s="485"/>
      <c r="Q1689" s="1435"/>
      <c r="U1689" s="1435"/>
      <c r="V1689" s="1435"/>
    </row>
    <row r="1690" spans="1:38" ht="12.75" customHeight="1">
      <c r="B1690" s="479"/>
      <c r="C1690" s="479"/>
      <c r="D1690" s="485"/>
      <c r="E1690" s="2385" t="s">
        <v>1300</v>
      </c>
      <c r="F1690" s="2846"/>
      <c r="G1690" s="2846"/>
      <c r="H1690" s="2846"/>
      <c r="I1690" s="2846"/>
      <c r="J1690" s="2846"/>
      <c r="K1690" s="2846"/>
      <c r="L1690" s="2846"/>
      <c r="M1690" s="2846"/>
      <c r="N1690" s="2846"/>
      <c r="O1690" s="485"/>
      <c r="P1690" s="485"/>
      <c r="Q1690" s="1435"/>
      <c r="U1690" s="1435"/>
      <c r="V1690" s="1435"/>
    </row>
    <row r="1691" spans="1:38" ht="12.75" customHeight="1">
      <c r="B1691" s="479"/>
      <c r="C1691" s="479"/>
      <c r="D1691" s="485"/>
      <c r="E1691" s="2385" t="s">
        <v>1608</v>
      </c>
      <c r="F1691" s="2846"/>
      <c r="G1691" s="2846"/>
      <c r="H1691" s="2846"/>
      <c r="I1691" s="2846"/>
      <c r="J1691" s="2846"/>
      <c r="K1691" s="2846"/>
      <c r="L1691" s="2846"/>
      <c r="M1691" s="2846"/>
      <c r="N1691" s="2846"/>
      <c r="O1691" s="485"/>
      <c r="P1691" s="485"/>
      <c r="Q1691" s="1435"/>
      <c r="U1691" s="1435"/>
      <c r="V1691" s="1435"/>
      <c r="W1691" s="1435"/>
      <c r="X1691" s="1435"/>
      <c r="Y1691" s="1435"/>
      <c r="Z1691" s="1435"/>
    </row>
    <row r="1692" spans="1:38" ht="13.5" thickBot="1">
      <c r="B1692" s="1124"/>
      <c r="C1692" s="485"/>
      <c r="D1692" s="482"/>
      <c r="E1692" s="927" t="s">
        <v>62</v>
      </c>
      <c r="F1692" s="518"/>
      <c r="G1692" s="663" t="str">
        <f>EUconst_Unit</f>
        <v>Unit</v>
      </c>
      <c r="H1692" s="578">
        <f>H$3242</f>
        <v>2024</v>
      </c>
      <c r="I1692" s="697">
        <f>I$3242</f>
        <v>2025</v>
      </c>
      <c r="J1692" s="1489">
        <f>J$112</f>
        <v>2026</v>
      </c>
      <c r="K1692" s="1490">
        <f>K$112</f>
        <v>2027</v>
      </c>
      <c r="L1692" s="1490">
        <f>L$112</f>
        <v>2028</v>
      </c>
      <c r="M1692" s="1490">
        <f>M$112</f>
        <v>2029</v>
      </c>
      <c r="N1692" s="1490">
        <f>N$112</f>
        <v>2030</v>
      </c>
      <c r="O1692" s="485"/>
      <c r="P1692" s="485"/>
      <c r="R1692" s="1503"/>
      <c r="S1692" s="1633" t="s">
        <v>1846</v>
      </c>
      <c r="T1692" s="1638">
        <f t="shared" ref="T1692:Z1692" si="779">H1692</f>
        <v>2024</v>
      </c>
      <c r="U1692" s="1638">
        <f t="shared" si="779"/>
        <v>2025</v>
      </c>
      <c r="V1692" s="1638">
        <f t="shared" si="779"/>
        <v>2026</v>
      </c>
      <c r="W1692" s="1638">
        <f t="shared" si="779"/>
        <v>2027</v>
      </c>
      <c r="X1692" s="1638">
        <f t="shared" si="779"/>
        <v>2028</v>
      </c>
      <c r="Y1692" s="1638">
        <f t="shared" si="779"/>
        <v>2029</v>
      </c>
      <c r="Z1692" s="1638">
        <f t="shared" si="779"/>
        <v>2030</v>
      </c>
      <c r="AA1692" s="1503"/>
      <c r="AC1692" s="1638">
        <f t="shared" ref="AC1692:AI1692" si="780">H$20</f>
        <v>2024</v>
      </c>
      <c r="AD1692" s="1638">
        <f t="shared" si="780"/>
        <v>2025</v>
      </c>
      <c r="AE1692" s="1638">
        <f t="shared" si="780"/>
        <v>2026</v>
      </c>
      <c r="AF1692" s="1638">
        <f t="shared" si="780"/>
        <v>2027</v>
      </c>
      <c r="AG1692" s="1638">
        <f t="shared" si="780"/>
        <v>2028</v>
      </c>
      <c r="AH1692" s="1638">
        <f t="shared" si="780"/>
        <v>2029</v>
      </c>
      <c r="AI1692" s="1638">
        <f t="shared" si="780"/>
        <v>2030</v>
      </c>
    </row>
    <row r="1693" spans="1:38" ht="13.15" customHeight="1" thickBot="1">
      <c r="B1693" s="1124"/>
      <c r="C1693" s="485"/>
      <c r="D1693" s="561" t="s">
        <v>6</v>
      </c>
      <c r="E1693" s="2788" t="s">
        <v>650</v>
      </c>
      <c r="F1693" s="2788"/>
      <c r="G1693" s="730" t="str">
        <f>EUconst_TJpa</f>
        <v>TJ / year</v>
      </c>
      <c r="H1693" s="1479" t="str">
        <f>c_ALR2025!M4299</f>
        <v/>
      </c>
      <c r="I1693" s="1530"/>
      <c r="J1693" s="1491"/>
      <c r="K1693" s="1492"/>
      <c r="L1693" s="1492"/>
      <c r="M1693" s="1492"/>
      <c r="N1693" s="1492"/>
      <c r="O1693" s="485"/>
      <c r="P1693" s="9">
        <v>0</v>
      </c>
      <c r="Q1693" s="1443" t="str">
        <f>EUconst_CNTR_HAL&amp;EUconst_CNTR_nonETSMeasHeat</f>
        <v>HAL_non-ETS measurable heat</v>
      </c>
      <c r="S1693" s="1633"/>
      <c r="T1693" s="1701" t="str">
        <f t="shared" ref="T1693:Z1693" si="781">IF(H1693="","",SUM(H1693)*EUconst_HeatBMvalue)</f>
        <v/>
      </c>
      <c r="U1693" s="1701" t="str">
        <f t="shared" si="781"/>
        <v/>
      </c>
      <c r="V1693" s="1701" t="str">
        <f t="shared" si="781"/>
        <v/>
      </c>
      <c r="W1693" s="1701" t="str">
        <f t="shared" si="781"/>
        <v/>
      </c>
      <c r="X1693" s="1701" t="str">
        <f t="shared" si="781"/>
        <v/>
      </c>
      <c r="Y1693" s="1701" t="str">
        <f t="shared" si="781"/>
        <v/>
      </c>
      <c r="Z1693" s="1701" t="str">
        <f t="shared" si="781"/>
        <v/>
      </c>
      <c r="AB1693" s="1641" t="s">
        <v>717</v>
      </c>
      <c r="AC1693" s="1853" t="b">
        <f t="shared" ref="AC1693:AI1693" si="782">IF(CNTR_ExistSubInstEntries,OR($I1623="",H1630&gt;=CNTR_ReportingYear,AC1692&lt;$V1623-1),FALSE)</f>
        <v>0</v>
      </c>
      <c r="AD1693" s="1642" t="b">
        <f t="shared" si="782"/>
        <v>0</v>
      </c>
      <c r="AE1693" s="1642" t="b">
        <f t="shared" si="782"/>
        <v>0</v>
      </c>
      <c r="AF1693" s="1642" t="b">
        <f t="shared" si="782"/>
        <v>0</v>
      </c>
      <c r="AG1693" s="1642" t="b">
        <f t="shared" si="782"/>
        <v>0</v>
      </c>
      <c r="AH1693" s="1642" t="b">
        <f t="shared" si="782"/>
        <v>0</v>
      </c>
      <c r="AI1693" s="1643" t="b">
        <f t="shared" si="782"/>
        <v>0</v>
      </c>
      <c r="AJ1693" s="1633" t="s">
        <v>1954</v>
      </c>
      <c r="AK1693" s="1635" t="str">
        <f>IF(AND(CNTR_ExistSubInstEntries,COUNTIFS(AC1693:AI1693,FALSE,H1693:N1693,"")&gt;0),EUconst_Error&amp;"BM"&amp;$Q1623,"")</f>
        <v/>
      </c>
    </row>
    <row r="1694" spans="1:38">
      <c r="B1694" s="1124"/>
      <c r="C1694" s="485"/>
      <c r="D1694" s="561" t="s">
        <v>7</v>
      </c>
      <c r="E1694" s="2606" t="s">
        <v>107</v>
      </c>
      <c r="F1694" s="2606"/>
      <c r="G1694" s="950" t="s">
        <v>1022</v>
      </c>
      <c r="H1694" s="36" t="str">
        <f>IF(AND(ISNUMBER(H1693),ISNUMBER(E_EnergyFlows!H$114)), H1693/E_EnergyFlows!H$114*100,"")</f>
        <v/>
      </c>
      <c r="I1694" s="39" t="str">
        <f>IF(AND(ISNUMBER(I1693),ISNUMBER(E_EnergyFlows!I$114)), I1693/E_EnergyFlows!I$114*100,"")</f>
        <v/>
      </c>
      <c r="J1694" s="34" t="str">
        <f>IF(AND(ISNUMBER(J1693),ISNUMBER(E_EnergyFlows!J$114)), J1693/E_EnergyFlows!J$114*100,"")</f>
        <v/>
      </c>
      <c r="K1694" s="21" t="str">
        <f>IF(AND(ISNUMBER(K1693),ISNUMBER(E_EnergyFlows!K$114)), K1693/E_EnergyFlows!K$114*100,"")</f>
        <v/>
      </c>
      <c r="L1694" s="21" t="str">
        <f>IF(AND(ISNUMBER(L1693),ISNUMBER(E_EnergyFlows!L$114)), L1693/E_EnergyFlows!L$114*100,"")</f>
        <v/>
      </c>
      <c r="M1694" s="21" t="str">
        <f>IF(AND(ISNUMBER(M1693),ISNUMBER(E_EnergyFlows!M$114)), M1693/E_EnergyFlows!M$114*100,"")</f>
        <v/>
      </c>
      <c r="N1694" s="21" t="str">
        <f>IF(AND(ISNUMBER(N1693),ISNUMBER(E_EnergyFlows!N$114)), N1693/E_EnergyFlows!N$114*100,"")</f>
        <v/>
      </c>
      <c r="O1694" s="485"/>
      <c r="P1694" s="485"/>
      <c r="Q1694" s="1504" t="str">
        <f>EUconst_CNTR_HEAT &amp; I1623</f>
        <v>HEAT_</v>
      </c>
      <c r="R1694" s="1435"/>
      <c r="U1694" s="1435"/>
      <c r="V1694" s="1435"/>
    </row>
    <row r="1695" spans="1:38" ht="12.6" customHeight="1">
      <c r="B1695" s="1124"/>
      <c r="C1695" s="485"/>
      <c r="D1695" s="561" t="s">
        <v>8</v>
      </c>
      <c r="E1695" s="2586" t="s">
        <v>1548</v>
      </c>
      <c r="F1695" s="2586"/>
      <c r="G1695" s="951" t="s">
        <v>1022</v>
      </c>
      <c r="H1695" s="37" t="str">
        <f>IFERROR(IF(AND(H1836&gt;0,ISNUMBER(H1693)), H1693/H1836*100,""),"")</f>
        <v/>
      </c>
      <c r="I1695" s="40" t="str">
        <f t="shared" ref="I1695:N1695" si="783">IF(AND(I1836&gt;0,ISNUMBER(I1693)), I1693/I1836*100,"")</f>
        <v/>
      </c>
      <c r="J1695" s="34" t="str">
        <f t="shared" si="783"/>
        <v/>
      </c>
      <c r="K1695" s="21" t="str">
        <f t="shared" si="783"/>
        <v/>
      </c>
      <c r="L1695" s="21" t="str">
        <f t="shared" si="783"/>
        <v/>
      </c>
      <c r="M1695" s="21" t="str">
        <f t="shared" si="783"/>
        <v/>
      </c>
      <c r="N1695" s="21" t="str">
        <f t="shared" si="783"/>
        <v/>
      </c>
      <c r="O1695" s="485"/>
      <c r="P1695" s="485"/>
      <c r="U1695" s="1435"/>
      <c r="V1695" s="1435"/>
    </row>
    <row r="1696" spans="1:38" ht="5.0999999999999996" customHeight="1">
      <c r="B1696" s="1124"/>
      <c r="C1696" s="485"/>
      <c r="D1696" s="485"/>
      <c r="E1696" s="485"/>
      <c r="F1696" s="485"/>
      <c r="G1696" s="485"/>
      <c r="H1696" s="485"/>
      <c r="I1696" s="952"/>
      <c r="J1696" s="485"/>
      <c r="K1696" s="485"/>
      <c r="L1696" s="485"/>
      <c r="M1696" s="485"/>
      <c r="N1696" s="485"/>
      <c r="O1696" s="485"/>
      <c r="P1696" s="485"/>
      <c r="Q1696" s="1702"/>
      <c r="U1696" s="1435"/>
      <c r="V1696" s="1435"/>
    </row>
    <row r="1697" spans="1:38" ht="25.5" customHeight="1" thickBot="1">
      <c r="B1697" s="479"/>
      <c r="C1697" s="479"/>
      <c r="D1697" s="485"/>
      <c r="E1697" s="2385" t="s">
        <v>2737</v>
      </c>
      <c r="F1697" s="2846"/>
      <c r="G1697" s="2846"/>
      <c r="H1697" s="2846"/>
      <c r="I1697" s="2846"/>
      <c r="J1697" s="2846"/>
      <c r="K1697" s="2846"/>
      <c r="L1697" s="2846"/>
      <c r="M1697" s="2846"/>
      <c r="N1697" s="2846"/>
      <c r="O1697" s="485"/>
      <c r="P1697" s="485"/>
      <c r="Q1697" s="1435"/>
      <c r="S1697" s="1435"/>
      <c r="T1697" s="1435"/>
      <c r="U1697" s="1435"/>
    </row>
    <row r="1698" spans="1:38" ht="5.0999999999999996" customHeight="1" thickBot="1">
      <c r="B1698" s="479"/>
      <c r="C1698" s="479"/>
      <c r="D1698" s="902"/>
      <c r="E1698" s="904"/>
      <c r="F1698" s="953"/>
      <c r="G1698" s="953"/>
      <c r="H1698" s="953"/>
      <c r="I1698" s="953"/>
      <c r="J1698" s="954"/>
      <c r="K1698" s="1798"/>
      <c r="L1698" s="1798"/>
      <c r="M1698" s="1798"/>
      <c r="N1698" s="1798"/>
      <c r="O1698" s="485"/>
      <c r="P1698" s="485"/>
      <c r="Q1698" s="1435"/>
      <c r="S1698" s="1435"/>
      <c r="T1698" s="1435"/>
      <c r="U1698" s="1435"/>
    </row>
    <row r="1699" spans="1:38" ht="12.75" customHeight="1">
      <c r="B1699" s="479"/>
      <c r="C1699" s="479"/>
      <c r="D1699" s="907" t="s">
        <v>1916</v>
      </c>
      <c r="E1699" s="908" t="s">
        <v>1774</v>
      </c>
      <c r="F1699" s="909"/>
      <c r="G1699" s="909"/>
      <c r="H1699" s="910" t="str">
        <f>EUconst_Unit</f>
        <v>Unit</v>
      </c>
      <c r="I1699" s="911" t="s">
        <v>2220</v>
      </c>
      <c r="J1699" s="1647">
        <f>J$3242</f>
        <v>2026</v>
      </c>
      <c r="K1699" s="1490">
        <f>K$3242</f>
        <v>2027</v>
      </c>
      <c r="L1699" s="1490">
        <f>L$3242</f>
        <v>2028</v>
      </c>
      <c r="M1699" s="1490">
        <f>M$3242</f>
        <v>2029</v>
      </c>
      <c r="N1699" s="1490">
        <f>N$3242</f>
        <v>2030</v>
      </c>
      <c r="O1699" s="485"/>
      <c r="P1699" s="485"/>
      <c r="Q1699" s="1435"/>
      <c r="U1699" s="1648"/>
      <c r="V1699" s="1649">
        <f>J1699</f>
        <v>2026</v>
      </c>
      <c r="W1699" s="1649">
        <f>K1699</f>
        <v>2027</v>
      </c>
      <c r="X1699" s="1649">
        <f>L1699</f>
        <v>2028</v>
      </c>
      <c r="Y1699" s="1649">
        <f>M1699</f>
        <v>2029</v>
      </c>
      <c r="Z1699" s="1650">
        <f>N1699</f>
        <v>2030</v>
      </c>
    </row>
    <row r="1700" spans="1:38" ht="12.75" customHeight="1">
      <c r="B1700" s="479"/>
      <c r="C1700" s="479"/>
      <c r="D1700" s="915" t="s">
        <v>6</v>
      </c>
      <c r="E1700" s="916" t="s">
        <v>1691</v>
      </c>
      <c r="F1700" s="916"/>
      <c r="G1700" s="916"/>
      <c r="H1700" s="944" t="str">
        <f>EUconst_tCO2</f>
        <v>t CO2</v>
      </c>
      <c r="I1700" s="917" t="str">
        <f>INDEX('B+C_SubInstallations'!$J:$J,MATCH(Q1700,'B+C_SubInstallations'!$U:$U,0))</f>
        <v/>
      </c>
      <c r="J1700" s="1703" t="str">
        <f>IF(AND(V1700&gt;=3,CNTR_ReportingYear&gt;J1699-1),AVERAGE(SUM(T1693),SUM(U1693)),"")</f>
        <v/>
      </c>
      <c r="K1700" s="1799" t="str">
        <f>IF(AND(W1700&gt;=3,CNTR_ReportingYear&gt;K1699-1),AVERAGE(SUM(U1693),SUM(V1693)),"")</f>
        <v/>
      </c>
      <c r="L1700" s="1799" t="str">
        <f>IF(AND(X1700&gt;=3,CNTR_ReportingYear&gt;L1699-1),AVERAGE(SUM(V1693),SUM(W1693)),"")</f>
        <v/>
      </c>
      <c r="M1700" s="1799" t="str">
        <f>IF(AND(Y1700&gt;=3,CNTR_ReportingYear&gt;M1699-1),AVERAGE(SUM(W1693),SUM(X1693)),"")</f>
        <v/>
      </c>
      <c r="N1700" s="1799" t="str">
        <f>IF(AND(Z1700&gt;=3,CNTR_ReportingYear&gt;N1699-1),AVERAGE(SUM(X1693),SUM(Y1693)),"")</f>
        <v/>
      </c>
      <c r="O1700" s="485"/>
      <c r="P1700" s="485"/>
      <c r="Q1700" s="1704" t="str">
        <f>EUconst_CNTR_HEATInitial &amp; I1623</f>
        <v>HEATIni_</v>
      </c>
      <c r="U1700" s="1663" t="s">
        <v>1650</v>
      </c>
      <c r="V1700" s="1635">
        <f>V1645</f>
        <v>0</v>
      </c>
      <c r="W1700" s="1635">
        <f>W1645</f>
        <v>0</v>
      </c>
      <c r="X1700" s="1635">
        <f>X1645</f>
        <v>0</v>
      </c>
      <c r="Y1700" s="1635">
        <f>Y1645</f>
        <v>0</v>
      </c>
      <c r="Z1700" s="1654">
        <f>Z1645</f>
        <v>0</v>
      </c>
    </row>
    <row r="1701" spans="1:38" ht="12.75" hidden="1" customHeight="1">
      <c r="A1701" s="618" t="s">
        <v>2289</v>
      </c>
      <c r="B1701" s="479"/>
      <c r="C1701" s="479"/>
      <c r="D1701" s="915"/>
      <c r="E1701" s="916" t="s">
        <v>1776</v>
      </c>
      <c r="F1701" s="916"/>
      <c r="G1701" s="916"/>
      <c r="H1701" s="921"/>
      <c r="I1701" s="1657"/>
      <c r="J1701" s="17" t="str">
        <f>IF(J1700="","",IF($I1703=0,IF(J1700=0,0%,100%),J1700/$I1703-1))</f>
        <v/>
      </c>
      <c r="K1701" s="22" t="str">
        <f>IF(K1700="","",IF($I1703=0,IF(K1700=0,0%,100%),K1700/$I1703-1))</f>
        <v/>
      </c>
      <c r="L1701" s="22" t="str">
        <f>IF(L1700="","",IF($I1703=0,IF(L1700=0,0%,100%),L1700/$I1703-1))</f>
        <v/>
      </c>
      <c r="M1701" s="22" t="str">
        <f>IF(M1700="","",IF($I1703=0,IF(M1700=0,0%,100%),M1700/$I1703-1))</f>
        <v/>
      </c>
      <c r="N1701" s="22" t="str">
        <f>IF(N1700="","",IF($I1703=0,IF(N1700=0,0%,100%),N1700/$I1703-1))</f>
        <v/>
      </c>
      <c r="O1701" s="485"/>
      <c r="P1701" s="485"/>
      <c r="Q1701" s="1644" t="str">
        <f>EUconst_CNTR_RelThreshold &amp; Q1703</f>
        <v>RelThresh_HEATprelim_</v>
      </c>
      <c r="U1701" s="1663" t="s">
        <v>1655</v>
      </c>
      <c r="V1701" s="1158" t="str">
        <f>IF(J1700="","",ABS(J1701)&gt;15%)</f>
        <v/>
      </c>
      <c r="W1701" s="1158" t="str">
        <f>IF(K1700="","",ABS(K1701)&gt;15%)</f>
        <v/>
      </c>
      <c r="X1701" s="1158" t="str">
        <f>IF(L1700="","",ABS(L1701)&gt;15%)</f>
        <v/>
      </c>
      <c r="Y1701" s="1158" t="str">
        <f>IF(M1700="","",ABS(M1701)&gt;15%)</f>
        <v/>
      </c>
      <c r="Z1701" s="1656" t="str">
        <f>IF(N1700="","",ABS(N1701)&gt;15%)</f>
        <v/>
      </c>
    </row>
    <row r="1702" spans="1:38" ht="12.75" customHeight="1">
      <c r="A1702" s="618"/>
      <c r="B1702" s="479"/>
      <c r="C1702" s="479"/>
      <c r="D1702" s="915" t="s">
        <v>7</v>
      </c>
      <c r="E1702" s="916" t="s">
        <v>1654</v>
      </c>
      <c r="F1702" s="916"/>
      <c r="G1702" s="916"/>
      <c r="H1702" s="921"/>
      <c r="I1702" s="1657"/>
      <c r="J1702" s="1658" t="str">
        <f>IF(J1700="","",IF(V1701=FALSE,0%,J1701))</f>
        <v/>
      </c>
      <c r="K1702" s="1795" t="str">
        <f>IF(K1700="","",IF(W1701=FALSE,0%,K1701))</f>
        <v/>
      </c>
      <c r="L1702" s="1795" t="str">
        <f>IF(L1700="","",IF(X1701=FALSE,0%,L1701))</f>
        <v/>
      </c>
      <c r="M1702" s="1795" t="str">
        <f>IF(M1700="","",IF(Y1701=FALSE,0%,M1701))</f>
        <v/>
      </c>
      <c r="N1702" s="1795" t="str">
        <f>IF(N1700="","",IF(Z1701=FALSE,0%,N1701))</f>
        <v/>
      </c>
      <c r="O1702" s="485"/>
      <c r="P1702" s="485"/>
      <c r="Q1702" s="1435"/>
      <c r="U1702" s="1665"/>
      <c r="Z1702" s="1664"/>
      <c r="AL1702" s="1435"/>
    </row>
    <row r="1703" spans="1:38" ht="12.75" hidden="1" customHeight="1">
      <c r="A1703" s="618" t="s">
        <v>2289</v>
      </c>
      <c r="B1703" s="479"/>
      <c r="C1703" s="479"/>
      <c r="D1703" s="915"/>
      <c r="E1703" s="916" t="s">
        <v>1689</v>
      </c>
      <c r="F1703" s="916"/>
      <c r="G1703" s="916"/>
      <c r="H1703" s="944" t="str">
        <f>H1700</f>
        <v>t CO2</v>
      </c>
      <c r="I1703" s="917" t="str">
        <f>IF($I1623="","",IF(AB1623=FALSE,EUconst_NA,IF(V1623&gt;($J$3242-3),SUM(INDEX(H1693:N1693,MATCH(V1623,H1692:N1692,0))*EUconst_HeatBMvalue),SUM(I1700))))</f>
        <v/>
      </c>
      <c r="J1703" s="1651" t="str">
        <f>IF($I1623="","",IF(V1700&lt;2,SUM(V1693),IF(V1700&lt;3,SUM(U1693),IF(V1703="",I1703,V1703))))</f>
        <v/>
      </c>
      <c r="K1703" s="1799" t="str">
        <f>IF($I1623="","",IF(W1700&lt;2,SUM(W1693),IF(W1700&lt;3,SUM(V1693),IF(W1703="",J1703,W1703))))</f>
        <v/>
      </c>
      <c r="L1703" s="1799" t="str">
        <f>IF($I1623="","",IF(X1700&lt;2,SUM(X1693),IF(X1700&lt;3,SUM(W1693),IF(X1703="",K1703,X1703))))</f>
        <v/>
      </c>
      <c r="M1703" s="1799" t="str">
        <f>IF($I1623="","",IF(Y1700&lt;2,SUM(Y1693),IF(Y1700&lt;3,SUM(X1693),IF(Y1703="",L1703,Y1703))))</f>
        <v/>
      </c>
      <c r="N1703" s="1799" t="str">
        <f>IF($I1623="","",IF(Z1700&lt;2,SUM(Z1693),IF(Z1700&lt;3,SUM(Y1693),IF(Z1703="",M1703,Z1703))))</f>
        <v/>
      </c>
      <c r="O1703" s="485"/>
      <c r="P1703" s="485"/>
      <c r="Q1703" s="1644" t="str">
        <f>EUconst_CNTR_HEATprelim &amp; I1623</f>
        <v>HEATprelim_</v>
      </c>
      <c r="U1703" s="1663" t="s">
        <v>1697</v>
      </c>
      <c r="V1703" s="1705" t="str">
        <f>IF(J1700="","",IF(CNTR_ReportingYear&lt;J1699,I1702,IF($I1703=0,J1700,$I1703*(1+J1702))))</f>
        <v/>
      </c>
      <c r="W1703" s="1705" t="str">
        <f>IF(K1700="","",IF(CNTR_ReportingYear&lt;K1699,J1702,IF($I1703=0,K1700,$I1703*(1+K1702))))</f>
        <v/>
      </c>
      <c r="X1703" s="1705" t="str">
        <f>IF(L1700="","",IF(CNTR_ReportingYear&lt;L1699,K1702,IF($I1703=0,L1700,$I1703*(1+L1702))))</f>
        <v/>
      </c>
      <c r="Y1703" s="1705" t="str">
        <f>IF(M1700="","",IF(CNTR_ReportingYear&lt;M1699,L1702,IF($I1703=0,M1700,$I1703*(1+M1702))))</f>
        <v/>
      </c>
      <c r="Z1703" s="1706" t="str">
        <f>IF(N1700="","",IF(CNTR_ReportingYear&lt;N1699,M1702,IF($I1703=0,N1700,$I1703*(1+N1702))))</f>
        <v/>
      </c>
      <c r="AL1703" s="1435"/>
    </row>
    <row r="1704" spans="1:38" ht="5.0999999999999996" customHeight="1">
      <c r="A1704" s="618"/>
      <c r="B1704" s="479"/>
      <c r="C1704" s="479"/>
      <c r="D1704" s="915"/>
      <c r="E1704" s="909"/>
      <c r="F1704" s="909"/>
      <c r="G1704" s="909"/>
      <c r="H1704" s="909"/>
      <c r="I1704" s="909"/>
      <c r="J1704" s="922"/>
      <c r="K1704" s="1791"/>
      <c r="L1704" s="1791"/>
      <c r="M1704" s="1791"/>
      <c r="N1704" s="1791"/>
      <c r="O1704" s="485"/>
      <c r="P1704" s="485"/>
      <c r="Q1704" s="1435"/>
      <c r="U1704" s="1663"/>
      <c r="V1704" s="1435"/>
      <c r="Z1704" s="1664"/>
      <c r="AL1704" s="1435"/>
    </row>
    <row r="1705" spans="1:38" ht="12.75" customHeight="1">
      <c r="A1705" s="618"/>
      <c r="B1705" s="479"/>
      <c r="C1705" s="479"/>
      <c r="D1705" s="915"/>
      <c r="E1705" s="923" t="s">
        <v>1653</v>
      </c>
      <c r="F1705" s="923"/>
      <c r="G1705" s="923"/>
      <c r="H1705" s="923"/>
      <c r="I1705" s="923"/>
      <c r="J1705" s="1647">
        <f>J$3242</f>
        <v>2026</v>
      </c>
      <c r="K1705" s="1490">
        <f>K$3242</f>
        <v>2027</v>
      </c>
      <c r="L1705" s="1490">
        <f>L$3242</f>
        <v>2028</v>
      </c>
      <c r="M1705" s="1490">
        <f>M$3242</f>
        <v>2029</v>
      </c>
      <c r="N1705" s="1490">
        <f>N$3242</f>
        <v>2030</v>
      </c>
      <c r="O1705" s="485"/>
      <c r="P1705" s="485"/>
      <c r="Q1705" s="1435"/>
      <c r="U1705" s="1665"/>
      <c r="Z1705" s="1664"/>
      <c r="AL1705" s="1435"/>
    </row>
    <row r="1706" spans="1:38" ht="12.75" customHeight="1">
      <c r="A1706" s="618"/>
      <c r="B1706" s="479"/>
      <c r="C1706" s="479"/>
      <c r="D1706" s="915" t="s">
        <v>8</v>
      </c>
      <c r="E1706" s="916" t="s">
        <v>2108</v>
      </c>
      <c r="F1706" s="916"/>
      <c r="G1706" s="916"/>
      <c r="H1706" s="916"/>
      <c r="I1706" s="916"/>
      <c r="J1706" s="1666" t="str">
        <f>IF($I1623="","",INDEX(K_Summary!J:J,MATCH($Q1706,K_Summary!$P:$P,0)))</f>
        <v/>
      </c>
      <c r="K1706" s="1791" t="str">
        <f>IF($I1623="","",INDEX(K_Summary!K:K,MATCH($Q1706,K_Summary!$P:$P,0)))</f>
        <v/>
      </c>
      <c r="L1706" s="1791" t="str">
        <f>IF($I1623="","",INDEX(K_Summary!L:L,MATCH($Q1706,K_Summary!$P:$P,0)))</f>
        <v/>
      </c>
      <c r="M1706" s="1791" t="str">
        <f>IF($I1623="","",INDEX(K_Summary!M:M,MATCH($Q1706,K_Summary!$P:$P,0)))</f>
        <v/>
      </c>
      <c r="N1706" s="1791" t="str">
        <f>IF($I1623="","",INDEX(K_Summary!N:N,MATCH($Q1706,K_Summary!$P:$P,0)))</f>
        <v/>
      </c>
      <c r="O1706" s="485"/>
      <c r="P1706" s="485"/>
      <c r="Q1706" s="1644" t="str">
        <f>EUconst_CNTR_100EUA_HEAT&amp;I1623</f>
        <v>EUA100HEAT_</v>
      </c>
      <c r="U1706" s="1665"/>
      <c r="Z1706" s="1664"/>
      <c r="AL1706" s="1435"/>
    </row>
    <row r="1707" spans="1:38" ht="5.0999999999999996" customHeight="1" thickBot="1">
      <c r="A1707" s="618"/>
      <c r="B1707" s="479"/>
      <c r="C1707" s="479"/>
      <c r="D1707" s="915"/>
      <c r="E1707" s="909"/>
      <c r="F1707" s="909"/>
      <c r="G1707" s="909"/>
      <c r="H1707" s="909"/>
      <c r="I1707" s="909"/>
      <c r="J1707" s="922"/>
      <c r="K1707" s="1791"/>
      <c r="L1707" s="1791"/>
      <c r="M1707" s="1791"/>
      <c r="N1707" s="1791"/>
      <c r="O1707" s="485"/>
      <c r="P1707" s="485"/>
      <c r="Q1707" s="1435"/>
      <c r="U1707" s="1663"/>
      <c r="V1707" s="1435"/>
      <c r="Z1707" s="1664"/>
      <c r="AL1707" s="1435"/>
    </row>
    <row r="1708" spans="1:38" ht="12.75" customHeight="1" thickBot="1">
      <c r="B1708" s="479"/>
      <c r="C1708" s="479"/>
      <c r="D1708" s="915" t="s">
        <v>18</v>
      </c>
      <c r="E1708" s="916" t="s">
        <v>1657</v>
      </c>
      <c r="F1708" s="916"/>
      <c r="G1708" s="916"/>
      <c r="H1708" s="921"/>
      <c r="I1708" s="1667"/>
      <c r="J1708" s="1668" t="str">
        <f>IF(J1706="","",IF(OR(J1706,V1700&lt;1),J1702,I1708))</f>
        <v/>
      </c>
      <c r="K1708" s="1796" t="str">
        <f>IF(K1706="","",IF(OR(K1706,W1700&lt;1),K1702,J1708))</f>
        <v/>
      </c>
      <c r="L1708" s="1796" t="str">
        <f>IF(L1706="","",IF(OR(L1706,X1700&lt;1),L1702,K1708))</f>
        <v/>
      </c>
      <c r="M1708" s="1796" t="str">
        <f>IF(M1706="","",IF(OR(M1706,Y1700&lt;1),M1702,L1708))</f>
        <v/>
      </c>
      <c r="N1708" s="1796" t="str">
        <f>IF(N1706="","",IF(OR(N1706,Z1700&lt;1),N1702,M1708))</f>
        <v/>
      </c>
      <c r="O1708" s="485"/>
      <c r="P1708" s="485"/>
      <c r="Q1708" s="1435"/>
      <c r="U1708" s="1663" t="s">
        <v>1658</v>
      </c>
      <c r="V1708" s="1670">
        <f>J1705</f>
        <v>2026</v>
      </c>
      <c r="W1708" s="1670">
        <f>K1705</f>
        <v>2027</v>
      </c>
      <c r="X1708" s="1670">
        <f>L1705</f>
        <v>2028</v>
      </c>
      <c r="Y1708" s="1670">
        <f>M1705</f>
        <v>2029</v>
      </c>
      <c r="Z1708" s="1671">
        <f>N1705</f>
        <v>2030</v>
      </c>
      <c r="AL1708" s="1435"/>
    </row>
    <row r="1709" spans="1:38" ht="12.75" customHeight="1" thickBot="1">
      <c r="A1709" s="618"/>
      <c r="B1709" s="479"/>
      <c r="C1709" s="479"/>
      <c r="D1709" s="915" t="s">
        <v>787</v>
      </c>
      <c r="E1709" s="916" t="s">
        <v>1659</v>
      </c>
      <c r="F1709" s="916"/>
      <c r="G1709" s="916"/>
      <c r="H1709" s="944" t="str">
        <f>H1700</f>
        <v>t CO2</v>
      </c>
      <c r="I1709" s="917" t="str">
        <f>I1703</f>
        <v/>
      </c>
      <c r="J1709" s="1672" t="str">
        <f>IF($I1623="","",IF(OR($I1709=0,$I1709=EUconst_NA,J1708=""),IF(OR(J1706=TRUE,J1705&lt;=$V1623),J1703,SUM(I1709)),$I1709*(1+SUM(J1708))))</f>
        <v/>
      </c>
      <c r="K1709" s="1800" t="str">
        <f>IF($I1623="","",IF(OR($I1709=0,$I1709=EUconst_NA,K1708=""),IF(OR(K1706=TRUE,K1705&lt;=$V1623),K1703,SUM(J1709)),$I1709*(1+SUM(K1708))))</f>
        <v/>
      </c>
      <c r="L1709" s="1800" t="str">
        <f>IF($I1623="","",IF(OR($I1709=0,$I1709=EUconst_NA,L1708=""),IF(OR(L1706=TRUE,L1705&lt;=$V1623),L1703,SUM(K1709)),$I1709*(1+SUM(L1708))))</f>
        <v/>
      </c>
      <c r="M1709" s="1800" t="str">
        <f>IF($I1623="","",IF(OR($I1709=0,$I1709=EUconst_NA,M1708=""),IF(OR(M1706=TRUE,M1705&lt;=$V1623),M1703,SUM(L1709)),$I1709*(1+SUM(M1708))))</f>
        <v/>
      </c>
      <c r="N1709" s="1800" t="str">
        <f>IF($I1623="","",IF(OR($I1709=0,$I1709=EUconst_NA,N1708=""),IF(OR(N1706=TRUE,N1705&lt;=$V1623),N1703,SUM(M1709)),$I1709*(1+SUM(N1708))))</f>
        <v/>
      </c>
      <c r="O1709" s="485"/>
      <c r="P1709" s="485"/>
      <c r="Q1709" s="1644" t="str">
        <f>EUconst_CNTR_HEATfinal &amp; I1623</f>
        <v>HEATfinal_</v>
      </c>
      <c r="U1709" s="1674" t="b">
        <v>0</v>
      </c>
      <c r="V1709" s="1675" t="str">
        <f>IF(V1631,IF(J1706=TRUE,V1701,U1709),"")</f>
        <v/>
      </c>
      <c r="W1709" s="1675" t="str">
        <f>IF(W1631,IF(K1706=TRUE,W1701,V1709),"")</f>
        <v/>
      </c>
      <c r="X1709" s="1675" t="str">
        <f>IF(X1631,IF(L1706=TRUE,X1701,W1709),"")</f>
        <v/>
      </c>
      <c r="Y1709" s="1675" t="str">
        <f>IF(Y1631,IF(M1706=TRUE,Y1701,X1709),"")</f>
        <v/>
      </c>
      <c r="Z1709" s="1676" t="str">
        <f>IF(Z1631,IF(N1706=TRUE,Z1701,Y1709),"")</f>
        <v/>
      </c>
      <c r="AJ1709" s="1633" t="s">
        <v>1951</v>
      </c>
      <c r="AK1709" s="1443" t="str">
        <f>IF(OR(ISERROR(J1709),ISERROR(K1709),ISERROR(L1709),ISERROR(M1709),ISERROR(N1709)),EUconst_Error &amp; "BM" &amp; Q1623,"")</f>
        <v/>
      </c>
    </row>
    <row r="1710" spans="1:38" ht="5.0999999999999996" customHeight="1" thickBot="1">
      <c r="B1710" s="1124"/>
      <c r="C1710" s="485"/>
      <c r="D1710" s="924"/>
      <c r="E1710" s="925"/>
      <c r="F1710" s="925"/>
      <c r="G1710" s="925"/>
      <c r="H1710" s="925"/>
      <c r="I1710" s="955"/>
      <c r="J1710" s="926"/>
      <c r="K1710" s="1791"/>
      <c r="L1710" s="1791"/>
      <c r="M1710" s="1791"/>
      <c r="N1710" s="1791"/>
      <c r="O1710" s="485"/>
      <c r="P1710" s="485"/>
      <c r="Q1710" s="1702"/>
      <c r="S1710" s="1435"/>
      <c r="T1710" s="1435"/>
    </row>
    <row r="1711" spans="1:38" ht="5.0999999999999996" customHeight="1">
      <c r="B1711" s="1124"/>
      <c r="C1711" s="485"/>
      <c r="D1711" s="485"/>
      <c r="E1711" s="485"/>
      <c r="F1711" s="485"/>
      <c r="G1711" s="485"/>
      <c r="H1711" s="485"/>
      <c r="I1711" s="952"/>
      <c r="J1711" s="485"/>
      <c r="K1711" s="485"/>
      <c r="L1711" s="485"/>
      <c r="M1711" s="485"/>
      <c r="N1711" s="485"/>
      <c r="O1711" s="485"/>
      <c r="P1711" s="485"/>
      <c r="Q1711" s="1702"/>
      <c r="S1711" s="1435"/>
      <c r="T1711" s="1435"/>
    </row>
    <row r="1712" spans="1:38" ht="15" customHeight="1">
      <c r="B1712" s="1124"/>
      <c r="C1712" s="856"/>
      <c r="D1712" s="2482" t="s">
        <v>103</v>
      </c>
      <c r="E1712" s="2400"/>
      <c r="F1712" s="2400"/>
      <c r="G1712" s="2400"/>
      <c r="H1712" s="2400"/>
      <c r="I1712" s="2400"/>
      <c r="J1712" s="2400"/>
      <c r="K1712" s="2400"/>
      <c r="L1712" s="2400"/>
      <c r="M1712" s="2400"/>
      <c r="N1712" s="2400"/>
      <c r="O1712" s="485"/>
      <c r="P1712" s="485"/>
      <c r="S1712" s="1435"/>
      <c r="T1712" s="1435"/>
    </row>
    <row r="1713" spans="2:35" ht="5.0999999999999996" customHeight="1">
      <c r="B1713" s="479"/>
      <c r="C1713" s="479"/>
      <c r="D1713" s="479"/>
      <c r="E1713" s="479"/>
      <c r="F1713" s="479"/>
      <c r="G1713" s="479"/>
      <c r="H1713" s="479"/>
      <c r="I1713" s="479"/>
      <c r="J1713" s="479"/>
      <c r="K1713" s="479"/>
      <c r="L1713" s="479"/>
      <c r="M1713" s="479"/>
      <c r="N1713" s="479"/>
      <c r="O1713" s="485"/>
      <c r="P1713" s="485"/>
      <c r="Q1713" s="1435"/>
      <c r="R1713" s="1435"/>
      <c r="S1713" s="1435"/>
      <c r="T1713" s="1435"/>
    </row>
    <row r="1714" spans="2:35" ht="12.75" customHeight="1">
      <c r="B1714" s="479"/>
      <c r="C1714" s="482"/>
      <c r="D1714" s="482" t="s">
        <v>57</v>
      </c>
      <c r="E1714" s="2373" t="s">
        <v>108</v>
      </c>
      <c r="F1714" s="2400"/>
      <c r="G1714" s="2400"/>
      <c r="H1714" s="2400"/>
      <c r="I1714" s="2400"/>
      <c r="J1714" s="2400"/>
      <c r="K1714" s="2400"/>
      <c r="L1714" s="2400"/>
      <c r="M1714" s="2400"/>
      <c r="N1714" s="2400"/>
      <c r="O1714" s="485"/>
      <c r="P1714" s="485"/>
      <c r="Q1714" s="1435"/>
      <c r="S1714" s="1435"/>
      <c r="T1714" s="1435"/>
    </row>
    <row r="1715" spans="2:35" ht="25.5" customHeight="1">
      <c r="B1715" s="479"/>
      <c r="C1715" s="485"/>
      <c r="D1715" s="485"/>
      <c r="E1715" s="2465" t="s">
        <v>1935</v>
      </c>
      <c r="F1715" s="2400"/>
      <c r="G1715" s="2400"/>
      <c r="H1715" s="2400"/>
      <c r="I1715" s="2400"/>
      <c r="J1715" s="2400"/>
      <c r="K1715" s="2400"/>
      <c r="L1715" s="2400"/>
      <c r="M1715" s="2400"/>
      <c r="N1715" s="2400"/>
      <c r="O1715" s="485"/>
      <c r="P1715" s="485"/>
      <c r="Q1715" s="1435"/>
      <c r="S1715" s="1435"/>
      <c r="T1715" s="1435"/>
    </row>
    <row r="1716" spans="2:35" ht="25.5" customHeight="1">
      <c r="B1716" s="479"/>
      <c r="C1716" s="485"/>
      <c r="D1716" s="485"/>
      <c r="E1716" s="2385" t="s">
        <v>1636</v>
      </c>
      <c r="F1716" s="2846"/>
      <c r="G1716" s="2846"/>
      <c r="H1716" s="2846"/>
      <c r="I1716" s="2846"/>
      <c r="J1716" s="2846"/>
      <c r="K1716" s="2846"/>
      <c r="L1716" s="2846"/>
      <c r="M1716" s="2846"/>
      <c r="N1716" s="2846"/>
      <c r="O1716" s="485"/>
      <c r="P1716" s="485"/>
      <c r="Q1716" s="1435"/>
      <c r="S1716" s="1435"/>
      <c r="T1716" s="1435"/>
    </row>
    <row r="1717" spans="2:35" ht="12.75" customHeight="1">
      <c r="B1717" s="479"/>
      <c r="C1717" s="485"/>
      <c r="D1717" s="485"/>
      <c r="E1717" s="2385" t="s">
        <v>2119</v>
      </c>
      <c r="F1717" s="2846"/>
      <c r="G1717" s="2846"/>
      <c r="H1717" s="2846"/>
      <c r="I1717" s="2846"/>
      <c r="J1717" s="2846"/>
      <c r="K1717" s="2846"/>
      <c r="L1717" s="2846"/>
      <c r="M1717" s="2846"/>
      <c r="N1717" s="2846"/>
      <c r="O1717" s="485"/>
      <c r="P1717" s="485"/>
      <c r="Q1717" s="1435"/>
      <c r="S1717" s="1435"/>
      <c r="T1717" s="1435"/>
    </row>
    <row r="1718" spans="2:35">
      <c r="B1718" s="479"/>
      <c r="C1718" s="485"/>
      <c r="D1718" s="485"/>
      <c r="E1718" s="2677" t="s">
        <v>2120</v>
      </c>
      <c r="F1718" s="2364"/>
      <c r="G1718" s="2364"/>
      <c r="H1718" s="2364"/>
      <c r="I1718" s="2364"/>
      <c r="J1718" s="2364"/>
      <c r="K1718" s="2364"/>
      <c r="L1718" s="2364"/>
      <c r="M1718" s="2364"/>
      <c r="N1718" s="2364"/>
      <c r="O1718" s="485"/>
      <c r="P1718" s="485"/>
      <c r="Q1718" s="1435"/>
      <c r="S1718" s="1435"/>
      <c r="T1718" s="1435"/>
    </row>
    <row r="1719" spans="2:35" ht="5.0999999999999996" customHeight="1">
      <c r="B1719" s="479"/>
      <c r="C1719" s="479"/>
      <c r="D1719" s="479"/>
      <c r="E1719" s="479"/>
      <c r="F1719" s="479"/>
      <c r="G1719" s="479"/>
      <c r="H1719" s="479"/>
      <c r="I1719" s="479"/>
      <c r="J1719" s="479"/>
      <c r="K1719" s="479"/>
      <c r="L1719" s="479"/>
      <c r="M1719" s="479"/>
      <c r="N1719" s="479"/>
      <c r="O1719" s="485"/>
      <c r="P1719" s="485"/>
      <c r="Q1719" s="1435"/>
      <c r="R1719" s="1435"/>
      <c r="S1719" s="1435"/>
      <c r="T1719" s="1435"/>
    </row>
    <row r="1720" spans="2:35" ht="12.75" customHeight="1">
      <c r="B1720" s="479"/>
      <c r="C1720" s="482"/>
      <c r="D1720" s="482" t="s">
        <v>58</v>
      </c>
      <c r="E1720" s="2373" t="s">
        <v>1013</v>
      </c>
      <c r="F1720" s="2400"/>
      <c r="G1720" s="2400"/>
      <c r="H1720" s="2400"/>
      <c r="I1720" s="2400"/>
      <c r="J1720" s="2400"/>
      <c r="K1720" s="2400"/>
      <c r="L1720" s="2400"/>
      <c r="M1720" s="2400"/>
      <c r="N1720" s="2400"/>
      <c r="O1720" s="485"/>
      <c r="P1720" s="485"/>
      <c r="Q1720" s="1435"/>
      <c r="S1720" s="1435"/>
      <c r="T1720" s="1435"/>
    </row>
    <row r="1721" spans="2:35" ht="5.0999999999999996" customHeight="1">
      <c r="B1721" s="479"/>
      <c r="C1721" s="479"/>
      <c r="D1721" s="485"/>
      <c r="E1721" s="617"/>
      <c r="F1721" s="617"/>
      <c r="G1721" s="617"/>
      <c r="H1721" s="617"/>
      <c r="I1721" s="617"/>
      <c r="J1721" s="468"/>
      <c r="K1721" s="468"/>
      <c r="L1721" s="468"/>
      <c r="M1721" s="485"/>
      <c r="N1721" s="485"/>
      <c r="O1721" s="485"/>
      <c r="P1721" s="485"/>
      <c r="Q1721" s="1435"/>
      <c r="S1721" s="1435"/>
      <c r="T1721" s="1435"/>
    </row>
    <row r="1722" spans="2:35" ht="28.9" customHeight="1" thickBot="1">
      <c r="B1722" s="1124"/>
      <c r="C1722" s="485"/>
      <c r="D1722" s="956"/>
      <c r="E1722" s="1068" t="s">
        <v>2112</v>
      </c>
      <c r="F1722" s="958" t="s">
        <v>949</v>
      </c>
      <c r="G1722" s="959" t="str">
        <f>EUconst_Unit</f>
        <v>Unit</v>
      </c>
      <c r="H1722" s="578">
        <f>H$3242</f>
        <v>2024</v>
      </c>
      <c r="I1722" s="697">
        <f>I$3242</f>
        <v>2025</v>
      </c>
      <c r="J1722" s="1801"/>
      <c r="K1722" s="1802"/>
      <c r="L1722" s="1802"/>
      <c r="M1722" s="1802"/>
      <c r="N1722" s="1802"/>
      <c r="O1722" s="485"/>
      <c r="P1722" s="485"/>
      <c r="S1722" s="1709" t="s">
        <v>2057</v>
      </c>
      <c r="T1722" s="1435"/>
      <c r="Z1722" s="1710" t="s">
        <v>717</v>
      </c>
      <c r="AC1722" s="1638">
        <f t="shared" ref="AC1722:AI1722" si="784">H$20</f>
        <v>2024</v>
      </c>
      <c r="AD1722" s="1638">
        <f t="shared" si="784"/>
        <v>2025</v>
      </c>
      <c r="AE1722" s="1638">
        <f t="shared" si="784"/>
        <v>2026</v>
      </c>
      <c r="AF1722" s="1638">
        <f t="shared" si="784"/>
        <v>2027</v>
      </c>
      <c r="AG1722" s="1638">
        <f t="shared" si="784"/>
        <v>2028</v>
      </c>
      <c r="AH1722" s="1638">
        <f t="shared" si="784"/>
        <v>2029</v>
      </c>
      <c r="AI1722" s="1638">
        <f t="shared" si="784"/>
        <v>2030</v>
      </c>
    </row>
    <row r="1723" spans="2:35" ht="13.15" customHeight="1">
      <c r="B1723" s="1124"/>
      <c r="C1723" s="485"/>
      <c r="D1723" s="579">
        <v>1</v>
      </c>
      <c r="E1723" s="1711" t="str">
        <f>c_ALR2025!E4329</f>
        <v/>
      </c>
      <c r="F1723" s="1711" t="str">
        <f>c_ALR2025!F4329</f>
        <v/>
      </c>
      <c r="G1723" s="1712" t="str">
        <f>c_ALR2025!G4329</f>
        <v/>
      </c>
      <c r="H1723" s="1713" t="str">
        <f>c_ALR2025!M4329</f>
        <v/>
      </c>
      <c r="I1723" s="1858"/>
      <c r="J1723" s="1801"/>
      <c r="K1723" s="1802"/>
      <c r="L1723" s="1802"/>
      <c r="M1723" s="1802"/>
      <c r="N1723" s="1802"/>
      <c r="O1723" s="485"/>
      <c r="P1723" s="9"/>
      <c r="S1723" s="1715" t="b">
        <f>IF(E1723 = "", TRUE, FALSE)</f>
        <v>1</v>
      </c>
      <c r="T1723" s="1435"/>
      <c r="Z1723" s="1435"/>
      <c r="AC1723" s="1803"/>
      <c r="AD1723" s="1803"/>
      <c r="AE1723" s="1803"/>
      <c r="AF1723" s="1803"/>
      <c r="AG1723" s="1803"/>
      <c r="AH1723" s="1803"/>
    </row>
    <row r="1724" spans="2:35" ht="13.15" customHeight="1">
      <c r="B1724" s="1124"/>
      <c r="C1724" s="485"/>
      <c r="D1724" s="582">
        <f>D1723+1</f>
        <v>2</v>
      </c>
      <c r="E1724" s="1717" t="str">
        <f>c_ALR2025!E4330</f>
        <v/>
      </c>
      <c r="F1724" s="1717" t="str">
        <f>c_ALR2025!F4330</f>
        <v/>
      </c>
      <c r="G1724" s="1718" t="str">
        <f>c_ALR2025!G4330</f>
        <v/>
      </c>
      <c r="H1724" s="1719" t="str">
        <f>c_ALR2025!M4330</f>
        <v/>
      </c>
      <c r="I1724" s="1859"/>
      <c r="J1724" s="1801"/>
      <c r="K1724" s="1802"/>
      <c r="L1724" s="1802"/>
      <c r="M1724" s="1802"/>
      <c r="N1724" s="1802"/>
      <c r="O1724" s="485"/>
      <c r="P1724" s="9"/>
      <c r="S1724" s="1715" t="b">
        <f t="shared" ref="S1724:S1732" si="785">IF(E1724 = "", TRUE, FALSE)</f>
        <v>1</v>
      </c>
      <c r="T1724" s="1435"/>
      <c r="Z1724" s="1435"/>
      <c r="AC1724" s="1803"/>
      <c r="AD1724" s="1803"/>
      <c r="AE1724" s="1803"/>
      <c r="AF1724" s="1803"/>
      <c r="AG1724" s="1803"/>
      <c r="AH1724" s="1803"/>
    </row>
    <row r="1725" spans="2:35" ht="13.15" customHeight="1">
      <c r="B1725" s="1124"/>
      <c r="C1725" s="485"/>
      <c r="D1725" s="582">
        <f t="shared" ref="D1725:D1732" si="786">D1724+1</f>
        <v>3</v>
      </c>
      <c r="E1725" s="1717" t="str">
        <f>c_ALR2025!E4331</f>
        <v/>
      </c>
      <c r="F1725" s="1717" t="str">
        <f>c_ALR2025!F4331</f>
        <v/>
      </c>
      <c r="G1725" s="1718" t="str">
        <f>c_ALR2025!G4331</f>
        <v/>
      </c>
      <c r="H1725" s="1719" t="str">
        <f>c_ALR2025!M4331</f>
        <v/>
      </c>
      <c r="I1725" s="1859"/>
      <c r="J1725" s="1801"/>
      <c r="K1725" s="1802"/>
      <c r="L1725" s="1802"/>
      <c r="M1725" s="1802"/>
      <c r="N1725" s="1802"/>
      <c r="O1725" s="485"/>
      <c r="P1725" s="9"/>
      <c r="S1725" s="1715" t="b">
        <f t="shared" si="785"/>
        <v>1</v>
      </c>
      <c r="T1725" s="1435"/>
      <c r="Z1725" s="1435"/>
      <c r="AC1725" s="1803"/>
      <c r="AD1725" s="1803"/>
      <c r="AE1725" s="1803"/>
      <c r="AF1725" s="1803"/>
      <c r="AG1725" s="1803"/>
      <c r="AH1725" s="1803"/>
    </row>
    <row r="1726" spans="2:35" ht="13.15" customHeight="1">
      <c r="B1726" s="1124"/>
      <c r="C1726" s="485"/>
      <c r="D1726" s="582">
        <f t="shared" si="786"/>
        <v>4</v>
      </c>
      <c r="E1726" s="1717" t="str">
        <f>c_ALR2025!E4332</f>
        <v/>
      </c>
      <c r="F1726" s="1717" t="str">
        <f>c_ALR2025!F4332</f>
        <v/>
      </c>
      <c r="G1726" s="1718" t="str">
        <f>c_ALR2025!G4332</f>
        <v/>
      </c>
      <c r="H1726" s="1719" t="str">
        <f>c_ALR2025!M4332</f>
        <v/>
      </c>
      <c r="I1726" s="1859"/>
      <c r="J1726" s="1801"/>
      <c r="K1726" s="1802"/>
      <c r="L1726" s="1802"/>
      <c r="M1726" s="1802"/>
      <c r="N1726" s="1802"/>
      <c r="O1726" s="485"/>
      <c r="P1726" s="9"/>
      <c r="S1726" s="1715" t="b">
        <f t="shared" si="785"/>
        <v>1</v>
      </c>
      <c r="T1726" s="1435"/>
      <c r="Z1726" s="1435"/>
      <c r="AC1726" s="1803"/>
      <c r="AD1726" s="1803"/>
      <c r="AE1726" s="1803"/>
      <c r="AF1726" s="1803"/>
      <c r="AG1726" s="1803"/>
      <c r="AH1726" s="1803"/>
    </row>
    <row r="1727" spans="2:35" ht="13.15" customHeight="1">
      <c r="B1727" s="1124"/>
      <c r="C1727" s="485"/>
      <c r="D1727" s="582">
        <f t="shared" si="786"/>
        <v>5</v>
      </c>
      <c r="E1727" s="1717" t="str">
        <f>c_ALR2025!E4333</f>
        <v/>
      </c>
      <c r="F1727" s="1717" t="str">
        <f>c_ALR2025!F4333</f>
        <v/>
      </c>
      <c r="G1727" s="1718" t="str">
        <f>c_ALR2025!G4333</f>
        <v/>
      </c>
      <c r="H1727" s="1719" t="str">
        <f>c_ALR2025!M4333</f>
        <v/>
      </c>
      <c r="I1727" s="1859"/>
      <c r="J1727" s="1801"/>
      <c r="K1727" s="1802"/>
      <c r="L1727" s="1802"/>
      <c r="M1727" s="1802"/>
      <c r="N1727" s="1802"/>
      <c r="O1727" s="485"/>
      <c r="P1727" s="9"/>
      <c r="S1727" s="1715" t="b">
        <f t="shared" si="785"/>
        <v>1</v>
      </c>
      <c r="T1727" s="1435"/>
      <c r="Z1727" s="1435"/>
      <c r="AC1727" s="1803"/>
      <c r="AD1727" s="1803"/>
      <c r="AE1727" s="1803"/>
      <c r="AF1727" s="1803"/>
      <c r="AG1727" s="1803"/>
      <c r="AH1727" s="1803"/>
    </row>
    <row r="1728" spans="2:35" ht="13.15" customHeight="1">
      <c r="B1728" s="1124"/>
      <c r="C1728" s="485"/>
      <c r="D1728" s="582">
        <f t="shared" si="786"/>
        <v>6</v>
      </c>
      <c r="E1728" s="1717" t="str">
        <f>c_ALR2025!E4334</f>
        <v/>
      </c>
      <c r="F1728" s="1717" t="str">
        <f>c_ALR2025!F4334</f>
        <v/>
      </c>
      <c r="G1728" s="1718" t="str">
        <f>c_ALR2025!G4334</f>
        <v/>
      </c>
      <c r="H1728" s="1719" t="str">
        <f>c_ALR2025!M4334</f>
        <v/>
      </c>
      <c r="I1728" s="1859"/>
      <c r="J1728" s="1801"/>
      <c r="K1728" s="1802"/>
      <c r="L1728" s="1802"/>
      <c r="M1728" s="1802"/>
      <c r="N1728" s="1802"/>
      <c r="O1728" s="485"/>
      <c r="P1728" s="9"/>
      <c r="S1728" s="1715" t="b">
        <f t="shared" si="785"/>
        <v>1</v>
      </c>
      <c r="T1728" s="1435"/>
      <c r="Z1728" s="1435"/>
      <c r="AC1728" s="1803"/>
      <c r="AD1728" s="1803"/>
      <c r="AE1728" s="1803"/>
      <c r="AF1728" s="1803"/>
      <c r="AG1728" s="1803"/>
      <c r="AH1728" s="1803"/>
    </row>
    <row r="1729" spans="2:42" ht="13.15" customHeight="1">
      <c r="B1729" s="1124"/>
      <c r="C1729" s="485"/>
      <c r="D1729" s="582">
        <f t="shared" si="786"/>
        <v>7</v>
      </c>
      <c r="E1729" s="1717" t="str">
        <f>c_ALR2025!E4335</f>
        <v/>
      </c>
      <c r="F1729" s="1717" t="str">
        <f>c_ALR2025!F4335</f>
        <v/>
      </c>
      <c r="G1729" s="1718" t="str">
        <f>c_ALR2025!G4335</f>
        <v/>
      </c>
      <c r="H1729" s="1719" t="str">
        <f>c_ALR2025!M4335</f>
        <v/>
      </c>
      <c r="I1729" s="1859"/>
      <c r="J1729" s="1801"/>
      <c r="K1729" s="1802"/>
      <c r="L1729" s="1802"/>
      <c r="M1729" s="1802"/>
      <c r="N1729" s="1802"/>
      <c r="O1729" s="485"/>
      <c r="P1729" s="9"/>
      <c r="S1729" s="1715" t="b">
        <f t="shared" si="785"/>
        <v>1</v>
      </c>
      <c r="T1729" s="1435"/>
      <c r="Z1729" s="1435"/>
      <c r="AC1729" s="1803"/>
      <c r="AD1729" s="1803"/>
      <c r="AE1729" s="1803"/>
      <c r="AF1729" s="1803"/>
      <c r="AG1729" s="1803"/>
      <c r="AH1729" s="1803"/>
    </row>
    <row r="1730" spans="2:42" ht="13.15" customHeight="1">
      <c r="B1730" s="1124"/>
      <c r="C1730" s="485"/>
      <c r="D1730" s="582">
        <f t="shared" si="786"/>
        <v>8</v>
      </c>
      <c r="E1730" s="1717" t="str">
        <f>c_ALR2025!E4336</f>
        <v/>
      </c>
      <c r="F1730" s="1717" t="str">
        <f>c_ALR2025!F4336</f>
        <v/>
      </c>
      <c r="G1730" s="1718" t="str">
        <f>c_ALR2025!G4336</f>
        <v/>
      </c>
      <c r="H1730" s="1719" t="str">
        <f>c_ALR2025!M4336</f>
        <v/>
      </c>
      <c r="I1730" s="1859"/>
      <c r="J1730" s="1801"/>
      <c r="K1730" s="1802"/>
      <c r="L1730" s="1802"/>
      <c r="M1730" s="1802"/>
      <c r="N1730" s="1802"/>
      <c r="O1730" s="485"/>
      <c r="P1730" s="9"/>
      <c r="S1730" s="1715" t="b">
        <f t="shared" si="785"/>
        <v>1</v>
      </c>
      <c r="T1730" s="1435"/>
      <c r="Z1730" s="1435"/>
      <c r="AC1730" s="1803"/>
      <c r="AD1730" s="1803"/>
      <c r="AE1730" s="1803"/>
      <c r="AF1730" s="1803"/>
      <c r="AG1730" s="1803"/>
      <c r="AH1730" s="1803"/>
    </row>
    <row r="1731" spans="2:42" ht="13.15" customHeight="1">
      <c r="B1731" s="1124"/>
      <c r="C1731" s="485"/>
      <c r="D1731" s="582">
        <f t="shared" si="786"/>
        <v>9</v>
      </c>
      <c r="E1731" s="1717" t="str">
        <f>c_ALR2025!E4337</f>
        <v/>
      </c>
      <c r="F1731" s="1717" t="str">
        <f>c_ALR2025!F4337</f>
        <v/>
      </c>
      <c r="G1731" s="1718" t="str">
        <f>c_ALR2025!G4337</f>
        <v/>
      </c>
      <c r="H1731" s="1719" t="str">
        <f>c_ALR2025!M4337</f>
        <v/>
      </c>
      <c r="I1731" s="1859"/>
      <c r="J1731" s="1801"/>
      <c r="L1731" s="1802"/>
      <c r="M1731" s="1802"/>
      <c r="N1731" s="1802"/>
      <c r="O1731" s="485"/>
      <c r="P1731" s="9"/>
      <c r="S1731" s="1715" t="b">
        <f t="shared" si="785"/>
        <v>1</v>
      </c>
      <c r="T1731" s="1435"/>
      <c r="Z1731" s="1435"/>
      <c r="AC1731" s="1803"/>
      <c r="AD1731" s="1803"/>
      <c r="AE1731" s="1803"/>
      <c r="AF1731" s="1803"/>
      <c r="AG1731" s="1803"/>
      <c r="AH1731" s="1803"/>
    </row>
    <row r="1732" spans="2:42" ht="13.15" customHeight="1">
      <c r="B1732" s="1124"/>
      <c r="C1732" s="485"/>
      <c r="D1732" s="584">
        <f t="shared" si="786"/>
        <v>10</v>
      </c>
      <c r="E1732" s="1720" t="str">
        <f>c_ALR2025!E4338</f>
        <v/>
      </c>
      <c r="F1732" s="1720" t="str">
        <f>c_ALR2025!F4338</f>
        <v/>
      </c>
      <c r="G1732" s="1721" t="str">
        <f>c_ALR2025!G4338</f>
        <v/>
      </c>
      <c r="H1732" s="1722" t="str">
        <f>c_ALR2025!M4338</f>
        <v/>
      </c>
      <c r="I1732" s="1860"/>
      <c r="J1732" s="1801"/>
      <c r="K1732" s="1802"/>
      <c r="L1732" s="1802"/>
      <c r="M1732" s="1802"/>
      <c r="N1732" s="1802"/>
      <c r="O1732" s="485"/>
      <c r="P1732" s="9"/>
      <c r="S1732" s="1715" t="b">
        <f t="shared" si="785"/>
        <v>1</v>
      </c>
      <c r="T1732" s="1435"/>
      <c r="Z1732" s="1435"/>
      <c r="AC1732" s="1803"/>
      <c r="AD1732" s="1803"/>
      <c r="AE1732" s="1803"/>
      <c r="AF1732" s="1803"/>
      <c r="AG1732" s="1803"/>
      <c r="AH1732" s="1803"/>
    </row>
    <row r="1733" spans="2:42" ht="13.15" customHeight="1">
      <c r="B1733" s="1124"/>
      <c r="C1733" s="485"/>
      <c r="D1733" s="579">
        <v>1</v>
      </c>
      <c r="E1733" s="1861"/>
      <c r="F1733" s="1861"/>
      <c r="G1733" s="1862"/>
      <c r="H1733" s="1723"/>
      <c r="I1733" s="1863"/>
      <c r="J1733" s="1801"/>
      <c r="K1733" s="1802"/>
      <c r="L1733" s="1802"/>
      <c r="M1733" s="1802"/>
      <c r="N1733" s="1802"/>
      <c r="O1733" s="485"/>
      <c r="P1733" s="9"/>
      <c r="S1733" s="1715" t="b">
        <f>NOT(S1723)</f>
        <v>0</v>
      </c>
      <c r="T1733" s="1435"/>
      <c r="Z1733" s="1435"/>
      <c r="AC1733" s="1803"/>
      <c r="AD1733" s="1803"/>
      <c r="AE1733" s="1803"/>
      <c r="AF1733" s="1803"/>
      <c r="AG1733" s="1803"/>
      <c r="AH1733" s="1803"/>
    </row>
    <row r="1734" spans="2:42" ht="13.15" customHeight="1">
      <c r="B1734" s="1124"/>
      <c r="C1734" s="485"/>
      <c r="D1734" s="582">
        <f>D1733+1</f>
        <v>2</v>
      </c>
      <c r="E1734" s="1864"/>
      <c r="F1734" s="1864"/>
      <c r="G1734" s="1865"/>
      <c r="H1734" s="1724"/>
      <c r="I1734" s="1859"/>
      <c r="J1734" s="1801"/>
      <c r="K1734" s="1802"/>
      <c r="L1734" s="1802"/>
      <c r="M1734" s="1802"/>
      <c r="N1734" s="1802"/>
      <c r="O1734" s="485"/>
      <c r="P1734" s="9"/>
      <c r="S1734" s="1715" t="b">
        <f t="shared" ref="S1734:S1742" si="787">NOT(S1724)</f>
        <v>0</v>
      </c>
      <c r="T1734" s="1435"/>
      <c r="Z1734" s="1435"/>
      <c r="AC1734" s="1803"/>
      <c r="AD1734" s="1803"/>
      <c r="AE1734" s="1803"/>
      <c r="AF1734" s="1803"/>
      <c r="AG1734" s="1803"/>
      <c r="AH1734" s="1803"/>
    </row>
    <row r="1735" spans="2:42" ht="13.15" customHeight="1">
      <c r="B1735" s="1124"/>
      <c r="C1735" s="485"/>
      <c r="D1735" s="582">
        <f t="shared" ref="D1735:D1742" si="788">D1734+1</f>
        <v>3</v>
      </c>
      <c r="E1735" s="1864"/>
      <c r="F1735" s="1864"/>
      <c r="G1735" s="1865"/>
      <c r="H1735" s="1724"/>
      <c r="I1735" s="1859"/>
      <c r="J1735" s="1801"/>
      <c r="K1735" s="1802"/>
      <c r="L1735" s="1802"/>
      <c r="M1735" s="1802"/>
      <c r="N1735" s="1802"/>
      <c r="O1735" s="485"/>
      <c r="P1735" s="9"/>
      <c r="S1735" s="1715" t="b">
        <f t="shared" si="787"/>
        <v>0</v>
      </c>
      <c r="T1735" s="1435"/>
      <c r="Z1735" s="1435"/>
      <c r="AC1735" s="1803"/>
      <c r="AD1735" s="1803"/>
      <c r="AE1735" s="1803"/>
      <c r="AF1735" s="1803"/>
      <c r="AG1735" s="1803"/>
      <c r="AH1735" s="1803"/>
    </row>
    <row r="1736" spans="2:42" ht="13.15" customHeight="1">
      <c r="B1736" s="1124"/>
      <c r="C1736" s="485"/>
      <c r="D1736" s="582">
        <f t="shared" si="788"/>
        <v>4</v>
      </c>
      <c r="E1736" s="1864"/>
      <c r="F1736" s="1864"/>
      <c r="G1736" s="1865"/>
      <c r="H1736" s="1724"/>
      <c r="I1736" s="1859"/>
      <c r="J1736" s="1801"/>
      <c r="K1736" s="1802"/>
      <c r="L1736" s="1802"/>
      <c r="M1736" s="1802"/>
      <c r="N1736" s="1802"/>
      <c r="O1736" s="485"/>
      <c r="P1736" s="9"/>
      <c r="S1736" s="1715" t="b">
        <f t="shared" si="787"/>
        <v>0</v>
      </c>
      <c r="T1736" s="1435"/>
      <c r="Z1736" s="1435"/>
      <c r="AC1736" s="1803"/>
      <c r="AD1736" s="1803"/>
      <c r="AE1736" s="1803"/>
      <c r="AF1736" s="1803"/>
      <c r="AG1736" s="1803"/>
      <c r="AH1736" s="1803"/>
    </row>
    <row r="1737" spans="2:42" ht="13.15" customHeight="1">
      <c r="B1737" s="1124"/>
      <c r="C1737" s="485"/>
      <c r="D1737" s="582">
        <f t="shared" si="788"/>
        <v>5</v>
      </c>
      <c r="E1737" s="1864"/>
      <c r="F1737" s="1864"/>
      <c r="G1737" s="1865"/>
      <c r="H1737" s="1724"/>
      <c r="I1737" s="1859"/>
      <c r="J1737" s="1801"/>
      <c r="K1737" s="1802"/>
      <c r="L1737" s="1802"/>
      <c r="M1737" s="1802"/>
      <c r="N1737" s="1802"/>
      <c r="O1737" s="485"/>
      <c r="P1737" s="9"/>
      <c r="S1737" s="1715" t="b">
        <f t="shared" si="787"/>
        <v>0</v>
      </c>
      <c r="T1737" s="1435"/>
      <c r="Z1737" s="1435"/>
      <c r="AC1737" s="1803"/>
      <c r="AD1737" s="1803"/>
      <c r="AE1737" s="1803"/>
      <c r="AF1737" s="1803"/>
      <c r="AG1737" s="1803"/>
      <c r="AH1737" s="1803"/>
    </row>
    <row r="1738" spans="2:42" ht="13.15" customHeight="1">
      <c r="B1738" s="1124"/>
      <c r="C1738" s="485"/>
      <c r="D1738" s="582">
        <f t="shared" si="788"/>
        <v>6</v>
      </c>
      <c r="E1738" s="1864"/>
      <c r="F1738" s="1864"/>
      <c r="G1738" s="1865"/>
      <c r="H1738" s="1724"/>
      <c r="I1738" s="1859"/>
      <c r="J1738" s="1801"/>
      <c r="K1738" s="1802"/>
      <c r="L1738" s="1802"/>
      <c r="M1738" s="1802"/>
      <c r="N1738" s="1802"/>
      <c r="O1738" s="485"/>
      <c r="P1738" s="9"/>
      <c r="S1738" s="1715" t="b">
        <f t="shared" si="787"/>
        <v>0</v>
      </c>
      <c r="T1738" s="1435"/>
      <c r="Z1738" s="1435"/>
      <c r="AC1738" s="1803"/>
      <c r="AD1738" s="1803"/>
      <c r="AE1738" s="1803"/>
      <c r="AF1738" s="1803"/>
      <c r="AG1738" s="1803"/>
      <c r="AH1738" s="1803"/>
    </row>
    <row r="1739" spans="2:42" ht="13.15" customHeight="1">
      <c r="B1739" s="1124"/>
      <c r="C1739" s="485"/>
      <c r="D1739" s="582">
        <f t="shared" si="788"/>
        <v>7</v>
      </c>
      <c r="E1739" s="1864"/>
      <c r="F1739" s="1864"/>
      <c r="G1739" s="1865"/>
      <c r="H1739" s="1724"/>
      <c r="I1739" s="1859"/>
      <c r="J1739" s="1801"/>
      <c r="K1739" s="1802"/>
      <c r="L1739" s="1802"/>
      <c r="M1739" s="1802"/>
      <c r="N1739" s="1802"/>
      <c r="O1739" s="485"/>
      <c r="P1739" s="9"/>
      <c r="S1739" s="1715" t="b">
        <f t="shared" si="787"/>
        <v>0</v>
      </c>
      <c r="T1739" s="1435"/>
      <c r="Z1739" s="1435"/>
      <c r="AC1739" s="1803"/>
      <c r="AD1739" s="1803"/>
      <c r="AE1739" s="1803"/>
      <c r="AF1739" s="1803"/>
      <c r="AG1739" s="1803"/>
      <c r="AH1739" s="1803"/>
    </row>
    <row r="1740" spans="2:42" ht="13.15" customHeight="1">
      <c r="B1740" s="1124"/>
      <c r="C1740" s="485"/>
      <c r="D1740" s="582">
        <f t="shared" si="788"/>
        <v>8</v>
      </c>
      <c r="E1740" s="1864"/>
      <c r="F1740" s="1864"/>
      <c r="G1740" s="1865"/>
      <c r="H1740" s="1724"/>
      <c r="I1740" s="1859"/>
      <c r="J1740" s="1801"/>
      <c r="K1740" s="1802"/>
      <c r="L1740" s="1802"/>
      <c r="M1740" s="1802"/>
      <c r="N1740" s="1802"/>
      <c r="O1740" s="485"/>
      <c r="P1740" s="9"/>
      <c r="S1740" s="1715" t="b">
        <f t="shared" si="787"/>
        <v>0</v>
      </c>
      <c r="T1740" s="1435"/>
      <c r="Z1740" s="1435"/>
      <c r="AC1740" s="1803"/>
      <c r="AD1740" s="1803"/>
      <c r="AE1740" s="1803"/>
      <c r="AF1740" s="1803"/>
      <c r="AG1740" s="1803"/>
      <c r="AH1740" s="1803"/>
    </row>
    <row r="1741" spans="2:42" ht="13.15" customHeight="1">
      <c r="B1741" s="1124"/>
      <c r="C1741" s="485"/>
      <c r="D1741" s="582">
        <f t="shared" si="788"/>
        <v>9</v>
      </c>
      <c r="E1741" s="1864"/>
      <c r="F1741" s="1864"/>
      <c r="G1741" s="1865"/>
      <c r="H1741" s="1724"/>
      <c r="I1741" s="1859"/>
      <c r="J1741" s="1801"/>
      <c r="K1741" s="1802"/>
      <c r="L1741" s="1802"/>
      <c r="M1741" s="1802"/>
      <c r="N1741" s="1802"/>
      <c r="O1741" s="485"/>
      <c r="P1741" s="9"/>
      <c r="S1741" s="1715" t="b">
        <f t="shared" si="787"/>
        <v>0</v>
      </c>
      <c r="T1741" s="1435"/>
      <c r="Z1741" s="1435"/>
      <c r="AC1741" s="1803"/>
      <c r="AD1741" s="1803"/>
      <c r="AE1741" s="1803"/>
      <c r="AF1741" s="1803"/>
      <c r="AG1741" s="1803"/>
      <c r="AH1741" s="1803"/>
    </row>
    <row r="1742" spans="2:42" ht="13.15" customHeight="1" thickBot="1">
      <c r="B1742" s="1124"/>
      <c r="C1742" s="485"/>
      <c r="D1742" s="584">
        <f t="shared" si="788"/>
        <v>10</v>
      </c>
      <c r="E1742" s="1866"/>
      <c r="F1742" s="1866"/>
      <c r="G1742" s="1867"/>
      <c r="H1742" s="1725"/>
      <c r="I1742" s="1860"/>
      <c r="J1742" s="1801"/>
      <c r="K1742" s="1802"/>
      <c r="L1742" s="1802"/>
      <c r="M1742" s="1802"/>
      <c r="N1742" s="1802"/>
      <c r="O1742" s="485"/>
      <c r="P1742" s="9"/>
      <c r="S1742" s="1726" t="b">
        <f t="shared" si="787"/>
        <v>0</v>
      </c>
      <c r="T1742" s="1435"/>
      <c r="Z1742" s="1435"/>
      <c r="AC1742" s="1803"/>
      <c r="AD1742" s="1803"/>
      <c r="AE1742" s="1803"/>
      <c r="AF1742" s="1803"/>
      <c r="AG1742" s="1803"/>
      <c r="AH1742" s="1803"/>
    </row>
    <row r="1743" spans="2:42">
      <c r="B1743" s="1124"/>
      <c r="C1743" s="485"/>
      <c r="D1743" s="579">
        <v>1</v>
      </c>
      <c r="E1743" s="864" t="str">
        <f t="shared" ref="E1743:E1752" si="789">IF(E1733&lt;&gt; "",E1733,IF(E1723 &lt;&gt; "", E1723,""))</f>
        <v/>
      </c>
      <c r="F1743" s="960" t="str">
        <f t="shared" ref="F1743:I1743" si="790">IF(F1733&lt;&gt; "",F1733,IF(F1723 &lt;&gt; "", F1723,""))</f>
        <v/>
      </c>
      <c r="G1743" s="961" t="str">
        <f t="shared" si="790"/>
        <v/>
      </c>
      <c r="H1743" s="656" t="str">
        <f t="shared" si="790"/>
        <v/>
      </c>
      <c r="I1743" s="962" t="str">
        <f t="shared" si="790"/>
        <v/>
      </c>
      <c r="J1743" s="1804"/>
      <c r="K1743" s="1805"/>
      <c r="L1743" s="1805"/>
      <c r="M1743" s="1805"/>
      <c r="N1743" s="1805"/>
      <c r="O1743" s="485"/>
      <c r="S1743" s="1435"/>
      <c r="T1743" s="1435"/>
      <c r="Z1743" s="1730" t="b">
        <f t="shared" ref="Z1743:Z1752" si="791">AA1743</f>
        <v>0</v>
      </c>
      <c r="AA1743" s="1731" t="b">
        <f t="shared" ref="AA1743:AA1752" si="792">AB1743</f>
        <v>0</v>
      </c>
      <c r="AB1743" s="1868" t="b">
        <f>AND(AC1743:AI1743)</f>
        <v>0</v>
      </c>
      <c r="AC1743" s="1732" t="b">
        <f t="shared" ref="AC1743:AI1743" si="793">AC1693</f>
        <v>0</v>
      </c>
      <c r="AD1743" s="1680" t="b">
        <f t="shared" si="793"/>
        <v>0</v>
      </c>
      <c r="AE1743" s="1680" t="b">
        <f t="shared" si="793"/>
        <v>0</v>
      </c>
      <c r="AF1743" s="1680" t="b">
        <f t="shared" si="793"/>
        <v>0</v>
      </c>
      <c r="AG1743" s="1680" t="b">
        <f t="shared" si="793"/>
        <v>0</v>
      </c>
      <c r="AH1743" s="1680" t="b">
        <f t="shared" si="793"/>
        <v>0</v>
      </c>
      <c r="AI1743" s="1681" t="b">
        <f t="shared" si="793"/>
        <v>0</v>
      </c>
      <c r="AJ1743" s="1633" t="s">
        <v>1954</v>
      </c>
      <c r="AK1743" s="1635" t="str">
        <f>IF(AND(CNTR_ExistSubInstEntries,COUNTIFS(AC1743:AI1743,FALSE,H1743:N1743,"")&gt;0),EUconst_Error&amp;"BM"&amp;$Q1623,"")</f>
        <v/>
      </c>
      <c r="AP1743" s="1135" t="s">
        <v>2431</v>
      </c>
    </row>
    <row r="1744" spans="2:42">
      <c r="B1744" s="1124"/>
      <c r="C1744" s="485"/>
      <c r="D1744" s="582">
        <f>D1743+1</f>
        <v>2</v>
      </c>
      <c r="E1744" s="866" t="str">
        <f t="shared" si="789"/>
        <v/>
      </c>
      <c r="F1744" s="964" t="str">
        <f t="shared" ref="F1744:I1744" si="794">IF(F1734&lt;&gt; "",F1734,IF(F1724 &lt;&gt; "", F1724,""))</f>
        <v/>
      </c>
      <c r="G1744" s="895" t="str">
        <f t="shared" si="794"/>
        <v/>
      </c>
      <c r="H1744" s="658" t="str">
        <f t="shared" si="794"/>
        <v/>
      </c>
      <c r="I1744" s="965" t="str">
        <f t="shared" si="794"/>
        <v/>
      </c>
      <c r="J1744" s="1804"/>
      <c r="K1744" s="1805"/>
      <c r="L1744" s="1805"/>
      <c r="M1744" s="1805"/>
      <c r="N1744" s="1805"/>
      <c r="O1744" s="485"/>
      <c r="S1744" s="1435"/>
      <c r="T1744" s="1435"/>
      <c r="Z1744" s="1736" t="b">
        <f t="shared" si="791"/>
        <v>0</v>
      </c>
      <c r="AA1744" s="1443" t="b">
        <f t="shared" si="792"/>
        <v>0</v>
      </c>
      <c r="AB1744" s="1737" t="b">
        <f t="shared" ref="AB1744:AB1752" si="795">AND(AC1744:AI1744)</f>
        <v>0</v>
      </c>
      <c r="AC1744" s="1738" t="b">
        <f>AC1743</f>
        <v>0</v>
      </c>
      <c r="AD1744" s="1443" t="b">
        <f t="shared" ref="AD1744:AI1744" si="796">AD1743</f>
        <v>0</v>
      </c>
      <c r="AE1744" s="1443" t="b">
        <f t="shared" si="796"/>
        <v>0</v>
      </c>
      <c r="AF1744" s="1443" t="b">
        <f t="shared" si="796"/>
        <v>0</v>
      </c>
      <c r="AG1744" s="1443" t="b">
        <f t="shared" si="796"/>
        <v>0</v>
      </c>
      <c r="AH1744" s="1443" t="b">
        <f t="shared" si="796"/>
        <v>0</v>
      </c>
      <c r="AI1744" s="1737" t="b">
        <f t="shared" si="796"/>
        <v>0</v>
      </c>
      <c r="AP1744" s="1135" t="s">
        <v>2432</v>
      </c>
    </row>
    <row r="1745" spans="2:42">
      <c r="B1745" s="1124"/>
      <c r="C1745" s="485"/>
      <c r="D1745" s="582">
        <f t="shared" ref="D1745:D1752" si="797">D1744+1</f>
        <v>3</v>
      </c>
      <c r="E1745" s="866" t="str">
        <f t="shared" si="789"/>
        <v/>
      </c>
      <c r="F1745" s="964" t="str">
        <f t="shared" ref="F1745:I1745" si="798">IF(F1735&lt;&gt; "",F1735,IF(F1725 &lt;&gt; "", F1725,""))</f>
        <v/>
      </c>
      <c r="G1745" s="895" t="str">
        <f t="shared" si="798"/>
        <v/>
      </c>
      <c r="H1745" s="658" t="str">
        <f t="shared" si="798"/>
        <v/>
      </c>
      <c r="I1745" s="965" t="str">
        <f t="shared" si="798"/>
        <v/>
      </c>
      <c r="J1745" s="1804"/>
      <c r="K1745" s="1805"/>
      <c r="L1745" s="1805"/>
      <c r="M1745" s="1805"/>
      <c r="N1745" s="1805"/>
      <c r="O1745" s="485"/>
      <c r="S1745" s="1435"/>
      <c r="T1745" s="1435"/>
      <c r="Z1745" s="1736" t="b">
        <f t="shared" si="791"/>
        <v>0</v>
      </c>
      <c r="AA1745" s="1443" t="b">
        <f t="shared" si="792"/>
        <v>0</v>
      </c>
      <c r="AB1745" s="1737" t="b">
        <f t="shared" si="795"/>
        <v>0</v>
      </c>
      <c r="AC1745" s="1738" t="b">
        <f t="shared" ref="AC1745:AI1752" si="799">AC1744</f>
        <v>0</v>
      </c>
      <c r="AD1745" s="1443" t="b">
        <f t="shared" si="799"/>
        <v>0</v>
      </c>
      <c r="AE1745" s="1443" t="b">
        <f t="shared" si="799"/>
        <v>0</v>
      </c>
      <c r="AF1745" s="1443" t="b">
        <f t="shared" si="799"/>
        <v>0</v>
      </c>
      <c r="AG1745" s="1443" t="b">
        <f t="shared" si="799"/>
        <v>0</v>
      </c>
      <c r="AH1745" s="1443" t="b">
        <f t="shared" si="799"/>
        <v>0</v>
      </c>
      <c r="AI1745" s="1737" t="b">
        <f t="shared" si="799"/>
        <v>0</v>
      </c>
      <c r="AP1745" s="1135" t="s">
        <v>2433</v>
      </c>
    </row>
    <row r="1746" spans="2:42">
      <c r="B1746" s="1124"/>
      <c r="C1746" s="485"/>
      <c r="D1746" s="582">
        <f t="shared" si="797"/>
        <v>4</v>
      </c>
      <c r="E1746" s="866" t="str">
        <f t="shared" si="789"/>
        <v/>
      </c>
      <c r="F1746" s="964" t="str">
        <f t="shared" ref="F1746:I1746" si="800">IF(F1736&lt;&gt; "",F1736,IF(F1726 &lt;&gt; "", F1726,""))</f>
        <v/>
      </c>
      <c r="G1746" s="895" t="str">
        <f t="shared" si="800"/>
        <v/>
      </c>
      <c r="H1746" s="658" t="str">
        <f t="shared" si="800"/>
        <v/>
      </c>
      <c r="I1746" s="965" t="str">
        <f t="shared" si="800"/>
        <v/>
      </c>
      <c r="J1746" s="1804"/>
      <c r="K1746" s="1805"/>
      <c r="L1746" s="1805"/>
      <c r="M1746" s="1805"/>
      <c r="N1746" s="1805"/>
      <c r="O1746" s="485"/>
      <c r="S1746" s="1435"/>
      <c r="T1746" s="1435"/>
      <c r="Z1746" s="1736" t="b">
        <f t="shared" si="791"/>
        <v>0</v>
      </c>
      <c r="AA1746" s="1443" t="b">
        <f t="shared" si="792"/>
        <v>0</v>
      </c>
      <c r="AB1746" s="1737" t="b">
        <f t="shared" si="795"/>
        <v>0</v>
      </c>
      <c r="AC1746" s="1738" t="b">
        <f t="shared" si="799"/>
        <v>0</v>
      </c>
      <c r="AD1746" s="1443" t="b">
        <f t="shared" si="799"/>
        <v>0</v>
      </c>
      <c r="AE1746" s="1443" t="b">
        <f t="shared" si="799"/>
        <v>0</v>
      </c>
      <c r="AF1746" s="1443" t="b">
        <f t="shared" si="799"/>
        <v>0</v>
      </c>
      <c r="AG1746" s="1443" t="b">
        <f t="shared" si="799"/>
        <v>0</v>
      </c>
      <c r="AH1746" s="1443" t="b">
        <f t="shared" si="799"/>
        <v>0</v>
      </c>
      <c r="AI1746" s="1737" t="b">
        <f t="shared" si="799"/>
        <v>0</v>
      </c>
      <c r="AP1746" s="1135" t="s">
        <v>2434</v>
      </c>
    </row>
    <row r="1747" spans="2:42">
      <c r="B1747" s="1124"/>
      <c r="C1747" s="485"/>
      <c r="D1747" s="582">
        <f t="shared" si="797"/>
        <v>5</v>
      </c>
      <c r="E1747" s="866" t="str">
        <f t="shared" si="789"/>
        <v/>
      </c>
      <c r="F1747" s="964" t="str">
        <f t="shared" ref="F1747:I1747" si="801">IF(F1737&lt;&gt; "",F1737,IF(F1727 &lt;&gt; "", F1727,""))</f>
        <v/>
      </c>
      <c r="G1747" s="895" t="str">
        <f t="shared" si="801"/>
        <v/>
      </c>
      <c r="H1747" s="658" t="str">
        <f t="shared" si="801"/>
        <v/>
      </c>
      <c r="I1747" s="965" t="str">
        <f t="shared" si="801"/>
        <v/>
      </c>
      <c r="J1747" s="1804"/>
      <c r="K1747" s="1805"/>
      <c r="L1747" s="1805"/>
      <c r="M1747" s="1805"/>
      <c r="N1747" s="1805"/>
      <c r="O1747" s="485"/>
      <c r="S1747" s="1435"/>
      <c r="T1747" s="1435"/>
      <c r="Z1747" s="1736" t="b">
        <f t="shared" si="791"/>
        <v>0</v>
      </c>
      <c r="AA1747" s="1443" t="b">
        <f t="shared" si="792"/>
        <v>0</v>
      </c>
      <c r="AB1747" s="1737" t="b">
        <f t="shared" si="795"/>
        <v>0</v>
      </c>
      <c r="AC1747" s="1738" t="b">
        <f t="shared" si="799"/>
        <v>0</v>
      </c>
      <c r="AD1747" s="1443" t="b">
        <f t="shared" si="799"/>
        <v>0</v>
      </c>
      <c r="AE1747" s="1443" t="b">
        <f t="shared" si="799"/>
        <v>0</v>
      </c>
      <c r="AF1747" s="1443" t="b">
        <f t="shared" si="799"/>
        <v>0</v>
      </c>
      <c r="AG1747" s="1443" t="b">
        <f t="shared" si="799"/>
        <v>0</v>
      </c>
      <c r="AH1747" s="1443" t="b">
        <f t="shared" si="799"/>
        <v>0</v>
      </c>
      <c r="AI1747" s="1737" t="b">
        <f t="shared" si="799"/>
        <v>0</v>
      </c>
      <c r="AP1747" s="1135" t="s">
        <v>2435</v>
      </c>
    </row>
    <row r="1748" spans="2:42">
      <c r="B1748" s="1124"/>
      <c r="C1748" s="485"/>
      <c r="D1748" s="582">
        <f t="shared" si="797"/>
        <v>6</v>
      </c>
      <c r="E1748" s="866" t="str">
        <f t="shared" si="789"/>
        <v/>
      </c>
      <c r="F1748" s="964" t="str">
        <f t="shared" ref="F1748:I1748" si="802">IF(F1738&lt;&gt; "",F1738,IF(F1728 &lt;&gt; "", F1728,""))</f>
        <v/>
      </c>
      <c r="G1748" s="895" t="str">
        <f t="shared" si="802"/>
        <v/>
      </c>
      <c r="H1748" s="658" t="str">
        <f t="shared" si="802"/>
        <v/>
      </c>
      <c r="I1748" s="965" t="str">
        <f t="shared" si="802"/>
        <v/>
      </c>
      <c r="J1748" s="1804"/>
      <c r="K1748" s="1805"/>
      <c r="L1748" s="1805"/>
      <c r="M1748" s="1805"/>
      <c r="N1748" s="1805"/>
      <c r="O1748" s="485"/>
      <c r="S1748" s="1435"/>
      <c r="T1748" s="1435"/>
      <c r="Z1748" s="1736" t="b">
        <f t="shared" si="791"/>
        <v>0</v>
      </c>
      <c r="AA1748" s="1443" t="b">
        <f t="shared" si="792"/>
        <v>0</v>
      </c>
      <c r="AB1748" s="1737" t="b">
        <f t="shared" si="795"/>
        <v>0</v>
      </c>
      <c r="AC1748" s="1738" t="b">
        <f t="shared" si="799"/>
        <v>0</v>
      </c>
      <c r="AD1748" s="1443" t="b">
        <f t="shared" si="799"/>
        <v>0</v>
      </c>
      <c r="AE1748" s="1443" t="b">
        <f t="shared" si="799"/>
        <v>0</v>
      </c>
      <c r="AF1748" s="1443" t="b">
        <f t="shared" si="799"/>
        <v>0</v>
      </c>
      <c r="AG1748" s="1443" t="b">
        <f t="shared" si="799"/>
        <v>0</v>
      </c>
      <c r="AH1748" s="1443" t="b">
        <f t="shared" si="799"/>
        <v>0</v>
      </c>
      <c r="AI1748" s="1737" t="b">
        <f t="shared" si="799"/>
        <v>0</v>
      </c>
      <c r="AP1748" s="1135" t="s">
        <v>2436</v>
      </c>
    </row>
    <row r="1749" spans="2:42">
      <c r="B1749" s="1124"/>
      <c r="C1749" s="485"/>
      <c r="D1749" s="582">
        <f t="shared" si="797"/>
        <v>7</v>
      </c>
      <c r="E1749" s="866" t="str">
        <f t="shared" si="789"/>
        <v/>
      </c>
      <c r="F1749" s="964" t="str">
        <f t="shared" ref="F1749:I1749" si="803">IF(F1739&lt;&gt; "",F1739,IF(F1729 &lt;&gt; "", F1729,""))</f>
        <v/>
      </c>
      <c r="G1749" s="895" t="str">
        <f t="shared" si="803"/>
        <v/>
      </c>
      <c r="H1749" s="658" t="str">
        <f t="shared" si="803"/>
        <v/>
      </c>
      <c r="I1749" s="965" t="str">
        <f t="shared" si="803"/>
        <v/>
      </c>
      <c r="J1749" s="1804"/>
      <c r="K1749" s="1805"/>
      <c r="L1749" s="1805"/>
      <c r="M1749" s="1805"/>
      <c r="N1749" s="1805"/>
      <c r="O1749" s="485"/>
      <c r="S1749" s="1435"/>
      <c r="T1749" s="1435"/>
      <c r="Z1749" s="1736" t="b">
        <f t="shared" si="791"/>
        <v>0</v>
      </c>
      <c r="AA1749" s="1443" t="b">
        <f t="shared" si="792"/>
        <v>0</v>
      </c>
      <c r="AB1749" s="1737" t="b">
        <f t="shared" si="795"/>
        <v>0</v>
      </c>
      <c r="AC1749" s="1738" t="b">
        <f t="shared" si="799"/>
        <v>0</v>
      </c>
      <c r="AD1749" s="1443" t="b">
        <f t="shared" si="799"/>
        <v>0</v>
      </c>
      <c r="AE1749" s="1443" t="b">
        <f t="shared" si="799"/>
        <v>0</v>
      </c>
      <c r="AF1749" s="1443" t="b">
        <f t="shared" si="799"/>
        <v>0</v>
      </c>
      <c r="AG1749" s="1443" t="b">
        <f t="shared" si="799"/>
        <v>0</v>
      </c>
      <c r="AH1749" s="1443" t="b">
        <f t="shared" si="799"/>
        <v>0</v>
      </c>
      <c r="AI1749" s="1737" t="b">
        <f t="shared" si="799"/>
        <v>0</v>
      </c>
      <c r="AP1749" s="1135" t="s">
        <v>2437</v>
      </c>
    </row>
    <row r="1750" spans="2:42">
      <c r="B1750" s="1124"/>
      <c r="C1750" s="485"/>
      <c r="D1750" s="582">
        <f t="shared" si="797"/>
        <v>8</v>
      </c>
      <c r="E1750" s="866" t="str">
        <f t="shared" si="789"/>
        <v/>
      </c>
      <c r="F1750" s="964" t="str">
        <f t="shared" ref="F1750:I1750" si="804">IF(F1740&lt;&gt; "",F1740,IF(F1730 &lt;&gt; "", F1730,""))</f>
        <v/>
      </c>
      <c r="G1750" s="895" t="str">
        <f t="shared" si="804"/>
        <v/>
      </c>
      <c r="H1750" s="658" t="str">
        <f t="shared" si="804"/>
        <v/>
      </c>
      <c r="I1750" s="965" t="str">
        <f t="shared" si="804"/>
        <v/>
      </c>
      <c r="J1750" s="1804"/>
      <c r="K1750" s="1805"/>
      <c r="L1750" s="1805"/>
      <c r="M1750" s="1805"/>
      <c r="N1750" s="1805"/>
      <c r="O1750" s="485"/>
      <c r="S1750" s="1435"/>
      <c r="T1750" s="1435"/>
      <c r="Z1750" s="1736" t="b">
        <f t="shared" si="791"/>
        <v>0</v>
      </c>
      <c r="AA1750" s="1443" t="b">
        <f t="shared" si="792"/>
        <v>0</v>
      </c>
      <c r="AB1750" s="1737" t="b">
        <f t="shared" si="795"/>
        <v>0</v>
      </c>
      <c r="AC1750" s="1738" t="b">
        <f t="shared" si="799"/>
        <v>0</v>
      </c>
      <c r="AD1750" s="1443" t="b">
        <f t="shared" si="799"/>
        <v>0</v>
      </c>
      <c r="AE1750" s="1443" t="b">
        <f t="shared" si="799"/>
        <v>0</v>
      </c>
      <c r="AF1750" s="1443" t="b">
        <f t="shared" si="799"/>
        <v>0</v>
      </c>
      <c r="AG1750" s="1443" t="b">
        <f t="shared" si="799"/>
        <v>0</v>
      </c>
      <c r="AH1750" s="1443" t="b">
        <f t="shared" si="799"/>
        <v>0</v>
      </c>
      <c r="AI1750" s="1737" t="b">
        <f t="shared" si="799"/>
        <v>0</v>
      </c>
      <c r="AP1750" s="1135" t="s">
        <v>2438</v>
      </c>
    </row>
    <row r="1751" spans="2:42">
      <c r="B1751" s="1124"/>
      <c r="C1751" s="485"/>
      <c r="D1751" s="582">
        <f t="shared" si="797"/>
        <v>9</v>
      </c>
      <c r="E1751" s="866" t="str">
        <f t="shared" si="789"/>
        <v/>
      </c>
      <c r="F1751" s="964" t="str">
        <f t="shared" ref="F1751:I1751" si="805">IF(F1741&lt;&gt; "",F1741,IF(F1731 &lt;&gt; "", F1731,""))</f>
        <v/>
      </c>
      <c r="G1751" s="895" t="str">
        <f t="shared" si="805"/>
        <v/>
      </c>
      <c r="H1751" s="658" t="str">
        <f t="shared" si="805"/>
        <v/>
      </c>
      <c r="I1751" s="965" t="str">
        <f t="shared" si="805"/>
        <v/>
      </c>
      <c r="J1751" s="1804"/>
      <c r="K1751" s="1805"/>
      <c r="L1751" s="1805"/>
      <c r="M1751" s="1805"/>
      <c r="N1751" s="1805"/>
      <c r="O1751" s="485"/>
      <c r="S1751" s="1435"/>
      <c r="T1751" s="1435"/>
      <c r="Z1751" s="1736" t="b">
        <f t="shared" si="791"/>
        <v>0</v>
      </c>
      <c r="AA1751" s="1443" t="b">
        <f t="shared" si="792"/>
        <v>0</v>
      </c>
      <c r="AB1751" s="1737" t="b">
        <f t="shared" si="795"/>
        <v>0</v>
      </c>
      <c r="AC1751" s="1738" t="b">
        <f t="shared" si="799"/>
        <v>0</v>
      </c>
      <c r="AD1751" s="1443" t="b">
        <f t="shared" si="799"/>
        <v>0</v>
      </c>
      <c r="AE1751" s="1443" t="b">
        <f t="shared" si="799"/>
        <v>0</v>
      </c>
      <c r="AF1751" s="1443" t="b">
        <f t="shared" si="799"/>
        <v>0</v>
      </c>
      <c r="AG1751" s="1443" t="b">
        <f t="shared" si="799"/>
        <v>0</v>
      </c>
      <c r="AH1751" s="1443" t="b">
        <f t="shared" si="799"/>
        <v>0</v>
      </c>
      <c r="AI1751" s="1737" t="b">
        <f t="shared" si="799"/>
        <v>0</v>
      </c>
      <c r="AP1751" s="1135" t="s">
        <v>2439</v>
      </c>
    </row>
    <row r="1752" spans="2:42" ht="13.5" thickBot="1">
      <c r="B1752" s="1124"/>
      <c r="C1752" s="485"/>
      <c r="D1752" s="584">
        <f t="shared" si="797"/>
        <v>10</v>
      </c>
      <c r="E1752" s="868" t="str">
        <f t="shared" si="789"/>
        <v/>
      </c>
      <c r="F1752" s="967" t="str">
        <f t="shared" ref="F1752:I1752" si="806">IF(F1742&lt;&gt; "",F1742,IF(F1732 &lt;&gt; "", F1732,""))</f>
        <v/>
      </c>
      <c r="G1752" s="968" t="str">
        <f t="shared" si="806"/>
        <v/>
      </c>
      <c r="H1752" s="660" t="str">
        <f t="shared" si="806"/>
        <v/>
      </c>
      <c r="I1752" s="969" t="str">
        <f t="shared" si="806"/>
        <v/>
      </c>
      <c r="J1752" s="1804"/>
      <c r="K1752" s="1805"/>
      <c r="L1752" s="1805"/>
      <c r="M1752" s="1805"/>
      <c r="N1752" s="1805"/>
      <c r="O1752" s="485"/>
      <c r="S1752" s="1435"/>
      <c r="T1752" s="1435"/>
      <c r="Z1752" s="1742" t="b">
        <f t="shared" si="791"/>
        <v>0</v>
      </c>
      <c r="AA1752" s="1743" t="b">
        <f t="shared" si="792"/>
        <v>0</v>
      </c>
      <c r="AB1752" s="1744" t="b">
        <f t="shared" si="795"/>
        <v>0</v>
      </c>
      <c r="AC1752" s="1745" t="b">
        <f t="shared" si="799"/>
        <v>0</v>
      </c>
      <c r="AD1752" s="1743" t="b">
        <f t="shared" si="799"/>
        <v>0</v>
      </c>
      <c r="AE1752" s="1743" t="b">
        <f t="shared" si="799"/>
        <v>0</v>
      </c>
      <c r="AF1752" s="1743" t="b">
        <f t="shared" si="799"/>
        <v>0</v>
      </c>
      <c r="AG1752" s="1743" t="b">
        <f t="shared" si="799"/>
        <v>0</v>
      </c>
      <c r="AH1752" s="1743" t="b">
        <f t="shared" si="799"/>
        <v>0</v>
      </c>
      <c r="AI1752" s="1744" t="b">
        <f t="shared" si="799"/>
        <v>0</v>
      </c>
      <c r="AP1752" s="1135" t="s">
        <v>2440</v>
      </c>
    </row>
    <row r="1753" spans="2:42" ht="12.75" customHeight="1" thickBot="1">
      <c r="B1753" s="1124"/>
      <c r="C1753" s="485"/>
      <c r="D1753" s="971"/>
      <c r="E1753" s="972" t="s">
        <v>921</v>
      </c>
      <c r="F1753" s="948"/>
      <c r="G1753" s="1881"/>
      <c r="H1753" s="605" t="str">
        <f t="shared" ref="H1753:I1753" si="807">IF(COUNT(H1743:H1752)&gt;0,SUM(H1743:H1752),"")</f>
        <v/>
      </c>
      <c r="I1753" s="973" t="str">
        <f t="shared" si="807"/>
        <v/>
      </c>
      <c r="J1753" s="1804"/>
      <c r="K1753" s="1805"/>
      <c r="L1753" s="1805"/>
      <c r="M1753" s="1805"/>
      <c r="N1753" s="1805"/>
      <c r="O1753" s="485"/>
      <c r="P1753" s="485"/>
      <c r="S1753" s="1435"/>
      <c r="T1753" s="1435"/>
      <c r="AB1753" s="1848" t="b">
        <f>AND(AB1743:AB1752)</f>
        <v>0</v>
      </c>
    </row>
    <row r="1754" spans="2:42" ht="12.75" customHeight="1" thickBot="1">
      <c r="B1754" s="479"/>
      <c r="C1754" s="479"/>
      <c r="D1754" s="479"/>
      <c r="E1754" s="479"/>
      <c r="F1754" s="479"/>
      <c r="G1754" s="479"/>
      <c r="H1754" s="479"/>
      <c r="I1754" s="479"/>
      <c r="J1754" s="479"/>
      <c r="K1754" s="479"/>
      <c r="L1754" s="479"/>
      <c r="M1754" s="485"/>
      <c r="N1754" s="485"/>
      <c r="O1754" s="485"/>
      <c r="P1754" s="485"/>
      <c r="Q1754" s="1435"/>
      <c r="S1754" s="1435"/>
      <c r="T1754" s="1435"/>
    </row>
    <row r="1755" spans="2:42" ht="5.0999999999999996" customHeight="1">
      <c r="B1755" s="479"/>
      <c r="C1755" s="975"/>
      <c r="D1755" s="976"/>
      <c r="E1755" s="976"/>
      <c r="F1755" s="976"/>
      <c r="G1755" s="976"/>
      <c r="H1755" s="976"/>
      <c r="I1755" s="976"/>
      <c r="J1755" s="976"/>
      <c r="K1755" s="976"/>
      <c r="L1755" s="976"/>
      <c r="M1755" s="774"/>
      <c r="N1755" s="775"/>
      <c r="O1755" s="485"/>
      <c r="P1755" s="485"/>
      <c r="Q1755" s="1435"/>
      <c r="S1755" s="1435"/>
      <c r="T1755" s="1435"/>
    </row>
    <row r="1756" spans="2:42" ht="15" customHeight="1">
      <c r="B1756" s="1124"/>
      <c r="C1756" s="977"/>
      <c r="D1756" s="2678" t="s">
        <v>2330</v>
      </c>
      <c r="E1756" s="2672"/>
      <c r="F1756" s="2672"/>
      <c r="G1756" s="2672"/>
      <c r="H1756" s="2672"/>
      <c r="I1756" s="2672"/>
      <c r="J1756" s="2672"/>
      <c r="K1756" s="2672"/>
      <c r="L1756" s="2672"/>
      <c r="M1756" s="2672"/>
      <c r="N1756" s="2673"/>
      <c r="O1756" s="485"/>
      <c r="P1756" s="485"/>
      <c r="S1756" s="1435"/>
      <c r="T1756" s="1435"/>
    </row>
    <row r="1757" spans="2:42" ht="5.0999999999999996" customHeight="1">
      <c r="B1757" s="1124"/>
      <c r="C1757" s="980"/>
      <c r="D1757" s="813"/>
      <c r="E1757" s="813"/>
      <c r="F1757" s="813"/>
      <c r="G1757" s="813"/>
      <c r="H1757" s="813"/>
      <c r="I1757" s="813"/>
      <c r="J1757" s="813"/>
      <c r="K1757" s="813"/>
      <c r="L1757" s="813"/>
      <c r="M1757" s="813"/>
      <c r="N1757" s="814"/>
      <c r="O1757" s="485"/>
      <c r="P1757" s="485"/>
      <c r="S1757" s="1435"/>
      <c r="T1757" s="1435"/>
    </row>
    <row r="1758" spans="2:42" ht="15" customHeight="1">
      <c r="B1758" s="1124"/>
      <c r="C1758" s="980"/>
      <c r="D1758" s="2679" t="str">
        <f>EUconst_BMSubinst &amp; ":"</f>
        <v>Sub-installation with product benchmark:</v>
      </c>
      <c r="E1758" s="2646"/>
      <c r="F1758" s="2646"/>
      <c r="G1758" s="2646"/>
      <c r="H1758" s="2680"/>
      <c r="I1758" s="3293" t="str">
        <f>I1623</f>
        <v/>
      </c>
      <c r="J1758" s="3294"/>
      <c r="K1758" s="3294"/>
      <c r="L1758" s="3294"/>
      <c r="M1758" s="3294"/>
      <c r="N1758" s="3295"/>
      <c r="O1758" s="485"/>
      <c r="P1758" s="485"/>
      <c r="S1758" s="1435"/>
      <c r="T1758" s="1435"/>
    </row>
    <row r="1759" spans="2:42" ht="5.0999999999999996" customHeight="1">
      <c r="B1759" s="1124"/>
      <c r="C1759" s="980"/>
      <c r="D1759" s="813"/>
      <c r="E1759" s="813"/>
      <c r="F1759" s="813"/>
      <c r="G1759" s="813"/>
      <c r="H1759" s="813"/>
      <c r="I1759" s="813"/>
      <c r="J1759" s="813"/>
      <c r="K1759" s="813"/>
      <c r="L1759" s="813"/>
      <c r="M1759" s="813"/>
      <c r="N1759" s="814"/>
      <c r="O1759" s="485"/>
      <c r="P1759" s="485"/>
      <c r="S1759" s="1435"/>
      <c r="T1759" s="1435"/>
    </row>
    <row r="1760" spans="2:42" ht="30" customHeight="1">
      <c r="B1760" s="479"/>
      <c r="C1760" s="977"/>
      <c r="D1760" s="981"/>
      <c r="E1760" s="2691" t="s">
        <v>2154</v>
      </c>
      <c r="F1760" s="2691"/>
      <c r="G1760" s="2691"/>
      <c r="H1760" s="2691"/>
      <c r="I1760" s="2691"/>
      <c r="J1760" s="2691"/>
      <c r="K1760" s="2691"/>
      <c r="L1760" s="2691"/>
      <c r="M1760" s="2691"/>
      <c r="N1760" s="2692"/>
      <c r="O1760" s="485"/>
      <c r="P1760" s="485"/>
      <c r="Q1760" s="1435"/>
    </row>
    <row r="1761" spans="2:20" ht="30" customHeight="1">
      <c r="B1761" s="479"/>
      <c r="C1761" s="977"/>
      <c r="D1761" s="981"/>
      <c r="E1761" s="2691" t="s">
        <v>1550</v>
      </c>
      <c r="F1761" s="2691"/>
      <c r="G1761" s="2691"/>
      <c r="H1761" s="2691"/>
      <c r="I1761" s="2691"/>
      <c r="J1761" s="2691"/>
      <c r="K1761" s="2691"/>
      <c r="L1761" s="2691"/>
      <c r="M1761" s="2691"/>
      <c r="N1761" s="2650"/>
      <c r="O1761" s="485"/>
      <c r="P1761" s="485"/>
      <c r="Q1761" s="1435"/>
    </row>
    <row r="1762" spans="2:20" ht="12.75" customHeight="1">
      <c r="B1762" s="479"/>
      <c r="C1762" s="977"/>
      <c r="D1762" s="981"/>
      <c r="E1762" s="2691" t="s">
        <v>1549</v>
      </c>
      <c r="F1762" s="2391"/>
      <c r="G1762" s="2391"/>
      <c r="H1762" s="2391"/>
      <c r="I1762" s="2391"/>
      <c r="J1762" s="2391"/>
      <c r="K1762" s="2391"/>
      <c r="L1762" s="2391"/>
      <c r="M1762" s="2391"/>
      <c r="N1762" s="2650"/>
      <c r="O1762" s="485"/>
      <c r="P1762" s="485"/>
      <c r="Q1762" s="1435"/>
    </row>
    <row r="1763" spans="2:20" ht="15" customHeight="1">
      <c r="B1763" s="479"/>
      <c r="C1763" s="977"/>
      <c r="D1763" s="981"/>
      <c r="E1763" s="3269" t="s">
        <v>2215</v>
      </c>
      <c r="F1763" s="3269"/>
      <c r="G1763" s="3269"/>
      <c r="H1763" s="3269"/>
      <c r="I1763" s="3269"/>
      <c r="J1763" s="3269"/>
      <c r="K1763" s="3269"/>
      <c r="L1763" s="3269"/>
      <c r="M1763" s="3269"/>
      <c r="N1763" s="2694"/>
      <c r="O1763" s="485"/>
      <c r="P1763" s="485"/>
      <c r="Q1763" s="1435"/>
    </row>
    <row r="1764" spans="2:20" ht="5.0999999999999996" customHeight="1">
      <c r="B1764" s="1124"/>
      <c r="C1764" s="980"/>
      <c r="D1764" s="813"/>
      <c r="E1764" s="813"/>
      <c r="F1764" s="813"/>
      <c r="G1764" s="813"/>
      <c r="H1764" s="813"/>
      <c r="I1764" s="813"/>
      <c r="J1764" s="813"/>
      <c r="K1764" s="813"/>
      <c r="L1764" s="813"/>
      <c r="M1764" s="813"/>
      <c r="N1764" s="814"/>
      <c r="O1764" s="485"/>
      <c r="P1764" s="485"/>
      <c r="S1764" s="1435"/>
      <c r="T1764" s="1435"/>
    </row>
    <row r="1765" spans="2:20" ht="15" customHeight="1">
      <c r="B1765" s="479"/>
      <c r="C1765" s="977"/>
      <c r="D1765" s="981"/>
      <c r="E1765" s="3291" t="s">
        <v>1475</v>
      </c>
      <c r="F1765" s="3291"/>
      <c r="G1765" s="3291"/>
      <c r="H1765" s="3291"/>
      <c r="I1765" s="3291"/>
      <c r="J1765" s="3291"/>
      <c r="K1765" s="3291"/>
      <c r="L1765" s="3291"/>
      <c r="M1765" s="3291"/>
      <c r="N1765" s="2694"/>
      <c r="O1765" s="485"/>
      <c r="P1765" s="485"/>
      <c r="Q1765" s="1435"/>
    </row>
    <row r="1766" spans="2:20" ht="5.0999999999999996" customHeight="1">
      <c r="B1766" s="1124"/>
      <c r="C1766" s="980"/>
      <c r="D1766" s="813"/>
      <c r="E1766" s="813"/>
      <c r="F1766" s="813"/>
      <c r="G1766" s="813"/>
      <c r="H1766" s="813"/>
      <c r="I1766" s="813"/>
      <c r="J1766" s="813"/>
      <c r="K1766" s="813"/>
      <c r="L1766" s="813"/>
      <c r="M1766" s="813"/>
      <c r="N1766" s="814"/>
      <c r="O1766" s="485"/>
      <c r="P1766" s="485"/>
      <c r="S1766" s="1435"/>
      <c r="T1766" s="1435"/>
    </row>
    <row r="1767" spans="2:20" ht="12.75" customHeight="1">
      <c r="B1767" s="479"/>
      <c r="C1767" s="977"/>
      <c r="D1767" s="982" t="s">
        <v>266</v>
      </c>
      <c r="E1767" s="2671" t="s">
        <v>1617</v>
      </c>
      <c r="F1767" s="2672"/>
      <c r="G1767" s="2672"/>
      <c r="H1767" s="2672"/>
      <c r="I1767" s="2672"/>
      <c r="J1767" s="2672"/>
      <c r="K1767" s="2672"/>
      <c r="L1767" s="2672"/>
      <c r="M1767" s="2672"/>
      <c r="N1767" s="2673"/>
      <c r="O1767" s="485"/>
      <c r="P1767" s="485"/>
      <c r="Q1767" s="1435"/>
      <c r="S1767" s="1435"/>
      <c r="T1767" s="1435"/>
    </row>
    <row r="1768" spans="2:20" ht="12.75" customHeight="1">
      <c r="B1768" s="479"/>
      <c r="C1768" s="977"/>
      <c r="D1768" s="777"/>
      <c r="E1768" s="3292" t="s">
        <v>2295</v>
      </c>
      <c r="F1768" s="2671"/>
      <c r="G1768" s="2671"/>
      <c r="H1768" s="2671"/>
      <c r="I1768" s="2671"/>
      <c r="J1768" s="2671"/>
      <c r="K1768" s="2671"/>
      <c r="L1768" s="2671"/>
      <c r="M1768" s="2671"/>
      <c r="N1768" s="2712"/>
      <c r="O1768" s="485"/>
      <c r="P1768" s="485"/>
      <c r="Q1768" s="1435"/>
      <c r="S1768" s="1435"/>
      <c r="T1768" s="1435"/>
    </row>
    <row r="1769" spans="2:20" ht="12.75" customHeight="1">
      <c r="B1769" s="479"/>
      <c r="C1769" s="977"/>
      <c r="D1769" s="981"/>
      <c r="E1769" s="3288" t="s">
        <v>1618</v>
      </c>
      <c r="F1769" s="3288"/>
      <c r="G1769" s="3288"/>
      <c r="H1769" s="3288"/>
      <c r="I1769" s="3288"/>
      <c r="J1769" s="3288"/>
      <c r="K1769" s="3288"/>
      <c r="L1769" s="3288"/>
      <c r="M1769" s="3288"/>
      <c r="N1769" s="3289"/>
      <c r="O1769" s="485"/>
      <c r="P1769" s="485"/>
      <c r="Q1769" s="1435"/>
      <c r="S1769" s="1435"/>
    </row>
    <row r="1770" spans="2:20" ht="25.5" customHeight="1">
      <c r="B1770" s="479"/>
      <c r="C1770" s="977"/>
      <c r="D1770" s="981"/>
      <c r="E1770" s="985" t="s">
        <v>1021</v>
      </c>
      <c r="F1770" s="3290" t="s">
        <v>1616</v>
      </c>
      <c r="G1770" s="2646"/>
      <c r="H1770" s="2646"/>
      <c r="I1770" s="2646"/>
      <c r="J1770" s="2646"/>
      <c r="K1770" s="2646"/>
      <c r="L1770" s="2646"/>
      <c r="M1770" s="2646"/>
      <c r="N1770" s="2647"/>
      <c r="O1770" s="485"/>
      <c r="P1770" s="485"/>
      <c r="Q1770" s="1435"/>
      <c r="S1770" s="1435"/>
    </row>
    <row r="1771" spans="2:20" ht="38.25" customHeight="1">
      <c r="B1771" s="479"/>
      <c r="C1771" s="977"/>
      <c r="D1771" s="981"/>
      <c r="E1771" s="985"/>
      <c r="F1771" s="3267" t="s">
        <v>1615</v>
      </c>
      <c r="G1771" s="2380"/>
      <c r="H1771" s="2380"/>
      <c r="I1771" s="2380"/>
      <c r="J1771" s="2380"/>
      <c r="K1771" s="2380"/>
      <c r="L1771" s="2380"/>
      <c r="M1771" s="2380"/>
      <c r="N1771" s="3268"/>
      <c r="O1771" s="485"/>
      <c r="P1771" s="485"/>
      <c r="Q1771" s="1435"/>
      <c r="S1771" s="1435"/>
    </row>
    <row r="1772" spans="2:20" ht="12.75" customHeight="1">
      <c r="B1772" s="479"/>
      <c r="C1772" s="977"/>
      <c r="D1772" s="981"/>
      <c r="E1772" s="985" t="s">
        <v>1021</v>
      </c>
      <c r="F1772" s="3290" t="s">
        <v>1278</v>
      </c>
      <c r="G1772" s="2646"/>
      <c r="H1772" s="2646"/>
      <c r="I1772" s="2646"/>
      <c r="J1772" s="2646"/>
      <c r="K1772" s="2646"/>
      <c r="L1772" s="2646"/>
      <c r="M1772" s="2646"/>
      <c r="N1772" s="2647"/>
      <c r="O1772" s="485"/>
      <c r="P1772" s="485"/>
      <c r="Q1772" s="1435"/>
      <c r="S1772" s="1435"/>
    </row>
    <row r="1773" spans="2:20" ht="38.85" customHeight="1">
      <c r="B1773" s="479"/>
      <c r="C1773" s="977"/>
      <c r="D1773" s="981"/>
      <c r="E1773" s="985"/>
      <c r="F1773" s="3290" t="s">
        <v>1620</v>
      </c>
      <c r="G1773" s="2646"/>
      <c r="H1773" s="2646"/>
      <c r="I1773" s="2646"/>
      <c r="J1773" s="2646"/>
      <c r="K1773" s="2646"/>
      <c r="L1773" s="2646"/>
      <c r="M1773" s="2646"/>
      <c r="N1773" s="2647"/>
      <c r="O1773" s="485"/>
      <c r="P1773" s="485"/>
      <c r="Q1773" s="1435"/>
      <c r="S1773" s="1435"/>
    </row>
    <row r="1774" spans="2:20" ht="25.5" customHeight="1">
      <c r="B1774" s="479"/>
      <c r="C1774" s="977"/>
      <c r="D1774" s="981"/>
      <c r="E1774" s="985"/>
      <c r="F1774" s="3290" t="s">
        <v>1619</v>
      </c>
      <c r="G1774" s="2646"/>
      <c r="H1774" s="2646"/>
      <c r="I1774" s="2646"/>
      <c r="J1774" s="2646"/>
      <c r="K1774" s="2646"/>
      <c r="L1774" s="2646"/>
      <c r="M1774" s="2646"/>
      <c r="N1774" s="2647"/>
      <c r="O1774" s="485"/>
      <c r="P1774" s="485"/>
      <c r="Q1774" s="1435"/>
      <c r="S1774" s="1435"/>
    </row>
    <row r="1775" spans="2:20" ht="25.5" customHeight="1">
      <c r="B1775" s="479"/>
      <c r="C1775" s="977"/>
      <c r="D1775" s="981"/>
      <c r="E1775" s="985" t="s">
        <v>1021</v>
      </c>
      <c r="F1775" s="3290" t="s">
        <v>1542</v>
      </c>
      <c r="G1775" s="2646"/>
      <c r="H1775" s="2646"/>
      <c r="I1775" s="2646"/>
      <c r="J1775" s="2646"/>
      <c r="K1775" s="2646"/>
      <c r="L1775" s="2646"/>
      <c r="M1775" s="2646"/>
      <c r="N1775" s="2647"/>
      <c r="O1775" s="485"/>
      <c r="P1775" s="485"/>
      <c r="Q1775" s="1435"/>
      <c r="S1775" s="1435"/>
    </row>
    <row r="1776" spans="2:20" ht="25.5" customHeight="1" thickBot="1">
      <c r="B1776" s="479"/>
      <c r="C1776" s="977"/>
      <c r="D1776" s="981"/>
      <c r="E1776" s="985" t="s">
        <v>1021</v>
      </c>
      <c r="F1776" s="3290" t="s">
        <v>1458</v>
      </c>
      <c r="G1776" s="2646"/>
      <c r="H1776" s="2646"/>
      <c r="I1776" s="2646"/>
      <c r="J1776" s="2646"/>
      <c r="K1776" s="2646"/>
      <c r="L1776" s="2646"/>
      <c r="M1776" s="2646"/>
      <c r="N1776" s="2647"/>
      <c r="O1776" s="485"/>
      <c r="P1776" s="485"/>
      <c r="Q1776" s="1435"/>
      <c r="S1776" s="1435"/>
    </row>
    <row r="1777" spans="2:37" ht="12.75" customHeight="1" thickBot="1">
      <c r="B1777" s="479"/>
      <c r="C1777" s="977"/>
      <c r="D1777" s="982"/>
      <c r="E1777" s="2648" t="s">
        <v>1612</v>
      </c>
      <c r="F1777" s="2648"/>
      <c r="G1777" s="987" t="str">
        <f>EUconst_Unit</f>
        <v>Unit</v>
      </c>
      <c r="H1777" s="782">
        <f t="shared" ref="H1777:N1777" si="808">H$3242</f>
        <v>2024</v>
      </c>
      <c r="I1777" s="988">
        <f t="shared" si="808"/>
        <v>2025</v>
      </c>
      <c r="J1777" s="1810">
        <f t="shared" si="808"/>
        <v>2026</v>
      </c>
      <c r="K1777" s="1747">
        <f t="shared" si="808"/>
        <v>2027</v>
      </c>
      <c r="L1777" s="1747">
        <f t="shared" si="808"/>
        <v>2028</v>
      </c>
      <c r="M1777" s="1747">
        <f t="shared" si="808"/>
        <v>2029</v>
      </c>
      <c r="N1777" s="1748">
        <f t="shared" si="808"/>
        <v>2030</v>
      </c>
      <c r="O1777" s="485"/>
      <c r="P1777" s="485"/>
      <c r="Q1777" s="1435"/>
      <c r="S1777" s="1648"/>
      <c r="T1777" s="1749">
        <f t="shared" ref="T1777:Z1777" si="809">H1777</f>
        <v>2024</v>
      </c>
      <c r="U1777" s="1749">
        <f t="shared" si="809"/>
        <v>2025</v>
      </c>
      <c r="V1777" s="1749">
        <f t="shared" si="809"/>
        <v>2026</v>
      </c>
      <c r="W1777" s="1749">
        <f t="shared" si="809"/>
        <v>2027</v>
      </c>
      <c r="X1777" s="1749">
        <f t="shared" si="809"/>
        <v>2028</v>
      </c>
      <c r="Y1777" s="1749">
        <f t="shared" si="809"/>
        <v>2029</v>
      </c>
      <c r="Z1777" s="1750">
        <f t="shared" si="809"/>
        <v>2030</v>
      </c>
      <c r="AC1777" s="1638">
        <f t="shared" ref="AC1777:AI1777" si="810">H$20</f>
        <v>2024</v>
      </c>
      <c r="AD1777" s="1638">
        <f t="shared" si="810"/>
        <v>2025</v>
      </c>
      <c r="AE1777" s="1638">
        <f t="shared" si="810"/>
        <v>2026</v>
      </c>
      <c r="AF1777" s="1638">
        <f t="shared" si="810"/>
        <v>2027</v>
      </c>
      <c r="AG1777" s="1638">
        <f t="shared" si="810"/>
        <v>2028</v>
      </c>
      <c r="AH1777" s="1638">
        <f t="shared" si="810"/>
        <v>2029</v>
      </c>
      <c r="AI1777" s="1638">
        <f t="shared" si="810"/>
        <v>2030</v>
      </c>
    </row>
    <row r="1778" spans="2:37" ht="12.75" customHeight="1" thickBot="1">
      <c r="B1778" s="479"/>
      <c r="C1778" s="977"/>
      <c r="D1778" s="981"/>
      <c r="E1778" s="3285" t="str">
        <f>I1623</f>
        <v/>
      </c>
      <c r="F1778" s="2410"/>
      <c r="G1778" s="815" t="str">
        <f>EUconst_tCO2epa</f>
        <v>t CO2e/year</v>
      </c>
      <c r="H1778" s="1479" t="str">
        <f>c_ALR2025!M4364</f>
        <v/>
      </c>
      <c r="I1778" s="1532"/>
      <c r="J1778" s="1811"/>
      <c r="K1778" s="1751"/>
      <c r="L1778" s="1751"/>
      <c r="M1778" s="1751"/>
      <c r="N1778" s="1752"/>
      <c r="O1778" s="485"/>
      <c r="P1778" s="9">
        <v>0</v>
      </c>
      <c r="Q1778" s="1644" t="str">
        <f>EUconst_CNTR_Emissions &amp; I1623</f>
        <v>DirEmissions_</v>
      </c>
      <c r="S1778" s="1753" t="str">
        <f>EUconst_CNTR_AttributedEmissions &amp; I1623</f>
        <v>AttrEmissions_</v>
      </c>
      <c r="T1778" s="1743" t="str">
        <f t="shared" ref="T1778:Z1778" si="811">IF(T1631,SUM(H1778),"")</f>
        <v/>
      </c>
      <c r="U1778" s="1743" t="str">
        <f t="shared" si="811"/>
        <v/>
      </c>
      <c r="V1778" s="1743" t="str">
        <f t="shared" si="811"/>
        <v/>
      </c>
      <c r="W1778" s="1743" t="str">
        <f t="shared" si="811"/>
        <v/>
      </c>
      <c r="X1778" s="1743" t="str">
        <f t="shared" si="811"/>
        <v/>
      </c>
      <c r="Y1778" s="1743" t="str">
        <f t="shared" si="811"/>
        <v/>
      </c>
      <c r="Z1778" s="1744" t="str">
        <f t="shared" si="811"/>
        <v/>
      </c>
      <c r="AB1778" s="1641" t="s">
        <v>717</v>
      </c>
      <c r="AC1778" s="1443" t="b">
        <f t="shared" ref="AC1778:AI1778" si="812">AC1693</f>
        <v>0</v>
      </c>
      <c r="AD1778" s="1443" t="b">
        <f t="shared" si="812"/>
        <v>0</v>
      </c>
      <c r="AE1778" s="1443" t="b">
        <f t="shared" si="812"/>
        <v>0</v>
      </c>
      <c r="AF1778" s="1443" t="b">
        <f t="shared" si="812"/>
        <v>0</v>
      </c>
      <c r="AG1778" s="1443" t="b">
        <f t="shared" si="812"/>
        <v>0</v>
      </c>
      <c r="AH1778" s="1443" t="b">
        <f t="shared" si="812"/>
        <v>0</v>
      </c>
      <c r="AI1778" s="1443" t="b">
        <f t="shared" si="812"/>
        <v>0</v>
      </c>
      <c r="AJ1778" s="1633" t="s">
        <v>1954</v>
      </c>
      <c r="AK1778" s="1635" t="str">
        <f>IF(AND(CNTR_ExistSubInstEntries,MSconst_RequireSubAttrEmissions,COUNTIFS(AC1778:AI1778,FALSE,H1778:N1778,"")&gt;0),EUconst_Error&amp;"BM"&amp;$Q1623,"")</f>
        <v/>
      </c>
    </row>
    <row r="1779" spans="2:37" ht="12.75" customHeight="1">
      <c r="B1779" s="479"/>
      <c r="C1779" s="977"/>
      <c r="D1779" s="981"/>
      <c r="E1779" s="981"/>
      <c r="F1779" s="981"/>
      <c r="G1779" s="981"/>
      <c r="H1779" s="981"/>
      <c r="I1779" s="981"/>
      <c r="J1779" s="981"/>
      <c r="K1779" s="981"/>
      <c r="L1779" s="981"/>
      <c r="M1779" s="813"/>
      <c r="N1779" s="814"/>
      <c r="O1779" s="485"/>
      <c r="P1779" s="485"/>
      <c r="Q1779" s="1435"/>
      <c r="S1779" s="1435"/>
    </row>
    <row r="1780" spans="2:37" ht="12.75" customHeight="1">
      <c r="B1780" s="479"/>
      <c r="C1780" s="977"/>
      <c r="D1780" s="982" t="s">
        <v>269</v>
      </c>
      <c r="E1780" s="2649" t="s">
        <v>1189</v>
      </c>
      <c r="F1780" s="2391"/>
      <c r="G1780" s="2391"/>
      <c r="H1780" s="2391"/>
      <c r="I1780" s="2391"/>
      <c r="J1780" s="2391"/>
      <c r="K1780" s="2391"/>
      <c r="L1780" s="2391"/>
      <c r="M1780" s="2391"/>
      <c r="N1780" s="2650"/>
      <c r="O1780" s="485"/>
      <c r="P1780" s="485"/>
      <c r="Q1780" s="1435"/>
      <c r="R1780" s="1435"/>
      <c r="S1780" s="1435"/>
    </row>
    <row r="1781" spans="2:37" ht="25.5" customHeight="1">
      <c r="B1781" s="479"/>
      <c r="C1781" s="977"/>
      <c r="D1781" s="981"/>
      <c r="E1781" s="3288" t="s">
        <v>1605</v>
      </c>
      <c r="F1781" s="3288"/>
      <c r="G1781" s="3288"/>
      <c r="H1781" s="3288"/>
      <c r="I1781" s="3288"/>
      <c r="J1781" s="3288"/>
      <c r="K1781" s="3288"/>
      <c r="L1781" s="3288"/>
      <c r="M1781" s="3288"/>
      <c r="N1781" s="3289"/>
      <c r="O1781" s="485"/>
      <c r="P1781" s="485"/>
      <c r="Q1781" s="1435"/>
      <c r="R1781" s="1435"/>
      <c r="S1781" s="1435"/>
    </row>
    <row r="1782" spans="2:37" ht="25.5" customHeight="1">
      <c r="B1782" s="479"/>
      <c r="C1782" s="977"/>
      <c r="D1782" s="981"/>
      <c r="E1782" s="3288" t="s">
        <v>1357</v>
      </c>
      <c r="F1782" s="3288"/>
      <c r="G1782" s="3288"/>
      <c r="H1782" s="3288"/>
      <c r="I1782" s="3288"/>
      <c r="J1782" s="3288"/>
      <c r="K1782" s="3288"/>
      <c r="L1782" s="3288"/>
      <c r="M1782" s="3288"/>
      <c r="N1782" s="3289"/>
      <c r="O1782" s="485"/>
      <c r="P1782" s="485"/>
      <c r="Q1782" s="1435"/>
      <c r="S1782" s="1435"/>
    </row>
    <row r="1783" spans="2:37" ht="12.75" customHeight="1">
      <c r="B1783" s="479"/>
      <c r="C1783" s="977"/>
      <c r="D1783" s="981"/>
      <c r="E1783" s="3288" t="s">
        <v>1594</v>
      </c>
      <c r="F1783" s="3288"/>
      <c r="G1783" s="3288"/>
      <c r="H1783" s="3288"/>
      <c r="I1783" s="3288"/>
      <c r="J1783" s="3288"/>
      <c r="K1783" s="3288"/>
      <c r="L1783" s="3288"/>
      <c r="M1783" s="3288"/>
      <c r="N1783" s="3289"/>
      <c r="O1783" s="485"/>
      <c r="P1783" s="485"/>
      <c r="Q1783" s="1435"/>
      <c r="S1783" s="1435"/>
    </row>
    <row r="1784" spans="2:37" ht="12.75" customHeight="1">
      <c r="B1784" s="479"/>
      <c r="C1784" s="977"/>
      <c r="D1784" s="981"/>
      <c r="E1784" s="3272" t="s">
        <v>1557</v>
      </c>
      <c r="F1784" s="2380"/>
      <c r="G1784" s="2380"/>
      <c r="H1784" s="2380"/>
      <c r="I1784" s="2380"/>
      <c r="J1784" s="2380"/>
      <c r="K1784" s="2380"/>
      <c r="L1784" s="2380"/>
      <c r="M1784" s="2380"/>
      <c r="N1784" s="3268"/>
      <c r="O1784" s="485"/>
      <c r="P1784" s="485"/>
      <c r="Q1784" s="1435"/>
      <c r="S1784" s="1435"/>
    </row>
    <row r="1785" spans="2:37" ht="12.75" customHeight="1" thickBot="1">
      <c r="B1785" s="479"/>
      <c r="C1785" s="977"/>
      <c r="D1785" s="982"/>
      <c r="E1785" s="989"/>
      <c r="F1785" s="990"/>
      <c r="G1785" s="987" t="str">
        <f>EUconst_Unit</f>
        <v>Unit</v>
      </c>
      <c r="H1785" s="782">
        <f t="shared" ref="H1785:N1785" si="813">H$3242</f>
        <v>2024</v>
      </c>
      <c r="I1785" s="988">
        <f t="shared" si="813"/>
        <v>2025</v>
      </c>
      <c r="J1785" s="1810">
        <f t="shared" si="813"/>
        <v>2026</v>
      </c>
      <c r="K1785" s="1747">
        <f t="shared" si="813"/>
        <v>2027</v>
      </c>
      <c r="L1785" s="1747">
        <f t="shared" si="813"/>
        <v>2028</v>
      </c>
      <c r="M1785" s="1747">
        <f t="shared" si="813"/>
        <v>2029</v>
      </c>
      <c r="N1785" s="1748">
        <f t="shared" si="813"/>
        <v>2030</v>
      </c>
      <c r="O1785" s="485"/>
      <c r="P1785" s="485"/>
      <c r="Q1785" s="1435"/>
      <c r="S1785" s="1435"/>
      <c r="AC1785" s="1638">
        <f t="shared" ref="AC1785:AI1785" si="814">H$20</f>
        <v>2024</v>
      </c>
      <c r="AD1785" s="1638">
        <f t="shared" si="814"/>
        <v>2025</v>
      </c>
      <c r="AE1785" s="1638">
        <f t="shared" si="814"/>
        <v>2026</v>
      </c>
      <c r="AF1785" s="1638">
        <f t="shared" si="814"/>
        <v>2027</v>
      </c>
      <c r="AG1785" s="1638">
        <f t="shared" si="814"/>
        <v>2028</v>
      </c>
      <c r="AH1785" s="1638">
        <f t="shared" si="814"/>
        <v>2029</v>
      </c>
      <c r="AI1785" s="1638">
        <f t="shared" si="814"/>
        <v>2030</v>
      </c>
    </row>
    <row r="1786" spans="2:37" ht="12.75" customHeight="1">
      <c r="B1786" s="479"/>
      <c r="C1786" s="977"/>
      <c r="D1786" s="777" t="s">
        <v>6</v>
      </c>
      <c r="E1786" s="2475" t="s">
        <v>1344</v>
      </c>
      <c r="F1786" s="2410"/>
      <c r="G1786" s="815" t="str">
        <f>EUconst_TJpa</f>
        <v>TJ / year</v>
      </c>
      <c r="H1786" s="1479" t="str">
        <f>c_ALR2025!M4372</f>
        <v/>
      </c>
      <c r="I1786" s="1532"/>
      <c r="J1786" s="1811"/>
      <c r="K1786" s="1751"/>
      <c r="L1786" s="1751"/>
      <c r="M1786" s="1751"/>
      <c r="N1786" s="1752"/>
      <c r="O1786" s="485"/>
      <c r="P1786" s="9">
        <v>0</v>
      </c>
      <c r="Q1786" s="1644" t="str">
        <f>EUconst_CNTR_FuelInput &amp; I1623</f>
        <v>FuelInput_</v>
      </c>
      <c r="S1786" s="1435"/>
      <c r="AB1786" s="1641" t="s">
        <v>717</v>
      </c>
      <c r="AC1786" s="1443" t="b">
        <f t="shared" ref="AC1786:AI1786" si="815">AC1693</f>
        <v>0</v>
      </c>
      <c r="AD1786" s="1443" t="b">
        <f t="shared" si="815"/>
        <v>0</v>
      </c>
      <c r="AE1786" s="1443" t="b">
        <f t="shared" si="815"/>
        <v>0</v>
      </c>
      <c r="AF1786" s="1443" t="b">
        <f t="shared" si="815"/>
        <v>0</v>
      </c>
      <c r="AG1786" s="1443" t="b">
        <f t="shared" si="815"/>
        <v>0</v>
      </c>
      <c r="AH1786" s="1443" t="b">
        <f t="shared" si="815"/>
        <v>0</v>
      </c>
      <c r="AI1786" s="1443" t="b">
        <f t="shared" si="815"/>
        <v>0</v>
      </c>
      <c r="AJ1786" s="1633" t="s">
        <v>1954</v>
      </c>
      <c r="AK1786" s="1635" t="str">
        <f>IF(AND(CNTR_ExistSubInstEntries,MSconst_RequireSubAttrEmissions,COUNTIFS(AC1786:AI1786,FALSE,H1786:N1786,"")&gt;0),EUconst_Error&amp;"BM"&amp;$Q1623,"")</f>
        <v/>
      </c>
    </row>
    <row r="1787" spans="2:37" ht="12.75" customHeight="1">
      <c r="B1787" s="479"/>
      <c r="C1787" s="977"/>
      <c r="D1787" s="777" t="s">
        <v>7</v>
      </c>
      <c r="E1787" s="2475" t="s">
        <v>1182</v>
      </c>
      <c r="F1787" s="2410"/>
      <c r="G1787" s="991" t="str">
        <f>EUconst_tCO2pTJ</f>
        <v>t CO2 / TJ</v>
      </c>
      <c r="H1787" s="1582" t="str">
        <f>c_ALR2025!M4373</f>
        <v/>
      </c>
      <c r="I1787" s="1882"/>
      <c r="J1787" s="1811"/>
      <c r="K1787" s="1751"/>
      <c r="L1787" s="1751"/>
      <c r="M1787" s="1751"/>
      <c r="N1787" s="1752"/>
      <c r="O1787" s="485"/>
      <c r="P1787" s="9">
        <v>0</v>
      </c>
      <c r="Q1787" s="1644" t="str">
        <f>EUconst_CNTR_FuelEF &amp; I1623</f>
        <v>FuelEF_</v>
      </c>
      <c r="S1787" s="1435"/>
      <c r="AC1787" s="1443" t="b">
        <f>AC1786</f>
        <v>0</v>
      </c>
      <c r="AD1787" s="1443" t="b">
        <f t="shared" ref="AD1787:AI1787" si="816">AD1786</f>
        <v>0</v>
      </c>
      <c r="AE1787" s="1443" t="b">
        <f t="shared" si="816"/>
        <v>0</v>
      </c>
      <c r="AF1787" s="1443" t="b">
        <f t="shared" si="816"/>
        <v>0</v>
      </c>
      <c r="AG1787" s="1443" t="b">
        <f t="shared" si="816"/>
        <v>0</v>
      </c>
      <c r="AH1787" s="1443" t="b">
        <f t="shared" si="816"/>
        <v>0</v>
      </c>
      <c r="AI1787" s="1443" t="b">
        <f t="shared" si="816"/>
        <v>0</v>
      </c>
      <c r="AJ1787" s="1633" t="s">
        <v>1954</v>
      </c>
      <c r="AK1787" s="1635" t="str">
        <f>IF(AND(CNTR_ExistSubInstEntries,MSconst_RequireSubAttrEmissions,COUNTIFS(AC1787:AI1787,FALSE,H1787:N1787,"")&gt;0),EUconst_Error&amp;"BM"&amp;$Q1623,"")</f>
        <v/>
      </c>
    </row>
    <row r="1788" spans="2:37" ht="12.75" customHeight="1">
      <c r="B1788" s="479"/>
      <c r="C1788" s="977"/>
      <c r="D1788" s="981"/>
      <c r="E1788" s="981"/>
      <c r="F1788" s="981"/>
      <c r="G1788" s="981"/>
      <c r="H1788" s="981"/>
      <c r="I1788" s="981"/>
      <c r="J1788" s="981"/>
      <c r="K1788" s="981"/>
      <c r="L1788" s="981"/>
      <c r="M1788" s="813"/>
      <c r="N1788" s="814"/>
      <c r="O1788" s="485"/>
      <c r="P1788" s="485"/>
      <c r="Q1788" s="1435"/>
      <c r="S1788" s="1435"/>
    </row>
    <row r="1789" spans="2:37" ht="12.75" customHeight="1">
      <c r="B1789" s="479"/>
      <c r="C1789" s="977"/>
      <c r="D1789" s="982" t="s">
        <v>271</v>
      </c>
      <c r="E1789" s="2649" t="s">
        <v>1416</v>
      </c>
      <c r="F1789" s="2391"/>
      <c r="G1789" s="2391"/>
      <c r="H1789" s="2391"/>
      <c r="I1789" s="2391"/>
      <c r="J1789" s="2391"/>
      <c r="K1789" s="2391"/>
      <c r="L1789" s="2391"/>
      <c r="M1789" s="2391"/>
      <c r="N1789" s="2650"/>
      <c r="O1789" s="485"/>
      <c r="P1789" s="485"/>
      <c r="Q1789" s="1435"/>
      <c r="R1789" s="1435"/>
      <c r="S1789" s="1435"/>
    </row>
    <row r="1790" spans="2:37" ht="12.75" customHeight="1">
      <c r="B1790" s="479"/>
      <c r="C1790" s="977"/>
      <c r="D1790" s="777"/>
      <c r="E1790" s="3272" t="s">
        <v>2295</v>
      </c>
      <c r="F1790" s="2380"/>
      <c r="G1790" s="2380"/>
      <c r="H1790" s="2380"/>
      <c r="I1790" s="2380"/>
      <c r="J1790" s="2380"/>
      <c r="K1790" s="2380"/>
      <c r="L1790" s="2380"/>
      <c r="M1790" s="2380"/>
      <c r="N1790" s="3268"/>
      <c r="O1790" s="485"/>
      <c r="P1790" s="485"/>
      <c r="Q1790" s="1435"/>
      <c r="S1790" s="1435"/>
      <c r="T1790" s="1435"/>
      <c r="U1790" s="1435"/>
      <c r="V1790" s="1435"/>
    </row>
    <row r="1791" spans="2:37" ht="25.5" customHeight="1">
      <c r="B1791" s="479"/>
      <c r="C1791" s="977"/>
      <c r="D1791" s="981"/>
      <c r="E1791" s="3272" t="s">
        <v>1551</v>
      </c>
      <c r="F1791" s="2380"/>
      <c r="G1791" s="2380"/>
      <c r="H1791" s="2380"/>
      <c r="I1791" s="2380"/>
      <c r="J1791" s="2380"/>
      <c r="K1791" s="2380"/>
      <c r="L1791" s="2380"/>
      <c r="M1791" s="2380"/>
      <c r="N1791" s="3268"/>
      <c r="O1791" s="485"/>
      <c r="P1791" s="485"/>
      <c r="Q1791" s="1435"/>
      <c r="R1791" s="1435"/>
      <c r="S1791" s="1435"/>
    </row>
    <row r="1792" spans="2:37" ht="12.75" customHeight="1">
      <c r="B1792" s="479"/>
      <c r="C1792" s="977"/>
      <c r="D1792" s="981"/>
      <c r="E1792" s="3267" t="s">
        <v>1552</v>
      </c>
      <c r="F1792" s="2380"/>
      <c r="G1792" s="2380"/>
      <c r="H1792" s="2380"/>
      <c r="I1792" s="2380"/>
      <c r="J1792" s="2380"/>
      <c r="K1792" s="2380"/>
      <c r="L1792" s="2380"/>
      <c r="M1792" s="2380"/>
      <c r="N1792" s="3268"/>
      <c r="O1792" s="485"/>
      <c r="P1792" s="485"/>
      <c r="Q1792" s="1435"/>
      <c r="R1792" s="1435"/>
      <c r="S1792" s="1435"/>
    </row>
    <row r="1793" spans="2:37" ht="38.85" customHeight="1">
      <c r="B1793" s="479"/>
      <c r="C1793" s="977"/>
      <c r="D1793" s="981"/>
      <c r="E1793" s="3267" t="s">
        <v>1553</v>
      </c>
      <c r="F1793" s="2380"/>
      <c r="G1793" s="2380"/>
      <c r="H1793" s="2380"/>
      <c r="I1793" s="2380"/>
      <c r="J1793" s="2380"/>
      <c r="K1793" s="2380"/>
      <c r="L1793" s="2380"/>
      <c r="M1793" s="2380"/>
      <c r="N1793" s="3268"/>
      <c r="O1793" s="485"/>
      <c r="P1793" s="485"/>
      <c r="Q1793" s="1435"/>
      <c r="S1793" s="1435"/>
    </row>
    <row r="1794" spans="2:37" ht="51" customHeight="1">
      <c r="B1794" s="479"/>
      <c r="C1794" s="977"/>
      <c r="D1794" s="981"/>
      <c r="E1794" s="3267" t="s">
        <v>1567</v>
      </c>
      <c r="F1794" s="2380"/>
      <c r="G1794" s="2380"/>
      <c r="H1794" s="2380"/>
      <c r="I1794" s="2380"/>
      <c r="J1794" s="2380"/>
      <c r="K1794" s="2380"/>
      <c r="L1794" s="2380"/>
      <c r="M1794" s="2380"/>
      <c r="N1794" s="3268"/>
      <c r="O1794" s="485"/>
      <c r="P1794" s="485"/>
      <c r="Q1794" s="1435"/>
      <c r="S1794" s="1435"/>
    </row>
    <row r="1795" spans="2:37" ht="25.5" customHeight="1">
      <c r="B1795" s="479"/>
      <c r="C1795" s="977"/>
      <c r="D1795" s="981"/>
      <c r="E1795" s="3267" t="s">
        <v>1565</v>
      </c>
      <c r="F1795" s="2380"/>
      <c r="G1795" s="2380"/>
      <c r="H1795" s="2380"/>
      <c r="I1795" s="2380"/>
      <c r="J1795" s="2380"/>
      <c r="K1795" s="2380"/>
      <c r="L1795" s="2380"/>
      <c r="M1795" s="2380"/>
      <c r="N1795" s="3268"/>
      <c r="O1795" s="485"/>
      <c r="P1795" s="485"/>
      <c r="Q1795" s="1435"/>
      <c r="S1795" s="1435"/>
    </row>
    <row r="1796" spans="2:37" ht="12.75" customHeight="1">
      <c r="B1796" s="479"/>
      <c r="C1796" s="977"/>
      <c r="D1796" s="777" t="s">
        <v>6</v>
      </c>
      <c r="E1796" s="2682" t="s">
        <v>1456</v>
      </c>
      <c r="F1796" s="2391"/>
      <c r="G1796" s="2391"/>
      <c r="H1796" s="2391"/>
      <c r="I1796" s="2391"/>
      <c r="J1796" s="2391"/>
      <c r="K1796" s="2512"/>
      <c r="L1796" s="1478" t="str">
        <f>c_ALR2025!L4382</f>
        <v/>
      </c>
      <c r="M1796" s="978"/>
      <c r="N1796" s="979"/>
      <c r="O1796" s="485"/>
      <c r="P1796" s="9">
        <v>0</v>
      </c>
      <c r="Q1796" s="1435"/>
      <c r="S1796" s="1435"/>
      <c r="AF1796" s="1641" t="s">
        <v>717</v>
      </c>
      <c r="AG1796" s="1423" t="b">
        <f>AND(CNTR_ExistSubInstEntries,I1623="")</f>
        <v>0</v>
      </c>
    </row>
    <row r="1797" spans="2:37" ht="12.75" customHeight="1">
      <c r="B1797" s="479"/>
      <c r="C1797" s="977"/>
      <c r="D1797" s="981"/>
      <c r="E1797" s="3267" t="s">
        <v>1216</v>
      </c>
      <c r="F1797" s="2380"/>
      <c r="G1797" s="2380"/>
      <c r="H1797" s="2380"/>
      <c r="I1797" s="2380"/>
      <c r="J1797" s="2380"/>
      <c r="K1797" s="2380"/>
      <c r="L1797" s="2380"/>
      <c r="M1797" s="2380"/>
      <c r="N1797" s="3268"/>
      <c r="O1797" s="485"/>
      <c r="P1797" s="485"/>
      <c r="Q1797" s="1435"/>
      <c r="S1797" s="1435"/>
    </row>
    <row r="1798" spans="2:37" ht="12.75" customHeight="1">
      <c r="B1798" s="479"/>
      <c r="C1798" s="977"/>
      <c r="D1798" s="777" t="s">
        <v>7</v>
      </c>
      <c r="E1798" s="2649" t="s">
        <v>1214</v>
      </c>
      <c r="F1798" s="2391"/>
      <c r="G1798" s="2391"/>
      <c r="H1798" s="2512"/>
      <c r="I1798" s="3211" t="str">
        <f>c_ALR2025!I4384</f>
        <v/>
      </c>
      <c r="J1798" s="3286"/>
      <c r="K1798" s="3286"/>
      <c r="L1798" s="3286"/>
      <c r="M1798" s="3287"/>
      <c r="N1798" s="992"/>
      <c r="O1798" s="485"/>
      <c r="P1798" s="9">
        <v>0</v>
      </c>
      <c r="Q1798" s="1435"/>
      <c r="S1798" s="1435"/>
      <c r="AC1798" s="1641" t="s">
        <v>717</v>
      </c>
      <c r="AD1798" s="1423" t="b">
        <f>OR(AG1796,AND($L1796&lt;&gt;"",$L1796=FALSE))</f>
        <v>0</v>
      </c>
    </row>
    <row r="1799" spans="2:37" ht="5.0999999999999996" customHeight="1">
      <c r="B1799" s="479"/>
      <c r="C1799" s="977"/>
      <c r="D1799" s="981"/>
      <c r="E1799" s="986"/>
      <c r="F1799" s="978"/>
      <c r="G1799" s="978"/>
      <c r="H1799" s="978"/>
      <c r="I1799" s="978"/>
      <c r="J1799" s="978"/>
      <c r="K1799" s="978"/>
      <c r="L1799" s="978"/>
      <c r="M1799" s="978"/>
      <c r="N1799" s="979"/>
      <c r="O1799" s="485"/>
      <c r="P1799" s="485"/>
      <c r="Q1799" s="1435"/>
      <c r="S1799" s="1435"/>
    </row>
    <row r="1800" spans="2:37" ht="12.75" customHeight="1" thickBot="1">
      <c r="B1800" s="479"/>
      <c r="C1800" s="977"/>
      <c r="D1800" s="981"/>
      <c r="E1800" s="2648" t="s">
        <v>1154</v>
      </c>
      <c r="F1800" s="2493"/>
      <c r="G1800" s="987" t="str">
        <f>EUconst_Unit</f>
        <v>Unit</v>
      </c>
      <c r="H1800" s="782">
        <f t="shared" ref="H1800:N1800" si="817">H$3242</f>
        <v>2024</v>
      </c>
      <c r="I1800" s="988">
        <f t="shared" si="817"/>
        <v>2025</v>
      </c>
      <c r="J1800" s="1810">
        <f t="shared" si="817"/>
        <v>2026</v>
      </c>
      <c r="K1800" s="1747">
        <f t="shared" si="817"/>
        <v>2027</v>
      </c>
      <c r="L1800" s="1747">
        <f t="shared" si="817"/>
        <v>2028</v>
      </c>
      <c r="M1800" s="1747">
        <f t="shared" si="817"/>
        <v>2029</v>
      </c>
      <c r="N1800" s="1748">
        <f t="shared" si="817"/>
        <v>2030</v>
      </c>
      <c r="O1800" s="485"/>
      <c r="P1800" s="485"/>
      <c r="Q1800" s="1435"/>
      <c r="S1800" s="1435"/>
      <c r="AC1800" s="1638">
        <f t="shared" ref="AC1800:AI1800" si="818">H$20</f>
        <v>2024</v>
      </c>
      <c r="AD1800" s="1638">
        <f t="shared" si="818"/>
        <v>2025</v>
      </c>
      <c r="AE1800" s="1638">
        <f t="shared" si="818"/>
        <v>2026</v>
      </c>
      <c r="AF1800" s="1638">
        <f t="shared" si="818"/>
        <v>2027</v>
      </c>
      <c r="AG1800" s="1638">
        <f t="shared" si="818"/>
        <v>2028</v>
      </c>
      <c r="AH1800" s="1638">
        <f t="shared" si="818"/>
        <v>2029</v>
      </c>
      <c r="AI1800" s="1638">
        <f t="shared" si="818"/>
        <v>2030</v>
      </c>
    </row>
    <row r="1801" spans="2:37" ht="12.75" customHeight="1">
      <c r="B1801" s="479"/>
      <c r="C1801" s="977"/>
      <c r="D1801" s="777" t="s">
        <v>8</v>
      </c>
      <c r="E1801" s="2471" t="s">
        <v>1153</v>
      </c>
      <c r="F1801" s="2472"/>
      <c r="G1801" s="811" t="str">
        <f>EUconst_tpa</f>
        <v>t / year</v>
      </c>
      <c r="H1801" s="1552" t="str">
        <f>c_ALR2025!M4387</f>
        <v/>
      </c>
      <c r="I1801" s="1611"/>
      <c r="J1801" s="1811"/>
      <c r="K1801" s="1751"/>
      <c r="L1801" s="1751"/>
      <c r="M1801" s="1751"/>
      <c r="N1801" s="1752"/>
      <c r="O1801" s="485"/>
      <c r="P1801" s="9">
        <v>0</v>
      </c>
      <c r="Q1801" s="1435"/>
      <c r="S1801" s="1435"/>
      <c r="AB1801" s="1641" t="s">
        <v>717</v>
      </c>
      <c r="AC1801" s="1423" t="b">
        <f t="shared" ref="AC1801:AI1801" si="819">OR(AND($L1796&lt;&gt;"",$L1796=FALSE),AC1693)</f>
        <v>0</v>
      </c>
      <c r="AD1801" s="1443" t="b">
        <f t="shared" si="819"/>
        <v>0</v>
      </c>
      <c r="AE1801" s="1443" t="b">
        <f t="shared" si="819"/>
        <v>0</v>
      </c>
      <c r="AF1801" s="1443" t="b">
        <f t="shared" si="819"/>
        <v>0</v>
      </c>
      <c r="AG1801" s="1443" t="b">
        <f t="shared" si="819"/>
        <v>0</v>
      </c>
      <c r="AH1801" s="1443" t="b">
        <f t="shared" si="819"/>
        <v>0</v>
      </c>
      <c r="AI1801" s="1443" t="b">
        <f t="shared" si="819"/>
        <v>0</v>
      </c>
      <c r="AJ1801" s="1633" t="s">
        <v>1954</v>
      </c>
      <c r="AK1801" s="1635" t="str">
        <f>IF(AND(CNTR_ExistSubInstEntries,MSconst_RequireSubAttrEmissions,COUNTIFS(AC1801:AI1801,FALSE,H1801:N1801,"")&gt;0),EUconst_Error&amp;"BM"&amp;$Q1623,"")</f>
        <v/>
      </c>
    </row>
    <row r="1802" spans="2:37" ht="12.75" customHeight="1">
      <c r="B1802" s="479"/>
      <c r="C1802" s="977"/>
      <c r="D1802" s="777" t="s">
        <v>18</v>
      </c>
      <c r="E1802" s="2685" t="s">
        <v>946</v>
      </c>
      <c r="F1802" s="2608"/>
      <c r="G1802" s="993" t="str">
        <f>EUconst_GJpt</f>
        <v>GJ / t</v>
      </c>
      <c r="H1802" s="1557" t="str">
        <f>c_ALR2025!M4388</f>
        <v/>
      </c>
      <c r="I1802" s="1883"/>
      <c r="J1802" s="1811"/>
      <c r="K1802" s="1751"/>
      <c r="L1802" s="1751"/>
      <c r="M1802" s="1751"/>
      <c r="N1802" s="1752"/>
      <c r="O1802" s="485"/>
      <c r="P1802" s="9">
        <v>0</v>
      </c>
      <c r="Q1802" s="1435"/>
      <c r="S1802" s="1435"/>
      <c r="AC1802" s="1443" t="b">
        <f t="shared" ref="AC1802:AI1802" si="820">AC1801</f>
        <v>0</v>
      </c>
      <c r="AD1802" s="1443" t="b">
        <f t="shared" si="820"/>
        <v>0</v>
      </c>
      <c r="AE1802" s="1443" t="b">
        <f t="shared" si="820"/>
        <v>0</v>
      </c>
      <c r="AF1802" s="1443" t="b">
        <f t="shared" si="820"/>
        <v>0</v>
      </c>
      <c r="AG1802" s="1443" t="b">
        <f t="shared" si="820"/>
        <v>0</v>
      </c>
      <c r="AH1802" s="1443" t="b">
        <f t="shared" si="820"/>
        <v>0</v>
      </c>
      <c r="AI1802" s="1443" t="b">
        <f t="shared" si="820"/>
        <v>0</v>
      </c>
      <c r="AJ1802" s="1633" t="s">
        <v>1954</v>
      </c>
      <c r="AK1802" s="1635" t="str">
        <f>IF(AND(CNTR_ExistSubInstEntries,MSconst_RequireSubAttrEmissions,COUNTIFS(AC1802:AI1802,FALSE,H1802:N1802,"")&gt;0),EUconst_Error&amp;"BM"&amp;$Q1623,"")</f>
        <v/>
      </c>
    </row>
    <row r="1803" spans="2:37" ht="12.75" customHeight="1" thickBot="1">
      <c r="B1803" s="479"/>
      <c r="C1803" s="977"/>
      <c r="D1803" s="777" t="s">
        <v>787</v>
      </c>
      <c r="E1803" s="2685" t="s">
        <v>945</v>
      </c>
      <c r="F1803" s="2608"/>
      <c r="G1803" s="994" t="s">
        <v>878</v>
      </c>
      <c r="H1803" s="1557" t="str">
        <f>c_ALR2025!M4389</f>
        <v/>
      </c>
      <c r="I1803" s="1883"/>
      <c r="J1803" s="1811"/>
      <c r="K1803" s="1751"/>
      <c r="L1803" s="1751"/>
      <c r="M1803" s="1751"/>
      <c r="N1803" s="1752"/>
      <c r="O1803" s="485"/>
      <c r="P1803" s="9">
        <v>0</v>
      </c>
      <c r="Q1803" s="1435"/>
      <c r="S1803" s="1435"/>
      <c r="AC1803" s="1443" t="b">
        <f t="shared" ref="AC1803:AI1803" si="821">AC1802</f>
        <v>0</v>
      </c>
      <c r="AD1803" s="1443" t="b">
        <f t="shared" si="821"/>
        <v>0</v>
      </c>
      <c r="AE1803" s="1443" t="b">
        <f t="shared" si="821"/>
        <v>0</v>
      </c>
      <c r="AF1803" s="1443" t="b">
        <f t="shared" si="821"/>
        <v>0</v>
      </c>
      <c r="AG1803" s="1443" t="b">
        <f t="shared" si="821"/>
        <v>0</v>
      </c>
      <c r="AH1803" s="1443" t="b">
        <f t="shared" si="821"/>
        <v>0</v>
      </c>
      <c r="AI1803" s="1443" t="b">
        <f t="shared" si="821"/>
        <v>0</v>
      </c>
      <c r="AJ1803" s="1633" t="s">
        <v>1954</v>
      </c>
      <c r="AK1803" s="1635" t="str">
        <f>IF(AND(CNTR_ExistSubInstEntries,MSconst_RequireSubAttrEmissions,COUNTIFS(AC1803:AI1803,FALSE,H1803:N1803,"")&gt;0),EUconst_Error&amp;"BM"&amp;$Q1623,"")</f>
        <v/>
      </c>
    </row>
    <row r="1804" spans="2:37" ht="12.75" customHeight="1">
      <c r="B1804" s="479"/>
      <c r="C1804" s="977"/>
      <c r="D1804" s="777" t="s">
        <v>788</v>
      </c>
      <c r="E1804" s="2473" t="s">
        <v>880</v>
      </c>
      <c r="F1804" s="2474"/>
      <c r="G1804" s="812" t="s">
        <v>878</v>
      </c>
      <c r="H1804" s="1558" t="str">
        <f>c_ALR2025!M4390</f>
        <v/>
      </c>
      <c r="I1804" s="1884"/>
      <c r="J1804" s="1811"/>
      <c r="K1804" s="1751"/>
      <c r="L1804" s="1751"/>
      <c r="M1804" s="1751"/>
      <c r="N1804" s="1752"/>
      <c r="O1804" s="485"/>
      <c r="P1804" s="9">
        <v>0</v>
      </c>
      <c r="Q1804" s="1435"/>
      <c r="S1804" s="1648"/>
      <c r="T1804" s="1749">
        <f t="shared" ref="T1804:Z1804" si="822">H1800</f>
        <v>2024</v>
      </c>
      <c r="U1804" s="1749">
        <f t="shared" si="822"/>
        <v>2025</v>
      </c>
      <c r="V1804" s="1749">
        <f t="shared" si="822"/>
        <v>2026</v>
      </c>
      <c r="W1804" s="1749">
        <f t="shared" si="822"/>
        <v>2027</v>
      </c>
      <c r="X1804" s="1749">
        <f t="shared" si="822"/>
        <v>2028</v>
      </c>
      <c r="Y1804" s="1749">
        <f t="shared" si="822"/>
        <v>2029</v>
      </c>
      <c r="Z1804" s="1750">
        <f t="shared" si="822"/>
        <v>2030</v>
      </c>
      <c r="AC1804" s="1443" t="b">
        <f t="shared" ref="AC1804:AI1804" si="823">AC1803</f>
        <v>0</v>
      </c>
      <c r="AD1804" s="1443" t="b">
        <f t="shared" si="823"/>
        <v>0</v>
      </c>
      <c r="AE1804" s="1443" t="b">
        <f t="shared" si="823"/>
        <v>0</v>
      </c>
      <c r="AF1804" s="1443" t="b">
        <f t="shared" si="823"/>
        <v>0</v>
      </c>
      <c r="AG1804" s="1443" t="b">
        <f t="shared" si="823"/>
        <v>0</v>
      </c>
      <c r="AH1804" s="1443" t="b">
        <f t="shared" si="823"/>
        <v>0</v>
      </c>
      <c r="AI1804" s="1443" t="b">
        <f t="shared" si="823"/>
        <v>0</v>
      </c>
      <c r="AJ1804" s="1633" t="s">
        <v>1954</v>
      </c>
      <c r="AK1804" s="1635" t="str">
        <f>IF(AND(CNTR_ExistSubInstEntries,MSconst_RequireSubAttrEmissions,COUNTIFS(AC1804:AI1804,FALSE,H1804:N1804,"")&gt;0),EUconst_Error&amp;"BM"&amp;$Q1623,"")</f>
        <v/>
      </c>
    </row>
    <row r="1805" spans="2:37" ht="12.75" customHeight="1" thickBot="1">
      <c r="B1805" s="479"/>
      <c r="C1805" s="977"/>
      <c r="D1805" s="777" t="s">
        <v>789</v>
      </c>
      <c r="E1805" s="2471" t="s">
        <v>882</v>
      </c>
      <c r="F1805" s="2472"/>
      <c r="G1805" s="995" t="str">
        <f>EUconst_tCO2pa</f>
        <v>t CO2 / year</v>
      </c>
      <c r="H1805" s="996" t="str">
        <f t="shared" ref="H1805:N1805" si="824">IF(AND(COUNT(H1801:H1804)&gt;0,H1808=""),3.664*H1801*(H1803/100)*(1-H1804/100),"")</f>
        <v/>
      </c>
      <c r="I1805" s="997" t="str">
        <f t="shared" si="824"/>
        <v/>
      </c>
      <c r="J1805" s="1812" t="str">
        <f t="shared" si="824"/>
        <v/>
      </c>
      <c r="K1805" s="1754" t="str">
        <f t="shared" si="824"/>
        <v/>
      </c>
      <c r="L1805" s="1754" t="str">
        <f t="shared" si="824"/>
        <v/>
      </c>
      <c r="M1805" s="1754" t="str">
        <f t="shared" si="824"/>
        <v/>
      </c>
      <c r="N1805" s="1755" t="str">
        <f t="shared" si="824"/>
        <v/>
      </c>
      <c r="O1805" s="485"/>
      <c r="P1805" s="485"/>
      <c r="Q1805" s="1644" t="str">
        <f>EUconst_CNTR_EmissionsIntSource1 &amp; I1623</f>
        <v>EmInternalSource1_</v>
      </c>
      <c r="S1805" s="1753" t="str">
        <f>EUconst_CNTR_AttributedEmissions &amp; I1623</f>
        <v>AttrEmissions_</v>
      </c>
      <c r="T1805" s="1743" t="str">
        <f t="shared" ref="T1805:Z1805" si="825">IF(T1631,SUM(H1805),"")</f>
        <v/>
      </c>
      <c r="U1805" s="1743" t="str">
        <f t="shared" si="825"/>
        <v/>
      </c>
      <c r="V1805" s="1743" t="str">
        <f t="shared" si="825"/>
        <v/>
      </c>
      <c r="W1805" s="1743" t="str">
        <f t="shared" si="825"/>
        <v/>
      </c>
      <c r="X1805" s="1743" t="str">
        <f t="shared" si="825"/>
        <v/>
      </c>
      <c r="Y1805" s="1743" t="str">
        <f t="shared" si="825"/>
        <v/>
      </c>
      <c r="Z1805" s="1744" t="str">
        <f t="shared" si="825"/>
        <v/>
      </c>
    </row>
    <row r="1806" spans="2:37" ht="12.75" customHeight="1">
      <c r="B1806" s="479"/>
      <c r="C1806" s="977"/>
      <c r="D1806" s="777" t="s">
        <v>790</v>
      </c>
      <c r="E1806" s="2670" t="s">
        <v>879</v>
      </c>
      <c r="F1806" s="2608"/>
      <c r="G1806" s="998" t="str">
        <f>EUconst_tCO2pa</f>
        <v>t CO2 / year</v>
      </c>
      <c r="H1806" s="999" t="str">
        <f t="shared" ref="H1806:N1806" si="826">IF(ISNUMBER(H1805),3.664*H1801*(H1803/100)*(H1804/100),"")</f>
        <v/>
      </c>
      <c r="I1806" s="1000" t="str">
        <f t="shared" si="826"/>
        <v/>
      </c>
      <c r="J1806" s="1813" t="str">
        <f t="shared" si="826"/>
        <v/>
      </c>
      <c r="K1806" s="1756" t="str">
        <f t="shared" si="826"/>
        <v/>
      </c>
      <c r="L1806" s="1756" t="str">
        <f t="shared" si="826"/>
        <v/>
      </c>
      <c r="M1806" s="1756" t="str">
        <f t="shared" si="826"/>
        <v/>
      </c>
      <c r="N1806" s="1757" t="str">
        <f t="shared" si="826"/>
        <v/>
      </c>
      <c r="O1806" s="485"/>
      <c r="P1806" s="485"/>
      <c r="Q1806" s="1435"/>
      <c r="S1806" s="1435"/>
    </row>
    <row r="1807" spans="2:37" ht="12.75" customHeight="1">
      <c r="B1807" s="479"/>
      <c r="C1807" s="977"/>
      <c r="D1807" s="777" t="s">
        <v>791</v>
      </c>
      <c r="E1807" s="2473" t="s">
        <v>41</v>
      </c>
      <c r="F1807" s="2474"/>
      <c r="G1807" s="1001" t="str">
        <f>EUconst_TJpa</f>
        <v>TJ / year</v>
      </c>
      <c r="H1807" s="605" t="str">
        <f t="shared" ref="H1807:N1807" si="827">IF(COUNT(H1801:H1802)=2,H1801*H1802/1000,"")</f>
        <v/>
      </c>
      <c r="I1807" s="973" t="str">
        <f t="shared" si="827"/>
        <v/>
      </c>
      <c r="J1807" s="1811" t="str">
        <f t="shared" si="827"/>
        <v/>
      </c>
      <c r="K1807" s="1751" t="str">
        <f t="shared" si="827"/>
        <v/>
      </c>
      <c r="L1807" s="1751" t="str">
        <f t="shared" si="827"/>
        <v/>
      </c>
      <c r="M1807" s="1751" t="str">
        <f t="shared" si="827"/>
        <v/>
      </c>
      <c r="N1807" s="1752" t="str">
        <f t="shared" si="827"/>
        <v/>
      </c>
      <c r="O1807" s="485"/>
      <c r="P1807" s="485"/>
      <c r="Q1807" s="1435"/>
      <c r="S1807" s="1435"/>
    </row>
    <row r="1808" spans="2:37" ht="12.75" customHeight="1">
      <c r="B1808" s="479"/>
      <c r="C1808" s="977"/>
      <c r="D1808" s="777" t="s">
        <v>64</v>
      </c>
      <c r="E1808" s="2687" t="s">
        <v>393</v>
      </c>
      <c r="F1808" s="2688"/>
      <c r="G1808" s="1002"/>
      <c r="H1808" s="1003" t="str">
        <f t="shared" ref="H1808:N1808" si="828">IF(COUNT(H1801,H1803:H1804)&gt;0,IF(COUNTIF(H1802:H1804,"&lt;0")&gt;0,EUconst_Negative,IF(COUNT(H1801,H1803:H1804)&lt;3,EUconst_Incomplete,"")),"")</f>
        <v/>
      </c>
      <c r="I1808" s="1004" t="str">
        <f t="shared" si="828"/>
        <v/>
      </c>
      <c r="J1808" s="1814" t="str">
        <f t="shared" si="828"/>
        <v/>
      </c>
      <c r="K1808" s="1758" t="str">
        <f t="shared" si="828"/>
        <v/>
      </c>
      <c r="L1808" s="1758" t="str">
        <f t="shared" si="828"/>
        <v/>
      </c>
      <c r="M1808" s="1758" t="str">
        <f t="shared" si="828"/>
        <v/>
      </c>
      <c r="N1808" s="1759" t="str">
        <f t="shared" si="828"/>
        <v/>
      </c>
      <c r="O1808" s="485"/>
      <c r="P1808" s="485"/>
      <c r="Q1808" s="1435"/>
      <c r="S1808" s="1435"/>
    </row>
    <row r="1809" spans="2:37" ht="12.75" customHeight="1">
      <c r="B1809" s="479"/>
      <c r="C1809" s="977"/>
      <c r="D1809" s="777"/>
      <c r="E1809" s="981"/>
      <c r="F1809" s="981"/>
      <c r="G1809" s="981"/>
      <c r="H1809" s="981"/>
      <c r="I1809" s="981"/>
      <c r="J1809" s="981"/>
      <c r="K1809" s="981"/>
      <c r="L1809" s="981"/>
      <c r="M1809" s="813"/>
      <c r="N1809" s="814"/>
      <c r="O1809" s="485"/>
      <c r="P1809" s="485"/>
      <c r="Q1809" s="1435"/>
      <c r="S1809" s="1435"/>
    </row>
    <row r="1810" spans="2:37" ht="12.75" customHeight="1">
      <c r="B1810" s="479"/>
      <c r="C1810" s="977"/>
      <c r="D1810" s="777" t="s">
        <v>65</v>
      </c>
      <c r="E1810" s="2649" t="s">
        <v>1215</v>
      </c>
      <c r="F1810" s="2391"/>
      <c r="G1810" s="2391"/>
      <c r="H1810" s="2512"/>
      <c r="I1810" s="3211" t="str">
        <f>c_ALR2025!I4396</f>
        <v/>
      </c>
      <c r="J1810" s="3206"/>
      <c r="K1810" s="3206"/>
      <c r="L1810" s="3206"/>
      <c r="M1810" s="3207"/>
      <c r="N1810" s="979"/>
      <c r="O1810" s="485"/>
      <c r="P1810" s="9">
        <v>0</v>
      </c>
      <c r="Q1810" s="1435"/>
      <c r="S1810" s="1435"/>
      <c r="AC1810" s="1641" t="s">
        <v>717</v>
      </c>
      <c r="AD1810" s="1443" t="b">
        <f>AD1798</f>
        <v>0</v>
      </c>
    </row>
    <row r="1811" spans="2:37" ht="5.0999999999999996" customHeight="1">
      <c r="B1811" s="479"/>
      <c r="C1811" s="977"/>
      <c r="D1811" s="981"/>
      <c r="E1811" s="986"/>
      <c r="F1811" s="978"/>
      <c r="G1811" s="981"/>
      <c r="H1811" s="981"/>
      <c r="I1811" s="978"/>
      <c r="J1811" s="978"/>
      <c r="K1811" s="978"/>
      <c r="L1811" s="978"/>
      <c r="M1811" s="978"/>
      <c r="N1811" s="979"/>
      <c r="O1811" s="485"/>
      <c r="P1811" s="485"/>
      <c r="Q1811" s="1435"/>
      <c r="S1811" s="1435"/>
    </row>
    <row r="1812" spans="2:37" ht="12.75" customHeight="1" thickBot="1">
      <c r="B1812" s="479"/>
      <c r="C1812" s="977"/>
      <c r="D1812" s="777"/>
      <c r="E1812" s="2648" t="s">
        <v>1155</v>
      </c>
      <c r="F1812" s="2493"/>
      <c r="G1812" s="987" t="str">
        <f>EUconst_Unit</f>
        <v>Unit</v>
      </c>
      <c r="H1812" s="782">
        <f t="shared" ref="H1812:N1812" si="829">H$3242</f>
        <v>2024</v>
      </c>
      <c r="I1812" s="988">
        <f t="shared" si="829"/>
        <v>2025</v>
      </c>
      <c r="J1812" s="1810">
        <f t="shared" si="829"/>
        <v>2026</v>
      </c>
      <c r="K1812" s="1747">
        <f t="shared" si="829"/>
        <v>2027</v>
      </c>
      <c r="L1812" s="1747">
        <f t="shared" si="829"/>
        <v>2028</v>
      </c>
      <c r="M1812" s="1747">
        <f t="shared" si="829"/>
        <v>2029</v>
      </c>
      <c r="N1812" s="1748">
        <f t="shared" si="829"/>
        <v>2030</v>
      </c>
      <c r="O1812" s="485"/>
      <c r="P1812" s="485"/>
      <c r="Q1812" s="1435"/>
      <c r="S1812" s="1435"/>
      <c r="AC1812" s="1638">
        <f t="shared" ref="AC1812:AI1812" si="830">H$20</f>
        <v>2024</v>
      </c>
      <c r="AD1812" s="1638">
        <f t="shared" si="830"/>
        <v>2025</v>
      </c>
      <c r="AE1812" s="1638">
        <f t="shared" si="830"/>
        <v>2026</v>
      </c>
      <c r="AF1812" s="1638">
        <f t="shared" si="830"/>
        <v>2027</v>
      </c>
      <c r="AG1812" s="1638">
        <f t="shared" si="830"/>
        <v>2028</v>
      </c>
      <c r="AH1812" s="1638">
        <f t="shared" si="830"/>
        <v>2029</v>
      </c>
      <c r="AI1812" s="1638">
        <f t="shared" si="830"/>
        <v>2030</v>
      </c>
    </row>
    <row r="1813" spans="2:37" ht="12.75" customHeight="1">
      <c r="B1813" s="479"/>
      <c r="C1813" s="977"/>
      <c r="D1813" s="777" t="s">
        <v>66</v>
      </c>
      <c r="E1813" s="2471" t="s">
        <v>1153</v>
      </c>
      <c r="F1813" s="2472"/>
      <c r="G1813" s="811" t="str">
        <f>EUconst_tpa</f>
        <v>t / year</v>
      </c>
      <c r="H1813" s="1552" t="str">
        <f>c_ALR2025!M4399</f>
        <v/>
      </c>
      <c r="I1813" s="1611"/>
      <c r="J1813" s="1811"/>
      <c r="K1813" s="1751"/>
      <c r="L1813" s="1751"/>
      <c r="M1813" s="1751"/>
      <c r="N1813" s="1752"/>
      <c r="O1813" s="485"/>
      <c r="P1813" s="9">
        <v>0</v>
      </c>
      <c r="Q1813" s="1435"/>
      <c r="S1813" s="1435"/>
      <c r="AB1813" s="1641" t="s">
        <v>717</v>
      </c>
      <c r="AC1813" s="1443" t="b">
        <f>AC1801</f>
        <v>0</v>
      </c>
      <c r="AD1813" s="1443" t="b">
        <f t="shared" ref="AD1813:AI1813" si="831">AD1801</f>
        <v>0</v>
      </c>
      <c r="AE1813" s="1443" t="b">
        <f t="shared" si="831"/>
        <v>0</v>
      </c>
      <c r="AF1813" s="1443" t="b">
        <f t="shared" si="831"/>
        <v>0</v>
      </c>
      <c r="AG1813" s="1443" t="b">
        <f t="shared" si="831"/>
        <v>0</v>
      </c>
      <c r="AH1813" s="1443" t="b">
        <f t="shared" si="831"/>
        <v>0</v>
      </c>
      <c r="AI1813" s="1443" t="b">
        <f t="shared" si="831"/>
        <v>0</v>
      </c>
      <c r="AJ1813" s="1633" t="s">
        <v>1954</v>
      </c>
      <c r="AK1813" s="1635" t="str">
        <f>IF(AND(CNTR_ExistSubInstEntries,MSconst_RequireSubAttrEmissions,COUNTIFS(AC1813:AI1813,FALSE,H1813:N1813,"")&gt;0),EUconst_Error&amp;"BM"&amp;$Q1623,"")</f>
        <v/>
      </c>
    </row>
    <row r="1814" spans="2:37" ht="12.75" customHeight="1">
      <c r="B1814" s="479"/>
      <c r="C1814" s="977"/>
      <c r="D1814" s="777" t="s">
        <v>1105</v>
      </c>
      <c r="E1814" s="2685" t="s">
        <v>946</v>
      </c>
      <c r="F1814" s="2608"/>
      <c r="G1814" s="993" t="str">
        <f>EUconst_GJpt</f>
        <v>GJ / t</v>
      </c>
      <c r="H1814" s="1557" t="str">
        <f>c_ALR2025!M4400</f>
        <v/>
      </c>
      <c r="I1814" s="1883"/>
      <c r="J1814" s="1811"/>
      <c r="K1814" s="1751"/>
      <c r="L1814" s="1751"/>
      <c r="M1814" s="1751"/>
      <c r="N1814" s="1752"/>
      <c r="O1814" s="485"/>
      <c r="P1814" s="9">
        <v>0</v>
      </c>
      <c r="Q1814" s="1435"/>
      <c r="S1814" s="1435"/>
      <c r="AC1814" s="1443" t="b">
        <f t="shared" ref="AC1814:AI1814" si="832">AC1802</f>
        <v>0</v>
      </c>
      <c r="AD1814" s="1443" t="b">
        <f t="shared" si="832"/>
        <v>0</v>
      </c>
      <c r="AE1814" s="1443" t="b">
        <f t="shared" si="832"/>
        <v>0</v>
      </c>
      <c r="AF1814" s="1443" t="b">
        <f t="shared" si="832"/>
        <v>0</v>
      </c>
      <c r="AG1814" s="1443" t="b">
        <f t="shared" si="832"/>
        <v>0</v>
      </c>
      <c r="AH1814" s="1443" t="b">
        <f t="shared" si="832"/>
        <v>0</v>
      </c>
      <c r="AI1814" s="1443" t="b">
        <f t="shared" si="832"/>
        <v>0</v>
      </c>
      <c r="AJ1814" s="1633" t="s">
        <v>1954</v>
      </c>
      <c r="AK1814" s="1635" t="str">
        <f>IF(AND(CNTR_ExistSubInstEntries,MSconst_RequireSubAttrEmissions,COUNTIFS(AC1814:AI1814,FALSE,H1814:N1814,"")&gt;0),EUconst_Error&amp;"BM"&amp;$Q1623,"")</f>
        <v/>
      </c>
    </row>
    <row r="1815" spans="2:37" ht="12.75" customHeight="1" thickBot="1">
      <c r="B1815" s="479"/>
      <c r="C1815" s="977"/>
      <c r="D1815" s="777" t="s">
        <v>1106</v>
      </c>
      <c r="E1815" s="2685" t="s">
        <v>945</v>
      </c>
      <c r="F1815" s="2608"/>
      <c r="G1815" s="994" t="s">
        <v>878</v>
      </c>
      <c r="H1815" s="1557" t="str">
        <f>c_ALR2025!M4401</f>
        <v/>
      </c>
      <c r="I1815" s="1883"/>
      <c r="J1815" s="1811"/>
      <c r="K1815" s="1751"/>
      <c r="L1815" s="1751"/>
      <c r="M1815" s="1751"/>
      <c r="N1815" s="1752"/>
      <c r="O1815" s="485"/>
      <c r="P1815" s="9">
        <v>0</v>
      </c>
      <c r="Q1815" s="1435"/>
      <c r="S1815" s="1435"/>
      <c r="AC1815" s="1443" t="b">
        <f t="shared" ref="AC1815:AI1815" si="833">AC1803</f>
        <v>0</v>
      </c>
      <c r="AD1815" s="1443" t="b">
        <f t="shared" si="833"/>
        <v>0</v>
      </c>
      <c r="AE1815" s="1443" t="b">
        <f t="shared" si="833"/>
        <v>0</v>
      </c>
      <c r="AF1815" s="1443" t="b">
        <f t="shared" si="833"/>
        <v>0</v>
      </c>
      <c r="AG1815" s="1443" t="b">
        <f t="shared" si="833"/>
        <v>0</v>
      </c>
      <c r="AH1815" s="1443" t="b">
        <f t="shared" si="833"/>
        <v>0</v>
      </c>
      <c r="AI1815" s="1443" t="b">
        <f t="shared" si="833"/>
        <v>0</v>
      </c>
      <c r="AJ1815" s="1633" t="s">
        <v>1954</v>
      </c>
      <c r="AK1815" s="1635" t="str">
        <f>IF(AND(CNTR_ExistSubInstEntries,MSconst_RequireSubAttrEmissions,COUNTIFS(AC1815:AI1815,FALSE,H1815:N1815,"")&gt;0),EUconst_Error&amp;"BM"&amp;$Q1623,"")</f>
        <v/>
      </c>
    </row>
    <row r="1816" spans="2:37" ht="12.75" customHeight="1">
      <c r="B1816" s="479"/>
      <c r="C1816" s="977"/>
      <c r="D1816" s="777" t="s">
        <v>1107</v>
      </c>
      <c r="E1816" s="2473" t="s">
        <v>880</v>
      </c>
      <c r="F1816" s="2474"/>
      <c r="G1816" s="812" t="s">
        <v>878</v>
      </c>
      <c r="H1816" s="1558" t="str">
        <f>c_ALR2025!M4402</f>
        <v/>
      </c>
      <c r="I1816" s="1884"/>
      <c r="J1816" s="1811"/>
      <c r="K1816" s="1751"/>
      <c r="L1816" s="1751"/>
      <c r="M1816" s="1751"/>
      <c r="N1816" s="1752"/>
      <c r="O1816" s="485"/>
      <c r="P1816" s="9">
        <v>0</v>
      </c>
      <c r="Q1816" s="1435"/>
      <c r="S1816" s="1648"/>
      <c r="T1816" s="1749">
        <f t="shared" ref="T1816:Z1816" si="834">H1812</f>
        <v>2024</v>
      </c>
      <c r="U1816" s="1749">
        <f t="shared" si="834"/>
        <v>2025</v>
      </c>
      <c r="V1816" s="1749">
        <f t="shared" si="834"/>
        <v>2026</v>
      </c>
      <c r="W1816" s="1749">
        <f t="shared" si="834"/>
        <v>2027</v>
      </c>
      <c r="X1816" s="1749">
        <f t="shared" si="834"/>
        <v>2028</v>
      </c>
      <c r="Y1816" s="1749">
        <f t="shared" si="834"/>
        <v>2029</v>
      </c>
      <c r="Z1816" s="1750">
        <f t="shared" si="834"/>
        <v>2030</v>
      </c>
      <c r="AC1816" s="1443" t="b">
        <f t="shared" ref="AC1816:AI1816" si="835">AC1804</f>
        <v>0</v>
      </c>
      <c r="AD1816" s="1443" t="b">
        <f t="shared" si="835"/>
        <v>0</v>
      </c>
      <c r="AE1816" s="1443" t="b">
        <f t="shared" si="835"/>
        <v>0</v>
      </c>
      <c r="AF1816" s="1443" t="b">
        <f t="shared" si="835"/>
        <v>0</v>
      </c>
      <c r="AG1816" s="1443" t="b">
        <f t="shared" si="835"/>
        <v>0</v>
      </c>
      <c r="AH1816" s="1443" t="b">
        <f t="shared" si="835"/>
        <v>0</v>
      </c>
      <c r="AI1816" s="1443" t="b">
        <f t="shared" si="835"/>
        <v>0</v>
      </c>
      <c r="AJ1816" s="1633" t="s">
        <v>1954</v>
      </c>
      <c r="AK1816" s="1635" t="str">
        <f>IF(AND(CNTR_ExistSubInstEntries,MSconst_RequireSubAttrEmissions,COUNTIFS(AC1816:AI1816,FALSE,H1816:N1816,"")&gt;0),EUconst_Error&amp;"BM"&amp;$Q1623,"")</f>
        <v/>
      </c>
    </row>
    <row r="1817" spans="2:37" ht="12.75" customHeight="1" thickBot="1">
      <c r="B1817" s="479"/>
      <c r="C1817" s="977"/>
      <c r="D1817" s="777" t="s">
        <v>1108</v>
      </c>
      <c r="E1817" s="2471" t="s">
        <v>882</v>
      </c>
      <c r="F1817" s="2472"/>
      <c r="G1817" s="995" t="str">
        <f>EUconst_tCO2pa</f>
        <v>t CO2 / year</v>
      </c>
      <c r="H1817" s="996" t="str">
        <f t="shared" ref="H1817:N1817" si="836">IF(AND(COUNT(H1813:H1816)&gt;0,H1820=""),3.664*H1813*(H1815/100)*(1-H1816/100),"")</f>
        <v/>
      </c>
      <c r="I1817" s="997" t="str">
        <f t="shared" si="836"/>
        <v/>
      </c>
      <c r="J1817" s="1812" t="str">
        <f t="shared" si="836"/>
        <v/>
      </c>
      <c r="K1817" s="1754" t="str">
        <f t="shared" si="836"/>
        <v/>
      </c>
      <c r="L1817" s="1754" t="str">
        <f t="shared" si="836"/>
        <v/>
      </c>
      <c r="M1817" s="1754" t="str">
        <f t="shared" si="836"/>
        <v/>
      </c>
      <c r="N1817" s="1755" t="str">
        <f t="shared" si="836"/>
        <v/>
      </c>
      <c r="O1817" s="485"/>
      <c r="P1817" s="485"/>
      <c r="Q1817" s="1644" t="str">
        <f>EUconst_CNTR_EmissionsIntSource2 &amp; I1623</f>
        <v>EmInternalSource2_</v>
      </c>
      <c r="S1817" s="1753" t="str">
        <f>EUconst_CNTR_AttributedEmissions &amp; I1623</f>
        <v>AttrEmissions_</v>
      </c>
      <c r="T1817" s="1743" t="str">
        <f t="shared" ref="T1817:Z1817" si="837">IF(T1631,SUM(H1817),"")</f>
        <v/>
      </c>
      <c r="U1817" s="1743" t="str">
        <f t="shared" si="837"/>
        <v/>
      </c>
      <c r="V1817" s="1743" t="str">
        <f t="shared" si="837"/>
        <v/>
      </c>
      <c r="W1817" s="1743" t="str">
        <f t="shared" si="837"/>
        <v/>
      </c>
      <c r="X1817" s="1743" t="str">
        <f t="shared" si="837"/>
        <v/>
      </c>
      <c r="Y1817" s="1743" t="str">
        <f t="shared" si="837"/>
        <v/>
      </c>
      <c r="Z1817" s="1744" t="str">
        <f t="shared" si="837"/>
        <v/>
      </c>
    </row>
    <row r="1818" spans="2:37" ht="12.75" customHeight="1">
      <c r="B1818" s="479"/>
      <c r="C1818" s="977"/>
      <c r="D1818" s="777" t="s">
        <v>1109</v>
      </c>
      <c r="E1818" s="2670" t="s">
        <v>879</v>
      </c>
      <c r="F1818" s="2608"/>
      <c r="G1818" s="998" t="str">
        <f>EUconst_tCO2pa</f>
        <v>t CO2 / year</v>
      </c>
      <c r="H1818" s="999" t="str">
        <f t="shared" ref="H1818:N1818" si="838">IF(ISNUMBER(H1817),3.664*H1813*(H1815/100)*(H1816/100),"")</f>
        <v/>
      </c>
      <c r="I1818" s="1000" t="str">
        <f t="shared" si="838"/>
        <v/>
      </c>
      <c r="J1818" s="1813" t="str">
        <f t="shared" si="838"/>
        <v/>
      </c>
      <c r="K1818" s="1756" t="str">
        <f t="shared" si="838"/>
        <v/>
      </c>
      <c r="L1818" s="1756" t="str">
        <f t="shared" si="838"/>
        <v/>
      </c>
      <c r="M1818" s="1756" t="str">
        <f t="shared" si="838"/>
        <v/>
      </c>
      <c r="N1818" s="1757" t="str">
        <f t="shared" si="838"/>
        <v/>
      </c>
      <c r="O1818" s="485"/>
      <c r="P1818" s="485"/>
      <c r="Q1818" s="1435"/>
      <c r="S1818" s="1435"/>
    </row>
    <row r="1819" spans="2:37" ht="12.75" customHeight="1">
      <c r="B1819" s="479"/>
      <c r="C1819" s="977"/>
      <c r="D1819" s="777" t="s">
        <v>1110</v>
      </c>
      <c r="E1819" s="2473" t="s">
        <v>41</v>
      </c>
      <c r="F1819" s="2474"/>
      <c r="G1819" s="1001" t="str">
        <f>EUconst_TJpa</f>
        <v>TJ / year</v>
      </c>
      <c r="H1819" s="605" t="str">
        <f t="shared" ref="H1819:N1819" si="839">IF(COUNT(H1813:H1814)=2,H1813*H1814/1000,"")</f>
        <v/>
      </c>
      <c r="I1819" s="973" t="str">
        <f t="shared" si="839"/>
        <v/>
      </c>
      <c r="J1819" s="1811" t="str">
        <f t="shared" si="839"/>
        <v/>
      </c>
      <c r="K1819" s="1751" t="str">
        <f t="shared" si="839"/>
        <v/>
      </c>
      <c r="L1819" s="1751" t="str">
        <f t="shared" si="839"/>
        <v/>
      </c>
      <c r="M1819" s="1751" t="str">
        <f t="shared" si="839"/>
        <v/>
      </c>
      <c r="N1819" s="1752" t="str">
        <f t="shared" si="839"/>
        <v/>
      </c>
      <c r="O1819" s="485"/>
      <c r="P1819" s="485"/>
      <c r="Q1819" s="1435"/>
      <c r="S1819" s="1435"/>
    </row>
    <row r="1820" spans="2:37" ht="12.75" customHeight="1">
      <c r="B1820" s="479"/>
      <c r="C1820" s="977"/>
      <c r="D1820" s="777" t="s">
        <v>1106</v>
      </c>
      <c r="E1820" s="2687" t="s">
        <v>393</v>
      </c>
      <c r="F1820" s="2688"/>
      <c r="G1820" s="1002"/>
      <c r="H1820" s="1003" t="str">
        <f t="shared" ref="H1820:N1820" si="840">IF(COUNT(H1813,H1815:H1816)&gt;0,IF(COUNTIF(H1814:H1816,"&lt;0")&gt;0,EUconst_Negative,IF(COUNT(H1813,H1815:H1816)&lt;3,EUconst_Incomplete,"")),"")</f>
        <v/>
      </c>
      <c r="I1820" s="1004" t="str">
        <f t="shared" si="840"/>
        <v/>
      </c>
      <c r="J1820" s="1814" t="str">
        <f t="shared" si="840"/>
        <v/>
      </c>
      <c r="K1820" s="1758" t="str">
        <f t="shared" si="840"/>
        <v/>
      </c>
      <c r="L1820" s="1758" t="str">
        <f t="shared" si="840"/>
        <v/>
      </c>
      <c r="M1820" s="1758" t="str">
        <f t="shared" si="840"/>
        <v/>
      </c>
      <c r="N1820" s="1759" t="str">
        <f t="shared" si="840"/>
        <v/>
      </c>
      <c r="O1820" s="485"/>
      <c r="P1820" s="485"/>
      <c r="Q1820" s="1435"/>
      <c r="S1820" s="1435"/>
    </row>
    <row r="1821" spans="2:37" ht="12.75" customHeight="1">
      <c r="B1821" s="479"/>
      <c r="C1821" s="977"/>
      <c r="D1821" s="981"/>
      <c r="E1821" s="981"/>
      <c r="F1821" s="981"/>
      <c r="G1821" s="981"/>
      <c r="H1821" s="981"/>
      <c r="I1821" s="981"/>
      <c r="J1821" s="981"/>
      <c r="K1821" s="981"/>
      <c r="L1821" s="981"/>
      <c r="M1821" s="813"/>
      <c r="N1821" s="814"/>
      <c r="O1821" s="485"/>
      <c r="P1821" s="485"/>
      <c r="Q1821" s="1435"/>
      <c r="S1821" s="1435"/>
    </row>
    <row r="1822" spans="2:37" ht="12.75" customHeight="1">
      <c r="B1822" s="479"/>
      <c r="C1822" s="977"/>
      <c r="D1822" s="982" t="s">
        <v>478</v>
      </c>
      <c r="E1822" s="2649" t="s">
        <v>1457</v>
      </c>
      <c r="F1822" s="2391"/>
      <c r="G1822" s="2391"/>
      <c r="H1822" s="2391"/>
      <c r="I1822" s="2391"/>
      <c r="J1822" s="2391"/>
      <c r="K1822" s="2391"/>
      <c r="L1822" s="2391"/>
      <c r="M1822" s="2391"/>
      <c r="N1822" s="2650"/>
      <c r="O1822" s="485"/>
      <c r="P1822" s="485"/>
      <c r="Q1822" s="1435"/>
      <c r="S1822" s="1435"/>
    </row>
    <row r="1823" spans="2:37" ht="12.75" customHeight="1">
      <c r="B1823" s="479"/>
      <c r="C1823" s="977"/>
      <c r="D1823" s="777"/>
      <c r="E1823" s="3272" t="s">
        <v>2295</v>
      </c>
      <c r="F1823" s="2380"/>
      <c r="G1823" s="2380"/>
      <c r="H1823" s="2380"/>
      <c r="I1823" s="2380"/>
      <c r="J1823" s="2380"/>
      <c r="K1823" s="2380"/>
      <c r="L1823" s="2380"/>
      <c r="M1823" s="2380"/>
      <c r="N1823" s="3268"/>
      <c r="O1823" s="485"/>
      <c r="P1823" s="485"/>
      <c r="Q1823" s="1435"/>
      <c r="S1823" s="1435"/>
      <c r="T1823" s="1435"/>
      <c r="U1823" s="1435"/>
      <c r="V1823" s="1435"/>
    </row>
    <row r="1824" spans="2:37" ht="25.5" customHeight="1">
      <c r="B1824" s="479"/>
      <c r="C1824" s="977"/>
      <c r="D1824" s="981"/>
      <c r="E1824" s="3267" t="s">
        <v>2300</v>
      </c>
      <c r="F1824" s="2380"/>
      <c r="G1824" s="2380"/>
      <c r="H1824" s="2380"/>
      <c r="I1824" s="2380"/>
      <c r="J1824" s="2380"/>
      <c r="K1824" s="2380"/>
      <c r="L1824" s="2380"/>
      <c r="M1824" s="2380"/>
      <c r="N1824" s="3268"/>
      <c r="O1824" s="485"/>
      <c r="P1824" s="485"/>
      <c r="Q1824" s="1435"/>
      <c r="S1824" s="1435"/>
    </row>
    <row r="1825" spans="2:37" ht="12.75" customHeight="1" thickBot="1">
      <c r="B1825" s="479"/>
      <c r="C1825" s="977"/>
      <c r="D1825" s="981"/>
      <c r="E1825" s="3267" t="s">
        <v>1365</v>
      </c>
      <c r="F1825" s="2380"/>
      <c r="G1825" s="2380"/>
      <c r="H1825" s="2380"/>
      <c r="I1825" s="2380"/>
      <c r="J1825" s="2380"/>
      <c r="K1825" s="2380"/>
      <c r="L1825" s="2380"/>
      <c r="M1825" s="2380"/>
      <c r="N1825" s="3268"/>
      <c r="O1825" s="485"/>
      <c r="P1825" s="485"/>
      <c r="Q1825" s="1435"/>
      <c r="S1825" s="1435"/>
    </row>
    <row r="1826" spans="2:37" ht="12.75" customHeight="1" thickBot="1">
      <c r="B1826" s="479"/>
      <c r="C1826" s="977"/>
      <c r="D1826" s="982"/>
      <c r="E1826" s="989"/>
      <c r="F1826" s="990"/>
      <c r="G1826" s="987" t="str">
        <f>EUconst_Unit</f>
        <v>Unit</v>
      </c>
      <c r="H1826" s="782">
        <f t="shared" ref="H1826:N1826" si="841">H$3242</f>
        <v>2024</v>
      </c>
      <c r="I1826" s="988">
        <f t="shared" si="841"/>
        <v>2025</v>
      </c>
      <c r="J1826" s="1810">
        <f t="shared" si="841"/>
        <v>2026</v>
      </c>
      <c r="K1826" s="1747">
        <f t="shared" si="841"/>
        <v>2027</v>
      </c>
      <c r="L1826" s="1747">
        <f t="shared" si="841"/>
        <v>2028</v>
      </c>
      <c r="M1826" s="1747">
        <f t="shared" si="841"/>
        <v>2029</v>
      </c>
      <c r="N1826" s="1748">
        <f t="shared" si="841"/>
        <v>2030</v>
      </c>
      <c r="O1826" s="485"/>
      <c r="P1826" s="485"/>
      <c r="Q1826" s="1435"/>
      <c r="S1826" s="1648"/>
      <c r="T1826" s="1749">
        <f t="shared" ref="T1826:Z1826" si="842">H1826</f>
        <v>2024</v>
      </c>
      <c r="U1826" s="1749">
        <f t="shared" si="842"/>
        <v>2025</v>
      </c>
      <c r="V1826" s="1749">
        <f t="shared" si="842"/>
        <v>2026</v>
      </c>
      <c r="W1826" s="1749">
        <f t="shared" si="842"/>
        <v>2027</v>
      </c>
      <c r="X1826" s="1749">
        <f t="shared" si="842"/>
        <v>2028</v>
      </c>
      <c r="Y1826" s="1749">
        <f t="shared" si="842"/>
        <v>2029</v>
      </c>
      <c r="Z1826" s="1750">
        <f t="shared" si="842"/>
        <v>2030</v>
      </c>
      <c r="AC1826" s="1638">
        <f t="shared" ref="AC1826:AI1826" si="843">H$20</f>
        <v>2024</v>
      </c>
      <c r="AD1826" s="1638">
        <f t="shared" si="843"/>
        <v>2025</v>
      </c>
      <c r="AE1826" s="1638">
        <f t="shared" si="843"/>
        <v>2026</v>
      </c>
      <c r="AF1826" s="1638">
        <f t="shared" si="843"/>
        <v>2027</v>
      </c>
      <c r="AG1826" s="1638">
        <f t="shared" si="843"/>
        <v>2028</v>
      </c>
      <c r="AH1826" s="1638">
        <f t="shared" si="843"/>
        <v>2029</v>
      </c>
      <c r="AI1826" s="1638">
        <f t="shared" si="843"/>
        <v>2030</v>
      </c>
    </row>
    <row r="1827" spans="2:37" ht="12.75" customHeight="1" thickBot="1">
      <c r="B1827" s="479"/>
      <c r="C1827" s="977"/>
      <c r="D1827" s="777"/>
      <c r="E1827" s="2475" t="s">
        <v>1156</v>
      </c>
      <c r="F1827" s="2410"/>
      <c r="G1827" s="815" t="str">
        <f>EUconst_tCO2epa</f>
        <v>t CO2e/year</v>
      </c>
      <c r="H1827" s="1479" t="str">
        <f>c_ALR2025!M4413</f>
        <v/>
      </c>
      <c r="I1827" s="1532"/>
      <c r="J1827" s="1811"/>
      <c r="K1827" s="1751"/>
      <c r="L1827" s="1751"/>
      <c r="M1827" s="1751"/>
      <c r="N1827" s="1752"/>
      <c r="O1827" s="485"/>
      <c r="P1827" s="9">
        <v>0</v>
      </c>
      <c r="Q1827" s="1644" t="str">
        <f>EUconst_CNTR_CO2Feedstock &amp; I1623</f>
        <v>EmCO2Feedstock_</v>
      </c>
      <c r="S1827" s="1753" t="str">
        <f>EUconst_CNTR_AttributedEmissions &amp; I1623</f>
        <v>AttrEmissions_</v>
      </c>
      <c r="T1827" s="1743" t="str">
        <f t="shared" ref="T1827:Z1827" si="844">IF(T1631,SUM(H1827),"")</f>
        <v/>
      </c>
      <c r="U1827" s="1743" t="str">
        <f t="shared" si="844"/>
        <v/>
      </c>
      <c r="V1827" s="1743" t="str">
        <f t="shared" si="844"/>
        <v/>
      </c>
      <c r="W1827" s="1743" t="str">
        <f t="shared" si="844"/>
        <v/>
      </c>
      <c r="X1827" s="1743" t="str">
        <f t="shared" si="844"/>
        <v/>
      </c>
      <c r="Y1827" s="1743" t="str">
        <f t="shared" si="844"/>
        <v/>
      </c>
      <c r="Z1827" s="1744" t="str">
        <f t="shared" si="844"/>
        <v/>
      </c>
      <c r="AB1827" s="1641" t="s">
        <v>717</v>
      </c>
      <c r="AC1827" s="1443" t="b">
        <f t="shared" ref="AC1827:AI1827" si="845">AC1693</f>
        <v>0</v>
      </c>
      <c r="AD1827" s="1443" t="b">
        <f t="shared" si="845"/>
        <v>0</v>
      </c>
      <c r="AE1827" s="1443" t="b">
        <f t="shared" si="845"/>
        <v>0</v>
      </c>
      <c r="AF1827" s="1443" t="b">
        <f t="shared" si="845"/>
        <v>0</v>
      </c>
      <c r="AG1827" s="1443" t="b">
        <f t="shared" si="845"/>
        <v>0</v>
      </c>
      <c r="AH1827" s="1443" t="b">
        <f t="shared" si="845"/>
        <v>0</v>
      </c>
      <c r="AI1827" s="1443" t="b">
        <f t="shared" si="845"/>
        <v>0</v>
      </c>
      <c r="AJ1827" s="1633" t="s">
        <v>1954</v>
      </c>
      <c r="AK1827" s="1635" t="str">
        <f>IF(AND(CNTR_ExistSubInstEntries,MSconst_RequireSubAttrEmissions,COUNTIFS(AC1827:AI1827,FALSE,H1827:N1827,"")&gt;0),EUconst_Error&amp;"BM"&amp;$Q1623,"")</f>
        <v/>
      </c>
    </row>
    <row r="1828" spans="2:37" ht="12.75" customHeight="1">
      <c r="B1828" s="479"/>
      <c r="C1828" s="977"/>
      <c r="D1828" s="981"/>
      <c r="E1828" s="981"/>
      <c r="F1828" s="981"/>
      <c r="G1828" s="981"/>
      <c r="H1828" s="981"/>
      <c r="I1828" s="981"/>
      <c r="J1828" s="981"/>
      <c r="K1828" s="981"/>
      <c r="L1828" s="981"/>
      <c r="M1828" s="813"/>
      <c r="N1828" s="814"/>
      <c r="O1828" s="485"/>
      <c r="P1828" s="485"/>
      <c r="Q1828" s="1435"/>
      <c r="S1828" s="1435"/>
    </row>
    <row r="1829" spans="2:37" ht="12.75" customHeight="1">
      <c r="B1829" s="479"/>
      <c r="C1829" s="977"/>
      <c r="D1829" s="982" t="s">
        <v>479</v>
      </c>
      <c r="E1829" s="2649" t="s">
        <v>1118</v>
      </c>
      <c r="F1829" s="2391"/>
      <c r="G1829" s="2391"/>
      <c r="H1829" s="2391"/>
      <c r="I1829" s="2391"/>
      <c r="J1829" s="2391"/>
      <c r="K1829" s="2391"/>
      <c r="L1829" s="2391"/>
      <c r="M1829" s="2391"/>
      <c r="N1829" s="2650"/>
      <c r="O1829" s="485"/>
      <c r="P1829" s="485"/>
      <c r="Q1829" s="1435"/>
      <c r="S1829" s="1435"/>
    </row>
    <row r="1830" spans="2:37" ht="12.75" customHeight="1">
      <c r="B1830" s="479"/>
      <c r="C1830" s="977"/>
      <c r="D1830" s="777"/>
      <c r="E1830" s="3272" t="s">
        <v>2297</v>
      </c>
      <c r="F1830" s="2380"/>
      <c r="G1830" s="2380"/>
      <c r="H1830" s="2380"/>
      <c r="I1830" s="2380"/>
      <c r="J1830" s="2380"/>
      <c r="K1830" s="2380"/>
      <c r="L1830" s="2380"/>
      <c r="M1830" s="2380"/>
      <c r="N1830" s="3268"/>
      <c r="O1830" s="485"/>
      <c r="P1830" s="485"/>
      <c r="Q1830" s="1435"/>
      <c r="S1830" s="1435"/>
      <c r="T1830" s="1435"/>
      <c r="U1830" s="1435"/>
      <c r="V1830" s="1435"/>
    </row>
    <row r="1831" spans="2:37" ht="38.85" customHeight="1">
      <c r="B1831" s="479"/>
      <c r="C1831" s="977"/>
      <c r="D1831" s="981"/>
      <c r="E1831" s="3267" t="s">
        <v>2118</v>
      </c>
      <c r="F1831" s="2380"/>
      <c r="G1831" s="2380"/>
      <c r="H1831" s="2380"/>
      <c r="I1831" s="2380"/>
      <c r="J1831" s="2380"/>
      <c r="K1831" s="2380"/>
      <c r="L1831" s="2380"/>
      <c r="M1831" s="2380"/>
      <c r="N1831" s="3268"/>
      <c r="O1831" s="485"/>
      <c r="P1831" s="485"/>
      <c r="Q1831" s="1435"/>
      <c r="S1831" s="1435"/>
    </row>
    <row r="1832" spans="2:37" ht="25.5" customHeight="1">
      <c r="B1832" s="479"/>
      <c r="C1832" s="977"/>
      <c r="D1832" s="981"/>
      <c r="E1832" s="3267" t="s">
        <v>1614</v>
      </c>
      <c r="F1832" s="2380"/>
      <c r="G1832" s="2380"/>
      <c r="H1832" s="2380"/>
      <c r="I1832" s="2380"/>
      <c r="J1832" s="2380"/>
      <c r="K1832" s="2380"/>
      <c r="L1832" s="2380"/>
      <c r="M1832" s="2380"/>
      <c r="N1832" s="3268"/>
      <c r="O1832" s="485"/>
      <c r="P1832" s="485"/>
      <c r="Q1832" s="1435"/>
      <c r="S1832" s="1435"/>
    </row>
    <row r="1833" spans="2:37" ht="25.5" customHeight="1">
      <c r="B1833" s="479"/>
      <c r="C1833" s="977"/>
      <c r="D1833" s="981"/>
      <c r="E1833" s="3267" t="s">
        <v>1593</v>
      </c>
      <c r="F1833" s="2380"/>
      <c r="G1833" s="2380"/>
      <c r="H1833" s="2380"/>
      <c r="I1833" s="2380"/>
      <c r="J1833" s="2380"/>
      <c r="K1833" s="2380"/>
      <c r="L1833" s="2380"/>
      <c r="M1833" s="2380"/>
      <c r="N1833" s="3268"/>
      <c r="O1833" s="485"/>
      <c r="P1833" s="485"/>
      <c r="Q1833" s="1435"/>
      <c r="S1833" s="1435"/>
    </row>
    <row r="1834" spans="2:37" ht="12.75" customHeight="1" thickBot="1">
      <c r="B1834" s="479"/>
      <c r="C1834" s="977"/>
      <c r="D1834" s="981"/>
      <c r="E1834" s="3269" t="s">
        <v>1555</v>
      </c>
      <c r="F1834" s="3270"/>
      <c r="G1834" s="3270"/>
      <c r="H1834" s="3270"/>
      <c r="I1834" s="3270"/>
      <c r="J1834" s="3270"/>
      <c r="K1834" s="3270"/>
      <c r="L1834" s="3270"/>
      <c r="M1834" s="3270"/>
      <c r="N1834" s="3271"/>
      <c r="O1834" s="485"/>
      <c r="P1834" s="485"/>
      <c r="Q1834" s="1435"/>
    </row>
    <row r="1835" spans="2:37" ht="12.75" customHeight="1" thickBot="1">
      <c r="B1835" s="479"/>
      <c r="C1835" s="977"/>
      <c r="D1835" s="981"/>
      <c r="E1835" s="2648" t="s">
        <v>1151</v>
      </c>
      <c r="F1835" s="2493"/>
      <c r="G1835" s="987" t="str">
        <f>EUconst_Unit</f>
        <v>Unit</v>
      </c>
      <c r="H1835" s="782">
        <f t="shared" ref="H1835:N1835" si="846">H$3242</f>
        <v>2024</v>
      </c>
      <c r="I1835" s="988">
        <f t="shared" si="846"/>
        <v>2025</v>
      </c>
      <c r="J1835" s="1810">
        <f t="shared" si="846"/>
        <v>2026</v>
      </c>
      <c r="K1835" s="1747">
        <f t="shared" si="846"/>
        <v>2027</v>
      </c>
      <c r="L1835" s="1747">
        <f t="shared" si="846"/>
        <v>2028</v>
      </c>
      <c r="M1835" s="1747">
        <f t="shared" si="846"/>
        <v>2029</v>
      </c>
      <c r="N1835" s="1748">
        <f t="shared" si="846"/>
        <v>2030</v>
      </c>
      <c r="O1835" s="485"/>
      <c r="P1835" s="485"/>
      <c r="Q1835" s="1435"/>
      <c r="S1835" s="1648"/>
      <c r="T1835" s="1749">
        <f t="shared" ref="T1835:Z1835" si="847">H1835</f>
        <v>2024</v>
      </c>
      <c r="U1835" s="1749">
        <f t="shared" si="847"/>
        <v>2025</v>
      </c>
      <c r="V1835" s="1749">
        <f t="shared" si="847"/>
        <v>2026</v>
      </c>
      <c r="W1835" s="1749">
        <f t="shared" si="847"/>
        <v>2027</v>
      </c>
      <c r="X1835" s="1749">
        <f t="shared" si="847"/>
        <v>2028</v>
      </c>
      <c r="Y1835" s="1749">
        <f t="shared" si="847"/>
        <v>2029</v>
      </c>
      <c r="Z1835" s="1750">
        <f t="shared" si="847"/>
        <v>2030</v>
      </c>
      <c r="AC1835" s="1638">
        <f t="shared" ref="AC1835:AI1835" si="848">H$20</f>
        <v>2024</v>
      </c>
      <c r="AD1835" s="1638">
        <f t="shared" si="848"/>
        <v>2025</v>
      </c>
      <c r="AE1835" s="1638">
        <f t="shared" si="848"/>
        <v>2026</v>
      </c>
      <c r="AF1835" s="1638">
        <f t="shared" si="848"/>
        <v>2027</v>
      </c>
      <c r="AG1835" s="1638">
        <f t="shared" si="848"/>
        <v>2028</v>
      </c>
      <c r="AH1835" s="1638">
        <f t="shared" si="848"/>
        <v>2029</v>
      </c>
      <c r="AI1835" s="1638">
        <f t="shared" si="848"/>
        <v>2030</v>
      </c>
    </row>
    <row r="1836" spans="2:37" ht="12.75" customHeight="1">
      <c r="B1836" s="479"/>
      <c r="C1836" s="977"/>
      <c r="D1836" s="777" t="s">
        <v>6</v>
      </c>
      <c r="E1836" s="2475" t="s">
        <v>1087</v>
      </c>
      <c r="F1836" s="2410"/>
      <c r="G1836" s="815" t="str">
        <f>EUconst_TJpa</f>
        <v>TJ / year</v>
      </c>
      <c r="H1836" s="1479" t="str">
        <f>c_ALR2025!M4422</f>
        <v/>
      </c>
      <c r="I1836" s="1532"/>
      <c r="J1836" s="1811"/>
      <c r="K1836" s="1751"/>
      <c r="L1836" s="1751"/>
      <c r="M1836" s="1751"/>
      <c r="N1836" s="1752"/>
      <c r="O1836" s="485"/>
      <c r="P1836" s="9">
        <v>0</v>
      </c>
      <c r="Q1836" s="1644" t="str">
        <f>EUconst_CNTR_HeatImport &amp; I1623</f>
        <v>HeatIm_</v>
      </c>
      <c r="S1836" s="1874" t="str">
        <f>EUconst_ERR_AttrEmBMapplied &amp; I1623</f>
        <v>ERR_AttrEmBM_</v>
      </c>
      <c r="T1836" s="1443">
        <f t="shared" ref="T1836:Z1836" si="849">IF(AND(H1836&lt;&gt;0,H1837="",EUconst_StatusOfDataCollection=FALSE),1,0)</f>
        <v>0</v>
      </c>
      <c r="U1836" s="1443">
        <f t="shared" si="849"/>
        <v>0</v>
      </c>
      <c r="V1836" s="1443">
        <f t="shared" si="849"/>
        <v>0</v>
      </c>
      <c r="W1836" s="1443">
        <f t="shared" si="849"/>
        <v>0</v>
      </c>
      <c r="X1836" s="1443">
        <f t="shared" si="849"/>
        <v>0</v>
      </c>
      <c r="Y1836" s="1443">
        <f t="shared" si="849"/>
        <v>0</v>
      </c>
      <c r="Z1836" s="1737">
        <f t="shared" si="849"/>
        <v>0</v>
      </c>
      <c r="AA1836" s="1503"/>
      <c r="AB1836" s="1641" t="s">
        <v>717</v>
      </c>
      <c r="AC1836" s="1443" t="b">
        <f t="shared" ref="AC1836:AI1836" si="850">AC1693</f>
        <v>0</v>
      </c>
      <c r="AD1836" s="1443" t="b">
        <f t="shared" si="850"/>
        <v>0</v>
      </c>
      <c r="AE1836" s="1443" t="b">
        <f t="shared" si="850"/>
        <v>0</v>
      </c>
      <c r="AF1836" s="1443" t="b">
        <f t="shared" si="850"/>
        <v>0</v>
      </c>
      <c r="AG1836" s="1443" t="b">
        <f t="shared" si="850"/>
        <v>0</v>
      </c>
      <c r="AH1836" s="1443" t="b">
        <f t="shared" si="850"/>
        <v>0</v>
      </c>
      <c r="AI1836" s="1443" t="b">
        <f t="shared" si="850"/>
        <v>0</v>
      </c>
      <c r="AJ1836" s="1633" t="s">
        <v>1954</v>
      </c>
      <c r="AK1836" s="1635" t="str">
        <f>IF(AND(CNTR_ExistSubInstEntries,MSconst_RequireSubAttrEmissions,COUNTIFS(AC1836:AI1836,FALSE,H1836:N1836,"")&gt;0),EUconst_Error&amp;"BM"&amp;$Q1623,"")</f>
        <v/>
      </c>
    </row>
    <row r="1837" spans="2:37" ht="12.75" customHeight="1" thickBot="1">
      <c r="B1837" s="479"/>
      <c r="C1837" s="977"/>
      <c r="D1837" s="777" t="s">
        <v>7</v>
      </c>
      <c r="E1837" s="2475" t="s">
        <v>1103</v>
      </c>
      <c r="F1837" s="2410"/>
      <c r="G1837" s="815" t="str">
        <f>EUconst_tCO2pTJ</f>
        <v>t CO2 / TJ</v>
      </c>
      <c r="H1837" s="1479" t="str">
        <f>c_ALR2025!M4423</f>
        <v/>
      </c>
      <c r="I1837" s="1532"/>
      <c r="J1837" s="1811"/>
      <c r="K1837" s="1751"/>
      <c r="L1837" s="1751"/>
      <c r="M1837" s="1751"/>
      <c r="N1837" s="1752"/>
      <c r="O1837" s="485"/>
      <c r="P1837" s="9">
        <v>0</v>
      </c>
      <c r="Q1837" s="1644" t="str">
        <f>EUconst_CNTR_HeatImportEF &amp; I1623</f>
        <v>HeatImEF_</v>
      </c>
      <c r="S1837" s="1753" t="str">
        <f>EUconst_CNTR_AttributedEmissions &amp; I1623</f>
        <v>AttrEmissions_</v>
      </c>
      <c r="T1837" s="1743" t="str">
        <f t="shared" ref="T1837:Z1837" si="851">IF(T1631,SUM(H1836)*IF(ISNUMBER(H1837),H1837,EUconst_HeatBMvalue),"")</f>
        <v/>
      </c>
      <c r="U1837" s="1743" t="str">
        <f t="shared" si="851"/>
        <v/>
      </c>
      <c r="V1837" s="1743" t="str">
        <f t="shared" si="851"/>
        <v/>
      </c>
      <c r="W1837" s="1743" t="str">
        <f t="shared" si="851"/>
        <v/>
      </c>
      <c r="X1837" s="1743" t="str">
        <f t="shared" si="851"/>
        <v/>
      </c>
      <c r="Y1837" s="1743" t="str">
        <f t="shared" si="851"/>
        <v/>
      </c>
      <c r="Z1837" s="1744" t="str">
        <f t="shared" si="851"/>
        <v/>
      </c>
      <c r="AC1837" s="1443" t="b">
        <f>AC1836</f>
        <v>0</v>
      </c>
      <c r="AD1837" s="1443" t="b">
        <f t="shared" ref="AD1837:AI1837" si="852">AD1836</f>
        <v>0</v>
      </c>
      <c r="AE1837" s="1443" t="b">
        <f t="shared" si="852"/>
        <v>0</v>
      </c>
      <c r="AF1837" s="1443" t="b">
        <f t="shared" si="852"/>
        <v>0</v>
      </c>
      <c r="AG1837" s="1443" t="b">
        <f t="shared" si="852"/>
        <v>0</v>
      </c>
      <c r="AH1837" s="1443" t="b">
        <f t="shared" si="852"/>
        <v>0</v>
      </c>
      <c r="AI1837" s="1443" t="b">
        <f t="shared" si="852"/>
        <v>0</v>
      </c>
    </row>
    <row r="1838" spans="2:37" ht="5.0999999999999996" customHeight="1">
      <c r="B1838" s="479"/>
      <c r="C1838" s="977"/>
      <c r="D1838" s="981"/>
      <c r="E1838" s="981"/>
      <c r="F1838" s="981"/>
      <c r="G1838" s="981"/>
      <c r="H1838" s="981"/>
      <c r="I1838" s="981"/>
      <c r="J1838" s="1815"/>
      <c r="K1838" s="1760"/>
      <c r="L1838" s="1760"/>
      <c r="M1838" s="1760"/>
      <c r="N1838" s="1761"/>
      <c r="O1838" s="485"/>
      <c r="P1838" s="485"/>
      <c r="Q1838" s="1435"/>
      <c r="S1838" s="1435"/>
      <c r="T1838" s="1435"/>
      <c r="U1838" s="1435"/>
      <c r="V1838" s="1435"/>
    </row>
    <row r="1839" spans="2:37" ht="12.75" customHeight="1" thickBot="1">
      <c r="B1839" s="479"/>
      <c r="C1839" s="977"/>
      <c r="D1839" s="981"/>
      <c r="E1839" s="2648" t="s">
        <v>1406</v>
      </c>
      <c r="F1839" s="2493"/>
      <c r="G1839" s="987" t="str">
        <f>EUconst_Unit</f>
        <v>Unit</v>
      </c>
      <c r="H1839" s="782">
        <f t="shared" ref="H1839:N1839" si="853">H$3242</f>
        <v>2024</v>
      </c>
      <c r="I1839" s="988">
        <f t="shared" si="853"/>
        <v>2025</v>
      </c>
      <c r="J1839" s="1810">
        <f t="shared" si="853"/>
        <v>2026</v>
      </c>
      <c r="K1839" s="1747">
        <f t="shared" si="853"/>
        <v>2027</v>
      </c>
      <c r="L1839" s="1747">
        <f t="shared" si="853"/>
        <v>2028</v>
      </c>
      <c r="M1839" s="1747">
        <f t="shared" si="853"/>
        <v>2029</v>
      </c>
      <c r="N1839" s="1748">
        <f t="shared" si="853"/>
        <v>2030</v>
      </c>
      <c r="O1839" s="485"/>
      <c r="P1839" s="485"/>
      <c r="Q1839" s="1435"/>
      <c r="S1839" s="1435"/>
      <c r="T1839" s="1435"/>
      <c r="U1839" s="1435"/>
      <c r="V1839" s="1435"/>
      <c r="AC1839" s="1638">
        <f t="shared" ref="AC1839:AI1839" si="854">H$20</f>
        <v>2024</v>
      </c>
      <c r="AD1839" s="1638">
        <f t="shared" si="854"/>
        <v>2025</v>
      </c>
      <c r="AE1839" s="1638">
        <f t="shared" si="854"/>
        <v>2026</v>
      </c>
      <c r="AF1839" s="1638">
        <f t="shared" si="854"/>
        <v>2027</v>
      </c>
      <c r="AG1839" s="1638">
        <f t="shared" si="854"/>
        <v>2028</v>
      </c>
      <c r="AH1839" s="1638">
        <f t="shared" si="854"/>
        <v>2029</v>
      </c>
      <c r="AI1839" s="1638">
        <f t="shared" si="854"/>
        <v>2030</v>
      </c>
    </row>
    <row r="1840" spans="2:37" ht="12.75" customHeight="1">
      <c r="B1840" s="479"/>
      <c r="C1840" s="977"/>
      <c r="D1840" s="777" t="s">
        <v>8</v>
      </c>
      <c r="E1840" s="2475" t="s">
        <v>1556</v>
      </c>
      <c r="F1840" s="2410"/>
      <c r="G1840" s="815" t="str">
        <f>EUconst_TJpa</f>
        <v>TJ / year</v>
      </c>
      <c r="H1840" s="1762" t="str">
        <f>c_ALR2025!M4426</f>
        <v/>
      </c>
      <c r="I1840" s="1885"/>
      <c r="J1840" s="1811"/>
      <c r="K1840" s="1751"/>
      <c r="L1840" s="1751"/>
      <c r="M1840" s="1751"/>
      <c r="N1840" s="1752"/>
      <c r="O1840" s="485"/>
      <c r="P1840" s="9">
        <v>0</v>
      </c>
      <c r="Q1840" s="1644" t="str">
        <f>EUconst_CNTR_HeatImportPulp &amp; I1623</f>
        <v>HeatImPulp_</v>
      </c>
      <c r="S1840" s="1435"/>
      <c r="T1840" s="1435"/>
      <c r="U1840" s="1435"/>
      <c r="V1840" s="1435"/>
      <c r="AB1840" s="1641" t="s">
        <v>717</v>
      </c>
      <c r="AC1840" s="1443" t="b">
        <f t="shared" ref="AC1840:AI1840" si="855">AC1693</f>
        <v>0</v>
      </c>
      <c r="AD1840" s="1443" t="b">
        <f t="shared" si="855"/>
        <v>0</v>
      </c>
      <c r="AE1840" s="1443" t="b">
        <f t="shared" si="855"/>
        <v>0</v>
      </c>
      <c r="AF1840" s="1443" t="b">
        <f t="shared" si="855"/>
        <v>0</v>
      </c>
      <c r="AG1840" s="1443" t="b">
        <f t="shared" si="855"/>
        <v>0</v>
      </c>
      <c r="AH1840" s="1443" t="b">
        <f t="shared" si="855"/>
        <v>0</v>
      </c>
      <c r="AI1840" s="1443" t="b">
        <f t="shared" si="855"/>
        <v>0</v>
      </c>
      <c r="AJ1840" s="1633" t="s">
        <v>1954</v>
      </c>
      <c r="AK1840" s="1635" t="str">
        <f>IF(AND(CNTR_ExistSubInstEntries,MSconst_RequireSubAttrEmissions,COUNTIFS(AC1840:AI1840,FALSE,H1840:N1840,"")&gt;0),EUconst_Error&amp;"BM"&amp;$Q1623,"")</f>
        <v/>
      </c>
    </row>
    <row r="1841" spans="2:37" ht="25.5" customHeight="1">
      <c r="B1841" s="479"/>
      <c r="C1841" s="977"/>
      <c r="D1841" s="777" t="s">
        <v>18</v>
      </c>
      <c r="E1841" s="2475" t="s">
        <v>1149</v>
      </c>
      <c r="F1841" s="2410"/>
      <c r="G1841" s="815" t="str">
        <f>EUconst_TJpa</f>
        <v>TJ / year</v>
      </c>
      <c r="H1841" s="1479" t="str">
        <f>c_ALR2025!M4427</f>
        <v/>
      </c>
      <c r="I1841" s="1532"/>
      <c r="J1841" s="1811"/>
      <c r="K1841" s="1751"/>
      <c r="L1841" s="1751"/>
      <c r="M1841" s="1751"/>
      <c r="N1841" s="1752"/>
      <c r="O1841" s="485"/>
      <c r="P1841" s="9">
        <v>0</v>
      </c>
      <c r="Q1841" s="1644" t="str">
        <f>EUconst_CNTR_HeatImportNitric &amp; I1623</f>
        <v>HeatImNitric_</v>
      </c>
      <c r="S1841" s="1435"/>
      <c r="T1841" s="1435"/>
      <c r="U1841" s="1435"/>
      <c r="V1841" s="1435"/>
      <c r="AC1841" s="1443" t="b">
        <f>AC1840</f>
        <v>0</v>
      </c>
      <c r="AD1841" s="1443" t="b">
        <f t="shared" ref="AD1841:AI1841" si="856">AD1840</f>
        <v>0</v>
      </c>
      <c r="AE1841" s="1443" t="b">
        <f t="shared" si="856"/>
        <v>0</v>
      </c>
      <c r="AF1841" s="1443" t="b">
        <f t="shared" si="856"/>
        <v>0</v>
      </c>
      <c r="AG1841" s="1443" t="b">
        <f t="shared" si="856"/>
        <v>0</v>
      </c>
      <c r="AH1841" s="1443" t="b">
        <f t="shared" si="856"/>
        <v>0</v>
      </c>
      <c r="AI1841" s="1443" t="b">
        <f t="shared" si="856"/>
        <v>0</v>
      </c>
      <c r="AJ1841" s="1633" t="s">
        <v>1954</v>
      </c>
      <c r="AK1841" s="1635" t="str">
        <f>IF(AND(CNTR_ExistSubInstEntries,MSconst_RequireSubAttrEmissions,COUNTIFS(AC1841:AI1841,FALSE,H1841:N1841,"")&gt;0),EUconst_Error&amp;"BM"&amp;$Q1623,"")</f>
        <v/>
      </c>
    </row>
    <row r="1842" spans="2:37" ht="5.0999999999999996" customHeight="1" thickBot="1">
      <c r="B1842" s="479"/>
      <c r="C1842" s="977"/>
      <c r="D1842" s="981"/>
      <c r="E1842" s="981"/>
      <c r="F1842" s="981"/>
      <c r="G1842" s="981"/>
      <c r="H1842" s="981"/>
      <c r="I1842" s="981"/>
      <c r="J1842" s="1815"/>
      <c r="K1842" s="1760"/>
      <c r="L1842" s="1760"/>
      <c r="M1842" s="1760"/>
      <c r="N1842" s="1761"/>
      <c r="O1842" s="485"/>
      <c r="P1842" s="485"/>
      <c r="Q1842" s="1435"/>
      <c r="S1842" s="1435"/>
      <c r="T1842" s="1435"/>
      <c r="U1842" s="1435"/>
      <c r="V1842" s="1435"/>
    </row>
    <row r="1843" spans="2:37" ht="12.75" customHeight="1" thickBot="1">
      <c r="B1843" s="479"/>
      <c r="C1843" s="977"/>
      <c r="D1843" s="981"/>
      <c r="E1843" s="2648" t="s">
        <v>1152</v>
      </c>
      <c r="F1843" s="2493"/>
      <c r="G1843" s="987" t="str">
        <f>EUconst_Unit</f>
        <v>Unit</v>
      </c>
      <c r="H1843" s="782">
        <f t="shared" ref="H1843:N1843" si="857">H$3242</f>
        <v>2024</v>
      </c>
      <c r="I1843" s="988">
        <f t="shared" si="857"/>
        <v>2025</v>
      </c>
      <c r="J1843" s="1810">
        <f t="shared" si="857"/>
        <v>2026</v>
      </c>
      <c r="K1843" s="1747">
        <f t="shared" si="857"/>
        <v>2027</v>
      </c>
      <c r="L1843" s="1747">
        <f t="shared" si="857"/>
        <v>2028</v>
      </c>
      <c r="M1843" s="1747">
        <f t="shared" si="857"/>
        <v>2029</v>
      </c>
      <c r="N1843" s="1748">
        <f t="shared" si="857"/>
        <v>2030</v>
      </c>
      <c r="O1843" s="485"/>
      <c r="P1843" s="485"/>
      <c r="Q1843" s="1435"/>
      <c r="S1843" s="1648"/>
      <c r="T1843" s="1749">
        <f t="shared" ref="T1843:Z1843" si="858">H1843</f>
        <v>2024</v>
      </c>
      <c r="U1843" s="1749">
        <f t="shared" si="858"/>
        <v>2025</v>
      </c>
      <c r="V1843" s="1749">
        <f t="shared" si="858"/>
        <v>2026</v>
      </c>
      <c r="W1843" s="1749">
        <f t="shared" si="858"/>
        <v>2027</v>
      </c>
      <c r="X1843" s="1749">
        <f t="shared" si="858"/>
        <v>2028</v>
      </c>
      <c r="Y1843" s="1749">
        <f t="shared" si="858"/>
        <v>2029</v>
      </c>
      <c r="Z1843" s="1750">
        <f t="shared" si="858"/>
        <v>2030</v>
      </c>
      <c r="AC1843" s="1638">
        <f t="shared" ref="AC1843:AI1843" si="859">H$20</f>
        <v>2024</v>
      </c>
      <c r="AD1843" s="1638">
        <f t="shared" si="859"/>
        <v>2025</v>
      </c>
      <c r="AE1843" s="1638">
        <f t="shared" si="859"/>
        <v>2026</v>
      </c>
      <c r="AF1843" s="1638">
        <f t="shared" si="859"/>
        <v>2027</v>
      </c>
      <c r="AG1843" s="1638">
        <f t="shared" si="859"/>
        <v>2028</v>
      </c>
      <c r="AH1843" s="1638">
        <f t="shared" si="859"/>
        <v>2029</v>
      </c>
      <c r="AI1843" s="1638">
        <f t="shared" si="859"/>
        <v>2030</v>
      </c>
    </row>
    <row r="1844" spans="2:37" ht="12.75" customHeight="1">
      <c r="B1844" s="479"/>
      <c r="C1844" s="977"/>
      <c r="D1844" s="777" t="s">
        <v>787</v>
      </c>
      <c r="E1844" s="2475" t="s">
        <v>1079</v>
      </c>
      <c r="F1844" s="2410"/>
      <c r="G1844" s="815" t="str">
        <f>EUconst_TJpa</f>
        <v>TJ / year</v>
      </c>
      <c r="H1844" s="1479" t="str">
        <f>c_ALR2025!M4430</f>
        <v/>
      </c>
      <c r="I1844" s="1532"/>
      <c r="J1844" s="1811"/>
      <c r="K1844" s="1751"/>
      <c r="L1844" s="1751"/>
      <c r="M1844" s="1751"/>
      <c r="N1844" s="1752"/>
      <c r="O1844" s="485"/>
      <c r="P1844" s="9">
        <v>0</v>
      </c>
      <c r="Q1844" s="1644" t="str">
        <f>EUconst_CNTR_HeatExport &amp; I1623</f>
        <v>HeatEx_</v>
      </c>
      <c r="S1844" s="1874" t="str">
        <f>EUconst_ERR_AttrEmBMapplied &amp; I1623</f>
        <v>ERR_AttrEmBM_</v>
      </c>
      <c r="T1844" s="1443">
        <f t="shared" ref="T1844:Z1844" si="860">IF(AND(H1844&lt;&gt;0,H1845="",EUconst_StatusOfDataCollection=FALSE),1,0)</f>
        <v>0</v>
      </c>
      <c r="U1844" s="1443">
        <f t="shared" si="860"/>
        <v>0</v>
      </c>
      <c r="V1844" s="1443">
        <f t="shared" si="860"/>
        <v>0</v>
      </c>
      <c r="W1844" s="1443">
        <f t="shared" si="860"/>
        <v>0</v>
      </c>
      <c r="X1844" s="1443">
        <f t="shared" si="860"/>
        <v>0</v>
      </c>
      <c r="Y1844" s="1443">
        <f t="shared" si="860"/>
        <v>0</v>
      </c>
      <c r="Z1844" s="1737">
        <f t="shared" si="860"/>
        <v>0</v>
      </c>
      <c r="AB1844" s="1641" t="s">
        <v>717</v>
      </c>
      <c r="AC1844" s="1443" t="b">
        <f>AC1840</f>
        <v>0</v>
      </c>
      <c r="AD1844" s="1443" t="b">
        <f t="shared" ref="AD1844:AI1844" si="861">AD1840</f>
        <v>0</v>
      </c>
      <c r="AE1844" s="1443" t="b">
        <f t="shared" si="861"/>
        <v>0</v>
      </c>
      <c r="AF1844" s="1443" t="b">
        <f t="shared" si="861"/>
        <v>0</v>
      </c>
      <c r="AG1844" s="1443" t="b">
        <f t="shared" si="861"/>
        <v>0</v>
      </c>
      <c r="AH1844" s="1443" t="b">
        <f t="shared" si="861"/>
        <v>0</v>
      </c>
      <c r="AI1844" s="1443" t="b">
        <f t="shared" si="861"/>
        <v>0</v>
      </c>
      <c r="AJ1844" s="1633" t="s">
        <v>1954</v>
      </c>
      <c r="AK1844" s="1635" t="str">
        <f>IF(AND(CNTR_ExistSubInstEntries,MSconst_RequireSubAttrEmissions,COUNTIFS(AC1844:AI1844,FALSE,H1844:N1844,"")&gt;0),EUconst_Error&amp;"BM"&amp;$Q1623,"")</f>
        <v/>
      </c>
    </row>
    <row r="1845" spans="2:37" ht="12.75" customHeight="1" thickBot="1">
      <c r="B1845" s="479"/>
      <c r="C1845" s="977"/>
      <c r="D1845" s="777" t="s">
        <v>788</v>
      </c>
      <c r="E1845" s="2475" t="s">
        <v>1104</v>
      </c>
      <c r="F1845" s="2410"/>
      <c r="G1845" s="815" t="str">
        <f>EUconst_tCO2pTJ</f>
        <v>t CO2 / TJ</v>
      </c>
      <c r="H1845" s="1479" t="str">
        <f>c_ALR2025!M4431</f>
        <v/>
      </c>
      <c r="I1845" s="1532"/>
      <c r="J1845" s="1811"/>
      <c r="K1845" s="1751"/>
      <c r="L1845" s="1751"/>
      <c r="M1845" s="1751"/>
      <c r="N1845" s="1752"/>
      <c r="O1845" s="485"/>
      <c r="P1845" s="9">
        <v>0</v>
      </c>
      <c r="Q1845" s="1644" t="str">
        <f>EUconst_CNTR_HeatExportEF &amp; I1623</f>
        <v>HeatExEF_</v>
      </c>
      <c r="S1845" s="1753" t="str">
        <f>EUconst_CNTR_AttributedEmissions &amp; I1623</f>
        <v>AttrEmissions_</v>
      </c>
      <c r="T1845" s="1743" t="str">
        <f t="shared" ref="T1845:Z1845" si="862">IF(T1631,-SUM(H1844)*IF(INDEX(EUconst_BMlistNumberOfBM,MATCH($I1623,EUconst_BMlistNames,0))=39,0,IF(ISNUMBER(H1845),H1845,EUconst_HeatBMvalue)),"")</f>
        <v/>
      </c>
      <c r="U1845" s="1743" t="str">
        <f t="shared" si="862"/>
        <v/>
      </c>
      <c r="V1845" s="1743" t="str">
        <f t="shared" si="862"/>
        <v/>
      </c>
      <c r="W1845" s="1743" t="str">
        <f t="shared" si="862"/>
        <v/>
      </c>
      <c r="X1845" s="1743" t="str">
        <f t="shared" si="862"/>
        <v/>
      </c>
      <c r="Y1845" s="1743" t="str">
        <f t="shared" si="862"/>
        <v/>
      </c>
      <c r="Z1845" s="1744" t="str">
        <f t="shared" si="862"/>
        <v/>
      </c>
      <c r="AC1845" s="1443" t="b">
        <f>AC1844</f>
        <v>0</v>
      </c>
      <c r="AD1845" s="1443" t="b">
        <f t="shared" ref="AD1845:AI1845" si="863">AD1844</f>
        <v>0</v>
      </c>
      <c r="AE1845" s="1443" t="b">
        <f t="shared" si="863"/>
        <v>0</v>
      </c>
      <c r="AF1845" s="1443" t="b">
        <f t="shared" si="863"/>
        <v>0</v>
      </c>
      <c r="AG1845" s="1443" t="b">
        <f t="shared" si="863"/>
        <v>0</v>
      </c>
      <c r="AH1845" s="1443" t="b">
        <f t="shared" si="863"/>
        <v>0</v>
      </c>
      <c r="AI1845" s="1443" t="b">
        <f t="shared" si="863"/>
        <v>0</v>
      </c>
    </row>
    <row r="1846" spans="2:37" ht="12.75" customHeight="1">
      <c r="B1846" s="479"/>
      <c r="C1846" s="977"/>
      <c r="D1846" s="981"/>
      <c r="E1846" s="981"/>
      <c r="F1846" s="981"/>
      <c r="G1846" s="981"/>
      <c r="H1846" s="981"/>
      <c r="I1846" s="981"/>
      <c r="J1846" s="981"/>
      <c r="K1846" s="981"/>
      <c r="L1846" s="981"/>
      <c r="M1846" s="813"/>
      <c r="N1846" s="814"/>
      <c r="O1846" s="485"/>
      <c r="P1846" s="485"/>
      <c r="Q1846" s="1435"/>
      <c r="S1846" s="1435"/>
      <c r="T1846" s="1435"/>
      <c r="U1846" s="1435"/>
      <c r="V1846" s="1435"/>
    </row>
    <row r="1847" spans="2:37" ht="12.75" customHeight="1">
      <c r="B1847" s="479"/>
      <c r="C1847" s="977"/>
      <c r="D1847" s="982" t="s">
        <v>481</v>
      </c>
      <c r="E1847" s="2649" t="s">
        <v>1312</v>
      </c>
      <c r="F1847" s="2391"/>
      <c r="G1847" s="2391"/>
      <c r="H1847" s="2391"/>
      <c r="I1847" s="2391"/>
      <c r="J1847" s="2391"/>
      <c r="K1847" s="2391"/>
      <c r="L1847" s="2391"/>
      <c r="M1847" s="2391"/>
      <c r="N1847" s="2650"/>
      <c r="O1847" s="485"/>
      <c r="P1847" s="485"/>
      <c r="Q1847" s="1435"/>
      <c r="S1847" s="1435"/>
      <c r="T1847" s="1435"/>
      <c r="U1847" s="1435"/>
      <c r="V1847" s="1435"/>
    </row>
    <row r="1848" spans="2:37" ht="5.0999999999999996" customHeight="1">
      <c r="B1848" s="479"/>
      <c r="C1848" s="977"/>
      <c r="D1848" s="981"/>
      <c r="E1848" s="986"/>
      <c r="F1848" s="986"/>
      <c r="G1848" s="986"/>
      <c r="H1848" s="986"/>
      <c r="I1848" s="986"/>
      <c r="J1848" s="986"/>
      <c r="K1848" s="986"/>
      <c r="L1848" s="986"/>
      <c r="M1848" s="986"/>
      <c r="N1848" s="1007"/>
      <c r="O1848" s="485"/>
      <c r="P1848" s="485"/>
      <c r="Q1848" s="1435"/>
      <c r="S1848" s="1435"/>
      <c r="T1848" s="1435"/>
      <c r="U1848" s="1435"/>
      <c r="V1848" s="1435"/>
    </row>
    <row r="1849" spans="2:37" ht="12.75" customHeight="1">
      <c r="B1849" s="479"/>
      <c r="C1849" s="977"/>
      <c r="D1849" s="777" t="s">
        <v>6</v>
      </c>
      <c r="E1849" s="2649" t="s">
        <v>1313</v>
      </c>
      <c r="F1849" s="2391"/>
      <c r="G1849" s="2391"/>
      <c r="H1849" s="2391"/>
      <c r="I1849" s="2391"/>
      <c r="J1849" s="2391"/>
      <c r="K1849" s="2512"/>
      <c r="L1849" s="1478" t="str">
        <f>c_ALR2025!L4435</f>
        <v/>
      </c>
      <c r="M1849" s="978"/>
      <c r="N1849" s="979"/>
      <c r="O1849" s="485"/>
      <c r="P1849" s="9">
        <v>0</v>
      </c>
      <c r="Q1849" s="1435"/>
      <c r="S1849" s="1435"/>
      <c r="AF1849" s="1641" t="s">
        <v>717</v>
      </c>
      <c r="AG1849" s="1423" t="b">
        <f>AND(CNTR_ExistSubInstEntries,I1623="")</f>
        <v>0</v>
      </c>
    </row>
    <row r="1850" spans="2:37" ht="12.75" customHeight="1">
      <c r="B1850" s="479"/>
      <c r="C1850" s="977"/>
      <c r="D1850" s="981"/>
      <c r="E1850" s="3267" t="s">
        <v>1314</v>
      </c>
      <c r="F1850" s="2380"/>
      <c r="G1850" s="2380"/>
      <c r="H1850" s="2380"/>
      <c r="I1850" s="2380"/>
      <c r="J1850" s="2380"/>
      <c r="K1850" s="2380"/>
      <c r="L1850" s="2380"/>
      <c r="M1850" s="2380"/>
      <c r="N1850" s="3268"/>
      <c r="O1850" s="485"/>
      <c r="P1850" s="485"/>
      <c r="Q1850" s="1435"/>
      <c r="S1850" s="1435"/>
    </row>
    <row r="1851" spans="2:37" ht="12.75" customHeight="1">
      <c r="B1851" s="479"/>
      <c r="C1851" s="977"/>
      <c r="D1851" s="777" t="s">
        <v>7</v>
      </c>
      <c r="E1851" s="2649" t="s">
        <v>1219</v>
      </c>
      <c r="F1851" s="2391"/>
      <c r="G1851" s="2391"/>
      <c r="H1851" s="2512"/>
      <c r="I1851" s="3211" t="str">
        <f>c_ALR2025!I4437</f>
        <v/>
      </c>
      <c r="J1851" s="3206"/>
      <c r="K1851" s="3206"/>
      <c r="L1851" s="3206"/>
      <c r="M1851" s="3207"/>
      <c r="N1851" s="979"/>
      <c r="O1851" s="485"/>
      <c r="P1851" s="9">
        <v>0</v>
      </c>
      <c r="Q1851" s="1435"/>
      <c r="S1851" s="1435"/>
      <c r="AC1851" s="1641" t="s">
        <v>717</v>
      </c>
      <c r="AD1851" s="1423" t="b">
        <f>OR(AG1849,AND($L1849&lt;&gt;"",$L1849=FALSE))</f>
        <v>0</v>
      </c>
    </row>
    <row r="1852" spans="2:37" ht="12.75" customHeight="1">
      <c r="B1852" s="479"/>
      <c r="C1852" s="977"/>
      <c r="D1852" s="981"/>
      <c r="E1852" s="3267" t="s">
        <v>1316</v>
      </c>
      <c r="F1852" s="2380"/>
      <c r="G1852" s="2380"/>
      <c r="H1852" s="2380"/>
      <c r="I1852" s="2380"/>
      <c r="J1852" s="2380"/>
      <c r="K1852" s="2380"/>
      <c r="L1852" s="2380"/>
      <c r="M1852" s="2380"/>
      <c r="N1852" s="3268"/>
      <c r="O1852" s="485"/>
      <c r="P1852" s="485"/>
      <c r="Q1852" s="1435"/>
      <c r="S1852" s="1435"/>
      <c r="T1852" s="1435"/>
      <c r="U1852" s="1435"/>
      <c r="V1852" s="1435"/>
    </row>
    <row r="1853" spans="2:37" ht="12.75" customHeight="1">
      <c r="B1853" s="479"/>
      <c r="C1853" s="977"/>
      <c r="D1853" s="981"/>
      <c r="E1853" s="3272" t="s">
        <v>1557</v>
      </c>
      <c r="F1853" s="2380"/>
      <c r="G1853" s="2380"/>
      <c r="H1853" s="2380"/>
      <c r="I1853" s="2380"/>
      <c r="J1853" s="2380"/>
      <c r="K1853" s="2380"/>
      <c r="L1853" s="2380"/>
      <c r="M1853" s="2380"/>
      <c r="N1853" s="3268"/>
      <c r="O1853" s="485"/>
      <c r="P1853" s="485"/>
      <c r="Q1853" s="1435"/>
      <c r="S1853" s="1435"/>
      <c r="T1853" s="1435"/>
      <c r="U1853" s="1435"/>
      <c r="V1853" s="1435"/>
    </row>
    <row r="1854" spans="2:37" ht="12.75" customHeight="1" thickBot="1">
      <c r="B1854" s="479"/>
      <c r="C1854" s="977"/>
      <c r="D1854" s="981"/>
      <c r="E1854" s="989"/>
      <c r="F1854" s="990"/>
      <c r="G1854" s="987" t="str">
        <f>EUconst_Unit</f>
        <v>Unit</v>
      </c>
      <c r="H1854" s="782">
        <f t="shared" ref="H1854:N1854" si="864">H$3242</f>
        <v>2024</v>
      </c>
      <c r="I1854" s="988">
        <f t="shared" si="864"/>
        <v>2025</v>
      </c>
      <c r="J1854" s="1810">
        <f t="shared" si="864"/>
        <v>2026</v>
      </c>
      <c r="K1854" s="1747">
        <f t="shared" si="864"/>
        <v>2027</v>
      </c>
      <c r="L1854" s="1747">
        <f t="shared" si="864"/>
        <v>2028</v>
      </c>
      <c r="M1854" s="1747">
        <f t="shared" si="864"/>
        <v>2029</v>
      </c>
      <c r="N1854" s="1748">
        <f t="shared" si="864"/>
        <v>2030</v>
      </c>
      <c r="O1854" s="485"/>
      <c r="P1854" s="485"/>
      <c r="Q1854" s="1435"/>
      <c r="S1854" s="1435"/>
      <c r="T1854" s="1435"/>
      <c r="U1854" s="1435"/>
      <c r="V1854" s="1435"/>
      <c r="AC1854" s="1638">
        <f t="shared" ref="AC1854:AI1854" si="865">H$20</f>
        <v>2024</v>
      </c>
      <c r="AD1854" s="1638">
        <f t="shared" si="865"/>
        <v>2025</v>
      </c>
      <c r="AE1854" s="1638">
        <f t="shared" si="865"/>
        <v>2026</v>
      </c>
      <c r="AF1854" s="1638">
        <f t="shared" si="865"/>
        <v>2027</v>
      </c>
      <c r="AG1854" s="1638">
        <f t="shared" si="865"/>
        <v>2028</v>
      </c>
      <c r="AH1854" s="1638">
        <f t="shared" si="865"/>
        <v>2029</v>
      </c>
      <c r="AI1854" s="1638">
        <f t="shared" si="865"/>
        <v>2030</v>
      </c>
    </row>
    <row r="1855" spans="2:37" ht="12.75" customHeight="1">
      <c r="B1855" s="479"/>
      <c r="C1855" s="977"/>
      <c r="D1855" s="777" t="s">
        <v>8</v>
      </c>
      <c r="E1855" s="2471" t="s">
        <v>1305</v>
      </c>
      <c r="F1855" s="2472"/>
      <c r="G1855" s="1763" t="str">
        <f>c_ALR2025!G4441</f>
        <v/>
      </c>
      <c r="H1855" s="1552" t="str">
        <f>c_ALR2025!M4441</f>
        <v/>
      </c>
      <c r="I1855" s="1611"/>
      <c r="J1855" s="1811"/>
      <c r="K1855" s="1751"/>
      <c r="L1855" s="1751"/>
      <c r="M1855" s="1751"/>
      <c r="N1855" s="1752"/>
      <c r="O1855" s="485"/>
      <c r="P1855" s="9">
        <v>0</v>
      </c>
      <c r="Q1855" s="1435"/>
      <c r="S1855" s="1435"/>
      <c r="T1855" s="1435"/>
      <c r="U1855" s="1435"/>
      <c r="V1855" s="1435"/>
      <c r="AB1855" s="1641" t="s">
        <v>717</v>
      </c>
      <c r="AC1855" s="1423" t="b">
        <f t="shared" ref="AC1855:AI1855" si="866">OR(AND($L1849&lt;&gt;"",$L1849=FALSE),AC1693)</f>
        <v>0</v>
      </c>
      <c r="AD1855" s="1443" t="b">
        <f t="shared" si="866"/>
        <v>0</v>
      </c>
      <c r="AE1855" s="1443" t="b">
        <f t="shared" si="866"/>
        <v>0</v>
      </c>
      <c r="AF1855" s="1443" t="b">
        <f t="shared" si="866"/>
        <v>0</v>
      </c>
      <c r="AG1855" s="1443" t="b">
        <f t="shared" si="866"/>
        <v>0</v>
      </c>
      <c r="AH1855" s="1443" t="b">
        <f t="shared" si="866"/>
        <v>0</v>
      </c>
      <c r="AI1855" s="1443" t="b">
        <f t="shared" si="866"/>
        <v>0</v>
      </c>
      <c r="AJ1855" s="1633" t="s">
        <v>1954</v>
      </c>
      <c r="AK1855" s="1635" t="str">
        <f>IF(AND(CNTR_ExistSubInstEntries,MSconst_RequireSubAttrEmissions,COUNTIFS(AC1855:AI1855,FALSE,H1855:N1855,"")&gt;0),EUconst_Error&amp;"BM"&amp;$Q1623,"")</f>
        <v/>
      </c>
    </row>
    <row r="1856" spans="2:37" ht="12.75" customHeight="1">
      <c r="B1856" s="479"/>
      <c r="C1856" s="977"/>
      <c r="D1856" s="777" t="s">
        <v>18</v>
      </c>
      <c r="E1856" s="2473" t="s">
        <v>661</v>
      </c>
      <c r="F1856" s="2474"/>
      <c r="G1856" s="1008" t="e">
        <f>IF(ISBLANK(G1855),EUconst_GJperUnit,INDEX(EUconst_GJperTorKNm3,MATCH(G1855,EUconst_TonnesOrkNm3pa,0)))</f>
        <v>#N/A</v>
      </c>
      <c r="H1856" s="1558" t="str">
        <f>c_ALR2025!M4442</f>
        <v/>
      </c>
      <c r="I1856" s="1884"/>
      <c r="J1856" s="1811"/>
      <c r="K1856" s="1751"/>
      <c r="L1856" s="1751"/>
      <c r="M1856" s="1751"/>
      <c r="N1856" s="1752"/>
      <c r="O1856" s="485"/>
      <c r="P1856" s="9">
        <v>0</v>
      </c>
      <c r="S1856" s="1435"/>
      <c r="T1856" s="1435"/>
      <c r="U1856" s="1435"/>
      <c r="V1856" s="1435"/>
      <c r="W1856" s="1435"/>
      <c r="X1856" s="1435"/>
      <c r="Y1856" s="1435"/>
      <c r="Z1856" s="1435"/>
      <c r="AC1856" s="1443" t="b">
        <f>AC1855</f>
        <v>0</v>
      </c>
      <c r="AD1856" s="1443" t="b">
        <f t="shared" ref="AD1856:AI1856" si="867">AD1855</f>
        <v>0</v>
      </c>
      <c r="AE1856" s="1443" t="b">
        <f t="shared" si="867"/>
        <v>0</v>
      </c>
      <c r="AF1856" s="1443" t="b">
        <f t="shared" si="867"/>
        <v>0</v>
      </c>
      <c r="AG1856" s="1443" t="b">
        <f t="shared" si="867"/>
        <v>0</v>
      </c>
      <c r="AH1856" s="1443" t="b">
        <f t="shared" si="867"/>
        <v>0</v>
      </c>
      <c r="AI1856" s="1443" t="b">
        <f t="shared" si="867"/>
        <v>0</v>
      </c>
      <c r="AJ1856" s="1633" t="s">
        <v>1954</v>
      </c>
      <c r="AK1856" s="1635" t="str">
        <f>IF(AND(CNTR_ExistSubInstEntries,MSconst_RequireSubAttrEmissions,COUNTIFS(AC1856:AI1856,FALSE,H1856:N1856,"")&gt;0),EUconst_Error&amp;"BM"&amp;$Q1623,"")</f>
        <v/>
      </c>
    </row>
    <row r="1857" spans="2:37" ht="12.75" customHeight="1">
      <c r="B1857" s="479"/>
      <c r="C1857" s="977"/>
      <c r="D1857" s="777" t="s">
        <v>787</v>
      </c>
      <c r="E1857" s="2475" t="s">
        <v>1141</v>
      </c>
      <c r="F1857" s="2410"/>
      <c r="G1857" s="815" t="str">
        <f>EUconst_TJpa</f>
        <v>TJ / year</v>
      </c>
      <c r="H1857" s="1005" t="str">
        <f t="shared" ref="H1857:N1857" si="868">IF(COUNT(H1855:H1856)=2,H1855*H1856/1000,"")</f>
        <v/>
      </c>
      <c r="I1857" s="1006" t="str">
        <f t="shared" si="868"/>
        <v/>
      </c>
      <c r="J1857" s="1811" t="str">
        <f t="shared" si="868"/>
        <v/>
      </c>
      <c r="K1857" s="1751" t="str">
        <f t="shared" si="868"/>
        <v/>
      </c>
      <c r="L1857" s="1751" t="str">
        <f t="shared" si="868"/>
        <v/>
      </c>
      <c r="M1857" s="1751" t="str">
        <f t="shared" si="868"/>
        <v/>
      </c>
      <c r="N1857" s="1752" t="str">
        <f t="shared" si="868"/>
        <v/>
      </c>
      <c r="O1857" s="485"/>
      <c r="P1857" s="485"/>
      <c r="Q1857" s="1644" t="str">
        <f>EUconst_CNTR_WGProduced &amp; I1623</f>
        <v>WasteGasProd_</v>
      </c>
      <c r="S1857" s="1435"/>
      <c r="T1857" s="1435"/>
      <c r="U1857" s="1435"/>
      <c r="V1857" s="1435"/>
      <c r="W1857" s="1435"/>
      <c r="X1857" s="1435"/>
      <c r="Y1857" s="1435"/>
      <c r="Z1857" s="1435"/>
    </row>
    <row r="1858" spans="2:37" ht="12.75" customHeight="1">
      <c r="B1858" s="479"/>
      <c r="C1858" s="977"/>
      <c r="D1858" s="777" t="s">
        <v>788</v>
      </c>
      <c r="E1858" s="2475" t="s">
        <v>1258</v>
      </c>
      <c r="F1858" s="2410"/>
      <c r="G1858" s="815" t="str">
        <f>EUconst_tCO2pTJ</f>
        <v>t CO2 / TJ</v>
      </c>
      <c r="H1858" s="1479" t="str">
        <f>c_ALR2025!M4444</f>
        <v/>
      </c>
      <c r="I1858" s="1532"/>
      <c r="J1858" s="1811"/>
      <c r="K1858" s="1751"/>
      <c r="L1858" s="1751"/>
      <c r="M1858" s="1751"/>
      <c r="N1858" s="1752"/>
      <c r="O1858" s="485"/>
      <c r="P1858" s="9">
        <v>0</v>
      </c>
      <c r="Q1858" s="1644" t="str">
        <f>EUconst_CNTR_WGProducedEF &amp; I1623</f>
        <v>WasteGasProdEF_</v>
      </c>
      <c r="S1858" s="1435"/>
      <c r="T1858" s="1435"/>
      <c r="U1858" s="1435"/>
      <c r="V1858" s="1435"/>
      <c r="W1858" s="1435"/>
      <c r="X1858" s="1435"/>
      <c r="Y1858" s="1435"/>
      <c r="Z1858" s="1435"/>
      <c r="AB1858" s="1641" t="s">
        <v>717</v>
      </c>
      <c r="AC1858" s="1443" t="b">
        <f>AC1856</f>
        <v>0</v>
      </c>
      <c r="AD1858" s="1443" t="b">
        <f t="shared" ref="AD1858:AI1858" si="869">AD1856</f>
        <v>0</v>
      </c>
      <c r="AE1858" s="1443" t="b">
        <f t="shared" si="869"/>
        <v>0</v>
      </c>
      <c r="AF1858" s="1443" t="b">
        <f t="shared" si="869"/>
        <v>0</v>
      </c>
      <c r="AG1858" s="1443" t="b">
        <f t="shared" si="869"/>
        <v>0</v>
      </c>
      <c r="AH1858" s="1443" t="b">
        <f t="shared" si="869"/>
        <v>0</v>
      </c>
      <c r="AI1858" s="1443" t="b">
        <f t="shared" si="869"/>
        <v>0</v>
      </c>
      <c r="AJ1858" s="1633" t="s">
        <v>1954</v>
      </c>
      <c r="AK1858" s="1635" t="str">
        <f>IF(AND(CNTR_ExistSubInstEntries,MSconst_RequireSubAttrEmissions,COUNTIFS(AC1858:AI1858,FALSE,H1858:N1858,"")&gt;0),EUconst_Error&amp;"BM"&amp;$Q1623,"")</f>
        <v/>
      </c>
    </row>
    <row r="1859" spans="2:37" ht="12.75" customHeight="1">
      <c r="B1859" s="479"/>
      <c r="C1859" s="977"/>
      <c r="D1859" s="981"/>
      <c r="E1859" s="981"/>
      <c r="F1859" s="981"/>
      <c r="G1859" s="981"/>
      <c r="H1859" s="983"/>
      <c r="I1859" s="981"/>
      <c r="J1859" s="981"/>
      <c r="K1859" s="981"/>
      <c r="L1859" s="981"/>
      <c r="M1859" s="813"/>
      <c r="N1859" s="814"/>
      <c r="O1859" s="485"/>
      <c r="P1859" s="485"/>
      <c r="Q1859" s="1435"/>
      <c r="S1859" s="1435"/>
      <c r="T1859" s="1435"/>
      <c r="U1859" s="1435"/>
      <c r="V1859" s="1435"/>
      <c r="W1859" s="1435"/>
      <c r="X1859" s="1435"/>
      <c r="Y1859" s="1435"/>
      <c r="Z1859" s="1435"/>
    </row>
    <row r="1860" spans="2:37" ht="12.75" customHeight="1">
      <c r="B1860" s="479"/>
      <c r="C1860" s="977"/>
      <c r="D1860" s="777" t="s">
        <v>789</v>
      </c>
      <c r="E1860" s="2649" t="s">
        <v>1301</v>
      </c>
      <c r="F1860" s="2391"/>
      <c r="G1860" s="2391"/>
      <c r="H1860" s="2512"/>
      <c r="I1860" s="3211" t="str">
        <f>c_ALR2025!I4446</f>
        <v/>
      </c>
      <c r="J1860" s="3206"/>
      <c r="K1860" s="3206"/>
      <c r="L1860" s="3206"/>
      <c r="M1860" s="3207"/>
      <c r="N1860" s="979"/>
      <c r="O1860" s="485"/>
      <c r="P1860" s="9">
        <v>0</v>
      </c>
      <c r="Q1860" s="1435"/>
      <c r="S1860" s="1435"/>
      <c r="T1860" s="1435"/>
      <c r="U1860" s="1435"/>
      <c r="V1860" s="1435"/>
      <c r="W1860" s="1435"/>
      <c r="X1860" s="1435"/>
      <c r="Y1860" s="1435"/>
      <c r="Z1860" s="1435"/>
      <c r="AC1860" s="1641" t="s">
        <v>717</v>
      </c>
      <c r="AD1860" s="1443" t="b">
        <f>AD1851</f>
        <v>0</v>
      </c>
    </row>
    <row r="1861" spans="2:37" ht="25.5" customHeight="1">
      <c r="B1861" s="479"/>
      <c r="C1861" s="977"/>
      <c r="D1861" s="777"/>
      <c r="E1861" s="3267" t="s">
        <v>1606</v>
      </c>
      <c r="F1861" s="2380"/>
      <c r="G1861" s="2380"/>
      <c r="H1861" s="2380"/>
      <c r="I1861" s="2380"/>
      <c r="J1861" s="2380"/>
      <c r="K1861" s="2380"/>
      <c r="L1861" s="2380"/>
      <c r="M1861" s="2380"/>
      <c r="N1861" s="3268"/>
      <c r="O1861" s="485"/>
      <c r="P1861" s="485"/>
      <c r="Q1861" s="1435"/>
      <c r="S1861" s="1435"/>
      <c r="T1861" s="1435"/>
      <c r="U1861" s="1435"/>
      <c r="V1861" s="1435"/>
      <c r="W1861" s="1435"/>
      <c r="X1861" s="1435"/>
      <c r="Y1861" s="1435"/>
      <c r="Z1861" s="1435"/>
    </row>
    <row r="1862" spans="2:37" ht="12.75" customHeight="1">
      <c r="B1862" s="479"/>
      <c r="C1862" s="977"/>
      <c r="D1862" s="981"/>
      <c r="E1862" s="2676" t="s">
        <v>1557</v>
      </c>
      <c r="F1862" s="2391"/>
      <c r="G1862" s="2391"/>
      <c r="H1862" s="2391"/>
      <c r="I1862" s="2391"/>
      <c r="J1862" s="2391"/>
      <c r="K1862" s="2391"/>
      <c r="L1862" s="2391"/>
      <c r="M1862" s="2391"/>
      <c r="N1862" s="2650"/>
      <c r="O1862" s="485"/>
      <c r="P1862" s="485"/>
      <c r="Q1862" s="1435"/>
      <c r="S1862" s="1435"/>
      <c r="T1862" s="1435"/>
      <c r="U1862" s="1435"/>
      <c r="V1862" s="1435"/>
      <c r="W1862" s="1435"/>
      <c r="X1862" s="1435"/>
      <c r="Y1862" s="1435"/>
      <c r="Z1862" s="1435"/>
    </row>
    <row r="1863" spans="2:37" ht="12.75" customHeight="1" thickBot="1">
      <c r="B1863" s="479"/>
      <c r="C1863" s="977"/>
      <c r="D1863" s="981"/>
      <c r="E1863" s="989"/>
      <c r="F1863" s="990"/>
      <c r="G1863" s="987" t="str">
        <f>EUconst_Unit</f>
        <v>Unit</v>
      </c>
      <c r="H1863" s="782">
        <f t="shared" ref="H1863:N1863" si="870">H$3242</f>
        <v>2024</v>
      </c>
      <c r="I1863" s="988">
        <f t="shared" si="870"/>
        <v>2025</v>
      </c>
      <c r="J1863" s="1810">
        <f t="shared" si="870"/>
        <v>2026</v>
      </c>
      <c r="K1863" s="1747">
        <f t="shared" si="870"/>
        <v>2027</v>
      </c>
      <c r="L1863" s="1747">
        <f t="shared" si="870"/>
        <v>2028</v>
      </c>
      <c r="M1863" s="1747">
        <f t="shared" si="870"/>
        <v>2029</v>
      </c>
      <c r="N1863" s="1748">
        <f t="shared" si="870"/>
        <v>2030</v>
      </c>
      <c r="O1863" s="485"/>
      <c r="P1863" s="485"/>
      <c r="Q1863" s="1435"/>
      <c r="S1863" s="1435"/>
      <c r="T1863" s="1435"/>
      <c r="U1863" s="1435"/>
      <c r="V1863" s="1435"/>
      <c r="W1863" s="1435"/>
      <c r="X1863" s="1435"/>
      <c r="Y1863" s="1435"/>
      <c r="Z1863" s="1435"/>
      <c r="AC1863" s="1638">
        <f t="shared" ref="AC1863:AI1863" si="871">H$20</f>
        <v>2024</v>
      </c>
      <c r="AD1863" s="1638">
        <f t="shared" si="871"/>
        <v>2025</v>
      </c>
      <c r="AE1863" s="1638">
        <f t="shared" si="871"/>
        <v>2026</v>
      </c>
      <c r="AF1863" s="1638">
        <f t="shared" si="871"/>
        <v>2027</v>
      </c>
      <c r="AG1863" s="1638">
        <f t="shared" si="871"/>
        <v>2028</v>
      </c>
      <c r="AH1863" s="1638">
        <f t="shared" si="871"/>
        <v>2029</v>
      </c>
      <c r="AI1863" s="1638">
        <f t="shared" si="871"/>
        <v>2030</v>
      </c>
    </row>
    <row r="1864" spans="2:37" ht="12.75" customHeight="1">
      <c r="B1864" s="479"/>
      <c r="C1864" s="977"/>
      <c r="D1864" s="777" t="s">
        <v>790</v>
      </c>
      <c r="E1864" s="2471" t="s">
        <v>1306</v>
      </c>
      <c r="F1864" s="2472"/>
      <c r="G1864" s="1763" t="str">
        <f>c_ALR2025!G4450</f>
        <v/>
      </c>
      <c r="H1864" s="1552" t="str">
        <f>c_ALR2025!M4450</f>
        <v/>
      </c>
      <c r="I1864" s="1611"/>
      <c r="J1864" s="1811"/>
      <c r="K1864" s="1751"/>
      <c r="L1864" s="1751"/>
      <c r="M1864" s="1751"/>
      <c r="N1864" s="1752"/>
      <c r="O1864" s="485"/>
      <c r="P1864" s="9">
        <v>0</v>
      </c>
      <c r="Q1864" s="1435"/>
      <c r="S1864" s="1435"/>
      <c r="T1864" s="1435"/>
      <c r="U1864" s="1435"/>
      <c r="V1864" s="1435"/>
      <c r="W1864" s="1435"/>
      <c r="X1864" s="1435"/>
      <c r="Y1864" s="1435"/>
      <c r="Z1864" s="1435"/>
      <c r="AB1864" s="1641" t="s">
        <v>717</v>
      </c>
      <c r="AC1864" s="1443" t="b">
        <f>AC1855</f>
        <v>0</v>
      </c>
      <c r="AD1864" s="1443" t="b">
        <f t="shared" ref="AD1864:AI1864" si="872">AD1855</f>
        <v>0</v>
      </c>
      <c r="AE1864" s="1443" t="b">
        <f t="shared" si="872"/>
        <v>0</v>
      </c>
      <c r="AF1864" s="1443" t="b">
        <f t="shared" si="872"/>
        <v>0</v>
      </c>
      <c r="AG1864" s="1443" t="b">
        <f t="shared" si="872"/>
        <v>0</v>
      </c>
      <c r="AH1864" s="1443" t="b">
        <f t="shared" si="872"/>
        <v>0</v>
      </c>
      <c r="AI1864" s="1443" t="b">
        <f t="shared" si="872"/>
        <v>0</v>
      </c>
      <c r="AJ1864" s="1633" t="s">
        <v>1954</v>
      </c>
      <c r="AK1864" s="1635" t="str">
        <f>IF(AND(CNTR_ExistSubInstEntries,MSconst_RequireSubAttrEmissions,COUNTIFS(AC1864:AI1864,FALSE,H1864:N1864,"")&gt;0),EUconst_Error&amp;"BM"&amp;$Q1623,"")</f>
        <v/>
      </c>
    </row>
    <row r="1865" spans="2:37" ht="12.75" customHeight="1">
      <c r="B1865" s="479"/>
      <c r="C1865" s="977"/>
      <c r="D1865" s="777" t="s">
        <v>791</v>
      </c>
      <c r="E1865" s="2473" t="s">
        <v>661</v>
      </c>
      <c r="F1865" s="2474"/>
      <c r="G1865" s="1008" t="e">
        <f>IF(ISBLANK(G1864),EUconst_GJperUnit,INDEX(EUconst_GJperTorKNm3,MATCH(G1864,EUconst_TonnesOrkNm3pa,0)))</f>
        <v>#N/A</v>
      </c>
      <c r="H1865" s="1558" t="str">
        <f>c_ALR2025!M4451</f>
        <v/>
      </c>
      <c r="I1865" s="1884"/>
      <c r="J1865" s="1811"/>
      <c r="K1865" s="1751"/>
      <c r="L1865" s="1751"/>
      <c r="M1865" s="1751"/>
      <c r="N1865" s="1752"/>
      <c r="O1865" s="485"/>
      <c r="P1865" s="9">
        <v>0</v>
      </c>
      <c r="S1865" s="1435"/>
      <c r="T1865" s="1435"/>
      <c r="U1865" s="1435"/>
      <c r="V1865" s="1435"/>
      <c r="W1865" s="1435"/>
      <c r="X1865" s="1435"/>
      <c r="Y1865" s="1435"/>
      <c r="Z1865" s="1435"/>
      <c r="AC1865" s="1443" t="b">
        <f>AC1864</f>
        <v>0</v>
      </c>
      <c r="AD1865" s="1443" t="b">
        <f t="shared" ref="AD1865:AI1865" si="873">AD1864</f>
        <v>0</v>
      </c>
      <c r="AE1865" s="1443" t="b">
        <f t="shared" si="873"/>
        <v>0</v>
      </c>
      <c r="AF1865" s="1443" t="b">
        <f t="shared" si="873"/>
        <v>0</v>
      </c>
      <c r="AG1865" s="1443" t="b">
        <f t="shared" si="873"/>
        <v>0</v>
      </c>
      <c r="AH1865" s="1443" t="b">
        <f t="shared" si="873"/>
        <v>0</v>
      </c>
      <c r="AI1865" s="1443" t="b">
        <f t="shared" si="873"/>
        <v>0</v>
      </c>
      <c r="AJ1865" s="1633" t="s">
        <v>1954</v>
      </c>
      <c r="AK1865" s="1635" t="str">
        <f>IF(AND(CNTR_ExistSubInstEntries,MSconst_RequireSubAttrEmissions,COUNTIFS(AC1865:AI1865,FALSE,H1865:N1865,"")&gt;0),EUconst_Error&amp;"BM"&amp;$Q1623,"")</f>
        <v/>
      </c>
    </row>
    <row r="1866" spans="2:37" ht="12.75" customHeight="1">
      <c r="B1866" s="479"/>
      <c r="C1866" s="977"/>
      <c r="D1866" s="777" t="s">
        <v>64</v>
      </c>
      <c r="E1866" s="2475" t="s">
        <v>1309</v>
      </c>
      <c r="F1866" s="2410"/>
      <c r="G1866" s="815" t="str">
        <f>EUconst_TJpa</f>
        <v>TJ / year</v>
      </c>
      <c r="H1866" s="1005" t="str">
        <f t="shared" ref="H1866:N1866" si="874">IF(COUNT(H1864:H1865)=2,H1864*H1865/1000,"")</f>
        <v/>
      </c>
      <c r="I1866" s="1006" t="str">
        <f t="shared" si="874"/>
        <v/>
      </c>
      <c r="J1866" s="1811" t="str">
        <f t="shared" si="874"/>
        <v/>
      </c>
      <c r="K1866" s="1751" t="str">
        <f t="shared" si="874"/>
        <v/>
      </c>
      <c r="L1866" s="1751" t="str">
        <f t="shared" si="874"/>
        <v/>
      </c>
      <c r="M1866" s="1751" t="str">
        <f t="shared" si="874"/>
        <v/>
      </c>
      <c r="N1866" s="1752" t="str">
        <f t="shared" si="874"/>
        <v/>
      </c>
      <c r="O1866" s="485"/>
      <c r="P1866" s="485"/>
      <c r="Q1866" s="1644" t="str">
        <f>EUconst_CNTR_WGConsumed &amp; I1623</f>
        <v>WasteGasCons_</v>
      </c>
      <c r="S1866" s="1435"/>
      <c r="T1866" s="1435"/>
      <c r="U1866" s="1435"/>
      <c r="V1866" s="1435"/>
      <c r="W1866" s="1435"/>
      <c r="X1866" s="1435"/>
      <c r="Y1866" s="1435"/>
      <c r="Z1866" s="1435"/>
    </row>
    <row r="1867" spans="2:37" ht="12.75" customHeight="1">
      <c r="B1867" s="479"/>
      <c r="C1867" s="977"/>
      <c r="D1867" s="777" t="s">
        <v>65</v>
      </c>
      <c r="E1867" s="2475" t="s">
        <v>1307</v>
      </c>
      <c r="F1867" s="2410"/>
      <c r="G1867" s="815" t="str">
        <f>EUconst_tCO2pTJ</f>
        <v>t CO2 / TJ</v>
      </c>
      <c r="H1867" s="1479" t="str">
        <f>c_ALR2025!M4453</f>
        <v/>
      </c>
      <c r="I1867" s="1532"/>
      <c r="J1867" s="1811"/>
      <c r="K1867" s="1751"/>
      <c r="L1867" s="1751"/>
      <c r="M1867" s="1751"/>
      <c r="N1867" s="1752"/>
      <c r="O1867" s="485"/>
      <c r="P1867" s="9">
        <v>0</v>
      </c>
      <c r="Q1867" s="1644" t="str">
        <f>EUconst_CNTR_WGConsumedEF &amp; I1623</f>
        <v>WasteGasConsEF_</v>
      </c>
      <c r="S1867" s="1435"/>
      <c r="T1867" s="1435"/>
      <c r="U1867" s="1435"/>
      <c r="V1867" s="1435"/>
      <c r="W1867" s="1435"/>
      <c r="X1867" s="1435"/>
      <c r="Y1867" s="1435"/>
      <c r="Z1867" s="1435"/>
      <c r="AB1867" s="1641" t="s">
        <v>717</v>
      </c>
      <c r="AC1867" s="1443" t="b">
        <f>AC1865</f>
        <v>0</v>
      </c>
      <c r="AD1867" s="1443" t="b">
        <f t="shared" ref="AD1867:AI1867" si="875">AD1865</f>
        <v>0</v>
      </c>
      <c r="AE1867" s="1443" t="b">
        <f t="shared" si="875"/>
        <v>0</v>
      </c>
      <c r="AF1867" s="1443" t="b">
        <f t="shared" si="875"/>
        <v>0</v>
      </c>
      <c r="AG1867" s="1443" t="b">
        <f t="shared" si="875"/>
        <v>0</v>
      </c>
      <c r="AH1867" s="1443" t="b">
        <f t="shared" si="875"/>
        <v>0</v>
      </c>
      <c r="AI1867" s="1443" t="b">
        <f t="shared" si="875"/>
        <v>0</v>
      </c>
      <c r="AJ1867" s="1633" t="s">
        <v>1954</v>
      </c>
      <c r="AK1867" s="1635" t="str">
        <f>IF(AND(CNTR_ExistSubInstEntries,MSconst_RequireSubAttrEmissions,COUNTIFS(AC1867:AI1867,FALSE,H1867:N1867,"")&gt;0),EUconst_Error&amp;"BM"&amp;$Q1623,"")</f>
        <v/>
      </c>
    </row>
    <row r="1868" spans="2:37" ht="12.75" customHeight="1">
      <c r="B1868" s="479"/>
      <c r="C1868" s="977"/>
      <c r="D1868" s="981"/>
      <c r="E1868" s="981"/>
      <c r="F1868" s="981"/>
      <c r="G1868" s="981"/>
      <c r="H1868" s="983"/>
      <c r="I1868" s="981"/>
      <c r="J1868" s="981"/>
      <c r="K1868" s="981"/>
      <c r="L1868" s="981"/>
      <c r="M1868" s="813"/>
      <c r="N1868" s="814"/>
      <c r="O1868" s="485"/>
      <c r="P1868" s="485"/>
      <c r="Q1868" s="1435"/>
      <c r="S1868" s="1435"/>
      <c r="T1868" s="1435"/>
      <c r="U1868" s="1435"/>
      <c r="V1868" s="1435"/>
    </row>
    <row r="1869" spans="2:37" ht="12.75" customHeight="1">
      <c r="B1869" s="479"/>
      <c r="C1869" s="977"/>
      <c r="D1869" s="777" t="s">
        <v>66</v>
      </c>
      <c r="E1869" s="2649" t="s">
        <v>1287</v>
      </c>
      <c r="F1869" s="2391"/>
      <c r="G1869" s="2391"/>
      <c r="H1869" s="2512"/>
      <c r="I1869" s="3211" t="str">
        <f>c_ALR2025!I4455</f>
        <v/>
      </c>
      <c r="J1869" s="3206"/>
      <c r="K1869" s="3206"/>
      <c r="L1869" s="3206"/>
      <c r="M1869" s="3207"/>
      <c r="N1869" s="979"/>
      <c r="O1869" s="485"/>
      <c r="P1869" s="9">
        <v>0</v>
      </c>
      <c r="Q1869" s="1435"/>
      <c r="S1869" s="1435"/>
      <c r="AC1869" s="1641" t="s">
        <v>717</v>
      </c>
      <c r="AD1869" s="1443" t="b">
        <f>AD1860</f>
        <v>0</v>
      </c>
    </row>
    <row r="1870" spans="2:37" ht="12.75" customHeight="1">
      <c r="B1870" s="479"/>
      <c r="C1870" s="977"/>
      <c r="D1870" s="777"/>
      <c r="E1870" s="3267" t="s">
        <v>1476</v>
      </c>
      <c r="F1870" s="2380"/>
      <c r="G1870" s="2380"/>
      <c r="H1870" s="2380"/>
      <c r="I1870" s="2380"/>
      <c r="J1870" s="2380"/>
      <c r="K1870" s="2380"/>
      <c r="L1870" s="2380"/>
      <c r="M1870" s="2380"/>
      <c r="N1870" s="3268"/>
      <c r="O1870" s="485"/>
      <c r="P1870" s="485"/>
      <c r="Q1870" s="1435"/>
      <c r="T1870" s="1435"/>
      <c r="U1870" s="1435"/>
      <c r="V1870" s="1435"/>
    </row>
    <row r="1871" spans="2:37" ht="12.75" customHeight="1">
      <c r="B1871" s="479"/>
      <c r="C1871" s="977"/>
      <c r="D1871" s="981"/>
      <c r="E1871" s="3267" t="s">
        <v>1558</v>
      </c>
      <c r="F1871" s="2380"/>
      <c r="G1871" s="2380"/>
      <c r="H1871" s="2380"/>
      <c r="I1871" s="2380"/>
      <c r="J1871" s="2380"/>
      <c r="K1871" s="2380"/>
      <c r="L1871" s="2380"/>
      <c r="M1871" s="2380"/>
      <c r="N1871" s="3268"/>
      <c r="O1871" s="485"/>
      <c r="P1871" s="485"/>
      <c r="Q1871" s="1435"/>
      <c r="S1871" s="1435"/>
      <c r="T1871" s="1435"/>
      <c r="U1871" s="1435"/>
      <c r="V1871" s="1435"/>
    </row>
    <row r="1872" spans="2:37" ht="12.75" customHeight="1">
      <c r="B1872" s="479"/>
      <c r="C1872" s="977"/>
      <c r="D1872" s="981"/>
      <c r="E1872" s="3272" t="s">
        <v>1559</v>
      </c>
      <c r="F1872" s="2380"/>
      <c r="G1872" s="2380"/>
      <c r="H1872" s="2380"/>
      <c r="I1872" s="2380"/>
      <c r="J1872" s="2380"/>
      <c r="K1872" s="2380"/>
      <c r="L1872" s="2380"/>
      <c r="M1872" s="2380"/>
      <c r="N1872" s="3268"/>
      <c r="O1872" s="485"/>
      <c r="P1872" s="485"/>
      <c r="Q1872" s="1435"/>
      <c r="S1872" s="1435"/>
      <c r="T1872" s="1435"/>
      <c r="U1872" s="1435"/>
      <c r="V1872" s="1435"/>
      <c r="W1872" s="1435"/>
      <c r="X1872" s="1435"/>
      <c r="Y1872" s="1435"/>
      <c r="Z1872" s="1435"/>
    </row>
    <row r="1873" spans="1:37" ht="12.75" customHeight="1" thickBot="1">
      <c r="B1873" s="479"/>
      <c r="C1873" s="977"/>
      <c r="D1873" s="981"/>
      <c r="E1873" s="989"/>
      <c r="F1873" s="990"/>
      <c r="G1873" s="987" t="str">
        <f>EUconst_Unit</f>
        <v>Unit</v>
      </c>
      <c r="H1873" s="782">
        <f t="shared" ref="H1873:N1873" si="876">H$3242</f>
        <v>2024</v>
      </c>
      <c r="I1873" s="988">
        <f t="shared" si="876"/>
        <v>2025</v>
      </c>
      <c r="J1873" s="1810">
        <f t="shared" si="876"/>
        <v>2026</v>
      </c>
      <c r="K1873" s="1747">
        <f t="shared" si="876"/>
        <v>2027</v>
      </c>
      <c r="L1873" s="1747">
        <f t="shared" si="876"/>
        <v>2028</v>
      </c>
      <c r="M1873" s="1747">
        <f t="shared" si="876"/>
        <v>2029</v>
      </c>
      <c r="N1873" s="1748">
        <f t="shared" si="876"/>
        <v>2030</v>
      </c>
      <c r="O1873" s="485"/>
      <c r="P1873" s="485"/>
      <c r="Q1873" s="1435"/>
      <c r="S1873" s="1435"/>
      <c r="T1873" s="1435"/>
      <c r="U1873" s="1435"/>
      <c r="V1873" s="1435"/>
      <c r="W1873" s="1435"/>
      <c r="X1873" s="1435"/>
      <c r="Y1873" s="1435"/>
      <c r="Z1873" s="1435"/>
      <c r="AC1873" s="1638">
        <f t="shared" ref="AC1873:AI1873" si="877">H$20</f>
        <v>2024</v>
      </c>
      <c r="AD1873" s="1638">
        <f t="shared" si="877"/>
        <v>2025</v>
      </c>
      <c r="AE1873" s="1638">
        <f t="shared" si="877"/>
        <v>2026</v>
      </c>
      <c r="AF1873" s="1638">
        <f t="shared" si="877"/>
        <v>2027</v>
      </c>
      <c r="AG1873" s="1638">
        <f t="shared" si="877"/>
        <v>2028</v>
      </c>
      <c r="AH1873" s="1638">
        <f t="shared" si="877"/>
        <v>2029</v>
      </c>
      <c r="AI1873" s="1638">
        <f t="shared" si="877"/>
        <v>2030</v>
      </c>
    </row>
    <row r="1874" spans="1:37" ht="12.75" customHeight="1">
      <c r="B1874" s="479"/>
      <c r="C1874" s="977"/>
      <c r="D1874" s="777" t="s">
        <v>1105</v>
      </c>
      <c r="E1874" s="2471" t="s">
        <v>1302</v>
      </c>
      <c r="F1874" s="2472"/>
      <c r="G1874" s="1763" t="str">
        <f>c_ALR2025!G4460</f>
        <v/>
      </c>
      <c r="H1874" s="1552" t="str">
        <f>c_ALR2025!M4460</f>
        <v/>
      </c>
      <c r="I1874" s="1611"/>
      <c r="J1874" s="1811"/>
      <c r="K1874" s="1751"/>
      <c r="L1874" s="1751"/>
      <c r="M1874" s="1751"/>
      <c r="N1874" s="1752"/>
      <c r="O1874" s="485"/>
      <c r="P1874" s="9">
        <v>0</v>
      </c>
      <c r="Q1874" s="1435"/>
      <c r="S1874" s="1435"/>
      <c r="T1874" s="1435"/>
      <c r="U1874" s="1435"/>
      <c r="V1874" s="1435"/>
      <c r="W1874" s="1435"/>
      <c r="X1874" s="1435"/>
      <c r="Y1874" s="1435"/>
      <c r="Z1874" s="1435"/>
      <c r="AB1874" s="1641" t="s">
        <v>717</v>
      </c>
      <c r="AC1874" s="1443" t="b">
        <f>AC1864</f>
        <v>0</v>
      </c>
      <c r="AD1874" s="1443" t="b">
        <f t="shared" ref="AD1874:AI1874" si="878">AD1864</f>
        <v>0</v>
      </c>
      <c r="AE1874" s="1443" t="b">
        <f t="shared" si="878"/>
        <v>0</v>
      </c>
      <c r="AF1874" s="1443" t="b">
        <f t="shared" si="878"/>
        <v>0</v>
      </c>
      <c r="AG1874" s="1443" t="b">
        <f t="shared" si="878"/>
        <v>0</v>
      </c>
      <c r="AH1874" s="1443" t="b">
        <f t="shared" si="878"/>
        <v>0</v>
      </c>
      <c r="AI1874" s="1443" t="b">
        <f t="shared" si="878"/>
        <v>0</v>
      </c>
      <c r="AJ1874" s="1633" t="s">
        <v>1954</v>
      </c>
      <c r="AK1874" s="1635" t="str">
        <f>IF(AND(CNTR_ExistSubInstEntries,MSconst_RequireSubAttrEmissions,COUNTIFS(AC1874:AI1874,FALSE,H1874:N1874,"")&gt;0),EUconst_Error&amp;"BM"&amp;$Q1623,"")</f>
        <v/>
      </c>
    </row>
    <row r="1875" spans="1:37" ht="12.75" customHeight="1">
      <c r="B1875" s="479"/>
      <c r="C1875" s="977"/>
      <c r="D1875" s="777" t="s">
        <v>1106</v>
      </c>
      <c r="E1875" s="2473" t="s">
        <v>661</v>
      </c>
      <c r="F1875" s="2474"/>
      <c r="G1875" s="1008" t="e">
        <f>IF(ISBLANK(G1874),EUconst_GJperUnit,INDEX(EUconst_GJperTorKNm3,MATCH(G1874,EUconst_TonnesOrkNm3pa,0)))</f>
        <v>#N/A</v>
      </c>
      <c r="H1875" s="1558" t="str">
        <f>c_ALR2025!M4461</f>
        <v/>
      </c>
      <c r="I1875" s="1884"/>
      <c r="J1875" s="1811"/>
      <c r="K1875" s="1751"/>
      <c r="L1875" s="1751"/>
      <c r="M1875" s="1751"/>
      <c r="N1875" s="1752"/>
      <c r="O1875" s="485"/>
      <c r="P1875" s="9">
        <v>0</v>
      </c>
      <c r="S1875" s="1435"/>
      <c r="T1875" s="1435"/>
      <c r="U1875" s="1435"/>
      <c r="V1875" s="1435"/>
      <c r="W1875" s="1435"/>
      <c r="X1875" s="1435"/>
      <c r="Y1875" s="1435"/>
      <c r="Z1875" s="1435"/>
      <c r="AC1875" s="1443" t="b">
        <f>AC1874</f>
        <v>0</v>
      </c>
      <c r="AD1875" s="1443" t="b">
        <f t="shared" ref="AD1875:AI1875" si="879">AD1874</f>
        <v>0</v>
      </c>
      <c r="AE1875" s="1443" t="b">
        <f t="shared" si="879"/>
        <v>0</v>
      </c>
      <c r="AF1875" s="1443" t="b">
        <f t="shared" si="879"/>
        <v>0</v>
      </c>
      <c r="AG1875" s="1443" t="b">
        <f t="shared" si="879"/>
        <v>0</v>
      </c>
      <c r="AH1875" s="1443" t="b">
        <f t="shared" si="879"/>
        <v>0</v>
      </c>
      <c r="AI1875" s="1443" t="b">
        <f t="shared" si="879"/>
        <v>0</v>
      </c>
      <c r="AJ1875" s="1633" t="s">
        <v>1954</v>
      </c>
      <c r="AK1875" s="1635" t="str">
        <f>IF(AND(CNTR_ExistSubInstEntries,MSconst_RequireSubAttrEmissions,COUNTIFS(AC1875:AI1875,FALSE,H1875:N1875,"")&gt;0),EUconst_Error&amp;"BM"&amp;$Q1623,"")</f>
        <v/>
      </c>
    </row>
    <row r="1876" spans="1:37" ht="12.75" customHeight="1">
      <c r="B1876" s="479"/>
      <c r="C1876" s="977"/>
      <c r="D1876" s="777" t="s">
        <v>1107</v>
      </c>
      <c r="E1876" s="2475" t="s">
        <v>1288</v>
      </c>
      <c r="F1876" s="2410"/>
      <c r="G1876" s="815" t="str">
        <f>EUconst_TJpa</f>
        <v>TJ / year</v>
      </c>
      <c r="H1876" s="1005" t="str">
        <f t="shared" ref="H1876:N1876" si="880">IF(COUNT(H1874:H1875)=2,H1874*H1875/1000,"")</f>
        <v/>
      </c>
      <c r="I1876" s="1006" t="str">
        <f t="shared" si="880"/>
        <v/>
      </c>
      <c r="J1876" s="1811" t="str">
        <f t="shared" si="880"/>
        <v/>
      </c>
      <c r="K1876" s="1751" t="str">
        <f t="shared" si="880"/>
        <v/>
      </c>
      <c r="L1876" s="1751" t="str">
        <f t="shared" si="880"/>
        <v/>
      </c>
      <c r="M1876" s="1751" t="str">
        <f t="shared" si="880"/>
        <v/>
      </c>
      <c r="N1876" s="1752" t="str">
        <f t="shared" si="880"/>
        <v/>
      </c>
      <c r="O1876" s="485"/>
      <c r="P1876" s="485"/>
      <c r="Q1876" s="1644" t="str">
        <f>EUconst_CNTR_WGFlared &amp; I1623</f>
        <v>WasteGasFlare_</v>
      </c>
      <c r="S1876" s="1435"/>
      <c r="T1876" s="1435"/>
      <c r="U1876" s="1435"/>
      <c r="V1876" s="1435"/>
      <c r="W1876" s="1435"/>
      <c r="X1876" s="1435"/>
      <c r="Y1876" s="1435"/>
      <c r="Z1876" s="1435"/>
    </row>
    <row r="1877" spans="1:37" ht="12.75" customHeight="1">
      <c r="B1877" s="479"/>
      <c r="C1877" s="977"/>
      <c r="D1877" s="777" t="s">
        <v>1108</v>
      </c>
      <c r="E1877" s="2475" t="s">
        <v>1308</v>
      </c>
      <c r="F1877" s="2410"/>
      <c r="G1877" s="815" t="str">
        <f>EUconst_tCO2pTJ</f>
        <v>t CO2 / TJ</v>
      </c>
      <c r="H1877" s="1479" t="str">
        <f>c_ALR2025!M4463</f>
        <v/>
      </c>
      <c r="I1877" s="1532"/>
      <c r="J1877" s="1811"/>
      <c r="K1877" s="1751"/>
      <c r="L1877" s="1751"/>
      <c r="M1877" s="1751"/>
      <c r="N1877" s="1752"/>
      <c r="O1877" s="485"/>
      <c r="P1877" s="9">
        <v>0</v>
      </c>
      <c r="Q1877" s="1644" t="str">
        <f>EUconst_CNTR_WGFlaredEF &amp; I1623</f>
        <v>WasteGasFlareEF_</v>
      </c>
      <c r="S1877" s="1435"/>
      <c r="T1877" s="1435"/>
      <c r="U1877" s="1435"/>
      <c r="V1877" s="1435"/>
      <c r="W1877" s="1435"/>
      <c r="X1877" s="1435"/>
      <c r="Y1877" s="1435"/>
      <c r="Z1877" s="1435"/>
      <c r="AB1877" s="1641" t="s">
        <v>717</v>
      </c>
      <c r="AC1877" s="1443" t="b">
        <f>AC1875</f>
        <v>0</v>
      </c>
      <c r="AD1877" s="1443" t="b">
        <f t="shared" ref="AD1877:AI1877" si="881">AD1875</f>
        <v>0</v>
      </c>
      <c r="AE1877" s="1443" t="b">
        <f t="shared" si="881"/>
        <v>0</v>
      </c>
      <c r="AF1877" s="1443" t="b">
        <f t="shared" si="881"/>
        <v>0</v>
      </c>
      <c r="AG1877" s="1443" t="b">
        <f t="shared" si="881"/>
        <v>0</v>
      </c>
      <c r="AH1877" s="1443" t="b">
        <f t="shared" si="881"/>
        <v>0</v>
      </c>
      <c r="AI1877" s="1443" t="b">
        <f t="shared" si="881"/>
        <v>0</v>
      </c>
      <c r="AJ1877" s="1633" t="s">
        <v>1954</v>
      </c>
      <c r="AK1877" s="1635" t="str">
        <f>IF(AND(CNTR_ExistSubInstEntries,MSconst_RequireSubAttrEmissions,COUNTIFS(AC1877:AI1877,FALSE,H1877:N1877,"")&gt;0),EUconst_Error&amp;"BM"&amp;$Q1623,"")</f>
        <v/>
      </c>
    </row>
    <row r="1878" spans="1:37" ht="5.0999999999999996" customHeight="1" thickBot="1">
      <c r="B1878" s="479"/>
      <c r="C1878" s="977"/>
      <c r="D1878" s="981"/>
      <c r="E1878" s="981"/>
      <c r="F1878" s="981"/>
      <c r="G1878" s="981"/>
      <c r="H1878" s="983"/>
      <c r="I1878" s="981"/>
      <c r="J1878" s="1815"/>
      <c r="K1878" s="1760"/>
      <c r="L1878" s="1760"/>
      <c r="M1878" s="1760"/>
      <c r="N1878" s="1761"/>
      <c r="O1878" s="485"/>
      <c r="P1878" s="485"/>
      <c r="Q1878" s="1435"/>
      <c r="S1878" s="1435"/>
      <c r="T1878" s="1435"/>
      <c r="U1878" s="1435"/>
      <c r="V1878" s="1435"/>
    </row>
    <row r="1879" spans="1:37" ht="12.75" customHeight="1" thickBot="1">
      <c r="B1879" s="479"/>
      <c r="C1879" s="977"/>
      <c r="D1879" s="981"/>
      <c r="E1879" s="2475" t="s">
        <v>1844</v>
      </c>
      <c r="F1879" s="2475"/>
      <c r="G1879" s="1009" t="str">
        <f>EUconst_tCO2</f>
        <v>t CO2</v>
      </c>
      <c r="H1879" s="638" t="str">
        <f t="shared" ref="H1879:N1879" si="882">IF(T1631,SUM(H1876)*SUM(H1877),"")</f>
        <v/>
      </c>
      <c r="I1879" s="684" t="str">
        <f t="shared" si="882"/>
        <v/>
      </c>
      <c r="J1879" s="1815" t="str">
        <f t="shared" si="882"/>
        <v/>
      </c>
      <c r="K1879" s="1760" t="str">
        <f t="shared" si="882"/>
        <v/>
      </c>
      <c r="L1879" s="1760" t="str">
        <f t="shared" si="882"/>
        <v/>
      </c>
      <c r="M1879" s="1760" t="str">
        <f t="shared" si="882"/>
        <v/>
      </c>
      <c r="N1879" s="1761" t="str">
        <f t="shared" si="882"/>
        <v/>
      </c>
      <c r="O1879" s="485"/>
      <c r="P1879" s="485"/>
      <c r="Q1879" s="1644" t="str">
        <f>EUconst_CNTR_HAL &amp; EUconst_CNTR_WGFlared &amp; I1623</f>
        <v>HAL_WasteGasFlare_</v>
      </c>
      <c r="S1879" s="1633" t="s">
        <v>1758</v>
      </c>
      <c r="T1879" s="1629" t="b">
        <f>CNTR_SubPeriod=2</f>
        <v>1</v>
      </c>
      <c r="U1879" s="1435"/>
      <c r="V1879" s="1435"/>
    </row>
    <row r="1880" spans="1:37" ht="5.0999999999999996" customHeight="1" thickBot="1">
      <c r="B1880" s="479"/>
      <c r="C1880" s="977"/>
      <c r="D1880" s="981"/>
      <c r="E1880" s="981"/>
      <c r="F1880" s="981"/>
      <c r="G1880" s="981"/>
      <c r="H1880" s="983"/>
      <c r="I1880" s="981"/>
      <c r="J1880" s="1815"/>
      <c r="K1880" s="1760"/>
      <c r="L1880" s="1760"/>
      <c r="M1880" s="1760"/>
      <c r="N1880" s="1761"/>
      <c r="O1880" s="485"/>
      <c r="P1880" s="485"/>
      <c r="Q1880" s="1435"/>
      <c r="S1880" s="1435"/>
      <c r="T1880" s="1435"/>
      <c r="U1880" s="1435"/>
      <c r="V1880" s="1435"/>
    </row>
    <row r="1881" spans="1:37" ht="5.0999999999999996" customHeight="1" thickBot="1">
      <c r="B1881" s="479"/>
      <c r="C1881" s="977"/>
      <c r="D1881" s="1010"/>
      <c r="E1881" s="1011"/>
      <c r="F1881" s="1011"/>
      <c r="G1881" s="1011"/>
      <c r="H1881" s="1012"/>
      <c r="I1881" s="1011"/>
      <c r="J1881" s="1765"/>
      <c r="K1881" s="1760"/>
      <c r="L1881" s="1760"/>
      <c r="M1881" s="1760"/>
      <c r="N1881" s="1761"/>
      <c r="O1881" s="485"/>
      <c r="P1881" s="485"/>
      <c r="Q1881" s="1435"/>
      <c r="S1881" s="1435"/>
      <c r="T1881" s="1435"/>
      <c r="U1881" s="1435"/>
      <c r="V1881" s="1435"/>
    </row>
    <row r="1882" spans="1:37" ht="12.75" customHeight="1">
      <c r="B1882" s="479"/>
      <c r="C1882" s="977"/>
      <c r="D1882" s="907" t="s">
        <v>1917</v>
      </c>
      <c r="E1882" s="2713" t="s">
        <v>1773</v>
      </c>
      <c r="F1882" s="2493"/>
      <c r="G1882" s="2493"/>
      <c r="H1882" s="910" t="str">
        <f>EUconst_Unit</f>
        <v>Unit</v>
      </c>
      <c r="I1882" s="911" t="s">
        <v>2220</v>
      </c>
      <c r="J1882" s="1647">
        <f>J$3242</f>
        <v>2026</v>
      </c>
      <c r="K1882" s="1747">
        <f>K$3242</f>
        <v>2027</v>
      </c>
      <c r="L1882" s="1747">
        <f>L$3242</f>
        <v>2028</v>
      </c>
      <c r="M1882" s="1747">
        <f>M$3242</f>
        <v>2029</v>
      </c>
      <c r="N1882" s="1748">
        <f>N$3242</f>
        <v>2030</v>
      </c>
      <c r="O1882" s="485"/>
      <c r="P1882" s="485"/>
      <c r="Q1882" s="1435"/>
      <c r="U1882" s="1648"/>
      <c r="V1882" s="1649">
        <f>J1882</f>
        <v>2026</v>
      </c>
      <c r="W1882" s="1649">
        <f>K1882</f>
        <v>2027</v>
      </c>
      <c r="X1882" s="1649">
        <f>L1882</f>
        <v>2028</v>
      </c>
      <c r="Y1882" s="1649">
        <f>M1882</f>
        <v>2029</v>
      </c>
      <c r="Z1882" s="1650">
        <f>N1882</f>
        <v>2030</v>
      </c>
    </row>
    <row r="1883" spans="1:37" ht="12.75" customHeight="1">
      <c r="B1883" s="479"/>
      <c r="C1883" s="977"/>
      <c r="D1883" s="915" t="s">
        <v>6</v>
      </c>
      <c r="E1883" s="2714" t="s">
        <v>1691</v>
      </c>
      <c r="F1883" s="2410"/>
      <c r="G1883" s="2410"/>
      <c r="H1883" s="944" t="str">
        <f>G1879</f>
        <v>t CO2</v>
      </c>
      <c r="I1883" s="917" t="str">
        <f>INDEX('B+C_SubInstallations'!$K:$K,MATCH(Q1883,'B+C_SubInstallations'!$V:$V,0))</f>
        <v/>
      </c>
      <c r="J1883" s="1703" t="str">
        <f>IF($T1879&lt;&gt;TRUE,"",IF(AND(V1883&gt;=3,CNTR_ReportingYear&gt;J1882-1),AVERAGE(SUM(H1879),SUM(I1879)),""))</f>
        <v/>
      </c>
      <c r="K1883" s="1766" t="str">
        <f>IF($T1879&lt;&gt;TRUE,"",IF(AND(W1883&gt;=3,CNTR_ReportingYear&gt;K1882-1),AVERAGE(SUM(I1879),SUM(J1879)),""))</f>
        <v/>
      </c>
      <c r="L1883" s="1766" t="str">
        <f>IF($T1879&lt;&gt;TRUE,"",IF(AND(X1883&gt;=3,CNTR_ReportingYear&gt;L1882-1),AVERAGE(SUM(J1879),SUM(K1879)),""))</f>
        <v/>
      </c>
      <c r="M1883" s="1766" t="str">
        <f>IF($T1879&lt;&gt;TRUE,"",IF(AND(Y1883&gt;=3,CNTR_ReportingYear&gt;M1882-1),AVERAGE(SUM(K1879),SUM(L1879)),""))</f>
        <v/>
      </c>
      <c r="N1883" s="1767" t="str">
        <f>IF($T1879&lt;&gt;TRUE,"",IF(AND(Z1883&gt;=3,CNTR_ReportingYear&gt;N1882-1),AVERAGE(SUM(L1879),SUM(M1879)),""))</f>
        <v/>
      </c>
      <c r="O1883" s="485"/>
      <c r="P1883" s="485"/>
      <c r="Q1883" s="1644" t="str">
        <f>EUconst_CNTR_HALinitial &amp; EUconst_CNTR_WGFlared &amp; I1623</f>
        <v>HALini_WasteGasFlare_</v>
      </c>
      <c r="U1883" s="1693" t="s">
        <v>1650</v>
      </c>
      <c r="V1883" s="1635">
        <f>V1645</f>
        <v>0</v>
      </c>
      <c r="W1883" s="1635">
        <f>W1645</f>
        <v>0</v>
      </c>
      <c r="X1883" s="1635">
        <f>X1645</f>
        <v>0</v>
      </c>
      <c r="Y1883" s="1635">
        <f>Y1645</f>
        <v>0</v>
      </c>
      <c r="Z1883" s="1654">
        <f>Z1645</f>
        <v>0</v>
      </c>
    </row>
    <row r="1884" spans="1:37" ht="12.75" hidden="1" customHeight="1">
      <c r="A1884" s="618" t="s">
        <v>2289</v>
      </c>
      <c r="B1884" s="479"/>
      <c r="C1884" s="977"/>
      <c r="D1884" s="915"/>
      <c r="E1884" s="2714" t="s">
        <v>1776</v>
      </c>
      <c r="F1884" s="2410"/>
      <c r="G1884" s="2410"/>
      <c r="H1884" s="921"/>
      <c r="I1884" s="1657"/>
      <c r="J1884" s="17" t="str">
        <f>IF(J1883="","",IF($I1886=0,IF(J1883=0,0%,100%),J1883/$I1886-1))</f>
        <v/>
      </c>
      <c r="K1884" s="18" t="str">
        <f>IF(K1883="","",IF($I1886=0,IF(K1883=0,0%,100%),K1883/$I1886-1))</f>
        <v/>
      </c>
      <c r="L1884" s="18" t="str">
        <f>IF(L1883="","",IF($I1886=0,IF(L1883=0,0%,100%),L1883/$I1886-1))</f>
        <v/>
      </c>
      <c r="M1884" s="18" t="str">
        <f>IF(M1883="","",IF($I1886=0,IF(M1883=0,0%,100%),M1883/$I1886-1))</f>
        <v/>
      </c>
      <c r="N1884" s="38" t="str">
        <f>IF(N1883="","",IF($I1886=0,IF(N1883=0,0%,100%),N1883/$I1886-1))</f>
        <v/>
      </c>
      <c r="O1884" s="485"/>
      <c r="P1884" s="485"/>
      <c r="Q1884" s="1644" t="str">
        <f>EUconst_CNTR_RelThreshold &amp; Q1886</f>
        <v>RelThresh_HALprelim_WasteGasFlare_</v>
      </c>
      <c r="U1884" s="1693" t="s">
        <v>1655</v>
      </c>
      <c r="V1884" s="1158" t="str">
        <f>IF(J1883="","",ABS(J1884)&gt;15%)</f>
        <v/>
      </c>
      <c r="W1884" s="1158" t="str">
        <f>IF(K1883="","",ABS(K1884)&gt;15%)</f>
        <v/>
      </c>
      <c r="X1884" s="1158" t="str">
        <f>IF(L1883="","",ABS(L1884)&gt;15%)</f>
        <v/>
      </c>
      <c r="Y1884" s="1158" t="str">
        <f>IF(M1883="","",ABS(M1884)&gt;15%)</f>
        <v/>
      </c>
      <c r="Z1884" s="1656" t="str">
        <f>IF(N1883="","",ABS(N1884)&gt;15%)</f>
        <v/>
      </c>
    </row>
    <row r="1885" spans="1:37" ht="12.75" customHeight="1">
      <c r="A1885" s="618"/>
      <c r="B1885" s="479"/>
      <c r="C1885" s="977"/>
      <c r="D1885" s="915" t="s">
        <v>7</v>
      </c>
      <c r="E1885" s="2714" t="s">
        <v>1654</v>
      </c>
      <c r="F1885" s="2410"/>
      <c r="G1885" s="2410"/>
      <c r="H1885" s="921"/>
      <c r="I1885" s="1657"/>
      <c r="J1885" s="1658" t="str">
        <f>IF(J1883="","",IF(V1884=FALSE,0%,J1884))</f>
        <v/>
      </c>
      <c r="K1885" s="1768" t="str">
        <f>IF(K1883="","",IF(W1884=FALSE,0%,K1884))</f>
        <v/>
      </c>
      <c r="L1885" s="1768" t="str">
        <f>IF(L1883="","",IF(X1884=FALSE,0%,L1884))</f>
        <v/>
      </c>
      <c r="M1885" s="1768" t="str">
        <f>IF(M1883="","",IF(Y1884=FALSE,0%,M1884))</f>
        <v/>
      </c>
      <c r="N1885" s="1769" t="str">
        <f>IF(N1883="","",IF(Z1884=FALSE,0%,N1884))</f>
        <v/>
      </c>
      <c r="O1885" s="485"/>
      <c r="P1885" s="485"/>
      <c r="Q1885" s="1435"/>
      <c r="U1885" s="1694"/>
      <c r="Z1885" s="1664"/>
    </row>
    <row r="1886" spans="1:37" ht="12.75" hidden="1" customHeight="1">
      <c r="A1886" s="618" t="s">
        <v>2289</v>
      </c>
      <c r="B1886" s="479"/>
      <c r="C1886" s="977"/>
      <c r="D1886" s="915"/>
      <c r="E1886" s="2714" t="s">
        <v>1689</v>
      </c>
      <c r="F1886" s="2410"/>
      <c r="G1886" s="2410"/>
      <c r="H1886" s="944" t="str">
        <f>H1883</f>
        <v>t CO2</v>
      </c>
      <c r="I1886" s="917" t="str">
        <f>IF($I1623="","",IF(AB1623=FALSE,EUconst_NA,IF(V1623&gt;($J$3242-3),INDEX(H1879:N1879,MATCH(V1623,H1873:N1873,0)),SUM(I1883))))</f>
        <v/>
      </c>
      <c r="J1886" s="1651" t="str">
        <f>IF($I1623="","",IF(V1883&lt;2,SUM(J1879),IF(V1883&lt;3,SUM(I1879),IF(V1886="",I1886,V1886))))</f>
        <v/>
      </c>
      <c r="K1886" s="1766" t="str">
        <f>IF($I1623="","",IF(W1883&lt;2,SUM(K1879),IF(W1883&lt;3,SUM(J1879),IF(W1886="",J1886,W1886))))</f>
        <v/>
      </c>
      <c r="L1886" s="1766" t="str">
        <f>IF($I1623="","",IF(X1883&lt;2,SUM(L1879),IF(X1883&lt;3,SUM(K1879),IF(X1886="",K1886,X1886))))</f>
        <v/>
      </c>
      <c r="M1886" s="1766" t="str">
        <f>IF($I1623="","",IF(Y1883&lt;2,SUM(M1879),IF(Y1883&lt;3,SUM(L1879),IF(Y1886="",L1886,Y1886))))</f>
        <v/>
      </c>
      <c r="N1886" s="1767" t="str">
        <f>IF($I1623="","",IF(Z1883&lt;2,SUM(N1879),IF(Z1883&lt;3,SUM(M1879),IF(Z1886="",M1886,Z1886))))</f>
        <v/>
      </c>
      <c r="O1886" s="485"/>
      <c r="P1886" s="485"/>
      <c r="Q1886" s="1644" t="str">
        <f>EUconst_CNTR_HALprelim&amp;EUconst_CNTR_WGFlared &amp; I1623</f>
        <v>HALprelim_WasteGasFlare_</v>
      </c>
      <c r="U1886" s="1693" t="s">
        <v>1697</v>
      </c>
      <c r="V1886" s="1660" t="str">
        <f>IF(J1883="","",IF(CNTR_ReportingYear&lt;J1882,I1885,IF($I1886=0,J1883,$I1886*(1+J1885))))</f>
        <v/>
      </c>
      <c r="W1886" s="1660" t="str">
        <f>IF(K1883="","",IF(CNTR_ReportingYear&lt;K1882,J1885,IF($I1886=0,K1883,$I1886*(1+K1885))))</f>
        <v/>
      </c>
      <c r="X1886" s="1660" t="str">
        <f>IF(L1883="","",IF(CNTR_ReportingYear&lt;L1882,K1885,IF($I1886=0,L1883,$I1886*(1+L1885))))</f>
        <v/>
      </c>
      <c r="Y1886" s="1660" t="str">
        <f>IF(M1883="","",IF(CNTR_ReportingYear&lt;M1882,L1885,IF($I1886=0,M1883,$I1886*(1+M1885))))</f>
        <v/>
      </c>
      <c r="Z1886" s="1661" t="str">
        <f>IF(N1883="","",IF(CNTR_ReportingYear&lt;N1882,M1885,IF($I1886=0,N1883,$I1886*(1+N1885))))</f>
        <v/>
      </c>
    </row>
    <row r="1887" spans="1:37" ht="5.0999999999999996" customHeight="1">
      <c r="A1887" s="618"/>
      <c r="B1887" s="479"/>
      <c r="C1887" s="977"/>
      <c r="D1887" s="915"/>
      <c r="E1887" s="909"/>
      <c r="F1887" s="909"/>
      <c r="G1887" s="909"/>
      <c r="H1887" s="909"/>
      <c r="I1887" s="909"/>
      <c r="J1887" s="922"/>
      <c r="K1887" s="1760"/>
      <c r="L1887" s="1760"/>
      <c r="M1887" s="1760"/>
      <c r="N1887" s="1761"/>
      <c r="O1887" s="485"/>
      <c r="P1887" s="485"/>
      <c r="Q1887" s="1435"/>
      <c r="U1887" s="1663"/>
      <c r="V1887" s="1435"/>
      <c r="Z1887" s="1664"/>
    </row>
    <row r="1888" spans="1:37" ht="12.75" customHeight="1">
      <c r="A1888" s="618"/>
      <c r="B1888" s="479"/>
      <c r="C1888" s="977"/>
      <c r="D1888" s="915"/>
      <c r="E1888" s="2713" t="s">
        <v>1653</v>
      </c>
      <c r="F1888" s="2493"/>
      <c r="G1888" s="2493"/>
      <c r="H1888" s="2493"/>
      <c r="I1888" s="2493"/>
      <c r="J1888" s="1647">
        <f>J$3242</f>
        <v>2026</v>
      </c>
      <c r="K1888" s="1747">
        <f>K$3242</f>
        <v>2027</v>
      </c>
      <c r="L1888" s="1747">
        <f>L$3242</f>
        <v>2028</v>
      </c>
      <c r="M1888" s="1747">
        <f>M$3242</f>
        <v>2029</v>
      </c>
      <c r="N1888" s="1748">
        <f>N$3242</f>
        <v>2030</v>
      </c>
      <c r="O1888" s="485"/>
      <c r="P1888" s="485"/>
      <c r="Q1888" s="1435"/>
      <c r="U1888" s="1665"/>
      <c r="Z1888" s="1664"/>
    </row>
    <row r="1889" spans="1:42" ht="12.75" customHeight="1">
      <c r="A1889" s="618"/>
      <c r="B1889" s="479"/>
      <c r="C1889" s="977"/>
      <c r="D1889" s="915" t="s">
        <v>8</v>
      </c>
      <c r="E1889" s="2714" t="s">
        <v>2108</v>
      </c>
      <c r="F1889" s="2410"/>
      <c r="G1889" s="2410"/>
      <c r="H1889" s="2410"/>
      <c r="I1889" s="2410"/>
      <c r="J1889" s="1666" t="str">
        <f>IF($I1623="","",INDEX(K_Summary!J:J,MATCH($Q1889,K_Summary!$P:$P,0)))</f>
        <v/>
      </c>
      <c r="K1889" s="1760" t="str">
        <f>IF($I1623="","",INDEX(K_Summary!K:K,MATCH($Q1889,K_Summary!$P:$P,0)))</f>
        <v/>
      </c>
      <c r="L1889" s="1760" t="str">
        <f>IF($I1623="","",INDEX(K_Summary!L:L,MATCH($Q1889,K_Summary!$P:$P,0)))</f>
        <v/>
      </c>
      <c r="M1889" s="1760" t="str">
        <f>IF($I1623="","",INDEX(K_Summary!M:M,MATCH($Q1889,K_Summary!$P:$P,0)))</f>
        <v/>
      </c>
      <c r="N1889" s="1761" t="str">
        <f>IF($I1623="","",INDEX(K_Summary!N:N,MATCH($Q1889,K_Summary!$P:$P,0)))</f>
        <v/>
      </c>
      <c r="O1889" s="485"/>
      <c r="P1889" s="485"/>
      <c r="Q1889" s="1644" t="str">
        <f>EUconst_CNTR_100EUA_WGFlare&amp;I1623</f>
        <v>EUA100WGFlare_</v>
      </c>
      <c r="U1889" s="1665"/>
      <c r="Z1889" s="1664"/>
    </row>
    <row r="1890" spans="1:42" ht="5.0999999999999996" customHeight="1" thickBot="1">
      <c r="A1890" s="618"/>
      <c r="B1890" s="479"/>
      <c r="C1890" s="977"/>
      <c r="D1890" s="915"/>
      <c r="E1890" s="909"/>
      <c r="F1890" s="909"/>
      <c r="G1890" s="909"/>
      <c r="H1890" s="909"/>
      <c r="I1890" s="909"/>
      <c r="J1890" s="922"/>
      <c r="K1890" s="1760"/>
      <c r="L1890" s="1760"/>
      <c r="M1890" s="1760"/>
      <c r="N1890" s="1761"/>
      <c r="O1890" s="485"/>
      <c r="P1890" s="485"/>
      <c r="Q1890" s="1435"/>
      <c r="U1890" s="1663"/>
      <c r="V1890" s="1435"/>
      <c r="Z1890" s="1664"/>
    </row>
    <row r="1891" spans="1:42" ht="12.75" customHeight="1" thickBot="1">
      <c r="B1891" s="479"/>
      <c r="C1891" s="977"/>
      <c r="D1891" s="915" t="s">
        <v>18</v>
      </c>
      <c r="E1891" s="2714" t="s">
        <v>1657</v>
      </c>
      <c r="F1891" s="2410"/>
      <c r="G1891" s="2410"/>
      <c r="H1891" s="2410"/>
      <c r="I1891" s="2410"/>
      <c r="J1891" s="1668" t="str">
        <f>IF(J1889="","",IF(OR(J1889,V1883&lt;1),J1885,I1891))</f>
        <v/>
      </c>
      <c r="K1891" s="1770" t="str">
        <f>IF(K1889="","",IF(OR(K1889,W1883&lt;1),K1885,J1891))</f>
        <v/>
      </c>
      <c r="L1891" s="1770" t="str">
        <f>IF(L1889="","",IF(OR(L1889,X1883&lt;1),L1885,K1891))</f>
        <v/>
      </c>
      <c r="M1891" s="1770" t="str">
        <f>IF(M1889="","",IF(OR(M1889,Y1883&lt;1),M1885,L1891))</f>
        <v/>
      </c>
      <c r="N1891" s="1771" t="str">
        <f>IF(N1889="","",IF(OR(N1889,Z1883&lt;1),N1885,M1891))</f>
        <v/>
      </c>
      <c r="O1891" s="485"/>
      <c r="P1891" s="485"/>
      <c r="Q1891" s="1435"/>
      <c r="U1891" s="1663" t="s">
        <v>1658</v>
      </c>
      <c r="V1891" s="1670">
        <f>J1888</f>
        <v>2026</v>
      </c>
      <c r="W1891" s="1670">
        <f>K1888</f>
        <v>2027</v>
      </c>
      <c r="X1891" s="1670">
        <f>L1888</f>
        <v>2028</v>
      </c>
      <c r="Y1891" s="1670">
        <f>M1888</f>
        <v>2029</v>
      </c>
      <c r="Z1891" s="1671">
        <f>N1888</f>
        <v>2030</v>
      </c>
    </row>
    <row r="1892" spans="1:42" ht="12.75" customHeight="1" thickBot="1">
      <c r="A1892" s="618"/>
      <c r="B1892" s="479"/>
      <c r="C1892" s="977"/>
      <c r="D1892" s="915" t="s">
        <v>787</v>
      </c>
      <c r="E1892" s="2714" t="s">
        <v>1659</v>
      </c>
      <c r="F1892" s="2410"/>
      <c r="G1892" s="2410"/>
      <c r="H1892" s="944" t="str">
        <f>H1883</f>
        <v>t CO2</v>
      </c>
      <c r="I1892" s="917" t="str">
        <f>I1886</f>
        <v/>
      </c>
      <c r="J1892" s="1672" t="str">
        <f>IF($I1623="","",IF(OR($I1892=0,$I1892=EUconst_NA),IF(OR(J1889=TRUE,J1888=$V1623),J1886,SUM(I1892)),IF(J1891="",J1886,$I1892*(1+SUM(J1891)))))</f>
        <v/>
      </c>
      <c r="K1892" s="1772" t="str">
        <f>IF($I1623="","",IF(OR($I1892=0,$I1892=EUconst_NA),IF(OR(K1889=TRUE,K1888=$V1623),K1886,SUM(J1892)),IF(K1891="",K1886,$I1892*(1+SUM(K1891)))))</f>
        <v/>
      </c>
      <c r="L1892" s="1772" t="str">
        <f>IF($I1623="","",IF(OR($I1892=0,$I1892=EUconst_NA),IF(OR(L1889=TRUE,L1888=$V1623),L1886,SUM(K1892)),IF(L1891="",L1886,$I1892*(1+SUM(L1891)))))</f>
        <v/>
      </c>
      <c r="M1892" s="1772" t="str">
        <f>IF($I1623="","",IF(OR($I1892=0,$I1892=EUconst_NA),IF(OR(M1889=TRUE,M1888=$V1623),M1886,SUM(L1892)),IF(M1891="",M1886,$I1892*(1+SUM(M1891)))))</f>
        <v/>
      </c>
      <c r="N1892" s="1773" t="str">
        <f>IF($I1623="","",IF(OR($I1892=0,$I1892=EUconst_NA),IF(OR(N1889=TRUE,N1888=$V1623),N1886,SUM(M1892)),IF(N1891="",N1886,$I1892*(1+SUM(N1891)))))</f>
        <v/>
      </c>
      <c r="O1892" s="485"/>
      <c r="P1892" s="485"/>
      <c r="Q1892" s="1644" t="str">
        <f>EUconst_CNTR_HALfinal&amp;EUconst_CNTR_WGFlared &amp; I1623</f>
        <v>HALfinal_WasteGasFlare_</v>
      </c>
      <c r="U1892" s="1674" t="b">
        <v>0</v>
      </c>
      <c r="V1892" s="1675" t="str">
        <f>IF(V1842,IF(J1889=TRUE,V1631,U1892),"")</f>
        <v/>
      </c>
      <c r="W1892" s="1675" t="str">
        <f>IF(W1842,IF(K1889=TRUE,W1631,V1892),"")</f>
        <v/>
      </c>
      <c r="X1892" s="1675" t="str">
        <f>IF(X1842,IF(L1889=TRUE,X1631,W1892),"")</f>
        <v/>
      </c>
      <c r="Y1892" s="1675" t="str">
        <f>IF(Y1842,IF(M1889=TRUE,Y1631,X1892),"")</f>
        <v/>
      </c>
      <c r="Z1892" s="1676" t="str">
        <f>IF(Z1842,IF(N1889=TRUE,Z1631,Y1892),"")</f>
        <v/>
      </c>
      <c r="AJ1892" s="1633" t="s">
        <v>1951</v>
      </c>
      <c r="AK1892" s="1443" t="str">
        <f>IF(OR(ISERROR(J1892),ISERROR(K1892),ISERROR(L1892),ISERROR(M1892),ISERROR(N1892)),EUconst_Error &amp; "BM" &amp; Q1623,"")</f>
        <v/>
      </c>
    </row>
    <row r="1893" spans="1:42" ht="5.0999999999999996" customHeight="1" thickBot="1">
      <c r="B1893" s="479"/>
      <c r="C1893" s="977"/>
      <c r="D1893" s="946"/>
      <c r="E1893" s="947"/>
      <c r="F1893" s="947"/>
      <c r="G1893" s="947"/>
      <c r="H1893" s="1014"/>
      <c r="I1893" s="947"/>
      <c r="J1893" s="1700"/>
      <c r="K1893" s="1760"/>
      <c r="L1893" s="1760"/>
      <c r="M1893" s="1760"/>
      <c r="N1893" s="1761"/>
      <c r="O1893" s="485"/>
      <c r="P1893" s="485"/>
      <c r="Q1893" s="1435"/>
      <c r="S1893" s="1435"/>
      <c r="T1893" s="1435"/>
      <c r="U1893" s="1435"/>
      <c r="V1893" s="1435"/>
    </row>
    <row r="1894" spans="1:42" ht="5.0999999999999996" customHeight="1">
      <c r="B1894" s="479"/>
      <c r="C1894" s="977"/>
      <c r="D1894" s="981"/>
      <c r="E1894" s="981"/>
      <c r="F1894" s="981"/>
      <c r="G1894" s="981"/>
      <c r="H1894" s="983"/>
      <c r="I1894" s="981"/>
      <c r="J1894" s="981"/>
      <c r="K1894" s="981"/>
      <c r="L1894" s="981"/>
      <c r="M1894" s="813"/>
      <c r="N1894" s="814"/>
      <c r="O1894" s="485"/>
      <c r="P1894" s="485"/>
      <c r="Q1894" s="1435"/>
      <c r="S1894" s="1435"/>
      <c r="T1894" s="1435"/>
      <c r="U1894" s="1435"/>
      <c r="V1894" s="1435"/>
    </row>
    <row r="1895" spans="1:42" ht="12.75" customHeight="1">
      <c r="B1895" s="479"/>
      <c r="C1895" s="977"/>
      <c r="D1895" s="777" t="s">
        <v>1109</v>
      </c>
      <c r="E1895" s="2649" t="s">
        <v>1218</v>
      </c>
      <c r="F1895" s="2391"/>
      <c r="G1895" s="2391"/>
      <c r="H1895" s="2512"/>
      <c r="I1895" s="3211" t="str">
        <f>c_ALR2025!I4481</f>
        <v/>
      </c>
      <c r="J1895" s="3206"/>
      <c r="K1895" s="3206"/>
      <c r="L1895" s="3206"/>
      <c r="M1895" s="3207"/>
      <c r="N1895" s="814"/>
      <c r="O1895" s="485"/>
      <c r="P1895" s="9">
        <v>0</v>
      </c>
      <c r="Q1895" s="1435"/>
      <c r="S1895" s="1435"/>
      <c r="AC1895" s="1641" t="s">
        <v>717</v>
      </c>
      <c r="AD1895" s="1443" t="b">
        <f>AD1869</f>
        <v>0</v>
      </c>
    </row>
    <row r="1896" spans="1:42" ht="12.75" customHeight="1">
      <c r="B1896" s="479"/>
      <c r="C1896" s="977"/>
      <c r="D1896" s="777"/>
      <c r="E1896" s="3272" t="s">
        <v>2298</v>
      </c>
      <c r="F1896" s="2380"/>
      <c r="G1896" s="2380"/>
      <c r="H1896" s="2380"/>
      <c r="I1896" s="2380"/>
      <c r="J1896" s="2380"/>
      <c r="K1896" s="2380"/>
      <c r="L1896" s="2380"/>
      <c r="M1896" s="2380"/>
      <c r="N1896" s="3268"/>
      <c r="O1896" s="485"/>
      <c r="P1896" s="485"/>
      <c r="Q1896" s="1435"/>
      <c r="S1896" s="1435"/>
      <c r="T1896" s="1435"/>
      <c r="U1896" s="1435"/>
      <c r="V1896" s="1435"/>
    </row>
    <row r="1897" spans="1:42" ht="25.5" customHeight="1">
      <c r="B1897" s="479"/>
      <c r="C1897" s="977"/>
      <c r="D1897" s="777"/>
      <c r="E1897" s="3267" t="s">
        <v>1560</v>
      </c>
      <c r="F1897" s="2380"/>
      <c r="G1897" s="2380"/>
      <c r="H1897" s="2380"/>
      <c r="I1897" s="2380"/>
      <c r="J1897" s="2380"/>
      <c r="K1897" s="2380"/>
      <c r="L1897" s="2380"/>
      <c r="M1897" s="2380"/>
      <c r="N1897" s="3268"/>
      <c r="O1897" s="485"/>
      <c r="P1897" s="485"/>
      <c r="Q1897" s="1435"/>
      <c r="S1897" s="1435"/>
      <c r="T1897" s="1435"/>
      <c r="U1897" s="1435"/>
      <c r="V1897" s="1435"/>
    </row>
    <row r="1898" spans="1:42" ht="12.75" customHeight="1" thickBot="1">
      <c r="B1898" s="479"/>
      <c r="C1898" s="977"/>
      <c r="D1898" s="981"/>
      <c r="E1898" s="989"/>
      <c r="F1898" s="990"/>
      <c r="G1898" s="987" t="str">
        <f>EUconst_Unit</f>
        <v>Unit</v>
      </c>
      <c r="H1898" s="782">
        <f t="shared" ref="H1898:N1898" si="883">H$3242</f>
        <v>2024</v>
      </c>
      <c r="I1898" s="988">
        <f t="shared" si="883"/>
        <v>2025</v>
      </c>
      <c r="J1898" s="1810">
        <f t="shared" si="883"/>
        <v>2026</v>
      </c>
      <c r="K1898" s="1747">
        <f t="shared" si="883"/>
        <v>2027</v>
      </c>
      <c r="L1898" s="1747">
        <f t="shared" si="883"/>
        <v>2028</v>
      </c>
      <c r="M1898" s="1747">
        <f t="shared" si="883"/>
        <v>2029</v>
      </c>
      <c r="N1898" s="1748">
        <f t="shared" si="883"/>
        <v>2030</v>
      </c>
      <c r="O1898" s="485"/>
      <c r="P1898" s="485"/>
      <c r="Q1898" s="1435"/>
      <c r="S1898" s="1435"/>
      <c r="T1898" s="1435"/>
      <c r="U1898" s="1435"/>
      <c r="V1898" s="1435"/>
      <c r="AC1898" s="1638">
        <f t="shared" ref="AC1898:AI1898" si="884">H$20</f>
        <v>2024</v>
      </c>
      <c r="AD1898" s="1638">
        <f t="shared" si="884"/>
        <v>2025</v>
      </c>
      <c r="AE1898" s="1638">
        <f t="shared" si="884"/>
        <v>2026</v>
      </c>
      <c r="AF1898" s="1638">
        <f t="shared" si="884"/>
        <v>2027</v>
      </c>
      <c r="AG1898" s="1638">
        <f t="shared" si="884"/>
        <v>2028</v>
      </c>
      <c r="AH1898" s="1638">
        <f t="shared" si="884"/>
        <v>2029</v>
      </c>
      <c r="AI1898" s="1638">
        <f t="shared" si="884"/>
        <v>2030</v>
      </c>
    </row>
    <row r="1899" spans="1:42" ht="12.75" customHeight="1" thickBot="1">
      <c r="B1899" s="479"/>
      <c r="C1899" s="977"/>
      <c r="D1899" s="777" t="s">
        <v>1110</v>
      </c>
      <c r="E1899" s="2471" t="s">
        <v>1303</v>
      </c>
      <c r="F1899" s="2472"/>
      <c r="G1899" s="1763" t="str">
        <f>c_ALR2025!G4485</f>
        <v/>
      </c>
      <c r="H1899" s="1552" t="str">
        <f>c_ALR2025!M4485</f>
        <v/>
      </c>
      <c r="I1899" s="1611"/>
      <c r="J1899" s="1811"/>
      <c r="K1899" s="1751"/>
      <c r="L1899" s="1751"/>
      <c r="M1899" s="1751"/>
      <c r="N1899" s="1752"/>
      <c r="O1899" s="485"/>
      <c r="P1899" s="9">
        <v>0</v>
      </c>
      <c r="Q1899" s="1435"/>
      <c r="S1899" s="1435"/>
      <c r="T1899" s="1435"/>
      <c r="U1899" s="1435"/>
      <c r="V1899" s="1435"/>
      <c r="AB1899" s="1641" t="s">
        <v>717</v>
      </c>
      <c r="AC1899" s="1443" t="b">
        <f t="shared" ref="AC1899:AI1899" si="885">AC1855</f>
        <v>0</v>
      </c>
      <c r="AD1899" s="1443" t="b">
        <f t="shared" si="885"/>
        <v>0</v>
      </c>
      <c r="AE1899" s="1443" t="b">
        <f t="shared" si="885"/>
        <v>0</v>
      </c>
      <c r="AF1899" s="1443" t="b">
        <f t="shared" si="885"/>
        <v>0</v>
      </c>
      <c r="AG1899" s="1443" t="b">
        <f t="shared" si="885"/>
        <v>0</v>
      </c>
      <c r="AH1899" s="1443" t="b">
        <f t="shared" si="885"/>
        <v>0</v>
      </c>
      <c r="AI1899" s="1443" t="b">
        <f t="shared" si="885"/>
        <v>0</v>
      </c>
      <c r="AJ1899" s="1633" t="s">
        <v>1954</v>
      </c>
      <c r="AK1899" s="1635" t="str">
        <f>IF(AND(CNTR_ExistSubInstEntries,MSconst_RequireSubAttrEmissions,COUNTIFS(AC1899:AI1899,FALSE,H1899:N1899,"")&gt;0),EUconst_Error&amp;"BM"&amp;$Q1623,"")</f>
        <v/>
      </c>
    </row>
    <row r="1900" spans="1:42" ht="12.75" customHeight="1">
      <c r="B1900" s="479"/>
      <c r="C1900" s="977"/>
      <c r="D1900" s="777" t="s">
        <v>1111</v>
      </c>
      <c r="E1900" s="2473" t="s">
        <v>661</v>
      </c>
      <c r="F1900" s="2474"/>
      <c r="G1900" s="1008" t="e">
        <f>IF(ISBLANK(G1899),EUconst_GJperUnit,INDEX(EUconst_GJperTorKNm3,MATCH(G1899,EUconst_TonnesOrkNm3pa,0)))</f>
        <v>#N/A</v>
      </c>
      <c r="H1900" s="1558" t="str">
        <f>c_ALR2025!M4486</f>
        <v/>
      </c>
      <c r="I1900" s="1884"/>
      <c r="J1900" s="1811"/>
      <c r="K1900" s="1751"/>
      <c r="L1900" s="1751"/>
      <c r="M1900" s="1751"/>
      <c r="N1900" s="1752"/>
      <c r="O1900" s="485"/>
      <c r="P1900" s="9">
        <v>0</v>
      </c>
      <c r="Q1900" s="1435"/>
      <c r="S1900" s="1648"/>
      <c r="T1900" s="1749">
        <f t="shared" ref="T1900:Z1900" si="886">H1898</f>
        <v>2024</v>
      </c>
      <c r="U1900" s="1749">
        <f t="shared" si="886"/>
        <v>2025</v>
      </c>
      <c r="V1900" s="1749">
        <f t="shared" si="886"/>
        <v>2026</v>
      </c>
      <c r="W1900" s="1749">
        <f t="shared" si="886"/>
        <v>2027</v>
      </c>
      <c r="X1900" s="1749">
        <f t="shared" si="886"/>
        <v>2028</v>
      </c>
      <c r="Y1900" s="1749">
        <f t="shared" si="886"/>
        <v>2029</v>
      </c>
      <c r="Z1900" s="1750">
        <f t="shared" si="886"/>
        <v>2030</v>
      </c>
      <c r="AC1900" s="1443" t="b">
        <f>AC1899</f>
        <v>0</v>
      </c>
      <c r="AD1900" s="1443" t="b">
        <f t="shared" ref="AD1900:AI1900" si="887">AD1899</f>
        <v>0</v>
      </c>
      <c r="AE1900" s="1443" t="b">
        <f t="shared" si="887"/>
        <v>0</v>
      </c>
      <c r="AF1900" s="1443" t="b">
        <f t="shared" si="887"/>
        <v>0</v>
      </c>
      <c r="AG1900" s="1443" t="b">
        <f t="shared" si="887"/>
        <v>0</v>
      </c>
      <c r="AH1900" s="1443" t="b">
        <f t="shared" si="887"/>
        <v>0</v>
      </c>
      <c r="AI1900" s="1443" t="b">
        <f t="shared" si="887"/>
        <v>0</v>
      </c>
      <c r="AJ1900" s="1633" t="s">
        <v>1954</v>
      </c>
      <c r="AK1900" s="1635" t="str">
        <f>IF(AND(CNTR_ExistSubInstEntries,MSconst_RequireSubAttrEmissions,COUNTIFS(AC1900:AI1900,FALSE,H1900:N1900,"")&gt;0),EUconst_Error&amp;"BM"&amp;$Q1623,"")</f>
        <v/>
      </c>
    </row>
    <row r="1901" spans="1:42" ht="12.75" customHeight="1">
      <c r="B1901" s="479"/>
      <c r="C1901" s="977"/>
      <c r="D1901" s="777" t="s">
        <v>1112</v>
      </c>
      <c r="E1901" s="2475" t="s">
        <v>1102</v>
      </c>
      <c r="F1901" s="2410"/>
      <c r="G1901" s="815" t="str">
        <f>EUconst_TJpa</f>
        <v>TJ / year</v>
      </c>
      <c r="H1901" s="646" t="str">
        <f t="shared" ref="H1901:N1901" si="888">IF(COUNT(H1899:H1900)=2,H1899*H1900/1000,"")</f>
        <v/>
      </c>
      <c r="I1901" s="949" t="str">
        <f t="shared" si="888"/>
        <v/>
      </c>
      <c r="J1901" s="1811" t="str">
        <f t="shared" si="888"/>
        <v/>
      </c>
      <c r="K1901" s="1751" t="str">
        <f t="shared" si="888"/>
        <v/>
      </c>
      <c r="L1901" s="1751" t="str">
        <f t="shared" si="888"/>
        <v/>
      </c>
      <c r="M1901" s="1751" t="str">
        <f t="shared" si="888"/>
        <v/>
      </c>
      <c r="N1901" s="1752" t="str">
        <f t="shared" si="888"/>
        <v/>
      </c>
      <c r="O1901" s="485"/>
      <c r="P1901" s="485"/>
      <c r="Q1901" s="1644" t="str">
        <f>EUconst_CNTR_WGImport &amp; I1623</f>
        <v>WasteGasIm_</v>
      </c>
      <c r="S1901" s="1874" t="str">
        <f>EUconst_ERR_AttrEmBMapplied &amp; I1623</f>
        <v>ERR_AttrEmBM_</v>
      </c>
      <c r="T1901" s="1443">
        <f t="shared" ref="T1901:Z1901" si="889">IF(AND(H1901&lt;&gt;"",EUconst_StatusOfDataCollection=FALSE),1,0)</f>
        <v>0</v>
      </c>
      <c r="U1901" s="1443">
        <f t="shared" si="889"/>
        <v>0</v>
      </c>
      <c r="V1901" s="1443">
        <f t="shared" si="889"/>
        <v>0</v>
      </c>
      <c r="W1901" s="1443">
        <f t="shared" si="889"/>
        <v>0</v>
      </c>
      <c r="X1901" s="1443">
        <f t="shared" si="889"/>
        <v>0</v>
      </c>
      <c r="Y1901" s="1443">
        <f t="shared" si="889"/>
        <v>0</v>
      </c>
      <c r="Z1901" s="1737">
        <f t="shared" si="889"/>
        <v>0</v>
      </c>
    </row>
    <row r="1902" spans="1:42" s="562" customFormat="1" ht="12.75" customHeight="1" thickBot="1">
      <c r="A1902" s="618"/>
      <c r="B1902" s="479"/>
      <c r="C1902" s="977"/>
      <c r="D1902" s="777" t="s">
        <v>1113</v>
      </c>
      <c r="E1902" s="2475" t="s">
        <v>1275</v>
      </c>
      <c r="F1902" s="2410"/>
      <c r="G1902" s="815" t="str">
        <f>EUconst_tCO2pTJ</f>
        <v>t CO2 / TJ</v>
      </c>
      <c r="H1902" s="1479" t="str">
        <f>c_ALR2025!M4488</f>
        <v/>
      </c>
      <c r="I1902" s="1532"/>
      <c r="J1902" s="1811"/>
      <c r="K1902" s="1751"/>
      <c r="L1902" s="1751"/>
      <c r="M1902" s="1751"/>
      <c r="N1902" s="1752"/>
      <c r="O1902" s="485"/>
      <c r="P1902" s="9">
        <v>0</v>
      </c>
      <c r="Q1902" s="1644" t="str">
        <f>EUconst_CNTR_WGImportEF &amp; I1623</f>
        <v>WasteGasImEF_</v>
      </c>
      <c r="R1902" s="1435"/>
      <c r="S1902" s="1753" t="str">
        <f>EUconst_CNTR_AttributedEmissions &amp; I1623</f>
        <v>AttrEmissions_</v>
      </c>
      <c r="T1902" s="1743" t="str">
        <f t="shared" ref="T1902:Z1902" si="890">IF(T1631,SUM(H1901)*EUconst_FuelBMvalue,"")</f>
        <v/>
      </c>
      <c r="U1902" s="1743" t="str">
        <f t="shared" si="890"/>
        <v/>
      </c>
      <c r="V1902" s="1743" t="str">
        <f t="shared" si="890"/>
        <v/>
      </c>
      <c r="W1902" s="1743" t="str">
        <f t="shared" si="890"/>
        <v/>
      </c>
      <c r="X1902" s="1743" t="str">
        <f t="shared" si="890"/>
        <v/>
      </c>
      <c r="Y1902" s="1743" t="str">
        <f t="shared" si="890"/>
        <v/>
      </c>
      <c r="Z1902" s="1744" t="str">
        <f t="shared" si="890"/>
        <v/>
      </c>
      <c r="AA1902" s="1435"/>
      <c r="AB1902" s="1641" t="s">
        <v>717</v>
      </c>
      <c r="AC1902" s="1443" t="b">
        <f>AC1900</f>
        <v>0</v>
      </c>
      <c r="AD1902" s="1443" t="b">
        <f t="shared" ref="AD1902:AI1902" si="891">AD1900</f>
        <v>0</v>
      </c>
      <c r="AE1902" s="1443" t="b">
        <f t="shared" si="891"/>
        <v>0</v>
      </c>
      <c r="AF1902" s="1443" t="b">
        <f t="shared" si="891"/>
        <v>0</v>
      </c>
      <c r="AG1902" s="1443" t="b">
        <f t="shared" si="891"/>
        <v>0</v>
      </c>
      <c r="AH1902" s="1443" t="b">
        <f t="shared" si="891"/>
        <v>0</v>
      </c>
      <c r="AI1902" s="1443" t="b">
        <f t="shared" si="891"/>
        <v>0</v>
      </c>
      <c r="AJ1902" s="1633" t="s">
        <v>1954</v>
      </c>
      <c r="AK1902" s="1635" t="str">
        <f>IF(AND(CNTR_ExistSubInstEntries,MSconst_RequireSubAttrEmissions,COUNTIFS(AC1902:AI1902,FALSE,H1902:N1902,"")&gt;0),EUconst_Error&amp;"BM"&amp;$Q1623,"")</f>
        <v/>
      </c>
      <c r="AL1902" s="1198"/>
      <c r="AP1902" s="1135"/>
    </row>
    <row r="1903" spans="1:42" ht="12.75" customHeight="1">
      <c r="B1903" s="479"/>
      <c r="C1903" s="977"/>
      <c r="D1903" s="981"/>
      <c r="E1903" s="981"/>
      <c r="F1903" s="981"/>
      <c r="G1903" s="981"/>
      <c r="H1903" s="983"/>
      <c r="I1903" s="981"/>
      <c r="J1903" s="981"/>
      <c r="K1903" s="981"/>
      <c r="L1903" s="981"/>
      <c r="M1903" s="813"/>
      <c r="N1903" s="814"/>
      <c r="O1903" s="485"/>
      <c r="P1903" s="485"/>
      <c r="Q1903" s="1435"/>
      <c r="S1903" s="1435"/>
      <c r="T1903" s="1435"/>
      <c r="U1903" s="1435"/>
      <c r="V1903" s="1435"/>
    </row>
    <row r="1904" spans="1:42" ht="12.75" customHeight="1">
      <c r="B1904" s="479"/>
      <c r="C1904" s="977"/>
      <c r="D1904" s="777" t="s">
        <v>1114</v>
      </c>
      <c r="E1904" s="2649" t="s">
        <v>1217</v>
      </c>
      <c r="F1904" s="2391"/>
      <c r="G1904" s="2391"/>
      <c r="H1904" s="2512"/>
      <c r="I1904" s="3211" t="str">
        <f>c_ALR2025!I4490</f>
        <v/>
      </c>
      <c r="J1904" s="3206"/>
      <c r="K1904" s="3206"/>
      <c r="L1904" s="3206"/>
      <c r="M1904" s="3207"/>
      <c r="N1904" s="979"/>
      <c r="O1904" s="485"/>
      <c r="P1904" s="9">
        <v>0</v>
      </c>
      <c r="Q1904" s="1435"/>
      <c r="S1904" s="1435"/>
      <c r="AC1904" s="1641" t="s">
        <v>717</v>
      </c>
      <c r="AD1904" s="1443" t="b">
        <f>AD1895</f>
        <v>0</v>
      </c>
    </row>
    <row r="1905" spans="1:42" ht="12.75" customHeight="1">
      <c r="B1905" s="479"/>
      <c r="C1905" s="977"/>
      <c r="D1905" s="777"/>
      <c r="E1905" s="3272" t="s">
        <v>2298</v>
      </c>
      <c r="F1905" s="2380"/>
      <c r="G1905" s="2380"/>
      <c r="H1905" s="2380"/>
      <c r="I1905" s="2380"/>
      <c r="J1905" s="2380"/>
      <c r="K1905" s="2380"/>
      <c r="L1905" s="2380"/>
      <c r="M1905" s="2380"/>
      <c r="N1905" s="3268"/>
      <c r="O1905" s="485"/>
      <c r="P1905" s="485"/>
      <c r="Q1905" s="1435"/>
      <c r="S1905" s="1435"/>
      <c r="T1905" s="1435"/>
      <c r="U1905" s="1435"/>
      <c r="V1905" s="1435"/>
    </row>
    <row r="1906" spans="1:42" ht="25.5" customHeight="1">
      <c r="B1906" s="479"/>
      <c r="C1906" s="977"/>
      <c r="D1906" s="777"/>
      <c r="E1906" s="3267" t="s">
        <v>1317</v>
      </c>
      <c r="F1906" s="2380"/>
      <c r="G1906" s="2380"/>
      <c r="H1906" s="2380"/>
      <c r="I1906" s="2380"/>
      <c r="J1906" s="2380"/>
      <c r="K1906" s="2380"/>
      <c r="L1906" s="2380"/>
      <c r="M1906" s="2380"/>
      <c r="N1906" s="3268"/>
      <c r="O1906" s="485"/>
      <c r="P1906" s="485"/>
      <c r="Q1906" s="1435"/>
      <c r="S1906" s="1435"/>
      <c r="T1906" s="1435"/>
      <c r="U1906" s="1435"/>
      <c r="V1906" s="1435"/>
    </row>
    <row r="1907" spans="1:42" ht="12.75" customHeight="1" thickBot="1">
      <c r="B1907" s="479"/>
      <c r="C1907" s="977"/>
      <c r="D1907" s="981"/>
      <c r="E1907" s="989"/>
      <c r="F1907" s="990"/>
      <c r="G1907" s="987" t="str">
        <f>EUconst_Unit</f>
        <v>Unit</v>
      </c>
      <c r="H1907" s="782">
        <f t="shared" ref="H1907:N1907" si="892">H$3242</f>
        <v>2024</v>
      </c>
      <c r="I1907" s="988">
        <f t="shared" si="892"/>
        <v>2025</v>
      </c>
      <c r="J1907" s="1810">
        <f t="shared" si="892"/>
        <v>2026</v>
      </c>
      <c r="K1907" s="1747">
        <f t="shared" si="892"/>
        <v>2027</v>
      </c>
      <c r="L1907" s="1747">
        <f t="shared" si="892"/>
        <v>2028</v>
      </c>
      <c r="M1907" s="1747">
        <f t="shared" si="892"/>
        <v>2029</v>
      </c>
      <c r="N1907" s="1748">
        <f t="shared" si="892"/>
        <v>2030</v>
      </c>
      <c r="O1907" s="485"/>
      <c r="P1907" s="485"/>
      <c r="Q1907" s="1435"/>
      <c r="S1907" s="1435"/>
      <c r="T1907" s="1435"/>
      <c r="U1907" s="1435"/>
      <c r="V1907" s="1435"/>
      <c r="AC1907" s="1638">
        <f t="shared" ref="AC1907:AI1907" si="893">H$20</f>
        <v>2024</v>
      </c>
      <c r="AD1907" s="1638">
        <f t="shared" si="893"/>
        <v>2025</v>
      </c>
      <c r="AE1907" s="1638">
        <f t="shared" si="893"/>
        <v>2026</v>
      </c>
      <c r="AF1907" s="1638">
        <f t="shared" si="893"/>
        <v>2027</v>
      </c>
      <c r="AG1907" s="1638">
        <f t="shared" si="893"/>
        <v>2028</v>
      </c>
      <c r="AH1907" s="1638">
        <f t="shared" si="893"/>
        <v>2029</v>
      </c>
      <c r="AI1907" s="1638">
        <f t="shared" si="893"/>
        <v>2030</v>
      </c>
    </row>
    <row r="1908" spans="1:42" ht="12.75" customHeight="1">
      <c r="B1908" s="479"/>
      <c r="C1908" s="977"/>
      <c r="D1908" s="777" t="s">
        <v>1115</v>
      </c>
      <c r="E1908" s="2471" t="s">
        <v>1304</v>
      </c>
      <c r="F1908" s="2472"/>
      <c r="G1908" s="1763" t="str">
        <f>c_ALR2025!G4494</f>
        <v/>
      </c>
      <c r="H1908" s="1552" t="str">
        <f>c_ALR2025!M4494</f>
        <v/>
      </c>
      <c r="I1908" s="1611"/>
      <c r="J1908" s="1811"/>
      <c r="K1908" s="1751"/>
      <c r="L1908" s="1751"/>
      <c r="M1908" s="1751"/>
      <c r="N1908" s="1752"/>
      <c r="O1908" s="485"/>
      <c r="P1908" s="9">
        <v>0</v>
      </c>
      <c r="Q1908" s="1435"/>
      <c r="S1908" s="1435"/>
      <c r="T1908" s="1435"/>
      <c r="U1908" s="1435"/>
      <c r="V1908" s="1435"/>
      <c r="AB1908" s="1641" t="s">
        <v>717</v>
      </c>
      <c r="AC1908" s="1443" t="b">
        <f>AC1855</f>
        <v>0</v>
      </c>
      <c r="AD1908" s="1443" t="b">
        <f t="shared" ref="AD1908:AI1908" si="894">AD1855</f>
        <v>0</v>
      </c>
      <c r="AE1908" s="1443" t="b">
        <f t="shared" si="894"/>
        <v>0</v>
      </c>
      <c r="AF1908" s="1443" t="b">
        <f t="shared" si="894"/>
        <v>0</v>
      </c>
      <c r="AG1908" s="1443" t="b">
        <f t="shared" si="894"/>
        <v>0</v>
      </c>
      <c r="AH1908" s="1443" t="b">
        <f t="shared" si="894"/>
        <v>0</v>
      </c>
      <c r="AI1908" s="1443" t="b">
        <f t="shared" si="894"/>
        <v>0</v>
      </c>
      <c r="AJ1908" s="1633" t="s">
        <v>1954</v>
      </c>
      <c r="AK1908" s="1635" t="str">
        <f>IF(AND(CNTR_ExistSubInstEntries,MSconst_RequireSubAttrEmissions,COUNTIFS(AC1908:AI1908,FALSE,H1908:N1908,"")&gt;0),EUconst_Error&amp;"BM"&amp;$Q1623,"")</f>
        <v/>
      </c>
    </row>
    <row r="1909" spans="1:42" ht="12.75" customHeight="1" thickBot="1">
      <c r="B1909" s="479"/>
      <c r="C1909" s="977"/>
      <c r="D1909" s="777" t="s">
        <v>1561</v>
      </c>
      <c r="E1909" s="2473" t="s">
        <v>661</v>
      </c>
      <c r="F1909" s="2474"/>
      <c r="G1909" s="1008" t="e">
        <f>IF(ISBLANK(G1908),EUconst_GJperUnit,INDEX(EUconst_GJperTorKNm3,MATCH(G1908,EUconst_TonnesOrkNm3pa,0)))</f>
        <v>#N/A</v>
      </c>
      <c r="H1909" s="1558" t="str">
        <f>c_ALR2025!M4495</f>
        <v/>
      </c>
      <c r="I1909" s="1884"/>
      <c r="J1909" s="1811"/>
      <c r="K1909" s="1751"/>
      <c r="L1909" s="1751"/>
      <c r="M1909" s="1751"/>
      <c r="N1909" s="1752"/>
      <c r="O1909" s="485"/>
      <c r="P1909" s="9">
        <v>0</v>
      </c>
      <c r="Q1909" s="1435"/>
      <c r="S1909" s="1435"/>
      <c r="T1909" s="1435"/>
      <c r="U1909" s="1435"/>
      <c r="V1909" s="1435"/>
      <c r="AC1909" s="1443" t="b">
        <f>AC1908</f>
        <v>0</v>
      </c>
      <c r="AD1909" s="1443" t="b">
        <f t="shared" ref="AD1909:AI1909" si="895">AD1908</f>
        <v>0</v>
      </c>
      <c r="AE1909" s="1443" t="b">
        <f t="shared" si="895"/>
        <v>0</v>
      </c>
      <c r="AF1909" s="1443" t="b">
        <f t="shared" si="895"/>
        <v>0</v>
      </c>
      <c r="AG1909" s="1443" t="b">
        <f t="shared" si="895"/>
        <v>0</v>
      </c>
      <c r="AH1909" s="1443" t="b">
        <f t="shared" si="895"/>
        <v>0</v>
      </c>
      <c r="AI1909" s="1443" t="b">
        <f t="shared" si="895"/>
        <v>0</v>
      </c>
      <c r="AJ1909" s="1633" t="s">
        <v>1954</v>
      </c>
      <c r="AK1909" s="1635" t="str">
        <f>IF(AND(CNTR_ExistSubInstEntries,MSconst_RequireSubAttrEmissions,COUNTIFS(AC1909:AI1909,FALSE,H1909:N1909,"")&gt;0),EUconst_Error&amp;"BM"&amp;$Q1623,"")</f>
        <v/>
      </c>
    </row>
    <row r="1910" spans="1:42" ht="12.75" customHeight="1">
      <c r="B1910" s="479"/>
      <c r="C1910" s="977"/>
      <c r="D1910" s="777" t="s">
        <v>1599</v>
      </c>
      <c r="E1910" s="2475" t="s">
        <v>1080</v>
      </c>
      <c r="F1910" s="2410"/>
      <c r="G1910" s="815" t="str">
        <f>EUconst_TJpa</f>
        <v>TJ / year</v>
      </c>
      <c r="H1910" s="646" t="str">
        <f t="shared" ref="H1910:N1910" si="896">IF(COUNT(H1908:H1909)=2,H1908*H1909/1000,"")</f>
        <v/>
      </c>
      <c r="I1910" s="949" t="str">
        <f t="shared" si="896"/>
        <v/>
      </c>
      <c r="J1910" s="1811" t="str">
        <f t="shared" si="896"/>
        <v/>
      </c>
      <c r="K1910" s="1751" t="str">
        <f t="shared" si="896"/>
        <v/>
      </c>
      <c r="L1910" s="1751" t="str">
        <f t="shared" si="896"/>
        <v/>
      </c>
      <c r="M1910" s="1751" t="str">
        <f t="shared" si="896"/>
        <v/>
      </c>
      <c r="N1910" s="1752" t="str">
        <f t="shared" si="896"/>
        <v/>
      </c>
      <c r="O1910" s="485"/>
      <c r="P1910" s="485"/>
      <c r="Q1910" s="1644" t="str">
        <f>EUconst_CNTR_WGExport &amp; I1623</f>
        <v>WasteGasEx_</v>
      </c>
      <c r="S1910" s="1648"/>
      <c r="T1910" s="1749">
        <f t="shared" ref="T1910:Z1910" si="897">H1907</f>
        <v>2024</v>
      </c>
      <c r="U1910" s="1749">
        <f t="shared" si="897"/>
        <v>2025</v>
      </c>
      <c r="V1910" s="1749">
        <f t="shared" si="897"/>
        <v>2026</v>
      </c>
      <c r="W1910" s="1749">
        <f t="shared" si="897"/>
        <v>2027</v>
      </c>
      <c r="X1910" s="1749">
        <f t="shared" si="897"/>
        <v>2028</v>
      </c>
      <c r="Y1910" s="1749">
        <f t="shared" si="897"/>
        <v>2029</v>
      </c>
      <c r="Z1910" s="1750">
        <f t="shared" si="897"/>
        <v>2030</v>
      </c>
    </row>
    <row r="1911" spans="1:42" s="562" customFormat="1" ht="12.75" customHeight="1" thickBot="1">
      <c r="A1911" s="1116"/>
      <c r="B1911" s="479"/>
      <c r="C1911" s="977"/>
      <c r="D1911" s="777" t="s">
        <v>1600</v>
      </c>
      <c r="E1911" s="2475" t="s">
        <v>1276</v>
      </c>
      <c r="F1911" s="2410"/>
      <c r="G1911" s="815" t="str">
        <f>EUconst_tCO2pTJ</f>
        <v>t CO2 / TJ</v>
      </c>
      <c r="H1911" s="1479" t="str">
        <f>c_ALR2025!M4497</f>
        <v/>
      </c>
      <c r="I1911" s="1532"/>
      <c r="J1911" s="1811"/>
      <c r="K1911" s="1751"/>
      <c r="L1911" s="1751"/>
      <c r="M1911" s="1751"/>
      <c r="N1911" s="1752"/>
      <c r="O1911" s="485"/>
      <c r="P1911" s="9">
        <v>0</v>
      </c>
      <c r="Q1911" s="1644" t="str">
        <f>EUconst_CNTR_WGExportEF &amp; I1623</f>
        <v>WasteGasExEF_</v>
      </c>
      <c r="R1911" s="1435"/>
      <c r="S1911" s="1753" t="str">
        <f>EUconst_CNTR_AttributedEmissions &amp; I1623</f>
        <v>AttrEmissions_</v>
      </c>
      <c r="T1911" s="1743" t="str">
        <f t="shared" ref="T1911:Z1911" si="898">IF(T1631,-SUM(H1910)*EUconst_NGEFvalue*EUconst_WasteGasCorrFactor,"")</f>
        <v/>
      </c>
      <c r="U1911" s="1743" t="str">
        <f t="shared" si="898"/>
        <v/>
      </c>
      <c r="V1911" s="1743" t="str">
        <f t="shared" si="898"/>
        <v/>
      </c>
      <c r="W1911" s="1743" t="str">
        <f t="shared" si="898"/>
        <v/>
      </c>
      <c r="X1911" s="1743" t="str">
        <f t="shared" si="898"/>
        <v/>
      </c>
      <c r="Y1911" s="1743" t="str">
        <f t="shared" si="898"/>
        <v/>
      </c>
      <c r="Z1911" s="1744" t="str">
        <f t="shared" si="898"/>
        <v/>
      </c>
      <c r="AA1911" s="1435"/>
      <c r="AB1911" s="1641" t="s">
        <v>717</v>
      </c>
      <c r="AC1911" s="1443" t="b">
        <f t="shared" ref="AC1911:AI1911" si="899">AC1858</f>
        <v>0</v>
      </c>
      <c r="AD1911" s="1443" t="b">
        <f t="shared" si="899"/>
        <v>0</v>
      </c>
      <c r="AE1911" s="1443" t="b">
        <f t="shared" si="899"/>
        <v>0</v>
      </c>
      <c r="AF1911" s="1443" t="b">
        <f t="shared" si="899"/>
        <v>0</v>
      </c>
      <c r="AG1911" s="1443" t="b">
        <f t="shared" si="899"/>
        <v>0</v>
      </c>
      <c r="AH1911" s="1443" t="b">
        <f t="shared" si="899"/>
        <v>0</v>
      </c>
      <c r="AI1911" s="1443" t="b">
        <f t="shared" si="899"/>
        <v>0</v>
      </c>
      <c r="AJ1911" s="1633" t="s">
        <v>1954</v>
      </c>
      <c r="AK1911" s="1635" t="str">
        <f>IF(AND(CNTR_ExistSubInstEntries,MSconst_RequireSubAttrEmissions,COUNTIFS(AC1911:AI1911,FALSE,H1911:N1911,"")&gt;0),EUconst_Error&amp;"BM"&amp;$Q1623,"")</f>
        <v/>
      </c>
      <c r="AL1911" s="1198"/>
      <c r="AP1911" s="1135"/>
    </row>
    <row r="1912" spans="1:42" ht="12.75" customHeight="1">
      <c r="B1912" s="479"/>
      <c r="C1912" s="977"/>
      <c r="D1912" s="981"/>
      <c r="E1912" s="981"/>
      <c r="F1912" s="981"/>
      <c r="G1912" s="981"/>
      <c r="H1912" s="981"/>
      <c r="I1912" s="983"/>
      <c r="J1912" s="981"/>
      <c r="K1912" s="981"/>
      <c r="L1912" s="981"/>
      <c r="M1912" s="981"/>
      <c r="N1912" s="814"/>
      <c r="O1912" s="485"/>
      <c r="P1912" s="485"/>
      <c r="Q1912" s="1435"/>
      <c r="S1912" s="1435"/>
    </row>
    <row r="1913" spans="1:42" ht="12.75" customHeight="1">
      <c r="B1913" s="479"/>
      <c r="C1913" s="977"/>
      <c r="D1913" s="982" t="s">
        <v>482</v>
      </c>
      <c r="E1913" s="2649" t="s">
        <v>1127</v>
      </c>
      <c r="F1913" s="2391"/>
      <c r="G1913" s="2391"/>
      <c r="H1913" s="2391"/>
      <c r="I1913" s="2391"/>
      <c r="J1913" s="2391"/>
      <c r="K1913" s="2391"/>
      <c r="L1913" s="2391"/>
      <c r="M1913" s="2391"/>
      <c r="N1913" s="2650"/>
      <c r="O1913" s="485"/>
      <c r="P1913" s="485"/>
      <c r="Q1913" s="1435"/>
      <c r="S1913" s="1435"/>
    </row>
    <row r="1914" spans="1:42" ht="12.75" customHeight="1">
      <c r="B1914" s="479"/>
      <c r="C1914" s="977"/>
      <c r="D1914" s="777"/>
      <c r="E1914" s="3272" t="s">
        <v>2299</v>
      </c>
      <c r="F1914" s="2380"/>
      <c r="G1914" s="2380"/>
      <c r="H1914" s="2380"/>
      <c r="I1914" s="2380"/>
      <c r="J1914" s="2380"/>
      <c r="K1914" s="2380"/>
      <c r="L1914" s="2380"/>
      <c r="M1914" s="2380"/>
      <c r="N1914" s="3268"/>
      <c r="O1914" s="485"/>
      <c r="P1914" s="485"/>
      <c r="Q1914" s="1435"/>
      <c r="S1914" s="1435"/>
      <c r="T1914" s="1435"/>
      <c r="U1914" s="1435"/>
      <c r="V1914" s="1435"/>
    </row>
    <row r="1915" spans="1:42" ht="25.5" customHeight="1" thickBot="1">
      <c r="B1915" s="479"/>
      <c r="C1915" s="977"/>
      <c r="D1915" s="981"/>
      <c r="E1915" s="3267" t="s">
        <v>2331</v>
      </c>
      <c r="F1915" s="2380"/>
      <c r="G1915" s="2380"/>
      <c r="H1915" s="2380"/>
      <c r="I1915" s="2380"/>
      <c r="J1915" s="2380"/>
      <c r="K1915" s="2380"/>
      <c r="L1915" s="2380"/>
      <c r="M1915" s="2380"/>
      <c r="N1915" s="3268"/>
      <c r="O1915" s="485"/>
      <c r="P1915" s="485"/>
      <c r="Q1915" s="1435"/>
      <c r="S1915" s="1435"/>
    </row>
    <row r="1916" spans="1:42" ht="12.75" customHeight="1" thickBot="1">
      <c r="B1916" s="479"/>
      <c r="C1916" s="977"/>
      <c r="D1916" s="982"/>
      <c r="E1916" s="989"/>
      <c r="F1916" s="990"/>
      <c r="G1916" s="987" t="str">
        <f>EUconst_Unit</f>
        <v>Unit</v>
      </c>
      <c r="H1916" s="782">
        <f t="shared" ref="H1916:N1916" si="900">H$3242</f>
        <v>2024</v>
      </c>
      <c r="I1916" s="988">
        <f t="shared" si="900"/>
        <v>2025</v>
      </c>
      <c r="J1916" s="1810">
        <f t="shared" si="900"/>
        <v>2026</v>
      </c>
      <c r="K1916" s="1747">
        <f t="shared" si="900"/>
        <v>2027</v>
      </c>
      <c r="L1916" s="1747">
        <f t="shared" si="900"/>
        <v>2028</v>
      </c>
      <c r="M1916" s="1747">
        <f t="shared" si="900"/>
        <v>2029</v>
      </c>
      <c r="N1916" s="1748">
        <f t="shared" si="900"/>
        <v>2030</v>
      </c>
      <c r="O1916" s="485"/>
      <c r="P1916" s="485"/>
      <c r="Q1916" s="1435"/>
      <c r="S1916" s="1648"/>
      <c r="T1916" s="1749">
        <f t="shared" ref="T1916:Z1916" si="901">H1916</f>
        <v>2024</v>
      </c>
      <c r="U1916" s="1749">
        <f t="shared" si="901"/>
        <v>2025</v>
      </c>
      <c r="V1916" s="1749">
        <f t="shared" si="901"/>
        <v>2026</v>
      </c>
      <c r="W1916" s="1749">
        <f t="shared" si="901"/>
        <v>2027</v>
      </c>
      <c r="X1916" s="1749">
        <f t="shared" si="901"/>
        <v>2028</v>
      </c>
      <c r="Y1916" s="1749">
        <f t="shared" si="901"/>
        <v>2029</v>
      </c>
      <c r="Z1916" s="1750">
        <f t="shared" si="901"/>
        <v>2030</v>
      </c>
      <c r="AC1916" s="1638">
        <f t="shared" ref="AC1916:AI1916" si="902">H$20</f>
        <v>2024</v>
      </c>
      <c r="AD1916" s="1638">
        <f t="shared" si="902"/>
        <v>2025</v>
      </c>
      <c r="AE1916" s="1638">
        <f t="shared" si="902"/>
        <v>2026</v>
      </c>
      <c r="AF1916" s="1638">
        <f t="shared" si="902"/>
        <v>2027</v>
      </c>
      <c r="AG1916" s="1638">
        <f t="shared" si="902"/>
        <v>2028</v>
      </c>
      <c r="AH1916" s="1638">
        <f t="shared" si="902"/>
        <v>2029</v>
      </c>
      <c r="AI1916" s="1638">
        <f t="shared" si="902"/>
        <v>2030</v>
      </c>
    </row>
    <row r="1917" spans="1:42" ht="12.75" customHeight="1" thickBot="1">
      <c r="B1917" s="479"/>
      <c r="C1917" s="977"/>
      <c r="D1917" s="777"/>
      <c r="E1917" s="2475" t="s">
        <v>1354</v>
      </c>
      <c r="F1917" s="2410"/>
      <c r="G1917" s="815" t="str">
        <f>EUconst_MWhpa</f>
        <v>MWh / year</v>
      </c>
      <c r="H1917" s="1479" t="str">
        <f>c_ALR2025!M4503</f>
        <v/>
      </c>
      <c r="I1917" s="1532"/>
      <c r="J1917" s="1811"/>
      <c r="K1917" s="1751"/>
      <c r="L1917" s="1751"/>
      <c r="M1917" s="1751"/>
      <c r="N1917" s="1752"/>
      <c r="O1917" s="485"/>
      <c r="P1917" s="9">
        <v>0</v>
      </c>
      <c r="Q1917" s="1644" t="str">
        <f>EUconst_CNTR_ElectricityExported &amp; I1623</f>
        <v>ElecEx_</v>
      </c>
      <c r="S1917" s="1753" t="str">
        <f>EUconst_CNTR_AttributedEmissions &amp; I1623</f>
        <v>AttrEmissions_</v>
      </c>
      <c r="T1917" s="1743" t="str">
        <f t="shared" ref="T1917:Z1917" si="903">IF(T1631,-SUM(H1917)*EUconst_ElBM,"")</f>
        <v/>
      </c>
      <c r="U1917" s="1743" t="str">
        <f t="shared" si="903"/>
        <v/>
      </c>
      <c r="V1917" s="1743" t="str">
        <f t="shared" si="903"/>
        <v/>
      </c>
      <c r="W1917" s="1743" t="str">
        <f t="shared" si="903"/>
        <v/>
      </c>
      <c r="X1917" s="1743" t="str">
        <f t="shared" si="903"/>
        <v/>
      </c>
      <c r="Y1917" s="1743" t="str">
        <f t="shared" si="903"/>
        <v/>
      </c>
      <c r="Z1917" s="1744" t="str">
        <f t="shared" si="903"/>
        <v/>
      </c>
      <c r="AB1917" s="1641" t="s">
        <v>717</v>
      </c>
      <c r="AC1917" s="1443" t="b">
        <f t="shared" ref="AC1917:AI1917" si="904">AC1693</f>
        <v>0</v>
      </c>
      <c r="AD1917" s="1443" t="b">
        <f t="shared" si="904"/>
        <v>0</v>
      </c>
      <c r="AE1917" s="1443" t="b">
        <f t="shared" si="904"/>
        <v>0</v>
      </c>
      <c r="AF1917" s="1443" t="b">
        <f t="shared" si="904"/>
        <v>0</v>
      </c>
      <c r="AG1917" s="1443" t="b">
        <f t="shared" si="904"/>
        <v>0</v>
      </c>
      <c r="AH1917" s="1443" t="b">
        <f t="shared" si="904"/>
        <v>0</v>
      </c>
      <c r="AI1917" s="1443" t="b">
        <f t="shared" si="904"/>
        <v>0</v>
      </c>
      <c r="AJ1917" s="1633" t="s">
        <v>1954</v>
      </c>
      <c r="AK1917" s="1635" t="str">
        <f>IF(AND(CNTR_ExistSubInstEntries,MSconst_RequireSubAttrEmissions,COUNTIFS(AC1917:AI1917,FALSE,H1917:N1917,"")&gt;0),EUconst_Error&amp;"BM"&amp;$Q1623,"")</f>
        <v/>
      </c>
    </row>
    <row r="1918" spans="1:42" ht="12.75" customHeight="1">
      <c r="B1918" s="479"/>
      <c r="C1918" s="977"/>
      <c r="D1918" s="981"/>
      <c r="E1918" s="981"/>
      <c r="F1918" s="981"/>
      <c r="G1918" s="981"/>
      <c r="H1918" s="981"/>
      <c r="I1918" s="983"/>
      <c r="J1918" s="981"/>
      <c r="K1918" s="981"/>
      <c r="L1918" s="981"/>
      <c r="M1918" s="981"/>
      <c r="N1918" s="814"/>
      <c r="O1918" s="485"/>
      <c r="P1918" s="485"/>
      <c r="Q1918" s="1435"/>
      <c r="S1918" s="1435"/>
      <c r="V1918" s="1435"/>
    </row>
    <row r="1919" spans="1:42" ht="12.75" customHeight="1">
      <c r="B1919" s="479"/>
      <c r="C1919" s="977"/>
      <c r="D1919" s="982" t="s">
        <v>245</v>
      </c>
      <c r="E1919" s="2649" t="s">
        <v>1157</v>
      </c>
      <c r="F1919" s="2391"/>
      <c r="G1919" s="2391"/>
      <c r="H1919" s="2391"/>
      <c r="I1919" s="2391"/>
      <c r="J1919" s="2391"/>
      <c r="K1919" s="2391"/>
      <c r="L1919" s="2391"/>
      <c r="M1919" s="2391"/>
      <c r="N1919" s="2650"/>
      <c r="O1919" s="485"/>
      <c r="P1919" s="485"/>
      <c r="V1919" s="1435"/>
    </row>
    <row r="1920" spans="1:42" ht="25.5" customHeight="1">
      <c r="B1920" s="479"/>
      <c r="C1920" s="977"/>
      <c r="D1920" s="981"/>
      <c r="E1920" s="3267" t="s">
        <v>1264</v>
      </c>
      <c r="F1920" s="2380"/>
      <c r="G1920" s="2380"/>
      <c r="H1920" s="2380"/>
      <c r="I1920" s="2380"/>
      <c r="J1920" s="2380"/>
      <c r="K1920" s="2380"/>
      <c r="L1920" s="2380"/>
      <c r="M1920" s="2380"/>
      <c r="N1920" s="3268"/>
      <c r="O1920" s="485"/>
      <c r="P1920" s="485"/>
      <c r="Q1920" s="1435"/>
      <c r="S1920" s="1435"/>
      <c r="V1920" s="1435"/>
    </row>
    <row r="1921" spans="2:37" ht="12.75" customHeight="1">
      <c r="B1921" s="479"/>
      <c r="C1921" s="977"/>
      <c r="D1921" s="981"/>
      <c r="E1921" s="3267" t="s">
        <v>1563</v>
      </c>
      <c r="F1921" s="2380"/>
      <c r="G1921" s="2380"/>
      <c r="H1921" s="2380"/>
      <c r="I1921" s="2380"/>
      <c r="J1921" s="2380"/>
      <c r="K1921" s="2380"/>
      <c r="L1921" s="2380"/>
      <c r="M1921" s="2380"/>
      <c r="N1921" s="3268"/>
      <c r="O1921" s="485"/>
      <c r="P1921" s="485"/>
      <c r="Q1921" s="1435"/>
      <c r="S1921" s="1435"/>
      <c r="V1921" s="1435"/>
    </row>
    <row r="1922" spans="2:37" ht="12.75" customHeight="1" thickBot="1">
      <c r="B1922" s="479"/>
      <c r="C1922" s="977"/>
      <c r="D1922" s="777"/>
      <c r="E1922" s="3283" t="s">
        <v>1598</v>
      </c>
      <c r="F1922" s="3284"/>
      <c r="G1922" s="3284"/>
      <c r="H1922" s="3284"/>
      <c r="I1922" s="3284"/>
      <c r="J1922" s="2380"/>
      <c r="K1922" s="2380"/>
      <c r="L1922" s="2380"/>
      <c r="M1922" s="2380"/>
      <c r="N1922" s="3268"/>
      <c r="O1922" s="485"/>
      <c r="P1922" s="485"/>
      <c r="Q1922" s="1435"/>
      <c r="S1922" s="1435"/>
      <c r="V1922" s="1435"/>
      <c r="AC1922" s="1638">
        <f t="shared" ref="AC1922:AI1922" si="905">H$20</f>
        <v>2024</v>
      </c>
      <c r="AD1922" s="1638">
        <f t="shared" si="905"/>
        <v>2025</v>
      </c>
      <c r="AE1922" s="1638">
        <f t="shared" si="905"/>
        <v>2026</v>
      </c>
      <c r="AF1922" s="1638">
        <f t="shared" si="905"/>
        <v>2027</v>
      </c>
      <c r="AG1922" s="1638">
        <f t="shared" si="905"/>
        <v>2028</v>
      </c>
      <c r="AH1922" s="1638">
        <f t="shared" si="905"/>
        <v>2029</v>
      </c>
      <c r="AI1922" s="1638">
        <f t="shared" si="905"/>
        <v>2030</v>
      </c>
    </row>
    <row r="1923" spans="2:37" ht="12.75" customHeight="1">
      <c r="B1923" s="479"/>
      <c r="C1923" s="977"/>
      <c r="D1923" s="777"/>
      <c r="E1923" s="3285" t="str">
        <f>IF(I1623="","",IF(INDEX(EUconst_BMlistPulp,MATCH(I1623,EUconst_BMlistNames,0)),I1623,""))</f>
        <v/>
      </c>
      <c r="F1923" s="2410"/>
      <c r="G1923" s="815" t="str">
        <f>EUconst_Tons</f>
        <v>tonnes</v>
      </c>
      <c r="H1923" s="1869"/>
      <c r="I1923" s="1532"/>
      <c r="J1923" s="1811"/>
      <c r="K1923" s="1751"/>
      <c r="L1923" s="1751"/>
      <c r="M1923" s="1751"/>
      <c r="N1923" s="1752"/>
      <c r="O1923" s="485"/>
      <c r="P1923" s="9">
        <v>0</v>
      </c>
      <c r="Q1923" s="1644" t="str">
        <f>EUconst_CNTR_HALPulpTotal &amp; I1623</f>
        <v>HALPulpTotal_</v>
      </c>
      <c r="S1923" s="1435"/>
      <c r="AB1923" s="1641" t="s">
        <v>717</v>
      </c>
      <c r="AC1923" s="1423" t="b">
        <f t="shared" ref="AC1923:AI1923" si="906">IF($I1623&lt;&gt;"",IF(INDEX(EUconst_BMlistPulp,MATCH($I1623,EUconst_BMlistNames,0))=TRUE,FALSE,TRUE),AC1693)</f>
        <v>0</v>
      </c>
      <c r="AD1923" s="1443" t="b">
        <f t="shared" si="906"/>
        <v>0</v>
      </c>
      <c r="AE1923" s="1443" t="b">
        <f t="shared" si="906"/>
        <v>0</v>
      </c>
      <c r="AF1923" s="1443" t="b">
        <f t="shared" si="906"/>
        <v>0</v>
      </c>
      <c r="AG1923" s="1443" t="b">
        <f t="shared" si="906"/>
        <v>0</v>
      </c>
      <c r="AH1923" s="1443" t="b">
        <f t="shared" si="906"/>
        <v>0</v>
      </c>
      <c r="AI1923" s="1443" t="b">
        <f t="shared" si="906"/>
        <v>0</v>
      </c>
      <c r="AJ1923" s="1633" t="s">
        <v>1954</v>
      </c>
      <c r="AK1923" s="1635" t="str">
        <f>IF(AND(CNTR_ExistSubInstEntries,MSconst_RequireSubAttrEmissions,COUNTIFS(AC1923:AI1923,FALSE,H1923:N1923,"")&gt;0),EUconst_Error&amp;"BM"&amp;$Q1623,"")</f>
        <v/>
      </c>
    </row>
    <row r="1924" spans="2:37" ht="12.75" customHeight="1">
      <c r="B1924" s="479"/>
      <c r="C1924" s="977"/>
      <c r="D1924" s="777"/>
      <c r="E1924" s="777"/>
      <c r="F1924" s="777"/>
      <c r="G1924" s="777"/>
      <c r="H1924" s="983"/>
      <c r="I1924" s="777"/>
      <c r="J1924" s="777"/>
      <c r="K1924" s="777"/>
      <c r="L1924" s="777"/>
      <c r="M1924" s="777"/>
      <c r="N1924" s="1007"/>
      <c r="O1924" s="485"/>
      <c r="P1924" s="485"/>
      <c r="Q1924" s="1435"/>
      <c r="S1924" s="1435"/>
      <c r="V1924" s="1435"/>
    </row>
    <row r="1925" spans="2:37" ht="12.75" customHeight="1">
      <c r="B1925" s="479"/>
      <c r="C1925" s="977"/>
      <c r="D1925" s="982" t="s">
        <v>832</v>
      </c>
      <c r="E1925" s="2649" t="s">
        <v>1142</v>
      </c>
      <c r="F1925" s="2391"/>
      <c r="G1925" s="2391"/>
      <c r="H1925" s="2391"/>
      <c r="I1925" s="2391"/>
      <c r="J1925" s="2391"/>
      <c r="K1925" s="2391"/>
      <c r="L1925" s="2391"/>
      <c r="M1925" s="2391"/>
      <c r="N1925" s="2650"/>
      <c r="O1925" s="485"/>
      <c r="P1925" s="485"/>
      <c r="Q1925" s="1435"/>
      <c r="S1925" s="1435"/>
      <c r="V1925" s="1435"/>
    </row>
    <row r="1926" spans="2:37" ht="25.5" customHeight="1">
      <c r="B1926" s="479"/>
      <c r="C1926" s="977"/>
      <c r="D1926" s="981"/>
      <c r="E1926" s="3267" t="s">
        <v>1366</v>
      </c>
      <c r="F1926" s="2380"/>
      <c r="G1926" s="2380"/>
      <c r="H1926" s="2380"/>
      <c r="I1926" s="2380"/>
      <c r="J1926" s="2380"/>
      <c r="K1926" s="2380"/>
      <c r="L1926" s="2380"/>
      <c r="M1926" s="2380"/>
      <c r="N1926" s="3268"/>
      <c r="O1926" s="485"/>
      <c r="P1926" s="485"/>
      <c r="Q1926" s="1435"/>
      <c r="S1926" s="1435"/>
      <c r="V1926" s="1435"/>
    </row>
    <row r="1927" spans="2:37" ht="12.75" customHeight="1">
      <c r="B1927" s="479"/>
      <c r="C1927" s="977"/>
      <c r="D1927" s="981"/>
      <c r="E1927" s="2676" t="s">
        <v>1610</v>
      </c>
      <c r="F1927" s="2391"/>
      <c r="G1927" s="2391"/>
      <c r="H1927" s="2391"/>
      <c r="I1927" s="2391"/>
      <c r="J1927" s="2391"/>
      <c r="K1927" s="2391"/>
      <c r="L1927" s="2391"/>
      <c r="M1927" s="2391"/>
      <c r="N1927" s="2650"/>
      <c r="O1927" s="485"/>
      <c r="P1927" s="485"/>
      <c r="Q1927" s="1435"/>
      <c r="S1927" s="1435"/>
      <c r="V1927" s="1435"/>
    </row>
    <row r="1928" spans="2:37" ht="12.75" customHeight="1">
      <c r="B1928" s="1124"/>
      <c r="C1928" s="977"/>
      <c r="D1928" s="777" t="s">
        <v>6</v>
      </c>
      <c r="E1928" s="2682" t="s">
        <v>1145</v>
      </c>
      <c r="F1928" s="2391"/>
      <c r="G1928" s="2391"/>
      <c r="H1928" s="2391"/>
      <c r="I1928" s="2391"/>
      <c r="J1928" s="2391"/>
      <c r="K1928" s="2512"/>
      <c r="L1928" s="1478" t="str">
        <f>c_ALR2025!L4514</f>
        <v/>
      </c>
      <c r="M1928" s="813"/>
      <c r="N1928" s="1015"/>
      <c r="O1928" s="485"/>
      <c r="P1928" s="9">
        <v>0</v>
      </c>
      <c r="AF1928" s="1641" t="s">
        <v>717</v>
      </c>
      <c r="AG1928" s="1423" t="b">
        <f>AND(CNTR_ExistSubInstEntries,I1623="")</f>
        <v>0</v>
      </c>
    </row>
    <row r="1929" spans="2:37" ht="5.0999999999999996" customHeight="1">
      <c r="B1929" s="479"/>
      <c r="C1929" s="977"/>
      <c r="D1929" s="777"/>
      <c r="E1929" s="777"/>
      <c r="F1929" s="777"/>
      <c r="G1929" s="777"/>
      <c r="H1929" s="983"/>
      <c r="I1929" s="777"/>
      <c r="J1929" s="777"/>
      <c r="K1929" s="777"/>
      <c r="L1929" s="777"/>
      <c r="M1929" s="777"/>
      <c r="N1929" s="1007"/>
      <c r="O1929" s="485"/>
      <c r="P1929" s="485"/>
      <c r="Q1929" s="1435"/>
      <c r="S1929" s="1435"/>
      <c r="V1929" s="1435"/>
    </row>
    <row r="1930" spans="2:37" ht="12.75" customHeight="1" thickBot="1">
      <c r="B1930" s="479"/>
      <c r="C1930" s="977"/>
      <c r="D1930" s="982"/>
      <c r="E1930" s="2648" t="s">
        <v>1144</v>
      </c>
      <c r="F1930" s="2493"/>
      <c r="G1930" s="778" t="str">
        <f>EUconst_Unit</f>
        <v>Unit</v>
      </c>
      <c r="H1930" s="782">
        <f t="shared" ref="H1930:N1930" si="907">H$3242</f>
        <v>2024</v>
      </c>
      <c r="I1930" s="988">
        <f t="shared" si="907"/>
        <v>2025</v>
      </c>
      <c r="J1930" s="1810">
        <f t="shared" si="907"/>
        <v>2026</v>
      </c>
      <c r="K1930" s="1747">
        <f t="shared" si="907"/>
        <v>2027</v>
      </c>
      <c r="L1930" s="1747">
        <f t="shared" si="907"/>
        <v>2028</v>
      </c>
      <c r="M1930" s="1747">
        <f t="shared" si="907"/>
        <v>2029</v>
      </c>
      <c r="N1930" s="1748">
        <f t="shared" si="907"/>
        <v>2030</v>
      </c>
      <c r="O1930" s="485"/>
      <c r="P1930" s="485"/>
      <c r="Q1930" s="1435"/>
      <c r="S1930" s="1435"/>
      <c r="V1930" s="1435"/>
      <c r="AC1930" s="1638">
        <f t="shared" ref="AC1930:AI1930" si="908">H$20</f>
        <v>2024</v>
      </c>
      <c r="AD1930" s="1638">
        <f t="shared" si="908"/>
        <v>2025</v>
      </c>
      <c r="AE1930" s="1638">
        <f t="shared" si="908"/>
        <v>2026</v>
      </c>
      <c r="AF1930" s="1638">
        <f t="shared" si="908"/>
        <v>2027</v>
      </c>
      <c r="AG1930" s="1638">
        <f t="shared" si="908"/>
        <v>2028</v>
      </c>
      <c r="AH1930" s="1638">
        <f t="shared" si="908"/>
        <v>2029</v>
      </c>
      <c r="AI1930" s="1638">
        <f t="shared" si="908"/>
        <v>2030</v>
      </c>
    </row>
    <row r="1931" spans="2:37" ht="12.75" customHeight="1">
      <c r="B1931" s="479"/>
      <c r="C1931" s="977"/>
      <c r="D1931" s="777" t="s">
        <v>7</v>
      </c>
      <c r="E1931" s="3279"/>
      <c r="F1931" s="3280"/>
      <c r="G1931" s="1016" t="str">
        <f>IF(E1931&lt;&gt;"",INDEX(EUconst_BMlistUnits,MATCH(E1931,EUconst_BMlistNames,0)),EUconst_Tons)</f>
        <v>tonnes</v>
      </c>
      <c r="H1931" s="1774" t="str">
        <f>c_ALR2025!M4517</f>
        <v/>
      </c>
      <c r="I1931" s="1886"/>
      <c r="J1931" s="1812"/>
      <c r="K1931" s="1754"/>
      <c r="L1931" s="1754"/>
      <c r="M1931" s="1754"/>
      <c r="N1931" s="1755"/>
      <c r="O1931" s="485"/>
      <c r="P1931" s="9">
        <v>0</v>
      </c>
      <c r="Q1931" s="1644" t="str">
        <f>EUconst_CNTR_IntermediateImport &amp; S1931 &amp; "_" &amp; I1623</f>
        <v>IntImp_1_</v>
      </c>
      <c r="S1931" s="1644">
        <v>1</v>
      </c>
      <c r="V1931" s="1435"/>
      <c r="AB1931" s="1641" t="s">
        <v>717</v>
      </c>
      <c r="AC1931" s="1423" t="b">
        <f t="shared" ref="AC1931:AI1931" si="909">OR(AND($L1928&lt;&gt;"",$L1928=FALSE),AC1693)</f>
        <v>0</v>
      </c>
      <c r="AD1931" s="1443" t="b">
        <f t="shared" si="909"/>
        <v>0</v>
      </c>
      <c r="AE1931" s="1443" t="b">
        <f t="shared" si="909"/>
        <v>0</v>
      </c>
      <c r="AF1931" s="1443" t="b">
        <f t="shared" si="909"/>
        <v>0</v>
      </c>
      <c r="AG1931" s="1443" t="b">
        <f t="shared" si="909"/>
        <v>0</v>
      </c>
      <c r="AH1931" s="1443" t="b">
        <f t="shared" si="909"/>
        <v>0</v>
      </c>
      <c r="AI1931" s="1443" t="b">
        <f t="shared" si="909"/>
        <v>0</v>
      </c>
      <c r="AJ1931" s="1633" t="s">
        <v>1954</v>
      </c>
      <c r="AK1931" s="1635" t="str">
        <f>IF(AND(CNTR_ExistSubInstEntries,MSconst_RequireSubAttrEmissions,COUNTIFS(AC1931:AI1931,FALSE,H1931:N1931,"")&gt;0),EUconst_Error&amp;"BM"&amp;$Q1623,"")</f>
        <v/>
      </c>
    </row>
    <row r="1932" spans="2:37" ht="12.75" customHeight="1">
      <c r="B1932" s="479"/>
      <c r="C1932" s="977"/>
      <c r="D1932" s="777" t="s">
        <v>8</v>
      </c>
      <c r="E1932" s="3281"/>
      <c r="F1932" s="3282"/>
      <c r="G1932" s="1008" t="str">
        <f>IF(E1932&lt;&gt;"",INDEX(EUconst_BMlistUnits,MATCH(E1932,EUconst_BMlistNames,0)),EUconst_Tons)</f>
        <v>tonnes</v>
      </c>
      <c r="H1932" s="1816" t="str">
        <f>c_ALR2025!M4518</f>
        <v/>
      </c>
      <c r="I1932" s="1887"/>
      <c r="J1932" s="1812"/>
      <c r="K1932" s="1754"/>
      <c r="L1932" s="1754"/>
      <c r="M1932" s="1754"/>
      <c r="N1932" s="1755"/>
      <c r="O1932" s="485"/>
      <c r="P1932" s="9">
        <v>0</v>
      </c>
      <c r="Q1932" s="1644" t="str">
        <f>EUconst_CNTR_IntermediateImport &amp; S1932 &amp; "_" &amp; I1623</f>
        <v>IntImp_2_</v>
      </c>
      <c r="S1932" s="1644">
        <v>2</v>
      </c>
      <c r="V1932" s="1435"/>
      <c r="AC1932" s="1443" t="b">
        <f>AC1931</f>
        <v>0</v>
      </c>
      <c r="AD1932" s="1443" t="b">
        <f t="shared" ref="AD1932:AI1932" si="910">AD1931</f>
        <v>0</v>
      </c>
      <c r="AE1932" s="1443" t="b">
        <f t="shared" si="910"/>
        <v>0</v>
      </c>
      <c r="AF1932" s="1443" t="b">
        <f t="shared" si="910"/>
        <v>0</v>
      </c>
      <c r="AG1932" s="1443" t="b">
        <f t="shared" si="910"/>
        <v>0</v>
      </c>
      <c r="AH1932" s="1443" t="b">
        <f t="shared" si="910"/>
        <v>0</v>
      </c>
      <c r="AI1932" s="1443" t="b">
        <f t="shared" si="910"/>
        <v>0</v>
      </c>
    </row>
    <row r="1933" spans="2:37" ht="5.0999999999999996" customHeight="1">
      <c r="B1933" s="479"/>
      <c r="C1933" s="977"/>
      <c r="D1933" s="777"/>
      <c r="E1933" s="777"/>
      <c r="F1933" s="777"/>
      <c r="G1933" s="777"/>
      <c r="H1933" s="777"/>
      <c r="I1933" s="777"/>
      <c r="J1933" s="1817"/>
      <c r="K1933" s="1776"/>
      <c r="L1933" s="1776"/>
      <c r="M1933" s="1776"/>
      <c r="N1933" s="1777"/>
      <c r="O1933" s="485"/>
      <c r="P1933" s="485"/>
      <c r="Q1933" s="1435"/>
      <c r="S1933" s="1435"/>
      <c r="V1933" s="1435"/>
    </row>
    <row r="1934" spans="2:37" ht="12.75" customHeight="1" thickBot="1">
      <c r="B1934" s="479"/>
      <c r="C1934" s="977"/>
      <c r="D1934" s="982"/>
      <c r="E1934" s="2648" t="s">
        <v>1143</v>
      </c>
      <c r="F1934" s="2493"/>
      <c r="G1934" s="778" t="str">
        <f>EUconst_Unit</f>
        <v>Unit</v>
      </c>
      <c r="H1934" s="782">
        <f t="shared" ref="H1934:N1934" si="911">H$3242</f>
        <v>2024</v>
      </c>
      <c r="I1934" s="988">
        <f t="shared" si="911"/>
        <v>2025</v>
      </c>
      <c r="J1934" s="1810">
        <f t="shared" si="911"/>
        <v>2026</v>
      </c>
      <c r="K1934" s="1747">
        <f t="shared" si="911"/>
        <v>2027</v>
      </c>
      <c r="L1934" s="1747">
        <f t="shared" si="911"/>
        <v>2028</v>
      </c>
      <c r="M1934" s="1747">
        <f t="shared" si="911"/>
        <v>2029</v>
      </c>
      <c r="N1934" s="1748">
        <f t="shared" si="911"/>
        <v>2030</v>
      </c>
      <c r="O1934" s="485"/>
      <c r="P1934" s="485"/>
      <c r="Q1934" s="1435"/>
      <c r="S1934" s="1435"/>
      <c r="V1934" s="1435"/>
      <c r="AC1934" s="1638">
        <f t="shared" ref="AC1934:AI1934" si="912">H$20</f>
        <v>2024</v>
      </c>
      <c r="AD1934" s="1638">
        <f t="shared" si="912"/>
        <v>2025</v>
      </c>
      <c r="AE1934" s="1638">
        <f t="shared" si="912"/>
        <v>2026</v>
      </c>
      <c r="AF1934" s="1638">
        <f t="shared" si="912"/>
        <v>2027</v>
      </c>
      <c r="AG1934" s="1638">
        <f t="shared" si="912"/>
        <v>2028</v>
      </c>
      <c r="AH1934" s="1638">
        <f t="shared" si="912"/>
        <v>2029</v>
      </c>
      <c r="AI1934" s="1638">
        <f t="shared" si="912"/>
        <v>2030</v>
      </c>
    </row>
    <row r="1935" spans="2:37" ht="12.75" customHeight="1">
      <c r="B1935" s="479"/>
      <c r="C1935" s="977"/>
      <c r="D1935" s="777" t="s">
        <v>18</v>
      </c>
      <c r="E1935" s="3279"/>
      <c r="F1935" s="3280"/>
      <c r="G1935" s="1016" t="str">
        <f>IF(E1935&lt;&gt;"",INDEX(EUconst_BMlistUnits,MATCH(E1935,EUconst_BMlistNames,0)),EUconst_Tons)</f>
        <v>tonnes</v>
      </c>
      <c r="H1935" s="1774" t="str">
        <f>c_ALR2025!M4521</f>
        <v/>
      </c>
      <c r="I1935" s="1886"/>
      <c r="J1935" s="1812"/>
      <c r="K1935" s="1754"/>
      <c r="L1935" s="1754"/>
      <c r="M1935" s="1754"/>
      <c r="N1935" s="1755"/>
      <c r="O1935" s="485"/>
      <c r="P1935" s="9">
        <v>0</v>
      </c>
      <c r="Q1935" s="1644" t="str">
        <f>EUconst_CNTR_IntermediateExport &amp; S1931 &amp; "_" &amp; I1623</f>
        <v>IntExp_1_</v>
      </c>
      <c r="S1935" s="1644">
        <v>1</v>
      </c>
      <c r="V1935" s="1435"/>
      <c r="X1935" s="1778"/>
      <c r="Y1935" s="1778"/>
      <c r="AB1935" s="1641" t="s">
        <v>717</v>
      </c>
      <c r="AC1935" s="1443" t="b">
        <f>AC1931</f>
        <v>0</v>
      </c>
      <c r="AD1935" s="1443" t="b">
        <f t="shared" ref="AD1935:AI1935" si="913">AD1931</f>
        <v>0</v>
      </c>
      <c r="AE1935" s="1443" t="b">
        <f t="shared" si="913"/>
        <v>0</v>
      </c>
      <c r="AF1935" s="1443" t="b">
        <f t="shared" si="913"/>
        <v>0</v>
      </c>
      <c r="AG1935" s="1443" t="b">
        <f t="shared" si="913"/>
        <v>0</v>
      </c>
      <c r="AH1935" s="1443" t="b">
        <f t="shared" si="913"/>
        <v>0</v>
      </c>
      <c r="AI1935" s="1443" t="b">
        <f t="shared" si="913"/>
        <v>0</v>
      </c>
      <c r="AJ1935" s="1633" t="s">
        <v>1954</v>
      </c>
      <c r="AK1935" s="1635" t="str">
        <f>IF(AND(CNTR_ExistSubInstEntries,MSconst_RequireSubAttrEmissions,COUNTIFS(AC1935:AI1935,FALSE,H1935:N1935,"")&gt;0),EUconst_Error&amp;"BM"&amp;$Q1623,"")</f>
        <v/>
      </c>
    </row>
    <row r="1936" spans="2:37" ht="12.75" customHeight="1">
      <c r="B1936" s="479"/>
      <c r="C1936" s="977"/>
      <c r="D1936" s="777" t="s">
        <v>787</v>
      </c>
      <c r="E1936" s="3281"/>
      <c r="F1936" s="3282"/>
      <c r="G1936" s="1008" t="str">
        <f>IF(E1936&lt;&gt;"",INDEX(EUconst_BMlistUnits,MATCH(E1936,EUconst_BMlistNames,0)),EUconst_Tons)</f>
        <v>tonnes</v>
      </c>
      <c r="H1936" s="1816" t="str">
        <f>c_ALR2025!M4522</f>
        <v/>
      </c>
      <c r="I1936" s="1887"/>
      <c r="J1936" s="1812"/>
      <c r="K1936" s="1754"/>
      <c r="L1936" s="1754"/>
      <c r="M1936" s="1754"/>
      <c r="N1936" s="1755"/>
      <c r="O1936" s="485"/>
      <c r="P1936" s="9">
        <v>0</v>
      </c>
      <c r="Q1936" s="1644" t="str">
        <f>EUconst_CNTR_IntermediateExport &amp; S1936 &amp; "_" &amp; I1623</f>
        <v>IntExp_2_</v>
      </c>
      <c r="S1936" s="1644">
        <v>2</v>
      </c>
      <c r="V1936" s="1435"/>
      <c r="X1936" s="1778"/>
      <c r="Y1936" s="1778"/>
      <c r="AC1936" s="1443" t="b">
        <f t="shared" ref="AC1936:AI1936" si="914">AC1932</f>
        <v>0</v>
      </c>
      <c r="AD1936" s="1443" t="b">
        <f t="shared" si="914"/>
        <v>0</v>
      </c>
      <c r="AE1936" s="1443" t="b">
        <f t="shared" si="914"/>
        <v>0</v>
      </c>
      <c r="AF1936" s="1443" t="b">
        <f t="shared" si="914"/>
        <v>0</v>
      </c>
      <c r="AG1936" s="1443" t="b">
        <f t="shared" si="914"/>
        <v>0</v>
      </c>
      <c r="AH1936" s="1443" t="b">
        <f t="shared" si="914"/>
        <v>0</v>
      </c>
      <c r="AI1936" s="1443" t="b">
        <f t="shared" si="914"/>
        <v>0</v>
      </c>
    </row>
    <row r="1937" spans="1:38" ht="5.0999999999999996" customHeight="1">
      <c r="B1937" s="479"/>
      <c r="C1937" s="977"/>
      <c r="D1937" s="777"/>
      <c r="E1937" s="777"/>
      <c r="F1937" s="777"/>
      <c r="G1937" s="777"/>
      <c r="H1937" s="777"/>
      <c r="I1937" s="777"/>
      <c r="J1937" s="777"/>
      <c r="K1937" s="777"/>
      <c r="L1937" s="777"/>
      <c r="M1937" s="777"/>
      <c r="N1937" s="1007"/>
      <c r="O1937" s="485"/>
      <c r="P1937" s="485"/>
      <c r="Q1937" s="1435"/>
      <c r="S1937" s="1435"/>
      <c r="V1937" s="1435"/>
      <c r="X1937" s="1778"/>
      <c r="Y1937" s="1778"/>
    </row>
    <row r="1938" spans="1:38" ht="12.75" customHeight="1">
      <c r="B1938" s="479"/>
      <c r="C1938" s="977"/>
      <c r="D1938" s="777" t="s">
        <v>788</v>
      </c>
      <c r="E1938" s="813" t="s">
        <v>1146</v>
      </c>
      <c r="F1938" s="813"/>
      <c r="G1938" s="813"/>
      <c r="H1938" s="813"/>
      <c r="I1938" s="813"/>
      <c r="J1938" s="813"/>
      <c r="K1938" s="813"/>
      <c r="L1938" s="813"/>
      <c r="M1938" s="813"/>
      <c r="N1938" s="1007"/>
      <c r="O1938" s="485"/>
      <c r="P1938" s="485"/>
      <c r="Q1938" s="1435"/>
      <c r="S1938" s="1435"/>
      <c r="V1938" s="1435"/>
      <c r="X1938" s="1778"/>
      <c r="Y1938" s="1778"/>
    </row>
    <row r="1939" spans="1:38" ht="12.75" customHeight="1">
      <c r="B1939" s="479"/>
      <c r="C1939" s="977"/>
      <c r="D1939" s="777"/>
      <c r="E1939" s="1779" t="s">
        <v>1459</v>
      </c>
      <c r="F1939" s="978"/>
      <c r="G1939" s="978"/>
      <c r="H1939" s="978"/>
      <c r="I1939" s="978"/>
      <c r="J1939" s="978"/>
      <c r="K1939" s="978"/>
      <c r="L1939" s="978"/>
      <c r="M1939" s="978"/>
      <c r="N1939" s="979"/>
      <c r="O1939" s="485"/>
      <c r="P1939" s="485"/>
      <c r="Q1939" s="1435"/>
      <c r="S1939" s="1435"/>
      <c r="V1939" s="1435"/>
      <c r="X1939" s="1778"/>
      <c r="Y1939" s="1778"/>
    </row>
    <row r="1940" spans="1:38" ht="12.75" customHeight="1">
      <c r="B1940" s="479"/>
      <c r="C1940" s="977"/>
      <c r="D1940" s="777"/>
      <c r="E1940" s="3273"/>
      <c r="F1940" s="3274"/>
      <c r="G1940" s="3274"/>
      <c r="H1940" s="3274"/>
      <c r="I1940" s="3274"/>
      <c r="J1940" s="3274"/>
      <c r="K1940" s="3274"/>
      <c r="L1940" s="3274"/>
      <c r="M1940" s="3275"/>
      <c r="N1940" s="1007"/>
      <c r="O1940" s="485"/>
      <c r="P1940" s="9">
        <v>0</v>
      </c>
      <c r="Q1940" s="1435"/>
      <c r="S1940" s="1435"/>
      <c r="V1940" s="1435"/>
      <c r="X1940" s="1778"/>
      <c r="Y1940" s="1778"/>
      <c r="AB1940" s="1641" t="s">
        <v>717</v>
      </c>
      <c r="AC1940" s="1443" t="b">
        <f>AND(AC1935:AI1935)</f>
        <v>0</v>
      </c>
    </row>
    <row r="1941" spans="1:38" ht="12.75" customHeight="1">
      <c r="B1941" s="479"/>
      <c r="C1941" s="977"/>
      <c r="D1941" s="777"/>
      <c r="E1941" s="3276"/>
      <c r="F1941" s="3277"/>
      <c r="G1941" s="3277"/>
      <c r="H1941" s="3277"/>
      <c r="I1941" s="3277"/>
      <c r="J1941" s="3277"/>
      <c r="K1941" s="3277"/>
      <c r="L1941" s="3277"/>
      <c r="M1941" s="3278"/>
      <c r="N1941" s="1007"/>
      <c r="O1941" s="485"/>
      <c r="P1941" s="485"/>
      <c r="Q1941" s="1435"/>
      <c r="S1941" s="1435"/>
      <c r="V1941" s="1435"/>
      <c r="X1941" s="1778"/>
      <c r="Y1941" s="1778"/>
      <c r="AC1941" s="1443" t="b">
        <f>AC1940</f>
        <v>0</v>
      </c>
    </row>
    <row r="1942" spans="1:38" ht="12.75" customHeight="1" thickBot="1">
      <c r="B1942" s="479"/>
      <c r="C1942" s="1018"/>
      <c r="D1942" s="1019"/>
      <c r="E1942" s="1019"/>
      <c r="F1942" s="1019"/>
      <c r="G1942" s="1019"/>
      <c r="H1942" s="1019"/>
      <c r="I1942" s="1019"/>
      <c r="J1942" s="1019"/>
      <c r="K1942" s="1019"/>
      <c r="L1942" s="1019"/>
      <c r="M1942" s="805"/>
      <c r="N1942" s="806"/>
      <c r="O1942" s="485"/>
      <c r="P1942" s="485"/>
      <c r="Q1942" s="1435"/>
      <c r="S1942" s="1435"/>
      <c r="V1942" s="1435"/>
    </row>
    <row r="1943" spans="1:38" ht="12.75" customHeight="1" thickBot="1">
      <c r="A1943" s="618"/>
      <c r="B1943" s="467"/>
      <c r="C1943" s="467"/>
      <c r="D1943" s="467"/>
      <c r="E1943" s="467"/>
      <c r="F1943" s="467"/>
      <c r="G1943" s="467"/>
      <c r="H1943" s="467"/>
      <c r="I1943" s="467"/>
      <c r="J1943" s="467"/>
      <c r="K1943" s="467"/>
      <c r="L1943" s="467"/>
      <c r="M1943" s="481"/>
      <c r="N1943" s="481"/>
      <c r="O1943" s="481"/>
      <c r="P1943" s="481"/>
      <c r="Q1943" s="1488" t="str">
        <f>IF(OR(AND(CNTR_ExistProductSubEntries=FALSE,Q1623=1),AND(I1623&lt;&gt;"",COUNTIF(Q1944:$Q3271,"PRINT")=0)),"PRINT","")</f>
        <v/>
      </c>
      <c r="R1943" s="1249"/>
      <c r="S1943" s="1249"/>
      <c r="T1943" s="1249"/>
      <c r="U1943" s="1249"/>
      <c r="V1943" s="1249"/>
      <c r="W1943" s="1249"/>
      <c r="X1943" s="1249"/>
      <c r="Y1943" s="1249"/>
      <c r="AE1943" s="1118"/>
      <c r="AF1943" s="1118"/>
      <c r="AG1943" s="1118"/>
      <c r="AH1943" s="1118"/>
      <c r="AI1943" s="1118"/>
      <c r="AJ1943" s="1118"/>
      <c r="AK1943" s="1118"/>
      <c r="AL1943" s="1118"/>
    </row>
    <row r="1944" spans="1:38" ht="5.0999999999999996" customHeight="1" thickBot="1">
      <c r="B1944" s="479"/>
      <c r="C1944" s="1020"/>
      <c r="D1944" s="1020"/>
      <c r="E1944" s="1020"/>
      <c r="F1944" s="1020"/>
      <c r="G1944" s="1020"/>
      <c r="H1944" s="1020"/>
      <c r="I1944" s="1020"/>
      <c r="J1944" s="1020"/>
      <c r="K1944" s="1020"/>
      <c r="L1944" s="1020"/>
      <c r="M1944" s="1020"/>
      <c r="N1944" s="1020"/>
      <c r="O1944" s="485"/>
      <c r="P1944" s="485"/>
      <c r="Q1944" s="1780"/>
      <c r="R1944" s="1780"/>
      <c r="S1944" s="1780"/>
      <c r="T1944" s="1780"/>
      <c r="U1944" s="1780"/>
      <c r="V1944" s="1780"/>
      <c r="W1944" s="1780"/>
      <c r="X1944" s="1780"/>
      <c r="Y1944" s="1780"/>
      <c r="Z1944" s="1780"/>
      <c r="AA1944" s="1780"/>
      <c r="AB1944" s="1780"/>
      <c r="AC1944" s="1780"/>
      <c r="AD1944" s="1780"/>
      <c r="AE1944" s="1780"/>
      <c r="AF1944" s="1780"/>
      <c r="AG1944" s="1780"/>
      <c r="AH1944" s="1780"/>
      <c r="AI1944" s="1780"/>
      <c r="AJ1944" s="1780"/>
      <c r="AK1944" s="1780"/>
      <c r="AL1944" s="1780"/>
    </row>
    <row r="1945" spans="1:38" ht="14.45" customHeight="1" thickBot="1">
      <c r="B1945" s="479"/>
      <c r="C1945" s="897">
        <f>C1623+1</f>
        <v>7</v>
      </c>
      <c r="D1945" s="2482" t="str">
        <f>EUconst_BMSubinst &amp; ":"</f>
        <v>Sub-installation with product benchmark:</v>
      </c>
      <c r="E1945" s="2400"/>
      <c r="F1945" s="2400"/>
      <c r="G1945" s="2400"/>
      <c r="H1945" s="2585"/>
      <c r="I1945" s="3293" t="str">
        <f>IF(INDEX(CNTR_SubInstListIsProdBM,$C1945),INDEX(CNTR_SubInstListNames,$C1945),"")</f>
        <v/>
      </c>
      <c r="J1945" s="3294"/>
      <c r="K1945" s="3294"/>
      <c r="L1945" s="3294"/>
      <c r="M1945" s="3294"/>
      <c r="N1945" s="3297"/>
      <c r="O1945" s="485"/>
      <c r="P1945" s="485"/>
      <c r="Q1945" s="1488">
        <f>C1945</f>
        <v>7</v>
      </c>
      <c r="S1945" s="1633" t="s">
        <v>558</v>
      </c>
      <c r="T1945" s="1634" t="str">
        <f>IF(I1945="","",MAX(INDEX(CNTR_SubInstStartDate,MATCH($I1945,CNTR_SubInstListNames,0)),DATE(2005,1,1)))</f>
        <v/>
      </c>
      <c r="U1945" s="1435" t="s">
        <v>1673</v>
      </c>
      <c r="V1945" s="1635">
        <f>IF(ISNUMBER(T1945),YEAR($T1945-1)+1,2005)</f>
        <v>2005</v>
      </c>
      <c r="W1945" s="1633" t="s">
        <v>1676</v>
      </c>
      <c r="X1945" s="1634" t="str">
        <f>IF(I1945="","",INDEX(CNTR_SubInstCessationDate,MATCH($I1945,CNTR_SubInstListNames,0)))</f>
        <v/>
      </c>
      <c r="Y1945" s="1633" t="s">
        <v>1677</v>
      </c>
      <c r="Z1945" s="1635">
        <f>IF(SUM(X1945)=0,2050,YEAR($X1945))</f>
        <v>2050</v>
      </c>
      <c r="AA1945" s="1633" t="s">
        <v>1925</v>
      </c>
      <c r="AB1945" s="1635" t="b">
        <f>CNTR_ReportingYear&gt;V1945</f>
        <v>1</v>
      </c>
      <c r="AL1945" s="1848" t="b">
        <f>AND(CNTR_ExistSubInstEntries,I1945="")</f>
        <v>0</v>
      </c>
    </row>
    <row r="1946" spans="1:38" ht="12.75" customHeight="1">
      <c r="B1946" s="479"/>
      <c r="C1946" s="479"/>
      <c r="D1946" s="485"/>
      <c r="E1946" s="2385" t="s">
        <v>216</v>
      </c>
      <c r="F1946" s="2846"/>
      <c r="G1946" s="2846"/>
      <c r="H1946" s="2846"/>
      <c r="I1946" s="2846"/>
      <c r="J1946" s="2846"/>
      <c r="K1946" s="2846"/>
      <c r="L1946" s="2846"/>
      <c r="M1946" s="2846"/>
      <c r="N1946" s="2846"/>
      <c r="O1946" s="485"/>
      <c r="P1946" s="485"/>
      <c r="Q1946" s="1435"/>
      <c r="S1946" s="1435"/>
      <c r="T1946" s="1435"/>
    </row>
    <row r="1947" spans="1:38" ht="5.0999999999999996" customHeight="1">
      <c r="B1947" s="479"/>
      <c r="C1947" s="479"/>
      <c r="D1947" s="479"/>
      <c r="E1947" s="479"/>
      <c r="F1947" s="479"/>
      <c r="G1947" s="479"/>
      <c r="H1947" s="479"/>
      <c r="I1947" s="479"/>
      <c r="J1947" s="479"/>
      <c r="K1947" s="479"/>
      <c r="L1947" s="479"/>
      <c r="M1947" s="485"/>
      <c r="N1947" s="485"/>
      <c r="O1947" s="485"/>
      <c r="P1947" s="485"/>
      <c r="Q1947" s="1435"/>
      <c r="S1947" s="1435"/>
      <c r="T1947" s="1435"/>
    </row>
    <row r="1948" spans="1:38">
      <c r="B1948" s="479"/>
      <c r="C1948" s="479"/>
      <c r="D1948" s="482" t="s">
        <v>400</v>
      </c>
      <c r="E1948" s="2373" t="s">
        <v>1930</v>
      </c>
      <c r="F1948" s="2400"/>
      <c r="G1948" s="2400"/>
      <c r="H1948" s="2400"/>
      <c r="I1948" s="2400"/>
      <c r="J1948" s="2400"/>
      <c r="K1948" s="2400"/>
      <c r="L1948" s="2400"/>
      <c r="M1948" s="2400"/>
      <c r="N1948" s="2400"/>
      <c r="O1948" s="485"/>
      <c r="P1948" s="485"/>
      <c r="Q1948" s="1435"/>
    </row>
    <row r="1949" spans="1:38" ht="12.75" customHeight="1">
      <c r="B1949" s="479"/>
      <c r="C1949" s="479"/>
      <c r="D1949" s="485"/>
      <c r="E1949" s="2385" t="s">
        <v>801</v>
      </c>
      <c r="F1949" s="2846"/>
      <c r="G1949" s="2846"/>
      <c r="H1949" s="2846"/>
      <c r="I1949" s="2846"/>
      <c r="J1949" s="2846"/>
      <c r="K1949" s="2846"/>
      <c r="L1949" s="2846"/>
      <c r="M1949" s="2846"/>
      <c r="N1949" s="2846"/>
      <c r="O1949" s="485"/>
      <c r="P1949" s="485"/>
      <c r="Q1949" s="1435"/>
      <c r="S1949" s="1435"/>
      <c r="T1949" s="1435"/>
      <c r="U1949" s="1435"/>
    </row>
    <row r="1950" spans="1:38" ht="12.75" customHeight="1">
      <c r="B1950" s="479"/>
      <c r="C1950" s="479"/>
      <c r="D1950" s="485"/>
      <c r="E1950" s="2385" t="s">
        <v>1199</v>
      </c>
      <c r="F1950" s="2846"/>
      <c r="G1950" s="2846"/>
      <c r="H1950" s="2846"/>
      <c r="I1950" s="2846"/>
      <c r="J1950" s="2846"/>
      <c r="K1950" s="2846"/>
      <c r="L1950" s="2846"/>
      <c r="M1950" s="2846"/>
      <c r="N1950" s="2846"/>
      <c r="O1950" s="485"/>
      <c r="P1950" s="485"/>
      <c r="Q1950" s="1435"/>
      <c r="S1950" s="1435"/>
      <c r="T1950" s="1435"/>
      <c r="U1950" s="1435"/>
    </row>
    <row r="1951" spans="1:38" ht="12.75" customHeight="1">
      <c r="B1951" s="479"/>
      <c r="C1951" s="479"/>
      <c r="D1951" s="485"/>
      <c r="E1951" s="2385" t="s">
        <v>125</v>
      </c>
      <c r="F1951" s="2846"/>
      <c r="G1951" s="2846"/>
      <c r="H1951" s="2846"/>
      <c r="I1951" s="2846"/>
      <c r="J1951" s="2846"/>
      <c r="K1951" s="2846"/>
      <c r="L1951" s="2846"/>
      <c r="M1951" s="2846"/>
      <c r="N1951" s="2846"/>
      <c r="O1951" s="485"/>
      <c r="P1951" s="485"/>
      <c r="Q1951" s="1435"/>
      <c r="S1951" s="1435"/>
      <c r="Z1951" s="1435"/>
    </row>
    <row r="1952" spans="1:38" ht="13.5" customHeight="1" thickBot="1">
      <c r="B1952" s="1124"/>
      <c r="C1952" s="485"/>
      <c r="D1952" s="482"/>
      <c r="E1952" s="2509" t="s">
        <v>1447</v>
      </c>
      <c r="F1952" s="2509"/>
      <c r="G1952" s="663" t="str">
        <f>EUconst_Unit</f>
        <v>Unit</v>
      </c>
      <c r="H1952" s="578">
        <f t="shared" ref="H1952:N1952" si="915">H$3242</f>
        <v>2024</v>
      </c>
      <c r="I1952" s="697">
        <f t="shared" si="915"/>
        <v>2025</v>
      </c>
      <c r="J1952" s="1489">
        <f t="shared" si="915"/>
        <v>2026</v>
      </c>
      <c r="K1952" s="1490">
        <f t="shared" si="915"/>
        <v>2027</v>
      </c>
      <c r="L1952" s="1490">
        <f t="shared" si="915"/>
        <v>2028</v>
      </c>
      <c r="M1952" s="1490">
        <f t="shared" si="915"/>
        <v>2029</v>
      </c>
      <c r="N1952" s="1490">
        <f t="shared" si="915"/>
        <v>2030</v>
      </c>
      <c r="O1952" s="485"/>
      <c r="P1952" s="485"/>
      <c r="Q1952" s="1435"/>
      <c r="T1952" s="1638">
        <f t="shared" ref="T1952:Z1952" si="916">H1952</f>
        <v>2024</v>
      </c>
      <c r="U1952" s="1638">
        <f t="shared" si="916"/>
        <v>2025</v>
      </c>
      <c r="V1952" s="1638">
        <f t="shared" si="916"/>
        <v>2026</v>
      </c>
      <c r="W1952" s="1638">
        <f t="shared" si="916"/>
        <v>2027</v>
      </c>
      <c r="X1952" s="1638">
        <f t="shared" si="916"/>
        <v>2028</v>
      </c>
      <c r="Y1952" s="1638">
        <f t="shared" si="916"/>
        <v>2029</v>
      </c>
      <c r="Z1952" s="1638">
        <f t="shared" si="916"/>
        <v>2030</v>
      </c>
      <c r="AC1952" s="1638">
        <f t="shared" ref="AC1952:AI1952" si="917">H$20</f>
        <v>2024</v>
      </c>
      <c r="AD1952" s="1638">
        <f t="shared" si="917"/>
        <v>2025</v>
      </c>
      <c r="AE1952" s="1638">
        <f t="shared" si="917"/>
        <v>2026</v>
      </c>
      <c r="AF1952" s="1638">
        <f t="shared" si="917"/>
        <v>2027</v>
      </c>
      <c r="AG1952" s="1638">
        <f t="shared" si="917"/>
        <v>2028</v>
      </c>
      <c r="AH1952" s="1638">
        <f t="shared" si="917"/>
        <v>2029</v>
      </c>
      <c r="AI1952" s="1638">
        <f t="shared" si="917"/>
        <v>2030</v>
      </c>
      <c r="AL1952" s="1435"/>
    </row>
    <row r="1953" spans="1:38" ht="13.5" thickBot="1">
      <c r="B1953" s="1124"/>
      <c r="C1953" s="485"/>
      <c r="D1953" s="561" t="s">
        <v>6</v>
      </c>
      <c r="E1953" s="3296" t="str">
        <f>I1945</f>
        <v/>
      </c>
      <c r="F1953" s="3296"/>
      <c r="G1953" s="898" t="str">
        <f>IF(INDEX(CNTR_SubInstListIsProdBM,$C1945),INDEX(CNTR_SubInstListHALUnit,$C1945),EUconst_Tons)</f>
        <v>tonnes</v>
      </c>
      <c r="H1953" s="1818" t="str">
        <f>c_ALR2025!M4539</f>
        <v/>
      </c>
      <c r="I1953" s="1878"/>
      <c r="J1953" s="1819"/>
      <c r="K1953" s="1820"/>
      <c r="L1953" s="1820"/>
      <c r="M1953" s="1820"/>
      <c r="N1953" s="1820"/>
      <c r="O1953" s="485"/>
      <c r="P1953" s="9">
        <v>0</v>
      </c>
      <c r="S1953" s="1435" t="s">
        <v>1674</v>
      </c>
      <c r="T1953" s="1850" t="b">
        <f t="shared" ref="T1953:Z1953" si="918">AND($I1945&lt;&gt;"",H1952&lt;CNTR_ReportingYear,H1952&gt;=$V1945-1)</f>
        <v>0</v>
      </c>
      <c r="U1953" s="1851" t="b">
        <f t="shared" si="918"/>
        <v>0</v>
      </c>
      <c r="V1953" s="1851" t="b">
        <f t="shared" si="918"/>
        <v>0</v>
      </c>
      <c r="W1953" s="1851" t="b">
        <f t="shared" si="918"/>
        <v>0</v>
      </c>
      <c r="X1953" s="1851" t="b">
        <f t="shared" si="918"/>
        <v>0</v>
      </c>
      <c r="Y1953" s="1851" t="b">
        <f t="shared" si="918"/>
        <v>0</v>
      </c>
      <c r="Z1953" s="1852" t="b">
        <f t="shared" si="918"/>
        <v>0</v>
      </c>
      <c r="AA1953" s="1435"/>
      <c r="AB1953" s="1641" t="s">
        <v>717</v>
      </c>
      <c r="AC1953" s="1853" t="b">
        <f t="shared" ref="AC1953:AI1953" si="919">IF(CNTR_ExistSubInstEntries,OR($I1945="",$R1957,H1952&gt;=CNTR_ReportingYear,AC1952&lt;$V1945-1),FALSE)</f>
        <v>0</v>
      </c>
      <c r="AD1953" s="1642" t="b">
        <f t="shared" si="919"/>
        <v>0</v>
      </c>
      <c r="AE1953" s="1642" t="b">
        <f t="shared" si="919"/>
        <v>0</v>
      </c>
      <c r="AF1953" s="1642" t="b">
        <f t="shared" si="919"/>
        <v>0</v>
      </c>
      <c r="AG1953" s="1642" t="b">
        <f t="shared" si="919"/>
        <v>0</v>
      </c>
      <c r="AH1953" s="1642" t="b">
        <f t="shared" si="919"/>
        <v>0</v>
      </c>
      <c r="AI1953" s="1643" t="b">
        <f t="shared" si="919"/>
        <v>0</v>
      </c>
      <c r="AJ1953" s="1633" t="s">
        <v>1954</v>
      </c>
      <c r="AK1953" s="1635" t="str">
        <f>IF(AND(CNTR_ExistSubInstEntries,COUNTIFS(AC1953:AI1953,FALSE,H1953:N1953,"")&gt;0),EUconst_Error&amp;"BM"&amp;$Q1945,"")</f>
        <v/>
      </c>
    </row>
    <row r="1954" spans="1:38" ht="13.15" customHeight="1" thickBot="1">
      <c r="B1954" s="1124"/>
      <c r="C1954" s="485"/>
      <c r="D1954" s="561" t="s">
        <v>7</v>
      </c>
      <c r="E1954" s="3296" t="s">
        <v>123</v>
      </c>
      <c r="F1954" s="3296"/>
      <c r="G1954" s="898" t="str">
        <f>G1953</f>
        <v>tonnes</v>
      </c>
      <c r="H1954" s="899" t="str">
        <f>IF(OR($I1945="",H1952&gt;=CNTR_ReportingYear),"",IF($R1957,SUMIF(H_SpecialBM!$Q$9:$Q$414,$Q1954,H_SpecialBM!H$9:H$414),""))</f>
        <v/>
      </c>
      <c r="I1954" s="900" t="str">
        <f>IF(OR($I1945="",I1952&gt;=CNTR_ReportingYear),"",IF($R1957,SUMIF(H_SpecialBM!$Q$9:$Q$414,$Q1954,H_SpecialBM!I$9:I$414),""))</f>
        <v/>
      </c>
      <c r="J1954" s="1819" t="str">
        <f>IF(OR($I1945="",J1952&gt;=CNTR_ReportingYear),"",IF($R1957,SUMIF(H_SpecialBM!$Q$9:$Q$414,$Q1954,H_SpecialBM!J$9:J$414),""))</f>
        <v/>
      </c>
      <c r="K1954" s="1820" t="str">
        <f>IF(OR($I1945="",K1952&gt;=CNTR_ReportingYear),"",IF($R1957,SUMIF(H_SpecialBM!$Q$9:$Q$414,$Q1954,H_SpecialBM!K$9:K$414),""))</f>
        <v/>
      </c>
      <c r="L1954" s="1820" t="str">
        <f>IF(OR($I1945="",L1952&gt;=CNTR_ReportingYear),"",IF($R1957,SUMIF(H_SpecialBM!$Q$9:$Q$414,$Q1954,H_SpecialBM!L$9:L$414),""))</f>
        <v/>
      </c>
      <c r="M1954" s="1820" t="str">
        <f>IF(OR($I1945="",M1952&gt;=CNTR_ReportingYear),"",IF($R1957,SUMIF(H_SpecialBM!$Q$9:$Q$414,$Q1954,H_SpecialBM!M$9:M$414),""))</f>
        <v/>
      </c>
      <c r="N1954" s="1820" t="str">
        <f>IF(OR($I1945="",N1952&gt;=CNTR_ReportingYear),"",IF($R1957,SUMIF(H_SpecialBM!$Q$9:$Q$414,$Q1954,H_SpecialBM!N$9:N$414),""))</f>
        <v/>
      </c>
      <c r="O1954" s="485"/>
      <c r="P1954" s="485"/>
      <c r="Q1954" s="1644" t="str">
        <f>EUconst_CNTR_HALspecial&amp;I1945</f>
        <v>HALspecial_</v>
      </c>
      <c r="AB1954" s="1641" t="s">
        <v>717</v>
      </c>
      <c r="AC1954" s="1853" t="b">
        <f t="shared" ref="AC1954:AI1954" si="920">AND(CNTR_HasEntries_A_I,OR($R1957=FALSE,H1952&gt;=CNTR_ReportingYear))</f>
        <v>0</v>
      </c>
      <c r="AD1954" s="1642" t="b">
        <f t="shared" si="920"/>
        <v>0</v>
      </c>
      <c r="AE1954" s="1642" t="b">
        <f t="shared" si="920"/>
        <v>0</v>
      </c>
      <c r="AF1954" s="1642" t="b">
        <f t="shared" si="920"/>
        <v>0</v>
      </c>
      <c r="AG1954" s="1642" t="b">
        <f t="shared" si="920"/>
        <v>0</v>
      </c>
      <c r="AH1954" s="1642" t="b">
        <f t="shared" si="920"/>
        <v>0</v>
      </c>
      <c r="AI1954" s="1643" t="b">
        <f t="shared" si="920"/>
        <v>0</v>
      </c>
      <c r="AJ1954" s="1624"/>
      <c r="AK1954" s="1624"/>
      <c r="AL1954" s="1435"/>
    </row>
    <row r="1955" spans="1:38" ht="13.15" customHeight="1">
      <c r="B1955" s="1124"/>
      <c r="C1955" s="485"/>
      <c r="D1955" s="561" t="s">
        <v>8</v>
      </c>
      <c r="E1955" s="3296" t="s">
        <v>124</v>
      </c>
      <c r="F1955" s="3296"/>
      <c r="G1955" s="898" t="str">
        <f>G1954</f>
        <v>tonnes</v>
      </c>
      <c r="H1955" s="899" t="str">
        <f t="shared" ref="H1955:N1955" si="921">IF(OR($I1945="",H1952&gt;=CNTR_ReportingYear),"",IF($R1957=TRUE,IF(ISNUMBER(H1954),H1954,0),IF(AND(H1952&gt;=$V1945-1,ISNUMBER(H1953)),H1953,0)))</f>
        <v/>
      </c>
      <c r="I1955" s="900" t="str">
        <f t="shared" si="921"/>
        <v/>
      </c>
      <c r="J1955" s="1819" t="str">
        <f t="shared" si="921"/>
        <v/>
      </c>
      <c r="K1955" s="1820" t="str">
        <f t="shared" si="921"/>
        <v/>
      </c>
      <c r="L1955" s="1820" t="str">
        <f t="shared" si="921"/>
        <v/>
      </c>
      <c r="M1955" s="1820" t="str">
        <f t="shared" si="921"/>
        <v/>
      </c>
      <c r="N1955" s="1820" t="str">
        <f t="shared" si="921"/>
        <v/>
      </c>
      <c r="O1955" s="485"/>
      <c r="P1955" s="1136"/>
      <c r="Q1955" s="1644" t="str">
        <f>EUconst_CNTR_HAL&amp;I1945</f>
        <v>HAL_</v>
      </c>
      <c r="AJ1955" s="1633" t="s">
        <v>1951</v>
      </c>
      <c r="AK1955" s="1443" t="str">
        <f>IF(COUNTIFS(H1952:N1952,"&lt;"&amp;YEAR(SUM(T1945)),H1955:N1955,"&gt;"&amp;0)&gt;0,EUconst_Error&amp;"BM"&amp;Q1945,"")</f>
        <v/>
      </c>
      <c r="AL1955" s="1435"/>
    </row>
    <row r="1956" spans="1:38" ht="5.0999999999999996" customHeight="1">
      <c r="B1956" s="479"/>
      <c r="C1956" s="479"/>
      <c r="D1956" s="479"/>
      <c r="E1956" s="479"/>
      <c r="F1956" s="479"/>
      <c r="G1956" s="479"/>
      <c r="H1956" s="479"/>
      <c r="I1956" s="479"/>
      <c r="J1956" s="479"/>
      <c r="K1956" s="479"/>
      <c r="L1956" s="479"/>
      <c r="M1956" s="485"/>
      <c r="N1956" s="485"/>
      <c r="O1956" s="485"/>
      <c r="P1956" s="485"/>
      <c r="Q1956" s="1435"/>
      <c r="S1956" s="1435"/>
      <c r="T1956" s="1435"/>
    </row>
    <row r="1957" spans="1:38" ht="12.75" customHeight="1">
      <c r="B1957" s="479"/>
      <c r="C1957" s="479"/>
      <c r="D1957" s="561" t="s">
        <v>18</v>
      </c>
      <c r="E1957" s="2373" t="s">
        <v>922</v>
      </c>
      <c r="F1957" s="2373"/>
      <c r="G1957" s="2604"/>
      <c r="H1957" s="2652" t="str">
        <f>IF(I1945="","",HYPERLINK(INDEX(EUconst_BMlistSpecialJumpTable,MATCH(I1945,EUconst_BMlistNames,0)),INDEX(EUconst_BMlistSpecialReporting,MATCH(I1945,EUconst_BMlistNames,0))))</f>
        <v/>
      </c>
      <c r="I1957" s="2689"/>
      <c r="J1957" s="2689"/>
      <c r="K1957" s="2689"/>
      <c r="L1957" s="2689"/>
      <c r="M1957" s="2689"/>
      <c r="N1957" s="2690"/>
      <c r="O1957" s="485"/>
      <c r="P1957" s="485"/>
      <c r="Q1957" s="1633" t="s">
        <v>122</v>
      </c>
      <c r="R1957" s="1443" t="str">
        <f>IF(I1945="","",IF(AND(INDEX(EUconst_BMlistSpecialJumpTable,MATCH(I1945,EUconst_BMlistNames,0))&lt;&gt;"",MATCH(I1945,EUconst_BMlistNames,0)&lt;&gt;47),TRUE,FALSE))</f>
        <v/>
      </c>
      <c r="S1957" s="1435"/>
      <c r="T1957" s="1435"/>
    </row>
    <row r="1958" spans="1:38" ht="12.75" customHeight="1">
      <c r="B1958" s="479"/>
      <c r="C1958" s="479"/>
      <c r="D1958" s="485"/>
      <c r="E1958" s="2385" t="s">
        <v>923</v>
      </c>
      <c r="F1958" s="2846"/>
      <c r="G1958" s="2846"/>
      <c r="H1958" s="2846"/>
      <c r="I1958" s="2846"/>
      <c r="J1958" s="2846"/>
      <c r="K1958" s="2846"/>
      <c r="L1958" s="2846"/>
      <c r="M1958" s="2846"/>
      <c r="N1958" s="2846"/>
      <c r="O1958" s="485"/>
      <c r="P1958" s="485"/>
      <c r="Q1958" s="1435"/>
      <c r="S1958" s="1435"/>
      <c r="T1958" s="1435"/>
    </row>
    <row r="1959" spans="1:38" ht="5.0999999999999996" customHeight="1">
      <c r="B1959" s="479"/>
      <c r="C1959" s="479"/>
      <c r="D1959" s="485"/>
      <c r="E1959" s="485"/>
      <c r="F1959" s="485"/>
      <c r="G1959" s="485"/>
      <c r="H1959" s="485"/>
      <c r="I1959" s="485"/>
      <c r="J1959" s="485"/>
      <c r="K1959" s="485"/>
      <c r="L1959" s="485"/>
      <c r="M1959" s="485"/>
      <c r="N1959" s="485"/>
      <c r="O1959" s="485"/>
      <c r="P1959" s="485"/>
      <c r="Q1959" s="1435"/>
      <c r="S1959" s="1435"/>
      <c r="T1959" s="1435"/>
      <c r="Z1959" s="1435"/>
      <c r="AL1959" s="1435"/>
    </row>
    <row r="1960" spans="1:38" ht="12.75" customHeight="1">
      <c r="B1960" s="479"/>
      <c r="C1960" s="479"/>
      <c r="D1960" s="482" t="s">
        <v>876</v>
      </c>
      <c r="E1960" s="2373" t="s">
        <v>1709</v>
      </c>
      <c r="F1960" s="2400"/>
      <c r="G1960" s="2400"/>
      <c r="H1960" s="2400"/>
      <c r="I1960" s="2400"/>
      <c r="J1960" s="2400"/>
      <c r="K1960" s="2400"/>
      <c r="L1960" s="2400"/>
      <c r="M1960" s="2400"/>
      <c r="N1960" s="2400"/>
      <c r="O1960" s="485"/>
      <c r="P1960" s="485"/>
      <c r="Q1960" s="1435"/>
      <c r="S1960" s="1435"/>
      <c r="T1960" s="1435"/>
      <c r="Z1960" s="1435"/>
      <c r="AL1960" s="1435"/>
    </row>
    <row r="1961" spans="1:38" ht="12.75" customHeight="1">
      <c r="B1961" s="479"/>
      <c r="C1961" s="479"/>
      <c r="D1961" s="485"/>
      <c r="E1961" s="2385" t="s">
        <v>1958</v>
      </c>
      <c r="F1961" s="2846"/>
      <c r="G1961" s="2846"/>
      <c r="H1961" s="2846"/>
      <c r="I1961" s="2846"/>
      <c r="J1961" s="2846"/>
      <c r="K1961" s="2846"/>
      <c r="L1961" s="2846"/>
      <c r="M1961" s="2846"/>
      <c r="N1961" s="2846"/>
      <c r="O1961" s="485"/>
      <c r="P1961" s="485"/>
      <c r="Q1961" s="1435"/>
      <c r="S1961" s="1435"/>
      <c r="T1961" s="1435"/>
      <c r="U1961" s="1435"/>
    </row>
    <row r="1962" spans="1:38" ht="25.5" customHeight="1">
      <c r="B1962" s="479"/>
      <c r="C1962" s="479"/>
      <c r="D1962" s="485"/>
      <c r="E1962" s="2385" t="s">
        <v>1696</v>
      </c>
      <c r="F1962" s="2846"/>
      <c r="G1962" s="2846"/>
      <c r="H1962" s="2846"/>
      <c r="I1962" s="2846"/>
      <c r="J1962" s="2846"/>
      <c r="K1962" s="2846"/>
      <c r="L1962" s="2846"/>
      <c r="M1962" s="2846"/>
      <c r="N1962" s="2846"/>
      <c r="O1962" s="485"/>
      <c r="P1962" s="485"/>
      <c r="Q1962" s="1435"/>
      <c r="S1962" s="1435"/>
      <c r="T1962" s="1435"/>
      <c r="U1962" s="1435"/>
    </row>
    <row r="1963" spans="1:38" ht="12.75" customHeight="1">
      <c r="B1963" s="479"/>
      <c r="C1963" s="479"/>
      <c r="D1963" s="485"/>
      <c r="E1963" s="901" t="s">
        <v>1021</v>
      </c>
      <c r="F1963" s="3050" t="s">
        <v>2734</v>
      </c>
      <c r="G1963" s="2584"/>
      <c r="H1963" s="2584"/>
      <c r="I1963" s="2584"/>
      <c r="J1963" s="2584"/>
      <c r="K1963" s="2584"/>
      <c r="L1963" s="2584"/>
      <c r="M1963" s="2584"/>
      <c r="N1963" s="2584"/>
      <c r="O1963" s="485"/>
      <c r="P1963" s="485"/>
      <c r="Q1963" s="1435"/>
      <c r="S1963" s="1435"/>
      <c r="T1963" s="1435"/>
      <c r="U1963" s="1435"/>
    </row>
    <row r="1964" spans="1:38" ht="12.75" customHeight="1" thickBot="1">
      <c r="B1964" s="479"/>
      <c r="C1964" s="479"/>
      <c r="D1964" s="485"/>
      <c r="E1964" s="901" t="s">
        <v>1021</v>
      </c>
      <c r="F1964" s="3050" t="s">
        <v>1985</v>
      </c>
      <c r="G1964" s="2584"/>
      <c r="H1964" s="2584"/>
      <c r="I1964" s="2584"/>
      <c r="J1964" s="2584"/>
      <c r="K1964" s="2584"/>
      <c r="L1964" s="2584"/>
      <c r="M1964" s="2584"/>
      <c r="N1964" s="2584"/>
      <c r="O1964" s="485"/>
      <c r="P1964" s="485"/>
      <c r="Q1964" s="1435"/>
      <c r="S1964" s="1435"/>
      <c r="T1964" s="1435"/>
      <c r="U1964" s="1435"/>
    </row>
    <row r="1965" spans="1:38" ht="5.0999999999999996" customHeight="1" thickBot="1">
      <c r="B1965" s="479"/>
      <c r="C1965" s="479"/>
      <c r="D1965" s="902"/>
      <c r="E1965" s="903"/>
      <c r="F1965" s="904"/>
      <c r="G1965" s="905"/>
      <c r="H1965" s="905"/>
      <c r="I1965" s="905"/>
      <c r="J1965" s="906"/>
      <c r="K1965" s="1798"/>
      <c r="L1965" s="1798"/>
      <c r="M1965" s="1798"/>
      <c r="N1965" s="1798"/>
      <c r="O1965" s="485"/>
      <c r="P1965" s="485"/>
      <c r="Q1965" s="1435"/>
      <c r="S1965" s="1435"/>
      <c r="T1965" s="1435"/>
      <c r="U1965" s="1435"/>
    </row>
    <row r="1966" spans="1:38" ht="12.75" customHeight="1">
      <c r="B1966" s="479"/>
      <c r="C1966" s="479"/>
      <c r="D1966" s="907"/>
      <c r="E1966" s="908" t="s">
        <v>1690</v>
      </c>
      <c r="F1966" s="909"/>
      <c r="G1966" s="909"/>
      <c r="H1966" s="910" t="str">
        <f>EUconst_Unit</f>
        <v>Unit</v>
      </c>
      <c r="I1966" s="911" t="s">
        <v>2220</v>
      </c>
      <c r="J1966" s="1647">
        <f>J$3242</f>
        <v>2026</v>
      </c>
      <c r="K1966" s="1490">
        <f>K$3242</f>
        <v>2027</v>
      </c>
      <c r="L1966" s="1490">
        <f>L$3242</f>
        <v>2028</v>
      </c>
      <c r="M1966" s="1490">
        <f>M$3242</f>
        <v>2029</v>
      </c>
      <c r="N1966" s="1490">
        <f>N$3242</f>
        <v>2030</v>
      </c>
      <c r="O1966" s="485"/>
      <c r="P1966" s="485"/>
      <c r="Q1966" s="1435"/>
      <c r="U1966" s="1648"/>
      <c r="V1966" s="1649">
        <f>J1966</f>
        <v>2026</v>
      </c>
      <c r="W1966" s="1649">
        <f>K1966</f>
        <v>2027</v>
      </c>
      <c r="X1966" s="1649">
        <f>L1966</f>
        <v>2028</v>
      </c>
      <c r="Y1966" s="1649">
        <f>M1966</f>
        <v>2029</v>
      </c>
      <c r="Z1966" s="1650">
        <f>N1966</f>
        <v>2030</v>
      </c>
    </row>
    <row r="1967" spans="1:38" ht="12.75" customHeight="1">
      <c r="B1967" s="479"/>
      <c r="C1967" s="479"/>
      <c r="D1967" s="915" t="s">
        <v>6</v>
      </c>
      <c r="E1967" s="916" t="s">
        <v>1976</v>
      </c>
      <c r="F1967" s="916"/>
      <c r="G1967" s="916"/>
      <c r="H1967" s="639" t="str">
        <f>IF(INDEX(CNTR_SubInstListIsProdBM,$C1945),INDEX(CNTR_SubInstListHALUnit,$C1945),EUconst_Tons)</f>
        <v>tonnes</v>
      </c>
      <c r="I1967" s="917" t="str">
        <f>IF(V1945&gt;($J$3242-3),EUconst_NA,INDEX('B+C_SubInstallations'!$I:$I,MATCH(Q1967,'B+C_SubInstallations'!$T:$T,0)))</f>
        <v/>
      </c>
      <c r="J1967" s="1651" t="str">
        <f>IF(AND(V1967&gt;=3,CNTR_ReportingYear&gt;J1966-1),AVERAGE(H1955:I1955),"")</f>
        <v/>
      </c>
      <c r="K1967" s="1799" t="str">
        <f>IF(AND(W1967&gt;=3,CNTR_ReportingYear&gt;K1966-1),AVERAGE(I1955:J1955),"")</f>
        <v/>
      </c>
      <c r="L1967" s="1799" t="str">
        <f>IF(AND(X1967&gt;=3,CNTR_ReportingYear&gt;L1966-1),AVERAGE(J1955:K1955),"")</f>
        <v/>
      </c>
      <c r="M1967" s="1799" t="str">
        <f>IF(AND(Y1967&gt;=3,CNTR_ReportingYear&gt;M1966-1),AVERAGE(K1955:L1955),"")</f>
        <v/>
      </c>
      <c r="N1967" s="1799" t="str">
        <f>IF(AND(Z1967&gt;=3,CNTR_ReportingYear&gt;N1966-1),AVERAGE(L1955:M1955),"")</f>
        <v/>
      </c>
      <c r="O1967" s="485"/>
      <c r="P1967" s="485"/>
      <c r="Q1967" s="1641" t="str">
        <f>EUconst_CNTR_HALinitial&amp;I1945</f>
        <v>HALini_</v>
      </c>
      <c r="U1967" s="1653" t="s">
        <v>1650</v>
      </c>
      <c r="V1967" s="1635">
        <f>IF($I1945="",0,V1966-$V1945+1)</f>
        <v>0</v>
      </c>
      <c r="W1967" s="1635">
        <f>IF($I1945="",0,W1966-$V1945+1)</f>
        <v>0</v>
      </c>
      <c r="X1967" s="1635">
        <f>IF($I1945="",0,X1966-$V1945+1)</f>
        <v>0</v>
      </c>
      <c r="Y1967" s="1635">
        <f>IF($I1945="",0,Y1966-$V1945+1)</f>
        <v>0</v>
      </c>
      <c r="Z1967" s="1654">
        <f>IF($I1945="",0,Z1966-$V1945+1)</f>
        <v>0</v>
      </c>
    </row>
    <row r="1968" spans="1:38" ht="12.75" hidden="1" customHeight="1">
      <c r="A1968" s="618" t="s">
        <v>2289</v>
      </c>
      <c r="B1968" s="479"/>
      <c r="C1968" s="479"/>
      <c r="D1968" s="918"/>
      <c r="E1968" s="919" t="s">
        <v>1648</v>
      </c>
      <c r="F1968" s="919"/>
      <c r="G1968" s="919"/>
      <c r="H1968" s="920"/>
      <c r="I1968" s="1655"/>
      <c r="J1968" s="16" t="str">
        <f>IF(J1967="","",IF($I1970=0,IF(J1967=0,0%,100%),J1967/$I1970-1))</f>
        <v/>
      </c>
      <c r="K1968" s="22" t="str">
        <f>IF(K1967="","",IF($I1970=0,IF(K1967=0,0%,100%),K1967/$I1970-1))</f>
        <v/>
      </c>
      <c r="L1968" s="22" t="str">
        <f>IF(L1967="","",IF($I1970=0,IF(L1967=0,0%,100%),L1967/$I1970-1))</f>
        <v/>
      </c>
      <c r="M1968" s="22" t="str">
        <f>IF(M1967="","",IF($I1970=0,IF(M1967=0,0%,100%),M1967/$I1970-1))</f>
        <v/>
      </c>
      <c r="N1968" s="22" t="str">
        <f>IF(N1967="","",IF($I1970=0,IF(N1967=0,0%,100%),N1967/$I1970-1))</f>
        <v/>
      </c>
      <c r="O1968" s="485"/>
      <c r="P1968" s="485"/>
      <c r="Q1968" s="1644" t="str">
        <f>EUconst_CNTR_RelThreshold &amp; Q1970</f>
        <v>RelThresh_HALprelim_</v>
      </c>
      <c r="U1968" s="1653" t="s">
        <v>1655</v>
      </c>
      <c r="V1968" s="1158" t="str">
        <f>IF(J1967="","",ABS(J1968)&gt;15%)</f>
        <v/>
      </c>
      <c r="W1968" s="1158" t="str">
        <f>IF(K1967="","",ABS(K1968)&gt;15%)</f>
        <v/>
      </c>
      <c r="X1968" s="1158" t="str">
        <f>IF(L1967="","",ABS(L1968)&gt;15%)</f>
        <v/>
      </c>
      <c r="Y1968" s="1158" t="str">
        <f>IF(M1967="","",ABS(M1968)&gt;15%)</f>
        <v/>
      </c>
      <c r="Z1968" s="1656" t="str">
        <f>IF(N1967="","",ABS(N1968)&gt;15%)</f>
        <v/>
      </c>
      <c r="AL1968" s="1435"/>
    </row>
    <row r="1969" spans="1:38" ht="12.75" customHeight="1">
      <c r="A1969" s="618"/>
      <c r="B1969" s="479"/>
      <c r="C1969" s="479"/>
      <c r="D1969" s="915" t="s">
        <v>7</v>
      </c>
      <c r="E1969" s="916" t="s">
        <v>1654</v>
      </c>
      <c r="F1969" s="916"/>
      <c r="G1969" s="916"/>
      <c r="H1969" s="921"/>
      <c r="I1969" s="1657"/>
      <c r="J1969" s="1658" t="str">
        <f>IF(J1967="","",IF(V1968=FALSE,0%,IF(V1969,J1968,I1975)))</f>
        <v/>
      </c>
      <c r="K1969" s="1795" t="str">
        <f>IF(K1967="","",IF(W1968=FALSE,0%,IF(W1969,K1968,J1975)))</f>
        <v/>
      </c>
      <c r="L1969" s="1795" t="str">
        <f>IF(L1967="","",IF(X1968=FALSE,0%,IF(X1969,L1968,K1975)))</f>
        <v/>
      </c>
      <c r="M1969" s="1795" t="str">
        <f>IF(M1967="","",IF(Y1968=FALSE,0%,IF(Y1969,M1968,L1975)))</f>
        <v/>
      </c>
      <c r="N1969" s="1795" t="str">
        <f>IF(N1967="","",IF(Z1968=FALSE,0%,IF(Z1969,N1968,M1975)))</f>
        <v/>
      </c>
      <c r="O1969" s="485"/>
      <c r="P1969" s="485"/>
      <c r="U1969" s="1653" t="s">
        <v>1656</v>
      </c>
      <c r="V1969" s="1158" t="str">
        <f>IF(J1967="","",AND(V1968,IF(SUM(I1975)&lt;0,OR(SUM(J1968)&lt;SUM(I1975)-MOD(SUM(I1975),5%),J1968&gt;=SUM(I1975)+5%-MOD(SUM(I1975),5%)),OR(SUM(J1968)&lt;=SUM(I1975)-MOD(SUM(I1975),5%),SUM(J1968)&gt;SUM(I1975)+5%-MOD(SUM(I1975),5%)))))</f>
        <v/>
      </c>
      <c r="W1969" s="1158" t="str">
        <f>IF(K1967="","",AND(W1968,IF(SUM(J1975)&lt;0,OR(SUM(K1968)&lt;SUM(J1975)-MOD(SUM(J1975),5%),K1968&gt;=SUM(J1975)+5%-MOD(SUM(J1975),5%)),OR(SUM(K1968)&lt;=SUM(J1975)-MOD(SUM(J1975),5%),SUM(K1968)&gt;SUM(J1975)+5%-MOD(SUM(J1975),5%)))))</f>
        <v/>
      </c>
      <c r="X1969" s="1158" t="str">
        <f>IF(L1967="","",AND(X1968,IF(SUM(K1975)&lt;0,OR(SUM(L1968)&lt;SUM(K1975)-MOD(SUM(K1975),5%),L1968&gt;=SUM(K1975)+5%-MOD(SUM(K1975),5%)),OR(SUM(L1968)&lt;=SUM(K1975)-MOD(SUM(K1975),5%),SUM(L1968)&gt;SUM(K1975)+5%-MOD(SUM(K1975),5%)))))</f>
        <v/>
      </c>
      <c r="Y1969" s="1158" t="str">
        <f>IF(M1967="","",AND(Y1968,IF(SUM(L1975)&lt;0,OR(SUM(M1968)&lt;SUM(L1975)-MOD(SUM(L1975),5%),M1968&gt;=SUM(L1975)+5%-MOD(SUM(L1975),5%)),OR(SUM(M1968)&lt;=SUM(L1975)-MOD(SUM(L1975),5%),SUM(M1968)&gt;SUM(L1975)+5%-MOD(SUM(L1975),5%)))))</f>
        <v/>
      </c>
      <c r="Z1969" s="1656" t="str">
        <f>IF(N1967="","",AND(Z1968,IF(SUM(M1975)&lt;0,OR(SUM(N1968)&lt;SUM(M1975)-MOD(SUM(M1975),5%),N1968&gt;=SUM(M1975)+5%-MOD(SUM(M1975),5%)),OR(SUM(N1968)&lt;=SUM(M1975)-MOD(SUM(M1975),5%),SUM(N1968)&gt;SUM(M1975)+5%-MOD(SUM(M1975),5%)))))</f>
        <v/>
      </c>
      <c r="AL1969" s="1435"/>
    </row>
    <row r="1970" spans="1:38" ht="12.75" hidden="1" customHeight="1">
      <c r="A1970" s="618" t="s">
        <v>2289</v>
      </c>
      <c r="B1970" s="479"/>
      <c r="C1970" s="479"/>
      <c r="D1970" s="918"/>
      <c r="E1970" s="916" t="s">
        <v>1689</v>
      </c>
      <c r="F1970" s="916"/>
      <c r="G1970" s="916"/>
      <c r="H1970" s="639" t="str">
        <f>H1967</f>
        <v>tonnes</v>
      </c>
      <c r="I1970" s="917" t="str">
        <f>IF(I1945="","",IF(AB1945=FALSE,EUconst_NA,IF(V1945&gt;($J$3242-3),INDEX(H1955:N1955,MATCH(V1945,H1952:N1952,0)),SUM(I1967))))</f>
        <v/>
      </c>
      <c r="J1970" s="1651" t="str">
        <f>IF($I1945="","",IF(V1967&lt;2,SUM(J1955),IF(V1967&lt;3,SUM(I1955),IF(V1970="",I1970,V1970))))</f>
        <v/>
      </c>
      <c r="K1970" s="1799" t="str">
        <f>IF($I1945="","",IF(W1967&lt;2,SUM(K1955),IF(W1967&lt;3,SUM(J1955),IF(W1970="",J1970,W1970))))</f>
        <v/>
      </c>
      <c r="L1970" s="1799" t="str">
        <f>IF($I1945="","",IF(X1967&lt;2,SUM(L1955),IF(X1967&lt;3,SUM(K1955),IF(X1970="",K1970,X1970))))</f>
        <v/>
      </c>
      <c r="M1970" s="1799" t="str">
        <f>IF($I1945="","",IF(Y1967&lt;2,SUM(M1955),IF(Y1967&lt;3,SUM(L1955),IF(Y1970="",L1970,Y1970))))</f>
        <v/>
      </c>
      <c r="N1970" s="1799" t="str">
        <f>IF($I1945="","",IF(Z1967&lt;2,SUM(N1955),IF(Z1967&lt;3,SUM(M1955),IF(Z1970="",M1970,Z1970))))</f>
        <v/>
      </c>
      <c r="O1970" s="485"/>
      <c r="P1970" s="485"/>
      <c r="Q1970" s="1641" t="str">
        <f>EUconst_CNTR_HALprelim&amp;I1945</f>
        <v>HALprelim_</v>
      </c>
      <c r="U1970" s="1653" t="s">
        <v>1697</v>
      </c>
      <c r="V1970" s="1660" t="str">
        <f>IF(J1967="","",IF(CNTR_ReportingYear&lt;J1966,I1969,IF($I1970=0,J1967,$I1970*(1+J1969))))</f>
        <v/>
      </c>
      <c r="W1970" s="1660" t="str">
        <f>IF(K1967="","",IF(CNTR_ReportingYear&lt;K1966,J1969,IF($I1970=0,K1967,$I1970*(1+K1969))))</f>
        <v/>
      </c>
      <c r="X1970" s="1660" t="str">
        <f>IF(L1967="","",IF(CNTR_ReportingYear&lt;L1966,K1969,IF($I1970=0,L1967,$I1970*(1+L1969))))</f>
        <v/>
      </c>
      <c r="Y1970" s="1660" t="str">
        <f>IF(M1967="","",IF(CNTR_ReportingYear&lt;M1966,L1969,IF($I1970=0,M1967,$I1970*(1+M1969))))</f>
        <v/>
      </c>
      <c r="Z1970" s="1661" t="str">
        <f>IF(N1967="","",IF(CNTR_ReportingYear&lt;N1966,M1969,IF($I1970=0,N1967,$I1970*(1+N1969))))</f>
        <v/>
      </c>
      <c r="AL1970" s="1435"/>
    </row>
    <row r="1971" spans="1:38" ht="5.0999999999999996" customHeight="1">
      <c r="A1971" s="618"/>
      <c r="B1971" s="479"/>
      <c r="C1971" s="479"/>
      <c r="D1971" s="918"/>
      <c r="E1971" s="909"/>
      <c r="F1971" s="909"/>
      <c r="G1971" s="909"/>
      <c r="H1971" s="909"/>
      <c r="I1971" s="909"/>
      <c r="J1971" s="922"/>
      <c r="K1971" s="1791"/>
      <c r="L1971" s="1791"/>
      <c r="M1971" s="1791"/>
      <c r="N1971" s="1791"/>
      <c r="O1971" s="485"/>
      <c r="P1971" s="485"/>
      <c r="Q1971" s="1435"/>
      <c r="U1971" s="1663"/>
      <c r="V1971" s="1435"/>
      <c r="Z1971" s="1664"/>
      <c r="AL1971" s="1435"/>
    </row>
    <row r="1972" spans="1:38" ht="12.75" customHeight="1">
      <c r="A1972" s="618"/>
      <c r="B1972" s="479"/>
      <c r="C1972" s="479"/>
      <c r="D1972" s="918"/>
      <c r="E1972" s="923" t="s">
        <v>1653</v>
      </c>
      <c r="F1972" s="923"/>
      <c r="G1972" s="923"/>
      <c r="H1972" s="923"/>
      <c r="I1972" s="923"/>
      <c r="J1972" s="1647">
        <f>J$3242</f>
        <v>2026</v>
      </c>
      <c r="K1972" s="1490">
        <f>K$3242</f>
        <v>2027</v>
      </c>
      <c r="L1972" s="1490">
        <f>L$3242</f>
        <v>2028</v>
      </c>
      <c r="M1972" s="1490">
        <f>M$3242</f>
        <v>2029</v>
      </c>
      <c r="N1972" s="1490">
        <f>N$3242</f>
        <v>2030</v>
      </c>
      <c r="O1972" s="485"/>
      <c r="P1972" s="485"/>
      <c r="Q1972" s="1435"/>
      <c r="U1972" s="1665"/>
      <c r="Z1972" s="1664"/>
      <c r="AL1972" s="1435"/>
    </row>
    <row r="1973" spans="1:38" ht="12.75" customHeight="1">
      <c r="A1973" s="618"/>
      <c r="B1973" s="479"/>
      <c r="C1973" s="479"/>
      <c r="D1973" s="915" t="s">
        <v>8</v>
      </c>
      <c r="E1973" s="916" t="s">
        <v>2108</v>
      </c>
      <c r="F1973" s="916"/>
      <c r="G1973" s="916"/>
      <c r="H1973" s="916"/>
      <c r="I1973" s="916"/>
      <c r="J1973" s="1666" t="str">
        <f>IF($I1945="","",INDEX(K_Summary!J:J,MATCH($Q1973,K_Summary!$P:$P,0)))</f>
        <v/>
      </c>
      <c r="K1973" s="1791" t="str">
        <f>IF($I1945="","",INDEX(K_Summary!K:K,MATCH($Q1973,K_Summary!$P:$P,0)))</f>
        <v/>
      </c>
      <c r="L1973" s="1791" t="str">
        <f>IF($I1945="","",INDEX(K_Summary!L:L,MATCH($Q1973,K_Summary!$P:$P,0)))</f>
        <v/>
      </c>
      <c r="M1973" s="1791" t="str">
        <f>IF($I1945="","",INDEX(K_Summary!M:M,MATCH($Q1973,K_Summary!$P:$P,0)))</f>
        <v/>
      </c>
      <c r="N1973" s="1791" t="str">
        <f>IF($I1945="","",INDEX(K_Summary!N:N,MATCH($Q1973,K_Summary!$P:$P,0)))</f>
        <v/>
      </c>
      <c r="O1973" s="485"/>
      <c r="P1973" s="485"/>
      <c r="Q1973" s="1641" t="str">
        <f>EUconst_CNTR_100EUA_ActivityLevel&amp;I1945</f>
        <v>EUA100AL_</v>
      </c>
      <c r="U1973" s="1665"/>
      <c r="V1973" s="8"/>
      <c r="W1973" s="8"/>
      <c r="X1973" s="8"/>
      <c r="Y1973" s="8"/>
      <c r="Z1973" s="1664"/>
      <c r="AL1973" s="1435"/>
    </row>
    <row r="1974" spans="1:38" ht="5.0999999999999996" customHeight="1" thickBot="1">
      <c r="A1974" s="618"/>
      <c r="B1974" s="479"/>
      <c r="C1974" s="479"/>
      <c r="D1974" s="918"/>
      <c r="E1974" s="909"/>
      <c r="F1974" s="909"/>
      <c r="G1974" s="909"/>
      <c r="H1974" s="909"/>
      <c r="I1974" s="909"/>
      <c r="J1974" s="922"/>
      <c r="K1974" s="1791"/>
      <c r="L1974" s="1791"/>
      <c r="M1974" s="1791"/>
      <c r="N1974" s="1791"/>
      <c r="O1974" s="485"/>
      <c r="P1974" s="485"/>
      <c r="Q1974" s="1435"/>
      <c r="U1974" s="1663"/>
      <c r="V1974" s="1435"/>
      <c r="Z1974" s="1664"/>
      <c r="AL1974" s="1435"/>
    </row>
    <row r="1975" spans="1:38" ht="12.75" customHeight="1" thickBot="1">
      <c r="B1975" s="479"/>
      <c r="C1975" s="479"/>
      <c r="D1975" s="915" t="s">
        <v>18</v>
      </c>
      <c r="E1975" s="916" t="s">
        <v>1657</v>
      </c>
      <c r="F1975" s="916"/>
      <c r="G1975" s="916"/>
      <c r="H1975" s="921"/>
      <c r="I1975" s="1667"/>
      <c r="J1975" s="1668" t="str">
        <f>IF(J1973="","",IF(J1966&gt;$Z1945,-100%,IF(OR(J1973,V1967&lt;1),J1969,I1975)))</f>
        <v/>
      </c>
      <c r="K1975" s="1796" t="str">
        <f>IF(K1973="","",IF(K1966&gt;$Z1945,-100%,IF(OR(K1973,W1967&lt;1),K1969,J1975)))</f>
        <v/>
      </c>
      <c r="L1975" s="1796" t="str">
        <f>IF(L1973="","",IF(L1966&gt;$Z1945,-100%,IF(OR(L1973,X1967&lt;1),L1969,K1975)))</f>
        <v/>
      </c>
      <c r="M1975" s="1796" t="str">
        <f>IF(M1973="","",IF(M1966&gt;$Z1945,-100%,IF(OR(M1973,Y1967&lt;1),M1969,L1975)))</f>
        <v/>
      </c>
      <c r="N1975" s="1796" t="str">
        <f>IF(N1973="","",IF(N1966&gt;$Z1945,-100%,IF(OR(N1973,Z1967&lt;1),N1969,M1975)))</f>
        <v/>
      </c>
      <c r="O1975" s="485"/>
      <c r="P1975" s="1136"/>
      <c r="Q1975" s="1644" t="str">
        <f>EUconst_CNTR_HALAdjPct &amp; I1945</f>
        <v>HALAdjPct_</v>
      </c>
      <c r="U1975" s="1663" t="s">
        <v>1658</v>
      </c>
      <c r="V1975" s="1670">
        <f>J1972</f>
        <v>2026</v>
      </c>
      <c r="W1975" s="1670">
        <f>K1972</f>
        <v>2027</v>
      </c>
      <c r="X1975" s="1670">
        <f>L1972</f>
        <v>2028</v>
      </c>
      <c r="Y1975" s="1670">
        <f>M1972</f>
        <v>2029</v>
      </c>
      <c r="Z1975" s="1671">
        <f>N1972</f>
        <v>2030</v>
      </c>
      <c r="AL1975" s="1435"/>
    </row>
    <row r="1976" spans="1:38" ht="12.75" customHeight="1" thickBot="1">
      <c r="A1976" s="618"/>
      <c r="B1976" s="479"/>
      <c r="C1976" s="479"/>
      <c r="D1976" s="915" t="s">
        <v>787</v>
      </c>
      <c r="E1976" s="916" t="s">
        <v>1659</v>
      </c>
      <c r="F1976" s="916"/>
      <c r="G1976" s="916"/>
      <c r="H1976" s="639" t="str">
        <f>H1967</f>
        <v>tonnes</v>
      </c>
      <c r="I1976" s="917" t="str">
        <f>I1970</f>
        <v/>
      </c>
      <c r="J1976" s="1672" t="str">
        <f>IF($I1945="","",IF(OR($I1976=0,J1975="",$I1976=EUconst_NA),IF(OR(J1973=TRUE,J1972&lt;=$V1945),J1970,SUM(I1976)),$I1976*(1+SUM(J1975))))</f>
        <v/>
      </c>
      <c r="K1976" s="1800" t="str">
        <f>IF($I1945="","",IF(OR($I1976=0,K1975="",$I1976=EUconst_NA),IF(OR(K1973=TRUE,K1972&lt;=$V1945),K1970,SUM(J1976)),$I1976*(1+SUM(K1975))))</f>
        <v/>
      </c>
      <c r="L1976" s="1800" t="str">
        <f>IF($I1945="","",IF(OR($I1976=0,L1975="",$I1976=EUconst_NA),IF(OR(L1973=TRUE,L1972&lt;=$V1945),L1970,SUM(K1976)),$I1976*(1+SUM(L1975))))</f>
        <v/>
      </c>
      <c r="M1976" s="1800" t="str">
        <f>IF($I1945="","",IF(OR($I1976=0,M1975="",$I1976=EUconst_NA),IF(OR(M1973=TRUE,M1972&lt;=$V1945),M1970,SUM(L1976)),$I1976*(1+SUM(M1975))))</f>
        <v/>
      </c>
      <c r="N1976" s="1800" t="str">
        <f>IF($I1945="","",IF(OR($I1976=0,N1975="",$I1976=EUconst_NA),IF(OR(N1973=TRUE,N1972&lt;=$V1945),N1970,SUM(M1976)),$I1976*(1+SUM(N1975))))</f>
        <v/>
      </c>
      <c r="O1976" s="485"/>
      <c r="P1976" s="485"/>
      <c r="Q1976" s="1641" t="str">
        <f>EUconst_CNTR_HALfinal&amp;I1945</f>
        <v>HALfinal_</v>
      </c>
      <c r="U1976" s="1674" t="b">
        <v>0</v>
      </c>
      <c r="V1976" s="1675" t="str">
        <f>IF(V1953,IF(J1973=TRUE,V1968,U1976),"")</f>
        <v/>
      </c>
      <c r="W1976" s="1675" t="str">
        <f>IF(W1953,IF(K1973=TRUE,W1968,V1976),"")</f>
        <v/>
      </c>
      <c r="X1976" s="1675" t="str">
        <f>IF(X1953,IF(L1973=TRUE,X1968,W1976),"")</f>
        <v/>
      </c>
      <c r="Y1976" s="1675" t="str">
        <f>IF(Y1953,IF(M1973=TRUE,Y1968,X1976),"")</f>
        <v/>
      </c>
      <c r="Z1976" s="1676" t="str">
        <f>IF(Z1953,IF(N1973=TRUE,Z1968,Y1976),"")</f>
        <v/>
      </c>
      <c r="AJ1976" s="1633" t="s">
        <v>1951</v>
      </c>
      <c r="AK1976" s="1443" t="str">
        <f>IF(OR(ISERROR(J1976),ISERROR(K1976),ISERROR(L1976),ISERROR(M1976),ISERROR(N1976)),EUconst_Error &amp; "BM" &amp; Q1945,"")</f>
        <v/>
      </c>
      <c r="AL1976" s="1435"/>
    </row>
    <row r="1977" spans="1:38" ht="5.0999999999999996" customHeight="1" thickBot="1">
      <c r="B1977" s="479"/>
      <c r="C1977" s="479"/>
      <c r="D1977" s="924"/>
      <c r="E1977" s="925"/>
      <c r="F1977" s="925"/>
      <c r="G1977" s="925"/>
      <c r="H1977" s="925"/>
      <c r="I1977" s="925"/>
      <c r="J1977" s="926"/>
      <c r="K1977" s="1791"/>
      <c r="L1977" s="1791"/>
      <c r="M1977" s="1791"/>
      <c r="N1977" s="1791"/>
      <c r="O1977" s="485"/>
      <c r="P1977" s="485"/>
      <c r="Q1977" s="1435"/>
      <c r="U1977" s="1435"/>
      <c r="V1977" s="1435"/>
      <c r="AL1977" s="1435"/>
    </row>
    <row r="1978" spans="1:38" ht="5.0999999999999996" customHeight="1">
      <c r="B1978" s="479"/>
      <c r="C1978" s="479"/>
      <c r="D1978" s="485"/>
      <c r="E1978" s="485"/>
      <c r="F1978" s="485"/>
      <c r="G1978" s="485"/>
      <c r="H1978" s="485"/>
      <c r="I1978" s="485"/>
      <c r="J1978" s="485"/>
      <c r="K1978" s="485"/>
      <c r="L1978" s="485"/>
      <c r="M1978" s="485"/>
      <c r="N1978" s="485"/>
      <c r="O1978" s="485"/>
      <c r="P1978" s="485"/>
      <c r="Q1978" s="1435"/>
      <c r="U1978" s="1435"/>
      <c r="V1978" s="1435"/>
      <c r="AL1978" s="1435"/>
    </row>
    <row r="1979" spans="1:38" ht="15" customHeight="1">
      <c r="B1979" s="1124"/>
      <c r="C1979" s="479"/>
      <c r="D1979" s="2482" t="s">
        <v>1229</v>
      </c>
      <c r="E1979" s="2400"/>
      <c r="F1979" s="2400"/>
      <c r="G1979" s="2400"/>
      <c r="H1979" s="2400"/>
      <c r="I1979" s="2400"/>
      <c r="J1979" s="2400"/>
      <c r="K1979" s="2400"/>
      <c r="L1979" s="2400"/>
      <c r="M1979" s="2400"/>
      <c r="N1979" s="2400"/>
      <c r="O1979" s="485"/>
      <c r="P1979" s="485"/>
      <c r="U1979" s="1435"/>
      <c r="V1979" s="1435"/>
    </row>
    <row r="1980" spans="1:38" ht="5.0999999999999996" customHeight="1">
      <c r="B1980" s="479"/>
      <c r="C1980" s="479"/>
      <c r="D1980" s="479"/>
      <c r="E1980" s="479"/>
      <c r="F1980" s="479"/>
      <c r="G1980" s="479"/>
      <c r="H1980" s="479"/>
      <c r="I1980" s="479"/>
      <c r="J1980" s="479"/>
      <c r="K1980" s="479"/>
      <c r="L1980" s="479"/>
      <c r="M1980" s="479"/>
      <c r="N1980" s="479"/>
      <c r="O1980" s="485"/>
      <c r="P1980" s="485"/>
      <c r="Q1980" s="1435"/>
      <c r="U1980" s="1435"/>
      <c r="V1980" s="1435"/>
    </row>
    <row r="1981" spans="1:38" ht="12.75" customHeight="1">
      <c r="B1981" s="1124"/>
      <c r="C1981" s="485"/>
      <c r="D1981" s="482" t="s">
        <v>48</v>
      </c>
      <c r="E1981" s="2373" t="s">
        <v>800</v>
      </c>
      <c r="F1981" s="2400"/>
      <c r="G1981" s="2400"/>
      <c r="H1981" s="2400"/>
      <c r="I1981" s="2585"/>
      <c r="J1981" s="2652" t="str">
        <f>IF(I1945="","",IF(T1981,EUconst_MsgEnterThisSection,HYPERLINK(R1981,EUconst_MsgGoOn)))</f>
        <v/>
      </c>
      <c r="K1981" s="2653"/>
      <c r="L1981" s="2653"/>
      <c r="M1981" s="2653"/>
      <c r="N1981" s="2654"/>
      <c r="O1981" s="485"/>
      <c r="P1981" s="485"/>
      <c r="Q1981" s="1198" t="s">
        <v>441</v>
      </c>
      <c r="R1981" s="1488" t="str">
        <f>"#"&amp;ADDRESS(ROW(D2009),COLUMN(D2009))</f>
        <v>#$D$2009</v>
      </c>
      <c r="S1981" s="1633" t="s">
        <v>1674</v>
      </c>
      <c r="T1981" s="1644" t="str">
        <f>IF(I1945="","",INDEX(EUconst_BMlistElExchangability,MATCH(I1945,EUconst_BMlistNames,0)))</f>
        <v/>
      </c>
      <c r="U1981" s="1435"/>
      <c r="V1981" s="1435"/>
    </row>
    <row r="1982" spans="1:38" ht="12.75" customHeight="1">
      <c r="B1982" s="479"/>
      <c r="C1982" s="479"/>
      <c r="D1982" s="485"/>
      <c r="E1982" s="2385" t="s">
        <v>1241</v>
      </c>
      <c r="F1982" s="2846"/>
      <c r="G1982" s="2846"/>
      <c r="H1982" s="2846"/>
      <c r="I1982" s="2846"/>
      <c r="J1982" s="2846"/>
      <c r="K1982" s="2846"/>
      <c r="L1982" s="2846"/>
      <c r="M1982" s="2846"/>
      <c r="N1982" s="2846"/>
      <c r="O1982" s="485"/>
      <c r="P1982" s="485"/>
      <c r="U1982" s="1435"/>
      <c r="V1982" s="1435"/>
    </row>
    <row r="1983" spans="1:38" ht="12.75" customHeight="1">
      <c r="B1983" s="479"/>
      <c r="C1983" s="479"/>
      <c r="D1983" s="485"/>
      <c r="E1983" s="2385" t="s">
        <v>1526</v>
      </c>
      <c r="F1983" s="2846"/>
      <c r="G1983" s="2846"/>
      <c r="H1983" s="2846"/>
      <c r="I1983" s="2846"/>
      <c r="J1983" s="2846"/>
      <c r="K1983" s="2846"/>
      <c r="L1983" s="2846"/>
      <c r="M1983" s="2846"/>
      <c r="N1983" s="2846"/>
      <c r="O1983" s="485"/>
      <c r="P1983" s="485"/>
      <c r="Q1983" s="1435"/>
      <c r="U1983" s="1435"/>
      <c r="V1983" s="1435"/>
      <c r="W1983" s="1435"/>
      <c r="X1983" s="1435"/>
      <c r="Y1983" s="1435"/>
      <c r="Z1983" s="1435"/>
    </row>
    <row r="1984" spans="1:38" ht="25.5" customHeight="1">
      <c r="B1984" s="479"/>
      <c r="C1984" s="479"/>
      <c r="D1984" s="485"/>
      <c r="E1984" s="2385" t="s">
        <v>1635</v>
      </c>
      <c r="F1984" s="2846"/>
      <c r="G1984" s="2846"/>
      <c r="H1984" s="2846"/>
      <c r="I1984" s="2846"/>
      <c r="J1984" s="2846"/>
      <c r="K1984" s="2846"/>
      <c r="L1984" s="2846"/>
      <c r="M1984" s="2846"/>
      <c r="N1984" s="2846"/>
      <c r="O1984" s="485"/>
      <c r="P1984" s="485"/>
      <c r="Q1984" s="1435"/>
      <c r="U1984" s="1435"/>
      <c r="V1984" s="1435"/>
      <c r="W1984" s="1435"/>
      <c r="X1984" s="1435"/>
      <c r="Y1984" s="1435"/>
      <c r="Z1984" s="1435"/>
    </row>
    <row r="1985" spans="1:42" s="562" customFormat="1" ht="13.5" thickBot="1">
      <c r="A1985" s="618"/>
      <c r="B1985" s="485"/>
      <c r="C1985" s="485"/>
      <c r="D1985" s="482"/>
      <c r="E1985" s="927" t="s">
        <v>62</v>
      </c>
      <c r="F1985" s="518"/>
      <c r="G1985" s="663" t="str">
        <f>EUconst_Unit</f>
        <v>Unit</v>
      </c>
      <c r="H1985" s="578">
        <f>H$3242</f>
        <v>2024</v>
      </c>
      <c r="I1985" s="697">
        <f>I$3242</f>
        <v>2025</v>
      </c>
      <c r="J1985" s="1489">
        <f>J$112</f>
        <v>2026</v>
      </c>
      <c r="K1985" s="1490">
        <f>K$112</f>
        <v>2027</v>
      </c>
      <c r="L1985" s="1490">
        <f>L$112</f>
        <v>2028</v>
      </c>
      <c r="M1985" s="1490">
        <f>M$112</f>
        <v>2029</v>
      </c>
      <c r="N1985" s="1490">
        <f>N$112</f>
        <v>2030</v>
      </c>
      <c r="O1985" s="485"/>
      <c r="P1985" s="485"/>
      <c r="Q1985" s="1435"/>
      <c r="R1985" s="1435"/>
      <c r="S1985" s="1198"/>
      <c r="T1985" s="1198"/>
      <c r="U1985" s="1435"/>
      <c r="V1985" s="1435"/>
      <c r="W1985" s="1435"/>
      <c r="X1985" s="1435"/>
      <c r="Y1985" s="1435"/>
      <c r="Z1985" s="1435"/>
      <c r="AA1985" s="1435"/>
      <c r="AB1985" s="1198"/>
      <c r="AC1985" s="1638">
        <f t="shared" ref="AC1985:AI1985" si="922">H$20</f>
        <v>2024</v>
      </c>
      <c r="AD1985" s="1638">
        <f t="shared" si="922"/>
        <v>2025</v>
      </c>
      <c r="AE1985" s="1638">
        <f t="shared" si="922"/>
        <v>2026</v>
      </c>
      <c r="AF1985" s="1638">
        <f t="shared" si="922"/>
        <v>2027</v>
      </c>
      <c r="AG1985" s="1638">
        <f t="shared" si="922"/>
        <v>2028</v>
      </c>
      <c r="AH1985" s="1638">
        <f t="shared" si="922"/>
        <v>2029</v>
      </c>
      <c r="AI1985" s="1638">
        <f t="shared" si="922"/>
        <v>2030</v>
      </c>
      <c r="AJ1985" s="1198"/>
      <c r="AK1985" s="1198"/>
      <c r="AL1985" s="1198"/>
      <c r="AP1985" s="1135"/>
    </row>
    <row r="1986" spans="1:42" s="562" customFormat="1" ht="13.5" customHeight="1">
      <c r="A1986" s="618"/>
      <c r="B1986" s="485"/>
      <c r="C1986" s="485"/>
      <c r="D1986" s="561" t="s">
        <v>6</v>
      </c>
      <c r="E1986" s="863" t="s">
        <v>63</v>
      </c>
      <c r="F1986" s="863"/>
      <c r="G1986" s="579" t="str">
        <f>EUconst_tCO2pa</f>
        <v>t CO2 / year</v>
      </c>
      <c r="H1986" s="1678" t="str">
        <f>c_ALR2025!M4572</f>
        <v/>
      </c>
      <c r="I1986" s="1879"/>
      <c r="J1986" s="1786"/>
      <c r="K1986" s="1787"/>
      <c r="L1986" s="1787"/>
      <c r="M1986" s="1787"/>
      <c r="N1986" s="1787"/>
      <c r="O1986" s="485"/>
      <c r="P1986" s="9">
        <v>0</v>
      </c>
      <c r="Q1986" s="1435"/>
      <c r="R1986" s="1435"/>
      <c r="S1986" s="1198"/>
      <c r="T1986" s="1198"/>
      <c r="U1986" s="1435"/>
      <c r="V1986" s="1435"/>
      <c r="W1986" s="1435"/>
      <c r="X1986" s="1435"/>
      <c r="Y1986" s="1435"/>
      <c r="Z1986" s="1435"/>
      <c r="AA1986" s="1435"/>
      <c r="AB1986" s="1641" t="s">
        <v>717</v>
      </c>
      <c r="AC1986" s="1855" t="b">
        <f t="shared" ref="AC1986:AI1986" si="923">IF(CNTR_ExistSubInstEntries,IF($I1945="",TRUE,OR(H1985&gt;=CNTR_ReportingYear,AC1985&lt;$V1945-1,INDEX(EUconst_BMlistElExchangability,MATCH($I1945,EUconst_BMlistNames,0))=FALSE)),FALSE)</f>
        <v>0</v>
      </c>
      <c r="AD1986" s="1680" t="b">
        <f t="shared" si="923"/>
        <v>0</v>
      </c>
      <c r="AE1986" s="1680" t="b">
        <f t="shared" si="923"/>
        <v>0</v>
      </c>
      <c r="AF1986" s="1680" t="b">
        <f t="shared" si="923"/>
        <v>0</v>
      </c>
      <c r="AG1986" s="1680" t="b">
        <f t="shared" si="923"/>
        <v>0</v>
      </c>
      <c r="AH1986" s="1680" t="b">
        <f t="shared" si="923"/>
        <v>0</v>
      </c>
      <c r="AI1986" s="1681" t="b">
        <f t="shared" si="923"/>
        <v>0</v>
      </c>
      <c r="AJ1986" s="1633" t="s">
        <v>1954</v>
      </c>
      <c r="AK1986" s="1635" t="str">
        <f>IF(AND(CNTR_ExistSubInstEntries,COUNTIFS(AC1986:AI1986,FALSE,H1986:N1986,"")&gt;0),EUconst_Error&amp;"BM"&amp;$Q1945,"")</f>
        <v/>
      </c>
      <c r="AL1986" s="1198"/>
      <c r="AP1986" s="1135"/>
    </row>
    <row r="1987" spans="1:42" s="562" customFormat="1" ht="12.75" customHeight="1">
      <c r="A1987" s="618"/>
      <c r="B1987" s="485"/>
      <c r="C1987" s="485"/>
      <c r="D1987" s="561" t="s">
        <v>7</v>
      </c>
      <c r="E1987" s="865" t="s">
        <v>257</v>
      </c>
      <c r="F1987" s="865"/>
      <c r="G1987" s="582" t="str">
        <f>EUconst_TJpa</f>
        <v>TJ / year</v>
      </c>
      <c r="H1987" s="662" t="str">
        <f t="shared" ref="H1987:N1987" si="924">IF(AND($I1945&lt;&gt;"",H1985&lt;CNTR_ReportingYear),IF(INDEX(EUconst_BMlistElExchangability,MATCH($I1945,EUconst_BMlistNames,0)),SUM(H2158),""),"")</f>
        <v/>
      </c>
      <c r="I1987" s="931" t="str">
        <f t="shared" si="924"/>
        <v/>
      </c>
      <c r="J1987" s="1788" t="str">
        <f t="shared" si="924"/>
        <v/>
      </c>
      <c r="K1987" s="1789" t="str">
        <f t="shared" si="924"/>
        <v/>
      </c>
      <c r="L1987" s="1789" t="str">
        <f t="shared" si="924"/>
        <v/>
      </c>
      <c r="M1987" s="1789" t="str">
        <f t="shared" si="924"/>
        <v/>
      </c>
      <c r="N1987" s="1789" t="str">
        <f t="shared" si="924"/>
        <v/>
      </c>
      <c r="O1987" s="485"/>
      <c r="P1987" s="485"/>
      <c r="Q1987" s="1435"/>
      <c r="R1987" s="1435"/>
      <c r="S1987" s="1198"/>
      <c r="T1987" s="1198">
        <f t="shared" ref="T1987:Z1987" si="925">H1985</f>
        <v>2024</v>
      </c>
      <c r="U1987" s="1435">
        <f t="shared" si="925"/>
        <v>2025</v>
      </c>
      <c r="V1987" s="1435">
        <f t="shared" si="925"/>
        <v>2026</v>
      </c>
      <c r="W1987" s="1435">
        <f t="shared" si="925"/>
        <v>2027</v>
      </c>
      <c r="X1987" s="1435">
        <f t="shared" si="925"/>
        <v>2028</v>
      </c>
      <c r="Y1987" s="1435">
        <f t="shared" si="925"/>
        <v>2029</v>
      </c>
      <c r="Z1987" s="1435">
        <f t="shared" si="925"/>
        <v>2030</v>
      </c>
      <c r="AA1987" s="1435"/>
      <c r="AB1987" s="1435"/>
      <c r="AC1987" s="1665"/>
      <c r="AD1987" s="1435"/>
      <c r="AE1987" s="1435"/>
      <c r="AF1987" s="1435"/>
      <c r="AG1987" s="1435"/>
      <c r="AH1987" s="1435"/>
      <c r="AI1987" s="1683"/>
      <c r="AJ1987" s="1435"/>
      <c r="AK1987" s="1435"/>
      <c r="AL1987" s="1198"/>
      <c r="AP1987" s="1135"/>
    </row>
    <row r="1988" spans="1:42" s="562" customFormat="1" ht="12.75" customHeight="1" thickBot="1">
      <c r="A1988" s="618"/>
      <c r="B1988" s="485"/>
      <c r="C1988" s="485"/>
      <c r="D1988" s="561" t="s">
        <v>8</v>
      </c>
      <c r="E1988" s="932" t="s">
        <v>914</v>
      </c>
      <c r="F1988" s="932"/>
      <c r="G1988" s="933" t="str">
        <f>EUconst_MWhpa</f>
        <v>MWh / year</v>
      </c>
      <c r="H1988" s="1582" t="str">
        <f>c_ALR2025!M4574</f>
        <v/>
      </c>
      <c r="I1988" s="1880"/>
      <c r="J1988" s="1491"/>
      <c r="K1988" s="1492"/>
      <c r="L1988" s="1492"/>
      <c r="M1988" s="1492"/>
      <c r="N1988" s="1492"/>
      <c r="O1988" s="485"/>
      <c r="P1988" s="9">
        <v>0</v>
      </c>
      <c r="Q1988" s="1644" t="str">
        <f>EUconst_CNTR_HAL&amp;EUconst_CNTR_ELEXCH</f>
        <v>HAL_ELEXCH_</v>
      </c>
      <c r="R1988" s="1644" t="str">
        <f>EUconst_CNTR_HAL&amp;EUconst_CNTR_ELEXCH &amp; I1945</f>
        <v>HAL_ELEXCH_</v>
      </c>
      <c r="S1988" s="1198" t="str">
        <f>EUconst_CNTR_AttributedEmissions &amp; I1945</f>
        <v>AttrEmissions_</v>
      </c>
      <c r="T1988" s="1198" t="str">
        <f t="shared" ref="T1988:Z1988" si="926">IF(T1953,SUM(H1988)*EUconst_ElBM,"")</f>
        <v/>
      </c>
      <c r="U1988" s="1435" t="str">
        <f t="shared" si="926"/>
        <v/>
      </c>
      <c r="V1988" s="1435" t="str">
        <f t="shared" si="926"/>
        <v/>
      </c>
      <c r="W1988" s="1435" t="str">
        <f t="shared" si="926"/>
        <v/>
      </c>
      <c r="X1988" s="1435" t="str">
        <f t="shared" si="926"/>
        <v/>
      </c>
      <c r="Y1988" s="1435" t="str">
        <f t="shared" si="926"/>
        <v/>
      </c>
      <c r="Z1988" s="1435" t="str">
        <f t="shared" si="926"/>
        <v/>
      </c>
      <c r="AA1988" s="1435"/>
      <c r="AB1988" s="1435"/>
      <c r="AC1988" s="1685" t="b">
        <f>AC1986</f>
        <v>0</v>
      </c>
      <c r="AD1988" s="1686" t="b">
        <f t="shared" ref="AD1988:AI1988" si="927">AD1986</f>
        <v>0</v>
      </c>
      <c r="AE1988" s="1686" t="b">
        <f t="shared" si="927"/>
        <v>0</v>
      </c>
      <c r="AF1988" s="1686" t="b">
        <f t="shared" si="927"/>
        <v>0</v>
      </c>
      <c r="AG1988" s="1686" t="b">
        <f t="shared" si="927"/>
        <v>0</v>
      </c>
      <c r="AH1988" s="1686" t="b">
        <f t="shared" si="927"/>
        <v>0</v>
      </c>
      <c r="AI1988" s="1687" t="b">
        <f t="shared" si="927"/>
        <v>0</v>
      </c>
      <c r="AJ1988" s="1633" t="s">
        <v>1954</v>
      </c>
      <c r="AK1988" s="1635" t="str">
        <f>IF(AND(CNTR_ExistSubInstEntries,COUNTIFS(AC1988:AI1988,FALSE,H1988:N1988,"")&gt;0),EUconst_Error&amp;"BM"&amp;$Q1945,"")</f>
        <v/>
      </c>
      <c r="AL1988" s="1198"/>
      <c r="AP1988" s="1135"/>
    </row>
    <row r="1989" spans="1:42" s="562" customFormat="1" ht="13.5" customHeight="1">
      <c r="A1989" s="618"/>
      <c r="B1989" s="485"/>
      <c r="C1989" s="485"/>
      <c r="D1989" s="561" t="s">
        <v>18</v>
      </c>
      <c r="E1989" s="863" t="s">
        <v>915</v>
      </c>
      <c r="F1989" s="863"/>
      <c r="G1989" s="579" t="str">
        <f>EUconst_tCO2pa</f>
        <v>t CO2 / year</v>
      </c>
      <c r="H1989" s="929" t="str">
        <f t="shared" ref="H1989:N1989" si="928">IF(ISNUMBER(H1986),H1986+SUM(H1987)*EUconst_HeatBMvalue,"")</f>
        <v/>
      </c>
      <c r="I1989" s="930" t="str">
        <f t="shared" si="928"/>
        <v/>
      </c>
      <c r="J1989" s="1786" t="str">
        <f t="shared" si="928"/>
        <v/>
      </c>
      <c r="K1989" s="1787" t="str">
        <f t="shared" si="928"/>
        <v/>
      </c>
      <c r="L1989" s="1787" t="str">
        <f t="shared" si="928"/>
        <v/>
      </c>
      <c r="M1989" s="1787" t="str">
        <f t="shared" si="928"/>
        <v/>
      </c>
      <c r="N1989" s="1787" t="str">
        <f t="shared" si="928"/>
        <v/>
      </c>
      <c r="O1989" s="485"/>
      <c r="P1989" s="485"/>
      <c r="Q1989" s="1435"/>
      <c r="R1989" s="1435"/>
      <c r="S1989" s="1198"/>
      <c r="T1989" s="1198"/>
      <c r="U1989" s="1435"/>
      <c r="V1989" s="1435"/>
      <c r="W1989" s="1435"/>
      <c r="X1989" s="1435"/>
      <c r="Y1989" s="1435"/>
      <c r="Z1989" s="1435"/>
      <c r="AA1989" s="1435"/>
      <c r="AB1989" s="1435"/>
      <c r="AC1989" s="1435"/>
      <c r="AD1989" s="1435"/>
      <c r="AE1989" s="1435"/>
      <c r="AF1989" s="1435"/>
      <c r="AG1989" s="1435"/>
      <c r="AH1989" s="1435"/>
      <c r="AI1989" s="1435"/>
      <c r="AJ1989" s="1435"/>
      <c r="AK1989" s="1435"/>
      <c r="AL1989" s="1198"/>
      <c r="AP1989" s="1135"/>
    </row>
    <row r="1990" spans="1:42" s="562" customFormat="1" ht="13.5" customHeight="1">
      <c r="A1990" s="618"/>
      <c r="B1990" s="485"/>
      <c r="C1990" s="485"/>
      <c r="D1990" s="561" t="s">
        <v>787</v>
      </c>
      <c r="E1990" s="867" t="s">
        <v>916</v>
      </c>
      <c r="F1990" s="867"/>
      <c r="G1990" s="584" t="str">
        <f>EUconst_tCO2pa</f>
        <v>t CO2 / year</v>
      </c>
      <c r="H1990" s="935" t="str">
        <f t="shared" ref="H1990:N1990" si="929">IF(ISNUMBER(H1988),H1988*EUconst_ElBM,"")</f>
        <v/>
      </c>
      <c r="I1990" s="936" t="str">
        <f t="shared" si="929"/>
        <v/>
      </c>
      <c r="J1990" s="1786" t="str">
        <f t="shared" si="929"/>
        <v/>
      </c>
      <c r="K1990" s="1787" t="str">
        <f t="shared" si="929"/>
        <v/>
      </c>
      <c r="L1990" s="1787" t="str">
        <f t="shared" si="929"/>
        <v/>
      </c>
      <c r="M1990" s="1787" t="str">
        <f t="shared" si="929"/>
        <v/>
      </c>
      <c r="N1990" s="1787" t="str">
        <f t="shared" si="929"/>
        <v/>
      </c>
      <c r="O1990" s="485"/>
      <c r="P1990" s="485"/>
      <c r="Q1990" s="1435"/>
      <c r="R1990" s="1435"/>
      <c r="S1990" s="1198"/>
      <c r="T1990" s="1198"/>
      <c r="U1990" s="1435"/>
      <c r="V1990" s="1435"/>
      <c r="W1990" s="1435"/>
      <c r="X1990" s="1435"/>
      <c r="Y1990" s="1435"/>
      <c r="Z1990" s="1435"/>
      <c r="AA1990" s="1435"/>
      <c r="AB1990" s="1435"/>
      <c r="AC1990" s="1435"/>
      <c r="AD1990" s="1435"/>
      <c r="AE1990" s="1435"/>
      <c r="AF1990" s="1435"/>
      <c r="AG1990" s="1435"/>
      <c r="AH1990" s="1435"/>
      <c r="AI1990" s="1435"/>
      <c r="AJ1990" s="1435"/>
      <c r="AK1990" s="1435"/>
      <c r="AL1990" s="1198"/>
      <c r="AP1990" s="1135"/>
    </row>
    <row r="1991" spans="1:42" ht="5.0999999999999996" customHeight="1">
      <c r="B1991" s="479"/>
      <c r="C1991" s="479"/>
      <c r="D1991" s="479"/>
      <c r="E1991" s="479"/>
      <c r="F1991" s="479"/>
      <c r="G1991" s="479"/>
      <c r="H1991" s="479"/>
      <c r="I1991" s="479"/>
      <c r="J1991" s="1790"/>
      <c r="K1991" s="1791"/>
      <c r="L1991" s="1791"/>
      <c r="M1991" s="1791"/>
      <c r="N1991" s="1791"/>
      <c r="O1991" s="485"/>
      <c r="P1991" s="485"/>
      <c r="Q1991" s="1435"/>
      <c r="U1991" s="1435"/>
      <c r="V1991" s="1435"/>
      <c r="W1991" s="1435"/>
      <c r="X1991" s="1435"/>
      <c r="Y1991" s="1435"/>
      <c r="Z1991" s="1435"/>
    </row>
    <row r="1992" spans="1:42" ht="12.75" customHeight="1">
      <c r="B1992" s="479"/>
      <c r="C1992" s="479"/>
      <c r="D1992" s="561" t="s">
        <v>788</v>
      </c>
      <c r="E1992" s="698" t="s">
        <v>1389</v>
      </c>
      <c r="F1992" s="938"/>
      <c r="G1992" s="939" t="s">
        <v>1021</v>
      </c>
      <c r="H1992" s="940" t="str">
        <f t="shared" ref="H1992:N1992" si="930">IF(COUNT(H1989:H1990)&gt;0,SUM(H1989)/SUM(H1989:H1990),IF($T1981=TRUE,IF(H1985&gt;CNTR_ReportingYear,"",1),""))</f>
        <v/>
      </c>
      <c r="I1992" s="941" t="str">
        <f t="shared" si="930"/>
        <v/>
      </c>
      <c r="J1992" s="1792" t="str">
        <f t="shared" si="930"/>
        <v/>
      </c>
      <c r="K1992" s="1793" t="str">
        <f t="shared" si="930"/>
        <v/>
      </c>
      <c r="L1992" s="1793" t="str">
        <f t="shared" si="930"/>
        <v/>
      </c>
      <c r="M1992" s="1793" t="str">
        <f t="shared" si="930"/>
        <v/>
      </c>
      <c r="N1992" s="1793" t="str">
        <f t="shared" si="930"/>
        <v/>
      </c>
      <c r="O1992" s="485"/>
      <c r="P1992" s="485"/>
      <c r="Q1992" s="1644" t="str">
        <f>EUconst_CNTR_ELEXCH &amp; I1945</f>
        <v>ELEXCH_</v>
      </c>
    </row>
    <row r="1993" spans="1:42" ht="5.0999999999999996" customHeight="1">
      <c r="B1993" s="479"/>
      <c r="C1993" s="479"/>
      <c r="D1993" s="479"/>
      <c r="E1993" s="479"/>
      <c r="F1993" s="479"/>
      <c r="G1993" s="479"/>
      <c r="H1993" s="479"/>
      <c r="I1993" s="479"/>
      <c r="J1993" s="479"/>
      <c r="K1993" s="479"/>
      <c r="L1993" s="479"/>
      <c r="M1993" s="485"/>
      <c r="N1993" s="485"/>
      <c r="O1993" s="485"/>
      <c r="P1993" s="485"/>
      <c r="Q1993" s="1435"/>
    </row>
    <row r="1994" spans="1:42" ht="25.5" customHeight="1" thickBot="1">
      <c r="B1994" s="479"/>
      <c r="C1994" s="479"/>
      <c r="D1994" s="485"/>
      <c r="E1994" s="2385" t="s">
        <v>2737</v>
      </c>
      <c r="F1994" s="2846"/>
      <c r="G1994" s="2846"/>
      <c r="H1994" s="2846"/>
      <c r="I1994" s="2846"/>
      <c r="J1994" s="2846"/>
      <c r="K1994" s="2846"/>
      <c r="L1994" s="2846"/>
      <c r="M1994" s="2846"/>
      <c r="N1994" s="2846"/>
      <c r="O1994" s="485"/>
      <c r="P1994" s="485"/>
      <c r="Q1994" s="1435"/>
      <c r="S1994" s="1435"/>
      <c r="T1994" s="1435"/>
      <c r="U1994" s="1435"/>
    </row>
    <row r="1995" spans="1:42" ht="5.0999999999999996" customHeight="1" thickBot="1">
      <c r="B1995" s="479"/>
      <c r="C1995" s="479"/>
      <c r="D1995" s="902"/>
      <c r="E1995" s="942"/>
      <c r="F1995" s="942"/>
      <c r="G1995" s="942"/>
      <c r="H1995" s="942"/>
      <c r="I1995" s="942"/>
      <c r="J1995" s="943"/>
      <c r="K1995" s="1791"/>
      <c r="L1995" s="1791"/>
      <c r="M1995" s="1791"/>
      <c r="N1995" s="1791"/>
      <c r="O1995" s="485"/>
      <c r="P1995" s="485"/>
      <c r="Q1995" s="1435"/>
      <c r="S1995" s="1435"/>
      <c r="T1995" s="1435"/>
      <c r="U1995" s="1435"/>
    </row>
    <row r="1996" spans="1:42" ht="12.75" customHeight="1">
      <c r="B1996" s="479"/>
      <c r="C1996" s="479"/>
      <c r="D1996" s="907" t="s">
        <v>1915</v>
      </c>
      <c r="E1996" s="908" t="s">
        <v>1775</v>
      </c>
      <c r="F1996" s="909"/>
      <c r="G1996" s="909"/>
      <c r="H1996" s="910" t="str">
        <f>EUconst_Unit</f>
        <v>Unit</v>
      </c>
      <c r="I1996" s="911" t="s">
        <v>2213</v>
      </c>
      <c r="J1996" s="1647">
        <f>J$3242</f>
        <v>2026</v>
      </c>
      <c r="K1996" s="1490">
        <f>K$3242</f>
        <v>2027</v>
      </c>
      <c r="L1996" s="1490">
        <f>L$3242</f>
        <v>2028</v>
      </c>
      <c r="M1996" s="1490">
        <f>M$3242</f>
        <v>2029</v>
      </c>
      <c r="N1996" s="1490">
        <f>N$3242</f>
        <v>2030</v>
      </c>
      <c r="O1996" s="485"/>
      <c r="P1996" s="485"/>
      <c r="Q1996" s="1435"/>
      <c r="U1996" s="1648"/>
      <c r="V1996" s="1649">
        <f>J1996</f>
        <v>2026</v>
      </c>
      <c r="W1996" s="1649">
        <f>K1996</f>
        <v>2027</v>
      </c>
      <c r="X1996" s="1649">
        <f>L1996</f>
        <v>2028</v>
      </c>
      <c r="Y1996" s="1649">
        <f>M1996</f>
        <v>2029</v>
      </c>
      <c r="Z1996" s="1650">
        <f>N1996</f>
        <v>2030</v>
      </c>
      <c r="AL1996" s="1435"/>
    </row>
    <row r="1997" spans="1:42" ht="12.75" customHeight="1">
      <c r="B1997" s="479"/>
      <c r="C1997" s="479"/>
      <c r="D1997" s="915" t="s">
        <v>6</v>
      </c>
      <c r="E1997" s="916" t="s">
        <v>1691</v>
      </c>
      <c r="F1997" s="916"/>
      <c r="G1997" s="916"/>
      <c r="H1997" s="944" t="str">
        <f>G1992</f>
        <v>-</v>
      </c>
      <c r="I1997" s="945" t="str">
        <f>IF($T1981&lt;&gt;TRUE,"",INDEX('B+C_SubInstallations'!$L:$L,MATCH(Q1997,'B+C_SubInstallations'!$W:$W,0)))</f>
        <v/>
      </c>
      <c r="J1997" s="1691" t="str">
        <f>IF($T1981&lt;&gt;TRUE,"",IF(AND(V1997&gt;=3,CNTR_ReportingYear&gt;J1996-1),AVERAGE(SUM(H1992),SUM(I1992)),""))</f>
        <v/>
      </c>
      <c r="K1997" s="1794" t="str">
        <f>IF($T1981&lt;&gt;TRUE,"",IF(AND(W1997&gt;=3,CNTR_ReportingYear&gt;K1996-1),AVERAGE(SUM(I1992),SUM(J1992)),""))</f>
        <v/>
      </c>
      <c r="L1997" s="1794" t="str">
        <f>IF($T1981&lt;&gt;TRUE,"",IF(AND(X1997&gt;=3,CNTR_ReportingYear&gt;L1996-1),AVERAGE(SUM(J1992),SUM(K1992)),""))</f>
        <v/>
      </c>
      <c r="M1997" s="1794" t="str">
        <f>IF($T1981&lt;&gt;TRUE,"",IF(AND(Y1997&gt;=3,CNTR_ReportingYear&gt;M1996-1),AVERAGE(SUM(K1992),SUM(L1992)),""))</f>
        <v/>
      </c>
      <c r="N1997" s="1794" t="str">
        <f>IF($T1981&lt;&gt;TRUE,"",IF(AND(Z1997&gt;=3,CNTR_ReportingYear&gt;N1996-1),AVERAGE(SUM(L1992),SUM(M1992)),""))</f>
        <v/>
      </c>
      <c r="O1997" s="485"/>
      <c r="P1997" s="485"/>
      <c r="Q1997" s="1644" t="str">
        <f>EUconst_CNTR_HAL &amp; EUconst_CNTR_ELEXCHInitial &amp; I1945</f>
        <v>HAL_ELEXCHIni_</v>
      </c>
      <c r="U1997" s="1693" t="s">
        <v>1650</v>
      </c>
      <c r="V1997" s="1635">
        <f>V1967</f>
        <v>0</v>
      </c>
      <c r="W1997" s="1635">
        <f>W1967</f>
        <v>0</v>
      </c>
      <c r="X1997" s="1635">
        <f>X1967</f>
        <v>0</v>
      </c>
      <c r="Y1997" s="1635">
        <f>Y1967</f>
        <v>0</v>
      </c>
      <c r="Z1997" s="1654">
        <f>Z1967</f>
        <v>0</v>
      </c>
      <c r="AL1997" s="1435"/>
    </row>
    <row r="1998" spans="1:42" ht="12.75" hidden="1" customHeight="1">
      <c r="A1998" s="618" t="s">
        <v>2289</v>
      </c>
      <c r="B1998" s="479"/>
      <c r="C1998" s="479"/>
      <c r="D1998" s="915"/>
      <c r="E1998" s="916" t="s">
        <v>1776</v>
      </c>
      <c r="F1998" s="916"/>
      <c r="G1998" s="916"/>
      <c r="H1998" s="921"/>
      <c r="I1998" s="1657"/>
      <c r="J1998" s="17" t="str">
        <f>IF(J1997="","",IF($I2000=0,IF(J1997=0,0%,100%),J1997/$I2000-1))</f>
        <v/>
      </c>
      <c r="K1998" s="22" t="str">
        <f>IF(K1997="","",IF($I2000=0,IF(K1997=0,0%,100%),K1997/$I2000-1))</f>
        <v/>
      </c>
      <c r="L1998" s="22" t="str">
        <f>IF(L1997="","",IF($I2000=0,IF(L1997=0,0%,100%),L1997/$I2000-1))</f>
        <v/>
      </c>
      <c r="M1998" s="22" t="str">
        <f>IF(M1997="","",IF($I2000=0,IF(M1997=0,0%,100%),M1997/$I2000-1))</f>
        <v/>
      </c>
      <c r="N1998" s="22" t="str">
        <f>IF(N1997="","",IF($I2000=0,IF(N1997=0,0%,100%),N1997/$I2000-1))</f>
        <v/>
      </c>
      <c r="O1998" s="485"/>
      <c r="P1998" s="485"/>
      <c r="Q1998" s="1644" t="str">
        <f>EUconst_CNTR_RelThreshold &amp; Q2000</f>
        <v>RelThresh_HALprelim_ELEXCH_</v>
      </c>
      <c r="U1998" s="1693" t="s">
        <v>1655</v>
      </c>
      <c r="V1998" s="1158" t="str">
        <f>IF(J1997="","",ABS(J1998)&gt;15%)</f>
        <v/>
      </c>
      <c r="W1998" s="1158" t="str">
        <f>IF(K1997="","",ABS(K1998)&gt;15%)</f>
        <v/>
      </c>
      <c r="X1998" s="1158" t="str">
        <f>IF(L1997="","",ABS(L1998)&gt;15%)</f>
        <v/>
      </c>
      <c r="Y1998" s="1158" t="str">
        <f>IF(M1997="","",ABS(M1998)&gt;15%)</f>
        <v/>
      </c>
      <c r="Z1998" s="1656" t="str">
        <f>IF(N1997="","",ABS(N1998)&gt;15%)</f>
        <v/>
      </c>
      <c r="AL1998" s="1435"/>
    </row>
    <row r="1999" spans="1:42" ht="12.75" customHeight="1">
      <c r="A1999" s="618"/>
      <c r="B1999" s="479"/>
      <c r="C1999" s="479"/>
      <c r="D1999" s="915" t="s">
        <v>7</v>
      </c>
      <c r="E1999" s="916" t="s">
        <v>1654</v>
      </c>
      <c r="F1999" s="916"/>
      <c r="G1999" s="916"/>
      <c r="H1999" s="921"/>
      <c r="I1999" s="1657"/>
      <c r="J1999" s="1658" t="str">
        <f>IF(J1997="","",IF(V1998=FALSE,0%,J1998))</f>
        <v/>
      </c>
      <c r="K1999" s="1795" t="str">
        <f>IF(K1997="","",IF(W1998=FALSE,0%,K1998))</f>
        <v/>
      </c>
      <c r="L1999" s="1795" t="str">
        <f>IF(L1997="","",IF(X1998=FALSE,0%,L1998))</f>
        <v/>
      </c>
      <c r="M1999" s="1795" t="str">
        <f>IF(M1997="","",IF(Y1998=FALSE,0%,M1998))</f>
        <v/>
      </c>
      <c r="N1999" s="1795" t="str">
        <f>IF(N1997="","",IF(Z1998=FALSE,0%,N1998))</f>
        <v/>
      </c>
      <c r="O1999" s="485"/>
      <c r="P1999" s="485"/>
      <c r="Q1999" s="1435"/>
      <c r="U1999" s="1694"/>
      <c r="Z1999" s="1664"/>
      <c r="AL1999" s="1435"/>
    </row>
    <row r="2000" spans="1:42" ht="12.75" hidden="1" customHeight="1">
      <c r="A2000" s="618" t="s">
        <v>2289</v>
      </c>
      <c r="B2000" s="479"/>
      <c r="C2000" s="479"/>
      <c r="D2000" s="915"/>
      <c r="E2000" s="916" t="s">
        <v>1689</v>
      </c>
      <c r="F2000" s="916"/>
      <c r="G2000" s="916"/>
      <c r="H2000" s="944" t="str">
        <f>H1997</f>
        <v>-</v>
      </c>
      <c r="I2000" s="945" t="str">
        <f>IF($T1981&lt;&gt;TRUE,"",IF(AB1945=FALSE,EUconst_NA,IF(V1945&gt;($J$3242-3),INDEX(H1992:N1992,MATCH(V1945,H1985:N1985,0)),SUM(I1997))))</f>
        <v/>
      </c>
      <c r="J2000" s="1695" t="str">
        <f>IF(OR($I1945="",$T1981=FALSE),"",IF(V1997&lt;2,SUM(J1992),IF(V1997&lt;3,SUM(I1992),IF(V2000="",I2000,V2000))))</f>
        <v/>
      </c>
      <c r="K2000" s="1794" t="str">
        <f>IF(OR($I1945="",$T1981=FALSE),"",IF(W1997&lt;2,SUM(K1992),IF(W1997&lt;3,SUM(J1992),IF(W2000="",J2000,W2000))))</f>
        <v/>
      </c>
      <c r="L2000" s="1794" t="str">
        <f>IF(OR($I1945="",$T1981=FALSE),"",IF(X1997&lt;2,SUM(L1992),IF(X1997&lt;3,SUM(K1992),IF(X2000="",K2000,X2000))))</f>
        <v/>
      </c>
      <c r="M2000" s="1794" t="str">
        <f>IF(OR($I1945="",$T1981=FALSE),"",IF(Y1997&lt;2,SUM(M1992),IF(Y1997&lt;3,SUM(L1992),IF(Y2000="",L2000,Y2000))))</f>
        <v/>
      </c>
      <c r="N2000" s="1794" t="str">
        <f>IF(OR($I1945="",$T1981=FALSE),"",IF(Z1997&lt;2,SUM(N1992),IF(Z1997&lt;3,SUM(M1992),IF(Z2000="",M2000,Z2000))))</f>
        <v/>
      </c>
      <c r="O2000" s="485"/>
      <c r="P2000" s="485"/>
      <c r="Q2000" s="1644" t="str">
        <f>EUconst_CNTR_HALprelim&amp;EUconst_CNTR_ELEXCH &amp; I1945</f>
        <v>HALprelim_ELEXCH_</v>
      </c>
      <c r="U2000" s="1693" t="s">
        <v>1697</v>
      </c>
      <c r="V2000" s="1696" t="str">
        <f>IF(J1997="","",IF(CNTR_ReportingYear&lt;J1996,I1999,IF($I2000=0,J1997,$I2000*(1+J1999))))</f>
        <v/>
      </c>
      <c r="W2000" s="1696" t="str">
        <f>IF(K1997="","",IF(CNTR_ReportingYear&lt;K1996,J1999,IF($I2000=0,K1997,$I2000*(1+K1999))))</f>
        <v/>
      </c>
      <c r="X2000" s="1696" t="str">
        <f>IF(L1997="","",IF(CNTR_ReportingYear&lt;L1996,K1999,IF($I2000=0,L1997,$I2000*(1+L1999))))</f>
        <v/>
      </c>
      <c r="Y2000" s="1696" t="str">
        <f>IF(M1997="","",IF(CNTR_ReportingYear&lt;M1996,L1999,IF($I2000=0,M1997,$I2000*(1+M1999))))</f>
        <v/>
      </c>
      <c r="Z2000" s="1697" t="str">
        <f>IF(N1997="","",IF(CNTR_ReportingYear&lt;N1996,M1999,IF($I2000=0,N1997,$I2000*(1+N1999))))</f>
        <v/>
      </c>
      <c r="AL2000" s="1435"/>
    </row>
    <row r="2001" spans="1:38" ht="5.0999999999999996" customHeight="1">
      <c r="A2001" s="618"/>
      <c r="B2001" s="479"/>
      <c r="C2001" s="479"/>
      <c r="D2001" s="915"/>
      <c r="E2001" s="909"/>
      <c r="F2001" s="909"/>
      <c r="G2001" s="909"/>
      <c r="H2001" s="909"/>
      <c r="I2001" s="909"/>
      <c r="J2001" s="922"/>
      <c r="K2001" s="1791"/>
      <c r="L2001" s="1791"/>
      <c r="M2001" s="1791"/>
      <c r="N2001" s="1791"/>
      <c r="O2001" s="485"/>
      <c r="P2001" s="485"/>
      <c r="Q2001" s="1435"/>
      <c r="U2001" s="1663"/>
      <c r="V2001" s="1435"/>
      <c r="Z2001" s="1664"/>
      <c r="AL2001" s="1435"/>
    </row>
    <row r="2002" spans="1:38" ht="12.75" customHeight="1">
      <c r="A2002" s="618"/>
      <c r="B2002" s="479"/>
      <c r="C2002" s="479"/>
      <c r="D2002" s="915"/>
      <c r="E2002" s="923" t="s">
        <v>1653</v>
      </c>
      <c r="F2002" s="923"/>
      <c r="G2002" s="923"/>
      <c r="H2002" s="923"/>
      <c r="I2002" s="923"/>
      <c r="J2002" s="1647">
        <f>J$3242</f>
        <v>2026</v>
      </c>
      <c r="K2002" s="1490">
        <f>K$3242</f>
        <v>2027</v>
      </c>
      <c r="L2002" s="1490">
        <f>L$3242</f>
        <v>2028</v>
      </c>
      <c r="M2002" s="1490">
        <f>M$3242</f>
        <v>2029</v>
      </c>
      <c r="N2002" s="1490">
        <f>N$3242</f>
        <v>2030</v>
      </c>
      <c r="O2002" s="485"/>
      <c r="P2002" s="485"/>
      <c r="Q2002" s="1435"/>
      <c r="U2002" s="1665"/>
      <c r="Z2002" s="1664"/>
      <c r="AL2002" s="1435"/>
    </row>
    <row r="2003" spans="1:38" ht="12.75" customHeight="1">
      <c r="A2003" s="618"/>
      <c r="B2003" s="479"/>
      <c r="C2003" s="479"/>
      <c r="D2003" s="915" t="s">
        <v>8</v>
      </c>
      <c r="E2003" s="916" t="s">
        <v>2108</v>
      </c>
      <c r="F2003" s="916"/>
      <c r="G2003" s="916"/>
      <c r="H2003" s="916"/>
      <c r="I2003" s="916"/>
      <c r="J2003" s="1666" t="str">
        <f>IF(OR($I1945="",$T1981=FALSE),"",INDEX(K_Summary!J:J,MATCH($Q2003,K_Summary!$P:$P,0)))</f>
        <v/>
      </c>
      <c r="K2003" s="1791" t="str">
        <f>IF(OR($I1945="",$T1981=FALSE),"",INDEX(K_Summary!K:K,MATCH($Q2003,K_Summary!$P:$P,0)))</f>
        <v/>
      </c>
      <c r="L2003" s="1791" t="str">
        <f>IF(OR($I1945="",$T1981=FALSE),"",INDEX(K_Summary!L:L,MATCH($Q2003,K_Summary!$P:$P,0)))</f>
        <v/>
      </c>
      <c r="M2003" s="1791" t="str">
        <f>IF(OR($I1945="",$T1981=FALSE),"",INDEX(K_Summary!M:M,MATCH($Q2003,K_Summary!$P:$P,0)))</f>
        <v/>
      </c>
      <c r="N2003" s="1791" t="str">
        <f>IF(OR($I1945="",$T1981=FALSE),"",INDEX(K_Summary!N:N,MATCH($Q2003,K_Summary!$P:$P,0)))</f>
        <v/>
      </c>
      <c r="O2003" s="485"/>
      <c r="P2003" s="485"/>
      <c r="Q2003" s="1644" t="str">
        <f>EUconst_CNTR_100EUA_ElExch&amp;I1945</f>
        <v>EUA100ElExch_</v>
      </c>
      <c r="U2003" s="1665"/>
      <c r="Z2003" s="1664"/>
      <c r="AL2003" s="1435"/>
    </row>
    <row r="2004" spans="1:38" ht="5.0999999999999996" customHeight="1" thickBot="1">
      <c r="A2004" s="618"/>
      <c r="B2004" s="479"/>
      <c r="C2004" s="479"/>
      <c r="D2004" s="915"/>
      <c r="E2004" s="909"/>
      <c r="F2004" s="909"/>
      <c r="G2004" s="909"/>
      <c r="H2004" s="909"/>
      <c r="I2004" s="909"/>
      <c r="J2004" s="922"/>
      <c r="K2004" s="1791"/>
      <c r="L2004" s="1791"/>
      <c r="M2004" s="1791"/>
      <c r="N2004" s="1791"/>
      <c r="O2004" s="485"/>
      <c r="P2004" s="485"/>
      <c r="Q2004" s="1435"/>
      <c r="U2004" s="1663"/>
      <c r="V2004" s="1435"/>
      <c r="Z2004" s="1664"/>
      <c r="AL2004" s="1435"/>
    </row>
    <row r="2005" spans="1:38" ht="12.75" customHeight="1" thickBot="1">
      <c r="B2005" s="479"/>
      <c r="C2005" s="479"/>
      <c r="D2005" s="915" t="s">
        <v>18</v>
      </c>
      <c r="E2005" s="916" t="s">
        <v>1657</v>
      </c>
      <c r="F2005" s="916"/>
      <c r="G2005" s="916"/>
      <c r="H2005" s="921"/>
      <c r="I2005" s="1667"/>
      <c r="J2005" s="1668" t="str">
        <f>IF(J2003="","",IF(OR(J2003,V1997&lt;1),J1999,I2005))</f>
        <v/>
      </c>
      <c r="K2005" s="1796" t="str">
        <f>IF(K2003="","",IF(OR(K2003,W1997&lt;1),K1999,J2005))</f>
        <v/>
      </c>
      <c r="L2005" s="1796" t="str">
        <f>IF(L2003="","",IF(OR(L2003,X1997&lt;1),L1999,K2005))</f>
        <v/>
      </c>
      <c r="M2005" s="1796" t="str">
        <f>IF(M2003="","",IF(OR(M2003,Y1997&lt;1),M1999,L2005))</f>
        <v/>
      </c>
      <c r="N2005" s="1796" t="str">
        <f>IF(N2003="","",IF(OR(N2003,Z1997&lt;1),N1999,M2005))</f>
        <v/>
      </c>
      <c r="O2005" s="485"/>
      <c r="P2005" s="485"/>
      <c r="Q2005" s="1435"/>
      <c r="U2005" s="1663" t="s">
        <v>1658</v>
      </c>
      <c r="V2005" s="1670">
        <f>J2002</f>
        <v>2026</v>
      </c>
      <c r="W2005" s="1670">
        <f>K2002</f>
        <v>2027</v>
      </c>
      <c r="X2005" s="1670">
        <f>L2002</f>
        <v>2028</v>
      </c>
      <c r="Y2005" s="1670">
        <f>M2002</f>
        <v>2029</v>
      </c>
      <c r="Z2005" s="1671">
        <f>N2002</f>
        <v>2030</v>
      </c>
      <c r="AL2005" s="1435"/>
    </row>
    <row r="2006" spans="1:38" ht="12.75" customHeight="1" thickBot="1">
      <c r="A2006" s="618"/>
      <c r="B2006" s="479"/>
      <c r="C2006" s="479"/>
      <c r="D2006" s="915" t="s">
        <v>787</v>
      </c>
      <c r="E2006" s="916" t="s">
        <v>1659</v>
      </c>
      <c r="F2006" s="916"/>
      <c r="G2006" s="916"/>
      <c r="H2006" s="944" t="str">
        <f>H1997</f>
        <v>-</v>
      </c>
      <c r="I2006" s="945" t="str">
        <f>I2000</f>
        <v/>
      </c>
      <c r="J2006" s="1698" t="str">
        <f>IF(OR($I1945="",$T1981=FALSE),"",IF(OR($I2006=0,$I2006=EUconst_NA,J2005="",J2002&lt;=$V1945),J2000,$I2006*(1+SUM(J2005))))</f>
        <v/>
      </c>
      <c r="K2006" s="1797" t="str">
        <f>IF(OR($I1945="",$T1981=FALSE),"",IF(OR($I2006=0,$I2006=EUconst_NA,K2005="",K2002&lt;=$V1945),K2000,$I2006*(1+SUM(K2005))))</f>
        <v/>
      </c>
      <c r="L2006" s="1797" t="str">
        <f>IF(OR($I1945="",$T1981=FALSE),"",IF(OR($I2006=0,$I2006=EUconst_NA,L2005="",L2002&lt;=$V1945),L2000,$I2006*(1+SUM(L2005))))</f>
        <v/>
      </c>
      <c r="M2006" s="1797" t="str">
        <f>IF(OR($I1945="",$T1981=FALSE),"",IF(OR($I2006=0,$I2006=EUconst_NA,M2005="",M2002&lt;=$V1945),M2000,$I2006*(1+SUM(M2005))))</f>
        <v/>
      </c>
      <c r="N2006" s="1797" t="str">
        <f>IF(OR($I1945="",$T1981=FALSE),"",IF(OR($I2006=0,$I2006=EUconst_NA,N2005="",N2002&lt;=$V1945),N2000,$I2006*(1+SUM(N2005))))</f>
        <v/>
      </c>
      <c r="O2006" s="485"/>
      <c r="P2006" s="485"/>
      <c r="Q2006" s="1644" t="str">
        <f>EUconst_CNTR_HALfinal&amp;EUconst_CNTR_ELEXCH &amp; I1945</f>
        <v>HALfinal_ELEXCH_</v>
      </c>
      <c r="U2006" s="1674" t="b">
        <v>0</v>
      </c>
      <c r="V2006" s="1675" t="str">
        <f>IF(V1953,IF(J2003=TRUE,V1998,U2006),"")</f>
        <v/>
      </c>
      <c r="W2006" s="1675" t="str">
        <f>IF(W1953,IF(K2003=TRUE,W1998,V2006),"")</f>
        <v/>
      </c>
      <c r="X2006" s="1675" t="str">
        <f>IF(X1953,IF(L2003=TRUE,X1998,W2006),"")</f>
        <v/>
      </c>
      <c r="Y2006" s="1675" t="str">
        <f>IF(Y1953,IF(M2003=TRUE,Y1998,X2006),"")</f>
        <v/>
      </c>
      <c r="Z2006" s="1676" t="str">
        <f>IF(Z1953,IF(N2003=TRUE,Z1998,Y2006),"")</f>
        <v/>
      </c>
      <c r="AJ2006" s="1633" t="s">
        <v>1951</v>
      </c>
      <c r="AK2006" s="1443" t="str">
        <f>IF(OR(ISERROR(J2006),ISERROR(K2006),ISERROR(L2006),ISERROR(M2006),ISERROR(N2006)),EUconst_Error &amp; "BM" &amp; Q1945,"")</f>
        <v/>
      </c>
      <c r="AL2006" s="1435"/>
    </row>
    <row r="2007" spans="1:38" ht="5.0999999999999996" customHeight="1" thickBot="1">
      <c r="B2007" s="479"/>
      <c r="C2007" s="479"/>
      <c r="D2007" s="946"/>
      <c r="E2007" s="947"/>
      <c r="F2007" s="947"/>
      <c r="G2007" s="947"/>
      <c r="H2007" s="947"/>
      <c r="I2007" s="947"/>
      <c r="J2007" s="1700"/>
      <c r="K2007" s="1791"/>
      <c r="L2007" s="1791"/>
      <c r="M2007" s="1791"/>
      <c r="N2007" s="1791"/>
      <c r="O2007" s="485"/>
      <c r="P2007" s="485"/>
      <c r="Q2007" s="1435"/>
    </row>
    <row r="2008" spans="1:38" ht="5.0999999999999996" customHeight="1">
      <c r="B2008" s="479"/>
      <c r="C2008" s="479"/>
      <c r="D2008" s="479"/>
      <c r="E2008" s="479"/>
      <c r="F2008" s="479"/>
      <c r="G2008" s="479"/>
      <c r="H2008" s="479"/>
      <c r="I2008" s="479"/>
      <c r="J2008" s="479"/>
      <c r="K2008" s="479"/>
      <c r="L2008" s="479"/>
      <c r="M2008" s="485"/>
      <c r="N2008" s="485"/>
      <c r="O2008" s="485"/>
      <c r="P2008" s="485"/>
      <c r="Q2008" s="1435"/>
    </row>
    <row r="2009" spans="1:38" ht="12.75" customHeight="1">
      <c r="B2009" s="479"/>
      <c r="C2009" s="479"/>
      <c r="D2009" s="482" t="s">
        <v>881</v>
      </c>
      <c r="E2009" s="2373" t="s">
        <v>941</v>
      </c>
      <c r="F2009" s="2373"/>
      <c r="G2009" s="2373"/>
      <c r="H2009" s="2373"/>
      <c r="I2009" s="2604"/>
      <c r="J2009" s="2652" t="str">
        <f>IF(I1945="","",HYPERLINK(R2009,EUconst_MsgGoOnIfNotRelevant))</f>
        <v/>
      </c>
      <c r="K2009" s="2653"/>
      <c r="L2009" s="2653"/>
      <c r="M2009" s="2653"/>
      <c r="N2009" s="2654"/>
      <c r="O2009" s="485"/>
      <c r="P2009" s="485"/>
      <c r="Q2009" s="1198" t="s">
        <v>441</v>
      </c>
      <c r="R2009" s="1488" t="str">
        <f>"#"&amp;ADDRESS(ROW(D2034),COLUMN(D2034))</f>
        <v>#$D$2034</v>
      </c>
    </row>
    <row r="2010" spans="1:38" ht="12.75" customHeight="1">
      <c r="B2010" s="479"/>
      <c r="C2010" s="479"/>
      <c r="D2010" s="485"/>
      <c r="E2010" s="2385" t="s">
        <v>1368</v>
      </c>
      <c r="F2010" s="2846"/>
      <c r="G2010" s="2846"/>
      <c r="H2010" s="2846"/>
      <c r="I2010" s="2846"/>
      <c r="J2010" s="2846"/>
      <c r="K2010" s="2846"/>
      <c r="L2010" s="2846"/>
      <c r="M2010" s="2846"/>
      <c r="N2010" s="2846"/>
      <c r="O2010" s="485"/>
      <c r="P2010" s="485"/>
      <c r="Q2010" s="1435"/>
      <c r="U2010" s="1435"/>
      <c r="V2010" s="1435"/>
    </row>
    <row r="2011" spans="1:38" ht="12.75" customHeight="1">
      <c r="B2011" s="479"/>
      <c r="C2011" s="479"/>
      <c r="D2011" s="485"/>
      <c r="E2011" s="2385" t="s">
        <v>1474</v>
      </c>
      <c r="F2011" s="2846"/>
      <c r="G2011" s="2846"/>
      <c r="H2011" s="2846"/>
      <c r="I2011" s="2846"/>
      <c r="J2011" s="2846"/>
      <c r="K2011" s="2846"/>
      <c r="L2011" s="2846"/>
      <c r="M2011" s="2846"/>
      <c r="N2011" s="2846"/>
      <c r="O2011" s="485"/>
      <c r="P2011" s="485"/>
      <c r="Q2011" s="1435"/>
      <c r="U2011" s="1435"/>
      <c r="V2011" s="1435"/>
    </row>
    <row r="2012" spans="1:38" ht="12.75" customHeight="1">
      <c r="B2012" s="479"/>
      <c r="C2012" s="479"/>
      <c r="D2012" s="485"/>
      <c r="E2012" s="2385" t="s">
        <v>1300</v>
      </c>
      <c r="F2012" s="2846"/>
      <c r="G2012" s="2846"/>
      <c r="H2012" s="2846"/>
      <c r="I2012" s="2846"/>
      <c r="J2012" s="2846"/>
      <c r="K2012" s="2846"/>
      <c r="L2012" s="2846"/>
      <c r="M2012" s="2846"/>
      <c r="N2012" s="2846"/>
      <c r="O2012" s="485"/>
      <c r="P2012" s="485"/>
      <c r="Q2012" s="1435"/>
      <c r="U2012" s="1435"/>
      <c r="V2012" s="1435"/>
    </row>
    <row r="2013" spans="1:38" ht="12.75" customHeight="1">
      <c r="B2013" s="479"/>
      <c r="C2013" s="479"/>
      <c r="D2013" s="485"/>
      <c r="E2013" s="2385" t="s">
        <v>1608</v>
      </c>
      <c r="F2013" s="2846"/>
      <c r="G2013" s="2846"/>
      <c r="H2013" s="2846"/>
      <c r="I2013" s="2846"/>
      <c r="J2013" s="2846"/>
      <c r="K2013" s="2846"/>
      <c r="L2013" s="2846"/>
      <c r="M2013" s="2846"/>
      <c r="N2013" s="2846"/>
      <c r="O2013" s="485"/>
      <c r="P2013" s="485"/>
      <c r="Q2013" s="1435"/>
      <c r="U2013" s="1435"/>
      <c r="V2013" s="1435"/>
      <c r="W2013" s="1435"/>
      <c r="X2013" s="1435"/>
      <c r="Y2013" s="1435"/>
      <c r="Z2013" s="1435"/>
    </row>
    <row r="2014" spans="1:38" ht="13.5" thickBot="1">
      <c r="B2014" s="1124"/>
      <c r="C2014" s="485"/>
      <c r="D2014" s="482"/>
      <c r="E2014" s="927" t="s">
        <v>62</v>
      </c>
      <c r="F2014" s="518"/>
      <c r="G2014" s="663" t="str">
        <f>EUconst_Unit</f>
        <v>Unit</v>
      </c>
      <c r="H2014" s="578">
        <f>H$3242</f>
        <v>2024</v>
      </c>
      <c r="I2014" s="697">
        <f>I$3242</f>
        <v>2025</v>
      </c>
      <c r="J2014" s="1489">
        <f>J$112</f>
        <v>2026</v>
      </c>
      <c r="K2014" s="1490">
        <f>K$112</f>
        <v>2027</v>
      </c>
      <c r="L2014" s="1490">
        <f>L$112</f>
        <v>2028</v>
      </c>
      <c r="M2014" s="1490">
        <f>M$112</f>
        <v>2029</v>
      </c>
      <c r="N2014" s="1490">
        <f>N$112</f>
        <v>2030</v>
      </c>
      <c r="O2014" s="485"/>
      <c r="P2014" s="485"/>
      <c r="R2014" s="1503"/>
      <c r="S2014" s="1633" t="s">
        <v>1846</v>
      </c>
      <c r="T2014" s="1638">
        <f t="shared" ref="T2014:Z2014" si="931">H2014</f>
        <v>2024</v>
      </c>
      <c r="U2014" s="1638">
        <f t="shared" si="931"/>
        <v>2025</v>
      </c>
      <c r="V2014" s="1638">
        <f t="shared" si="931"/>
        <v>2026</v>
      </c>
      <c r="W2014" s="1638">
        <f t="shared" si="931"/>
        <v>2027</v>
      </c>
      <c r="X2014" s="1638">
        <f t="shared" si="931"/>
        <v>2028</v>
      </c>
      <c r="Y2014" s="1638">
        <f t="shared" si="931"/>
        <v>2029</v>
      </c>
      <c r="Z2014" s="1638">
        <f t="shared" si="931"/>
        <v>2030</v>
      </c>
      <c r="AA2014" s="1503"/>
      <c r="AC2014" s="1638">
        <f t="shared" ref="AC2014:AI2014" si="932">H$20</f>
        <v>2024</v>
      </c>
      <c r="AD2014" s="1638">
        <f t="shared" si="932"/>
        <v>2025</v>
      </c>
      <c r="AE2014" s="1638">
        <f t="shared" si="932"/>
        <v>2026</v>
      </c>
      <c r="AF2014" s="1638">
        <f t="shared" si="932"/>
        <v>2027</v>
      </c>
      <c r="AG2014" s="1638">
        <f t="shared" si="932"/>
        <v>2028</v>
      </c>
      <c r="AH2014" s="1638">
        <f t="shared" si="932"/>
        <v>2029</v>
      </c>
      <c r="AI2014" s="1638">
        <f t="shared" si="932"/>
        <v>2030</v>
      </c>
    </row>
    <row r="2015" spans="1:38" ht="13.15" customHeight="1" thickBot="1">
      <c r="B2015" s="1124"/>
      <c r="C2015" s="485"/>
      <c r="D2015" s="561" t="s">
        <v>6</v>
      </c>
      <c r="E2015" s="2788" t="s">
        <v>650</v>
      </c>
      <c r="F2015" s="2788"/>
      <c r="G2015" s="730" t="str">
        <f>EUconst_TJpa</f>
        <v>TJ / year</v>
      </c>
      <c r="H2015" s="1479" t="str">
        <f>c_ALR2025!M4601</f>
        <v/>
      </c>
      <c r="I2015" s="1530"/>
      <c r="J2015" s="1491"/>
      <c r="K2015" s="1492"/>
      <c r="L2015" s="1492"/>
      <c r="M2015" s="1492"/>
      <c r="N2015" s="1492"/>
      <c r="O2015" s="485"/>
      <c r="P2015" s="9">
        <v>0</v>
      </c>
      <c r="Q2015" s="1443" t="str">
        <f>EUconst_CNTR_HAL&amp;EUconst_CNTR_nonETSMeasHeat</f>
        <v>HAL_non-ETS measurable heat</v>
      </c>
      <c r="S2015" s="1633"/>
      <c r="T2015" s="1701" t="str">
        <f t="shared" ref="T2015:Z2015" si="933">IF(H2015="","",SUM(H2015)*EUconst_HeatBMvalue)</f>
        <v/>
      </c>
      <c r="U2015" s="1701" t="str">
        <f t="shared" si="933"/>
        <v/>
      </c>
      <c r="V2015" s="1701" t="str">
        <f t="shared" si="933"/>
        <v/>
      </c>
      <c r="W2015" s="1701" t="str">
        <f t="shared" si="933"/>
        <v/>
      </c>
      <c r="X2015" s="1701" t="str">
        <f t="shared" si="933"/>
        <v/>
      </c>
      <c r="Y2015" s="1701" t="str">
        <f t="shared" si="933"/>
        <v/>
      </c>
      <c r="Z2015" s="1701" t="str">
        <f t="shared" si="933"/>
        <v/>
      </c>
      <c r="AB2015" s="1641" t="s">
        <v>717</v>
      </c>
      <c r="AC2015" s="1853" t="b">
        <f t="shared" ref="AC2015:AI2015" si="934">IF(CNTR_ExistSubInstEntries,OR($I1945="",H1952&gt;=CNTR_ReportingYear,AC2014&lt;$V1945-1),FALSE)</f>
        <v>0</v>
      </c>
      <c r="AD2015" s="1642" t="b">
        <f t="shared" si="934"/>
        <v>0</v>
      </c>
      <c r="AE2015" s="1642" t="b">
        <f t="shared" si="934"/>
        <v>0</v>
      </c>
      <c r="AF2015" s="1642" t="b">
        <f t="shared" si="934"/>
        <v>0</v>
      </c>
      <c r="AG2015" s="1642" t="b">
        <f t="shared" si="934"/>
        <v>0</v>
      </c>
      <c r="AH2015" s="1642" t="b">
        <f t="shared" si="934"/>
        <v>0</v>
      </c>
      <c r="AI2015" s="1643" t="b">
        <f t="shared" si="934"/>
        <v>0</v>
      </c>
      <c r="AJ2015" s="1633" t="s">
        <v>1954</v>
      </c>
      <c r="AK2015" s="1635" t="str">
        <f>IF(AND(CNTR_ExistSubInstEntries,COUNTIFS(AC2015:AI2015,FALSE,H2015:N2015,"")&gt;0),EUconst_Error&amp;"BM"&amp;$Q1945,"")</f>
        <v/>
      </c>
    </row>
    <row r="2016" spans="1:38">
      <c r="B2016" s="1124"/>
      <c r="C2016" s="485"/>
      <c r="D2016" s="561" t="s">
        <v>7</v>
      </c>
      <c r="E2016" s="2606" t="s">
        <v>107</v>
      </c>
      <c r="F2016" s="2606"/>
      <c r="G2016" s="950" t="s">
        <v>1022</v>
      </c>
      <c r="H2016" s="36" t="str">
        <f>IF(AND(ISNUMBER(H2015),ISNUMBER(E_EnergyFlows!H$114)), H2015/E_EnergyFlows!H$114*100,"")</f>
        <v/>
      </c>
      <c r="I2016" s="39" t="str">
        <f>IF(AND(ISNUMBER(I2015),ISNUMBER(E_EnergyFlows!I$114)), I2015/E_EnergyFlows!I$114*100,"")</f>
        <v/>
      </c>
      <c r="J2016" s="34" t="str">
        <f>IF(AND(ISNUMBER(J2015),ISNUMBER(E_EnergyFlows!J$114)), J2015/E_EnergyFlows!J$114*100,"")</f>
        <v/>
      </c>
      <c r="K2016" s="21" t="str">
        <f>IF(AND(ISNUMBER(K2015),ISNUMBER(E_EnergyFlows!K$114)), K2015/E_EnergyFlows!K$114*100,"")</f>
        <v/>
      </c>
      <c r="L2016" s="21" t="str">
        <f>IF(AND(ISNUMBER(L2015),ISNUMBER(E_EnergyFlows!L$114)), L2015/E_EnergyFlows!L$114*100,"")</f>
        <v/>
      </c>
      <c r="M2016" s="21" t="str">
        <f>IF(AND(ISNUMBER(M2015),ISNUMBER(E_EnergyFlows!M$114)), M2015/E_EnergyFlows!M$114*100,"")</f>
        <v/>
      </c>
      <c r="N2016" s="21" t="str">
        <f>IF(AND(ISNUMBER(N2015),ISNUMBER(E_EnergyFlows!N$114)), N2015/E_EnergyFlows!N$114*100,"")</f>
        <v/>
      </c>
      <c r="O2016" s="485"/>
      <c r="P2016" s="485"/>
      <c r="Q2016" s="1504" t="str">
        <f>EUconst_CNTR_HEAT &amp; I1945</f>
        <v>HEAT_</v>
      </c>
      <c r="R2016" s="1435"/>
      <c r="U2016" s="1435"/>
      <c r="V2016" s="1435"/>
    </row>
    <row r="2017" spans="1:38" ht="12.6" customHeight="1">
      <c r="B2017" s="1124"/>
      <c r="C2017" s="485"/>
      <c r="D2017" s="561" t="s">
        <v>8</v>
      </c>
      <c r="E2017" s="2586" t="s">
        <v>1548</v>
      </c>
      <c r="F2017" s="2586"/>
      <c r="G2017" s="951" t="s">
        <v>1022</v>
      </c>
      <c r="H2017" s="37" t="str">
        <f>IFERROR(IF(AND(H2158&gt;0,ISNUMBER(H2015)), H2015/H2158*100,""),"")</f>
        <v/>
      </c>
      <c r="I2017" s="40" t="str">
        <f t="shared" ref="I2017:N2017" si="935">IF(AND(I2158&gt;0,ISNUMBER(I2015)), I2015/I2158*100,"")</f>
        <v/>
      </c>
      <c r="J2017" s="34" t="str">
        <f t="shared" si="935"/>
        <v/>
      </c>
      <c r="K2017" s="21" t="str">
        <f t="shared" si="935"/>
        <v/>
      </c>
      <c r="L2017" s="21" t="str">
        <f t="shared" si="935"/>
        <v/>
      </c>
      <c r="M2017" s="21" t="str">
        <f t="shared" si="935"/>
        <v/>
      </c>
      <c r="N2017" s="21" t="str">
        <f t="shared" si="935"/>
        <v/>
      </c>
      <c r="O2017" s="485"/>
      <c r="P2017" s="485"/>
      <c r="U2017" s="1435"/>
      <c r="V2017" s="1435"/>
    </row>
    <row r="2018" spans="1:38" ht="5.0999999999999996" customHeight="1">
      <c r="B2018" s="1124"/>
      <c r="C2018" s="485"/>
      <c r="D2018" s="485"/>
      <c r="E2018" s="485"/>
      <c r="F2018" s="485"/>
      <c r="G2018" s="485"/>
      <c r="H2018" s="485"/>
      <c r="I2018" s="952"/>
      <c r="J2018" s="485"/>
      <c r="K2018" s="485"/>
      <c r="L2018" s="485"/>
      <c r="M2018" s="485"/>
      <c r="N2018" s="485"/>
      <c r="O2018" s="485"/>
      <c r="P2018" s="485"/>
      <c r="Q2018" s="1702"/>
      <c r="U2018" s="1435"/>
      <c r="V2018" s="1435"/>
    </row>
    <row r="2019" spans="1:38" ht="25.5" customHeight="1" thickBot="1">
      <c r="B2019" s="479"/>
      <c r="C2019" s="479"/>
      <c r="D2019" s="485"/>
      <c r="E2019" s="2385" t="s">
        <v>2737</v>
      </c>
      <c r="F2019" s="2846"/>
      <c r="G2019" s="2846"/>
      <c r="H2019" s="2846"/>
      <c r="I2019" s="2846"/>
      <c r="J2019" s="2846"/>
      <c r="K2019" s="2846"/>
      <c r="L2019" s="2846"/>
      <c r="M2019" s="2846"/>
      <c r="N2019" s="2846"/>
      <c r="O2019" s="485"/>
      <c r="P2019" s="485"/>
      <c r="Q2019" s="1435"/>
      <c r="S2019" s="1435"/>
      <c r="T2019" s="1435"/>
      <c r="U2019" s="1435"/>
    </row>
    <row r="2020" spans="1:38" ht="5.0999999999999996" customHeight="1" thickBot="1">
      <c r="B2020" s="479"/>
      <c r="C2020" s="479"/>
      <c r="D2020" s="902"/>
      <c r="E2020" s="904"/>
      <c r="F2020" s="953"/>
      <c r="G2020" s="953"/>
      <c r="H2020" s="953"/>
      <c r="I2020" s="953"/>
      <c r="J2020" s="954"/>
      <c r="K2020" s="1798"/>
      <c r="L2020" s="1798"/>
      <c r="M2020" s="1798"/>
      <c r="N2020" s="1798"/>
      <c r="O2020" s="485"/>
      <c r="P2020" s="485"/>
      <c r="Q2020" s="1435"/>
      <c r="S2020" s="1435"/>
      <c r="T2020" s="1435"/>
      <c r="U2020" s="1435"/>
    </row>
    <row r="2021" spans="1:38" ht="12.75" customHeight="1">
      <c r="B2021" s="479"/>
      <c r="C2021" s="479"/>
      <c r="D2021" s="907" t="s">
        <v>1916</v>
      </c>
      <c r="E2021" s="908" t="s">
        <v>1774</v>
      </c>
      <c r="F2021" s="909"/>
      <c r="G2021" s="909"/>
      <c r="H2021" s="910" t="str">
        <f>EUconst_Unit</f>
        <v>Unit</v>
      </c>
      <c r="I2021" s="911" t="s">
        <v>2220</v>
      </c>
      <c r="J2021" s="1647">
        <f>J$3242</f>
        <v>2026</v>
      </c>
      <c r="K2021" s="1490">
        <f>K$3242</f>
        <v>2027</v>
      </c>
      <c r="L2021" s="1490">
        <f>L$3242</f>
        <v>2028</v>
      </c>
      <c r="M2021" s="1490">
        <f>M$3242</f>
        <v>2029</v>
      </c>
      <c r="N2021" s="1490">
        <f>N$3242</f>
        <v>2030</v>
      </c>
      <c r="O2021" s="485"/>
      <c r="P2021" s="485"/>
      <c r="Q2021" s="1435"/>
      <c r="U2021" s="1648"/>
      <c r="V2021" s="1649">
        <f>J2021</f>
        <v>2026</v>
      </c>
      <c r="W2021" s="1649">
        <f>K2021</f>
        <v>2027</v>
      </c>
      <c r="X2021" s="1649">
        <f>L2021</f>
        <v>2028</v>
      </c>
      <c r="Y2021" s="1649">
        <f>M2021</f>
        <v>2029</v>
      </c>
      <c r="Z2021" s="1650">
        <f>N2021</f>
        <v>2030</v>
      </c>
    </row>
    <row r="2022" spans="1:38" ht="12.75" customHeight="1">
      <c r="B2022" s="479"/>
      <c r="C2022" s="479"/>
      <c r="D2022" s="915" t="s">
        <v>6</v>
      </c>
      <c r="E2022" s="916" t="s">
        <v>1691</v>
      </c>
      <c r="F2022" s="916"/>
      <c r="G2022" s="916"/>
      <c r="H2022" s="944" t="str">
        <f>EUconst_tCO2</f>
        <v>t CO2</v>
      </c>
      <c r="I2022" s="917" t="str">
        <f>INDEX('B+C_SubInstallations'!$J:$J,MATCH(Q2022,'B+C_SubInstallations'!$U:$U,0))</f>
        <v/>
      </c>
      <c r="J2022" s="1703" t="str">
        <f>IF(AND(V2022&gt;=3,CNTR_ReportingYear&gt;J2021-1),AVERAGE(SUM(T2015),SUM(U2015)),"")</f>
        <v/>
      </c>
      <c r="K2022" s="1799" t="str">
        <f>IF(AND(W2022&gt;=3,CNTR_ReportingYear&gt;K2021-1),AVERAGE(SUM(U2015),SUM(V2015)),"")</f>
        <v/>
      </c>
      <c r="L2022" s="1799" t="str">
        <f>IF(AND(X2022&gt;=3,CNTR_ReportingYear&gt;L2021-1),AVERAGE(SUM(V2015),SUM(W2015)),"")</f>
        <v/>
      </c>
      <c r="M2022" s="1799" t="str">
        <f>IF(AND(Y2022&gt;=3,CNTR_ReportingYear&gt;M2021-1),AVERAGE(SUM(W2015),SUM(X2015)),"")</f>
        <v/>
      </c>
      <c r="N2022" s="1799" t="str">
        <f>IF(AND(Z2022&gt;=3,CNTR_ReportingYear&gt;N2021-1),AVERAGE(SUM(X2015),SUM(Y2015)),"")</f>
        <v/>
      </c>
      <c r="O2022" s="485"/>
      <c r="P2022" s="485"/>
      <c r="Q2022" s="1704" t="str">
        <f>EUconst_CNTR_HEATInitial &amp; I1945</f>
        <v>HEATIni_</v>
      </c>
      <c r="U2022" s="1663" t="s">
        <v>1650</v>
      </c>
      <c r="V2022" s="1635">
        <f>V1967</f>
        <v>0</v>
      </c>
      <c r="W2022" s="1635">
        <f>W1967</f>
        <v>0</v>
      </c>
      <c r="X2022" s="1635">
        <f>X1967</f>
        <v>0</v>
      </c>
      <c r="Y2022" s="1635">
        <f>Y1967</f>
        <v>0</v>
      </c>
      <c r="Z2022" s="1654">
        <f>Z1967</f>
        <v>0</v>
      </c>
    </row>
    <row r="2023" spans="1:38" ht="12.75" hidden="1" customHeight="1">
      <c r="A2023" s="618" t="s">
        <v>2289</v>
      </c>
      <c r="B2023" s="479"/>
      <c r="C2023" s="479"/>
      <c r="D2023" s="915"/>
      <c r="E2023" s="916" t="s">
        <v>1776</v>
      </c>
      <c r="F2023" s="916"/>
      <c r="G2023" s="916"/>
      <c r="H2023" s="921"/>
      <c r="I2023" s="1657"/>
      <c r="J2023" s="17" t="str">
        <f>IF(J2022="","",IF($I2025=0,IF(J2022=0,0%,100%),J2022/$I2025-1))</f>
        <v/>
      </c>
      <c r="K2023" s="22" t="str">
        <f>IF(K2022="","",IF($I2025=0,IF(K2022=0,0%,100%),K2022/$I2025-1))</f>
        <v/>
      </c>
      <c r="L2023" s="22" t="str">
        <f>IF(L2022="","",IF($I2025=0,IF(L2022=0,0%,100%),L2022/$I2025-1))</f>
        <v/>
      </c>
      <c r="M2023" s="22" t="str">
        <f>IF(M2022="","",IF($I2025=0,IF(M2022=0,0%,100%),M2022/$I2025-1))</f>
        <v/>
      </c>
      <c r="N2023" s="22" t="str">
        <f>IF(N2022="","",IF($I2025=0,IF(N2022=0,0%,100%),N2022/$I2025-1))</f>
        <v/>
      </c>
      <c r="O2023" s="485"/>
      <c r="P2023" s="485"/>
      <c r="Q2023" s="1644" t="str">
        <f>EUconst_CNTR_RelThreshold &amp; Q2025</f>
        <v>RelThresh_HEATprelim_</v>
      </c>
      <c r="U2023" s="1663" t="s">
        <v>1655</v>
      </c>
      <c r="V2023" s="1158" t="str">
        <f>IF(J2022="","",ABS(J2023)&gt;15%)</f>
        <v/>
      </c>
      <c r="W2023" s="1158" t="str">
        <f>IF(K2022="","",ABS(K2023)&gt;15%)</f>
        <v/>
      </c>
      <c r="X2023" s="1158" t="str">
        <f>IF(L2022="","",ABS(L2023)&gt;15%)</f>
        <v/>
      </c>
      <c r="Y2023" s="1158" t="str">
        <f>IF(M2022="","",ABS(M2023)&gt;15%)</f>
        <v/>
      </c>
      <c r="Z2023" s="1656" t="str">
        <f>IF(N2022="","",ABS(N2023)&gt;15%)</f>
        <v/>
      </c>
    </row>
    <row r="2024" spans="1:38" ht="12.75" customHeight="1">
      <c r="A2024" s="618"/>
      <c r="B2024" s="479"/>
      <c r="C2024" s="479"/>
      <c r="D2024" s="915" t="s">
        <v>7</v>
      </c>
      <c r="E2024" s="916" t="s">
        <v>1654</v>
      </c>
      <c r="F2024" s="916"/>
      <c r="G2024" s="916"/>
      <c r="H2024" s="921"/>
      <c r="I2024" s="1657"/>
      <c r="J2024" s="1658" t="str">
        <f>IF(J2022="","",IF(V2023=FALSE,0%,J2023))</f>
        <v/>
      </c>
      <c r="K2024" s="1795" t="str">
        <f>IF(K2022="","",IF(W2023=FALSE,0%,K2023))</f>
        <v/>
      </c>
      <c r="L2024" s="1795" t="str">
        <f>IF(L2022="","",IF(X2023=FALSE,0%,L2023))</f>
        <v/>
      </c>
      <c r="M2024" s="1795" t="str">
        <f>IF(M2022="","",IF(Y2023=FALSE,0%,M2023))</f>
        <v/>
      </c>
      <c r="N2024" s="1795" t="str">
        <f>IF(N2022="","",IF(Z2023=FALSE,0%,N2023))</f>
        <v/>
      </c>
      <c r="O2024" s="485"/>
      <c r="P2024" s="485"/>
      <c r="Q2024" s="1435"/>
      <c r="U2024" s="1665"/>
      <c r="Z2024" s="1664"/>
      <c r="AL2024" s="1435"/>
    </row>
    <row r="2025" spans="1:38" ht="12.75" hidden="1" customHeight="1">
      <c r="A2025" s="618" t="s">
        <v>2289</v>
      </c>
      <c r="B2025" s="479"/>
      <c r="C2025" s="479"/>
      <c r="D2025" s="915"/>
      <c r="E2025" s="916" t="s">
        <v>1689</v>
      </c>
      <c r="F2025" s="916"/>
      <c r="G2025" s="916"/>
      <c r="H2025" s="944" t="str">
        <f>H2022</f>
        <v>t CO2</v>
      </c>
      <c r="I2025" s="917" t="str">
        <f>IF($I1945="","",IF(AB1945=FALSE,EUconst_NA,IF(V1945&gt;($J$3242-3),SUM(INDEX(H2015:N2015,MATCH(V1945,H2014:N2014,0))*EUconst_HeatBMvalue),SUM(I2022))))</f>
        <v/>
      </c>
      <c r="J2025" s="1651" t="str">
        <f>IF($I1945="","",IF(V2022&lt;2,SUM(V2015),IF(V2022&lt;3,SUM(U2015),IF(V2025="",I2025,V2025))))</f>
        <v/>
      </c>
      <c r="K2025" s="1799" t="str">
        <f>IF($I1945="","",IF(W2022&lt;2,SUM(W2015),IF(W2022&lt;3,SUM(V2015),IF(W2025="",J2025,W2025))))</f>
        <v/>
      </c>
      <c r="L2025" s="1799" t="str">
        <f>IF($I1945="","",IF(X2022&lt;2,SUM(X2015),IF(X2022&lt;3,SUM(W2015),IF(X2025="",K2025,X2025))))</f>
        <v/>
      </c>
      <c r="M2025" s="1799" t="str">
        <f>IF($I1945="","",IF(Y2022&lt;2,SUM(Y2015),IF(Y2022&lt;3,SUM(X2015),IF(Y2025="",L2025,Y2025))))</f>
        <v/>
      </c>
      <c r="N2025" s="1799" t="str">
        <f>IF($I1945="","",IF(Z2022&lt;2,SUM(Z2015),IF(Z2022&lt;3,SUM(Y2015),IF(Z2025="",M2025,Z2025))))</f>
        <v/>
      </c>
      <c r="O2025" s="485"/>
      <c r="P2025" s="485"/>
      <c r="Q2025" s="1644" t="str">
        <f>EUconst_CNTR_HEATprelim &amp; I1945</f>
        <v>HEATprelim_</v>
      </c>
      <c r="U2025" s="1663" t="s">
        <v>1697</v>
      </c>
      <c r="V2025" s="1705" t="str">
        <f>IF(J2022="","",IF(CNTR_ReportingYear&lt;J2021,I2024,IF($I2025=0,J2022,$I2025*(1+J2024))))</f>
        <v/>
      </c>
      <c r="W2025" s="1705" t="str">
        <f>IF(K2022="","",IF(CNTR_ReportingYear&lt;K2021,J2024,IF($I2025=0,K2022,$I2025*(1+K2024))))</f>
        <v/>
      </c>
      <c r="X2025" s="1705" t="str">
        <f>IF(L2022="","",IF(CNTR_ReportingYear&lt;L2021,K2024,IF($I2025=0,L2022,$I2025*(1+L2024))))</f>
        <v/>
      </c>
      <c r="Y2025" s="1705" t="str">
        <f>IF(M2022="","",IF(CNTR_ReportingYear&lt;M2021,L2024,IF($I2025=0,M2022,$I2025*(1+M2024))))</f>
        <v/>
      </c>
      <c r="Z2025" s="1706" t="str">
        <f>IF(N2022="","",IF(CNTR_ReportingYear&lt;N2021,M2024,IF($I2025=0,N2022,$I2025*(1+N2024))))</f>
        <v/>
      </c>
      <c r="AL2025" s="1435"/>
    </row>
    <row r="2026" spans="1:38" ht="5.0999999999999996" customHeight="1">
      <c r="A2026" s="618"/>
      <c r="B2026" s="479"/>
      <c r="C2026" s="479"/>
      <c r="D2026" s="915"/>
      <c r="E2026" s="909"/>
      <c r="F2026" s="909"/>
      <c r="G2026" s="909"/>
      <c r="H2026" s="909"/>
      <c r="I2026" s="909"/>
      <c r="J2026" s="922"/>
      <c r="K2026" s="1791"/>
      <c r="L2026" s="1791"/>
      <c r="M2026" s="1791"/>
      <c r="N2026" s="1791"/>
      <c r="O2026" s="485"/>
      <c r="P2026" s="485"/>
      <c r="Q2026" s="1435"/>
      <c r="U2026" s="1663"/>
      <c r="V2026" s="1435"/>
      <c r="Z2026" s="1664"/>
      <c r="AL2026" s="1435"/>
    </row>
    <row r="2027" spans="1:38" ht="12.75" customHeight="1">
      <c r="A2027" s="618"/>
      <c r="B2027" s="479"/>
      <c r="C2027" s="479"/>
      <c r="D2027" s="915"/>
      <c r="E2027" s="923" t="s">
        <v>1653</v>
      </c>
      <c r="F2027" s="923"/>
      <c r="G2027" s="923"/>
      <c r="H2027" s="923"/>
      <c r="I2027" s="923"/>
      <c r="J2027" s="1647">
        <f>J$3242</f>
        <v>2026</v>
      </c>
      <c r="K2027" s="1490">
        <f>K$3242</f>
        <v>2027</v>
      </c>
      <c r="L2027" s="1490">
        <f>L$3242</f>
        <v>2028</v>
      </c>
      <c r="M2027" s="1490">
        <f>M$3242</f>
        <v>2029</v>
      </c>
      <c r="N2027" s="1490">
        <f>N$3242</f>
        <v>2030</v>
      </c>
      <c r="O2027" s="485"/>
      <c r="P2027" s="485"/>
      <c r="Q2027" s="1435"/>
      <c r="U2027" s="1665"/>
      <c r="Z2027" s="1664"/>
      <c r="AL2027" s="1435"/>
    </row>
    <row r="2028" spans="1:38" ht="12.75" customHeight="1">
      <c r="A2028" s="618"/>
      <c r="B2028" s="479"/>
      <c r="C2028" s="479"/>
      <c r="D2028" s="915" t="s">
        <v>8</v>
      </c>
      <c r="E2028" s="916" t="s">
        <v>2108</v>
      </c>
      <c r="F2028" s="916"/>
      <c r="G2028" s="916"/>
      <c r="H2028" s="916"/>
      <c r="I2028" s="916"/>
      <c r="J2028" s="1666" t="str">
        <f>IF($I1945="","",INDEX(K_Summary!J:J,MATCH($Q2028,K_Summary!$P:$P,0)))</f>
        <v/>
      </c>
      <c r="K2028" s="1791" t="str">
        <f>IF($I1945="","",INDEX(K_Summary!K:K,MATCH($Q2028,K_Summary!$P:$P,0)))</f>
        <v/>
      </c>
      <c r="L2028" s="1791" t="str">
        <f>IF($I1945="","",INDEX(K_Summary!L:L,MATCH($Q2028,K_Summary!$P:$P,0)))</f>
        <v/>
      </c>
      <c r="M2028" s="1791" t="str">
        <f>IF($I1945="","",INDEX(K_Summary!M:M,MATCH($Q2028,K_Summary!$P:$P,0)))</f>
        <v/>
      </c>
      <c r="N2028" s="1791" t="str">
        <f>IF($I1945="","",INDEX(K_Summary!N:N,MATCH($Q2028,K_Summary!$P:$P,0)))</f>
        <v/>
      </c>
      <c r="O2028" s="485"/>
      <c r="P2028" s="485"/>
      <c r="Q2028" s="1644" t="str">
        <f>EUconst_CNTR_100EUA_HEAT&amp;I1945</f>
        <v>EUA100HEAT_</v>
      </c>
      <c r="U2028" s="1665"/>
      <c r="Z2028" s="1664"/>
      <c r="AL2028" s="1435"/>
    </row>
    <row r="2029" spans="1:38" ht="5.0999999999999996" customHeight="1" thickBot="1">
      <c r="A2029" s="618"/>
      <c r="B2029" s="479"/>
      <c r="C2029" s="479"/>
      <c r="D2029" s="915"/>
      <c r="E2029" s="909"/>
      <c r="F2029" s="909"/>
      <c r="G2029" s="909"/>
      <c r="H2029" s="909"/>
      <c r="I2029" s="909"/>
      <c r="J2029" s="922"/>
      <c r="K2029" s="1791"/>
      <c r="L2029" s="1791"/>
      <c r="M2029" s="1791"/>
      <c r="N2029" s="1791"/>
      <c r="O2029" s="485"/>
      <c r="P2029" s="485"/>
      <c r="Q2029" s="1435"/>
      <c r="U2029" s="1663"/>
      <c r="V2029" s="1435"/>
      <c r="Z2029" s="1664"/>
      <c r="AL2029" s="1435"/>
    </row>
    <row r="2030" spans="1:38" ht="12.75" customHeight="1" thickBot="1">
      <c r="B2030" s="479"/>
      <c r="C2030" s="479"/>
      <c r="D2030" s="915" t="s">
        <v>18</v>
      </c>
      <c r="E2030" s="916" t="s">
        <v>1657</v>
      </c>
      <c r="F2030" s="916"/>
      <c r="G2030" s="916"/>
      <c r="H2030" s="921"/>
      <c r="I2030" s="1667"/>
      <c r="J2030" s="1668" t="str">
        <f>IF(J2028="","",IF(OR(J2028,V2022&lt;1),J2024,I2030))</f>
        <v/>
      </c>
      <c r="K2030" s="1796" t="str">
        <f>IF(K2028="","",IF(OR(K2028,W2022&lt;1),K2024,J2030))</f>
        <v/>
      </c>
      <c r="L2030" s="1796" t="str">
        <f>IF(L2028="","",IF(OR(L2028,X2022&lt;1),L2024,K2030))</f>
        <v/>
      </c>
      <c r="M2030" s="1796" t="str">
        <f>IF(M2028="","",IF(OR(M2028,Y2022&lt;1),M2024,L2030))</f>
        <v/>
      </c>
      <c r="N2030" s="1796" t="str">
        <f>IF(N2028="","",IF(OR(N2028,Z2022&lt;1),N2024,M2030))</f>
        <v/>
      </c>
      <c r="O2030" s="485"/>
      <c r="P2030" s="485"/>
      <c r="Q2030" s="1435"/>
      <c r="U2030" s="1663" t="s">
        <v>1658</v>
      </c>
      <c r="V2030" s="1670">
        <f>J2027</f>
        <v>2026</v>
      </c>
      <c r="W2030" s="1670">
        <f>K2027</f>
        <v>2027</v>
      </c>
      <c r="X2030" s="1670">
        <f>L2027</f>
        <v>2028</v>
      </c>
      <c r="Y2030" s="1670">
        <f>M2027</f>
        <v>2029</v>
      </c>
      <c r="Z2030" s="1671">
        <f>N2027</f>
        <v>2030</v>
      </c>
      <c r="AL2030" s="1435"/>
    </row>
    <row r="2031" spans="1:38" ht="12.75" customHeight="1" thickBot="1">
      <c r="A2031" s="618"/>
      <c r="B2031" s="479"/>
      <c r="C2031" s="479"/>
      <c r="D2031" s="915" t="s">
        <v>787</v>
      </c>
      <c r="E2031" s="916" t="s">
        <v>1659</v>
      </c>
      <c r="F2031" s="916"/>
      <c r="G2031" s="916"/>
      <c r="H2031" s="944" t="str">
        <f>H2022</f>
        <v>t CO2</v>
      </c>
      <c r="I2031" s="917" t="str">
        <f>I2025</f>
        <v/>
      </c>
      <c r="J2031" s="1672" t="str">
        <f>IF($I1945="","",IF(OR($I2031=0,$I2031=EUconst_NA,J2030=""),IF(OR(J2028=TRUE,J2027&lt;=$V1945),J2025,SUM(I2031)),$I2031*(1+SUM(J2030))))</f>
        <v/>
      </c>
      <c r="K2031" s="1800" t="str">
        <f>IF($I1945="","",IF(OR($I2031=0,$I2031=EUconst_NA,K2030=""),IF(OR(K2028=TRUE,K2027&lt;=$V1945),K2025,SUM(J2031)),$I2031*(1+SUM(K2030))))</f>
        <v/>
      </c>
      <c r="L2031" s="1800" t="str">
        <f>IF($I1945="","",IF(OR($I2031=0,$I2031=EUconst_NA,L2030=""),IF(OR(L2028=TRUE,L2027&lt;=$V1945),L2025,SUM(K2031)),$I2031*(1+SUM(L2030))))</f>
        <v/>
      </c>
      <c r="M2031" s="1800" t="str">
        <f>IF($I1945="","",IF(OR($I2031=0,$I2031=EUconst_NA,M2030=""),IF(OR(M2028=TRUE,M2027&lt;=$V1945),M2025,SUM(L2031)),$I2031*(1+SUM(M2030))))</f>
        <v/>
      </c>
      <c r="N2031" s="1800" t="str">
        <f>IF($I1945="","",IF(OR($I2031=0,$I2031=EUconst_NA,N2030=""),IF(OR(N2028=TRUE,N2027&lt;=$V1945),N2025,SUM(M2031)),$I2031*(1+SUM(N2030))))</f>
        <v/>
      </c>
      <c r="O2031" s="485"/>
      <c r="P2031" s="485"/>
      <c r="Q2031" s="1644" t="str">
        <f>EUconst_CNTR_HEATfinal &amp; I1945</f>
        <v>HEATfinal_</v>
      </c>
      <c r="U2031" s="1674" t="b">
        <v>0</v>
      </c>
      <c r="V2031" s="1675" t="str">
        <f>IF(V1953,IF(J2028=TRUE,V2023,U2031),"")</f>
        <v/>
      </c>
      <c r="W2031" s="1675" t="str">
        <f>IF(W1953,IF(K2028=TRUE,W2023,V2031),"")</f>
        <v/>
      </c>
      <c r="X2031" s="1675" t="str">
        <f>IF(X1953,IF(L2028=TRUE,X2023,W2031),"")</f>
        <v/>
      </c>
      <c r="Y2031" s="1675" t="str">
        <f>IF(Y1953,IF(M2028=TRUE,Y2023,X2031),"")</f>
        <v/>
      </c>
      <c r="Z2031" s="1676" t="str">
        <f>IF(Z1953,IF(N2028=TRUE,Z2023,Y2031),"")</f>
        <v/>
      </c>
      <c r="AJ2031" s="1633" t="s">
        <v>1951</v>
      </c>
      <c r="AK2031" s="1443" t="str">
        <f>IF(OR(ISERROR(J2031),ISERROR(K2031),ISERROR(L2031),ISERROR(M2031),ISERROR(N2031)),EUconst_Error &amp; "BM" &amp; Q1945,"")</f>
        <v/>
      </c>
    </row>
    <row r="2032" spans="1:38" ht="5.0999999999999996" customHeight="1" thickBot="1">
      <c r="B2032" s="1124"/>
      <c r="C2032" s="485"/>
      <c r="D2032" s="924"/>
      <c r="E2032" s="925"/>
      <c r="F2032" s="925"/>
      <c r="G2032" s="925"/>
      <c r="H2032" s="925"/>
      <c r="I2032" s="955"/>
      <c r="J2032" s="926"/>
      <c r="K2032" s="1791"/>
      <c r="L2032" s="1791"/>
      <c r="M2032" s="1791"/>
      <c r="N2032" s="1791"/>
      <c r="O2032" s="485"/>
      <c r="P2032" s="485"/>
      <c r="Q2032" s="1702"/>
      <c r="S2032" s="1435"/>
      <c r="T2032" s="1435"/>
    </row>
    <row r="2033" spans="2:35" ht="5.0999999999999996" customHeight="1">
      <c r="B2033" s="1124"/>
      <c r="C2033" s="485"/>
      <c r="D2033" s="485"/>
      <c r="E2033" s="485"/>
      <c r="F2033" s="485"/>
      <c r="G2033" s="485"/>
      <c r="H2033" s="485"/>
      <c r="I2033" s="952"/>
      <c r="J2033" s="485"/>
      <c r="K2033" s="485"/>
      <c r="L2033" s="485"/>
      <c r="M2033" s="485"/>
      <c r="N2033" s="485"/>
      <c r="O2033" s="485"/>
      <c r="P2033" s="485"/>
      <c r="Q2033" s="1702"/>
      <c r="S2033" s="1435"/>
      <c r="T2033" s="1435"/>
    </row>
    <row r="2034" spans="2:35" ht="15" customHeight="1">
      <c r="B2034" s="1124"/>
      <c r="C2034" s="856"/>
      <c r="D2034" s="2482" t="s">
        <v>103</v>
      </c>
      <c r="E2034" s="2400"/>
      <c r="F2034" s="2400"/>
      <c r="G2034" s="2400"/>
      <c r="H2034" s="2400"/>
      <c r="I2034" s="2400"/>
      <c r="J2034" s="2400"/>
      <c r="K2034" s="2400"/>
      <c r="L2034" s="2400"/>
      <c r="M2034" s="2400"/>
      <c r="N2034" s="2400"/>
      <c r="O2034" s="485"/>
      <c r="P2034" s="485"/>
      <c r="S2034" s="1435"/>
      <c r="T2034" s="1435"/>
    </row>
    <row r="2035" spans="2:35" ht="5.0999999999999996" customHeight="1">
      <c r="B2035" s="479"/>
      <c r="C2035" s="479"/>
      <c r="D2035" s="479"/>
      <c r="E2035" s="479"/>
      <c r="F2035" s="479"/>
      <c r="G2035" s="479"/>
      <c r="H2035" s="479"/>
      <c r="I2035" s="479"/>
      <c r="J2035" s="479"/>
      <c r="K2035" s="479"/>
      <c r="L2035" s="479"/>
      <c r="M2035" s="479"/>
      <c r="N2035" s="479"/>
      <c r="O2035" s="485"/>
      <c r="P2035" s="485"/>
      <c r="Q2035" s="1435"/>
      <c r="R2035" s="1435"/>
      <c r="S2035" s="1435"/>
      <c r="T2035" s="1435"/>
    </row>
    <row r="2036" spans="2:35" ht="12.75" customHeight="1">
      <c r="B2036" s="479"/>
      <c r="C2036" s="482"/>
      <c r="D2036" s="482" t="s">
        <v>57</v>
      </c>
      <c r="E2036" s="2373" t="s">
        <v>108</v>
      </c>
      <c r="F2036" s="2400"/>
      <c r="G2036" s="2400"/>
      <c r="H2036" s="2400"/>
      <c r="I2036" s="2400"/>
      <c r="J2036" s="2400"/>
      <c r="K2036" s="2400"/>
      <c r="L2036" s="2400"/>
      <c r="M2036" s="2400"/>
      <c r="N2036" s="2400"/>
      <c r="O2036" s="485"/>
      <c r="P2036" s="485"/>
      <c r="Q2036" s="1435"/>
      <c r="S2036" s="1435"/>
      <c r="T2036" s="1435"/>
    </row>
    <row r="2037" spans="2:35" ht="25.5" customHeight="1">
      <c r="B2037" s="479"/>
      <c r="C2037" s="485"/>
      <c r="D2037" s="485"/>
      <c r="E2037" s="2465" t="s">
        <v>1935</v>
      </c>
      <c r="F2037" s="2400"/>
      <c r="G2037" s="2400"/>
      <c r="H2037" s="2400"/>
      <c r="I2037" s="2400"/>
      <c r="J2037" s="2400"/>
      <c r="K2037" s="2400"/>
      <c r="L2037" s="2400"/>
      <c r="M2037" s="2400"/>
      <c r="N2037" s="2400"/>
      <c r="O2037" s="485"/>
      <c r="P2037" s="485"/>
      <c r="Q2037" s="1435"/>
      <c r="S2037" s="1435"/>
      <c r="T2037" s="1435"/>
    </row>
    <row r="2038" spans="2:35" ht="25.5" customHeight="1">
      <c r="B2038" s="479"/>
      <c r="C2038" s="485"/>
      <c r="D2038" s="485"/>
      <c r="E2038" s="2385" t="s">
        <v>1636</v>
      </c>
      <c r="F2038" s="2846"/>
      <c r="G2038" s="2846"/>
      <c r="H2038" s="2846"/>
      <c r="I2038" s="2846"/>
      <c r="J2038" s="2846"/>
      <c r="K2038" s="2846"/>
      <c r="L2038" s="2846"/>
      <c r="M2038" s="2846"/>
      <c r="N2038" s="2846"/>
      <c r="O2038" s="485"/>
      <c r="P2038" s="485"/>
      <c r="Q2038" s="1435"/>
      <c r="S2038" s="1435"/>
      <c r="T2038" s="1435"/>
    </row>
    <row r="2039" spans="2:35" ht="12.75" customHeight="1">
      <c r="B2039" s="479"/>
      <c r="C2039" s="485"/>
      <c r="D2039" s="485"/>
      <c r="E2039" s="2385" t="s">
        <v>2119</v>
      </c>
      <c r="F2039" s="2846"/>
      <c r="G2039" s="2846"/>
      <c r="H2039" s="2846"/>
      <c r="I2039" s="2846"/>
      <c r="J2039" s="2846"/>
      <c r="K2039" s="2846"/>
      <c r="L2039" s="2846"/>
      <c r="M2039" s="2846"/>
      <c r="N2039" s="2846"/>
      <c r="O2039" s="485"/>
      <c r="P2039" s="485"/>
      <c r="Q2039" s="1435"/>
      <c r="S2039" s="1435"/>
      <c r="T2039" s="1435"/>
    </row>
    <row r="2040" spans="2:35">
      <c r="B2040" s="479"/>
      <c r="C2040" s="485"/>
      <c r="D2040" s="485"/>
      <c r="E2040" s="2677" t="s">
        <v>2120</v>
      </c>
      <c r="F2040" s="2364"/>
      <c r="G2040" s="2364"/>
      <c r="H2040" s="2364"/>
      <c r="I2040" s="2364"/>
      <c r="J2040" s="2364"/>
      <c r="K2040" s="2364"/>
      <c r="L2040" s="2364"/>
      <c r="M2040" s="2364"/>
      <c r="N2040" s="2364"/>
      <c r="O2040" s="485"/>
      <c r="P2040" s="485"/>
      <c r="Q2040" s="1435"/>
      <c r="S2040" s="1435"/>
      <c r="T2040" s="1435"/>
    </row>
    <row r="2041" spans="2:35" ht="5.0999999999999996" customHeight="1">
      <c r="B2041" s="479"/>
      <c r="C2041" s="479"/>
      <c r="D2041" s="479"/>
      <c r="E2041" s="479"/>
      <c r="F2041" s="479"/>
      <c r="G2041" s="479"/>
      <c r="H2041" s="479"/>
      <c r="I2041" s="479"/>
      <c r="J2041" s="479"/>
      <c r="K2041" s="479"/>
      <c r="L2041" s="479"/>
      <c r="M2041" s="479"/>
      <c r="N2041" s="479"/>
      <c r="O2041" s="485"/>
      <c r="P2041" s="485"/>
      <c r="Q2041" s="1435"/>
      <c r="R2041" s="1435"/>
      <c r="S2041" s="1435"/>
      <c r="T2041" s="1435"/>
    </row>
    <row r="2042" spans="2:35" ht="12.75" customHeight="1">
      <c r="B2042" s="479"/>
      <c r="C2042" s="482"/>
      <c r="D2042" s="482" t="s">
        <v>58</v>
      </c>
      <c r="E2042" s="2373" t="s">
        <v>1013</v>
      </c>
      <c r="F2042" s="2400"/>
      <c r="G2042" s="2400"/>
      <c r="H2042" s="2400"/>
      <c r="I2042" s="2400"/>
      <c r="J2042" s="2400"/>
      <c r="K2042" s="2400"/>
      <c r="L2042" s="2400"/>
      <c r="M2042" s="2400"/>
      <c r="N2042" s="2400"/>
      <c r="O2042" s="485"/>
      <c r="P2042" s="485"/>
      <c r="Q2042" s="1435"/>
      <c r="S2042" s="1435"/>
      <c r="T2042" s="1435"/>
    </row>
    <row r="2043" spans="2:35" ht="5.0999999999999996" customHeight="1">
      <c r="B2043" s="479"/>
      <c r="C2043" s="479"/>
      <c r="D2043" s="485"/>
      <c r="E2043" s="617"/>
      <c r="F2043" s="617"/>
      <c r="G2043" s="617"/>
      <c r="H2043" s="617"/>
      <c r="I2043" s="617"/>
      <c r="J2043" s="468"/>
      <c r="K2043" s="468"/>
      <c r="L2043" s="468"/>
      <c r="M2043" s="485"/>
      <c r="N2043" s="485"/>
      <c r="O2043" s="485"/>
      <c r="P2043" s="485"/>
      <c r="Q2043" s="1435"/>
      <c r="S2043" s="1435"/>
      <c r="T2043" s="1435"/>
    </row>
    <row r="2044" spans="2:35" ht="30.6" customHeight="1" thickBot="1">
      <c r="B2044" s="1124"/>
      <c r="C2044" s="485"/>
      <c r="D2044" s="956"/>
      <c r="E2044" s="1068" t="s">
        <v>2112</v>
      </c>
      <c r="F2044" s="958" t="s">
        <v>949</v>
      </c>
      <c r="G2044" s="959" t="str">
        <f>EUconst_Unit</f>
        <v>Unit</v>
      </c>
      <c r="H2044" s="578">
        <f>H$3242</f>
        <v>2024</v>
      </c>
      <c r="I2044" s="697">
        <f>I$3242</f>
        <v>2025</v>
      </c>
      <c r="J2044" s="1801"/>
      <c r="K2044" s="1802"/>
      <c r="L2044" s="1802"/>
      <c r="M2044" s="1802"/>
      <c r="N2044" s="1802"/>
      <c r="O2044" s="485"/>
      <c r="P2044" s="485"/>
      <c r="S2044" s="1709" t="s">
        <v>2057</v>
      </c>
      <c r="T2044" s="1435"/>
      <c r="Z2044" s="1710" t="s">
        <v>717</v>
      </c>
      <c r="AC2044" s="1638">
        <f t="shared" ref="AC2044:AI2044" si="936">H$20</f>
        <v>2024</v>
      </c>
      <c r="AD2044" s="1638">
        <f t="shared" si="936"/>
        <v>2025</v>
      </c>
      <c r="AE2044" s="1638">
        <f t="shared" si="936"/>
        <v>2026</v>
      </c>
      <c r="AF2044" s="1638">
        <f t="shared" si="936"/>
        <v>2027</v>
      </c>
      <c r="AG2044" s="1638">
        <f t="shared" si="936"/>
        <v>2028</v>
      </c>
      <c r="AH2044" s="1638">
        <f t="shared" si="936"/>
        <v>2029</v>
      </c>
      <c r="AI2044" s="1638">
        <f t="shared" si="936"/>
        <v>2030</v>
      </c>
    </row>
    <row r="2045" spans="2:35" ht="13.15" customHeight="1">
      <c r="B2045" s="1124"/>
      <c r="C2045" s="485"/>
      <c r="D2045" s="579">
        <v>1</v>
      </c>
      <c r="E2045" s="1711" t="str">
        <f>c_ALR2025!E4631</f>
        <v/>
      </c>
      <c r="F2045" s="1711" t="str">
        <f>c_ALR2025!F4631</f>
        <v/>
      </c>
      <c r="G2045" s="1712" t="str">
        <f>c_ALR2025!G4631</f>
        <v/>
      </c>
      <c r="H2045" s="1713" t="str">
        <f>c_ALR2025!M4631</f>
        <v/>
      </c>
      <c r="I2045" s="1858"/>
      <c r="J2045" s="1801"/>
      <c r="K2045" s="1802"/>
      <c r="L2045" s="1802"/>
      <c r="M2045" s="1802"/>
      <c r="N2045" s="1802"/>
      <c r="O2045" s="485"/>
      <c r="P2045" s="9"/>
      <c r="S2045" s="1715" t="b">
        <f>IF(E2045 = "", TRUE, FALSE)</f>
        <v>1</v>
      </c>
      <c r="T2045" s="1435"/>
      <c r="Z2045" s="1435"/>
      <c r="AC2045" s="1803"/>
      <c r="AD2045" s="1803"/>
      <c r="AE2045" s="1803"/>
      <c r="AF2045" s="1803"/>
      <c r="AG2045" s="1803"/>
      <c r="AH2045" s="1803"/>
    </row>
    <row r="2046" spans="2:35" ht="13.15" customHeight="1">
      <c r="B2046" s="1124"/>
      <c r="C2046" s="485"/>
      <c r="D2046" s="582">
        <f>D2045+1</f>
        <v>2</v>
      </c>
      <c r="E2046" s="1717" t="str">
        <f>c_ALR2025!E4632</f>
        <v/>
      </c>
      <c r="F2046" s="1717" t="str">
        <f>c_ALR2025!F4632</f>
        <v/>
      </c>
      <c r="G2046" s="1718" t="str">
        <f>c_ALR2025!G4632</f>
        <v/>
      </c>
      <c r="H2046" s="1719" t="str">
        <f>c_ALR2025!M4632</f>
        <v/>
      </c>
      <c r="I2046" s="1859"/>
      <c r="J2046" s="1801"/>
      <c r="K2046" s="1802"/>
      <c r="L2046" s="1802"/>
      <c r="M2046" s="1802"/>
      <c r="N2046" s="1802"/>
      <c r="O2046" s="485"/>
      <c r="P2046" s="9"/>
      <c r="S2046" s="1715" t="b">
        <f t="shared" ref="S2046:S2054" si="937">IF(E2046 = "", TRUE, FALSE)</f>
        <v>1</v>
      </c>
      <c r="T2046" s="1435"/>
      <c r="Z2046" s="1435"/>
      <c r="AC2046" s="1803"/>
      <c r="AD2046" s="1803"/>
      <c r="AE2046" s="1803"/>
      <c r="AF2046" s="1803"/>
      <c r="AG2046" s="1803"/>
      <c r="AH2046" s="1803"/>
    </row>
    <row r="2047" spans="2:35" ht="13.15" customHeight="1">
      <c r="B2047" s="1124"/>
      <c r="C2047" s="485"/>
      <c r="D2047" s="582">
        <f t="shared" ref="D2047:D2054" si="938">D2046+1</f>
        <v>3</v>
      </c>
      <c r="E2047" s="1717" t="str">
        <f>c_ALR2025!E4633</f>
        <v/>
      </c>
      <c r="F2047" s="1717" t="str">
        <f>c_ALR2025!F4633</f>
        <v/>
      </c>
      <c r="G2047" s="1718" t="str">
        <f>c_ALR2025!G4633</f>
        <v/>
      </c>
      <c r="H2047" s="1719" t="str">
        <f>c_ALR2025!M4633</f>
        <v/>
      </c>
      <c r="I2047" s="1859"/>
      <c r="J2047" s="1801"/>
      <c r="K2047" s="1802"/>
      <c r="L2047" s="1802"/>
      <c r="M2047" s="1802"/>
      <c r="N2047" s="1802"/>
      <c r="O2047" s="485"/>
      <c r="P2047" s="9"/>
      <c r="S2047" s="1715" t="b">
        <f t="shared" si="937"/>
        <v>1</v>
      </c>
      <c r="T2047" s="1435"/>
      <c r="Z2047" s="1435"/>
      <c r="AC2047" s="1803"/>
      <c r="AD2047" s="1803"/>
      <c r="AE2047" s="1803"/>
      <c r="AF2047" s="1803"/>
      <c r="AG2047" s="1803"/>
      <c r="AH2047" s="1803"/>
    </row>
    <row r="2048" spans="2:35" ht="13.15" customHeight="1">
      <c r="B2048" s="1124"/>
      <c r="C2048" s="485"/>
      <c r="D2048" s="582">
        <f t="shared" si="938"/>
        <v>4</v>
      </c>
      <c r="E2048" s="1717" t="str">
        <f>c_ALR2025!E4634</f>
        <v/>
      </c>
      <c r="F2048" s="1717" t="str">
        <f>c_ALR2025!F4634</f>
        <v/>
      </c>
      <c r="G2048" s="1718" t="str">
        <f>c_ALR2025!G4634</f>
        <v/>
      </c>
      <c r="H2048" s="1719" t="str">
        <f>c_ALR2025!M4634</f>
        <v/>
      </c>
      <c r="I2048" s="1859"/>
      <c r="J2048" s="1801"/>
      <c r="K2048" s="1802"/>
      <c r="L2048" s="1802"/>
      <c r="M2048" s="1802"/>
      <c r="N2048" s="1802"/>
      <c r="O2048" s="485"/>
      <c r="P2048" s="9"/>
      <c r="S2048" s="1715" t="b">
        <f t="shared" si="937"/>
        <v>1</v>
      </c>
      <c r="T2048" s="1435"/>
      <c r="Z2048" s="1435"/>
      <c r="AC2048" s="1803"/>
      <c r="AD2048" s="1803"/>
      <c r="AE2048" s="1803"/>
      <c r="AF2048" s="1803"/>
      <c r="AG2048" s="1803"/>
      <c r="AH2048" s="1803"/>
    </row>
    <row r="2049" spans="2:34" ht="13.15" customHeight="1">
      <c r="B2049" s="1124"/>
      <c r="C2049" s="485"/>
      <c r="D2049" s="582">
        <f t="shared" si="938"/>
        <v>5</v>
      </c>
      <c r="E2049" s="1717" t="str">
        <f>c_ALR2025!E4635</f>
        <v/>
      </c>
      <c r="F2049" s="1717" t="str">
        <f>c_ALR2025!F4635</f>
        <v/>
      </c>
      <c r="G2049" s="1718" t="str">
        <f>c_ALR2025!G4635</f>
        <v/>
      </c>
      <c r="H2049" s="1719" t="str">
        <f>c_ALR2025!M4635</f>
        <v/>
      </c>
      <c r="I2049" s="1859"/>
      <c r="J2049" s="1801"/>
      <c r="K2049" s="1802"/>
      <c r="L2049" s="1802"/>
      <c r="M2049" s="1802"/>
      <c r="N2049" s="1802"/>
      <c r="O2049" s="485"/>
      <c r="P2049" s="9"/>
      <c r="S2049" s="1715" t="b">
        <f t="shared" si="937"/>
        <v>1</v>
      </c>
      <c r="T2049" s="1435"/>
      <c r="Z2049" s="1435"/>
      <c r="AC2049" s="1803"/>
      <c r="AD2049" s="1803"/>
      <c r="AE2049" s="1803"/>
      <c r="AF2049" s="1803"/>
      <c r="AG2049" s="1803"/>
      <c r="AH2049" s="1803"/>
    </row>
    <row r="2050" spans="2:34" ht="13.15" customHeight="1">
      <c r="B2050" s="1124"/>
      <c r="C2050" s="485"/>
      <c r="D2050" s="582">
        <f t="shared" si="938"/>
        <v>6</v>
      </c>
      <c r="E2050" s="1717" t="str">
        <f>c_ALR2025!E4636</f>
        <v/>
      </c>
      <c r="F2050" s="1717" t="str">
        <f>c_ALR2025!F4636</f>
        <v/>
      </c>
      <c r="G2050" s="1718" t="str">
        <f>c_ALR2025!G4636</f>
        <v/>
      </c>
      <c r="H2050" s="1719" t="str">
        <f>c_ALR2025!M4636</f>
        <v/>
      </c>
      <c r="I2050" s="1859"/>
      <c r="J2050" s="1801"/>
      <c r="K2050" s="1802"/>
      <c r="L2050" s="1802"/>
      <c r="M2050" s="1802"/>
      <c r="N2050" s="1802"/>
      <c r="O2050" s="485"/>
      <c r="P2050" s="9"/>
      <c r="S2050" s="1715" t="b">
        <f t="shared" si="937"/>
        <v>1</v>
      </c>
      <c r="T2050" s="1435"/>
      <c r="Z2050" s="1435"/>
      <c r="AC2050" s="1803"/>
      <c r="AD2050" s="1803"/>
      <c r="AE2050" s="1803"/>
      <c r="AF2050" s="1803"/>
      <c r="AG2050" s="1803"/>
      <c r="AH2050" s="1803"/>
    </row>
    <row r="2051" spans="2:34" ht="13.15" customHeight="1">
      <c r="B2051" s="1124"/>
      <c r="C2051" s="485"/>
      <c r="D2051" s="582">
        <f t="shared" si="938"/>
        <v>7</v>
      </c>
      <c r="E2051" s="1717" t="str">
        <f>c_ALR2025!E4637</f>
        <v/>
      </c>
      <c r="F2051" s="1717" t="str">
        <f>c_ALR2025!F4637</f>
        <v/>
      </c>
      <c r="G2051" s="1718" t="str">
        <f>c_ALR2025!G4637</f>
        <v/>
      </c>
      <c r="H2051" s="1719" t="str">
        <f>c_ALR2025!M4637</f>
        <v/>
      </c>
      <c r="I2051" s="1859"/>
      <c r="J2051" s="1801"/>
      <c r="K2051" s="1802"/>
      <c r="L2051" s="1802"/>
      <c r="M2051" s="1802"/>
      <c r="N2051" s="1802"/>
      <c r="O2051" s="485"/>
      <c r="P2051" s="9"/>
      <c r="S2051" s="1715" t="b">
        <f t="shared" si="937"/>
        <v>1</v>
      </c>
      <c r="T2051" s="1435"/>
      <c r="Z2051" s="1435"/>
      <c r="AC2051" s="1803"/>
      <c r="AD2051" s="1803"/>
      <c r="AE2051" s="1803"/>
      <c r="AF2051" s="1803"/>
      <c r="AG2051" s="1803"/>
      <c r="AH2051" s="1803"/>
    </row>
    <row r="2052" spans="2:34" ht="13.15" customHeight="1">
      <c r="B2052" s="1124"/>
      <c r="C2052" s="485"/>
      <c r="D2052" s="582">
        <f t="shared" si="938"/>
        <v>8</v>
      </c>
      <c r="E2052" s="1717" t="str">
        <f>c_ALR2025!E4638</f>
        <v/>
      </c>
      <c r="F2052" s="1717" t="str">
        <f>c_ALR2025!F4638</f>
        <v/>
      </c>
      <c r="G2052" s="1718" t="str">
        <f>c_ALR2025!G4638</f>
        <v/>
      </c>
      <c r="H2052" s="1719" t="str">
        <f>c_ALR2025!M4638</f>
        <v/>
      </c>
      <c r="I2052" s="1859"/>
      <c r="J2052" s="1801"/>
      <c r="K2052" s="1802"/>
      <c r="L2052" s="1802"/>
      <c r="M2052" s="1802"/>
      <c r="N2052" s="1802"/>
      <c r="O2052" s="485"/>
      <c r="P2052" s="9"/>
      <c r="S2052" s="1715" t="b">
        <f t="shared" si="937"/>
        <v>1</v>
      </c>
      <c r="T2052" s="1435"/>
      <c r="Z2052" s="1435"/>
      <c r="AC2052" s="1803"/>
      <c r="AD2052" s="1803"/>
      <c r="AE2052" s="1803"/>
      <c r="AF2052" s="1803"/>
      <c r="AG2052" s="1803"/>
      <c r="AH2052" s="1803"/>
    </row>
    <row r="2053" spans="2:34" ht="13.15" customHeight="1">
      <c r="B2053" s="1124"/>
      <c r="C2053" s="485"/>
      <c r="D2053" s="582">
        <f t="shared" si="938"/>
        <v>9</v>
      </c>
      <c r="E2053" s="1717" t="str">
        <f>c_ALR2025!E4639</f>
        <v/>
      </c>
      <c r="F2053" s="1717" t="str">
        <f>c_ALR2025!F4639</f>
        <v/>
      </c>
      <c r="G2053" s="1718" t="str">
        <f>c_ALR2025!G4639</f>
        <v/>
      </c>
      <c r="H2053" s="1719" t="str">
        <f>c_ALR2025!M4639</f>
        <v/>
      </c>
      <c r="I2053" s="1859"/>
      <c r="J2053" s="1801"/>
      <c r="K2053" s="1802"/>
      <c r="L2053" s="1802"/>
      <c r="M2053" s="1802"/>
      <c r="N2053" s="1802"/>
      <c r="O2053" s="485"/>
      <c r="P2053" s="9"/>
      <c r="S2053" s="1715" t="b">
        <f t="shared" si="937"/>
        <v>1</v>
      </c>
      <c r="T2053" s="1435"/>
      <c r="Z2053" s="1435"/>
      <c r="AC2053" s="1803"/>
      <c r="AD2053" s="1803"/>
      <c r="AE2053" s="1803"/>
      <c r="AF2053" s="1803"/>
      <c r="AG2053" s="1803"/>
      <c r="AH2053" s="1803"/>
    </row>
    <row r="2054" spans="2:34" ht="13.15" customHeight="1">
      <c r="B2054" s="1124"/>
      <c r="C2054" s="485"/>
      <c r="D2054" s="584">
        <f t="shared" si="938"/>
        <v>10</v>
      </c>
      <c r="E2054" s="1720" t="str">
        <f>c_ALR2025!E4640</f>
        <v/>
      </c>
      <c r="F2054" s="1720" t="str">
        <f>c_ALR2025!F4640</f>
        <v/>
      </c>
      <c r="G2054" s="1721" t="str">
        <f>c_ALR2025!G4640</f>
        <v/>
      </c>
      <c r="H2054" s="1722" t="str">
        <f>c_ALR2025!M4640</f>
        <v/>
      </c>
      <c r="I2054" s="1860"/>
      <c r="J2054" s="1801"/>
      <c r="K2054" s="1802"/>
      <c r="L2054" s="1802"/>
      <c r="M2054" s="1802"/>
      <c r="N2054" s="1802"/>
      <c r="O2054" s="485"/>
      <c r="P2054" s="9"/>
      <c r="S2054" s="1715" t="b">
        <f t="shared" si="937"/>
        <v>1</v>
      </c>
      <c r="T2054" s="1435"/>
      <c r="Z2054" s="1435"/>
      <c r="AC2054" s="1803"/>
      <c r="AD2054" s="1803"/>
      <c r="AE2054" s="1803"/>
      <c r="AF2054" s="1803"/>
      <c r="AG2054" s="1803"/>
      <c r="AH2054" s="1803"/>
    </row>
    <row r="2055" spans="2:34" ht="13.15" customHeight="1">
      <c r="B2055" s="1124"/>
      <c r="C2055" s="485"/>
      <c r="D2055" s="579">
        <v>1</v>
      </c>
      <c r="E2055" s="1861"/>
      <c r="F2055" s="1861"/>
      <c r="G2055" s="1862"/>
      <c r="H2055" s="1723"/>
      <c r="I2055" s="1863"/>
      <c r="J2055" s="1801"/>
      <c r="K2055" s="1802"/>
      <c r="L2055" s="1802"/>
      <c r="M2055" s="1802"/>
      <c r="N2055" s="1802"/>
      <c r="O2055" s="485"/>
      <c r="P2055" s="9"/>
      <c r="S2055" s="1715" t="b">
        <f>NOT(S2045)</f>
        <v>0</v>
      </c>
      <c r="T2055" s="1435"/>
      <c r="Z2055" s="1435"/>
      <c r="AC2055" s="1803"/>
      <c r="AD2055" s="1803"/>
      <c r="AE2055" s="1803"/>
      <c r="AF2055" s="1803"/>
      <c r="AG2055" s="1803"/>
      <c r="AH2055" s="1803"/>
    </row>
    <row r="2056" spans="2:34" ht="13.15" customHeight="1">
      <c r="B2056" s="1124"/>
      <c r="C2056" s="485"/>
      <c r="D2056" s="582">
        <f>D2055+1</f>
        <v>2</v>
      </c>
      <c r="E2056" s="1864"/>
      <c r="F2056" s="1864"/>
      <c r="G2056" s="1865"/>
      <c r="H2056" s="1724"/>
      <c r="I2056" s="1859"/>
      <c r="J2056" s="1801"/>
      <c r="K2056" s="1802"/>
      <c r="L2056" s="1802"/>
      <c r="M2056" s="1802"/>
      <c r="N2056" s="1802"/>
      <c r="O2056" s="485"/>
      <c r="P2056" s="9"/>
      <c r="S2056" s="1715" t="b">
        <f t="shared" ref="S2056:S2064" si="939">NOT(S2046)</f>
        <v>0</v>
      </c>
      <c r="T2056" s="1435"/>
      <c r="Z2056" s="1435"/>
      <c r="AC2056" s="1803"/>
      <c r="AD2056" s="1803"/>
      <c r="AE2056" s="1803"/>
      <c r="AF2056" s="1803"/>
      <c r="AG2056" s="1803"/>
      <c r="AH2056" s="1803"/>
    </row>
    <row r="2057" spans="2:34" ht="13.15" customHeight="1">
      <c r="B2057" s="1124"/>
      <c r="C2057" s="485"/>
      <c r="D2057" s="582">
        <f t="shared" ref="D2057:D2064" si="940">D2056+1</f>
        <v>3</v>
      </c>
      <c r="E2057" s="1864"/>
      <c r="F2057" s="1864"/>
      <c r="G2057" s="1865"/>
      <c r="H2057" s="1724"/>
      <c r="I2057" s="1859"/>
      <c r="J2057" s="1801"/>
      <c r="K2057" s="1802"/>
      <c r="L2057" s="1802"/>
      <c r="M2057" s="1802"/>
      <c r="N2057" s="1802"/>
      <c r="O2057" s="485"/>
      <c r="P2057" s="9"/>
      <c r="S2057" s="1715" t="b">
        <f t="shared" si="939"/>
        <v>0</v>
      </c>
      <c r="T2057" s="1435"/>
      <c r="Z2057" s="1435"/>
      <c r="AC2057" s="1803"/>
      <c r="AD2057" s="1803"/>
      <c r="AE2057" s="1803"/>
      <c r="AF2057" s="1803"/>
      <c r="AG2057" s="1803"/>
      <c r="AH2057" s="1803"/>
    </row>
    <row r="2058" spans="2:34" ht="13.15" customHeight="1">
      <c r="B2058" s="1124"/>
      <c r="C2058" s="485"/>
      <c r="D2058" s="582">
        <f t="shared" si="940"/>
        <v>4</v>
      </c>
      <c r="E2058" s="1864"/>
      <c r="F2058" s="1864"/>
      <c r="G2058" s="1865"/>
      <c r="H2058" s="1724"/>
      <c r="I2058" s="1859"/>
      <c r="J2058" s="1801"/>
      <c r="K2058" s="1802"/>
      <c r="L2058" s="1802"/>
      <c r="M2058" s="1802"/>
      <c r="N2058" s="1802"/>
      <c r="O2058" s="485"/>
      <c r="P2058" s="9"/>
      <c r="S2058" s="1715" t="b">
        <f t="shared" si="939"/>
        <v>0</v>
      </c>
      <c r="T2058" s="1435"/>
      <c r="Z2058" s="1435"/>
      <c r="AC2058" s="1803"/>
      <c r="AD2058" s="1803"/>
      <c r="AE2058" s="1803"/>
      <c r="AF2058" s="1803"/>
      <c r="AG2058" s="1803"/>
      <c r="AH2058" s="1803"/>
    </row>
    <row r="2059" spans="2:34" ht="13.15" customHeight="1">
      <c r="B2059" s="1124"/>
      <c r="C2059" s="485"/>
      <c r="D2059" s="582">
        <f t="shared" si="940"/>
        <v>5</v>
      </c>
      <c r="E2059" s="1864"/>
      <c r="F2059" s="1864"/>
      <c r="G2059" s="1865"/>
      <c r="H2059" s="1724"/>
      <c r="I2059" s="1859"/>
      <c r="J2059" s="1801"/>
      <c r="K2059" s="1802"/>
      <c r="L2059" s="1802"/>
      <c r="M2059" s="1802"/>
      <c r="N2059" s="1802"/>
      <c r="O2059" s="485"/>
      <c r="P2059" s="9"/>
      <c r="S2059" s="1715" t="b">
        <f t="shared" si="939"/>
        <v>0</v>
      </c>
      <c r="T2059" s="1435"/>
      <c r="Z2059" s="1435"/>
      <c r="AC2059" s="1803"/>
      <c r="AD2059" s="1803"/>
      <c r="AE2059" s="1803"/>
      <c r="AF2059" s="1803"/>
      <c r="AG2059" s="1803"/>
      <c r="AH2059" s="1803"/>
    </row>
    <row r="2060" spans="2:34" ht="13.15" customHeight="1">
      <c r="B2060" s="1124"/>
      <c r="C2060" s="485"/>
      <c r="D2060" s="582">
        <f t="shared" si="940"/>
        <v>6</v>
      </c>
      <c r="E2060" s="1864"/>
      <c r="F2060" s="1864"/>
      <c r="G2060" s="1865"/>
      <c r="H2060" s="1724"/>
      <c r="I2060" s="1859"/>
      <c r="J2060" s="1801"/>
      <c r="K2060" s="1802"/>
      <c r="L2060" s="1802"/>
      <c r="M2060" s="1802"/>
      <c r="N2060" s="1802"/>
      <c r="O2060" s="485"/>
      <c r="P2060" s="9"/>
      <c r="S2060" s="1715" t="b">
        <f t="shared" si="939"/>
        <v>0</v>
      </c>
      <c r="T2060" s="1435"/>
      <c r="Z2060" s="1435"/>
      <c r="AC2060" s="1803"/>
      <c r="AD2060" s="1803"/>
      <c r="AE2060" s="1803"/>
      <c r="AF2060" s="1803"/>
      <c r="AG2060" s="1803"/>
      <c r="AH2060" s="1803"/>
    </row>
    <row r="2061" spans="2:34" ht="13.15" customHeight="1">
      <c r="B2061" s="1124"/>
      <c r="C2061" s="485"/>
      <c r="D2061" s="582">
        <f t="shared" si="940"/>
        <v>7</v>
      </c>
      <c r="E2061" s="1864"/>
      <c r="F2061" s="1864"/>
      <c r="G2061" s="1865"/>
      <c r="H2061" s="1724"/>
      <c r="I2061" s="1859"/>
      <c r="J2061" s="1801"/>
      <c r="K2061" s="1802"/>
      <c r="L2061" s="1802"/>
      <c r="M2061" s="1802"/>
      <c r="N2061" s="1802"/>
      <c r="O2061" s="485"/>
      <c r="P2061" s="9"/>
      <c r="S2061" s="1715" t="b">
        <f t="shared" si="939"/>
        <v>0</v>
      </c>
      <c r="T2061" s="1435"/>
      <c r="Z2061" s="1435"/>
      <c r="AC2061" s="1803"/>
      <c r="AD2061" s="1803"/>
      <c r="AE2061" s="1803"/>
      <c r="AF2061" s="1803"/>
      <c r="AG2061" s="1803"/>
      <c r="AH2061" s="1803"/>
    </row>
    <row r="2062" spans="2:34" ht="13.15" customHeight="1">
      <c r="B2062" s="1124"/>
      <c r="C2062" s="485"/>
      <c r="D2062" s="582">
        <f t="shared" si="940"/>
        <v>8</v>
      </c>
      <c r="E2062" s="1864"/>
      <c r="F2062" s="1864"/>
      <c r="G2062" s="1865"/>
      <c r="H2062" s="1724"/>
      <c r="I2062" s="1859"/>
      <c r="J2062" s="1801"/>
      <c r="K2062" s="1802"/>
      <c r="L2062" s="1802"/>
      <c r="M2062" s="1802"/>
      <c r="N2062" s="1802"/>
      <c r="O2062" s="485"/>
      <c r="P2062" s="9"/>
      <c r="S2062" s="1715" t="b">
        <f t="shared" si="939"/>
        <v>0</v>
      </c>
      <c r="T2062" s="1435"/>
      <c r="Z2062" s="1435"/>
      <c r="AC2062" s="1803"/>
      <c r="AD2062" s="1803"/>
      <c r="AE2062" s="1803"/>
      <c r="AF2062" s="1803"/>
      <c r="AG2062" s="1803"/>
      <c r="AH2062" s="1803"/>
    </row>
    <row r="2063" spans="2:34" ht="13.15" customHeight="1">
      <c r="B2063" s="1124"/>
      <c r="C2063" s="485"/>
      <c r="D2063" s="582">
        <f t="shared" si="940"/>
        <v>9</v>
      </c>
      <c r="E2063" s="1864"/>
      <c r="F2063" s="1864"/>
      <c r="G2063" s="1865"/>
      <c r="H2063" s="1724"/>
      <c r="I2063" s="1859"/>
      <c r="J2063" s="1801"/>
      <c r="K2063" s="1802"/>
      <c r="L2063" s="1802"/>
      <c r="M2063" s="1802"/>
      <c r="N2063" s="1802"/>
      <c r="O2063" s="485"/>
      <c r="P2063" s="9"/>
      <c r="S2063" s="1715" t="b">
        <f t="shared" si="939"/>
        <v>0</v>
      </c>
      <c r="T2063" s="1435"/>
      <c r="Z2063" s="1435"/>
      <c r="AC2063" s="1803"/>
      <c r="AD2063" s="1803"/>
      <c r="AE2063" s="1803"/>
      <c r="AF2063" s="1803"/>
      <c r="AG2063" s="1803"/>
      <c r="AH2063" s="1803"/>
    </row>
    <row r="2064" spans="2:34" ht="13.15" customHeight="1" thickBot="1">
      <c r="B2064" s="1124"/>
      <c r="C2064" s="485"/>
      <c r="D2064" s="584">
        <f t="shared" si="940"/>
        <v>10</v>
      </c>
      <c r="E2064" s="1866"/>
      <c r="F2064" s="1866"/>
      <c r="G2064" s="1867"/>
      <c r="H2064" s="1725"/>
      <c r="I2064" s="1860"/>
      <c r="J2064" s="1801"/>
      <c r="K2064" s="1802"/>
      <c r="L2064" s="1802"/>
      <c r="M2064" s="1802"/>
      <c r="N2064" s="1802"/>
      <c r="O2064" s="485"/>
      <c r="P2064" s="9"/>
      <c r="S2064" s="1726" t="b">
        <f t="shared" si="939"/>
        <v>0</v>
      </c>
      <c r="T2064" s="1435"/>
      <c r="Z2064" s="1435"/>
      <c r="AC2064" s="1803"/>
      <c r="AD2064" s="1803"/>
      <c r="AE2064" s="1803"/>
      <c r="AF2064" s="1803"/>
      <c r="AG2064" s="1803"/>
      <c r="AH2064" s="1803"/>
    </row>
    <row r="2065" spans="2:42">
      <c r="B2065" s="1124"/>
      <c r="C2065" s="485"/>
      <c r="D2065" s="579">
        <v>1</v>
      </c>
      <c r="E2065" s="864" t="str">
        <f t="shared" ref="E2065:E2074" si="941">IF(E2055&lt;&gt; "",E2055,IF(E2045 &lt;&gt; "", E2045,""))</f>
        <v/>
      </c>
      <c r="F2065" s="960" t="str">
        <f t="shared" ref="F2065:I2065" si="942">IF(F2055&lt;&gt; "",F2055,IF(F2045 &lt;&gt; "", F2045,""))</f>
        <v/>
      </c>
      <c r="G2065" s="961" t="str">
        <f t="shared" si="942"/>
        <v/>
      </c>
      <c r="H2065" s="656" t="str">
        <f t="shared" si="942"/>
        <v/>
      </c>
      <c r="I2065" s="962" t="str">
        <f t="shared" si="942"/>
        <v/>
      </c>
      <c r="J2065" s="1804"/>
      <c r="K2065" s="1805"/>
      <c r="L2065" s="1805"/>
      <c r="M2065" s="1805"/>
      <c r="N2065" s="1805"/>
      <c r="O2065" s="485"/>
      <c r="S2065" s="1435"/>
      <c r="T2065" s="1435"/>
      <c r="Z2065" s="1730" t="b">
        <f t="shared" ref="Z2065:Z2074" si="943">AA2065</f>
        <v>0</v>
      </c>
      <c r="AA2065" s="1731" t="b">
        <f t="shared" ref="AA2065:AA2074" si="944">AB2065</f>
        <v>0</v>
      </c>
      <c r="AB2065" s="1868" t="b">
        <f>AND(AC2065:AI2065)</f>
        <v>0</v>
      </c>
      <c r="AC2065" s="1732" t="b">
        <f t="shared" ref="AC2065:AI2065" si="945">AC2015</f>
        <v>0</v>
      </c>
      <c r="AD2065" s="1680" t="b">
        <f t="shared" si="945"/>
        <v>0</v>
      </c>
      <c r="AE2065" s="1680" t="b">
        <f t="shared" si="945"/>
        <v>0</v>
      </c>
      <c r="AF2065" s="1680" t="b">
        <f t="shared" si="945"/>
        <v>0</v>
      </c>
      <c r="AG2065" s="1680" t="b">
        <f t="shared" si="945"/>
        <v>0</v>
      </c>
      <c r="AH2065" s="1680" t="b">
        <f t="shared" si="945"/>
        <v>0</v>
      </c>
      <c r="AI2065" s="1681" t="b">
        <f t="shared" si="945"/>
        <v>0</v>
      </c>
      <c r="AJ2065" s="1633" t="s">
        <v>1954</v>
      </c>
      <c r="AK2065" s="1635" t="str">
        <f>IF(AND(CNTR_ExistSubInstEntries,COUNTIFS(AC2065:AI2065,FALSE,H2065:N2065,"")&gt;0),EUconst_Error&amp;"BM"&amp;$Q1945,"")</f>
        <v/>
      </c>
      <c r="AP2065" s="1135" t="s">
        <v>2441</v>
      </c>
    </row>
    <row r="2066" spans="2:42">
      <c r="B2066" s="1124"/>
      <c r="C2066" s="485"/>
      <c r="D2066" s="582">
        <f>D2065+1</f>
        <v>2</v>
      </c>
      <c r="E2066" s="866" t="str">
        <f t="shared" si="941"/>
        <v/>
      </c>
      <c r="F2066" s="964" t="str">
        <f t="shared" ref="F2066:I2066" si="946">IF(F2056&lt;&gt; "",F2056,IF(F2046 &lt;&gt; "", F2046,""))</f>
        <v/>
      </c>
      <c r="G2066" s="895" t="str">
        <f t="shared" si="946"/>
        <v/>
      </c>
      <c r="H2066" s="658" t="str">
        <f t="shared" si="946"/>
        <v/>
      </c>
      <c r="I2066" s="965" t="str">
        <f t="shared" si="946"/>
        <v/>
      </c>
      <c r="J2066" s="1804"/>
      <c r="K2066" s="1805"/>
      <c r="L2066" s="1805"/>
      <c r="M2066" s="1805"/>
      <c r="N2066" s="1805"/>
      <c r="O2066" s="485"/>
      <c r="S2066" s="1435"/>
      <c r="T2066" s="1435"/>
      <c r="Z2066" s="1736" t="b">
        <f t="shared" si="943"/>
        <v>0</v>
      </c>
      <c r="AA2066" s="1443" t="b">
        <f t="shared" si="944"/>
        <v>0</v>
      </c>
      <c r="AB2066" s="1737" t="b">
        <f t="shared" ref="AB2066:AB2074" si="947">AND(AC2066:AI2066)</f>
        <v>0</v>
      </c>
      <c r="AC2066" s="1738" t="b">
        <f>AC2065</f>
        <v>0</v>
      </c>
      <c r="AD2066" s="1443" t="b">
        <f t="shared" ref="AD2066:AI2066" si="948">AD2065</f>
        <v>0</v>
      </c>
      <c r="AE2066" s="1443" t="b">
        <f t="shared" si="948"/>
        <v>0</v>
      </c>
      <c r="AF2066" s="1443" t="b">
        <f t="shared" si="948"/>
        <v>0</v>
      </c>
      <c r="AG2066" s="1443" t="b">
        <f t="shared" si="948"/>
        <v>0</v>
      </c>
      <c r="AH2066" s="1443" t="b">
        <f t="shared" si="948"/>
        <v>0</v>
      </c>
      <c r="AI2066" s="1737" t="b">
        <f t="shared" si="948"/>
        <v>0</v>
      </c>
      <c r="AP2066" s="1135" t="s">
        <v>2442</v>
      </c>
    </row>
    <row r="2067" spans="2:42">
      <c r="B2067" s="1124"/>
      <c r="C2067" s="485"/>
      <c r="D2067" s="582">
        <f t="shared" ref="D2067:D2074" si="949">D2066+1</f>
        <v>3</v>
      </c>
      <c r="E2067" s="866" t="str">
        <f t="shared" si="941"/>
        <v/>
      </c>
      <c r="F2067" s="964" t="str">
        <f t="shared" ref="F2067:I2067" si="950">IF(F2057&lt;&gt; "",F2057,IF(F2047 &lt;&gt; "", F2047,""))</f>
        <v/>
      </c>
      <c r="G2067" s="895" t="str">
        <f t="shared" si="950"/>
        <v/>
      </c>
      <c r="H2067" s="658" t="str">
        <f t="shared" si="950"/>
        <v/>
      </c>
      <c r="I2067" s="965" t="str">
        <f t="shared" si="950"/>
        <v/>
      </c>
      <c r="J2067" s="1804"/>
      <c r="K2067" s="1805"/>
      <c r="L2067" s="1805"/>
      <c r="M2067" s="1805"/>
      <c r="N2067" s="1805"/>
      <c r="O2067" s="485"/>
      <c r="S2067" s="1435"/>
      <c r="T2067" s="1435"/>
      <c r="Z2067" s="1736" t="b">
        <f t="shared" si="943"/>
        <v>0</v>
      </c>
      <c r="AA2067" s="1443" t="b">
        <f t="shared" si="944"/>
        <v>0</v>
      </c>
      <c r="AB2067" s="1737" t="b">
        <f t="shared" si="947"/>
        <v>0</v>
      </c>
      <c r="AC2067" s="1738" t="b">
        <f t="shared" ref="AC2067:AI2074" si="951">AC2066</f>
        <v>0</v>
      </c>
      <c r="AD2067" s="1443" t="b">
        <f t="shared" si="951"/>
        <v>0</v>
      </c>
      <c r="AE2067" s="1443" t="b">
        <f t="shared" si="951"/>
        <v>0</v>
      </c>
      <c r="AF2067" s="1443" t="b">
        <f t="shared" si="951"/>
        <v>0</v>
      </c>
      <c r="AG2067" s="1443" t="b">
        <f t="shared" si="951"/>
        <v>0</v>
      </c>
      <c r="AH2067" s="1443" t="b">
        <f t="shared" si="951"/>
        <v>0</v>
      </c>
      <c r="AI2067" s="1737" t="b">
        <f t="shared" si="951"/>
        <v>0</v>
      </c>
      <c r="AP2067" s="1135" t="s">
        <v>2443</v>
      </c>
    </row>
    <row r="2068" spans="2:42">
      <c r="B2068" s="1124"/>
      <c r="C2068" s="485"/>
      <c r="D2068" s="582">
        <f t="shared" si="949"/>
        <v>4</v>
      </c>
      <c r="E2068" s="866" t="str">
        <f t="shared" si="941"/>
        <v/>
      </c>
      <c r="F2068" s="964" t="str">
        <f t="shared" ref="F2068:I2068" si="952">IF(F2058&lt;&gt; "",F2058,IF(F2048 &lt;&gt; "", F2048,""))</f>
        <v/>
      </c>
      <c r="G2068" s="895" t="str">
        <f t="shared" si="952"/>
        <v/>
      </c>
      <c r="H2068" s="658" t="str">
        <f t="shared" si="952"/>
        <v/>
      </c>
      <c r="I2068" s="965" t="str">
        <f t="shared" si="952"/>
        <v/>
      </c>
      <c r="J2068" s="1804"/>
      <c r="K2068" s="1805"/>
      <c r="L2068" s="1805"/>
      <c r="M2068" s="1805"/>
      <c r="N2068" s="1805"/>
      <c r="O2068" s="485"/>
      <c r="S2068" s="1435"/>
      <c r="T2068" s="1435"/>
      <c r="Z2068" s="1736" t="b">
        <f t="shared" si="943"/>
        <v>0</v>
      </c>
      <c r="AA2068" s="1443" t="b">
        <f t="shared" si="944"/>
        <v>0</v>
      </c>
      <c r="AB2068" s="1737" t="b">
        <f t="shared" si="947"/>
        <v>0</v>
      </c>
      <c r="AC2068" s="1738" t="b">
        <f t="shared" si="951"/>
        <v>0</v>
      </c>
      <c r="AD2068" s="1443" t="b">
        <f t="shared" si="951"/>
        <v>0</v>
      </c>
      <c r="AE2068" s="1443" t="b">
        <f t="shared" si="951"/>
        <v>0</v>
      </c>
      <c r="AF2068" s="1443" t="b">
        <f t="shared" si="951"/>
        <v>0</v>
      </c>
      <c r="AG2068" s="1443" t="b">
        <f t="shared" si="951"/>
        <v>0</v>
      </c>
      <c r="AH2068" s="1443" t="b">
        <f t="shared" si="951"/>
        <v>0</v>
      </c>
      <c r="AI2068" s="1737" t="b">
        <f t="shared" si="951"/>
        <v>0</v>
      </c>
      <c r="AP2068" s="1135" t="s">
        <v>2444</v>
      </c>
    </row>
    <row r="2069" spans="2:42">
      <c r="B2069" s="1124"/>
      <c r="C2069" s="485"/>
      <c r="D2069" s="582">
        <f t="shared" si="949"/>
        <v>5</v>
      </c>
      <c r="E2069" s="866" t="str">
        <f t="shared" si="941"/>
        <v/>
      </c>
      <c r="F2069" s="964" t="str">
        <f t="shared" ref="F2069:I2070" si="953">IF(F2059&lt;&gt; "",F2059,IF(F2049 &lt;&gt; "", F2049,""))</f>
        <v/>
      </c>
      <c r="G2069" s="895" t="str">
        <f t="shared" si="953"/>
        <v/>
      </c>
      <c r="H2069" s="658" t="str">
        <f t="shared" si="953"/>
        <v/>
      </c>
      <c r="I2069" s="965" t="str">
        <f t="shared" si="953"/>
        <v/>
      </c>
      <c r="J2069" s="1804"/>
      <c r="K2069" s="1805"/>
      <c r="L2069" s="1805"/>
      <c r="M2069" s="1805"/>
      <c r="N2069" s="1805"/>
      <c r="O2069" s="485"/>
      <c r="S2069" s="1435"/>
      <c r="T2069" s="1435"/>
      <c r="Z2069" s="1736" t="b">
        <f t="shared" si="943"/>
        <v>0</v>
      </c>
      <c r="AA2069" s="1443" t="b">
        <f t="shared" si="944"/>
        <v>0</v>
      </c>
      <c r="AB2069" s="1737" t="b">
        <f t="shared" si="947"/>
        <v>0</v>
      </c>
      <c r="AC2069" s="1738" t="b">
        <f t="shared" si="951"/>
        <v>0</v>
      </c>
      <c r="AD2069" s="1443" t="b">
        <f t="shared" si="951"/>
        <v>0</v>
      </c>
      <c r="AE2069" s="1443" t="b">
        <f t="shared" si="951"/>
        <v>0</v>
      </c>
      <c r="AF2069" s="1443" t="b">
        <f t="shared" si="951"/>
        <v>0</v>
      </c>
      <c r="AG2069" s="1443" t="b">
        <f t="shared" si="951"/>
        <v>0</v>
      </c>
      <c r="AH2069" s="1443" t="b">
        <f t="shared" si="951"/>
        <v>0</v>
      </c>
      <c r="AI2069" s="1737" t="b">
        <f t="shared" si="951"/>
        <v>0</v>
      </c>
      <c r="AP2069" s="1135" t="s">
        <v>2445</v>
      </c>
    </row>
    <row r="2070" spans="2:42">
      <c r="B2070" s="1124"/>
      <c r="C2070" s="485"/>
      <c r="D2070" s="582">
        <f t="shared" si="949"/>
        <v>6</v>
      </c>
      <c r="E2070" s="866" t="str">
        <f t="shared" si="941"/>
        <v/>
      </c>
      <c r="F2070" s="964" t="str">
        <f t="shared" si="953"/>
        <v/>
      </c>
      <c r="G2070" s="895" t="str">
        <f t="shared" si="953"/>
        <v/>
      </c>
      <c r="H2070" s="658" t="str">
        <f t="shared" si="953"/>
        <v/>
      </c>
      <c r="I2070" s="965" t="str">
        <f t="shared" si="953"/>
        <v/>
      </c>
      <c r="J2070" s="1804"/>
      <c r="K2070" s="1805"/>
      <c r="L2070" s="1805"/>
      <c r="M2070" s="1805"/>
      <c r="N2070" s="1805"/>
      <c r="O2070" s="485"/>
      <c r="S2070" s="1435"/>
      <c r="T2070" s="1435"/>
      <c r="Z2070" s="1736" t="b">
        <f t="shared" si="943"/>
        <v>0</v>
      </c>
      <c r="AA2070" s="1443" t="b">
        <f t="shared" si="944"/>
        <v>0</v>
      </c>
      <c r="AB2070" s="1737" t="b">
        <f t="shared" si="947"/>
        <v>0</v>
      </c>
      <c r="AC2070" s="1738" t="b">
        <f t="shared" si="951"/>
        <v>0</v>
      </c>
      <c r="AD2070" s="1443" t="b">
        <f t="shared" si="951"/>
        <v>0</v>
      </c>
      <c r="AE2070" s="1443" t="b">
        <f t="shared" si="951"/>
        <v>0</v>
      </c>
      <c r="AF2070" s="1443" t="b">
        <f t="shared" si="951"/>
        <v>0</v>
      </c>
      <c r="AG2070" s="1443" t="b">
        <f t="shared" si="951"/>
        <v>0</v>
      </c>
      <c r="AH2070" s="1443" t="b">
        <f t="shared" si="951"/>
        <v>0</v>
      </c>
      <c r="AI2070" s="1737" t="b">
        <f t="shared" si="951"/>
        <v>0</v>
      </c>
      <c r="AP2070" s="1135" t="s">
        <v>2446</v>
      </c>
    </row>
    <row r="2071" spans="2:42">
      <c r="B2071" s="1124"/>
      <c r="C2071" s="485"/>
      <c r="D2071" s="582">
        <f t="shared" si="949"/>
        <v>7</v>
      </c>
      <c r="E2071" s="866" t="str">
        <f t="shared" si="941"/>
        <v/>
      </c>
      <c r="F2071" s="964" t="str">
        <f t="shared" ref="F2071:I2071" si="954">IF(F2061&lt;&gt; "",F2061,IF(F2051 &lt;&gt; "", F2051,""))</f>
        <v/>
      </c>
      <c r="G2071" s="895" t="str">
        <f t="shared" si="954"/>
        <v/>
      </c>
      <c r="H2071" s="658" t="str">
        <f t="shared" si="954"/>
        <v/>
      </c>
      <c r="I2071" s="965" t="str">
        <f t="shared" si="954"/>
        <v/>
      </c>
      <c r="J2071" s="1804"/>
      <c r="K2071" s="1805"/>
      <c r="L2071" s="1805"/>
      <c r="M2071" s="1805"/>
      <c r="N2071" s="1805"/>
      <c r="O2071" s="485"/>
      <c r="S2071" s="1435"/>
      <c r="T2071" s="1435"/>
      <c r="Z2071" s="1736" t="b">
        <f t="shared" si="943"/>
        <v>0</v>
      </c>
      <c r="AA2071" s="1443" t="b">
        <f t="shared" si="944"/>
        <v>0</v>
      </c>
      <c r="AB2071" s="1737" t="b">
        <f t="shared" si="947"/>
        <v>0</v>
      </c>
      <c r="AC2071" s="1738" t="b">
        <f t="shared" si="951"/>
        <v>0</v>
      </c>
      <c r="AD2071" s="1443" t="b">
        <f t="shared" si="951"/>
        <v>0</v>
      </c>
      <c r="AE2071" s="1443" t="b">
        <f t="shared" si="951"/>
        <v>0</v>
      </c>
      <c r="AF2071" s="1443" t="b">
        <f t="shared" si="951"/>
        <v>0</v>
      </c>
      <c r="AG2071" s="1443" t="b">
        <f t="shared" si="951"/>
        <v>0</v>
      </c>
      <c r="AH2071" s="1443" t="b">
        <f t="shared" si="951"/>
        <v>0</v>
      </c>
      <c r="AI2071" s="1737" t="b">
        <f t="shared" si="951"/>
        <v>0</v>
      </c>
      <c r="AP2071" s="1135" t="s">
        <v>2447</v>
      </c>
    </row>
    <row r="2072" spans="2:42">
      <c r="B2072" s="1124"/>
      <c r="C2072" s="485"/>
      <c r="D2072" s="582">
        <f t="shared" si="949"/>
        <v>8</v>
      </c>
      <c r="E2072" s="866" t="str">
        <f t="shared" si="941"/>
        <v/>
      </c>
      <c r="F2072" s="964" t="str">
        <f t="shared" ref="F2072:I2072" si="955">IF(F2062&lt;&gt; "",F2062,IF(F2052 &lt;&gt; "", F2052,""))</f>
        <v/>
      </c>
      <c r="G2072" s="895" t="str">
        <f t="shared" si="955"/>
        <v/>
      </c>
      <c r="H2072" s="658" t="str">
        <f t="shared" si="955"/>
        <v/>
      </c>
      <c r="I2072" s="965" t="str">
        <f t="shared" si="955"/>
        <v/>
      </c>
      <c r="J2072" s="1804"/>
      <c r="K2072" s="1805"/>
      <c r="L2072" s="1805"/>
      <c r="M2072" s="1805"/>
      <c r="N2072" s="1805"/>
      <c r="O2072" s="485"/>
      <c r="S2072" s="1435"/>
      <c r="T2072" s="1435"/>
      <c r="Z2072" s="1736" t="b">
        <f t="shared" si="943"/>
        <v>0</v>
      </c>
      <c r="AA2072" s="1443" t="b">
        <f t="shared" si="944"/>
        <v>0</v>
      </c>
      <c r="AB2072" s="1737" t="b">
        <f t="shared" si="947"/>
        <v>0</v>
      </c>
      <c r="AC2072" s="1738" t="b">
        <f t="shared" si="951"/>
        <v>0</v>
      </c>
      <c r="AD2072" s="1443" t="b">
        <f t="shared" si="951"/>
        <v>0</v>
      </c>
      <c r="AE2072" s="1443" t="b">
        <f t="shared" si="951"/>
        <v>0</v>
      </c>
      <c r="AF2072" s="1443" t="b">
        <f t="shared" si="951"/>
        <v>0</v>
      </c>
      <c r="AG2072" s="1443" t="b">
        <f t="shared" si="951"/>
        <v>0</v>
      </c>
      <c r="AH2072" s="1443" t="b">
        <f t="shared" si="951"/>
        <v>0</v>
      </c>
      <c r="AI2072" s="1737" t="b">
        <f t="shared" si="951"/>
        <v>0</v>
      </c>
      <c r="AP2072" s="1135" t="s">
        <v>2448</v>
      </c>
    </row>
    <row r="2073" spans="2:42">
      <c r="B2073" s="1124"/>
      <c r="C2073" s="485"/>
      <c r="D2073" s="582">
        <f t="shared" si="949"/>
        <v>9</v>
      </c>
      <c r="E2073" s="866" t="str">
        <f t="shared" si="941"/>
        <v/>
      </c>
      <c r="F2073" s="964" t="str">
        <f t="shared" ref="F2073:I2073" si="956">IF(F2063&lt;&gt; "",F2063,IF(F2053 &lt;&gt; "", F2053,""))</f>
        <v/>
      </c>
      <c r="G2073" s="895" t="str">
        <f t="shared" si="956"/>
        <v/>
      </c>
      <c r="H2073" s="658" t="str">
        <f t="shared" si="956"/>
        <v/>
      </c>
      <c r="I2073" s="965" t="str">
        <f t="shared" si="956"/>
        <v/>
      </c>
      <c r="J2073" s="1804"/>
      <c r="K2073" s="1805"/>
      <c r="L2073" s="1805"/>
      <c r="M2073" s="1805"/>
      <c r="N2073" s="1805"/>
      <c r="O2073" s="485"/>
      <c r="S2073" s="1435"/>
      <c r="T2073" s="1435"/>
      <c r="Z2073" s="1736" t="b">
        <f t="shared" si="943"/>
        <v>0</v>
      </c>
      <c r="AA2073" s="1443" t="b">
        <f t="shared" si="944"/>
        <v>0</v>
      </c>
      <c r="AB2073" s="1737" t="b">
        <f t="shared" si="947"/>
        <v>0</v>
      </c>
      <c r="AC2073" s="1738" t="b">
        <f t="shared" si="951"/>
        <v>0</v>
      </c>
      <c r="AD2073" s="1443" t="b">
        <f t="shared" si="951"/>
        <v>0</v>
      </c>
      <c r="AE2073" s="1443" t="b">
        <f t="shared" si="951"/>
        <v>0</v>
      </c>
      <c r="AF2073" s="1443" t="b">
        <f t="shared" si="951"/>
        <v>0</v>
      </c>
      <c r="AG2073" s="1443" t="b">
        <f t="shared" si="951"/>
        <v>0</v>
      </c>
      <c r="AH2073" s="1443" t="b">
        <f t="shared" si="951"/>
        <v>0</v>
      </c>
      <c r="AI2073" s="1737" t="b">
        <f t="shared" si="951"/>
        <v>0</v>
      </c>
      <c r="AP2073" s="1135" t="s">
        <v>2449</v>
      </c>
    </row>
    <row r="2074" spans="2:42" ht="13.5" thickBot="1">
      <c r="B2074" s="1124"/>
      <c r="C2074" s="485"/>
      <c r="D2074" s="584">
        <f t="shared" si="949"/>
        <v>10</v>
      </c>
      <c r="E2074" s="868" t="str">
        <f t="shared" si="941"/>
        <v/>
      </c>
      <c r="F2074" s="967" t="str">
        <f t="shared" ref="F2074:I2074" si="957">IF(F2064&lt;&gt; "",F2064,IF(F2054 &lt;&gt; "", F2054,""))</f>
        <v/>
      </c>
      <c r="G2074" s="968" t="str">
        <f t="shared" si="957"/>
        <v/>
      </c>
      <c r="H2074" s="660" t="str">
        <f t="shared" si="957"/>
        <v/>
      </c>
      <c r="I2074" s="969" t="str">
        <f t="shared" si="957"/>
        <v/>
      </c>
      <c r="J2074" s="1804"/>
      <c r="K2074" s="1805"/>
      <c r="L2074" s="1805"/>
      <c r="M2074" s="1805"/>
      <c r="N2074" s="1805"/>
      <c r="O2074" s="485"/>
      <c r="S2074" s="1435"/>
      <c r="T2074" s="1435"/>
      <c r="Z2074" s="1742" t="b">
        <f t="shared" si="943"/>
        <v>0</v>
      </c>
      <c r="AA2074" s="1743" t="b">
        <f t="shared" si="944"/>
        <v>0</v>
      </c>
      <c r="AB2074" s="1744" t="b">
        <f t="shared" si="947"/>
        <v>0</v>
      </c>
      <c r="AC2074" s="1745" t="b">
        <f t="shared" si="951"/>
        <v>0</v>
      </c>
      <c r="AD2074" s="1743" t="b">
        <f t="shared" si="951"/>
        <v>0</v>
      </c>
      <c r="AE2074" s="1743" t="b">
        <f t="shared" si="951"/>
        <v>0</v>
      </c>
      <c r="AF2074" s="1743" t="b">
        <f t="shared" si="951"/>
        <v>0</v>
      </c>
      <c r="AG2074" s="1743" t="b">
        <f t="shared" si="951"/>
        <v>0</v>
      </c>
      <c r="AH2074" s="1743" t="b">
        <f t="shared" si="951"/>
        <v>0</v>
      </c>
      <c r="AI2074" s="1744" t="b">
        <f t="shared" si="951"/>
        <v>0</v>
      </c>
      <c r="AP2074" s="1135" t="s">
        <v>2450</v>
      </c>
    </row>
    <row r="2075" spans="2:42" ht="12.75" customHeight="1" thickBot="1">
      <c r="B2075" s="1124"/>
      <c r="C2075" s="485"/>
      <c r="D2075" s="971"/>
      <c r="E2075" s="972" t="s">
        <v>921</v>
      </c>
      <c r="F2075" s="948"/>
      <c r="G2075" s="1881"/>
      <c r="H2075" s="605" t="str">
        <f t="shared" ref="H2075:I2075" si="958">IF(COUNT(H2065:H2074)&gt;0,SUM(H2065:H2074),"")</f>
        <v/>
      </c>
      <c r="I2075" s="973" t="str">
        <f t="shared" si="958"/>
        <v/>
      </c>
      <c r="J2075" s="1804"/>
      <c r="K2075" s="1805"/>
      <c r="L2075" s="1805"/>
      <c r="M2075" s="1805"/>
      <c r="N2075" s="1805"/>
      <c r="O2075" s="485"/>
      <c r="P2075" s="485"/>
      <c r="S2075" s="1435"/>
      <c r="T2075" s="1435"/>
      <c r="AB2075" s="1848" t="b">
        <f>AND(AB2065:AB2074)</f>
        <v>0</v>
      </c>
    </row>
    <row r="2076" spans="2:42" ht="12.75" customHeight="1" thickBot="1">
      <c r="B2076" s="479"/>
      <c r="C2076" s="479"/>
      <c r="D2076" s="479"/>
      <c r="E2076" s="479"/>
      <c r="F2076" s="479"/>
      <c r="G2076" s="479"/>
      <c r="H2076" s="479"/>
      <c r="I2076" s="479"/>
      <c r="J2076" s="479"/>
      <c r="K2076" s="479"/>
      <c r="L2076" s="479"/>
      <c r="M2076" s="485"/>
      <c r="N2076" s="485"/>
      <c r="O2076" s="485"/>
      <c r="P2076" s="485"/>
      <c r="Q2076" s="1435"/>
      <c r="S2076" s="1435"/>
      <c r="T2076" s="1435"/>
    </row>
    <row r="2077" spans="2:42" ht="5.0999999999999996" customHeight="1">
      <c r="B2077" s="479"/>
      <c r="C2077" s="975"/>
      <c r="D2077" s="976"/>
      <c r="E2077" s="976"/>
      <c r="F2077" s="976"/>
      <c r="G2077" s="976"/>
      <c r="H2077" s="976"/>
      <c r="I2077" s="976"/>
      <c r="J2077" s="976"/>
      <c r="K2077" s="976"/>
      <c r="L2077" s="976"/>
      <c r="M2077" s="774"/>
      <c r="N2077" s="775"/>
      <c r="O2077" s="485"/>
      <c r="P2077" s="485"/>
      <c r="Q2077" s="1435"/>
      <c r="S2077" s="1435"/>
      <c r="T2077" s="1435"/>
    </row>
    <row r="2078" spans="2:42" ht="15" customHeight="1">
      <c r="B2078" s="1124"/>
      <c r="C2078" s="977"/>
      <c r="D2078" s="2678" t="s">
        <v>2330</v>
      </c>
      <c r="E2078" s="2672"/>
      <c r="F2078" s="2672"/>
      <c r="G2078" s="2672"/>
      <c r="H2078" s="2672"/>
      <c r="I2078" s="2672"/>
      <c r="J2078" s="2672"/>
      <c r="K2078" s="2672"/>
      <c r="L2078" s="2672"/>
      <c r="M2078" s="2672"/>
      <c r="N2078" s="2673"/>
      <c r="O2078" s="485"/>
      <c r="P2078" s="485"/>
      <c r="S2078" s="1435"/>
      <c r="T2078" s="1435"/>
    </row>
    <row r="2079" spans="2:42" ht="5.0999999999999996" customHeight="1">
      <c r="B2079" s="1124"/>
      <c r="C2079" s="980"/>
      <c r="D2079" s="813"/>
      <c r="E2079" s="813"/>
      <c r="F2079" s="813"/>
      <c r="G2079" s="813"/>
      <c r="H2079" s="813"/>
      <c r="I2079" s="813"/>
      <c r="J2079" s="813"/>
      <c r="K2079" s="813"/>
      <c r="L2079" s="813"/>
      <c r="M2079" s="813"/>
      <c r="N2079" s="814"/>
      <c r="O2079" s="485"/>
      <c r="P2079" s="485"/>
      <c r="S2079" s="1435"/>
      <c r="T2079" s="1435"/>
    </row>
    <row r="2080" spans="2:42" ht="15" customHeight="1">
      <c r="B2080" s="1124"/>
      <c r="C2080" s="980"/>
      <c r="D2080" s="2679" t="str">
        <f>EUconst_BMSubinst &amp; ":"</f>
        <v>Sub-installation with product benchmark:</v>
      </c>
      <c r="E2080" s="2646"/>
      <c r="F2080" s="2646"/>
      <c r="G2080" s="2646"/>
      <c r="H2080" s="2680"/>
      <c r="I2080" s="3293" t="str">
        <f>I1945</f>
        <v/>
      </c>
      <c r="J2080" s="3294"/>
      <c r="K2080" s="3294"/>
      <c r="L2080" s="3294"/>
      <c r="M2080" s="3294"/>
      <c r="N2080" s="3295"/>
      <c r="O2080" s="485"/>
      <c r="P2080" s="485"/>
      <c r="S2080" s="1435"/>
      <c r="T2080" s="1435"/>
    </row>
    <row r="2081" spans="2:20" ht="5.0999999999999996" customHeight="1">
      <c r="B2081" s="1124"/>
      <c r="C2081" s="980"/>
      <c r="D2081" s="813"/>
      <c r="E2081" s="813"/>
      <c r="F2081" s="813"/>
      <c r="G2081" s="813"/>
      <c r="H2081" s="813"/>
      <c r="I2081" s="813"/>
      <c r="J2081" s="813"/>
      <c r="K2081" s="813"/>
      <c r="L2081" s="813"/>
      <c r="M2081" s="813"/>
      <c r="N2081" s="814"/>
      <c r="O2081" s="485"/>
      <c r="P2081" s="485"/>
      <c r="S2081" s="1435"/>
      <c r="T2081" s="1435"/>
    </row>
    <row r="2082" spans="2:20" ht="30" customHeight="1">
      <c r="B2082" s="479"/>
      <c r="C2082" s="977"/>
      <c r="D2082" s="981"/>
      <c r="E2082" s="2691" t="s">
        <v>2154</v>
      </c>
      <c r="F2082" s="2691"/>
      <c r="G2082" s="2691"/>
      <c r="H2082" s="2691"/>
      <c r="I2082" s="2691"/>
      <c r="J2082" s="2691"/>
      <c r="K2082" s="2691"/>
      <c r="L2082" s="2691"/>
      <c r="M2082" s="2691"/>
      <c r="N2082" s="2692"/>
      <c r="O2082" s="485"/>
      <c r="P2082" s="485"/>
      <c r="Q2082" s="1435"/>
    </row>
    <row r="2083" spans="2:20" ht="30" customHeight="1">
      <c r="B2083" s="479"/>
      <c r="C2083" s="977"/>
      <c r="D2083" s="981"/>
      <c r="E2083" s="2691" t="s">
        <v>1550</v>
      </c>
      <c r="F2083" s="2691"/>
      <c r="G2083" s="2691"/>
      <c r="H2083" s="2691"/>
      <c r="I2083" s="2691"/>
      <c r="J2083" s="2691"/>
      <c r="K2083" s="2691"/>
      <c r="L2083" s="2691"/>
      <c r="M2083" s="2691"/>
      <c r="N2083" s="2650"/>
      <c r="O2083" s="485"/>
      <c r="P2083" s="485"/>
      <c r="Q2083" s="1435"/>
    </row>
    <row r="2084" spans="2:20" ht="12.75" customHeight="1">
      <c r="B2084" s="479"/>
      <c r="C2084" s="977"/>
      <c r="D2084" s="981"/>
      <c r="E2084" s="2691" t="s">
        <v>1549</v>
      </c>
      <c r="F2084" s="2391"/>
      <c r="G2084" s="2391"/>
      <c r="H2084" s="2391"/>
      <c r="I2084" s="2391"/>
      <c r="J2084" s="2391"/>
      <c r="K2084" s="2391"/>
      <c r="L2084" s="2391"/>
      <c r="M2084" s="2391"/>
      <c r="N2084" s="2650"/>
      <c r="O2084" s="485"/>
      <c r="P2084" s="485"/>
      <c r="Q2084" s="1435"/>
    </row>
    <row r="2085" spans="2:20" ht="15" customHeight="1">
      <c r="B2085" s="479"/>
      <c r="C2085" s="977"/>
      <c r="D2085" s="981"/>
      <c r="E2085" s="3269" t="s">
        <v>2215</v>
      </c>
      <c r="F2085" s="3269"/>
      <c r="G2085" s="3269"/>
      <c r="H2085" s="3269"/>
      <c r="I2085" s="3269"/>
      <c r="J2085" s="3269"/>
      <c r="K2085" s="3269"/>
      <c r="L2085" s="3269"/>
      <c r="M2085" s="3269"/>
      <c r="N2085" s="2694"/>
      <c r="O2085" s="485"/>
      <c r="P2085" s="485"/>
      <c r="Q2085" s="1435"/>
    </row>
    <row r="2086" spans="2:20" ht="5.0999999999999996" customHeight="1">
      <c r="B2086" s="1124"/>
      <c r="C2086" s="980"/>
      <c r="D2086" s="813"/>
      <c r="E2086" s="813"/>
      <c r="F2086" s="813"/>
      <c r="G2086" s="813"/>
      <c r="H2086" s="813"/>
      <c r="I2086" s="813"/>
      <c r="J2086" s="813"/>
      <c r="K2086" s="813"/>
      <c r="L2086" s="813"/>
      <c r="M2086" s="813"/>
      <c r="N2086" s="814"/>
      <c r="O2086" s="485"/>
      <c r="P2086" s="485"/>
      <c r="S2086" s="1435"/>
      <c r="T2086" s="1435"/>
    </row>
    <row r="2087" spans="2:20" ht="15" customHeight="1">
      <c r="B2087" s="479"/>
      <c r="C2087" s="977"/>
      <c r="D2087" s="981"/>
      <c r="E2087" s="3291" t="s">
        <v>1475</v>
      </c>
      <c r="F2087" s="3291"/>
      <c r="G2087" s="3291"/>
      <c r="H2087" s="3291"/>
      <c r="I2087" s="3291"/>
      <c r="J2087" s="3291"/>
      <c r="K2087" s="3291"/>
      <c r="L2087" s="3291"/>
      <c r="M2087" s="3291"/>
      <c r="N2087" s="2694"/>
      <c r="O2087" s="485"/>
      <c r="P2087" s="485"/>
      <c r="Q2087" s="1435"/>
    </row>
    <row r="2088" spans="2:20" ht="5.0999999999999996" customHeight="1">
      <c r="B2088" s="1124"/>
      <c r="C2088" s="980"/>
      <c r="D2088" s="813"/>
      <c r="E2088" s="813"/>
      <c r="F2088" s="813"/>
      <c r="G2088" s="813"/>
      <c r="H2088" s="813"/>
      <c r="I2088" s="813"/>
      <c r="J2088" s="813"/>
      <c r="K2088" s="813"/>
      <c r="L2088" s="813"/>
      <c r="M2088" s="813"/>
      <c r="N2088" s="814"/>
      <c r="O2088" s="485"/>
      <c r="P2088" s="485"/>
      <c r="S2088" s="1435"/>
      <c r="T2088" s="1435"/>
    </row>
    <row r="2089" spans="2:20" ht="12.75" customHeight="1">
      <c r="B2089" s="479"/>
      <c r="C2089" s="977"/>
      <c r="D2089" s="982" t="s">
        <v>266</v>
      </c>
      <c r="E2089" s="2671" t="s">
        <v>1617</v>
      </c>
      <c r="F2089" s="2672"/>
      <c r="G2089" s="2672"/>
      <c r="H2089" s="2672"/>
      <c r="I2089" s="2672"/>
      <c r="J2089" s="2672"/>
      <c r="K2089" s="2672"/>
      <c r="L2089" s="2672"/>
      <c r="M2089" s="2672"/>
      <c r="N2089" s="2673"/>
      <c r="O2089" s="485"/>
      <c r="P2089" s="485"/>
      <c r="Q2089" s="1435"/>
      <c r="S2089" s="1435"/>
      <c r="T2089" s="1435"/>
    </row>
    <row r="2090" spans="2:20" ht="12.75" customHeight="1">
      <c r="B2090" s="479"/>
      <c r="C2090" s="977"/>
      <c r="D2090" s="777"/>
      <c r="E2090" s="3292" t="s">
        <v>2295</v>
      </c>
      <c r="F2090" s="2671"/>
      <c r="G2090" s="2671"/>
      <c r="H2090" s="2671"/>
      <c r="I2090" s="2671"/>
      <c r="J2090" s="2671"/>
      <c r="K2090" s="2671"/>
      <c r="L2090" s="2671"/>
      <c r="M2090" s="2671"/>
      <c r="N2090" s="2712"/>
      <c r="O2090" s="485"/>
      <c r="P2090" s="485"/>
      <c r="Q2090" s="1435"/>
      <c r="S2090" s="1435"/>
      <c r="T2090" s="1435"/>
    </row>
    <row r="2091" spans="2:20" ht="12.75" customHeight="1">
      <c r="B2091" s="479"/>
      <c r="C2091" s="977"/>
      <c r="D2091" s="981"/>
      <c r="E2091" s="3288" t="s">
        <v>1618</v>
      </c>
      <c r="F2091" s="3288"/>
      <c r="G2091" s="3288"/>
      <c r="H2091" s="3288"/>
      <c r="I2091" s="3288"/>
      <c r="J2091" s="3288"/>
      <c r="K2091" s="3288"/>
      <c r="L2091" s="3288"/>
      <c r="M2091" s="3288"/>
      <c r="N2091" s="3289"/>
      <c r="O2091" s="485"/>
      <c r="P2091" s="485"/>
      <c r="Q2091" s="1435"/>
      <c r="S2091" s="1435"/>
    </row>
    <row r="2092" spans="2:20" ht="25.5" customHeight="1">
      <c r="B2092" s="479"/>
      <c r="C2092" s="977"/>
      <c r="D2092" s="981"/>
      <c r="E2092" s="985" t="s">
        <v>1021</v>
      </c>
      <c r="F2092" s="3290" t="s">
        <v>1616</v>
      </c>
      <c r="G2092" s="2646"/>
      <c r="H2092" s="2646"/>
      <c r="I2092" s="2646"/>
      <c r="J2092" s="2646"/>
      <c r="K2092" s="2646"/>
      <c r="L2092" s="2646"/>
      <c r="M2092" s="2646"/>
      <c r="N2092" s="2647"/>
      <c r="O2092" s="485"/>
      <c r="P2092" s="485"/>
      <c r="Q2092" s="1435"/>
      <c r="S2092" s="1435"/>
    </row>
    <row r="2093" spans="2:20" ht="38.25" customHeight="1">
      <c r="B2093" s="479"/>
      <c r="C2093" s="977"/>
      <c r="D2093" s="981"/>
      <c r="E2093" s="985"/>
      <c r="F2093" s="3267" t="s">
        <v>1615</v>
      </c>
      <c r="G2093" s="2380"/>
      <c r="H2093" s="2380"/>
      <c r="I2093" s="2380"/>
      <c r="J2093" s="2380"/>
      <c r="K2093" s="2380"/>
      <c r="L2093" s="2380"/>
      <c r="M2093" s="2380"/>
      <c r="N2093" s="3268"/>
      <c r="O2093" s="485"/>
      <c r="P2093" s="485"/>
      <c r="Q2093" s="1435"/>
      <c r="S2093" s="1435"/>
    </row>
    <row r="2094" spans="2:20" ht="12.75" customHeight="1">
      <c r="B2094" s="479"/>
      <c r="C2094" s="977"/>
      <c r="D2094" s="981"/>
      <c r="E2094" s="985" t="s">
        <v>1021</v>
      </c>
      <c r="F2094" s="3290" t="s">
        <v>1278</v>
      </c>
      <c r="G2094" s="2646"/>
      <c r="H2094" s="2646"/>
      <c r="I2094" s="2646"/>
      <c r="J2094" s="2646"/>
      <c r="K2094" s="2646"/>
      <c r="L2094" s="2646"/>
      <c r="M2094" s="2646"/>
      <c r="N2094" s="2647"/>
      <c r="O2094" s="485"/>
      <c r="P2094" s="485"/>
      <c r="Q2094" s="1435"/>
      <c r="S2094" s="1435"/>
    </row>
    <row r="2095" spans="2:20" ht="38.85" customHeight="1">
      <c r="B2095" s="479"/>
      <c r="C2095" s="977"/>
      <c r="D2095" s="981"/>
      <c r="E2095" s="985"/>
      <c r="F2095" s="3290" t="s">
        <v>1620</v>
      </c>
      <c r="G2095" s="2646"/>
      <c r="H2095" s="2646"/>
      <c r="I2095" s="2646"/>
      <c r="J2095" s="2646"/>
      <c r="K2095" s="2646"/>
      <c r="L2095" s="2646"/>
      <c r="M2095" s="2646"/>
      <c r="N2095" s="2647"/>
      <c r="O2095" s="485"/>
      <c r="P2095" s="485"/>
      <c r="Q2095" s="1435"/>
      <c r="S2095" s="1435"/>
    </row>
    <row r="2096" spans="2:20" ht="25.5" customHeight="1">
      <c r="B2096" s="479"/>
      <c r="C2096" s="977"/>
      <c r="D2096" s="981"/>
      <c r="E2096" s="985"/>
      <c r="F2096" s="3290" t="s">
        <v>1619</v>
      </c>
      <c r="G2096" s="2646"/>
      <c r="H2096" s="2646"/>
      <c r="I2096" s="2646"/>
      <c r="J2096" s="2646"/>
      <c r="K2096" s="2646"/>
      <c r="L2096" s="2646"/>
      <c r="M2096" s="2646"/>
      <c r="N2096" s="2647"/>
      <c r="O2096" s="485"/>
      <c r="P2096" s="485"/>
      <c r="Q2096" s="1435"/>
      <c r="S2096" s="1435"/>
    </row>
    <row r="2097" spans="2:37" ht="25.5" customHeight="1">
      <c r="B2097" s="479"/>
      <c r="C2097" s="977"/>
      <c r="D2097" s="981"/>
      <c r="E2097" s="985" t="s">
        <v>1021</v>
      </c>
      <c r="F2097" s="3290" t="s">
        <v>1542</v>
      </c>
      <c r="G2097" s="2646"/>
      <c r="H2097" s="2646"/>
      <c r="I2097" s="2646"/>
      <c r="J2097" s="2646"/>
      <c r="K2097" s="2646"/>
      <c r="L2097" s="2646"/>
      <c r="M2097" s="2646"/>
      <c r="N2097" s="2647"/>
      <c r="O2097" s="485"/>
      <c r="P2097" s="485"/>
      <c r="Q2097" s="1435"/>
      <c r="S2097" s="1435"/>
    </row>
    <row r="2098" spans="2:37" ht="25.5" customHeight="1" thickBot="1">
      <c r="B2098" s="479"/>
      <c r="C2098" s="977"/>
      <c r="D2098" s="981"/>
      <c r="E2098" s="985" t="s">
        <v>1021</v>
      </c>
      <c r="F2098" s="3290" t="s">
        <v>1458</v>
      </c>
      <c r="G2098" s="2646"/>
      <c r="H2098" s="2646"/>
      <c r="I2098" s="2646"/>
      <c r="J2098" s="2646"/>
      <c r="K2098" s="2646"/>
      <c r="L2098" s="2646"/>
      <c r="M2098" s="2646"/>
      <c r="N2098" s="2647"/>
      <c r="O2098" s="485"/>
      <c r="P2098" s="485"/>
      <c r="Q2098" s="1435"/>
      <c r="S2098" s="1435"/>
    </row>
    <row r="2099" spans="2:37" ht="12.75" customHeight="1" thickBot="1">
      <c r="B2099" s="479"/>
      <c r="C2099" s="977"/>
      <c r="D2099" s="982"/>
      <c r="E2099" s="2648" t="s">
        <v>1612</v>
      </c>
      <c r="F2099" s="2648"/>
      <c r="G2099" s="987" t="str">
        <f>EUconst_Unit</f>
        <v>Unit</v>
      </c>
      <c r="H2099" s="782">
        <f t="shared" ref="H2099:N2099" si="959">H$3242</f>
        <v>2024</v>
      </c>
      <c r="I2099" s="988">
        <f t="shared" si="959"/>
        <v>2025</v>
      </c>
      <c r="J2099" s="1810">
        <f t="shared" si="959"/>
        <v>2026</v>
      </c>
      <c r="K2099" s="1747">
        <f t="shared" si="959"/>
        <v>2027</v>
      </c>
      <c r="L2099" s="1747">
        <f t="shared" si="959"/>
        <v>2028</v>
      </c>
      <c r="M2099" s="1747">
        <f t="shared" si="959"/>
        <v>2029</v>
      </c>
      <c r="N2099" s="1748">
        <f t="shared" si="959"/>
        <v>2030</v>
      </c>
      <c r="O2099" s="485"/>
      <c r="P2099" s="485"/>
      <c r="Q2099" s="1435"/>
      <c r="S2099" s="1648"/>
      <c r="T2099" s="1749">
        <f t="shared" ref="T2099:Z2099" si="960">H2099</f>
        <v>2024</v>
      </c>
      <c r="U2099" s="1749">
        <f t="shared" si="960"/>
        <v>2025</v>
      </c>
      <c r="V2099" s="1749">
        <f t="shared" si="960"/>
        <v>2026</v>
      </c>
      <c r="W2099" s="1749">
        <f t="shared" si="960"/>
        <v>2027</v>
      </c>
      <c r="X2099" s="1749">
        <f t="shared" si="960"/>
        <v>2028</v>
      </c>
      <c r="Y2099" s="1749">
        <f t="shared" si="960"/>
        <v>2029</v>
      </c>
      <c r="Z2099" s="1750">
        <f t="shared" si="960"/>
        <v>2030</v>
      </c>
      <c r="AC2099" s="1638">
        <f t="shared" ref="AC2099:AI2099" si="961">H$20</f>
        <v>2024</v>
      </c>
      <c r="AD2099" s="1638">
        <f t="shared" si="961"/>
        <v>2025</v>
      </c>
      <c r="AE2099" s="1638">
        <f t="shared" si="961"/>
        <v>2026</v>
      </c>
      <c r="AF2099" s="1638">
        <f t="shared" si="961"/>
        <v>2027</v>
      </c>
      <c r="AG2099" s="1638">
        <f t="shared" si="961"/>
        <v>2028</v>
      </c>
      <c r="AH2099" s="1638">
        <f t="shared" si="961"/>
        <v>2029</v>
      </c>
      <c r="AI2099" s="1638">
        <f t="shared" si="961"/>
        <v>2030</v>
      </c>
    </row>
    <row r="2100" spans="2:37" ht="12.75" customHeight="1" thickBot="1">
      <c r="B2100" s="479"/>
      <c r="C2100" s="977"/>
      <c r="D2100" s="981"/>
      <c r="E2100" s="3285" t="str">
        <f>I1945</f>
        <v/>
      </c>
      <c r="F2100" s="2410"/>
      <c r="G2100" s="815" t="str">
        <f>EUconst_tCO2epa</f>
        <v>t CO2e/year</v>
      </c>
      <c r="H2100" s="1479" t="str">
        <f>c_ALR2025!M4666</f>
        <v/>
      </c>
      <c r="I2100" s="1532"/>
      <c r="J2100" s="1811"/>
      <c r="K2100" s="1751"/>
      <c r="L2100" s="1751"/>
      <c r="M2100" s="1751"/>
      <c r="N2100" s="1752"/>
      <c r="O2100" s="485"/>
      <c r="P2100" s="9">
        <v>0</v>
      </c>
      <c r="Q2100" s="1644" t="str">
        <f>EUconst_CNTR_Emissions &amp; I1945</f>
        <v>DirEmissions_</v>
      </c>
      <c r="S2100" s="1753" t="str">
        <f>EUconst_CNTR_AttributedEmissions &amp; I1945</f>
        <v>AttrEmissions_</v>
      </c>
      <c r="T2100" s="1743" t="str">
        <f t="shared" ref="T2100:Z2100" si="962">IF(T1953,SUM(H2100),"")</f>
        <v/>
      </c>
      <c r="U2100" s="1743" t="str">
        <f t="shared" si="962"/>
        <v/>
      </c>
      <c r="V2100" s="1743" t="str">
        <f t="shared" si="962"/>
        <v/>
      </c>
      <c r="W2100" s="1743" t="str">
        <f t="shared" si="962"/>
        <v/>
      </c>
      <c r="X2100" s="1743" t="str">
        <f t="shared" si="962"/>
        <v/>
      </c>
      <c r="Y2100" s="1743" t="str">
        <f t="shared" si="962"/>
        <v/>
      </c>
      <c r="Z2100" s="1744" t="str">
        <f t="shared" si="962"/>
        <v/>
      </c>
      <c r="AB2100" s="1641" t="s">
        <v>717</v>
      </c>
      <c r="AC2100" s="1443" t="b">
        <f>AC2015</f>
        <v>0</v>
      </c>
      <c r="AD2100" s="1443" t="b">
        <f t="shared" ref="AD2100:AI2100" si="963">AD2015</f>
        <v>0</v>
      </c>
      <c r="AE2100" s="1443" t="b">
        <f t="shared" si="963"/>
        <v>0</v>
      </c>
      <c r="AF2100" s="1443" t="b">
        <f t="shared" si="963"/>
        <v>0</v>
      </c>
      <c r="AG2100" s="1443" t="b">
        <f t="shared" si="963"/>
        <v>0</v>
      </c>
      <c r="AH2100" s="1443" t="b">
        <f t="shared" si="963"/>
        <v>0</v>
      </c>
      <c r="AI2100" s="1443" t="b">
        <f t="shared" si="963"/>
        <v>0</v>
      </c>
      <c r="AJ2100" s="1633" t="s">
        <v>1954</v>
      </c>
      <c r="AK2100" s="1635" t="str">
        <f>IF(AND(CNTR_ExistSubInstEntries,MSconst_RequireSubAttrEmissions,COUNTIFS(AC2100:AI2100,FALSE,H2100:N2100,"")&gt;0),EUconst_Error&amp;"BM"&amp;$Q1945,"")</f>
        <v/>
      </c>
    </row>
    <row r="2101" spans="2:37" ht="12.75" customHeight="1">
      <c r="B2101" s="479"/>
      <c r="C2101" s="977"/>
      <c r="D2101" s="981"/>
      <c r="E2101" s="981"/>
      <c r="F2101" s="981"/>
      <c r="G2101" s="981"/>
      <c r="H2101" s="981"/>
      <c r="I2101" s="981"/>
      <c r="J2101" s="981"/>
      <c r="K2101" s="981"/>
      <c r="L2101" s="981"/>
      <c r="M2101" s="813"/>
      <c r="N2101" s="814"/>
      <c r="O2101" s="485"/>
      <c r="P2101" s="485"/>
      <c r="Q2101" s="1435"/>
      <c r="S2101" s="1435"/>
    </row>
    <row r="2102" spans="2:37" ht="12.75" customHeight="1">
      <c r="B2102" s="479"/>
      <c r="C2102" s="977"/>
      <c r="D2102" s="982" t="s">
        <v>269</v>
      </c>
      <c r="E2102" s="2649" t="s">
        <v>1189</v>
      </c>
      <c r="F2102" s="2391"/>
      <c r="G2102" s="2391"/>
      <c r="H2102" s="2391"/>
      <c r="I2102" s="2391"/>
      <c r="J2102" s="2391"/>
      <c r="K2102" s="2391"/>
      <c r="L2102" s="2391"/>
      <c r="M2102" s="2391"/>
      <c r="N2102" s="2650"/>
      <c r="O2102" s="485"/>
      <c r="P2102" s="485"/>
      <c r="Q2102" s="1435"/>
      <c r="R2102" s="1435"/>
      <c r="S2102" s="1435"/>
    </row>
    <row r="2103" spans="2:37" ht="25.5" customHeight="1">
      <c r="B2103" s="479"/>
      <c r="C2103" s="977"/>
      <c r="D2103" s="981"/>
      <c r="E2103" s="3288" t="s">
        <v>1605</v>
      </c>
      <c r="F2103" s="3288"/>
      <c r="G2103" s="3288"/>
      <c r="H2103" s="3288"/>
      <c r="I2103" s="3288"/>
      <c r="J2103" s="3288"/>
      <c r="K2103" s="3288"/>
      <c r="L2103" s="3288"/>
      <c r="M2103" s="3288"/>
      <c r="N2103" s="3289"/>
      <c r="O2103" s="485"/>
      <c r="P2103" s="485"/>
      <c r="Q2103" s="1435"/>
      <c r="R2103" s="1435"/>
      <c r="S2103" s="1435"/>
    </row>
    <row r="2104" spans="2:37" ht="25.5" customHeight="1">
      <c r="B2104" s="479"/>
      <c r="C2104" s="977"/>
      <c r="D2104" s="981"/>
      <c r="E2104" s="3288" t="s">
        <v>1357</v>
      </c>
      <c r="F2104" s="3288"/>
      <c r="G2104" s="3288"/>
      <c r="H2104" s="3288"/>
      <c r="I2104" s="3288"/>
      <c r="J2104" s="3288"/>
      <c r="K2104" s="3288"/>
      <c r="L2104" s="3288"/>
      <c r="M2104" s="3288"/>
      <c r="N2104" s="3289"/>
      <c r="O2104" s="485"/>
      <c r="P2104" s="485"/>
      <c r="Q2104" s="1435"/>
      <c r="S2104" s="1435"/>
    </row>
    <row r="2105" spans="2:37" ht="12.75" customHeight="1">
      <c r="B2105" s="479"/>
      <c r="C2105" s="977"/>
      <c r="D2105" s="981"/>
      <c r="E2105" s="3288" t="s">
        <v>1594</v>
      </c>
      <c r="F2105" s="3288"/>
      <c r="G2105" s="3288"/>
      <c r="H2105" s="3288"/>
      <c r="I2105" s="3288"/>
      <c r="J2105" s="3288"/>
      <c r="K2105" s="3288"/>
      <c r="L2105" s="3288"/>
      <c r="M2105" s="3288"/>
      <c r="N2105" s="3289"/>
      <c r="O2105" s="485"/>
      <c r="P2105" s="485"/>
      <c r="Q2105" s="1435"/>
      <c r="S2105" s="1435"/>
    </row>
    <row r="2106" spans="2:37" ht="12.75" customHeight="1">
      <c r="B2106" s="479"/>
      <c r="C2106" s="977"/>
      <c r="D2106" s="981"/>
      <c r="E2106" s="3272" t="s">
        <v>1557</v>
      </c>
      <c r="F2106" s="2380"/>
      <c r="G2106" s="2380"/>
      <c r="H2106" s="2380"/>
      <c r="I2106" s="2380"/>
      <c r="J2106" s="2380"/>
      <c r="K2106" s="2380"/>
      <c r="L2106" s="2380"/>
      <c r="M2106" s="2380"/>
      <c r="N2106" s="3268"/>
      <c r="O2106" s="485"/>
      <c r="P2106" s="485"/>
      <c r="Q2106" s="1435"/>
      <c r="S2106" s="1435"/>
    </row>
    <row r="2107" spans="2:37" ht="12.75" customHeight="1" thickBot="1">
      <c r="B2107" s="479"/>
      <c r="C2107" s="977"/>
      <c r="D2107" s="982"/>
      <c r="E2107" s="989"/>
      <c r="F2107" s="990"/>
      <c r="G2107" s="987" t="str">
        <f>EUconst_Unit</f>
        <v>Unit</v>
      </c>
      <c r="H2107" s="782">
        <f t="shared" ref="H2107:N2107" si="964">H$3242</f>
        <v>2024</v>
      </c>
      <c r="I2107" s="988">
        <f t="shared" si="964"/>
        <v>2025</v>
      </c>
      <c r="J2107" s="1810">
        <f t="shared" si="964"/>
        <v>2026</v>
      </c>
      <c r="K2107" s="1747">
        <f t="shared" si="964"/>
        <v>2027</v>
      </c>
      <c r="L2107" s="1747">
        <f t="shared" si="964"/>
        <v>2028</v>
      </c>
      <c r="M2107" s="1747">
        <f t="shared" si="964"/>
        <v>2029</v>
      </c>
      <c r="N2107" s="1748">
        <f t="shared" si="964"/>
        <v>2030</v>
      </c>
      <c r="O2107" s="485"/>
      <c r="P2107" s="485"/>
      <c r="Q2107" s="1435"/>
      <c r="S2107" s="1435"/>
      <c r="AC2107" s="1638">
        <f t="shared" ref="AC2107:AI2107" si="965">H$20</f>
        <v>2024</v>
      </c>
      <c r="AD2107" s="1638">
        <f t="shared" si="965"/>
        <v>2025</v>
      </c>
      <c r="AE2107" s="1638">
        <f t="shared" si="965"/>
        <v>2026</v>
      </c>
      <c r="AF2107" s="1638">
        <f t="shared" si="965"/>
        <v>2027</v>
      </c>
      <c r="AG2107" s="1638">
        <f t="shared" si="965"/>
        <v>2028</v>
      </c>
      <c r="AH2107" s="1638">
        <f t="shared" si="965"/>
        <v>2029</v>
      </c>
      <c r="AI2107" s="1638">
        <f t="shared" si="965"/>
        <v>2030</v>
      </c>
    </row>
    <row r="2108" spans="2:37" ht="12.75" customHeight="1">
      <c r="B2108" s="479"/>
      <c r="C2108" s="977"/>
      <c r="D2108" s="777" t="s">
        <v>6</v>
      </c>
      <c r="E2108" s="2475" t="s">
        <v>1344</v>
      </c>
      <c r="F2108" s="2410"/>
      <c r="G2108" s="815" t="str">
        <f>EUconst_TJpa</f>
        <v>TJ / year</v>
      </c>
      <c r="H2108" s="1479" t="str">
        <f>c_ALR2025!M4674</f>
        <v/>
      </c>
      <c r="I2108" s="1532"/>
      <c r="J2108" s="1811"/>
      <c r="K2108" s="1751"/>
      <c r="L2108" s="1751"/>
      <c r="M2108" s="1751"/>
      <c r="N2108" s="1752"/>
      <c r="O2108" s="485"/>
      <c r="P2108" s="9">
        <v>0</v>
      </c>
      <c r="Q2108" s="1644" t="str">
        <f>EUconst_CNTR_FuelInput &amp; I1945</f>
        <v>FuelInput_</v>
      </c>
      <c r="S2108" s="1435"/>
      <c r="AB2108" s="1641" t="s">
        <v>717</v>
      </c>
      <c r="AC2108" s="1443" t="b">
        <f>AC2015</f>
        <v>0</v>
      </c>
      <c r="AD2108" s="1443" t="b">
        <f t="shared" ref="AD2108:AI2108" si="966">AD2015</f>
        <v>0</v>
      </c>
      <c r="AE2108" s="1443" t="b">
        <f t="shared" si="966"/>
        <v>0</v>
      </c>
      <c r="AF2108" s="1443" t="b">
        <f t="shared" si="966"/>
        <v>0</v>
      </c>
      <c r="AG2108" s="1443" t="b">
        <f t="shared" si="966"/>
        <v>0</v>
      </c>
      <c r="AH2108" s="1443" t="b">
        <f t="shared" si="966"/>
        <v>0</v>
      </c>
      <c r="AI2108" s="1443" t="b">
        <f t="shared" si="966"/>
        <v>0</v>
      </c>
      <c r="AJ2108" s="1633" t="s">
        <v>1954</v>
      </c>
      <c r="AK2108" s="1635" t="str">
        <f>IF(AND(CNTR_ExistSubInstEntries,MSconst_RequireSubAttrEmissions,COUNTIFS(AC2108:AI2108,FALSE,H2108:N2108,"")&gt;0),EUconst_Error&amp;"BM"&amp;$Q1945,"")</f>
        <v/>
      </c>
    </row>
    <row r="2109" spans="2:37" ht="12.75" customHeight="1">
      <c r="B2109" s="479"/>
      <c r="C2109" s="977"/>
      <c r="D2109" s="777" t="s">
        <v>7</v>
      </c>
      <c r="E2109" s="2475" t="s">
        <v>1182</v>
      </c>
      <c r="F2109" s="2410"/>
      <c r="G2109" s="991" t="str">
        <f>EUconst_tCO2pTJ</f>
        <v>t CO2 / TJ</v>
      </c>
      <c r="H2109" s="1582" t="str">
        <f>c_ALR2025!M4675</f>
        <v/>
      </c>
      <c r="I2109" s="1882"/>
      <c r="J2109" s="1811"/>
      <c r="K2109" s="1751"/>
      <c r="L2109" s="1751"/>
      <c r="M2109" s="1751"/>
      <c r="N2109" s="1752"/>
      <c r="O2109" s="485"/>
      <c r="P2109" s="9">
        <v>0</v>
      </c>
      <c r="Q2109" s="1644" t="str">
        <f>EUconst_CNTR_FuelEF &amp; I1945</f>
        <v>FuelEF_</v>
      </c>
      <c r="S2109" s="1435"/>
      <c r="AC2109" s="1443" t="b">
        <f>AC2108</f>
        <v>0</v>
      </c>
      <c r="AD2109" s="1443" t="b">
        <f t="shared" ref="AD2109:AI2109" si="967">AD2108</f>
        <v>0</v>
      </c>
      <c r="AE2109" s="1443" t="b">
        <f t="shared" si="967"/>
        <v>0</v>
      </c>
      <c r="AF2109" s="1443" t="b">
        <f t="shared" si="967"/>
        <v>0</v>
      </c>
      <c r="AG2109" s="1443" t="b">
        <f t="shared" si="967"/>
        <v>0</v>
      </c>
      <c r="AH2109" s="1443" t="b">
        <f t="shared" si="967"/>
        <v>0</v>
      </c>
      <c r="AI2109" s="1443" t="b">
        <f t="shared" si="967"/>
        <v>0</v>
      </c>
      <c r="AJ2109" s="1633" t="s">
        <v>1954</v>
      </c>
      <c r="AK2109" s="1635" t="str">
        <f>IF(AND(CNTR_ExistSubInstEntries,MSconst_RequireSubAttrEmissions,COUNTIFS(AC2109:AI2109,FALSE,H2109:N2109,"")&gt;0),EUconst_Error&amp;"BM"&amp;$Q1945,"")</f>
        <v/>
      </c>
    </row>
    <row r="2110" spans="2:37" ht="12.75" customHeight="1">
      <c r="B2110" s="479"/>
      <c r="C2110" s="977"/>
      <c r="D2110" s="981"/>
      <c r="E2110" s="981"/>
      <c r="F2110" s="981"/>
      <c r="G2110" s="981"/>
      <c r="H2110" s="981"/>
      <c r="I2110" s="981"/>
      <c r="J2110" s="981"/>
      <c r="K2110" s="981"/>
      <c r="L2110" s="981"/>
      <c r="M2110" s="813"/>
      <c r="N2110" s="814"/>
      <c r="O2110" s="485"/>
      <c r="P2110" s="485"/>
      <c r="Q2110" s="1435"/>
      <c r="S2110" s="1435"/>
    </row>
    <row r="2111" spans="2:37" ht="12.75" customHeight="1">
      <c r="B2111" s="479"/>
      <c r="C2111" s="977"/>
      <c r="D2111" s="982" t="s">
        <v>271</v>
      </c>
      <c r="E2111" s="2649" t="s">
        <v>1416</v>
      </c>
      <c r="F2111" s="2391"/>
      <c r="G2111" s="2391"/>
      <c r="H2111" s="2391"/>
      <c r="I2111" s="2391"/>
      <c r="J2111" s="2391"/>
      <c r="K2111" s="2391"/>
      <c r="L2111" s="2391"/>
      <c r="M2111" s="2391"/>
      <c r="N2111" s="2650"/>
      <c r="O2111" s="485"/>
      <c r="P2111" s="485"/>
      <c r="Q2111" s="1435"/>
      <c r="R2111" s="1435"/>
      <c r="S2111" s="1435"/>
    </row>
    <row r="2112" spans="2:37" ht="12.75" customHeight="1">
      <c r="B2112" s="479"/>
      <c r="C2112" s="977"/>
      <c r="D2112" s="777"/>
      <c r="E2112" s="3272" t="s">
        <v>2295</v>
      </c>
      <c r="F2112" s="2380"/>
      <c r="G2112" s="2380"/>
      <c r="H2112" s="2380"/>
      <c r="I2112" s="2380"/>
      <c r="J2112" s="2380"/>
      <c r="K2112" s="2380"/>
      <c r="L2112" s="2380"/>
      <c r="M2112" s="2380"/>
      <c r="N2112" s="3268"/>
      <c r="O2112" s="485"/>
      <c r="P2112" s="485"/>
      <c r="Q2112" s="1435"/>
      <c r="S2112" s="1435"/>
      <c r="T2112" s="1435"/>
      <c r="U2112" s="1435"/>
      <c r="V2112" s="1435"/>
    </row>
    <row r="2113" spans="2:37" ht="25.5" customHeight="1">
      <c r="B2113" s="479"/>
      <c r="C2113" s="977"/>
      <c r="D2113" s="981"/>
      <c r="E2113" s="3272" t="s">
        <v>1551</v>
      </c>
      <c r="F2113" s="2380"/>
      <c r="G2113" s="2380"/>
      <c r="H2113" s="2380"/>
      <c r="I2113" s="2380"/>
      <c r="J2113" s="2380"/>
      <c r="K2113" s="2380"/>
      <c r="L2113" s="2380"/>
      <c r="M2113" s="2380"/>
      <c r="N2113" s="3268"/>
      <c r="O2113" s="485"/>
      <c r="P2113" s="485"/>
      <c r="Q2113" s="1435"/>
      <c r="R2113" s="1435"/>
      <c r="S2113" s="1435"/>
    </row>
    <row r="2114" spans="2:37" ht="12.75" customHeight="1">
      <c r="B2114" s="479"/>
      <c r="C2114" s="977"/>
      <c r="D2114" s="981"/>
      <c r="E2114" s="3267" t="s">
        <v>1552</v>
      </c>
      <c r="F2114" s="2380"/>
      <c r="G2114" s="2380"/>
      <c r="H2114" s="2380"/>
      <c r="I2114" s="2380"/>
      <c r="J2114" s="2380"/>
      <c r="K2114" s="2380"/>
      <c r="L2114" s="2380"/>
      <c r="M2114" s="2380"/>
      <c r="N2114" s="3268"/>
      <c r="O2114" s="485"/>
      <c r="P2114" s="485"/>
      <c r="Q2114" s="1435"/>
      <c r="R2114" s="1435"/>
      <c r="S2114" s="1435"/>
    </row>
    <row r="2115" spans="2:37" ht="38.85" customHeight="1">
      <c r="B2115" s="479"/>
      <c r="C2115" s="977"/>
      <c r="D2115" s="981"/>
      <c r="E2115" s="3267" t="s">
        <v>1553</v>
      </c>
      <c r="F2115" s="2380"/>
      <c r="G2115" s="2380"/>
      <c r="H2115" s="2380"/>
      <c r="I2115" s="2380"/>
      <c r="J2115" s="2380"/>
      <c r="K2115" s="2380"/>
      <c r="L2115" s="2380"/>
      <c r="M2115" s="2380"/>
      <c r="N2115" s="3268"/>
      <c r="O2115" s="485"/>
      <c r="P2115" s="485"/>
      <c r="Q2115" s="1435"/>
      <c r="S2115" s="1435"/>
    </row>
    <row r="2116" spans="2:37" ht="51" customHeight="1">
      <c r="B2116" s="479"/>
      <c r="C2116" s="977"/>
      <c r="D2116" s="981"/>
      <c r="E2116" s="3267" t="s">
        <v>1567</v>
      </c>
      <c r="F2116" s="2380"/>
      <c r="G2116" s="2380"/>
      <c r="H2116" s="2380"/>
      <c r="I2116" s="2380"/>
      <c r="J2116" s="2380"/>
      <c r="K2116" s="2380"/>
      <c r="L2116" s="2380"/>
      <c r="M2116" s="2380"/>
      <c r="N2116" s="3268"/>
      <c r="O2116" s="485"/>
      <c r="P2116" s="485"/>
      <c r="Q2116" s="1435"/>
      <c r="S2116" s="1435"/>
    </row>
    <row r="2117" spans="2:37" ht="25.5" customHeight="1">
      <c r="B2117" s="479"/>
      <c r="C2117" s="977"/>
      <c r="D2117" s="981"/>
      <c r="E2117" s="3267" t="s">
        <v>1565</v>
      </c>
      <c r="F2117" s="2380"/>
      <c r="G2117" s="2380"/>
      <c r="H2117" s="2380"/>
      <c r="I2117" s="2380"/>
      <c r="J2117" s="2380"/>
      <c r="K2117" s="2380"/>
      <c r="L2117" s="2380"/>
      <c r="M2117" s="2380"/>
      <c r="N2117" s="3268"/>
      <c r="O2117" s="485"/>
      <c r="P2117" s="485"/>
      <c r="Q2117" s="1435"/>
      <c r="S2117" s="1435"/>
    </row>
    <row r="2118" spans="2:37" ht="12.75" customHeight="1">
      <c r="B2118" s="479"/>
      <c r="C2118" s="977"/>
      <c r="D2118" s="777" t="s">
        <v>6</v>
      </c>
      <c r="E2118" s="2682" t="s">
        <v>1456</v>
      </c>
      <c r="F2118" s="2391"/>
      <c r="G2118" s="2391"/>
      <c r="H2118" s="2391"/>
      <c r="I2118" s="2391"/>
      <c r="J2118" s="2391"/>
      <c r="K2118" s="2512"/>
      <c r="L2118" s="1478" t="str">
        <f>c_ALR2025!L4684</f>
        <v/>
      </c>
      <c r="M2118" s="978"/>
      <c r="N2118" s="979"/>
      <c r="O2118" s="485"/>
      <c r="P2118" s="9">
        <v>0</v>
      </c>
      <c r="Q2118" s="1435"/>
      <c r="S2118" s="1435"/>
      <c r="AF2118" s="1641" t="s">
        <v>717</v>
      </c>
      <c r="AG2118" s="1423" t="b">
        <f>AND(CNTR_ExistSubInstEntries,I1945="")</f>
        <v>0</v>
      </c>
    </row>
    <row r="2119" spans="2:37" ht="12.75" customHeight="1">
      <c r="B2119" s="479"/>
      <c r="C2119" s="977"/>
      <c r="D2119" s="981"/>
      <c r="E2119" s="3267" t="s">
        <v>1216</v>
      </c>
      <c r="F2119" s="2380"/>
      <c r="G2119" s="2380"/>
      <c r="H2119" s="2380"/>
      <c r="I2119" s="2380"/>
      <c r="J2119" s="2380"/>
      <c r="K2119" s="2380"/>
      <c r="L2119" s="2380"/>
      <c r="M2119" s="2380"/>
      <c r="N2119" s="3268"/>
      <c r="O2119" s="485"/>
      <c r="P2119" s="485"/>
      <c r="Q2119" s="1435"/>
      <c r="S2119" s="1435"/>
    </row>
    <row r="2120" spans="2:37" ht="12.75" customHeight="1">
      <c r="B2120" s="479"/>
      <c r="C2120" s="977"/>
      <c r="D2120" s="777" t="s">
        <v>7</v>
      </c>
      <c r="E2120" s="2649" t="s">
        <v>1214</v>
      </c>
      <c r="F2120" s="2391"/>
      <c r="G2120" s="2391"/>
      <c r="H2120" s="2512"/>
      <c r="I2120" s="3211" t="str">
        <f>c_ALR2025!I4686</f>
        <v/>
      </c>
      <c r="J2120" s="3286"/>
      <c r="K2120" s="3286"/>
      <c r="L2120" s="3286"/>
      <c r="M2120" s="3287"/>
      <c r="N2120" s="992"/>
      <c r="O2120" s="485"/>
      <c r="P2120" s="9">
        <v>0</v>
      </c>
      <c r="Q2120" s="1435"/>
      <c r="S2120" s="1435"/>
      <c r="AC2120" s="1641" t="s">
        <v>717</v>
      </c>
      <c r="AD2120" s="1423" t="b">
        <f>OR(AG2118,AND($L2118&lt;&gt;"",$L2118=FALSE))</f>
        <v>0</v>
      </c>
    </row>
    <row r="2121" spans="2:37" ht="5.0999999999999996" customHeight="1">
      <c r="B2121" s="479"/>
      <c r="C2121" s="977"/>
      <c r="D2121" s="981"/>
      <c r="E2121" s="986"/>
      <c r="F2121" s="978"/>
      <c r="G2121" s="978"/>
      <c r="H2121" s="978"/>
      <c r="I2121" s="978"/>
      <c r="J2121" s="978"/>
      <c r="K2121" s="978"/>
      <c r="L2121" s="978"/>
      <c r="M2121" s="978"/>
      <c r="N2121" s="979"/>
      <c r="O2121" s="485"/>
      <c r="P2121" s="485"/>
      <c r="Q2121" s="1435"/>
      <c r="S2121" s="1435"/>
    </row>
    <row r="2122" spans="2:37" ht="12.75" customHeight="1" thickBot="1">
      <c r="B2122" s="479"/>
      <c r="C2122" s="977"/>
      <c r="D2122" s="981"/>
      <c r="E2122" s="2648" t="s">
        <v>1154</v>
      </c>
      <c r="F2122" s="2493"/>
      <c r="G2122" s="987" t="str">
        <f>EUconst_Unit</f>
        <v>Unit</v>
      </c>
      <c r="H2122" s="782">
        <f t="shared" ref="H2122:N2122" si="968">H$3242</f>
        <v>2024</v>
      </c>
      <c r="I2122" s="988">
        <f t="shared" si="968"/>
        <v>2025</v>
      </c>
      <c r="J2122" s="1810">
        <f t="shared" si="968"/>
        <v>2026</v>
      </c>
      <c r="K2122" s="1747">
        <f t="shared" si="968"/>
        <v>2027</v>
      </c>
      <c r="L2122" s="1747">
        <f t="shared" si="968"/>
        <v>2028</v>
      </c>
      <c r="M2122" s="1747">
        <f t="shared" si="968"/>
        <v>2029</v>
      </c>
      <c r="N2122" s="1748">
        <f t="shared" si="968"/>
        <v>2030</v>
      </c>
      <c r="O2122" s="485"/>
      <c r="P2122" s="485"/>
      <c r="Q2122" s="1435"/>
      <c r="S2122" s="1435"/>
      <c r="AC2122" s="1638">
        <f t="shared" ref="AC2122:AI2122" si="969">H$20</f>
        <v>2024</v>
      </c>
      <c r="AD2122" s="1638">
        <f t="shared" si="969"/>
        <v>2025</v>
      </c>
      <c r="AE2122" s="1638">
        <f t="shared" si="969"/>
        <v>2026</v>
      </c>
      <c r="AF2122" s="1638">
        <f t="shared" si="969"/>
        <v>2027</v>
      </c>
      <c r="AG2122" s="1638">
        <f t="shared" si="969"/>
        <v>2028</v>
      </c>
      <c r="AH2122" s="1638">
        <f t="shared" si="969"/>
        <v>2029</v>
      </c>
      <c r="AI2122" s="1638">
        <f t="shared" si="969"/>
        <v>2030</v>
      </c>
    </row>
    <row r="2123" spans="2:37" ht="12.75" customHeight="1">
      <c r="B2123" s="479"/>
      <c r="C2123" s="977"/>
      <c r="D2123" s="777" t="s">
        <v>8</v>
      </c>
      <c r="E2123" s="2471" t="s">
        <v>1153</v>
      </c>
      <c r="F2123" s="2472"/>
      <c r="G2123" s="811" t="str">
        <f>EUconst_tpa</f>
        <v>t / year</v>
      </c>
      <c r="H2123" s="1552" t="str">
        <f>c_ALR2025!M4689</f>
        <v/>
      </c>
      <c r="I2123" s="1611"/>
      <c r="J2123" s="1811"/>
      <c r="K2123" s="1751"/>
      <c r="L2123" s="1751"/>
      <c r="M2123" s="1751"/>
      <c r="N2123" s="1752"/>
      <c r="O2123" s="485"/>
      <c r="P2123" s="9">
        <v>0</v>
      </c>
      <c r="Q2123" s="1435"/>
      <c r="S2123" s="1435"/>
      <c r="AB2123" s="1641" t="s">
        <v>717</v>
      </c>
      <c r="AC2123" s="1423" t="b">
        <f>OR(AND($L2118&lt;&gt;"",$L2118=FALSE),AC2015)</f>
        <v>0</v>
      </c>
      <c r="AD2123" s="1443" t="b">
        <f t="shared" ref="AD2123:AI2123" si="970">OR(AND($L2118&lt;&gt;"",$L2118=FALSE),AD2015)</f>
        <v>0</v>
      </c>
      <c r="AE2123" s="1443" t="b">
        <f t="shared" si="970"/>
        <v>0</v>
      </c>
      <c r="AF2123" s="1443" t="b">
        <f t="shared" si="970"/>
        <v>0</v>
      </c>
      <c r="AG2123" s="1443" t="b">
        <f t="shared" si="970"/>
        <v>0</v>
      </c>
      <c r="AH2123" s="1443" t="b">
        <f t="shared" si="970"/>
        <v>0</v>
      </c>
      <c r="AI2123" s="1443" t="b">
        <f t="shared" si="970"/>
        <v>0</v>
      </c>
      <c r="AJ2123" s="1633" t="s">
        <v>1954</v>
      </c>
      <c r="AK2123" s="1635" t="str">
        <f>IF(AND(CNTR_ExistSubInstEntries,MSconst_RequireSubAttrEmissions,COUNTIFS(AC2123:AI2123,FALSE,H2123:N2123,"")&gt;0),EUconst_Error&amp;"BM"&amp;$Q1945,"")</f>
        <v/>
      </c>
    </row>
    <row r="2124" spans="2:37" ht="12.75" customHeight="1">
      <c r="B2124" s="479"/>
      <c r="C2124" s="977"/>
      <c r="D2124" s="777" t="s">
        <v>18</v>
      </c>
      <c r="E2124" s="2685" t="s">
        <v>946</v>
      </c>
      <c r="F2124" s="2608"/>
      <c r="G2124" s="993" t="str">
        <f>EUconst_GJpt</f>
        <v>GJ / t</v>
      </c>
      <c r="H2124" s="1557" t="str">
        <f>c_ALR2025!M4690</f>
        <v/>
      </c>
      <c r="I2124" s="1883"/>
      <c r="J2124" s="1811"/>
      <c r="K2124" s="1751"/>
      <c r="L2124" s="1751"/>
      <c r="M2124" s="1751"/>
      <c r="N2124" s="1752"/>
      <c r="O2124" s="485"/>
      <c r="P2124" s="9">
        <v>0</v>
      </c>
      <c r="Q2124" s="1435"/>
      <c r="S2124" s="1435"/>
      <c r="AC2124" s="1443" t="b">
        <f t="shared" ref="AC2124:AI2124" si="971">AC2123</f>
        <v>0</v>
      </c>
      <c r="AD2124" s="1443" t="b">
        <f t="shared" si="971"/>
        <v>0</v>
      </c>
      <c r="AE2124" s="1443" t="b">
        <f t="shared" si="971"/>
        <v>0</v>
      </c>
      <c r="AF2124" s="1443" t="b">
        <f t="shared" si="971"/>
        <v>0</v>
      </c>
      <c r="AG2124" s="1443" t="b">
        <f t="shared" si="971"/>
        <v>0</v>
      </c>
      <c r="AH2124" s="1443" t="b">
        <f t="shared" si="971"/>
        <v>0</v>
      </c>
      <c r="AI2124" s="1443" t="b">
        <f t="shared" si="971"/>
        <v>0</v>
      </c>
      <c r="AJ2124" s="1633" t="s">
        <v>1954</v>
      </c>
      <c r="AK2124" s="1635" t="str">
        <f>IF(AND(CNTR_ExistSubInstEntries,MSconst_RequireSubAttrEmissions,COUNTIFS(AC2124:AI2124,FALSE,H2124:N2124,"")&gt;0),EUconst_Error&amp;"BM"&amp;$Q1945,"")</f>
        <v/>
      </c>
    </row>
    <row r="2125" spans="2:37" ht="12.75" customHeight="1" thickBot="1">
      <c r="B2125" s="479"/>
      <c r="C2125" s="977"/>
      <c r="D2125" s="777" t="s">
        <v>787</v>
      </c>
      <c r="E2125" s="2685" t="s">
        <v>945</v>
      </c>
      <c r="F2125" s="2608"/>
      <c r="G2125" s="994" t="s">
        <v>878</v>
      </c>
      <c r="H2125" s="1557" t="str">
        <f>c_ALR2025!M4691</f>
        <v/>
      </c>
      <c r="I2125" s="1883"/>
      <c r="J2125" s="1811"/>
      <c r="K2125" s="1751"/>
      <c r="L2125" s="1751"/>
      <c r="M2125" s="1751"/>
      <c r="N2125" s="1752"/>
      <c r="O2125" s="485"/>
      <c r="P2125" s="9">
        <v>0</v>
      </c>
      <c r="Q2125" s="1435"/>
      <c r="S2125" s="1435"/>
      <c r="AC2125" s="1443" t="b">
        <f t="shared" ref="AC2125:AI2125" si="972">AC2124</f>
        <v>0</v>
      </c>
      <c r="AD2125" s="1443" t="b">
        <f t="shared" si="972"/>
        <v>0</v>
      </c>
      <c r="AE2125" s="1443" t="b">
        <f t="shared" si="972"/>
        <v>0</v>
      </c>
      <c r="AF2125" s="1443" t="b">
        <f t="shared" si="972"/>
        <v>0</v>
      </c>
      <c r="AG2125" s="1443" t="b">
        <f t="shared" si="972"/>
        <v>0</v>
      </c>
      <c r="AH2125" s="1443" t="b">
        <f t="shared" si="972"/>
        <v>0</v>
      </c>
      <c r="AI2125" s="1443" t="b">
        <f t="shared" si="972"/>
        <v>0</v>
      </c>
      <c r="AJ2125" s="1633" t="s">
        <v>1954</v>
      </c>
      <c r="AK2125" s="1635" t="str">
        <f>IF(AND(CNTR_ExistSubInstEntries,MSconst_RequireSubAttrEmissions,COUNTIFS(AC2125:AI2125,FALSE,H2125:N2125,"")&gt;0),EUconst_Error&amp;"BM"&amp;$Q1945,"")</f>
        <v/>
      </c>
    </row>
    <row r="2126" spans="2:37" ht="12.75" customHeight="1">
      <c r="B2126" s="479"/>
      <c r="C2126" s="977"/>
      <c r="D2126" s="777" t="s">
        <v>788</v>
      </c>
      <c r="E2126" s="2473" t="s">
        <v>880</v>
      </c>
      <c r="F2126" s="2474"/>
      <c r="G2126" s="812" t="s">
        <v>878</v>
      </c>
      <c r="H2126" s="1558" t="str">
        <f>c_ALR2025!M4692</f>
        <v/>
      </c>
      <c r="I2126" s="1884"/>
      <c r="J2126" s="1811"/>
      <c r="K2126" s="1751"/>
      <c r="L2126" s="1751"/>
      <c r="M2126" s="1751"/>
      <c r="N2126" s="1752"/>
      <c r="O2126" s="485"/>
      <c r="P2126" s="9">
        <v>0</v>
      </c>
      <c r="Q2126" s="1435"/>
      <c r="S2126" s="1648"/>
      <c r="T2126" s="1749">
        <f t="shared" ref="T2126:Z2126" si="973">H2122</f>
        <v>2024</v>
      </c>
      <c r="U2126" s="1749">
        <f t="shared" si="973"/>
        <v>2025</v>
      </c>
      <c r="V2126" s="1749">
        <f t="shared" si="973"/>
        <v>2026</v>
      </c>
      <c r="W2126" s="1749">
        <f t="shared" si="973"/>
        <v>2027</v>
      </c>
      <c r="X2126" s="1749">
        <f t="shared" si="973"/>
        <v>2028</v>
      </c>
      <c r="Y2126" s="1749">
        <f t="shared" si="973"/>
        <v>2029</v>
      </c>
      <c r="Z2126" s="1750">
        <f t="shared" si="973"/>
        <v>2030</v>
      </c>
      <c r="AC2126" s="1443" t="b">
        <f t="shared" ref="AC2126:AI2126" si="974">AC2125</f>
        <v>0</v>
      </c>
      <c r="AD2126" s="1443" t="b">
        <f t="shared" si="974"/>
        <v>0</v>
      </c>
      <c r="AE2126" s="1443" t="b">
        <f t="shared" si="974"/>
        <v>0</v>
      </c>
      <c r="AF2126" s="1443" t="b">
        <f t="shared" si="974"/>
        <v>0</v>
      </c>
      <c r="AG2126" s="1443" t="b">
        <f t="shared" si="974"/>
        <v>0</v>
      </c>
      <c r="AH2126" s="1443" t="b">
        <f t="shared" si="974"/>
        <v>0</v>
      </c>
      <c r="AI2126" s="1443" t="b">
        <f t="shared" si="974"/>
        <v>0</v>
      </c>
      <c r="AJ2126" s="1633" t="s">
        <v>1954</v>
      </c>
      <c r="AK2126" s="1635" t="str">
        <f>IF(AND(CNTR_ExistSubInstEntries,MSconst_RequireSubAttrEmissions,COUNTIFS(AC2126:AI2126,FALSE,H2126:N2126,"")&gt;0),EUconst_Error&amp;"BM"&amp;$Q1945,"")</f>
        <v/>
      </c>
    </row>
    <row r="2127" spans="2:37" ht="12.75" customHeight="1" thickBot="1">
      <c r="B2127" s="479"/>
      <c r="C2127" s="977"/>
      <c r="D2127" s="777" t="s">
        <v>789</v>
      </c>
      <c r="E2127" s="2471" t="s">
        <v>882</v>
      </c>
      <c r="F2127" s="2472"/>
      <c r="G2127" s="995" t="str">
        <f>EUconst_tCO2pa</f>
        <v>t CO2 / year</v>
      </c>
      <c r="H2127" s="996" t="str">
        <f t="shared" ref="H2127:N2127" si="975">IF(AND(COUNT(H2123:H2126)&gt;0,H2130=""),3.664*H2123*(H2125/100)*(1-H2126/100),"")</f>
        <v/>
      </c>
      <c r="I2127" s="997" t="str">
        <f t="shared" si="975"/>
        <v/>
      </c>
      <c r="J2127" s="1812" t="str">
        <f t="shared" si="975"/>
        <v/>
      </c>
      <c r="K2127" s="1754" t="str">
        <f t="shared" si="975"/>
        <v/>
      </c>
      <c r="L2127" s="1754" t="str">
        <f t="shared" si="975"/>
        <v/>
      </c>
      <c r="M2127" s="1754" t="str">
        <f t="shared" si="975"/>
        <v/>
      </c>
      <c r="N2127" s="1755" t="str">
        <f t="shared" si="975"/>
        <v/>
      </c>
      <c r="O2127" s="485"/>
      <c r="P2127" s="485"/>
      <c r="Q2127" s="1644" t="str">
        <f>EUconst_CNTR_EmissionsIntSource1 &amp; I1945</f>
        <v>EmInternalSource1_</v>
      </c>
      <c r="S2127" s="1753" t="str">
        <f>EUconst_CNTR_AttributedEmissions &amp; I1945</f>
        <v>AttrEmissions_</v>
      </c>
      <c r="T2127" s="1743" t="str">
        <f t="shared" ref="T2127:Z2127" si="976">IF(T1953,SUM(H2127),"")</f>
        <v/>
      </c>
      <c r="U2127" s="1743" t="str">
        <f t="shared" si="976"/>
        <v/>
      </c>
      <c r="V2127" s="1743" t="str">
        <f t="shared" si="976"/>
        <v/>
      </c>
      <c r="W2127" s="1743" t="str">
        <f t="shared" si="976"/>
        <v/>
      </c>
      <c r="X2127" s="1743" t="str">
        <f t="shared" si="976"/>
        <v/>
      </c>
      <c r="Y2127" s="1743" t="str">
        <f t="shared" si="976"/>
        <v/>
      </c>
      <c r="Z2127" s="1744" t="str">
        <f t="shared" si="976"/>
        <v/>
      </c>
    </row>
    <row r="2128" spans="2:37" ht="12.75" customHeight="1">
      <c r="B2128" s="479"/>
      <c r="C2128" s="977"/>
      <c r="D2128" s="777" t="s">
        <v>790</v>
      </c>
      <c r="E2128" s="2670" t="s">
        <v>879</v>
      </c>
      <c r="F2128" s="2608"/>
      <c r="G2128" s="998" t="str">
        <f>EUconst_tCO2pa</f>
        <v>t CO2 / year</v>
      </c>
      <c r="H2128" s="999" t="str">
        <f t="shared" ref="H2128:N2128" si="977">IF(ISNUMBER(H2127),3.664*H2123*(H2125/100)*(H2126/100),"")</f>
        <v/>
      </c>
      <c r="I2128" s="1000" t="str">
        <f t="shared" si="977"/>
        <v/>
      </c>
      <c r="J2128" s="1813" t="str">
        <f t="shared" si="977"/>
        <v/>
      </c>
      <c r="K2128" s="1756" t="str">
        <f t="shared" si="977"/>
        <v/>
      </c>
      <c r="L2128" s="1756" t="str">
        <f t="shared" si="977"/>
        <v/>
      </c>
      <c r="M2128" s="1756" t="str">
        <f t="shared" si="977"/>
        <v/>
      </c>
      <c r="N2128" s="1757" t="str">
        <f t="shared" si="977"/>
        <v/>
      </c>
      <c r="O2128" s="485"/>
      <c r="P2128" s="485"/>
      <c r="Q2128" s="1435"/>
      <c r="S2128" s="1435"/>
    </row>
    <row r="2129" spans="2:37" ht="12.75" customHeight="1">
      <c r="B2129" s="479"/>
      <c r="C2129" s="977"/>
      <c r="D2129" s="777" t="s">
        <v>791</v>
      </c>
      <c r="E2129" s="2473" t="s">
        <v>41</v>
      </c>
      <c r="F2129" s="2474"/>
      <c r="G2129" s="1001" t="str">
        <f>EUconst_TJpa</f>
        <v>TJ / year</v>
      </c>
      <c r="H2129" s="605" t="str">
        <f t="shared" ref="H2129:N2129" si="978">IF(COUNT(H2123:H2124)=2,H2123*H2124/1000,"")</f>
        <v/>
      </c>
      <c r="I2129" s="973" t="str">
        <f t="shared" si="978"/>
        <v/>
      </c>
      <c r="J2129" s="1811" t="str">
        <f t="shared" si="978"/>
        <v/>
      </c>
      <c r="K2129" s="1751" t="str">
        <f t="shared" si="978"/>
        <v/>
      </c>
      <c r="L2129" s="1751" t="str">
        <f t="shared" si="978"/>
        <v/>
      </c>
      <c r="M2129" s="1751" t="str">
        <f t="shared" si="978"/>
        <v/>
      </c>
      <c r="N2129" s="1752" t="str">
        <f t="shared" si="978"/>
        <v/>
      </c>
      <c r="O2129" s="485"/>
      <c r="P2129" s="485"/>
      <c r="Q2129" s="1435"/>
      <c r="S2129" s="1435"/>
    </row>
    <row r="2130" spans="2:37" ht="12.75" customHeight="1">
      <c r="B2130" s="479"/>
      <c r="C2130" s="977"/>
      <c r="D2130" s="777" t="s">
        <v>64</v>
      </c>
      <c r="E2130" s="2687" t="s">
        <v>393</v>
      </c>
      <c r="F2130" s="2688"/>
      <c r="G2130" s="1002"/>
      <c r="H2130" s="1003" t="str">
        <f t="shared" ref="H2130:N2130" si="979">IF(COUNT(H2123,H2125:H2126)&gt;0,IF(COUNTIF(H2124:H2126,"&lt;0")&gt;0,EUconst_Negative,IF(COUNT(H2123,H2125:H2126)&lt;3,EUconst_Incomplete,"")),"")</f>
        <v/>
      </c>
      <c r="I2130" s="1004" t="str">
        <f t="shared" si="979"/>
        <v/>
      </c>
      <c r="J2130" s="1814" t="str">
        <f t="shared" si="979"/>
        <v/>
      </c>
      <c r="K2130" s="1758" t="str">
        <f t="shared" si="979"/>
        <v/>
      </c>
      <c r="L2130" s="1758" t="str">
        <f t="shared" si="979"/>
        <v/>
      </c>
      <c r="M2130" s="1758" t="str">
        <f t="shared" si="979"/>
        <v/>
      </c>
      <c r="N2130" s="1759" t="str">
        <f t="shared" si="979"/>
        <v/>
      </c>
      <c r="O2130" s="485"/>
      <c r="P2130" s="485"/>
      <c r="Q2130" s="1435"/>
      <c r="S2130" s="1435"/>
    </row>
    <row r="2131" spans="2:37" ht="12.75" customHeight="1">
      <c r="B2131" s="479"/>
      <c r="C2131" s="977"/>
      <c r="D2131" s="777"/>
      <c r="E2131" s="981"/>
      <c r="F2131" s="981"/>
      <c r="G2131" s="981"/>
      <c r="H2131" s="981"/>
      <c r="I2131" s="981"/>
      <c r="J2131" s="981"/>
      <c r="K2131" s="981"/>
      <c r="L2131" s="981"/>
      <c r="M2131" s="813"/>
      <c r="N2131" s="814"/>
      <c r="O2131" s="485"/>
      <c r="P2131" s="485"/>
      <c r="Q2131" s="1435"/>
      <c r="S2131" s="1435"/>
    </row>
    <row r="2132" spans="2:37" ht="12.75" customHeight="1">
      <c r="B2132" s="479"/>
      <c r="C2132" s="977"/>
      <c r="D2132" s="777" t="s">
        <v>65</v>
      </c>
      <c r="E2132" s="2649" t="s">
        <v>1215</v>
      </c>
      <c r="F2132" s="2391"/>
      <c r="G2132" s="2391"/>
      <c r="H2132" s="2512"/>
      <c r="I2132" s="3211" t="str">
        <f>c_ALR2025!I4698</f>
        <v/>
      </c>
      <c r="J2132" s="3206"/>
      <c r="K2132" s="3206"/>
      <c r="L2132" s="3206"/>
      <c r="M2132" s="3207"/>
      <c r="N2132" s="979"/>
      <c r="O2132" s="485"/>
      <c r="P2132" s="9">
        <v>0</v>
      </c>
      <c r="Q2132" s="1435"/>
      <c r="S2132" s="1435"/>
      <c r="AC2132" s="1641" t="s">
        <v>717</v>
      </c>
      <c r="AD2132" s="1443" t="b">
        <f>AD2120</f>
        <v>0</v>
      </c>
    </row>
    <row r="2133" spans="2:37" ht="5.0999999999999996" customHeight="1">
      <c r="B2133" s="479"/>
      <c r="C2133" s="977"/>
      <c r="D2133" s="981"/>
      <c r="E2133" s="986"/>
      <c r="F2133" s="978"/>
      <c r="G2133" s="981"/>
      <c r="H2133" s="981"/>
      <c r="I2133" s="978"/>
      <c r="J2133" s="978"/>
      <c r="K2133" s="978"/>
      <c r="L2133" s="978"/>
      <c r="M2133" s="978"/>
      <c r="N2133" s="979"/>
      <c r="O2133" s="485"/>
      <c r="P2133" s="485"/>
      <c r="Q2133" s="1435"/>
      <c r="S2133" s="1435"/>
    </row>
    <row r="2134" spans="2:37" ht="12.75" customHeight="1" thickBot="1">
      <c r="B2134" s="479"/>
      <c r="C2134" s="977"/>
      <c r="D2134" s="777"/>
      <c r="E2134" s="2648" t="s">
        <v>1155</v>
      </c>
      <c r="F2134" s="2493"/>
      <c r="G2134" s="987" t="str">
        <f>EUconst_Unit</f>
        <v>Unit</v>
      </c>
      <c r="H2134" s="782">
        <f t="shared" ref="H2134:N2134" si="980">H$3242</f>
        <v>2024</v>
      </c>
      <c r="I2134" s="988">
        <f t="shared" si="980"/>
        <v>2025</v>
      </c>
      <c r="J2134" s="1810">
        <f t="shared" si="980"/>
        <v>2026</v>
      </c>
      <c r="K2134" s="1747">
        <f t="shared" si="980"/>
        <v>2027</v>
      </c>
      <c r="L2134" s="1747">
        <f t="shared" si="980"/>
        <v>2028</v>
      </c>
      <c r="M2134" s="1747">
        <f t="shared" si="980"/>
        <v>2029</v>
      </c>
      <c r="N2134" s="1748">
        <f t="shared" si="980"/>
        <v>2030</v>
      </c>
      <c r="O2134" s="485"/>
      <c r="P2134" s="485"/>
      <c r="Q2134" s="1435"/>
      <c r="S2134" s="1435"/>
      <c r="AC2134" s="1638">
        <f t="shared" ref="AC2134:AI2134" si="981">H$20</f>
        <v>2024</v>
      </c>
      <c r="AD2134" s="1638">
        <f t="shared" si="981"/>
        <v>2025</v>
      </c>
      <c r="AE2134" s="1638">
        <f t="shared" si="981"/>
        <v>2026</v>
      </c>
      <c r="AF2134" s="1638">
        <f t="shared" si="981"/>
        <v>2027</v>
      </c>
      <c r="AG2134" s="1638">
        <f t="shared" si="981"/>
        <v>2028</v>
      </c>
      <c r="AH2134" s="1638">
        <f t="shared" si="981"/>
        <v>2029</v>
      </c>
      <c r="AI2134" s="1638">
        <f t="shared" si="981"/>
        <v>2030</v>
      </c>
    </row>
    <row r="2135" spans="2:37" ht="12.75" customHeight="1">
      <c r="B2135" s="479"/>
      <c r="C2135" s="977"/>
      <c r="D2135" s="777" t="s">
        <v>66</v>
      </c>
      <c r="E2135" s="2471" t="s">
        <v>1153</v>
      </c>
      <c r="F2135" s="2472"/>
      <c r="G2135" s="811" t="str">
        <f>EUconst_tpa</f>
        <v>t / year</v>
      </c>
      <c r="H2135" s="1552" t="str">
        <f>c_ALR2025!M4701</f>
        <v/>
      </c>
      <c r="I2135" s="1611"/>
      <c r="J2135" s="1811"/>
      <c r="K2135" s="1751"/>
      <c r="L2135" s="1751"/>
      <c r="M2135" s="1751"/>
      <c r="N2135" s="1752"/>
      <c r="O2135" s="485"/>
      <c r="P2135" s="9">
        <v>0</v>
      </c>
      <c r="Q2135" s="1435"/>
      <c r="S2135" s="1435"/>
      <c r="AB2135" s="1641" t="s">
        <v>717</v>
      </c>
      <c r="AC2135" s="1443" t="b">
        <f>AC2123</f>
        <v>0</v>
      </c>
      <c r="AD2135" s="1443" t="b">
        <f t="shared" ref="AD2135:AI2135" si="982">AD2123</f>
        <v>0</v>
      </c>
      <c r="AE2135" s="1443" t="b">
        <f t="shared" si="982"/>
        <v>0</v>
      </c>
      <c r="AF2135" s="1443" t="b">
        <f t="shared" si="982"/>
        <v>0</v>
      </c>
      <c r="AG2135" s="1443" t="b">
        <f t="shared" si="982"/>
        <v>0</v>
      </c>
      <c r="AH2135" s="1443" t="b">
        <f t="shared" si="982"/>
        <v>0</v>
      </c>
      <c r="AI2135" s="1443" t="b">
        <f t="shared" si="982"/>
        <v>0</v>
      </c>
      <c r="AJ2135" s="1633" t="s">
        <v>1954</v>
      </c>
      <c r="AK2135" s="1635" t="str">
        <f>IF(AND(CNTR_ExistSubInstEntries,MSconst_RequireSubAttrEmissions,COUNTIFS(AC2135:AI2135,FALSE,H2135:N2135,"")&gt;0),EUconst_Error&amp;"BM"&amp;$Q1945,"")</f>
        <v/>
      </c>
    </row>
    <row r="2136" spans="2:37" ht="12.75" customHeight="1">
      <c r="B2136" s="479"/>
      <c r="C2136" s="977"/>
      <c r="D2136" s="777" t="s">
        <v>1105</v>
      </c>
      <c r="E2136" s="2685" t="s">
        <v>946</v>
      </c>
      <c r="F2136" s="2608"/>
      <c r="G2136" s="993" t="str">
        <f>EUconst_GJpt</f>
        <v>GJ / t</v>
      </c>
      <c r="H2136" s="1557" t="str">
        <f>c_ALR2025!M4702</f>
        <v/>
      </c>
      <c r="I2136" s="1883"/>
      <c r="J2136" s="1811"/>
      <c r="K2136" s="1751"/>
      <c r="L2136" s="1751"/>
      <c r="M2136" s="1751"/>
      <c r="N2136" s="1752"/>
      <c r="O2136" s="485"/>
      <c r="P2136" s="9">
        <v>0</v>
      </c>
      <c r="Q2136" s="1435"/>
      <c r="S2136" s="1435"/>
      <c r="AC2136" s="1443" t="b">
        <f t="shared" ref="AC2136:AI2136" si="983">AC2124</f>
        <v>0</v>
      </c>
      <c r="AD2136" s="1443" t="b">
        <f t="shared" si="983"/>
        <v>0</v>
      </c>
      <c r="AE2136" s="1443" t="b">
        <f t="shared" si="983"/>
        <v>0</v>
      </c>
      <c r="AF2136" s="1443" t="b">
        <f t="shared" si="983"/>
        <v>0</v>
      </c>
      <c r="AG2136" s="1443" t="b">
        <f t="shared" si="983"/>
        <v>0</v>
      </c>
      <c r="AH2136" s="1443" t="b">
        <f t="shared" si="983"/>
        <v>0</v>
      </c>
      <c r="AI2136" s="1443" t="b">
        <f t="shared" si="983"/>
        <v>0</v>
      </c>
      <c r="AJ2136" s="1633" t="s">
        <v>1954</v>
      </c>
      <c r="AK2136" s="1635" t="str">
        <f>IF(AND(CNTR_ExistSubInstEntries,MSconst_RequireSubAttrEmissions,COUNTIFS(AC2136:AI2136,FALSE,H2136:N2136,"")&gt;0),EUconst_Error&amp;"BM"&amp;$Q1945,"")</f>
        <v/>
      </c>
    </row>
    <row r="2137" spans="2:37" ht="12.75" customHeight="1" thickBot="1">
      <c r="B2137" s="479"/>
      <c r="C2137" s="977"/>
      <c r="D2137" s="777" t="s">
        <v>1106</v>
      </c>
      <c r="E2137" s="2685" t="s">
        <v>945</v>
      </c>
      <c r="F2137" s="2608"/>
      <c r="G2137" s="994" t="s">
        <v>878</v>
      </c>
      <c r="H2137" s="1557" t="str">
        <f>c_ALR2025!M4703</f>
        <v/>
      </c>
      <c r="I2137" s="1883"/>
      <c r="J2137" s="1811"/>
      <c r="K2137" s="1751"/>
      <c r="L2137" s="1751"/>
      <c r="M2137" s="1751"/>
      <c r="N2137" s="1752"/>
      <c r="O2137" s="485"/>
      <c r="P2137" s="9">
        <v>0</v>
      </c>
      <c r="Q2137" s="1435"/>
      <c r="S2137" s="1435"/>
      <c r="AC2137" s="1443" t="b">
        <f t="shared" ref="AC2137:AI2137" si="984">AC2125</f>
        <v>0</v>
      </c>
      <c r="AD2137" s="1443" t="b">
        <f t="shared" si="984"/>
        <v>0</v>
      </c>
      <c r="AE2137" s="1443" t="b">
        <f t="shared" si="984"/>
        <v>0</v>
      </c>
      <c r="AF2137" s="1443" t="b">
        <f t="shared" si="984"/>
        <v>0</v>
      </c>
      <c r="AG2137" s="1443" t="b">
        <f t="shared" si="984"/>
        <v>0</v>
      </c>
      <c r="AH2137" s="1443" t="b">
        <f t="shared" si="984"/>
        <v>0</v>
      </c>
      <c r="AI2137" s="1443" t="b">
        <f t="shared" si="984"/>
        <v>0</v>
      </c>
      <c r="AJ2137" s="1633" t="s">
        <v>1954</v>
      </c>
      <c r="AK2137" s="1635" t="str">
        <f>IF(AND(CNTR_ExistSubInstEntries,MSconst_RequireSubAttrEmissions,COUNTIFS(AC2137:AI2137,FALSE,H2137:N2137,"")&gt;0),EUconst_Error&amp;"BM"&amp;$Q1945,"")</f>
        <v/>
      </c>
    </row>
    <row r="2138" spans="2:37" ht="12.75" customHeight="1">
      <c r="B2138" s="479"/>
      <c r="C2138" s="977"/>
      <c r="D2138" s="777" t="s">
        <v>1107</v>
      </c>
      <c r="E2138" s="2473" t="s">
        <v>880</v>
      </c>
      <c r="F2138" s="2474"/>
      <c r="G2138" s="812" t="s">
        <v>878</v>
      </c>
      <c r="H2138" s="1558" t="str">
        <f>c_ALR2025!M4704</f>
        <v/>
      </c>
      <c r="I2138" s="1884"/>
      <c r="J2138" s="1811"/>
      <c r="K2138" s="1751"/>
      <c r="L2138" s="1751"/>
      <c r="M2138" s="1751"/>
      <c r="N2138" s="1752"/>
      <c r="O2138" s="485"/>
      <c r="P2138" s="9">
        <v>0</v>
      </c>
      <c r="Q2138" s="1435"/>
      <c r="S2138" s="1648"/>
      <c r="T2138" s="1749">
        <f t="shared" ref="T2138:Z2138" si="985">H2134</f>
        <v>2024</v>
      </c>
      <c r="U2138" s="1749">
        <f t="shared" si="985"/>
        <v>2025</v>
      </c>
      <c r="V2138" s="1749">
        <f t="shared" si="985"/>
        <v>2026</v>
      </c>
      <c r="W2138" s="1749">
        <f t="shared" si="985"/>
        <v>2027</v>
      </c>
      <c r="X2138" s="1749">
        <f t="shared" si="985"/>
        <v>2028</v>
      </c>
      <c r="Y2138" s="1749">
        <f t="shared" si="985"/>
        <v>2029</v>
      </c>
      <c r="Z2138" s="1750">
        <f t="shared" si="985"/>
        <v>2030</v>
      </c>
      <c r="AC2138" s="1443" t="b">
        <f t="shared" ref="AC2138:AI2138" si="986">AC2126</f>
        <v>0</v>
      </c>
      <c r="AD2138" s="1443" t="b">
        <f t="shared" si="986"/>
        <v>0</v>
      </c>
      <c r="AE2138" s="1443" t="b">
        <f t="shared" si="986"/>
        <v>0</v>
      </c>
      <c r="AF2138" s="1443" t="b">
        <f t="shared" si="986"/>
        <v>0</v>
      </c>
      <c r="AG2138" s="1443" t="b">
        <f t="shared" si="986"/>
        <v>0</v>
      </c>
      <c r="AH2138" s="1443" t="b">
        <f t="shared" si="986"/>
        <v>0</v>
      </c>
      <c r="AI2138" s="1443" t="b">
        <f t="shared" si="986"/>
        <v>0</v>
      </c>
      <c r="AJ2138" s="1633" t="s">
        <v>1954</v>
      </c>
      <c r="AK2138" s="1635" t="str">
        <f>IF(AND(CNTR_ExistSubInstEntries,MSconst_RequireSubAttrEmissions,COUNTIFS(AC2138:AI2138,FALSE,H2138:N2138,"")&gt;0),EUconst_Error&amp;"BM"&amp;$Q1945,"")</f>
        <v/>
      </c>
    </row>
    <row r="2139" spans="2:37" ht="12.75" customHeight="1" thickBot="1">
      <c r="B2139" s="479"/>
      <c r="C2139" s="977"/>
      <c r="D2139" s="777" t="s">
        <v>1108</v>
      </c>
      <c r="E2139" s="2471" t="s">
        <v>882</v>
      </c>
      <c r="F2139" s="2472"/>
      <c r="G2139" s="995" t="str">
        <f>EUconst_tCO2pa</f>
        <v>t CO2 / year</v>
      </c>
      <c r="H2139" s="996" t="str">
        <f t="shared" ref="H2139:N2139" si="987">IF(AND(COUNT(H2135:H2138)&gt;0,H2142=""),3.664*H2135*(H2137/100)*(1-H2138/100),"")</f>
        <v/>
      </c>
      <c r="I2139" s="997" t="str">
        <f t="shared" si="987"/>
        <v/>
      </c>
      <c r="J2139" s="1812" t="str">
        <f t="shared" si="987"/>
        <v/>
      </c>
      <c r="K2139" s="1754" t="str">
        <f t="shared" si="987"/>
        <v/>
      </c>
      <c r="L2139" s="1754" t="str">
        <f t="shared" si="987"/>
        <v/>
      </c>
      <c r="M2139" s="1754" t="str">
        <f t="shared" si="987"/>
        <v/>
      </c>
      <c r="N2139" s="1755" t="str">
        <f t="shared" si="987"/>
        <v/>
      </c>
      <c r="O2139" s="485"/>
      <c r="P2139" s="485"/>
      <c r="Q2139" s="1644" t="str">
        <f>EUconst_CNTR_EmissionsIntSource2 &amp; I1945</f>
        <v>EmInternalSource2_</v>
      </c>
      <c r="S2139" s="1753" t="str">
        <f>EUconst_CNTR_AttributedEmissions &amp; I1945</f>
        <v>AttrEmissions_</v>
      </c>
      <c r="T2139" s="1743" t="str">
        <f t="shared" ref="T2139:Z2139" si="988">IF(T1953,SUM(H2139),"")</f>
        <v/>
      </c>
      <c r="U2139" s="1743" t="str">
        <f t="shared" si="988"/>
        <v/>
      </c>
      <c r="V2139" s="1743" t="str">
        <f t="shared" si="988"/>
        <v/>
      </c>
      <c r="W2139" s="1743" t="str">
        <f t="shared" si="988"/>
        <v/>
      </c>
      <c r="X2139" s="1743" t="str">
        <f t="shared" si="988"/>
        <v/>
      </c>
      <c r="Y2139" s="1743" t="str">
        <f t="shared" si="988"/>
        <v/>
      </c>
      <c r="Z2139" s="1744" t="str">
        <f t="shared" si="988"/>
        <v/>
      </c>
    </row>
    <row r="2140" spans="2:37" ht="12.75" customHeight="1">
      <c r="B2140" s="479"/>
      <c r="C2140" s="977"/>
      <c r="D2140" s="777" t="s">
        <v>1109</v>
      </c>
      <c r="E2140" s="2670" t="s">
        <v>879</v>
      </c>
      <c r="F2140" s="2608"/>
      <c r="G2140" s="998" t="str">
        <f>EUconst_tCO2pa</f>
        <v>t CO2 / year</v>
      </c>
      <c r="H2140" s="999" t="str">
        <f t="shared" ref="H2140:N2140" si="989">IF(ISNUMBER(H2139),3.664*H2135*(H2137/100)*(H2138/100),"")</f>
        <v/>
      </c>
      <c r="I2140" s="1000" t="str">
        <f t="shared" si="989"/>
        <v/>
      </c>
      <c r="J2140" s="1813" t="str">
        <f t="shared" si="989"/>
        <v/>
      </c>
      <c r="K2140" s="1756" t="str">
        <f t="shared" si="989"/>
        <v/>
      </c>
      <c r="L2140" s="1756" t="str">
        <f t="shared" si="989"/>
        <v/>
      </c>
      <c r="M2140" s="1756" t="str">
        <f t="shared" si="989"/>
        <v/>
      </c>
      <c r="N2140" s="1757" t="str">
        <f t="shared" si="989"/>
        <v/>
      </c>
      <c r="O2140" s="485"/>
      <c r="P2140" s="485"/>
      <c r="Q2140" s="1435"/>
      <c r="S2140" s="1435"/>
    </row>
    <row r="2141" spans="2:37" ht="12.75" customHeight="1">
      <c r="B2141" s="479"/>
      <c r="C2141" s="977"/>
      <c r="D2141" s="777" t="s">
        <v>1110</v>
      </c>
      <c r="E2141" s="2473" t="s">
        <v>41</v>
      </c>
      <c r="F2141" s="2474"/>
      <c r="G2141" s="1001" t="str">
        <f>EUconst_TJpa</f>
        <v>TJ / year</v>
      </c>
      <c r="H2141" s="605" t="str">
        <f t="shared" ref="H2141:N2141" si="990">IF(COUNT(H2135:H2136)=2,H2135*H2136/1000,"")</f>
        <v/>
      </c>
      <c r="I2141" s="973" t="str">
        <f t="shared" si="990"/>
        <v/>
      </c>
      <c r="J2141" s="1811" t="str">
        <f t="shared" si="990"/>
        <v/>
      </c>
      <c r="K2141" s="1751" t="str">
        <f t="shared" si="990"/>
        <v/>
      </c>
      <c r="L2141" s="1751" t="str">
        <f t="shared" si="990"/>
        <v/>
      </c>
      <c r="M2141" s="1751" t="str">
        <f t="shared" si="990"/>
        <v/>
      </c>
      <c r="N2141" s="1752" t="str">
        <f t="shared" si="990"/>
        <v/>
      </c>
      <c r="O2141" s="485"/>
      <c r="P2141" s="485"/>
      <c r="Q2141" s="1435"/>
      <c r="S2141" s="1435"/>
    </row>
    <row r="2142" spans="2:37" ht="12.75" customHeight="1">
      <c r="B2142" s="479"/>
      <c r="C2142" s="977"/>
      <c r="D2142" s="777" t="s">
        <v>1106</v>
      </c>
      <c r="E2142" s="2687" t="s">
        <v>393</v>
      </c>
      <c r="F2142" s="2688"/>
      <c r="G2142" s="1002"/>
      <c r="H2142" s="1003" t="str">
        <f t="shared" ref="H2142:N2142" si="991">IF(COUNT(H2135,H2137:H2138)&gt;0,IF(COUNTIF(H2136:H2138,"&lt;0")&gt;0,EUconst_Negative,IF(COUNT(H2135,H2137:H2138)&lt;3,EUconst_Incomplete,"")),"")</f>
        <v/>
      </c>
      <c r="I2142" s="1004" t="str">
        <f t="shared" si="991"/>
        <v/>
      </c>
      <c r="J2142" s="1814" t="str">
        <f t="shared" si="991"/>
        <v/>
      </c>
      <c r="K2142" s="1758" t="str">
        <f t="shared" si="991"/>
        <v/>
      </c>
      <c r="L2142" s="1758" t="str">
        <f t="shared" si="991"/>
        <v/>
      </c>
      <c r="M2142" s="1758" t="str">
        <f t="shared" si="991"/>
        <v/>
      </c>
      <c r="N2142" s="1759" t="str">
        <f t="shared" si="991"/>
        <v/>
      </c>
      <c r="O2142" s="485"/>
      <c r="P2142" s="485"/>
      <c r="Q2142" s="1435"/>
      <c r="S2142" s="1435"/>
    </row>
    <row r="2143" spans="2:37" ht="12.75" customHeight="1">
      <c r="B2143" s="479"/>
      <c r="C2143" s="977"/>
      <c r="D2143" s="981"/>
      <c r="E2143" s="981"/>
      <c r="F2143" s="981"/>
      <c r="G2143" s="981"/>
      <c r="H2143" s="981"/>
      <c r="I2143" s="981"/>
      <c r="J2143" s="981"/>
      <c r="K2143" s="981"/>
      <c r="L2143" s="981"/>
      <c r="M2143" s="813"/>
      <c r="N2143" s="814"/>
      <c r="O2143" s="485"/>
      <c r="P2143" s="485"/>
      <c r="Q2143" s="1435"/>
      <c r="S2143" s="1435"/>
    </row>
    <row r="2144" spans="2:37" ht="12.75" customHeight="1">
      <c r="B2144" s="479"/>
      <c r="C2144" s="977"/>
      <c r="D2144" s="982" t="s">
        <v>478</v>
      </c>
      <c r="E2144" s="2649" t="s">
        <v>1457</v>
      </c>
      <c r="F2144" s="2391"/>
      <c r="G2144" s="2391"/>
      <c r="H2144" s="2391"/>
      <c r="I2144" s="2391"/>
      <c r="J2144" s="2391"/>
      <c r="K2144" s="2391"/>
      <c r="L2144" s="2391"/>
      <c r="M2144" s="2391"/>
      <c r="N2144" s="2650"/>
      <c r="O2144" s="485"/>
      <c r="P2144" s="485"/>
      <c r="Q2144" s="1435"/>
      <c r="S2144" s="1435"/>
    </row>
    <row r="2145" spans="2:37" ht="12.75" customHeight="1">
      <c r="B2145" s="479"/>
      <c r="C2145" s="977"/>
      <c r="D2145" s="777"/>
      <c r="E2145" s="3272" t="s">
        <v>2295</v>
      </c>
      <c r="F2145" s="2380"/>
      <c r="G2145" s="2380"/>
      <c r="H2145" s="2380"/>
      <c r="I2145" s="2380"/>
      <c r="J2145" s="2380"/>
      <c r="K2145" s="2380"/>
      <c r="L2145" s="2380"/>
      <c r="M2145" s="2380"/>
      <c r="N2145" s="3268"/>
      <c r="O2145" s="485"/>
      <c r="P2145" s="485"/>
      <c r="Q2145" s="1435"/>
      <c r="S2145" s="1435"/>
      <c r="T2145" s="1435"/>
      <c r="U2145" s="1435"/>
      <c r="V2145" s="1435"/>
    </row>
    <row r="2146" spans="2:37" ht="25.5" customHeight="1">
      <c r="B2146" s="479"/>
      <c r="C2146" s="977"/>
      <c r="D2146" s="981"/>
      <c r="E2146" s="3267" t="s">
        <v>2332</v>
      </c>
      <c r="F2146" s="2380"/>
      <c r="G2146" s="2380"/>
      <c r="H2146" s="2380"/>
      <c r="I2146" s="2380"/>
      <c r="J2146" s="2380"/>
      <c r="K2146" s="2380"/>
      <c r="L2146" s="2380"/>
      <c r="M2146" s="2380"/>
      <c r="N2146" s="3268"/>
      <c r="O2146" s="485"/>
      <c r="P2146" s="485"/>
      <c r="Q2146" s="1435"/>
      <c r="S2146" s="1435"/>
    </row>
    <row r="2147" spans="2:37" ht="12.75" customHeight="1" thickBot="1">
      <c r="B2147" s="479"/>
      <c r="C2147" s="977"/>
      <c r="D2147" s="981"/>
      <c r="E2147" s="3267" t="s">
        <v>1365</v>
      </c>
      <c r="F2147" s="2380"/>
      <c r="G2147" s="2380"/>
      <c r="H2147" s="2380"/>
      <c r="I2147" s="2380"/>
      <c r="J2147" s="2380"/>
      <c r="K2147" s="2380"/>
      <c r="L2147" s="2380"/>
      <c r="M2147" s="2380"/>
      <c r="N2147" s="3268"/>
      <c r="O2147" s="485"/>
      <c r="P2147" s="485"/>
      <c r="Q2147" s="1435"/>
      <c r="S2147" s="1435"/>
    </row>
    <row r="2148" spans="2:37" ht="12.75" customHeight="1" thickBot="1">
      <c r="B2148" s="479"/>
      <c r="C2148" s="977"/>
      <c r="D2148" s="982"/>
      <c r="E2148" s="989"/>
      <c r="F2148" s="990"/>
      <c r="G2148" s="987" t="str">
        <f>EUconst_Unit</f>
        <v>Unit</v>
      </c>
      <c r="H2148" s="782">
        <f t="shared" ref="H2148:N2148" si="992">H$3242</f>
        <v>2024</v>
      </c>
      <c r="I2148" s="988">
        <f t="shared" si="992"/>
        <v>2025</v>
      </c>
      <c r="J2148" s="1810">
        <f t="shared" si="992"/>
        <v>2026</v>
      </c>
      <c r="K2148" s="1747">
        <f t="shared" si="992"/>
        <v>2027</v>
      </c>
      <c r="L2148" s="1747">
        <f t="shared" si="992"/>
        <v>2028</v>
      </c>
      <c r="M2148" s="1747">
        <f t="shared" si="992"/>
        <v>2029</v>
      </c>
      <c r="N2148" s="1748">
        <f t="shared" si="992"/>
        <v>2030</v>
      </c>
      <c r="O2148" s="485"/>
      <c r="P2148" s="485"/>
      <c r="Q2148" s="1435"/>
      <c r="S2148" s="1648"/>
      <c r="T2148" s="1749">
        <f t="shared" ref="T2148:Z2148" si="993">H2148</f>
        <v>2024</v>
      </c>
      <c r="U2148" s="1749">
        <f t="shared" si="993"/>
        <v>2025</v>
      </c>
      <c r="V2148" s="1749">
        <f t="shared" si="993"/>
        <v>2026</v>
      </c>
      <c r="W2148" s="1749">
        <f t="shared" si="993"/>
        <v>2027</v>
      </c>
      <c r="X2148" s="1749">
        <f t="shared" si="993"/>
        <v>2028</v>
      </c>
      <c r="Y2148" s="1749">
        <f t="shared" si="993"/>
        <v>2029</v>
      </c>
      <c r="Z2148" s="1750">
        <f t="shared" si="993"/>
        <v>2030</v>
      </c>
      <c r="AC2148" s="1638">
        <f t="shared" ref="AC2148:AI2148" si="994">H$20</f>
        <v>2024</v>
      </c>
      <c r="AD2148" s="1638">
        <f t="shared" si="994"/>
        <v>2025</v>
      </c>
      <c r="AE2148" s="1638">
        <f t="shared" si="994"/>
        <v>2026</v>
      </c>
      <c r="AF2148" s="1638">
        <f t="shared" si="994"/>
        <v>2027</v>
      </c>
      <c r="AG2148" s="1638">
        <f t="shared" si="994"/>
        <v>2028</v>
      </c>
      <c r="AH2148" s="1638">
        <f t="shared" si="994"/>
        <v>2029</v>
      </c>
      <c r="AI2148" s="1638">
        <f t="shared" si="994"/>
        <v>2030</v>
      </c>
    </row>
    <row r="2149" spans="2:37" ht="12.75" customHeight="1" thickBot="1">
      <c r="B2149" s="479"/>
      <c r="C2149" s="977"/>
      <c r="D2149" s="777"/>
      <c r="E2149" s="2475" t="s">
        <v>1156</v>
      </c>
      <c r="F2149" s="2410"/>
      <c r="G2149" s="815" t="str">
        <f>EUconst_tCO2epa</f>
        <v>t CO2e/year</v>
      </c>
      <c r="H2149" s="1479" t="str">
        <f>c_ALR2025!M4715</f>
        <v/>
      </c>
      <c r="I2149" s="1532"/>
      <c r="J2149" s="1811"/>
      <c r="K2149" s="1751"/>
      <c r="L2149" s="1751"/>
      <c r="M2149" s="1751"/>
      <c r="N2149" s="1752"/>
      <c r="O2149" s="485"/>
      <c r="P2149" s="9">
        <v>0</v>
      </c>
      <c r="Q2149" s="1644" t="str">
        <f>EUconst_CNTR_CO2Feedstock &amp; I1945</f>
        <v>EmCO2Feedstock_</v>
      </c>
      <c r="S2149" s="1753" t="str">
        <f>EUconst_CNTR_AttributedEmissions &amp; I1945</f>
        <v>AttrEmissions_</v>
      </c>
      <c r="T2149" s="1743" t="str">
        <f t="shared" ref="T2149:Z2149" si="995">IF(T1953,SUM(H2149),"")</f>
        <v/>
      </c>
      <c r="U2149" s="1743" t="str">
        <f t="shared" si="995"/>
        <v/>
      </c>
      <c r="V2149" s="1743" t="str">
        <f t="shared" si="995"/>
        <v/>
      </c>
      <c r="W2149" s="1743" t="str">
        <f t="shared" si="995"/>
        <v/>
      </c>
      <c r="X2149" s="1743" t="str">
        <f t="shared" si="995"/>
        <v/>
      </c>
      <c r="Y2149" s="1743" t="str">
        <f t="shared" si="995"/>
        <v/>
      </c>
      <c r="Z2149" s="1744" t="str">
        <f t="shared" si="995"/>
        <v/>
      </c>
      <c r="AB2149" s="1641" t="s">
        <v>717</v>
      </c>
      <c r="AC2149" s="1443" t="b">
        <f>AC2015</f>
        <v>0</v>
      </c>
      <c r="AD2149" s="1443" t="b">
        <f t="shared" ref="AD2149:AI2149" si="996">AD2015</f>
        <v>0</v>
      </c>
      <c r="AE2149" s="1443" t="b">
        <f t="shared" si="996"/>
        <v>0</v>
      </c>
      <c r="AF2149" s="1443" t="b">
        <f t="shared" si="996"/>
        <v>0</v>
      </c>
      <c r="AG2149" s="1443" t="b">
        <f t="shared" si="996"/>
        <v>0</v>
      </c>
      <c r="AH2149" s="1443" t="b">
        <f t="shared" si="996"/>
        <v>0</v>
      </c>
      <c r="AI2149" s="1443" t="b">
        <f t="shared" si="996"/>
        <v>0</v>
      </c>
      <c r="AJ2149" s="1633" t="s">
        <v>1954</v>
      </c>
      <c r="AK2149" s="1635" t="str">
        <f>IF(AND(CNTR_ExistSubInstEntries,MSconst_RequireSubAttrEmissions,COUNTIFS(AC2149:AI2149,FALSE,H2149:N2149,"")&gt;0),EUconst_Error&amp;"BM"&amp;$Q1945,"")</f>
        <v/>
      </c>
    </row>
    <row r="2150" spans="2:37" ht="12.75" customHeight="1">
      <c r="B2150" s="479"/>
      <c r="C2150" s="977"/>
      <c r="D2150" s="981"/>
      <c r="E2150" s="981"/>
      <c r="F2150" s="981"/>
      <c r="G2150" s="981"/>
      <c r="H2150" s="981"/>
      <c r="I2150" s="981"/>
      <c r="J2150" s="981"/>
      <c r="K2150" s="981"/>
      <c r="L2150" s="981"/>
      <c r="M2150" s="813"/>
      <c r="N2150" s="814"/>
      <c r="O2150" s="485"/>
      <c r="P2150" s="485"/>
      <c r="Q2150" s="1435"/>
      <c r="S2150" s="1435"/>
    </row>
    <row r="2151" spans="2:37" ht="12.75" customHeight="1">
      <c r="B2151" s="479"/>
      <c r="C2151" s="977"/>
      <c r="D2151" s="982" t="s">
        <v>479</v>
      </c>
      <c r="E2151" s="2649" t="s">
        <v>1118</v>
      </c>
      <c r="F2151" s="2391"/>
      <c r="G2151" s="2391"/>
      <c r="H2151" s="2391"/>
      <c r="I2151" s="2391"/>
      <c r="J2151" s="2391"/>
      <c r="K2151" s="2391"/>
      <c r="L2151" s="2391"/>
      <c r="M2151" s="2391"/>
      <c r="N2151" s="2650"/>
      <c r="O2151" s="485"/>
      <c r="P2151" s="485"/>
      <c r="Q2151" s="1435"/>
      <c r="S2151" s="1435"/>
    </row>
    <row r="2152" spans="2:37" ht="12.75" customHeight="1">
      <c r="B2152" s="479"/>
      <c r="C2152" s="977"/>
      <c r="D2152" s="777"/>
      <c r="E2152" s="3272" t="s">
        <v>2297</v>
      </c>
      <c r="F2152" s="2380"/>
      <c r="G2152" s="2380"/>
      <c r="H2152" s="2380"/>
      <c r="I2152" s="2380"/>
      <c r="J2152" s="2380"/>
      <c r="K2152" s="2380"/>
      <c r="L2152" s="2380"/>
      <c r="M2152" s="2380"/>
      <c r="N2152" s="3268"/>
      <c r="O2152" s="485"/>
      <c r="P2152" s="485"/>
      <c r="Q2152" s="1435"/>
      <c r="S2152" s="1435"/>
      <c r="T2152" s="1435"/>
      <c r="U2152" s="1435"/>
      <c r="V2152" s="1435"/>
    </row>
    <row r="2153" spans="2:37" ht="38.85" customHeight="1">
      <c r="B2153" s="479"/>
      <c r="C2153" s="977"/>
      <c r="D2153" s="981"/>
      <c r="E2153" s="3267" t="s">
        <v>2118</v>
      </c>
      <c r="F2153" s="2380"/>
      <c r="G2153" s="2380"/>
      <c r="H2153" s="2380"/>
      <c r="I2153" s="2380"/>
      <c r="J2153" s="2380"/>
      <c r="K2153" s="2380"/>
      <c r="L2153" s="2380"/>
      <c r="M2153" s="2380"/>
      <c r="N2153" s="3268"/>
      <c r="O2153" s="485"/>
      <c r="P2153" s="485"/>
      <c r="Q2153" s="1435"/>
      <c r="S2153" s="1435"/>
    </row>
    <row r="2154" spans="2:37" ht="25.5" customHeight="1">
      <c r="B2154" s="479"/>
      <c r="C2154" s="977"/>
      <c r="D2154" s="981"/>
      <c r="E2154" s="3267" t="s">
        <v>1614</v>
      </c>
      <c r="F2154" s="2380"/>
      <c r="G2154" s="2380"/>
      <c r="H2154" s="2380"/>
      <c r="I2154" s="2380"/>
      <c r="J2154" s="2380"/>
      <c r="K2154" s="2380"/>
      <c r="L2154" s="2380"/>
      <c r="M2154" s="2380"/>
      <c r="N2154" s="3268"/>
      <c r="O2154" s="485"/>
      <c r="P2154" s="485"/>
      <c r="Q2154" s="1435"/>
      <c r="S2154" s="1435"/>
    </row>
    <row r="2155" spans="2:37" ht="25.5" customHeight="1">
      <c r="B2155" s="479"/>
      <c r="C2155" s="977"/>
      <c r="D2155" s="981"/>
      <c r="E2155" s="3267" t="s">
        <v>1593</v>
      </c>
      <c r="F2155" s="2380"/>
      <c r="G2155" s="2380"/>
      <c r="H2155" s="2380"/>
      <c r="I2155" s="2380"/>
      <c r="J2155" s="2380"/>
      <c r="K2155" s="2380"/>
      <c r="L2155" s="2380"/>
      <c r="M2155" s="2380"/>
      <c r="N2155" s="3268"/>
      <c r="O2155" s="485"/>
      <c r="P2155" s="485"/>
      <c r="Q2155" s="1435"/>
      <c r="S2155" s="1435"/>
    </row>
    <row r="2156" spans="2:37" ht="12.75" customHeight="1" thickBot="1">
      <c r="B2156" s="479"/>
      <c r="C2156" s="977"/>
      <c r="D2156" s="981"/>
      <c r="E2156" s="3269" t="s">
        <v>1555</v>
      </c>
      <c r="F2156" s="3270"/>
      <c r="G2156" s="3270"/>
      <c r="H2156" s="3270"/>
      <c r="I2156" s="3270"/>
      <c r="J2156" s="3270"/>
      <c r="K2156" s="3270"/>
      <c r="L2156" s="3270"/>
      <c r="M2156" s="3270"/>
      <c r="N2156" s="3271"/>
      <c r="O2156" s="485"/>
      <c r="P2156" s="485"/>
      <c r="Q2156" s="1435"/>
    </row>
    <row r="2157" spans="2:37" ht="12.75" customHeight="1" thickBot="1">
      <c r="B2157" s="479"/>
      <c r="C2157" s="977"/>
      <c r="D2157" s="981"/>
      <c r="E2157" s="2648" t="s">
        <v>1151</v>
      </c>
      <c r="F2157" s="2493"/>
      <c r="G2157" s="987" t="str">
        <f>EUconst_Unit</f>
        <v>Unit</v>
      </c>
      <c r="H2157" s="782">
        <f t="shared" ref="H2157:N2157" si="997">H$3242</f>
        <v>2024</v>
      </c>
      <c r="I2157" s="988">
        <f t="shared" si="997"/>
        <v>2025</v>
      </c>
      <c r="J2157" s="1810">
        <f t="shared" si="997"/>
        <v>2026</v>
      </c>
      <c r="K2157" s="1747">
        <f t="shared" si="997"/>
        <v>2027</v>
      </c>
      <c r="L2157" s="1747">
        <f t="shared" si="997"/>
        <v>2028</v>
      </c>
      <c r="M2157" s="1747">
        <f t="shared" si="997"/>
        <v>2029</v>
      </c>
      <c r="N2157" s="1748">
        <f t="shared" si="997"/>
        <v>2030</v>
      </c>
      <c r="O2157" s="485"/>
      <c r="P2157" s="485"/>
      <c r="Q2157" s="1435"/>
      <c r="S2157" s="1648"/>
      <c r="T2157" s="1749">
        <f t="shared" ref="T2157:Z2157" si="998">H2157</f>
        <v>2024</v>
      </c>
      <c r="U2157" s="1749">
        <f t="shared" si="998"/>
        <v>2025</v>
      </c>
      <c r="V2157" s="1749">
        <f t="shared" si="998"/>
        <v>2026</v>
      </c>
      <c r="W2157" s="1749">
        <f t="shared" si="998"/>
        <v>2027</v>
      </c>
      <c r="X2157" s="1749">
        <f t="shared" si="998"/>
        <v>2028</v>
      </c>
      <c r="Y2157" s="1749">
        <f t="shared" si="998"/>
        <v>2029</v>
      </c>
      <c r="Z2157" s="1750">
        <f t="shared" si="998"/>
        <v>2030</v>
      </c>
      <c r="AC2157" s="1638">
        <f t="shared" ref="AC2157:AI2157" si="999">H$20</f>
        <v>2024</v>
      </c>
      <c r="AD2157" s="1638">
        <f t="shared" si="999"/>
        <v>2025</v>
      </c>
      <c r="AE2157" s="1638">
        <f t="shared" si="999"/>
        <v>2026</v>
      </c>
      <c r="AF2157" s="1638">
        <f t="shared" si="999"/>
        <v>2027</v>
      </c>
      <c r="AG2157" s="1638">
        <f t="shared" si="999"/>
        <v>2028</v>
      </c>
      <c r="AH2157" s="1638">
        <f t="shared" si="999"/>
        <v>2029</v>
      </c>
      <c r="AI2157" s="1638">
        <f t="shared" si="999"/>
        <v>2030</v>
      </c>
    </row>
    <row r="2158" spans="2:37" ht="12.75" customHeight="1">
      <c r="B2158" s="479"/>
      <c r="C2158" s="977"/>
      <c r="D2158" s="777" t="s">
        <v>6</v>
      </c>
      <c r="E2158" s="2475" t="s">
        <v>1087</v>
      </c>
      <c r="F2158" s="2410"/>
      <c r="G2158" s="815" t="str">
        <f>EUconst_TJpa</f>
        <v>TJ / year</v>
      </c>
      <c r="H2158" s="1479" t="str">
        <f>c_ALR2025!M4724</f>
        <v/>
      </c>
      <c r="I2158" s="1532"/>
      <c r="J2158" s="1811"/>
      <c r="K2158" s="1751"/>
      <c r="L2158" s="1751"/>
      <c r="M2158" s="1751"/>
      <c r="N2158" s="1752"/>
      <c r="O2158" s="485"/>
      <c r="P2158" s="9">
        <v>0</v>
      </c>
      <c r="Q2158" s="1644" t="str">
        <f>EUconst_CNTR_HeatImport &amp; I1945</f>
        <v>HeatIm_</v>
      </c>
      <c r="S2158" s="1874" t="str">
        <f>EUconst_ERR_AttrEmBMapplied &amp; I1945</f>
        <v>ERR_AttrEmBM_</v>
      </c>
      <c r="T2158" s="1443">
        <f t="shared" ref="T2158:Z2158" si="1000">IF(AND(H2158&lt;&gt;0,H2159="",EUconst_StatusOfDataCollection=FALSE),1,0)</f>
        <v>0</v>
      </c>
      <c r="U2158" s="1443">
        <f t="shared" si="1000"/>
        <v>0</v>
      </c>
      <c r="V2158" s="1443">
        <f t="shared" si="1000"/>
        <v>0</v>
      </c>
      <c r="W2158" s="1443">
        <f t="shared" si="1000"/>
        <v>0</v>
      </c>
      <c r="X2158" s="1443">
        <f t="shared" si="1000"/>
        <v>0</v>
      </c>
      <c r="Y2158" s="1443">
        <f t="shared" si="1000"/>
        <v>0</v>
      </c>
      <c r="Z2158" s="1737">
        <f t="shared" si="1000"/>
        <v>0</v>
      </c>
      <c r="AA2158" s="1503"/>
      <c r="AB2158" s="1641" t="s">
        <v>717</v>
      </c>
      <c r="AC2158" s="1443" t="b">
        <f t="shared" ref="AC2158:AI2158" si="1001">AC2015</f>
        <v>0</v>
      </c>
      <c r="AD2158" s="1443" t="b">
        <f t="shared" si="1001"/>
        <v>0</v>
      </c>
      <c r="AE2158" s="1443" t="b">
        <f t="shared" si="1001"/>
        <v>0</v>
      </c>
      <c r="AF2158" s="1443" t="b">
        <f t="shared" si="1001"/>
        <v>0</v>
      </c>
      <c r="AG2158" s="1443" t="b">
        <f t="shared" si="1001"/>
        <v>0</v>
      </c>
      <c r="AH2158" s="1443" t="b">
        <f t="shared" si="1001"/>
        <v>0</v>
      </c>
      <c r="AI2158" s="1443" t="b">
        <f t="shared" si="1001"/>
        <v>0</v>
      </c>
      <c r="AJ2158" s="1633" t="s">
        <v>1954</v>
      </c>
      <c r="AK2158" s="1635" t="str">
        <f>IF(AND(CNTR_ExistSubInstEntries,MSconst_RequireSubAttrEmissions,COUNTIFS(AC2158:AI2158,FALSE,H2158:N2158,"")&gt;0),EUconst_Error&amp;"BM"&amp;$Q1945,"")</f>
        <v/>
      </c>
    </row>
    <row r="2159" spans="2:37" ht="12.75" customHeight="1" thickBot="1">
      <c r="B2159" s="479"/>
      <c r="C2159" s="977"/>
      <c r="D2159" s="777" t="s">
        <v>7</v>
      </c>
      <c r="E2159" s="2475" t="s">
        <v>1103</v>
      </c>
      <c r="F2159" s="2410"/>
      <c r="G2159" s="815" t="str">
        <f>EUconst_tCO2pTJ</f>
        <v>t CO2 / TJ</v>
      </c>
      <c r="H2159" s="1479" t="str">
        <f>c_ALR2025!M4725</f>
        <v/>
      </c>
      <c r="I2159" s="1532"/>
      <c r="J2159" s="1811"/>
      <c r="K2159" s="1751"/>
      <c r="L2159" s="1751"/>
      <c r="M2159" s="1751"/>
      <c r="N2159" s="1752"/>
      <c r="O2159" s="485"/>
      <c r="P2159" s="9">
        <v>0</v>
      </c>
      <c r="Q2159" s="1644" t="str">
        <f>EUconst_CNTR_HeatImportEF &amp; I1945</f>
        <v>HeatImEF_</v>
      </c>
      <c r="S2159" s="1753" t="str">
        <f>EUconst_CNTR_AttributedEmissions &amp; I1945</f>
        <v>AttrEmissions_</v>
      </c>
      <c r="T2159" s="1743" t="str">
        <f t="shared" ref="T2159:Z2159" si="1002">IF(T1953,SUM(H2158)*IF(ISNUMBER(H2159),H2159,EUconst_HeatBMvalue),"")</f>
        <v/>
      </c>
      <c r="U2159" s="1743" t="str">
        <f t="shared" si="1002"/>
        <v/>
      </c>
      <c r="V2159" s="1743" t="str">
        <f t="shared" si="1002"/>
        <v/>
      </c>
      <c r="W2159" s="1743" t="str">
        <f t="shared" si="1002"/>
        <v/>
      </c>
      <c r="X2159" s="1743" t="str">
        <f t="shared" si="1002"/>
        <v/>
      </c>
      <c r="Y2159" s="1743" t="str">
        <f t="shared" si="1002"/>
        <v/>
      </c>
      <c r="Z2159" s="1744" t="str">
        <f t="shared" si="1002"/>
        <v/>
      </c>
      <c r="AC2159" s="1443" t="b">
        <f>AC2158</f>
        <v>0</v>
      </c>
      <c r="AD2159" s="1443" t="b">
        <f t="shared" ref="AD2159:AI2159" si="1003">AD2158</f>
        <v>0</v>
      </c>
      <c r="AE2159" s="1443" t="b">
        <f t="shared" si="1003"/>
        <v>0</v>
      </c>
      <c r="AF2159" s="1443" t="b">
        <f t="shared" si="1003"/>
        <v>0</v>
      </c>
      <c r="AG2159" s="1443" t="b">
        <f t="shared" si="1003"/>
        <v>0</v>
      </c>
      <c r="AH2159" s="1443" t="b">
        <f t="shared" si="1003"/>
        <v>0</v>
      </c>
      <c r="AI2159" s="1443" t="b">
        <f t="shared" si="1003"/>
        <v>0</v>
      </c>
    </row>
    <row r="2160" spans="2:37" ht="5.0999999999999996" customHeight="1">
      <c r="B2160" s="479"/>
      <c r="C2160" s="977"/>
      <c r="D2160" s="981"/>
      <c r="E2160" s="981"/>
      <c r="F2160" s="981"/>
      <c r="G2160" s="981"/>
      <c r="H2160" s="981"/>
      <c r="I2160" s="981"/>
      <c r="J2160" s="1815"/>
      <c r="K2160" s="1760"/>
      <c r="L2160" s="1760"/>
      <c r="M2160" s="1760"/>
      <c r="N2160" s="1761"/>
      <c r="O2160" s="485"/>
      <c r="P2160" s="485"/>
      <c r="Q2160" s="1435"/>
      <c r="S2160" s="1435"/>
      <c r="T2160" s="1435"/>
      <c r="U2160" s="1435"/>
      <c r="V2160" s="1435"/>
    </row>
    <row r="2161" spans="2:37" ht="12.75" customHeight="1" thickBot="1">
      <c r="B2161" s="479"/>
      <c r="C2161" s="977"/>
      <c r="D2161" s="981"/>
      <c r="E2161" s="2648" t="s">
        <v>1406</v>
      </c>
      <c r="F2161" s="2493"/>
      <c r="G2161" s="987" t="str">
        <f>EUconst_Unit</f>
        <v>Unit</v>
      </c>
      <c r="H2161" s="782">
        <f t="shared" ref="H2161:N2161" si="1004">H$3242</f>
        <v>2024</v>
      </c>
      <c r="I2161" s="988">
        <f t="shared" si="1004"/>
        <v>2025</v>
      </c>
      <c r="J2161" s="1810">
        <f t="shared" si="1004"/>
        <v>2026</v>
      </c>
      <c r="K2161" s="1747">
        <f t="shared" si="1004"/>
        <v>2027</v>
      </c>
      <c r="L2161" s="1747">
        <f t="shared" si="1004"/>
        <v>2028</v>
      </c>
      <c r="M2161" s="1747">
        <f t="shared" si="1004"/>
        <v>2029</v>
      </c>
      <c r="N2161" s="1748">
        <f t="shared" si="1004"/>
        <v>2030</v>
      </c>
      <c r="O2161" s="485"/>
      <c r="P2161" s="485"/>
      <c r="Q2161" s="1435"/>
      <c r="S2161" s="1435"/>
      <c r="T2161" s="1435"/>
      <c r="U2161" s="1435"/>
      <c r="V2161" s="1435"/>
      <c r="AC2161" s="1638">
        <f t="shared" ref="AC2161:AI2161" si="1005">H$20</f>
        <v>2024</v>
      </c>
      <c r="AD2161" s="1638">
        <f t="shared" si="1005"/>
        <v>2025</v>
      </c>
      <c r="AE2161" s="1638">
        <f t="shared" si="1005"/>
        <v>2026</v>
      </c>
      <c r="AF2161" s="1638">
        <f t="shared" si="1005"/>
        <v>2027</v>
      </c>
      <c r="AG2161" s="1638">
        <f t="shared" si="1005"/>
        <v>2028</v>
      </c>
      <c r="AH2161" s="1638">
        <f t="shared" si="1005"/>
        <v>2029</v>
      </c>
      <c r="AI2161" s="1638">
        <f t="shared" si="1005"/>
        <v>2030</v>
      </c>
    </row>
    <row r="2162" spans="2:37" ht="12.75" customHeight="1">
      <c r="B2162" s="479"/>
      <c r="C2162" s="977"/>
      <c r="D2162" s="777" t="s">
        <v>8</v>
      </c>
      <c r="E2162" s="2475" t="s">
        <v>1556</v>
      </c>
      <c r="F2162" s="2410"/>
      <c r="G2162" s="815" t="str">
        <f>EUconst_TJpa</f>
        <v>TJ / year</v>
      </c>
      <c r="H2162" s="1762" t="str">
        <f>c_ALR2025!M4728</f>
        <v/>
      </c>
      <c r="I2162" s="1885"/>
      <c r="J2162" s="1811"/>
      <c r="K2162" s="1751"/>
      <c r="L2162" s="1751"/>
      <c r="M2162" s="1751"/>
      <c r="N2162" s="1752"/>
      <c r="O2162" s="485"/>
      <c r="P2162" s="9">
        <v>0</v>
      </c>
      <c r="Q2162" s="1644" t="str">
        <f>EUconst_CNTR_HeatImportPulp &amp; I1945</f>
        <v>HeatImPulp_</v>
      </c>
      <c r="S2162" s="1435"/>
      <c r="T2162" s="1435"/>
      <c r="U2162" s="1435"/>
      <c r="V2162" s="1435"/>
      <c r="AB2162" s="1641" t="s">
        <v>717</v>
      </c>
      <c r="AC2162" s="1443" t="b">
        <f>AC2015</f>
        <v>0</v>
      </c>
      <c r="AD2162" s="1443" t="b">
        <f t="shared" ref="AD2162:AI2162" si="1006">AD2015</f>
        <v>0</v>
      </c>
      <c r="AE2162" s="1443" t="b">
        <f t="shared" si="1006"/>
        <v>0</v>
      </c>
      <c r="AF2162" s="1443" t="b">
        <f t="shared" si="1006"/>
        <v>0</v>
      </c>
      <c r="AG2162" s="1443" t="b">
        <f t="shared" si="1006"/>
        <v>0</v>
      </c>
      <c r="AH2162" s="1443" t="b">
        <f t="shared" si="1006"/>
        <v>0</v>
      </c>
      <c r="AI2162" s="1443" t="b">
        <f t="shared" si="1006"/>
        <v>0</v>
      </c>
      <c r="AJ2162" s="1633" t="s">
        <v>1954</v>
      </c>
      <c r="AK2162" s="1635" t="str">
        <f>IF(AND(CNTR_ExistSubInstEntries,MSconst_RequireSubAttrEmissions,COUNTIFS(AC2162:AI2162,FALSE,H2162:N2162,"")&gt;0),EUconst_Error&amp;"BM"&amp;$Q1945,"")</f>
        <v/>
      </c>
    </row>
    <row r="2163" spans="2:37" ht="25.5" customHeight="1">
      <c r="B2163" s="479"/>
      <c r="C2163" s="977"/>
      <c r="D2163" s="777" t="s">
        <v>18</v>
      </c>
      <c r="E2163" s="2475" t="s">
        <v>1149</v>
      </c>
      <c r="F2163" s="2410"/>
      <c r="G2163" s="815" t="str">
        <f>EUconst_TJpa</f>
        <v>TJ / year</v>
      </c>
      <c r="H2163" s="1479" t="str">
        <f>c_ALR2025!M4729</f>
        <v/>
      </c>
      <c r="I2163" s="1532"/>
      <c r="J2163" s="1811"/>
      <c r="K2163" s="1751"/>
      <c r="L2163" s="1751"/>
      <c r="M2163" s="1751"/>
      <c r="N2163" s="1752"/>
      <c r="O2163" s="485"/>
      <c r="P2163" s="9">
        <v>0</v>
      </c>
      <c r="Q2163" s="1644" t="str">
        <f>EUconst_CNTR_HeatImportNitric &amp; I1945</f>
        <v>HeatImNitric_</v>
      </c>
      <c r="S2163" s="1435"/>
      <c r="T2163" s="1435"/>
      <c r="U2163" s="1435"/>
      <c r="V2163" s="1435"/>
      <c r="AC2163" s="1443" t="b">
        <f>AC2162</f>
        <v>0</v>
      </c>
      <c r="AD2163" s="1443" t="b">
        <f t="shared" ref="AD2163:AI2163" si="1007">AD2162</f>
        <v>0</v>
      </c>
      <c r="AE2163" s="1443" t="b">
        <f t="shared" si="1007"/>
        <v>0</v>
      </c>
      <c r="AF2163" s="1443" t="b">
        <f t="shared" si="1007"/>
        <v>0</v>
      </c>
      <c r="AG2163" s="1443" t="b">
        <f t="shared" si="1007"/>
        <v>0</v>
      </c>
      <c r="AH2163" s="1443" t="b">
        <f t="shared" si="1007"/>
        <v>0</v>
      </c>
      <c r="AI2163" s="1443" t="b">
        <f t="shared" si="1007"/>
        <v>0</v>
      </c>
      <c r="AJ2163" s="1633" t="s">
        <v>1954</v>
      </c>
      <c r="AK2163" s="1635" t="str">
        <f>IF(AND(CNTR_ExistSubInstEntries,MSconst_RequireSubAttrEmissions,COUNTIFS(AC2163:AI2163,FALSE,H2163:N2163,"")&gt;0),EUconst_Error&amp;"BM"&amp;$Q1945,"")</f>
        <v/>
      </c>
    </row>
    <row r="2164" spans="2:37" ht="5.0999999999999996" customHeight="1" thickBot="1">
      <c r="B2164" s="479"/>
      <c r="C2164" s="977"/>
      <c r="D2164" s="981"/>
      <c r="E2164" s="981"/>
      <c r="F2164" s="981"/>
      <c r="G2164" s="981"/>
      <c r="H2164" s="981"/>
      <c r="I2164" s="981"/>
      <c r="J2164" s="1815"/>
      <c r="K2164" s="1760"/>
      <c r="L2164" s="1760"/>
      <c r="M2164" s="1760"/>
      <c r="N2164" s="1761"/>
      <c r="O2164" s="485"/>
      <c r="P2164" s="485"/>
      <c r="Q2164" s="1435"/>
      <c r="S2164" s="1435"/>
      <c r="T2164" s="1435"/>
      <c r="U2164" s="1435"/>
      <c r="V2164" s="1435"/>
    </row>
    <row r="2165" spans="2:37" ht="12.75" customHeight="1" thickBot="1">
      <c r="B2165" s="479"/>
      <c r="C2165" s="977"/>
      <c r="D2165" s="981"/>
      <c r="E2165" s="2648" t="s">
        <v>1152</v>
      </c>
      <c r="F2165" s="2493"/>
      <c r="G2165" s="987" t="str">
        <f>EUconst_Unit</f>
        <v>Unit</v>
      </c>
      <c r="H2165" s="782">
        <f t="shared" ref="H2165:N2165" si="1008">H$3242</f>
        <v>2024</v>
      </c>
      <c r="I2165" s="988">
        <f t="shared" si="1008"/>
        <v>2025</v>
      </c>
      <c r="J2165" s="1810">
        <f t="shared" si="1008"/>
        <v>2026</v>
      </c>
      <c r="K2165" s="1747">
        <f t="shared" si="1008"/>
        <v>2027</v>
      </c>
      <c r="L2165" s="1747">
        <f t="shared" si="1008"/>
        <v>2028</v>
      </c>
      <c r="M2165" s="1747">
        <f t="shared" si="1008"/>
        <v>2029</v>
      </c>
      <c r="N2165" s="1748">
        <f t="shared" si="1008"/>
        <v>2030</v>
      </c>
      <c r="O2165" s="485"/>
      <c r="P2165" s="485"/>
      <c r="Q2165" s="1435"/>
      <c r="S2165" s="1648"/>
      <c r="T2165" s="1749">
        <f t="shared" ref="T2165:Z2165" si="1009">H2165</f>
        <v>2024</v>
      </c>
      <c r="U2165" s="1749">
        <f t="shared" si="1009"/>
        <v>2025</v>
      </c>
      <c r="V2165" s="1749">
        <f t="shared" si="1009"/>
        <v>2026</v>
      </c>
      <c r="W2165" s="1749">
        <f t="shared" si="1009"/>
        <v>2027</v>
      </c>
      <c r="X2165" s="1749">
        <f t="shared" si="1009"/>
        <v>2028</v>
      </c>
      <c r="Y2165" s="1749">
        <f t="shared" si="1009"/>
        <v>2029</v>
      </c>
      <c r="Z2165" s="1750">
        <f t="shared" si="1009"/>
        <v>2030</v>
      </c>
      <c r="AC2165" s="1638">
        <f t="shared" ref="AC2165:AI2165" si="1010">H$20</f>
        <v>2024</v>
      </c>
      <c r="AD2165" s="1638">
        <f t="shared" si="1010"/>
        <v>2025</v>
      </c>
      <c r="AE2165" s="1638">
        <f t="shared" si="1010"/>
        <v>2026</v>
      </c>
      <c r="AF2165" s="1638">
        <f t="shared" si="1010"/>
        <v>2027</v>
      </c>
      <c r="AG2165" s="1638">
        <f t="shared" si="1010"/>
        <v>2028</v>
      </c>
      <c r="AH2165" s="1638">
        <f t="shared" si="1010"/>
        <v>2029</v>
      </c>
      <c r="AI2165" s="1638">
        <f t="shared" si="1010"/>
        <v>2030</v>
      </c>
    </row>
    <row r="2166" spans="2:37" ht="12.75" customHeight="1">
      <c r="B2166" s="479"/>
      <c r="C2166" s="977"/>
      <c r="D2166" s="777" t="s">
        <v>787</v>
      </c>
      <c r="E2166" s="2475" t="s">
        <v>1079</v>
      </c>
      <c r="F2166" s="2410"/>
      <c r="G2166" s="815" t="str">
        <f>EUconst_TJpa</f>
        <v>TJ / year</v>
      </c>
      <c r="H2166" s="1479" t="str">
        <f>c_ALR2025!M4732</f>
        <v/>
      </c>
      <c r="I2166" s="1532"/>
      <c r="J2166" s="1811"/>
      <c r="K2166" s="1751"/>
      <c r="L2166" s="1751"/>
      <c r="M2166" s="1751"/>
      <c r="N2166" s="1752"/>
      <c r="O2166" s="485"/>
      <c r="P2166" s="9">
        <v>0</v>
      </c>
      <c r="Q2166" s="1644" t="str">
        <f>EUconst_CNTR_HeatExport &amp; I1945</f>
        <v>HeatEx_</v>
      </c>
      <c r="S2166" s="1874" t="str">
        <f>EUconst_ERR_AttrEmBMapplied &amp; I1945</f>
        <v>ERR_AttrEmBM_</v>
      </c>
      <c r="T2166" s="1443">
        <f t="shared" ref="T2166:Z2166" si="1011">IF(AND(H2166&lt;&gt;0,H2167="",EUconst_StatusOfDataCollection=FALSE),1,0)</f>
        <v>0</v>
      </c>
      <c r="U2166" s="1443">
        <f t="shared" si="1011"/>
        <v>0</v>
      </c>
      <c r="V2166" s="1443">
        <f t="shared" si="1011"/>
        <v>0</v>
      </c>
      <c r="W2166" s="1443">
        <f t="shared" si="1011"/>
        <v>0</v>
      </c>
      <c r="X2166" s="1443">
        <f t="shared" si="1011"/>
        <v>0</v>
      </c>
      <c r="Y2166" s="1443">
        <f t="shared" si="1011"/>
        <v>0</v>
      </c>
      <c r="Z2166" s="1737">
        <f t="shared" si="1011"/>
        <v>0</v>
      </c>
      <c r="AB2166" s="1641" t="s">
        <v>717</v>
      </c>
      <c r="AC2166" s="1443" t="b">
        <f>AC2162</f>
        <v>0</v>
      </c>
      <c r="AD2166" s="1443" t="b">
        <f t="shared" ref="AD2166:AI2166" si="1012">AD2162</f>
        <v>0</v>
      </c>
      <c r="AE2166" s="1443" t="b">
        <f t="shared" si="1012"/>
        <v>0</v>
      </c>
      <c r="AF2166" s="1443" t="b">
        <f t="shared" si="1012"/>
        <v>0</v>
      </c>
      <c r="AG2166" s="1443" t="b">
        <f t="shared" si="1012"/>
        <v>0</v>
      </c>
      <c r="AH2166" s="1443" t="b">
        <f t="shared" si="1012"/>
        <v>0</v>
      </c>
      <c r="AI2166" s="1443" t="b">
        <f t="shared" si="1012"/>
        <v>0</v>
      </c>
      <c r="AJ2166" s="1633" t="s">
        <v>1954</v>
      </c>
      <c r="AK2166" s="1635" t="str">
        <f>IF(AND(CNTR_ExistSubInstEntries,MSconst_RequireSubAttrEmissions,COUNTIFS(AC2166:AI2166,FALSE,H2166:N2166,"")&gt;0),EUconst_Error&amp;"BM"&amp;$Q1945,"")</f>
        <v/>
      </c>
    </row>
    <row r="2167" spans="2:37" ht="12.75" customHeight="1" thickBot="1">
      <c r="B2167" s="479"/>
      <c r="C2167" s="977"/>
      <c r="D2167" s="777" t="s">
        <v>788</v>
      </c>
      <c r="E2167" s="2475" t="s">
        <v>1104</v>
      </c>
      <c r="F2167" s="2410"/>
      <c r="G2167" s="815" t="str">
        <f>EUconst_tCO2pTJ</f>
        <v>t CO2 / TJ</v>
      </c>
      <c r="H2167" s="1479" t="str">
        <f>c_ALR2025!M4733</f>
        <v/>
      </c>
      <c r="I2167" s="1532"/>
      <c r="J2167" s="1811"/>
      <c r="K2167" s="1751"/>
      <c r="L2167" s="1751"/>
      <c r="M2167" s="1751"/>
      <c r="N2167" s="1752"/>
      <c r="O2167" s="485"/>
      <c r="P2167" s="9">
        <v>0</v>
      </c>
      <c r="Q2167" s="1644" t="str">
        <f>EUconst_CNTR_HeatExportEF &amp; I1945</f>
        <v>HeatExEF_</v>
      </c>
      <c r="S2167" s="1753" t="str">
        <f>EUconst_CNTR_AttributedEmissions &amp; I1945</f>
        <v>AttrEmissions_</v>
      </c>
      <c r="T2167" s="1743" t="str">
        <f t="shared" ref="T2167:Z2167" si="1013">IF(T1953,-SUM(H2166)*IF(INDEX(EUconst_BMlistNumberOfBM,MATCH($I1945,EUconst_BMlistNames,0))=39,0,IF(ISNUMBER(H2167),H2167,EUconst_HeatBMvalue)),"")</f>
        <v/>
      </c>
      <c r="U2167" s="1743" t="str">
        <f t="shared" si="1013"/>
        <v/>
      </c>
      <c r="V2167" s="1743" t="str">
        <f t="shared" si="1013"/>
        <v/>
      </c>
      <c r="W2167" s="1743" t="str">
        <f t="shared" si="1013"/>
        <v/>
      </c>
      <c r="X2167" s="1743" t="str">
        <f t="shared" si="1013"/>
        <v/>
      </c>
      <c r="Y2167" s="1743" t="str">
        <f t="shared" si="1013"/>
        <v/>
      </c>
      <c r="Z2167" s="1744" t="str">
        <f t="shared" si="1013"/>
        <v/>
      </c>
      <c r="AC2167" s="1443" t="b">
        <f>AC2166</f>
        <v>0</v>
      </c>
      <c r="AD2167" s="1443" t="b">
        <f t="shared" ref="AD2167:AI2167" si="1014">AD2166</f>
        <v>0</v>
      </c>
      <c r="AE2167" s="1443" t="b">
        <f t="shared" si="1014"/>
        <v>0</v>
      </c>
      <c r="AF2167" s="1443" t="b">
        <f t="shared" si="1014"/>
        <v>0</v>
      </c>
      <c r="AG2167" s="1443" t="b">
        <f t="shared" si="1014"/>
        <v>0</v>
      </c>
      <c r="AH2167" s="1443" t="b">
        <f t="shared" si="1014"/>
        <v>0</v>
      </c>
      <c r="AI2167" s="1443" t="b">
        <f t="shared" si="1014"/>
        <v>0</v>
      </c>
    </row>
    <row r="2168" spans="2:37" ht="12.75" customHeight="1">
      <c r="B2168" s="479"/>
      <c r="C2168" s="977"/>
      <c r="D2168" s="981"/>
      <c r="E2168" s="981"/>
      <c r="F2168" s="981"/>
      <c r="G2168" s="981"/>
      <c r="H2168" s="981"/>
      <c r="I2168" s="981"/>
      <c r="J2168" s="981"/>
      <c r="K2168" s="981"/>
      <c r="L2168" s="981"/>
      <c r="M2168" s="813"/>
      <c r="N2168" s="814"/>
      <c r="O2168" s="485"/>
      <c r="P2168" s="485"/>
      <c r="Q2168" s="1435"/>
      <c r="S2168" s="1435"/>
      <c r="T2168" s="1435"/>
      <c r="U2168" s="1435"/>
      <c r="V2168" s="1435"/>
    </row>
    <row r="2169" spans="2:37" ht="12.75" customHeight="1">
      <c r="B2169" s="479"/>
      <c r="C2169" s="977"/>
      <c r="D2169" s="982" t="s">
        <v>481</v>
      </c>
      <c r="E2169" s="2649" t="s">
        <v>1312</v>
      </c>
      <c r="F2169" s="2391"/>
      <c r="G2169" s="2391"/>
      <c r="H2169" s="2391"/>
      <c r="I2169" s="2391"/>
      <c r="J2169" s="2391"/>
      <c r="K2169" s="2391"/>
      <c r="L2169" s="2391"/>
      <c r="M2169" s="2391"/>
      <c r="N2169" s="2650"/>
      <c r="O2169" s="485"/>
      <c r="P2169" s="485"/>
      <c r="Q2169" s="1435"/>
      <c r="S2169" s="1435"/>
      <c r="T2169" s="1435"/>
      <c r="U2169" s="1435"/>
      <c r="V2169" s="1435"/>
    </row>
    <row r="2170" spans="2:37" ht="5.0999999999999996" customHeight="1">
      <c r="B2170" s="479"/>
      <c r="C2170" s="977"/>
      <c r="D2170" s="981"/>
      <c r="E2170" s="986"/>
      <c r="F2170" s="986"/>
      <c r="G2170" s="986"/>
      <c r="H2170" s="986"/>
      <c r="I2170" s="986"/>
      <c r="J2170" s="986"/>
      <c r="K2170" s="986"/>
      <c r="L2170" s="986"/>
      <c r="M2170" s="986"/>
      <c r="N2170" s="1007"/>
      <c r="O2170" s="485"/>
      <c r="P2170" s="485"/>
      <c r="Q2170" s="1435"/>
      <c r="S2170" s="1435"/>
      <c r="T2170" s="1435"/>
      <c r="U2170" s="1435"/>
      <c r="V2170" s="1435"/>
    </row>
    <row r="2171" spans="2:37" ht="12.75" customHeight="1">
      <c r="B2171" s="479"/>
      <c r="C2171" s="977"/>
      <c r="D2171" s="777" t="s">
        <v>6</v>
      </c>
      <c r="E2171" s="2649" t="s">
        <v>1313</v>
      </c>
      <c r="F2171" s="2391"/>
      <c r="G2171" s="2391"/>
      <c r="H2171" s="2391"/>
      <c r="I2171" s="2391"/>
      <c r="J2171" s="2391"/>
      <c r="K2171" s="2512"/>
      <c r="L2171" s="1478" t="str">
        <f>c_ALR2025!L4737</f>
        <v/>
      </c>
      <c r="M2171" s="978"/>
      <c r="N2171" s="979"/>
      <c r="O2171" s="485"/>
      <c r="P2171" s="9">
        <v>0</v>
      </c>
      <c r="Q2171" s="1435"/>
      <c r="S2171" s="1435"/>
      <c r="AF2171" s="1641" t="s">
        <v>717</v>
      </c>
      <c r="AG2171" s="1423" t="b">
        <f>AND(CNTR_ExistSubInstEntries,I1945="")</f>
        <v>0</v>
      </c>
    </row>
    <row r="2172" spans="2:37" ht="12.75" customHeight="1">
      <c r="B2172" s="479"/>
      <c r="C2172" s="977"/>
      <c r="D2172" s="981"/>
      <c r="E2172" s="3267" t="s">
        <v>1314</v>
      </c>
      <c r="F2172" s="2380"/>
      <c r="G2172" s="2380"/>
      <c r="H2172" s="2380"/>
      <c r="I2172" s="2380"/>
      <c r="J2172" s="2380"/>
      <c r="K2172" s="2380"/>
      <c r="L2172" s="2380"/>
      <c r="M2172" s="2380"/>
      <c r="N2172" s="3268"/>
      <c r="O2172" s="485"/>
      <c r="P2172" s="485"/>
      <c r="Q2172" s="1435"/>
      <c r="S2172" s="1435"/>
    </row>
    <row r="2173" spans="2:37" ht="12.75" customHeight="1">
      <c r="B2173" s="479"/>
      <c r="C2173" s="977"/>
      <c r="D2173" s="777" t="s">
        <v>7</v>
      </c>
      <c r="E2173" s="2649" t="s">
        <v>1219</v>
      </c>
      <c r="F2173" s="2391"/>
      <c r="G2173" s="2391"/>
      <c r="H2173" s="2512"/>
      <c r="I2173" s="3211" t="str">
        <f>c_ALR2025!I4739</f>
        <v/>
      </c>
      <c r="J2173" s="3206"/>
      <c r="K2173" s="3206"/>
      <c r="L2173" s="3206"/>
      <c r="M2173" s="3207"/>
      <c r="N2173" s="979"/>
      <c r="O2173" s="485"/>
      <c r="P2173" s="9">
        <v>0</v>
      </c>
      <c r="Q2173" s="1435"/>
      <c r="S2173" s="1435"/>
      <c r="AC2173" s="1641" t="s">
        <v>717</v>
      </c>
      <c r="AD2173" s="1423" t="b">
        <f>OR(AG2171,AND($L2171&lt;&gt;"",$L2171=FALSE))</f>
        <v>0</v>
      </c>
    </row>
    <row r="2174" spans="2:37" ht="12.75" customHeight="1">
      <c r="B2174" s="479"/>
      <c r="C2174" s="977"/>
      <c r="D2174" s="981"/>
      <c r="E2174" s="3267" t="s">
        <v>1316</v>
      </c>
      <c r="F2174" s="2380"/>
      <c r="G2174" s="2380"/>
      <c r="H2174" s="2380"/>
      <c r="I2174" s="2380"/>
      <c r="J2174" s="2380"/>
      <c r="K2174" s="2380"/>
      <c r="L2174" s="2380"/>
      <c r="M2174" s="2380"/>
      <c r="N2174" s="3268"/>
      <c r="O2174" s="485"/>
      <c r="P2174" s="485"/>
      <c r="Q2174" s="1435"/>
      <c r="S2174" s="1435"/>
      <c r="T2174" s="1435"/>
      <c r="U2174" s="1435"/>
      <c r="V2174" s="1435"/>
    </row>
    <row r="2175" spans="2:37" ht="12.75" customHeight="1">
      <c r="B2175" s="479"/>
      <c r="C2175" s="977"/>
      <c r="D2175" s="981"/>
      <c r="E2175" s="3272" t="s">
        <v>1557</v>
      </c>
      <c r="F2175" s="2380"/>
      <c r="G2175" s="2380"/>
      <c r="H2175" s="2380"/>
      <c r="I2175" s="2380"/>
      <c r="J2175" s="2380"/>
      <c r="K2175" s="2380"/>
      <c r="L2175" s="2380"/>
      <c r="M2175" s="2380"/>
      <c r="N2175" s="3268"/>
      <c r="O2175" s="485"/>
      <c r="P2175" s="485"/>
      <c r="Q2175" s="1435"/>
      <c r="S2175" s="1435"/>
      <c r="T2175" s="1435"/>
      <c r="U2175" s="1435"/>
      <c r="V2175" s="1435"/>
    </row>
    <row r="2176" spans="2:37" ht="12.75" customHeight="1" thickBot="1">
      <c r="B2176" s="479"/>
      <c r="C2176" s="977"/>
      <c r="D2176" s="981"/>
      <c r="E2176" s="989"/>
      <c r="F2176" s="990"/>
      <c r="G2176" s="987" t="str">
        <f>EUconst_Unit</f>
        <v>Unit</v>
      </c>
      <c r="H2176" s="782">
        <f t="shared" ref="H2176:N2176" si="1015">H$3242</f>
        <v>2024</v>
      </c>
      <c r="I2176" s="988">
        <f t="shared" si="1015"/>
        <v>2025</v>
      </c>
      <c r="J2176" s="1810">
        <f t="shared" si="1015"/>
        <v>2026</v>
      </c>
      <c r="K2176" s="1747">
        <f t="shared" si="1015"/>
        <v>2027</v>
      </c>
      <c r="L2176" s="1747">
        <f t="shared" si="1015"/>
        <v>2028</v>
      </c>
      <c r="M2176" s="1747">
        <f t="shared" si="1015"/>
        <v>2029</v>
      </c>
      <c r="N2176" s="1748">
        <f t="shared" si="1015"/>
        <v>2030</v>
      </c>
      <c r="O2176" s="485"/>
      <c r="P2176" s="485"/>
      <c r="Q2176" s="1435"/>
      <c r="S2176" s="1435"/>
      <c r="T2176" s="1435"/>
      <c r="U2176" s="1435"/>
      <c r="V2176" s="1435"/>
      <c r="AC2176" s="1638">
        <f t="shared" ref="AC2176:AI2176" si="1016">H$20</f>
        <v>2024</v>
      </c>
      <c r="AD2176" s="1638">
        <f t="shared" si="1016"/>
        <v>2025</v>
      </c>
      <c r="AE2176" s="1638">
        <f t="shared" si="1016"/>
        <v>2026</v>
      </c>
      <c r="AF2176" s="1638">
        <f t="shared" si="1016"/>
        <v>2027</v>
      </c>
      <c r="AG2176" s="1638">
        <f t="shared" si="1016"/>
        <v>2028</v>
      </c>
      <c r="AH2176" s="1638">
        <f t="shared" si="1016"/>
        <v>2029</v>
      </c>
      <c r="AI2176" s="1638">
        <f t="shared" si="1016"/>
        <v>2030</v>
      </c>
    </row>
    <row r="2177" spans="2:37" ht="12.75" customHeight="1">
      <c r="B2177" s="479"/>
      <c r="C2177" s="977"/>
      <c r="D2177" s="777" t="s">
        <v>8</v>
      </c>
      <c r="E2177" s="2471" t="s">
        <v>1305</v>
      </c>
      <c r="F2177" s="2472"/>
      <c r="G2177" s="1763" t="str">
        <f>c_ALR2025!G4743</f>
        <v/>
      </c>
      <c r="H2177" s="1552" t="str">
        <f>c_ALR2025!M4743</f>
        <v/>
      </c>
      <c r="I2177" s="1611"/>
      <c r="J2177" s="1811"/>
      <c r="K2177" s="1751"/>
      <c r="L2177" s="1751"/>
      <c r="M2177" s="1751"/>
      <c r="N2177" s="1752"/>
      <c r="O2177" s="485"/>
      <c r="P2177" s="9">
        <v>0</v>
      </c>
      <c r="Q2177" s="1435"/>
      <c r="S2177" s="1435"/>
      <c r="T2177" s="1435"/>
      <c r="U2177" s="1435"/>
      <c r="V2177" s="1435"/>
      <c r="AB2177" s="1641" t="s">
        <v>717</v>
      </c>
      <c r="AC2177" s="1423" t="b">
        <f>OR(AND($L2171&lt;&gt;"",$L2171=FALSE),AC2015)</f>
        <v>0</v>
      </c>
      <c r="AD2177" s="1443" t="b">
        <f t="shared" ref="AD2177:AI2177" si="1017">OR(AND($L2171&lt;&gt;"",$L2171=FALSE),AD2015)</f>
        <v>0</v>
      </c>
      <c r="AE2177" s="1443" t="b">
        <f t="shared" si="1017"/>
        <v>0</v>
      </c>
      <c r="AF2177" s="1443" t="b">
        <f t="shared" si="1017"/>
        <v>0</v>
      </c>
      <c r="AG2177" s="1443" t="b">
        <f t="shared" si="1017"/>
        <v>0</v>
      </c>
      <c r="AH2177" s="1443" t="b">
        <f t="shared" si="1017"/>
        <v>0</v>
      </c>
      <c r="AI2177" s="1443" t="b">
        <f t="shared" si="1017"/>
        <v>0</v>
      </c>
      <c r="AJ2177" s="1633" t="s">
        <v>1954</v>
      </c>
      <c r="AK2177" s="1635" t="str">
        <f>IF(AND(CNTR_ExistSubInstEntries,MSconst_RequireSubAttrEmissions,COUNTIFS(AC2177:AI2177,FALSE,H2177:N2177,"")&gt;0),EUconst_Error&amp;"BM"&amp;$Q1945,"")</f>
        <v/>
      </c>
    </row>
    <row r="2178" spans="2:37" ht="12.75" customHeight="1">
      <c r="B2178" s="479"/>
      <c r="C2178" s="977"/>
      <c r="D2178" s="777" t="s">
        <v>18</v>
      </c>
      <c r="E2178" s="2473" t="s">
        <v>661</v>
      </c>
      <c r="F2178" s="2474"/>
      <c r="G2178" s="1008" t="e">
        <f>IF(ISBLANK(G2177),EUconst_GJperUnit,INDEX(EUconst_GJperTorKNm3,MATCH(G2177,EUconst_TonnesOrkNm3pa,0)))</f>
        <v>#N/A</v>
      </c>
      <c r="H2178" s="1558" t="str">
        <f>c_ALR2025!M4744</f>
        <v/>
      </c>
      <c r="I2178" s="1884"/>
      <c r="J2178" s="1811"/>
      <c r="K2178" s="1751"/>
      <c r="L2178" s="1751"/>
      <c r="M2178" s="1751"/>
      <c r="N2178" s="1752"/>
      <c r="O2178" s="485"/>
      <c r="P2178" s="9">
        <v>0</v>
      </c>
      <c r="S2178" s="1435"/>
      <c r="T2178" s="1435"/>
      <c r="U2178" s="1435"/>
      <c r="V2178" s="1435"/>
      <c r="W2178" s="1435"/>
      <c r="X2178" s="1435"/>
      <c r="Y2178" s="1435"/>
      <c r="Z2178" s="1435"/>
      <c r="AC2178" s="1443" t="b">
        <f>AC2177</f>
        <v>0</v>
      </c>
      <c r="AD2178" s="1443" t="b">
        <f t="shared" ref="AD2178:AI2178" si="1018">AD2177</f>
        <v>0</v>
      </c>
      <c r="AE2178" s="1443" t="b">
        <f t="shared" si="1018"/>
        <v>0</v>
      </c>
      <c r="AF2178" s="1443" t="b">
        <f t="shared" si="1018"/>
        <v>0</v>
      </c>
      <c r="AG2178" s="1443" t="b">
        <f t="shared" si="1018"/>
        <v>0</v>
      </c>
      <c r="AH2178" s="1443" t="b">
        <f t="shared" si="1018"/>
        <v>0</v>
      </c>
      <c r="AI2178" s="1443" t="b">
        <f t="shared" si="1018"/>
        <v>0</v>
      </c>
      <c r="AJ2178" s="1633" t="s">
        <v>1954</v>
      </c>
      <c r="AK2178" s="1635" t="str">
        <f>IF(AND(CNTR_ExistSubInstEntries,MSconst_RequireSubAttrEmissions,COUNTIFS(AC2178:AI2178,FALSE,H2178:N2178,"")&gt;0),EUconst_Error&amp;"BM"&amp;$Q1945,"")</f>
        <v/>
      </c>
    </row>
    <row r="2179" spans="2:37" ht="12.75" customHeight="1">
      <c r="B2179" s="479"/>
      <c r="C2179" s="977"/>
      <c r="D2179" s="777" t="s">
        <v>787</v>
      </c>
      <c r="E2179" s="2475" t="s">
        <v>1141</v>
      </c>
      <c r="F2179" s="2410"/>
      <c r="G2179" s="815" t="str">
        <f>EUconst_TJpa</f>
        <v>TJ / year</v>
      </c>
      <c r="H2179" s="1005" t="str">
        <f t="shared" ref="H2179:N2179" si="1019">IF(COUNT(H2177:H2178)=2,H2177*H2178/1000,"")</f>
        <v/>
      </c>
      <c r="I2179" s="1006" t="str">
        <f t="shared" si="1019"/>
        <v/>
      </c>
      <c r="J2179" s="1811" t="str">
        <f t="shared" si="1019"/>
        <v/>
      </c>
      <c r="K2179" s="1751" t="str">
        <f t="shared" si="1019"/>
        <v/>
      </c>
      <c r="L2179" s="1751" t="str">
        <f t="shared" si="1019"/>
        <v/>
      </c>
      <c r="M2179" s="1751" t="str">
        <f t="shared" si="1019"/>
        <v/>
      </c>
      <c r="N2179" s="1752" t="str">
        <f t="shared" si="1019"/>
        <v/>
      </c>
      <c r="O2179" s="485"/>
      <c r="P2179" s="485"/>
      <c r="Q2179" s="1644" t="str">
        <f>EUconst_CNTR_WGProduced &amp; I1945</f>
        <v>WasteGasProd_</v>
      </c>
      <c r="S2179" s="1435"/>
      <c r="T2179" s="1435"/>
      <c r="U2179" s="1435"/>
      <c r="V2179" s="1435"/>
      <c r="W2179" s="1435"/>
      <c r="X2179" s="1435"/>
      <c r="Y2179" s="1435"/>
      <c r="Z2179" s="1435"/>
    </row>
    <row r="2180" spans="2:37" ht="12.75" customHeight="1">
      <c r="B2180" s="479"/>
      <c r="C2180" s="977"/>
      <c r="D2180" s="777" t="s">
        <v>788</v>
      </c>
      <c r="E2180" s="2475" t="s">
        <v>1258</v>
      </c>
      <c r="F2180" s="2410"/>
      <c r="G2180" s="815" t="str">
        <f>EUconst_tCO2pTJ</f>
        <v>t CO2 / TJ</v>
      </c>
      <c r="H2180" s="1479" t="str">
        <f>c_ALR2025!M4746</f>
        <v/>
      </c>
      <c r="I2180" s="1532"/>
      <c r="J2180" s="1811"/>
      <c r="K2180" s="1751"/>
      <c r="L2180" s="1751"/>
      <c r="M2180" s="1751"/>
      <c r="N2180" s="1752"/>
      <c r="O2180" s="485"/>
      <c r="P2180" s="9">
        <v>0</v>
      </c>
      <c r="Q2180" s="1644" t="str">
        <f>EUconst_CNTR_WGProducedEF &amp; I1945</f>
        <v>WasteGasProdEF_</v>
      </c>
      <c r="S2180" s="1435"/>
      <c r="T2180" s="1435"/>
      <c r="U2180" s="1435"/>
      <c r="V2180" s="1435"/>
      <c r="W2180" s="1435"/>
      <c r="X2180" s="1435"/>
      <c r="Y2180" s="1435"/>
      <c r="Z2180" s="1435"/>
      <c r="AB2180" s="1641" t="s">
        <v>717</v>
      </c>
      <c r="AC2180" s="1443" t="b">
        <f>AC2178</f>
        <v>0</v>
      </c>
      <c r="AD2180" s="1443" t="b">
        <f t="shared" ref="AD2180:AI2180" si="1020">AD2178</f>
        <v>0</v>
      </c>
      <c r="AE2180" s="1443" t="b">
        <f t="shared" si="1020"/>
        <v>0</v>
      </c>
      <c r="AF2180" s="1443" t="b">
        <f t="shared" si="1020"/>
        <v>0</v>
      </c>
      <c r="AG2180" s="1443" t="b">
        <f t="shared" si="1020"/>
        <v>0</v>
      </c>
      <c r="AH2180" s="1443" t="b">
        <f t="shared" si="1020"/>
        <v>0</v>
      </c>
      <c r="AI2180" s="1443" t="b">
        <f t="shared" si="1020"/>
        <v>0</v>
      </c>
      <c r="AJ2180" s="1633" t="s">
        <v>1954</v>
      </c>
      <c r="AK2180" s="1635" t="str">
        <f>IF(AND(CNTR_ExistSubInstEntries,MSconst_RequireSubAttrEmissions,COUNTIFS(AC2180:AI2180,FALSE,H2180:N2180,"")&gt;0),EUconst_Error&amp;"BM"&amp;$Q1945,"")</f>
        <v/>
      </c>
    </row>
    <row r="2181" spans="2:37" ht="12.75" customHeight="1">
      <c r="B2181" s="479"/>
      <c r="C2181" s="977"/>
      <c r="D2181" s="981"/>
      <c r="E2181" s="981"/>
      <c r="F2181" s="981"/>
      <c r="G2181" s="981"/>
      <c r="H2181" s="983"/>
      <c r="I2181" s="981"/>
      <c r="J2181" s="981"/>
      <c r="K2181" s="981"/>
      <c r="L2181" s="981"/>
      <c r="M2181" s="813"/>
      <c r="N2181" s="814"/>
      <c r="O2181" s="485"/>
      <c r="P2181" s="485"/>
      <c r="Q2181" s="1435"/>
      <c r="S2181" s="1435"/>
      <c r="T2181" s="1435"/>
      <c r="U2181" s="1435"/>
      <c r="V2181" s="1435"/>
      <c r="W2181" s="1435"/>
      <c r="X2181" s="1435"/>
      <c r="Y2181" s="1435"/>
      <c r="Z2181" s="1435"/>
    </row>
    <row r="2182" spans="2:37" ht="12.75" customHeight="1">
      <c r="B2182" s="479"/>
      <c r="C2182" s="977"/>
      <c r="D2182" s="777" t="s">
        <v>789</v>
      </c>
      <c r="E2182" s="2649" t="s">
        <v>1301</v>
      </c>
      <c r="F2182" s="2391"/>
      <c r="G2182" s="2391"/>
      <c r="H2182" s="2512"/>
      <c r="I2182" s="3211" t="str">
        <f>c_ALR2025!I4748</f>
        <v/>
      </c>
      <c r="J2182" s="3206"/>
      <c r="K2182" s="3206"/>
      <c r="L2182" s="3206"/>
      <c r="M2182" s="3207"/>
      <c r="N2182" s="979"/>
      <c r="O2182" s="485"/>
      <c r="P2182" s="9">
        <v>0</v>
      </c>
      <c r="Q2182" s="1435"/>
      <c r="S2182" s="1435"/>
      <c r="T2182" s="1435"/>
      <c r="U2182" s="1435"/>
      <c r="V2182" s="1435"/>
      <c r="W2182" s="1435"/>
      <c r="X2182" s="1435"/>
      <c r="Y2182" s="1435"/>
      <c r="Z2182" s="1435"/>
      <c r="AC2182" s="1641" t="s">
        <v>717</v>
      </c>
      <c r="AD2182" s="1443" t="b">
        <f>AD2173</f>
        <v>0</v>
      </c>
    </row>
    <row r="2183" spans="2:37" ht="25.5" customHeight="1">
      <c r="B2183" s="479"/>
      <c r="C2183" s="977"/>
      <c r="D2183" s="777"/>
      <c r="E2183" s="3267" t="s">
        <v>1606</v>
      </c>
      <c r="F2183" s="2380"/>
      <c r="G2183" s="2380"/>
      <c r="H2183" s="2380"/>
      <c r="I2183" s="2380"/>
      <c r="J2183" s="2380"/>
      <c r="K2183" s="2380"/>
      <c r="L2183" s="2380"/>
      <c r="M2183" s="2380"/>
      <c r="N2183" s="3268"/>
      <c r="O2183" s="485"/>
      <c r="P2183" s="485"/>
      <c r="Q2183" s="1435"/>
      <c r="S2183" s="1435"/>
      <c r="T2183" s="1435"/>
      <c r="U2183" s="1435"/>
      <c r="V2183" s="1435"/>
      <c r="W2183" s="1435"/>
      <c r="X2183" s="1435"/>
      <c r="Y2183" s="1435"/>
      <c r="Z2183" s="1435"/>
    </row>
    <row r="2184" spans="2:37" ht="12.75" customHeight="1">
      <c r="B2184" s="479"/>
      <c r="C2184" s="977"/>
      <c r="D2184" s="981"/>
      <c r="E2184" s="3272" t="s">
        <v>1557</v>
      </c>
      <c r="F2184" s="2380"/>
      <c r="G2184" s="2380"/>
      <c r="H2184" s="2380"/>
      <c r="I2184" s="2380"/>
      <c r="J2184" s="2380"/>
      <c r="K2184" s="2380"/>
      <c r="L2184" s="2380"/>
      <c r="M2184" s="2380"/>
      <c r="N2184" s="3268"/>
      <c r="O2184" s="485"/>
      <c r="P2184" s="485"/>
      <c r="Q2184" s="1435"/>
      <c r="S2184" s="1435"/>
      <c r="T2184" s="1435"/>
      <c r="U2184" s="1435"/>
      <c r="V2184" s="1435"/>
      <c r="W2184" s="1435"/>
      <c r="X2184" s="1435"/>
      <c r="Y2184" s="1435"/>
      <c r="Z2184" s="1435"/>
    </row>
    <row r="2185" spans="2:37" ht="12.75" customHeight="1" thickBot="1">
      <c r="B2185" s="479"/>
      <c r="C2185" s="977"/>
      <c r="D2185" s="981"/>
      <c r="E2185" s="989"/>
      <c r="F2185" s="990"/>
      <c r="G2185" s="987" t="str">
        <f>EUconst_Unit</f>
        <v>Unit</v>
      </c>
      <c r="H2185" s="782">
        <f t="shared" ref="H2185:N2185" si="1021">H$3242</f>
        <v>2024</v>
      </c>
      <c r="I2185" s="988">
        <f t="shared" si="1021"/>
        <v>2025</v>
      </c>
      <c r="J2185" s="1810">
        <f t="shared" si="1021"/>
        <v>2026</v>
      </c>
      <c r="K2185" s="1747">
        <f t="shared" si="1021"/>
        <v>2027</v>
      </c>
      <c r="L2185" s="1747">
        <f t="shared" si="1021"/>
        <v>2028</v>
      </c>
      <c r="M2185" s="1747">
        <f t="shared" si="1021"/>
        <v>2029</v>
      </c>
      <c r="N2185" s="1748">
        <f t="shared" si="1021"/>
        <v>2030</v>
      </c>
      <c r="O2185" s="485"/>
      <c r="P2185" s="485"/>
      <c r="Q2185" s="1435"/>
      <c r="S2185" s="1435"/>
      <c r="T2185" s="1435"/>
      <c r="U2185" s="1435"/>
      <c r="V2185" s="1435"/>
      <c r="W2185" s="1435"/>
      <c r="X2185" s="1435"/>
      <c r="Y2185" s="1435"/>
      <c r="Z2185" s="1435"/>
      <c r="AC2185" s="1638">
        <f t="shared" ref="AC2185:AI2185" si="1022">H$20</f>
        <v>2024</v>
      </c>
      <c r="AD2185" s="1638">
        <f t="shared" si="1022"/>
        <v>2025</v>
      </c>
      <c r="AE2185" s="1638">
        <f t="shared" si="1022"/>
        <v>2026</v>
      </c>
      <c r="AF2185" s="1638">
        <f t="shared" si="1022"/>
        <v>2027</v>
      </c>
      <c r="AG2185" s="1638">
        <f t="shared" si="1022"/>
        <v>2028</v>
      </c>
      <c r="AH2185" s="1638">
        <f t="shared" si="1022"/>
        <v>2029</v>
      </c>
      <c r="AI2185" s="1638">
        <f t="shared" si="1022"/>
        <v>2030</v>
      </c>
    </row>
    <row r="2186" spans="2:37" ht="12.75" customHeight="1">
      <c r="B2186" s="479"/>
      <c r="C2186" s="977"/>
      <c r="D2186" s="777" t="s">
        <v>790</v>
      </c>
      <c r="E2186" s="2471" t="s">
        <v>1306</v>
      </c>
      <c r="F2186" s="2472"/>
      <c r="G2186" s="1763" t="str">
        <f>c_ALR2025!G4752</f>
        <v/>
      </c>
      <c r="H2186" s="1552" t="str">
        <f>c_ALR2025!M4752</f>
        <v/>
      </c>
      <c r="I2186" s="1611"/>
      <c r="J2186" s="1811"/>
      <c r="K2186" s="1751"/>
      <c r="L2186" s="1751"/>
      <c r="M2186" s="1751"/>
      <c r="N2186" s="1752"/>
      <c r="O2186" s="485"/>
      <c r="P2186" s="9">
        <v>0</v>
      </c>
      <c r="Q2186" s="1435"/>
      <c r="S2186" s="1435"/>
      <c r="T2186" s="1435"/>
      <c r="U2186" s="1435"/>
      <c r="V2186" s="1435"/>
      <c r="W2186" s="1435"/>
      <c r="X2186" s="1435"/>
      <c r="Y2186" s="1435"/>
      <c r="Z2186" s="1435"/>
      <c r="AB2186" s="1641" t="s">
        <v>717</v>
      </c>
      <c r="AC2186" s="1443" t="b">
        <f>AC2177</f>
        <v>0</v>
      </c>
      <c r="AD2186" s="1443" t="b">
        <f t="shared" ref="AD2186:AI2186" si="1023">AD2177</f>
        <v>0</v>
      </c>
      <c r="AE2186" s="1443" t="b">
        <f t="shared" si="1023"/>
        <v>0</v>
      </c>
      <c r="AF2186" s="1443" t="b">
        <f t="shared" si="1023"/>
        <v>0</v>
      </c>
      <c r="AG2186" s="1443" t="b">
        <f t="shared" si="1023"/>
        <v>0</v>
      </c>
      <c r="AH2186" s="1443" t="b">
        <f t="shared" si="1023"/>
        <v>0</v>
      </c>
      <c r="AI2186" s="1443" t="b">
        <f t="shared" si="1023"/>
        <v>0</v>
      </c>
      <c r="AJ2186" s="1633" t="s">
        <v>1954</v>
      </c>
      <c r="AK2186" s="1635" t="str">
        <f>IF(AND(CNTR_ExistSubInstEntries,MSconst_RequireSubAttrEmissions,COUNTIFS(AC2186:AI2186,FALSE,H2186:N2186,"")&gt;0),EUconst_Error&amp;"BM"&amp;$Q1945,"")</f>
        <v/>
      </c>
    </row>
    <row r="2187" spans="2:37" ht="12.75" customHeight="1">
      <c r="B2187" s="479"/>
      <c r="C2187" s="977"/>
      <c r="D2187" s="777" t="s">
        <v>791</v>
      </c>
      <c r="E2187" s="2473" t="s">
        <v>661</v>
      </c>
      <c r="F2187" s="2474"/>
      <c r="G2187" s="1008" t="e">
        <f>IF(ISBLANK(G2186),EUconst_GJperUnit,INDEX(EUconst_GJperTorKNm3,MATCH(G2186,EUconst_TonnesOrkNm3pa,0)))</f>
        <v>#N/A</v>
      </c>
      <c r="H2187" s="1558" t="str">
        <f>c_ALR2025!M4753</f>
        <v/>
      </c>
      <c r="I2187" s="1884"/>
      <c r="J2187" s="1811"/>
      <c r="K2187" s="1751"/>
      <c r="L2187" s="1751"/>
      <c r="M2187" s="1751"/>
      <c r="N2187" s="1752"/>
      <c r="O2187" s="485"/>
      <c r="P2187" s="9">
        <v>0</v>
      </c>
      <c r="S2187" s="1435"/>
      <c r="T2187" s="1435"/>
      <c r="U2187" s="1435"/>
      <c r="V2187" s="1435"/>
      <c r="W2187" s="1435"/>
      <c r="X2187" s="1435"/>
      <c r="Y2187" s="1435"/>
      <c r="Z2187" s="1435"/>
      <c r="AC2187" s="1443" t="b">
        <f>AC2186</f>
        <v>0</v>
      </c>
      <c r="AD2187" s="1443" t="b">
        <f t="shared" ref="AD2187:AI2187" si="1024">AD2186</f>
        <v>0</v>
      </c>
      <c r="AE2187" s="1443" t="b">
        <f t="shared" si="1024"/>
        <v>0</v>
      </c>
      <c r="AF2187" s="1443" t="b">
        <f t="shared" si="1024"/>
        <v>0</v>
      </c>
      <c r="AG2187" s="1443" t="b">
        <f t="shared" si="1024"/>
        <v>0</v>
      </c>
      <c r="AH2187" s="1443" t="b">
        <f t="shared" si="1024"/>
        <v>0</v>
      </c>
      <c r="AI2187" s="1443" t="b">
        <f t="shared" si="1024"/>
        <v>0</v>
      </c>
      <c r="AJ2187" s="1633" t="s">
        <v>1954</v>
      </c>
      <c r="AK2187" s="1635" t="str">
        <f>IF(AND(CNTR_ExistSubInstEntries,MSconst_RequireSubAttrEmissions,COUNTIFS(AC2187:AI2187,FALSE,H2187:N2187,"")&gt;0),EUconst_Error&amp;"BM"&amp;$Q1945,"")</f>
        <v/>
      </c>
    </row>
    <row r="2188" spans="2:37" ht="12.75" customHeight="1">
      <c r="B2188" s="479"/>
      <c r="C2188" s="977"/>
      <c r="D2188" s="777" t="s">
        <v>64</v>
      </c>
      <c r="E2188" s="2475" t="s">
        <v>1309</v>
      </c>
      <c r="F2188" s="2410"/>
      <c r="G2188" s="815" t="str">
        <f>EUconst_TJpa</f>
        <v>TJ / year</v>
      </c>
      <c r="H2188" s="1005" t="str">
        <f t="shared" ref="H2188:N2188" si="1025">IF(COUNT(H2186:H2187)=2,H2186*H2187/1000,"")</f>
        <v/>
      </c>
      <c r="I2188" s="1006" t="str">
        <f t="shared" si="1025"/>
        <v/>
      </c>
      <c r="J2188" s="1811" t="str">
        <f t="shared" si="1025"/>
        <v/>
      </c>
      <c r="K2188" s="1751" t="str">
        <f t="shared" si="1025"/>
        <v/>
      </c>
      <c r="L2188" s="1751" t="str">
        <f t="shared" si="1025"/>
        <v/>
      </c>
      <c r="M2188" s="1751" t="str">
        <f t="shared" si="1025"/>
        <v/>
      </c>
      <c r="N2188" s="1752" t="str">
        <f t="shared" si="1025"/>
        <v/>
      </c>
      <c r="O2188" s="485"/>
      <c r="P2188" s="485"/>
      <c r="Q2188" s="1644" t="str">
        <f>EUconst_CNTR_WGConsumed &amp; I1945</f>
        <v>WasteGasCons_</v>
      </c>
      <c r="S2188" s="1435"/>
      <c r="T2188" s="1435"/>
      <c r="U2188" s="1435"/>
      <c r="V2188" s="1435"/>
      <c r="W2188" s="1435"/>
      <c r="X2188" s="1435"/>
      <c r="Y2188" s="1435"/>
      <c r="Z2188" s="1435"/>
    </row>
    <row r="2189" spans="2:37" ht="12.75" customHeight="1">
      <c r="B2189" s="479"/>
      <c r="C2189" s="977"/>
      <c r="D2189" s="777" t="s">
        <v>65</v>
      </c>
      <c r="E2189" s="2475" t="s">
        <v>1307</v>
      </c>
      <c r="F2189" s="2410"/>
      <c r="G2189" s="815" t="str">
        <f>EUconst_tCO2pTJ</f>
        <v>t CO2 / TJ</v>
      </c>
      <c r="H2189" s="1479" t="str">
        <f>c_ALR2025!M4755</f>
        <v/>
      </c>
      <c r="I2189" s="1532"/>
      <c r="J2189" s="1811"/>
      <c r="K2189" s="1751"/>
      <c r="L2189" s="1751"/>
      <c r="M2189" s="1751"/>
      <c r="N2189" s="1752"/>
      <c r="O2189" s="485"/>
      <c r="P2189" s="9">
        <v>0</v>
      </c>
      <c r="Q2189" s="1644" t="str">
        <f>EUconst_CNTR_WGConsumedEF &amp; I1945</f>
        <v>WasteGasConsEF_</v>
      </c>
      <c r="S2189" s="1435"/>
      <c r="T2189" s="1435"/>
      <c r="U2189" s="1435"/>
      <c r="V2189" s="1435"/>
      <c r="W2189" s="1435"/>
      <c r="X2189" s="1435"/>
      <c r="Y2189" s="1435"/>
      <c r="Z2189" s="1435"/>
      <c r="AB2189" s="1641" t="s">
        <v>717</v>
      </c>
      <c r="AC2189" s="1443" t="b">
        <f>AC2187</f>
        <v>0</v>
      </c>
      <c r="AD2189" s="1443" t="b">
        <f t="shared" ref="AD2189:AI2189" si="1026">AD2187</f>
        <v>0</v>
      </c>
      <c r="AE2189" s="1443" t="b">
        <f t="shared" si="1026"/>
        <v>0</v>
      </c>
      <c r="AF2189" s="1443" t="b">
        <f t="shared" si="1026"/>
        <v>0</v>
      </c>
      <c r="AG2189" s="1443" t="b">
        <f t="shared" si="1026"/>
        <v>0</v>
      </c>
      <c r="AH2189" s="1443" t="b">
        <f t="shared" si="1026"/>
        <v>0</v>
      </c>
      <c r="AI2189" s="1443" t="b">
        <f t="shared" si="1026"/>
        <v>0</v>
      </c>
      <c r="AJ2189" s="1633" t="s">
        <v>1954</v>
      </c>
      <c r="AK2189" s="1635" t="str">
        <f>IF(AND(CNTR_ExistSubInstEntries,MSconst_RequireSubAttrEmissions,COUNTIFS(AC2189:AI2189,FALSE,H2189:N2189,"")&gt;0),EUconst_Error&amp;"BM"&amp;$Q1945,"")</f>
        <v/>
      </c>
    </row>
    <row r="2190" spans="2:37" ht="12.75" customHeight="1">
      <c r="B2190" s="479"/>
      <c r="C2190" s="977"/>
      <c r="D2190" s="981"/>
      <c r="E2190" s="981"/>
      <c r="F2190" s="981"/>
      <c r="G2190" s="981"/>
      <c r="H2190" s="983"/>
      <c r="I2190" s="981"/>
      <c r="J2190" s="981"/>
      <c r="K2190" s="981"/>
      <c r="L2190" s="981"/>
      <c r="M2190" s="813"/>
      <c r="N2190" s="814"/>
      <c r="O2190" s="485"/>
      <c r="P2190" s="485"/>
      <c r="Q2190" s="1435"/>
      <c r="S2190" s="1435"/>
      <c r="T2190" s="1435"/>
      <c r="U2190" s="1435"/>
      <c r="V2190" s="1435"/>
    </row>
    <row r="2191" spans="2:37" ht="12.75" customHeight="1">
      <c r="B2191" s="479"/>
      <c r="C2191" s="977"/>
      <c r="D2191" s="777" t="s">
        <v>66</v>
      </c>
      <c r="E2191" s="2649" t="s">
        <v>1287</v>
      </c>
      <c r="F2191" s="2391"/>
      <c r="G2191" s="2391"/>
      <c r="H2191" s="2512"/>
      <c r="I2191" s="3211" t="str">
        <f>c_ALR2025!I4757</f>
        <v/>
      </c>
      <c r="J2191" s="3206"/>
      <c r="K2191" s="3206"/>
      <c r="L2191" s="3206"/>
      <c r="M2191" s="3207"/>
      <c r="N2191" s="979"/>
      <c r="O2191" s="485"/>
      <c r="P2191" s="9">
        <v>0</v>
      </c>
      <c r="Q2191" s="1435"/>
      <c r="S2191" s="1435"/>
      <c r="AC2191" s="1641" t="s">
        <v>717</v>
      </c>
      <c r="AD2191" s="1443" t="b">
        <f>AD2182</f>
        <v>0</v>
      </c>
    </row>
    <row r="2192" spans="2:37" ht="12.75" customHeight="1">
      <c r="B2192" s="479"/>
      <c r="C2192" s="977"/>
      <c r="D2192" s="777"/>
      <c r="E2192" s="3267" t="s">
        <v>1476</v>
      </c>
      <c r="F2192" s="2380"/>
      <c r="G2192" s="2380"/>
      <c r="H2192" s="2380"/>
      <c r="I2192" s="2380"/>
      <c r="J2192" s="2380"/>
      <c r="K2192" s="2380"/>
      <c r="L2192" s="2380"/>
      <c r="M2192" s="2380"/>
      <c r="N2192" s="3268"/>
      <c r="O2192" s="485"/>
      <c r="P2192" s="485"/>
      <c r="Q2192" s="1435"/>
      <c r="T2192" s="1435"/>
      <c r="U2192" s="1435"/>
      <c r="V2192" s="1435"/>
    </row>
    <row r="2193" spans="1:37" ht="12.75" customHeight="1">
      <c r="B2193" s="479"/>
      <c r="C2193" s="977"/>
      <c r="D2193" s="981"/>
      <c r="E2193" s="3267" t="s">
        <v>1558</v>
      </c>
      <c r="F2193" s="2380"/>
      <c r="G2193" s="2380"/>
      <c r="H2193" s="2380"/>
      <c r="I2193" s="2380"/>
      <c r="J2193" s="2380"/>
      <c r="K2193" s="2380"/>
      <c r="L2193" s="2380"/>
      <c r="M2193" s="2380"/>
      <c r="N2193" s="3268"/>
      <c r="O2193" s="485"/>
      <c r="P2193" s="485"/>
      <c r="Q2193" s="1435"/>
      <c r="S2193" s="1435"/>
      <c r="T2193" s="1435"/>
      <c r="U2193" s="1435"/>
      <c r="V2193" s="1435"/>
    </row>
    <row r="2194" spans="1:37" ht="12.75" customHeight="1">
      <c r="B2194" s="479"/>
      <c r="C2194" s="977"/>
      <c r="D2194" s="981"/>
      <c r="E2194" s="3272" t="s">
        <v>1559</v>
      </c>
      <c r="F2194" s="2380"/>
      <c r="G2194" s="2380"/>
      <c r="H2194" s="2380"/>
      <c r="I2194" s="2380"/>
      <c r="J2194" s="2380"/>
      <c r="K2194" s="2380"/>
      <c r="L2194" s="2380"/>
      <c r="M2194" s="2380"/>
      <c r="N2194" s="3268"/>
      <c r="O2194" s="485"/>
      <c r="P2194" s="485"/>
      <c r="Q2194" s="1435"/>
      <c r="S2194" s="1435"/>
      <c r="T2194" s="1435"/>
      <c r="U2194" s="1435"/>
      <c r="V2194" s="1435"/>
      <c r="W2194" s="1435"/>
      <c r="X2194" s="1435"/>
      <c r="Y2194" s="1435"/>
      <c r="Z2194" s="1435"/>
    </row>
    <row r="2195" spans="1:37" ht="12.75" customHeight="1" thickBot="1">
      <c r="B2195" s="479"/>
      <c r="C2195" s="977"/>
      <c r="D2195" s="981"/>
      <c r="E2195" s="989"/>
      <c r="F2195" s="990"/>
      <c r="G2195" s="987" t="str">
        <f>EUconst_Unit</f>
        <v>Unit</v>
      </c>
      <c r="H2195" s="782">
        <f t="shared" ref="H2195:N2195" si="1027">H$3242</f>
        <v>2024</v>
      </c>
      <c r="I2195" s="988">
        <f t="shared" si="1027"/>
        <v>2025</v>
      </c>
      <c r="J2195" s="1810">
        <f t="shared" si="1027"/>
        <v>2026</v>
      </c>
      <c r="K2195" s="1747">
        <f t="shared" si="1027"/>
        <v>2027</v>
      </c>
      <c r="L2195" s="1747">
        <f t="shared" si="1027"/>
        <v>2028</v>
      </c>
      <c r="M2195" s="1747">
        <f t="shared" si="1027"/>
        <v>2029</v>
      </c>
      <c r="N2195" s="1748">
        <f t="shared" si="1027"/>
        <v>2030</v>
      </c>
      <c r="O2195" s="485"/>
      <c r="P2195" s="485"/>
      <c r="Q2195" s="1435"/>
      <c r="S2195" s="1435"/>
      <c r="T2195" s="1435"/>
      <c r="U2195" s="1435"/>
      <c r="V2195" s="1435"/>
      <c r="W2195" s="1435"/>
      <c r="X2195" s="1435"/>
      <c r="Y2195" s="1435"/>
      <c r="Z2195" s="1435"/>
      <c r="AC2195" s="1638">
        <f t="shared" ref="AC2195:AI2195" si="1028">H$20</f>
        <v>2024</v>
      </c>
      <c r="AD2195" s="1638">
        <f t="shared" si="1028"/>
        <v>2025</v>
      </c>
      <c r="AE2195" s="1638">
        <f t="shared" si="1028"/>
        <v>2026</v>
      </c>
      <c r="AF2195" s="1638">
        <f t="shared" si="1028"/>
        <v>2027</v>
      </c>
      <c r="AG2195" s="1638">
        <f t="shared" si="1028"/>
        <v>2028</v>
      </c>
      <c r="AH2195" s="1638">
        <f t="shared" si="1028"/>
        <v>2029</v>
      </c>
      <c r="AI2195" s="1638">
        <f t="shared" si="1028"/>
        <v>2030</v>
      </c>
    </row>
    <row r="2196" spans="1:37" ht="12.75" customHeight="1">
      <c r="B2196" s="479"/>
      <c r="C2196" s="977"/>
      <c r="D2196" s="777" t="s">
        <v>1105</v>
      </c>
      <c r="E2196" s="2471" t="s">
        <v>1302</v>
      </c>
      <c r="F2196" s="2472"/>
      <c r="G2196" s="1763" t="str">
        <f>c_ALR2025!G4762</f>
        <v/>
      </c>
      <c r="H2196" s="1552" t="str">
        <f>c_ALR2025!M4762</f>
        <v/>
      </c>
      <c r="I2196" s="1611"/>
      <c r="J2196" s="1811"/>
      <c r="K2196" s="1751"/>
      <c r="L2196" s="1751"/>
      <c r="M2196" s="1751"/>
      <c r="N2196" s="1752"/>
      <c r="O2196" s="485"/>
      <c r="P2196" s="9">
        <v>0</v>
      </c>
      <c r="Q2196" s="1435"/>
      <c r="S2196" s="1435"/>
      <c r="T2196" s="1435"/>
      <c r="U2196" s="1435"/>
      <c r="V2196" s="1435"/>
      <c r="W2196" s="1435"/>
      <c r="X2196" s="1435"/>
      <c r="Y2196" s="1435"/>
      <c r="Z2196" s="1435"/>
      <c r="AB2196" s="1641" t="s">
        <v>717</v>
      </c>
      <c r="AC2196" s="1443" t="b">
        <f>AC2186</f>
        <v>0</v>
      </c>
      <c r="AD2196" s="1443" t="b">
        <f t="shared" ref="AD2196:AI2196" si="1029">AD2186</f>
        <v>0</v>
      </c>
      <c r="AE2196" s="1443" t="b">
        <f t="shared" si="1029"/>
        <v>0</v>
      </c>
      <c r="AF2196" s="1443" t="b">
        <f t="shared" si="1029"/>
        <v>0</v>
      </c>
      <c r="AG2196" s="1443" t="b">
        <f t="shared" si="1029"/>
        <v>0</v>
      </c>
      <c r="AH2196" s="1443" t="b">
        <f t="shared" si="1029"/>
        <v>0</v>
      </c>
      <c r="AI2196" s="1443" t="b">
        <f t="shared" si="1029"/>
        <v>0</v>
      </c>
      <c r="AJ2196" s="1633" t="s">
        <v>1954</v>
      </c>
      <c r="AK2196" s="1635" t="str">
        <f>IF(AND(CNTR_ExistSubInstEntries,MSconst_RequireSubAttrEmissions,COUNTIFS(AC2196:AI2196,FALSE,H2196:N2196,"")&gt;0),EUconst_Error&amp;"BM"&amp;$Q1945,"")</f>
        <v/>
      </c>
    </row>
    <row r="2197" spans="1:37" ht="12.75" customHeight="1">
      <c r="B2197" s="479"/>
      <c r="C2197" s="977"/>
      <c r="D2197" s="777" t="s">
        <v>1106</v>
      </c>
      <c r="E2197" s="2473" t="s">
        <v>661</v>
      </c>
      <c r="F2197" s="2474"/>
      <c r="G2197" s="1008" t="e">
        <f>IF(ISBLANK(G2196),EUconst_GJperUnit,INDEX(EUconst_GJperTorKNm3,MATCH(G2196,EUconst_TonnesOrkNm3pa,0)))</f>
        <v>#N/A</v>
      </c>
      <c r="H2197" s="1558" t="str">
        <f>c_ALR2025!M4763</f>
        <v/>
      </c>
      <c r="I2197" s="1884"/>
      <c r="J2197" s="1811"/>
      <c r="K2197" s="1751"/>
      <c r="L2197" s="1751"/>
      <c r="M2197" s="1751"/>
      <c r="N2197" s="1752"/>
      <c r="O2197" s="485"/>
      <c r="P2197" s="9">
        <v>0</v>
      </c>
      <c r="S2197" s="1435"/>
      <c r="T2197" s="1435"/>
      <c r="U2197" s="1435"/>
      <c r="V2197" s="1435"/>
      <c r="W2197" s="1435"/>
      <c r="X2197" s="1435"/>
      <c r="Y2197" s="1435"/>
      <c r="Z2197" s="1435"/>
      <c r="AC2197" s="1443" t="b">
        <f>AC2196</f>
        <v>0</v>
      </c>
      <c r="AD2197" s="1443" t="b">
        <f t="shared" ref="AD2197:AI2197" si="1030">AD2196</f>
        <v>0</v>
      </c>
      <c r="AE2197" s="1443" t="b">
        <f t="shared" si="1030"/>
        <v>0</v>
      </c>
      <c r="AF2197" s="1443" t="b">
        <f t="shared" si="1030"/>
        <v>0</v>
      </c>
      <c r="AG2197" s="1443" t="b">
        <f t="shared" si="1030"/>
        <v>0</v>
      </c>
      <c r="AH2197" s="1443" t="b">
        <f t="shared" si="1030"/>
        <v>0</v>
      </c>
      <c r="AI2197" s="1443" t="b">
        <f t="shared" si="1030"/>
        <v>0</v>
      </c>
      <c r="AJ2197" s="1633" t="s">
        <v>1954</v>
      </c>
      <c r="AK2197" s="1635" t="str">
        <f>IF(AND(CNTR_ExistSubInstEntries,MSconst_RequireSubAttrEmissions,COUNTIFS(AC2197:AI2197,FALSE,H2197:N2197,"")&gt;0),EUconst_Error&amp;"BM"&amp;$Q1945,"")</f>
        <v/>
      </c>
    </row>
    <row r="2198" spans="1:37" ht="12.75" customHeight="1">
      <c r="B2198" s="479"/>
      <c r="C2198" s="977"/>
      <c r="D2198" s="777" t="s">
        <v>1107</v>
      </c>
      <c r="E2198" s="2475" t="s">
        <v>1288</v>
      </c>
      <c r="F2198" s="2410"/>
      <c r="G2198" s="815" t="str">
        <f>EUconst_TJpa</f>
        <v>TJ / year</v>
      </c>
      <c r="H2198" s="1005" t="str">
        <f t="shared" ref="H2198:N2198" si="1031">IF(COUNT(H2196:H2197)=2,H2196*H2197/1000,"")</f>
        <v/>
      </c>
      <c r="I2198" s="1006" t="str">
        <f t="shared" si="1031"/>
        <v/>
      </c>
      <c r="J2198" s="1811" t="str">
        <f t="shared" si="1031"/>
        <v/>
      </c>
      <c r="K2198" s="1751" t="str">
        <f t="shared" si="1031"/>
        <v/>
      </c>
      <c r="L2198" s="1751" t="str">
        <f t="shared" si="1031"/>
        <v/>
      </c>
      <c r="M2198" s="1751" t="str">
        <f t="shared" si="1031"/>
        <v/>
      </c>
      <c r="N2198" s="1752" t="str">
        <f t="shared" si="1031"/>
        <v/>
      </c>
      <c r="O2198" s="485"/>
      <c r="P2198" s="485"/>
      <c r="Q2198" s="1644" t="str">
        <f>EUconst_CNTR_WGFlared &amp; I1945</f>
        <v>WasteGasFlare_</v>
      </c>
      <c r="S2198" s="1435"/>
      <c r="T2198" s="1435"/>
      <c r="U2198" s="1435"/>
      <c r="V2198" s="1435"/>
      <c r="W2198" s="1435"/>
      <c r="X2198" s="1435"/>
      <c r="Y2198" s="1435"/>
      <c r="Z2198" s="1435"/>
    </row>
    <row r="2199" spans="1:37" ht="12.75" customHeight="1">
      <c r="B2199" s="479"/>
      <c r="C2199" s="977"/>
      <c r="D2199" s="777" t="s">
        <v>1108</v>
      </c>
      <c r="E2199" s="2475" t="s">
        <v>1308</v>
      </c>
      <c r="F2199" s="2410"/>
      <c r="G2199" s="815" t="str">
        <f>EUconst_tCO2pTJ</f>
        <v>t CO2 / TJ</v>
      </c>
      <c r="H2199" s="1479" t="str">
        <f>c_ALR2025!M4765</f>
        <v/>
      </c>
      <c r="I2199" s="1532"/>
      <c r="J2199" s="1811"/>
      <c r="K2199" s="1751"/>
      <c r="L2199" s="1751"/>
      <c r="M2199" s="1751"/>
      <c r="N2199" s="1752"/>
      <c r="O2199" s="485"/>
      <c r="P2199" s="9">
        <v>0</v>
      </c>
      <c r="Q2199" s="1644" t="str">
        <f>EUconst_CNTR_WGFlaredEF &amp; I1945</f>
        <v>WasteGasFlareEF_</v>
      </c>
      <c r="S2199" s="1435"/>
      <c r="T2199" s="1435"/>
      <c r="U2199" s="1435"/>
      <c r="V2199" s="1435"/>
      <c r="W2199" s="1435"/>
      <c r="X2199" s="1435"/>
      <c r="Y2199" s="1435"/>
      <c r="Z2199" s="1435"/>
      <c r="AB2199" s="1641" t="s">
        <v>717</v>
      </c>
      <c r="AC2199" s="1443" t="b">
        <f>AC2197</f>
        <v>0</v>
      </c>
      <c r="AD2199" s="1443" t="b">
        <f t="shared" ref="AD2199:AI2199" si="1032">AD2197</f>
        <v>0</v>
      </c>
      <c r="AE2199" s="1443" t="b">
        <f t="shared" si="1032"/>
        <v>0</v>
      </c>
      <c r="AF2199" s="1443" t="b">
        <f t="shared" si="1032"/>
        <v>0</v>
      </c>
      <c r="AG2199" s="1443" t="b">
        <f t="shared" si="1032"/>
        <v>0</v>
      </c>
      <c r="AH2199" s="1443" t="b">
        <f t="shared" si="1032"/>
        <v>0</v>
      </c>
      <c r="AI2199" s="1443" t="b">
        <f t="shared" si="1032"/>
        <v>0</v>
      </c>
      <c r="AJ2199" s="1633" t="s">
        <v>1954</v>
      </c>
      <c r="AK2199" s="1635" t="str">
        <f>IF(AND(CNTR_ExistSubInstEntries,MSconst_RequireSubAttrEmissions,COUNTIFS(AC2199:AI2199,FALSE,H2199:N2199,"")&gt;0),EUconst_Error&amp;"BM"&amp;$Q1945,"")</f>
        <v/>
      </c>
    </row>
    <row r="2200" spans="1:37" ht="5.0999999999999996" customHeight="1" thickBot="1">
      <c r="B2200" s="479"/>
      <c r="C2200" s="977"/>
      <c r="D2200" s="981"/>
      <c r="E2200" s="981"/>
      <c r="F2200" s="981"/>
      <c r="G2200" s="981"/>
      <c r="H2200" s="983"/>
      <c r="I2200" s="981"/>
      <c r="J2200" s="1815"/>
      <c r="K2200" s="1760"/>
      <c r="L2200" s="1760"/>
      <c r="M2200" s="1760"/>
      <c r="N2200" s="1761"/>
      <c r="O2200" s="485"/>
      <c r="P2200" s="485"/>
      <c r="Q2200" s="1435"/>
      <c r="S2200" s="1435"/>
      <c r="T2200" s="1435"/>
      <c r="U2200" s="1435"/>
      <c r="V2200" s="1435"/>
    </row>
    <row r="2201" spans="1:37" ht="12.75" customHeight="1" thickBot="1">
      <c r="B2201" s="479"/>
      <c r="C2201" s="977"/>
      <c r="D2201" s="981"/>
      <c r="E2201" s="2475" t="s">
        <v>1844</v>
      </c>
      <c r="F2201" s="2475"/>
      <c r="G2201" s="1009" t="str">
        <f>EUconst_tCO2</f>
        <v>t CO2</v>
      </c>
      <c r="H2201" s="638" t="str">
        <f t="shared" ref="H2201:N2201" si="1033">IF(T1953,SUM(H2198)*SUM(H2199),"")</f>
        <v/>
      </c>
      <c r="I2201" s="684" t="str">
        <f t="shared" si="1033"/>
        <v/>
      </c>
      <c r="J2201" s="1815" t="str">
        <f t="shared" si="1033"/>
        <v/>
      </c>
      <c r="K2201" s="1760" t="str">
        <f t="shared" si="1033"/>
        <v/>
      </c>
      <c r="L2201" s="1760" t="str">
        <f t="shared" si="1033"/>
        <v/>
      </c>
      <c r="M2201" s="1760" t="str">
        <f t="shared" si="1033"/>
        <v/>
      </c>
      <c r="N2201" s="1761" t="str">
        <f t="shared" si="1033"/>
        <v/>
      </c>
      <c r="O2201" s="485"/>
      <c r="P2201" s="485"/>
      <c r="Q2201" s="1644" t="str">
        <f>EUconst_CNTR_HAL &amp; EUconst_CNTR_WGFlared &amp; I1945</f>
        <v>HAL_WasteGasFlare_</v>
      </c>
      <c r="S2201" s="1633" t="s">
        <v>1758</v>
      </c>
      <c r="T2201" s="1629" t="b">
        <f>CNTR_SubPeriod=2</f>
        <v>1</v>
      </c>
      <c r="U2201" s="1435"/>
      <c r="V2201" s="1435"/>
    </row>
    <row r="2202" spans="1:37" ht="5.0999999999999996" customHeight="1" thickBot="1">
      <c r="B2202" s="479"/>
      <c r="C2202" s="977"/>
      <c r="D2202" s="981"/>
      <c r="E2202" s="981"/>
      <c r="F2202" s="981"/>
      <c r="G2202" s="981"/>
      <c r="H2202" s="983"/>
      <c r="I2202" s="981"/>
      <c r="J2202" s="1815"/>
      <c r="K2202" s="1760"/>
      <c r="L2202" s="1760"/>
      <c r="M2202" s="1760"/>
      <c r="N2202" s="1761"/>
      <c r="O2202" s="485"/>
      <c r="P2202" s="485"/>
      <c r="Q2202" s="1435"/>
      <c r="S2202" s="1435"/>
      <c r="T2202" s="1435"/>
      <c r="U2202" s="1435"/>
      <c r="V2202" s="1435"/>
    </row>
    <row r="2203" spans="1:37" ht="5.0999999999999996" customHeight="1" thickBot="1">
      <c r="B2203" s="479"/>
      <c r="C2203" s="977"/>
      <c r="D2203" s="1010"/>
      <c r="E2203" s="1011"/>
      <c r="F2203" s="1011"/>
      <c r="G2203" s="1011"/>
      <c r="H2203" s="1012"/>
      <c r="I2203" s="1011"/>
      <c r="J2203" s="1765"/>
      <c r="K2203" s="1760"/>
      <c r="L2203" s="1760"/>
      <c r="M2203" s="1760"/>
      <c r="N2203" s="1761"/>
      <c r="O2203" s="485"/>
      <c r="P2203" s="485"/>
      <c r="Q2203" s="1435"/>
      <c r="S2203" s="1435"/>
      <c r="T2203" s="1435"/>
      <c r="U2203" s="1435"/>
      <c r="V2203" s="1435"/>
    </row>
    <row r="2204" spans="1:37" ht="12.75" customHeight="1">
      <c r="B2204" s="479"/>
      <c r="C2204" s="977"/>
      <c r="D2204" s="907" t="s">
        <v>1917</v>
      </c>
      <c r="E2204" s="2713" t="s">
        <v>1773</v>
      </c>
      <c r="F2204" s="2493"/>
      <c r="G2204" s="2493"/>
      <c r="H2204" s="910" t="str">
        <f>EUconst_Unit</f>
        <v>Unit</v>
      </c>
      <c r="I2204" s="911" t="s">
        <v>2220</v>
      </c>
      <c r="J2204" s="1647">
        <f>J$3242</f>
        <v>2026</v>
      </c>
      <c r="K2204" s="1747">
        <f>K$3242</f>
        <v>2027</v>
      </c>
      <c r="L2204" s="1747">
        <f>L$3242</f>
        <v>2028</v>
      </c>
      <c r="M2204" s="1747">
        <f>M$3242</f>
        <v>2029</v>
      </c>
      <c r="N2204" s="1748">
        <f>N$3242</f>
        <v>2030</v>
      </c>
      <c r="O2204" s="485"/>
      <c r="P2204" s="485"/>
      <c r="Q2204" s="1435"/>
      <c r="U2204" s="1648"/>
      <c r="V2204" s="1649">
        <f>J2204</f>
        <v>2026</v>
      </c>
      <c r="W2204" s="1649">
        <f>K2204</f>
        <v>2027</v>
      </c>
      <c r="X2204" s="1649">
        <f>L2204</f>
        <v>2028</v>
      </c>
      <c r="Y2204" s="1649">
        <f>M2204</f>
        <v>2029</v>
      </c>
      <c r="Z2204" s="1650">
        <f>N2204</f>
        <v>2030</v>
      </c>
    </row>
    <row r="2205" spans="1:37" ht="12.75" customHeight="1">
      <c r="B2205" s="479"/>
      <c r="C2205" s="977"/>
      <c r="D2205" s="915" t="s">
        <v>6</v>
      </c>
      <c r="E2205" s="2714" t="s">
        <v>1691</v>
      </c>
      <c r="F2205" s="2410"/>
      <c r="G2205" s="2410"/>
      <c r="H2205" s="944" t="str">
        <f>G2201</f>
        <v>t CO2</v>
      </c>
      <c r="I2205" s="917" t="str">
        <f>INDEX('B+C_SubInstallations'!$K:$K,MATCH(Q2205,'B+C_SubInstallations'!$V:$V,0))</f>
        <v/>
      </c>
      <c r="J2205" s="1703" t="str">
        <f>IF($T2201&lt;&gt;TRUE,"",IF(AND(V2205&gt;=3,CNTR_ReportingYear&gt;J2204-1),AVERAGE(SUM(H2201),SUM(I2201)),""))</f>
        <v/>
      </c>
      <c r="K2205" s="1766" t="str">
        <f>IF($T2201&lt;&gt;TRUE,"",IF(AND(W2205&gt;=3,CNTR_ReportingYear&gt;K2204-1),AVERAGE(SUM(I2201),SUM(J2201)),""))</f>
        <v/>
      </c>
      <c r="L2205" s="1766" t="str">
        <f>IF($T2201&lt;&gt;TRUE,"",IF(AND(X2205&gt;=3,CNTR_ReportingYear&gt;L2204-1),AVERAGE(SUM(J2201),SUM(K2201)),""))</f>
        <v/>
      </c>
      <c r="M2205" s="1766" t="str">
        <f>IF($T2201&lt;&gt;TRUE,"",IF(AND(Y2205&gt;=3,CNTR_ReportingYear&gt;M2204-1),AVERAGE(SUM(K2201),SUM(L2201)),""))</f>
        <v/>
      </c>
      <c r="N2205" s="1767" t="str">
        <f>IF($T2201&lt;&gt;TRUE,"",IF(AND(Z2205&gt;=3,CNTR_ReportingYear&gt;N2204-1),AVERAGE(SUM(L2201),SUM(M2201)),""))</f>
        <v/>
      </c>
      <c r="O2205" s="485"/>
      <c r="P2205" s="485"/>
      <c r="Q2205" s="1644" t="str">
        <f>EUconst_CNTR_HALinitial &amp; EUconst_CNTR_WGFlared &amp; I1945</f>
        <v>HALini_WasteGasFlare_</v>
      </c>
      <c r="U2205" s="1693" t="s">
        <v>1650</v>
      </c>
      <c r="V2205" s="1635">
        <f>V1967</f>
        <v>0</v>
      </c>
      <c r="W2205" s="1635">
        <f>W1967</f>
        <v>0</v>
      </c>
      <c r="X2205" s="1635">
        <f>X1967</f>
        <v>0</v>
      </c>
      <c r="Y2205" s="1635">
        <f>Y1967</f>
        <v>0</v>
      </c>
      <c r="Z2205" s="1654">
        <f>Z1967</f>
        <v>0</v>
      </c>
    </row>
    <row r="2206" spans="1:37" ht="12.75" hidden="1" customHeight="1">
      <c r="A2206" s="618" t="s">
        <v>2289</v>
      </c>
      <c r="B2206" s="479"/>
      <c r="C2206" s="977"/>
      <c r="D2206" s="915"/>
      <c r="E2206" s="2714" t="s">
        <v>1776</v>
      </c>
      <c r="F2206" s="2410"/>
      <c r="G2206" s="2410"/>
      <c r="H2206" s="921"/>
      <c r="I2206" s="1657"/>
      <c r="J2206" s="17" t="str">
        <f>IF(J2205="","",IF($I2208=0,IF(J2205=0,0%,100%),J2205/$I2208-1))</f>
        <v/>
      </c>
      <c r="K2206" s="18" t="str">
        <f>IF(K2205="","",IF($I2208=0,IF(K2205=0,0%,100%),K2205/$I2208-1))</f>
        <v/>
      </c>
      <c r="L2206" s="18" t="str">
        <f>IF(L2205="","",IF($I2208=0,IF(L2205=0,0%,100%),L2205/$I2208-1))</f>
        <v/>
      </c>
      <c r="M2206" s="18" t="str">
        <f>IF(M2205="","",IF($I2208=0,IF(M2205=0,0%,100%),M2205/$I2208-1))</f>
        <v/>
      </c>
      <c r="N2206" s="38" t="str">
        <f>IF(N2205="","",IF($I2208=0,IF(N2205=0,0%,100%),N2205/$I2208-1))</f>
        <v/>
      </c>
      <c r="O2206" s="485"/>
      <c r="P2206" s="485"/>
      <c r="Q2206" s="1644" t="str">
        <f>EUconst_CNTR_RelThreshold &amp; Q2208</f>
        <v>RelThresh_HALprelim_WasteGasFlare_</v>
      </c>
      <c r="U2206" s="1693" t="s">
        <v>1655</v>
      </c>
      <c r="V2206" s="1158" t="str">
        <f>IF(J2205="","",ABS(J2206)&gt;15%)</f>
        <v/>
      </c>
      <c r="W2206" s="1158" t="str">
        <f>IF(K2205="","",ABS(K2206)&gt;15%)</f>
        <v/>
      </c>
      <c r="X2206" s="1158" t="str">
        <f>IF(L2205="","",ABS(L2206)&gt;15%)</f>
        <v/>
      </c>
      <c r="Y2206" s="1158" t="str">
        <f>IF(M2205="","",ABS(M2206)&gt;15%)</f>
        <v/>
      </c>
      <c r="Z2206" s="1656" t="str">
        <f>IF(N2205="","",ABS(N2206)&gt;15%)</f>
        <v/>
      </c>
    </row>
    <row r="2207" spans="1:37" ht="12.75" customHeight="1">
      <c r="A2207" s="618"/>
      <c r="B2207" s="479"/>
      <c r="C2207" s="977"/>
      <c r="D2207" s="915" t="s">
        <v>7</v>
      </c>
      <c r="E2207" s="2714" t="s">
        <v>1654</v>
      </c>
      <c r="F2207" s="2410"/>
      <c r="G2207" s="2410"/>
      <c r="H2207" s="921"/>
      <c r="I2207" s="1657"/>
      <c r="J2207" s="1658" t="str">
        <f>IF(J2205="","",IF(V2206=FALSE,0%,J2206))</f>
        <v/>
      </c>
      <c r="K2207" s="1768" t="str">
        <f>IF(K2205="","",IF(W2206=FALSE,0%,K2206))</f>
        <v/>
      </c>
      <c r="L2207" s="1768" t="str">
        <f>IF(L2205="","",IF(X2206=FALSE,0%,L2206))</f>
        <v/>
      </c>
      <c r="M2207" s="1768" t="str">
        <f>IF(M2205="","",IF(Y2206=FALSE,0%,M2206))</f>
        <v/>
      </c>
      <c r="N2207" s="1769" t="str">
        <f>IF(N2205="","",IF(Z2206=FALSE,0%,N2206))</f>
        <v/>
      </c>
      <c r="O2207" s="485"/>
      <c r="P2207" s="485"/>
      <c r="Q2207" s="1435"/>
      <c r="U2207" s="1694"/>
      <c r="Z2207" s="1664"/>
    </row>
    <row r="2208" spans="1:37" ht="12.75" hidden="1" customHeight="1">
      <c r="A2208" s="618" t="s">
        <v>2289</v>
      </c>
      <c r="B2208" s="479"/>
      <c r="C2208" s="977"/>
      <c r="D2208" s="915"/>
      <c r="E2208" s="2714" t="s">
        <v>1689</v>
      </c>
      <c r="F2208" s="2410"/>
      <c r="G2208" s="2410"/>
      <c r="H2208" s="944" t="str">
        <f>H2205</f>
        <v>t CO2</v>
      </c>
      <c r="I2208" s="917" t="str">
        <f>IF($I1945="","",IF(AB1945=FALSE,EUconst_NA,IF(V1945&gt;($J$3242-3),INDEX(H2201:N2201,MATCH(V1945,H2195:N2195,0)),SUM(I2205))))</f>
        <v/>
      </c>
      <c r="J2208" s="1651" t="str">
        <f>IF($I1945="","",IF(V2205&lt;2,SUM(J2201),IF(V2205&lt;3,SUM(I2201),IF(V2208="",I2208,V2208))))</f>
        <v/>
      </c>
      <c r="K2208" s="1766" t="str">
        <f>IF($I1945="","",IF(W2205&lt;2,SUM(K2201),IF(W2205&lt;3,SUM(J2201),IF(W2208="",J2208,W2208))))</f>
        <v/>
      </c>
      <c r="L2208" s="1766" t="str">
        <f>IF($I1945="","",IF(X2205&lt;2,SUM(L2201),IF(X2205&lt;3,SUM(K2201),IF(X2208="",K2208,X2208))))</f>
        <v/>
      </c>
      <c r="M2208" s="1766" t="str">
        <f>IF($I1945="","",IF(Y2205&lt;2,SUM(M2201),IF(Y2205&lt;3,SUM(L2201),IF(Y2208="",L2208,Y2208))))</f>
        <v/>
      </c>
      <c r="N2208" s="1767" t="str">
        <f>IF($I1945="","",IF(Z2205&lt;2,SUM(N2201),IF(Z2205&lt;3,SUM(M2201),IF(Z2208="",M2208,Z2208))))</f>
        <v/>
      </c>
      <c r="O2208" s="485"/>
      <c r="P2208" s="485"/>
      <c r="Q2208" s="1644" t="str">
        <f>EUconst_CNTR_HALprelim&amp;EUconst_CNTR_WGFlared &amp; I1945</f>
        <v>HALprelim_WasteGasFlare_</v>
      </c>
      <c r="U2208" s="1693" t="s">
        <v>1697</v>
      </c>
      <c r="V2208" s="1660" t="str">
        <f>IF(J2205="","",IF(CNTR_ReportingYear&lt;J2204,I2207,IF($I2208=0,J2205,$I2208*(1+J2207))))</f>
        <v/>
      </c>
      <c r="W2208" s="1660" t="str">
        <f>IF(K2205="","",IF(CNTR_ReportingYear&lt;K2204,J2207,IF($I2208=0,K2205,$I2208*(1+K2207))))</f>
        <v/>
      </c>
      <c r="X2208" s="1660" t="str">
        <f>IF(L2205="","",IF(CNTR_ReportingYear&lt;L2204,K2207,IF($I2208=0,L2205,$I2208*(1+L2207))))</f>
        <v/>
      </c>
      <c r="Y2208" s="1660" t="str">
        <f>IF(M2205="","",IF(CNTR_ReportingYear&lt;M2204,L2207,IF($I2208=0,M2205,$I2208*(1+M2207))))</f>
        <v/>
      </c>
      <c r="Z2208" s="1661" t="str">
        <f>IF(N2205="","",IF(CNTR_ReportingYear&lt;N2204,M2207,IF($I2208=0,N2205,$I2208*(1+N2207))))</f>
        <v/>
      </c>
    </row>
    <row r="2209" spans="1:42" ht="5.0999999999999996" customHeight="1">
      <c r="A2209" s="618"/>
      <c r="B2209" s="479"/>
      <c r="C2209" s="977"/>
      <c r="D2209" s="915"/>
      <c r="E2209" s="909"/>
      <c r="F2209" s="909"/>
      <c r="G2209" s="909"/>
      <c r="H2209" s="909"/>
      <c r="I2209" s="909"/>
      <c r="J2209" s="922"/>
      <c r="K2209" s="1760"/>
      <c r="L2209" s="1760"/>
      <c r="M2209" s="1760"/>
      <c r="N2209" s="1761"/>
      <c r="O2209" s="485"/>
      <c r="P2209" s="485"/>
      <c r="Q2209" s="1435"/>
      <c r="U2209" s="1663"/>
      <c r="V2209" s="1435"/>
      <c r="Z2209" s="1664"/>
    </row>
    <row r="2210" spans="1:42" ht="12.75" customHeight="1">
      <c r="A2210" s="618"/>
      <c r="B2210" s="479"/>
      <c r="C2210" s="977"/>
      <c r="D2210" s="915"/>
      <c r="E2210" s="2713" t="s">
        <v>1653</v>
      </c>
      <c r="F2210" s="2493"/>
      <c r="G2210" s="2493"/>
      <c r="H2210" s="2493"/>
      <c r="I2210" s="2493"/>
      <c r="J2210" s="1647">
        <f>J$3242</f>
        <v>2026</v>
      </c>
      <c r="K2210" s="1747">
        <f>K$3242</f>
        <v>2027</v>
      </c>
      <c r="L2210" s="1747">
        <f>L$3242</f>
        <v>2028</v>
      </c>
      <c r="M2210" s="1747">
        <f>M$3242</f>
        <v>2029</v>
      </c>
      <c r="N2210" s="1748">
        <f>N$3242</f>
        <v>2030</v>
      </c>
      <c r="O2210" s="485"/>
      <c r="P2210" s="485"/>
      <c r="Q2210" s="1435"/>
      <c r="U2210" s="1665"/>
      <c r="Z2210" s="1664"/>
    </row>
    <row r="2211" spans="1:42" ht="12.75" customHeight="1">
      <c r="A2211" s="618"/>
      <c r="B2211" s="479"/>
      <c r="C2211" s="977"/>
      <c r="D2211" s="915" t="s">
        <v>8</v>
      </c>
      <c r="E2211" s="2714" t="s">
        <v>2108</v>
      </c>
      <c r="F2211" s="2410"/>
      <c r="G2211" s="2410"/>
      <c r="H2211" s="2410"/>
      <c r="I2211" s="2410"/>
      <c r="J2211" s="1666" t="str">
        <f>IF($I1945="","",INDEX(K_Summary!J:J,MATCH($Q2211,K_Summary!$P:$P,0)))</f>
        <v/>
      </c>
      <c r="K2211" s="1760" t="str">
        <f>IF($I1945="","",INDEX(K_Summary!K:K,MATCH($Q2211,K_Summary!$P:$P,0)))</f>
        <v/>
      </c>
      <c r="L2211" s="1760" t="str">
        <f>IF($I1945="","",INDEX(K_Summary!L:L,MATCH($Q2211,K_Summary!$P:$P,0)))</f>
        <v/>
      </c>
      <c r="M2211" s="1760" t="str">
        <f>IF($I1945="","",INDEX(K_Summary!M:M,MATCH($Q2211,K_Summary!$P:$P,0)))</f>
        <v/>
      </c>
      <c r="N2211" s="1761" t="str">
        <f>IF($I1945="","",INDEX(K_Summary!N:N,MATCH($Q2211,K_Summary!$P:$P,0)))</f>
        <v/>
      </c>
      <c r="O2211" s="485"/>
      <c r="P2211" s="485"/>
      <c r="Q2211" s="1644" t="str">
        <f>EUconst_CNTR_100EUA_WGFlare&amp;I1945</f>
        <v>EUA100WGFlare_</v>
      </c>
      <c r="U2211" s="1665"/>
      <c r="Z2211" s="1664"/>
    </row>
    <row r="2212" spans="1:42" ht="5.0999999999999996" customHeight="1" thickBot="1">
      <c r="A2212" s="618"/>
      <c r="B2212" s="479"/>
      <c r="C2212" s="977"/>
      <c r="D2212" s="915"/>
      <c r="E2212" s="909"/>
      <c r="F2212" s="909"/>
      <c r="G2212" s="909"/>
      <c r="H2212" s="909"/>
      <c r="I2212" s="909"/>
      <c r="J2212" s="922"/>
      <c r="K2212" s="1760"/>
      <c r="L2212" s="1760"/>
      <c r="M2212" s="1760"/>
      <c r="N2212" s="1761"/>
      <c r="O2212" s="485"/>
      <c r="P2212" s="485"/>
      <c r="Q2212" s="1435"/>
      <c r="U2212" s="1663"/>
      <c r="V2212" s="1435"/>
      <c r="Z2212" s="1664"/>
    </row>
    <row r="2213" spans="1:42" ht="12.75" customHeight="1" thickBot="1">
      <c r="B2213" s="479"/>
      <c r="C2213" s="977"/>
      <c r="D2213" s="915" t="s">
        <v>18</v>
      </c>
      <c r="E2213" s="2714" t="s">
        <v>1657</v>
      </c>
      <c r="F2213" s="2410"/>
      <c r="G2213" s="2410"/>
      <c r="H2213" s="2410"/>
      <c r="I2213" s="2410"/>
      <c r="J2213" s="1668" t="str">
        <f>IF(J2211="","",IF(OR(J2211,V2205&lt;1),J2207,I2213))</f>
        <v/>
      </c>
      <c r="K2213" s="1770" t="str">
        <f>IF(K2211="","",IF(OR(K2211,W2205&lt;1),K2207,J2213))</f>
        <v/>
      </c>
      <c r="L2213" s="1770" t="str">
        <f>IF(L2211="","",IF(OR(L2211,X2205&lt;1),L2207,K2213))</f>
        <v/>
      </c>
      <c r="M2213" s="1770" t="str">
        <f>IF(M2211="","",IF(OR(M2211,Y2205&lt;1),M2207,L2213))</f>
        <v/>
      </c>
      <c r="N2213" s="1771" t="str">
        <f>IF(N2211="","",IF(OR(N2211,Z2205&lt;1),N2207,M2213))</f>
        <v/>
      </c>
      <c r="O2213" s="485"/>
      <c r="P2213" s="485"/>
      <c r="Q2213" s="1435"/>
      <c r="U2213" s="1663" t="s">
        <v>1658</v>
      </c>
      <c r="V2213" s="1670">
        <f>J2210</f>
        <v>2026</v>
      </c>
      <c r="W2213" s="1670">
        <f>K2210</f>
        <v>2027</v>
      </c>
      <c r="X2213" s="1670">
        <f>L2210</f>
        <v>2028</v>
      </c>
      <c r="Y2213" s="1670">
        <f>M2210</f>
        <v>2029</v>
      </c>
      <c r="Z2213" s="1671">
        <f>N2210</f>
        <v>2030</v>
      </c>
    </row>
    <row r="2214" spans="1:42" ht="12.75" customHeight="1" thickBot="1">
      <c r="A2214" s="618"/>
      <c r="B2214" s="479"/>
      <c r="C2214" s="977"/>
      <c r="D2214" s="915" t="s">
        <v>787</v>
      </c>
      <c r="E2214" s="2714" t="s">
        <v>1659</v>
      </c>
      <c r="F2214" s="2410"/>
      <c r="G2214" s="2410"/>
      <c r="H2214" s="944" t="str">
        <f>H2205</f>
        <v>t CO2</v>
      </c>
      <c r="I2214" s="917" t="str">
        <f>I2208</f>
        <v/>
      </c>
      <c r="J2214" s="1672" t="str">
        <f>IF($I1945="","",IF(OR($I2214=0,$I2214=EUconst_NA),IF(OR(J2211=TRUE,J2210=$V1945),J2208,SUM(I2214)),IF(J2213="",J2208,$I2214*(1+SUM(J2213)))))</f>
        <v/>
      </c>
      <c r="K2214" s="1772" t="str">
        <f>IF($I1945="","",IF(OR($I2214=0,$I2214=EUconst_NA),IF(OR(K2211=TRUE,K2210=$V1945),K2208,SUM(J2214)),IF(K2213="",K2208,$I2214*(1+SUM(K2213)))))</f>
        <v/>
      </c>
      <c r="L2214" s="1772" t="str">
        <f>IF($I1945="","",IF(OR($I2214=0,$I2214=EUconst_NA),IF(OR(L2211=TRUE,L2210=$V1945),L2208,SUM(K2214)),IF(L2213="",L2208,$I2214*(1+SUM(L2213)))))</f>
        <v/>
      </c>
      <c r="M2214" s="1772" t="str">
        <f>IF($I1945="","",IF(OR($I2214=0,$I2214=EUconst_NA),IF(OR(M2211=TRUE,M2210=$V1945),M2208,SUM(L2214)),IF(M2213="",M2208,$I2214*(1+SUM(M2213)))))</f>
        <v/>
      </c>
      <c r="N2214" s="1773" t="str">
        <f>IF($I1945="","",IF(OR($I2214=0,$I2214=EUconst_NA),IF(OR(N2211=TRUE,N2210=$V1945),N2208,SUM(M2214)),IF(N2213="",N2208,$I2214*(1+SUM(N2213)))))</f>
        <v/>
      </c>
      <c r="O2214" s="485"/>
      <c r="P2214" s="485"/>
      <c r="Q2214" s="1644" t="str">
        <f>EUconst_CNTR_HALfinal&amp;EUconst_CNTR_WGFlared &amp; I1945</f>
        <v>HALfinal_WasteGasFlare_</v>
      </c>
      <c r="U2214" s="1674" t="b">
        <v>0</v>
      </c>
      <c r="V2214" s="1675" t="str">
        <f>IF(V2164,IF(J2211=TRUE,V1953,U2214),"")</f>
        <v/>
      </c>
      <c r="W2214" s="1675" t="str">
        <f>IF(W2164,IF(K2211=TRUE,W1953,V2214),"")</f>
        <v/>
      </c>
      <c r="X2214" s="1675" t="str">
        <f>IF(X2164,IF(L2211=TRUE,X1953,W2214),"")</f>
        <v/>
      </c>
      <c r="Y2214" s="1675" t="str">
        <f>IF(Y2164,IF(M2211=TRUE,Y1953,X2214),"")</f>
        <v/>
      </c>
      <c r="Z2214" s="1676" t="str">
        <f>IF(Z2164,IF(N2211=TRUE,Z1953,Y2214),"")</f>
        <v/>
      </c>
      <c r="AJ2214" s="1633" t="s">
        <v>1951</v>
      </c>
      <c r="AK2214" s="1443" t="str">
        <f>IF(OR(ISERROR(J2214),ISERROR(K2214),ISERROR(L2214),ISERROR(M2214),ISERROR(N2214)),EUconst_Error &amp; "BM" &amp; Q1945,"")</f>
        <v/>
      </c>
    </row>
    <row r="2215" spans="1:42" ht="5.0999999999999996" customHeight="1" thickBot="1">
      <c r="B2215" s="479"/>
      <c r="C2215" s="977"/>
      <c r="D2215" s="946"/>
      <c r="E2215" s="947"/>
      <c r="F2215" s="947"/>
      <c r="G2215" s="947"/>
      <c r="H2215" s="1014"/>
      <c r="I2215" s="947"/>
      <c r="J2215" s="1700"/>
      <c r="K2215" s="1760"/>
      <c r="L2215" s="1760"/>
      <c r="M2215" s="1760"/>
      <c r="N2215" s="1761"/>
      <c r="O2215" s="485"/>
      <c r="P2215" s="485"/>
      <c r="Q2215" s="1435"/>
      <c r="S2215" s="1435"/>
      <c r="T2215" s="1435"/>
      <c r="U2215" s="1435"/>
      <c r="V2215" s="1435"/>
    </row>
    <row r="2216" spans="1:42" ht="5.0999999999999996" customHeight="1">
      <c r="B2216" s="479"/>
      <c r="C2216" s="977"/>
      <c r="D2216" s="981"/>
      <c r="E2216" s="981"/>
      <c r="F2216" s="981"/>
      <c r="G2216" s="981"/>
      <c r="H2216" s="983"/>
      <c r="I2216" s="981"/>
      <c r="J2216" s="981"/>
      <c r="K2216" s="981"/>
      <c r="L2216" s="981"/>
      <c r="M2216" s="813"/>
      <c r="N2216" s="814"/>
      <c r="O2216" s="485"/>
      <c r="P2216" s="485"/>
      <c r="Q2216" s="1435"/>
      <c r="S2216" s="1435"/>
      <c r="T2216" s="1435"/>
      <c r="U2216" s="1435"/>
      <c r="V2216" s="1435"/>
    </row>
    <row r="2217" spans="1:42" ht="12.75" customHeight="1">
      <c r="B2217" s="479"/>
      <c r="C2217" s="977"/>
      <c r="D2217" s="777" t="s">
        <v>1109</v>
      </c>
      <c r="E2217" s="2649" t="s">
        <v>1218</v>
      </c>
      <c r="F2217" s="2391"/>
      <c r="G2217" s="2391"/>
      <c r="H2217" s="2512"/>
      <c r="I2217" s="3211" t="str">
        <f>c_ALR2025!I4783</f>
        <v/>
      </c>
      <c r="J2217" s="3206"/>
      <c r="K2217" s="3206"/>
      <c r="L2217" s="3206"/>
      <c r="M2217" s="3207"/>
      <c r="N2217" s="814"/>
      <c r="O2217" s="485"/>
      <c r="P2217" s="9">
        <v>0</v>
      </c>
      <c r="Q2217" s="1435"/>
      <c r="S2217" s="1435"/>
      <c r="AC2217" s="1641" t="s">
        <v>717</v>
      </c>
      <c r="AD2217" s="1443" t="b">
        <f>AD2191</f>
        <v>0</v>
      </c>
    </row>
    <row r="2218" spans="1:42" ht="12.75" customHeight="1">
      <c r="B2218" s="479"/>
      <c r="C2218" s="977"/>
      <c r="D2218" s="777"/>
      <c r="E2218" s="3272" t="s">
        <v>2298</v>
      </c>
      <c r="F2218" s="2380"/>
      <c r="G2218" s="2380"/>
      <c r="H2218" s="2380"/>
      <c r="I2218" s="2380"/>
      <c r="J2218" s="2380"/>
      <c r="K2218" s="2380"/>
      <c r="L2218" s="2380"/>
      <c r="M2218" s="2380"/>
      <c r="N2218" s="3268"/>
      <c r="O2218" s="485"/>
      <c r="P2218" s="485"/>
      <c r="Q2218" s="1435"/>
      <c r="S2218" s="1435"/>
      <c r="T2218" s="1435"/>
      <c r="U2218" s="1435"/>
      <c r="V2218" s="1435"/>
    </row>
    <row r="2219" spans="1:42" ht="25.5" customHeight="1">
      <c r="B2219" s="479"/>
      <c r="C2219" s="977"/>
      <c r="D2219" s="777"/>
      <c r="E2219" s="3267" t="s">
        <v>1560</v>
      </c>
      <c r="F2219" s="2380"/>
      <c r="G2219" s="2380"/>
      <c r="H2219" s="2380"/>
      <c r="I2219" s="2380"/>
      <c r="J2219" s="2380"/>
      <c r="K2219" s="2380"/>
      <c r="L2219" s="2380"/>
      <c r="M2219" s="2380"/>
      <c r="N2219" s="3268"/>
      <c r="O2219" s="485"/>
      <c r="P2219" s="485"/>
      <c r="Q2219" s="1435"/>
      <c r="S2219" s="1435"/>
      <c r="T2219" s="1435"/>
      <c r="U2219" s="1435"/>
      <c r="V2219" s="1435"/>
    </row>
    <row r="2220" spans="1:42" ht="12.75" customHeight="1" thickBot="1">
      <c r="B2220" s="479"/>
      <c r="C2220" s="977"/>
      <c r="D2220" s="981"/>
      <c r="E2220" s="989"/>
      <c r="F2220" s="990"/>
      <c r="G2220" s="987" t="str">
        <f>EUconst_Unit</f>
        <v>Unit</v>
      </c>
      <c r="H2220" s="782">
        <f t="shared" ref="H2220:N2220" si="1034">H$3242</f>
        <v>2024</v>
      </c>
      <c r="I2220" s="988">
        <f t="shared" si="1034"/>
        <v>2025</v>
      </c>
      <c r="J2220" s="1810">
        <f t="shared" si="1034"/>
        <v>2026</v>
      </c>
      <c r="K2220" s="1747">
        <f t="shared" si="1034"/>
        <v>2027</v>
      </c>
      <c r="L2220" s="1747">
        <f t="shared" si="1034"/>
        <v>2028</v>
      </c>
      <c r="M2220" s="1747">
        <f t="shared" si="1034"/>
        <v>2029</v>
      </c>
      <c r="N2220" s="1748">
        <f t="shared" si="1034"/>
        <v>2030</v>
      </c>
      <c r="O2220" s="485"/>
      <c r="P2220" s="485"/>
      <c r="Q2220" s="1435"/>
      <c r="S2220" s="1435"/>
      <c r="T2220" s="1435"/>
      <c r="U2220" s="1435"/>
      <c r="V2220" s="1435"/>
      <c r="AC2220" s="1638">
        <f t="shared" ref="AC2220:AI2220" si="1035">H$20</f>
        <v>2024</v>
      </c>
      <c r="AD2220" s="1638">
        <f t="shared" si="1035"/>
        <v>2025</v>
      </c>
      <c r="AE2220" s="1638">
        <f t="shared" si="1035"/>
        <v>2026</v>
      </c>
      <c r="AF2220" s="1638">
        <f t="shared" si="1035"/>
        <v>2027</v>
      </c>
      <c r="AG2220" s="1638">
        <f t="shared" si="1035"/>
        <v>2028</v>
      </c>
      <c r="AH2220" s="1638">
        <f t="shared" si="1035"/>
        <v>2029</v>
      </c>
      <c r="AI2220" s="1638">
        <f t="shared" si="1035"/>
        <v>2030</v>
      </c>
    </row>
    <row r="2221" spans="1:42" ht="12.75" customHeight="1" thickBot="1">
      <c r="B2221" s="479"/>
      <c r="C2221" s="977"/>
      <c r="D2221" s="777" t="s">
        <v>1110</v>
      </c>
      <c r="E2221" s="2471" t="s">
        <v>1303</v>
      </c>
      <c r="F2221" s="2472"/>
      <c r="G2221" s="1763" t="str">
        <f>c_ALR2025!G4787</f>
        <v/>
      </c>
      <c r="H2221" s="1552" t="str">
        <f>c_ALR2025!M4787</f>
        <v/>
      </c>
      <c r="I2221" s="1611"/>
      <c r="J2221" s="1811"/>
      <c r="K2221" s="1751"/>
      <c r="L2221" s="1751"/>
      <c r="M2221" s="1751"/>
      <c r="N2221" s="1752"/>
      <c r="O2221" s="485"/>
      <c r="P2221" s="9">
        <v>0</v>
      </c>
      <c r="Q2221" s="1435"/>
      <c r="S2221" s="1435"/>
      <c r="T2221" s="1435"/>
      <c r="U2221" s="1435"/>
      <c r="V2221" s="1435"/>
      <c r="AB2221" s="1641" t="s">
        <v>717</v>
      </c>
      <c r="AC2221" s="1443" t="b">
        <f t="shared" ref="AC2221:AI2221" si="1036">AC2177</f>
        <v>0</v>
      </c>
      <c r="AD2221" s="1443" t="b">
        <f t="shared" si="1036"/>
        <v>0</v>
      </c>
      <c r="AE2221" s="1443" t="b">
        <f t="shared" si="1036"/>
        <v>0</v>
      </c>
      <c r="AF2221" s="1443" t="b">
        <f t="shared" si="1036"/>
        <v>0</v>
      </c>
      <c r="AG2221" s="1443" t="b">
        <f t="shared" si="1036"/>
        <v>0</v>
      </c>
      <c r="AH2221" s="1443" t="b">
        <f t="shared" si="1036"/>
        <v>0</v>
      </c>
      <c r="AI2221" s="1443" t="b">
        <f t="shared" si="1036"/>
        <v>0</v>
      </c>
      <c r="AJ2221" s="1633" t="s">
        <v>1954</v>
      </c>
      <c r="AK2221" s="1635" t="str">
        <f>IF(AND(CNTR_ExistSubInstEntries,MSconst_RequireSubAttrEmissions,COUNTIFS(AC2221:AI2221,FALSE,H2221:N2221,"")&gt;0),EUconst_Error&amp;"BM"&amp;$Q1945,"")</f>
        <v/>
      </c>
    </row>
    <row r="2222" spans="1:42" ht="12.75" customHeight="1">
      <c r="B2222" s="479"/>
      <c r="C2222" s="977"/>
      <c r="D2222" s="777" t="s">
        <v>1111</v>
      </c>
      <c r="E2222" s="2473" t="s">
        <v>661</v>
      </c>
      <c r="F2222" s="2474"/>
      <c r="G2222" s="1008" t="e">
        <f>IF(ISBLANK(G2221),EUconst_GJperUnit,INDEX(EUconst_GJperTorKNm3,MATCH(G2221,EUconst_TonnesOrkNm3pa,0)))</f>
        <v>#N/A</v>
      </c>
      <c r="H2222" s="1558" t="str">
        <f>c_ALR2025!M4788</f>
        <v/>
      </c>
      <c r="I2222" s="1884"/>
      <c r="J2222" s="1811"/>
      <c r="K2222" s="1751"/>
      <c r="L2222" s="1751"/>
      <c r="M2222" s="1751"/>
      <c r="N2222" s="1752"/>
      <c r="O2222" s="485"/>
      <c r="P2222" s="9">
        <v>0</v>
      </c>
      <c r="Q2222" s="1435"/>
      <c r="S2222" s="1648"/>
      <c r="T2222" s="1749">
        <f t="shared" ref="T2222:Z2222" si="1037">H2220</f>
        <v>2024</v>
      </c>
      <c r="U2222" s="1749">
        <f t="shared" si="1037"/>
        <v>2025</v>
      </c>
      <c r="V2222" s="1749">
        <f t="shared" si="1037"/>
        <v>2026</v>
      </c>
      <c r="W2222" s="1749">
        <f t="shared" si="1037"/>
        <v>2027</v>
      </c>
      <c r="X2222" s="1749">
        <f t="shared" si="1037"/>
        <v>2028</v>
      </c>
      <c r="Y2222" s="1749">
        <f t="shared" si="1037"/>
        <v>2029</v>
      </c>
      <c r="Z2222" s="1750">
        <f t="shared" si="1037"/>
        <v>2030</v>
      </c>
      <c r="AC2222" s="1443" t="b">
        <f>AC2221</f>
        <v>0</v>
      </c>
      <c r="AD2222" s="1443" t="b">
        <f t="shared" ref="AD2222:AI2222" si="1038">AD2221</f>
        <v>0</v>
      </c>
      <c r="AE2222" s="1443" t="b">
        <f t="shared" si="1038"/>
        <v>0</v>
      </c>
      <c r="AF2222" s="1443" t="b">
        <f t="shared" si="1038"/>
        <v>0</v>
      </c>
      <c r="AG2222" s="1443" t="b">
        <f t="shared" si="1038"/>
        <v>0</v>
      </c>
      <c r="AH2222" s="1443" t="b">
        <f t="shared" si="1038"/>
        <v>0</v>
      </c>
      <c r="AI2222" s="1443" t="b">
        <f t="shared" si="1038"/>
        <v>0</v>
      </c>
      <c r="AJ2222" s="1633" t="s">
        <v>1954</v>
      </c>
      <c r="AK2222" s="1635" t="str">
        <f>IF(AND(CNTR_ExistSubInstEntries,MSconst_RequireSubAttrEmissions,COUNTIFS(AC2222:AI2222,FALSE,H2222:N2222,"")&gt;0),EUconst_Error&amp;"BM"&amp;$Q1945,"")</f>
        <v/>
      </c>
    </row>
    <row r="2223" spans="1:42" ht="12.75" customHeight="1">
      <c r="B2223" s="479"/>
      <c r="C2223" s="977"/>
      <c r="D2223" s="777" t="s">
        <v>1112</v>
      </c>
      <c r="E2223" s="2475" t="s">
        <v>1102</v>
      </c>
      <c r="F2223" s="2410"/>
      <c r="G2223" s="815" t="str">
        <f>EUconst_TJpa</f>
        <v>TJ / year</v>
      </c>
      <c r="H2223" s="646" t="str">
        <f t="shared" ref="H2223:N2223" si="1039">IF(COUNT(H2221:H2222)=2,H2221*H2222/1000,"")</f>
        <v/>
      </c>
      <c r="I2223" s="949" t="str">
        <f t="shared" si="1039"/>
        <v/>
      </c>
      <c r="J2223" s="1811" t="str">
        <f t="shared" si="1039"/>
        <v/>
      </c>
      <c r="K2223" s="1751" t="str">
        <f t="shared" si="1039"/>
        <v/>
      </c>
      <c r="L2223" s="1751" t="str">
        <f t="shared" si="1039"/>
        <v/>
      </c>
      <c r="M2223" s="1751" t="str">
        <f t="shared" si="1039"/>
        <v/>
      </c>
      <c r="N2223" s="1752" t="str">
        <f t="shared" si="1039"/>
        <v/>
      </c>
      <c r="O2223" s="485"/>
      <c r="P2223" s="485"/>
      <c r="Q2223" s="1644" t="str">
        <f>EUconst_CNTR_WGImport &amp; I1945</f>
        <v>WasteGasIm_</v>
      </c>
      <c r="S2223" s="1874" t="str">
        <f>EUconst_ERR_AttrEmBMapplied &amp; I1945</f>
        <v>ERR_AttrEmBM_</v>
      </c>
      <c r="T2223" s="1443">
        <f t="shared" ref="T2223:Z2223" si="1040">IF(AND(H2223&lt;&gt;"",EUconst_StatusOfDataCollection=FALSE),1,0)</f>
        <v>0</v>
      </c>
      <c r="U2223" s="1443">
        <f t="shared" si="1040"/>
        <v>0</v>
      </c>
      <c r="V2223" s="1443">
        <f t="shared" si="1040"/>
        <v>0</v>
      </c>
      <c r="W2223" s="1443">
        <f t="shared" si="1040"/>
        <v>0</v>
      </c>
      <c r="X2223" s="1443">
        <f t="shared" si="1040"/>
        <v>0</v>
      </c>
      <c r="Y2223" s="1443">
        <f t="shared" si="1040"/>
        <v>0</v>
      </c>
      <c r="Z2223" s="1737">
        <f t="shared" si="1040"/>
        <v>0</v>
      </c>
    </row>
    <row r="2224" spans="1:42" s="562" customFormat="1" ht="12.75" customHeight="1" thickBot="1">
      <c r="A2224" s="618"/>
      <c r="B2224" s="479"/>
      <c r="C2224" s="977"/>
      <c r="D2224" s="777" t="s">
        <v>1113</v>
      </c>
      <c r="E2224" s="2475" t="s">
        <v>1275</v>
      </c>
      <c r="F2224" s="2410"/>
      <c r="G2224" s="815" t="str">
        <f>EUconst_tCO2pTJ</f>
        <v>t CO2 / TJ</v>
      </c>
      <c r="H2224" s="1479" t="str">
        <f>c_ALR2025!M4790</f>
        <v/>
      </c>
      <c r="I2224" s="1532"/>
      <c r="J2224" s="1811"/>
      <c r="K2224" s="1751"/>
      <c r="L2224" s="1751"/>
      <c r="M2224" s="1751"/>
      <c r="N2224" s="1752"/>
      <c r="O2224" s="485"/>
      <c r="P2224" s="9">
        <v>0</v>
      </c>
      <c r="Q2224" s="1644" t="str">
        <f>EUconst_CNTR_WGImportEF &amp; I1945</f>
        <v>WasteGasImEF_</v>
      </c>
      <c r="R2224" s="1435"/>
      <c r="S2224" s="1753" t="str">
        <f>EUconst_CNTR_AttributedEmissions &amp; I1945</f>
        <v>AttrEmissions_</v>
      </c>
      <c r="T2224" s="1743" t="str">
        <f t="shared" ref="T2224:Z2224" si="1041">IF(T1953,SUM(H2223)*EUconst_FuelBMvalue,"")</f>
        <v/>
      </c>
      <c r="U2224" s="1743" t="str">
        <f t="shared" si="1041"/>
        <v/>
      </c>
      <c r="V2224" s="1743" t="str">
        <f t="shared" si="1041"/>
        <v/>
      </c>
      <c r="W2224" s="1743" t="str">
        <f t="shared" si="1041"/>
        <v/>
      </c>
      <c r="X2224" s="1743" t="str">
        <f t="shared" si="1041"/>
        <v/>
      </c>
      <c r="Y2224" s="1743" t="str">
        <f t="shared" si="1041"/>
        <v/>
      </c>
      <c r="Z2224" s="1744" t="str">
        <f t="shared" si="1041"/>
        <v/>
      </c>
      <c r="AA2224" s="1435"/>
      <c r="AB2224" s="1641" t="s">
        <v>717</v>
      </c>
      <c r="AC2224" s="1443" t="b">
        <f>AC2222</f>
        <v>0</v>
      </c>
      <c r="AD2224" s="1443" t="b">
        <f t="shared" ref="AD2224:AI2224" si="1042">AD2222</f>
        <v>0</v>
      </c>
      <c r="AE2224" s="1443" t="b">
        <f t="shared" si="1042"/>
        <v>0</v>
      </c>
      <c r="AF2224" s="1443" t="b">
        <f t="shared" si="1042"/>
        <v>0</v>
      </c>
      <c r="AG2224" s="1443" t="b">
        <f t="shared" si="1042"/>
        <v>0</v>
      </c>
      <c r="AH2224" s="1443" t="b">
        <f t="shared" si="1042"/>
        <v>0</v>
      </c>
      <c r="AI2224" s="1443" t="b">
        <f t="shared" si="1042"/>
        <v>0</v>
      </c>
      <c r="AJ2224" s="1633" t="s">
        <v>1954</v>
      </c>
      <c r="AK2224" s="1635" t="str">
        <f>IF(AND(CNTR_ExistSubInstEntries,MSconst_RequireSubAttrEmissions,COUNTIFS(AC2224:AI2224,FALSE,H2224:N2224,"")&gt;0),EUconst_Error&amp;"BM"&amp;$Q1945,"")</f>
        <v/>
      </c>
      <c r="AL2224" s="1198"/>
      <c r="AP2224" s="1135"/>
    </row>
    <row r="2225" spans="1:42" ht="12.75" customHeight="1">
      <c r="B2225" s="479"/>
      <c r="C2225" s="977"/>
      <c r="D2225" s="981"/>
      <c r="E2225" s="981"/>
      <c r="F2225" s="981"/>
      <c r="G2225" s="981"/>
      <c r="H2225" s="983"/>
      <c r="I2225" s="981"/>
      <c r="J2225" s="981"/>
      <c r="K2225" s="981"/>
      <c r="L2225" s="981"/>
      <c r="M2225" s="813"/>
      <c r="N2225" s="814"/>
      <c r="O2225" s="485"/>
      <c r="P2225" s="485"/>
      <c r="Q2225" s="1435"/>
      <c r="S2225" s="1435"/>
      <c r="T2225" s="1435"/>
      <c r="U2225" s="1435"/>
      <c r="V2225" s="1435"/>
    </row>
    <row r="2226" spans="1:42" ht="12.75" customHeight="1">
      <c r="B2226" s="479"/>
      <c r="C2226" s="977"/>
      <c r="D2226" s="777" t="s">
        <v>1114</v>
      </c>
      <c r="E2226" s="2649" t="s">
        <v>1217</v>
      </c>
      <c r="F2226" s="2391"/>
      <c r="G2226" s="2391"/>
      <c r="H2226" s="2512"/>
      <c r="I2226" s="3211" t="str">
        <f>c_ALR2025!I4792</f>
        <v/>
      </c>
      <c r="J2226" s="3206"/>
      <c r="K2226" s="3206"/>
      <c r="L2226" s="3206"/>
      <c r="M2226" s="3207"/>
      <c r="N2226" s="979"/>
      <c r="O2226" s="485"/>
      <c r="P2226" s="9">
        <v>0</v>
      </c>
      <c r="Q2226" s="1435"/>
      <c r="S2226" s="1435"/>
      <c r="AC2226" s="1641" t="s">
        <v>717</v>
      </c>
      <c r="AD2226" s="1443" t="b">
        <f>AD2217</f>
        <v>0</v>
      </c>
    </row>
    <row r="2227" spans="1:42" ht="12.75" customHeight="1">
      <c r="B2227" s="479"/>
      <c r="C2227" s="977"/>
      <c r="D2227" s="777"/>
      <c r="E2227" s="3272" t="s">
        <v>2298</v>
      </c>
      <c r="F2227" s="2380"/>
      <c r="G2227" s="2380"/>
      <c r="H2227" s="2380"/>
      <c r="I2227" s="2380"/>
      <c r="J2227" s="2380"/>
      <c r="K2227" s="2380"/>
      <c r="L2227" s="2380"/>
      <c r="M2227" s="2380"/>
      <c r="N2227" s="3268"/>
      <c r="O2227" s="485"/>
      <c r="P2227" s="485"/>
      <c r="Q2227" s="1435"/>
      <c r="S2227" s="1435"/>
      <c r="T2227" s="1435"/>
      <c r="U2227" s="1435"/>
      <c r="V2227" s="1435"/>
    </row>
    <row r="2228" spans="1:42" ht="25.5" customHeight="1">
      <c r="B2228" s="479"/>
      <c r="C2228" s="977"/>
      <c r="D2228" s="777"/>
      <c r="E2228" s="3267" t="s">
        <v>1317</v>
      </c>
      <c r="F2228" s="2380"/>
      <c r="G2228" s="2380"/>
      <c r="H2228" s="2380"/>
      <c r="I2228" s="2380"/>
      <c r="J2228" s="2380"/>
      <c r="K2228" s="2380"/>
      <c r="L2228" s="2380"/>
      <c r="M2228" s="2380"/>
      <c r="N2228" s="3268"/>
      <c r="O2228" s="485"/>
      <c r="P2228" s="485"/>
      <c r="Q2228" s="1435"/>
      <c r="S2228" s="1435"/>
      <c r="T2228" s="1435"/>
      <c r="U2228" s="1435"/>
      <c r="V2228" s="1435"/>
    </row>
    <row r="2229" spans="1:42" ht="12.75" customHeight="1" thickBot="1">
      <c r="B2229" s="479"/>
      <c r="C2229" s="977"/>
      <c r="D2229" s="981"/>
      <c r="E2229" s="989"/>
      <c r="F2229" s="990"/>
      <c r="G2229" s="987" t="str">
        <f>EUconst_Unit</f>
        <v>Unit</v>
      </c>
      <c r="H2229" s="782">
        <f t="shared" ref="H2229:N2229" si="1043">H$3242</f>
        <v>2024</v>
      </c>
      <c r="I2229" s="988">
        <f t="shared" si="1043"/>
        <v>2025</v>
      </c>
      <c r="J2229" s="1810">
        <f t="shared" si="1043"/>
        <v>2026</v>
      </c>
      <c r="K2229" s="1747">
        <f t="shared" si="1043"/>
        <v>2027</v>
      </c>
      <c r="L2229" s="1747">
        <f t="shared" si="1043"/>
        <v>2028</v>
      </c>
      <c r="M2229" s="1747">
        <f t="shared" si="1043"/>
        <v>2029</v>
      </c>
      <c r="N2229" s="1748">
        <f t="shared" si="1043"/>
        <v>2030</v>
      </c>
      <c r="O2229" s="485"/>
      <c r="P2229" s="485"/>
      <c r="Q2229" s="1435"/>
      <c r="S2229" s="1435"/>
      <c r="T2229" s="1435"/>
      <c r="U2229" s="1435"/>
      <c r="V2229" s="1435"/>
      <c r="AC2229" s="1638">
        <f t="shared" ref="AC2229:AI2229" si="1044">H$20</f>
        <v>2024</v>
      </c>
      <c r="AD2229" s="1638">
        <f t="shared" si="1044"/>
        <v>2025</v>
      </c>
      <c r="AE2229" s="1638">
        <f t="shared" si="1044"/>
        <v>2026</v>
      </c>
      <c r="AF2229" s="1638">
        <f t="shared" si="1044"/>
        <v>2027</v>
      </c>
      <c r="AG2229" s="1638">
        <f t="shared" si="1044"/>
        <v>2028</v>
      </c>
      <c r="AH2229" s="1638">
        <f t="shared" si="1044"/>
        <v>2029</v>
      </c>
      <c r="AI2229" s="1638">
        <f t="shared" si="1044"/>
        <v>2030</v>
      </c>
    </row>
    <row r="2230" spans="1:42" ht="12.75" customHeight="1">
      <c r="B2230" s="479"/>
      <c r="C2230" s="977"/>
      <c r="D2230" s="777" t="s">
        <v>1115</v>
      </c>
      <c r="E2230" s="2471" t="s">
        <v>1304</v>
      </c>
      <c r="F2230" s="2472"/>
      <c r="G2230" s="1763" t="str">
        <f>c_ALR2025!G4796</f>
        <v/>
      </c>
      <c r="H2230" s="1552" t="str">
        <f>c_ALR2025!M4796</f>
        <v/>
      </c>
      <c r="I2230" s="1611"/>
      <c r="J2230" s="1811"/>
      <c r="K2230" s="1751"/>
      <c r="L2230" s="1751"/>
      <c r="M2230" s="1751"/>
      <c r="N2230" s="1752"/>
      <c r="O2230" s="485"/>
      <c r="P2230" s="9">
        <v>0</v>
      </c>
      <c r="Q2230" s="1435"/>
      <c r="S2230" s="1435"/>
      <c r="T2230" s="1435"/>
      <c r="U2230" s="1435"/>
      <c r="V2230" s="1435"/>
      <c r="AB2230" s="1641" t="s">
        <v>717</v>
      </c>
      <c r="AC2230" s="1443" t="b">
        <f>AC2177</f>
        <v>0</v>
      </c>
      <c r="AD2230" s="1443" t="b">
        <f t="shared" ref="AD2230:AI2230" si="1045">AD2177</f>
        <v>0</v>
      </c>
      <c r="AE2230" s="1443" t="b">
        <f t="shared" si="1045"/>
        <v>0</v>
      </c>
      <c r="AF2230" s="1443" t="b">
        <f t="shared" si="1045"/>
        <v>0</v>
      </c>
      <c r="AG2230" s="1443" t="b">
        <f t="shared" si="1045"/>
        <v>0</v>
      </c>
      <c r="AH2230" s="1443" t="b">
        <f t="shared" si="1045"/>
        <v>0</v>
      </c>
      <c r="AI2230" s="1443" t="b">
        <f t="shared" si="1045"/>
        <v>0</v>
      </c>
      <c r="AJ2230" s="1633" t="s">
        <v>1954</v>
      </c>
      <c r="AK2230" s="1635" t="str">
        <f>IF(AND(CNTR_ExistSubInstEntries,MSconst_RequireSubAttrEmissions,COUNTIFS(AC2230:AI2230,FALSE,H2230:N2230,"")&gt;0),EUconst_Error&amp;"BM"&amp;$Q1945,"")</f>
        <v/>
      </c>
    </row>
    <row r="2231" spans="1:42" ht="12.75" customHeight="1" thickBot="1">
      <c r="B2231" s="479"/>
      <c r="C2231" s="977"/>
      <c r="D2231" s="777" t="s">
        <v>1561</v>
      </c>
      <c r="E2231" s="2473" t="s">
        <v>661</v>
      </c>
      <c r="F2231" s="2474"/>
      <c r="G2231" s="1008" t="e">
        <f>IF(ISBLANK(G2230),EUconst_GJperUnit,INDEX(EUconst_GJperTorKNm3,MATCH(G2230,EUconst_TonnesOrkNm3pa,0)))</f>
        <v>#N/A</v>
      </c>
      <c r="H2231" s="1558" t="str">
        <f>c_ALR2025!M4797</f>
        <v/>
      </c>
      <c r="I2231" s="1884"/>
      <c r="J2231" s="1811"/>
      <c r="K2231" s="1751"/>
      <c r="L2231" s="1751"/>
      <c r="M2231" s="1751"/>
      <c r="N2231" s="1752"/>
      <c r="O2231" s="485"/>
      <c r="P2231" s="9">
        <v>0</v>
      </c>
      <c r="Q2231" s="1435"/>
      <c r="S2231" s="1435"/>
      <c r="T2231" s="1435"/>
      <c r="U2231" s="1435"/>
      <c r="V2231" s="1435"/>
      <c r="AC2231" s="1443" t="b">
        <f>AC2230</f>
        <v>0</v>
      </c>
      <c r="AD2231" s="1443" t="b">
        <f t="shared" ref="AD2231:AI2231" si="1046">AD2230</f>
        <v>0</v>
      </c>
      <c r="AE2231" s="1443" t="b">
        <f t="shared" si="1046"/>
        <v>0</v>
      </c>
      <c r="AF2231" s="1443" t="b">
        <f t="shared" si="1046"/>
        <v>0</v>
      </c>
      <c r="AG2231" s="1443" t="b">
        <f t="shared" si="1046"/>
        <v>0</v>
      </c>
      <c r="AH2231" s="1443" t="b">
        <f t="shared" si="1046"/>
        <v>0</v>
      </c>
      <c r="AI2231" s="1443" t="b">
        <f t="shared" si="1046"/>
        <v>0</v>
      </c>
      <c r="AJ2231" s="1633" t="s">
        <v>1954</v>
      </c>
      <c r="AK2231" s="1635" t="str">
        <f>IF(AND(CNTR_ExistSubInstEntries,MSconst_RequireSubAttrEmissions,COUNTIFS(AC2231:AI2231,FALSE,H2231:N2231,"")&gt;0),EUconst_Error&amp;"BM"&amp;$Q1945,"")</f>
        <v/>
      </c>
    </row>
    <row r="2232" spans="1:42" ht="12.75" customHeight="1">
      <c r="B2232" s="479"/>
      <c r="C2232" s="977"/>
      <c r="D2232" s="777" t="s">
        <v>1599</v>
      </c>
      <c r="E2232" s="2475" t="s">
        <v>1080</v>
      </c>
      <c r="F2232" s="2410"/>
      <c r="G2232" s="815" t="str">
        <f>EUconst_TJpa</f>
        <v>TJ / year</v>
      </c>
      <c r="H2232" s="646" t="str">
        <f t="shared" ref="H2232:N2232" si="1047">IF(COUNT(H2230:H2231)=2,H2230*H2231/1000,"")</f>
        <v/>
      </c>
      <c r="I2232" s="949" t="str">
        <f t="shared" si="1047"/>
        <v/>
      </c>
      <c r="J2232" s="1811" t="str">
        <f t="shared" si="1047"/>
        <v/>
      </c>
      <c r="K2232" s="1751" t="str">
        <f t="shared" si="1047"/>
        <v/>
      </c>
      <c r="L2232" s="1751" t="str">
        <f t="shared" si="1047"/>
        <v/>
      </c>
      <c r="M2232" s="1751" t="str">
        <f t="shared" si="1047"/>
        <v/>
      </c>
      <c r="N2232" s="1752" t="str">
        <f t="shared" si="1047"/>
        <v/>
      </c>
      <c r="O2232" s="485"/>
      <c r="P2232" s="485"/>
      <c r="Q2232" s="1644" t="str">
        <f>EUconst_CNTR_WGExport &amp; I1945</f>
        <v>WasteGasEx_</v>
      </c>
      <c r="S2232" s="1648"/>
      <c r="T2232" s="1749">
        <f t="shared" ref="T2232:Z2232" si="1048">H2229</f>
        <v>2024</v>
      </c>
      <c r="U2232" s="1749">
        <f t="shared" si="1048"/>
        <v>2025</v>
      </c>
      <c r="V2232" s="1749">
        <f t="shared" si="1048"/>
        <v>2026</v>
      </c>
      <c r="W2232" s="1749">
        <f t="shared" si="1048"/>
        <v>2027</v>
      </c>
      <c r="X2232" s="1749">
        <f t="shared" si="1048"/>
        <v>2028</v>
      </c>
      <c r="Y2232" s="1749">
        <f t="shared" si="1048"/>
        <v>2029</v>
      </c>
      <c r="Z2232" s="1750">
        <f t="shared" si="1048"/>
        <v>2030</v>
      </c>
    </row>
    <row r="2233" spans="1:42" s="562" customFormat="1" ht="12.75" customHeight="1" thickBot="1">
      <c r="A2233" s="1116"/>
      <c r="B2233" s="479"/>
      <c r="C2233" s="977"/>
      <c r="D2233" s="777" t="s">
        <v>1600</v>
      </c>
      <c r="E2233" s="2475" t="s">
        <v>1276</v>
      </c>
      <c r="F2233" s="2410"/>
      <c r="G2233" s="815" t="str">
        <f>EUconst_tCO2pTJ</f>
        <v>t CO2 / TJ</v>
      </c>
      <c r="H2233" s="1479" t="str">
        <f>c_ALR2025!M4799</f>
        <v/>
      </c>
      <c r="I2233" s="1532"/>
      <c r="J2233" s="1811"/>
      <c r="K2233" s="1751"/>
      <c r="L2233" s="1751"/>
      <c r="M2233" s="1751"/>
      <c r="N2233" s="1752"/>
      <c r="O2233" s="485"/>
      <c r="P2233" s="9">
        <v>0</v>
      </c>
      <c r="Q2233" s="1644" t="str">
        <f>EUconst_CNTR_WGExportEF &amp; I1945</f>
        <v>WasteGasExEF_</v>
      </c>
      <c r="R2233" s="1435"/>
      <c r="S2233" s="1753" t="str">
        <f>EUconst_CNTR_AttributedEmissions &amp; I1945</f>
        <v>AttrEmissions_</v>
      </c>
      <c r="T2233" s="1743" t="str">
        <f t="shared" ref="T2233:Z2233" si="1049">IF(T1953,-SUM(H2232)*EUconst_NGEFvalue*EUconst_WasteGasCorrFactor,"")</f>
        <v/>
      </c>
      <c r="U2233" s="1743" t="str">
        <f t="shared" si="1049"/>
        <v/>
      </c>
      <c r="V2233" s="1743" t="str">
        <f t="shared" si="1049"/>
        <v/>
      </c>
      <c r="W2233" s="1743" t="str">
        <f t="shared" si="1049"/>
        <v/>
      </c>
      <c r="X2233" s="1743" t="str">
        <f t="shared" si="1049"/>
        <v/>
      </c>
      <c r="Y2233" s="1743" t="str">
        <f t="shared" si="1049"/>
        <v/>
      </c>
      <c r="Z2233" s="1744" t="str">
        <f t="shared" si="1049"/>
        <v/>
      </c>
      <c r="AA2233" s="1435"/>
      <c r="AB2233" s="1641" t="s">
        <v>717</v>
      </c>
      <c r="AC2233" s="1443" t="b">
        <f t="shared" ref="AC2233:AI2233" si="1050">AC2180</f>
        <v>0</v>
      </c>
      <c r="AD2233" s="1443" t="b">
        <f t="shared" si="1050"/>
        <v>0</v>
      </c>
      <c r="AE2233" s="1443" t="b">
        <f t="shared" si="1050"/>
        <v>0</v>
      </c>
      <c r="AF2233" s="1443" t="b">
        <f t="shared" si="1050"/>
        <v>0</v>
      </c>
      <c r="AG2233" s="1443" t="b">
        <f t="shared" si="1050"/>
        <v>0</v>
      </c>
      <c r="AH2233" s="1443" t="b">
        <f t="shared" si="1050"/>
        <v>0</v>
      </c>
      <c r="AI2233" s="1443" t="b">
        <f t="shared" si="1050"/>
        <v>0</v>
      </c>
      <c r="AJ2233" s="1633" t="s">
        <v>1954</v>
      </c>
      <c r="AK2233" s="1635" t="str">
        <f>IF(AND(CNTR_ExistSubInstEntries,MSconst_RequireSubAttrEmissions,COUNTIFS(AC2233:AI2233,FALSE,H2233:N2233,"")&gt;0),EUconst_Error&amp;"BM"&amp;$Q1945,"")</f>
        <v/>
      </c>
      <c r="AL2233" s="1198"/>
      <c r="AP2233" s="1135"/>
    </row>
    <row r="2234" spans="1:42" ht="12.75" customHeight="1">
      <c r="B2234" s="479"/>
      <c r="C2234" s="977"/>
      <c r="D2234" s="981"/>
      <c r="E2234" s="981"/>
      <c r="F2234" s="981"/>
      <c r="G2234" s="981"/>
      <c r="H2234" s="981"/>
      <c r="I2234" s="983"/>
      <c r="J2234" s="981"/>
      <c r="K2234" s="981"/>
      <c r="L2234" s="981"/>
      <c r="M2234" s="981"/>
      <c r="N2234" s="814"/>
      <c r="O2234" s="485"/>
      <c r="P2234" s="485"/>
      <c r="Q2234" s="1435"/>
      <c r="S2234" s="1435"/>
    </row>
    <row r="2235" spans="1:42" ht="12.75" customHeight="1">
      <c r="B2235" s="479"/>
      <c r="C2235" s="977"/>
      <c r="D2235" s="982" t="s">
        <v>482</v>
      </c>
      <c r="E2235" s="2649" t="s">
        <v>1127</v>
      </c>
      <c r="F2235" s="2391"/>
      <c r="G2235" s="2391"/>
      <c r="H2235" s="2391"/>
      <c r="I2235" s="2391"/>
      <c r="J2235" s="2391"/>
      <c r="K2235" s="2391"/>
      <c r="L2235" s="2391"/>
      <c r="M2235" s="2391"/>
      <c r="N2235" s="2650"/>
      <c r="O2235" s="485"/>
      <c r="P2235" s="485"/>
      <c r="Q2235" s="1435"/>
      <c r="S2235" s="1435"/>
    </row>
    <row r="2236" spans="1:42" ht="12.75" customHeight="1">
      <c r="B2236" s="479"/>
      <c r="C2236" s="977"/>
      <c r="D2236" s="777"/>
      <c r="E2236" s="3272" t="s">
        <v>2299</v>
      </c>
      <c r="F2236" s="2380"/>
      <c r="G2236" s="2380"/>
      <c r="H2236" s="2380"/>
      <c r="I2236" s="2380"/>
      <c r="J2236" s="2380"/>
      <c r="K2236" s="2380"/>
      <c r="L2236" s="2380"/>
      <c r="M2236" s="2380"/>
      <c r="N2236" s="3268"/>
      <c r="O2236" s="485"/>
      <c r="P2236" s="485"/>
      <c r="Q2236" s="1435"/>
      <c r="S2236" s="1435"/>
      <c r="T2236" s="1435"/>
      <c r="U2236" s="1435"/>
      <c r="V2236" s="1435"/>
    </row>
    <row r="2237" spans="1:42" ht="25.5" customHeight="1" thickBot="1">
      <c r="B2237" s="479"/>
      <c r="C2237" s="977"/>
      <c r="D2237" s="981"/>
      <c r="E2237" s="3267" t="s">
        <v>2331</v>
      </c>
      <c r="F2237" s="2380"/>
      <c r="G2237" s="2380"/>
      <c r="H2237" s="2380"/>
      <c r="I2237" s="2380"/>
      <c r="J2237" s="2380"/>
      <c r="K2237" s="2380"/>
      <c r="L2237" s="2380"/>
      <c r="M2237" s="2380"/>
      <c r="N2237" s="3268"/>
      <c r="O2237" s="485"/>
      <c r="P2237" s="485"/>
      <c r="Q2237" s="1435"/>
      <c r="S2237" s="1435"/>
    </row>
    <row r="2238" spans="1:42" ht="12.75" customHeight="1" thickBot="1">
      <c r="B2238" s="479"/>
      <c r="C2238" s="977"/>
      <c r="D2238" s="982"/>
      <c r="E2238" s="989"/>
      <c r="F2238" s="990"/>
      <c r="G2238" s="987" t="str">
        <f>EUconst_Unit</f>
        <v>Unit</v>
      </c>
      <c r="H2238" s="782">
        <f t="shared" ref="H2238:N2238" si="1051">H$3242</f>
        <v>2024</v>
      </c>
      <c r="I2238" s="988">
        <f t="shared" si="1051"/>
        <v>2025</v>
      </c>
      <c r="J2238" s="1810">
        <f t="shared" si="1051"/>
        <v>2026</v>
      </c>
      <c r="K2238" s="1747">
        <f t="shared" si="1051"/>
        <v>2027</v>
      </c>
      <c r="L2238" s="1747">
        <f t="shared" si="1051"/>
        <v>2028</v>
      </c>
      <c r="M2238" s="1747">
        <f t="shared" si="1051"/>
        <v>2029</v>
      </c>
      <c r="N2238" s="1748">
        <f t="shared" si="1051"/>
        <v>2030</v>
      </c>
      <c r="O2238" s="485"/>
      <c r="P2238" s="485"/>
      <c r="Q2238" s="1435"/>
      <c r="S2238" s="1648"/>
      <c r="T2238" s="1749">
        <f t="shared" ref="T2238:Z2238" si="1052">H2238</f>
        <v>2024</v>
      </c>
      <c r="U2238" s="1749">
        <f t="shared" si="1052"/>
        <v>2025</v>
      </c>
      <c r="V2238" s="1749">
        <f t="shared" si="1052"/>
        <v>2026</v>
      </c>
      <c r="W2238" s="1749">
        <f t="shared" si="1052"/>
        <v>2027</v>
      </c>
      <c r="X2238" s="1749">
        <f t="shared" si="1052"/>
        <v>2028</v>
      </c>
      <c r="Y2238" s="1749">
        <f t="shared" si="1052"/>
        <v>2029</v>
      </c>
      <c r="Z2238" s="1750">
        <f t="shared" si="1052"/>
        <v>2030</v>
      </c>
      <c r="AC2238" s="1638">
        <f t="shared" ref="AC2238:AI2238" si="1053">H$20</f>
        <v>2024</v>
      </c>
      <c r="AD2238" s="1638">
        <f t="shared" si="1053"/>
        <v>2025</v>
      </c>
      <c r="AE2238" s="1638">
        <f t="shared" si="1053"/>
        <v>2026</v>
      </c>
      <c r="AF2238" s="1638">
        <f t="shared" si="1053"/>
        <v>2027</v>
      </c>
      <c r="AG2238" s="1638">
        <f t="shared" si="1053"/>
        <v>2028</v>
      </c>
      <c r="AH2238" s="1638">
        <f t="shared" si="1053"/>
        <v>2029</v>
      </c>
      <c r="AI2238" s="1638">
        <f t="shared" si="1053"/>
        <v>2030</v>
      </c>
    </row>
    <row r="2239" spans="1:42" ht="12.75" customHeight="1" thickBot="1">
      <c r="B2239" s="479"/>
      <c r="C2239" s="977"/>
      <c r="D2239" s="777"/>
      <c r="E2239" s="2475" t="s">
        <v>1354</v>
      </c>
      <c r="F2239" s="2410"/>
      <c r="G2239" s="815" t="str">
        <f>EUconst_MWhpa</f>
        <v>MWh / year</v>
      </c>
      <c r="H2239" s="1479" t="str">
        <f>c_ALR2025!M4805</f>
        <v/>
      </c>
      <c r="I2239" s="1532"/>
      <c r="J2239" s="1811"/>
      <c r="K2239" s="1751"/>
      <c r="L2239" s="1751"/>
      <c r="M2239" s="1751"/>
      <c r="N2239" s="1752"/>
      <c r="O2239" s="485"/>
      <c r="P2239" s="9">
        <v>0</v>
      </c>
      <c r="Q2239" s="1644" t="str">
        <f>EUconst_CNTR_ElectricityExported &amp; I1945</f>
        <v>ElecEx_</v>
      </c>
      <c r="S2239" s="1753" t="str">
        <f>EUconst_CNTR_AttributedEmissions &amp; I1945</f>
        <v>AttrEmissions_</v>
      </c>
      <c r="T2239" s="1743" t="str">
        <f t="shared" ref="T2239:Z2239" si="1054">IF(T1953,-SUM(H2239)*EUconst_ElBM,"")</f>
        <v/>
      </c>
      <c r="U2239" s="1743" t="str">
        <f t="shared" si="1054"/>
        <v/>
      </c>
      <c r="V2239" s="1743" t="str">
        <f t="shared" si="1054"/>
        <v/>
      </c>
      <c r="W2239" s="1743" t="str">
        <f t="shared" si="1054"/>
        <v/>
      </c>
      <c r="X2239" s="1743" t="str">
        <f t="shared" si="1054"/>
        <v/>
      </c>
      <c r="Y2239" s="1743" t="str">
        <f t="shared" si="1054"/>
        <v/>
      </c>
      <c r="Z2239" s="1744" t="str">
        <f t="shared" si="1054"/>
        <v/>
      </c>
      <c r="AB2239" s="1641" t="s">
        <v>717</v>
      </c>
      <c r="AC2239" s="1443" t="b">
        <f>AC2015</f>
        <v>0</v>
      </c>
      <c r="AD2239" s="1443" t="b">
        <f t="shared" ref="AD2239:AI2239" si="1055">AD2015</f>
        <v>0</v>
      </c>
      <c r="AE2239" s="1443" t="b">
        <f t="shared" si="1055"/>
        <v>0</v>
      </c>
      <c r="AF2239" s="1443" t="b">
        <f t="shared" si="1055"/>
        <v>0</v>
      </c>
      <c r="AG2239" s="1443" t="b">
        <f t="shared" si="1055"/>
        <v>0</v>
      </c>
      <c r="AH2239" s="1443" t="b">
        <f t="shared" si="1055"/>
        <v>0</v>
      </c>
      <c r="AI2239" s="1443" t="b">
        <f t="shared" si="1055"/>
        <v>0</v>
      </c>
      <c r="AJ2239" s="1633" t="s">
        <v>1954</v>
      </c>
      <c r="AK2239" s="1635" t="str">
        <f>IF(AND(CNTR_ExistSubInstEntries,MSconst_RequireSubAttrEmissions,COUNTIFS(AC2239:AI2239,FALSE,H2239:N2239,"")&gt;0),EUconst_Error&amp;"BM"&amp;$Q1945,"")</f>
        <v/>
      </c>
    </row>
    <row r="2240" spans="1:42" ht="12.75" customHeight="1">
      <c r="B2240" s="479"/>
      <c r="C2240" s="977"/>
      <c r="D2240" s="981"/>
      <c r="E2240" s="981"/>
      <c r="F2240" s="981"/>
      <c r="G2240" s="981"/>
      <c r="H2240" s="981"/>
      <c r="I2240" s="983"/>
      <c r="J2240" s="981"/>
      <c r="K2240" s="981"/>
      <c r="L2240" s="981"/>
      <c r="M2240" s="981"/>
      <c r="N2240" s="814"/>
      <c r="O2240" s="485"/>
      <c r="P2240" s="485"/>
      <c r="Q2240" s="1435"/>
      <c r="S2240" s="1435"/>
      <c r="V2240" s="1435"/>
    </row>
    <row r="2241" spans="2:37" ht="12.75" customHeight="1">
      <c r="B2241" s="479"/>
      <c r="C2241" s="977"/>
      <c r="D2241" s="982" t="s">
        <v>245</v>
      </c>
      <c r="E2241" s="2649" t="s">
        <v>1157</v>
      </c>
      <c r="F2241" s="2391"/>
      <c r="G2241" s="2391"/>
      <c r="H2241" s="2391"/>
      <c r="I2241" s="2391"/>
      <c r="J2241" s="2391"/>
      <c r="K2241" s="2391"/>
      <c r="L2241" s="2391"/>
      <c r="M2241" s="2391"/>
      <c r="N2241" s="2650"/>
      <c r="O2241" s="485"/>
      <c r="P2241" s="485"/>
      <c r="V2241" s="1435"/>
    </row>
    <row r="2242" spans="2:37" ht="25.5" customHeight="1">
      <c r="B2242" s="479"/>
      <c r="C2242" s="977"/>
      <c r="D2242" s="981"/>
      <c r="E2242" s="3267" t="s">
        <v>1264</v>
      </c>
      <c r="F2242" s="2380"/>
      <c r="G2242" s="2380"/>
      <c r="H2242" s="2380"/>
      <c r="I2242" s="2380"/>
      <c r="J2242" s="2380"/>
      <c r="K2242" s="2380"/>
      <c r="L2242" s="2380"/>
      <c r="M2242" s="2380"/>
      <c r="N2242" s="3268"/>
      <c r="O2242" s="485"/>
      <c r="P2242" s="485"/>
      <c r="Q2242" s="1435"/>
      <c r="S2242" s="1435"/>
      <c r="V2242" s="1435"/>
    </row>
    <row r="2243" spans="2:37" ht="12.75" customHeight="1">
      <c r="B2243" s="479"/>
      <c r="C2243" s="977"/>
      <c r="D2243" s="981"/>
      <c r="E2243" s="3267" t="s">
        <v>1563</v>
      </c>
      <c r="F2243" s="2380"/>
      <c r="G2243" s="2380"/>
      <c r="H2243" s="2380"/>
      <c r="I2243" s="2380"/>
      <c r="J2243" s="2380"/>
      <c r="K2243" s="2380"/>
      <c r="L2243" s="2380"/>
      <c r="M2243" s="2380"/>
      <c r="N2243" s="3268"/>
      <c r="O2243" s="485"/>
      <c r="P2243" s="485"/>
      <c r="Q2243" s="1435"/>
      <c r="S2243" s="1435"/>
      <c r="V2243" s="1435"/>
    </row>
    <row r="2244" spans="2:37" ht="12.75" customHeight="1" thickBot="1">
      <c r="B2244" s="479"/>
      <c r="C2244" s="977"/>
      <c r="D2244" s="777"/>
      <c r="E2244" s="3283" t="s">
        <v>1598</v>
      </c>
      <c r="F2244" s="3284"/>
      <c r="G2244" s="3284"/>
      <c r="H2244" s="3284"/>
      <c r="I2244" s="3284"/>
      <c r="J2244" s="2380"/>
      <c r="K2244" s="2380"/>
      <c r="L2244" s="2380"/>
      <c r="M2244" s="2380"/>
      <c r="N2244" s="3268"/>
      <c r="O2244" s="485"/>
      <c r="P2244" s="485"/>
      <c r="Q2244" s="1435"/>
      <c r="S2244" s="1435"/>
      <c r="V2244" s="1435"/>
      <c r="AC2244" s="1638">
        <f t="shared" ref="AC2244:AI2244" si="1056">H$20</f>
        <v>2024</v>
      </c>
      <c r="AD2244" s="1638">
        <f t="shared" si="1056"/>
        <v>2025</v>
      </c>
      <c r="AE2244" s="1638">
        <f t="shared" si="1056"/>
        <v>2026</v>
      </c>
      <c r="AF2244" s="1638">
        <f t="shared" si="1056"/>
        <v>2027</v>
      </c>
      <c r="AG2244" s="1638">
        <f t="shared" si="1056"/>
        <v>2028</v>
      </c>
      <c r="AH2244" s="1638">
        <f t="shared" si="1056"/>
        <v>2029</v>
      </c>
      <c r="AI2244" s="1638">
        <f t="shared" si="1056"/>
        <v>2030</v>
      </c>
    </row>
    <row r="2245" spans="2:37" ht="12.75" customHeight="1">
      <c r="B2245" s="479"/>
      <c r="C2245" s="977"/>
      <c r="D2245" s="777"/>
      <c r="E2245" s="3285" t="str">
        <f>IF(I1945="","",IF(INDEX(EUconst_BMlistPulp,MATCH(I1945,EUconst_BMlistNames,0)),I1945,""))</f>
        <v/>
      </c>
      <c r="F2245" s="2410"/>
      <c r="G2245" s="815" t="str">
        <f>EUconst_Tons</f>
        <v>tonnes</v>
      </c>
      <c r="H2245" s="1869"/>
      <c r="I2245" s="1532"/>
      <c r="J2245" s="1811"/>
      <c r="K2245" s="1751"/>
      <c r="L2245" s="1751"/>
      <c r="M2245" s="1751"/>
      <c r="N2245" s="1752"/>
      <c r="O2245" s="485"/>
      <c r="P2245" s="9">
        <v>0</v>
      </c>
      <c r="Q2245" s="1644" t="str">
        <f>EUconst_CNTR_HALPulpTotal &amp; I1945</f>
        <v>HALPulpTotal_</v>
      </c>
      <c r="S2245" s="1435"/>
      <c r="AB2245" s="1641" t="s">
        <v>717</v>
      </c>
      <c r="AC2245" s="1423" t="b">
        <f t="shared" ref="AC2245:AI2245" si="1057">IF($I1945&lt;&gt;"",IF(INDEX(EUconst_BMlistPulp,MATCH($I1945,EUconst_BMlistNames,0))=TRUE,FALSE,TRUE),AC2015)</f>
        <v>0</v>
      </c>
      <c r="AD2245" s="1443" t="b">
        <f t="shared" si="1057"/>
        <v>0</v>
      </c>
      <c r="AE2245" s="1443" t="b">
        <f t="shared" si="1057"/>
        <v>0</v>
      </c>
      <c r="AF2245" s="1443" t="b">
        <f t="shared" si="1057"/>
        <v>0</v>
      </c>
      <c r="AG2245" s="1443" t="b">
        <f t="shared" si="1057"/>
        <v>0</v>
      </c>
      <c r="AH2245" s="1443" t="b">
        <f t="shared" si="1057"/>
        <v>0</v>
      </c>
      <c r="AI2245" s="1443" t="b">
        <f t="shared" si="1057"/>
        <v>0</v>
      </c>
      <c r="AJ2245" s="1633" t="s">
        <v>1954</v>
      </c>
      <c r="AK2245" s="1635" t="str">
        <f>IF(AND(CNTR_ExistSubInstEntries,MSconst_RequireSubAttrEmissions,COUNTIFS(AC2245:AI2245,FALSE,H2245:N2245,"")&gt;0),EUconst_Error&amp;"BM"&amp;$Q1945,"")</f>
        <v/>
      </c>
    </row>
    <row r="2246" spans="2:37" ht="12.75" customHeight="1">
      <c r="B2246" s="479"/>
      <c r="C2246" s="977"/>
      <c r="D2246" s="777"/>
      <c r="E2246" s="777"/>
      <c r="F2246" s="777"/>
      <c r="G2246" s="777"/>
      <c r="H2246" s="983"/>
      <c r="I2246" s="777"/>
      <c r="J2246" s="777"/>
      <c r="K2246" s="777"/>
      <c r="L2246" s="777"/>
      <c r="M2246" s="777"/>
      <c r="N2246" s="1007"/>
      <c r="O2246" s="485"/>
      <c r="P2246" s="485"/>
      <c r="Q2246" s="1435"/>
      <c r="S2246" s="1435"/>
      <c r="V2246" s="1435"/>
    </row>
    <row r="2247" spans="2:37" ht="12.75" customHeight="1">
      <c r="B2247" s="479"/>
      <c r="C2247" s="977"/>
      <c r="D2247" s="982" t="s">
        <v>832</v>
      </c>
      <c r="E2247" s="2649" t="s">
        <v>1142</v>
      </c>
      <c r="F2247" s="2391"/>
      <c r="G2247" s="2391"/>
      <c r="H2247" s="2391"/>
      <c r="I2247" s="2391"/>
      <c r="J2247" s="2391"/>
      <c r="K2247" s="2391"/>
      <c r="L2247" s="2391"/>
      <c r="M2247" s="2391"/>
      <c r="N2247" s="2650"/>
      <c r="O2247" s="485"/>
      <c r="P2247" s="485"/>
      <c r="Q2247" s="1435"/>
      <c r="S2247" s="1435"/>
      <c r="V2247" s="1435"/>
    </row>
    <row r="2248" spans="2:37" ht="25.5" customHeight="1">
      <c r="B2248" s="479"/>
      <c r="C2248" s="977"/>
      <c r="D2248" s="981"/>
      <c r="E2248" s="3267" t="s">
        <v>1366</v>
      </c>
      <c r="F2248" s="2380"/>
      <c r="G2248" s="2380"/>
      <c r="H2248" s="2380"/>
      <c r="I2248" s="2380"/>
      <c r="J2248" s="2380"/>
      <c r="K2248" s="2380"/>
      <c r="L2248" s="2380"/>
      <c r="M2248" s="2380"/>
      <c r="N2248" s="3268"/>
      <c r="O2248" s="485"/>
      <c r="P2248" s="485"/>
      <c r="Q2248" s="1435"/>
      <c r="S2248" s="1435"/>
      <c r="V2248" s="1435"/>
    </row>
    <row r="2249" spans="2:37" ht="12.75" customHeight="1">
      <c r="B2249" s="479"/>
      <c r="C2249" s="977"/>
      <c r="D2249" s="981"/>
      <c r="E2249" s="3272" t="s">
        <v>1610</v>
      </c>
      <c r="F2249" s="2380"/>
      <c r="G2249" s="2380"/>
      <c r="H2249" s="2380"/>
      <c r="I2249" s="2380"/>
      <c r="J2249" s="2380"/>
      <c r="K2249" s="2380"/>
      <c r="L2249" s="2380"/>
      <c r="M2249" s="2380"/>
      <c r="N2249" s="3268"/>
      <c r="O2249" s="485"/>
      <c r="P2249" s="485"/>
      <c r="Q2249" s="1435"/>
      <c r="S2249" s="1435"/>
      <c r="V2249" s="1435"/>
    </row>
    <row r="2250" spans="2:37" ht="12.75" customHeight="1">
      <c r="B2250" s="1124"/>
      <c r="C2250" s="977"/>
      <c r="D2250" s="777" t="s">
        <v>6</v>
      </c>
      <c r="E2250" s="2682" t="s">
        <v>1145</v>
      </c>
      <c r="F2250" s="2391"/>
      <c r="G2250" s="2391"/>
      <c r="H2250" s="2391"/>
      <c r="I2250" s="2391"/>
      <c r="J2250" s="2391"/>
      <c r="K2250" s="2512"/>
      <c r="L2250" s="1478" t="str">
        <f>c_ALR2025!L4816</f>
        <v/>
      </c>
      <c r="M2250" s="813"/>
      <c r="N2250" s="1015"/>
      <c r="O2250" s="485"/>
      <c r="P2250" s="9">
        <v>0</v>
      </c>
      <c r="AF2250" s="1641" t="s">
        <v>717</v>
      </c>
      <c r="AG2250" s="1423" t="b">
        <f>AND(CNTR_ExistSubInstEntries,I1945="")</f>
        <v>0</v>
      </c>
    </row>
    <row r="2251" spans="2:37" ht="5.0999999999999996" customHeight="1">
      <c r="B2251" s="479"/>
      <c r="C2251" s="977"/>
      <c r="D2251" s="777"/>
      <c r="E2251" s="777"/>
      <c r="F2251" s="777"/>
      <c r="G2251" s="777"/>
      <c r="H2251" s="983"/>
      <c r="I2251" s="777"/>
      <c r="J2251" s="777"/>
      <c r="K2251" s="777"/>
      <c r="L2251" s="777"/>
      <c r="M2251" s="777"/>
      <c r="N2251" s="1007"/>
      <c r="O2251" s="485"/>
      <c r="P2251" s="485"/>
      <c r="Q2251" s="1435"/>
      <c r="S2251" s="1435"/>
      <c r="V2251" s="1435"/>
    </row>
    <row r="2252" spans="2:37" ht="12.75" customHeight="1" thickBot="1">
      <c r="B2252" s="479"/>
      <c r="C2252" s="977"/>
      <c r="D2252" s="982"/>
      <c r="E2252" s="2648" t="s">
        <v>1144</v>
      </c>
      <c r="F2252" s="2493"/>
      <c r="G2252" s="778" t="str">
        <f>EUconst_Unit</f>
        <v>Unit</v>
      </c>
      <c r="H2252" s="782">
        <f t="shared" ref="H2252:N2252" si="1058">H$3242</f>
        <v>2024</v>
      </c>
      <c r="I2252" s="988">
        <f t="shared" si="1058"/>
        <v>2025</v>
      </c>
      <c r="J2252" s="1810">
        <f t="shared" si="1058"/>
        <v>2026</v>
      </c>
      <c r="K2252" s="1747">
        <f t="shared" si="1058"/>
        <v>2027</v>
      </c>
      <c r="L2252" s="1747">
        <f t="shared" si="1058"/>
        <v>2028</v>
      </c>
      <c r="M2252" s="1747">
        <f t="shared" si="1058"/>
        <v>2029</v>
      </c>
      <c r="N2252" s="1748">
        <f t="shared" si="1058"/>
        <v>2030</v>
      </c>
      <c r="O2252" s="485"/>
      <c r="P2252" s="485"/>
      <c r="Q2252" s="1435"/>
      <c r="S2252" s="1435"/>
      <c r="V2252" s="1435"/>
      <c r="AC2252" s="1638">
        <f t="shared" ref="AC2252:AI2252" si="1059">H$20</f>
        <v>2024</v>
      </c>
      <c r="AD2252" s="1638">
        <f t="shared" si="1059"/>
        <v>2025</v>
      </c>
      <c r="AE2252" s="1638">
        <f t="shared" si="1059"/>
        <v>2026</v>
      </c>
      <c r="AF2252" s="1638">
        <f t="shared" si="1059"/>
        <v>2027</v>
      </c>
      <c r="AG2252" s="1638">
        <f t="shared" si="1059"/>
        <v>2028</v>
      </c>
      <c r="AH2252" s="1638">
        <f t="shared" si="1059"/>
        <v>2029</v>
      </c>
      <c r="AI2252" s="1638">
        <f t="shared" si="1059"/>
        <v>2030</v>
      </c>
    </row>
    <row r="2253" spans="2:37" ht="12.75" customHeight="1">
      <c r="B2253" s="479"/>
      <c r="C2253" s="977"/>
      <c r="D2253" s="777" t="s">
        <v>7</v>
      </c>
      <c r="E2253" s="3279"/>
      <c r="F2253" s="3280"/>
      <c r="G2253" s="1016" t="str">
        <f>IF(E2253&lt;&gt;"",INDEX(EUconst_BMlistUnits,MATCH(E2253,EUconst_BMlistNames,0)),EUconst_Tons)</f>
        <v>tonnes</v>
      </c>
      <c r="H2253" s="1774" t="str">
        <f>c_ALR2025!M4819</f>
        <v/>
      </c>
      <c r="I2253" s="1886"/>
      <c r="J2253" s="1812"/>
      <c r="K2253" s="1754"/>
      <c r="L2253" s="1754"/>
      <c r="M2253" s="1754"/>
      <c r="N2253" s="1755"/>
      <c r="O2253" s="485"/>
      <c r="P2253" s="9">
        <v>0</v>
      </c>
      <c r="Q2253" s="1644" t="str">
        <f>EUconst_CNTR_IntermediateImport &amp; S2253 &amp; "_" &amp; I1945</f>
        <v>IntImp_1_</v>
      </c>
      <c r="S2253" s="1644">
        <v>1</v>
      </c>
      <c r="V2253" s="1435"/>
      <c r="AB2253" s="1641" t="s">
        <v>717</v>
      </c>
      <c r="AC2253" s="1423" t="b">
        <f>OR(AND($L2250&lt;&gt;"",$L2250=FALSE),AC2015)</f>
        <v>0</v>
      </c>
      <c r="AD2253" s="1443" t="b">
        <f t="shared" ref="AD2253:AI2253" si="1060">OR(AND($L2250&lt;&gt;"",$L2250=FALSE),AD2015)</f>
        <v>0</v>
      </c>
      <c r="AE2253" s="1443" t="b">
        <f t="shared" si="1060"/>
        <v>0</v>
      </c>
      <c r="AF2253" s="1443" t="b">
        <f t="shared" si="1060"/>
        <v>0</v>
      </c>
      <c r="AG2253" s="1443" t="b">
        <f t="shared" si="1060"/>
        <v>0</v>
      </c>
      <c r="AH2253" s="1443" t="b">
        <f t="shared" si="1060"/>
        <v>0</v>
      </c>
      <c r="AI2253" s="1443" t="b">
        <f t="shared" si="1060"/>
        <v>0</v>
      </c>
      <c r="AJ2253" s="1633" t="s">
        <v>1954</v>
      </c>
      <c r="AK2253" s="1635" t="str">
        <f>IF(AND(CNTR_ExistSubInstEntries,MSconst_RequireSubAttrEmissions,COUNTIFS(AC2253:AI2253,FALSE,H2253:N2253,"")&gt;0),EUconst_Error&amp;"BM"&amp;$Q1945,"")</f>
        <v/>
      </c>
    </row>
    <row r="2254" spans="2:37" ht="12.75" customHeight="1">
      <c r="B2254" s="479"/>
      <c r="C2254" s="977"/>
      <c r="D2254" s="777" t="s">
        <v>8</v>
      </c>
      <c r="E2254" s="3281"/>
      <c r="F2254" s="3282"/>
      <c r="G2254" s="1008" t="str">
        <f>IF(E2254&lt;&gt;"",INDEX(EUconst_BMlistUnits,MATCH(E2254,EUconst_BMlistNames,0)),EUconst_Tons)</f>
        <v>tonnes</v>
      </c>
      <c r="H2254" s="1816" t="str">
        <f>c_ALR2025!M4820</f>
        <v/>
      </c>
      <c r="I2254" s="1887"/>
      <c r="J2254" s="1812"/>
      <c r="K2254" s="1754"/>
      <c r="L2254" s="1754"/>
      <c r="M2254" s="1754"/>
      <c r="N2254" s="1755"/>
      <c r="O2254" s="485"/>
      <c r="P2254" s="9">
        <v>0</v>
      </c>
      <c r="Q2254" s="1644" t="str">
        <f>EUconst_CNTR_IntermediateImport &amp; S2254 &amp; "_" &amp; I1945</f>
        <v>IntImp_2_</v>
      </c>
      <c r="S2254" s="1644">
        <v>2</v>
      </c>
      <c r="V2254" s="1435"/>
      <c r="AC2254" s="1443" t="b">
        <f>AC2253</f>
        <v>0</v>
      </c>
      <c r="AD2254" s="1443" t="b">
        <f t="shared" ref="AD2254:AI2254" si="1061">AD2253</f>
        <v>0</v>
      </c>
      <c r="AE2254" s="1443" t="b">
        <f t="shared" si="1061"/>
        <v>0</v>
      </c>
      <c r="AF2254" s="1443" t="b">
        <f t="shared" si="1061"/>
        <v>0</v>
      </c>
      <c r="AG2254" s="1443" t="b">
        <f t="shared" si="1061"/>
        <v>0</v>
      </c>
      <c r="AH2254" s="1443" t="b">
        <f t="shared" si="1061"/>
        <v>0</v>
      </c>
      <c r="AI2254" s="1443" t="b">
        <f t="shared" si="1061"/>
        <v>0</v>
      </c>
    </row>
    <row r="2255" spans="2:37" ht="5.0999999999999996" customHeight="1">
      <c r="B2255" s="479"/>
      <c r="C2255" s="977"/>
      <c r="D2255" s="777"/>
      <c r="E2255" s="777"/>
      <c r="F2255" s="777"/>
      <c r="G2255" s="777"/>
      <c r="H2255" s="777"/>
      <c r="I2255" s="777"/>
      <c r="J2255" s="1817"/>
      <c r="K2255" s="1776"/>
      <c r="L2255" s="1776"/>
      <c r="M2255" s="1776"/>
      <c r="N2255" s="1777"/>
      <c r="O2255" s="485"/>
      <c r="P2255" s="485"/>
      <c r="Q2255" s="1435"/>
      <c r="S2255" s="1435"/>
      <c r="V2255" s="1435"/>
    </row>
    <row r="2256" spans="2:37" ht="12.75" customHeight="1" thickBot="1">
      <c r="B2256" s="479"/>
      <c r="C2256" s="977"/>
      <c r="D2256" s="982"/>
      <c r="E2256" s="2648" t="s">
        <v>1143</v>
      </c>
      <c r="F2256" s="2493"/>
      <c r="G2256" s="778" t="str">
        <f>EUconst_Unit</f>
        <v>Unit</v>
      </c>
      <c r="H2256" s="782">
        <f t="shared" ref="H2256:N2256" si="1062">H$3242</f>
        <v>2024</v>
      </c>
      <c r="I2256" s="988">
        <f t="shared" si="1062"/>
        <v>2025</v>
      </c>
      <c r="J2256" s="1810">
        <f t="shared" si="1062"/>
        <v>2026</v>
      </c>
      <c r="K2256" s="1747">
        <f t="shared" si="1062"/>
        <v>2027</v>
      </c>
      <c r="L2256" s="1747">
        <f t="shared" si="1062"/>
        <v>2028</v>
      </c>
      <c r="M2256" s="1747">
        <f t="shared" si="1062"/>
        <v>2029</v>
      </c>
      <c r="N2256" s="1748">
        <f t="shared" si="1062"/>
        <v>2030</v>
      </c>
      <c r="O2256" s="485"/>
      <c r="P2256" s="485"/>
      <c r="Q2256" s="1435"/>
      <c r="S2256" s="1435"/>
      <c r="V2256" s="1435"/>
      <c r="AC2256" s="1638">
        <f t="shared" ref="AC2256:AI2256" si="1063">H$20</f>
        <v>2024</v>
      </c>
      <c r="AD2256" s="1638">
        <f t="shared" si="1063"/>
        <v>2025</v>
      </c>
      <c r="AE2256" s="1638">
        <f t="shared" si="1063"/>
        <v>2026</v>
      </c>
      <c r="AF2256" s="1638">
        <f t="shared" si="1063"/>
        <v>2027</v>
      </c>
      <c r="AG2256" s="1638">
        <f t="shared" si="1063"/>
        <v>2028</v>
      </c>
      <c r="AH2256" s="1638">
        <f t="shared" si="1063"/>
        <v>2029</v>
      </c>
      <c r="AI2256" s="1638">
        <f t="shared" si="1063"/>
        <v>2030</v>
      </c>
    </row>
    <row r="2257" spans="1:38" ht="12.75" customHeight="1">
      <c r="B2257" s="479"/>
      <c r="C2257" s="977"/>
      <c r="D2257" s="777" t="s">
        <v>18</v>
      </c>
      <c r="E2257" s="3279"/>
      <c r="F2257" s="3280"/>
      <c r="G2257" s="1016" t="str">
        <f>IF(E2257&lt;&gt;"",INDEX(EUconst_BMlistUnits,MATCH(E2257,EUconst_BMlistNames,0)),EUconst_Tons)</f>
        <v>tonnes</v>
      </c>
      <c r="H2257" s="1774" t="str">
        <f>c_ALR2025!M4823</f>
        <v/>
      </c>
      <c r="I2257" s="1886"/>
      <c r="J2257" s="1812"/>
      <c r="K2257" s="1754"/>
      <c r="L2257" s="1754"/>
      <c r="M2257" s="1754"/>
      <c r="N2257" s="1755"/>
      <c r="O2257" s="485"/>
      <c r="P2257" s="9">
        <v>0</v>
      </c>
      <c r="Q2257" s="1644" t="str">
        <f>EUconst_CNTR_IntermediateExport &amp; S2253 &amp; "_" &amp; I1945</f>
        <v>IntExp_1_</v>
      </c>
      <c r="S2257" s="1644">
        <v>1</v>
      </c>
      <c r="V2257" s="1435"/>
      <c r="X2257" s="1778"/>
      <c r="Y2257" s="1778"/>
      <c r="AB2257" s="1641" t="s">
        <v>717</v>
      </c>
      <c r="AC2257" s="1443" t="b">
        <f>AC2253</f>
        <v>0</v>
      </c>
      <c r="AD2257" s="1443" t="b">
        <f t="shared" ref="AD2257:AI2257" si="1064">AD2253</f>
        <v>0</v>
      </c>
      <c r="AE2257" s="1443" t="b">
        <f t="shared" si="1064"/>
        <v>0</v>
      </c>
      <c r="AF2257" s="1443" t="b">
        <f t="shared" si="1064"/>
        <v>0</v>
      </c>
      <c r="AG2257" s="1443" t="b">
        <f t="shared" si="1064"/>
        <v>0</v>
      </c>
      <c r="AH2257" s="1443" t="b">
        <f t="shared" si="1064"/>
        <v>0</v>
      </c>
      <c r="AI2257" s="1443" t="b">
        <f t="shared" si="1064"/>
        <v>0</v>
      </c>
      <c r="AJ2257" s="1633" t="s">
        <v>1954</v>
      </c>
      <c r="AK2257" s="1635" t="str">
        <f>IF(AND(CNTR_ExistSubInstEntries,MSconst_RequireSubAttrEmissions,COUNTIFS(AC2257:AI2257,FALSE,H2257:N2257,"")&gt;0),EUconst_Error&amp;"BM"&amp;$Q1945,"")</f>
        <v/>
      </c>
    </row>
    <row r="2258" spans="1:38" ht="12.75" customHeight="1">
      <c r="B2258" s="479"/>
      <c r="C2258" s="977"/>
      <c r="D2258" s="777" t="s">
        <v>787</v>
      </c>
      <c r="E2258" s="3281"/>
      <c r="F2258" s="3282"/>
      <c r="G2258" s="1008" t="str">
        <f>IF(E2258&lt;&gt;"",INDEX(EUconst_BMlistUnits,MATCH(E2258,EUconst_BMlistNames,0)),EUconst_Tons)</f>
        <v>tonnes</v>
      </c>
      <c r="H2258" s="1816" t="str">
        <f>c_ALR2025!M4824</f>
        <v/>
      </c>
      <c r="I2258" s="1887"/>
      <c r="J2258" s="1812"/>
      <c r="K2258" s="1754"/>
      <c r="L2258" s="1754"/>
      <c r="M2258" s="1754"/>
      <c r="N2258" s="1755"/>
      <c r="O2258" s="485"/>
      <c r="P2258" s="9">
        <v>0</v>
      </c>
      <c r="Q2258" s="1644" t="str">
        <f>EUconst_CNTR_IntermediateExport &amp; S2258 &amp; "_" &amp; I1945</f>
        <v>IntExp_2_</v>
      </c>
      <c r="S2258" s="1644">
        <v>2</v>
      </c>
      <c r="V2258" s="1435"/>
      <c r="X2258" s="1778"/>
      <c r="Y2258" s="1778"/>
      <c r="AC2258" s="1443" t="b">
        <f t="shared" ref="AC2258:AI2258" si="1065">AC2254</f>
        <v>0</v>
      </c>
      <c r="AD2258" s="1443" t="b">
        <f t="shared" si="1065"/>
        <v>0</v>
      </c>
      <c r="AE2258" s="1443" t="b">
        <f t="shared" si="1065"/>
        <v>0</v>
      </c>
      <c r="AF2258" s="1443" t="b">
        <f t="shared" si="1065"/>
        <v>0</v>
      </c>
      <c r="AG2258" s="1443" t="b">
        <f t="shared" si="1065"/>
        <v>0</v>
      </c>
      <c r="AH2258" s="1443" t="b">
        <f t="shared" si="1065"/>
        <v>0</v>
      </c>
      <c r="AI2258" s="1443" t="b">
        <f t="shared" si="1065"/>
        <v>0</v>
      </c>
    </row>
    <row r="2259" spans="1:38" ht="5.0999999999999996" customHeight="1">
      <c r="B2259" s="479"/>
      <c r="C2259" s="977"/>
      <c r="D2259" s="777"/>
      <c r="E2259" s="777"/>
      <c r="F2259" s="777"/>
      <c r="G2259" s="777"/>
      <c r="H2259" s="777"/>
      <c r="I2259" s="777"/>
      <c r="J2259" s="777"/>
      <c r="K2259" s="777"/>
      <c r="L2259" s="777"/>
      <c r="M2259" s="777"/>
      <c r="N2259" s="1007"/>
      <c r="O2259" s="485"/>
      <c r="P2259" s="485"/>
      <c r="Q2259" s="1435"/>
      <c r="S2259" s="1435"/>
      <c r="V2259" s="1435"/>
      <c r="X2259" s="1778"/>
      <c r="Y2259" s="1778"/>
    </row>
    <row r="2260" spans="1:38" ht="12.75" customHeight="1">
      <c r="B2260" s="479"/>
      <c r="C2260" s="977"/>
      <c r="D2260" s="777" t="s">
        <v>788</v>
      </c>
      <c r="E2260" s="813" t="s">
        <v>1146</v>
      </c>
      <c r="F2260" s="813"/>
      <c r="G2260" s="813"/>
      <c r="H2260" s="813"/>
      <c r="I2260" s="813"/>
      <c r="J2260" s="813"/>
      <c r="K2260" s="813"/>
      <c r="L2260" s="813"/>
      <c r="M2260" s="813"/>
      <c r="N2260" s="1007"/>
      <c r="O2260" s="485"/>
      <c r="P2260" s="485"/>
      <c r="Q2260" s="1435"/>
      <c r="S2260" s="1435"/>
      <c r="V2260" s="1435"/>
      <c r="X2260" s="1778"/>
      <c r="Y2260" s="1778"/>
    </row>
    <row r="2261" spans="1:38" ht="12.75" customHeight="1">
      <c r="B2261" s="479"/>
      <c r="C2261" s="977"/>
      <c r="D2261" s="777"/>
      <c r="E2261" s="1779" t="s">
        <v>1459</v>
      </c>
      <c r="F2261" s="978"/>
      <c r="G2261" s="978"/>
      <c r="H2261" s="978"/>
      <c r="I2261" s="978"/>
      <c r="J2261" s="978"/>
      <c r="K2261" s="978"/>
      <c r="L2261" s="978"/>
      <c r="M2261" s="978"/>
      <c r="N2261" s="979"/>
      <c r="O2261" s="485"/>
      <c r="P2261" s="485"/>
      <c r="Q2261" s="1435"/>
      <c r="S2261" s="1435"/>
      <c r="V2261" s="1435"/>
      <c r="X2261" s="1778"/>
      <c r="Y2261" s="1778"/>
    </row>
    <row r="2262" spans="1:38" ht="12.75" customHeight="1">
      <c r="B2262" s="479"/>
      <c r="C2262" s="977"/>
      <c r="D2262" s="777"/>
      <c r="E2262" s="3273"/>
      <c r="F2262" s="3274"/>
      <c r="G2262" s="3274"/>
      <c r="H2262" s="3274"/>
      <c r="I2262" s="3274"/>
      <c r="J2262" s="3274"/>
      <c r="K2262" s="3274"/>
      <c r="L2262" s="3274"/>
      <c r="M2262" s="3275"/>
      <c r="N2262" s="1007"/>
      <c r="O2262" s="485"/>
      <c r="P2262" s="9">
        <v>0</v>
      </c>
      <c r="Q2262" s="1435"/>
      <c r="S2262" s="1435"/>
      <c r="V2262" s="1435"/>
      <c r="X2262" s="1778"/>
      <c r="Y2262" s="1778"/>
      <c r="AB2262" s="1641" t="s">
        <v>717</v>
      </c>
      <c r="AC2262" s="1443" t="b">
        <f>AND(AC2257:AI2257)</f>
        <v>0</v>
      </c>
    </row>
    <row r="2263" spans="1:38" ht="12.75" customHeight="1">
      <c r="B2263" s="479"/>
      <c r="C2263" s="977"/>
      <c r="D2263" s="777"/>
      <c r="E2263" s="3276"/>
      <c r="F2263" s="3277"/>
      <c r="G2263" s="3277"/>
      <c r="H2263" s="3277"/>
      <c r="I2263" s="3277"/>
      <c r="J2263" s="3277"/>
      <c r="K2263" s="3277"/>
      <c r="L2263" s="3277"/>
      <c r="M2263" s="3278"/>
      <c r="N2263" s="1007"/>
      <c r="O2263" s="485"/>
      <c r="P2263" s="485"/>
      <c r="Q2263" s="1435"/>
      <c r="S2263" s="1435"/>
      <c r="V2263" s="1435"/>
      <c r="X2263" s="1778"/>
      <c r="Y2263" s="1778"/>
      <c r="AC2263" s="1443" t="b">
        <f>AC2262</f>
        <v>0</v>
      </c>
    </row>
    <row r="2264" spans="1:38" ht="12.75" customHeight="1" thickBot="1">
      <c r="B2264" s="479"/>
      <c r="C2264" s="1018"/>
      <c r="D2264" s="1019"/>
      <c r="E2264" s="1019"/>
      <c r="F2264" s="1019"/>
      <c r="G2264" s="1019"/>
      <c r="H2264" s="1019"/>
      <c r="I2264" s="1019"/>
      <c r="J2264" s="1019"/>
      <c r="K2264" s="1019"/>
      <c r="L2264" s="1019"/>
      <c r="M2264" s="805"/>
      <c r="N2264" s="806"/>
      <c r="O2264" s="485"/>
      <c r="P2264" s="485"/>
      <c r="Q2264" s="1435"/>
      <c r="S2264" s="1435"/>
      <c r="V2264" s="1435"/>
    </row>
    <row r="2265" spans="1:38" ht="12.75" customHeight="1" thickBot="1">
      <c r="A2265" s="618"/>
      <c r="B2265" s="467"/>
      <c r="C2265" s="467"/>
      <c r="D2265" s="467"/>
      <c r="E2265" s="467"/>
      <c r="F2265" s="467"/>
      <c r="G2265" s="467"/>
      <c r="H2265" s="467"/>
      <c r="I2265" s="467"/>
      <c r="J2265" s="467"/>
      <c r="K2265" s="467"/>
      <c r="L2265" s="467"/>
      <c r="M2265" s="481"/>
      <c r="N2265" s="481"/>
      <c r="O2265" s="481"/>
      <c r="P2265" s="481"/>
      <c r="Q2265" s="1488" t="str">
        <f>IF(OR(AND(CNTR_ExistProductSubEntries=FALSE,Q1945=1),AND(I1945&lt;&gt;"",COUNTIF(Q2266:$Q3271,"PRINT")=0)),"PRINT","")</f>
        <v/>
      </c>
      <c r="R2265" s="1249"/>
      <c r="S2265" s="1249"/>
      <c r="T2265" s="1249"/>
      <c r="U2265" s="1249"/>
      <c r="V2265" s="1249"/>
      <c r="W2265" s="1249"/>
      <c r="X2265" s="1249"/>
      <c r="Y2265" s="1249"/>
      <c r="AE2265" s="1118"/>
      <c r="AF2265" s="1118"/>
      <c r="AG2265" s="1118"/>
      <c r="AH2265" s="1118"/>
      <c r="AI2265" s="1118"/>
      <c r="AJ2265" s="1118"/>
      <c r="AK2265" s="1118"/>
      <c r="AL2265" s="1118"/>
    </row>
    <row r="2266" spans="1:38" ht="5.0999999999999996" customHeight="1" thickBot="1">
      <c r="B2266" s="479"/>
      <c r="C2266" s="1020"/>
      <c r="D2266" s="1020"/>
      <c r="E2266" s="1020"/>
      <c r="F2266" s="1020"/>
      <c r="G2266" s="1020"/>
      <c r="H2266" s="1020"/>
      <c r="I2266" s="1020"/>
      <c r="J2266" s="1020"/>
      <c r="K2266" s="1020"/>
      <c r="L2266" s="1020"/>
      <c r="M2266" s="1020"/>
      <c r="N2266" s="1020"/>
      <c r="O2266" s="485"/>
      <c r="P2266" s="485"/>
      <c r="Q2266" s="1780"/>
      <c r="R2266" s="1780"/>
      <c r="S2266" s="1780"/>
      <c r="T2266" s="1780"/>
      <c r="U2266" s="1780"/>
      <c r="V2266" s="1780"/>
      <c r="W2266" s="1780"/>
      <c r="X2266" s="1780"/>
      <c r="Y2266" s="1780"/>
      <c r="Z2266" s="1780"/>
      <c r="AA2266" s="1780"/>
      <c r="AB2266" s="1780"/>
      <c r="AC2266" s="1780"/>
      <c r="AD2266" s="1780"/>
      <c r="AE2266" s="1780"/>
      <c r="AF2266" s="1780"/>
      <c r="AG2266" s="1780"/>
      <c r="AH2266" s="1780"/>
      <c r="AI2266" s="1780"/>
      <c r="AJ2266" s="1780"/>
      <c r="AK2266" s="1780"/>
      <c r="AL2266" s="1780"/>
    </row>
    <row r="2267" spans="1:38" ht="14.45" customHeight="1" thickBot="1">
      <c r="B2267" s="479"/>
      <c r="C2267" s="897">
        <f>C1945+1</f>
        <v>8</v>
      </c>
      <c r="D2267" s="2482" t="str">
        <f>EUconst_BMSubinst &amp; ":"</f>
        <v>Sub-installation with product benchmark:</v>
      </c>
      <c r="E2267" s="2400"/>
      <c r="F2267" s="2400"/>
      <c r="G2267" s="2400"/>
      <c r="H2267" s="2585"/>
      <c r="I2267" s="3293" t="str">
        <f>IF(INDEX(CNTR_SubInstListIsProdBM,$C2267),INDEX(CNTR_SubInstListNames,$C2267),"")</f>
        <v/>
      </c>
      <c r="J2267" s="3294"/>
      <c r="K2267" s="3294"/>
      <c r="L2267" s="3294"/>
      <c r="M2267" s="3294"/>
      <c r="N2267" s="3297"/>
      <c r="O2267" s="485"/>
      <c r="P2267" s="485"/>
      <c r="Q2267" s="1488">
        <f>C2267</f>
        <v>8</v>
      </c>
      <c r="S2267" s="1633" t="s">
        <v>558</v>
      </c>
      <c r="T2267" s="1634" t="str">
        <f>IF(I2267="","",MAX(INDEX(CNTR_SubInstStartDate,MATCH($I2267,CNTR_SubInstListNames,0)),DATE(2005,1,1)))</f>
        <v/>
      </c>
      <c r="U2267" s="1435" t="s">
        <v>1673</v>
      </c>
      <c r="V2267" s="1635">
        <f>IF(ISNUMBER(T2267),YEAR($T2267-1)+1,2005)</f>
        <v>2005</v>
      </c>
      <c r="W2267" s="1633" t="s">
        <v>1676</v>
      </c>
      <c r="X2267" s="1634" t="str">
        <f>IF(I2267="","",INDEX(CNTR_SubInstCessationDate,MATCH($I2267,CNTR_SubInstListNames,0)))</f>
        <v/>
      </c>
      <c r="Y2267" s="1633" t="s">
        <v>1677</v>
      </c>
      <c r="Z2267" s="1635">
        <f>IF(SUM(X2267)=0,2050,YEAR($X2267))</f>
        <v>2050</v>
      </c>
      <c r="AA2267" s="1633" t="s">
        <v>1925</v>
      </c>
      <c r="AB2267" s="1635" t="b">
        <f>CNTR_ReportingYear&gt;V2267</f>
        <v>1</v>
      </c>
      <c r="AL2267" s="1848" t="b">
        <f>AND(CNTR_ExistSubInstEntries,I2267="")</f>
        <v>0</v>
      </c>
    </row>
    <row r="2268" spans="1:38" ht="12.75" customHeight="1">
      <c r="B2268" s="479"/>
      <c r="C2268" s="479"/>
      <c r="D2268" s="485"/>
      <c r="E2268" s="2385" t="s">
        <v>216</v>
      </c>
      <c r="F2268" s="2846"/>
      <c r="G2268" s="2846"/>
      <c r="H2268" s="2846"/>
      <c r="I2268" s="2846"/>
      <c r="J2268" s="2846"/>
      <c r="K2268" s="2846"/>
      <c r="L2268" s="2846"/>
      <c r="M2268" s="2846"/>
      <c r="N2268" s="2846"/>
      <c r="O2268" s="485"/>
      <c r="P2268" s="485"/>
      <c r="Q2268" s="1435"/>
      <c r="S2268" s="1435"/>
      <c r="T2268" s="1435"/>
    </row>
    <row r="2269" spans="1:38" ht="5.0999999999999996" customHeight="1">
      <c r="B2269" s="479"/>
      <c r="C2269" s="479"/>
      <c r="D2269" s="479"/>
      <c r="E2269" s="479"/>
      <c r="F2269" s="479"/>
      <c r="G2269" s="479"/>
      <c r="H2269" s="479"/>
      <c r="I2269" s="479"/>
      <c r="J2269" s="479"/>
      <c r="K2269" s="479"/>
      <c r="L2269" s="479"/>
      <c r="M2269" s="485"/>
      <c r="N2269" s="485"/>
      <c r="O2269" s="485"/>
      <c r="P2269" s="485"/>
      <c r="Q2269" s="1435"/>
      <c r="S2269" s="1435"/>
      <c r="T2269" s="1435"/>
    </row>
    <row r="2270" spans="1:38">
      <c r="B2270" s="479"/>
      <c r="C2270" s="479"/>
      <c r="D2270" s="482" t="s">
        <v>400</v>
      </c>
      <c r="E2270" s="2373" t="s">
        <v>1930</v>
      </c>
      <c r="F2270" s="2400"/>
      <c r="G2270" s="2400"/>
      <c r="H2270" s="2400"/>
      <c r="I2270" s="2400"/>
      <c r="J2270" s="2400"/>
      <c r="K2270" s="2400"/>
      <c r="L2270" s="2400"/>
      <c r="M2270" s="2400"/>
      <c r="N2270" s="2400"/>
      <c r="O2270" s="485"/>
      <c r="P2270" s="485"/>
      <c r="Q2270" s="1435"/>
    </row>
    <row r="2271" spans="1:38" ht="12.75" customHeight="1">
      <c r="B2271" s="479"/>
      <c r="C2271" s="479"/>
      <c r="D2271" s="485"/>
      <c r="E2271" s="2385" t="s">
        <v>801</v>
      </c>
      <c r="F2271" s="2846"/>
      <c r="G2271" s="2846"/>
      <c r="H2271" s="2846"/>
      <c r="I2271" s="2846"/>
      <c r="J2271" s="2846"/>
      <c r="K2271" s="2846"/>
      <c r="L2271" s="2846"/>
      <c r="M2271" s="2846"/>
      <c r="N2271" s="2846"/>
      <c r="O2271" s="485"/>
      <c r="P2271" s="485"/>
      <c r="Q2271" s="1435"/>
      <c r="S2271" s="1435"/>
      <c r="T2271" s="1435"/>
      <c r="U2271" s="1435"/>
    </row>
    <row r="2272" spans="1:38" ht="12.75" customHeight="1">
      <c r="B2272" s="479"/>
      <c r="C2272" s="479"/>
      <c r="D2272" s="485"/>
      <c r="E2272" s="2385" t="s">
        <v>1199</v>
      </c>
      <c r="F2272" s="2846"/>
      <c r="G2272" s="2846"/>
      <c r="H2272" s="2846"/>
      <c r="I2272" s="2846"/>
      <c r="J2272" s="2846"/>
      <c r="K2272" s="2846"/>
      <c r="L2272" s="2846"/>
      <c r="M2272" s="2846"/>
      <c r="N2272" s="2846"/>
      <c r="O2272" s="485"/>
      <c r="P2272" s="485"/>
      <c r="Q2272" s="1435"/>
      <c r="S2272" s="1435"/>
      <c r="T2272" s="1435"/>
      <c r="U2272" s="1435"/>
    </row>
    <row r="2273" spans="2:38" ht="12.75" customHeight="1">
      <c r="B2273" s="479"/>
      <c r="C2273" s="479"/>
      <c r="D2273" s="485"/>
      <c r="E2273" s="2385" t="s">
        <v>125</v>
      </c>
      <c r="F2273" s="2846"/>
      <c r="G2273" s="2846"/>
      <c r="H2273" s="2846"/>
      <c r="I2273" s="2846"/>
      <c r="J2273" s="2846"/>
      <c r="K2273" s="2846"/>
      <c r="L2273" s="2846"/>
      <c r="M2273" s="2846"/>
      <c r="N2273" s="2846"/>
      <c r="O2273" s="485"/>
      <c r="P2273" s="485"/>
      <c r="Q2273" s="1435"/>
      <c r="S2273" s="1435"/>
      <c r="Z2273" s="1435"/>
    </row>
    <row r="2274" spans="2:38" ht="13.5" customHeight="1" thickBot="1">
      <c r="B2274" s="1124"/>
      <c r="C2274" s="485"/>
      <c r="D2274" s="482"/>
      <c r="E2274" s="2509" t="s">
        <v>1447</v>
      </c>
      <c r="F2274" s="2509"/>
      <c r="G2274" s="663" t="str">
        <f>EUconst_Unit</f>
        <v>Unit</v>
      </c>
      <c r="H2274" s="578">
        <f t="shared" ref="H2274:N2274" si="1066">H$3242</f>
        <v>2024</v>
      </c>
      <c r="I2274" s="697">
        <f t="shared" si="1066"/>
        <v>2025</v>
      </c>
      <c r="J2274" s="1489">
        <f t="shared" si="1066"/>
        <v>2026</v>
      </c>
      <c r="K2274" s="1490">
        <f t="shared" si="1066"/>
        <v>2027</v>
      </c>
      <c r="L2274" s="1490">
        <f t="shared" si="1066"/>
        <v>2028</v>
      </c>
      <c r="M2274" s="1490">
        <f t="shared" si="1066"/>
        <v>2029</v>
      </c>
      <c r="N2274" s="1490">
        <f t="shared" si="1066"/>
        <v>2030</v>
      </c>
      <c r="O2274" s="485"/>
      <c r="P2274" s="485"/>
      <c r="Q2274" s="1435"/>
      <c r="T2274" s="1638">
        <f t="shared" ref="T2274:Z2274" si="1067">H2274</f>
        <v>2024</v>
      </c>
      <c r="U2274" s="1638">
        <f t="shared" si="1067"/>
        <v>2025</v>
      </c>
      <c r="V2274" s="1638">
        <f t="shared" si="1067"/>
        <v>2026</v>
      </c>
      <c r="W2274" s="1638">
        <f t="shared" si="1067"/>
        <v>2027</v>
      </c>
      <c r="X2274" s="1638">
        <f t="shared" si="1067"/>
        <v>2028</v>
      </c>
      <c r="Y2274" s="1638">
        <f t="shared" si="1067"/>
        <v>2029</v>
      </c>
      <c r="Z2274" s="1638">
        <f t="shared" si="1067"/>
        <v>2030</v>
      </c>
      <c r="AC2274" s="1638">
        <f t="shared" ref="AC2274:AI2274" si="1068">H$20</f>
        <v>2024</v>
      </c>
      <c r="AD2274" s="1638">
        <f t="shared" si="1068"/>
        <v>2025</v>
      </c>
      <c r="AE2274" s="1638">
        <f t="shared" si="1068"/>
        <v>2026</v>
      </c>
      <c r="AF2274" s="1638">
        <f t="shared" si="1068"/>
        <v>2027</v>
      </c>
      <c r="AG2274" s="1638">
        <f t="shared" si="1068"/>
        <v>2028</v>
      </c>
      <c r="AH2274" s="1638">
        <f t="shared" si="1068"/>
        <v>2029</v>
      </c>
      <c r="AI2274" s="1638">
        <f t="shared" si="1068"/>
        <v>2030</v>
      </c>
      <c r="AL2274" s="1435"/>
    </row>
    <row r="2275" spans="2:38" ht="13.5" thickBot="1">
      <c r="B2275" s="1124"/>
      <c r="C2275" s="485"/>
      <c r="D2275" s="561" t="s">
        <v>6</v>
      </c>
      <c r="E2275" s="3296" t="str">
        <f>I2267</f>
        <v/>
      </c>
      <c r="F2275" s="3296"/>
      <c r="G2275" s="898" t="str">
        <f>IF(INDEX(CNTR_SubInstListIsProdBM,$C2267),INDEX(CNTR_SubInstListHALUnit,$C2267),EUconst_Tons)</f>
        <v>tonnes</v>
      </c>
      <c r="H2275" s="1818" t="str">
        <f>c_ALR2025!M4841</f>
        <v/>
      </c>
      <c r="I2275" s="1878"/>
      <c r="J2275" s="1819">
        <v>12000000</v>
      </c>
      <c r="K2275" s="1820">
        <v>12000000</v>
      </c>
      <c r="L2275" s="1820">
        <v>12000000</v>
      </c>
      <c r="M2275" s="1820">
        <v>12000000</v>
      </c>
      <c r="N2275" s="1820"/>
      <c r="O2275" s="485"/>
      <c r="P2275" s="9">
        <v>0</v>
      </c>
      <c r="S2275" s="1435" t="s">
        <v>1674</v>
      </c>
      <c r="T2275" s="1850" t="b">
        <f t="shared" ref="T2275:Z2275" si="1069">AND($I2267&lt;&gt;"",H2274&lt;CNTR_ReportingYear,H2274&gt;=$V2267-1)</f>
        <v>0</v>
      </c>
      <c r="U2275" s="1851" t="b">
        <f t="shared" si="1069"/>
        <v>0</v>
      </c>
      <c r="V2275" s="1851" t="b">
        <f t="shared" si="1069"/>
        <v>0</v>
      </c>
      <c r="W2275" s="1851" t="b">
        <f t="shared" si="1069"/>
        <v>0</v>
      </c>
      <c r="X2275" s="1851" t="b">
        <f t="shared" si="1069"/>
        <v>0</v>
      </c>
      <c r="Y2275" s="1851" t="b">
        <f t="shared" si="1069"/>
        <v>0</v>
      </c>
      <c r="Z2275" s="1852" t="b">
        <f t="shared" si="1069"/>
        <v>0</v>
      </c>
      <c r="AA2275" s="1435"/>
      <c r="AB2275" s="1641" t="s">
        <v>717</v>
      </c>
      <c r="AC2275" s="1853" t="b">
        <f t="shared" ref="AC2275:AI2275" si="1070">IF(CNTR_ExistSubInstEntries,OR($I2267="",$R2279,H2274&gt;=CNTR_ReportingYear,AC2274&lt;$V2267-1),FALSE)</f>
        <v>0</v>
      </c>
      <c r="AD2275" s="1642" t="b">
        <f t="shared" si="1070"/>
        <v>0</v>
      </c>
      <c r="AE2275" s="1642" t="b">
        <f t="shared" si="1070"/>
        <v>0</v>
      </c>
      <c r="AF2275" s="1642" t="b">
        <f t="shared" si="1070"/>
        <v>0</v>
      </c>
      <c r="AG2275" s="1642" t="b">
        <f t="shared" si="1070"/>
        <v>0</v>
      </c>
      <c r="AH2275" s="1642" t="b">
        <f t="shared" si="1070"/>
        <v>0</v>
      </c>
      <c r="AI2275" s="1643" t="b">
        <f t="shared" si="1070"/>
        <v>0</v>
      </c>
      <c r="AJ2275" s="1633" t="s">
        <v>1954</v>
      </c>
      <c r="AK2275" s="1635" t="str">
        <f>IF(AND(CNTR_ExistSubInstEntries,COUNTIFS(AC2275:AI2275,FALSE,H2275:N2275,"")&gt;0),EUconst_Error&amp;"BM"&amp;$Q2267,"")</f>
        <v/>
      </c>
    </row>
    <row r="2276" spans="2:38" ht="13.15" customHeight="1" thickBot="1">
      <c r="B2276" s="1124"/>
      <c r="C2276" s="485"/>
      <c r="D2276" s="561" t="s">
        <v>7</v>
      </c>
      <c r="E2276" s="3296" t="s">
        <v>123</v>
      </c>
      <c r="F2276" s="3296"/>
      <c r="G2276" s="898" t="str">
        <f>G2275</f>
        <v>tonnes</v>
      </c>
      <c r="H2276" s="899" t="str">
        <f>IF(OR($I2267="",H2274&gt;=CNTR_ReportingYear),"",IF($R2279,SUMIF(H_SpecialBM!$Q$9:$Q$414,$Q2276,H_SpecialBM!H$9:H$414),""))</f>
        <v/>
      </c>
      <c r="I2276" s="900" t="str">
        <f>IF(OR($I2267="",I2274&gt;=CNTR_ReportingYear),"",IF($R2279,SUMIF(H_SpecialBM!$Q$9:$Q$414,$Q2276,H_SpecialBM!I$9:I$414),""))</f>
        <v/>
      </c>
      <c r="J2276" s="1819" t="str">
        <f>IF(OR($I2267="",J2274&gt;=CNTR_ReportingYear),"",IF($R2279,SUMIF(H_SpecialBM!$Q$9:$Q$414,$Q2276,H_SpecialBM!J$9:J$414),""))</f>
        <v/>
      </c>
      <c r="K2276" s="1820" t="str">
        <f>IF(OR($I2267="",K2274&gt;=CNTR_ReportingYear),"",IF($R2279,SUMIF(H_SpecialBM!$Q$9:$Q$414,$Q2276,H_SpecialBM!K$9:K$414),""))</f>
        <v/>
      </c>
      <c r="L2276" s="1820" t="str">
        <f>IF(OR($I2267="",L2274&gt;=CNTR_ReportingYear),"",IF($R2279,SUMIF(H_SpecialBM!$Q$9:$Q$414,$Q2276,H_SpecialBM!L$9:L$414),""))</f>
        <v/>
      </c>
      <c r="M2276" s="1820" t="str">
        <f>IF(OR($I2267="",M2274&gt;=CNTR_ReportingYear),"",IF($R2279,SUMIF(H_SpecialBM!$Q$9:$Q$414,$Q2276,H_SpecialBM!M$9:M$414),""))</f>
        <v/>
      </c>
      <c r="N2276" s="1820" t="str">
        <f>IF(OR($I2267="",N2274&gt;=CNTR_ReportingYear),"",IF($R2279,SUMIF(H_SpecialBM!$Q$9:$Q$414,$Q2276,H_SpecialBM!N$9:N$414),""))</f>
        <v/>
      </c>
      <c r="O2276" s="485"/>
      <c r="P2276" s="485"/>
      <c r="Q2276" s="1644" t="str">
        <f>EUconst_CNTR_HALspecial&amp;I2267</f>
        <v>HALspecial_</v>
      </c>
      <c r="AB2276" s="1641" t="s">
        <v>717</v>
      </c>
      <c r="AC2276" s="1853" t="b">
        <f t="shared" ref="AC2276:AI2276" si="1071">AND(CNTR_HasEntries_A_I,OR($R2279=FALSE,H2274&gt;=CNTR_ReportingYear))</f>
        <v>0</v>
      </c>
      <c r="AD2276" s="1642" t="b">
        <f t="shared" si="1071"/>
        <v>0</v>
      </c>
      <c r="AE2276" s="1642" t="b">
        <f t="shared" si="1071"/>
        <v>0</v>
      </c>
      <c r="AF2276" s="1642" t="b">
        <f t="shared" si="1071"/>
        <v>0</v>
      </c>
      <c r="AG2276" s="1642" t="b">
        <f t="shared" si="1071"/>
        <v>0</v>
      </c>
      <c r="AH2276" s="1642" t="b">
        <f t="shared" si="1071"/>
        <v>0</v>
      </c>
      <c r="AI2276" s="1643" t="b">
        <f t="shared" si="1071"/>
        <v>0</v>
      </c>
      <c r="AJ2276" s="1624"/>
      <c r="AK2276" s="1624"/>
      <c r="AL2276" s="1435"/>
    </row>
    <row r="2277" spans="2:38" ht="13.15" customHeight="1">
      <c r="B2277" s="1124"/>
      <c r="C2277" s="485"/>
      <c r="D2277" s="561" t="s">
        <v>8</v>
      </c>
      <c r="E2277" s="3296" t="s">
        <v>124</v>
      </c>
      <c r="F2277" s="3296"/>
      <c r="G2277" s="898" t="str">
        <f>G2276</f>
        <v>tonnes</v>
      </c>
      <c r="H2277" s="899" t="str">
        <f t="shared" ref="H2277:N2277" si="1072">IF(OR($I2267="",H2274&gt;=CNTR_ReportingYear),"",IF($R2279=TRUE,IF(ISNUMBER(H2276),H2276,0),IF(AND(H2274&gt;=$V2267-1,ISNUMBER(H2275)),H2275,0)))</f>
        <v/>
      </c>
      <c r="I2277" s="900" t="str">
        <f t="shared" si="1072"/>
        <v/>
      </c>
      <c r="J2277" s="1819" t="str">
        <f t="shared" si="1072"/>
        <v/>
      </c>
      <c r="K2277" s="1820" t="str">
        <f t="shared" si="1072"/>
        <v/>
      </c>
      <c r="L2277" s="1820" t="str">
        <f t="shared" si="1072"/>
        <v/>
      </c>
      <c r="M2277" s="1820" t="str">
        <f t="shared" si="1072"/>
        <v/>
      </c>
      <c r="N2277" s="1820" t="str">
        <f t="shared" si="1072"/>
        <v/>
      </c>
      <c r="O2277" s="485"/>
      <c r="P2277" s="1136"/>
      <c r="Q2277" s="1644" t="str">
        <f>EUconst_CNTR_HAL&amp;I2267</f>
        <v>HAL_</v>
      </c>
      <c r="AJ2277" s="1633" t="s">
        <v>1951</v>
      </c>
      <c r="AK2277" s="1443" t="str">
        <f>IF(COUNTIFS(H2274:N2274,"&lt;"&amp;YEAR(SUM(T2267)),H2277:N2277,"&gt;"&amp;0)&gt;0,EUconst_Error&amp;"BM"&amp;Q2267,"")</f>
        <v/>
      </c>
      <c r="AL2277" s="1435"/>
    </row>
    <row r="2278" spans="2:38" ht="5.0999999999999996" customHeight="1">
      <c r="B2278" s="479"/>
      <c r="C2278" s="479"/>
      <c r="D2278" s="479"/>
      <c r="E2278" s="479"/>
      <c r="F2278" s="479"/>
      <c r="G2278" s="479"/>
      <c r="H2278" s="479"/>
      <c r="I2278" s="479"/>
      <c r="J2278" s="479"/>
      <c r="K2278" s="479"/>
      <c r="L2278" s="479"/>
      <c r="M2278" s="485"/>
      <c r="N2278" s="485"/>
      <c r="O2278" s="485"/>
      <c r="P2278" s="485"/>
      <c r="Q2278" s="1435"/>
      <c r="S2278" s="1435"/>
      <c r="T2278" s="1435"/>
    </row>
    <row r="2279" spans="2:38" ht="12.75" customHeight="1">
      <c r="B2279" s="479"/>
      <c r="C2279" s="479"/>
      <c r="D2279" s="561" t="s">
        <v>18</v>
      </c>
      <c r="E2279" s="2373" t="s">
        <v>922</v>
      </c>
      <c r="F2279" s="2373"/>
      <c r="G2279" s="2604"/>
      <c r="H2279" s="2652" t="str">
        <f>IF(I2267="","",HYPERLINK(INDEX(EUconst_BMlistSpecialJumpTable,MATCH(I2267,EUconst_BMlistNames,0)),INDEX(EUconst_BMlistSpecialReporting,MATCH(I2267,EUconst_BMlistNames,0))))</f>
        <v/>
      </c>
      <c r="I2279" s="2689"/>
      <c r="J2279" s="2689"/>
      <c r="K2279" s="2689"/>
      <c r="L2279" s="2689"/>
      <c r="M2279" s="2689"/>
      <c r="N2279" s="2690"/>
      <c r="O2279" s="485"/>
      <c r="P2279" s="485"/>
      <c r="Q2279" s="1633" t="s">
        <v>122</v>
      </c>
      <c r="R2279" s="1443" t="str">
        <f>IF(I2267="","",IF(AND(INDEX(EUconst_BMlistSpecialJumpTable,MATCH(I2267,EUconst_BMlistNames,0))&lt;&gt;"",MATCH(I2267,EUconst_BMlistNames,0)&lt;&gt;47),TRUE,FALSE))</f>
        <v/>
      </c>
      <c r="S2279" s="1435"/>
      <c r="T2279" s="1435"/>
    </row>
    <row r="2280" spans="2:38" ht="12.75" customHeight="1">
      <c r="B2280" s="479"/>
      <c r="C2280" s="479"/>
      <c r="D2280" s="485"/>
      <c r="E2280" s="2385" t="s">
        <v>923</v>
      </c>
      <c r="F2280" s="2846"/>
      <c r="G2280" s="2846"/>
      <c r="H2280" s="2846"/>
      <c r="I2280" s="2846"/>
      <c r="J2280" s="2846"/>
      <c r="K2280" s="2846"/>
      <c r="L2280" s="2846"/>
      <c r="M2280" s="2846"/>
      <c r="N2280" s="2846"/>
      <c r="O2280" s="485"/>
      <c r="P2280" s="485"/>
      <c r="Q2280" s="1435"/>
      <c r="S2280" s="1435"/>
      <c r="T2280" s="1435"/>
    </row>
    <row r="2281" spans="2:38" ht="5.0999999999999996" customHeight="1">
      <c r="B2281" s="479"/>
      <c r="C2281" s="479"/>
      <c r="D2281" s="485"/>
      <c r="E2281" s="485"/>
      <c r="F2281" s="485"/>
      <c r="G2281" s="485"/>
      <c r="H2281" s="485"/>
      <c r="I2281" s="485"/>
      <c r="J2281" s="485"/>
      <c r="K2281" s="485"/>
      <c r="L2281" s="485"/>
      <c r="M2281" s="485"/>
      <c r="N2281" s="485"/>
      <c r="O2281" s="485"/>
      <c r="P2281" s="485"/>
      <c r="Q2281" s="1435"/>
      <c r="S2281" s="1435"/>
      <c r="T2281" s="1435"/>
      <c r="Z2281" s="1435"/>
      <c r="AL2281" s="1435"/>
    </row>
    <row r="2282" spans="2:38" ht="12.75" customHeight="1">
      <c r="B2282" s="479"/>
      <c r="C2282" s="479"/>
      <c r="D2282" s="482" t="s">
        <v>876</v>
      </c>
      <c r="E2282" s="2373" t="s">
        <v>1709</v>
      </c>
      <c r="F2282" s="2400"/>
      <c r="G2282" s="2400"/>
      <c r="H2282" s="2400"/>
      <c r="I2282" s="2400"/>
      <c r="J2282" s="2400"/>
      <c r="K2282" s="2400"/>
      <c r="L2282" s="2400"/>
      <c r="M2282" s="2400"/>
      <c r="N2282" s="2400"/>
      <c r="O2282" s="485"/>
      <c r="P2282" s="485"/>
      <c r="Q2282" s="1435"/>
      <c r="S2282" s="1435"/>
      <c r="T2282" s="1435"/>
      <c r="Z2282" s="1435"/>
      <c r="AL2282" s="1435"/>
    </row>
    <row r="2283" spans="2:38" ht="12.75" customHeight="1">
      <c r="B2283" s="479"/>
      <c r="C2283" s="479"/>
      <c r="D2283" s="485"/>
      <c r="E2283" s="2385" t="s">
        <v>1958</v>
      </c>
      <c r="F2283" s="2846"/>
      <c r="G2283" s="2846"/>
      <c r="H2283" s="2846"/>
      <c r="I2283" s="2846"/>
      <c r="J2283" s="2846"/>
      <c r="K2283" s="2846"/>
      <c r="L2283" s="2846"/>
      <c r="M2283" s="2846"/>
      <c r="N2283" s="2846"/>
      <c r="O2283" s="485"/>
      <c r="P2283" s="485"/>
      <c r="Q2283" s="1435"/>
      <c r="S2283" s="1435"/>
      <c r="T2283" s="1435"/>
      <c r="U2283" s="1435"/>
    </row>
    <row r="2284" spans="2:38" ht="25.5" customHeight="1">
      <c r="B2284" s="479"/>
      <c r="C2284" s="479"/>
      <c r="D2284" s="485"/>
      <c r="E2284" s="2385" t="s">
        <v>1696</v>
      </c>
      <c r="F2284" s="2846"/>
      <c r="G2284" s="2846"/>
      <c r="H2284" s="2846"/>
      <c r="I2284" s="2846"/>
      <c r="J2284" s="2846"/>
      <c r="K2284" s="2846"/>
      <c r="L2284" s="2846"/>
      <c r="M2284" s="2846"/>
      <c r="N2284" s="2846"/>
      <c r="O2284" s="485"/>
      <c r="P2284" s="485"/>
      <c r="Q2284" s="1435"/>
      <c r="S2284" s="1435"/>
      <c r="T2284" s="1435"/>
      <c r="U2284" s="1435"/>
    </row>
    <row r="2285" spans="2:38" ht="12.75" customHeight="1">
      <c r="B2285" s="479"/>
      <c r="C2285" s="479"/>
      <c r="D2285" s="485"/>
      <c r="E2285" s="901" t="s">
        <v>1021</v>
      </c>
      <c r="F2285" s="3050" t="s">
        <v>2734</v>
      </c>
      <c r="G2285" s="2584"/>
      <c r="H2285" s="2584"/>
      <c r="I2285" s="2584"/>
      <c r="J2285" s="2584"/>
      <c r="K2285" s="2584"/>
      <c r="L2285" s="2584"/>
      <c r="M2285" s="2584"/>
      <c r="N2285" s="2584"/>
      <c r="O2285" s="485"/>
      <c r="P2285" s="485"/>
      <c r="Q2285" s="1435"/>
      <c r="S2285" s="1435"/>
      <c r="T2285" s="1435"/>
      <c r="U2285" s="1435"/>
    </row>
    <row r="2286" spans="2:38" ht="12.75" customHeight="1" thickBot="1">
      <c r="B2286" s="479"/>
      <c r="C2286" s="479"/>
      <c r="D2286" s="485"/>
      <c r="E2286" s="901" t="s">
        <v>1021</v>
      </c>
      <c r="F2286" s="3050" t="s">
        <v>1985</v>
      </c>
      <c r="G2286" s="2584"/>
      <c r="H2286" s="2584"/>
      <c r="I2286" s="2584"/>
      <c r="J2286" s="2584"/>
      <c r="K2286" s="2584"/>
      <c r="L2286" s="2584"/>
      <c r="M2286" s="2584"/>
      <c r="N2286" s="2584"/>
      <c r="O2286" s="485"/>
      <c r="P2286" s="485"/>
      <c r="Q2286" s="1435"/>
      <c r="S2286" s="1435"/>
      <c r="T2286" s="1435"/>
      <c r="U2286" s="1435"/>
    </row>
    <row r="2287" spans="2:38" ht="5.0999999999999996" customHeight="1" thickBot="1">
      <c r="B2287" s="479"/>
      <c r="C2287" s="479"/>
      <c r="D2287" s="902"/>
      <c r="E2287" s="903"/>
      <c r="F2287" s="904"/>
      <c r="G2287" s="905"/>
      <c r="H2287" s="905"/>
      <c r="I2287" s="905"/>
      <c r="J2287" s="906"/>
      <c r="K2287" s="1798"/>
      <c r="L2287" s="1798"/>
      <c r="M2287" s="1798"/>
      <c r="N2287" s="1798"/>
      <c r="O2287" s="485"/>
      <c r="P2287" s="485"/>
      <c r="Q2287" s="1435"/>
      <c r="S2287" s="1435"/>
      <c r="T2287" s="1435"/>
      <c r="U2287" s="1435"/>
    </row>
    <row r="2288" spans="2:38" ht="12.75" customHeight="1">
      <c r="B2288" s="479"/>
      <c r="C2288" s="479"/>
      <c r="D2288" s="907"/>
      <c r="E2288" s="908" t="s">
        <v>1690</v>
      </c>
      <c r="F2288" s="909"/>
      <c r="G2288" s="909"/>
      <c r="H2288" s="910" t="str">
        <f>EUconst_Unit</f>
        <v>Unit</v>
      </c>
      <c r="I2288" s="911" t="s">
        <v>2220</v>
      </c>
      <c r="J2288" s="1647">
        <f>J$3242</f>
        <v>2026</v>
      </c>
      <c r="K2288" s="1490">
        <f>K$3242</f>
        <v>2027</v>
      </c>
      <c r="L2288" s="1490">
        <f>L$3242</f>
        <v>2028</v>
      </c>
      <c r="M2288" s="1490">
        <f>M$3242</f>
        <v>2029</v>
      </c>
      <c r="N2288" s="1490">
        <f>N$3242</f>
        <v>2030</v>
      </c>
      <c r="O2288" s="485"/>
      <c r="P2288" s="485"/>
      <c r="Q2288" s="1435"/>
      <c r="U2288" s="1648"/>
      <c r="V2288" s="1649">
        <f>J2288</f>
        <v>2026</v>
      </c>
      <c r="W2288" s="1649">
        <f>K2288</f>
        <v>2027</v>
      </c>
      <c r="X2288" s="1649">
        <f>L2288</f>
        <v>2028</v>
      </c>
      <c r="Y2288" s="1649">
        <f>M2288</f>
        <v>2029</v>
      </c>
      <c r="Z2288" s="1650">
        <f>N2288</f>
        <v>2030</v>
      </c>
    </row>
    <row r="2289" spans="1:38" ht="12.75" customHeight="1">
      <c r="B2289" s="479"/>
      <c r="C2289" s="479"/>
      <c r="D2289" s="915" t="s">
        <v>6</v>
      </c>
      <c r="E2289" s="916" t="s">
        <v>1976</v>
      </c>
      <c r="F2289" s="916"/>
      <c r="G2289" s="916"/>
      <c r="H2289" s="639" t="str">
        <f>IF(INDEX(CNTR_SubInstListIsProdBM,$C2267),INDEX(CNTR_SubInstListHALUnit,$C2267),EUconst_Tons)</f>
        <v>tonnes</v>
      </c>
      <c r="I2289" s="917" t="str">
        <f>IF(V2267&gt;($J$3242-3),EUconst_NA,INDEX('B+C_SubInstallations'!$I:$I,MATCH(Q2289,'B+C_SubInstallations'!$T:$T,0)))</f>
        <v/>
      </c>
      <c r="J2289" s="1651" t="str">
        <f>IF(AND(V2289&gt;=3,CNTR_ReportingYear&gt;J2288-1),AVERAGE(H2277:I2277),"")</f>
        <v/>
      </c>
      <c r="K2289" s="1799" t="str">
        <f>IF(AND(W2289&gt;=3,CNTR_ReportingYear&gt;K2288-1),AVERAGE(I2277:J2277),"")</f>
        <v/>
      </c>
      <c r="L2289" s="1799" t="str">
        <f>IF(AND(X2289&gt;=3,CNTR_ReportingYear&gt;L2288-1),AVERAGE(J2277:K2277),"")</f>
        <v/>
      </c>
      <c r="M2289" s="1799" t="str">
        <f>IF(AND(Y2289&gt;=3,CNTR_ReportingYear&gt;M2288-1),AVERAGE(K2277:L2277),"")</f>
        <v/>
      </c>
      <c r="N2289" s="1799" t="str">
        <f>IF(AND(Z2289&gt;=3,CNTR_ReportingYear&gt;N2288-1),AVERAGE(L2277:M2277),"")</f>
        <v/>
      </c>
      <c r="O2289" s="485"/>
      <c r="P2289" s="485"/>
      <c r="Q2289" s="1641" t="str">
        <f>EUconst_CNTR_HALinitial&amp;I2267</f>
        <v>HALini_</v>
      </c>
      <c r="U2289" s="1653" t="s">
        <v>1650</v>
      </c>
      <c r="V2289" s="1635">
        <f>IF($I2267="",0,V2288-$V2267+1)</f>
        <v>0</v>
      </c>
      <c r="W2289" s="1635">
        <f>IF($I2267="",0,W2288-$V2267+1)</f>
        <v>0</v>
      </c>
      <c r="X2289" s="1635">
        <f>IF($I2267="",0,X2288-$V2267+1)</f>
        <v>0</v>
      </c>
      <c r="Y2289" s="1635">
        <f>IF($I2267="",0,Y2288-$V2267+1)</f>
        <v>0</v>
      </c>
      <c r="Z2289" s="1654">
        <f>IF($I2267="",0,Z2288-$V2267+1)</f>
        <v>0</v>
      </c>
    </row>
    <row r="2290" spans="1:38" ht="12.75" hidden="1" customHeight="1">
      <c r="A2290" s="618" t="s">
        <v>2289</v>
      </c>
      <c r="B2290" s="479"/>
      <c r="C2290" s="479"/>
      <c r="D2290" s="918"/>
      <c r="E2290" s="919" t="s">
        <v>1648</v>
      </c>
      <c r="F2290" s="919"/>
      <c r="G2290" s="919"/>
      <c r="H2290" s="920"/>
      <c r="I2290" s="1655"/>
      <c r="J2290" s="16" t="str">
        <f>IF(J2289="","",IF($I2292=0,IF(J2289=0,0%,100%),J2289/$I2292-1))</f>
        <v/>
      </c>
      <c r="K2290" s="22" t="str">
        <f>IF(K2289="","",IF($I2292=0,IF(K2289=0,0%,100%),K2289/$I2292-1))</f>
        <v/>
      </c>
      <c r="L2290" s="22" t="str">
        <f>IF(L2289="","",IF($I2292=0,IF(L2289=0,0%,100%),L2289/$I2292-1))</f>
        <v/>
      </c>
      <c r="M2290" s="22" t="str">
        <f>IF(M2289="","",IF($I2292=0,IF(M2289=0,0%,100%),M2289/$I2292-1))</f>
        <v/>
      </c>
      <c r="N2290" s="22" t="str">
        <f>IF(N2289="","",IF($I2292=0,IF(N2289=0,0%,100%),N2289/$I2292-1))</f>
        <v/>
      </c>
      <c r="O2290" s="485"/>
      <c r="P2290" s="485"/>
      <c r="Q2290" s="1644" t="str">
        <f>EUconst_CNTR_RelThreshold &amp; Q2292</f>
        <v>RelThresh_HALprelim_</v>
      </c>
      <c r="U2290" s="1653" t="s">
        <v>1655</v>
      </c>
      <c r="V2290" s="1158" t="str">
        <f>IF(J2289="","",ABS(J2290)&gt;15%)</f>
        <v/>
      </c>
      <c r="W2290" s="1158" t="str">
        <f>IF(K2289="","",ABS(K2290)&gt;15%)</f>
        <v/>
      </c>
      <c r="X2290" s="1158" t="str">
        <f>IF(L2289="","",ABS(L2290)&gt;15%)</f>
        <v/>
      </c>
      <c r="Y2290" s="1158" t="str">
        <f>IF(M2289="","",ABS(M2290)&gt;15%)</f>
        <v/>
      </c>
      <c r="Z2290" s="1656" t="str">
        <f>IF(N2289="","",ABS(N2290)&gt;15%)</f>
        <v/>
      </c>
      <c r="AL2290" s="1435"/>
    </row>
    <row r="2291" spans="1:38" ht="12.75" customHeight="1">
      <c r="A2291" s="618"/>
      <c r="B2291" s="479"/>
      <c r="C2291" s="479"/>
      <c r="D2291" s="915" t="s">
        <v>7</v>
      </c>
      <c r="E2291" s="916" t="s">
        <v>1654</v>
      </c>
      <c r="F2291" s="916"/>
      <c r="G2291" s="916"/>
      <c r="H2291" s="921"/>
      <c r="I2291" s="1657"/>
      <c r="J2291" s="1658" t="str">
        <f>IF(J2289="","",IF(V2290=FALSE,0%,IF(V2291,J2290,I2297)))</f>
        <v/>
      </c>
      <c r="K2291" s="1795" t="str">
        <f>IF(K2289="","",IF(W2290=FALSE,0%,IF(W2291,K2290,J2297)))</f>
        <v/>
      </c>
      <c r="L2291" s="1795" t="str">
        <f>IF(L2289="","",IF(X2290=FALSE,0%,IF(X2291,L2290,K2297)))</f>
        <v/>
      </c>
      <c r="M2291" s="1795" t="str">
        <f>IF(M2289="","",IF(Y2290=FALSE,0%,IF(Y2291,M2290,L2297)))</f>
        <v/>
      </c>
      <c r="N2291" s="1795" t="str">
        <f>IF(N2289="","",IF(Z2290=FALSE,0%,IF(Z2291,N2290,M2297)))</f>
        <v/>
      </c>
      <c r="O2291" s="485"/>
      <c r="P2291" s="485"/>
      <c r="U2291" s="1653" t="s">
        <v>1656</v>
      </c>
      <c r="V2291" s="1158" t="str">
        <f>IF(J2289="","",AND(V2290,IF(SUM(I2297)&lt;0,OR(SUM(J2290)&lt;SUM(I2297)-MOD(SUM(I2297),5%),J2290&gt;=SUM(I2297)+5%-MOD(SUM(I2297),5%)),OR(SUM(J2290)&lt;=SUM(I2297)-MOD(SUM(I2297),5%),SUM(J2290)&gt;SUM(I2297)+5%-MOD(SUM(I2297),5%)))))</f>
        <v/>
      </c>
      <c r="W2291" s="1158" t="str">
        <f>IF(K2289="","",AND(W2290,IF(SUM(J2297)&lt;0,OR(SUM(K2290)&lt;SUM(J2297)-MOD(SUM(J2297),5%),K2290&gt;=SUM(J2297)+5%-MOD(SUM(J2297),5%)),OR(SUM(K2290)&lt;=SUM(J2297)-MOD(SUM(J2297),5%),SUM(K2290)&gt;SUM(J2297)+5%-MOD(SUM(J2297),5%)))))</f>
        <v/>
      </c>
      <c r="X2291" s="1158" t="str">
        <f>IF(L2289="","",AND(X2290,IF(SUM(K2297)&lt;0,OR(SUM(L2290)&lt;SUM(K2297)-MOD(SUM(K2297),5%),L2290&gt;=SUM(K2297)+5%-MOD(SUM(K2297),5%)),OR(SUM(L2290)&lt;=SUM(K2297)-MOD(SUM(K2297),5%),SUM(L2290)&gt;SUM(K2297)+5%-MOD(SUM(K2297),5%)))))</f>
        <v/>
      </c>
      <c r="Y2291" s="1158" t="str">
        <f>IF(M2289="","",AND(Y2290,IF(SUM(L2297)&lt;0,OR(SUM(M2290)&lt;SUM(L2297)-MOD(SUM(L2297),5%),M2290&gt;=SUM(L2297)+5%-MOD(SUM(L2297),5%)),OR(SUM(M2290)&lt;=SUM(L2297)-MOD(SUM(L2297),5%),SUM(M2290)&gt;SUM(L2297)+5%-MOD(SUM(L2297),5%)))))</f>
        <v/>
      </c>
      <c r="Z2291" s="1656" t="str">
        <f>IF(N2289="","",AND(Z2290,IF(SUM(M2297)&lt;0,OR(SUM(N2290)&lt;SUM(M2297)-MOD(SUM(M2297),5%),N2290&gt;=SUM(M2297)+5%-MOD(SUM(M2297),5%)),OR(SUM(N2290)&lt;=SUM(M2297)-MOD(SUM(M2297),5%),SUM(N2290)&gt;SUM(M2297)+5%-MOD(SUM(M2297),5%)))))</f>
        <v/>
      </c>
      <c r="AL2291" s="1435"/>
    </row>
    <row r="2292" spans="1:38" ht="12.75" hidden="1" customHeight="1">
      <c r="A2292" s="618" t="s">
        <v>2289</v>
      </c>
      <c r="B2292" s="479"/>
      <c r="C2292" s="479"/>
      <c r="D2292" s="918"/>
      <c r="E2292" s="916" t="s">
        <v>1689</v>
      </c>
      <c r="F2292" s="916"/>
      <c r="G2292" s="916"/>
      <c r="H2292" s="639" t="str">
        <f>H2289</f>
        <v>tonnes</v>
      </c>
      <c r="I2292" s="917" t="str">
        <f>IF(I2267="","",IF(AB2267=FALSE,EUconst_NA,IF(V2267&gt;($J$3242-3),INDEX(H2277:N2277,MATCH(V2267,H2274:N2274,0)),SUM(I2289))))</f>
        <v/>
      </c>
      <c r="J2292" s="1651" t="str">
        <f>IF($I2267="","",IF(V2289&lt;2,SUM(J2277),IF(V2289&lt;3,SUM(I2277),IF(V2292="",I2292,V2292))))</f>
        <v/>
      </c>
      <c r="K2292" s="1799" t="str">
        <f>IF($I2267="","",IF(W2289&lt;2,SUM(K2277),IF(W2289&lt;3,SUM(J2277),IF(W2292="",J2292,W2292))))</f>
        <v/>
      </c>
      <c r="L2292" s="1799" t="str">
        <f>IF($I2267="","",IF(X2289&lt;2,SUM(L2277),IF(X2289&lt;3,SUM(K2277),IF(X2292="",K2292,X2292))))</f>
        <v/>
      </c>
      <c r="M2292" s="1799" t="str">
        <f>IF($I2267="","",IF(Y2289&lt;2,SUM(M2277),IF(Y2289&lt;3,SUM(L2277),IF(Y2292="",L2292,Y2292))))</f>
        <v/>
      </c>
      <c r="N2292" s="1799" t="str">
        <f>IF($I2267="","",IF(Z2289&lt;2,SUM(N2277),IF(Z2289&lt;3,SUM(M2277),IF(Z2292="",M2292,Z2292))))</f>
        <v/>
      </c>
      <c r="O2292" s="485"/>
      <c r="P2292" s="485"/>
      <c r="Q2292" s="1641" t="str">
        <f>EUconst_CNTR_HALprelim&amp;I2267</f>
        <v>HALprelim_</v>
      </c>
      <c r="U2292" s="1653" t="s">
        <v>1697</v>
      </c>
      <c r="V2292" s="1660" t="str">
        <f>IF(J2289="","",IF(CNTR_ReportingYear&lt;J2288,I2291,IF($I2292=0,J2289,$I2292*(1+J2291))))</f>
        <v/>
      </c>
      <c r="W2292" s="1660" t="str">
        <f>IF(K2289="","",IF(CNTR_ReportingYear&lt;K2288,J2291,IF($I2292=0,K2289,$I2292*(1+K2291))))</f>
        <v/>
      </c>
      <c r="X2292" s="1660" t="str">
        <f>IF(L2289="","",IF(CNTR_ReportingYear&lt;L2288,K2291,IF($I2292=0,L2289,$I2292*(1+L2291))))</f>
        <v/>
      </c>
      <c r="Y2292" s="1660" t="str">
        <f>IF(M2289="","",IF(CNTR_ReportingYear&lt;M2288,L2291,IF($I2292=0,M2289,$I2292*(1+M2291))))</f>
        <v/>
      </c>
      <c r="Z2292" s="1661" t="str">
        <f>IF(N2289="","",IF(CNTR_ReportingYear&lt;N2288,M2291,IF($I2292=0,N2289,$I2292*(1+N2291))))</f>
        <v/>
      </c>
      <c r="AL2292" s="1435"/>
    </row>
    <row r="2293" spans="1:38" ht="5.0999999999999996" customHeight="1">
      <c r="A2293" s="618"/>
      <c r="B2293" s="479"/>
      <c r="C2293" s="479"/>
      <c r="D2293" s="918"/>
      <c r="E2293" s="909"/>
      <c r="F2293" s="909"/>
      <c r="G2293" s="909"/>
      <c r="H2293" s="909"/>
      <c r="I2293" s="909"/>
      <c r="J2293" s="922"/>
      <c r="K2293" s="1791"/>
      <c r="L2293" s="1791"/>
      <c r="M2293" s="1791"/>
      <c r="N2293" s="1791"/>
      <c r="O2293" s="485"/>
      <c r="P2293" s="485"/>
      <c r="Q2293" s="1435"/>
      <c r="U2293" s="1663"/>
      <c r="V2293" s="1435"/>
      <c r="Z2293" s="1664"/>
      <c r="AL2293" s="1435"/>
    </row>
    <row r="2294" spans="1:38" ht="12.75" customHeight="1">
      <c r="A2294" s="618"/>
      <c r="B2294" s="479"/>
      <c r="C2294" s="479"/>
      <c r="D2294" s="918"/>
      <c r="E2294" s="923" t="s">
        <v>1653</v>
      </c>
      <c r="F2294" s="923"/>
      <c r="G2294" s="923"/>
      <c r="H2294" s="923"/>
      <c r="I2294" s="923"/>
      <c r="J2294" s="1647">
        <f>J$3242</f>
        <v>2026</v>
      </c>
      <c r="K2294" s="1490">
        <f>K$3242</f>
        <v>2027</v>
      </c>
      <c r="L2294" s="1490">
        <f>L$3242</f>
        <v>2028</v>
      </c>
      <c r="M2294" s="1490">
        <f>M$3242</f>
        <v>2029</v>
      </c>
      <c r="N2294" s="1490">
        <f>N$3242</f>
        <v>2030</v>
      </c>
      <c r="O2294" s="485"/>
      <c r="P2294" s="485"/>
      <c r="Q2294" s="1435"/>
      <c r="U2294" s="1665"/>
      <c r="Z2294" s="1664"/>
      <c r="AL2294" s="1435"/>
    </row>
    <row r="2295" spans="1:38" ht="12.75" customHeight="1">
      <c r="A2295" s="618"/>
      <c r="B2295" s="479"/>
      <c r="C2295" s="479"/>
      <c r="D2295" s="915" t="s">
        <v>8</v>
      </c>
      <c r="E2295" s="916" t="s">
        <v>2108</v>
      </c>
      <c r="F2295" s="916"/>
      <c r="G2295" s="916"/>
      <c r="H2295" s="916"/>
      <c r="I2295" s="916"/>
      <c r="J2295" s="1666" t="str">
        <f>IF($I2267="","",INDEX(K_Summary!J:J,MATCH($Q2295,K_Summary!$P:$P,0)))</f>
        <v/>
      </c>
      <c r="K2295" s="1791" t="str">
        <f>IF($I2267="","",INDEX(K_Summary!K:K,MATCH($Q2295,K_Summary!$P:$P,0)))</f>
        <v/>
      </c>
      <c r="L2295" s="1791" t="str">
        <f>IF($I2267="","",INDEX(K_Summary!L:L,MATCH($Q2295,K_Summary!$P:$P,0)))</f>
        <v/>
      </c>
      <c r="M2295" s="1791" t="str">
        <f>IF($I2267="","",INDEX(K_Summary!M:M,MATCH($Q2295,K_Summary!$P:$P,0)))</f>
        <v/>
      </c>
      <c r="N2295" s="1791" t="str">
        <f>IF($I2267="","",INDEX(K_Summary!N:N,MATCH($Q2295,K_Summary!$P:$P,0)))</f>
        <v/>
      </c>
      <c r="O2295" s="485"/>
      <c r="P2295" s="485"/>
      <c r="Q2295" s="1641" t="str">
        <f>EUconst_CNTR_100EUA_ActivityLevel&amp;I2267</f>
        <v>EUA100AL_</v>
      </c>
      <c r="U2295" s="1665"/>
      <c r="V2295" s="8"/>
      <c r="W2295" s="8"/>
      <c r="X2295" s="8"/>
      <c r="Y2295" s="8"/>
      <c r="Z2295" s="1664"/>
      <c r="AL2295" s="1435"/>
    </row>
    <row r="2296" spans="1:38" ht="5.0999999999999996" customHeight="1" thickBot="1">
      <c r="A2296" s="618"/>
      <c r="B2296" s="479"/>
      <c r="C2296" s="479"/>
      <c r="D2296" s="918"/>
      <c r="E2296" s="909"/>
      <c r="F2296" s="909"/>
      <c r="G2296" s="909"/>
      <c r="H2296" s="909"/>
      <c r="I2296" s="909"/>
      <c r="J2296" s="922"/>
      <c r="K2296" s="1791"/>
      <c r="L2296" s="1791"/>
      <c r="M2296" s="1791"/>
      <c r="N2296" s="1791"/>
      <c r="O2296" s="485"/>
      <c r="P2296" s="485"/>
      <c r="Q2296" s="1435"/>
      <c r="U2296" s="1663"/>
      <c r="V2296" s="1435"/>
      <c r="Z2296" s="1664"/>
      <c r="AL2296" s="1435"/>
    </row>
    <row r="2297" spans="1:38" ht="12.75" customHeight="1" thickBot="1">
      <c r="B2297" s="479"/>
      <c r="C2297" s="479"/>
      <c r="D2297" s="915" t="s">
        <v>18</v>
      </c>
      <c r="E2297" s="916" t="s">
        <v>1657</v>
      </c>
      <c r="F2297" s="916"/>
      <c r="G2297" s="916"/>
      <c r="H2297" s="921"/>
      <c r="I2297" s="1667"/>
      <c r="J2297" s="1668" t="str">
        <f>IF(J2295="","",IF(J2288&gt;$Z2267,-100%,IF(OR(J2295,V2289&lt;1),J2291,I2297)))</f>
        <v/>
      </c>
      <c r="K2297" s="1796" t="str">
        <f>IF(K2295="","",IF(K2288&gt;$Z2267,-100%,IF(OR(K2295,W2289&lt;1),K2291,J2297)))</f>
        <v/>
      </c>
      <c r="L2297" s="1796" t="str">
        <f>IF(L2295="","",IF(L2288&gt;$Z2267,-100%,IF(OR(L2295,X2289&lt;1),L2291,K2297)))</f>
        <v/>
      </c>
      <c r="M2297" s="1796" t="str">
        <f>IF(M2295="","",IF(M2288&gt;$Z2267,-100%,IF(OR(M2295,Y2289&lt;1),M2291,L2297)))</f>
        <v/>
      </c>
      <c r="N2297" s="1796" t="str">
        <f>IF(N2295="","",IF(N2288&gt;$Z2267,-100%,IF(OR(N2295,Z2289&lt;1),N2291,M2297)))</f>
        <v/>
      </c>
      <c r="O2297" s="485"/>
      <c r="P2297" s="1136"/>
      <c r="Q2297" s="1644" t="str">
        <f>EUconst_CNTR_HALAdjPct &amp; I2267</f>
        <v>HALAdjPct_</v>
      </c>
      <c r="U2297" s="1663" t="s">
        <v>1658</v>
      </c>
      <c r="V2297" s="1670">
        <f>J2294</f>
        <v>2026</v>
      </c>
      <c r="W2297" s="1670">
        <f>K2294</f>
        <v>2027</v>
      </c>
      <c r="X2297" s="1670">
        <f>L2294</f>
        <v>2028</v>
      </c>
      <c r="Y2297" s="1670">
        <f>M2294</f>
        <v>2029</v>
      </c>
      <c r="Z2297" s="1671">
        <f>N2294</f>
        <v>2030</v>
      </c>
      <c r="AL2297" s="1435"/>
    </row>
    <row r="2298" spans="1:38" ht="12.75" customHeight="1" thickBot="1">
      <c r="A2298" s="618"/>
      <c r="B2298" s="479"/>
      <c r="C2298" s="479"/>
      <c r="D2298" s="915" t="s">
        <v>787</v>
      </c>
      <c r="E2298" s="916" t="s">
        <v>1659</v>
      </c>
      <c r="F2298" s="916"/>
      <c r="G2298" s="916"/>
      <c r="H2298" s="639" t="str">
        <f>H2289</f>
        <v>tonnes</v>
      </c>
      <c r="I2298" s="917" t="str">
        <f>I2292</f>
        <v/>
      </c>
      <c r="J2298" s="1672" t="str">
        <f>IF($I2267="","",IF(OR($I2298=0,J2297="",$I2298=EUconst_NA),IF(OR(J2295=TRUE,J2294&lt;=$V2267),J2292,SUM(I2298)),$I2298*(1+SUM(J2297))))</f>
        <v/>
      </c>
      <c r="K2298" s="1800" t="str">
        <f>IF($I2267="","",IF(OR($I2298=0,K2297="",$I2298=EUconst_NA),IF(OR(K2295=TRUE,K2294&lt;=$V2267),K2292,SUM(J2298)),$I2298*(1+SUM(K2297))))</f>
        <v/>
      </c>
      <c r="L2298" s="1800" t="str">
        <f>IF($I2267="","",IF(OR($I2298=0,L2297="",$I2298=EUconst_NA),IF(OR(L2295=TRUE,L2294&lt;=$V2267),L2292,SUM(K2298)),$I2298*(1+SUM(L2297))))</f>
        <v/>
      </c>
      <c r="M2298" s="1800" t="str">
        <f>IF($I2267="","",IF(OR($I2298=0,M2297="",$I2298=EUconst_NA),IF(OR(M2295=TRUE,M2294&lt;=$V2267),M2292,SUM(L2298)),$I2298*(1+SUM(M2297))))</f>
        <v/>
      </c>
      <c r="N2298" s="1800" t="str">
        <f>IF($I2267="","",IF(OR($I2298=0,N2297="",$I2298=EUconst_NA),IF(OR(N2295=TRUE,N2294&lt;=$V2267),N2292,SUM(M2298)),$I2298*(1+SUM(N2297))))</f>
        <v/>
      </c>
      <c r="O2298" s="485"/>
      <c r="P2298" s="485"/>
      <c r="Q2298" s="1641" t="str">
        <f>EUconst_CNTR_HALfinal&amp;I2267</f>
        <v>HALfinal_</v>
      </c>
      <c r="U2298" s="1674" t="b">
        <v>0</v>
      </c>
      <c r="V2298" s="1675" t="str">
        <f>IF(V2275,IF(J2295=TRUE,V2290,U2298),"")</f>
        <v/>
      </c>
      <c r="W2298" s="1675" t="str">
        <f>IF(W2275,IF(K2295=TRUE,W2290,V2298),"")</f>
        <v/>
      </c>
      <c r="X2298" s="1675" t="str">
        <f>IF(X2275,IF(L2295=TRUE,X2290,W2298),"")</f>
        <v/>
      </c>
      <c r="Y2298" s="1675" t="str">
        <f>IF(Y2275,IF(M2295=TRUE,Y2290,X2298),"")</f>
        <v/>
      </c>
      <c r="Z2298" s="1676" t="str">
        <f>IF(Z2275,IF(N2295=TRUE,Z2290,Y2298),"")</f>
        <v/>
      </c>
      <c r="AJ2298" s="1633" t="s">
        <v>1951</v>
      </c>
      <c r="AK2298" s="1443" t="str">
        <f>IF(OR(ISERROR(J2298),ISERROR(K2298),ISERROR(L2298),ISERROR(M2298),ISERROR(N2298)),EUconst_Error &amp; "BM" &amp; Q2267,"")</f>
        <v/>
      </c>
      <c r="AL2298" s="1435"/>
    </row>
    <row r="2299" spans="1:38" ht="5.0999999999999996" customHeight="1" thickBot="1">
      <c r="B2299" s="479"/>
      <c r="C2299" s="479"/>
      <c r="D2299" s="924"/>
      <c r="E2299" s="925"/>
      <c r="F2299" s="925"/>
      <c r="G2299" s="925"/>
      <c r="H2299" s="925"/>
      <c r="I2299" s="925"/>
      <c r="J2299" s="926"/>
      <c r="K2299" s="1791"/>
      <c r="L2299" s="1791"/>
      <c r="M2299" s="1791"/>
      <c r="N2299" s="1791"/>
      <c r="O2299" s="485"/>
      <c r="P2299" s="485"/>
      <c r="Q2299" s="1435"/>
      <c r="U2299" s="1435"/>
      <c r="V2299" s="1435"/>
      <c r="AL2299" s="1435"/>
    </row>
    <row r="2300" spans="1:38" ht="5.0999999999999996" customHeight="1">
      <c r="B2300" s="479"/>
      <c r="C2300" s="479"/>
      <c r="D2300" s="485"/>
      <c r="E2300" s="485"/>
      <c r="F2300" s="485"/>
      <c r="G2300" s="485"/>
      <c r="H2300" s="485"/>
      <c r="I2300" s="485"/>
      <c r="J2300" s="485"/>
      <c r="K2300" s="485"/>
      <c r="L2300" s="485"/>
      <c r="M2300" s="485"/>
      <c r="N2300" s="485"/>
      <c r="O2300" s="485"/>
      <c r="P2300" s="485"/>
      <c r="Q2300" s="1435"/>
      <c r="U2300" s="1435"/>
      <c r="V2300" s="1435"/>
      <c r="AL2300" s="1435"/>
    </row>
    <row r="2301" spans="1:38" ht="15" customHeight="1">
      <c r="B2301" s="1124"/>
      <c r="C2301" s="479"/>
      <c r="D2301" s="2482" t="s">
        <v>1229</v>
      </c>
      <c r="E2301" s="2400"/>
      <c r="F2301" s="2400"/>
      <c r="G2301" s="2400"/>
      <c r="H2301" s="2400"/>
      <c r="I2301" s="2400"/>
      <c r="J2301" s="2400"/>
      <c r="K2301" s="2400"/>
      <c r="L2301" s="2400"/>
      <c r="M2301" s="2400"/>
      <c r="N2301" s="2400"/>
      <c r="O2301" s="485"/>
      <c r="P2301" s="485"/>
      <c r="U2301" s="1435"/>
      <c r="V2301" s="1435"/>
    </row>
    <row r="2302" spans="1:38" ht="5.0999999999999996" customHeight="1">
      <c r="B2302" s="479"/>
      <c r="C2302" s="479"/>
      <c r="D2302" s="479"/>
      <c r="E2302" s="479"/>
      <c r="F2302" s="479"/>
      <c r="G2302" s="479"/>
      <c r="H2302" s="479"/>
      <c r="I2302" s="479"/>
      <c r="J2302" s="479"/>
      <c r="K2302" s="479"/>
      <c r="L2302" s="479"/>
      <c r="M2302" s="479"/>
      <c r="N2302" s="479"/>
      <c r="O2302" s="485"/>
      <c r="P2302" s="485"/>
      <c r="Q2302" s="1435"/>
      <c r="U2302" s="1435"/>
      <c r="V2302" s="1435"/>
    </row>
    <row r="2303" spans="1:38" ht="12.75" customHeight="1">
      <c r="B2303" s="1124"/>
      <c r="C2303" s="485"/>
      <c r="D2303" s="482" t="s">
        <v>48</v>
      </c>
      <c r="E2303" s="2373" t="s">
        <v>800</v>
      </c>
      <c r="F2303" s="2400"/>
      <c r="G2303" s="2400"/>
      <c r="H2303" s="2400"/>
      <c r="I2303" s="2585"/>
      <c r="J2303" s="2652" t="str">
        <f>IF(I2267="","",IF(T2303,EUconst_MsgEnterThisSection,HYPERLINK(R2303,EUconst_MsgGoOn)))</f>
        <v/>
      </c>
      <c r="K2303" s="2653"/>
      <c r="L2303" s="2653"/>
      <c r="M2303" s="2653"/>
      <c r="N2303" s="2654"/>
      <c r="O2303" s="485"/>
      <c r="P2303" s="485"/>
      <c r="Q2303" s="1198" t="s">
        <v>441</v>
      </c>
      <c r="R2303" s="1488" t="str">
        <f>"#"&amp;ADDRESS(ROW(D2331),COLUMN(D2331))</f>
        <v>#$D$2331</v>
      </c>
      <c r="S2303" s="1633" t="s">
        <v>1674</v>
      </c>
      <c r="T2303" s="1644" t="str">
        <f>IF(I2267="","",INDEX(EUconst_BMlistElExchangability,MATCH(I2267,EUconst_BMlistNames,0)))</f>
        <v/>
      </c>
      <c r="U2303" s="1435"/>
      <c r="V2303" s="1435"/>
    </row>
    <row r="2304" spans="1:38" ht="12.75" customHeight="1">
      <c r="B2304" s="479"/>
      <c r="C2304" s="479"/>
      <c r="D2304" s="485"/>
      <c r="E2304" s="2385" t="s">
        <v>1241</v>
      </c>
      <c r="F2304" s="2846"/>
      <c r="G2304" s="2846"/>
      <c r="H2304" s="2846"/>
      <c r="I2304" s="2846"/>
      <c r="J2304" s="2846"/>
      <c r="K2304" s="2846"/>
      <c r="L2304" s="2846"/>
      <c r="M2304" s="2846"/>
      <c r="N2304" s="2846"/>
      <c r="O2304" s="485"/>
      <c r="P2304" s="485"/>
      <c r="U2304" s="1435"/>
      <c r="V2304" s="1435"/>
    </row>
    <row r="2305" spans="1:42" ht="12.75" customHeight="1">
      <c r="B2305" s="479"/>
      <c r="C2305" s="479"/>
      <c r="D2305" s="485"/>
      <c r="E2305" s="2385" t="s">
        <v>1526</v>
      </c>
      <c r="F2305" s="2846"/>
      <c r="G2305" s="2846"/>
      <c r="H2305" s="2846"/>
      <c r="I2305" s="2846"/>
      <c r="J2305" s="2846"/>
      <c r="K2305" s="2846"/>
      <c r="L2305" s="2846"/>
      <c r="M2305" s="2846"/>
      <c r="N2305" s="2846"/>
      <c r="O2305" s="485"/>
      <c r="P2305" s="485"/>
      <c r="Q2305" s="1435"/>
      <c r="U2305" s="1435"/>
      <c r="V2305" s="1435"/>
      <c r="W2305" s="1435"/>
      <c r="X2305" s="1435"/>
      <c r="Y2305" s="1435"/>
      <c r="Z2305" s="1435"/>
    </row>
    <row r="2306" spans="1:42" ht="25.5" customHeight="1">
      <c r="B2306" s="479"/>
      <c r="C2306" s="479"/>
      <c r="D2306" s="485"/>
      <c r="E2306" s="2385" t="s">
        <v>1635</v>
      </c>
      <c r="F2306" s="2846"/>
      <c r="G2306" s="2846"/>
      <c r="H2306" s="2846"/>
      <c r="I2306" s="2846"/>
      <c r="J2306" s="2846"/>
      <c r="K2306" s="2846"/>
      <c r="L2306" s="2846"/>
      <c r="M2306" s="2846"/>
      <c r="N2306" s="2846"/>
      <c r="O2306" s="485"/>
      <c r="P2306" s="485"/>
      <c r="Q2306" s="1435"/>
      <c r="U2306" s="1435"/>
      <c r="V2306" s="1435"/>
      <c r="W2306" s="1435"/>
      <c r="X2306" s="1435"/>
      <c r="Y2306" s="1435"/>
      <c r="Z2306" s="1435"/>
    </row>
    <row r="2307" spans="1:42" s="562" customFormat="1" ht="13.5" thickBot="1">
      <c r="A2307" s="618"/>
      <c r="B2307" s="485"/>
      <c r="C2307" s="485"/>
      <c r="D2307" s="482"/>
      <c r="E2307" s="927" t="s">
        <v>62</v>
      </c>
      <c r="F2307" s="518"/>
      <c r="G2307" s="663" t="str">
        <f>EUconst_Unit</f>
        <v>Unit</v>
      </c>
      <c r="H2307" s="578">
        <f>H$3242</f>
        <v>2024</v>
      </c>
      <c r="I2307" s="697">
        <f>I$3242</f>
        <v>2025</v>
      </c>
      <c r="J2307" s="1489">
        <f>J$112</f>
        <v>2026</v>
      </c>
      <c r="K2307" s="1490">
        <f>K$112</f>
        <v>2027</v>
      </c>
      <c r="L2307" s="1490">
        <f>L$112</f>
        <v>2028</v>
      </c>
      <c r="M2307" s="1490">
        <f>M$112</f>
        <v>2029</v>
      </c>
      <c r="N2307" s="1490">
        <f>N$112</f>
        <v>2030</v>
      </c>
      <c r="O2307" s="485"/>
      <c r="P2307" s="485"/>
      <c r="Q2307" s="1435"/>
      <c r="R2307" s="1435"/>
      <c r="S2307" s="1198"/>
      <c r="T2307" s="1198"/>
      <c r="U2307" s="1435"/>
      <c r="V2307" s="1435"/>
      <c r="W2307" s="1435"/>
      <c r="X2307" s="1435"/>
      <c r="Y2307" s="1435"/>
      <c r="Z2307" s="1435"/>
      <c r="AA2307" s="1435"/>
      <c r="AB2307" s="1198"/>
      <c r="AC2307" s="1638">
        <f t="shared" ref="AC2307:AI2307" si="1073">H$20</f>
        <v>2024</v>
      </c>
      <c r="AD2307" s="1638">
        <f t="shared" si="1073"/>
        <v>2025</v>
      </c>
      <c r="AE2307" s="1638">
        <f t="shared" si="1073"/>
        <v>2026</v>
      </c>
      <c r="AF2307" s="1638">
        <f t="shared" si="1073"/>
        <v>2027</v>
      </c>
      <c r="AG2307" s="1638">
        <f t="shared" si="1073"/>
        <v>2028</v>
      </c>
      <c r="AH2307" s="1638">
        <f t="shared" si="1073"/>
        <v>2029</v>
      </c>
      <c r="AI2307" s="1638">
        <f t="shared" si="1073"/>
        <v>2030</v>
      </c>
      <c r="AJ2307" s="1198"/>
      <c r="AK2307" s="1198"/>
      <c r="AL2307" s="1198"/>
      <c r="AP2307" s="1135"/>
    </row>
    <row r="2308" spans="1:42" s="562" customFormat="1" ht="13.5" customHeight="1">
      <c r="A2308" s="618"/>
      <c r="B2308" s="485"/>
      <c r="C2308" s="485"/>
      <c r="D2308" s="561" t="s">
        <v>6</v>
      </c>
      <c r="E2308" s="863" t="s">
        <v>63</v>
      </c>
      <c r="F2308" s="863"/>
      <c r="G2308" s="579" t="str">
        <f>EUconst_tCO2pa</f>
        <v>t CO2 / year</v>
      </c>
      <c r="H2308" s="1678" t="str">
        <f>c_ALR2025!M4874</f>
        <v/>
      </c>
      <c r="I2308" s="1879"/>
      <c r="J2308" s="1786">
        <v>100111</v>
      </c>
      <c r="K2308" s="1787">
        <v>100111</v>
      </c>
      <c r="L2308" s="1787">
        <v>100111</v>
      </c>
      <c r="M2308" s="1787">
        <v>100111</v>
      </c>
      <c r="N2308" s="1787"/>
      <c r="O2308" s="485"/>
      <c r="P2308" s="9">
        <v>0</v>
      </c>
      <c r="Q2308" s="1435"/>
      <c r="R2308" s="1435"/>
      <c r="S2308" s="1198"/>
      <c r="T2308" s="1198"/>
      <c r="U2308" s="1435"/>
      <c r="V2308" s="1435"/>
      <c r="W2308" s="1435"/>
      <c r="X2308" s="1435"/>
      <c r="Y2308" s="1435"/>
      <c r="Z2308" s="1435"/>
      <c r="AA2308" s="1435"/>
      <c r="AB2308" s="1641" t="s">
        <v>717</v>
      </c>
      <c r="AC2308" s="1855" t="b">
        <f t="shared" ref="AC2308:AI2308" si="1074">IF(CNTR_ExistSubInstEntries,IF($I2267="",TRUE,OR(H2307&gt;=CNTR_ReportingYear,AC2307&lt;$V2267-1,INDEX(EUconst_BMlistElExchangability,MATCH($I2267,EUconst_BMlistNames,0))=FALSE)),FALSE)</f>
        <v>0</v>
      </c>
      <c r="AD2308" s="1680" t="b">
        <f t="shared" si="1074"/>
        <v>0</v>
      </c>
      <c r="AE2308" s="1680" t="b">
        <f t="shared" si="1074"/>
        <v>0</v>
      </c>
      <c r="AF2308" s="1680" t="b">
        <f t="shared" si="1074"/>
        <v>0</v>
      </c>
      <c r="AG2308" s="1680" t="b">
        <f t="shared" si="1074"/>
        <v>0</v>
      </c>
      <c r="AH2308" s="1680" t="b">
        <f t="shared" si="1074"/>
        <v>0</v>
      </c>
      <c r="AI2308" s="1681" t="b">
        <f t="shared" si="1074"/>
        <v>0</v>
      </c>
      <c r="AJ2308" s="1633" t="s">
        <v>1954</v>
      </c>
      <c r="AK2308" s="1635" t="str">
        <f>IF(AND(CNTR_ExistSubInstEntries,COUNTIFS(AC2308:AI2308,FALSE,H2308:N2308,"")&gt;0),EUconst_Error&amp;"BM"&amp;$Q2267,"")</f>
        <v/>
      </c>
      <c r="AL2308" s="1198"/>
      <c r="AP2308" s="1135"/>
    </row>
    <row r="2309" spans="1:42" s="562" customFormat="1" ht="12.75" customHeight="1">
      <c r="A2309" s="618"/>
      <c r="B2309" s="485"/>
      <c r="C2309" s="485"/>
      <c r="D2309" s="561" t="s">
        <v>7</v>
      </c>
      <c r="E2309" s="865" t="s">
        <v>257</v>
      </c>
      <c r="F2309" s="865"/>
      <c r="G2309" s="582" t="str">
        <f>EUconst_TJpa</f>
        <v>TJ / year</v>
      </c>
      <c r="H2309" s="662" t="str">
        <f t="shared" ref="H2309:N2309" si="1075">IF(AND($I2267&lt;&gt;"",H2307&lt;CNTR_ReportingYear),IF(INDEX(EUconst_BMlistElExchangability,MATCH($I2267,EUconst_BMlistNames,0)),SUM(H2480),""),"")</f>
        <v/>
      </c>
      <c r="I2309" s="931" t="str">
        <f t="shared" si="1075"/>
        <v/>
      </c>
      <c r="J2309" s="1788" t="str">
        <f t="shared" si="1075"/>
        <v/>
      </c>
      <c r="K2309" s="1789" t="str">
        <f t="shared" si="1075"/>
        <v/>
      </c>
      <c r="L2309" s="1789" t="str">
        <f t="shared" si="1075"/>
        <v/>
      </c>
      <c r="M2309" s="1789" t="str">
        <f t="shared" si="1075"/>
        <v/>
      </c>
      <c r="N2309" s="1789" t="str">
        <f t="shared" si="1075"/>
        <v/>
      </c>
      <c r="O2309" s="485"/>
      <c r="P2309" s="485"/>
      <c r="Q2309" s="1435"/>
      <c r="R2309" s="1435"/>
      <c r="S2309" s="1198"/>
      <c r="T2309" s="1198">
        <f t="shared" ref="T2309:Z2309" si="1076">H2307</f>
        <v>2024</v>
      </c>
      <c r="U2309" s="1435">
        <f t="shared" si="1076"/>
        <v>2025</v>
      </c>
      <c r="V2309" s="1435">
        <f t="shared" si="1076"/>
        <v>2026</v>
      </c>
      <c r="W2309" s="1435">
        <f t="shared" si="1076"/>
        <v>2027</v>
      </c>
      <c r="X2309" s="1435">
        <f t="shared" si="1076"/>
        <v>2028</v>
      </c>
      <c r="Y2309" s="1435">
        <f t="shared" si="1076"/>
        <v>2029</v>
      </c>
      <c r="Z2309" s="1435">
        <f t="shared" si="1076"/>
        <v>2030</v>
      </c>
      <c r="AA2309" s="1435"/>
      <c r="AB2309" s="1435"/>
      <c r="AC2309" s="1665"/>
      <c r="AD2309" s="1435"/>
      <c r="AE2309" s="1435"/>
      <c r="AF2309" s="1435"/>
      <c r="AG2309" s="1435"/>
      <c r="AH2309" s="1435"/>
      <c r="AI2309" s="1683"/>
      <c r="AJ2309" s="1435"/>
      <c r="AK2309" s="1435"/>
      <c r="AL2309" s="1198"/>
      <c r="AP2309" s="1135"/>
    </row>
    <row r="2310" spans="1:42" s="562" customFormat="1" ht="12.75" customHeight="1" thickBot="1">
      <c r="A2310" s="618"/>
      <c r="B2310" s="485"/>
      <c r="C2310" s="485"/>
      <c r="D2310" s="561" t="s">
        <v>8</v>
      </c>
      <c r="E2310" s="932" t="s">
        <v>914</v>
      </c>
      <c r="F2310" s="932"/>
      <c r="G2310" s="933" t="str">
        <f>EUconst_MWhpa</f>
        <v>MWh / year</v>
      </c>
      <c r="H2310" s="1582" t="str">
        <f>c_ALR2025!M4876</f>
        <v/>
      </c>
      <c r="I2310" s="1880"/>
      <c r="J2310" s="1491">
        <v>90111</v>
      </c>
      <c r="K2310" s="1492">
        <v>90111</v>
      </c>
      <c r="L2310" s="1492">
        <v>90111</v>
      </c>
      <c r="M2310" s="1492">
        <v>90111</v>
      </c>
      <c r="N2310" s="1492"/>
      <c r="O2310" s="485"/>
      <c r="P2310" s="9">
        <v>0</v>
      </c>
      <c r="Q2310" s="1644" t="str">
        <f>EUconst_CNTR_HAL&amp;EUconst_CNTR_ELEXCH</f>
        <v>HAL_ELEXCH_</v>
      </c>
      <c r="R2310" s="1644" t="str">
        <f>EUconst_CNTR_HAL&amp;EUconst_CNTR_ELEXCH &amp; I2267</f>
        <v>HAL_ELEXCH_</v>
      </c>
      <c r="S2310" s="1198" t="str">
        <f>EUconst_CNTR_AttributedEmissions &amp; I2267</f>
        <v>AttrEmissions_</v>
      </c>
      <c r="T2310" s="1198" t="str">
        <f t="shared" ref="T2310:Z2310" si="1077">IF(T2275,SUM(H2310)*EUconst_ElBM,"")</f>
        <v/>
      </c>
      <c r="U2310" s="1435" t="str">
        <f t="shared" si="1077"/>
        <v/>
      </c>
      <c r="V2310" s="1435" t="str">
        <f t="shared" si="1077"/>
        <v/>
      </c>
      <c r="W2310" s="1435" t="str">
        <f t="shared" si="1077"/>
        <v/>
      </c>
      <c r="X2310" s="1435" t="str">
        <f t="shared" si="1077"/>
        <v/>
      </c>
      <c r="Y2310" s="1435" t="str">
        <f t="shared" si="1077"/>
        <v/>
      </c>
      <c r="Z2310" s="1435" t="str">
        <f t="shared" si="1077"/>
        <v/>
      </c>
      <c r="AA2310" s="1435"/>
      <c r="AB2310" s="1435"/>
      <c r="AC2310" s="1685" t="b">
        <f>AC2308</f>
        <v>0</v>
      </c>
      <c r="AD2310" s="1686" t="b">
        <f t="shared" ref="AD2310:AI2310" si="1078">AD2308</f>
        <v>0</v>
      </c>
      <c r="AE2310" s="1686" t="b">
        <f t="shared" si="1078"/>
        <v>0</v>
      </c>
      <c r="AF2310" s="1686" t="b">
        <f t="shared" si="1078"/>
        <v>0</v>
      </c>
      <c r="AG2310" s="1686" t="b">
        <f t="shared" si="1078"/>
        <v>0</v>
      </c>
      <c r="AH2310" s="1686" t="b">
        <f t="shared" si="1078"/>
        <v>0</v>
      </c>
      <c r="AI2310" s="1687" t="b">
        <f t="shared" si="1078"/>
        <v>0</v>
      </c>
      <c r="AJ2310" s="1633" t="s">
        <v>1954</v>
      </c>
      <c r="AK2310" s="1635" t="str">
        <f>IF(AND(CNTR_ExistSubInstEntries,COUNTIFS(AC2310:AI2310,FALSE,H2310:N2310,"")&gt;0),EUconst_Error&amp;"BM"&amp;$Q2267,"")</f>
        <v/>
      </c>
      <c r="AL2310" s="1198"/>
      <c r="AP2310" s="1135"/>
    </row>
    <row r="2311" spans="1:42" s="562" customFormat="1" ht="13.5" customHeight="1">
      <c r="A2311" s="618"/>
      <c r="B2311" s="485"/>
      <c r="C2311" s="485"/>
      <c r="D2311" s="561" t="s">
        <v>18</v>
      </c>
      <c r="E2311" s="863" t="s">
        <v>915</v>
      </c>
      <c r="F2311" s="863"/>
      <c r="G2311" s="579" t="str">
        <f>EUconst_tCO2pa</f>
        <v>t CO2 / year</v>
      </c>
      <c r="H2311" s="929" t="str">
        <f t="shared" ref="H2311:N2311" si="1079">IF(ISNUMBER(H2308),H2308+SUM(H2309)*EUconst_HeatBMvalue,"")</f>
        <v/>
      </c>
      <c r="I2311" s="930" t="str">
        <f t="shared" si="1079"/>
        <v/>
      </c>
      <c r="J2311" s="1786">
        <f t="shared" si="1079"/>
        <v>100111</v>
      </c>
      <c r="K2311" s="1787">
        <f t="shared" si="1079"/>
        <v>100111</v>
      </c>
      <c r="L2311" s="1787">
        <f t="shared" si="1079"/>
        <v>100111</v>
      </c>
      <c r="M2311" s="1787">
        <f t="shared" si="1079"/>
        <v>100111</v>
      </c>
      <c r="N2311" s="1787" t="str">
        <f t="shared" si="1079"/>
        <v/>
      </c>
      <c r="O2311" s="485"/>
      <c r="P2311" s="485"/>
      <c r="Q2311" s="1435"/>
      <c r="R2311" s="1435"/>
      <c r="S2311" s="1198"/>
      <c r="T2311" s="1198"/>
      <c r="U2311" s="1435"/>
      <c r="V2311" s="1435"/>
      <c r="W2311" s="1435"/>
      <c r="X2311" s="1435"/>
      <c r="Y2311" s="1435"/>
      <c r="Z2311" s="1435"/>
      <c r="AA2311" s="1435"/>
      <c r="AB2311" s="1435"/>
      <c r="AC2311" s="1435"/>
      <c r="AD2311" s="1435"/>
      <c r="AE2311" s="1435"/>
      <c r="AF2311" s="1435"/>
      <c r="AG2311" s="1435"/>
      <c r="AH2311" s="1435"/>
      <c r="AI2311" s="1435"/>
      <c r="AJ2311" s="1435"/>
      <c r="AK2311" s="1435"/>
      <c r="AL2311" s="1198"/>
      <c r="AP2311" s="1135"/>
    </row>
    <row r="2312" spans="1:42" s="562" customFormat="1" ht="13.5" customHeight="1">
      <c r="A2312" s="618"/>
      <c r="B2312" s="485"/>
      <c r="C2312" s="485"/>
      <c r="D2312" s="561" t="s">
        <v>787</v>
      </c>
      <c r="E2312" s="867" t="s">
        <v>916</v>
      </c>
      <c r="F2312" s="867"/>
      <c r="G2312" s="584" t="str">
        <f>EUconst_tCO2pa</f>
        <v>t CO2 / year</v>
      </c>
      <c r="H2312" s="935" t="str">
        <f t="shared" ref="H2312:N2312" si="1080">IF(ISNUMBER(H2310),H2310*EUconst_ElBM,"")</f>
        <v/>
      </c>
      <c r="I2312" s="936" t="str">
        <f t="shared" si="1080"/>
        <v/>
      </c>
      <c r="J2312" s="1786">
        <f t="shared" si="1080"/>
        <v>33881.735999999997</v>
      </c>
      <c r="K2312" s="1787">
        <f t="shared" si="1080"/>
        <v>33881.735999999997</v>
      </c>
      <c r="L2312" s="1787">
        <f t="shared" si="1080"/>
        <v>33881.735999999997</v>
      </c>
      <c r="M2312" s="1787">
        <f t="shared" si="1080"/>
        <v>33881.735999999997</v>
      </c>
      <c r="N2312" s="1787" t="str">
        <f t="shared" si="1080"/>
        <v/>
      </c>
      <c r="O2312" s="485"/>
      <c r="P2312" s="485"/>
      <c r="Q2312" s="1435"/>
      <c r="R2312" s="1435"/>
      <c r="S2312" s="1198"/>
      <c r="T2312" s="1198"/>
      <c r="U2312" s="1435"/>
      <c r="V2312" s="1435"/>
      <c r="W2312" s="1435"/>
      <c r="X2312" s="1435"/>
      <c r="Y2312" s="1435"/>
      <c r="Z2312" s="1435"/>
      <c r="AA2312" s="1435"/>
      <c r="AB2312" s="1435"/>
      <c r="AC2312" s="1435"/>
      <c r="AD2312" s="1435"/>
      <c r="AE2312" s="1435"/>
      <c r="AF2312" s="1435"/>
      <c r="AG2312" s="1435"/>
      <c r="AH2312" s="1435"/>
      <c r="AI2312" s="1435"/>
      <c r="AJ2312" s="1435"/>
      <c r="AK2312" s="1435"/>
      <c r="AL2312" s="1198"/>
      <c r="AP2312" s="1135"/>
    </row>
    <row r="2313" spans="1:42" ht="5.0999999999999996" customHeight="1">
      <c r="B2313" s="479"/>
      <c r="C2313" s="479"/>
      <c r="D2313" s="479"/>
      <c r="E2313" s="479"/>
      <c r="F2313" s="479"/>
      <c r="G2313" s="479"/>
      <c r="H2313" s="479"/>
      <c r="I2313" s="479"/>
      <c r="J2313" s="1790"/>
      <c r="K2313" s="1791"/>
      <c r="L2313" s="1791"/>
      <c r="M2313" s="1791"/>
      <c r="N2313" s="1791"/>
      <c r="O2313" s="485"/>
      <c r="P2313" s="485"/>
      <c r="Q2313" s="1435"/>
      <c r="U2313" s="1435"/>
      <c r="V2313" s="1435"/>
      <c r="W2313" s="1435"/>
      <c r="X2313" s="1435"/>
      <c r="Y2313" s="1435"/>
      <c r="Z2313" s="1435"/>
    </row>
    <row r="2314" spans="1:42" ht="12.75" customHeight="1">
      <c r="B2314" s="479"/>
      <c r="C2314" s="479"/>
      <c r="D2314" s="561" t="s">
        <v>788</v>
      </c>
      <c r="E2314" s="698" t="s">
        <v>1389</v>
      </c>
      <c r="F2314" s="938"/>
      <c r="G2314" s="939" t="s">
        <v>1021</v>
      </c>
      <c r="H2314" s="940" t="str">
        <f t="shared" ref="H2314:N2314" si="1081">IF(COUNT(H2311:H2312)&gt;0,SUM(H2311)/SUM(H2311:H2312),IF($T2303=TRUE,IF(H2307&gt;CNTR_ReportingYear,"",1),""))</f>
        <v/>
      </c>
      <c r="I2314" s="941" t="str">
        <f t="shared" si="1081"/>
        <v/>
      </c>
      <c r="J2314" s="1792">
        <f t="shared" si="1081"/>
        <v>0.74713751646954951</v>
      </c>
      <c r="K2314" s="1793">
        <f t="shared" si="1081"/>
        <v>0.74713751646954951</v>
      </c>
      <c r="L2314" s="1793">
        <f t="shared" si="1081"/>
        <v>0.74713751646954951</v>
      </c>
      <c r="M2314" s="1793">
        <f t="shared" si="1081"/>
        <v>0.74713751646954951</v>
      </c>
      <c r="N2314" s="1793" t="str">
        <f t="shared" si="1081"/>
        <v/>
      </c>
      <c r="O2314" s="485"/>
      <c r="P2314" s="485"/>
      <c r="Q2314" s="1644" t="str">
        <f>EUconst_CNTR_ELEXCH &amp; I2267</f>
        <v>ELEXCH_</v>
      </c>
    </row>
    <row r="2315" spans="1:42" ht="5.0999999999999996" customHeight="1">
      <c r="B2315" s="479"/>
      <c r="C2315" s="479"/>
      <c r="D2315" s="479"/>
      <c r="E2315" s="479"/>
      <c r="F2315" s="479"/>
      <c r="G2315" s="479"/>
      <c r="H2315" s="479"/>
      <c r="I2315" s="479"/>
      <c r="J2315" s="479"/>
      <c r="K2315" s="479"/>
      <c r="L2315" s="479"/>
      <c r="M2315" s="485"/>
      <c r="N2315" s="485"/>
      <c r="O2315" s="485"/>
      <c r="P2315" s="485"/>
      <c r="Q2315" s="1435"/>
    </row>
    <row r="2316" spans="1:42" ht="25.5" customHeight="1" thickBot="1">
      <c r="B2316" s="479"/>
      <c r="C2316" s="479"/>
      <c r="D2316" s="485"/>
      <c r="E2316" s="2385" t="s">
        <v>2737</v>
      </c>
      <c r="F2316" s="2846"/>
      <c r="G2316" s="2846"/>
      <c r="H2316" s="2846"/>
      <c r="I2316" s="2846"/>
      <c r="J2316" s="2846"/>
      <c r="K2316" s="2846"/>
      <c r="L2316" s="2846"/>
      <c r="M2316" s="2846"/>
      <c r="N2316" s="2846"/>
      <c r="O2316" s="485"/>
      <c r="P2316" s="485"/>
      <c r="Q2316" s="1435"/>
      <c r="S2316" s="1435"/>
      <c r="T2316" s="1435"/>
      <c r="U2316" s="1435"/>
    </row>
    <row r="2317" spans="1:42" ht="5.0999999999999996" customHeight="1" thickBot="1">
      <c r="B2317" s="479"/>
      <c r="C2317" s="479"/>
      <c r="D2317" s="902"/>
      <c r="E2317" s="942"/>
      <c r="F2317" s="942"/>
      <c r="G2317" s="942"/>
      <c r="H2317" s="942"/>
      <c r="I2317" s="942"/>
      <c r="J2317" s="943"/>
      <c r="K2317" s="1798"/>
      <c r="L2317" s="1798"/>
      <c r="M2317" s="1798"/>
      <c r="N2317" s="1798"/>
      <c r="O2317" s="485"/>
      <c r="P2317" s="485"/>
      <c r="Q2317" s="1435"/>
      <c r="S2317" s="1435"/>
      <c r="T2317" s="1435"/>
      <c r="U2317" s="1435"/>
    </row>
    <row r="2318" spans="1:42" ht="12.75" customHeight="1">
      <c r="B2318" s="479"/>
      <c r="C2318" s="479"/>
      <c r="D2318" s="907" t="s">
        <v>1915</v>
      </c>
      <c r="E2318" s="908" t="s">
        <v>1775</v>
      </c>
      <c r="F2318" s="909"/>
      <c r="G2318" s="909"/>
      <c r="H2318" s="910" t="str">
        <f>EUconst_Unit</f>
        <v>Unit</v>
      </c>
      <c r="I2318" s="911" t="s">
        <v>2213</v>
      </c>
      <c r="J2318" s="1647">
        <f>J$3242</f>
        <v>2026</v>
      </c>
      <c r="K2318" s="1490">
        <f>K$3242</f>
        <v>2027</v>
      </c>
      <c r="L2318" s="1490">
        <f>L$3242</f>
        <v>2028</v>
      </c>
      <c r="M2318" s="1490">
        <f>M$3242</f>
        <v>2029</v>
      </c>
      <c r="N2318" s="1490">
        <f>N$3242</f>
        <v>2030</v>
      </c>
      <c r="O2318" s="485"/>
      <c r="P2318" s="485"/>
      <c r="Q2318" s="1435"/>
      <c r="U2318" s="1648"/>
      <c r="V2318" s="1649">
        <f>J2318</f>
        <v>2026</v>
      </c>
      <c r="W2318" s="1649">
        <f>K2318</f>
        <v>2027</v>
      </c>
      <c r="X2318" s="1649">
        <f>L2318</f>
        <v>2028</v>
      </c>
      <c r="Y2318" s="1649">
        <f>M2318</f>
        <v>2029</v>
      </c>
      <c r="Z2318" s="1650">
        <f>N2318</f>
        <v>2030</v>
      </c>
      <c r="AL2318" s="1435"/>
    </row>
    <row r="2319" spans="1:42" ht="12.75" customHeight="1">
      <c r="B2319" s="479"/>
      <c r="C2319" s="479"/>
      <c r="D2319" s="915" t="s">
        <v>6</v>
      </c>
      <c r="E2319" s="916" t="s">
        <v>1691</v>
      </c>
      <c r="F2319" s="916"/>
      <c r="G2319" s="916"/>
      <c r="H2319" s="944" t="str">
        <f>G2314</f>
        <v>-</v>
      </c>
      <c r="I2319" s="945" t="str">
        <f>IF($T2303&lt;&gt;TRUE,"",INDEX('B+C_SubInstallations'!$L:$L,MATCH(Q2319,'B+C_SubInstallations'!$W:$W,0)))</f>
        <v/>
      </c>
      <c r="J2319" s="1691" t="str">
        <f>IF($T2303&lt;&gt;TRUE,"",IF(AND(V2319&gt;=3,CNTR_ReportingYear&gt;J2318-1),AVERAGE(SUM(H2314),SUM(I2314)),""))</f>
        <v/>
      </c>
      <c r="K2319" s="1799" t="str">
        <f>IF($T2303&lt;&gt;TRUE,"",IF(AND(W2319&gt;=3,CNTR_ReportingYear&gt;K2318-1),AVERAGE(SUM(I2314),SUM(J2314)),""))</f>
        <v/>
      </c>
      <c r="L2319" s="1799" t="str">
        <f>IF($T2303&lt;&gt;TRUE,"",IF(AND(X2319&gt;=3,CNTR_ReportingYear&gt;L2318-1),AVERAGE(SUM(J2314),SUM(K2314)),""))</f>
        <v/>
      </c>
      <c r="M2319" s="1799" t="str">
        <f>IF($T2303&lt;&gt;TRUE,"",IF(AND(Y2319&gt;=3,CNTR_ReportingYear&gt;M2318-1),AVERAGE(SUM(K2314),SUM(L2314)),""))</f>
        <v/>
      </c>
      <c r="N2319" s="1799" t="str">
        <f>IF($T2303&lt;&gt;TRUE,"",IF(AND(Z2319&gt;=3,CNTR_ReportingYear&gt;N2318-1),AVERAGE(SUM(L2314),SUM(M2314)),""))</f>
        <v/>
      </c>
      <c r="O2319" s="485"/>
      <c r="P2319" s="485"/>
      <c r="Q2319" s="1644" t="str">
        <f>EUconst_CNTR_HAL &amp; EUconst_CNTR_ELEXCHInitial &amp; I2267</f>
        <v>HAL_ELEXCHIni_</v>
      </c>
      <c r="U2319" s="1693" t="s">
        <v>1650</v>
      </c>
      <c r="V2319" s="1635">
        <f>V2289</f>
        <v>0</v>
      </c>
      <c r="W2319" s="1635">
        <f>W2289</f>
        <v>0</v>
      </c>
      <c r="X2319" s="1635">
        <f>X2289</f>
        <v>0</v>
      </c>
      <c r="Y2319" s="1635">
        <f>Y2289</f>
        <v>0</v>
      </c>
      <c r="Z2319" s="1654">
        <f>Z2289</f>
        <v>0</v>
      </c>
      <c r="AL2319" s="1435"/>
    </row>
    <row r="2320" spans="1:42" ht="12.75" hidden="1" customHeight="1">
      <c r="A2320" s="618" t="s">
        <v>2289</v>
      </c>
      <c r="B2320" s="479"/>
      <c r="C2320" s="479"/>
      <c r="D2320" s="915"/>
      <c r="E2320" s="916" t="s">
        <v>1776</v>
      </c>
      <c r="F2320" s="916"/>
      <c r="G2320" s="916"/>
      <c r="H2320" s="921"/>
      <c r="I2320" s="1657"/>
      <c r="J2320" s="17" t="str">
        <f>IF(J2319="","",IF($I2322=0,IF(J2319=0,0%,100%),J2319/$I2322-1))</f>
        <v/>
      </c>
      <c r="K2320" s="22" t="str">
        <f>IF(K2319="","",IF($I2322=0,IF(K2319=0,0%,100%),K2319/$I2322-1))</f>
        <v/>
      </c>
      <c r="L2320" s="22" t="str">
        <f>IF(L2319="","",IF($I2322=0,IF(L2319=0,0%,100%),L2319/$I2322-1))</f>
        <v/>
      </c>
      <c r="M2320" s="22" t="str">
        <f>IF(M2319="","",IF($I2322=0,IF(M2319=0,0%,100%),M2319/$I2322-1))</f>
        <v/>
      </c>
      <c r="N2320" s="22" t="str">
        <f>IF(N2319="","",IF($I2322=0,IF(N2319=0,0%,100%),N2319/$I2322-1))</f>
        <v/>
      </c>
      <c r="O2320" s="485"/>
      <c r="P2320" s="485"/>
      <c r="Q2320" s="1644" t="str">
        <f>EUconst_CNTR_RelThreshold &amp; Q2322</f>
        <v>RelThresh_HALprelim_ELEXCH_</v>
      </c>
      <c r="U2320" s="1693" t="s">
        <v>1655</v>
      </c>
      <c r="V2320" s="1158" t="str">
        <f>IF(J2319="","",ABS(J2320)&gt;15%)</f>
        <v/>
      </c>
      <c r="W2320" s="1158" t="str">
        <f>IF(K2319="","",ABS(K2320)&gt;15%)</f>
        <v/>
      </c>
      <c r="X2320" s="1158" t="str">
        <f>IF(L2319="","",ABS(L2320)&gt;15%)</f>
        <v/>
      </c>
      <c r="Y2320" s="1158" t="str">
        <f>IF(M2319="","",ABS(M2320)&gt;15%)</f>
        <v/>
      </c>
      <c r="Z2320" s="1656" t="str">
        <f>IF(N2319="","",ABS(N2320)&gt;15%)</f>
        <v/>
      </c>
      <c r="AL2320" s="1435"/>
    </row>
    <row r="2321" spans="1:38" ht="12.75" customHeight="1">
      <c r="A2321" s="618"/>
      <c r="B2321" s="479"/>
      <c r="C2321" s="479"/>
      <c r="D2321" s="915" t="s">
        <v>7</v>
      </c>
      <c r="E2321" s="916" t="s">
        <v>1654</v>
      </c>
      <c r="F2321" s="916"/>
      <c r="G2321" s="916"/>
      <c r="H2321" s="921"/>
      <c r="I2321" s="1657"/>
      <c r="J2321" s="1658" t="str">
        <f>IF(J2319="","",IF(V2320=FALSE,0%,J2320))</f>
        <v/>
      </c>
      <c r="K2321" s="1795" t="str">
        <f>IF(K2319="","",IF(W2320=FALSE,0%,K2320))</f>
        <v/>
      </c>
      <c r="L2321" s="1795" t="str">
        <f>IF(L2319="","",IF(X2320=FALSE,0%,L2320))</f>
        <v/>
      </c>
      <c r="M2321" s="1795" t="str">
        <f>IF(M2319="","",IF(Y2320=FALSE,0%,M2320))</f>
        <v/>
      </c>
      <c r="N2321" s="1795" t="str">
        <f>IF(N2319="","",IF(Z2320=FALSE,0%,N2320))</f>
        <v/>
      </c>
      <c r="O2321" s="485"/>
      <c r="P2321" s="485"/>
      <c r="Q2321" s="1435"/>
      <c r="U2321" s="1694"/>
      <c r="Z2321" s="1664"/>
      <c r="AL2321" s="1435"/>
    </row>
    <row r="2322" spans="1:38" ht="12.75" hidden="1" customHeight="1">
      <c r="A2322" s="618" t="s">
        <v>2289</v>
      </c>
      <c r="B2322" s="479"/>
      <c r="C2322" s="479"/>
      <c r="D2322" s="915"/>
      <c r="E2322" s="916" t="s">
        <v>1689</v>
      </c>
      <c r="F2322" s="916"/>
      <c r="G2322" s="916"/>
      <c r="H2322" s="944" t="str">
        <f>H2319</f>
        <v>-</v>
      </c>
      <c r="I2322" s="945" t="str">
        <f>IF($T2303&lt;&gt;TRUE,"",IF(AB2267=FALSE,EUconst_NA,IF(V2267&gt;($J$3242-3),INDEX(H2314:N2314,MATCH(V2267,H2307:N2307,0)),SUM(I2319))))</f>
        <v/>
      </c>
      <c r="J2322" s="1695" t="str">
        <f>IF(OR($I2267="",$T2303=FALSE),"",IF(V2319&lt;2,SUM(J2314),IF(V2319&lt;3,SUM(I2314),IF(V2322="",I2322,V2322))))</f>
        <v/>
      </c>
      <c r="K2322" s="1799" t="str">
        <f>IF(OR($I2267="",$T2303=FALSE),"",IF(W2319&lt;2,SUM(K2314),IF(W2319&lt;3,SUM(J2314),IF(W2322="",J2322,W2322))))</f>
        <v/>
      </c>
      <c r="L2322" s="1799" t="str">
        <f>IF(OR($I2267="",$T2303=FALSE),"",IF(X2319&lt;2,SUM(L2314),IF(X2319&lt;3,SUM(K2314),IF(X2322="",K2322,X2322))))</f>
        <v/>
      </c>
      <c r="M2322" s="1799" t="str">
        <f>IF(OR($I2267="",$T2303=FALSE),"",IF(Y2319&lt;2,SUM(M2314),IF(Y2319&lt;3,SUM(L2314),IF(Y2322="",L2322,Y2322))))</f>
        <v/>
      </c>
      <c r="N2322" s="1799" t="str">
        <f>IF(OR($I2267="",$T2303=FALSE),"",IF(Z2319&lt;2,SUM(N2314),IF(Z2319&lt;3,SUM(M2314),IF(Z2322="",M2322,Z2322))))</f>
        <v/>
      </c>
      <c r="O2322" s="485"/>
      <c r="P2322" s="485"/>
      <c r="Q2322" s="1644" t="str">
        <f>EUconst_CNTR_HALprelim&amp;EUconst_CNTR_ELEXCH &amp; I2267</f>
        <v>HALprelim_ELEXCH_</v>
      </c>
      <c r="U2322" s="1693" t="s">
        <v>1697</v>
      </c>
      <c r="V2322" s="1696" t="str">
        <f>IF(J2319="","",IF(CNTR_ReportingYear&lt;J2318,I2321,IF($I2322=0,J2319,$I2322*(1+J2321))))</f>
        <v/>
      </c>
      <c r="W2322" s="1696" t="str">
        <f>IF(K2319="","",IF(CNTR_ReportingYear&lt;K2318,J2321,IF($I2322=0,K2319,$I2322*(1+K2321))))</f>
        <v/>
      </c>
      <c r="X2322" s="1696" t="str">
        <f>IF(L2319="","",IF(CNTR_ReportingYear&lt;L2318,K2321,IF($I2322=0,L2319,$I2322*(1+L2321))))</f>
        <v/>
      </c>
      <c r="Y2322" s="1696" t="str">
        <f>IF(M2319="","",IF(CNTR_ReportingYear&lt;M2318,L2321,IF($I2322=0,M2319,$I2322*(1+M2321))))</f>
        <v/>
      </c>
      <c r="Z2322" s="1697" t="str">
        <f>IF(N2319="","",IF(CNTR_ReportingYear&lt;N2318,M2321,IF($I2322=0,N2319,$I2322*(1+N2321))))</f>
        <v/>
      </c>
      <c r="AL2322" s="1435"/>
    </row>
    <row r="2323" spans="1:38" ht="5.0999999999999996" customHeight="1">
      <c r="A2323" s="618"/>
      <c r="B2323" s="479"/>
      <c r="C2323" s="479"/>
      <c r="D2323" s="915"/>
      <c r="E2323" s="909"/>
      <c r="F2323" s="909"/>
      <c r="G2323" s="909"/>
      <c r="H2323" s="909"/>
      <c r="I2323" s="909"/>
      <c r="J2323" s="922"/>
      <c r="K2323" s="1791"/>
      <c r="L2323" s="1791"/>
      <c r="M2323" s="1791"/>
      <c r="N2323" s="1791"/>
      <c r="O2323" s="485"/>
      <c r="P2323" s="485"/>
      <c r="Q2323" s="1435"/>
      <c r="U2323" s="1663"/>
      <c r="V2323" s="1435"/>
      <c r="Z2323" s="1664"/>
      <c r="AL2323" s="1435"/>
    </row>
    <row r="2324" spans="1:38" ht="12.75" customHeight="1">
      <c r="A2324" s="618"/>
      <c r="B2324" s="479"/>
      <c r="C2324" s="479"/>
      <c r="D2324" s="915"/>
      <c r="E2324" s="923" t="s">
        <v>1653</v>
      </c>
      <c r="F2324" s="923"/>
      <c r="G2324" s="923"/>
      <c r="H2324" s="923"/>
      <c r="I2324" s="923"/>
      <c r="J2324" s="1647">
        <f>J$3242</f>
        <v>2026</v>
      </c>
      <c r="K2324" s="1490">
        <f>K$3242</f>
        <v>2027</v>
      </c>
      <c r="L2324" s="1490">
        <f>L$3242</f>
        <v>2028</v>
      </c>
      <c r="M2324" s="1490">
        <f>M$3242</f>
        <v>2029</v>
      </c>
      <c r="N2324" s="1490">
        <f>N$3242</f>
        <v>2030</v>
      </c>
      <c r="O2324" s="485"/>
      <c r="P2324" s="485"/>
      <c r="Q2324" s="1435"/>
      <c r="U2324" s="1665"/>
      <c r="Z2324" s="1664"/>
      <c r="AL2324" s="1435"/>
    </row>
    <row r="2325" spans="1:38" ht="12.75" customHeight="1">
      <c r="A2325" s="618"/>
      <c r="B2325" s="479"/>
      <c r="C2325" s="479"/>
      <c r="D2325" s="915" t="s">
        <v>8</v>
      </c>
      <c r="E2325" s="916" t="s">
        <v>2108</v>
      </c>
      <c r="F2325" s="916"/>
      <c r="G2325" s="916"/>
      <c r="H2325" s="916"/>
      <c r="I2325" s="916"/>
      <c r="J2325" s="1666" t="str">
        <f>IF(OR($I2267="",$T2303=FALSE),"",INDEX(K_Summary!J:J,MATCH($Q2325,K_Summary!$P:$P,0)))</f>
        <v/>
      </c>
      <c r="K2325" s="1791" t="str">
        <f>IF(OR($I2267="",$T2303=FALSE),"",INDEX(K_Summary!K:K,MATCH($Q2325,K_Summary!$P:$P,0)))</f>
        <v/>
      </c>
      <c r="L2325" s="1791" t="str">
        <f>IF(OR($I2267="",$T2303=FALSE),"",INDEX(K_Summary!L:L,MATCH($Q2325,K_Summary!$P:$P,0)))</f>
        <v/>
      </c>
      <c r="M2325" s="1791" t="str">
        <f>IF(OR($I2267="",$T2303=FALSE),"",INDEX(K_Summary!M:M,MATCH($Q2325,K_Summary!$P:$P,0)))</f>
        <v/>
      </c>
      <c r="N2325" s="1791" t="str">
        <f>IF(OR($I2267="",$T2303=FALSE),"",INDEX(K_Summary!N:N,MATCH($Q2325,K_Summary!$P:$P,0)))</f>
        <v/>
      </c>
      <c r="O2325" s="485"/>
      <c r="P2325" s="485"/>
      <c r="Q2325" s="1644" t="str">
        <f>EUconst_CNTR_100EUA_ElExch&amp;I2267</f>
        <v>EUA100ElExch_</v>
      </c>
      <c r="U2325" s="1665"/>
      <c r="Z2325" s="1664"/>
      <c r="AL2325" s="1435"/>
    </row>
    <row r="2326" spans="1:38" ht="5.0999999999999996" customHeight="1" thickBot="1">
      <c r="A2326" s="618"/>
      <c r="B2326" s="479"/>
      <c r="C2326" s="479"/>
      <c r="D2326" s="915"/>
      <c r="E2326" s="909"/>
      <c r="F2326" s="909"/>
      <c r="G2326" s="909"/>
      <c r="H2326" s="909"/>
      <c r="I2326" s="909"/>
      <c r="J2326" s="922"/>
      <c r="K2326" s="1791"/>
      <c r="L2326" s="1791"/>
      <c r="M2326" s="1791"/>
      <c r="N2326" s="1791"/>
      <c r="O2326" s="485"/>
      <c r="P2326" s="485"/>
      <c r="Q2326" s="1435"/>
      <c r="U2326" s="1663"/>
      <c r="V2326" s="1435"/>
      <c r="Z2326" s="1664"/>
      <c r="AL2326" s="1435"/>
    </row>
    <row r="2327" spans="1:38" ht="12.75" customHeight="1" thickBot="1">
      <c r="B2327" s="479"/>
      <c r="C2327" s="479"/>
      <c r="D2327" s="915" t="s">
        <v>18</v>
      </c>
      <c r="E2327" s="916" t="s">
        <v>1657</v>
      </c>
      <c r="F2327" s="916"/>
      <c r="G2327" s="916"/>
      <c r="H2327" s="921"/>
      <c r="I2327" s="1667"/>
      <c r="J2327" s="1668" t="str">
        <f>IF(J2325="","",IF(OR(J2325,V2319&lt;1),J2321,I2327))</f>
        <v/>
      </c>
      <c r="K2327" s="1796" t="str">
        <f>IF(K2325="","",IF(OR(K2325,W2319&lt;1),K2321,J2327))</f>
        <v/>
      </c>
      <c r="L2327" s="1796" t="str">
        <f>IF(L2325="","",IF(OR(L2325,X2319&lt;1),L2321,K2327))</f>
        <v/>
      </c>
      <c r="M2327" s="1796" t="str">
        <f>IF(M2325="","",IF(OR(M2325,Y2319&lt;1),M2321,L2327))</f>
        <v/>
      </c>
      <c r="N2327" s="1796" t="str">
        <f>IF(N2325="","",IF(OR(N2325,Z2319&lt;1),N2321,M2327))</f>
        <v/>
      </c>
      <c r="O2327" s="485"/>
      <c r="P2327" s="485"/>
      <c r="Q2327" s="1435"/>
      <c r="U2327" s="1663" t="s">
        <v>1658</v>
      </c>
      <c r="V2327" s="1670">
        <f>J2324</f>
        <v>2026</v>
      </c>
      <c r="W2327" s="1670">
        <f>K2324</f>
        <v>2027</v>
      </c>
      <c r="X2327" s="1670">
        <f>L2324</f>
        <v>2028</v>
      </c>
      <c r="Y2327" s="1670">
        <f>M2324</f>
        <v>2029</v>
      </c>
      <c r="Z2327" s="1671">
        <f>N2324</f>
        <v>2030</v>
      </c>
      <c r="AL2327" s="1435"/>
    </row>
    <row r="2328" spans="1:38" ht="12.75" customHeight="1" thickBot="1">
      <c r="A2328" s="618"/>
      <c r="B2328" s="479"/>
      <c r="C2328" s="479"/>
      <c r="D2328" s="915" t="s">
        <v>787</v>
      </c>
      <c r="E2328" s="916" t="s">
        <v>1659</v>
      </c>
      <c r="F2328" s="916"/>
      <c r="G2328" s="916"/>
      <c r="H2328" s="944" t="str">
        <f>H2319</f>
        <v>-</v>
      </c>
      <c r="I2328" s="945" t="str">
        <f>I2322</f>
        <v/>
      </c>
      <c r="J2328" s="1698" t="str">
        <f>IF(OR($I2267="",$T2303=FALSE),"",IF(OR($I2328=0,$I2328=EUconst_NA,J2327="",J2324&lt;=$V2267),J2322,$I2328*(1+SUM(J2327))))</f>
        <v/>
      </c>
      <c r="K2328" s="1800" t="str">
        <f>IF(OR($I2267="",$T2303=FALSE),"",IF(OR($I2328=0,$I2328=EUconst_NA,K2327="",K2324&lt;=$V2267),K2322,$I2328*(1+SUM(K2327))))</f>
        <v/>
      </c>
      <c r="L2328" s="1800" t="str">
        <f>IF(OR($I2267="",$T2303=FALSE),"",IF(OR($I2328=0,$I2328=EUconst_NA,L2327="",L2324&lt;=$V2267),L2322,$I2328*(1+SUM(L2327))))</f>
        <v/>
      </c>
      <c r="M2328" s="1800" t="str">
        <f>IF(OR($I2267="",$T2303=FALSE),"",IF(OR($I2328=0,$I2328=EUconst_NA,M2327="",M2324&lt;=$V2267),M2322,$I2328*(1+SUM(M2327))))</f>
        <v/>
      </c>
      <c r="N2328" s="1800" t="str">
        <f>IF(OR($I2267="",$T2303=FALSE),"",IF(OR($I2328=0,$I2328=EUconst_NA,N2327="",N2324&lt;=$V2267),N2322,$I2328*(1+SUM(N2327))))</f>
        <v/>
      </c>
      <c r="O2328" s="485"/>
      <c r="P2328" s="485"/>
      <c r="Q2328" s="1644" t="str">
        <f>EUconst_CNTR_HALfinal&amp;EUconst_CNTR_ELEXCH &amp; I2267</f>
        <v>HALfinal_ELEXCH_</v>
      </c>
      <c r="U2328" s="1674" t="b">
        <v>0</v>
      </c>
      <c r="V2328" s="1675" t="str">
        <f>IF(V2275,IF(J2325=TRUE,V2320,U2328),"")</f>
        <v/>
      </c>
      <c r="W2328" s="1675" t="str">
        <f>IF(W2275,IF(K2325=TRUE,W2320,V2328),"")</f>
        <v/>
      </c>
      <c r="X2328" s="1675" t="str">
        <f>IF(X2275,IF(L2325=TRUE,X2320,W2328),"")</f>
        <v/>
      </c>
      <c r="Y2328" s="1675" t="str">
        <f>IF(Y2275,IF(M2325=TRUE,Y2320,X2328),"")</f>
        <v/>
      </c>
      <c r="Z2328" s="1676" t="str">
        <f>IF(Z2275,IF(N2325=TRUE,Z2320,Y2328),"")</f>
        <v/>
      </c>
      <c r="AJ2328" s="1633" t="s">
        <v>1951</v>
      </c>
      <c r="AK2328" s="1443" t="str">
        <f>IF(OR(ISERROR(J2328),ISERROR(K2328),ISERROR(L2328),ISERROR(M2328),ISERROR(N2328)),EUconst_Error &amp; "BM" &amp; Q2267,"")</f>
        <v/>
      </c>
      <c r="AL2328" s="1435"/>
    </row>
    <row r="2329" spans="1:38" ht="5.0999999999999996" customHeight="1" thickBot="1">
      <c r="B2329" s="479"/>
      <c r="C2329" s="479"/>
      <c r="D2329" s="946"/>
      <c r="E2329" s="947"/>
      <c r="F2329" s="947"/>
      <c r="G2329" s="947"/>
      <c r="H2329" s="947"/>
      <c r="I2329" s="947"/>
      <c r="J2329" s="1700"/>
      <c r="K2329" s="1791"/>
      <c r="L2329" s="1791"/>
      <c r="M2329" s="1791"/>
      <c r="N2329" s="1791"/>
      <c r="O2329" s="485"/>
      <c r="P2329" s="485"/>
      <c r="Q2329" s="1435"/>
    </row>
    <row r="2330" spans="1:38" ht="5.0999999999999996" customHeight="1">
      <c r="B2330" s="479"/>
      <c r="C2330" s="479"/>
      <c r="D2330" s="479"/>
      <c r="E2330" s="479"/>
      <c r="F2330" s="479"/>
      <c r="G2330" s="479"/>
      <c r="H2330" s="479"/>
      <c r="I2330" s="479"/>
      <c r="J2330" s="479"/>
      <c r="K2330" s="479"/>
      <c r="L2330" s="479"/>
      <c r="M2330" s="485"/>
      <c r="N2330" s="485"/>
      <c r="O2330" s="485"/>
      <c r="P2330" s="485"/>
      <c r="Q2330" s="1435"/>
    </row>
    <row r="2331" spans="1:38" ht="12.75" customHeight="1">
      <c r="B2331" s="479"/>
      <c r="C2331" s="479"/>
      <c r="D2331" s="482" t="s">
        <v>881</v>
      </c>
      <c r="E2331" s="2373" t="s">
        <v>941</v>
      </c>
      <c r="F2331" s="2373"/>
      <c r="G2331" s="2373"/>
      <c r="H2331" s="2373"/>
      <c r="I2331" s="2604"/>
      <c r="J2331" s="2652" t="str">
        <f>IF(I2267="","",HYPERLINK(R2331,EUconst_MsgGoOnIfNotRelevant))</f>
        <v/>
      </c>
      <c r="K2331" s="2653"/>
      <c r="L2331" s="2653"/>
      <c r="M2331" s="2653"/>
      <c r="N2331" s="2654"/>
      <c r="O2331" s="485"/>
      <c r="P2331" s="485"/>
      <c r="Q2331" s="1198" t="s">
        <v>441</v>
      </c>
      <c r="R2331" s="1488" t="str">
        <f>"#"&amp;ADDRESS(ROW(D2356),COLUMN(D2356))</f>
        <v>#$D$2356</v>
      </c>
    </row>
    <row r="2332" spans="1:38" ht="12.75" customHeight="1">
      <c r="B2332" s="479"/>
      <c r="C2332" s="479"/>
      <c r="D2332" s="485"/>
      <c r="E2332" s="2385" t="s">
        <v>1368</v>
      </c>
      <c r="F2332" s="2846"/>
      <c r="G2332" s="2846"/>
      <c r="H2332" s="2846"/>
      <c r="I2332" s="2846"/>
      <c r="J2332" s="2846"/>
      <c r="K2332" s="2846"/>
      <c r="L2332" s="2846"/>
      <c r="M2332" s="2846"/>
      <c r="N2332" s="2846"/>
      <c r="O2332" s="485"/>
      <c r="P2332" s="485"/>
      <c r="Q2332" s="1435"/>
      <c r="U2332" s="1435"/>
      <c r="V2332" s="1435"/>
    </row>
    <row r="2333" spans="1:38" ht="12.75" customHeight="1">
      <c r="B2333" s="479"/>
      <c r="C2333" s="479"/>
      <c r="D2333" s="485"/>
      <c r="E2333" s="2385" t="s">
        <v>1474</v>
      </c>
      <c r="F2333" s="2846"/>
      <c r="G2333" s="2846"/>
      <c r="H2333" s="2846"/>
      <c r="I2333" s="2846"/>
      <c r="J2333" s="2846"/>
      <c r="K2333" s="2846"/>
      <c r="L2333" s="2846"/>
      <c r="M2333" s="2846"/>
      <c r="N2333" s="2846"/>
      <c r="O2333" s="485"/>
      <c r="P2333" s="485"/>
      <c r="Q2333" s="1435"/>
      <c r="U2333" s="1435"/>
      <c r="V2333" s="1435"/>
    </row>
    <row r="2334" spans="1:38" ht="12.75" customHeight="1">
      <c r="B2334" s="479"/>
      <c r="C2334" s="479"/>
      <c r="D2334" s="485"/>
      <c r="E2334" s="2385" t="s">
        <v>1300</v>
      </c>
      <c r="F2334" s="2846"/>
      <c r="G2334" s="2846"/>
      <c r="H2334" s="2846"/>
      <c r="I2334" s="2846"/>
      <c r="J2334" s="2846"/>
      <c r="K2334" s="2846"/>
      <c r="L2334" s="2846"/>
      <c r="M2334" s="2846"/>
      <c r="N2334" s="2846"/>
      <c r="O2334" s="485"/>
      <c r="P2334" s="485"/>
      <c r="Q2334" s="1435"/>
      <c r="U2334" s="1435"/>
      <c r="V2334" s="1435"/>
    </row>
    <row r="2335" spans="1:38" ht="12.75" customHeight="1">
      <c r="B2335" s="479"/>
      <c r="C2335" s="479"/>
      <c r="D2335" s="485"/>
      <c r="E2335" s="2385" t="s">
        <v>1608</v>
      </c>
      <c r="F2335" s="2846"/>
      <c r="G2335" s="2846"/>
      <c r="H2335" s="2846"/>
      <c r="I2335" s="2846"/>
      <c r="J2335" s="2846"/>
      <c r="K2335" s="2846"/>
      <c r="L2335" s="2846"/>
      <c r="M2335" s="2846"/>
      <c r="N2335" s="2846"/>
      <c r="O2335" s="485"/>
      <c r="P2335" s="485"/>
      <c r="Q2335" s="1435"/>
      <c r="U2335" s="1435"/>
      <c r="V2335" s="1435"/>
      <c r="W2335" s="1435"/>
      <c r="X2335" s="1435"/>
      <c r="Y2335" s="1435"/>
      <c r="Z2335" s="1435"/>
    </row>
    <row r="2336" spans="1:38" ht="13.5" thickBot="1">
      <c r="B2336" s="1124"/>
      <c r="C2336" s="485"/>
      <c r="D2336" s="482"/>
      <c r="E2336" s="927" t="s">
        <v>62</v>
      </c>
      <c r="F2336" s="518"/>
      <c r="G2336" s="663" t="str">
        <f>EUconst_Unit</f>
        <v>Unit</v>
      </c>
      <c r="H2336" s="578">
        <f>H$3242</f>
        <v>2024</v>
      </c>
      <c r="I2336" s="697">
        <f>I$3242</f>
        <v>2025</v>
      </c>
      <c r="J2336" s="1489">
        <f>J$112</f>
        <v>2026</v>
      </c>
      <c r="K2336" s="1490">
        <f>K$112</f>
        <v>2027</v>
      </c>
      <c r="L2336" s="1490">
        <f>L$112</f>
        <v>2028</v>
      </c>
      <c r="M2336" s="1490">
        <f>M$112</f>
        <v>2029</v>
      </c>
      <c r="N2336" s="1490">
        <f>N$112</f>
        <v>2030</v>
      </c>
      <c r="O2336" s="485"/>
      <c r="P2336" s="485"/>
      <c r="R2336" s="1503"/>
      <c r="S2336" s="1633" t="s">
        <v>1846</v>
      </c>
      <c r="T2336" s="1638">
        <f t="shared" ref="T2336:Z2336" si="1082">H2336</f>
        <v>2024</v>
      </c>
      <c r="U2336" s="1638">
        <f t="shared" si="1082"/>
        <v>2025</v>
      </c>
      <c r="V2336" s="1638">
        <f t="shared" si="1082"/>
        <v>2026</v>
      </c>
      <c r="W2336" s="1638">
        <f t="shared" si="1082"/>
        <v>2027</v>
      </c>
      <c r="X2336" s="1638">
        <f t="shared" si="1082"/>
        <v>2028</v>
      </c>
      <c r="Y2336" s="1638">
        <f t="shared" si="1082"/>
        <v>2029</v>
      </c>
      <c r="Z2336" s="1638">
        <f t="shared" si="1082"/>
        <v>2030</v>
      </c>
      <c r="AA2336" s="1503"/>
      <c r="AC2336" s="1638">
        <f t="shared" ref="AC2336:AI2336" si="1083">H$20</f>
        <v>2024</v>
      </c>
      <c r="AD2336" s="1638">
        <f t="shared" si="1083"/>
        <v>2025</v>
      </c>
      <c r="AE2336" s="1638">
        <f t="shared" si="1083"/>
        <v>2026</v>
      </c>
      <c r="AF2336" s="1638">
        <f t="shared" si="1083"/>
        <v>2027</v>
      </c>
      <c r="AG2336" s="1638">
        <f t="shared" si="1083"/>
        <v>2028</v>
      </c>
      <c r="AH2336" s="1638">
        <f t="shared" si="1083"/>
        <v>2029</v>
      </c>
      <c r="AI2336" s="1638">
        <f t="shared" si="1083"/>
        <v>2030</v>
      </c>
    </row>
    <row r="2337" spans="1:38" ht="13.15" customHeight="1" thickBot="1">
      <c r="B2337" s="1124"/>
      <c r="C2337" s="485"/>
      <c r="D2337" s="561" t="s">
        <v>6</v>
      </c>
      <c r="E2337" s="2788" t="s">
        <v>650</v>
      </c>
      <c r="F2337" s="2788"/>
      <c r="G2337" s="730" t="str">
        <f>EUconst_TJpa</f>
        <v>TJ / year</v>
      </c>
      <c r="H2337" s="1479" t="str">
        <f>c_ALR2025!M4903</f>
        <v/>
      </c>
      <c r="I2337" s="1530"/>
      <c r="J2337" s="1491"/>
      <c r="K2337" s="1492"/>
      <c r="L2337" s="1492"/>
      <c r="M2337" s="1492"/>
      <c r="N2337" s="1492"/>
      <c r="O2337" s="485"/>
      <c r="P2337" s="9">
        <v>0</v>
      </c>
      <c r="Q2337" s="1443" t="str">
        <f>EUconst_CNTR_HAL&amp;EUconst_CNTR_nonETSMeasHeat</f>
        <v>HAL_non-ETS measurable heat</v>
      </c>
      <c r="S2337" s="1633"/>
      <c r="T2337" s="1701" t="str">
        <f t="shared" ref="T2337:Z2337" si="1084">IF(H2337="","",SUM(H2337)*EUconst_HeatBMvalue)</f>
        <v/>
      </c>
      <c r="U2337" s="1701" t="str">
        <f t="shared" si="1084"/>
        <v/>
      </c>
      <c r="V2337" s="1701" t="str">
        <f t="shared" si="1084"/>
        <v/>
      </c>
      <c r="W2337" s="1701" t="str">
        <f t="shared" si="1084"/>
        <v/>
      </c>
      <c r="X2337" s="1701" t="str">
        <f t="shared" si="1084"/>
        <v/>
      </c>
      <c r="Y2337" s="1701" t="str">
        <f t="shared" si="1084"/>
        <v/>
      </c>
      <c r="Z2337" s="1701" t="str">
        <f t="shared" si="1084"/>
        <v/>
      </c>
      <c r="AB2337" s="1641" t="s">
        <v>717</v>
      </c>
      <c r="AC2337" s="1853" t="b">
        <f t="shared" ref="AC2337:AI2337" si="1085">IF(CNTR_ExistSubInstEntries,OR($I2267="",H2274&gt;=CNTR_ReportingYear,AC2336&lt;$V2267-1),FALSE)</f>
        <v>0</v>
      </c>
      <c r="AD2337" s="1642" t="b">
        <f t="shared" si="1085"/>
        <v>0</v>
      </c>
      <c r="AE2337" s="1642" t="b">
        <f t="shared" si="1085"/>
        <v>0</v>
      </c>
      <c r="AF2337" s="1642" t="b">
        <f t="shared" si="1085"/>
        <v>0</v>
      </c>
      <c r="AG2337" s="1642" t="b">
        <f t="shared" si="1085"/>
        <v>0</v>
      </c>
      <c r="AH2337" s="1642" t="b">
        <f t="shared" si="1085"/>
        <v>0</v>
      </c>
      <c r="AI2337" s="1643" t="b">
        <f t="shared" si="1085"/>
        <v>0</v>
      </c>
      <c r="AJ2337" s="1633" t="s">
        <v>1954</v>
      </c>
      <c r="AK2337" s="1635" t="str">
        <f>IF(AND(CNTR_ExistSubInstEntries,COUNTIFS(AC2337:AI2337,FALSE,H2337:N2337,"")&gt;0),EUconst_Error&amp;"BM"&amp;$Q2267,"")</f>
        <v/>
      </c>
    </row>
    <row r="2338" spans="1:38">
      <c r="B2338" s="1124"/>
      <c r="C2338" s="485"/>
      <c r="D2338" s="561" t="s">
        <v>7</v>
      </c>
      <c r="E2338" s="2606" t="s">
        <v>107</v>
      </c>
      <c r="F2338" s="2606"/>
      <c r="G2338" s="950" t="s">
        <v>1022</v>
      </c>
      <c r="H2338" s="36" t="str">
        <f>IF(AND(ISNUMBER(H2337),ISNUMBER(E_EnergyFlows!H$114)), H2337/E_EnergyFlows!H$114*100,"")</f>
        <v/>
      </c>
      <c r="I2338" s="39" t="str">
        <f>IF(AND(ISNUMBER(I2337),ISNUMBER(E_EnergyFlows!I$114)), I2337/E_EnergyFlows!I$114*100,"")</f>
        <v/>
      </c>
      <c r="J2338" s="34" t="str">
        <f>IF(AND(ISNUMBER(J2337),ISNUMBER(E_EnergyFlows!J$114)), J2337/E_EnergyFlows!J$114*100,"")</f>
        <v/>
      </c>
      <c r="K2338" s="21" t="str">
        <f>IF(AND(ISNUMBER(K2337),ISNUMBER(E_EnergyFlows!K$114)), K2337/E_EnergyFlows!K$114*100,"")</f>
        <v/>
      </c>
      <c r="L2338" s="21" t="str">
        <f>IF(AND(ISNUMBER(L2337),ISNUMBER(E_EnergyFlows!L$114)), L2337/E_EnergyFlows!L$114*100,"")</f>
        <v/>
      </c>
      <c r="M2338" s="21" t="str">
        <f>IF(AND(ISNUMBER(M2337),ISNUMBER(E_EnergyFlows!M$114)), M2337/E_EnergyFlows!M$114*100,"")</f>
        <v/>
      </c>
      <c r="N2338" s="21" t="str">
        <f>IF(AND(ISNUMBER(N2337),ISNUMBER(E_EnergyFlows!N$114)), N2337/E_EnergyFlows!N$114*100,"")</f>
        <v/>
      </c>
      <c r="O2338" s="485"/>
      <c r="P2338" s="485"/>
      <c r="Q2338" s="1504" t="str">
        <f>EUconst_CNTR_HEAT &amp; I2267</f>
        <v>HEAT_</v>
      </c>
      <c r="R2338" s="1435"/>
      <c r="U2338" s="1435"/>
      <c r="V2338" s="1435"/>
    </row>
    <row r="2339" spans="1:38" ht="12.6" customHeight="1">
      <c r="B2339" s="1124"/>
      <c r="C2339" s="485"/>
      <c r="D2339" s="561" t="s">
        <v>8</v>
      </c>
      <c r="E2339" s="2586" t="s">
        <v>1548</v>
      </c>
      <c r="F2339" s="2586"/>
      <c r="G2339" s="951" t="s">
        <v>1022</v>
      </c>
      <c r="H2339" s="37" t="str">
        <f>IFERROR(IF(AND(H2480&gt;0,ISNUMBER(H2337)), H2337/H2480*100,""),"")</f>
        <v/>
      </c>
      <c r="I2339" s="40" t="str">
        <f t="shared" ref="I2339:N2339" si="1086">IF(AND(I2480&gt;0,ISNUMBER(I2337)), I2337/I2480*100,"")</f>
        <v/>
      </c>
      <c r="J2339" s="34" t="str">
        <f t="shared" si="1086"/>
        <v/>
      </c>
      <c r="K2339" s="21" t="str">
        <f t="shared" si="1086"/>
        <v/>
      </c>
      <c r="L2339" s="21" t="str">
        <f t="shared" si="1086"/>
        <v/>
      </c>
      <c r="M2339" s="21" t="str">
        <f t="shared" si="1086"/>
        <v/>
      </c>
      <c r="N2339" s="21" t="str">
        <f t="shared" si="1086"/>
        <v/>
      </c>
      <c r="O2339" s="485"/>
      <c r="P2339" s="485"/>
      <c r="U2339" s="1435"/>
      <c r="V2339" s="1435"/>
    </row>
    <row r="2340" spans="1:38" ht="5.0999999999999996" customHeight="1">
      <c r="B2340" s="1124"/>
      <c r="C2340" s="485"/>
      <c r="D2340" s="485"/>
      <c r="E2340" s="485"/>
      <c r="F2340" s="485"/>
      <c r="G2340" s="485"/>
      <c r="H2340" s="485"/>
      <c r="I2340" s="952"/>
      <c r="J2340" s="485"/>
      <c r="K2340" s="485"/>
      <c r="L2340" s="485"/>
      <c r="M2340" s="485"/>
      <c r="N2340" s="485"/>
      <c r="O2340" s="485"/>
      <c r="P2340" s="485"/>
      <c r="Q2340" s="1702"/>
      <c r="U2340" s="1435"/>
      <c r="V2340" s="1435"/>
    </row>
    <row r="2341" spans="1:38" ht="25.5" customHeight="1" thickBot="1">
      <c r="B2341" s="479"/>
      <c r="C2341" s="479"/>
      <c r="D2341" s="485"/>
      <c r="E2341" s="2385" t="s">
        <v>2737</v>
      </c>
      <c r="F2341" s="2846"/>
      <c r="G2341" s="2846"/>
      <c r="H2341" s="2846"/>
      <c r="I2341" s="2846"/>
      <c r="J2341" s="2846"/>
      <c r="K2341" s="2846"/>
      <c r="L2341" s="2846"/>
      <c r="M2341" s="2846"/>
      <c r="N2341" s="2846"/>
      <c r="O2341" s="485"/>
      <c r="P2341" s="485"/>
      <c r="Q2341" s="1435"/>
      <c r="S2341" s="1435"/>
      <c r="T2341" s="1435"/>
      <c r="U2341" s="1435"/>
    </row>
    <row r="2342" spans="1:38" ht="5.0999999999999996" customHeight="1" thickBot="1">
      <c r="B2342" s="479"/>
      <c r="C2342" s="479"/>
      <c r="D2342" s="902"/>
      <c r="E2342" s="904"/>
      <c r="F2342" s="953"/>
      <c r="G2342" s="953"/>
      <c r="H2342" s="953"/>
      <c r="I2342" s="953"/>
      <c r="J2342" s="954"/>
      <c r="K2342" s="1798"/>
      <c r="L2342" s="1798"/>
      <c r="M2342" s="1798"/>
      <c r="N2342" s="1798"/>
      <c r="O2342" s="485"/>
      <c r="P2342" s="485"/>
      <c r="Q2342" s="1435"/>
      <c r="S2342" s="1435"/>
      <c r="T2342" s="1435"/>
      <c r="U2342" s="1435"/>
    </row>
    <row r="2343" spans="1:38" ht="12.75" customHeight="1">
      <c r="B2343" s="479"/>
      <c r="C2343" s="479"/>
      <c r="D2343" s="907" t="s">
        <v>1916</v>
      </c>
      <c r="E2343" s="908" t="s">
        <v>1774</v>
      </c>
      <c r="F2343" s="909"/>
      <c r="G2343" s="909"/>
      <c r="H2343" s="910" t="str">
        <f>EUconst_Unit</f>
        <v>Unit</v>
      </c>
      <c r="I2343" s="911" t="s">
        <v>2220</v>
      </c>
      <c r="J2343" s="1647">
        <f>J$3242</f>
        <v>2026</v>
      </c>
      <c r="K2343" s="1490">
        <f>K$3242</f>
        <v>2027</v>
      </c>
      <c r="L2343" s="1490">
        <f>L$3242</f>
        <v>2028</v>
      </c>
      <c r="M2343" s="1490">
        <f>M$3242</f>
        <v>2029</v>
      </c>
      <c r="N2343" s="1490">
        <f>N$3242</f>
        <v>2030</v>
      </c>
      <c r="O2343" s="485"/>
      <c r="P2343" s="485"/>
      <c r="Q2343" s="1435"/>
      <c r="U2343" s="1648"/>
      <c r="V2343" s="1649">
        <f>J2343</f>
        <v>2026</v>
      </c>
      <c r="W2343" s="1649">
        <f>K2343</f>
        <v>2027</v>
      </c>
      <c r="X2343" s="1649">
        <f>L2343</f>
        <v>2028</v>
      </c>
      <c r="Y2343" s="1649">
        <f>M2343</f>
        <v>2029</v>
      </c>
      <c r="Z2343" s="1650">
        <f>N2343</f>
        <v>2030</v>
      </c>
    </row>
    <row r="2344" spans="1:38" ht="12.75" customHeight="1">
      <c r="B2344" s="479"/>
      <c r="C2344" s="479"/>
      <c r="D2344" s="915" t="s">
        <v>6</v>
      </c>
      <c r="E2344" s="916" t="s">
        <v>1691</v>
      </c>
      <c r="F2344" s="916"/>
      <c r="G2344" s="916"/>
      <c r="H2344" s="944" t="str">
        <f>EUconst_tCO2</f>
        <v>t CO2</v>
      </c>
      <c r="I2344" s="917" t="str">
        <f>INDEX('B+C_SubInstallations'!$J:$J,MATCH(Q2344,'B+C_SubInstallations'!$U:$U,0))</f>
        <v/>
      </c>
      <c r="J2344" s="1703" t="str">
        <f>IF(AND(V2344&gt;=3,CNTR_ReportingYear&gt;J2343-1),AVERAGE(SUM(T2337),SUM(U2337)),"")</f>
        <v/>
      </c>
      <c r="K2344" s="1799" t="str">
        <f>IF(AND(W2344&gt;=3,CNTR_ReportingYear&gt;K2343-1),AVERAGE(SUM(U2337),SUM(V2337)),"")</f>
        <v/>
      </c>
      <c r="L2344" s="1799" t="str">
        <f>IF(AND(X2344&gt;=3,CNTR_ReportingYear&gt;L2343-1),AVERAGE(SUM(V2337),SUM(W2337)),"")</f>
        <v/>
      </c>
      <c r="M2344" s="1799" t="str">
        <f>IF(AND(Y2344&gt;=3,CNTR_ReportingYear&gt;M2343-1),AVERAGE(SUM(W2337),SUM(X2337)),"")</f>
        <v/>
      </c>
      <c r="N2344" s="1799" t="str">
        <f>IF(AND(Z2344&gt;=3,CNTR_ReportingYear&gt;N2343-1),AVERAGE(SUM(X2337),SUM(Y2337)),"")</f>
        <v/>
      </c>
      <c r="O2344" s="485"/>
      <c r="P2344" s="485"/>
      <c r="Q2344" s="1704" t="str">
        <f>EUconst_CNTR_HEATInitial &amp; I2267</f>
        <v>HEATIni_</v>
      </c>
      <c r="U2344" s="1663" t="s">
        <v>1650</v>
      </c>
      <c r="V2344" s="1635">
        <f>V2289</f>
        <v>0</v>
      </c>
      <c r="W2344" s="1635">
        <f>W2289</f>
        <v>0</v>
      </c>
      <c r="X2344" s="1635">
        <f>X2289</f>
        <v>0</v>
      </c>
      <c r="Y2344" s="1635">
        <f>Y2289</f>
        <v>0</v>
      </c>
      <c r="Z2344" s="1654">
        <f>Z2289</f>
        <v>0</v>
      </c>
    </row>
    <row r="2345" spans="1:38" ht="12.75" hidden="1" customHeight="1">
      <c r="A2345" s="618" t="s">
        <v>2289</v>
      </c>
      <c r="B2345" s="479"/>
      <c r="C2345" s="479"/>
      <c r="D2345" s="915"/>
      <c r="E2345" s="916" t="s">
        <v>1776</v>
      </c>
      <c r="F2345" s="916"/>
      <c r="G2345" s="916"/>
      <c r="H2345" s="921"/>
      <c r="I2345" s="1657"/>
      <c r="J2345" s="17" t="str">
        <f>IF(J2344="","",IF($I2347=0,IF(J2344=0,0%,100%),J2344/$I2347-1))</f>
        <v/>
      </c>
      <c r="K2345" s="22" t="str">
        <f>IF(K2344="","",IF($I2347=0,IF(K2344=0,0%,100%),K2344/$I2347-1))</f>
        <v/>
      </c>
      <c r="L2345" s="22" t="str">
        <f>IF(L2344="","",IF($I2347=0,IF(L2344=0,0%,100%),L2344/$I2347-1))</f>
        <v/>
      </c>
      <c r="M2345" s="22" t="str">
        <f>IF(M2344="","",IF($I2347=0,IF(M2344=0,0%,100%),M2344/$I2347-1))</f>
        <v/>
      </c>
      <c r="N2345" s="22" t="str">
        <f>IF(N2344="","",IF($I2347=0,IF(N2344=0,0%,100%),N2344/$I2347-1))</f>
        <v/>
      </c>
      <c r="O2345" s="485"/>
      <c r="P2345" s="485"/>
      <c r="Q2345" s="1644" t="str">
        <f>EUconst_CNTR_RelThreshold &amp; Q2347</f>
        <v>RelThresh_HEATprelim_</v>
      </c>
      <c r="U2345" s="1663" t="s">
        <v>1655</v>
      </c>
      <c r="V2345" s="1158" t="str">
        <f>IF(J2344="","",ABS(J2345)&gt;15%)</f>
        <v/>
      </c>
      <c r="W2345" s="1158" t="str">
        <f>IF(K2344="","",ABS(K2345)&gt;15%)</f>
        <v/>
      </c>
      <c r="X2345" s="1158" t="str">
        <f>IF(L2344="","",ABS(L2345)&gt;15%)</f>
        <v/>
      </c>
      <c r="Y2345" s="1158" t="str">
        <f>IF(M2344="","",ABS(M2345)&gt;15%)</f>
        <v/>
      </c>
      <c r="Z2345" s="1656" t="str">
        <f>IF(N2344="","",ABS(N2345)&gt;15%)</f>
        <v/>
      </c>
    </row>
    <row r="2346" spans="1:38" ht="12.75" customHeight="1">
      <c r="A2346" s="618"/>
      <c r="B2346" s="479"/>
      <c r="C2346" s="479"/>
      <c r="D2346" s="915" t="s">
        <v>7</v>
      </c>
      <c r="E2346" s="916" t="s">
        <v>1654</v>
      </c>
      <c r="F2346" s="916"/>
      <c r="G2346" s="916"/>
      <c r="H2346" s="921"/>
      <c r="I2346" s="1657"/>
      <c r="J2346" s="1658" t="str">
        <f>IF(J2344="","",IF(V2345=FALSE,0%,J2345))</f>
        <v/>
      </c>
      <c r="K2346" s="1795" t="str">
        <f>IF(K2344="","",IF(W2345=FALSE,0%,K2345))</f>
        <v/>
      </c>
      <c r="L2346" s="1795" t="str">
        <f>IF(L2344="","",IF(X2345=FALSE,0%,L2345))</f>
        <v/>
      </c>
      <c r="M2346" s="1795" t="str">
        <f>IF(M2344="","",IF(Y2345=FALSE,0%,M2345))</f>
        <v/>
      </c>
      <c r="N2346" s="1795" t="str">
        <f>IF(N2344="","",IF(Z2345=FALSE,0%,N2345))</f>
        <v/>
      </c>
      <c r="O2346" s="485"/>
      <c r="P2346" s="485"/>
      <c r="Q2346" s="1435"/>
      <c r="U2346" s="1665"/>
      <c r="Z2346" s="1664"/>
      <c r="AL2346" s="1435"/>
    </row>
    <row r="2347" spans="1:38" ht="12.75" hidden="1" customHeight="1">
      <c r="A2347" s="618" t="s">
        <v>2289</v>
      </c>
      <c r="B2347" s="479"/>
      <c r="C2347" s="479"/>
      <c r="D2347" s="915"/>
      <c r="E2347" s="916" t="s">
        <v>1689</v>
      </c>
      <c r="F2347" s="916"/>
      <c r="G2347" s="916"/>
      <c r="H2347" s="944" t="str">
        <f>H2344</f>
        <v>t CO2</v>
      </c>
      <c r="I2347" s="917" t="str">
        <f>IF($I2267="","",IF(AB2267=FALSE,EUconst_NA,IF(V2267&gt;($J$3242-3),SUM(INDEX(H2337:N2337,MATCH(V2267,H2336:N2336,0))*EUconst_HeatBMvalue),SUM(I2344))))</f>
        <v/>
      </c>
      <c r="J2347" s="1651" t="str">
        <f>IF($I2267="","",IF(V2344&lt;2,SUM(V2337),IF(V2344&lt;3,SUM(U2337),IF(V2347="",I2347,V2347))))</f>
        <v/>
      </c>
      <c r="K2347" s="1799" t="str">
        <f>IF($I2267="","",IF(W2344&lt;2,SUM(W2337),IF(W2344&lt;3,SUM(V2337),IF(W2347="",J2347,W2347))))</f>
        <v/>
      </c>
      <c r="L2347" s="1799" t="str">
        <f>IF($I2267="","",IF(X2344&lt;2,SUM(X2337),IF(X2344&lt;3,SUM(W2337),IF(X2347="",K2347,X2347))))</f>
        <v/>
      </c>
      <c r="M2347" s="1799" t="str">
        <f>IF($I2267="","",IF(Y2344&lt;2,SUM(Y2337),IF(Y2344&lt;3,SUM(X2337),IF(Y2347="",L2347,Y2347))))</f>
        <v/>
      </c>
      <c r="N2347" s="1799" t="str">
        <f>IF($I2267="","",IF(Z2344&lt;2,SUM(Z2337),IF(Z2344&lt;3,SUM(Y2337),IF(Z2347="",M2347,Z2347))))</f>
        <v/>
      </c>
      <c r="O2347" s="485"/>
      <c r="P2347" s="485"/>
      <c r="Q2347" s="1644" t="str">
        <f>EUconst_CNTR_HEATprelim &amp; I2267</f>
        <v>HEATprelim_</v>
      </c>
      <c r="U2347" s="1663" t="s">
        <v>1697</v>
      </c>
      <c r="V2347" s="1705" t="str">
        <f>IF(J2344="","",IF(CNTR_ReportingYear&lt;J2343,I2346,IF($I2347=0,J2344,$I2347*(1+J2346))))</f>
        <v/>
      </c>
      <c r="W2347" s="1705" t="str">
        <f>IF(K2344="","",IF(CNTR_ReportingYear&lt;K2343,J2346,IF($I2347=0,K2344,$I2347*(1+K2346))))</f>
        <v/>
      </c>
      <c r="X2347" s="1705" t="str">
        <f>IF(L2344="","",IF(CNTR_ReportingYear&lt;L2343,K2346,IF($I2347=0,L2344,$I2347*(1+L2346))))</f>
        <v/>
      </c>
      <c r="Y2347" s="1705" t="str">
        <f>IF(M2344="","",IF(CNTR_ReportingYear&lt;M2343,L2346,IF($I2347=0,M2344,$I2347*(1+M2346))))</f>
        <v/>
      </c>
      <c r="Z2347" s="1706" t="str">
        <f>IF(N2344="","",IF(CNTR_ReportingYear&lt;N2343,M2346,IF($I2347=0,N2344,$I2347*(1+N2346))))</f>
        <v/>
      </c>
      <c r="AL2347" s="1435"/>
    </row>
    <row r="2348" spans="1:38" ht="5.0999999999999996" customHeight="1">
      <c r="A2348" s="618"/>
      <c r="B2348" s="479"/>
      <c r="C2348" s="479"/>
      <c r="D2348" s="915"/>
      <c r="E2348" s="909"/>
      <c r="F2348" s="909"/>
      <c r="G2348" s="909"/>
      <c r="H2348" s="909"/>
      <c r="I2348" s="909"/>
      <c r="J2348" s="922"/>
      <c r="K2348" s="1791"/>
      <c r="L2348" s="1791"/>
      <c r="M2348" s="1791"/>
      <c r="N2348" s="1791"/>
      <c r="O2348" s="485"/>
      <c r="P2348" s="485"/>
      <c r="Q2348" s="1435"/>
      <c r="U2348" s="1663"/>
      <c r="V2348" s="1435"/>
      <c r="Z2348" s="1664"/>
      <c r="AL2348" s="1435"/>
    </row>
    <row r="2349" spans="1:38" ht="12.75" customHeight="1">
      <c r="A2349" s="618"/>
      <c r="B2349" s="479"/>
      <c r="C2349" s="479"/>
      <c r="D2349" s="915"/>
      <c r="E2349" s="923" t="s">
        <v>1653</v>
      </c>
      <c r="F2349" s="923"/>
      <c r="G2349" s="923"/>
      <c r="H2349" s="923"/>
      <c r="I2349" s="923"/>
      <c r="J2349" s="1647">
        <f>J$3242</f>
        <v>2026</v>
      </c>
      <c r="K2349" s="1490">
        <f>K$3242</f>
        <v>2027</v>
      </c>
      <c r="L2349" s="1490">
        <f>L$3242</f>
        <v>2028</v>
      </c>
      <c r="M2349" s="1490">
        <f>M$3242</f>
        <v>2029</v>
      </c>
      <c r="N2349" s="1490">
        <f>N$3242</f>
        <v>2030</v>
      </c>
      <c r="O2349" s="485"/>
      <c r="P2349" s="485"/>
      <c r="Q2349" s="1435"/>
      <c r="U2349" s="1665"/>
      <c r="Z2349" s="1664"/>
      <c r="AL2349" s="1435"/>
    </row>
    <row r="2350" spans="1:38" ht="12.75" customHeight="1">
      <c r="A2350" s="618"/>
      <c r="B2350" s="479"/>
      <c r="C2350" s="479"/>
      <c r="D2350" s="915" t="s">
        <v>8</v>
      </c>
      <c r="E2350" s="916" t="s">
        <v>2108</v>
      </c>
      <c r="F2350" s="916"/>
      <c r="G2350" s="916"/>
      <c r="H2350" s="916"/>
      <c r="I2350" s="916"/>
      <c r="J2350" s="1666" t="str">
        <f>IF($I2267="","",INDEX(K_Summary!J:J,MATCH($Q2350,K_Summary!$P:$P,0)))</f>
        <v/>
      </c>
      <c r="K2350" s="1791" t="str">
        <f>IF($I2267="","",INDEX(K_Summary!K:K,MATCH($Q2350,K_Summary!$P:$P,0)))</f>
        <v/>
      </c>
      <c r="L2350" s="1791" t="str">
        <f>IF($I2267="","",INDEX(K_Summary!L:L,MATCH($Q2350,K_Summary!$P:$P,0)))</f>
        <v/>
      </c>
      <c r="M2350" s="1791" t="str">
        <f>IF($I2267="","",INDEX(K_Summary!M:M,MATCH($Q2350,K_Summary!$P:$P,0)))</f>
        <v/>
      </c>
      <c r="N2350" s="1791" t="str">
        <f>IF($I2267="","",INDEX(K_Summary!N:N,MATCH($Q2350,K_Summary!$P:$P,0)))</f>
        <v/>
      </c>
      <c r="O2350" s="485"/>
      <c r="P2350" s="485"/>
      <c r="Q2350" s="1644" t="str">
        <f>EUconst_CNTR_100EUA_HEAT&amp;I2267</f>
        <v>EUA100HEAT_</v>
      </c>
      <c r="U2350" s="1665"/>
      <c r="Z2350" s="1664"/>
      <c r="AL2350" s="1435"/>
    </row>
    <row r="2351" spans="1:38" ht="5.0999999999999996" customHeight="1" thickBot="1">
      <c r="A2351" s="618"/>
      <c r="B2351" s="479"/>
      <c r="C2351" s="479"/>
      <c r="D2351" s="915"/>
      <c r="E2351" s="909"/>
      <c r="F2351" s="909"/>
      <c r="G2351" s="909"/>
      <c r="H2351" s="909"/>
      <c r="I2351" s="909"/>
      <c r="J2351" s="922"/>
      <c r="K2351" s="1791"/>
      <c r="L2351" s="1791"/>
      <c r="M2351" s="1791"/>
      <c r="N2351" s="1791"/>
      <c r="O2351" s="485"/>
      <c r="P2351" s="485"/>
      <c r="Q2351" s="1435"/>
      <c r="U2351" s="1663"/>
      <c r="V2351" s="1435"/>
      <c r="Z2351" s="1664"/>
      <c r="AL2351" s="1435"/>
    </row>
    <row r="2352" spans="1:38" ht="12.75" customHeight="1" thickBot="1">
      <c r="B2352" s="479"/>
      <c r="C2352" s="479"/>
      <c r="D2352" s="915" t="s">
        <v>18</v>
      </c>
      <c r="E2352" s="916" t="s">
        <v>1657</v>
      </c>
      <c r="F2352" s="916"/>
      <c r="G2352" s="916"/>
      <c r="H2352" s="921"/>
      <c r="I2352" s="1667"/>
      <c r="J2352" s="1668" t="str">
        <f>IF(J2350="","",IF(OR(J2350,V2344&lt;1),J2346,I2352))</f>
        <v/>
      </c>
      <c r="K2352" s="1796" t="str">
        <f>IF(K2350="","",IF(OR(K2350,W2344&lt;1),K2346,J2352))</f>
        <v/>
      </c>
      <c r="L2352" s="1796" t="str">
        <f>IF(L2350="","",IF(OR(L2350,X2344&lt;1),L2346,K2352))</f>
        <v/>
      </c>
      <c r="M2352" s="1796" t="str">
        <f>IF(M2350="","",IF(OR(M2350,Y2344&lt;1),M2346,L2352))</f>
        <v/>
      </c>
      <c r="N2352" s="1796" t="str">
        <f>IF(N2350="","",IF(OR(N2350,Z2344&lt;1),N2346,M2352))</f>
        <v/>
      </c>
      <c r="O2352" s="485"/>
      <c r="P2352" s="485"/>
      <c r="Q2352" s="1435"/>
      <c r="U2352" s="1663" t="s">
        <v>1658</v>
      </c>
      <c r="V2352" s="1670">
        <f>J2349</f>
        <v>2026</v>
      </c>
      <c r="W2352" s="1670">
        <f>K2349</f>
        <v>2027</v>
      </c>
      <c r="X2352" s="1670">
        <f>L2349</f>
        <v>2028</v>
      </c>
      <c r="Y2352" s="1670">
        <f>M2349</f>
        <v>2029</v>
      </c>
      <c r="Z2352" s="1671">
        <f>N2349</f>
        <v>2030</v>
      </c>
      <c r="AL2352" s="1435"/>
    </row>
    <row r="2353" spans="1:37" ht="12.75" customHeight="1" thickBot="1">
      <c r="A2353" s="618"/>
      <c r="B2353" s="479"/>
      <c r="C2353" s="479"/>
      <c r="D2353" s="915" t="s">
        <v>787</v>
      </c>
      <c r="E2353" s="916" t="s">
        <v>1659</v>
      </c>
      <c r="F2353" s="916"/>
      <c r="G2353" s="916"/>
      <c r="H2353" s="944" t="str">
        <f>H2344</f>
        <v>t CO2</v>
      </c>
      <c r="I2353" s="917" t="str">
        <f>I2347</f>
        <v/>
      </c>
      <c r="J2353" s="1672" t="str">
        <f>IF($I2267="","",IF(OR($I2353=0,$I2353=EUconst_NA,J2352=""),IF(OR(J2350=TRUE,J2349&lt;=$V2267),J2347,SUM(I2353)),$I2353*(1+SUM(J2352))))</f>
        <v/>
      </c>
      <c r="K2353" s="1800" t="str">
        <f>IF($I2267="","",IF(OR($I2353=0,$I2353=EUconst_NA,K2352=""),IF(OR(K2350=TRUE,K2349&lt;=$V2267),K2347,SUM(J2353)),$I2353*(1+SUM(K2352))))</f>
        <v/>
      </c>
      <c r="L2353" s="1800" t="str">
        <f>IF($I2267="","",IF(OR($I2353=0,$I2353=EUconst_NA,L2352=""),IF(OR(L2350=TRUE,L2349&lt;=$V2267),L2347,SUM(K2353)),$I2353*(1+SUM(L2352))))</f>
        <v/>
      </c>
      <c r="M2353" s="1800" t="str">
        <f>IF($I2267="","",IF(OR($I2353=0,$I2353=EUconst_NA,M2352=""),IF(OR(M2350=TRUE,M2349&lt;=$V2267),M2347,SUM(L2353)),$I2353*(1+SUM(M2352))))</f>
        <v/>
      </c>
      <c r="N2353" s="1800" t="str">
        <f>IF($I2267="","",IF(OR($I2353=0,$I2353=EUconst_NA,N2352=""),IF(OR(N2350=TRUE,N2349&lt;=$V2267),N2347,SUM(M2353)),$I2353*(1+SUM(N2352))))</f>
        <v/>
      </c>
      <c r="O2353" s="485"/>
      <c r="P2353" s="485"/>
      <c r="Q2353" s="1644" t="str">
        <f>EUconst_CNTR_HEATfinal &amp; I2267</f>
        <v>HEATfinal_</v>
      </c>
      <c r="U2353" s="1674" t="b">
        <v>0</v>
      </c>
      <c r="V2353" s="1675" t="str">
        <f>IF(V2275,IF(J2350=TRUE,V2345,U2353),"")</f>
        <v/>
      </c>
      <c r="W2353" s="1675" t="str">
        <f>IF(W2275,IF(K2350=TRUE,W2345,V2353),"")</f>
        <v/>
      </c>
      <c r="X2353" s="1675" t="str">
        <f>IF(X2275,IF(L2350=TRUE,X2345,W2353),"")</f>
        <v/>
      </c>
      <c r="Y2353" s="1675" t="str">
        <f>IF(Y2275,IF(M2350=TRUE,Y2345,X2353),"")</f>
        <v/>
      </c>
      <c r="Z2353" s="1676" t="str">
        <f>IF(Z2275,IF(N2350=TRUE,Z2345,Y2353),"")</f>
        <v/>
      </c>
      <c r="AJ2353" s="1633" t="s">
        <v>1951</v>
      </c>
      <c r="AK2353" s="1443" t="str">
        <f>IF(OR(ISERROR(J2353),ISERROR(K2353),ISERROR(L2353),ISERROR(M2353),ISERROR(N2353)),EUconst_Error &amp; "BM" &amp; Q2267,"")</f>
        <v/>
      </c>
    </row>
    <row r="2354" spans="1:37" ht="5.0999999999999996" customHeight="1" thickBot="1">
      <c r="B2354" s="1124"/>
      <c r="C2354" s="485"/>
      <c r="D2354" s="924"/>
      <c r="E2354" s="925"/>
      <c r="F2354" s="925"/>
      <c r="G2354" s="925"/>
      <c r="H2354" s="925"/>
      <c r="I2354" s="955"/>
      <c r="J2354" s="926"/>
      <c r="K2354" s="1791"/>
      <c r="L2354" s="1791"/>
      <c r="M2354" s="1791"/>
      <c r="N2354" s="1791"/>
      <c r="O2354" s="485"/>
      <c r="P2354" s="485"/>
      <c r="Q2354" s="1702"/>
      <c r="S2354" s="1435"/>
      <c r="T2354" s="1435"/>
    </row>
    <row r="2355" spans="1:37" ht="5.0999999999999996" customHeight="1">
      <c r="B2355" s="1124"/>
      <c r="C2355" s="485"/>
      <c r="D2355" s="485"/>
      <c r="E2355" s="485"/>
      <c r="F2355" s="485"/>
      <c r="G2355" s="485"/>
      <c r="H2355" s="485"/>
      <c r="I2355" s="952"/>
      <c r="J2355" s="485"/>
      <c r="K2355" s="485"/>
      <c r="L2355" s="485"/>
      <c r="M2355" s="485"/>
      <c r="N2355" s="485"/>
      <c r="O2355" s="485"/>
      <c r="P2355" s="485"/>
      <c r="Q2355" s="1702"/>
      <c r="S2355" s="1435"/>
      <c r="T2355" s="1435"/>
    </row>
    <row r="2356" spans="1:37" ht="15" customHeight="1">
      <c r="B2356" s="1124"/>
      <c r="C2356" s="856"/>
      <c r="D2356" s="2482" t="s">
        <v>103</v>
      </c>
      <c r="E2356" s="2400"/>
      <c r="F2356" s="2400"/>
      <c r="G2356" s="2400"/>
      <c r="H2356" s="2400"/>
      <c r="I2356" s="2400"/>
      <c r="J2356" s="2400"/>
      <c r="K2356" s="2400"/>
      <c r="L2356" s="2400"/>
      <c r="M2356" s="2400"/>
      <c r="N2356" s="2400"/>
      <c r="O2356" s="485"/>
      <c r="P2356" s="485"/>
      <c r="S2356" s="1435"/>
      <c r="T2356" s="1435"/>
    </row>
    <row r="2357" spans="1:37" ht="5.0999999999999996" customHeight="1">
      <c r="B2357" s="479"/>
      <c r="C2357" s="479"/>
      <c r="D2357" s="479"/>
      <c r="E2357" s="479"/>
      <c r="F2357" s="479"/>
      <c r="G2357" s="479"/>
      <c r="H2357" s="479"/>
      <c r="I2357" s="479"/>
      <c r="J2357" s="479"/>
      <c r="K2357" s="479"/>
      <c r="L2357" s="479"/>
      <c r="M2357" s="479"/>
      <c r="N2357" s="479"/>
      <c r="O2357" s="485"/>
      <c r="P2357" s="485"/>
      <c r="Q2357" s="1435"/>
      <c r="R2357" s="1435"/>
      <c r="S2357" s="1435"/>
      <c r="T2357" s="1435"/>
    </row>
    <row r="2358" spans="1:37" ht="12.75" customHeight="1">
      <c r="B2358" s="479"/>
      <c r="C2358" s="482"/>
      <c r="D2358" s="482" t="s">
        <v>57</v>
      </c>
      <c r="E2358" s="2373" t="s">
        <v>108</v>
      </c>
      <c r="F2358" s="2400"/>
      <c r="G2358" s="2400"/>
      <c r="H2358" s="2400"/>
      <c r="I2358" s="2400"/>
      <c r="J2358" s="2400"/>
      <c r="K2358" s="2400"/>
      <c r="L2358" s="2400"/>
      <c r="M2358" s="2400"/>
      <c r="N2358" s="2400"/>
      <c r="O2358" s="485"/>
      <c r="P2358" s="485"/>
      <c r="Q2358" s="1435"/>
      <c r="S2358" s="1435"/>
      <c r="T2358" s="1435"/>
    </row>
    <row r="2359" spans="1:37" ht="25.5" customHeight="1">
      <c r="B2359" s="479"/>
      <c r="C2359" s="485"/>
      <c r="D2359" s="485"/>
      <c r="E2359" s="2465" t="s">
        <v>1935</v>
      </c>
      <c r="F2359" s="2400"/>
      <c r="G2359" s="2400"/>
      <c r="H2359" s="2400"/>
      <c r="I2359" s="2400"/>
      <c r="J2359" s="2400"/>
      <c r="K2359" s="2400"/>
      <c r="L2359" s="2400"/>
      <c r="M2359" s="2400"/>
      <c r="N2359" s="2400"/>
      <c r="O2359" s="485"/>
      <c r="P2359" s="485"/>
      <c r="Q2359" s="1435"/>
      <c r="S2359" s="1435"/>
      <c r="T2359" s="1435"/>
    </row>
    <row r="2360" spans="1:37" ht="25.5" customHeight="1">
      <c r="B2360" s="479"/>
      <c r="C2360" s="485"/>
      <c r="D2360" s="485"/>
      <c r="E2360" s="2385" t="s">
        <v>1636</v>
      </c>
      <c r="F2360" s="2846"/>
      <c r="G2360" s="2846"/>
      <c r="H2360" s="2846"/>
      <c r="I2360" s="2846"/>
      <c r="J2360" s="2846"/>
      <c r="K2360" s="2846"/>
      <c r="L2360" s="2846"/>
      <c r="M2360" s="2846"/>
      <c r="N2360" s="2846"/>
      <c r="O2360" s="485"/>
      <c r="P2360" s="485"/>
      <c r="Q2360" s="1435"/>
      <c r="S2360" s="1435"/>
      <c r="T2360" s="1435"/>
    </row>
    <row r="2361" spans="1:37" ht="12.75" customHeight="1">
      <c r="B2361" s="479"/>
      <c r="C2361" s="485"/>
      <c r="D2361" s="485"/>
      <c r="E2361" s="2385" t="s">
        <v>2119</v>
      </c>
      <c r="F2361" s="2846"/>
      <c r="G2361" s="2846"/>
      <c r="H2361" s="2846"/>
      <c r="I2361" s="2846"/>
      <c r="J2361" s="2846"/>
      <c r="K2361" s="2846"/>
      <c r="L2361" s="2846"/>
      <c r="M2361" s="2846"/>
      <c r="N2361" s="2846"/>
      <c r="O2361" s="485"/>
      <c r="P2361" s="485"/>
      <c r="Q2361" s="1435"/>
      <c r="S2361" s="1435"/>
      <c r="T2361" s="1435"/>
    </row>
    <row r="2362" spans="1:37">
      <c r="B2362" s="479"/>
      <c r="C2362" s="485"/>
      <c r="D2362" s="485"/>
      <c r="E2362" s="2677" t="s">
        <v>2120</v>
      </c>
      <c r="F2362" s="2364"/>
      <c r="G2362" s="2364"/>
      <c r="H2362" s="2364"/>
      <c r="I2362" s="2364"/>
      <c r="J2362" s="2364"/>
      <c r="K2362" s="2364"/>
      <c r="L2362" s="2364"/>
      <c r="M2362" s="2364"/>
      <c r="N2362" s="2364"/>
      <c r="O2362" s="485"/>
      <c r="P2362" s="485"/>
      <c r="Q2362" s="1435"/>
      <c r="S2362" s="1435"/>
      <c r="T2362" s="1435"/>
    </row>
    <row r="2363" spans="1:37" ht="5.0999999999999996" customHeight="1">
      <c r="B2363" s="479"/>
      <c r="C2363" s="479"/>
      <c r="D2363" s="479"/>
      <c r="E2363" s="479"/>
      <c r="F2363" s="479"/>
      <c r="G2363" s="479"/>
      <c r="H2363" s="479"/>
      <c r="I2363" s="479"/>
      <c r="J2363" s="479"/>
      <c r="K2363" s="479"/>
      <c r="L2363" s="479"/>
      <c r="M2363" s="479"/>
      <c r="N2363" s="479"/>
      <c r="O2363" s="485"/>
      <c r="P2363" s="485"/>
      <c r="Q2363" s="1435"/>
      <c r="R2363" s="1435"/>
      <c r="S2363" s="1435"/>
      <c r="T2363" s="1435"/>
    </row>
    <row r="2364" spans="1:37" ht="12.75" customHeight="1">
      <c r="B2364" s="479"/>
      <c r="C2364" s="482"/>
      <c r="D2364" s="482" t="s">
        <v>58</v>
      </c>
      <c r="E2364" s="2373" t="s">
        <v>1013</v>
      </c>
      <c r="F2364" s="2400"/>
      <c r="G2364" s="2400"/>
      <c r="H2364" s="2400"/>
      <c r="I2364" s="2400"/>
      <c r="J2364" s="2400"/>
      <c r="K2364" s="2400"/>
      <c r="L2364" s="2400"/>
      <c r="M2364" s="2400"/>
      <c r="N2364" s="2400"/>
      <c r="O2364" s="485"/>
      <c r="P2364" s="485"/>
      <c r="Q2364" s="1435"/>
      <c r="S2364" s="1435"/>
      <c r="T2364" s="1435"/>
    </row>
    <row r="2365" spans="1:37" ht="5.0999999999999996" customHeight="1">
      <c r="B2365" s="479"/>
      <c r="C2365" s="479"/>
      <c r="D2365" s="485"/>
      <c r="E2365" s="617"/>
      <c r="F2365" s="617"/>
      <c r="G2365" s="617"/>
      <c r="H2365" s="617"/>
      <c r="I2365" s="617"/>
      <c r="J2365" s="468"/>
      <c r="K2365" s="468"/>
      <c r="L2365" s="468"/>
      <c r="M2365" s="485"/>
      <c r="N2365" s="485"/>
      <c r="O2365" s="485"/>
      <c r="P2365" s="485"/>
      <c r="Q2365" s="1435"/>
      <c r="S2365" s="1435"/>
      <c r="T2365" s="1435"/>
    </row>
    <row r="2366" spans="1:37" ht="30.6" customHeight="1" thickBot="1">
      <c r="B2366" s="1124"/>
      <c r="C2366" s="485"/>
      <c r="D2366" s="956"/>
      <c r="E2366" s="1068" t="s">
        <v>2112</v>
      </c>
      <c r="F2366" s="958" t="s">
        <v>949</v>
      </c>
      <c r="G2366" s="959" t="str">
        <f>EUconst_Unit</f>
        <v>Unit</v>
      </c>
      <c r="H2366" s="578">
        <f t="shared" ref="H2366:I2366" si="1087">H$3242</f>
        <v>2024</v>
      </c>
      <c r="I2366" s="697">
        <f t="shared" si="1087"/>
        <v>2025</v>
      </c>
      <c r="J2366" s="1801"/>
      <c r="K2366" s="1802"/>
      <c r="L2366" s="1802"/>
      <c r="M2366" s="1802"/>
      <c r="N2366" s="1802"/>
      <c r="O2366" s="485"/>
      <c r="P2366" s="485"/>
      <c r="S2366" s="1709" t="s">
        <v>2057</v>
      </c>
      <c r="T2366" s="1435"/>
      <c r="Z2366" s="1710" t="s">
        <v>717</v>
      </c>
      <c r="AC2366" s="1638">
        <f t="shared" ref="AC2366:AI2366" si="1088">H$20</f>
        <v>2024</v>
      </c>
      <c r="AD2366" s="1638">
        <f t="shared" si="1088"/>
        <v>2025</v>
      </c>
      <c r="AE2366" s="1638">
        <f t="shared" si="1088"/>
        <v>2026</v>
      </c>
      <c r="AF2366" s="1638">
        <f t="shared" si="1088"/>
        <v>2027</v>
      </c>
      <c r="AG2366" s="1638">
        <f t="shared" si="1088"/>
        <v>2028</v>
      </c>
      <c r="AH2366" s="1638">
        <f t="shared" si="1088"/>
        <v>2029</v>
      </c>
      <c r="AI2366" s="1638">
        <f t="shared" si="1088"/>
        <v>2030</v>
      </c>
    </row>
    <row r="2367" spans="1:37" ht="13.15" customHeight="1">
      <c r="B2367" s="1124"/>
      <c r="C2367" s="485"/>
      <c r="D2367" s="579">
        <v>1</v>
      </c>
      <c r="E2367" s="1711" t="str">
        <f>c_ALR2025!E4933</f>
        <v/>
      </c>
      <c r="F2367" s="1711" t="str">
        <f>c_ALR2025!F4933</f>
        <v/>
      </c>
      <c r="G2367" s="1712" t="str">
        <f>c_ALR2025!G4933</f>
        <v/>
      </c>
      <c r="H2367" s="1713" t="str">
        <f>c_ALR2025!M4933</f>
        <v/>
      </c>
      <c r="I2367" s="1858"/>
      <c r="J2367" s="1801"/>
      <c r="K2367" s="1802"/>
      <c r="L2367" s="1802"/>
      <c r="M2367" s="1802"/>
      <c r="N2367" s="1802"/>
      <c r="O2367" s="485"/>
      <c r="P2367" s="9"/>
      <c r="S2367" s="1715" t="b">
        <f>IF(E2367 = "", TRUE, FALSE)</f>
        <v>1</v>
      </c>
      <c r="T2367" s="1435"/>
      <c r="Z2367" s="1435"/>
      <c r="AC2367" s="1803"/>
      <c r="AD2367" s="1803"/>
      <c r="AE2367" s="1803"/>
      <c r="AF2367" s="1803"/>
      <c r="AG2367" s="1803"/>
      <c r="AH2367" s="1803"/>
    </row>
    <row r="2368" spans="1:37" ht="13.15" customHeight="1">
      <c r="B2368" s="1124"/>
      <c r="C2368" s="485"/>
      <c r="D2368" s="582">
        <f>D2367+1</f>
        <v>2</v>
      </c>
      <c r="E2368" s="1717" t="str">
        <f>c_ALR2025!E4934</f>
        <v/>
      </c>
      <c r="F2368" s="1717" t="str">
        <f>c_ALR2025!F4934</f>
        <v/>
      </c>
      <c r="G2368" s="1718" t="str">
        <f>c_ALR2025!G4934</f>
        <v/>
      </c>
      <c r="H2368" s="1719" t="str">
        <f>c_ALR2025!M4934</f>
        <v/>
      </c>
      <c r="I2368" s="1859"/>
      <c r="J2368" s="1801"/>
      <c r="K2368" s="1802"/>
      <c r="L2368" s="1802"/>
      <c r="M2368" s="1802"/>
      <c r="N2368" s="1802"/>
      <c r="O2368" s="485"/>
      <c r="P2368" s="9"/>
      <c r="S2368" s="1715" t="b">
        <f t="shared" ref="S2368:S2376" si="1089">IF(E2368 = "", TRUE, FALSE)</f>
        <v>1</v>
      </c>
      <c r="T2368" s="1435"/>
      <c r="Z2368" s="1435"/>
      <c r="AC2368" s="1803"/>
      <c r="AD2368" s="1803"/>
      <c r="AE2368" s="1803"/>
      <c r="AF2368" s="1803"/>
      <c r="AG2368" s="1803"/>
      <c r="AH2368" s="1803"/>
    </row>
    <row r="2369" spans="2:34" ht="13.15" customHeight="1">
      <c r="B2369" s="1124"/>
      <c r="C2369" s="485"/>
      <c r="D2369" s="582">
        <f t="shared" ref="D2369:D2376" si="1090">D2368+1</f>
        <v>3</v>
      </c>
      <c r="E2369" s="1717" t="str">
        <f>c_ALR2025!E4935</f>
        <v/>
      </c>
      <c r="F2369" s="1717" t="str">
        <f>c_ALR2025!F4935</f>
        <v/>
      </c>
      <c r="G2369" s="1718" t="str">
        <f>c_ALR2025!G4935</f>
        <v/>
      </c>
      <c r="H2369" s="1719" t="str">
        <f>c_ALR2025!M4935</f>
        <v/>
      </c>
      <c r="I2369" s="1859"/>
      <c r="J2369" s="1801"/>
      <c r="K2369" s="1802"/>
      <c r="L2369" s="1802"/>
      <c r="M2369" s="1802"/>
      <c r="N2369" s="1802"/>
      <c r="O2369" s="485"/>
      <c r="P2369" s="9"/>
      <c r="S2369" s="1715" t="b">
        <f t="shared" si="1089"/>
        <v>1</v>
      </c>
      <c r="T2369" s="1435"/>
      <c r="Z2369" s="1435"/>
      <c r="AC2369" s="1803"/>
      <c r="AD2369" s="1803"/>
      <c r="AE2369" s="1803"/>
      <c r="AF2369" s="1803"/>
      <c r="AG2369" s="1803"/>
      <c r="AH2369" s="1803"/>
    </row>
    <row r="2370" spans="2:34" ht="13.15" customHeight="1">
      <c r="B2370" s="1124"/>
      <c r="C2370" s="485"/>
      <c r="D2370" s="582">
        <f t="shared" si="1090"/>
        <v>4</v>
      </c>
      <c r="E2370" s="1717" t="str">
        <f>c_ALR2025!E4936</f>
        <v/>
      </c>
      <c r="F2370" s="1717" t="str">
        <f>c_ALR2025!F4936</f>
        <v/>
      </c>
      <c r="G2370" s="1718" t="str">
        <f>c_ALR2025!G4936</f>
        <v/>
      </c>
      <c r="H2370" s="1719" t="str">
        <f>c_ALR2025!M4936</f>
        <v/>
      </c>
      <c r="I2370" s="1859"/>
      <c r="J2370" s="1801"/>
      <c r="K2370" s="1802"/>
      <c r="L2370" s="1802"/>
      <c r="M2370" s="1802"/>
      <c r="N2370" s="1802"/>
      <c r="O2370" s="485"/>
      <c r="P2370" s="9"/>
      <c r="S2370" s="1715" t="b">
        <f t="shared" si="1089"/>
        <v>1</v>
      </c>
      <c r="T2370" s="1435"/>
      <c r="Z2370" s="1435"/>
      <c r="AC2370" s="1803"/>
      <c r="AD2370" s="1803"/>
      <c r="AE2370" s="1803"/>
      <c r="AF2370" s="1803"/>
      <c r="AG2370" s="1803"/>
      <c r="AH2370" s="1803"/>
    </row>
    <row r="2371" spans="2:34" ht="13.15" customHeight="1">
      <c r="B2371" s="1124"/>
      <c r="C2371" s="485"/>
      <c r="D2371" s="582">
        <f t="shared" si="1090"/>
        <v>5</v>
      </c>
      <c r="E2371" s="1717" t="str">
        <f>c_ALR2025!E4937</f>
        <v/>
      </c>
      <c r="F2371" s="1717" t="str">
        <f>c_ALR2025!F4937</f>
        <v/>
      </c>
      <c r="G2371" s="1718" t="str">
        <f>c_ALR2025!G4937</f>
        <v/>
      </c>
      <c r="H2371" s="1719" t="str">
        <f>c_ALR2025!M4937</f>
        <v/>
      </c>
      <c r="I2371" s="1859"/>
      <c r="J2371" s="1801"/>
      <c r="K2371" s="1802"/>
      <c r="L2371" s="1802"/>
      <c r="M2371" s="1802"/>
      <c r="N2371" s="1802"/>
      <c r="O2371" s="485"/>
      <c r="P2371" s="9"/>
      <c r="S2371" s="1715" t="b">
        <f t="shared" si="1089"/>
        <v>1</v>
      </c>
      <c r="T2371" s="1435"/>
      <c r="Z2371" s="1435"/>
      <c r="AC2371" s="1803"/>
      <c r="AD2371" s="1803"/>
      <c r="AE2371" s="1803"/>
      <c r="AF2371" s="1803"/>
      <c r="AG2371" s="1803"/>
      <c r="AH2371" s="1803"/>
    </row>
    <row r="2372" spans="2:34" ht="13.15" customHeight="1">
      <c r="B2372" s="1124"/>
      <c r="C2372" s="485"/>
      <c r="D2372" s="582">
        <f t="shared" si="1090"/>
        <v>6</v>
      </c>
      <c r="E2372" s="1717" t="str">
        <f>c_ALR2025!E4938</f>
        <v/>
      </c>
      <c r="F2372" s="1717" t="str">
        <f>c_ALR2025!F4938</f>
        <v/>
      </c>
      <c r="G2372" s="1718" t="str">
        <f>c_ALR2025!G4938</f>
        <v/>
      </c>
      <c r="H2372" s="1719" t="str">
        <f>c_ALR2025!M4938</f>
        <v/>
      </c>
      <c r="I2372" s="1859"/>
      <c r="J2372" s="1801"/>
      <c r="K2372" s="1802"/>
      <c r="L2372" s="1802"/>
      <c r="M2372" s="1802"/>
      <c r="N2372" s="1802"/>
      <c r="O2372" s="485"/>
      <c r="P2372" s="9"/>
      <c r="S2372" s="1715" t="b">
        <f t="shared" si="1089"/>
        <v>1</v>
      </c>
      <c r="T2372" s="1435"/>
      <c r="Z2372" s="1435"/>
      <c r="AC2372" s="1803"/>
      <c r="AD2372" s="1803"/>
      <c r="AE2372" s="1803"/>
      <c r="AF2372" s="1803"/>
      <c r="AG2372" s="1803"/>
      <c r="AH2372" s="1803"/>
    </row>
    <row r="2373" spans="2:34" ht="13.15" customHeight="1">
      <c r="B2373" s="1124"/>
      <c r="C2373" s="485"/>
      <c r="D2373" s="582">
        <f t="shared" si="1090"/>
        <v>7</v>
      </c>
      <c r="E2373" s="1717" t="str">
        <f>c_ALR2025!E4939</f>
        <v/>
      </c>
      <c r="F2373" s="1717" t="str">
        <f>c_ALR2025!F4939</f>
        <v/>
      </c>
      <c r="G2373" s="1718" t="str">
        <f>c_ALR2025!G4939</f>
        <v/>
      </c>
      <c r="H2373" s="1719" t="str">
        <f>c_ALR2025!M4939</f>
        <v/>
      </c>
      <c r="I2373" s="1859"/>
      <c r="J2373" s="1801"/>
      <c r="K2373" s="1802"/>
      <c r="L2373" s="1802"/>
      <c r="M2373" s="1802"/>
      <c r="N2373" s="1802"/>
      <c r="O2373" s="485"/>
      <c r="P2373" s="9"/>
      <c r="S2373" s="1715" t="b">
        <f t="shared" si="1089"/>
        <v>1</v>
      </c>
      <c r="T2373" s="1435"/>
      <c r="Z2373" s="1435"/>
      <c r="AC2373" s="1803"/>
      <c r="AD2373" s="1803"/>
      <c r="AE2373" s="1803"/>
      <c r="AF2373" s="1803"/>
      <c r="AG2373" s="1803"/>
      <c r="AH2373" s="1803"/>
    </row>
    <row r="2374" spans="2:34" ht="13.15" customHeight="1">
      <c r="B2374" s="1124"/>
      <c r="C2374" s="485"/>
      <c r="D2374" s="582">
        <f t="shared" si="1090"/>
        <v>8</v>
      </c>
      <c r="E2374" s="1717" t="str">
        <f>c_ALR2025!E4940</f>
        <v/>
      </c>
      <c r="F2374" s="1717" t="str">
        <f>c_ALR2025!F4940</f>
        <v/>
      </c>
      <c r="G2374" s="1718" t="str">
        <f>c_ALR2025!G4940</f>
        <v/>
      </c>
      <c r="H2374" s="1719" t="str">
        <f>c_ALR2025!M4940</f>
        <v/>
      </c>
      <c r="I2374" s="1859"/>
      <c r="J2374" s="1801"/>
      <c r="K2374" s="1802"/>
      <c r="L2374" s="1802"/>
      <c r="M2374" s="1802"/>
      <c r="N2374" s="1802"/>
      <c r="O2374" s="485"/>
      <c r="P2374" s="9"/>
      <c r="S2374" s="1715" t="b">
        <f t="shared" si="1089"/>
        <v>1</v>
      </c>
      <c r="T2374" s="1435"/>
      <c r="Z2374" s="1435"/>
      <c r="AC2374" s="1803"/>
      <c r="AD2374" s="1803"/>
      <c r="AE2374" s="1803"/>
      <c r="AF2374" s="1803"/>
      <c r="AG2374" s="1803"/>
      <c r="AH2374" s="1803"/>
    </row>
    <row r="2375" spans="2:34" ht="13.15" customHeight="1">
      <c r="B2375" s="1124"/>
      <c r="C2375" s="485"/>
      <c r="D2375" s="582">
        <f t="shared" si="1090"/>
        <v>9</v>
      </c>
      <c r="E2375" s="1717" t="str">
        <f>c_ALR2025!E4941</f>
        <v/>
      </c>
      <c r="F2375" s="1717" t="str">
        <f>c_ALR2025!F4941</f>
        <v/>
      </c>
      <c r="G2375" s="1718" t="str">
        <f>c_ALR2025!G4941</f>
        <v/>
      </c>
      <c r="H2375" s="1719" t="str">
        <f>c_ALR2025!M4941</f>
        <v/>
      </c>
      <c r="I2375" s="1859"/>
      <c r="J2375" s="1801"/>
      <c r="K2375" s="1802"/>
      <c r="L2375" s="1802"/>
      <c r="M2375" s="1802"/>
      <c r="N2375" s="1802"/>
      <c r="O2375" s="485"/>
      <c r="P2375" s="9"/>
      <c r="S2375" s="1715" t="b">
        <f t="shared" si="1089"/>
        <v>1</v>
      </c>
      <c r="T2375" s="1435"/>
      <c r="Z2375" s="1435"/>
      <c r="AC2375" s="1803"/>
      <c r="AD2375" s="1803"/>
      <c r="AE2375" s="1803"/>
      <c r="AF2375" s="1803"/>
      <c r="AG2375" s="1803"/>
      <c r="AH2375" s="1803"/>
    </row>
    <row r="2376" spans="2:34" ht="13.15" customHeight="1">
      <c r="B2376" s="1124"/>
      <c r="C2376" s="485"/>
      <c r="D2376" s="584">
        <f t="shared" si="1090"/>
        <v>10</v>
      </c>
      <c r="E2376" s="1720" t="str">
        <f>c_ALR2025!E4942</f>
        <v/>
      </c>
      <c r="F2376" s="1720" t="str">
        <f>c_ALR2025!F4942</f>
        <v/>
      </c>
      <c r="G2376" s="1721" t="str">
        <f>c_ALR2025!G4942</f>
        <v/>
      </c>
      <c r="H2376" s="1722" t="str">
        <f>c_ALR2025!M4942</f>
        <v/>
      </c>
      <c r="I2376" s="1860"/>
      <c r="J2376" s="1801"/>
      <c r="K2376" s="1802"/>
      <c r="L2376" s="1802"/>
      <c r="M2376" s="1802"/>
      <c r="N2376" s="1802"/>
      <c r="O2376" s="485"/>
      <c r="P2376" s="9"/>
      <c r="S2376" s="1715" t="b">
        <f t="shared" si="1089"/>
        <v>1</v>
      </c>
      <c r="T2376" s="1435"/>
      <c r="Z2376" s="1435"/>
      <c r="AC2376" s="1803"/>
      <c r="AD2376" s="1803"/>
      <c r="AE2376" s="1803"/>
      <c r="AF2376" s="1803"/>
      <c r="AG2376" s="1803"/>
      <c r="AH2376" s="1803"/>
    </row>
    <row r="2377" spans="2:34" ht="13.15" customHeight="1">
      <c r="B2377" s="1124"/>
      <c r="C2377" s="485"/>
      <c r="D2377" s="579">
        <v>1</v>
      </c>
      <c r="E2377" s="1861"/>
      <c r="F2377" s="1861"/>
      <c r="G2377" s="1862"/>
      <c r="H2377" s="1723"/>
      <c r="I2377" s="1863"/>
      <c r="J2377" s="1801"/>
      <c r="K2377" s="1802"/>
      <c r="L2377" s="1802"/>
      <c r="M2377" s="1802"/>
      <c r="N2377" s="1802"/>
      <c r="O2377" s="485"/>
      <c r="P2377" s="9"/>
      <c r="S2377" s="1715" t="b">
        <f>NOT(S2367)</f>
        <v>0</v>
      </c>
      <c r="T2377" s="1435"/>
      <c r="Z2377" s="1435"/>
      <c r="AC2377" s="1803"/>
      <c r="AD2377" s="1803"/>
      <c r="AE2377" s="1803"/>
      <c r="AF2377" s="1803"/>
      <c r="AG2377" s="1803"/>
      <c r="AH2377" s="1803"/>
    </row>
    <row r="2378" spans="2:34" ht="13.15" customHeight="1">
      <c r="B2378" s="1124"/>
      <c r="C2378" s="485"/>
      <c r="D2378" s="582">
        <f>D2377+1</f>
        <v>2</v>
      </c>
      <c r="E2378" s="1864"/>
      <c r="F2378" s="1864"/>
      <c r="G2378" s="1865"/>
      <c r="H2378" s="1724"/>
      <c r="I2378" s="1859"/>
      <c r="J2378" s="1801"/>
      <c r="K2378" s="1802"/>
      <c r="L2378" s="1802"/>
      <c r="M2378" s="1802"/>
      <c r="N2378" s="1802"/>
      <c r="O2378" s="485"/>
      <c r="P2378" s="9"/>
      <c r="S2378" s="1715" t="b">
        <f t="shared" ref="S2378:S2386" si="1091">NOT(S2368)</f>
        <v>0</v>
      </c>
      <c r="T2378" s="1435"/>
      <c r="Z2378" s="1435"/>
      <c r="AC2378" s="1803"/>
      <c r="AD2378" s="1803"/>
      <c r="AE2378" s="1803"/>
      <c r="AF2378" s="1803"/>
      <c r="AG2378" s="1803"/>
      <c r="AH2378" s="1803"/>
    </row>
    <row r="2379" spans="2:34" ht="13.15" customHeight="1">
      <c r="B2379" s="1124"/>
      <c r="C2379" s="485"/>
      <c r="D2379" s="582">
        <f t="shared" ref="D2379:D2386" si="1092">D2378+1</f>
        <v>3</v>
      </c>
      <c r="E2379" s="1864"/>
      <c r="F2379" s="1864"/>
      <c r="G2379" s="1865"/>
      <c r="H2379" s="1724"/>
      <c r="I2379" s="1859"/>
      <c r="J2379" s="1801"/>
      <c r="K2379" s="1802"/>
      <c r="L2379" s="1802"/>
      <c r="M2379" s="1802"/>
      <c r="N2379" s="1802"/>
      <c r="O2379" s="485"/>
      <c r="P2379" s="9"/>
      <c r="S2379" s="1715" t="b">
        <f t="shared" si="1091"/>
        <v>0</v>
      </c>
      <c r="T2379" s="1435"/>
      <c r="Z2379" s="1435"/>
      <c r="AC2379" s="1803"/>
      <c r="AD2379" s="1803"/>
      <c r="AE2379" s="1803"/>
      <c r="AF2379" s="1803"/>
      <c r="AG2379" s="1803"/>
      <c r="AH2379" s="1803"/>
    </row>
    <row r="2380" spans="2:34" ht="13.15" customHeight="1">
      <c r="B2380" s="1124"/>
      <c r="C2380" s="485"/>
      <c r="D2380" s="582">
        <f t="shared" si="1092"/>
        <v>4</v>
      </c>
      <c r="E2380" s="1864"/>
      <c r="F2380" s="1864"/>
      <c r="G2380" s="1865"/>
      <c r="H2380" s="1724"/>
      <c r="I2380" s="1859"/>
      <c r="J2380" s="1801"/>
      <c r="K2380" s="1802"/>
      <c r="L2380" s="1802"/>
      <c r="M2380" s="1802"/>
      <c r="N2380" s="1802"/>
      <c r="O2380" s="485"/>
      <c r="P2380" s="9"/>
      <c r="S2380" s="1715" t="b">
        <f t="shared" si="1091"/>
        <v>0</v>
      </c>
      <c r="T2380" s="1435"/>
      <c r="Z2380" s="1435"/>
      <c r="AC2380" s="1803"/>
      <c r="AD2380" s="1803"/>
      <c r="AE2380" s="1803"/>
      <c r="AF2380" s="1803"/>
      <c r="AG2380" s="1803"/>
      <c r="AH2380" s="1803"/>
    </row>
    <row r="2381" spans="2:34" ht="13.15" customHeight="1">
      <c r="B2381" s="1124"/>
      <c r="C2381" s="485"/>
      <c r="D2381" s="582">
        <f t="shared" si="1092"/>
        <v>5</v>
      </c>
      <c r="E2381" s="1864"/>
      <c r="F2381" s="1864"/>
      <c r="G2381" s="1865"/>
      <c r="H2381" s="1724"/>
      <c r="I2381" s="1859"/>
      <c r="J2381" s="1801"/>
      <c r="K2381" s="1802"/>
      <c r="L2381" s="1802"/>
      <c r="M2381" s="1802"/>
      <c r="N2381" s="1802"/>
      <c r="O2381" s="485"/>
      <c r="P2381" s="9"/>
      <c r="S2381" s="1715" t="b">
        <f t="shared" si="1091"/>
        <v>0</v>
      </c>
      <c r="T2381" s="1435"/>
      <c r="Z2381" s="1435"/>
      <c r="AC2381" s="1803"/>
      <c r="AD2381" s="1803"/>
      <c r="AE2381" s="1803"/>
      <c r="AF2381" s="1803"/>
      <c r="AG2381" s="1803"/>
      <c r="AH2381" s="1803"/>
    </row>
    <row r="2382" spans="2:34" ht="13.15" customHeight="1">
      <c r="B2382" s="1124"/>
      <c r="C2382" s="485"/>
      <c r="D2382" s="582">
        <f t="shared" si="1092"/>
        <v>6</v>
      </c>
      <c r="E2382" s="1864"/>
      <c r="F2382" s="1864"/>
      <c r="G2382" s="1865"/>
      <c r="H2382" s="1724"/>
      <c r="I2382" s="1859"/>
      <c r="J2382" s="1801"/>
      <c r="K2382" s="1802"/>
      <c r="L2382" s="1802"/>
      <c r="M2382" s="1802"/>
      <c r="N2382" s="1802"/>
      <c r="O2382" s="485"/>
      <c r="P2382" s="9"/>
      <c r="S2382" s="1715" t="b">
        <f t="shared" si="1091"/>
        <v>0</v>
      </c>
      <c r="T2382" s="1435"/>
      <c r="Z2382" s="1435"/>
      <c r="AC2382" s="1803"/>
      <c r="AD2382" s="1803"/>
      <c r="AE2382" s="1803"/>
      <c r="AF2382" s="1803"/>
      <c r="AG2382" s="1803"/>
      <c r="AH2382" s="1803"/>
    </row>
    <row r="2383" spans="2:34" ht="13.15" customHeight="1">
      <c r="B2383" s="1124"/>
      <c r="C2383" s="485"/>
      <c r="D2383" s="582">
        <f t="shared" si="1092"/>
        <v>7</v>
      </c>
      <c r="E2383" s="1864"/>
      <c r="F2383" s="1864"/>
      <c r="G2383" s="1865"/>
      <c r="H2383" s="1724"/>
      <c r="I2383" s="1859"/>
      <c r="J2383" s="1801"/>
      <c r="K2383" s="1802"/>
      <c r="L2383" s="1802"/>
      <c r="M2383" s="1802"/>
      <c r="N2383" s="1802"/>
      <c r="O2383" s="485"/>
      <c r="P2383" s="9"/>
      <c r="S2383" s="1715" t="b">
        <f t="shared" si="1091"/>
        <v>0</v>
      </c>
      <c r="T2383" s="1435"/>
      <c r="Z2383" s="1435"/>
      <c r="AC2383" s="1803"/>
      <c r="AD2383" s="1803"/>
      <c r="AE2383" s="1803"/>
      <c r="AF2383" s="1803"/>
      <c r="AG2383" s="1803"/>
      <c r="AH2383" s="1803"/>
    </row>
    <row r="2384" spans="2:34" ht="13.15" customHeight="1">
      <c r="B2384" s="1124"/>
      <c r="C2384" s="485"/>
      <c r="D2384" s="582">
        <f t="shared" si="1092"/>
        <v>8</v>
      </c>
      <c r="E2384" s="1864"/>
      <c r="F2384" s="1864"/>
      <c r="G2384" s="1865"/>
      <c r="H2384" s="1724"/>
      <c r="I2384" s="1859"/>
      <c r="J2384" s="1801"/>
      <c r="K2384" s="1802"/>
      <c r="L2384" s="1802"/>
      <c r="M2384" s="1802"/>
      <c r="N2384" s="1802"/>
      <c r="O2384" s="485"/>
      <c r="P2384" s="9"/>
      <c r="S2384" s="1715" t="b">
        <f t="shared" si="1091"/>
        <v>0</v>
      </c>
      <c r="T2384" s="1435"/>
      <c r="Z2384" s="1435"/>
      <c r="AC2384" s="1803"/>
      <c r="AD2384" s="1803"/>
      <c r="AE2384" s="1803"/>
      <c r="AF2384" s="1803"/>
      <c r="AG2384" s="1803"/>
      <c r="AH2384" s="1803"/>
    </row>
    <row r="2385" spans="2:42" ht="13.15" customHeight="1">
      <c r="B2385" s="1124"/>
      <c r="C2385" s="485"/>
      <c r="D2385" s="582">
        <f t="shared" si="1092"/>
        <v>9</v>
      </c>
      <c r="E2385" s="1864"/>
      <c r="F2385" s="1864"/>
      <c r="G2385" s="1865"/>
      <c r="H2385" s="1724"/>
      <c r="I2385" s="1859"/>
      <c r="J2385" s="1801"/>
      <c r="K2385" s="1802"/>
      <c r="L2385" s="1802"/>
      <c r="M2385" s="1802"/>
      <c r="N2385" s="1802"/>
      <c r="O2385" s="485"/>
      <c r="P2385" s="9"/>
      <c r="S2385" s="1715" t="b">
        <f t="shared" si="1091"/>
        <v>0</v>
      </c>
      <c r="T2385" s="1435"/>
      <c r="Z2385" s="1435"/>
      <c r="AC2385" s="1803"/>
      <c r="AD2385" s="1803"/>
      <c r="AE2385" s="1803"/>
      <c r="AF2385" s="1803"/>
      <c r="AG2385" s="1803"/>
      <c r="AH2385" s="1803"/>
    </row>
    <row r="2386" spans="2:42" ht="13.15" customHeight="1" thickBot="1">
      <c r="B2386" s="1124"/>
      <c r="C2386" s="485"/>
      <c r="D2386" s="584">
        <f t="shared" si="1092"/>
        <v>10</v>
      </c>
      <c r="E2386" s="1866"/>
      <c r="F2386" s="1866"/>
      <c r="G2386" s="1867"/>
      <c r="H2386" s="1725"/>
      <c r="I2386" s="1860"/>
      <c r="J2386" s="1801"/>
      <c r="K2386" s="1802"/>
      <c r="L2386" s="1802"/>
      <c r="M2386" s="1802"/>
      <c r="N2386" s="1802"/>
      <c r="O2386" s="485"/>
      <c r="P2386" s="9"/>
      <c r="S2386" s="1726" t="b">
        <f t="shared" si="1091"/>
        <v>0</v>
      </c>
      <c r="T2386" s="1435"/>
      <c r="Z2386" s="1435"/>
      <c r="AC2386" s="1803"/>
      <c r="AD2386" s="1803"/>
      <c r="AE2386" s="1803"/>
      <c r="AF2386" s="1803"/>
      <c r="AG2386" s="1803"/>
      <c r="AH2386" s="1803"/>
    </row>
    <row r="2387" spans="2:42">
      <c r="B2387" s="1124"/>
      <c r="C2387" s="485"/>
      <c r="D2387" s="579">
        <v>1</v>
      </c>
      <c r="E2387" s="864" t="str">
        <f t="shared" ref="E2387:E2396" si="1093">IF(E2377&lt;&gt; "",E2377,IF(E2367 &lt;&gt; "", E2367,""))</f>
        <v/>
      </c>
      <c r="F2387" s="960" t="str">
        <f t="shared" ref="F2387:I2387" si="1094">IF(F2377&lt;&gt; "",F2377,IF(F2367 &lt;&gt; "", F2367,""))</f>
        <v/>
      </c>
      <c r="G2387" s="961" t="str">
        <f t="shared" si="1094"/>
        <v/>
      </c>
      <c r="H2387" s="656" t="str">
        <f t="shared" si="1094"/>
        <v/>
      </c>
      <c r="I2387" s="962" t="str">
        <f t="shared" si="1094"/>
        <v/>
      </c>
      <c r="J2387" s="1804"/>
      <c r="K2387" s="1805"/>
      <c r="L2387" s="1805"/>
      <c r="M2387" s="1805"/>
      <c r="N2387" s="1805"/>
      <c r="O2387" s="485"/>
      <c r="P2387" s="1119"/>
      <c r="S2387" s="1435"/>
      <c r="T2387" s="1435"/>
      <c r="Z2387" s="1730" t="b">
        <f t="shared" ref="Z2387:Z2396" si="1095">AA2387</f>
        <v>0</v>
      </c>
      <c r="AA2387" s="1731" t="b">
        <f t="shared" ref="AA2387:AA2396" si="1096">AB2387</f>
        <v>0</v>
      </c>
      <c r="AB2387" s="1868" t="b">
        <f>AND(AC2387:AI2387)</f>
        <v>0</v>
      </c>
      <c r="AC2387" s="1732" t="b">
        <f t="shared" ref="AC2387:AI2387" si="1097">AC2337</f>
        <v>0</v>
      </c>
      <c r="AD2387" s="1680" t="b">
        <f t="shared" si="1097"/>
        <v>0</v>
      </c>
      <c r="AE2387" s="1680" t="b">
        <f t="shared" si="1097"/>
        <v>0</v>
      </c>
      <c r="AF2387" s="1680" t="b">
        <f t="shared" si="1097"/>
        <v>0</v>
      </c>
      <c r="AG2387" s="1680" t="b">
        <f t="shared" si="1097"/>
        <v>0</v>
      </c>
      <c r="AH2387" s="1680" t="b">
        <f t="shared" si="1097"/>
        <v>0</v>
      </c>
      <c r="AI2387" s="1681" t="b">
        <f t="shared" si="1097"/>
        <v>0</v>
      </c>
      <c r="AJ2387" s="1633" t="s">
        <v>1954</v>
      </c>
      <c r="AK2387" s="1635" t="str">
        <f>IF(AND(CNTR_ExistSubInstEntries,COUNTIFS(AC2387:AI2387,FALSE,H2387:N2387,"")&gt;0),EUconst_Error&amp;"BM"&amp;$Q2267,"")</f>
        <v/>
      </c>
      <c r="AP2387" s="1135" t="s">
        <v>2451</v>
      </c>
    </row>
    <row r="2388" spans="2:42">
      <c r="B2388" s="1124"/>
      <c r="C2388" s="485"/>
      <c r="D2388" s="582">
        <f>D2387+1</f>
        <v>2</v>
      </c>
      <c r="E2388" s="866" t="str">
        <f t="shared" si="1093"/>
        <v/>
      </c>
      <c r="F2388" s="964" t="str">
        <f t="shared" ref="F2388:I2388" si="1098">IF(F2378&lt;&gt; "",F2378,IF(F2368 &lt;&gt; "", F2368,""))</f>
        <v/>
      </c>
      <c r="G2388" s="895" t="str">
        <f t="shared" si="1098"/>
        <v/>
      </c>
      <c r="H2388" s="658" t="str">
        <f t="shared" si="1098"/>
        <v/>
      </c>
      <c r="I2388" s="965" t="str">
        <f t="shared" si="1098"/>
        <v/>
      </c>
      <c r="J2388" s="1804"/>
      <c r="K2388" s="1805"/>
      <c r="L2388" s="1805"/>
      <c r="M2388" s="1805"/>
      <c r="N2388" s="1805"/>
      <c r="O2388" s="485"/>
      <c r="P2388" s="1119"/>
      <c r="S2388" s="1435"/>
      <c r="T2388" s="1435"/>
      <c r="Z2388" s="1736" t="b">
        <f t="shared" si="1095"/>
        <v>0</v>
      </c>
      <c r="AA2388" s="1443" t="b">
        <f t="shared" si="1096"/>
        <v>0</v>
      </c>
      <c r="AB2388" s="1737" t="b">
        <f t="shared" ref="AB2388:AB2396" si="1099">AND(AC2388:AI2388)</f>
        <v>0</v>
      </c>
      <c r="AC2388" s="1738" t="b">
        <f>AC2387</f>
        <v>0</v>
      </c>
      <c r="AD2388" s="1443" t="b">
        <f t="shared" ref="AD2388:AI2388" si="1100">AD2387</f>
        <v>0</v>
      </c>
      <c r="AE2388" s="1443" t="b">
        <f t="shared" si="1100"/>
        <v>0</v>
      </c>
      <c r="AF2388" s="1443" t="b">
        <f t="shared" si="1100"/>
        <v>0</v>
      </c>
      <c r="AG2388" s="1443" t="b">
        <f t="shared" si="1100"/>
        <v>0</v>
      </c>
      <c r="AH2388" s="1443" t="b">
        <f t="shared" si="1100"/>
        <v>0</v>
      </c>
      <c r="AI2388" s="1737" t="b">
        <f t="shared" si="1100"/>
        <v>0</v>
      </c>
      <c r="AP2388" s="1135" t="s">
        <v>2452</v>
      </c>
    </row>
    <row r="2389" spans="2:42">
      <c r="B2389" s="1124"/>
      <c r="C2389" s="485"/>
      <c r="D2389" s="582">
        <f t="shared" ref="D2389:D2396" si="1101">D2388+1</f>
        <v>3</v>
      </c>
      <c r="E2389" s="866" t="str">
        <f t="shared" si="1093"/>
        <v/>
      </c>
      <c r="F2389" s="964" t="str">
        <f t="shared" ref="F2389:I2389" si="1102">IF(F2379&lt;&gt; "",F2379,IF(F2369 &lt;&gt; "", F2369,""))</f>
        <v/>
      </c>
      <c r="G2389" s="895" t="str">
        <f t="shared" si="1102"/>
        <v/>
      </c>
      <c r="H2389" s="658" t="str">
        <f t="shared" si="1102"/>
        <v/>
      </c>
      <c r="I2389" s="965" t="str">
        <f t="shared" si="1102"/>
        <v/>
      </c>
      <c r="J2389" s="1804"/>
      <c r="K2389" s="1805"/>
      <c r="L2389" s="1805"/>
      <c r="M2389" s="1805"/>
      <c r="N2389" s="1805"/>
      <c r="O2389" s="485"/>
      <c r="P2389" s="1119"/>
      <c r="S2389" s="1435"/>
      <c r="T2389" s="1435"/>
      <c r="Z2389" s="1736" t="b">
        <f t="shared" si="1095"/>
        <v>0</v>
      </c>
      <c r="AA2389" s="1443" t="b">
        <f t="shared" si="1096"/>
        <v>0</v>
      </c>
      <c r="AB2389" s="1737" t="b">
        <f t="shared" si="1099"/>
        <v>0</v>
      </c>
      <c r="AC2389" s="1738" t="b">
        <f t="shared" ref="AC2389:AI2396" si="1103">AC2388</f>
        <v>0</v>
      </c>
      <c r="AD2389" s="1443" t="b">
        <f t="shared" si="1103"/>
        <v>0</v>
      </c>
      <c r="AE2389" s="1443" t="b">
        <f t="shared" si="1103"/>
        <v>0</v>
      </c>
      <c r="AF2389" s="1443" t="b">
        <f t="shared" si="1103"/>
        <v>0</v>
      </c>
      <c r="AG2389" s="1443" t="b">
        <f t="shared" si="1103"/>
        <v>0</v>
      </c>
      <c r="AH2389" s="1443" t="b">
        <f t="shared" si="1103"/>
        <v>0</v>
      </c>
      <c r="AI2389" s="1737" t="b">
        <f t="shared" si="1103"/>
        <v>0</v>
      </c>
      <c r="AP2389" s="1135" t="s">
        <v>2453</v>
      </c>
    </row>
    <row r="2390" spans="2:42">
      <c r="B2390" s="1124"/>
      <c r="C2390" s="485"/>
      <c r="D2390" s="582">
        <f t="shared" si="1101"/>
        <v>4</v>
      </c>
      <c r="E2390" s="866" t="str">
        <f t="shared" si="1093"/>
        <v/>
      </c>
      <c r="F2390" s="964" t="str">
        <f t="shared" ref="F2390:I2390" si="1104">IF(F2380&lt;&gt; "",F2380,IF(F2370 &lt;&gt; "", F2370,""))</f>
        <v/>
      </c>
      <c r="G2390" s="895" t="str">
        <f t="shared" si="1104"/>
        <v/>
      </c>
      <c r="H2390" s="658" t="str">
        <f t="shared" si="1104"/>
        <v/>
      </c>
      <c r="I2390" s="965" t="str">
        <f t="shared" si="1104"/>
        <v/>
      </c>
      <c r="J2390" s="1804"/>
      <c r="K2390" s="1805"/>
      <c r="L2390" s="1805"/>
      <c r="M2390" s="1805"/>
      <c r="N2390" s="1805"/>
      <c r="O2390" s="485"/>
      <c r="P2390" s="1119"/>
      <c r="S2390" s="1435"/>
      <c r="T2390" s="1435"/>
      <c r="Z2390" s="1736" t="b">
        <f t="shared" si="1095"/>
        <v>0</v>
      </c>
      <c r="AA2390" s="1443" t="b">
        <f t="shared" si="1096"/>
        <v>0</v>
      </c>
      <c r="AB2390" s="1737" t="b">
        <f t="shared" si="1099"/>
        <v>0</v>
      </c>
      <c r="AC2390" s="1738" t="b">
        <f t="shared" si="1103"/>
        <v>0</v>
      </c>
      <c r="AD2390" s="1443" t="b">
        <f t="shared" si="1103"/>
        <v>0</v>
      </c>
      <c r="AE2390" s="1443" t="b">
        <f t="shared" si="1103"/>
        <v>0</v>
      </c>
      <c r="AF2390" s="1443" t="b">
        <f t="shared" si="1103"/>
        <v>0</v>
      </c>
      <c r="AG2390" s="1443" t="b">
        <f t="shared" si="1103"/>
        <v>0</v>
      </c>
      <c r="AH2390" s="1443" t="b">
        <f t="shared" si="1103"/>
        <v>0</v>
      </c>
      <c r="AI2390" s="1737" t="b">
        <f t="shared" si="1103"/>
        <v>0</v>
      </c>
      <c r="AP2390" s="1135" t="s">
        <v>2454</v>
      </c>
    </row>
    <row r="2391" spans="2:42">
      <c r="B2391" s="1124"/>
      <c r="C2391" s="485"/>
      <c r="D2391" s="582">
        <f t="shared" si="1101"/>
        <v>5</v>
      </c>
      <c r="E2391" s="866" t="str">
        <f t="shared" si="1093"/>
        <v/>
      </c>
      <c r="F2391" s="964" t="str">
        <f t="shared" ref="F2391:I2391" si="1105">IF(F2381&lt;&gt; "",F2381,IF(F2371 &lt;&gt; "", F2371,""))</f>
        <v/>
      </c>
      <c r="G2391" s="895" t="str">
        <f t="shared" si="1105"/>
        <v/>
      </c>
      <c r="H2391" s="658" t="str">
        <f t="shared" si="1105"/>
        <v/>
      </c>
      <c r="I2391" s="965" t="str">
        <f t="shared" si="1105"/>
        <v/>
      </c>
      <c r="J2391" s="1804"/>
      <c r="K2391" s="1805"/>
      <c r="L2391" s="1805"/>
      <c r="M2391" s="1805"/>
      <c r="N2391" s="1805"/>
      <c r="O2391" s="485"/>
      <c r="P2391" s="1119"/>
      <c r="S2391" s="1435"/>
      <c r="T2391" s="1435"/>
      <c r="Z2391" s="1736" t="b">
        <f t="shared" si="1095"/>
        <v>0</v>
      </c>
      <c r="AA2391" s="1443" t="b">
        <f t="shared" si="1096"/>
        <v>0</v>
      </c>
      <c r="AB2391" s="1737" t="b">
        <f t="shared" si="1099"/>
        <v>0</v>
      </c>
      <c r="AC2391" s="1738" t="b">
        <f t="shared" si="1103"/>
        <v>0</v>
      </c>
      <c r="AD2391" s="1443" t="b">
        <f t="shared" si="1103"/>
        <v>0</v>
      </c>
      <c r="AE2391" s="1443" t="b">
        <f t="shared" si="1103"/>
        <v>0</v>
      </c>
      <c r="AF2391" s="1443" t="b">
        <f t="shared" si="1103"/>
        <v>0</v>
      </c>
      <c r="AG2391" s="1443" t="b">
        <f t="shared" si="1103"/>
        <v>0</v>
      </c>
      <c r="AH2391" s="1443" t="b">
        <f t="shared" si="1103"/>
        <v>0</v>
      </c>
      <c r="AI2391" s="1737" t="b">
        <f t="shared" si="1103"/>
        <v>0</v>
      </c>
      <c r="AP2391" s="1135" t="s">
        <v>2455</v>
      </c>
    </row>
    <row r="2392" spans="2:42">
      <c r="B2392" s="1124"/>
      <c r="C2392" s="485"/>
      <c r="D2392" s="582">
        <f t="shared" si="1101"/>
        <v>6</v>
      </c>
      <c r="E2392" s="866" t="str">
        <f t="shared" si="1093"/>
        <v/>
      </c>
      <c r="F2392" s="964" t="str">
        <f t="shared" ref="F2392:I2392" si="1106">IF(F2382&lt;&gt; "",F2382,IF(F2372 &lt;&gt; "", F2372,""))</f>
        <v/>
      </c>
      <c r="G2392" s="895" t="str">
        <f t="shared" si="1106"/>
        <v/>
      </c>
      <c r="H2392" s="658" t="str">
        <f t="shared" si="1106"/>
        <v/>
      </c>
      <c r="I2392" s="965" t="str">
        <f t="shared" si="1106"/>
        <v/>
      </c>
      <c r="J2392" s="1804"/>
      <c r="K2392" s="1805"/>
      <c r="L2392" s="1805"/>
      <c r="M2392" s="1805"/>
      <c r="N2392" s="1805"/>
      <c r="O2392" s="485"/>
      <c r="P2392" s="1119"/>
      <c r="S2392" s="1435"/>
      <c r="T2392" s="1435"/>
      <c r="Z2392" s="1736" t="b">
        <f t="shared" si="1095"/>
        <v>0</v>
      </c>
      <c r="AA2392" s="1443" t="b">
        <f t="shared" si="1096"/>
        <v>0</v>
      </c>
      <c r="AB2392" s="1737" t="b">
        <f t="shared" si="1099"/>
        <v>0</v>
      </c>
      <c r="AC2392" s="1738" t="b">
        <f t="shared" si="1103"/>
        <v>0</v>
      </c>
      <c r="AD2392" s="1443" t="b">
        <f t="shared" si="1103"/>
        <v>0</v>
      </c>
      <c r="AE2392" s="1443" t="b">
        <f t="shared" si="1103"/>
        <v>0</v>
      </c>
      <c r="AF2392" s="1443" t="b">
        <f t="shared" si="1103"/>
        <v>0</v>
      </c>
      <c r="AG2392" s="1443" t="b">
        <f t="shared" si="1103"/>
        <v>0</v>
      </c>
      <c r="AH2392" s="1443" t="b">
        <f t="shared" si="1103"/>
        <v>0</v>
      </c>
      <c r="AI2392" s="1737" t="b">
        <f t="shared" si="1103"/>
        <v>0</v>
      </c>
      <c r="AP2392" s="1135" t="s">
        <v>2456</v>
      </c>
    </row>
    <row r="2393" spans="2:42">
      <c r="B2393" s="1124"/>
      <c r="C2393" s="485"/>
      <c r="D2393" s="582">
        <f t="shared" si="1101"/>
        <v>7</v>
      </c>
      <c r="E2393" s="866" t="str">
        <f t="shared" si="1093"/>
        <v/>
      </c>
      <c r="F2393" s="964" t="str">
        <f t="shared" ref="F2393:I2393" si="1107">IF(F2383&lt;&gt; "",F2383,IF(F2373 &lt;&gt; "", F2373,""))</f>
        <v/>
      </c>
      <c r="G2393" s="895" t="str">
        <f t="shared" si="1107"/>
        <v/>
      </c>
      <c r="H2393" s="658" t="str">
        <f t="shared" si="1107"/>
        <v/>
      </c>
      <c r="I2393" s="965" t="str">
        <f t="shared" si="1107"/>
        <v/>
      </c>
      <c r="J2393" s="1804"/>
      <c r="K2393" s="1805"/>
      <c r="L2393" s="1805"/>
      <c r="M2393" s="1805"/>
      <c r="N2393" s="1805"/>
      <c r="O2393" s="485"/>
      <c r="P2393" s="1119"/>
      <c r="S2393" s="1435"/>
      <c r="T2393" s="1435"/>
      <c r="Z2393" s="1736" t="b">
        <f t="shared" si="1095"/>
        <v>0</v>
      </c>
      <c r="AA2393" s="1443" t="b">
        <f t="shared" si="1096"/>
        <v>0</v>
      </c>
      <c r="AB2393" s="1737" t="b">
        <f t="shared" si="1099"/>
        <v>0</v>
      </c>
      <c r="AC2393" s="1738" t="b">
        <f t="shared" si="1103"/>
        <v>0</v>
      </c>
      <c r="AD2393" s="1443" t="b">
        <f t="shared" si="1103"/>
        <v>0</v>
      </c>
      <c r="AE2393" s="1443" t="b">
        <f t="shared" si="1103"/>
        <v>0</v>
      </c>
      <c r="AF2393" s="1443" t="b">
        <f t="shared" si="1103"/>
        <v>0</v>
      </c>
      <c r="AG2393" s="1443" t="b">
        <f t="shared" si="1103"/>
        <v>0</v>
      </c>
      <c r="AH2393" s="1443" t="b">
        <f t="shared" si="1103"/>
        <v>0</v>
      </c>
      <c r="AI2393" s="1737" t="b">
        <f t="shared" si="1103"/>
        <v>0</v>
      </c>
      <c r="AP2393" s="1135" t="s">
        <v>2457</v>
      </c>
    </row>
    <row r="2394" spans="2:42">
      <c r="B2394" s="1124"/>
      <c r="C2394" s="485"/>
      <c r="D2394" s="582">
        <f t="shared" si="1101"/>
        <v>8</v>
      </c>
      <c r="E2394" s="866" t="str">
        <f t="shared" si="1093"/>
        <v/>
      </c>
      <c r="F2394" s="964" t="str">
        <f t="shared" ref="F2394:I2394" si="1108">IF(F2384&lt;&gt; "",F2384,IF(F2374 &lt;&gt; "", F2374,""))</f>
        <v/>
      </c>
      <c r="G2394" s="895" t="str">
        <f t="shared" si="1108"/>
        <v/>
      </c>
      <c r="H2394" s="658" t="str">
        <f t="shared" si="1108"/>
        <v/>
      </c>
      <c r="I2394" s="965" t="str">
        <f t="shared" si="1108"/>
        <v/>
      </c>
      <c r="J2394" s="1804"/>
      <c r="K2394" s="1805"/>
      <c r="L2394" s="1805"/>
      <c r="M2394" s="1805"/>
      <c r="N2394" s="1805"/>
      <c r="O2394" s="485"/>
      <c r="P2394" s="1119"/>
      <c r="S2394" s="1435"/>
      <c r="T2394" s="1435"/>
      <c r="Z2394" s="1736" t="b">
        <f t="shared" si="1095"/>
        <v>0</v>
      </c>
      <c r="AA2394" s="1443" t="b">
        <f t="shared" si="1096"/>
        <v>0</v>
      </c>
      <c r="AB2394" s="1737" t="b">
        <f t="shared" si="1099"/>
        <v>0</v>
      </c>
      <c r="AC2394" s="1738" t="b">
        <f t="shared" si="1103"/>
        <v>0</v>
      </c>
      <c r="AD2394" s="1443" t="b">
        <f t="shared" si="1103"/>
        <v>0</v>
      </c>
      <c r="AE2394" s="1443" t="b">
        <f t="shared" si="1103"/>
        <v>0</v>
      </c>
      <c r="AF2394" s="1443" t="b">
        <f t="shared" si="1103"/>
        <v>0</v>
      </c>
      <c r="AG2394" s="1443" t="b">
        <f t="shared" si="1103"/>
        <v>0</v>
      </c>
      <c r="AH2394" s="1443" t="b">
        <f t="shared" si="1103"/>
        <v>0</v>
      </c>
      <c r="AI2394" s="1737" t="b">
        <f t="shared" si="1103"/>
        <v>0</v>
      </c>
      <c r="AP2394" s="1135" t="s">
        <v>2458</v>
      </c>
    </row>
    <row r="2395" spans="2:42">
      <c r="B2395" s="1124"/>
      <c r="C2395" s="485"/>
      <c r="D2395" s="582">
        <f t="shared" si="1101"/>
        <v>9</v>
      </c>
      <c r="E2395" s="866" t="str">
        <f t="shared" si="1093"/>
        <v/>
      </c>
      <c r="F2395" s="964" t="str">
        <f t="shared" ref="F2395:I2395" si="1109">IF(F2385&lt;&gt; "",F2385,IF(F2375 &lt;&gt; "", F2375,""))</f>
        <v/>
      </c>
      <c r="G2395" s="895" t="str">
        <f t="shared" si="1109"/>
        <v/>
      </c>
      <c r="H2395" s="658" t="str">
        <f t="shared" si="1109"/>
        <v/>
      </c>
      <c r="I2395" s="965" t="str">
        <f t="shared" si="1109"/>
        <v/>
      </c>
      <c r="J2395" s="1804"/>
      <c r="K2395" s="1805"/>
      <c r="L2395" s="1805"/>
      <c r="M2395" s="1805"/>
      <c r="N2395" s="1805"/>
      <c r="O2395" s="485"/>
      <c r="P2395" s="1119"/>
      <c r="S2395" s="1435"/>
      <c r="T2395" s="1435"/>
      <c r="Z2395" s="1736" t="b">
        <f t="shared" si="1095"/>
        <v>0</v>
      </c>
      <c r="AA2395" s="1443" t="b">
        <f t="shared" si="1096"/>
        <v>0</v>
      </c>
      <c r="AB2395" s="1737" t="b">
        <f t="shared" si="1099"/>
        <v>0</v>
      </c>
      <c r="AC2395" s="1738" t="b">
        <f t="shared" si="1103"/>
        <v>0</v>
      </c>
      <c r="AD2395" s="1443" t="b">
        <f t="shared" si="1103"/>
        <v>0</v>
      </c>
      <c r="AE2395" s="1443" t="b">
        <f t="shared" si="1103"/>
        <v>0</v>
      </c>
      <c r="AF2395" s="1443" t="b">
        <f t="shared" si="1103"/>
        <v>0</v>
      </c>
      <c r="AG2395" s="1443" t="b">
        <f t="shared" si="1103"/>
        <v>0</v>
      </c>
      <c r="AH2395" s="1443" t="b">
        <f t="shared" si="1103"/>
        <v>0</v>
      </c>
      <c r="AI2395" s="1737" t="b">
        <f t="shared" si="1103"/>
        <v>0</v>
      </c>
      <c r="AP2395" s="1135" t="s">
        <v>2459</v>
      </c>
    </row>
    <row r="2396" spans="2:42" ht="13.5" thickBot="1">
      <c r="B2396" s="1124"/>
      <c r="C2396" s="485"/>
      <c r="D2396" s="584">
        <f t="shared" si="1101"/>
        <v>10</v>
      </c>
      <c r="E2396" s="868" t="str">
        <f t="shared" si="1093"/>
        <v/>
      </c>
      <c r="F2396" s="967" t="str">
        <f t="shared" ref="F2396:I2396" si="1110">IF(F2386&lt;&gt; "",F2386,IF(F2376 &lt;&gt; "", F2376,""))</f>
        <v/>
      </c>
      <c r="G2396" s="968" t="str">
        <f t="shared" si="1110"/>
        <v/>
      </c>
      <c r="H2396" s="660" t="str">
        <f t="shared" si="1110"/>
        <v/>
      </c>
      <c r="I2396" s="969" t="str">
        <f t="shared" si="1110"/>
        <v/>
      </c>
      <c r="J2396" s="1804"/>
      <c r="K2396" s="1805"/>
      <c r="L2396" s="1805"/>
      <c r="M2396" s="1805"/>
      <c r="N2396" s="1805"/>
      <c r="O2396" s="485"/>
      <c r="P2396" s="1119"/>
      <c r="S2396" s="1435"/>
      <c r="T2396" s="1435"/>
      <c r="Z2396" s="1742" t="b">
        <f t="shared" si="1095"/>
        <v>0</v>
      </c>
      <c r="AA2396" s="1743" t="b">
        <f t="shared" si="1096"/>
        <v>0</v>
      </c>
      <c r="AB2396" s="1744" t="b">
        <f t="shared" si="1099"/>
        <v>0</v>
      </c>
      <c r="AC2396" s="1745" t="b">
        <f t="shared" si="1103"/>
        <v>0</v>
      </c>
      <c r="AD2396" s="1743" t="b">
        <f t="shared" si="1103"/>
        <v>0</v>
      </c>
      <c r="AE2396" s="1743" t="b">
        <f t="shared" si="1103"/>
        <v>0</v>
      </c>
      <c r="AF2396" s="1743" t="b">
        <f t="shared" si="1103"/>
        <v>0</v>
      </c>
      <c r="AG2396" s="1743" t="b">
        <f t="shared" si="1103"/>
        <v>0</v>
      </c>
      <c r="AH2396" s="1743" t="b">
        <f t="shared" si="1103"/>
        <v>0</v>
      </c>
      <c r="AI2396" s="1744" t="b">
        <f t="shared" si="1103"/>
        <v>0</v>
      </c>
      <c r="AP2396" s="1135" t="s">
        <v>2460</v>
      </c>
    </row>
    <row r="2397" spans="2:42" ht="12.75" customHeight="1" thickBot="1">
      <c r="B2397" s="1124"/>
      <c r="C2397" s="485"/>
      <c r="D2397" s="971"/>
      <c r="E2397" s="972" t="s">
        <v>921</v>
      </c>
      <c r="F2397" s="948"/>
      <c r="G2397" s="1881"/>
      <c r="H2397" s="605" t="str">
        <f t="shared" ref="H2397:I2397" si="1111">IF(COUNT(H2387:H2396)&gt;0,SUM(H2387:H2396),"")</f>
        <v/>
      </c>
      <c r="I2397" s="973" t="str">
        <f t="shared" si="1111"/>
        <v/>
      </c>
      <c r="J2397" s="1804"/>
      <c r="K2397" s="1805"/>
      <c r="L2397" s="1805"/>
      <c r="M2397" s="1805"/>
      <c r="N2397" s="1805"/>
      <c r="O2397" s="485"/>
      <c r="P2397" s="485"/>
      <c r="S2397" s="1435"/>
      <c r="T2397" s="1435"/>
      <c r="AB2397" s="1848" t="b">
        <f>AND(AB2387:AB2396)</f>
        <v>0</v>
      </c>
    </row>
    <row r="2398" spans="2:42" ht="12.75" customHeight="1" thickBot="1">
      <c r="B2398" s="479"/>
      <c r="C2398" s="479"/>
      <c r="D2398" s="479"/>
      <c r="E2398" s="479"/>
      <c r="F2398" s="479"/>
      <c r="G2398" s="479"/>
      <c r="H2398" s="479"/>
      <c r="I2398" s="479"/>
      <c r="J2398" s="479"/>
      <c r="K2398" s="479"/>
      <c r="L2398" s="479"/>
      <c r="M2398" s="485"/>
      <c r="N2398" s="485"/>
      <c r="O2398" s="485"/>
      <c r="P2398" s="485"/>
      <c r="Q2398" s="1435"/>
      <c r="S2398" s="1435"/>
      <c r="T2398" s="1435"/>
    </row>
    <row r="2399" spans="2:42" ht="5.0999999999999996" customHeight="1">
      <c r="B2399" s="479"/>
      <c r="C2399" s="975"/>
      <c r="D2399" s="976"/>
      <c r="E2399" s="976"/>
      <c r="F2399" s="976"/>
      <c r="G2399" s="976"/>
      <c r="H2399" s="976"/>
      <c r="I2399" s="976"/>
      <c r="J2399" s="976"/>
      <c r="K2399" s="976"/>
      <c r="L2399" s="976"/>
      <c r="M2399" s="774"/>
      <c r="N2399" s="775"/>
      <c r="O2399" s="485"/>
      <c r="P2399" s="485"/>
      <c r="Q2399" s="1435"/>
      <c r="S2399" s="1435"/>
      <c r="T2399" s="1435"/>
    </row>
    <row r="2400" spans="2:42" ht="15" customHeight="1">
      <c r="B2400" s="1124"/>
      <c r="C2400" s="977"/>
      <c r="D2400" s="2678" t="s">
        <v>2330</v>
      </c>
      <c r="E2400" s="2672"/>
      <c r="F2400" s="2672"/>
      <c r="G2400" s="2672"/>
      <c r="H2400" s="2672"/>
      <c r="I2400" s="2672"/>
      <c r="J2400" s="2672"/>
      <c r="K2400" s="2672"/>
      <c r="L2400" s="2672"/>
      <c r="M2400" s="2672"/>
      <c r="N2400" s="2673"/>
      <c r="O2400" s="485"/>
      <c r="P2400" s="485"/>
      <c r="S2400" s="1435"/>
      <c r="T2400" s="1435"/>
    </row>
    <row r="2401" spans="2:20" ht="5.0999999999999996" customHeight="1">
      <c r="B2401" s="1124"/>
      <c r="C2401" s="980"/>
      <c r="D2401" s="813"/>
      <c r="E2401" s="813"/>
      <c r="F2401" s="813"/>
      <c r="G2401" s="813"/>
      <c r="H2401" s="813"/>
      <c r="I2401" s="813"/>
      <c r="J2401" s="813"/>
      <c r="K2401" s="813"/>
      <c r="L2401" s="813"/>
      <c r="M2401" s="813"/>
      <c r="N2401" s="814"/>
      <c r="O2401" s="485"/>
      <c r="P2401" s="485"/>
      <c r="S2401" s="1435"/>
      <c r="T2401" s="1435"/>
    </row>
    <row r="2402" spans="2:20" ht="15" customHeight="1">
      <c r="B2402" s="1124"/>
      <c r="C2402" s="980"/>
      <c r="D2402" s="2679" t="str">
        <f>EUconst_BMSubinst &amp; ":"</f>
        <v>Sub-installation with product benchmark:</v>
      </c>
      <c r="E2402" s="2646"/>
      <c r="F2402" s="2646"/>
      <c r="G2402" s="2646"/>
      <c r="H2402" s="2680"/>
      <c r="I2402" s="3293" t="str">
        <f>I2267</f>
        <v/>
      </c>
      <c r="J2402" s="3294"/>
      <c r="K2402" s="3294"/>
      <c r="L2402" s="3294"/>
      <c r="M2402" s="3294"/>
      <c r="N2402" s="3295"/>
      <c r="O2402" s="485"/>
      <c r="P2402" s="485"/>
      <c r="S2402" s="1435"/>
      <c r="T2402" s="1435"/>
    </row>
    <row r="2403" spans="2:20" ht="5.0999999999999996" customHeight="1">
      <c r="B2403" s="1124"/>
      <c r="C2403" s="980"/>
      <c r="D2403" s="813"/>
      <c r="E2403" s="813"/>
      <c r="F2403" s="813"/>
      <c r="G2403" s="813"/>
      <c r="H2403" s="813"/>
      <c r="I2403" s="813"/>
      <c r="J2403" s="813"/>
      <c r="K2403" s="813"/>
      <c r="L2403" s="813"/>
      <c r="M2403" s="813"/>
      <c r="N2403" s="814"/>
      <c r="O2403" s="485"/>
      <c r="P2403" s="485"/>
      <c r="S2403" s="1435"/>
      <c r="T2403" s="1435"/>
    </row>
    <row r="2404" spans="2:20" ht="30" customHeight="1">
      <c r="B2404" s="479"/>
      <c r="C2404" s="977"/>
      <c r="D2404" s="981"/>
      <c r="E2404" s="2691" t="s">
        <v>2154</v>
      </c>
      <c r="F2404" s="2691"/>
      <c r="G2404" s="2691"/>
      <c r="H2404" s="2691"/>
      <c r="I2404" s="2691"/>
      <c r="J2404" s="2691"/>
      <c r="K2404" s="2691"/>
      <c r="L2404" s="2691"/>
      <c r="M2404" s="2691"/>
      <c r="N2404" s="2692"/>
      <c r="O2404" s="485"/>
      <c r="P2404" s="485"/>
      <c r="Q2404" s="1435"/>
    </row>
    <row r="2405" spans="2:20" ht="30" customHeight="1">
      <c r="B2405" s="479"/>
      <c r="C2405" s="977"/>
      <c r="D2405" s="981"/>
      <c r="E2405" s="2691" t="s">
        <v>1550</v>
      </c>
      <c r="F2405" s="2691"/>
      <c r="G2405" s="2691"/>
      <c r="H2405" s="2691"/>
      <c r="I2405" s="2691"/>
      <c r="J2405" s="2691"/>
      <c r="K2405" s="2691"/>
      <c r="L2405" s="2691"/>
      <c r="M2405" s="2691"/>
      <c r="N2405" s="2650"/>
      <c r="O2405" s="485"/>
      <c r="P2405" s="485"/>
      <c r="Q2405" s="1435"/>
    </row>
    <row r="2406" spans="2:20" ht="12.75" customHeight="1">
      <c r="B2406" s="479"/>
      <c r="C2406" s="977"/>
      <c r="D2406" s="981"/>
      <c r="E2406" s="2691" t="s">
        <v>1549</v>
      </c>
      <c r="F2406" s="2391"/>
      <c r="G2406" s="2391"/>
      <c r="H2406" s="2391"/>
      <c r="I2406" s="2391"/>
      <c r="J2406" s="2391"/>
      <c r="K2406" s="2391"/>
      <c r="L2406" s="2391"/>
      <c r="M2406" s="2391"/>
      <c r="N2406" s="2650"/>
      <c r="O2406" s="485"/>
      <c r="P2406" s="485"/>
      <c r="Q2406" s="1435"/>
    </row>
    <row r="2407" spans="2:20" ht="15" customHeight="1">
      <c r="B2407" s="479"/>
      <c r="C2407" s="977"/>
      <c r="D2407" s="981"/>
      <c r="E2407" s="3269" t="s">
        <v>2215</v>
      </c>
      <c r="F2407" s="3269"/>
      <c r="G2407" s="3269"/>
      <c r="H2407" s="3269"/>
      <c r="I2407" s="3269"/>
      <c r="J2407" s="3269"/>
      <c r="K2407" s="3269"/>
      <c r="L2407" s="3269"/>
      <c r="M2407" s="3269"/>
      <c r="N2407" s="2694"/>
      <c r="O2407" s="485"/>
      <c r="P2407" s="485"/>
      <c r="Q2407" s="1435"/>
    </row>
    <row r="2408" spans="2:20" ht="5.0999999999999996" customHeight="1">
      <c r="B2408" s="1124"/>
      <c r="C2408" s="980"/>
      <c r="D2408" s="813"/>
      <c r="E2408" s="813"/>
      <c r="F2408" s="813"/>
      <c r="G2408" s="813"/>
      <c r="H2408" s="813"/>
      <c r="I2408" s="813"/>
      <c r="J2408" s="813"/>
      <c r="K2408" s="813"/>
      <c r="L2408" s="813"/>
      <c r="M2408" s="813"/>
      <c r="N2408" s="814"/>
      <c r="O2408" s="485"/>
      <c r="P2408" s="485"/>
      <c r="S2408" s="1435"/>
      <c r="T2408" s="1435"/>
    </row>
    <row r="2409" spans="2:20" ht="15" customHeight="1">
      <c r="B2409" s="479"/>
      <c r="C2409" s="977"/>
      <c r="D2409" s="981"/>
      <c r="E2409" s="3291" t="s">
        <v>1475</v>
      </c>
      <c r="F2409" s="3291"/>
      <c r="G2409" s="3291"/>
      <c r="H2409" s="3291"/>
      <c r="I2409" s="3291"/>
      <c r="J2409" s="3291"/>
      <c r="K2409" s="3291"/>
      <c r="L2409" s="3291"/>
      <c r="M2409" s="3291"/>
      <c r="N2409" s="2694"/>
      <c r="O2409" s="485"/>
      <c r="P2409" s="485"/>
      <c r="Q2409" s="1435"/>
    </row>
    <row r="2410" spans="2:20" ht="5.0999999999999996" customHeight="1">
      <c r="B2410" s="1124"/>
      <c r="C2410" s="980"/>
      <c r="D2410" s="813"/>
      <c r="E2410" s="813"/>
      <c r="F2410" s="813"/>
      <c r="G2410" s="813"/>
      <c r="H2410" s="813"/>
      <c r="I2410" s="813"/>
      <c r="J2410" s="813"/>
      <c r="K2410" s="813"/>
      <c r="L2410" s="813"/>
      <c r="M2410" s="813"/>
      <c r="N2410" s="814"/>
      <c r="O2410" s="485"/>
      <c r="P2410" s="485"/>
      <c r="S2410" s="1435"/>
      <c r="T2410" s="1435"/>
    </row>
    <row r="2411" spans="2:20" ht="12.75" customHeight="1">
      <c r="B2411" s="479"/>
      <c r="C2411" s="977"/>
      <c r="D2411" s="982" t="s">
        <v>266</v>
      </c>
      <c r="E2411" s="2671" t="s">
        <v>1617</v>
      </c>
      <c r="F2411" s="2672"/>
      <c r="G2411" s="2672"/>
      <c r="H2411" s="2672"/>
      <c r="I2411" s="2672"/>
      <c r="J2411" s="2672"/>
      <c r="K2411" s="2672"/>
      <c r="L2411" s="2672"/>
      <c r="M2411" s="2672"/>
      <c r="N2411" s="2673"/>
      <c r="O2411" s="485"/>
      <c r="P2411" s="485"/>
      <c r="Q2411" s="1435"/>
      <c r="S2411" s="1435"/>
      <c r="T2411" s="1435"/>
    </row>
    <row r="2412" spans="2:20" ht="12.75" customHeight="1">
      <c r="B2412" s="479"/>
      <c r="C2412" s="977"/>
      <c r="D2412" s="777"/>
      <c r="E2412" s="3292" t="s">
        <v>2295</v>
      </c>
      <c r="F2412" s="2671"/>
      <c r="G2412" s="2671"/>
      <c r="H2412" s="2671"/>
      <c r="I2412" s="2671"/>
      <c r="J2412" s="2671"/>
      <c r="K2412" s="2671"/>
      <c r="L2412" s="2671"/>
      <c r="M2412" s="2671"/>
      <c r="N2412" s="2712"/>
      <c r="O2412" s="485"/>
      <c r="P2412" s="485"/>
      <c r="Q2412" s="1435"/>
      <c r="S2412" s="1435"/>
      <c r="T2412" s="1435"/>
    </row>
    <row r="2413" spans="2:20" ht="12.75" customHeight="1">
      <c r="B2413" s="479"/>
      <c r="C2413" s="977"/>
      <c r="D2413" s="981"/>
      <c r="E2413" s="3288" t="s">
        <v>1618</v>
      </c>
      <c r="F2413" s="3288"/>
      <c r="G2413" s="3288"/>
      <c r="H2413" s="3288"/>
      <c r="I2413" s="3288"/>
      <c r="J2413" s="3288"/>
      <c r="K2413" s="3288"/>
      <c r="L2413" s="3288"/>
      <c r="M2413" s="3288"/>
      <c r="N2413" s="3289"/>
      <c r="O2413" s="485"/>
      <c r="P2413" s="485"/>
      <c r="Q2413" s="1435"/>
      <c r="S2413" s="1435"/>
    </row>
    <row r="2414" spans="2:20" ht="25.5" customHeight="1">
      <c r="B2414" s="479"/>
      <c r="C2414" s="977"/>
      <c r="D2414" s="981"/>
      <c r="E2414" s="985" t="s">
        <v>1021</v>
      </c>
      <c r="F2414" s="3290" t="s">
        <v>1616</v>
      </c>
      <c r="G2414" s="2646"/>
      <c r="H2414" s="2646"/>
      <c r="I2414" s="2646"/>
      <c r="J2414" s="2646"/>
      <c r="K2414" s="2646"/>
      <c r="L2414" s="2646"/>
      <c r="M2414" s="2646"/>
      <c r="N2414" s="2647"/>
      <c r="O2414" s="485"/>
      <c r="P2414" s="485"/>
      <c r="Q2414" s="1435"/>
      <c r="S2414" s="1435"/>
    </row>
    <row r="2415" spans="2:20" ht="38.25" customHeight="1">
      <c r="B2415" s="479"/>
      <c r="C2415" s="977"/>
      <c r="D2415" s="981"/>
      <c r="E2415" s="985"/>
      <c r="F2415" s="3267" t="s">
        <v>1615</v>
      </c>
      <c r="G2415" s="2380"/>
      <c r="H2415" s="2380"/>
      <c r="I2415" s="2380"/>
      <c r="J2415" s="2380"/>
      <c r="K2415" s="2380"/>
      <c r="L2415" s="2380"/>
      <c r="M2415" s="2380"/>
      <c r="N2415" s="3268"/>
      <c r="O2415" s="485"/>
      <c r="P2415" s="485"/>
      <c r="Q2415" s="1435"/>
      <c r="S2415" s="1435"/>
    </row>
    <row r="2416" spans="2:20" ht="12.75" customHeight="1">
      <c r="B2416" s="479"/>
      <c r="C2416" s="977"/>
      <c r="D2416" s="981"/>
      <c r="E2416" s="985" t="s">
        <v>1021</v>
      </c>
      <c r="F2416" s="3290" t="s">
        <v>1278</v>
      </c>
      <c r="G2416" s="2646"/>
      <c r="H2416" s="2646"/>
      <c r="I2416" s="2646"/>
      <c r="J2416" s="2646"/>
      <c r="K2416" s="2646"/>
      <c r="L2416" s="2646"/>
      <c r="M2416" s="2646"/>
      <c r="N2416" s="2647"/>
      <c r="O2416" s="485"/>
      <c r="P2416" s="485"/>
      <c r="Q2416" s="1435"/>
      <c r="S2416" s="1435"/>
    </row>
    <row r="2417" spans="2:37" ht="38.85" customHeight="1">
      <c r="B2417" s="479"/>
      <c r="C2417" s="977"/>
      <c r="D2417" s="981"/>
      <c r="E2417" s="985"/>
      <c r="F2417" s="3290" t="s">
        <v>1620</v>
      </c>
      <c r="G2417" s="2646"/>
      <c r="H2417" s="2646"/>
      <c r="I2417" s="2646"/>
      <c r="J2417" s="2646"/>
      <c r="K2417" s="2646"/>
      <c r="L2417" s="2646"/>
      <c r="M2417" s="2646"/>
      <c r="N2417" s="2647"/>
      <c r="O2417" s="485"/>
      <c r="P2417" s="485"/>
      <c r="Q2417" s="1435"/>
      <c r="S2417" s="1435"/>
    </row>
    <row r="2418" spans="2:37" ht="25.5" customHeight="1">
      <c r="B2418" s="479"/>
      <c r="C2418" s="977"/>
      <c r="D2418" s="981"/>
      <c r="E2418" s="985"/>
      <c r="F2418" s="3290" t="s">
        <v>1619</v>
      </c>
      <c r="G2418" s="2646"/>
      <c r="H2418" s="2646"/>
      <c r="I2418" s="2646"/>
      <c r="J2418" s="2646"/>
      <c r="K2418" s="2646"/>
      <c r="L2418" s="2646"/>
      <c r="M2418" s="2646"/>
      <c r="N2418" s="2647"/>
      <c r="O2418" s="485"/>
      <c r="P2418" s="485"/>
      <c r="Q2418" s="1435"/>
      <c r="S2418" s="1435"/>
    </row>
    <row r="2419" spans="2:37" ht="25.5" customHeight="1">
      <c r="B2419" s="479"/>
      <c r="C2419" s="977"/>
      <c r="D2419" s="981"/>
      <c r="E2419" s="985" t="s">
        <v>1021</v>
      </c>
      <c r="F2419" s="3290" t="s">
        <v>1542</v>
      </c>
      <c r="G2419" s="2646"/>
      <c r="H2419" s="2646"/>
      <c r="I2419" s="2646"/>
      <c r="J2419" s="2646"/>
      <c r="K2419" s="2646"/>
      <c r="L2419" s="2646"/>
      <c r="M2419" s="2646"/>
      <c r="N2419" s="2647"/>
      <c r="O2419" s="485"/>
      <c r="P2419" s="485"/>
      <c r="Q2419" s="1435"/>
      <c r="S2419" s="1435"/>
    </row>
    <row r="2420" spans="2:37" ht="25.5" customHeight="1" thickBot="1">
      <c r="B2420" s="479"/>
      <c r="C2420" s="977"/>
      <c r="D2420" s="981"/>
      <c r="E2420" s="985" t="s">
        <v>1021</v>
      </c>
      <c r="F2420" s="3290" t="s">
        <v>1458</v>
      </c>
      <c r="G2420" s="2646"/>
      <c r="H2420" s="2646"/>
      <c r="I2420" s="2646"/>
      <c r="J2420" s="2646"/>
      <c r="K2420" s="2646"/>
      <c r="L2420" s="2646"/>
      <c r="M2420" s="2646"/>
      <c r="N2420" s="2647"/>
      <c r="O2420" s="485"/>
      <c r="P2420" s="485"/>
      <c r="Q2420" s="1435"/>
      <c r="S2420" s="1435"/>
    </row>
    <row r="2421" spans="2:37" ht="12.75" customHeight="1" thickBot="1">
      <c r="B2421" s="479"/>
      <c r="C2421" s="977"/>
      <c r="D2421" s="982"/>
      <c r="E2421" s="2648" t="s">
        <v>1612</v>
      </c>
      <c r="F2421" s="2648"/>
      <c r="G2421" s="987" t="str">
        <f>EUconst_Unit</f>
        <v>Unit</v>
      </c>
      <c r="H2421" s="782">
        <f t="shared" ref="H2421:N2421" si="1112">H$3242</f>
        <v>2024</v>
      </c>
      <c r="I2421" s="988">
        <f t="shared" si="1112"/>
        <v>2025</v>
      </c>
      <c r="J2421" s="1810">
        <f t="shared" si="1112"/>
        <v>2026</v>
      </c>
      <c r="K2421" s="1747">
        <f t="shared" si="1112"/>
        <v>2027</v>
      </c>
      <c r="L2421" s="1747">
        <f t="shared" si="1112"/>
        <v>2028</v>
      </c>
      <c r="M2421" s="1747">
        <f t="shared" si="1112"/>
        <v>2029</v>
      </c>
      <c r="N2421" s="1748">
        <f t="shared" si="1112"/>
        <v>2030</v>
      </c>
      <c r="O2421" s="485"/>
      <c r="P2421" s="485"/>
      <c r="Q2421" s="1435"/>
      <c r="S2421" s="1648"/>
      <c r="T2421" s="1749">
        <f t="shared" ref="T2421:Z2421" si="1113">H2421</f>
        <v>2024</v>
      </c>
      <c r="U2421" s="1749">
        <f t="shared" si="1113"/>
        <v>2025</v>
      </c>
      <c r="V2421" s="1749">
        <f t="shared" si="1113"/>
        <v>2026</v>
      </c>
      <c r="W2421" s="1749">
        <f t="shared" si="1113"/>
        <v>2027</v>
      </c>
      <c r="X2421" s="1749">
        <f t="shared" si="1113"/>
        <v>2028</v>
      </c>
      <c r="Y2421" s="1749">
        <f t="shared" si="1113"/>
        <v>2029</v>
      </c>
      <c r="Z2421" s="1750">
        <f t="shared" si="1113"/>
        <v>2030</v>
      </c>
      <c r="AC2421" s="1638">
        <f t="shared" ref="AC2421:AI2421" si="1114">H$20</f>
        <v>2024</v>
      </c>
      <c r="AD2421" s="1638">
        <f t="shared" si="1114"/>
        <v>2025</v>
      </c>
      <c r="AE2421" s="1638">
        <f t="shared" si="1114"/>
        <v>2026</v>
      </c>
      <c r="AF2421" s="1638">
        <f t="shared" si="1114"/>
        <v>2027</v>
      </c>
      <c r="AG2421" s="1638">
        <f t="shared" si="1114"/>
        <v>2028</v>
      </c>
      <c r="AH2421" s="1638">
        <f t="shared" si="1114"/>
        <v>2029</v>
      </c>
      <c r="AI2421" s="1638">
        <f t="shared" si="1114"/>
        <v>2030</v>
      </c>
    </row>
    <row r="2422" spans="2:37" ht="12.75" customHeight="1" thickBot="1">
      <c r="B2422" s="479"/>
      <c r="C2422" s="977"/>
      <c r="D2422" s="981"/>
      <c r="E2422" s="3285" t="str">
        <f>I2267</f>
        <v/>
      </c>
      <c r="F2422" s="2410"/>
      <c r="G2422" s="815" t="str">
        <f>EUconst_tCO2epa</f>
        <v>t CO2e/year</v>
      </c>
      <c r="H2422" s="1479" t="str">
        <f>c_ALR2025!M4968</f>
        <v/>
      </c>
      <c r="I2422" s="1532"/>
      <c r="J2422" s="1811"/>
      <c r="K2422" s="1751"/>
      <c r="L2422" s="1751"/>
      <c r="M2422" s="1751"/>
      <c r="N2422" s="1752"/>
      <c r="O2422" s="485"/>
      <c r="P2422" s="9">
        <v>0</v>
      </c>
      <c r="Q2422" s="1644" t="str">
        <f>EUconst_CNTR_Emissions &amp; I2267</f>
        <v>DirEmissions_</v>
      </c>
      <c r="S2422" s="1753" t="str">
        <f>EUconst_CNTR_AttributedEmissions &amp; I2267</f>
        <v>AttrEmissions_</v>
      </c>
      <c r="T2422" s="1743" t="str">
        <f t="shared" ref="T2422:Z2422" si="1115">IF(T2275,SUM(H2422),"")</f>
        <v/>
      </c>
      <c r="U2422" s="1743" t="str">
        <f t="shared" si="1115"/>
        <v/>
      </c>
      <c r="V2422" s="1743" t="str">
        <f t="shared" si="1115"/>
        <v/>
      </c>
      <c r="W2422" s="1743" t="str">
        <f t="shared" si="1115"/>
        <v/>
      </c>
      <c r="X2422" s="1743" t="str">
        <f t="shared" si="1115"/>
        <v/>
      </c>
      <c r="Y2422" s="1743" t="str">
        <f t="shared" si="1115"/>
        <v/>
      </c>
      <c r="Z2422" s="1744" t="str">
        <f t="shared" si="1115"/>
        <v/>
      </c>
      <c r="AB2422" s="1641" t="s">
        <v>717</v>
      </c>
      <c r="AC2422" s="1443" t="b">
        <f>AC2337</f>
        <v>0</v>
      </c>
      <c r="AD2422" s="1443" t="b">
        <f t="shared" ref="AD2422:AI2422" si="1116">AD2337</f>
        <v>0</v>
      </c>
      <c r="AE2422" s="1443" t="b">
        <f t="shared" si="1116"/>
        <v>0</v>
      </c>
      <c r="AF2422" s="1443" t="b">
        <f t="shared" si="1116"/>
        <v>0</v>
      </c>
      <c r="AG2422" s="1443" t="b">
        <f t="shared" si="1116"/>
        <v>0</v>
      </c>
      <c r="AH2422" s="1443" t="b">
        <f t="shared" si="1116"/>
        <v>0</v>
      </c>
      <c r="AI2422" s="1443" t="b">
        <f t="shared" si="1116"/>
        <v>0</v>
      </c>
      <c r="AJ2422" s="1633" t="s">
        <v>1954</v>
      </c>
      <c r="AK2422" s="1635" t="str">
        <f>IF(AND(CNTR_ExistSubInstEntries,MSconst_RequireSubAttrEmissions,COUNTIFS(AC2422:AI2422,FALSE,H2422:N2422,"")&gt;0),EUconst_Error&amp;"BM"&amp;$Q2267,"")</f>
        <v/>
      </c>
    </row>
    <row r="2423" spans="2:37" ht="12.75" customHeight="1">
      <c r="B2423" s="479"/>
      <c r="C2423" s="977"/>
      <c r="D2423" s="981"/>
      <c r="E2423" s="981"/>
      <c r="F2423" s="981"/>
      <c r="G2423" s="981"/>
      <c r="H2423" s="981"/>
      <c r="I2423" s="981"/>
      <c r="J2423" s="981"/>
      <c r="K2423" s="981"/>
      <c r="L2423" s="981"/>
      <c r="M2423" s="813"/>
      <c r="N2423" s="814"/>
      <c r="O2423" s="485"/>
      <c r="P2423" s="485"/>
      <c r="Q2423" s="1435"/>
      <c r="S2423" s="1435"/>
    </row>
    <row r="2424" spans="2:37" ht="12.75" customHeight="1">
      <c r="B2424" s="479"/>
      <c r="C2424" s="977"/>
      <c r="D2424" s="982" t="s">
        <v>269</v>
      </c>
      <c r="E2424" s="2649" t="s">
        <v>1189</v>
      </c>
      <c r="F2424" s="2391"/>
      <c r="G2424" s="2391"/>
      <c r="H2424" s="2391"/>
      <c r="I2424" s="2391"/>
      <c r="J2424" s="2391"/>
      <c r="K2424" s="2391"/>
      <c r="L2424" s="2391"/>
      <c r="M2424" s="2391"/>
      <c r="N2424" s="2650"/>
      <c r="O2424" s="485"/>
      <c r="P2424" s="485"/>
      <c r="Q2424" s="1435"/>
      <c r="R2424" s="1435"/>
      <c r="S2424" s="1435"/>
    </row>
    <row r="2425" spans="2:37" ht="25.5" customHeight="1">
      <c r="B2425" s="479"/>
      <c r="C2425" s="977"/>
      <c r="D2425" s="981"/>
      <c r="E2425" s="3288" t="s">
        <v>1605</v>
      </c>
      <c r="F2425" s="3288"/>
      <c r="G2425" s="3288"/>
      <c r="H2425" s="3288"/>
      <c r="I2425" s="3288"/>
      <c r="J2425" s="3288"/>
      <c r="K2425" s="3288"/>
      <c r="L2425" s="3288"/>
      <c r="M2425" s="3288"/>
      <c r="N2425" s="3289"/>
      <c r="O2425" s="485"/>
      <c r="P2425" s="485"/>
      <c r="Q2425" s="1435"/>
      <c r="R2425" s="1435"/>
      <c r="S2425" s="1435"/>
    </row>
    <row r="2426" spans="2:37" ht="25.5" customHeight="1">
      <c r="B2426" s="479"/>
      <c r="C2426" s="977"/>
      <c r="D2426" s="981"/>
      <c r="E2426" s="3288" t="s">
        <v>1357</v>
      </c>
      <c r="F2426" s="3288"/>
      <c r="G2426" s="3288"/>
      <c r="H2426" s="3288"/>
      <c r="I2426" s="3288"/>
      <c r="J2426" s="3288"/>
      <c r="K2426" s="3288"/>
      <c r="L2426" s="3288"/>
      <c r="M2426" s="3288"/>
      <c r="N2426" s="3289"/>
      <c r="O2426" s="485"/>
      <c r="P2426" s="485"/>
      <c r="Q2426" s="1435"/>
      <c r="S2426" s="1435"/>
    </row>
    <row r="2427" spans="2:37" ht="12.75" customHeight="1">
      <c r="B2427" s="479"/>
      <c r="C2427" s="977"/>
      <c r="D2427" s="981"/>
      <c r="E2427" s="3288" t="s">
        <v>1594</v>
      </c>
      <c r="F2427" s="3288"/>
      <c r="G2427" s="3288"/>
      <c r="H2427" s="3288"/>
      <c r="I2427" s="3288"/>
      <c r="J2427" s="3288"/>
      <c r="K2427" s="3288"/>
      <c r="L2427" s="3288"/>
      <c r="M2427" s="3288"/>
      <c r="N2427" s="3289"/>
      <c r="O2427" s="485"/>
      <c r="P2427" s="485"/>
      <c r="Q2427" s="1435"/>
      <c r="S2427" s="1435"/>
    </row>
    <row r="2428" spans="2:37" ht="12.75" customHeight="1">
      <c r="B2428" s="479"/>
      <c r="C2428" s="977"/>
      <c r="D2428" s="981"/>
      <c r="E2428" s="3272" t="s">
        <v>1557</v>
      </c>
      <c r="F2428" s="2380"/>
      <c r="G2428" s="2380"/>
      <c r="H2428" s="2380"/>
      <c r="I2428" s="2380"/>
      <c r="J2428" s="2380"/>
      <c r="K2428" s="2380"/>
      <c r="L2428" s="2380"/>
      <c r="M2428" s="2380"/>
      <c r="N2428" s="3268"/>
      <c r="O2428" s="485"/>
      <c r="P2428" s="485"/>
      <c r="Q2428" s="1435"/>
      <c r="S2428" s="1435"/>
    </row>
    <row r="2429" spans="2:37" ht="12.75" customHeight="1" thickBot="1">
      <c r="B2429" s="479"/>
      <c r="C2429" s="977"/>
      <c r="D2429" s="982"/>
      <c r="E2429" s="989"/>
      <c r="F2429" s="990"/>
      <c r="G2429" s="987" t="str">
        <f>EUconst_Unit</f>
        <v>Unit</v>
      </c>
      <c r="H2429" s="782">
        <f t="shared" ref="H2429:N2429" si="1117">H$3242</f>
        <v>2024</v>
      </c>
      <c r="I2429" s="988">
        <f t="shared" si="1117"/>
        <v>2025</v>
      </c>
      <c r="J2429" s="1810">
        <f t="shared" si="1117"/>
        <v>2026</v>
      </c>
      <c r="K2429" s="1747">
        <f t="shared" si="1117"/>
        <v>2027</v>
      </c>
      <c r="L2429" s="1747">
        <f t="shared" si="1117"/>
        <v>2028</v>
      </c>
      <c r="M2429" s="1747">
        <f t="shared" si="1117"/>
        <v>2029</v>
      </c>
      <c r="N2429" s="1748">
        <f t="shared" si="1117"/>
        <v>2030</v>
      </c>
      <c r="O2429" s="485"/>
      <c r="P2429" s="485"/>
      <c r="Q2429" s="1435"/>
      <c r="S2429" s="1435"/>
      <c r="AC2429" s="1638">
        <f t="shared" ref="AC2429:AI2429" si="1118">H$20</f>
        <v>2024</v>
      </c>
      <c r="AD2429" s="1638">
        <f t="shared" si="1118"/>
        <v>2025</v>
      </c>
      <c r="AE2429" s="1638">
        <f t="shared" si="1118"/>
        <v>2026</v>
      </c>
      <c r="AF2429" s="1638">
        <f t="shared" si="1118"/>
        <v>2027</v>
      </c>
      <c r="AG2429" s="1638">
        <f t="shared" si="1118"/>
        <v>2028</v>
      </c>
      <c r="AH2429" s="1638">
        <f t="shared" si="1118"/>
        <v>2029</v>
      </c>
      <c r="AI2429" s="1638">
        <f t="shared" si="1118"/>
        <v>2030</v>
      </c>
    </row>
    <row r="2430" spans="2:37" ht="12.75" customHeight="1">
      <c r="B2430" s="479"/>
      <c r="C2430" s="977"/>
      <c r="D2430" s="777" t="s">
        <v>6</v>
      </c>
      <c r="E2430" s="2475" t="s">
        <v>1344</v>
      </c>
      <c r="F2430" s="2410"/>
      <c r="G2430" s="815" t="str">
        <f>EUconst_TJpa</f>
        <v>TJ / year</v>
      </c>
      <c r="H2430" s="1479" t="str">
        <f>c_ALR2025!M4976</f>
        <v/>
      </c>
      <c r="I2430" s="1532"/>
      <c r="J2430" s="1811"/>
      <c r="K2430" s="1751"/>
      <c r="L2430" s="1751"/>
      <c r="M2430" s="1751"/>
      <c r="N2430" s="1752"/>
      <c r="O2430" s="485"/>
      <c r="P2430" s="9">
        <v>0</v>
      </c>
      <c r="Q2430" s="1644" t="str">
        <f>EUconst_CNTR_FuelInput &amp; I2267</f>
        <v>FuelInput_</v>
      </c>
      <c r="S2430" s="1435"/>
      <c r="AB2430" s="1641" t="s">
        <v>717</v>
      </c>
      <c r="AC2430" s="1443" t="b">
        <f>AC2337</f>
        <v>0</v>
      </c>
      <c r="AD2430" s="1443" t="b">
        <f t="shared" ref="AD2430:AI2430" si="1119">AD2337</f>
        <v>0</v>
      </c>
      <c r="AE2430" s="1443" t="b">
        <f t="shared" si="1119"/>
        <v>0</v>
      </c>
      <c r="AF2430" s="1443" t="b">
        <f t="shared" si="1119"/>
        <v>0</v>
      </c>
      <c r="AG2430" s="1443" t="b">
        <f t="shared" si="1119"/>
        <v>0</v>
      </c>
      <c r="AH2430" s="1443" t="b">
        <f t="shared" si="1119"/>
        <v>0</v>
      </c>
      <c r="AI2430" s="1443" t="b">
        <f t="shared" si="1119"/>
        <v>0</v>
      </c>
      <c r="AJ2430" s="1633" t="s">
        <v>1954</v>
      </c>
      <c r="AK2430" s="1635" t="str">
        <f>IF(AND(CNTR_ExistSubInstEntries,MSconst_RequireSubAttrEmissions,COUNTIFS(AC2430:AI2430,FALSE,H2430:N2430,"")&gt;0),EUconst_Error&amp;"BM"&amp;$Q2267,"")</f>
        <v/>
      </c>
    </row>
    <row r="2431" spans="2:37" ht="12.75" customHeight="1">
      <c r="B2431" s="479"/>
      <c r="C2431" s="977"/>
      <c r="D2431" s="777" t="s">
        <v>7</v>
      </c>
      <c r="E2431" s="2475" t="s">
        <v>1182</v>
      </c>
      <c r="F2431" s="2410"/>
      <c r="G2431" s="991" t="str">
        <f>EUconst_tCO2pTJ</f>
        <v>t CO2 / TJ</v>
      </c>
      <c r="H2431" s="1582" t="str">
        <f>c_ALR2025!M4977</f>
        <v/>
      </c>
      <c r="I2431" s="1882"/>
      <c r="J2431" s="1811"/>
      <c r="K2431" s="1751"/>
      <c r="L2431" s="1751"/>
      <c r="M2431" s="1751"/>
      <c r="N2431" s="1752"/>
      <c r="O2431" s="485"/>
      <c r="P2431" s="9">
        <v>0</v>
      </c>
      <c r="Q2431" s="1644" t="str">
        <f>EUconst_CNTR_FuelEF &amp; I2267</f>
        <v>FuelEF_</v>
      </c>
      <c r="S2431" s="1435"/>
      <c r="AC2431" s="1443" t="b">
        <f>AC2430</f>
        <v>0</v>
      </c>
      <c r="AD2431" s="1443" t="b">
        <f t="shared" ref="AD2431:AI2431" si="1120">AD2430</f>
        <v>0</v>
      </c>
      <c r="AE2431" s="1443" t="b">
        <f t="shared" si="1120"/>
        <v>0</v>
      </c>
      <c r="AF2431" s="1443" t="b">
        <f t="shared" si="1120"/>
        <v>0</v>
      </c>
      <c r="AG2431" s="1443" t="b">
        <f t="shared" si="1120"/>
        <v>0</v>
      </c>
      <c r="AH2431" s="1443" t="b">
        <f t="shared" si="1120"/>
        <v>0</v>
      </c>
      <c r="AI2431" s="1443" t="b">
        <f t="shared" si="1120"/>
        <v>0</v>
      </c>
      <c r="AJ2431" s="1633" t="s">
        <v>1954</v>
      </c>
      <c r="AK2431" s="1635" t="str">
        <f>IF(AND(CNTR_ExistSubInstEntries,MSconst_RequireSubAttrEmissions,COUNTIFS(AC2431:AI2431,FALSE,H2431:N2431,"")&gt;0),EUconst_Error&amp;"BM"&amp;$Q2267,"")</f>
        <v/>
      </c>
    </row>
    <row r="2432" spans="2:37" ht="12.75" customHeight="1">
      <c r="B2432" s="479"/>
      <c r="C2432" s="977"/>
      <c r="D2432" s="981"/>
      <c r="E2432" s="981"/>
      <c r="F2432" s="981"/>
      <c r="G2432" s="981"/>
      <c r="H2432" s="981"/>
      <c r="I2432" s="981"/>
      <c r="J2432" s="981"/>
      <c r="K2432" s="981"/>
      <c r="L2432" s="981"/>
      <c r="M2432" s="813"/>
      <c r="N2432" s="814"/>
      <c r="O2432" s="485"/>
      <c r="P2432" s="485"/>
      <c r="Q2432" s="1435"/>
      <c r="S2432" s="1435"/>
    </row>
    <row r="2433" spans="2:37" ht="12.75" customHeight="1">
      <c r="B2433" s="479"/>
      <c r="C2433" s="977"/>
      <c r="D2433" s="982" t="s">
        <v>271</v>
      </c>
      <c r="E2433" s="2649" t="s">
        <v>1416</v>
      </c>
      <c r="F2433" s="2391"/>
      <c r="G2433" s="2391"/>
      <c r="H2433" s="2391"/>
      <c r="I2433" s="2391"/>
      <c r="J2433" s="2391"/>
      <c r="K2433" s="2391"/>
      <c r="L2433" s="2391"/>
      <c r="M2433" s="2391"/>
      <c r="N2433" s="2650"/>
      <c r="O2433" s="485"/>
      <c r="P2433" s="485"/>
      <c r="Q2433" s="1435"/>
      <c r="R2433" s="1435"/>
      <c r="S2433" s="1435"/>
    </row>
    <row r="2434" spans="2:37" ht="12.75" customHeight="1">
      <c r="B2434" s="479"/>
      <c r="C2434" s="977"/>
      <c r="D2434" s="777"/>
      <c r="E2434" s="3272" t="s">
        <v>2295</v>
      </c>
      <c r="F2434" s="2380"/>
      <c r="G2434" s="2380"/>
      <c r="H2434" s="2380"/>
      <c r="I2434" s="2380"/>
      <c r="J2434" s="2380"/>
      <c r="K2434" s="2380"/>
      <c r="L2434" s="2380"/>
      <c r="M2434" s="2380"/>
      <c r="N2434" s="3268"/>
      <c r="O2434" s="485"/>
      <c r="P2434" s="485"/>
      <c r="Q2434" s="1435"/>
      <c r="S2434" s="1435"/>
      <c r="T2434" s="1435"/>
      <c r="U2434" s="1435"/>
      <c r="V2434" s="1435"/>
    </row>
    <row r="2435" spans="2:37" ht="25.5" customHeight="1">
      <c r="B2435" s="479"/>
      <c r="C2435" s="977"/>
      <c r="D2435" s="981"/>
      <c r="E2435" s="3272" t="s">
        <v>1551</v>
      </c>
      <c r="F2435" s="2380"/>
      <c r="G2435" s="2380"/>
      <c r="H2435" s="2380"/>
      <c r="I2435" s="2380"/>
      <c r="J2435" s="2380"/>
      <c r="K2435" s="2380"/>
      <c r="L2435" s="2380"/>
      <c r="M2435" s="2380"/>
      <c r="N2435" s="3268"/>
      <c r="O2435" s="485"/>
      <c r="P2435" s="485"/>
      <c r="Q2435" s="1435"/>
      <c r="R2435" s="1435"/>
      <c r="S2435" s="1435"/>
    </row>
    <row r="2436" spans="2:37" ht="12.75" customHeight="1">
      <c r="B2436" s="479"/>
      <c r="C2436" s="977"/>
      <c r="D2436" s="981"/>
      <c r="E2436" s="3267" t="s">
        <v>1552</v>
      </c>
      <c r="F2436" s="2380"/>
      <c r="G2436" s="2380"/>
      <c r="H2436" s="2380"/>
      <c r="I2436" s="2380"/>
      <c r="J2436" s="2380"/>
      <c r="K2436" s="2380"/>
      <c r="L2436" s="2380"/>
      <c r="M2436" s="2380"/>
      <c r="N2436" s="3268"/>
      <c r="O2436" s="485"/>
      <c r="P2436" s="485"/>
      <c r="Q2436" s="1435"/>
      <c r="R2436" s="1435"/>
      <c r="S2436" s="1435"/>
    </row>
    <row r="2437" spans="2:37" ht="38.85" customHeight="1">
      <c r="B2437" s="479"/>
      <c r="C2437" s="977"/>
      <c r="D2437" s="981"/>
      <c r="E2437" s="3267" t="s">
        <v>1553</v>
      </c>
      <c r="F2437" s="2380"/>
      <c r="G2437" s="2380"/>
      <c r="H2437" s="2380"/>
      <c r="I2437" s="2380"/>
      <c r="J2437" s="2380"/>
      <c r="K2437" s="2380"/>
      <c r="L2437" s="2380"/>
      <c r="M2437" s="2380"/>
      <c r="N2437" s="3268"/>
      <c r="O2437" s="485"/>
      <c r="P2437" s="485"/>
      <c r="Q2437" s="1435"/>
      <c r="S2437" s="1435"/>
    </row>
    <row r="2438" spans="2:37" ht="51" customHeight="1">
      <c r="B2438" s="479"/>
      <c r="C2438" s="977"/>
      <c r="D2438" s="981"/>
      <c r="E2438" s="3267" t="s">
        <v>1567</v>
      </c>
      <c r="F2438" s="2380"/>
      <c r="G2438" s="2380"/>
      <c r="H2438" s="2380"/>
      <c r="I2438" s="2380"/>
      <c r="J2438" s="2380"/>
      <c r="K2438" s="2380"/>
      <c r="L2438" s="2380"/>
      <c r="M2438" s="2380"/>
      <c r="N2438" s="3268"/>
      <c r="O2438" s="485"/>
      <c r="P2438" s="485"/>
      <c r="Q2438" s="1435"/>
      <c r="S2438" s="1435"/>
    </row>
    <row r="2439" spans="2:37" ht="25.5" customHeight="1">
      <c r="B2439" s="479"/>
      <c r="C2439" s="977"/>
      <c r="D2439" s="981"/>
      <c r="E2439" s="3267" t="s">
        <v>1565</v>
      </c>
      <c r="F2439" s="2380"/>
      <c r="G2439" s="2380"/>
      <c r="H2439" s="2380"/>
      <c r="I2439" s="2380"/>
      <c r="J2439" s="2380"/>
      <c r="K2439" s="2380"/>
      <c r="L2439" s="2380"/>
      <c r="M2439" s="2380"/>
      <c r="N2439" s="3268"/>
      <c r="O2439" s="485"/>
      <c r="P2439" s="485"/>
      <c r="Q2439" s="1435"/>
      <c r="S2439" s="1435"/>
    </row>
    <row r="2440" spans="2:37" ht="12.75" customHeight="1">
      <c r="B2440" s="479"/>
      <c r="C2440" s="977"/>
      <c r="D2440" s="777" t="s">
        <v>6</v>
      </c>
      <c r="E2440" s="2682" t="s">
        <v>1456</v>
      </c>
      <c r="F2440" s="2391"/>
      <c r="G2440" s="2391"/>
      <c r="H2440" s="2391"/>
      <c r="I2440" s="2391"/>
      <c r="J2440" s="2391"/>
      <c r="K2440" s="2512"/>
      <c r="L2440" s="1478" t="str">
        <f>c_ALR2025!L4986</f>
        <v/>
      </c>
      <c r="M2440" s="978"/>
      <c r="N2440" s="979"/>
      <c r="O2440" s="485"/>
      <c r="P2440" s="9">
        <v>0</v>
      </c>
      <c r="Q2440" s="1435"/>
      <c r="S2440" s="1435"/>
      <c r="AF2440" s="1641" t="s">
        <v>717</v>
      </c>
      <c r="AG2440" s="1423" t="b">
        <f>AND(CNTR_ExistSubInstEntries,I2267="")</f>
        <v>0</v>
      </c>
    </row>
    <row r="2441" spans="2:37" ht="12.75" customHeight="1">
      <c r="B2441" s="479"/>
      <c r="C2441" s="977"/>
      <c r="D2441" s="981"/>
      <c r="E2441" s="3267" t="s">
        <v>1216</v>
      </c>
      <c r="F2441" s="2380"/>
      <c r="G2441" s="2380"/>
      <c r="H2441" s="2380"/>
      <c r="I2441" s="2380"/>
      <c r="J2441" s="2380"/>
      <c r="K2441" s="2380"/>
      <c r="L2441" s="2380"/>
      <c r="M2441" s="2380"/>
      <c r="N2441" s="3268"/>
      <c r="O2441" s="485"/>
      <c r="P2441" s="485"/>
      <c r="Q2441" s="1435"/>
      <c r="S2441" s="1435"/>
    </row>
    <row r="2442" spans="2:37" ht="12.75" customHeight="1">
      <c r="B2442" s="479"/>
      <c r="C2442" s="977"/>
      <c r="D2442" s="777" t="s">
        <v>7</v>
      </c>
      <c r="E2442" s="2649" t="s">
        <v>1214</v>
      </c>
      <c r="F2442" s="2391"/>
      <c r="G2442" s="2391"/>
      <c r="H2442" s="2512"/>
      <c r="I2442" s="3211" t="str">
        <f>c_ALR2025!I4988</f>
        <v/>
      </c>
      <c r="J2442" s="3286"/>
      <c r="K2442" s="3286"/>
      <c r="L2442" s="3286"/>
      <c r="M2442" s="3287"/>
      <c r="N2442" s="992"/>
      <c r="O2442" s="485"/>
      <c r="P2442" s="9">
        <v>0</v>
      </c>
      <c r="Q2442" s="1435"/>
      <c r="S2442" s="1435"/>
      <c r="AC2442" s="1641" t="s">
        <v>717</v>
      </c>
      <c r="AD2442" s="1423" t="b">
        <f>OR(AG2440,AND($L2440&lt;&gt;"",$L2440=FALSE))</f>
        <v>0</v>
      </c>
    </row>
    <row r="2443" spans="2:37" ht="5.0999999999999996" customHeight="1">
      <c r="B2443" s="479"/>
      <c r="C2443" s="977"/>
      <c r="D2443" s="981"/>
      <c r="E2443" s="986"/>
      <c r="F2443" s="978"/>
      <c r="G2443" s="978"/>
      <c r="H2443" s="978"/>
      <c r="I2443" s="978"/>
      <c r="J2443" s="978"/>
      <c r="K2443" s="978"/>
      <c r="L2443" s="978"/>
      <c r="M2443" s="978"/>
      <c r="N2443" s="979"/>
      <c r="O2443" s="485"/>
      <c r="P2443" s="485"/>
      <c r="Q2443" s="1435"/>
      <c r="S2443" s="1435"/>
    </row>
    <row r="2444" spans="2:37" ht="12.75" customHeight="1" thickBot="1">
      <c r="B2444" s="479"/>
      <c r="C2444" s="977"/>
      <c r="D2444" s="981"/>
      <c r="E2444" s="2648" t="s">
        <v>1154</v>
      </c>
      <c r="F2444" s="2493"/>
      <c r="G2444" s="987" t="str">
        <f>EUconst_Unit</f>
        <v>Unit</v>
      </c>
      <c r="H2444" s="782">
        <f t="shared" ref="H2444:N2444" si="1121">H$3242</f>
        <v>2024</v>
      </c>
      <c r="I2444" s="988">
        <f t="shared" si="1121"/>
        <v>2025</v>
      </c>
      <c r="J2444" s="1810">
        <f t="shared" si="1121"/>
        <v>2026</v>
      </c>
      <c r="K2444" s="1747">
        <f t="shared" si="1121"/>
        <v>2027</v>
      </c>
      <c r="L2444" s="1747">
        <f t="shared" si="1121"/>
        <v>2028</v>
      </c>
      <c r="M2444" s="1747">
        <f t="shared" si="1121"/>
        <v>2029</v>
      </c>
      <c r="N2444" s="1748">
        <f t="shared" si="1121"/>
        <v>2030</v>
      </c>
      <c r="O2444" s="485"/>
      <c r="P2444" s="485"/>
      <c r="Q2444" s="1435"/>
      <c r="S2444" s="1435"/>
      <c r="AC2444" s="1638">
        <f t="shared" ref="AC2444:AI2444" si="1122">H$20</f>
        <v>2024</v>
      </c>
      <c r="AD2444" s="1638">
        <f t="shared" si="1122"/>
        <v>2025</v>
      </c>
      <c r="AE2444" s="1638">
        <f t="shared" si="1122"/>
        <v>2026</v>
      </c>
      <c r="AF2444" s="1638">
        <f t="shared" si="1122"/>
        <v>2027</v>
      </c>
      <c r="AG2444" s="1638">
        <f t="shared" si="1122"/>
        <v>2028</v>
      </c>
      <c r="AH2444" s="1638">
        <f t="shared" si="1122"/>
        <v>2029</v>
      </c>
      <c r="AI2444" s="1638">
        <f t="shared" si="1122"/>
        <v>2030</v>
      </c>
    </row>
    <row r="2445" spans="2:37" ht="12.75" customHeight="1">
      <c r="B2445" s="479"/>
      <c r="C2445" s="977"/>
      <c r="D2445" s="777" t="s">
        <v>8</v>
      </c>
      <c r="E2445" s="2471" t="s">
        <v>1153</v>
      </c>
      <c r="F2445" s="2472"/>
      <c r="G2445" s="811" t="str">
        <f>EUconst_tpa</f>
        <v>t / year</v>
      </c>
      <c r="H2445" s="1552" t="str">
        <f>c_ALR2025!M4991</f>
        <v/>
      </c>
      <c r="I2445" s="1611"/>
      <c r="J2445" s="1811"/>
      <c r="K2445" s="1751"/>
      <c r="L2445" s="1751"/>
      <c r="M2445" s="1751"/>
      <c r="N2445" s="1752"/>
      <c r="O2445" s="485"/>
      <c r="P2445" s="9">
        <v>0</v>
      </c>
      <c r="Q2445" s="1435"/>
      <c r="S2445" s="1435"/>
      <c r="AB2445" s="1641" t="s">
        <v>717</v>
      </c>
      <c r="AC2445" s="1423" t="b">
        <f>OR(AND($L2440&lt;&gt;"",$L2440=FALSE),AC2337)</f>
        <v>0</v>
      </c>
      <c r="AD2445" s="1443" t="b">
        <f t="shared" ref="AD2445:AI2445" si="1123">OR(AND($L2440&lt;&gt;"",$L2440=FALSE),AD2337)</f>
        <v>0</v>
      </c>
      <c r="AE2445" s="1443" t="b">
        <f t="shared" si="1123"/>
        <v>0</v>
      </c>
      <c r="AF2445" s="1443" t="b">
        <f t="shared" si="1123"/>
        <v>0</v>
      </c>
      <c r="AG2445" s="1443" t="b">
        <f t="shared" si="1123"/>
        <v>0</v>
      </c>
      <c r="AH2445" s="1443" t="b">
        <f t="shared" si="1123"/>
        <v>0</v>
      </c>
      <c r="AI2445" s="1443" t="b">
        <f t="shared" si="1123"/>
        <v>0</v>
      </c>
      <c r="AJ2445" s="1633" t="s">
        <v>1954</v>
      </c>
      <c r="AK2445" s="1635" t="str">
        <f>IF(AND(CNTR_ExistSubInstEntries,MSconst_RequireSubAttrEmissions,COUNTIFS(AC2445:AI2445,FALSE,H2445:N2445,"")&gt;0),EUconst_Error&amp;"BM"&amp;$Q2267,"")</f>
        <v/>
      </c>
    </row>
    <row r="2446" spans="2:37" ht="12.75" customHeight="1">
      <c r="B2446" s="479"/>
      <c r="C2446" s="977"/>
      <c r="D2446" s="777" t="s">
        <v>18</v>
      </c>
      <c r="E2446" s="2685" t="s">
        <v>946</v>
      </c>
      <c r="F2446" s="2608"/>
      <c r="G2446" s="993" t="str">
        <f>EUconst_GJpt</f>
        <v>GJ / t</v>
      </c>
      <c r="H2446" s="1557" t="str">
        <f>c_ALR2025!M4992</f>
        <v/>
      </c>
      <c r="I2446" s="1883"/>
      <c r="J2446" s="1811"/>
      <c r="K2446" s="1751"/>
      <c r="L2446" s="1751"/>
      <c r="M2446" s="1751"/>
      <c r="N2446" s="1752"/>
      <c r="O2446" s="485"/>
      <c r="P2446" s="9">
        <v>0</v>
      </c>
      <c r="Q2446" s="1435"/>
      <c r="S2446" s="1435"/>
      <c r="AC2446" s="1443" t="b">
        <f t="shared" ref="AC2446:AI2446" si="1124">AC2445</f>
        <v>0</v>
      </c>
      <c r="AD2446" s="1443" t="b">
        <f t="shared" si="1124"/>
        <v>0</v>
      </c>
      <c r="AE2446" s="1443" t="b">
        <f t="shared" si="1124"/>
        <v>0</v>
      </c>
      <c r="AF2446" s="1443" t="b">
        <f t="shared" si="1124"/>
        <v>0</v>
      </c>
      <c r="AG2446" s="1443" t="b">
        <f t="shared" si="1124"/>
        <v>0</v>
      </c>
      <c r="AH2446" s="1443" t="b">
        <f t="shared" si="1124"/>
        <v>0</v>
      </c>
      <c r="AI2446" s="1443" t="b">
        <f t="shared" si="1124"/>
        <v>0</v>
      </c>
      <c r="AJ2446" s="1633" t="s">
        <v>1954</v>
      </c>
      <c r="AK2446" s="1635" t="str">
        <f>IF(AND(CNTR_ExistSubInstEntries,MSconst_RequireSubAttrEmissions,COUNTIFS(AC2446:AI2446,FALSE,H2446:N2446,"")&gt;0),EUconst_Error&amp;"BM"&amp;$Q2267,"")</f>
        <v/>
      </c>
    </row>
    <row r="2447" spans="2:37" ht="12.75" customHeight="1" thickBot="1">
      <c r="B2447" s="479"/>
      <c r="C2447" s="977"/>
      <c r="D2447" s="777" t="s">
        <v>787</v>
      </c>
      <c r="E2447" s="2685" t="s">
        <v>945</v>
      </c>
      <c r="F2447" s="2608"/>
      <c r="G2447" s="994" t="s">
        <v>878</v>
      </c>
      <c r="H2447" s="1557" t="str">
        <f>c_ALR2025!M4993</f>
        <v/>
      </c>
      <c r="I2447" s="1883"/>
      <c r="J2447" s="1811"/>
      <c r="K2447" s="1751"/>
      <c r="L2447" s="1751"/>
      <c r="M2447" s="1751"/>
      <c r="N2447" s="1752"/>
      <c r="O2447" s="485"/>
      <c r="P2447" s="9">
        <v>0</v>
      </c>
      <c r="Q2447" s="1435"/>
      <c r="S2447" s="1435"/>
      <c r="AC2447" s="1443" t="b">
        <f t="shared" ref="AC2447:AI2447" si="1125">AC2446</f>
        <v>0</v>
      </c>
      <c r="AD2447" s="1443" t="b">
        <f t="shared" si="1125"/>
        <v>0</v>
      </c>
      <c r="AE2447" s="1443" t="b">
        <f t="shared" si="1125"/>
        <v>0</v>
      </c>
      <c r="AF2447" s="1443" t="b">
        <f t="shared" si="1125"/>
        <v>0</v>
      </c>
      <c r="AG2447" s="1443" t="b">
        <f t="shared" si="1125"/>
        <v>0</v>
      </c>
      <c r="AH2447" s="1443" t="b">
        <f t="shared" si="1125"/>
        <v>0</v>
      </c>
      <c r="AI2447" s="1443" t="b">
        <f t="shared" si="1125"/>
        <v>0</v>
      </c>
      <c r="AJ2447" s="1633" t="s">
        <v>1954</v>
      </c>
      <c r="AK2447" s="1635" t="str">
        <f>IF(AND(CNTR_ExistSubInstEntries,MSconst_RequireSubAttrEmissions,COUNTIFS(AC2447:AI2447,FALSE,H2447:N2447,"")&gt;0),EUconst_Error&amp;"BM"&amp;$Q2267,"")</f>
        <v/>
      </c>
    </row>
    <row r="2448" spans="2:37" ht="12.75" customHeight="1">
      <c r="B2448" s="479"/>
      <c r="C2448" s="977"/>
      <c r="D2448" s="777" t="s">
        <v>788</v>
      </c>
      <c r="E2448" s="2473" t="s">
        <v>880</v>
      </c>
      <c r="F2448" s="2474"/>
      <c r="G2448" s="812" t="s">
        <v>878</v>
      </c>
      <c r="H2448" s="1558" t="str">
        <f>c_ALR2025!M4994</f>
        <v/>
      </c>
      <c r="I2448" s="1884"/>
      <c r="J2448" s="1811"/>
      <c r="K2448" s="1751"/>
      <c r="L2448" s="1751"/>
      <c r="M2448" s="1751"/>
      <c r="N2448" s="1752"/>
      <c r="O2448" s="485"/>
      <c r="P2448" s="9">
        <v>0</v>
      </c>
      <c r="Q2448" s="1435"/>
      <c r="S2448" s="1648"/>
      <c r="T2448" s="1749">
        <f t="shared" ref="T2448:Z2448" si="1126">H2444</f>
        <v>2024</v>
      </c>
      <c r="U2448" s="1749">
        <f t="shared" si="1126"/>
        <v>2025</v>
      </c>
      <c r="V2448" s="1749">
        <f t="shared" si="1126"/>
        <v>2026</v>
      </c>
      <c r="W2448" s="1749">
        <f t="shared" si="1126"/>
        <v>2027</v>
      </c>
      <c r="X2448" s="1749">
        <f t="shared" si="1126"/>
        <v>2028</v>
      </c>
      <c r="Y2448" s="1749">
        <f t="shared" si="1126"/>
        <v>2029</v>
      </c>
      <c r="Z2448" s="1750">
        <f t="shared" si="1126"/>
        <v>2030</v>
      </c>
      <c r="AC2448" s="1443" t="b">
        <f t="shared" ref="AC2448:AI2448" si="1127">AC2447</f>
        <v>0</v>
      </c>
      <c r="AD2448" s="1443" t="b">
        <f t="shared" si="1127"/>
        <v>0</v>
      </c>
      <c r="AE2448" s="1443" t="b">
        <f t="shared" si="1127"/>
        <v>0</v>
      </c>
      <c r="AF2448" s="1443" t="b">
        <f t="shared" si="1127"/>
        <v>0</v>
      </c>
      <c r="AG2448" s="1443" t="b">
        <f t="shared" si="1127"/>
        <v>0</v>
      </c>
      <c r="AH2448" s="1443" t="b">
        <f t="shared" si="1127"/>
        <v>0</v>
      </c>
      <c r="AI2448" s="1443" t="b">
        <f t="shared" si="1127"/>
        <v>0</v>
      </c>
      <c r="AJ2448" s="1633" t="s">
        <v>1954</v>
      </c>
      <c r="AK2448" s="1635" t="str">
        <f>IF(AND(CNTR_ExistSubInstEntries,MSconst_RequireSubAttrEmissions,COUNTIFS(AC2448:AI2448,FALSE,H2448:N2448,"")&gt;0),EUconst_Error&amp;"BM"&amp;$Q2267,"")</f>
        <v/>
      </c>
    </row>
    <row r="2449" spans="2:37" ht="12.75" customHeight="1" thickBot="1">
      <c r="B2449" s="479"/>
      <c r="C2449" s="977"/>
      <c r="D2449" s="777" t="s">
        <v>789</v>
      </c>
      <c r="E2449" s="2471" t="s">
        <v>882</v>
      </c>
      <c r="F2449" s="2472"/>
      <c r="G2449" s="995" t="str">
        <f>EUconst_tCO2pa</f>
        <v>t CO2 / year</v>
      </c>
      <c r="H2449" s="996" t="str">
        <f t="shared" ref="H2449:N2449" si="1128">IF(AND(COUNT(H2445:H2448)&gt;0,H2452=""),3.664*H2445*(H2447/100)*(1-H2448/100),"")</f>
        <v/>
      </c>
      <c r="I2449" s="997" t="str">
        <f t="shared" si="1128"/>
        <v/>
      </c>
      <c r="J2449" s="1812" t="str">
        <f t="shared" si="1128"/>
        <v/>
      </c>
      <c r="K2449" s="1754" t="str">
        <f t="shared" si="1128"/>
        <v/>
      </c>
      <c r="L2449" s="1754" t="str">
        <f t="shared" si="1128"/>
        <v/>
      </c>
      <c r="M2449" s="1754" t="str">
        <f t="shared" si="1128"/>
        <v/>
      </c>
      <c r="N2449" s="1755" t="str">
        <f t="shared" si="1128"/>
        <v/>
      </c>
      <c r="O2449" s="485"/>
      <c r="P2449" s="485"/>
      <c r="Q2449" s="1644" t="str">
        <f>EUconst_CNTR_EmissionsIntSource1 &amp; I2267</f>
        <v>EmInternalSource1_</v>
      </c>
      <c r="S2449" s="1753" t="str">
        <f>EUconst_CNTR_AttributedEmissions &amp; I2267</f>
        <v>AttrEmissions_</v>
      </c>
      <c r="T2449" s="1743" t="str">
        <f t="shared" ref="T2449:Z2449" si="1129">IF(T2275,SUM(H2449),"")</f>
        <v/>
      </c>
      <c r="U2449" s="1743" t="str">
        <f t="shared" si="1129"/>
        <v/>
      </c>
      <c r="V2449" s="1743" t="str">
        <f t="shared" si="1129"/>
        <v/>
      </c>
      <c r="W2449" s="1743" t="str">
        <f t="shared" si="1129"/>
        <v/>
      </c>
      <c r="X2449" s="1743" t="str">
        <f t="shared" si="1129"/>
        <v/>
      </c>
      <c r="Y2449" s="1743" t="str">
        <f t="shared" si="1129"/>
        <v/>
      </c>
      <c r="Z2449" s="1744" t="str">
        <f t="shared" si="1129"/>
        <v/>
      </c>
    </row>
    <row r="2450" spans="2:37" ht="12.75" customHeight="1">
      <c r="B2450" s="479"/>
      <c r="C2450" s="977"/>
      <c r="D2450" s="777" t="s">
        <v>790</v>
      </c>
      <c r="E2450" s="2670" t="s">
        <v>879</v>
      </c>
      <c r="F2450" s="2608"/>
      <c r="G2450" s="998" t="str">
        <f>EUconst_tCO2pa</f>
        <v>t CO2 / year</v>
      </c>
      <c r="H2450" s="999" t="str">
        <f t="shared" ref="H2450:N2450" si="1130">IF(ISNUMBER(H2449),3.664*H2445*(H2447/100)*(H2448/100),"")</f>
        <v/>
      </c>
      <c r="I2450" s="1000" t="str">
        <f t="shared" si="1130"/>
        <v/>
      </c>
      <c r="J2450" s="1813" t="str">
        <f t="shared" si="1130"/>
        <v/>
      </c>
      <c r="K2450" s="1756" t="str">
        <f t="shared" si="1130"/>
        <v/>
      </c>
      <c r="L2450" s="1756" t="str">
        <f t="shared" si="1130"/>
        <v/>
      </c>
      <c r="M2450" s="1756" t="str">
        <f t="shared" si="1130"/>
        <v/>
      </c>
      <c r="N2450" s="1757" t="str">
        <f t="shared" si="1130"/>
        <v/>
      </c>
      <c r="O2450" s="485"/>
      <c r="P2450" s="485"/>
      <c r="Q2450" s="1435"/>
      <c r="S2450" s="1435"/>
    </row>
    <row r="2451" spans="2:37" ht="12.75" customHeight="1">
      <c r="B2451" s="479"/>
      <c r="C2451" s="977"/>
      <c r="D2451" s="777" t="s">
        <v>791</v>
      </c>
      <c r="E2451" s="2473" t="s">
        <v>41</v>
      </c>
      <c r="F2451" s="2474"/>
      <c r="G2451" s="1001" t="str">
        <f>EUconst_TJpa</f>
        <v>TJ / year</v>
      </c>
      <c r="H2451" s="605" t="str">
        <f t="shared" ref="H2451:N2451" si="1131">IF(COUNT(H2445:H2446)=2,H2445*H2446/1000,"")</f>
        <v/>
      </c>
      <c r="I2451" s="973" t="str">
        <f t="shared" si="1131"/>
        <v/>
      </c>
      <c r="J2451" s="1811" t="str">
        <f t="shared" si="1131"/>
        <v/>
      </c>
      <c r="K2451" s="1751" t="str">
        <f t="shared" si="1131"/>
        <v/>
      </c>
      <c r="L2451" s="1751" t="str">
        <f t="shared" si="1131"/>
        <v/>
      </c>
      <c r="M2451" s="1751" t="str">
        <f t="shared" si="1131"/>
        <v/>
      </c>
      <c r="N2451" s="1752" t="str">
        <f t="shared" si="1131"/>
        <v/>
      </c>
      <c r="O2451" s="485"/>
      <c r="P2451" s="485"/>
      <c r="Q2451" s="1435"/>
      <c r="S2451" s="1435"/>
    </row>
    <row r="2452" spans="2:37" ht="12.75" customHeight="1">
      <c r="B2452" s="479"/>
      <c r="C2452" s="977"/>
      <c r="D2452" s="777" t="s">
        <v>64</v>
      </c>
      <c r="E2452" s="2687" t="s">
        <v>393</v>
      </c>
      <c r="F2452" s="2688"/>
      <c r="G2452" s="1002"/>
      <c r="H2452" s="1003" t="str">
        <f t="shared" ref="H2452:N2452" si="1132">IF(COUNT(H2445,H2447:H2448)&gt;0,IF(COUNTIF(H2446:H2448,"&lt;0")&gt;0,EUconst_Negative,IF(COUNT(H2445,H2447:H2448)&lt;3,EUconst_Incomplete,"")),"")</f>
        <v/>
      </c>
      <c r="I2452" s="1004" t="str">
        <f t="shared" si="1132"/>
        <v/>
      </c>
      <c r="J2452" s="1814" t="str">
        <f t="shared" si="1132"/>
        <v/>
      </c>
      <c r="K2452" s="1758" t="str">
        <f t="shared" si="1132"/>
        <v/>
      </c>
      <c r="L2452" s="1758" t="str">
        <f t="shared" si="1132"/>
        <v/>
      </c>
      <c r="M2452" s="1758" t="str">
        <f t="shared" si="1132"/>
        <v/>
      </c>
      <c r="N2452" s="1759" t="str">
        <f t="shared" si="1132"/>
        <v/>
      </c>
      <c r="O2452" s="485"/>
      <c r="P2452" s="485"/>
      <c r="Q2452" s="1435"/>
      <c r="S2452" s="1435"/>
    </row>
    <row r="2453" spans="2:37" ht="12.75" customHeight="1">
      <c r="B2453" s="479"/>
      <c r="C2453" s="977"/>
      <c r="D2453" s="777"/>
      <c r="E2453" s="981"/>
      <c r="F2453" s="981"/>
      <c r="G2453" s="981"/>
      <c r="H2453" s="981"/>
      <c r="I2453" s="981"/>
      <c r="J2453" s="981"/>
      <c r="K2453" s="981"/>
      <c r="L2453" s="981"/>
      <c r="M2453" s="813"/>
      <c r="N2453" s="814"/>
      <c r="O2453" s="485"/>
      <c r="P2453" s="485"/>
      <c r="Q2453" s="1435"/>
      <c r="S2453" s="1435"/>
    </row>
    <row r="2454" spans="2:37" ht="12.75" customHeight="1">
      <c r="B2454" s="479"/>
      <c r="C2454" s="977"/>
      <c r="D2454" s="777" t="s">
        <v>65</v>
      </c>
      <c r="E2454" s="2649" t="s">
        <v>1215</v>
      </c>
      <c r="F2454" s="2391"/>
      <c r="G2454" s="2391"/>
      <c r="H2454" s="2512"/>
      <c r="I2454" s="3211" t="str">
        <f>c_ALR2025!I5000</f>
        <v/>
      </c>
      <c r="J2454" s="3206"/>
      <c r="K2454" s="3206"/>
      <c r="L2454" s="3206"/>
      <c r="M2454" s="3207"/>
      <c r="N2454" s="979"/>
      <c r="O2454" s="485"/>
      <c r="P2454" s="9">
        <v>0</v>
      </c>
      <c r="Q2454" s="1435"/>
      <c r="S2454" s="1435"/>
      <c r="AC2454" s="1641" t="s">
        <v>717</v>
      </c>
      <c r="AD2454" s="1443" t="b">
        <f>AD2442</f>
        <v>0</v>
      </c>
    </row>
    <row r="2455" spans="2:37" ht="5.0999999999999996" customHeight="1">
      <c r="B2455" s="479"/>
      <c r="C2455" s="977"/>
      <c r="D2455" s="981"/>
      <c r="E2455" s="986"/>
      <c r="F2455" s="978"/>
      <c r="G2455" s="981"/>
      <c r="H2455" s="981"/>
      <c r="I2455" s="978"/>
      <c r="J2455" s="978"/>
      <c r="K2455" s="978"/>
      <c r="L2455" s="978"/>
      <c r="M2455" s="978"/>
      <c r="N2455" s="979"/>
      <c r="O2455" s="485"/>
      <c r="P2455" s="485"/>
      <c r="Q2455" s="1435"/>
      <c r="S2455" s="1435"/>
    </row>
    <row r="2456" spans="2:37" ht="12.75" customHeight="1" thickBot="1">
      <c r="B2456" s="479"/>
      <c r="C2456" s="977"/>
      <c r="D2456" s="777"/>
      <c r="E2456" s="2648" t="s">
        <v>1155</v>
      </c>
      <c r="F2456" s="2493"/>
      <c r="G2456" s="987" t="str">
        <f>EUconst_Unit</f>
        <v>Unit</v>
      </c>
      <c r="H2456" s="782">
        <f t="shared" ref="H2456:N2456" si="1133">H$3242</f>
        <v>2024</v>
      </c>
      <c r="I2456" s="988">
        <f t="shared" si="1133"/>
        <v>2025</v>
      </c>
      <c r="J2456" s="1810">
        <f t="shared" si="1133"/>
        <v>2026</v>
      </c>
      <c r="K2456" s="1747">
        <f t="shared" si="1133"/>
        <v>2027</v>
      </c>
      <c r="L2456" s="1747">
        <f t="shared" si="1133"/>
        <v>2028</v>
      </c>
      <c r="M2456" s="1747">
        <f t="shared" si="1133"/>
        <v>2029</v>
      </c>
      <c r="N2456" s="1748">
        <f t="shared" si="1133"/>
        <v>2030</v>
      </c>
      <c r="O2456" s="485"/>
      <c r="P2456" s="485"/>
      <c r="Q2456" s="1435"/>
      <c r="S2456" s="1435"/>
      <c r="AC2456" s="1638">
        <f t="shared" ref="AC2456:AI2456" si="1134">H$20</f>
        <v>2024</v>
      </c>
      <c r="AD2456" s="1638">
        <f t="shared" si="1134"/>
        <v>2025</v>
      </c>
      <c r="AE2456" s="1638">
        <f t="shared" si="1134"/>
        <v>2026</v>
      </c>
      <c r="AF2456" s="1638">
        <f t="shared" si="1134"/>
        <v>2027</v>
      </c>
      <c r="AG2456" s="1638">
        <f t="shared" si="1134"/>
        <v>2028</v>
      </c>
      <c r="AH2456" s="1638">
        <f t="shared" si="1134"/>
        <v>2029</v>
      </c>
      <c r="AI2456" s="1638">
        <f t="shared" si="1134"/>
        <v>2030</v>
      </c>
    </row>
    <row r="2457" spans="2:37" ht="12.75" customHeight="1">
      <c r="B2457" s="479"/>
      <c r="C2457" s="977"/>
      <c r="D2457" s="777" t="s">
        <v>66</v>
      </c>
      <c r="E2457" s="2471" t="s">
        <v>1153</v>
      </c>
      <c r="F2457" s="2472"/>
      <c r="G2457" s="811" t="str">
        <f>EUconst_tpa</f>
        <v>t / year</v>
      </c>
      <c r="H2457" s="1552" t="str">
        <f>c_ALR2025!M5003</f>
        <v/>
      </c>
      <c r="I2457" s="1611"/>
      <c r="J2457" s="1811"/>
      <c r="K2457" s="1751"/>
      <c r="L2457" s="1751"/>
      <c r="M2457" s="1751"/>
      <c r="N2457" s="1752"/>
      <c r="O2457" s="485"/>
      <c r="P2457" s="9">
        <v>0</v>
      </c>
      <c r="Q2457" s="1435"/>
      <c r="S2457" s="1435"/>
      <c r="AB2457" s="1641" t="s">
        <v>717</v>
      </c>
      <c r="AC2457" s="1443" t="b">
        <f>AC2445</f>
        <v>0</v>
      </c>
      <c r="AD2457" s="1443" t="b">
        <f t="shared" ref="AD2457:AI2457" si="1135">AD2445</f>
        <v>0</v>
      </c>
      <c r="AE2457" s="1443" t="b">
        <f t="shared" si="1135"/>
        <v>0</v>
      </c>
      <c r="AF2457" s="1443" t="b">
        <f t="shared" si="1135"/>
        <v>0</v>
      </c>
      <c r="AG2457" s="1443" t="b">
        <f t="shared" si="1135"/>
        <v>0</v>
      </c>
      <c r="AH2457" s="1443" t="b">
        <f t="shared" si="1135"/>
        <v>0</v>
      </c>
      <c r="AI2457" s="1443" t="b">
        <f t="shared" si="1135"/>
        <v>0</v>
      </c>
      <c r="AJ2457" s="1633" t="s">
        <v>1954</v>
      </c>
      <c r="AK2457" s="1635" t="str">
        <f>IF(AND(CNTR_ExistSubInstEntries,MSconst_RequireSubAttrEmissions,COUNTIFS(AC2457:AI2457,FALSE,H2457:N2457,"")&gt;0),EUconst_Error&amp;"BM"&amp;$Q2267,"")</f>
        <v/>
      </c>
    </row>
    <row r="2458" spans="2:37" ht="12.75" customHeight="1">
      <c r="B2458" s="479"/>
      <c r="C2458" s="977"/>
      <c r="D2458" s="777" t="s">
        <v>1105</v>
      </c>
      <c r="E2458" s="2685" t="s">
        <v>946</v>
      </c>
      <c r="F2458" s="2608"/>
      <c r="G2458" s="993" t="str">
        <f>EUconst_GJpt</f>
        <v>GJ / t</v>
      </c>
      <c r="H2458" s="1557" t="str">
        <f>c_ALR2025!M5004</f>
        <v/>
      </c>
      <c r="I2458" s="1883"/>
      <c r="J2458" s="1811"/>
      <c r="K2458" s="1751"/>
      <c r="L2458" s="1751"/>
      <c r="M2458" s="1751"/>
      <c r="N2458" s="1752"/>
      <c r="O2458" s="485"/>
      <c r="P2458" s="9">
        <v>0</v>
      </c>
      <c r="Q2458" s="1435"/>
      <c r="S2458" s="1435"/>
      <c r="AC2458" s="1443" t="b">
        <f t="shared" ref="AC2458:AI2458" si="1136">AC2446</f>
        <v>0</v>
      </c>
      <c r="AD2458" s="1443" t="b">
        <f t="shared" si="1136"/>
        <v>0</v>
      </c>
      <c r="AE2458" s="1443" t="b">
        <f t="shared" si="1136"/>
        <v>0</v>
      </c>
      <c r="AF2458" s="1443" t="b">
        <f t="shared" si="1136"/>
        <v>0</v>
      </c>
      <c r="AG2458" s="1443" t="b">
        <f t="shared" si="1136"/>
        <v>0</v>
      </c>
      <c r="AH2458" s="1443" t="b">
        <f t="shared" si="1136"/>
        <v>0</v>
      </c>
      <c r="AI2458" s="1443" t="b">
        <f t="shared" si="1136"/>
        <v>0</v>
      </c>
      <c r="AJ2458" s="1633" t="s">
        <v>1954</v>
      </c>
      <c r="AK2458" s="1635" t="str">
        <f>IF(AND(CNTR_ExistSubInstEntries,MSconst_RequireSubAttrEmissions,COUNTIFS(AC2458:AI2458,FALSE,H2458:N2458,"")&gt;0),EUconst_Error&amp;"BM"&amp;$Q2267,"")</f>
        <v/>
      </c>
    </row>
    <row r="2459" spans="2:37" ht="12.75" customHeight="1" thickBot="1">
      <c r="B2459" s="479"/>
      <c r="C2459" s="977"/>
      <c r="D2459" s="777" t="s">
        <v>1106</v>
      </c>
      <c r="E2459" s="2685" t="s">
        <v>945</v>
      </c>
      <c r="F2459" s="2608"/>
      <c r="G2459" s="994" t="s">
        <v>878</v>
      </c>
      <c r="H2459" s="1557" t="str">
        <f>c_ALR2025!M5005</f>
        <v/>
      </c>
      <c r="I2459" s="1883"/>
      <c r="J2459" s="1811"/>
      <c r="K2459" s="1751"/>
      <c r="L2459" s="1751"/>
      <c r="M2459" s="1751"/>
      <c r="N2459" s="1752"/>
      <c r="O2459" s="485"/>
      <c r="P2459" s="9">
        <v>0</v>
      </c>
      <c r="Q2459" s="1435"/>
      <c r="S2459" s="1435"/>
      <c r="AC2459" s="1443" t="b">
        <f t="shared" ref="AC2459:AI2459" si="1137">AC2447</f>
        <v>0</v>
      </c>
      <c r="AD2459" s="1443" t="b">
        <f t="shared" si="1137"/>
        <v>0</v>
      </c>
      <c r="AE2459" s="1443" t="b">
        <f t="shared" si="1137"/>
        <v>0</v>
      </c>
      <c r="AF2459" s="1443" t="b">
        <f t="shared" si="1137"/>
        <v>0</v>
      </c>
      <c r="AG2459" s="1443" t="b">
        <f t="shared" si="1137"/>
        <v>0</v>
      </c>
      <c r="AH2459" s="1443" t="b">
        <f t="shared" si="1137"/>
        <v>0</v>
      </c>
      <c r="AI2459" s="1443" t="b">
        <f t="shared" si="1137"/>
        <v>0</v>
      </c>
      <c r="AJ2459" s="1633" t="s">
        <v>1954</v>
      </c>
      <c r="AK2459" s="1635" t="str">
        <f>IF(AND(CNTR_ExistSubInstEntries,MSconst_RequireSubAttrEmissions,COUNTIFS(AC2459:AI2459,FALSE,H2459:N2459,"")&gt;0),EUconst_Error&amp;"BM"&amp;$Q2267,"")</f>
        <v/>
      </c>
    </row>
    <row r="2460" spans="2:37" ht="12.75" customHeight="1">
      <c r="B2460" s="479"/>
      <c r="C2460" s="977"/>
      <c r="D2460" s="777" t="s">
        <v>1107</v>
      </c>
      <c r="E2460" s="2473" t="s">
        <v>880</v>
      </c>
      <c r="F2460" s="2474"/>
      <c r="G2460" s="812" t="s">
        <v>878</v>
      </c>
      <c r="H2460" s="1558" t="str">
        <f>c_ALR2025!M5006</f>
        <v/>
      </c>
      <c r="I2460" s="1884"/>
      <c r="J2460" s="1811"/>
      <c r="K2460" s="1751"/>
      <c r="L2460" s="1751"/>
      <c r="M2460" s="1751"/>
      <c r="N2460" s="1752"/>
      <c r="O2460" s="485"/>
      <c r="P2460" s="9">
        <v>0</v>
      </c>
      <c r="Q2460" s="1435"/>
      <c r="S2460" s="1648"/>
      <c r="T2460" s="1749">
        <f t="shared" ref="T2460:Z2460" si="1138">H2456</f>
        <v>2024</v>
      </c>
      <c r="U2460" s="1749">
        <f t="shared" si="1138"/>
        <v>2025</v>
      </c>
      <c r="V2460" s="1749">
        <f t="shared" si="1138"/>
        <v>2026</v>
      </c>
      <c r="W2460" s="1749">
        <f t="shared" si="1138"/>
        <v>2027</v>
      </c>
      <c r="X2460" s="1749">
        <f t="shared" si="1138"/>
        <v>2028</v>
      </c>
      <c r="Y2460" s="1749">
        <f t="shared" si="1138"/>
        <v>2029</v>
      </c>
      <c r="Z2460" s="1750">
        <f t="shared" si="1138"/>
        <v>2030</v>
      </c>
      <c r="AC2460" s="1443" t="b">
        <f t="shared" ref="AC2460:AI2460" si="1139">AC2448</f>
        <v>0</v>
      </c>
      <c r="AD2460" s="1443" t="b">
        <f t="shared" si="1139"/>
        <v>0</v>
      </c>
      <c r="AE2460" s="1443" t="b">
        <f t="shared" si="1139"/>
        <v>0</v>
      </c>
      <c r="AF2460" s="1443" t="b">
        <f t="shared" si="1139"/>
        <v>0</v>
      </c>
      <c r="AG2460" s="1443" t="b">
        <f t="shared" si="1139"/>
        <v>0</v>
      </c>
      <c r="AH2460" s="1443" t="b">
        <f t="shared" si="1139"/>
        <v>0</v>
      </c>
      <c r="AI2460" s="1443" t="b">
        <f t="shared" si="1139"/>
        <v>0</v>
      </c>
      <c r="AJ2460" s="1633" t="s">
        <v>1954</v>
      </c>
      <c r="AK2460" s="1635" t="str">
        <f>IF(AND(CNTR_ExistSubInstEntries,MSconst_RequireSubAttrEmissions,COUNTIFS(AC2460:AI2460,FALSE,H2460:N2460,"")&gt;0),EUconst_Error&amp;"BM"&amp;$Q2267,"")</f>
        <v/>
      </c>
    </row>
    <row r="2461" spans="2:37" ht="12.75" customHeight="1" thickBot="1">
      <c r="B2461" s="479"/>
      <c r="C2461" s="977"/>
      <c r="D2461" s="777" t="s">
        <v>1108</v>
      </c>
      <c r="E2461" s="2471" t="s">
        <v>882</v>
      </c>
      <c r="F2461" s="2472"/>
      <c r="G2461" s="995" t="str">
        <f>EUconst_tCO2pa</f>
        <v>t CO2 / year</v>
      </c>
      <c r="H2461" s="996" t="str">
        <f t="shared" ref="H2461:N2461" si="1140">IF(AND(COUNT(H2457:H2460)&gt;0,H2464=""),3.664*H2457*(H2459/100)*(1-H2460/100),"")</f>
        <v/>
      </c>
      <c r="I2461" s="997" t="str">
        <f t="shared" si="1140"/>
        <v/>
      </c>
      <c r="J2461" s="1812" t="str">
        <f t="shared" si="1140"/>
        <v/>
      </c>
      <c r="K2461" s="1754" t="str">
        <f t="shared" si="1140"/>
        <v/>
      </c>
      <c r="L2461" s="1754" t="str">
        <f t="shared" si="1140"/>
        <v/>
      </c>
      <c r="M2461" s="1754" t="str">
        <f t="shared" si="1140"/>
        <v/>
      </c>
      <c r="N2461" s="1755" t="str">
        <f t="shared" si="1140"/>
        <v/>
      </c>
      <c r="O2461" s="485"/>
      <c r="P2461" s="485"/>
      <c r="Q2461" s="1644" t="str">
        <f>EUconst_CNTR_EmissionsIntSource2 &amp; I2267</f>
        <v>EmInternalSource2_</v>
      </c>
      <c r="S2461" s="1753" t="str">
        <f>EUconst_CNTR_AttributedEmissions &amp; I2267</f>
        <v>AttrEmissions_</v>
      </c>
      <c r="T2461" s="1743" t="str">
        <f t="shared" ref="T2461:Z2461" si="1141">IF(T2275,SUM(H2461),"")</f>
        <v/>
      </c>
      <c r="U2461" s="1743" t="str">
        <f t="shared" si="1141"/>
        <v/>
      </c>
      <c r="V2461" s="1743" t="str">
        <f t="shared" si="1141"/>
        <v/>
      </c>
      <c r="W2461" s="1743" t="str">
        <f t="shared" si="1141"/>
        <v/>
      </c>
      <c r="X2461" s="1743" t="str">
        <f t="shared" si="1141"/>
        <v/>
      </c>
      <c r="Y2461" s="1743" t="str">
        <f t="shared" si="1141"/>
        <v/>
      </c>
      <c r="Z2461" s="1744" t="str">
        <f t="shared" si="1141"/>
        <v/>
      </c>
    </row>
    <row r="2462" spans="2:37" ht="12.75" customHeight="1">
      <c r="B2462" s="479"/>
      <c r="C2462" s="977"/>
      <c r="D2462" s="777" t="s">
        <v>1109</v>
      </c>
      <c r="E2462" s="2670" t="s">
        <v>879</v>
      </c>
      <c r="F2462" s="2608"/>
      <c r="G2462" s="998" t="str">
        <f>EUconst_tCO2pa</f>
        <v>t CO2 / year</v>
      </c>
      <c r="H2462" s="999" t="str">
        <f t="shared" ref="H2462:N2462" si="1142">IF(ISNUMBER(H2461),3.664*H2457*(H2459/100)*(H2460/100),"")</f>
        <v/>
      </c>
      <c r="I2462" s="1000" t="str">
        <f t="shared" si="1142"/>
        <v/>
      </c>
      <c r="J2462" s="1813" t="str">
        <f t="shared" si="1142"/>
        <v/>
      </c>
      <c r="K2462" s="1756" t="str">
        <f t="shared" si="1142"/>
        <v/>
      </c>
      <c r="L2462" s="1756" t="str">
        <f t="shared" si="1142"/>
        <v/>
      </c>
      <c r="M2462" s="1756" t="str">
        <f t="shared" si="1142"/>
        <v/>
      </c>
      <c r="N2462" s="1757" t="str">
        <f t="shared" si="1142"/>
        <v/>
      </c>
      <c r="O2462" s="485"/>
      <c r="P2462" s="485"/>
      <c r="Q2462" s="1435"/>
      <c r="S2462" s="1435"/>
    </row>
    <row r="2463" spans="2:37" ht="12.75" customHeight="1">
      <c r="B2463" s="479"/>
      <c r="C2463" s="977"/>
      <c r="D2463" s="777" t="s">
        <v>1110</v>
      </c>
      <c r="E2463" s="2473" t="s">
        <v>41</v>
      </c>
      <c r="F2463" s="2474"/>
      <c r="G2463" s="1001" t="str">
        <f>EUconst_TJpa</f>
        <v>TJ / year</v>
      </c>
      <c r="H2463" s="605" t="str">
        <f t="shared" ref="H2463:N2463" si="1143">IF(COUNT(H2457:H2458)=2,H2457*H2458/1000,"")</f>
        <v/>
      </c>
      <c r="I2463" s="973" t="str">
        <f t="shared" si="1143"/>
        <v/>
      </c>
      <c r="J2463" s="1811" t="str">
        <f t="shared" si="1143"/>
        <v/>
      </c>
      <c r="K2463" s="1751" t="str">
        <f t="shared" si="1143"/>
        <v/>
      </c>
      <c r="L2463" s="1751" t="str">
        <f t="shared" si="1143"/>
        <v/>
      </c>
      <c r="M2463" s="1751" t="str">
        <f t="shared" si="1143"/>
        <v/>
      </c>
      <c r="N2463" s="1752" t="str">
        <f t="shared" si="1143"/>
        <v/>
      </c>
      <c r="O2463" s="485"/>
      <c r="P2463" s="485"/>
      <c r="Q2463" s="1435"/>
      <c r="S2463" s="1435"/>
    </row>
    <row r="2464" spans="2:37" ht="12.75" customHeight="1">
      <c r="B2464" s="479"/>
      <c r="C2464" s="977"/>
      <c r="D2464" s="777" t="s">
        <v>1106</v>
      </c>
      <c r="E2464" s="2687" t="s">
        <v>393</v>
      </c>
      <c r="F2464" s="2688"/>
      <c r="G2464" s="1002"/>
      <c r="H2464" s="1003" t="str">
        <f t="shared" ref="H2464:N2464" si="1144">IF(COUNT(H2457,H2459:H2460)&gt;0,IF(COUNTIF(H2458:H2460,"&lt;0")&gt;0,EUconst_Negative,IF(COUNT(H2457,H2459:H2460)&lt;3,EUconst_Incomplete,"")),"")</f>
        <v/>
      </c>
      <c r="I2464" s="1004" t="str">
        <f t="shared" si="1144"/>
        <v/>
      </c>
      <c r="J2464" s="1814" t="str">
        <f t="shared" si="1144"/>
        <v/>
      </c>
      <c r="K2464" s="1758" t="str">
        <f t="shared" si="1144"/>
        <v/>
      </c>
      <c r="L2464" s="1758" t="str">
        <f t="shared" si="1144"/>
        <v/>
      </c>
      <c r="M2464" s="1758" t="str">
        <f t="shared" si="1144"/>
        <v/>
      </c>
      <c r="N2464" s="1759" t="str">
        <f t="shared" si="1144"/>
        <v/>
      </c>
      <c r="O2464" s="485"/>
      <c r="P2464" s="485"/>
      <c r="Q2464" s="1435"/>
      <c r="S2464" s="1435"/>
    </row>
    <row r="2465" spans="2:37" ht="12.75" customHeight="1">
      <c r="B2465" s="479"/>
      <c r="C2465" s="977"/>
      <c r="D2465" s="981"/>
      <c r="E2465" s="981"/>
      <c r="F2465" s="981"/>
      <c r="G2465" s="981"/>
      <c r="H2465" s="981"/>
      <c r="I2465" s="981"/>
      <c r="J2465" s="981"/>
      <c r="K2465" s="981"/>
      <c r="L2465" s="981"/>
      <c r="M2465" s="813"/>
      <c r="N2465" s="814"/>
      <c r="O2465" s="485"/>
      <c r="P2465" s="485"/>
      <c r="Q2465" s="1435"/>
      <c r="S2465" s="1435"/>
    </row>
    <row r="2466" spans="2:37" ht="12.75" customHeight="1">
      <c r="B2466" s="479"/>
      <c r="C2466" s="977"/>
      <c r="D2466" s="982" t="s">
        <v>478</v>
      </c>
      <c r="E2466" s="2649" t="s">
        <v>1457</v>
      </c>
      <c r="F2466" s="2391"/>
      <c r="G2466" s="2391"/>
      <c r="H2466" s="2391"/>
      <c r="I2466" s="2391"/>
      <c r="J2466" s="2391"/>
      <c r="K2466" s="2391"/>
      <c r="L2466" s="2391"/>
      <c r="M2466" s="2391"/>
      <c r="N2466" s="2650"/>
      <c r="O2466" s="485"/>
      <c r="P2466" s="485"/>
      <c r="Q2466" s="1435"/>
      <c r="S2466" s="1435"/>
    </row>
    <row r="2467" spans="2:37" ht="12.75" customHeight="1">
      <c r="B2467" s="479"/>
      <c r="C2467" s="977"/>
      <c r="D2467" s="777"/>
      <c r="E2467" s="2676" t="s">
        <v>2295</v>
      </c>
      <c r="F2467" s="2391"/>
      <c r="G2467" s="2391"/>
      <c r="H2467" s="2391"/>
      <c r="I2467" s="2391"/>
      <c r="J2467" s="2391"/>
      <c r="K2467" s="2391"/>
      <c r="L2467" s="2391"/>
      <c r="M2467" s="2391"/>
      <c r="N2467" s="2650"/>
      <c r="O2467" s="485"/>
      <c r="P2467" s="485"/>
      <c r="Q2467" s="1435"/>
      <c r="S2467" s="1435"/>
      <c r="T2467" s="1435"/>
      <c r="U2467" s="1435"/>
      <c r="V2467" s="1435"/>
    </row>
    <row r="2468" spans="2:37" ht="25.5" customHeight="1">
      <c r="B2468" s="479"/>
      <c r="C2468" s="977"/>
      <c r="D2468" s="981"/>
      <c r="E2468" s="2669" t="s">
        <v>2333</v>
      </c>
      <c r="F2468" s="2391"/>
      <c r="G2468" s="2391"/>
      <c r="H2468" s="2391"/>
      <c r="I2468" s="2391"/>
      <c r="J2468" s="2391"/>
      <c r="K2468" s="2391"/>
      <c r="L2468" s="2391"/>
      <c r="M2468" s="2391"/>
      <c r="N2468" s="2650"/>
      <c r="O2468" s="485"/>
      <c r="P2468" s="485"/>
      <c r="Q2468" s="1435"/>
      <c r="S2468" s="1435"/>
    </row>
    <row r="2469" spans="2:37" ht="12.75" customHeight="1" thickBot="1">
      <c r="B2469" s="479"/>
      <c r="C2469" s="977"/>
      <c r="D2469" s="981"/>
      <c r="E2469" s="2669" t="s">
        <v>1365</v>
      </c>
      <c r="F2469" s="2391"/>
      <c r="G2469" s="2391"/>
      <c r="H2469" s="2391"/>
      <c r="I2469" s="2391"/>
      <c r="J2469" s="2391"/>
      <c r="K2469" s="2391"/>
      <c r="L2469" s="2391"/>
      <c r="M2469" s="2391"/>
      <c r="N2469" s="2650"/>
      <c r="O2469" s="485"/>
      <c r="P2469" s="485"/>
      <c r="Q2469" s="1435"/>
      <c r="S2469" s="1435"/>
    </row>
    <row r="2470" spans="2:37" ht="12.75" customHeight="1" thickBot="1">
      <c r="B2470" s="479"/>
      <c r="C2470" s="977"/>
      <c r="D2470" s="982"/>
      <c r="E2470" s="989"/>
      <c r="F2470" s="990"/>
      <c r="G2470" s="987" t="str">
        <f>EUconst_Unit</f>
        <v>Unit</v>
      </c>
      <c r="H2470" s="782">
        <f t="shared" ref="H2470:N2470" si="1145">H$3242</f>
        <v>2024</v>
      </c>
      <c r="I2470" s="988">
        <f t="shared" si="1145"/>
        <v>2025</v>
      </c>
      <c r="J2470" s="1810">
        <f t="shared" si="1145"/>
        <v>2026</v>
      </c>
      <c r="K2470" s="1747">
        <f t="shared" si="1145"/>
        <v>2027</v>
      </c>
      <c r="L2470" s="1747">
        <f t="shared" si="1145"/>
        <v>2028</v>
      </c>
      <c r="M2470" s="1747">
        <f t="shared" si="1145"/>
        <v>2029</v>
      </c>
      <c r="N2470" s="1748">
        <f t="shared" si="1145"/>
        <v>2030</v>
      </c>
      <c r="O2470" s="485"/>
      <c r="P2470" s="485"/>
      <c r="Q2470" s="1435"/>
      <c r="S2470" s="1648"/>
      <c r="T2470" s="1749">
        <f t="shared" ref="T2470:Z2470" si="1146">H2470</f>
        <v>2024</v>
      </c>
      <c r="U2470" s="1749">
        <f t="shared" si="1146"/>
        <v>2025</v>
      </c>
      <c r="V2470" s="1749">
        <f t="shared" si="1146"/>
        <v>2026</v>
      </c>
      <c r="W2470" s="1749">
        <f t="shared" si="1146"/>
        <v>2027</v>
      </c>
      <c r="X2470" s="1749">
        <f t="shared" si="1146"/>
        <v>2028</v>
      </c>
      <c r="Y2470" s="1749">
        <f t="shared" si="1146"/>
        <v>2029</v>
      </c>
      <c r="Z2470" s="1750">
        <f t="shared" si="1146"/>
        <v>2030</v>
      </c>
      <c r="AC2470" s="1638">
        <f t="shared" ref="AC2470:AI2470" si="1147">H$20</f>
        <v>2024</v>
      </c>
      <c r="AD2470" s="1638">
        <f t="shared" si="1147"/>
        <v>2025</v>
      </c>
      <c r="AE2470" s="1638">
        <f t="shared" si="1147"/>
        <v>2026</v>
      </c>
      <c r="AF2470" s="1638">
        <f t="shared" si="1147"/>
        <v>2027</v>
      </c>
      <c r="AG2470" s="1638">
        <f t="shared" si="1147"/>
        <v>2028</v>
      </c>
      <c r="AH2470" s="1638">
        <f t="shared" si="1147"/>
        <v>2029</v>
      </c>
      <c r="AI2470" s="1638">
        <f t="shared" si="1147"/>
        <v>2030</v>
      </c>
    </row>
    <row r="2471" spans="2:37" ht="12.75" customHeight="1" thickBot="1">
      <c r="B2471" s="479"/>
      <c r="C2471" s="977"/>
      <c r="D2471" s="777"/>
      <c r="E2471" s="2475" t="s">
        <v>1156</v>
      </c>
      <c r="F2471" s="2410"/>
      <c r="G2471" s="815" t="str">
        <f>EUconst_tCO2epa</f>
        <v>t CO2e/year</v>
      </c>
      <c r="H2471" s="1479" t="str">
        <f>c_ALR2025!M5017</f>
        <v/>
      </c>
      <c r="I2471" s="1532"/>
      <c r="J2471" s="1811"/>
      <c r="K2471" s="1751"/>
      <c r="L2471" s="1751"/>
      <c r="M2471" s="1751"/>
      <c r="N2471" s="1752"/>
      <c r="O2471" s="485"/>
      <c r="P2471" s="9">
        <v>0</v>
      </c>
      <c r="Q2471" s="1644" t="str">
        <f>EUconst_CNTR_CO2Feedstock &amp; I2267</f>
        <v>EmCO2Feedstock_</v>
      </c>
      <c r="S2471" s="1753" t="str">
        <f>EUconst_CNTR_AttributedEmissions &amp; I2267</f>
        <v>AttrEmissions_</v>
      </c>
      <c r="T2471" s="1743" t="str">
        <f t="shared" ref="T2471:Z2471" si="1148">IF(T2275,SUM(H2471),"")</f>
        <v/>
      </c>
      <c r="U2471" s="1743" t="str">
        <f t="shared" si="1148"/>
        <v/>
      </c>
      <c r="V2471" s="1743" t="str">
        <f t="shared" si="1148"/>
        <v/>
      </c>
      <c r="W2471" s="1743" t="str">
        <f t="shared" si="1148"/>
        <v/>
      </c>
      <c r="X2471" s="1743" t="str">
        <f t="shared" si="1148"/>
        <v/>
      </c>
      <c r="Y2471" s="1743" t="str">
        <f t="shared" si="1148"/>
        <v/>
      </c>
      <c r="Z2471" s="1744" t="str">
        <f t="shared" si="1148"/>
        <v/>
      </c>
      <c r="AB2471" s="1641" t="s">
        <v>717</v>
      </c>
      <c r="AC2471" s="1443" t="b">
        <f>AC2337</f>
        <v>0</v>
      </c>
      <c r="AD2471" s="1443" t="b">
        <f t="shared" ref="AD2471:AI2471" si="1149">AD2337</f>
        <v>0</v>
      </c>
      <c r="AE2471" s="1443" t="b">
        <f t="shared" si="1149"/>
        <v>0</v>
      </c>
      <c r="AF2471" s="1443" t="b">
        <f t="shared" si="1149"/>
        <v>0</v>
      </c>
      <c r="AG2471" s="1443" t="b">
        <f t="shared" si="1149"/>
        <v>0</v>
      </c>
      <c r="AH2471" s="1443" t="b">
        <f t="shared" si="1149"/>
        <v>0</v>
      </c>
      <c r="AI2471" s="1443" t="b">
        <f t="shared" si="1149"/>
        <v>0</v>
      </c>
      <c r="AJ2471" s="1633" t="s">
        <v>1954</v>
      </c>
      <c r="AK2471" s="1635" t="str">
        <f>IF(AND(CNTR_ExistSubInstEntries,MSconst_RequireSubAttrEmissions,COUNTIFS(AC2471:AI2471,FALSE,H2471:N2471,"")&gt;0),EUconst_Error&amp;"BM"&amp;$Q2267,"")</f>
        <v/>
      </c>
    </row>
    <row r="2472" spans="2:37" ht="12.75" customHeight="1">
      <c r="B2472" s="479"/>
      <c r="C2472" s="977"/>
      <c r="D2472" s="981"/>
      <c r="E2472" s="981"/>
      <c r="F2472" s="981"/>
      <c r="G2472" s="981"/>
      <c r="H2472" s="981"/>
      <c r="I2472" s="981"/>
      <c r="J2472" s="981"/>
      <c r="K2472" s="981"/>
      <c r="L2472" s="981"/>
      <c r="M2472" s="813"/>
      <c r="N2472" s="814"/>
      <c r="O2472" s="485"/>
      <c r="P2472" s="485"/>
      <c r="Q2472" s="1435"/>
      <c r="S2472" s="1435"/>
    </row>
    <row r="2473" spans="2:37" ht="12.75" customHeight="1">
      <c r="B2473" s="479"/>
      <c r="C2473" s="977"/>
      <c r="D2473" s="982" t="s">
        <v>479</v>
      </c>
      <c r="E2473" s="2649" t="s">
        <v>1118</v>
      </c>
      <c r="F2473" s="2391"/>
      <c r="G2473" s="2391"/>
      <c r="H2473" s="2391"/>
      <c r="I2473" s="2391"/>
      <c r="J2473" s="2391"/>
      <c r="K2473" s="2391"/>
      <c r="L2473" s="2391"/>
      <c r="M2473" s="2391"/>
      <c r="N2473" s="2650"/>
      <c r="O2473" s="485"/>
      <c r="P2473" s="485"/>
      <c r="Q2473" s="1435"/>
      <c r="S2473" s="1435"/>
    </row>
    <row r="2474" spans="2:37" ht="12.75" customHeight="1">
      <c r="B2474" s="479"/>
      <c r="C2474" s="977"/>
      <c r="D2474" s="777"/>
      <c r="E2474" s="3272" t="s">
        <v>2297</v>
      </c>
      <c r="F2474" s="2380"/>
      <c r="G2474" s="2380"/>
      <c r="H2474" s="2380"/>
      <c r="I2474" s="2380"/>
      <c r="J2474" s="2380"/>
      <c r="K2474" s="2380"/>
      <c r="L2474" s="2380"/>
      <c r="M2474" s="2380"/>
      <c r="N2474" s="3268"/>
      <c r="O2474" s="485"/>
      <c r="P2474" s="485"/>
      <c r="Q2474" s="1435"/>
      <c r="S2474" s="1435"/>
      <c r="T2474" s="1435"/>
      <c r="U2474" s="1435"/>
      <c r="V2474" s="1435"/>
    </row>
    <row r="2475" spans="2:37" ht="38.85" customHeight="1">
      <c r="B2475" s="479"/>
      <c r="C2475" s="977"/>
      <c r="D2475" s="981"/>
      <c r="E2475" s="3267" t="s">
        <v>2118</v>
      </c>
      <c r="F2475" s="2380"/>
      <c r="G2475" s="2380"/>
      <c r="H2475" s="2380"/>
      <c r="I2475" s="2380"/>
      <c r="J2475" s="2380"/>
      <c r="K2475" s="2380"/>
      <c r="L2475" s="2380"/>
      <c r="M2475" s="2380"/>
      <c r="N2475" s="3268"/>
      <c r="O2475" s="485"/>
      <c r="P2475" s="485"/>
      <c r="Q2475" s="1435"/>
      <c r="S2475" s="1435"/>
    </row>
    <row r="2476" spans="2:37" ht="25.5" customHeight="1">
      <c r="B2476" s="479"/>
      <c r="C2476" s="977"/>
      <c r="D2476" s="981"/>
      <c r="E2476" s="3267" t="s">
        <v>1614</v>
      </c>
      <c r="F2476" s="2380"/>
      <c r="G2476" s="2380"/>
      <c r="H2476" s="2380"/>
      <c r="I2476" s="2380"/>
      <c r="J2476" s="2380"/>
      <c r="K2476" s="2380"/>
      <c r="L2476" s="2380"/>
      <c r="M2476" s="2380"/>
      <c r="N2476" s="3268"/>
      <c r="O2476" s="485"/>
      <c r="P2476" s="485"/>
      <c r="Q2476" s="1435"/>
      <c r="S2476" s="1435"/>
    </row>
    <row r="2477" spans="2:37" ht="25.5" customHeight="1">
      <c r="B2477" s="479"/>
      <c r="C2477" s="977"/>
      <c r="D2477" s="981"/>
      <c r="E2477" s="3267" t="s">
        <v>1593</v>
      </c>
      <c r="F2477" s="2380"/>
      <c r="G2477" s="2380"/>
      <c r="H2477" s="2380"/>
      <c r="I2477" s="2380"/>
      <c r="J2477" s="2380"/>
      <c r="K2477" s="2380"/>
      <c r="L2477" s="2380"/>
      <c r="M2477" s="2380"/>
      <c r="N2477" s="3268"/>
      <c r="O2477" s="485"/>
      <c r="P2477" s="485"/>
      <c r="Q2477" s="1435"/>
      <c r="S2477" s="1435"/>
    </row>
    <row r="2478" spans="2:37" ht="12.75" customHeight="1" thickBot="1">
      <c r="B2478" s="479"/>
      <c r="C2478" s="977"/>
      <c r="D2478" s="981"/>
      <c r="E2478" s="3269" t="s">
        <v>1555</v>
      </c>
      <c r="F2478" s="3270"/>
      <c r="G2478" s="3270"/>
      <c r="H2478" s="3270"/>
      <c r="I2478" s="3270"/>
      <c r="J2478" s="3270"/>
      <c r="K2478" s="3270"/>
      <c r="L2478" s="3270"/>
      <c r="M2478" s="3270"/>
      <c r="N2478" s="3271"/>
      <c r="O2478" s="485"/>
      <c r="P2478" s="485"/>
      <c r="Q2478" s="1435"/>
    </row>
    <row r="2479" spans="2:37" ht="12.75" customHeight="1" thickBot="1">
      <c r="B2479" s="479"/>
      <c r="C2479" s="977"/>
      <c r="D2479" s="981"/>
      <c r="E2479" s="2648" t="s">
        <v>1151</v>
      </c>
      <c r="F2479" s="2493"/>
      <c r="G2479" s="987" t="str">
        <f>EUconst_Unit</f>
        <v>Unit</v>
      </c>
      <c r="H2479" s="782">
        <f t="shared" ref="H2479:N2479" si="1150">H$3242</f>
        <v>2024</v>
      </c>
      <c r="I2479" s="988">
        <f t="shared" si="1150"/>
        <v>2025</v>
      </c>
      <c r="J2479" s="1810">
        <f t="shared" si="1150"/>
        <v>2026</v>
      </c>
      <c r="K2479" s="1747">
        <f t="shared" si="1150"/>
        <v>2027</v>
      </c>
      <c r="L2479" s="1747">
        <f t="shared" si="1150"/>
        <v>2028</v>
      </c>
      <c r="M2479" s="1747">
        <f t="shared" si="1150"/>
        <v>2029</v>
      </c>
      <c r="N2479" s="1748">
        <f t="shared" si="1150"/>
        <v>2030</v>
      </c>
      <c r="O2479" s="485"/>
      <c r="P2479" s="485"/>
      <c r="Q2479" s="1435"/>
      <c r="S2479" s="1648"/>
      <c r="T2479" s="1749">
        <f t="shared" ref="T2479:Z2479" si="1151">H2479</f>
        <v>2024</v>
      </c>
      <c r="U2479" s="1749">
        <f t="shared" si="1151"/>
        <v>2025</v>
      </c>
      <c r="V2479" s="1749">
        <f t="shared" si="1151"/>
        <v>2026</v>
      </c>
      <c r="W2479" s="1749">
        <f t="shared" si="1151"/>
        <v>2027</v>
      </c>
      <c r="X2479" s="1749">
        <f t="shared" si="1151"/>
        <v>2028</v>
      </c>
      <c r="Y2479" s="1749">
        <f t="shared" si="1151"/>
        <v>2029</v>
      </c>
      <c r="Z2479" s="1750">
        <f t="shared" si="1151"/>
        <v>2030</v>
      </c>
      <c r="AC2479" s="1638">
        <f t="shared" ref="AC2479:AI2479" si="1152">H$20</f>
        <v>2024</v>
      </c>
      <c r="AD2479" s="1638">
        <f t="shared" si="1152"/>
        <v>2025</v>
      </c>
      <c r="AE2479" s="1638">
        <f t="shared" si="1152"/>
        <v>2026</v>
      </c>
      <c r="AF2479" s="1638">
        <f t="shared" si="1152"/>
        <v>2027</v>
      </c>
      <c r="AG2479" s="1638">
        <f t="shared" si="1152"/>
        <v>2028</v>
      </c>
      <c r="AH2479" s="1638">
        <f t="shared" si="1152"/>
        <v>2029</v>
      </c>
      <c r="AI2479" s="1638">
        <f t="shared" si="1152"/>
        <v>2030</v>
      </c>
    </row>
    <row r="2480" spans="2:37" ht="12.75" customHeight="1">
      <c r="B2480" s="479"/>
      <c r="C2480" s="977"/>
      <c r="D2480" s="777" t="s">
        <v>6</v>
      </c>
      <c r="E2480" s="2475" t="s">
        <v>1087</v>
      </c>
      <c r="F2480" s="2410"/>
      <c r="G2480" s="815" t="str">
        <f>EUconst_TJpa</f>
        <v>TJ / year</v>
      </c>
      <c r="H2480" s="1479" t="str">
        <f>c_ALR2025!M5026</f>
        <v/>
      </c>
      <c r="I2480" s="1532"/>
      <c r="J2480" s="1811"/>
      <c r="K2480" s="1751"/>
      <c r="L2480" s="1751"/>
      <c r="M2480" s="1751"/>
      <c r="N2480" s="1752"/>
      <c r="O2480" s="485"/>
      <c r="P2480" s="9">
        <v>0</v>
      </c>
      <c r="Q2480" s="1644" t="str">
        <f>EUconst_CNTR_HeatImport &amp; I2267</f>
        <v>HeatIm_</v>
      </c>
      <c r="S2480" s="1874" t="str">
        <f>EUconst_ERR_AttrEmBMapplied &amp; I2267</f>
        <v>ERR_AttrEmBM_</v>
      </c>
      <c r="T2480" s="1443">
        <f t="shared" ref="T2480:Z2480" si="1153">IF(AND(H2480&lt;&gt;0,H2481="",EUconst_StatusOfDataCollection=FALSE),1,0)</f>
        <v>0</v>
      </c>
      <c r="U2480" s="1443">
        <f t="shared" si="1153"/>
        <v>0</v>
      </c>
      <c r="V2480" s="1443">
        <f t="shared" si="1153"/>
        <v>0</v>
      </c>
      <c r="W2480" s="1443">
        <f t="shared" si="1153"/>
        <v>0</v>
      </c>
      <c r="X2480" s="1443">
        <f t="shared" si="1153"/>
        <v>0</v>
      </c>
      <c r="Y2480" s="1443">
        <f t="shared" si="1153"/>
        <v>0</v>
      </c>
      <c r="Z2480" s="1737">
        <f t="shared" si="1153"/>
        <v>0</v>
      </c>
      <c r="AA2480" s="1503"/>
      <c r="AB2480" s="1641" t="s">
        <v>717</v>
      </c>
      <c r="AC2480" s="1443" t="b">
        <f t="shared" ref="AC2480:AI2480" si="1154">AC2337</f>
        <v>0</v>
      </c>
      <c r="AD2480" s="1443" t="b">
        <f t="shared" si="1154"/>
        <v>0</v>
      </c>
      <c r="AE2480" s="1443" t="b">
        <f t="shared" si="1154"/>
        <v>0</v>
      </c>
      <c r="AF2480" s="1443" t="b">
        <f t="shared" si="1154"/>
        <v>0</v>
      </c>
      <c r="AG2480" s="1443" t="b">
        <f t="shared" si="1154"/>
        <v>0</v>
      </c>
      <c r="AH2480" s="1443" t="b">
        <f t="shared" si="1154"/>
        <v>0</v>
      </c>
      <c r="AI2480" s="1443" t="b">
        <f t="shared" si="1154"/>
        <v>0</v>
      </c>
      <c r="AJ2480" s="1633" t="s">
        <v>1954</v>
      </c>
      <c r="AK2480" s="1635" t="str">
        <f>IF(AND(CNTR_ExistSubInstEntries,MSconst_RequireSubAttrEmissions,COUNTIFS(AC2480:AI2480,FALSE,H2480:N2480,"")&gt;0),EUconst_Error&amp;"BM"&amp;$Q2267,"")</f>
        <v/>
      </c>
    </row>
    <row r="2481" spans="2:37" ht="12.75" customHeight="1" thickBot="1">
      <c r="B2481" s="479"/>
      <c r="C2481" s="977"/>
      <c r="D2481" s="777" t="s">
        <v>7</v>
      </c>
      <c r="E2481" s="2475" t="s">
        <v>1103</v>
      </c>
      <c r="F2481" s="2410"/>
      <c r="G2481" s="815" t="str">
        <f>EUconst_tCO2pTJ</f>
        <v>t CO2 / TJ</v>
      </c>
      <c r="H2481" s="1479" t="str">
        <f>c_ALR2025!M5027</f>
        <v/>
      </c>
      <c r="I2481" s="1532"/>
      <c r="J2481" s="1811"/>
      <c r="K2481" s="1751"/>
      <c r="L2481" s="1751"/>
      <c r="M2481" s="1751"/>
      <c r="N2481" s="1752"/>
      <c r="O2481" s="485"/>
      <c r="P2481" s="9">
        <v>0</v>
      </c>
      <c r="Q2481" s="1644" t="str">
        <f>EUconst_CNTR_HeatImportEF &amp; I2267</f>
        <v>HeatImEF_</v>
      </c>
      <c r="S2481" s="1753" t="str">
        <f>EUconst_CNTR_AttributedEmissions &amp; I2267</f>
        <v>AttrEmissions_</v>
      </c>
      <c r="T2481" s="1743" t="str">
        <f t="shared" ref="T2481:Z2481" si="1155">IF(T2275,SUM(H2480)*IF(ISNUMBER(H2481),H2481,EUconst_HeatBMvalue),"")</f>
        <v/>
      </c>
      <c r="U2481" s="1743" t="str">
        <f t="shared" si="1155"/>
        <v/>
      </c>
      <c r="V2481" s="1743" t="str">
        <f t="shared" si="1155"/>
        <v/>
      </c>
      <c r="W2481" s="1743" t="str">
        <f t="shared" si="1155"/>
        <v/>
      </c>
      <c r="X2481" s="1743" t="str">
        <f t="shared" si="1155"/>
        <v/>
      </c>
      <c r="Y2481" s="1743" t="str">
        <f t="shared" si="1155"/>
        <v/>
      </c>
      <c r="Z2481" s="1744" t="str">
        <f t="shared" si="1155"/>
        <v/>
      </c>
      <c r="AC2481" s="1443" t="b">
        <f>AC2480</f>
        <v>0</v>
      </c>
      <c r="AD2481" s="1443" t="b">
        <f t="shared" ref="AD2481:AI2481" si="1156">AD2480</f>
        <v>0</v>
      </c>
      <c r="AE2481" s="1443" t="b">
        <f t="shared" si="1156"/>
        <v>0</v>
      </c>
      <c r="AF2481" s="1443" t="b">
        <f t="shared" si="1156"/>
        <v>0</v>
      </c>
      <c r="AG2481" s="1443" t="b">
        <f t="shared" si="1156"/>
        <v>0</v>
      </c>
      <c r="AH2481" s="1443" t="b">
        <f t="shared" si="1156"/>
        <v>0</v>
      </c>
      <c r="AI2481" s="1443" t="b">
        <f t="shared" si="1156"/>
        <v>0</v>
      </c>
    </row>
    <row r="2482" spans="2:37" ht="5.0999999999999996" customHeight="1">
      <c r="B2482" s="479"/>
      <c r="C2482" s="977"/>
      <c r="D2482" s="981"/>
      <c r="E2482" s="981"/>
      <c r="F2482" s="981"/>
      <c r="G2482" s="981"/>
      <c r="H2482" s="981"/>
      <c r="I2482" s="981"/>
      <c r="J2482" s="1815"/>
      <c r="K2482" s="1760"/>
      <c r="L2482" s="1760"/>
      <c r="M2482" s="1760"/>
      <c r="N2482" s="1761"/>
      <c r="O2482" s="485"/>
      <c r="P2482" s="485"/>
      <c r="Q2482" s="1435"/>
      <c r="S2482" s="1435"/>
      <c r="T2482" s="1435"/>
      <c r="U2482" s="1435"/>
      <c r="V2482" s="1435"/>
    </row>
    <row r="2483" spans="2:37" ht="12.75" customHeight="1" thickBot="1">
      <c r="B2483" s="479"/>
      <c r="C2483" s="977"/>
      <c r="D2483" s="981"/>
      <c r="E2483" s="2648" t="s">
        <v>1406</v>
      </c>
      <c r="F2483" s="2493"/>
      <c r="G2483" s="987" t="str">
        <f>EUconst_Unit</f>
        <v>Unit</v>
      </c>
      <c r="H2483" s="782">
        <f t="shared" ref="H2483:N2483" si="1157">H$3242</f>
        <v>2024</v>
      </c>
      <c r="I2483" s="988">
        <f t="shared" si="1157"/>
        <v>2025</v>
      </c>
      <c r="J2483" s="1810">
        <f t="shared" si="1157"/>
        <v>2026</v>
      </c>
      <c r="K2483" s="1747">
        <f t="shared" si="1157"/>
        <v>2027</v>
      </c>
      <c r="L2483" s="1747">
        <f t="shared" si="1157"/>
        <v>2028</v>
      </c>
      <c r="M2483" s="1747">
        <f t="shared" si="1157"/>
        <v>2029</v>
      </c>
      <c r="N2483" s="1748">
        <f t="shared" si="1157"/>
        <v>2030</v>
      </c>
      <c r="O2483" s="485"/>
      <c r="P2483" s="485"/>
      <c r="Q2483" s="1435"/>
      <c r="S2483" s="1435"/>
      <c r="T2483" s="1435"/>
      <c r="U2483" s="1435"/>
      <c r="V2483" s="1435"/>
      <c r="AC2483" s="1638">
        <f t="shared" ref="AC2483:AI2483" si="1158">H$20</f>
        <v>2024</v>
      </c>
      <c r="AD2483" s="1638">
        <f t="shared" si="1158"/>
        <v>2025</v>
      </c>
      <c r="AE2483" s="1638">
        <f t="shared" si="1158"/>
        <v>2026</v>
      </c>
      <c r="AF2483" s="1638">
        <f t="shared" si="1158"/>
        <v>2027</v>
      </c>
      <c r="AG2483" s="1638">
        <f t="shared" si="1158"/>
        <v>2028</v>
      </c>
      <c r="AH2483" s="1638">
        <f t="shared" si="1158"/>
        <v>2029</v>
      </c>
      <c r="AI2483" s="1638">
        <f t="shared" si="1158"/>
        <v>2030</v>
      </c>
    </row>
    <row r="2484" spans="2:37" ht="12.75" customHeight="1">
      <c r="B2484" s="479"/>
      <c r="C2484" s="977"/>
      <c r="D2484" s="777" t="s">
        <v>8</v>
      </c>
      <c r="E2484" s="2475" t="s">
        <v>1556</v>
      </c>
      <c r="F2484" s="2410"/>
      <c r="G2484" s="815" t="str">
        <f>EUconst_TJpa</f>
        <v>TJ / year</v>
      </c>
      <c r="H2484" s="1762" t="str">
        <f>c_ALR2025!M5030</f>
        <v/>
      </c>
      <c r="I2484" s="1885"/>
      <c r="J2484" s="1811"/>
      <c r="K2484" s="1751"/>
      <c r="L2484" s="1751"/>
      <c r="M2484" s="1751"/>
      <c r="N2484" s="1752"/>
      <c r="O2484" s="485"/>
      <c r="P2484" s="9">
        <v>0</v>
      </c>
      <c r="Q2484" s="1644" t="str">
        <f>EUconst_CNTR_HeatImportPulp &amp; I2267</f>
        <v>HeatImPulp_</v>
      </c>
      <c r="S2484" s="1435"/>
      <c r="T2484" s="1435"/>
      <c r="U2484" s="1435"/>
      <c r="V2484" s="1435"/>
      <c r="AB2484" s="1641" t="s">
        <v>717</v>
      </c>
      <c r="AC2484" s="1443" t="b">
        <f>AC2337</f>
        <v>0</v>
      </c>
      <c r="AD2484" s="1443" t="b">
        <f t="shared" ref="AD2484:AI2484" si="1159">AD2337</f>
        <v>0</v>
      </c>
      <c r="AE2484" s="1443" t="b">
        <f t="shared" si="1159"/>
        <v>0</v>
      </c>
      <c r="AF2484" s="1443" t="b">
        <f t="shared" si="1159"/>
        <v>0</v>
      </c>
      <c r="AG2484" s="1443" t="b">
        <f t="shared" si="1159"/>
        <v>0</v>
      </c>
      <c r="AH2484" s="1443" t="b">
        <f t="shared" si="1159"/>
        <v>0</v>
      </c>
      <c r="AI2484" s="1443" t="b">
        <f t="shared" si="1159"/>
        <v>0</v>
      </c>
      <c r="AJ2484" s="1633" t="s">
        <v>1954</v>
      </c>
      <c r="AK2484" s="1635" t="str">
        <f>IF(AND(CNTR_ExistSubInstEntries,MSconst_RequireSubAttrEmissions,COUNTIFS(AC2484:AI2484,FALSE,H2484:N2484,"")&gt;0),EUconst_Error&amp;"BM"&amp;$Q2267,"")</f>
        <v/>
      </c>
    </row>
    <row r="2485" spans="2:37" ht="25.5" customHeight="1">
      <c r="B2485" s="479"/>
      <c r="C2485" s="977"/>
      <c r="D2485" s="777" t="s">
        <v>18</v>
      </c>
      <c r="E2485" s="2475" t="s">
        <v>1149</v>
      </c>
      <c r="F2485" s="2410"/>
      <c r="G2485" s="815" t="str">
        <f>EUconst_TJpa</f>
        <v>TJ / year</v>
      </c>
      <c r="H2485" s="1479" t="str">
        <f>c_ALR2025!M5031</f>
        <v/>
      </c>
      <c r="I2485" s="1532"/>
      <c r="J2485" s="1811"/>
      <c r="K2485" s="1751"/>
      <c r="L2485" s="1751"/>
      <c r="M2485" s="1751"/>
      <c r="N2485" s="1752"/>
      <c r="O2485" s="485"/>
      <c r="P2485" s="9">
        <v>0</v>
      </c>
      <c r="Q2485" s="1644" t="str">
        <f>EUconst_CNTR_HeatImportNitric &amp; I2267</f>
        <v>HeatImNitric_</v>
      </c>
      <c r="S2485" s="1435"/>
      <c r="T2485" s="1435"/>
      <c r="U2485" s="1435"/>
      <c r="V2485" s="1435"/>
      <c r="AC2485" s="1443" t="b">
        <f>AC2484</f>
        <v>0</v>
      </c>
      <c r="AD2485" s="1443" t="b">
        <f t="shared" ref="AD2485:AI2485" si="1160">AD2484</f>
        <v>0</v>
      </c>
      <c r="AE2485" s="1443" t="b">
        <f t="shared" si="1160"/>
        <v>0</v>
      </c>
      <c r="AF2485" s="1443" t="b">
        <f t="shared" si="1160"/>
        <v>0</v>
      </c>
      <c r="AG2485" s="1443" t="b">
        <f t="shared" si="1160"/>
        <v>0</v>
      </c>
      <c r="AH2485" s="1443" t="b">
        <f t="shared" si="1160"/>
        <v>0</v>
      </c>
      <c r="AI2485" s="1443" t="b">
        <f t="shared" si="1160"/>
        <v>0</v>
      </c>
      <c r="AJ2485" s="1633" t="s">
        <v>1954</v>
      </c>
      <c r="AK2485" s="1635" t="str">
        <f>IF(AND(CNTR_ExistSubInstEntries,MSconst_RequireSubAttrEmissions,COUNTIFS(AC2485:AI2485,FALSE,H2485:N2485,"")&gt;0),EUconst_Error&amp;"BM"&amp;$Q2267,"")</f>
        <v/>
      </c>
    </row>
    <row r="2486" spans="2:37" ht="5.0999999999999996" customHeight="1" thickBot="1">
      <c r="B2486" s="479"/>
      <c r="C2486" s="977"/>
      <c r="D2486" s="981"/>
      <c r="E2486" s="981"/>
      <c r="F2486" s="981"/>
      <c r="G2486" s="981"/>
      <c r="H2486" s="981"/>
      <c r="I2486" s="981"/>
      <c r="J2486" s="1815"/>
      <c r="K2486" s="1760"/>
      <c r="L2486" s="1760"/>
      <c r="M2486" s="1760"/>
      <c r="N2486" s="1761"/>
      <c r="O2486" s="485"/>
      <c r="P2486" s="485"/>
      <c r="Q2486" s="1435"/>
      <c r="S2486" s="1435"/>
      <c r="T2486" s="1435"/>
      <c r="U2486" s="1435"/>
      <c r="V2486" s="1435"/>
    </row>
    <row r="2487" spans="2:37" ht="12.75" customHeight="1" thickBot="1">
      <c r="B2487" s="479"/>
      <c r="C2487" s="977"/>
      <c r="D2487" s="981"/>
      <c r="E2487" s="2648" t="s">
        <v>1152</v>
      </c>
      <c r="F2487" s="2493"/>
      <c r="G2487" s="987" t="str">
        <f>EUconst_Unit</f>
        <v>Unit</v>
      </c>
      <c r="H2487" s="782">
        <f t="shared" ref="H2487:N2487" si="1161">H$3242</f>
        <v>2024</v>
      </c>
      <c r="I2487" s="988">
        <f t="shared" si="1161"/>
        <v>2025</v>
      </c>
      <c r="J2487" s="1810">
        <f t="shared" si="1161"/>
        <v>2026</v>
      </c>
      <c r="K2487" s="1747">
        <f t="shared" si="1161"/>
        <v>2027</v>
      </c>
      <c r="L2487" s="1747">
        <f t="shared" si="1161"/>
        <v>2028</v>
      </c>
      <c r="M2487" s="1747">
        <f t="shared" si="1161"/>
        <v>2029</v>
      </c>
      <c r="N2487" s="1748">
        <f t="shared" si="1161"/>
        <v>2030</v>
      </c>
      <c r="O2487" s="485"/>
      <c r="P2487" s="485"/>
      <c r="Q2487" s="1435"/>
      <c r="S2487" s="1648"/>
      <c r="T2487" s="1749">
        <f t="shared" ref="T2487:Z2487" si="1162">H2487</f>
        <v>2024</v>
      </c>
      <c r="U2487" s="1749">
        <f t="shared" si="1162"/>
        <v>2025</v>
      </c>
      <c r="V2487" s="1749">
        <f t="shared" si="1162"/>
        <v>2026</v>
      </c>
      <c r="W2487" s="1749">
        <f t="shared" si="1162"/>
        <v>2027</v>
      </c>
      <c r="X2487" s="1749">
        <f t="shared" si="1162"/>
        <v>2028</v>
      </c>
      <c r="Y2487" s="1749">
        <f t="shared" si="1162"/>
        <v>2029</v>
      </c>
      <c r="Z2487" s="1750">
        <f t="shared" si="1162"/>
        <v>2030</v>
      </c>
      <c r="AC2487" s="1638">
        <f t="shared" ref="AC2487:AI2487" si="1163">H$20</f>
        <v>2024</v>
      </c>
      <c r="AD2487" s="1638">
        <f t="shared" si="1163"/>
        <v>2025</v>
      </c>
      <c r="AE2487" s="1638">
        <f t="shared" si="1163"/>
        <v>2026</v>
      </c>
      <c r="AF2487" s="1638">
        <f t="shared" si="1163"/>
        <v>2027</v>
      </c>
      <c r="AG2487" s="1638">
        <f t="shared" si="1163"/>
        <v>2028</v>
      </c>
      <c r="AH2487" s="1638">
        <f t="shared" si="1163"/>
        <v>2029</v>
      </c>
      <c r="AI2487" s="1638">
        <f t="shared" si="1163"/>
        <v>2030</v>
      </c>
    </row>
    <row r="2488" spans="2:37" ht="12.75" customHeight="1">
      <c r="B2488" s="479"/>
      <c r="C2488" s="977"/>
      <c r="D2488" s="777" t="s">
        <v>787</v>
      </c>
      <c r="E2488" s="2475" t="s">
        <v>1079</v>
      </c>
      <c r="F2488" s="2410"/>
      <c r="G2488" s="815" t="str">
        <f>EUconst_TJpa</f>
        <v>TJ / year</v>
      </c>
      <c r="H2488" s="1479" t="str">
        <f>c_ALR2025!M5034</f>
        <v/>
      </c>
      <c r="I2488" s="1532"/>
      <c r="J2488" s="1811"/>
      <c r="K2488" s="1751"/>
      <c r="L2488" s="1751"/>
      <c r="M2488" s="1751"/>
      <c r="N2488" s="1752"/>
      <c r="O2488" s="485"/>
      <c r="P2488" s="9">
        <v>0</v>
      </c>
      <c r="Q2488" s="1644" t="str">
        <f>EUconst_CNTR_HeatExport &amp; I2267</f>
        <v>HeatEx_</v>
      </c>
      <c r="S2488" s="1874" t="str">
        <f>EUconst_ERR_AttrEmBMapplied &amp; I2267</f>
        <v>ERR_AttrEmBM_</v>
      </c>
      <c r="T2488" s="1443">
        <f t="shared" ref="T2488:Z2488" si="1164">IF(AND(H2488&lt;&gt;0,H2489="",EUconst_StatusOfDataCollection=FALSE),1,0)</f>
        <v>0</v>
      </c>
      <c r="U2488" s="1443">
        <f t="shared" si="1164"/>
        <v>0</v>
      </c>
      <c r="V2488" s="1443">
        <f t="shared" si="1164"/>
        <v>0</v>
      </c>
      <c r="W2488" s="1443">
        <f t="shared" si="1164"/>
        <v>0</v>
      </c>
      <c r="X2488" s="1443">
        <f t="shared" si="1164"/>
        <v>0</v>
      </c>
      <c r="Y2488" s="1443">
        <f t="shared" si="1164"/>
        <v>0</v>
      </c>
      <c r="Z2488" s="1737">
        <f t="shared" si="1164"/>
        <v>0</v>
      </c>
      <c r="AB2488" s="1641" t="s">
        <v>717</v>
      </c>
      <c r="AC2488" s="1443" t="b">
        <f>AC2484</f>
        <v>0</v>
      </c>
      <c r="AD2488" s="1443" t="b">
        <f t="shared" ref="AD2488:AI2488" si="1165">AD2484</f>
        <v>0</v>
      </c>
      <c r="AE2488" s="1443" t="b">
        <f t="shared" si="1165"/>
        <v>0</v>
      </c>
      <c r="AF2488" s="1443" t="b">
        <f t="shared" si="1165"/>
        <v>0</v>
      </c>
      <c r="AG2488" s="1443" t="b">
        <f t="shared" si="1165"/>
        <v>0</v>
      </c>
      <c r="AH2488" s="1443" t="b">
        <f t="shared" si="1165"/>
        <v>0</v>
      </c>
      <c r="AI2488" s="1443" t="b">
        <f t="shared" si="1165"/>
        <v>0</v>
      </c>
      <c r="AJ2488" s="1633" t="s">
        <v>1954</v>
      </c>
      <c r="AK2488" s="1635" t="str">
        <f>IF(AND(CNTR_ExistSubInstEntries,MSconst_RequireSubAttrEmissions,COUNTIFS(AC2488:AI2488,FALSE,H2488:N2488,"")&gt;0),EUconst_Error&amp;"BM"&amp;$Q2267,"")</f>
        <v/>
      </c>
    </row>
    <row r="2489" spans="2:37" ht="12.75" customHeight="1" thickBot="1">
      <c r="B2489" s="479"/>
      <c r="C2489" s="977"/>
      <c r="D2489" s="777" t="s">
        <v>788</v>
      </c>
      <c r="E2489" s="2475" t="s">
        <v>1104</v>
      </c>
      <c r="F2489" s="2410"/>
      <c r="G2489" s="815" t="str">
        <f>EUconst_tCO2pTJ</f>
        <v>t CO2 / TJ</v>
      </c>
      <c r="H2489" s="1479" t="str">
        <f>c_ALR2025!M5035</f>
        <v/>
      </c>
      <c r="I2489" s="1532"/>
      <c r="J2489" s="1811"/>
      <c r="K2489" s="1751"/>
      <c r="L2489" s="1751"/>
      <c r="M2489" s="1751"/>
      <c r="N2489" s="1752"/>
      <c r="O2489" s="485"/>
      <c r="P2489" s="9">
        <v>0</v>
      </c>
      <c r="Q2489" s="1644" t="str">
        <f>EUconst_CNTR_HeatExportEF &amp; I2267</f>
        <v>HeatExEF_</v>
      </c>
      <c r="S2489" s="1753" t="str">
        <f>EUconst_CNTR_AttributedEmissions &amp; I2267</f>
        <v>AttrEmissions_</v>
      </c>
      <c r="T2489" s="1743" t="str">
        <f t="shared" ref="T2489:Z2489" si="1166">IF(T2275,-SUM(H2488)*IF(INDEX(EUconst_BMlistNumberOfBM,MATCH($I2267,EUconst_BMlistNames,0))=39,0,IF(ISNUMBER(H2489),H2489,EUconst_HeatBMvalue)),"")</f>
        <v/>
      </c>
      <c r="U2489" s="1743" t="str">
        <f t="shared" si="1166"/>
        <v/>
      </c>
      <c r="V2489" s="1743" t="str">
        <f t="shared" si="1166"/>
        <v/>
      </c>
      <c r="W2489" s="1743" t="str">
        <f t="shared" si="1166"/>
        <v/>
      </c>
      <c r="X2489" s="1743" t="str">
        <f t="shared" si="1166"/>
        <v/>
      </c>
      <c r="Y2489" s="1743" t="str">
        <f t="shared" si="1166"/>
        <v/>
      </c>
      <c r="Z2489" s="1744" t="str">
        <f t="shared" si="1166"/>
        <v/>
      </c>
      <c r="AC2489" s="1443" t="b">
        <f>AC2488</f>
        <v>0</v>
      </c>
      <c r="AD2489" s="1443" t="b">
        <f t="shared" ref="AD2489:AI2489" si="1167">AD2488</f>
        <v>0</v>
      </c>
      <c r="AE2489" s="1443" t="b">
        <f t="shared" si="1167"/>
        <v>0</v>
      </c>
      <c r="AF2489" s="1443" t="b">
        <f t="shared" si="1167"/>
        <v>0</v>
      </c>
      <c r="AG2489" s="1443" t="b">
        <f t="shared" si="1167"/>
        <v>0</v>
      </c>
      <c r="AH2489" s="1443" t="b">
        <f t="shared" si="1167"/>
        <v>0</v>
      </c>
      <c r="AI2489" s="1443" t="b">
        <f t="shared" si="1167"/>
        <v>0</v>
      </c>
    </row>
    <row r="2490" spans="2:37" ht="12.75" customHeight="1">
      <c r="B2490" s="479"/>
      <c r="C2490" s="977"/>
      <c r="D2490" s="981"/>
      <c r="E2490" s="981"/>
      <c r="F2490" s="981"/>
      <c r="G2490" s="981"/>
      <c r="H2490" s="981"/>
      <c r="I2490" s="981"/>
      <c r="J2490" s="981"/>
      <c r="K2490" s="981"/>
      <c r="L2490" s="981"/>
      <c r="M2490" s="813"/>
      <c r="N2490" s="814"/>
      <c r="O2490" s="485"/>
      <c r="P2490" s="485"/>
      <c r="Q2490" s="1435"/>
      <c r="S2490" s="1435"/>
      <c r="T2490" s="1435"/>
      <c r="U2490" s="1435"/>
      <c r="V2490" s="1435"/>
    </row>
    <row r="2491" spans="2:37" ht="12.75" customHeight="1">
      <c r="B2491" s="479"/>
      <c r="C2491" s="977"/>
      <c r="D2491" s="982" t="s">
        <v>481</v>
      </c>
      <c r="E2491" s="2649" t="s">
        <v>1312</v>
      </c>
      <c r="F2491" s="2391"/>
      <c r="G2491" s="2391"/>
      <c r="H2491" s="2391"/>
      <c r="I2491" s="2391"/>
      <c r="J2491" s="2391"/>
      <c r="K2491" s="2391"/>
      <c r="L2491" s="2391"/>
      <c r="M2491" s="2391"/>
      <c r="N2491" s="2650"/>
      <c r="O2491" s="485"/>
      <c r="P2491" s="485"/>
      <c r="Q2491" s="1435"/>
      <c r="S2491" s="1435"/>
      <c r="T2491" s="1435"/>
      <c r="U2491" s="1435"/>
      <c r="V2491" s="1435"/>
    </row>
    <row r="2492" spans="2:37" ht="5.0999999999999996" customHeight="1">
      <c r="B2492" s="479"/>
      <c r="C2492" s="977"/>
      <c r="D2492" s="981"/>
      <c r="E2492" s="986"/>
      <c r="F2492" s="986"/>
      <c r="G2492" s="986"/>
      <c r="H2492" s="986"/>
      <c r="I2492" s="986"/>
      <c r="J2492" s="986"/>
      <c r="K2492" s="986"/>
      <c r="L2492" s="986"/>
      <c r="M2492" s="986"/>
      <c r="N2492" s="1007"/>
      <c r="O2492" s="485"/>
      <c r="P2492" s="485"/>
      <c r="Q2492" s="1435"/>
      <c r="S2492" s="1435"/>
      <c r="T2492" s="1435"/>
      <c r="U2492" s="1435"/>
      <c r="V2492" s="1435"/>
    </row>
    <row r="2493" spans="2:37" ht="12.75" customHeight="1">
      <c r="B2493" s="479"/>
      <c r="C2493" s="977"/>
      <c r="D2493" s="777" t="s">
        <v>6</v>
      </c>
      <c r="E2493" s="2649" t="s">
        <v>1313</v>
      </c>
      <c r="F2493" s="2391"/>
      <c r="G2493" s="2391"/>
      <c r="H2493" s="2391"/>
      <c r="I2493" s="2391"/>
      <c r="J2493" s="2391"/>
      <c r="K2493" s="2512"/>
      <c r="L2493" s="1478" t="str">
        <f>c_ALR2025!L5039</f>
        <v/>
      </c>
      <c r="M2493" s="978"/>
      <c r="N2493" s="979"/>
      <c r="O2493" s="485"/>
      <c r="P2493" s="9">
        <v>0</v>
      </c>
      <c r="Q2493" s="1435"/>
      <c r="S2493" s="1435"/>
      <c r="AF2493" s="1641" t="s">
        <v>717</v>
      </c>
      <c r="AG2493" s="1423" t="b">
        <f>AND(CNTR_ExistSubInstEntries,I2267="")</f>
        <v>0</v>
      </c>
    </row>
    <row r="2494" spans="2:37" ht="12.75" customHeight="1">
      <c r="B2494" s="479"/>
      <c r="C2494" s="977"/>
      <c r="D2494" s="981"/>
      <c r="E2494" s="3267" t="s">
        <v>1314</v>
      </c>
      <c r="F2494" s="2380"/>
      <c r="G2494" s="2380"/>
      <c r="H2494" s="2380"/>
      <c r="I2494" s="2380"/>
      <c r="J2494" s="2380"/>
      <c r="K2494" s="2380"/>
      <c r="L2494" s="2380"/>
      <c r="M2494" s="2380"/>
      <c r="N2494" s="3268"/>
      <c r="O2494" s="485"/>
      <c r="P2494" s="485"/>
      <c r="Q2494" s="1435"/>
      <c r="S2494" s="1435"/>
    </row>
    <row r="2495" spans="2:37" ht="12.75" customHeight="1">
      <c r="B2495" s="479"/>
      <c r="C2495" s="977"/>
      <c r="D2495" s="777" t="s">
        <v>7</v>
      </c>
      <c r="E2495" s="2649" t="s">
        <v>1219</v>
      </c>
      <c r="F2495" s="2391"/>
      <c r="G2495" s="2391"/>
      <c r="H2495" s="2512"/>
      <c r="I2495" s="3211" t="str">
        <f>c_ALR2025!I5041</f>
        <v/>
      </c>
      <c r="J2495" s="3206"/>
      <c r="K2495" s="3206"/>
      <c r="L2495" s="3206"/>
      <c r="M2495" s="3207"/>
      <c r="N2495" s="979"/>
      <c r="O2495" s="485"/>
      <c r="P2495" s="9">
        <v>0</v>
      </c>
      <c r="Q2495" s="1435"/>
      <c r="S2495" s="1435"/>
      <c r="AC2495" s="1641" t="s">
        <v>717</v>
      </c>
      <c r="AD2495" s="1423" t="b">
        <f>OR(AG2493,AND($L2493&lt;&gt;"",$L2493=FALSE))</f>
        <v>0</v>
      </c>
    </row>
    <row r="2496" spans="2:37" ht="12.75" customHeight="1">
      <c r="B2496" s="479"/>
      <c r="C2496" s="977"/>
      <c r="D2496" s="981"/>
      <c r="E2496" s="3267" t="s">
        <v>1316</v>
      </c>
      <c r="F2496" s="2380"/>
      <c r="G2496" s="2380"/>
      <c r="H2496" s="2380"/>
      <c r="I2496" s="2380"/>
      <c r="J2496" s="2380"/>
      <c r="K2496" s="2380"/>
      <c r="L2496" s="2380"/>
      <c r="M2496" s="2380"/>
      <c r="N2496" s="3268"/>
      <c r="O2496" s="485"/>
      <c r="P2496" s="485"/>
      <c r="Q2496" s="1435"/>
      <c r="S2496" s="1435"/>
      <c r="T2496" s="1435"/>
      <c r="U2496" s="1435"/>
      <c r="V2496" s="1435"/>
    </row>
    <row r="2497" spans="2:37" ht="12.75" customHeight="1">
      <c r="B2497" s="479"/>
      <c r="C2497" s="977"/>
      <c r="D2497" s="981"/>
      <c r="E2497" s="3272" t="s">
        <v>1557</v>
      </c>
      <c r="F2497" s="2380"/>
      <c r="G2497" s="2380"/>
      <c r="H2497" s="2380"/>
      <c r="I2497" s="2380"/>
      <c r="J2497" s="2380"/>
      <c r="K2497" s="2380"/>
      <c r="L2497" s="2380"/>
      <c r="M2497" s="2380"/>
      <c r="N2497" s="3268"/>
      <c r="O2497" s="485"/>
      <c r="P2497" s="485"/>
      <c r="Q2497" s="1435"/>
      <c r="S2497" s="1435"/>
      <c r="T2497" s="1435"/>
      <c r="U2497" s="1435"/>
      <c r="V2497" s="1435"/>
    </row>
    <row r="2498" spans="2:37" ht="12.75" customHeight="1" thickBot="1">
      <c r="B2498" s="479"/>
      <c r="C2498" s="977"/>
      <c r="D2498" s="981"/>
      <c r="E2498" s="989"/>
      <c r="F2498" s="990"/>
      <c r="G2498" s="987" t="str">
        <f>EUconst_Unit</f>
        <v>Unit</v>
      </c>
      <c r="H2498" s="782">
        <f t="shared" ref="H2498:N2498" si="1168">H$3242</f>
        <v>2024</v>
      </c>
      <c r="I2498" s="988">
        <f t="shared" si="1168"/>
        <v>2025</v>
      </c>
      <c r="J2498" s="1810">
        <f t="shared" si="1168"/>
        <v>2026</v>
      </c>
      <c r="K2498" s="1747">
        <f t="shared" si="1168"/>
        <v>2027</v>
      </c>
      <c r="L2498" s="1747">
        <f t="shared" si="1168"/>
        <v>2028</v>
      </c>
      <c r="M2498" s="1747">
        <f t="shared" si="1168"/>
        <v>2029</v>
      </c>
      <c r="N2498" s="1748">
        <f t="shared" si="1168"/>
        <v>2030</v>
      </c>
      <c r="O2498" s="485"/>
      <c r="P2498" s="485"/>
      <c r="Q2498" s="1435"/>
      <c r="S2498" s="1435"/>
      <c r="T2498" s="1435"/>
      <c r="U2498" s="1435"/>
      <c r="V2498" s="1435"/>
      <c r="AC2498" s="1638">
        <f t="shared" ref="AC2498:AI2498" si="1169">H$20</f>
        <v>2024</v>
      </c>
      <c r="AD2498" s="1638">
        <f t="shared" si="1169"/>
        <v>2025</v>
      </c>
      <c r="AE2498" s="1638">
        <f t="shared" si="1169"/>
        <v>2026</v>
      </c>
      <c r="AF2498" s="1638">
        <f t="shared" si="1169"/>
        <v>2027</v>
      </c>
      <c r="AG2498" s="1638">
        <f t="shared" si="1169"/>
        <v>2028</v>
      </c>
      <c r="AH2498" s="1638">
        <f t="shared" si="1169"/>
        <v>2029</v>
      </c>
      <c r="AI2498" s="1638">
        <f t="shared" si="1169"/>
        <v>2030</v>
      </c>
    </row>
    <row r="2499" spans="2:37" ht="12.75" customHeight="1">
      <c r="B2499" s="479"/>
      <c r="C2499" s="977"/>
      <c r="D2499" s="777" t="s">
        <v>8</v>
      </c>
      <c r="E2499" s="2471" t="s">
        <v>1305</v>
      </c>
      <c r="F2499" s="2472"/>
      <c r="G2499" s="1763" t="str">
        <f>c_ALR2025!G5045</f>
        <v/>
      </c>
      <c r="H2499" s="1552" t="str">
        <f>c_ALR2025!M5045</f>
        <v/>
      </c>
      <c r="I2499" s="1611"/>
      <c r="J2499" s="1811"/>
      <c r="K2499" s="1751"/>
      <c r="L2499" s="1751"/>
      <c r="M2499" s="1751"/>
      <c r="N2499" s="1752"/>
      <c r="O2499" s="485"/>
      <c r="P2499" s="9">
        <v>0</v>
      </c>
      <c r="Q2499" s="1435"/>
      <c r="S2499" s="1435"/>
      <c r="T2499" s="1435"/>
      <c r="U2499" s="1435"/>
      <c r="V2499" s="1435"/>
      <c r="AB2499" s="1641" t="s">
        <v>717</v>
      </c>
      <c r="AC2499" s="1423" t="b">
        <f>OR(AND($L2493&lt;&gt;"",$L2493=FALSE),AC2337)</f>
        <v>0</v>
      </c>
      <c r="AD2499" s="1443" t="b">
        <f t="shared" ref="AD2499:AI2499" si="1170">OR(AND($L2493&lt;&gt;"",$L2493=FALSE),AD2337)</f>
        <v>0</v>
      </c>
      <c r="AE2499" s="1443" t="b">
        <f t="shared" si="1170"/>
        <v>0</v>
      </c>
      <c r="AF2499" s="1443" t="b">
        <f t="shared" si="1170"/>
        <v>0</v>
      </c>
      <c r="AG2499" s="1443" t="b">
        <f t="shared" si="1170"/>
        <v>0</v>
      </c>
      <c r="AH2499" s="1443" t="b">
        <f t="shared" si="1170"/>
        <v>0</v>
      </c>
      <c r="AI2499" s="1443" t="b">
        <f t="shared" si="1170"/>
        <v>0</v>
      </c>
      <c r="AJ2499" s="1633" t="s">
        <v>1954</v>
      </c>
      <c r="AK2499" s="1635" t="str">
        <f>IF(AND(CNTR_ExistSubInstEntries,MSconst_RequireSubAttrEmissions,COUNTIFS(AC2499:AI2499,FALSE,H2499:N2499,"")&gt;0),EUconst_Error&amp;"BM"&amp;$Q2267,"")</f>
        <v/>
      </c>
    </row>
    <row r="2500" spans="2:37" ht="12.75" customHeight="1">
      <c r="B2500" s="479"/>
      <c r="C2500" s="977"/>
      <c r="D2500" s="777" t="s">
        <v>18</v>
      </c>
      <c r="E2500" s="2473" t="s">
        <v>661</v>
      </c>
      <c r="F2500" s="2474"/>
      <c r="G2500" s="1008" t="e">
        <f>IF(ISBLANK(G2499),EUconst_GJperUnit,INDEX(EUconst_GJperTorKNm3,MATCH(G2499,EUconst_TonnesOrkNm3pa,0)))</f>
        <v>#N/A</v>
      </c>
      <c r="H2500" s="1558" t="str">
        <f>c_ALR2025!M5046</f>
        <v/>
      </c>
      <c r="I2500" s="1884"/>
      <c r="J2500" s="1811"/>
      <c r="K2500" s="1751"/>
      <c r="L2500" s="1751"/>
      <c r="M2500" s="1751"/>
      <c r="N2500" s="1752"/>
      <c r="O2500" s="485"/>
      <c r="P2500" s="9">
        <v>0</v>
      </c>
      <c r="S2500" s="1435"/>
      <c r="T2500" s="1435"/>
      <c r="U2500" s="1435"/>
      <c r="V2500" s="1435"/>
      <c r="W2500" s="1435"/>
      <c r="X2500" s="1435"/>
      <c r="Y2500" s="1435"/>
      <c r="Z2500" s="1435"/>
      <c r="AC2500" s="1443" t="b">
        <f>AC2499</f>
        <v>0</v>
      </c>
      <c r="AD2500" s="1443" t="b">
        <f t="shared" ref="AD2500:AI2500" si="1171">AD2499</f>
        <v>0</v>
      </c>
      <c r="AE2500" s="1443" t="b">
        <f t="shared" si="1171"/>
        <v>0</v>
      </c>
      <c r="AF2500" s="1443" t="b">
        <f t="shared" si="1171"/>
        <v>0</v>
      </c>
      <c r="AG2500" s="1443" t="b">
        <f t="shared" si="1171"/>
        <v>0</v>
      </c>
      <c r="AH2500" s="1443" t="b">
        <f t="shared" si="1171"/>
        <v>0</v>
      </c>
      <c r="AI2500" s="1443" t="b">
        <f t="shared" si="1171"/>
        <v>0</v>
      </c>
      <c r="AJ2500" s="1633" t="s">
        <v>1954</v>
      </c>
      <c r="AK2500" s="1635" t="str">
        <f>IF(AND(CNTR_ExistSubInstEntries,MSconst_RequireSubAttrEmissions,COUNTIFS(AC2500:AI2500,FALSE,H2500:N2500,"")&gt;0),EUconst_Error&amp;"BM"&amp;$Q2267,"")</f>
        <v/>
      </c>
    </row>
    <row r="2501" spans="2:37" ht="12.75" customHeight="1">
      <c r="B2501" s="479"/>
      <c r="C2501" s="977"/>
      <c r="D2501" s="777" t="s">
        <v>787</v>
      </c>
      <c r="E2501" s="2475" t="s">
        <v>1141</v>
      </c>
      <c r="F2501" s="2410"/>
      <c r="G2501" s="815" t="str">
        <f>EUconst_TJpa</f>
        <v>TJ / year</v>
      </c>
      <c r="H2501" s="1005" t="str">
        <f t="shared" ref="H2501:N2501" si="1172">IF(COUNT(H2499:H2500)=2,H2499*H2500/1000,"")</f>
        <v/>
      </c>
      <c r="I2501" s="1006" t="str">
        <f t="shared" si="1172"/>
        <v/>
      </c>
      <c r="J2501" s="1811" t="str">
        <f t="shared" si="1172"/>
        <v/>
      </c>
      <c r="K2501" s="1751" t="str">
        <f t="shared" si="1172"/>
        <v/>
      </c>
      <c r="L2501" s="1751" t="str">
        <f t="shared" si="1172"/>
        <v/>
      </c>
      <c r="M2501" s="1751" t="str">
        <f t="shared" si="1172"/>
        <v/>
      </c>
      <c r="N2501" s="1752" t="str">
        <f t="shared" si="1172"/>
        <v/>
      </c>
      <c r="O2501" s="485"/>
      <c r="P2501" s="485"/>
      <c r="Q2501" s="1644" t="str">
        <f>EUconst_CNTR_WGProduced &amp; I2267</f>
        <v>WasteGasProd_</v>
      </c>
      <c r="S2501" s="1435"/>
      <c r="T2501" s="1435"/>
      <c r="U2501" s="1435"/>
      <c r="V2501" s="1435"/>
      <c r="W2501" s="1435"/>
      <c r="X2501" s="1435"/>
      <c r="Y2501" s="1435"/>
      <c r="Z2501" s="1435"/>
    </row>
    <row r="2502" spans="2:37" ht="12.75" customHeight="1">
      <c r="B2502" s="479"/>
      <c r="C2502" s="977"/>
      <c r="D2502" s="777" t="s">
        <v>788</v>
      </c>
      <c r="E2502" s="2475" t="s">
        <v>1258</v>
      </c>
      <c r="F2502" s="2410"/>
      <c r="G2502" s="815" t="str">
        <f>EUconst_tCO2pTJ</f>
        <v>t CO2 / TJ</v>
      </c>
      <c r="H2502" s="1479" t="str">
        <f>c_ALR2025!M5048</f>
        <v/>
      </c>
      <c r="I2502" s="1532"/>
      <c r="J2502" s="1811"/>
      <c r="K2502" s="1751"/>
      <c r="L2502" s="1751"/>
      <c r="M2502" s="1751"/>
      <c r="N2502" s="1752"/>
      <c r="O2502" s="485"/>
      <c r="P2502" s="9">
        <v>0</v>
      </c>
      <c r="Q2502" s="1644" t="str">
        <f>EUconst_CNTR_WGProducedEF &amp; I2267</f>
        <v>WasteGasProdEF_</v>
      </c>
      <c r="S2502" s="1435"/>
      <c r="T2502" s="1435"/>
      <c r="U2502" s="1435"/>
      <c r="V2502" s="1435"/>
      <c r="W2502" s="1435"/>
      <c r="X2502" s="1435"/>
      <c r="Y2502" s="1435"/>
      <c r="Z2502" s="1435"/>
      <c r="AB2502" s="1641" t="s">
        <v>717</v>
      </c>
      <c r="AC2502" s="1443" t="b">
        <f>AC2500</f>
        <v>0</v>
      </c>
      <c r="AD2502" s="1443" t="b">
        <f t="shared" ref="AD2502:AI2502" si="1173">AD2500</f>
        <v>0</v>
      </c>
      <c r="AE2502" s="1443" t="b">
        <f t="shared" si="1173"/>
        <v>0</v>
      </c>
      <c r="AF2502" s="1443" t="b">
        <f t="shared" si="1173"/>
        <v>0</v>
      </c>
      <c r="AG2502" s="1443" t="b">
        <f t="shared" si="1173"/>
        <v>0</v>
      </c>
      <c r="AH2502" s="1443" t="b">
        <f t="shared" si="1173"/>
        <v>0</v>
      </c>
      <c r="AI2502" s="1443" t="b">
        <f t="shared" si="1173"/>
        <v>0</v>
      </c>
      <c r="AJ2502" s="1633" t="s">
        <v>1954</v>
      </c>
      <c r="AK2502" s="1635" t="str">
        <f>IF(AND(CNTR_ExistSubInstEntries,MSconst_RequireSubAttrEmissions,COUNTIFS(AC2502:AI2502,FALSE,H2502:N2502,"")&gt;0),EUconst_Error&amp;"BM"&amp;$Q2267,"")</f>
        <v/>
      </c>
    </row>
    <row r="2503" spans="2:37" ht="12.75" customHeight="1">
      <c r="B2503" s="479"/>
      <c r="C2503" s="977"/>
      <c r="D2503" s="981"/>
      <c r="E2503" s="981"/>
      <c r="F2503" s="981"/>
      <c r="G2503" s="981"/>
      <c r="H2503" s="983"/>
      <c r="I2503" s="981"/>
      <c r="J2503" s="981"/>
      <c r="K2503" s="981"/>
      <c r="L2503" s="981"/>
      <c r="M2503" s="813"/>
      <c r="N2503" s="814"/>
      <c r="O2503" s="485"/>
      <c r="P2503" s="485"/>
      <c r="Q2503" s="1435"/>
      <c r="S2503" s="1435"/>
      <c r="T2503" s="1435"/>
      <c r="U2503" s="1435"/>
      <c r="V2503" s="1435"/>
      <c r="W2503" s="1435"/>
      <c r="X2503" s="1435"/>
      <c r="Y2503" s="1435"/>
      <c r="Z2503" s="1435"/>
    </row>
    <row r="2504" spans="2:37" ht="12.75" customHeight="1">
      <c r="B2504" s="479"/>
      <c r="C2504" s="977"/>
      <c r="D2504" s="777" t="s">
        <v>789</v>
      </c>
      <c r="E2504" s="2649" t="s">
        <v>1301</v>
      </c>
      <c r="F2504" s="2391"/>
      <c r="G2504" s="2391"/>
      <c r="H2504" s="2512"/>
      <c r="I2504" s="3211" t="str">
        <f>c_ALR2025!I5050</f>
        <v/>
      </c>
      <c r="J2504" s="3206"/>
      <c r="K2504" s="3206"/>
      <c r="L2504" s="3206"/>
      <c r="M2504" s="3207"/>
      <c r="N2504" s="979"/>
      <c r="O2504" s="485"/>
      <c r="P2504" s="9">
        <v>0</v>
      </c>
      <c r="Q2504" s="1435"/>
      <c r="S2504" s="1435"/>
      <c r="T2504" s="1435"/>
      <c r="U2504" s="1435"/>
      <c r="V2504" s="1435"/>
      <c r="W2504" s="1435"/>
      <c r="X2504" s="1435"/>
      <c r="Y2504" s="1435"/>
      <c r="Z2504" s="1435"/>
      <c r="AC2504" s="1641" t="s">
        <v>717</v>
      </c>
      <c r="AD2504" s="1443" t="b">
        <f>AD2495</f>
        <v>0</v>
      </c>
    </row>
    <row r="2505" spans="2:37" ht="25.5" customHeight="1">
      <c r="B2505" s="479"/>
      <c r="C2505" s="977"/>
      <c r="D2505" s="777"/>
      <c r="E2505" s="3267" t="s">
        <v>1606</v>
      </c>
      <c r="F2505" s="2380"/>
      <c r="G2505" s="2380"/>
      <c r="H2505" s="2380"/>
      <c r="I2505" s="2380"/>
      <c r="J2505" s="2380"/>
      <c r="K2505" s="2380"/>
      <c r="L2505" s="2380"/>
      <c r="M2505" s="2380"/>
      <c r="N2505" s="3268"/>
      <c r="O2505" s="485"/>
      <c r="P2505" s="485"/>
      <c r="Q2505" s="1435"/>
      <c r="S2505" s="1435"/>
      <c r="T2505" s="1435"/>
      <c r="U2505" s="1435"/>
      <c r="V2505" s="1435"/>
      <c r="W2505" s="1435"/>
      <c r="X2505" s="1435"/>
      <c r="Y2505" s="1435"/>
      <c r="Z2505" s="1435"/>
    </row>
    <row r="2506" spans="2:37" ht="12.75" customHeight="1">
      <c r="B2506" s="479"/>
      <c r="C2506" s="977"/>
      <c r="D2506" s="981"/>
      <c r="E2506" s="3272" t="s">
        <v>1557</v>
      </c>
      <c r="F2506" s="2380"/>
      <c r="G2506" s="2380"/>
      <c r="H2506" s="2380"/>
      <c r="I2506" s="2380"/>
      <c r="J2506" s="2380"/>
      <c r="K2506" s="2380"/>
      <c r="L2506" s="2380"/>
      <c r="M2506" s="2380"/>
      <c r="N2506" s="3268"/>
      <c r="O2506" s="485"/>
      <c r="P2506" s="485"/>
      <c r="Q2506" s="1435"/>
      <c r="S2506" s="1435"/>
      <c r="T2506" s="1435"/>
      <c r="U2506" s="1435"/>
      <c r="V2506" s="1435"/>
      <c r="W2506" s="1435"/>
      <c r="X2506" s="1435"/>
      <c r="Y2506" s="1435"/>
      <c r="Z2506" s="1435"/>
    </row>
    <row r="2507" spans="2:37" ht="12.75" customHeight="1" thickBot="1">
      <c r="B2507" s="479"/>
      <c r="C2507" s="977"/>
      <c r="D2507" s="981"/>
      <c r="E2507" s="989"/>
      <c r="F2507" s="990"/>
      <c r="G2507" s="987" t="str">
        <f>EUconst_Unit</f>
        <v>Unit</v>
      </c>
      <c r="H2507" s="782">
        <f t="shared" ref="H2507:N2507" si="1174">H$3242</f>
        <v>2024</v>
      </c>
      <c r="I2507" s="988">
        <f t="shared" si="1174"/>
        <v>2025</v>
      </c>
      <c r="J2507" s="1810">
        <f t="shared" si="1174"/>
        <v>2026</v>
      </c>
      <c r="K2507" s="1747">
        <f t="shared" si="1174"/>
        <v>2027</v>
      </c>
      <c r="L2507" s="1747">
        <f t="shared" si="1174"/>
        <v>2028</v>
      </c>
      <c r="M2507" s="1747">
        <f t="shared" si="1174"/>
        <v>2029</v>
      </c>
      <c r="N2507" s="1748">
        <f t="shared" si="1174"/>
        <v>2030</v>
      </c>
      <c r="O2507" s="485"/>
      <c r="P2507" s="485"/>
      <c r="Q2507" s="1435"/>
      <c r="S2507" s="1435"/>
      <c r="T2507" s="1435"/>
      <c r="U2507" s="1435"/>
      <c r="V2507" s="1435"/>
      <c r="W2507" s="1435"/>
      <c r="X2507" s="1435"/>
      <c r="Y2507" s="1435"/>
      <c r="Z2507" s="1435"/>
      <c r="AC2507" s="1638">
        <f t="shared" ref="AC2507:AI2507" si="1175">H$20</f>
        <v>2024</v>
      </c>
      <c r="AD2507" s="1638">
        <f t="shared" si="1175"/>
        <v>2025</v>
      </c>
      <c r="AE2507" s="1638">
        <f t="shared" si="1175"/>
        <v>2026</v>
      </c>
      <c r="AF2507" s="1638">
        <f t="shared" si="1175"/>
        <v>2027</v>
      </c>
      <c r="AG2507" s="1638">
        <f t="shared" si="1175"/>
        <v>2028</v>
      </c>
      <c r="AH2507" s="1638">
        <f t="shared" si="1175"/>
        <v>2029</v>
      </c>
      <c r="AI2507" s="1638">
        <f t="shared" si="1175"/>
        <v>2030</v>
      </c>
    </row>
    <row r="2508" spans="2:37" ht="12.75" customHeight="1">
      <c r="B2508" s="479"/>
      <c r="C2508" s="977"/>
      <c r="D2508" s="777" t="s">
        <v>790</v>
      </c>
      <c r="E2508" s="2471" t="s">
        <v>1306</v>
      </c>
      <c r="F2508" s="2472"/>
      <c r="G2508" s="1763" t="str">
        <f>c_ALR2025!G5054</f>
        <v/>
      </c>
      <c r="H2508" s="1552" t="str">
        <f>c_ALR2025!M5054</f>
        <v/>
      </c>
      <c r="I2508" s="1611"/>
      <c r="J2508" s="1811"/>
      <c r="K2508" s="1751"/>
      <c r="L2508" s="1751"/>
      <c r="M2508" s="1751"/>
      <c r="N2508" s="1752"/>
      <c r="O2508" s="485"/>
      <c r="P2508" s="9">
        <v>0</v>
      </c>
      <c r="Q2508" s="1435"/>
      <c r="S2508" s="1435"/>
      <c r="T2508" s="1435"/>
      <c r="U2508" s="1435"/>
      <c r="V2508" s="1435"/>
      <c r="W2508" s="1435"/>
      <c r="X2508" s="1435"/>
      <c r="Y2508" s="1435"/>
      <c r="Z2508" s="1435"/>
      <c r="AB2508" s="1641" t="s">
        <v>717</v>
      </c>
      <c r="AC2508" s="1443" t="b">
        <f>AC2499</f>
        <v>0</v>
      </c>
      <c r="AD2508" s="1443" t="b">
        <f t="shared" ref="AD2508:AI2508" si="1176">AD2499</f>
        <v>0</v>
      </c>
      <c r="AE2508" s="1443" t="b">
        <f t="shared" si="1176"/>
        <v>0</v>
      </c>
      <c r="AF2508" s="1443" t="b">
        <f t="shared" si="1176"/>
        <v>0</v>
      </c>
      <c r="AG2508" s="1443" t="b">
        <f t="shared" si="1176"/>
        <v>0</v>
      </c>
      <c r="AH2508" s="1443" t="b">
        <f t="shared" si="1176"/>
        <v>0</v>
      </c>
      <c r="AI2508" s="1443" t="b">
        <f t="shared" si="1176"/>
        <v>0</v>
      </c>
      <c r="AJ2508" s="1633" t="s">
        <v>1954</v>
      </c>
      <c r="AK2508" s="1635" t="str">
        <f>IF(AND(CNTR_ExistSubInstEntries,MSconst_RequireSubAttrEmissions,COUNTIFS(AC2508:AI2508,FALSE,H2508:N2508,"")&gt;0),EUconst_Error&amp;"BM"&amp;$Q2267,"")</f>
        <v/>
      </c>
    </row>
    <row r="2509" spans="2:37" ht="12.75" customHeight="1">
      <c r="B2509" s="479"/>
      <c r="C2509" s="977"/>
      <c r="D2509" s="777" t="s">
        <v>791</v>
      </c>
      <c r="E2509" s="2473" t="s">
        <v>661</v>
      </c>
      <c r="F2509" s="2474"/>
      <c r="G2509" s="1008" t="e">
        <f>IF(ISBLANK(G2508),EUconst_GJperUnit,INDEX(EUconst_GJperTorKNm3,MATCH(G2508,EUconst_TonnesOrkNm3pa,0)))</f>
        <v>#N/A</v>
      </c>
      <c r="H2509" s="1558" t="str">
        <f>c_ALR2025!M5055</f>
        <v/>
      </c>
      <c r="I2509" s="1884"/>
      <c r="J2509" s="1811"/>
      <c r="K2509" s="1751"/>
      <c r="L2509" s="1751"/>
      <c r="M2509" s="1751"/>
      <c r="N2509" s="1752"/>
      <c r="O2509" s="485"/>
      <c r="P2509" s="9">
        <v>0</v>
      </c>
      <c r="S2509" s="1435"/>
      <c r="T2509" s="1435"/>
      <c r="U2509" s="1435"/>
      <c r="V2509" s="1435"/>
      <c r="W2509" s="1435"/>
      <c r="X2509" s="1435"/>
      <c r="Y2509" s="1435"/>
      <c r="Z2509" s="1435"/>
      <c r="AC2509" s="1443" t="b">
        <f>AC2508</f>
        <v>0</v>
      </c>
      <c r="AD2509" s="1443" t="b">
        <f t="shared" ref="AD2509:AI2509" si="1177">AD2508</f>
        <v>0</v>
      </c>
      <c r="AE2509" s="1443" t="b">
        <f t="shared" si="1177"/>
        <v>0</v>
      </c>
      <c r="AF2509" s="1443" t="b">
        <f t="shared" si="1177"/>
        <v>0</v>
      </c>
      <c r="AG2509" s="1443" t="b">
        <f t="shared" si="1177"/>
        <v>0</v>
      </c>
      <c r="AH2509" s="1443" t="b">
        <f t="shared" si="1177"/>
        <v>0</v>
      </c>
      <c r="AI2509" s="1443" t="b">
        <f t="shared" si="1177"/>
        <v>0</v>
      </c>
      <c r="AJ2509" s="1633" t="s">
        <v>1954</v>
      </c>
      <c r="AK2509" s="1635" t="str">
        <f>IF(AND(CNTR_ExistSubInstEntries,MSconst_RequireSubAttrEmissions,COUNTIFS(AC2509:AI2509,FALSE,H2509:N2509,"")&gt;0),EUconst_Error&amp;"BM"&amp;$Q2267,"")</f>
        <v/>
      </c>
    </row>
    <row r="2510" spans="2:37" ht="12.75" customHeight="1">
      <c r="B2510" s="479"/>
      <c r="C2510" s="977"/>
      <c r="D2510" s="777" t="s">
        <v>64</v>
      </c>
      <c r="E2510" s="2475" t="s">
        <v>1309</v>
      </c>
      <c r="F2510" s="2410"/>
      <c r="G2510" s="815" t="str">
        <f>EUconst_TJpa</f>
        <v>TJ / year</v>
      </c>
      <c r="H2510" s="1005" t="str">
        <f t="shared" ref="H2510:N2510" si="1178">IF(COUNT(H2508:H2509)=2,H2508*H2509/1000,"")</f>
        <v/>
      </c>
      <c r="I2510" s="1006" t="str">
        <f t="shared" si="1178"/>
        <v/>
      </c>
      <c r="J2510" s="1811" t="str">
        <f t="shared" si="1178"/>
        <v/>
      </c>
      <c r="K2510" s="1751" t="str">
        <f t="shared" si="1178"/>
        <v/>
      </c>
      <c r="L2510" s="1751" t="str">
        <f t="shared" si="1178"/>
        <v/>
      </c>
      <c r="M2510" s="1751" t="str">
        <f t="shared" si="1178"/>
        <v/>
      </c>
      <c r="N2510" s="1752" t="str">
        <f t="shared" si="1178"/>
        <v/>
      </c>
      <c r="O2510" s="485"/>
      <c r="P2510" s="485"/>
      <c r="Q2510" s="1644" t="str">
        <f>EUconst_CNTR_WGConsumed &amp; I2267</f>
        <v>WasteGasCons_</v>
      </c>
      <c r="S2510" s="1435"/>
      <c r="T2510" s="1435"/>
      <c r="U2510" s="1435"/>
      <c r="V2510" s="1435"/>
      <c r="W2510" s="1435"/>
      <c r="X2510" s="1435"/>
      <c r="Y2510" s="1435"/>
      <c r="Z2510" s="1435"/>
    </row>
    <row r="2511" spans="2:37" ht="12.75" customHeight="1">
      <c r="B2511" s="479"/>
      <c r="C2511" s="977"/>
      <c r="D2511" s="777" t="s">
        <v>65</v>
      </c>
      <c r="E2511" s="2475" t="s">
        <v>1307</v>
      </c>
      <c r="F2511" s="2410"/>
      <c r="G2511" s="815" t="str">
        <f>EUconst_tCO2pTJ</f>
        <v>t CO2 / TJ</v>
      </c>
      <c r="H2511" s="1479" t="str">
        <f>c_ALR2025!M5057</f>
        <v/>
      </c>
      <c r="I2511" s="1532"/>
      <c r="J2511" s="1811"/>
      <c r="K2511" s="1751"/>
      <c r="L2511" s="1751"/>
      <c r="M2511" s="1751"/>
      <c r="N2511" s="1752"/>
      <c r="O2511" s="485"/>
      <c r="P2511" s="9">
        <v>0</v>
      </c>
      <c r="Q2511" s="1644" t="str">
        <f>EUconst_CNTR_WGConsumedEF &amp; I2267</f>
        <v>WasteGasConsEF_</v>
      </c>
      <c r="S2511" s="1435"/>
      <c r="T2511" s="1435"/>
      <c r="U2511" s="1435"/>
      <c r="V2511" s="1435"/>
      <c r="W2511" s="1435"/>
      <c r="X2511" s="1435"/>
      <c r="Y2511" s="1435"/>
      <c r="Z2511" s="1435"/>
      <c r="AB2511" s="1641" t="s">
        <v>717</v>
      </c>
      <c r="AC2511" s="1443" t="b">
        <f>AC2509</f>
        <v>0</v>
      </c>
      <c r="AD2511" s="1443" t="b">
        <f t="shared" ref="AD2511:AI2511" si="1179">AD2509</f>
        <v>0</v>
      </c>
      <c r="AE2511" s="1443" t="b">
        <f t="shared" si="1179"/>
        <v>0</v>
      </c>
      <c r="AF2511" s="1443" t="b">
        <f t="shared" si="1179"/>
        <v>0</v>
      </c>
      <c r="AG2511" s="1443" t="b">
        <f t="shared" si="1179"/>
        <v>0</v>
      </c>
      <c r="AH2511" s="1443" t="b">
        <f t="shared" si="1179"/>
        <v>0</v>
      </c>
      <c r="AI2511" s="1443" t="b">
        <f t="shared" si="1179"/>
        <v>0</v>
      </c>
      <c r="AJ2511" s="1633" t="s">
        <v>1954</v>
      </c>
      <c r="AK2511" s="1635" t="str">
        <f>IF(AND(CNTR_ExistSubInstEntries,MSconst_RequireSubAttrEmissions,COUNTIFS(AC2511:AI2511,FALSE,H2511:N2511,"")&gt;0),EUconst_Error&amp;"BM"&amp;$Q2267,"")</f>
        <v/>
      </c>
    </row>
    <row r="2512" spans="2:37" ht="12.75" customHeight="1">
      <c r="B2512" s="479"/>
      <c r="C2512" s="977"/>
      <c r="D2512" s="981"/>
      <c r="E2512" s="981"/>
      <c r="F2512" s="981"/>
      <c r="G2512" s="981"/>
      <c r="H2512" s="983"/>
      <c r="I2512" s="981"/>
      <c r="J2512" s="981"/>
      <c r="K2512" s="981"/>
      <c r="L2512" s="981"/>
      <c r="M2512" s="813"/>
      <c r="N2512" s="814"/>
      <c r="O2512" s="485"/>
      <c r="P2512" s="485"/>
      <c r="Q2512" s="1435"/>
      <c r="S2512" s="1435"/>
      <c r="T2512" s="1435"/>
      <c r="U2512" s="1435"/>
      <c r="V2512" s="1435"/>
    </row>
    <row r="2513" spans="1:37" ht="12.75" customHeight="1">
      <c r="B2513" s="479"/>
      <c r="C2513" s="977"/>
      <c r="D2513" s="777" t="s">
        <v>66</v>
      </c>
      <c r="E2513" s="2649" t="s">
        <v>1287</v>
      </c>
      <c r="F2513" s="2391"/>
      <c r="G2513" s="2391"/>
      <c r="H2513" s="2512"/>
      <c r="I2513" s="3211" t="str">
        <f>c_ALR2025!I5059</f>
        <v/>
      </c>
      <c r="J2513" s="3206"/>
      <c r="K2513" s="3206"/>
      <c r="L2513" s="3206"/>
      <c r="M2513" s="3207"/>
      <c r="N2513" s="979"/>
      <c r="O2513" s="485"/>
      <c r="P2513" s="9"/>
      <c r="Q2513" s="1435"/>
      <c r="S2513" s="1435"/>
      <c r="AC2513" s="1641" t="s">
        <v>717</v>
      </c>
      <c r="AD2513" s="1443" t="b">
        <f>AD2504</f>
        <v>0</v>
      </c>
    </row>
    <row r="2514" spans="1:37" ht="12.75" customHeight="1">
      <c r="B2514" s="479"/>
      <c r="C2514" s="977"/>
      <c r="D2514" s="777"/>
      <c r="E2514" s="3267" t="s">
        <v>1476</v>
      </c>
      <c r="F2514" s="2380"/>
      <c r="G2514" s="2380"/>
      <c r="H2514" s="2380"/>
      <c r="I2514" s="2380"/>
      <c r="J2514" s="2380"/>
      <c r="K2514" s="2380"/>
      <c r="L2514" s="2380"/>
      <c r="M2514" s="2380"/>
      <c r="N2514" s="3268"/>
      <c r="O2514" s="485"/>
      <c r="P2514" s="485"/>
      <c r="Q2514" s="1435"/>
      <c r="T2514" s="1435"/>
      <c r="U2514" s="1435"/>
      <c r="V2514" s="1435"/>
    </row>
    <row r="2515" spans="1:37" ht="12.75" customHeight="1">
      <c r="B2515" s="479"/>
      <c r="C2515" s="977"/>
      <c r="D2515" s="981"/>
      <c r="E2515" s="3267" t="s">
        <v>1558</v>
      </c>
      <c r="F2515" s="2380"/>
      <c r="G2515" s="2380"/>
      <c r="H2515" s="2380"/>
      <c r="I2515" s="2380"/>
      <c r="J2515" s="2380"/>
      <c r="K2515" s="2380"/>
      <c r="L2515" s="2380"/>
      <c r="M2515" s="2380"/>
      <c r="N2515" s="3268"/>
      <c r="O2515" s="485"/>
      <c r="P2515" s="485"/>
      <c r="Q2515" s="1435"/>
      <c r="S2515" s="1435"/>
      <c r="T2515" s="1435"/>
      <c r="U2515" s="1435"/>
      <c r="V2515" s="1435"/>
    </row>
    <row r="2516" spans="1:37" ht="12.75" customHeight="1">
      <c r="B2516" s="479"/>
      <c r="C2516" s="977"/>
      <c r="D2516" s="981"/>
      <c r="E2516" s="3272" t="s">
        <v>1559</v>
      </c>
      <c r="F2516" s="2380"/>
      <c r="G2516" s="2380"/>
      <c r="H2516" s="2380"/>
      <c r="I2516" s="2380"/>
      <c r="J2516" s="2380"/>
      <c r="K2516" s="2380"/>
      <c r="L2516" s="2380"/>
      <c r="M2516" s="2380"/>
      <c r="N2516" s="3268"/>
      <c r="O2516" s="485"/>
      <c r="P2516" s="485"/>
      <c r="Q2516" s="1435"/>
      <c r="S2516" s="1435"/>
      <c r="T2516" s="1435"/>
      <c r="U2516" s="1435"/>
      <c r="V2516" s="1435"/>
      <c r="W2516" s="1435"/>
      <c r="X2516" s="1435"/>
      <c r="Y2516" s="1435"/>
      <c r="Z2516" s="1435"/>
    </row>
    <row r="2517" spans="1:37" ht="12.75" customHeight="1" thickBot="1">
      <c r="B2517" s="479"/>
      <c r="C2517" s="977"/>
      <c r="D2517" s="981"/>
      <c r="E2517" s="989"/>
      <c r="F2517" s="990"/>
      <c r="G2517" s="987" t="str">
        <f>EUconst_Unit</f>
        <v>Unit</v>
      </c>
      <c r="H2517" s="782">
        <f t="shared" ref="H2517:N2517" si="1180">H$3242</f>
        <v>2024</v>
      </c>
      <c r="I2517" s="988">
        <f t="shared" si="1180"/>
        <v>2025</v>
      </c>
      <c r="J2517" s="1810">
        <f t="shared" si="1180"/>
        <v>2026</v>
      </c>
      <c r="K2517" s="1747">
        <f t="shared" si="1180"/>
        <v>2027</v>
      </c>
      <c r="L2517" s="1747">
        <f t="shared" si="1180"/>
        <v>2028</v>
      </c>
      <c r="M2517" s="1747">
        <f t="shared" si="1180"/>
        <v>2029</v>
      </c>
      <c r="N2517" s="1748">
        <f t="shared" si="1180"/>
        <v>2030</v>
      </c>
      <c r="O2517" s="485"/>
      <c r="P2517" s="485"/>
      <c r="Q2517" s="1435"/>
      <c r="S2517" s="1435"/>
      <c r="T2517" s="1435"/>
      <c r="U2517" s="1435"/>
      <c r="V2517" s="1435"/>
      <c r="W2517" s="1435"/>
      <c r="X2517" s="1435"/>
      <c r="Y2517" s="1435"/>
      <c r="Z2517" s="1435"/>
      <c r="AC2517" s="1638">
        <f t="shared" ref="AC2517:AI2517" si="1181">H$20</f>
        <v>2024</v>
      </c>
      <c r="AD2517" s="1638">
        <f t="shared" si="1181"/>
        <v>2025</v>
      </c>
      <c r="AE2517" s="1638">
        <f t="shared" si="1181"/>
        <v>2026</v>
      </c>
      <c r="AF2517" s="1638">
        <f t="shared" si="1181"/>
        <v>2027</v>
      </c>
      <c r="AG2517" s="1638">
        <f t="shared" si="1181"/>
        <v>2028</v>
      </c>
      <c r="AH2517" s="1638">
        <f t="shared" si="1181"/>
        <v>2029</v>
      </c>
      <c r="AI2517" s="1638">
        <f t="shared" si="1181"/>
        <v>2030</v>
      </c>
    </row>
    <row r="2518" spans="1:37" ht="12.75" customHeight="1">
      <c r="B2518" s="479"/>
      <c r="C2518" s="977"/>
      <c r="D2518" s="777" t="s">
        <v>1105</v>
      </c>
      <c r="E2518" s="2471" t="s">
        <v>1302</v>
      </c>
      <c r="F2518" s="2472"/>
      <c r="G2518" s="1763" t="str">
        <f>c_ALR2025!G5064</f>
        <v/>
      </c>
      <c r="H2518" s="1552" t="str">
        <f>c_ALR2025!M5064</f>
        <v/>
      </c>
      <c r="I2518" s="1611"/>
      <c r="J2518" s="1811"/>
      <c r="K2518" s="1751"/>
      <c r="L2518" s="1751"/>
      <c r="M2518" s="1751"/>
      <c r="N2518" s="1752"/>
      <c r="O2518" s="485"/>
      <c r="P2518" s="9"/>
      <c r="Q2518" s="1435"/>
      <c r="S2518" s="1435"/>
      <c r="T2518" s="1435"/>
      <c r="U2518" s="1435"/>
      <c r="V2518" s="1435"/>
      <c r="W2518" s="1435"/>
      <c r="X2518" s="1435"/>
      <c r="Y2518" s="1435"/>
      <c r="Z2518" s="1435"/>
      <c r="AB2518" s="1641" t="s">
        <v>717</v>
      </c>
      <c r="AC2518" s="1443" t="b">
        <f>AC2508</f>
        <v>0</v>
      </c>
      <c r="AD2518" s="1443" t="b">
        <f t="shared" ref="AD2518:AI2518" si="1182">AD2508</f>
        <v>0</v>
      </c>
      <c r="AE2518" s="1443" t="b">
        <f t="shared" si="1182"/>
        <v>0</v>
      </c>
      <c r="AF2518" s="1443" t="b">
        <f t="shared" si="1182"/>
        <v>0</v>
      </c>
      <c r="AG2518" s="1443" t="b">
        <f t="shared" si="1182"/>
        <v>0</v>
      </c>
      <c r="AH2518" s="1443" t="b">
        <f t="shared" si="1182"/>
        <v>0</v>
      </c>
      <c r="AI2518" s="1443" t="b">
        <f t="shared" si="1182"/>
        <v>0</v>
      </c>
      <c r="AJ2518" s="1633" t="s">
        <v>1954</v>
      </c>
      <c r="AK2518" s="1635" t="str">
        <f>IF(AND(CNTR_ExistSubInstEntries,MSconst_RequireSubAttrEmissions,COUNTIFS(AC2518:AI2518,FALSE,H2518:N2518,"")&gt;0),EUconst_Error&amp;"BM"&amp;$Q2267,"")</f>
        <v/>
      </c>
    </row>
    <row r="2519" spans="1:37" ht="12.75" customHeight="1">
      <c r="B2519" s="479"/>
      <c r="C2519" s="977"/>
      <c r="D2519" s="777" t="s">
        <v>1106</v>
      </c>
      <c r="E2519" s="2473" t="s">
        <v>661</v>
      </c>
      <c r="F2519" s="2474"/>
      <c r="G2519" s="1008" t="e">
        <f>IF(ISBLANK(G2518),EUconst_GJperUnit,INDEX(EUconst_GJperTorKNm3,MATCH(G2518,EUconst_TonnesOrkNm3pa,0)))</f>
        <v>#N/A</v>
      </c>
      <c r="H2519" s="1558" t="str">
        <f>c_ALR2025!M5065</f>
        <v/>
      </c>
      <c r="I2519" s="1884"/>
      <c r="J2519" s="1811"/>
      <c r="K2519" s="1751"/>
      <c r="L2519" s="1751"/>
      <c r="M2519" s="1751"/>
      <c r="N2519" s="1752"/>
      <c r="O2519" s="485"/>
      <c r="P2519" s="9"/>
      <c r="S2519" s="1435"/>
      <c r="T2519" s="1435"/>
      <c r="U2519" s="1435"/>
      <c r="V2519" s="1435"/>
      <c r="W2519" s="1435"/>
      <c r="X2519" s="1435"/>
      <c r="Y2519" s="1435"/>
      <c r="Z2519" s="1435"/>
      <c r="AC2519" s="1443" t="b">
        <f>AC2518</f>
        <v>0</v>
      </c>
      <c r="AD2519" s="1443" t="b">
        <f t="shared" ref="AD2519:AI2519" si="1183">AD2518</f>
        <v>0</v>
      </c>
      <c r="AE2519" s="1443" t="b">
        <f t="shared" si="1183"/>
        <v>0</v>
      </c>
      <c r="AF2519" s="1443" t="b">
        <f t="shared" si="1183"/>
        <v>0</v>
      </c>
      <c r="AG2519" s="1443" t="b">
        <f t="shared" si="1183"/>
        <v>0</v>
      </c>
      <c r="AH2519" s="1443" t="b">
        <f t="shared" si="1183"/>
        <v>0</v>
      </c>
      <c r="AI2519" s="1443" t="b">
        <f t="shared" si="1183"/>
        <v>0</v>
      </c>
      <c r="AJ2519" s="1633" t="s">
        <v>1954</v>
      </c>
      <c r="AK2519" s="1635" t="str">
        <f>IF(AND(CNTR_ExistSubInstEntries,MSconst_RequireSubAttrEmissions,COUNTIFS(AC2519:AI2519,FALSE,H2519:N2519,"")&gt;0),EUconst_Error&amp;"BM"&amp;$Q2267,"")</f>
        <v/>
      </c>
    </row>
    <row r="2520" spans="1:37" ht="12.75" customHeight="1">
      <c r="B2520" s="479"/>
      <c r="C2520" s="977"/>
      <c r="D2520" s="777" t="s">
        <v>1107</v>
      </c>
      <c r="E2520" s="2475" t="s">
        <v>1288</v>
      </c>
      <c r="F2520" s="2410"/>
      <c r="G2520" s="815" t="str">
        <f>EUconst_TJpa</f>
        <v>TJ / year</v>
      </c>
      <c r="H2520" s="1005" t="str">
        <f t="shared" ref="H2520:N2520" si="1184">IF(COUNT(H2518:H2519)=2,H2518*H2519/1000,"")</f>
        <v/>
      </c>
      <c r="I2520" s="1006" t="str">
        <f t="shared" si="1184"/>
        <v/>
      </c>
      <c r="J2520" s="1811" t="str">
        <f t="shared" si="1184"/>
        <v/>
      </c>
      <c r="K2520" s="1751" t="str">
        <f t="shared" si="1184"/>
        <v/>
      </c>
      <c r="L2520" s="1751" t="str">
        <f t="shared" si="1184"/>
        <v/>
      </c>
      <c r="M2520" s="1751" t="str">
        <f t="shared" si="1184"/>
        <v/>
      </c>
      <c r="N2520" s="1752" t="str">
        <f t="shared" si="1184"/>
        <v/>
      </c>
      <c r="O2520" s="485"/>
      <c r="P2520" s="485"/>
      <c r="Q2520" s="1644" t="str">
        <f>EUconst_CNTR_WGFlared &amp; I2267</f>
        <v>WasteGasFlare_</v>
      </c>
      <c r="S2520" s="1435"/>
      <c r="T2520" s="1435"/>
      <c r="U2520" s="1435"/>
      <c r="V2520" s="1435"/>
      <c r="W2520" s="1435"/>
      <c r="X2520" s="1435"/>
      <c r="Y2520" s="1435"/>
      <c r="Z2520" s="1435"/>
    </row>
    <row r="2521" spans="1:37" ht="12.75" customHeight="1">
      <c r="B2521" s="479"/>
      <c r="C2521" s="977"/>
      <c r="D2521" s="777" t="s">
        <v>1108</v>
      </c>
      <c r="E2521" s="2475" t="s">
        <v>1308</v>
      </c>
      <c r="F2521" s="2410"/>
      <c r="G2521" s="815" t="str">
        <f>EUconst_tCO2pTJ</f>
        <v>t CO2 / TJ</v>
      </c>
      <c r="H2521" s="1479" t="str">
        <f>c_ALR2025!M5067</f>
        <v/>
      </c>
      <c r="I2521" s="1532"/>
      <c r="J2521" s="1811"/>
      <c r="K2521" s="1751"/>
      <c r="L2521" s="1751"/>
      <c r="M2521" s="1751"/>
      <c r="N2521" s="1752"/>
      <c r="O2521" s="485"/>
      <c r="P2521" s="9"/>
      <c r="Q2521" s="1644" t="str">
        <f>EUconst_CNTR_WGFlaredEF &amp; I2267</f>
        <v>WasteGasFlareEF_</v>
      </c>
      <c r="S2521" s="1435"/>
      <c r="T2521" s="1435"/>
      <c r="U2521" s="1435"/>
      <c r="V2521" s="1435"/>
      <c r="W2521" s="1435"/>
      <c r="X2521" s="1435"/>
      <c r="Y2521" s="1435"/>
      <c r="Z2521" s="1435"/>
      <c r="AB2521" s="1641" t="s">
        <v>717</v>
      </c>
      <c r="AC2521" s="1443" t="b">
        <f>AC2519</f>
        <v>0</v>
      </c>
      <c r="AD2521" s="1443" t="b">
        <f t="shared" ref="AD2521:AI2521" si="1185">AD2519</f>
        <v>0</v>
      </c>
      <c r="AE2521" s="1443" t="b">
        <f t="shared" si="1185"/>
        <v>0</v>
      </c>
      <c r="AF2521" s="1443" t="b">
        <f t="shared" si="1185"/>
        <v>0</v>
      </c>
      <c r="AG2521" s="1443" t="b">
        <f t="shared" si="1185"/>
        <v>0</v>
      </c>
      <c r="AH2521" s="1443" t="b">
        <f t="shared" si="1185"/>
        <v>0</v>
      </c>
      <c r="AI2521" s="1443" t="b">
        <f t="shared" si="1185"/>
        <v>0</v>
      </c>
      <c r="AJ2521" s="1633" t="s">
        <v>1954</v>
      </c>
      <c r="AK2521" s="1635" t="str">
        <f>IF(AND(CNTR_ExistSubInstEntries,MSconst_RequireSubAttrEmissions,COUNTIFS(AC2521:AI2521,FALSE,H2521:N2521,"")&gt;0),EUconst_Error&amp;"BM"&amp;$Q2267,"")</f>
        <v/>
      </c>
    </row>
    <row r="2522" spans="1:37" ht="5.0999999999999996" customHeight="1" thickBot="1">
      <c r="B2522" s="479"/>
      <c r="C2522" s="977"/>
      <c r="D2522" s="981"/>
      <c r="E2522" s="981"/>
      <c r="F2522" s="981"/>
      <c r="G2522" s="981"/>
      <c r="H2522" s="983"/>
      <c r="I2522" s="981"/>
      <c r="J2522" s="1815"/>
      <c r="K2522" s="1760"/>
      <c r="L2522" s="1760"/>
      <c r="M2522" s="1760"/>
      <c r="N2522" s="1761"/>
      <c r="O2522" s="485"/>
      <c r="P2522" s="485"/>
      <c r="Q2522" s="1435"/>
      <c r="S2522" s="1435"/>
      <c r="T2522" s="1435"/>
      <c r="U2522" s="1435"/>
      <c r="V2522" s="1435"/>
    </row>
    <row r="2523" spans="1:37" ht="12.75" customHeight="1" thickBot="1">
      <c r="B2523" s="479"/>
      <c r="C2523" s="977"/>
      <c r="D2523" s="981"/>
      <c r="E2523" s="2475" t="s">
        <v>1844</v>
      </c>
      <c r="F2523" s="2475"/>
      <c r="G2523" s="1009" t="str">
        <f>EUconst_tCO2</f>
        <v>t CO2</v>
      </c>
      <c r="H2523" s="638" t="str">
        <f t="shared" ref="H2523:N2523" si="1186">IF(T2275,SUM(H2520)*SUM(H2521),"")</f>
        <v/>
      </c>
      <c r="I2523" s="684" t="str">
        <f t="shared" si="1186"/>
        <v/>
      </c>
      <c r="J2523" s="1815" t="str">
        <f t="shared" si="1186"/>
        <v/>
      </c>
      <c r="K2523" s="1760" t="str">
        <f t="shared" si="1186"/>
        <v/>
      </c>
      <c r="L2523" s="1760" t="str">
        <f t="shared" si="1186"/>
        <v/>
      </c>
      <c r="M2523" s="1760" t="str">
        <f t="shared" si="1186"/>
        <v/>
      </c>
      <c r="N2523" s="1761" t="str">
        <f t="shared" si="1186"/>
        <v/>
      </c>
      <c r="O2523" s="485"/>
      <c r="P2523" s="485"/>
      <c r="Q2523" s="1644" t="str">
        <f>EUconst_CNTR_HAL &amp; EUconst_CNTR_WGFlared &amp; I2267</f>
        <v>HAL_WasteGasFlare_</v>
      </c>
      <c r="S2523" s="1633" t="s">
        <v>1758</v>
      </c>
      <c r="T2523" s="1629" t="b">
        <f>CNTR_SubPeriod=2</f>
        <v>1</v>
      </c>
      <c r="U2523" s="1435"/>
      <c r="V2523" s="1435"/>
    </row>
    <row r="2524" spans="1:37" ht="5.0999999999999996" customHeight="1" thickBot="1">
      <c r="B2524" s="479"/>
      <c r="C2524" s="977"/>
      <c r="D2524" s="981"/>
      <c r="E2524" s="981"/>
      <c r="F2524" s="981"/>
      <c r="G2524" s="981"/>
      <c r="H2524" s="983"/>
      <c r="I2524" s="981"/>
      <c r="J2524" s="981"/>
      <c r="K2524" s="981"/>
      <c r="L2524" s="981"/>
      <c r="M2524" s="813"/>
      <c r="N2524" s="814"/>
      <c r="O2524" s="485"/>
      <c r="P2524" s="485"/>
      <c r="Q2524" s="1435"/>
      <c r="S2524" s="1435"/>
      <c r="T2524" s="1435"/>
      <c r="U2524" s="1435"/>
      <c r="V2524" s="1435"/>
    </row>
    <row r="2525" spans="1:37" ht="5.0999999999999996" customHeight="1" thickBot="1">
      <c r="B2525" s="479"/>
      <c r="C2525" s="977"/>
      <c r="D2525" s="1010"/>
      <c r="E2525" s="1011"/>
      <c r="F2525" s="1011"/>
      <c r="G2525" s="1011"/>
      <c r="H2525" s="1012"/>
      <c r="I2525" s="1011"/>
      <c r="J2525" s="1765"/>
      <c r="K2525" s="1760"/>
      <c r="L2525" s="1760"/>
      <c r="M2525" s="1760"/>
      <c r="N2525" s="1761"/>
      <c r="O2525" s="485"/>
      <c r="P2525" s="485"/>
      <c r="Q2525" s="1435"/>
      <c r="S2525" s="1435"/>
      <c r="T2525" s="1435"/>
      <c r="U2525" s="1435"/>
      <c r="V2525" s="1435"/>
    </row>
    <row r="2526" spans="1:37" ht="12.75" customHeight="1">
      <c r="B2526" s="479"/>
      <c r="C2526" s="977"/>
      <c r="D2526" s="907" t="s">
        <v>1917</v>
      </c>
      <c r="E2526" s="2713" t="s">
        <v>1773</v>
      </c>
      <c r="F2526" s="2493"/>
      <c r="G2526" s="2493"/>
      <c r="H2526" s="910" t="str">
        <f>EUconst_Unit</f>
        <v>Unit</v>
      </c>
      <c r="I2526" s="911" t="s">
        <v>2213</v>
      </c>
      <c r="J2526" s="1647">
        <f>J$3242</f>
        <v>2026</v>
      </c>
      <c r="K2526" s="1747">
        <f>K$3242</f>
        <v>2027</v>
      </c>
      <c r="L2526" s="1747">
        <f>L$3242</f>
        <v>2028</v>
      </c>
      <c r="M2526" s="1747">
        <f>M$3242</f>
        <v>2029</v>
      </c>
      <c r="N2526" s="1748">
        <f>N$3242</f>
        <v>2030</v>
      </c>
      <c r="O2526" s="485"/>
      <c r="P2526" s="485"/>
      <c r="Q2526" s="1435"/>
      <c r="U2526" s="1648"/>
      <c r="V2526" s="1649">
        <f>J2526</f>
        <v>2026</v>
      </c>
      <c r="W2526" s="1649">
        <f>K2526</f>
        <v>2027</v>
      </c>
      <c r="X2526" s="1649">
        <f>L2526</f>
        <v>2028</v>
      </c>
      <c r="Y2526" s="1649">
        <f>M2526</f>
        <v>2029</v>
      </c>
      <c r="Z2526" s="1650">
        <f>N2526</f>
        <v>2030</v>
      </c>
    </row>
    <row r="2527" spans="1:37" ht="12.75" customHeight="1">
      <c r="B2527" s="479"/>
      <c r="C2527" s="977"/>
      <c r="D2527" s="915" t="s">
        <v>6</v>
      </c>
      <c r="E2527" s="2714" t="s">
        <v>1691</v>
      </c>
      <c r="F2527" s="2410"/>
      <c r="G2527" s="2410"/>
      <c r="H2527" s="944" t="str">
        <f>G2523</f>
        <v>t CO2</v>
      </c>
      <c r="I2527" s="917" t="str">
        <f>INDEX('B+C_SubInstallations'!$K:$K,MATCH(Q2527,'B+C_SubInstallations'!$V:$V,0))</f>
        <v/>
      </c>
      <c r="J2527" s="1703" t="str">
        <f>IF($T2523&lt;&gt;TRUE,"",IF(AND(V2527&gt;=3,CNTR_ReportingYear&gt;J2526-1),AVERAGE(SUM(H2523),SUM(I2523)),""))</f>
        <v/>
      </c>
      <c r="K2527" s="1766" t="str">
        <f>IF($T2523&lt;&gt;TRUE,"",IF(AND(W2527&gt;=3,CNTR_ReportingYear&gt;K2526-1),AVERAGE(SUM(I2523),SUM(J2523)),""))</f>
        <v/>
      </c>
      <c r="L2527" s="1766" t="str">
        <f>IF($T2523&lt;&gt;TRUE,"",IF(AND(X2527&gt;=3,CNTR_ReportingYear&gt;L2526-1),AVERAGE(SUM(J2523),SUM(K2523)),""))</f>
        <v/>
      </c>
      <c r="M2527" s="1766" t="str">
        <f>IF($T2523&lt;&gt;TRUE,"",IF(AND(Y2527&gt;=3,CNTR_ReportingYear&gt;M2526-1),AVERAGE(SUM(K2523),SUM(L2523)),""))</f>
        <v/>
      </c>
      <c r="N2527" s="1767" t="str">
        <f>IF($T2523&lt;&gt;TRUE,"",IF(AND(Z2527&gt;=3,CNTR_ReportingYear&gt;N2526-1),AVERAGE(SUM(L2523),SUM(M2523)),""))</f>
        <v/>
      </c>
      <c r="O2527" s="485"/>
      <c r="P2527" s="485"/>
      <c r="Q2527" s="1644" t="str">
        <f>EUconst_CNTR_HALinitial &amp; EUconst_CNTR_WGFlared &amp; I2267</f>
        <v>HALini_WasteGasFlare_</v>
      </c>
      <c r="U2527" s="1693" t="s">
        <v>1650</v>
      </c>
      <c r="V2527" s="1635">
        <f>V2289</f>
        <v>0</v>
      </c>
      <c r="W2527" s="1635">
        <f>W2289</f>
        <v>0</v>
      </c>
      <c r="X2527" s="1635">
        <f>X2289</f>
        <v>0</v>
      </c>
      <c r="Y2527" s="1635">
        <f>Y2289</f>
        <v>0</v>
      </c>
      <c r="Z2527" s="1654">
        <f>Z2289</f>
        <v>0</v>
      </c>
    </row>
    <row r="2528" spans="1:37" ht="12.75" hidden="1" customHeight="1">
      <c r="A2528" s="618" t="s">
        <v>2289</v>
      </c>
      <c r="B2528" s="479"/>
      <c r="C2528" s="977"/>
      <c r="D2528" s="915"/>
      <c r="E2528" s="2714" t="s">
        <v>1776</v>
      </c>
      <c r="F2528" s="2410"/>
      <c r="G2528" s="2410"/>
      <c r="H2528" s="921"/>
      <c r="I2528" s="1657"/>
      <c r="J2528" s="17" t="str">
        <f>IF(J2527="","",IF($I2530=0,IF(J2527=0,0%,100%),J2527/$I2530-1))</f>
        <v/>
      </c>
      <c r="K2528" s="18" t="str">
        <f>IF(K2527="","",IF($I2530=0,IF(K2527=0,0%,100%),K2527/$I2530-1))</f>
        <v/>
      </c>
      <c r="L2528" s="18" t="str">
        <f>IF(L2527="","",IF($I2530=0,IF(L2527=0,0%,100%),L2527/$I2530-1))</f>
        <v/>
      </c>
      <c r="M2528" s="18" t="str">
        <f>IF(M2527="","",IF($I2530=0,IF(M2527=0,0%,100%),M2527/$I2530-1))</f>
        <v/>
      </c>
      <c r="N2528" s="38" t="str">
        <f>IF(N2527="","",IF($I2530=0,IF(N2527=0,0%,100%),N2527/$I2530-1))</f>
        <v/>
      </c>
      <c r="O2528" s="485"/>
      <c r="P2528" s="485"/>
      <c r="Q2528" s="1644" t="str">
        <f>EUconst_CNTR_RelThreshold &amp; Q2530</f>
        <v>RelThresh_HALprelim_WasteGasFlare_</v>
      </c>
      <c r="U2528" s="1693" t="s">
        <v>1655</v>
      </c>
      <c r="V2528" s="1158" t="str">
        <f>IF(J2527="","",ABS(J2528)&gt;15%)</f>
        <v/>
      </c>
      <c r="W2528" s="1158" t="str">
        <f>IF(K2527="","",ABS(K2528)&gt;15%)</f>
        <v/>
      </c>
      <c r="X2528" s="1158" t="str">
        <f>IF(L2527="","",ABS(L2528)&gt;15%)</f>
        <v/>
      </c>
      <c r="Y2528" s="1158" t="str">
        <f>IF(M2527="","",ABS(M2528)&gt;15%)</f>
        <v/>
      </c>
      <c r="Z2528" s="1656" t="str">
        <f>IF(N2527="","",ABS(N2528)&gt;15%)</f>
        <v/>
      </c>
    </row>
    <row r="2529" spans="1:37" ht="12.75" customHeight="1">
      <c r="A2529" s="618"/>
      <c r="B2529" s="479"/>
      <c r="C2529" s="977"/>
      <c r="D2529" s="915" t="s">
        <v>7</v>
      </c>
      <c r="E2529" s="2714" t="s">
        <v>1654</v>
      </c>
      <c r="F2529" s="2410"/>
      <c r="G2529" s="2410"/>
      <c r="H2529" s="921"/>
      <c r="I2529" s="1657"/>
      <c r="J2529" s="1658" t="str">
        <f>IF(J2527="","",IF(V2528=FALSE,0%,J2528))</f>
        <v/>
      </c>
      <c r="K2529" s="1768" t="str">
        <f>IF(K2527="","",IF(W2528=FALSE,0%,K2528))</f>
        <v/>
      </c>
      <c r="L2529" s="1768" t="str">
        <f>IF(L2527="","",IF(X2528=FALSE,0%,L2528))</f>
        <v/>
      </c>
      <c r="M2529" s="1768" t="str">
        <f>IF(M2527="","",IF(Y2528=FALSE,0%,M2528))</f>
        <v/>
      </c>
      <c r="N2529" s="1769" t="str">
        <f>IF(N2527="","",IF(Z2528=FALSE,0%,N2528))</f>
        <v/>
      </c>
      <c r="O2529" s="485"/>
      <c r="P2529" s="485"/>
      <c r="Q2529" s="1435"/>
      <c r="U2529" s="1694"/>
      <c r="Z2529" s="1664"/>
    </row>
    <row r="2530" spans="1:37" ht="12.75" hidden="1" customHeight="1">
      <c r="A2530" s="618" t="s">
        <v>2289</v>
      </c>
      <c r="B2530" s="479"/>
      <c r="C2530" s="977"/>
      <c r="D2530" s="915"/>
      <c r="E2530" s="2714" t="s">
        <v>1689</v>
      </c>
      <c r="F2530" s="2410"/>
      <c r="G2530" s="2410"/>
      <c r="H2530" s="944" t="str">
        <f>H2527</f>
        <v>t CO2</v>
      </c>
      <c r="I2530" s="917" t="str">
        <f>IF($I2267="","",IF(AB2267=FALSE,EUconst_NA,IF(V2267&gt;($J$3242-3),INDEX(H2523:N2523,MATCH(V2267,H2517:N2517,0)),SUM(I2527))))</f>
        <v/>
      </c>
      <c r="J2530" s="1651" t="str">
        <f>IF($I2267="","",IF(V2527&lt;2,SUM(J2523),IF(V2527&lt;3,SUM(I2523),IF(V2530="",I2530,V2530))))</f>
        <v/>
      </c>
      <c r="K2530" s="1766" t="str">
        <f>IF($I2267="","",IF(W2527&lt;2,SUM(K2523),IF(W2527&lt;3,SUM(J2523),IF(W2530="",J2530,W2530))))</f>
        <v/>
      </c>
      <c r="L2530" s="1766" t="str">
        <f>IF($I2267="","",IF(X2527&lt;2,SUM(L2523),IF(X2527&lt;3,SUM(K2523),IF(X2530="",K2530,X2530))))</f>
        <v/>
      </c>
      <c r="M2530" s="1766" t="str">
        <f>IF($I2267="","",IF(Y2527&lt;2,SUM(M2523),IF(Y2527&lt;3,SUM(L2523),IF(Y2530="",L2530,Y2530))))</f>
        <v/>
      </c>
      <c r="N2530" s="1767" t="str">
        <f>IF($I2267="","",IF(Z2527&lt;2,SUM(N2523),IF(Z2527&lt;3,SUM(M2523),IF(Z2530="",M2530,Z2530))))</f>
        <v/>
      </c>
      <c r="O2530" s="485"/>
      <c r="P2530" s="485"/>
      <c r="Q2530" s="1644" t="str">
        <f>EUconst_CNTR_HALprelim&amp;EUconst_CNTR_WGFlared &amp; I2267</f>
        <v>HALprelim_WasteGasFlare_</v>
      </c>
      <c r="U2530" s="1693" t="s">
        <v>1697</v>
      </c>
      <c r="V2530" s="1660" t="str">
        <f>IF(J2527="","",IF(CNTR_ReportingYear&lt;J2526,I2529,IF($I2530=0,J2527,$I2530*(1+J2529))))</f>
        <v/>
      </c>
      <c r="W2530" s="1660" t="str">
        <f>IF(K2527="","",IF(CNTR_ReportingYear&lt;K2526,J2529,IF($I2530=0,K2527,$I2530*(1+K2529))))</f>
        <v/>
      </c>
      <c r="X2530" s="1660" t="str">
        <f>IF(L2527="","",IF(CNTR_ReportingYear&lt;L2526,K2529,IF($I2530=0,L2527,$I2530*(1+L2529))))</f>
        <v/>
      </c>
      <c r="Y2530" s="1660" t="str">
        <f>IF(M2527="","",IF(CNTR_ReportingYear&lt;M2526,L2529,IF($I2530=0,M2527,$I2530*(1+M2529))))</f>
        <v/>
      </c>
      <c r="Z2530" s="1661" t="str">
        <f>IF(N2527="","",IF(CNTR_ReportingYear&lt;N2526,M2529,IF($I2530=0,N2527,$I2530*(1+N2529))))</f>
        <v/>
      </c>
    </row>
    <row r="2531" spans="1:37" ht="5.0999999999999996" customHeight="1">
      <c r="A2531" s="618"/>
      <c r="B2531" s="479"/>
      <c r="C2531" s="977"/>
      <c r="D2531" s="915"/>
      <c r="E2531" s="909"/>
      <c r="F2531" s="909"/>
      <c r="G2531" s="909"/>
      <c r="H2531" s="909"/>
      <c r="I2531" s="909"/>
      <c r="J2531" s="922"/>
      <c r="K2531" s="1760"/>
      <c r="L2531" s="1760"/>
      <c r="M2531" s="1760"/>
      <c r="N2531" s="1761"/>
      <c r="O2531" s="485"/>
      <c r="P2531" s="485"/>
      <c r="Q2531" s="1435"/>
      <c r="U2531" s="1663"/>
      <c r="V2531" s="1435"/>
      <c r="Z2531" s="1664"/>
    </row>
    <row r="2532" spans="1:37" ht="12.75" customHeight="1">
      <c r="A2532" s="618"/>
      <c r="B2532" s="479"/>
      <c r="C2532" s="977"/>
      <c r="D2532" s="915"/>
      <c r="E2532" s="2713" t="s">
        <v>1653</v>
      </c>
      <c r="F2532" s="2493"/>
      <c r="G2532" s="2493"/>
      <c r="H2532" s="2493"/>
      <c r="I2532" s="2708"/>
      <c r="J2532" s="1647">
        <f>J$3242</f>
        <v>2026</v>
      </c>
      <c r="K2532" s="1747">
        <f>K$3242</f>
        <v>2027</v>
      </c>
      <c r="L2532" s="1747">
        <f>L$3242</f>
        <v>2028</v>
      </c>
      <c r="M2532" s="1747">
        <f>M$3242</f>
        <v>2029</v>
      </c>
      <c r="N2532" s="1748">
        <f>N$3242</f>
        <v>2030</v>
      </c>
      <c r="O2532" s="485"/>
      <c r="P2532" s="485"/>
      <c r="Q2532" s="1435"/>
      <c r="U2532" s="1665"/>
      <c r="Z2532" s="1664"/>
    </row>
    <row r="2533" spans="1:37" ht="12.75" customHeight="1">
      <c r="A2533" s="618"/>
      <c r="B2533" s="479"/>
      <c r="C2533" s="977"/>
      <c r="D2533" s="915" t="s">
        <v>8</v>
      </c>
      <c r="E2533" s="2714" t="s">
        <v>2108</v>
      </c>
      <c r="F2533" s="2410"/>
      <c r="G2533" s="2410"/>
      <c r="H2533" s="2410"/>
      <c r="I2533" s="2715"/>
      <c r="J2533" s="1666" t="str">
        <f>IF($I2267="","",INDEX(K_Summary!J:J,MATCH($Q2533,K_Summary!$P:$P,0)))</f>
        <v/>
      </c>
      <c r="K2533" s="1760" t="str">
        <f>IF($I2267="","",INDEX(K_Summary!K:K,MATCH($Q2533,K_Summary!$P:$P,0)))</f>
        <v/>
      </c>
      <c r="L2533" s="1760" t="str">
        <f>IF($I2267="","",INDEX(K_Summary!L:L,MATCH($Q2533,K_Summary!$P:$P,0)))</f>
        <v/>
      </c>
      <c r="M2533" s="1760" t="str">
        <f>IF($I2267="","",INDEX(K_Summary!M:M,MATCH($Q2533,K_Summary!$P:$P,0)))</f>
        <v/>
      </c>
      <c r="N2533" s="1761" t="str">
        <f>IF($I2267="","",INDEX(K_Summary!N:N,MATCH($Q2533,K_Summary!$P:$P,0)))</f>
        <v/>
      </c>
      <c r="O2533" s="485"/>
      <c r="P2533" s="485"/>
      <c r="Q2533" s="1644" t="str">
        <f>EUconst_CNTR_100EUA_WGFlare&amp;I2267</f>
        <v>EUA100WGFlare_</v>
      </c>
      <c r="U2533" s="1665"/>
      <c r="Z2533" s="1664"/>
    </row>
    <row r="2534" spans="1:37" ht="5.0999999999999996" customHeight="1" thickBot="1">
      <c r="A2534" s="618"/>
      <c r="B2534" s="479"/>
      <c r="C2534" s="977"/>
      <c r="D2534" s="915"/>
      <c r="E2534" s="909"/>
      <c r="F2534" s="909"/>
      <c r="G2534" s="909"/>
      <c r="H2534" s="909"/>
      <c r="I2534" s="909"/>
      <c r="J2534" s="922"/>
      <c r="K2534" s="1760"/>
      <c r="L2534" s="1760"/>
      <c r="M2534" s="1760"/>
      <c r="N2534" s="1761"/>
      <c r="O2534" s="485"/>
      <c r="P2534" s="485"/>
      <c r="Q2534" s="1435"/>
      <c r="U2534" s="1663"/>
      <c r="V2534" s="1435"/>
      <c r="Z2534" s="1664"/>
    </row>
    <row r="2535" spans="1:37" ht="12.75" customHeight="1" thickBot="1">
      <c r="B2535" s="479"/>
      <c r="C2535" s="977"/>
      <c r="D2535" s="915" t="s">
        <v>18</v>
      </c>
      <c r="E2535" s="2714" t="s">
        <v>1657</v>
      </c>
      <c r="F2535" s="2410"/>
      <c r="G2535" s="2410"/>
      <c r="H2535" s="2410"/>
      <c r="I2535" s="2715"/>
      <c r="J2535" s="1668" t="str">
        <f>IF(J2533="","",IF(OR(J2533,V2527&lt;1),J2529,I2535))</f>
        <v/>
      </c>
      <c r="K2535" s="1770" t="str">
        <f>IF(K2533="","",IF(OR(K2533,W2527&lt;1),K2529,J2535))</f>
        <v/>
      </c>
      <c r="L2535" s="1770" t="str">
        <f>IF(L2533="","",IF(OR(L2533,X2527&lt;1),L2529,K2535))</f>
        <v/>
      </c>
      <c r="M2535" s="1770" t="str">
        <f>IF(M2533="","",IF(OR(M2533,Y2527&lt;1),M2529,L2535))</f>
        <v/>
      </c>
      <c r="N2535" s="1771" t="str">
        <f>IF(N2533="","",IF(OR(N2533,Z2527&lt;1),N2529,M2535))</f>
        <v/>
      </c>
      <c r="O2535" s="485"/>
      <c r="P2535" s="485"/>
      <c r="Q2535" s="1435"/>
      <c r="U2535" s="1663" t="s">
        <v>1658</v>
      </c>
      <c r="V2535" s="1670">
        <f>J2532</f>
        <v>2026</v>
      </c>
      <c r="W2535" s="1670">
        <f>K2532</f>
        <v>2027</v>
      </c>
      <c r="X2535" s="1670">
        <f>L2532</f>
        <v>2028</v>
      </c>
      <c r="Y2535" s="1670">
        <f>M2532</f>
        <v>2029</v>
      </c>
      <c r="Z2535" s="1671">
        <f>N2532</f>
        <v>2030</v>
      </c>
    </row>
    <row r="2536" spans="1:37" ht="12.75" customHeight="1" thickBot="1">
      <c r="A2536" s="618"/>
      <c r="B2536" s="479"/>
      <c r="C2536" s="977"/>
      <c r="D2536" s="915" t="s">
        <v>787</v>
      </c>
      <c r="E2536" s="2714" t="s">
        <v>1659</v>
      </c>
      <c r="F2536" s="2410"/>
      <c r="G2536" s="2410"/>
      <c r="H2536" s="944" t="str">
        <f>H2527</f>
        <v>t CO2</v>
      </c>
      <c r="I2536" s="917" t="str">
        <f>I2530</f>
        <v/>
      </c>
      <c r="J2536" s="1672" t="str">
        <f>IF($I2267="","",IF(OR($I2536=0,$I2536=EUconst_NA),IF(OR(J2533=TRUE,J2532=$V2267),J2530,SUM(I2536)),IF(J2535="",J2530,$I2536*(1+SUM(J2535)))))</f>
        <v/>
      </c>
      <c r="K2536" s="1772" t="str">
        <f>IF($I2267="","",IF(OR($I2536=0,$I2536=EUconst_NA),IF(OR(K2533=TRUE,K2532=$V2267),K2530,SUM(J2536)),IF(K2535="",K2530,$I2536*(1+SUM(K2535)))))</f>
        <v/>
      </c>
      <c r="L2536" s="1772" t="str">
        <f>IF($I2267="","",IF(OR($I2536=0,$I2536=EUconst_NA),IF(OR(L2533=TRUE,L2532=$V2267),L2530,SUM(K2536)),IF(L2535="",L2530,$I2536*(1+SUM(L2535)))))</f>
        <v/>
      </c>
      <c r="M2536" s="1772" t="str">
        <f>IF($I2267="","",IF(OR($I2536=0,$I2536=EUconst_NA),IF(OR(M2533=TRUE,M2532=$V2267),M2530,SUM(L2536)),IF(M2535="",M2530,$I2536*(1+SUM(M2535)))))</f>
        <v/>
      </c>
      <c r="N2536" s="1773" t="str">
        <f>IF($I2267="","",IF(OR($I2536=0,$I2536=EUconst_NA),IF(OR(N2533=TRUE,N2532=$V2267),N2530,SUM(M2536)),IF(N2535="",N2530,$I2536*(1+SUM(N2535)))))</f>
        <v/>
      </c>
      <c r="O2536" s="485"/>
      <c r="P2536" s="485"/>
      <c r="Q2536" s="1644" t="str">
        <f>EUconst_CNTR_HALfinal&amp;EUconst_CNTR_WGFlared &amp; I2267</f>
        <v>HALfinal_WasteGasFlare_</v>
      </c>
      <c r="U2536" s="1674" t="b">
        <v>0</v>
      </c>
      <c r="V2536" s="1675" t="str">
        <f>IF(V2486,IF(J2533=TRUE,V2275,U2536),"")</f>
        <v/>
      </c>
      <c r="W2536" s="1675" t="str">
        <f>IF(W2486,IF(K2533=TRUE,W2275,V2536),"")</f>
        <v/>
      </c>
      <c r="X2536" s="1675" t="str">
        <f>IF(X2486,IF(L2533=TRUE,X2275,W2536),"")</f>
        <v/>
      </c>
      <c r="Y2536" s="1675" t="str">
        <f>IF(Y2486,IF(M2533=TRUE,Y2275,X2536),"")</f>
        <v/>
      </c>
      <c r="Z2536" s="1676" t="str">
        <f>IF(Z2486,IF(N2533=TRUE,Z2275,Y2536),"")</f>
        <v/>
      </c>
      <c r="AJ2536" s="1633" t="s">
        <v>1951</v>
      </c>
      <c r="AK2536" s="1443" t="str">
        <f>IF(OR(ISERROR(J2536),ISERROR(K2536),ISERROR(L2536),ISERROR(M2536),ISERROR(N2536)),EUconst_Error &amp; "BM" &amp; Q2267,"")</f>
        <v/>
      </c>
    </row>
    <row r="2537" spans="1:37" ht="5.0999999999999996" customHeight="1" thickBot="1">
      <c r="B2537" s="479"/>
      <c r="C2537" s="977"/>
      <c r="D2537" s="946"/>
      <c r="E2537" s="947"/>
      <c r="F2537" s="947"/>
      <c r="G2537" s="947"/>
      <c r="H2537" s="1014"/>
      <c r="I2537" s="947"/>
      <c r="J2537" s="1700"/>
      <c r="K2537" s="1760"/>
      <c r="L2537" s="1760"/>
      <c r="M2537" s="1760"/>
      <c r="N2537" s="1761"/>
      <c r="O2537" s="485"/>
      <c r="P2537" s="485"/>
      <c r="Q2537" s="1435"/>
      <c r="S2537" s="1435"/>
      <c r="T2537" s="1435"/>
      <c r="U2537" s="1435"/>
      <c r="V2537" s="1435"/>
    </row>
    <row r="2538" spans="1:37" ht="5.0999999999999996" customHeight="1">
      <c r="B2538" s="479"/>
      <c r="C2538" s="977"/>
      <c r="D2538" s="981"/>
      <c r="E2538" s="981"/>
      <c r="F2538" s="981"/>
      <c r="G2538" s="981"/>
      <c r="H2538" s="983"/>
      <c r="I2538" s="981"/>
      <c r="J2538" s="981"/>
      <c r="K2538" s="981"/>
      <c r="L2538" s="981"/>
      <c r="M2538" s="813"/>
      <c r="N2538" s="814"/>
      <c r="O2538" s="485"/>
      <c r="P2538" s="485"/>
      <c r="Q2538" s="1435"/>
      <c r="S2538" s="1435"/>
      <c r="T2538" s="1435"/>
      <c r="U2538" s="1435"/>
      <c r="V2538" s="1435"/>
    </row>
    <row r="2539" spans="1:37" ht="12.75" customHeight="1">
      <c r="B2539" s="479"/>
      <c r="C2539" s="977"/>
      <c r="D2539" s="777" t="s">
        <v>1109</v>
      </c>
      <c r="E2539" s="2649" t="s">
        <v>1218</v>
      </c>
      <c r="F2539" s="2391"/>
      <c r="G2539" s="2391"/>
      <c r="H2539" s="2512"/>
      <c r="I2539" s="3211" t="str">
        <f>c_ALR2025!I5085</f>
        <v/>
      </c>
      <c r="J2539" s="3206"/>
      <c r="K2539" s="3206"/>
      <c r="L2539" s="3206"/>
      <c r="M2539" s="3207"/>
      <c r="N2539" s="814"/>
      <c r="O2539" s="485"/>
      <c r="P2539" s="9"/>
      <c r="Q2539" s="1435"/>
      <c r="S2539" s="1435"/>
      <c r="AC2539" s="1641" t="s">
        <v>717</v>
      </c>
      <c r="AD2539" s="1443" t="b">
        <f>AD2513</f>
        <v>0</v>
      </c>
    </row>
    <row r="2540" spans="1:37" ht="12.75" customHeight="1">
      <c r="B2540" s="479"/>
      <c r="C2540" s="977"/>
      <c r="D2540" s="777"/>
      <c r="E2540" s="3272" t="s">
        <v>2298</v>
      </c>
      <c r="F2540" s="2380"/>
      <c r="G2540" s="2380"/>
      <c r="H2540" s="2380"/>
      <c r="I2540" s="2380"/>
      <c r="J2540" s="2380"/>
      <c r="K2540" s="2380"/>
      <c r="L2540" s="2380"/>
      <c r="M2540" s="2380"/>
      <c r="N2540" s="3268"/>
      <c r="O2540" s="485"/>
      <c r="P2540" s="485"/>
      <c r="Q2540" s="1435"/>
      <c r="S2540" s="1435"/>
      <c r="T2540" s="1435"/>
      <c r="U2540" s="1435"/>
      <c r="V2540" s="1435"/>
    </row>
    <row r="2541" spans="1:37" ht="25.5" customHeight="1">
      <c r="B2541" s="479"/>
      <c r="C2541" s="977"/>
      <c r="D2541" s="777"/>
      <c r="E2541" s="3267" t="s">
        <v>1560</v>
      </c>
      <c r="F2541" s="2380"/>
      <c r="G2541" s="2380"/>
      <c r="H2541" s="2380"/>
      <c r="I2541" s="2380"/>
      <c r="J2541" s="2380"/>
      <c r="K2541" s="2380"/>
      <c r="L2541" s="2380"/>
      <c r="M2541" s="2380"/>
      <c r="N2541" s="3268"/>
      <c r="O2541" s="485"/>
      <c r="P2541" s="485"/>
      <c r="Q2541" s="1435"/>
      <c r="S2541" s="1435"/>
      <c r="T2541" s="1435"/>
      <c r="U2541" s="1435"/>
      <c r="V2541" s="1435"/>
    </row>
    <row r="2542" spans="1:37" ht="12.75" customHeight="1" thickBot="1">
      <c r="B2542" s="479"/>
      <c r="C2542" s="977"/>
      <c r="D2542" s="981"/>
      <c r="E2542" s="989"/>
      <c r="F2542" s="990"/>
      <c r="G2542" s="987" t="str">
        <f>EUconst_Unit</f>
        <v>Unit</v>
      </c>
      <c r="H2542" s="782">
        <f t="shared" ref="H2542:N2542" si="1187">H$3242</f>
        <v>2024</v>
      </c>
      <c r="I2542" s="988">
        <f t="shared" si="1187"/>
        <v>2025</v>
      </c>
      <c r="J2542" s="1810">
        <f t="shared" si="1187"/>
        <v>2026</v>
      </c>
      <c r="K2542" s="1747">
        <f t="shared" si="1187"/>
        <v>2027</v>
      </c>
      <c r="L2542" s="1747">
        <f t="shared" si="1187"/>
        <v>2028</v>
      </c>
      <c r="M2542" s="1747">
        <f t="shared" si="1187"/>
        <v>2029</v>
      </c>
      <c r="N2542" s="1748">
        <f t="shared" si="1187"/>
        <v>2030</v>
      </c>
      <c r="O2542" s="485"/>
      <c r="P2542" s="485"/>
      <c r="Q2542" s="1435"/>
      <c r="S2542" s="1435"/>
      <c r="T2542" s="1435"/>
      <c r="U2542" s="1435"/>
      <c r="V2542" s="1435"/>
      <c r="AC2542" s="1638">
        <f t="shared" ref="AC2542:AI2542" si="1188">H$20</f>
        <v>2024</v>
      </c>
      <c r="AD2542" s="1638">
        <f t="shared" si="1188"/>
        <v>2025</v>
      </c>
      <c r="AE2542" s="1638">
        <f t="shared" si="1188"/>
        <v>2026</v>
      </c>
      <c r="AF2542" s="1638">
        <f t="shared" si="1188"/>
        <v>2027</v>
      </c>
      <c r="AG2542" s="1638">
        <f t="shared" si="1188"/>
        <v>2028</v>
      </c>
      <c r="AH2542" s="1638">
        <f t="shared" si="1188"/>
        <v>2029</v>
      </c>
      <c r="AI2542" s="1638">
        <f t="shared" si="1188"/>
        <v>2030</v>
      </c>
    </row>
    <row r="2543" spans="1:37" ht="12.75" customHeight="1" thickBot="1">
      <c r="B2543" s="479"/>
      <c r="C2543" s="977"/>
      <c r="D2543" s="777" t="s">
        <v>1110</v>
      </c>
      <c r="E2543" s="2471" t="s">
        <v>1303</v>
      </c>
      <c r="F2543" s="2472"/>
      <c r="G2543" s="1763" t="str">
        <f>c_ALR2025!G5089</f>
        <v/>
      </c>
      <c r="H2543" s="1552" t="str">
        <f>c_ALR2025!M5089</f>
        <v/>
      </c>
      <c r="I2543" s="1611"/>
      <c r="J2543" s="1811"/>
      <c r="K2543" s="1751"/>
      <c r="L2543" s="1751"/>
      <c r="M2543" s="1751"/>
      <c r="N2543" s="1752"/>
      <c r="O2543" s="485"/>
      <c r="P2543" s="9"/>
      <c r="Q2543" s="1435"/>
      <c r="S2543" s="1435"/>
      <c r="T2543" s="1435"/>
      <c r="U2543" s="1435"/>
      <c r="V2543" s="1435"/>
      <c r="AB2543" s="1641" t="s">
        <v>717</v>
      </c>
      <c r="AC2543" s="1443" t="b">
        <f t="shared" ref="AC2543:AI2543" si="1189">AC2499</f>
        <v>0</v>
      </c>
      <c r="AD2543" s="1443" t="b">
        <f t="shared" si="1189"/>
        <v>0</v>
      </c>
      <c r="AE2543" s="1443" t="b">
        <f t="shared" si="1189"/>
        <v>0</v>
      </c>
      <c r="AF2543" s="1443" t="b">
        <f t="shared" si="1189"/>
        <v>0</v>
      </c>
      <c r="AG2543" s="1443" t="b">
        <f t="shared" si="1189"/>
        <v>0</v>
      </c>
      <c r="AH2543" s="1443" t="b">
        <f t="shared" si="1189"/>
        <v>0</v>
      </c>
      <c r="AI2543" s="1443" t="b">
        <f t="shared" si="1189"/>
        <v>0</v>
      </c>
      <c r="AJ2543" s="1633" t="s">
        <v>1954</v>
      </c>
      <c r="AK2543" s="1635" t="str">
        <f>IF(AND(CNTR_ExistSubInstEntries,MSconst_RequireSubAttrEmissions,COUNTIFS(AC2543:AI2543,FALSE,H2543:N2543,"")&gt;0),EUconst_Error&amp;"BM"&amp;$Q2267,"")</f>
        <v/>
      </c>
    </row>
    <row r="2544" spans="1:37" ht="12.75" customHeight="1">
      <c r="B2544" s="479"/>
      <c r="C2544" s="977"/>
      <c r="D2544" s="777" t="s">
        <v>1111</v>
      </c>
      <c r="E2544" s="2473" t="s">
        <v>661</v>
      </c>
      <c r="F2544" s="2474"/>
      <c r="G2544" s="1008" t="e">
        <f>IF(ISBLANK(G2543),EUconst_GJperUnit,INDEX(EUconst_GJperTorKNm3,MATCH(G2543,EUconst_TonnesOrkNm3pa,0)))</f>
        <v>#N/A</v>
      </c>
      <c r="H2544" s="1558" t="str">
        <f>c_ALR2025!M5090</f>
        <v/>
      </c>
      <c r="I2544" s="1884"/>
      <c r="J2544" s="1811"/>
      <c r="K2544" s="1751"/>
      <c r="L2544" s="1751"/>
      <c r="M2544" s="1751"/>
      <c r="N2544" s="1752"/>
      <c r="O2544" s="485"/>
      <c r="P2544" s="9"/>
      <c r="Q2544" s="1435"/>
      <c r="S2544" s="1648"/>
      <c r="T2544" s="1749">
        <f t="shared" ref="T2544:Z2544" si="1190">H2542</f>
        <v>2024</v>
      </c>
      <c r="U2544" s="1749">
        <f t="shared" si="1190"/>
        <v>2025</v>
      </c>
      <c r="V2544" s="1749">
        <f t="shared" si="1190"/>
        <v>2026</v>
      </c>
      <c r="W2544" s="1749">
        <f t="shared" si="1190"/>
        <v>2027</v>
      </c>
      <c r="X2544" s="1749">
        <f t="shared" si="1190"/>
        <v>2028</v>
      </c>
      <c r="Y2544" s="1749">
        <f t="shared" si="1190"/>
        <v>2029</v>
      </c>
      <c r="Z2544" s="1750">
        <f t="shared" si="1190"/>
        <v>2030</v>
      </c>
      <c r="AC2544" s="1443" t="b">
        <f>AC2543</f>
        <v>0</v>
      </c>
      <c r="AD2544" s="1443" t="b">
        <f t="shared" ref="AD2544:AI2544" si="1191">AD2543</f>
        <v>0</v>
      </c>
      <c r="AE2544" s="1443" t="b">
        <f t="shared" si="1191"/>
        <v>0</v>
      </c>
      <c r="AF2544" s="1443" t="b">
        <f t="shared" si="1191"/>
        <v>0</v>
      </c>
      <c r="AG2544" s="1443" t="b">
        <f t="shared" si="1191"/>
        <v>0</v>
      </c>
      <c r="AH2544" s="1443" t="b">
        <f t="shared" si="1191"/>
        <v>0</v>
      </c>
      <c r="AI2544" s="1443" t="b">
        <f t="shared" si="1191"/>
        <v>0</v>
      </c>
      <c r="AJ2544" s="1633" t="s">
        <v>1954</v>
      </c>
      <c r="AK2544" s="1635" t="str">
        <f>IF(AND(CNTR_ExistSubInstEntries,MSconst_RequireSubAttrEmissions,COUNTIFS(AC2544:AI2544,FALSE,H2544:N2544,"")&gt;0),EUconst_Error&amp;"BM"&amp;$Q2267,"")</f>
        <v/>
      </c>
    </row>
    <row r="2545" spans="1:42" ht="12.75" customHeight="1">
      <c r="B2545" s="479"/>
      <c r="C2545" s="977"/>
      <c r="D2545" s="777" t="s">
        <v>1112</v>
      </c>
      <c r="E2545" s="2475" t="s">
        <v>1102</v>
      </c>
      <c r="F2545" s="2410"/>
      <c r="G2545" s="815" t="str">
        <f>EUconst_TJpa</f>
        <v>TJ / year</v>
      </c>
      <c r="H2545" s="646" t="str">
        <f t="shared" ref="H2545:N2545" si="1192">IF(COUNT(H2543:H2544)=2,H2543*H2544/1000,"")</f>
        <v/>
      </c>
      <c r="I2545" s="949" t="str">
        <f t="shared" si="1192"/>
        <v/>
      </c>
      <c r="J2545" s="1811" t="str">
        <f t="shared" si="1192"/>
        <v/>
      </c>
      <c r="K2545" s="1751" t="str">
        <f t="shared" si="1192"/>
        <v/>
      </c>
      <c r="L2545" s="1751" t="str">
        <f t="shared" si="1192"/>
        <v/>
      </c>
      <c r="M2545" s="1751" t="str">
        <f t="shared" si="1192"/>
        <v/>
      </c>
      <c r="N2545" s="1752" t="str">
        <f t="shared" si="1192"/>
        <v/>
      </c>
      <c r="O2545" s="485"/>
      <c r="P2545" s="485"/>
      <c r="Q2545" s="1644" t="str">
        <f>EUconst_CNTR_WGImport &amp; I2267</f>
        <v>WasteGasIm_</v>
      </c>
      <c r="S2545" s="1874" t="str">
        <f>EUconst_ERR_AttrEmBMapplied &amp; I2267</f>
        <v>ERR_AttrEmBM_</v>
      </c>
      <c r="T2545" s="1443">
        <f t="shared" ref="T2545:Z2545" si="1193">IF(AND(H2545&lt;&gt;"",EUconst_StatusOfDataCollection=FALSE),1,0)</f>
        <v>0</v>
      </c>
      <c r="U2545" s="1443">
        <f t="shared" si="1193"/>
        <v>0</v>
      </c>
      <c r="V2545" s="1443">
        <f t="shared" si="1193"/>
        <v>0</v>
      </c>
      <c r="W2545" s="1443">
        <f t="shared" si="1193"/>
        <v>0</v>
      </c>
      <c r="X2545" s="1443">
        <f t="shared" si="1193"/>
        <v>0</v>
      </c>
      <c r="Y2545" s="1443">
        <f t="shared" si="1193"/>
        <v>0</v>
      </c>
      <c r="Z2545" s="1737">
        <f t="shared" si="1193"/>
        <v>0</v>
      </c>
    </row>
    <row r="2546" spans="1:42" s="562" customFormat="1" ht="12.75" customHeight="1" thickBot="1">
      <c r="A2546" s="618"/>
      <c r="B2546" s="479"/>
      <c r="C2546" s="977"/>
      <c r="D2546" s="777" t="s">
        <v>1113</v>
      </c>
      <c r="E2546" s="2475" t="s">
        <v>1275</v>
      </c>
      <c r="F2546" s="2410"/>
      <c r="G2546" s="815" t="str">
        <f>EUconst_tCO2pTJ</f>
        <v>t CO2 / TJ</v>
      </c>
      <c r="H2546" s="1479" t="str">
        <f>c_ALR2025!M5092</f>
        <v/>
      </c>
      <c r="I2546" s="1532"/>
      <c r="J2546" s="1811"/>
      <c r="K2546" s="1751"/>
      <c r="L2546" s="1751"/>
      <c r="M2546" s="1751"/>
      <c r="N2546" s="1752"/>
      <c r="O2546" s="485"/>
      <c r="P2546" s="9"/>
      <c r="Q2546" s="1644" t="str">
        <f>EUconst_CNTR_WGImportEF &amp; I2267</f>
        <v>WasteGasImEF_</v>
      </c>
      <c r="R2546" s="1435"/>
      <c r="S2546" s="1753" t="str">
        <f>EUconst_CNTR_AttributedEmissions &amp; I2267</f>
        <v>AttrEmissions_</v>
      </c>
      <c r="T2546" s="1743" t="str">
        <f t="shared" ref="T2546:Z2546" si="1194">IF(T2275,SUM(H2545)*EUconst_FuelBMvalue,"")</f>
        <v/>
      </c>
      <c r="U2546" s="1743" t="str">
        <f t="shared" si="1194"/>
        <v/>
      </c>
      <c r="V2546" s="1743" t="str">
        <f t="shared" si="1194"/>
        <v/>
      </c>
      <c r="W2546" s="1743" t="str">
        <f t="shared" si="1194"/>
        <v/>
      </c>
      <c r="X2546" s="1743" t="str">
        <f t="shared" si="1194"/>
        <v/>
      </c>
      <c r="Y2546" s="1743" t="str">
        <f t="shared" si="1194"/>
        <v/>
      </c>
      <c r="Z2546" s="1744" t="str">
        <f t="shared" si="1194"/>
        <v/>
      </c>
      <c r="AA2546" s="1435"/>
      <c r="AB2546" s="1641" t="s">
        <v>717</v>
      </c>
      <c r="AC2546" s="1443" t="b">
        <f>AC2544</f>
        <v>0</v>
      </c>
      <c r="AD2546" s="1443" t="b">
        <f t="shared" ref="AD2546:AI2546" si="1195">AD2544</f>
        <v>0</v>
      </c>
      <c r="AE2546" s="1443" t="b">
        <f t="shared" si="1195"/>
        <v>0</v>
      </c>
      <c r="AF2546" s="1443" t="b">
        <f t="shared" si="1195"/>
        <v>0</v>
      </c>
      <c r="AG2546" s="1443" t="b">
        <f t="shared" si="1195"/>
        <v>0</v>
      </c>
      <c r="AH2546" s="1443" t="b">
        <f t="shared" si="1195"/>
        <v>0</v>
      </c>
      <c r="AI2546" s="1443" t="b">
        <f t="shared" si="1195"/>
        <v>0</v>
      </c>
      <c r="AJ2546" s="1633" t="s">
        <v>1954</v>
      </c>
      <c r="AK2546" s="1635" t="str">
        <f>IF(AND(CNTR_ExistSubInstEntries,MSconst_RequireSubAttrEmissions,COUNTIFS(AC2546:AI2546,FALSE,H2546:N2546,"")&gt;0),EUconst_Error&amp;"BM"&amp;$Q2267,"")</f>
        <v/>
      </c>
      <c r="AL2546" s="1198"/>
      <c r="AP2546" s="1135"/>
    </row>
    <row r="2547" spans="1:42" ht="12.75" customHeight="1">
      <c r="B2547" s="479"/>
      <c r="C2547" s="977"/>
      <c r="D2547" s="981"/>
      <c r="E2547" s="981"/>
      <c r="F2547" s="981"/>
      <c r="G2547" s="981"/>
      <c r="H2547" s="983"/>
      <c r="I2547" s="981"/>
      <c r="J2547" s="981"/>
      <c r="K2547" s="981"/>
      <c r="L2547" s="981"/>
      <c r="M2547" s="813"/>
      <c r="N2547" s="814"/>
      <c r="O2547" s="485"/>
      <c r="P2547" s="485"/>
      <c r="Q2547" s="1435"/>
      <c r="S2547" s="1435"/>
      <c r="T2547" s="1435"/>
      <c r="U2547" s="1435"/>
      <c r="V2547" s="1435"/>
    </row>
    <row r="2548" spans="1:42" ht="12.75" customHeight="1">
      <c r="B2548" s="479"/>
      <c r="C2548" s="977"/>
      <c r="D2548" s="777" t="s">
        <v>1114</v>
      </c>
      <c r="E2548" s="2649" t="s">
        <v>1217</v>
      </c>
      <c r="F2548" s="2391"/>
      <c r="G2548" s="2391"/>
      <c r="H2548" s="2512"/>
      <c r="I2548" s="3211" t="str">
        <f>c_ALR2025!I5094</f>
        <v/>
      </c>
      <c r="J2548" s="3206"/>
      <c r="K2548" s="3206"/>
      <c r="L2548" s="3206"/>
      <c r="M2548" s="3207"/>
      <c r="N2548" s="979"/>
      <c r="O2548" s="485"/>
      <c r="P2548" s="9"/>
      <c r="Q2548" s="1435"/>
      <c r="S2548" s="1435"/>
      <c r="AC2548" s="1641" t="s">
        <v>717</v>
      </c>
      <c r="AD2548" s="1443" t="b">
        <f>AD2539</f>
        <v>0</v>
      </c>
    </row>
    <row r="2549" spans="1:42" ht="12.75" customHeight="1">
      <c r="B2549" s="479"/>
      <c r="C2549" s="977"/>
      <c r="D2549" s="777"/>
      <c r="E2549" s="3272" t="s">
        <v>2298</v>
      </c>
      <c r="F2549" s="2380"/>
      <c r="G2549" s="2380"/>
      <c r="H2549" s="2380"/>
      <c r="I2549" s="2380"/>
      <c r="J2549" s="2380"/>
      <c r="K2549" s="2380"/>
      <c r="L2549" s="2380"/>
      <c r="M2549" s="2380"/>
      <c r="N2549" s="3268"/>
      <c r="O2549" s="485"/>
      <c r="P2549" s="485"/>
      <c r="Q2549" s="1435"/>
      <c r="S2549" s="1435"/>
      <c r="T2549" s="1435"/>
      <c r="U2549" s="1435"/>
      <c r="V2549" s="1435"/>
    </row>
    <row r="2550" spans="1:42" ht="25.5" customHeight="1">
      <c r="B2550" s="479"/>
      <c r="C2550" s="977"/>
      <c r="D2550" s="777"/>
      <c r="E2550" s="3267" t="s">
        <v>1317</v>
      </c>
      <c r="F2550" s="2380"/>
      <c r="G2550" s="2380"/>
      <c r="H2550" s="2380"/>
      <c r="I2550" s="2380"/>
      <c r="J2550" s="2380"/>
      <c r="K2550" s="2380"/>
      <c r="L2550" s="2380"/>
      <c r="M2550" s="2380"/>
      <c r="N2550" s="3268"/>
      <c r="O2550" s="485"/>
      <c r="P2550" s="485"/>
      <c r="Q2550" s="1435"/>
      <c r="S2550" s="1435"/>
      <c r="T2550" s="1435"/>
      <c r="U2550" s="1435"/>
      <c r="V2550" s="1435"/>
    </row>
    <row r="2551" spans="1:42" ht="12.75" customHeight="1" thickBot="1">
      <c r="B2551" s="479"/>
      <c r="C2551" s="977"/>
      <c r="D2551" s="981"/>
      <c r="E2551" s="989"/>
      <c r="F2551" s="990"/>
      <c r="G2551" s="987" t="str">
        <f>EUconst_Unit</f>
        <v>Unit</v>
      </c>
      <c r="H2551" s="782">
        <f t="shared" ref="H2551:N2551" si="1196">H$3242</f>
        <v>2024</v>
      </c>
      <c r="I2551" s="988">
        <f t="shared" si="1196"/>
        <v>2025</v>
      </c>
      <c r="J2551" s="1810">
        <f t="shared" si="1196"/>
        <v>2026</v>
      </c>
      <c r="K2551" s="1747">
        <f t="shared" si="1196"/>
        <v>2027</v>
      </c>
      <c r="L2551" s="1747">
        <f t="shared" si="1196"/>
        <v>2028</v>
      </c>
      <c r="M2551" s="1747">
        <f t="shared" si="1196"/>
        <v>2029</v>
      </c>
      <c r="N2551" s="1748">
        <f t="shared" si="1196"/>
        <v>2030</v>
      </c>
      <c r="O2551" s="485"/>
      <c r="P2551" s="485"/>
      <c r="Q2551" s="1435"/>
      <c r="S2551" s="1435"/>
      <c r="T2551" s="1435"/>
      <c r="U2551" s="1435"/>
      <c r="V2551" s="1435"/>
      <c r="AC2551" s="1638">
        <f t="shared" ref="AC2551:AI2551" si="1197">H$20</f>
        <v>2024</v>
      </c>
      <c r="AD2551" s="1638">
        <f t="shared" si="1197"/>
        <v>2025</v>
      </c>
      <c r="AE2551" s="1638">
        <f t="shared" si="1197"/>
        <v>2026</v>
      </c>
      <c r="AF2551" s="1638">
        <f t="shared" si="1197"/>
        <v>2027</v>
      </c>
      <c r="AG2551" s="1638">
        <f t="shared" si="1197"/>
        <v>2028</v>
      </c>
      <c r="AH2551" s="1638">
        <f t="shared" si="1197"/>
        <v>2029</v>
      </c>
      <c r="AI2551" s="1638">
        <f t="shared" si="1197"/>
        <v>2030</v>
      </c>
    </row>
    <row r="2552" spans="1:42" ht="12.75" customHeight="1">
      <c r="B2552" s="479"/>
      <c r="C2552" s="977"/>
      <c r="D2552" s="777" t="s">
        <v>1115</v>
      </c>
      <c r="E2552" s="2471" t="s">
        <v>1304</v>
      </c>
      <c r="F2552" s="2472"/>
      <c r="G2552" s="1763" t="str">
        <f>c_ALR2025!G5098</f>
        <v/>
      </c>
      <c r="H2552" s="1552" t="str">
        <f>c_ALR2025!M5098</f>
        <v/>
      </c>
      <c r="I2552" s="1611"/>
      <c r="J2552" s="1811"/>
      <c r="K2552" s="1751"/>
      <c r="L2552" s="1751"/>
      <c r="M2552" s="1751"/>
      <c r="N2552" s="1752"/>
      <c r="O2552" s="485"/>
      <c r="P2552" s="9"/>
      <c r="Q2552" s="1435"/>
      <c r="S2552" s="1435"/>
      <c r="T2552" s="1435"/>
      <c r="U2552" s="1435"/>
      <c r="V2552" s="1435"/>
      <c r="AB2552" s="1641" t="s">
        <v>717</v>
      </c>
      <c r="AC2552" s="1443" t="b">
        <f>AC2499</f>
        <v>0</v>
      </c>
      <c r="AD2552" s="1443" t="b">
        <f t="shared" ref="AD2552:AI2552" si="1198">AD2499</f>
        <v>0</v>
      </c>
      <c r="AE2552" s="1443" t="b">
        <f t="shared" si="1198"/>
        <v>0</v>
      </c>
      <c r="AF2552" s="1443" t="b">
        <f t="shared" si="1198"/>
        <v>0</v>
      </c>
      <c r="AG2552" s="1443" t="b">
        <f t="shared" si="1198"/>
        <v>0</v>
      </c>
      <c r="AH2552" s="1443" t="b">
        <f t="shared" si="1198"/>
        <v>0</v>
      </c>
      <c r="AI2552" s="1443" t="b">
        <f t="shared" si="1198"/>
        <v>0</v>
      </c>
      <c r="AJ2552" s="1633" t="s">
        <v>1954</v>
      </c>
      <c r="AK2552" s="1635" t="str">
        <f>IF(AND(CNTR_ExistSubInstEntries,MSconst_RequireSubAttrEmissions,COUNTIFS(AC2552:AI2552,FALSE,H2552:N2552,"")&gt;0),EUconst_Error&amp;"BM"&amp;$Q2267,"")</f>
        <v/>
      </c>
    </row>
    <row r="2553" spans="1:42" ht="12.75" customHeight="1" thickBot="1">
      <c r="B2553" s="479"/>
      <c r="C2553" s="977"/>
      <c r="D2553" s="777" t="s">
        <v>1561</v>
      </c>
      <c r="E2553" s="2473" t="s">
        <v>661</v>
      </c>
      <c r="F2553" s="2474"/>
      <c r="G2553" s="1008" t="e">
        <f>IF(ISBLANK(G2552),EUconst_GJperUnit,INDEX(EUconst_GJperTorKNm3,MATCH(G2552,EUconst_TonnesOrkNm3pa,0)))</f>
        <v>#N/A</v>
      </c>
      <c r="H2553" s="1558" t="str">
        <f>c_ALR2025!M5099</f>
        <v/>
      </c>
      <c r="I2553" s="1884"/>
      <c r="J2553" s="1811"/>
      <c r="K2553" s="1751"/>
      <c r="L2553" s="1751"/>
      <c r="M2553" s="1751"/>
      <c r="N2553" s="1752"/>
      <c r="O2553" s="485"/>
      <c r="P2553" s="9"/>
      <c r="Q2553" s="1435"/>
      <c r="S2553" s="1435"/>
      <c r="T2553" s="1435"/>
      <c r="U2553" s="1435"/>
      <c r="V2553" s="1435"/>
      <c r="AC2553" s="1443" t="b">
        <f>AC2552</f>
        <v>0</v>
      </c>
      <c r="AD2553" s="1443" t="b">
        <f t="shared" ref="AD2553:AI2553" si="1199">AD2552</f>
        <v>0</v>
      </c>
      <c r="AE2553" s="1443" t="b">
        <f t="shared" si="1199"/>
        <v>0</v>
      </c>
      <c r="AF2553" s="1443" t="b">
        <f t="shared" si="1199"/>
        <v>0</v>
      </c>
      <c r="AG2553" s="1443" t="b">
        <f t="shared" si="1199"/>
        <v>0</v>
      </c>
      <c r="AH2553" s="1443" t="b">
        <f t="shared" si="1199"/>
        <v>0</v>
      </c>
      <c r="AI2553" s="1443" t="b">
        <f t="shared" si="1199"/>
        <v>0</v>
      </c>
      <c r="AJ2553" s="1633" t="s">
        <v>1954</v>
      </c>
      <c r="AK2553" s="1635" t="str">
        <f>IF(AND(CNTR_ExistSubInstEntries,MSconst_RequireSubAttrEmissions,COUNTIFS(AC2553:AI2553,FALSE,H2553:N2553,"")&gt;0),EUconst_Error&amp;"BM"&amp;$Q2267,"")</f>
        <v/>
      </c>
    </row>
    <row r="2554" spans="1:42" ht="12.75" customHeight="1">
      <c r="B2554" s="479"/>
      <c r="C2554" s="977"/>
      <c r="D2554" s="777" t="s">
        <v>1599</v>
      </c>
      <c r="E2554" s="2475" t="s">
        <v>1080</v>
      </c>
      <c r="F2554" s="2410"/>
      <c r="G2554" s="815" t="str">
        <f>EUconst_TJpa</f>
        <v>TJ / year</v>
      </c>
      <c r="H2554" s="646" t="str">
        <f t="shared" ref="H2554:N2554" si="1200">IF(COUNT(H2552:H2553)=2,H2552*H2553/1000,"")</f>
        <v/>
      </c>
      <c r="I2554" s="949" t="str">
        <f t="shared" si="1200"/>
        <v/>
      </c>
      <c r="J2554" s="1811" t="str">
        <f t="shared" si="1200"/>
        <v/>
      </c>
      <c r="K2554" s="1751" t="str">
        <f t="shared" si="1200"/>
        <v/>
      </c>
      <c r="L2554" s="1751" t="str">
        <f t="shared" si="1200"/>
        <v/>
      </c>
      <c r="M2554" s="1751" t="str">
        <f t="shared" si="1200"/>
        <v/>
      </c>
      <c r="N2554" s="1752" t="str">
        <f t="shared" si="1200"/>
        <v/>
      </c>
      <c r="O2554" s="485"/>
      <c r="P2554" s="485"/>
      <c r="Q2554" s="1644" t="str">
        <f>EUconst_CNTR_WGExport &amp; I2267</f>
        <v>WasteGasEx_</v>
      </c>
      <c r="S2554" s="1648"/>
      <c r="T2554" s="1749">
        <f t="shared" ref="T2554:Z2554" si="1201">H2551</f>
        <v>2024</v>
      </c>
      <c r="U2554" s="1749">
        <f t="shared" si="1201"/>
        <v>2025</v>
      </c>
      <c r="V2554" s="1749">
        <f t="shared" si="1201"/>
        <v>2026</v>
      </c>
      <c r="W2554" s="1749">
        <f t="shared" si="1201"/>
        <v>2027</v>
      </c>
      <c r="X2554" s="1749">
        <f t="shared" si="1201"/>
        <v>2028</v>
      </c>
      <c r="Y2554" s="1749">
        <f t="shared" si="1201"/>
        <v>2029</v>
      </c>
      <c r="Z2554" s="1750">
        <f t="shared" si="1201"/>
        <v>2030</v>
      </c>
    </row>
    <row r="2555" spans="1:42" s="562" customFormat="1" ht="12.75" customHeight="1" thickBot="1">
      <c r="A2555" s="1116"/>
      <c r="B2555" s="479"/>
      <c r="C2555" s="977"/>
      <c r="D2555" s="777" t="s">
        <v>1600</v>
      </c>
      <c r="E2555" s="2475" t="s">
        <v>1276</v>
      </c>
      <c r="F2555" s="2410"/>
      <c r="G2555" s="815" t="str">
        <f>EUconst_tCO2pTJ</f>
        <v>t CO2 / TJ</v>
      </c>
      <c r="H2555" s="1479" t="str">
        <f>c_ALR2025!M5101</f>
        <v/>
      </c>
      <c r="I2555" s="1532"/>
      <c r="J2555" s="1811"/>
      <c r="K2555" s="1751"/>
      <c r="L2555" s="1751"/>
      <c r="M2555" s="1751"/>
      <c r="N2555" s="1752"/>
      <c r="O2555" s="485"/>
      <c r="P2555" s="9"/>
      <c r="Q2555" s="1644" t="str">
        <f>EUconst_CNTR_WGExportEF &amp; I2267</f>
        <v>WasteGasExEF_</v>
      </c>
      <c r="R2555" s="1435"/>
      <c r="S2555" s="1753" t="str">
        <f>EUconst_CNTR_AttributedEmissions &amp; I2267</f>
        <v>AttrEmissions_</v>
      </c>
      <c r="T2555" s="1743" t="str">
        <f t="shared" ref="T2555:Z2555" si="1202">IF(T2275,-SUM(H2554)*EUconst_NGEFvalue*EUconst_WasteGasCorrFactor,"")</f>
        <v/>
      </c>
      <c r="U2555" s="1743" t="str">
        <f t="shared" si="1202"/>
        <v/>
      </c>
      <c r="V2555" s="1743" t="str">
        <f t="shared" si="1202"/>
        <v/>
      </c>
      <c r="W2555" s="1743" t="str">
        <f t="shared" si="1202"/>
        <v/>
      </c>
      <c r="X2555" s="1743" t="str">
        <f t="shared" si="1202"/>
        <v/>
      </c>
      <c r="Y2555" s="1743" t="str">
        <f t="shared" si="1202"/>
        <v/>
      </c>
      <c r="Z2555" s="1744" t="str">
        <f t="shared" si="1202"/>
        <v/>
      </c>
      <c r="AA2555" s="1435"/>
      <c r="AB2555" s="1641" t="s">
        <v>717</v>
      </c>
      <c r="AC2555" s="1443" t="b">
        <f t="shared" ref="AC2555:AI2555" si="1203">AC2502</f>
        <v>0</v>
      </c>
      <c r="AD2555" s="1443" t="b">
        <f t="shared" si="1203"/>
        <v>0</v>
      </c>
      <c r="AE2555" s="1443" t="b">
        <f t="shared" si="1203"/>
        <v>0</v>
      </c>
      <c r="AF2555" s="1443" t="b">
        <f t="shared" si="1203"/>
        <v>0</v>
      </c>
      <c r="AG2555" s="1443" t="b">
        <f t="shared" si="1203"/>
        <v>0</v>
      </c>
      <c r="AH2555" s="1443" t="b">
        <f t="shared" si="1203"/>
        <v>0</v>
      </c>
      <c r="AI2555" s="1443" t="b">
        <f t="shared" si="1203"/>
        <v>0</v>
      </c>
      <c r="AJ2555" s="1633" t="s">
        <v>1954</v>
      </c>
      <c r="AK2555" s="1635" t="str">
        <f>IF(AND(CNTR_ExistSubInstEntries,MSconst_RequireSubAttrEmissions,COUNTIFS(AC2555:AI2555,FALSE,H2555:N2555,"")&gt;0),EUconst_Error&amp;"BM"&amp;$Q2267,"")</f>
        <v/>
      </c>
      <c r="AL2555" s="1198"/>
      <c r="AP2555" s="1135"/>
    </row>
    <row r="2556" spans="1:42" ht="12.75" customHeight="1">
      <c r="B2556" s="479"/>
      <c r="C2556" s="977"/>
      <c r="D2556" s="981"/>
      <c r="E2556" s="981"/>
      <c r="F2556" s="981"/>
      <c r="G2556" s="981"/>
      <c r="H2556" s="981"/>
      <c r="I2556" s="983"/>
      <c r="J2556" s="981"/>
      <c r="K2556" s="981"/>
      <c r="L2556" s="981"/>
      <c r="M2556" s="981"/>
      <c r="N2556" s="814"/>
      <c r="O2556" s="485"/>
      <c r="P2556" s="485"/>
      <c r="Q2556" s="1435"/>
      <c r="S2556" s="1435"/>
    </row>
    <row r="2557" spans="1:42" ht="12.75" customHeight="1">
      <c r="B2557" s="479"/>
      <c r="C2557" s="977"/>
      <c r="D2557" s="982" t="s">
        <v>482</v>
      </c>
      <c r="E2557" s="2649" t="s">
        <v>1127</v>
      </c>
      <c r="F2557" s="2391"/>
      <c r="G2557" s="2391"/>
      <c r="H2557" s="2391"/>
      <c r="I2557" s="2391"/>
      <c r="J2557" s="2391"/>
      <c r="K2557" s="2391"/>
      <c r="L2557" s="2391"/>
      <c r="M2557" s="2391"/>
      <c r="N2557" s="2650"/>
      <c r="O2557" s="485"/>
      <c r="P2557" s="485"/>
      <c r="Q2557" s="1435"/>
      <c r="S2557" s="1435"/>
    </row>
    <row r="2558" spans="1:42" ht="12.75" customHeight="1">
      <c r="B2558" s="479"/>
      <c r="C2558" s="977"/>
      <c r="D2558" s="777"/>
      <c r="E2558" s="3272" t="s">
        <v>2299</v>
      </c>
      <c r="F2558" s="2380"/>
      <c r="G2558" s="2380"/>
      <c r="H2558" s="2380"/>
      <c r="I2558" s="2380"/>
      <c r="J2558" s="2380"/>
      <c r="K2558" s="2380"/>
      <c r="L2558" s="2380"/>
      <c r="M2558" s="2380"/>
      <c r="N2558" s="3268"/>
      <c r="O2558" s="485"/>
      <c r="P2558" s="485"/>
      <c r="Q2558" s="1435"/>
      <c r="S2558" s="1435"/>
      <c r="T2558" s="1435"/>
      <c r="U2558" s="1435"/>
      <c r="V2558" s="1435"/>
    </row>
    <row r="2559" spans="1:42" ht="25.5" customHeight="1" thickBot="1">
      <c r="B2559" s="479"/>
      <c r="C2559" s="977"/>
      <c r="D2559" s="981"/>
      <c r="E2559" s="3267" t="s">
        <v>2331</v>
      </c>
      <c r="F2559" s="2380"/>
      <c r="G2559" s="2380"/>
      <c r="H2559" s="2380"/>
      <c r="I2559" s="2380"/>
      <c r="J2559" s="2380"/>
      <c r="K2559" s="2380"/>
      <c r="L2559" s="2380"/>
      <c r="M2559" s="2380"/>
      <c r="N2559" s="3268"/>
      <c r="O2559" s="485"/>
      <c r="P2559" s="485"/>
      <c r="Q2559" s="1435"/>
      <c r="S2559" s="1435"/>
    </row>
    <row r="2560" spans="1:42" ht="12.75" customHeight="1" thickBot="1">
      <c r="B2560" s="479"/>
      <c r="C2560" s="977"/>
      <c r="D2560" s="982"/>
      <c r="E2560" s="989"/>
      <c r="F2560" s="990"/>
      <c r="G2560" s="987" t="str">
        <f>EUconst_Unit</f>
        <v>Unit</v>
      </c>
      <c r="H2560" s="782">
        <f t="shared" ref="H2560:N2560" si="1204">H$3242</f>
        <v>2024</v>
      </c>
      <c r="I2560" s="988">
        <f t="shared" si="1204"/>
        <v>2025</v>
      </c>
      <c r="J2560" s="1810">
        <f t="shared" si="1204"/>
        <v>2026</v>
      </c>
      <c r="K2560" s="1747">
        <f t="shared" si="1204"/>
        <v>2027</v>
      </c>
      <c r="L2560" s="1747">
        <f t="shared" si="1204"/>
        <v>2028</v>
      </c>
      <c r="M2560" s="1747">
        <f t="shared" si="1204"/>
        <v>2029</v>
      </c>
      <c r="N2560" s="1748">
        <f t="shared" si="1204"/>
        <v>2030</v>
      </c>
      <c r="O2560" s="485"/>
      <c r="P2560" s="485"/>
      <c r="Q2560" s="1435"/>
      <c r="S2560" s="1648"/>
      <c r="T2560" s="1749">
        <f t="shared" ref="T2560:Z2560" si="1205">H2560</f>
        <v>2024</v>
      </c>
      <c r="U2560" s="1749">
        <f t="shared" si="1205"/>
        <v>2025</v>
      </c>
      <c r="V2560" s="1749">
        <f t="shared" si="1205"/>
        <v>2026</v>
      </c>
      <c r="W2560" s="1749">
        <f t="shared" si="1205"/>
        <v>2027</v>
      </c>
      <c r="X2560" s="1749">
        <f t="shared" si="1205"/>
        <v>2028</v>
      </c>
      <c r="Y2560" s="1749">
        <f t="shared" si="1205"/>
        <v>2029</v>
      </c>
      <c r="Z2560" s="1750">
        <f t="shared" si="1205"/>
        <v>2030</v>
      </c>
      <c r="AC2560" s="1638">
        <f t="shared" ref="AC2560:AI2560" si="1206">H$20</f>
        <v>2024</v>
      </c>
      <c r="AD2560" s="1638">
        <f t="shared" si="1206"/>
        <v>2025</v>
      </c>
      <c r="AE2560" s="1638">
        <f t="shared" si="1206"/>
        <v>2026</v>
      </c>
      <c r="AF2560" s="1638">
        <f t="shared" si="1206"/>
        <v>2027</v>
      </c>
      <c r="AG2560" s="1638">
        <f t="shared" si="1206"/>
        <v>2028</v>
      </c>
      <c r="AH2560" s="1638">
        <f t="shared" si="1206"/>
        <v>2029</v>
      </c>
      <c r="AI2560" s="1638">
        <f t="shared" si="1206"/>
        <v>2030</v>
      </c>
    </row>
    <row r="2561" spans="2:37" ht="12.75" customHeight="1" thickBot="1">
      <c r="B2561" s="479"/>
      <c r="C2561" s="977"/>
      <c r="D2561" s="777"/>
      <c r="E2561" s="2475" t="s">
        <v>1354</v>
      </c>
      <c r="F2561" s="2410"/>
      <c r="G2561" s="815" t="str">
        <f>EUconst_MWhpa</f>
        <v>MWh / year</v>
      </c>
      <c r="H2561" s="1479" t="str">
        <f>c_ALR2025!M5107</f>
        <v/>
      </c>
      <c r="I2561" s="1532"/>
      <c r="J2561" s="1811"/>
      <c r="K2561" s="1751"/>
      <c r="L2561" s="1751"/>
      <c r="M2561" s="1751"/>
      <c r="N2561" s="1752"/>
      <c r="O2561" s="485"/>
      <c r="P2561" s="9"/>
      <c r="Q2561" s="1644" t="str">
        <f>EUconst_CNTR_ElectricityExported &amp; I2267</f>
        <v>ElecEx_</v>
      </c>
      <c r="S2561" s="1753" t="str">
        <f>EUconst_CNTR_AttributedEmissions &amp; I2267</f>
        <v>AttrEmissions_</v>
      </c>
      <c r="T2561" s="1743" t="str">
        <f t="shared" ref="T2561:Z2561" si="1207">IF(T2275,-SUM(H2561)*EUconst_ElBM,"")</f>
        <v/>
      </c>
      <c r="U2561" s="1743" t="str">
        <f t="shared" si="1207"/>
        <v/>
      </c>
      <c r="V2561" s="1743" t="str">
        <f t="shared" si="1207"/>
        <v/>
      </c>
      <c r="W2561" s="1743" t="str">
        <f t="shared" si="1207"/>
        <v/>
      </c>
      <c r="X2561" s="1743" t="str">
        <f t="shared" si="1207"/>
        <v/>
      </c>
      <c r="Y2561" s="1743" t="str">
        <f t="shared" si="1207"/>
        <v/>
      </c>
      <c r="Z2561" s="1744" t="str">
        <f t="shared" si="1207"/>
        <v/>
      </c>
      <c r="AB2561" s="1641" t="s">
        <v>717</v>
      </c>
      <c r="AC2561" s="1443" t="b">
        <f>AC2337</f>
        <v>0</v>
      </c>
      <c r="AD2561" s="1443" t="b">
        <f t="shared" ref="AD2561:AI2561" si="1208">AD2337</f>
        <v>0</v>
      </c>
      <c r="AE2561" s="1443" t="b">
        <f t="shared" si="1208"/>
        <v>0</v>
      </c>
      <c r="AF2561" s="1443" t="b">
        <f t="shared" si="1208"/>
        <v>0</v>
      </c>
      <c r="AG2561" s="1443" t="b">
        <f t="shared" si="1208"/>
        <v>0</v>
      </c>
      <c r="AH2561" s="1443" t="b">
        <f t="shared" si="1208"/>
        <v>0</v>
      </c>
      <c r="AI2561" s="1443" t="b">
        <f t="shared" si="1208"/>
        <v>0</v>
      </c>
      <c r="AJ2561" s="1633" t="s">
        <v>1954</v>
      </c>
      <c r="AK2561" s="1635" t="str">
        <f>IF(AND(CNTR_ExistSubInstEntries,MSconst_RequireSubAttrEmissions,COUNTIFS(AC2561:AI2561,FALSE,H2561:N2561,"")&gt;0),EUconst_Error&amp;"BM"&amp;$Q2267,"")</f>
        <v/>
      </c>
    </row>
    <row r="2562" spans="2:37" ht="12.75" customHeight="1">
      <c r="B2562" s="479"/>
      <c r="C2562" s="977"/>
      <c r="D2562" s="981"/>
      <c r="E2562" s="981"/>
      <c r="F2562" s="981"/>
      <c r="G2562" s="981"/>
      <c r="H2562" s="981"/>
      <c r="I2562" s="983"/>
      <c r="J2562" s="981"/>
      <c r="K2562" s="981"/>
      <c r="L2562" s="981"/>
      <c r="M2562" s="981"/>
      <c r="N2562" s="814"/>
      <c r="O2562" s="485"/>
      <c r="P2562" s="485"/>
      <c r="Q2562" s="1435"/>
      <c r="S2562" s="1435"/>
      <c r="V2562" s="1435"/>
    </row>
    <row r="2563" spans="2:37" ht="12.75" customHeight="1">
      <c r="B2563" s="479"/>
      <c r="C2563" s="977"/>
      <c r="D2563" s="982" t="s">
        <v>245</v>
      </c>
      <c r="E2563" s="2649" t="s">
        <v>1157</v>
      </c>
      <c r="F2563" s="2391"/>
      <c r="G2563" s="2391"/>
      <c r="H2563" s="2391"/>
      <c r="I2563" s="2391"/>
      <c r="J2563" s="2391"/>
      <c r="K2563" s="2391"/>
      <c r="L2563" s="2391"/>
      <c r="M2563" s="2391"/>
      <c r="N2563" s="2650"/>
      <c r="O2563" s="485"/>
      <c r="P2563" s="485"/>
      <c r="V2563" s="1435"/>
    </row>
    <row r="2564" spans="2:37" ht="25.5" customHeight="1">
      <c r="B2564" s="479"/>
      <c r="C2564" s="977"/>
      <c r="D2564" s="981"/>
      <c r="E2564" s="3267" t="s">
        <v>1264</v>
      </c>
      <c r="F2564" s="2380"/>
      <c r="G2564" s="2380"/>
      <c r="H2564" s="2380"/>
      <c r="I2564" s="2380"/>
      <c r="J2564" s="2380"/>
      <c r="K2564" s="2380"/>
      <c r="L2564" s="2380"/>
      <c r="M2564" s="2380"/>
      <c r="N2564" s="3268"/>
      <c r="O2564" s="485"/>
      <c r="P2564" s="485"/>
      <c r="Q2564" s="1435"/>
      <c r="S2564" s="1435"/>
      <c r="V2564" s="1435"/>
    </row>
    <row r="2565" spans="2:37" ht="12.75" customHeight="1">
      <c r="B2565" s="479"/>
      <c r="C2565" s="977"/>
      <c r="D2565" s="981"/>
      <c r="E2565" s="3267" t="s">
        <v>1563</v>
      </c>
      <c r="F2565" s="2380"/>
      <c r="G2565" s="2380"/>
      <c r="H2565" s="2380"/>
      <c r="I2565" s="2380"/>
      <c r="J2565" s="2380"/>
      <c r="K2565" s="2380"/>
      <c r="L2565" s="2380"/>
      <c r="M2565" s="2380"/>
      <c r="N2565" s="3268"/>
      <c r="O2565" s="485"/>
      <c r="P2565" s="485"/>
      <c r="Q2565" s="1435"/>
      <c r="S2565" s="1435"/>
      <c r="V2565" s="1435"/>
    </row>
    <row r="2566" spans="2:37" ht="12.75" customHeight="1" thickBot="1">
      <c r="B2566" s="479"/>
      <c r="C2566" s="977"/>
      <c r="D2566" s="777"/>
      <c r="E2566" s="3283" t="s">
        <v>1598</v>
      </c>
      <c r="F2566" s="3284"/>
      <c r="G2566" s="3284"/>
      <c r="H2566" s="3284"/>
      <c r="I2566" s="3284"/>
      <c r="J2566" s="2380"/>
      <c r="K2566" s="2380"/>
      <c r="L2566" s="2380"/>
      <c r="M2566" s="2380"/>
      <c r="N2566" s="3268"/>
      <c r="O2566" s="485"/>
      <c r="P2566" s="485"/>
      <c r="Q2566" s="1435"/>
      <c r="S2566" s="1435"/>
      <c r="V2566" s="1435"/>
      <c r="AC2566" s="1638">
        <f t="shared" ref="AC2566:AI2566" si="1209">H$20</f>
        <v>2024</v>
      </c>
      <c r="AD2566" s="1638">
        <f t="shared" si="1209"/>
        <v>2025</v>
      </c>
      <c r="AE2566" s="1638">
        <f t="shared" si="1209"/>
        <v>2026</v>
      </c>
      <c r="AF2566" s="1638">
        <f t="shared" si="1209"/>
        <v>2027</v>
      </c>
      <c r="AG2566" s="1638">
        <f t="shared" si="1209"/>
        <v>2028</v>
      </c>
      <c r="AH2566" s="1638">
        <f t="shared" si="1209"/>
        <v>2029</v>
      </c>
      <c r="AI2566" s="1638">
        <f t="shared" si="1209"/>
        <v>2030</v>
      </c>
    </row>
    <row r="2567" spans="2:37" ht="12.75" customHeight="1">
      <c r="B2567" s="479"/>
      <c r="C2567" s="977"/>
      <c r="D2567" s="777"/>
      <c r="E2567" s="3285" t="str">
        <f>IF(I2267="","",IF(INDEX(EUconst_BMlistPulp,MATCH(I2267,EUconst_BMlistNames,0)),I2267,""))</f>
        <v/>
      </c>
      <c r="F2567" s="2410"/>
      <c r="G2567" s="815" t="str">
        <f>EUconst_Tons</f>
        <v>tonnes</v>
      </c>
      <c r="H2567" s="1869"/>
      <c r="I2567" s="1532"/>
      <c r="J2567" s="1811"/>
      <c r="K2567" s="1751"/>
      <c r="L2567" s="1751"/>
      <c r="M2567" s="1751"/>
      <c r="N2567" s="1752"/>
      <c r="O2567" s="485"/>
      <c r="P2567" s="9"/>
      <c r="Q2567" s="1644" t="str">
        <f>EUconst_CNTR_HALPulpTotal &amp; I2267</f>
        <v>HALPulpTotal_</v>
      </c>
      <c r="S2567" s="1435"/>
      <c r="AB2567" s="1641" t="s">
        <v>717</v>
      </c>
      <c r="AC2567" s="1423" t="b">
        <f t="shared" ref="AC2567:AI2567" si="1210">IF($I2267&lt;&gt;"",IF(INDEX(EUconst_BMlistPulp,MATCH($I2267,EUconst_BMlistNames,0))=TRUE,FALSE,TRUE),AC2337)</f>
        <v>0</v>
      </c>
      <c r="AD2567" s="1443" t="b">
        <f t="shared" si="1210"/>
        <v>0</v>
      </c>
      <c r="AE2567" s="1443" t="b">
        <f t="shared" si="1210"/>
        <v>0</v>
      </c>
      <c r="AF2567" s="1443" t="b">
        <f t="shared" si="1210"/>
        <v>0</v>
      </c>
      <c r="AG2567" s="1443" t="b">
        <f t="shared" si="1210"/>
        <v>0</v>
      </c>
      <c r="AH2567" s="1443" t="b">
        <f t="shared" si="1210"/>
        <v>0</v>
      </c>
      <c r="AI2567" s="1443" t="b">
        <f t="shared" si="1210"/>
        <v>0</v>
      </c>
      <c r="AJ2567" s="1633" t="s">
        <v>1954</v>
      </c>
      <c r="AK2567" s="1635" t="str">
        <f>IF(AND(CNTR_ExistSubInstEntries,MSconst_RequireSubAttrEmissions,COUNTIFS(AC2567:AI2567,FALSE,H2567:N2567,"")&gt;0),EUconst_Error&amp;"BM"&amp;$Q2267,"")</f>
        <v/>
      </c>
    </row>
    <row r="2568" spans="2:37" ht="12.75" customHeight="1">
      <c r="B2568" s="479"/>
      <c r="C2568" s="977"/>
      <c r="D2568" s="777"/>
      <c r="E2568" s="777"/>
      <c r="F2568" s="777"/>
      <c r="G2568" s="777"/>
      <c r="H2568" s="983"/>
      <c r="I2568" s="777"/>
      <c r="J2568" s="777"/>
      <c r="K2568" s="777"/>
      <c r="L2568" s="777"/>
      <c r="M2568" s="777"/>
      <c r="N2568" s="1007"/>
      <c r="O2568" s="485"/>
      <c r="P2568" s="485"/>
      <c r="Q2568" s="1435"/>
      <c r="S2568" s="1435"/>
      <c r="V2568" s="1435"/>
    </row>
    <row r="2569" spans="2:37" ht="12.75" customHeight="1">
      <c r="B2569" s="479"/>
      <c r="C2569" s="977"/>
      <c r="D2569" s="982" t="s">
        <v>832</v>
      </c>
      <c r="E2569" s="2649" t="s">
        <v>1142</v>
      </c>
      <c r="F2569" s="2391"/>
      <c r="G2569" s="2391"/>
      <c r="H2569" s="2391"/>
      <c r="I2569" s="2391"/>
      <c r="J2569" s="2391"/>
      <c r="K2569" s="2391"/>
      <c r="L2569" s="2391"/>
      <c r="M2569" s="2391"/>
      <c r="N2569" s="2650"/>
      <c r="O2569" s="485"/>
      <c r="P2569" s="485"/>
      <c r="Q2569" s="1435"/>
      <c r="S2569" s="1435"/>
      <c r="V2569" s="1435"/>
    </row>
    <row r="2570" spans="2:37" ht="25.5" customHeight="1">
      <c r="B2570" s="479"/>
      <c r="C2570" s="977"/>
      <c r="D2570" s="981"/>
      <c r="E2570" s="3267" t="s">
        <v>1366</v>
      </c>
      <c r="F2570" s="2380"/>
      <c r="G2570" s="2380"/>
      <c r="H2570" s="2380"/>
      <c r="I2570" s="2380"/>
      <c r="J2570" s="2380"/>
      <c r="K2570" s="2380"/>
      <c r="L2570" s="2380"/>
      <c r="M2570" s="2380"/>
      <c r="N2570" s="3268"/>
      <c r="O2570" s="485"/>
      <c r="P2570" s="485"/>
      <c r="Q2570" s="1435"/>
      <c r="S2570" s="1435"/>
      <c r="V2570" s="1435"/>
    </row>
    <row r="2571" spans="2:37" ht="12.75" customHeight="1">
      <c r="B2571" s="479"/>
      <c r="C2571" s="977"/>
      <c r="D2571" s="981"/>
      <c r="E2571" s="3272" t="s">
        <v>1610</v>
      </c>
      <c r="F2571" s="2380"/>
      <c r="G2571" s="2380"/>
      <c r="H2571" s="2380"/>
      <c r="I2571" s="2380"/>
      <c r="J2571" s="2380"/>
      <c r="K2571" s="2380"/>
      <c r="L2571" s="2380"/>
      <c r="M2571" s="2380"/>
      <c r="N2571" s="3268"/>
      <c r="O2571" s="485"/>
      <c r="P2571" s="485"/>
      <c r="Q2571" s="1435"/>
      <c r="S2571" s="1435"/>
      <c r="V2571" s="1435"/>
    </row>
    <row r="2572" spans="2:37" ht="12.75" customHeight="1">
      <c r="B2572" s="1124"/>
      <c r="C2572" s="977"/>
      <c r="D2572" s="777" t="s">
        <v>6</v>
      </c>
      <c r="E2572" s="2682" t="s">
        <v>1145</v>
      </c>
      <c r="F2572" s="2391"/>
      <c r="G2572" s="2391"/>
      <c r="H2572" s="2391"/>
      <c r="I2572" s="2391"/>
      <c r="J2572" s="2391"/>
      <c r="K2572" s="2512"/>
      <c r="L2572" s="1478" t="str">
        <f>c_ALR2025!L5118</f>
        <v/>
      </c>
      <c r="M2572" s="813"/>
      <c r="N2572" s="1015"/>
      <c r="O2572" s="485"/>
      <c r="P2572" s="9"/>
      <c r="AF2572" s="1641" t="s">
        <v>717</v>
      </c>
      <c r="AG2572" s="1423" t="b">
        <f>AND(CNTR_ExistSubInstEntries,I2267="")</f>
        <v>0</v>
      </c>
    </row>
    <row r="2573" spans="2:37" ht="5.0999999999999996" customHeight="1">
      <c r="B2573" s="479"/>
      <c r="C2573" s="977"/>
      <c r="D2573" s="777"/>
      <c r="E2573" s="777"/>
      <c r="F2573" s="777"/>
      <c r="G2573" s="777"/>
      <c r="H2573" s="983"/>
      <c r="I2573" s="777"/>
      <c r="J2573" s="777"/>
      <c r="K2573" s="777"/>
      <c r="L2573" s="777"/>
      <c r="M2573" s="777"/>
      <c r="N2573" s="1007"/>
      <c r="O2573" s="485"/>
      <c r="P2573" s="485"/>
      <c r="Q2573" s="1435"/>
      <c r="S2573" s="1435"/>
      <c r="V2573" s="1435"/>
    </row>
    <row r="2574" spans="2:37" ht="12.75" customHeight="1" thickBot="1">
      <c r="B2574" s="479"/>
      <c r="C2574" s="977"/>
      <c r="D2574" s="982"/>
      <c r="E2574" s="2648" t="s">
        <v>1144</v>
      </c>
      <c r="F2574" s="2493"/>
      <c r="G2574" s="778" t="str">
        <f>EUconst_Unit</f>
        <v>Unit</v>
      </c>
      <c r="H2574" s="782">
        <f t="shared" ref="H2574:N2574" si="1211">H$3242</f>
        <v>2024</v>
      </c>
      <c r="I2574" s="988">
        <f t="shared" si="1211"/>
        <v>2025</v>
      </c>
      <c r="J2574" s="1810">
        <f t="shared" si="1211"/>
        <v>2026</v>
      </c>
      <c r="K2574" s="1747">
        <f t="shared" si="1211"/>
        <v>2027</v>
      </c>
      <c r="L2574" s="1747">
        <f t="shared" si="1211"/>
        <v>2028</v>
      </c>
      <c r="M2574" s="1747">
        <f t="shared" si="1211"/>
        <v>2029</v>
      </c>
      <c r="N2574" s="1748">
        <f t="shared" si="1211"/>
        <v>2030</v>
      </c>
      <c r="O2574" s="485"/>
      <c r="P2574" s="485"/>
      <c r="Q2574" s="1435"/>
      <c r="S2574" s="1435"/>
      <c r="V2574" s="1435"/>
      <c r="AC2574" s="1638">
        <f t="shared" ref="AC2574:AI2574" si="1212">H$20</f>
        <v>2024</v>
      </c>
      <c r="AD2574" s="1638">
        <f t="shared" si="1212"/>
        <v>2025</v>
      </c>
      <c r="AE2574" s="1638">
        <f t="shared" si="1212"/>
        <v>2026</v>
      </c>
      <c r="AF2574" s="1638">
        <f t="shared" si="1212"/>
        <v>2027</v>
      </c>
      <c r="AG2574" s="1638">
        <f t="shared" si="1212"/>
        <v>2028</v>
      </c>
      <c r="AH2574" s="1638">
        <f t="shared" si="1212"/>
        <v>2029</v>
      </c>
      <c r="AI2574" s="1638">
        <f t="shared" si="1212"/>
        <v>2030</v>
      </c>
    </row>
    <row r="2575" spans="2:37" ht="12.75" customHeight="1">
      <c r="B2575" s="479"/>
      <c r="C2575" s="977"/>
      <c r="D2575" s="777" t="s">
        <v>7</v>
      </c>
      <c r="E2575" s="3279"/>
      <c r="F2575" s="3280"/>
      <c r="G2575" s="1016" t="str">
        <f>IF(E2575&lt;&gt;"",INDEX(EUconst_BMlistUnits,MATCH(E2575,EUconst_BMlistNames,0)),EUconst_Tons)</f>
        <v>tonnes</v>
      </c>
      <c r="H2575" s="1774" t="str">
        <f>c_ALR2025!M5121</f>
        <v/>
      </c>
      <c r="I2575" s="1886"/>
      <c r="J2575" s="1812"/>
      <c r="K2575" s="1754"/>
      <c r="L2575" s="1754"/>
      <c r="M2575" s="1754"/>
      <c r="N2575" s="1755"/>
      <c r="O2575" s="485"/>
      <c r="P2575" s="9"/>
      <c r="Q2575" s="1644" t="str">
        <f>EUconst_CNTR_IntermediateImport &amp; S2575 &amp; "_" &amp; I2267</f>
        <v>IntImp_1_</v>
      </c>
      <c r="S2575" s="1644">
        <v>1</v>
      </c>
      <c r="V2575" s="1435"/>
      <c r="AB2575" s="1641" t="s">
        <v>717</v>
      </c>
      <c r="AC2575" s="1423" t="b">
        <f>OR(AND($L2572&lt;&gt;"",$L2572=FALSE),AC2337)</f>
        <v>0</v>
      </c>
      <c r="AD2575" s="1443" t="b">
        <f t="shared" ref="AD2575:AI2575" si="1213">OR(AND($L2572&lt;&gt;"",$L2572=FALSE),AD2337)</f>
        <v>0</v>
      </c>
      <c r="AE2575" s="1443" t="b">
        <f t="shared" si="1213"/>
        <v>0</v>
      </c>
      <c r="AF2575" s="1443" t="b">
        <f t="shared" si="1213"/>
        <v>0</v>
      </c>
      <c r="AG2575" s="1443" t="b">
        <f t="shared" si="1213"/>
        <v>0</v>
      </c>
      <c r="AH2575" s="1443" t="b">
        <f t="shared" si="1213"/>
        <v>0</v>
      </c>
      <c r="AI2575" s="1443" t="b">
        <f t="shared" si="1213"/>
        <v>0</v>
      </c>
      <c r="AJ2575" s="1633" t="s">
        <v>1954</v>
      </c>
      <c r="AK2575" s="1635" t="str">
        <f>IF(AND(CNTR_ExistSubInstEntries,MSconst_RequireSubAttrEmissions,COUNTIFS(AC2575:AI2575,FALSE,H2575:N2575,"")&gt;0),EUconst_Error&amp;"BM"&amp;$Q2267,"")</f>
        <v/>
      </c>
    </row>
    <row r="2576" spans="2:37" ht="12.75" customHeight="1">
      <c r="B2576" s="479"/>
      <c r="C2576" s="977"/>
      <c r="D2576" s="777" t="s">
        <v>8</v>
      </c>
      <c r="E2576" s="3281"/>
      <c r="F2576" s="3282"/>
      <c r="G2576" s="1008" t="str">
        <f>IF(E2576&lt;&gt;"",INDEX(EUconst_BMlistUnits,MATCH(E2576,EUconst_BMlistNames,0)),EUconst_Tons)</f>
        <v>tonnes</v>
      </c>
      <c r="H2576" s="1816" t="str">
        <f>c_ALR2025!M5122</f>
        <v/>
      </c>
      <c r="I2576" s="1887"/>
      <c r="J2576" s="1812"/>
      <c r="K2576" s="1754"/>
      <c r="L2576" s="1754"/>
      <c r="M2576" s="1754"/>
      <c r="N2576" s="1755"/>
      <c r="O2576" s="485"/>
      <c r="P2576" s="9"/>
      <c r="Q2576" s="1644" t="str">
        <f>EUconst_CNTR_IntermediateImport &amp; S2576 &amp; "_" &amp; I2267</f>
        <v>IntImp_2_</v>
      </c>
      <c r="S2576" s="1644">
        <v>2</v>
      </c>
      <c r="V2576" s="1435"/>
      <c r="AC2576" s="1443" t="b">
        <f>AC2575</f>
        <v>0</v>
      </c>
      <c r="AD2576" s="1443" t="b">
        <f t="shared" ref="AD2576:AI2576" si="1214">AD2575</f>
        <v>0</v>
      </c>
      <c r="AE2576" s="1443" t="b">
        <f t="shared" si="1214"/>
        <v>0</v>
      </c>
      <c r="AF2576" s="1443" t="b">
        <f t="shared" si="1214"/>
        <v>0</v>
      </c>
      <c r="AG2576" s="1443" t="b">
        <f t="shared" si="1214"/>
        <v>0</v>
      </c>
      <c r="AH2576" s="1443" t="b">
        <f t="shared" si="1214"/>
        <v>0</v>
      </c>
      <c r="AI2576" s="1443" t="b">
        <f t="shared" si="1214"/>
        <v>0</v>
      </c>
    </row>
    <row r="2577" spans="1:38" ht="5.0999999999999996" customHeight="1">
      <c r="B2577" s="479"/>
      <c r="C2577" s="977"/>
      <c r="D2577" s="777"/>
      <c r="E2577" s="777"/>
      <c r="F2577" s="777"/>
      <c r="G2577" s="777"/>
      <c r="H2577" s="777"/>
      <c r="I2577" s="777"/>
      <c r="J2577" s="1817"/>
      <c r="K2577" s="1776"/>
      <c r="L2577" s="1776"/>
      <c r="M2577" s="1776"/>
      <c r="N2577" s="1777"/>
      <c r="O2577" s="485"/>
      <c r="P2577" s="485"/>
      <c r="Q2577" s="1435"/>
      <c r="S2577" s="1435"/>
      <c r="V2577" s="1435"/>
    </row>
    <row r="2578" spans="1:38" ht="12.75" customHeight="1" thickBot="1">
      <c r="B2578" s="479"/>
      <c r="C2578" s="977"/>
      <c r="D2578" s="982"/>
      <c r="E2578" s="2648" t="s">
        <v>1143</v>
      </c>
      <c r="F2578" s="2493"/>
      <c r="G2578" s="778" t="str">
        <f>EUconst_Unit</f>
        <v>Unit</v>
      </c>
      <c r="H2578" s="782">
        <f t="shared" ref="H2578:N2578" si="1215">H$3242</f>
        <v>2024</v>
      </c>
      <c r="I2578" s="988">
        <f t="shared" si="1215"/>
        <v>2025</v>
      </c>
      <c r="J2578" s="1810">
        <f t="shared" si="1215"/>
        <v>2026</v>
      </c>
      <c r="K2578" s="1747">
        <f t="shared" si="1215"/>
        <v>2027</v>
      </c>
      <c r="L2578" s="1747">
        <f t="shared" si="1215"/>
        <v>2028</v>
      </c>
      <c r="M2578" s="1747">
        <f t="shared" si="1215"/>
        <v>2029</v>
      </c>
      <c r="N2578" s="1748">
        <f t="shared" si="1215"/>
        <v>2030</v>
      </c>
      <c r="O2578" s="485"/>
      <c r="P2578" s="485"/>
      <c r="Q2578" s="1435"/>
      <c r="S2578" s="1435"/>
      <c r="V2578" s="1435"/>
      <c r="AC2578" s="1638">
        <f t="shared" ref="AC2578:AI2578" si="1216">H$20</f>
        <v>2024</v>
      </c>
      <c r="AD2578" s="1638">
        <f t="shared" si="1216"/>
        <v>2025</v>
      </c>
      <c r="AE2578" s="1638">
        <f t="shared" si="1216"/>
        <v>2026</v>
      </c>
      <c r="AF2578" s="1638">
        <f t="shared" si="1216"/>
        <v>2027</v>
      </c>
      <c r="AG2578" s="1638">
        <f t="shared" si="1216"/>
        <v>2028</v>
      </c>
      <c r="AH2578" s="1638">
        <f t="shared" si="1216"/>
        <v>2029</v>
      </c>
      <c r="AI2578" s="1638">
        <f t="shared" si="1216"/>
        <v>2030</v>
      </c>
    </row>
    <row r="2579" spans="1:38" ht="12.75" customHeight="1">
      <c r="B2579" s="479"/>
      <c r="C2579" s="977"/>
      <c r="D2579" s="777" t="s">
        <v>18</v>
      </c>
      <c r="E2579" s="3279"/>
      <c r="F2579" s="3280"/>
      <c r="G2579" s="1016" t="str">
        <f>IF(E2579&lt;&gt;"",INDEX(EUconst_BMlistUnits,MATCH(E2579,EUconst_BMlistNames,0)),EUconst_Tons)</f>
        <v>tonnes</v>
      </c>
      <c r="H2579" s="1774" t="str">
        <f>c_ALR2025!M5125</f>
        <v/>
      </c>
      <c r="I2579" s="1886"/>
      <c r="J2579" s="1812"/>
      <c r="K2579" s="1754"/>
      <c r="L2579" s="1754"/>
      <c r="M2579" s="1754"/>
      <c r="N2579" s="1755"/>
      <c r="O2579" s="485"/>
      <c r="P2579" s="9"/>
      <c r="Q2579" s="1644" t="str">
        <f>EUconst_CNTR_IntermediateExport &amp; S2575 &amp; "_" &amp; I2267</f>
        <v>IntExp_1_</v>
      </c>
      <c r="S2579" s="1644">
        <v>1</v>
      </c>
      <c r="V2579" s="1435"/>
      <c r="X2579" s="1778"/>
      <c r="Y2579" s="1778"/>
      <c r="AB2579" s="1641" t="s">
        <v>717</v>
      </c>
      <c r="AC2579" s="1443" t="b">
        <f>AC2575</f>
        <v>0</v>
      </c>
      <c r="AD2579" s="1443" t="b">
        <f t="shared" ref="AD2579:AI2579" si="1217">AD2575</f>
        <v>0</v>
      </c>
      <c r="AE2579" s="1443" t="b">
        <f t="shared" si="1217"/>
        <v>0</v>
      </c>
      <c r="AF2579" s="1443" t="b">
        <f t="shared" si="1217"/>
        <v>0</v>
      </c>
      <c r="AG2579" s="1443" t="b">
        <f t="shared" si="1217"/>
        <v>0</v>
      </c>
      <c r="AH2579" s="1443" t="b">
        <f t="shared" si="1217"/>
        <v>0</v>
      </c>
      <c r="AI2579" s="1443" t="b">
        <f t="shared" si="1217"/>
        <v>0</v>
      </c>
      <c r="AJ2579" s="1633" t="s">
        <v>1954</v>
      </c>
      <c r="AK2579" s="1635" t="str">
        <f>IF(AND(CNTR_ExistSubInstEntries,MSconst_RequireSubAttrEmissions,COUNTIFS(AC2579:AI2579,FALSE,H2579:N2579,"")&gt;0),EUconst_Error&amp;"BM"&amp;$Q2267,"")</f>
        <v/>
      </c>
    </row>
    <row r="2580" spans="1:38" ht="12.75" customHeight="1">
      <c r="B2580" s="479"/>
      <c r="C2580" s="977"/>
      <c r="D2580" s="777" t="s">
        <v>787</v>
      </c>
      <c r="E2580" s="3281"/>
      <c r="F2580" s="3282"/>
      <c r="G2580" s="1008" t="str">
        <f>IF(E2580&lt;&gt;"",INDEX(EUconst_BMlistUnits,MATCH(E2580,EUconst_BMlistNames,0)),EUconst_Tons)</f>
        <v>tonnes</v>
      </c>
      <c r="H2580" s="1816" t="str">
        <f>c_ALR2025!M5126</f>
        <v/>
      </c>
      <c r="I2580" s="1887"/>
      <c r="J2580" s="1812"/>
      <c r="K2580" s="1754"/>
      <c r="L2580" s="1754"/>
      <c r="M2580" s="1754"/>
      <c r="N2580" s="1755"/>
      <c r="O2580" s="485"/>
      <c r="P2580" s="9"/>
      <c r="Q2580" s="1644" t="str">
        <f>EUconst_CNTR_IntermediateExport &amp; S2580 &amp; "_" &amp; I2267</f>
        <v>IntExp_2_</v>
      </c>
      <c r="S2580" s="1644">
        <v>2</v>
      </c>
      <c r="V2580" s="1435"/>
      <c r="X2580" s="1778"/>
      <c r="Y2580" s="1778"/>
      <c r="AC2580" s="1443" t="b">
        <f t="shared" ref="AC2580:AI2580" si="1218">AC2576</f>
        <v>0</v>
      </c>
      <c r="AD2580" s="1443" t="b">
        <f t="shared" si="1218"/>
        <v>0</v>
      </c>
      <c r="AE2580" s="1443" t="b">
        <f t="shared" si="1218"/>
        <v>0</v>
      </c>
      <c r="AF2580" s="1443" t="b">
        <f t="shared" si="1218"/>
        <v>0</v>
      </c>
      <c r="AG2580" s="1443" t="b">
        <f t="shared" si="1218"/>
        <v>0</v>
      </c>
      <c r="AH2580" s="1443" t="b">
        <f t="shared" si="1218"/>
        <v>0</v>
      </c>
      <c r="AI2580" s="1443" t="b">
        <f t="shared" si="1218"/>
        <v>0</v>
      </c>
    </row>
    <row r="2581" spans="1:38" ht="5.0999999999999996" customHeight="1">
      <c r="B2581" s="479"/>
      <c r="C2581" s="977"/>
      <c r="D2581" s="777"/>
      <c r="E2581" s="777"/>
      <c r="F2581" s="777"/>
      <c r="G2581" s="777"/>
      <c r="H2581" s="777"/>
      <c r="I2581" s="777"/>
      <c r="J2581" s="777"/>
      <c r="K2581" s="777"/>
      <c r="L2581" s="777"/>
      <c r="M2581" s="777"/>
      <c r="N2581" s="1007"/>
      <c r="O2581" s="485"/>
      <c r="P2581" s="485"/>
      <c r="Q2581" s="1435"/>
      <c r="S2581" s="1435"/>
      <c r="V2581" s="1435"/>
      <c r="X2581" s="1778"/>
      <c r="Y2581" s="1778"/>
    </row>
    <row r="2582" spans="1:38" ht="12.75" customHeight="1">
      <c r="B2582" s="479"/>
      <c r="C2582" s="977"/>
      <c r="D2582" s="777" t="s">
        <v>788</v>
      </c>
      <c r="E2582" s="813" t="s">
        <v>1146</v>
      </c>
      <c r="F2582" s="813"/>
      <c r="G2582" s="813"/>
      <c r="H2582" s="813"/>
      <c r="I2582" s="813"/>
      <c r="J2582" s="813"/>
      <c r="K2582" s="813"/>
      <c r="L2582" s="813"/>
      <c r="M2582" s="813"/>
      <c r="N2582" s="1007"/>
      <c r="O2582" s="485"/>
      <c r="P2582" s="485"/>
      <c r="Q2582" s="1435"/>
      <c r="S2582" s="1435"/>
      <c r="V2582" s="1435"/>
      <c r="X2582" s="1778"/>
      <c r="Y2582" s="1778"/>
    </row>
    <row r="2583" spans="1:38" ht="12.75" customHeight="1">
      <c r="B2583" s="479"/>
      <c r="C2583" s="977"/>
      <c r="D2583" s="777"/>
      <c r="E2583" s="1779" t="s">
        <v>1459</v>
      </c>
      <c r="F2583" s="978"/>
      <c r="G2583" s="978"/>
      <c r="H2583" s="978"/>
      <c r="I2583" s="978"/>
      <c r="J2583" s="978"/>
      <c r="K2583" s="978"/>
      <c r="L2583" s="978"/>
      <c r="M2583" s="978"/>
      <c r="N2583" s="979"/>
      <c r="O2583" s="485"/>
      <c r="P2583" s="485"/>
      <c r="Q2583" s="1435"/>
      <c r="S2583" s="1435"/>
      <c r="V2583" s="1435"/>
      <c r="X2583" s="1778"/>
      <c r="Y2583" s="1778"/>
    </row>
    <row r="2584" spans="1:38" ht="12.75" customHeight="1">
      <c r="B2584" s="479"/>
      <c r="C2584" s="977"/>
      <c r="D2584" s="777"/>
      <c r="E2584" s="3273"/>
      <c r="F2584" s="3274"/>
      <c r="G2584" s="3274"/>
      <c r="H2584" s="3274"/>
      <c r="I2584" s="3274"/>
      <c r="J2584" s="3274"/>
      <c r="K2584" s="3274"/>
      <c r="L2584" s="3274"/>
      <c r="M2584" s="3275"/>
      <c r="N2584" s="1007"/>
      <c r="O2584" s="485"/>
      <c r="P2584" s="9"/>
      <c r="Q2584" s="1435"/>
      <c r="S2584" s="1435"/>
      <c r="V2584" s="1435"/>
      <c r="X2584" s="1778"/>
      <c r="Y2584" s="1778"/>
      <c r="AB2584" s="1641" t="s">
        <v>717</v>
      </c>
      <c r="AC2584" s="1443" t="b">
        <f>AND(AC2579:AI2579)</f>
        <v>0</v>
      </c>
    </row>
    <row r="2585" spans="1:38" ht="12.75" customHeight="1">
      <c r="B2585" s="479"/>
      <c r="C2585" s="977"/>
      <c r="D2585" s="777"/>
      <c r="E2585" s="3276"/>
      <c r="F2585" s="3277"/>
      <c r="G2585" s="3277"/>
      <c r="H2585" s="3277"/>
      <c r="I2585" s="3277"/>
      <c r="J2585" s="3277"/>
      <c r="K2585" s="3277"/>
      <c r="L2585" s="3277"/>
      <c r="M2585" s="3278"/>
      <c r="N2585" s="1007"/>
      <c r="O2585" s="485"/>
      <c r="P2585" s="485"/>
      <c r="Q2585" s="1435"/>
      <c r="S2585" s="1435"/>
      <c r="V2585" s="1435"/>
      <c r="X2585" s="1778"/>
      <c r="Y2585" s="1778"/>
      <c r="AC2585" s="1443" t="b">
        <f>AC2584</f>
        <v>0</v>
      </c>
    </row>
    <row r="2586" spans="1:38" ht="12.75" customHeight="1" thickBot="1">
      <c r="B2586" s="479"/>
      <c r="C2586" s="1018"/>
      <c r="D2586" s="1019"/>
      <c r="E2586" s="1019"/>
      <c r="F2586" s="1019"/>
      <c r="G2586" s="1019"/>
      <c r="H2586" s="1019"/>
      <c r="I2586" s="1019"/>
      <c r="J2586" s="1019"/>
      <c r="K2586" s="1019"/>
      <c r="L2586" s="1019"/>
      <c r="M2586" s="805"/>
      <c r="N2586" s="806"/>
      <c r="O2586" s="485"/>
      <c r="P2586" s="485"/>
      <c r="Q2586" s="1435"/>
      <c r="S2586" s="1435"/>
      <c r="V2586" s="1435"/>
    </row>
    <row r="2587" spans="1:38" ht="12.75" customHeight="1" thickBot="1">
      <c r="A2587" s="618"/>
      <c r="B2587" s="467"/>
      <c r="C2587" s="467"/>
      <c r="D2587" s="467"/>
      <c r="E2587" s="467"/>
      <c r="F2587" s="467"/>
      <c r="G2587" s="467"/>
      <c r="H2587" s="467"/>
      <c r="I2587" s="467"/>
      <c r="J2587" s="467"/>
      <c r="K2587" s="467"/>
      <c r="L2587" s="467"/>
      <c r="M2587" s="481"/>
      <c r="N2587" s="481"/>
      <c r="O2587" s="481"/>
      <c r="P2587" s="481"/>
      <c r="Q2587" s="1488" t="str">
        <f>IF(OR(AND(CNTR_ExistProductSubEntries=FALSE,Q2267=1),AND(I2267&lt;&gt;"",COUNTIF(Q2588:$Q3271,"PRINT")=0)),"PRINT","")</f>
        <v/>
      </c>
      <c r="R2587" s="1249"/>
      <c r="S2587" s="1249"/>
      <c r="T2587" s="1249"/>
      <c r="U2587" s="1249"/>
      <c r="V2587" s="1249"/>
      <c r="W2587" s="1249"/>
      <c r="X2587" s="1249"/>
      <c r="Y2587" s="1249"/>
      <c r="AE2587" s="1118"/>
      <c r="AF2587" s="1118"/>
      <c r="AG2587" s="1118"/>
      <c r="AH2587" s="1118"/>
      <c r="AI2587" s="1118"/>
      <c r="AJ2587" s="1118"/>
      <c r="AK2587" s="1118"/>
      <c r="AL2587" s="1118"/>
    </row>
    <row r="2588" spans="1:38" ht="5.0999999999999996" customHeight="1" thickBot="1">
      <c r="B2588" s="479"/>
      <c r="C2588" s="1020"/>
      <c r="D2588" s="1020"/>
      <c r="E2588" s="1020"/>
      <c r="F2588" s="1020"/>
      <c r="G2588" s="1020"/>
      <c r="H2588" s="1020"/>
      <c r="I2588" s="1020"/>
      <c r="J2588" s="1020"/>
      <c r="K2588" s="1020"/>
      <c r="L2588" s="1020"/>
      <c r="M2588" s="1020"/>
      <c r="N2588" s="1020"/>
      <c r="O2588" s="485"/>
      <c r="P2588" s="485"/>
      <c r="Q2588" s="1780"/>
      <c r="R2588" s="1780"/>
      <c r="S2588" s="1780"/>
      <c r="T2588" s="1780"/>
      <c r="U2588" s="1780"/>
      <c r="V2588" s="1780"/>
      <c r="W2588" s="1780"/>
      <c r="X2588" s="1780"/>
      <c r="Y2588" s="1780"/>
      <c r="Z2588" s="1780"/>
      <c r="AA2588" s="1780"/>
      <c r="AB2588" s="1780"/>
      <c r="AC2588" s="1780"/>
      <c r="AD2588" s="1780"/>
      <c r="AE2588" s="1780"/>
      <c r="AF2588" s="1780"/>
      <c r="AG2588" s="1780"/>
      <c r="AH2588" s="1780"/>
      <c r="AI2588" s="1780"/>
      <c r="AJ2588" s="1780"/>
      <c r="AK2588" s="1780"/>
      <c r="AL2588" s="1780"/>
    </row>
    <row r="2589" spans="1:38" ht="14.45" customHeight="1" thickBot="1">
      <c r="B2589" s="479"/>
      <c r="C2589" s="897">
        <f>C2267+1</f>
        <v>9</v>
      </c>
      <c r="D2589" s="2482" t="str">
        <f>EUconst_BMSubinst &amp; ":"</f>
        <v>Sub-installation with product benchmark:</v>
      </c>
      <c r="E2589" s="2400"/>
      <c r="F2589" s="2400"/>
      <c r="G2589" s="2400"/>
      <c r="H2589" s="2585"/>
      <c r="I2589" s="3293" t="str">
        <f>IF(INDEX(CNTR_SubInstListIsProdBM,$C2589),INDEX(CNTR_SubInstListNames,$C2589),"")</f>
        <v/>
      </c>
      <c r="J2589" s="3294"/>
      <c r="K2589" s="3294"/>
      <c r="L2589" s="3294"/>
      <c r="M2589" s="3294"/>
      <c r="N2589" s="3297"/>
      <c r="O2589" s="485"/>
      <c r="P2589" s="485"/>
      <c r="Q2589" s="1488">
        <f>C2589</f>
        <v>9</v>
      </c>
      <c r="S2589" s="1633" t="s">
        <v>558</v>
      </c>
      <c r="T2589" s="1634" t="str">
        <f>IF(I2589="","",MAX(INDEX(CNTR_SubInstStartDate,MATCH($I2589,CNTR_SubInstListNames,0)),DATE(2005,1,1)))</f>
        <v/>
      </c>
      <c r="U2589" s="1435" t="s">
        <v>1673</v>
      </c>
      <c r="V2589" s="1635">
        <f>IF(ISNUMBER(T2589),YEAR($T2589-1)+1,2005)</f>
        <v>2005</v>
      </c>
      <c r="W2589" s="1633" t="s">
        <v>1676</v>
      </c>
      <c r="X2589" s="1634" t="str">
        <f>IF(I2589="","",INDEX(CNTR_SubInstCessationDate,MATCH($I2589,CNTR_SubInstListNames,0)))</f>
        <v/>
      </c>
      <c r="Y2589" s="1633" t="s">
        <v>1677</v>
      </c>
      <c r="Z2589" s="1635">
        <f>IF(SUM(X2589)=0,2050,YEAR($X2589))</f>
        <v>2050</v>
      </c>
      <c r="AA2589" s="1633" t="s">
        <v>1925</v>
      </c>
      <c r="AB2589" s="1635" t="b">
        <f>CNTR_ReportingYear&gt;V2589</f>
        <v>1</v>
      </c>
      <c r="AL2589" s="1848" t="b">
        <f>AND(CNTR_ExistSubInstEntries,I2589="")</f>
        <v>0</v>
      </c>
    </row>
    <row r="2590" spans="1:38" ht="12.75" customHeight="1">
      <c r="B2590" s="479"/>
      <c r="C2590" s="479"/>
      <c r="D2590" s="485"/>
      <c r="E2590" s="2385" t="s">
        <v>216</v>
      </c>
      <c r="F2590" s="2846"/>
      <c r="G2590" s="2846"/>
      <c r="H2590" s="2846"/>
      <c r="I2590" s="2846"/>
      <c r="J2590" s="2846"/>
      <c r="K2590" s="2846"/>
      <c r="L2590" s="2846"/>
      <c r="M2590" s="2846"/>
      <c r="N2590" s="2846"/>
      <c r="O2590" s="485"/>
      <c r="P2590" s="485"/>
      <c r="Q2590" s="1435"/>
      <c r="S2590" s="1435"/>
      <c r="T2590" s="1435"/>
    </row>
    <row r="2591" spans="1:38" ht="5.0999999999999996" customHeight="1">
      <c r="B2591" s="479"/>
      <c r="C2591" s="479"/>
      <c r="D2591" s="479"/>
      <c r="E2591" s="479"/>
      <c r="F2591" s="479"/>
      <c r="G2591" s="479"/>
      <c r="H2591" s="479"/>
      <c r="I2591" s="479"/>
      <c r="J2591" s="479"/>
      <c r="K2591" s="479"/>
      <c r="L2591" s="479"/>
      <c r="M2591" s="485"/>
      <c r="N2591" s="485"/>
      <c r="O2591" s="485"/>
      <c r="P2591" s="485"/>
      <c r="Q2591" s="1435"/>
      <c r="S2591" s="1435"/>
      <c r="T2591" s="1435"/>
    </row>
    <row r="2592" spans="1:38">
      <c r="B2592" s="479"/>
      <c r="C2592" s="479"/>
      <c r="D2592" s="482" t="s">
        <v>400</v>
      </c>
      <c r="E2592" s="2373" t="s">
        <v>1930</v>
      </c>
      <c r="F2592" s="2400"/>
      <c r="G2592" s="2400"/>
      <c r="H2592" s="2400"/>
      <c r="I2592" s="2400"/>
      <c r="J2592" s="2400"/>
      <c r="K2592" s="2400"/>
      <c r="L2592" s="2400"/>
      <c r="M2592" s="2400"/>
      <c r="N2592" s="2400"/>
      <c r="O2592" s="485"/>
      <c r="P2592" s="485"/>
      <c r="Q2592" s="1435"/>
    </row>
    <row r="2593" spans="2:38" ht="12.75" customHeight="1">
      <c r="B2593" s="479"/>
      <c r="C2593" s="479"/>
      <c r="D2593" s="485"/>
      <c r="E2593" s="2385" t="s">
        <v>801</v>
      </c>
      <c r="F2593" s="2846"/>
      <c r="G2593" s="2846"/>
      <c r="H2593" s="2846"/>
      <c r="I2593" s="2846"/>
      <c r="J2593" s="2846"/>
      <c r="K2593" s="2846"/>
      <c r="L2593" s="2846"/>
      <c r="M2593" s="2846"/>
      <c r="N2593" s="2846"/>
      <c r="O2593" s="485"/>
      <c r="P2593" s="485"/>
      <c r="Q2593" s="1435"/>
      <c r="S2593" s="1435"/>
      <c r="T2593" s="1435"/>
      <c r="U2593" s="1435"/>
    </row>
    <row r="2594" spans="2:38" ht="12.75" customHeight="1">
      <c r="B2594" s="479"/>
      <c r="C2594" s="479"/>
      <c r="D2594" s="485"/>
      <c r="E2594" s="2385" t="s">
        <v>1199</v>
      </c>
      <c r="F2594" s="2846"/>
      <c r="G2594" s="2846"/>
      <c r="H2594" s="2846"/>
      <c r="I2594" s="2846"/>
      <c r="J2594" s="2846"/>
      <c r="K2594" s="2846"/>
      <c r="L2594" s="2846"/>
      <c r="M2594" s="2846"/>
      <c r="N2594" s="2846"/>
      <c r="O2594" s="485"/>
      <c r="P2594" s="485"/>
      <c r="Q2594" s="1435"/>
      <c r="S2594" s="1435"/>
      <c r="T2594" s="1435"/>
      <c r="U2594" s="1435"/>
    </row>
    <row r="2595" spans="2:38" ht="12.75" customHeight="1">
      <c r="B2595" s="479"/>
      <c r="C2595" s="479"/>
      <c r="D2595" s="485"/>
      <c r="E2595" s="2385" t="s">
        <v>125</v>
      </c>
      <c r="F2595" s="2846"/>
      <c r="G2595" s="2846"/>
      <c r="H2595" s="2846"/>
      <c r="I2595" s="2846"/>
      <c r="J2595" s="2846"/>
      <c r="K2595" s="2846"/>
      <c r="L2595" s="2846"/>
      <c r="M2595" s="2846"/>
      <c r="N2595" s="2846"/>
      <c r="O2595" s="485"/>
      <c r="P2595" s="485"/>
      <c r="Q2595" s="1435"/>
      <c r="S2595" s="1435"/>
      <c r="Z2595" s="1435"/>
    </row>
    <row r="2596" spans="2:38" ht="13.5" customHeight="1" thickBot="1">
      <c r="B2596" s="1124"/>
      <c r="C2596" s="485"/>
      <c r="D2596" s="482"/>
      <c r="E2596" s="2509" t="s">
        <v>1447</v>
      </c>
      <c r="F2596" s="2509"/>
      <c r="G2596" s="663" t="str">
        <f>EUconst_Unit</f>
        <v>Unit</v>
      </c>
      <c r="H2596" s="578">
        <f t="shared" ref="H2596:N2596" si="1219">H$3242</f>
        <v>2024</v>
      </c>
      <c r="I2596" s="697">
        <f t="shared" si="1219"/>
        <v>2025</v>
      </c>
      <c r="J2596" s="1489">
        <f t="shared" si="1219"/>
        <v>2026</v>
      </c>
      <c r="K2596" s="1490">
        <f t="shared" si="1219"/>
        <v>2027</v>
      </c>
      <c r="L2596" s="1490">
        <f t="shared" si="1219"/>
        <v>2028</v>
      </c>
      <c r="M2596" s="1490">
        <f t="shared" si="1219"/>
        <v>2029</v>
      </c>
      <c r="N2596" s="1490">
        <f t="shared" si="1219"/>
        <v>2030</v>
      </c>
      <c r="O2596" s="485"/>
      <c r="P2596" s="485"/>
      <c r="Q2596" s="1435"/>
      <c r="T2596" s="1638">
        <f t="shared" ref="T2596:Z2596" si="1220">H2596</f>
        <v>2024</v>
      </c>
      <c r="U2596" s="1638">
        <f t="shared" si="1220"/>
        <v>2025</v>
      </c>
      <c r="V2596" s="1638">
        <f t="shared" si="1220"/>
        <v>2026</v>
      </c>
      <c r="W2596" s="1638">
        <f t="shared" si="1220"/>
        <v>2027</v>
      </c>
      <c r="X2596" s="1638">
        <f t="shared" si="1220"/>
        <v>2028</v>
      </c>
      <c r="Y2596" s="1638">
        <f t="shared" si="1220"/>
        <v>2029</v>
      </c>
      <c r="Z2596" s="1638">
        <f t="shared" si="1220"/>
        <v>2030</v>
      </c>
      <c r="AC2596" s="1638">
        <f t="shared" ref="AC2596:AI2596" si="1221">H$20</f>
        <v>2024</v>
      </c>
      <c r="AD2596" s="1638">
        <f t="shared" si="1221"/>
        <v>2025</v>
      </c>
      <c r="AE2596" s="1638">
        <f t="shared" si="1221"/>
        <v>2026</v>
      </c>
      <c r="AF2596" s="1638">
        <f t="shared" si="1221"/>
        <v>2027</v>
      </c>
      <c r="AG2596" s="1638">
        <f t="shared" si="1221"/>
        <v>2028</v>
      </c>
      <c r="AH2596" s="1638">
        <f t="shared" si="1221"/>
        <v>2029</v>
      </c>
      <c r="AI2596" s="1638">
        <f t="shared" si="1221"/>
        <v>2030</v>
      </c>
      <c r="AL2596" s="1435"/>
    </row>
    <row r="2597" spans="2:38" ht="13.5" thickBot="1">
      <c r="B2597" s="1124"/>
      <c r="C2597" s="485"/>
      <c r="D2597" s="561" t="s">
        <v>6</v>
      </c>
      <c r="E2597" s="3296" t="str">
        <f>I2589</f>
        <v/>
      </c>
      <c r="F2597" s="3296"/>
      <c r="G2597" s="898" t="str">
        <f>IF(INDEX(CNTR_SubInstListIsProdBM,$C2589),INDEX(CNTR_SubInstListHALUnit,$C2589),EUconst_Tons)</f>
        <v>tonnes</v>
      </c>
      <c r="H2597" s="1818" t="str">
        <f>c_ALR2025!M5143</f>
        <v/>
      </c>
      <c r="I2597" s="1878"/>
      <c r="J2597" s="1819"/>
      <c r="K2597" s="1820"/>
      <c r="L2597" s="1820"/>
      <c r="M2597" s="1820"/>
      <c r="N2597" s="1820"/>
      <c r="O2597" s="485"/>
      <c r="P2597" s="9"/>
      <c r="S2597" s="1435" t="s">
        <v>1674</v>
      </c>
      <c r="T2597" s="1850" t="b">
        <f t="shared" ref="T2597:Z2597" si="1222">AND($I2589&lt;&gt;"",H2596&lt;CNTR_ReportingYear,H2596&gt;=$V2589-1)</f>
        <v>0</v>
      </c>
      <c r="U2597" s="1851" t="b">
        <f t="shared" si="1222"/>
        <v>0</v>
      </c>
      <c r="V2597" s="1851" t="b">
        <f t="shared" si="1222"/>
        <v>0</v>
      </c>
      <c r="W2597" s="1851" t="b">
        <f t="shared" si="1222"/>
        <v>0</v>
      </c>
      <c r="X2597" s="1851" t="b">
        <f t="shared" si="1222"/>
        <v>0</v>
      </c>
      <c r="Y2597" s="1851" t="b">
        <f t="shared" si="1222"/>
        <v>0</v>
      </c>
      <c r="Z2597" s="1852" t="b">
        <f t="shared" si="1222"/>
        <v>0</v>
      </c>
      <c r="AA2597" s="1435"/>
      <c r="AB2597" s="1641" t="s">
        <v>717</v>
      </c>
      <c r="AC2597" s="1853" t="b">
        <f t="shared" ref="AC2597:AI2597" si="1223">IF(CNTR_ExistSubInstEntries,OR($I2589="",$R2601,H2596&gt;=CNTR_ReportingYear,AC2596&lt;$V2589-1),FALSE)</f>
        <v>0</v>
      </c>
      <c r="AD2597" s="1642" t="b">
        <f t="shared" si="1223"/>
        <v>0</v>
      </c>
      <c r="AE2597" s="1642" t="b">
        <f t="shared" si="1223"/>
        <v>0</v>
      </c>
      <c r="AF2597" s="1642" t="b">
        <f t="shared" si="1223"/>
        <v>0</v>
      </c>
      <c r="AG2597" s="1642" t="b">
        <f t="shared" si="1223"/>
        <v>0</v>
      </c>
      <c r="AH2597" s="1642" t="b">
        <f t="shared" si="1223"/>
        <v>0</v>
      </c>
      <c r="AI2597" s="1643" t="b">
        <f t="shared" si="1223"/>
        <v>0</v>
      </c>
      <c r="AJ2597" s="1633" t="s">
        <v>1954</v>
      </c>
      <c r="AK2597" s="1635" t="str">
        <f>IF(AND(CNTR_ExistSubInstEntries,COUNTIFS(AC2597:AI2597,FALSE,H2597:N2597,"")&gt;0),EUconst_Error&amp;"BM"&amp;$Q2589,"")</f>
        <v/>
      </c>
    </row>
    <row r="2598" spans="2:38" ht="13.15" customHeight="1" thickBot="1">
      <c r="B2598" s="1124"/>
      <c r="C2598" s="485"/>
      <c r="D2598" s="561" t="s">
        <v>7</v>
      </c>
      <c r="E2598" s="3296" t="s">
        <v>123</v>
      </c>
      <c r="F2598" s="3296"/>
      <c r="G2598" s="898" t="str">
        <f>G2597</f>
        <v>tonnes</v>
      </c>
      <c r="H2598" s="899" t="str">
        <f>IF(OR($I2589="",H2596&gt;=CNTR_ReportingYear),"",IF($R2601,SUMIF(H_SpecialBM!$Q$9:$Q$414,$Q2598,H_SpecialBM!H$9:H$414),""))</f>
        <v/>
      </c>
      <c r="I2598" s="900" t="str">
        <f>IF(OR($I2589="",I2596&gt;=CNTR_ReportingYear),"",IF($R2601,SUMIF(H_SpecialBM!$Q$9:$Q$414,$Q2598,H_SpecialBM!I$9:I$414),""))</f>
        <v/>
      </c>
      <c r="J2598" s="1819" t="str">
        <f>IF(OR($I2589="",J2596&gt;=CNTR_ReportingYear),"",IF($R2601,SUMIF(H_SpecialBM!$Q$9:$Q$414,$Q2598,H_SpecialBM!J$9:J$414),""))</f>
        <v/>
      </c>
      <c r="K2598" s="1820" t="str">
        <f>IF(OR($I2589="",K2596&gt;=CNTR_ReportingYear),"",IF($R2601,SUMIF(H_SpecialBM!$Q$9:$Q$414,$Q2598,H_SpecialBM!K$9:K$414),""))</f>
        <v/>
      </c>
      <c r="L2598" s="1820" t="str">
        <f>IF(OR($I2589="",L2596&gt;=CNTR_ReportingYear),"",IF($R2601,SUMIF(H_SpecialBM!$Q$9:$Q$414,$Q2598,H_SpecialBM!L$9:L$414),""))</f>
        <v/>
      </c>
      <c r="M2598" s="1820" t="str">
        <f>IF(OR($I2589="",M2596&gt;=CNTR_ReportingYear),"",IF($R2601,SUMIF(H_SpecialBM!$Q$9:$Q$414,$Q2598,H_SpecialBM!M$9:M$414),""))</f>
        <v/>
      </c>
      <c r="N2598" s="1820" t="str">
        <f>IF(OR($I2589="",N2596&gt;=CNTR_ReportingYear),"",IF($R2601,SUMIF(H_SpecialBM!$Q$9:$Q$414,$Q2598,H_SpecialBM!N$9:N$414),""))</f>
        <v/>
      </c>
      <c r="O2598" s="485"/>
      <c r="P2598" s="485"/>
      <c r="Q2598" s="1644" t="str">
        <f>EUconst_CNTR_HALspecial&amp;I2589</f>
        <v>HALspecial_</v>
      </c>
      <c r="AB2598" s="1641" t="s">
        <v>717</v>
      </c>
      <c r="AC2598" s="1853" t="b">
        <f t="shared" ref="AC2598:AI2598" si="1224">AND(CNTR_HasEntries_A_I,OR($R2601=FALSE,H2596&gt;=CNTR_ReportingYear))</f>
        <v>0</v>
      </c>
      <c r="AD2598" s="1642" t="b">
        <f t="shared" si="1224"/>
        <v>0</v>
      </c>
      <c r="AE2598" s="1642" t="b">
        <f t="shared" si="1224"/>
        <v>0</v>
      </c>
      <c r="AF2598" s="1642" t="b">
        <f t="shared" si="1224"/>
        <v>0</v>
      </c>
      <c r="AG2598" s="1642" t="b">
        <f t="shared" si="1224"/>
        <v>0</v>
      </c>
      <c r="AH2598" s="1642" t="b">
        <f t="shared" si="1224"/>
        <v>0</v>
      </c>
      <c r="AI2598" s="1643" t="b">
        <f t="shared" si="1224"/>
        <v>0</v>
      </c>
      <c r="AJ2598" s="1624"/>
      <c r="AK2598" s="1624"/>
      <c r="AL2598" s="1435"/>
    </row>
    <row r="2599" spans="2:38" ht="13.15" customHeight="1">
      <c r="B2599" s="1124"/>
      <c r="C2599" s="485"/>
      <c r="D2599" s="561" t="s">
        <v>8</v>
      </c>
      <c r="E2599" s="3296" t="s">
        <v>124</v>
      </c>
      <c r="F2599" s="3296"/>
      <c r="G2599" s="898" t="str">
        <f>G2598</f>
        <v>tonnes</v>
      </c>
      <c r="H2599" s="899" t="str">
        <f t="shared" ref="H2599:N2599" si="1225">IF(OR($I2589="",H2596&gt;=CNTR_ReportingYear),"",IF($R2601=TRUE,IF(ISNUMBER(H2598),H2598,0),IF(AND(H2596&gt;=$V2589-1,ISNUMBER(H2597)),H2597,0)))</f>
        <v/>
      </c>
      <c r="I2599" s="900" t="str">
        <f t="shared" si="1225"/>
        <v/>
      </c>
      <c r="J2599" s="1819" t="str">
        <f t="shared" si="1225"/>
        <v/>
      </c>
      <c r="K2599" s="1820" t="str">
        <f t="shared" si="1225"/>
        <v/>
      </c>
      <c r="L2599" s="1820" t="str">
        <f t="shared" si="1225"/>
        <v/>
      </c>
      <c r="M2599" s="1820" t="str">
        <f t="shared" si="1225"/>
        <v/>
      </c>
      <c r="N2599" s="1820" t="str">
        <f t="shared" si="1225"/>
        <v/>
      </c>
      <c r="O2599" s="485"/>
      <c r="P2599" s="1136"/>
      <c r="Q2599" s="1644" t="str">
        <f>EUconst_CNTR_HAL&amp;I2589</f>
        <v>HAL_</v>
      </c>
      <c r="AJ2599" s="1633" t="s">
        <v>1951</v>
      </c>
      <c r="AK2599" s="1443" t="str">
        <f>IF(COUNTIFS(H2596:N2596,"&lt;"&amp;YEAR(SUM(T2589)),H2599:N2599,"&gt;"&amp;0)&gt;0,EUconst_Error&amp;"BM"&amp;Q2589,"")</f>
        <v/>
      </c>
      <c r="AL2599" s="1435"/>
    </row>
    <row r="2600" spans="2:38" ht="5.0999999999999996" customHeight="1">
      <c r="B2600" s="479"/>
      <c r="C2600" s="479"/>
      <c r="D2600" s="479"/>
      <c r="E2600" s="479"/>
      <c r="F2600" s="479"/>
      <c r="G2600" s="479"/>
      <c r="H2600" s="479"/>
      <c r="I2600" s="479"/>
      <c r="J2600" s="479"/>
      <c r="K2600" s="479"/>
      <c r="L2600" s="479"/>
      <c r="M2600" s="485"/>
      <c r="N2600" s="485"/>
      <c r="O2600" s="485"/>
      <c r="P2600" s="485"/>
      <c r="Q2600" s="1435"/>
      <c r="S2600" s="1435"/>
      <c r="T2600" s="1435"/>
    </row>
    <row r="2601" spans="2:38" ht="12.75" customHeight="1">
      <c r="B2601" s="479"/>
      <c r="C2601" s="479"/>
      <c r="D2601" s="561" t="s">
        <v>18</v>
      </c>
      <c r="E2601" s="2373" t="s">
        <v>922</v>
      </c>
      <c r="F2601" s="2373"/>
      <c r="G2601" s="2604"/>
      <c r="H2601" s="2652" t="str">
        <f>IF(I2589="","",HYPERLINK(INDEX(EUconst_BMlistSpecialJumpTable,MATCH(I2589,EUconst_BMlistNames,0)),INDEX(EUconst_BMlistSpecialReporting,MATCH(I2589,EUconst_BMlistNames,0))))</f>
        <v/>
      </c>
      <c r="I2601" s="2689"/>
      <c r="J2601" s="2689"/>
      <c r="K2601" s="2689"/>
      <c r="L2601" s="2689"/>
      <c r="M2601" s="2689"/>
      <c r="N2601" s="2690"/>
      <c r="O2601" s="485"/>
      <c r="P2601" s="485"/>
      <c r="Q2601" s="1633" t="s">
        <v>122</v>
      </c>
      <c r="R2601" s="1443" t="str">
        <f>IF(I2589="","",IF(AND(INDEX(EUconst_BMlistSpecialJumpTable,MATCH(I2589,EUconst_BMlistNames,0))&lt;&gt;"",MATCH(I2589,EUconst_BMlistNames,0)&lt;&gt;47),TRUE,FALSE))</f>
        <v/>
      </c>
      <c r="S2601" s="1435"/>
      <c r="T2601" s="1435"/>
    </row>
    <row r="2602" spans="2:38" ht="12.75" customHeight="1">
      <c r="B2602" s="479"/>
      <c r="C2602" s="479"/>
      <c r="D2602" s="485"/>
      <c r="E2602" s="2385" t="s">
        <v>923</v>
      </c>
      <c r="F2602" s="2846"/>
      <c r="G2602" s="2846"/>
      <c r="H2602" s="2846"/>
      <c r="I2602" s="2846"/>
      <c r="J2602" s="2846"/>
      <c r="K2602" s="2846"/>
      <c r="L2602" s="2846"/>
      <c r="M2602" s="2846"/>
      <c r="N2602" s="2846"/>
      <c r="O2602" s="485"/>
      <c r="P2602" s="485"/>
      <c r="Q2602" s="1435"/>
      <c r="S2602" s="1435"/>
      <c r="T2602" s="1435"/>
    </row>
    <row r="2603" spans="2:38" ht="5.0999999999999996" customHeight="1">
      <c r="B2603" s="479"/>
      <c r="C2603" s="479"/>
      <c r="D2603" s="485"/>
      <c r="E2603" s="485"/>
      <c r="F2603" s="485"/>
      <c r="G2603" s="485"/>
      <c r="H2603" s="485"/>
      <c r="I2603" s="485"/>
      <c r="J2603" s="485"/>
      <c r="K2603" s="485"/>
      <c r="L2603" s="485"/>
      <c r="M2603" s="485"/>
      <c r="N2603" s="485"/>
      <c r="O2603" s="485"/>
      <c r="P2603" s="485"/>
      <c r="Q2603" s="1435"/>
      <c r="S2603" s="1435"/>
      <c r="T2603" s="1435"/>
      <c r="Z2603" s="1435"/>
      <c r="AL2603" s="1435"/>
    </row>
    <row r="2604" spans="2:38" ht="12.75" customHeight="1">
      <c r="B2604" s="479"/>
      <c r="C2604" s="479"/>
      <c r="D2604" s="482" t="s">
        <v>876</v>
      </c>
      <c r="E2604" s="2373" t="s">
        <v>1709</v>
      </c>
      <c r="F2604" s="2400"/>
      <c r="G2604" s="2400"/>
      <c r="H2604" s="2400"/>
      <c r="I2604" s="2400"/>
      <c r="J2604" s="2400"/>
      <c r="K2604" s="2400"/>
      <c r="L2604" s="2400"/>
      <c r="M2604" s="2400"/>
      <c r="N2604" s="2400"/>
      <c r="O2604" s="485"/>
      <c r="P2604" s="485"/>
      <c r="Q2604" s="1435"/>
      <c r="S2604" s="1435"/>
      <c r="T2604" s="1435"/>
      <c r="Z2604" s="1435"/>
      <c r="AL2604" s="1435"/>
    </row>
    <row r="2605" spans="2:38" ht="12.75" customHeight="1">
      <c r="B2605" s="479"/>
      <c r="C2605" s="479"/>
      <c r="D2605" s="485"/>
      <c r="E2605" s="2385" t="s">
        <v>1958</v>
      </c>
      <c r="F2605" s="2846"/>
      <c r="G2605" s="2846"/>
      <c r="H2605" s="2846"/>
      <c r="I2605" s="2846"/>
      <c r="J2605" s="2846"/>
      <c r="K2605" s="2846"/>
      <c r="L2605" s="2846"/>
      <c r="M2605" s="2846"/>
      <c r="N2605" s="2846"/>
      <c r="O2605" s="485"/>
      <c r="P2605" s="485"/>
      <c r="Q2605" s="1435"/>
      <c r="S2605" s="1435"/>
      <c r="T2605" s="1435"/>
      <c r="U2605" s="1435"/>
    </row>
    <row r="2606" spans="2:38" ht="25.5" customHeight="1">
      <c r="B2606" s="479"/>
      <c r="C2606" s="479"/>
      <c r="D2606" s="485"/>
      <c r="E2606" s="2385" t="s">
        <v>1696</v>
      </c>
      <c r="F2606" s="2846"/>
      <c r="G2606" s="2846"/>
      <c r="H2606" s="2846"/>
      <c r="I2606" s="2846"/>
      <c r="J2606" s="2846"/>
      <c r="K2606" s="2846"/>
      <c r="L2606" s="2846"/>
      <c r="M2606" s="2846"/>
      <c r="N2606" s="2846"/>
      <c r="O2606" s="485"/>
      <c r="P2606" s="485"/>
      <c r="Q2606" s="1435"/>
      <c r="S2606" s="1435"/>
      <c r="T2606" s="1435"/>
      <c r="U2606" s="1435"/>
    </row>
    <row r="2607" spans="2:38" ht="12.75" customHeight="1">
      <c r="B2607" s="479"/>
      <c r="C2607" s="479"/>
      <c r="D2607" s="485"/>
      <c r="E2607" s="901" t="s">
        <v>1021</v>
      </c>
      <c r="F2607" s="3050" t="s">
        <v>2711</v>
      </c>
      <c r="G2607" s="2584"/>
      <c r="H2607" s="2584"/>
      <c r="I2607" s="2584"/>
      <c r="J2607" s="2584"/>
      <c r="K2607" s="2584"/>
      <c r="L2607" s="2584"/>
      <c r="M2607" s="2584"/>
      <c r="N2607" s="2584"/>
      <c r="O2607" s="485"/>
      <c r="P2607" s="485"/>
      <c r="Q2607" s="1435"/>
      <c r="S2607" s="1435"/>
      <c r="T2607" s="1435"/>
      <c r="U2607" s="1435"/>
    </row>
    <row r="2608" spans="2:38" ht="12.75" customHeight="1" thickBot="1">
      <c r="B2608" s="479"/>
      <c r="C2608" s="479"/>
      <c r="D2608" s="485"/>
      <c r="E2608" s="901" t="s">
        <v>1021</v>
      </c>
      <c r="F2608" s="3050" t="s">
        <v>1985</v>
      </c>
      <c r="G2608" s="2584"/>
      <c r="H2608" s="2584"/>
      <c r="I2608" s="2584"/>
      <c r="J2608" s="2584"/>
      <c r="K2608" s="2584"/>
      <c r="L2608" s="2584"/>
      <c r="M2608" s="2584"/>
      <c r="N2608" s="2584"/>
      <c r="O2608" s="485"/>
      <c r="P2608" s="485"/>
      <c r="Q2608" s="1435"/>
      <c r="S2608" s="1435"/>
      <c r="T2608" s="1435"/>
      <c r="U2608" s="1435"/>
    </row>
    <row r="2609" spans="1:38" ht="5.0999999999999996" customHeight="1" thickBot="1">
      <c r="B2609" s="479"/>
      <c r="C2609" s="479"/>
      <c r="D2609" s="902"/>
      <c r="E2609" s="903"/>
      <c r="F2609" s="904"/>
      <c r="G2609" s="905"/>
      <c r="H2609" s="905"/>
      <c r="I2609" s="905"/>
      <c r="J2609" s="906"/>
      <c r="K2609" s="1798"/>
      <c r="L2609" s="1798"/>
      <c r="M2609" s="1798"/>
      <c r="N2609" s="1798"/>
      <c r="O2609" s="485"/>
      <c r="P2609" s="485"/>
      <c r="Q2609" s="1435"/>
      <c r="S2609" s="1435"/>
      <c r="T2609" s="1435"/>
      <c r="U2609" s="1435"/>
    </row>
    <row r="2610" spans="1:38" ht="12.75" customHeight="1">
      <c r="B2610" s="479"/>
      <c r="C2610" s="479"/>
      <c r="D2610" s="907"/>
      <c r="E2610" s="908" t="s">
        <v>1690</v>
      </c>
      <c r="F2610" s="909"/>
      <c r="G2610" s="909"/>
      <c r="H2610" s="910" t="str">
        <f>EUconst_Unit</f>
        <v>Unit</v>
      </c>
      <c r="I2610" s="911" t="s">
        <v>2213</v>
      </c>
      <c r="J2610" s="1647">
        <f>J$3242</f>
        <v>2026</v>
      </c>
      <c r="K2610" s="1490">
        <f>K$3242</f>
        <v>2027</v>
      </c>
      <c r="L2610" s="1490">
        <f>L$3242</f>
        <v>2028</v>
      </c>
      <c r="M2610" s="1490">
        <f>M$3242</f>
        <v>2029</v>
      </c>
      <c r="N2610" s="1490">
        <f>N$3242</f>
        <v>2030</v>
      </c>
      <c r="O2610" s="485"/>
      <c r="P2610" s="485"/>
      <c r="Q2610" s="1435"/>
      <c r="U2610" s="1648"/>
      <c r="V2610" s="1649">
        <f>J2610</f>
        <v>2026</v>
      </c>
      <c r="W2610" s="1649">
        <f>K2610</f>
        <v>2027</v>
      </c>
      <c r="X2610" s="1649">
        <f>L2610</f>
        <v>2028</v>
      </c>
      <c r="Y2610" s="1649">
        <f>M2610</f>
        <v>2029</v>
      </c>
      <c r="Z2610" s="1650">
        <f>N2610</f>
        <v>2030</v>
      </c>
    </row>
    <row r="2611" spans="1:38" ht="12.75" customHeight="1">
      <c r="B2611" s="479"/>
      <c r="C2611" s="479"/>
      <c r="D2611" s="915" t="s">
        <v>6</v>
      </c>
      <c r="E2611" s="916" t="s">
        <v>1976</v>
      </c>
      <c r="F2611" s="916"/>
      <c r="G2611" s="916"/>
      <c r="H2611" s="639" t="str">
        <f>IF(INDEX(CNTR_SubInstListIsProdBM,$C2589),INDEX(CNTR_SubInstListHALUnit,$C2589),EUconst_Tons)</f>
        <v>tonnes</v>
      </c>
      <c r="I2611" s="917" t="str">
        <f>IF(V2589&gt;($J$3242-3),EUconst_NA,INDEX('B+C_SubInstallations'!$I:$I,MATCH(Q2611,'B+C_SubInstallations'!$T:$T,0)))</f>
        <v/>
      </c>
      <c r="J2611" s="1651" t="str">
        <f>IF(AND(V2611&gt;=3,CNTR_ReportingYear&gt;J2610-1),AVERAGE(H2599:I2599),"")</f>
        <v/>
      </c>
      <c r="K2611" s="1799" t="str">
        <f>IF(AND(W2611&gt;=3,CNTR_ReportingYear&gt;K2610-1),AVERAGE(I2599:J2599),"")</f>
        <v/>
      </c>
      <c r="L2611" s="1799" t="str">
        <f>IF(AND(X2611&gt;=3,CNTR_ReportingYear&gt;L2610-1),AVERAGE(J2599:K2599),"")</f>
        <v/>
      </c>
      <c r="M2611" s="1799" t="str">
        <f>IF(AND(Y2611&gt;=3,CNTR_ReportingYear&gt;M2610-1),AVERAGE(K2599:L2599),"")</f>
        <v/>
      </c>
      <c r="N2611" s="1799" t="str">
        <f>IF(AND(Z2611&gt;=3,CNTR_ReportingYear&gt;N2610-1),AVERAGE(L2599:M2599),"")</f>
        <v/>
      </c>
      <c r="O2611" s="485"/>
      <c r="P2611" s="485"/>
      <c r="Q2611" s="1641" t="str">
        <f>EUconst_CNTR_HALinitial&amp;I2589</f>
        <v>HALini_</v>
      </c>
      <c r="U2611" s="1653" t="s">
        <v>1650</v>
      </c>
      <c r="V2611" s="1635">
        <f>IF($I2589="",0,V2610-$V2589+1)</f>
        <v>0</v>
      </c>
      <c r="W2611" s="1635">
        <f>IF($I2589="",0,W2610-$V2589+1)</f>
        <v>0</v>
      </c>
      <c r="X2611" s="1635">
        <f>IF($I2589="",0,X2610-$V2589+1)</f>
        <v>0</v>
      </c>
      <c r="Y2611" s="1635">
        <f>IF($I2589="",0,Y2610-$V2589+1)</f>
        <v>0</v>
      </c>
      <c r="Z2611" s="1654">
        <f>IF($I2589="",0,Z2610-$V2589+1)</f>
        <v>0</v>
      </c>
    </row>
    <row r="2612" spans="1:38" ht="12.75" hidden="1" customHeight="1">
      <c r="A2612" s="618" t="s">
        <v>2289</v>
      </c>
      <c r="B2612" s="479"/>
      <c r="C2612" s="479"/>
      <c r="D2612" s="918"/>
      <c r="E2612" s="919" t="s">
        <v>1648</v>
      </c>
      <c r="F2612" s="919"/>
      <c r="G2612" s="919"/>
      <c r="H2612" s="920"/>
      <c r="I2612" s="1655"/>
      <c r="J2612" s="16" t="str">
        <f>IF(J2611="","",IF($I2614=0,IF(J2611=0,0%,100%),J2611/$I2614-1))</f>
        <v/>
      </c>
      <c r="K2612" s="22" t="str">
        <f>IF(K2611="","",IF($I2614=0,IF(K2611=0,0%,100%),K2611/$I2614-1))</f>
        <v/>
      </c>
      <c r="L2612" s="22" t="str">
        <f>IF(L2611="","",IF($I2614=0,IF(L2611=0,0%,100%),L2611/$I2614-1))</f>
        <v/>
      </c>
      <c r="M2612" s="22" t="str">
        <f>IF(M2611="","",IF($I2614=0,IF(M2611=0,0%,100%),M2611/$I2614-1))</f>
        <v/>
      </c>
      <c r="N2612" s="22" t="str">
        <f>IF(N2611="","",IF($I2614=0,IF(N2611=0,0%,100%),N2611/$I2614-1))</f>
        <v/>
      </c>
      <c r="O2612" s="485"/>
      <c r="P2612" s="485"/>
      <c r="Q2612" s="1644" t="str">
        <f>EUconst_CNTR_RelThreshold &amp; Q2614</f>
        <v>RelThresh_HALprelim_</v>
      </c>
      <c r="U2612" s="1653" t="s">
        <v>1655</v>
      </c>
      <c r="V2612" s="1158" t="str">
        <f>IF(J2611="","",ABS(J2612)&gt;15%)</f>
        <v/>
      </c>
      <c r="W2612" s="1158" t="str">
        <f>IF(K2611="","",ABS(K2612)&gt;15%)</f>
        <v/>
      </c>
      <c r="X2612" s="1158" t="str">
        <f>IF(L2611="","",ABS(L2612)&gt;15%)</f>
        <v/>
      </c>
      <c r="Y2612" s="1158" t="str">
        <f>IF(M2611="","",ABS(M2612)&gt;15%)</f>
        <v/>
      </c>
      <c r="Z2612" s="1656" t="str">
        <f>IF(N2611="","",ABS(N2612)&gt;15%)</f>
        <v/>
      </c>
      <c r="AL2612" s="1435"/>
    </row>
    <row r="2613" spans="1:38" ht="12.75" customHeight="1">
      <c r="A2613" s="618"/>
      <c r="B2613" s="479"/>
      <c r="C2613" s="479"/>
      <c r="D2613" s="915" t="s">
        <v>7</v>
      </c>
      <c r="E2613" s="916" t="s">
        <v>1654</v>
      </c>
      <c r="F2613" s="916"/>
      <c r="G2613" s="916"/>
      <c r="H2613" s="921"/>
      <c r="I2613" s="1657"/>
      <c r="J2613" s="1658" t="str">
        <f>IF(J2611="","",IF(V2612=FALSE,0%,IF(V2613,J2612,I2619)))</f>
        <v/>
      </c>
      <c r="K2613" s="1795" t="str">
        <f>IF(K2611="","",IF(W2612=FALSE,0%,IF(W2613,K2612,J2619)))</f>
        <v/>
      </c>
      <c r="L2613" s="1795" t="str">
        <f>IF(L2611="","",IF(X2612=FALSE,0%,IF(X2613,L2612,K2619)))</f>
        <v/>
      </c>
      <c r="M2613" s="1795" t="str">
        <f>IF(M2611="","",IF(Y2612=FALSE,0%,IF(Y2613,M2612,L2619)))</f>
        <v/>
      </c>
      <c r="N2613" s="1795" t="str">
        <f>IF(N2611="","",IF(Z2612=FALSE,0%,IF(Z2613,N2612,M2619)))</f>
        <v/>
      </c>
      <c r="O2613" s="485"/>
      <c r="P2613" s="485"/>
      <c r="U2613" s="1653" t="s">
        <v>1656</v>
      </c>
      <c r="V2613" s="1158" t="str">
        <f>IF(J2611="","",AND(V2612,IF(SUM(I2619)&lt;0,OR(SUM(J2612)&lt;SUM(I2619)-MOD(SUM(I2619),5%),J2612&gt;=SUM(I2619)+5%-MOD(SUM(I2619),5%)),OR(SUM(J2612)&lt;=SUM(I2619)-MOD(SUM(I2619),5%),SUM(J2612)&gt;SUM(I2619)+5%-MOD(SUM(I2619),5%)))))</f>
        <v/>
      </c>
      <c r="W2613" s="1158" t="str">
        <f>IF(K2611="","",AND(W2612,IF(SUM(J2619)&lt;0,OR(SUM(K2612)&lt;SUM(J2619)-MOD(SUM(J2619),5%),K2612&gt;=SUM(J2619)+5%-MOD(SUM(J2619),5%)),OR(SUM(K2612)&lt;=SUM(J2619)-MOD(SUM(J2619),5%),SUM(K2612)&gt;SUM(J2619)+5%-MOD(SUM(J2619),5%)))))</f>
        <v/>
      </c>
      <c r="X2613" s="1158" t="str">
        <f>IF(L2611="","",AND(X2612,IF(SUM(K2619)&lt;0,OR(SUM(L2612)&lt;SUM(K2619)-MOD(SUM(K2619),5%),L2612&gt;=SUM(K2619)+5%-MOD(SUM(K2619),5%)),OR(SUM(L2612)&lt;=SUM(K2619)-MOD(SUM(K2619),5%),SUM(L2612)&gt;SUM(K2619)+5%-MOD(SUM(K2619),5%)))))</f>
        <v/>
      </c>
      <c r="Y2613" s="1158" t="str">
        <f>IF(M2611="","",AND(Y2612,IF(SUM(L2619)&lt;0,OR(SUM(M2612)&lt;SUM(L2619)-MOD(SUM(L2619),5%),M2612&gt;=SUM(L2619)+5%-MOD(SUM(L2619),5%)),OR(SUM(M2612)&lt;=SUM(L2619)-MOD(SUM(L2619),5%),SUM(M2612)&gt;SUM(L2619)+5%-MOD(SUM(L2619),5%)))))</f>
        <v/>
      </c>
      <c r="Z2613" s="1656" t="str">
        <f>IF(N2611="","",AND(Z2612,IF(SUM(M2619)&lt;0,OR(SUM(N2612)&lt;SUM(M2619)-MOD(SUM(M2619),5%),N2612&gt;=SUM(M2619)+5%-MOD(SUM(M2619),5%)),OR(SUM(N2612)&lt;=SUM(M2619)-MOD(SUM(M2619),5%),SUM(N2612)&gt;SUM(M2619)+5%-MOD(SUM(M2619),5%)))))</f>
        <v/>
      </c>
      <c r="AL2613" s="1435"/>
    </row>
    <row r="2614" spans="1:38" ht="12.75" hidden="1" customHeight="1">
      <c r="A2614" s="618" t="s">
        <v>2289</v>
      </c>
      <c r="B2614" s="479"/>
      <c r="C2614" s="479"/>
      <c r="D2614" s="918"/>
      <c r="E2614" s="916" t="s">
        <v>1689</v>
      </c>
      <c r="F2614" s="916"/>
      <c r="G2614" s="916"/>
      <c r="H2614" s="639" t="str">
        <f>H2611</f>
        <v>tonnes</v>
      </c>
      <c r="I2614" s="917" t="str">
        <f>IF(I2589="","",IF(AB2589=FALSE,EUconst_NA,IF(V2589&gt;($J$3242-3),INDEX(H2599:N2599,MATCH(V2589,H2596:N2596,0)),SUM(I2611))))</f>
        <v/>
      </c>
      <c r="J2614" s="1651" t="str">
        <f>IF($I2589="","",IF(V2611&lt;2,SUM(J2599),IF(V2611&lt;3,SUM(I2599),IF(V2614="",I2614,V2614))))</f>
        <v/>
      </c>
      <c r="K2614" s="1799" t="str">
        <f>IF($I2589="","",IF(W2611&lt;2,SUM(K2599),IF(W2611&lt;3,SUM(J2599),IF(W2614="",J2614,W2614))))</f>
        <v/>
      </c>
      <c r="L2614" s="1799" t="str">
        <f>IF($I2589="","",IF(X2611&lt;2,SUM(L2599),IF(X2611&lt;3,SUM(K2599),IF(X2614="",K2614,X2614))))</f>
        <v/>
      </c>
      <c r="M2614" s="1799" t="str">
        <f>IF($I2589="","",IF(Y2611&lt;2,SUM(M2599),IF(Y2611&lt;3,SUM(L2599),IF(Y2614="",L2614,Y2614))))</f>
        <v/>
      </c>
      <c r="N2614" s="1799" t="str">
        <f>IF($I2589="","",IF(Z2611&lt;2,SUM(N2599),IF(Z2611&lt;3,SUM(M2599),IF(Z2614="",M2614,Z2614))))</f>
        <v/>
      </c>
      <c r="O2614" s="485"/>
      <c r="P2614" s="485"/>
      <c r="Q2614" s="1641" t="str">
        <f>EUconst_CNTR_HALprelim&amp;I2589</f>
        <v>HALprelim_</v>
      </c>
      <c r="U2614" s="1653" t="s">
        <v>1697</v>
      </c>
      <c r="V2614" s="1660" t="str">
        <f>IF(J2611="","",IF(CNTR_ReportingYear&lt;J2610,I2613,IF($I2614=0,J2611,$I2614*(1+J2613))))</f>
        <v/>
      </c>
      <c r="W2614" s="1660" t="str">
        <f>IF(K2611="","",IF(CNTR_ReportingYear&lt;K2610,J2613,IF($I2614=0,K2611,$I2614*(1+K2613))))</f>
        <v/>
      </c>
      <c r="X2614" s="1660" t="str">
        <f>IF(L2611="","",IF(CNTR_ReportingYear&lt;L2610,K2613,IF($I2614=0,L2611,$I2614*(1+L2613))))</f>
        <v/>
      </c>
      <c r="Y2614" s="1660" t="str">
        <f>IF(M2611="","",IF(CNTR_ReportingYear&lt;M2610,L2613,IF($I2614=0,M2611,$I2614*(1+M2613))))</f>
        <v/>
      </c>
      <c r="Z2614" s="1661" t="str">
        <f>IF(N2611="","",IF(CNTR_ReportingYear&lt;N2610,M2613,IF($I2614=0,N2611,$I2614*(1+N2613))))</f>
        <v/>
      </c>
      <c r="AL2614" s="1435"/>
    </row>
    <row r="2615" spans="1:38" ht="5.0999999999999996" customHeight="1">
      <c r="A2615" s="618"/>
      <c r="B2615" s="479"/>
      <c r="C2615" s="479"/>
      <c r="D2615" s="918"/>
      <c r="E2615" s="909"/>
      <c r="F2615" s="909"/>
      <c r="G2615" s="909"/>
      <c r="H2615" s="909"/>
      <c r="I2615" s="909"/>
      <c r="J2615" s="922"/>
      <c r="K2615" s="1791"/>
      <c r="L2615" s="1791"/>
      <c r="M2615" s="1791"/>
      <c r="N2615" s="1791"/>
      <c r="O2615" s="485"/>
      <c r="P2615" s="485"/>
      <c r="Q2615" s="1435"/>
      <c r="U2615" s="1663"/>
      <c r="V2615" s="1435"/>
      <c r="Z2615" s="1664"/>
      <c r="AL2615" s="1435"/>
    </row>
    <row r="2616" spans="1:38" ht="12.75" customHeight="1">
      <c r="A2616" s="618"/>
      <c r="B2616" s="479"/>
      <c r="C2616" s="479"/>
      <c r="D2616" s="918"/>
      <c r="E2616" s="923" t="s">
        <v>1653</v>
      </c>
      <c r="F2616" s="923"/>
      <c r="G2616" s="923"/>
      <c r="H2616" s="923"/>
      <c r="I2616" s="923"/>
      <c r="J2616" s="1647">
        <f>J$3242</f>
        <v>2026</v>
      </c>
      <c r="K2616" s="1490">
        <f>K$3242</f>
        <v>2027</v>
      </c>
      <c r="L2616" s="1490">
        <f>L$3242</f>
        <v>2028</v>
      </c>
      <c r="M2616" s="1490">
        <f>M$3242</f>
        <v>2029</v>
      </c>
      <c r="N2616" s="1490">
        <f>N$3242</f>
        <v>2030</v>
      </c>
      <c r="O2616" s="485"/>
      <c r="P2616" s="485"/>
      <c r="Q2616" s="1435"/>
      <c r="U2616" s="1665"/>
      <c r="Z2616" s="1664"/>
      <c r="AL2616" s="1435"/>
    </row>
    <row r="2617" spans="1:38" ht="12.75" customHeight="1">
      <c r="A2617" s="618"/>
      <c r="B2617" s="479"/>
      <c r="C2617" s="479"/>
      <c r="D2617" s="915" t="s">
        <v>8</v>
      </c>
      <c r="E2617" s="916" t="s">
        <v>2108</v>
      </c>
      <c r="F2617" s="916"/>
      <c r="G2617" s="916"/>
      <c r="H2617" s="916"/>
      <c r="I2617" s="916"/>
      <c r="J2617" s="1666" t="str">
        <f>IF($I2589="","",INDEX(K_Summary!J:J,MATCH($Q2617,K_Summary!$P:$P,0)))</f>
        <v/>
      </c>
      <c r="K2617" s="1791" t="str">
        <f>IF($I2589="","",INDEX(K_Summary!K:K,MATCH($Q2617,K_Summary!$P:$P,0)))</f>
        <v/>
      </c>
      <c r="L2617" s="1791" t="str">
        <f>IF($I2589="","",INDEX(K_Summary!L:L,MATCH($Q2617,K_Summary!$P:$P,0)))</f>
        <v/>
      </c>
      <c r="M2617" s="1791" t="str">
        <f>IF($I2589="","",INDEX(K_Summary!M:M,MATCH($Q2617,K_Summary!$P:$P,0)))</f>
        <v/>
      </c>
      <c r="N2617" s="1791" t="str">
        <f>IF($I2589="","",INDEX(K_Summary!N:N,MATCH($Q2617,K_Summary!$P:$P,0)))</f>
        <v/>
      </c>
      <c r="O2617" s="485"/>
      <c r="P2617" s="485"/>
      <c r="Q2617" s="1641" t="str">
        <f>EUconst_CNTR_100EUA_ActivityLevel&amp;I2589</f>
        <v>EUA100AL_</v>
      </c>
      <c r="U2617" s="1665"/>
      <c r="V2617" s="8"/>
      <c r="W2617" s="8"/>
      <c r="X2617" s="8"/>
      <c r="Y2617" s="8"/>
      <c r="Z2617" s="1664"/>
      <c r="AL2617" s="1435"/>
    </row>
    <row r="2618" spans="1:38" ht="5.0999999999999996" customHeight="1" thickBot="1">
      <c r="A2618" s="618"/>
      <c r="B2618" s="479"/>
      <c r="C2618" s="479"/>
      <c r="D2618" s="918"/>
      <c r="E2618" s="909"/>
      <c r="F2618" s="909"/>
      <c r="G2618" s="909"/>
      <c r="H2618" s="909"/>
      <c r="I2618" s="909"/>
      <c r="J2618" s="922"/>
      <c r="K2618" s="1791"/>
      <c r="L2618" s="1791"/>
      <c r="M2618" s="1791"/>
      <c r="N2618" s="1791"/>
      <c r="O2618" s="485"/>
      <c r="P2618" s="485"/>
      <c r="Q2618" s="1435"/>
      <c r="U2618" s="1663"/>
      <c r="V2618" s="1435"/>
      <c r="Z2618" s="1664"/>
      <c r="AL2618" s="1435"/>
    </row>
    <row r="2619" spans="1:38" ht="12.75" customHeight="1" thickBot="1">
      <c r="B2619" s="479"/>
      <c r="C2619" s="479"/>
      <c r="D2619" s="915" t="s">
        <v>18</v>
      </c>
      <c r="E2619" s="916" t="s">
        <v>1657</v>
      </c>
      <c r="F2619" s="916"/>
      <c r="G2619" s="916"/>
      <c r="H2619" s="921"/>
      <c r="I2619" s="1667"/>
      <c r="J2619" s="1668" t="str">
        <f>IF(J2617="","",IF(J2610&gt;$Z2589,-100%,IF(OR(J2617,V2611&lt;1),J2613,I2619)))</f>
        <v/>
      </c>
      <c r="K2619" s="1796" t="str">
        <f>IF(K2617="","",IF(K2610&gt;$Z2589,-100%,IF(OR(K2617,W2611&lt;1),K2613,J2619)))</f>
        <v/>
      </c>
      <c r="L2619" s="1796" t="str">
        <f>IF(L2617="","",IF(L2610&gt;$Z2589,-100%,IF(OR(L2617,X2611&lt;1),L2613,K2619)))</f>
        <v/>
      </c>
      <c r="M2619" s="1796" t="str">
        <f>IF(M2617="","",IF(M2610&gt;$Z2589,-100%,IF(OR(M2617,Y2611&lt;1),M2613,L2619)))</f>
        <v/>
      </c>
      <c r="N2619" s="1796" t="str">
        <f>IF(N2617="","",IF(N2610&gt;$Z2589,-100%,IF(OR(N2617,Z2611&lt;1),N2613,M2619)))</f>
        <v/>
      </c>
      <c r="O2619" s="485"/>
      <c r="P2619" s="1136"/>
      <c r="Q2619" s="1644" t="str">
        <f>EUconst_CNTR_HALAdjPct &amp; I2589</f>
        <v>HALAdjPct_</v>
      </c>
      <c r="U2619" s="1663" t="s">
        <v>1658</v>
      </c>
      <c r="V2619" s="1670">
        <f>J2616</f>
        <v>2026</v>
      </c>
      <c r="W2619" s="1670">
        <f>K2616</f>
        <v>2027</v>
      </c>
      <c r="X2619" s="1670">
        <f>L2616</f>
        <v>2028</v>
      </c>
      <c r="Y2619" s="1670">
        <f>M2616</f>
        <v>2029</v>
      </c>
      <c r="Z2619" s="1671">
        <f>N2616</f>
        <v>2030</v>
      </c>
      <c r="AL2619" s="1435"/>
    </row>
    <row r="2620" spans="1:38" ht="12.75" customHeight="1" thickBot="1">
      <c r="A2620" s="618"/>
      <c r="B2620" s="479"/>
      <c r="C2620" s="479"/>
      <c r="D2620" s="915" t="s">
        <v>787</v>
      </c>
      <c r="E2620" s="916" t="s">
        <v>1659</v>
      </c>
      <c r="F2620" s="916"/>
      <c r="G2620" s="916"/>
      <c r="H2620" s="639" t="str">
        <f>H2611</f>
        <v>tonnes</v>
      </c>
      <c r="I2620" s="917" t="str">
        <f>I2614</f>
        <v/>
      </c>
      <c r="J2620" s="1672" t="str">
        <f>IF($I2589="","",IF(OR($I2620=0,J2619="",$I2620=EUconst_NA),IF(OR(J2617=TRUE,J2616&lt;=$V2589),J2614,SUM(I2620)),$I2620*(1+SUM(J2619))))</f>
        <v/>
      </c>
      <c r="K2620" s="1800" t="str">
        <f>IF($I2589="","",IF(OR($I2620=0,K2619="",$I2620=EUconst_NA),IF(OR(K2617=TRUE,K2616&lt;=$V2589),K2614,SUM(J2620)),$I2620*(1+SUM(K2619))))</f>
        <v/>
      </c>
      <c r="L2620" s="1800" t="str">
        <f>IF($I2589="","",IF(OR($I2620=0,L2619="",$I2620=EUconst_NA),IF(OR(L2617=TRUE,L2616&lt;=$V2589),L2614,SUM(K2620)),$I2620*(1+SUM(L2619))))</f>
        <v/>
      </c>
      <c r="M2620" s="1800" t="str">
        <f>IF($I2589="","",IF(OR($I2620=0,M2619="",$I2620=EUconst_NA),IF(OR(M2617=TRUE,M2616&lt;=$V2589),M2614,SUM(L2620)),$I2620*(1+SUM(M2619))))</f>
        <v/>
      </c>
      <c r="N2620" s="1800" t="str">
        <f>IF($I2589="","",IF(OR($I2620=0,N2619="",$I2620=EUconst_NA),IF(OR(N2617=TRUE,N2616&lt;=$V2589),N2614,SUM(M2620)),$I2620*(1+SUM(N2619))))</f>
        <v/>
      </c>
      <c r="O2620" s="485"/>
      <c r="P2620" s="485"/>
      <c r="Q2620" s="1641" t="str">
        <f>EUconst_CNTR_HALfinal&amp;I2589</f>
        <v>HALfinal_</v>
      </c>
      <c r="U2620" s="1674" t="b">
        <v>0</v>
      </c>
      <c r="V2620" s="1675" t="str">
        <f>IF(V2597,IF(J2617=TRUE,V2612,U2620),"")</f>
        <v/>
      </c>
      <c r="W2620" s="1675" t="str">
        <f>IF(W2597,IF(K2617=TRUE,W2612,V2620),"")</f>
        <v/>
      </c>
      <c r="X2620" s="1675" t="str">
        <f>IF(X2597,IF(L2617=TRUE,X2612,W2620),"")</f>
        <v/>
      </c>
      <c r="Y2620" s="1675" t="str">
        <f>IF(Y2597,IF(M2617=TRUE,Y2612,X2620),"")</f>
        <v/>
      </c>
      <c r="Z2620" s="1676" t="str">
        <f>IF(Z2597,IF(N2617=TRUE,Z2612,Y2620),"")</f>
        <v/>
      </c>
      <c r="AJ2620" s="1633" t="s">
        <v>1951</v>
      </c>
      <c r="AK2620" s="1443" t="str">
        <f>IF(OR(ISERROR(J2620),ISERROR(K2620),ISERROR(L2620),ISERROR(M2620),ISERROR(N2620)),EUconst_Error &amp; "BM" &amp; Q2589,"")</f>
        <v/>
      </c>
      <c r="AL2620" s="1435"/>
    </row>
    <row r="2621" spans="1:38" ht="5.0999999999999996" customHeight="1" thickBot="1">
      <c r="B2621" s="479"/>
      <c r="C2621" s="479"/>
      <c r="D2621" s="924"/>
      <c r="E2621" s="925"/>
      <c r="F2621" s="925"/>
      <c r="G2621" s="925"/>
      <c r="H2621" s="925"/>
      <c r="I2621" s="925"/>
      <c r="J2621" s="926"/>
      <c r="K2621" s="1791"/>
      <c r="L2621" s="1791"/>
      <c r="M2621" s="1791"/>
      <c r="N2621" s="1791"/>
      <c r="O2621" s="485"/>
      <c r="P2621" s="485"/>
      <c r="Q2621" s="1435"/>
      <c r="U2621" s="1435"/>
      <c r="V2621" s="1435"/>
      <c r="AL2621" s="1435"/>
    </row>
    <row r="2622" spans="1:38" ht="5.0999999999999996" customHeight="1">
      <c r="B2622" s="479"/>
      <c r="C2622" s="479"/>
      <c r="D2622" s="485"/>
      <c r="E2622" s="485"/>
      <c r="F2622" s="485"/>
      <c r="G2622" s="485"/>
      <c r="H2622" s="485"/>
      <c r="I2622" s="485"/>
      <c r="J2622" s="485"/>
      <c r="K2622" s="485"/>
      <c r="L2622" s="485"/>
      <c r="M2622" s="485"/>
      <c r="N2622" s="485"/>
      <c r="O2622" s="485"/>
      <c r="P2622" s="485"/>
      <c r="Q2622" s="1435"/>
      <c r="U2622" s="1435"/>
      <c r="V2622" s="1435"/>
      <c r="AL2622" s="1435"/>
    </row>
    <row r="2623" spans="1:38" ht="15" customHeight="1">
      <c r="B2623" s="1124"/>
      <c r="C2623" s="479"/>
      <c r="D2623" s="2482" t="s">
        <v>1229</v>
      </c>
      <c r="E2623" s="2400"/>
      <c r="F2623" s="2400"/>
      <c r="G2623" s="2400"/>
      <c r="H2623" s="2400"/>
      <c r="I2623" s="2400"/>
      <c r="J2623" s="2400"/>
      <c r="K2623" s="2400"/>
      <c r="L2623" s="2400"/>
      <c r="M2623" s="2400"/>
      <c r="N2623" s="2400"/>
      <c r="O2623" s="485"/>
      <c r="P2623" s="485"/>
      <c r="U2623" s="1435"/>
      <c r="V2623" s="1435"/>
    </row>
    <row r="2624" spans="1:38" ht="5.0999999999999996" customHeight="1">
      <c r="B2624" s="479"/>
      <c r="C2624" s="479"/>
      <c r="D2624" s="479"/>
      <c r="E2624" s="479"/>
      <c r="F2624" s="479"/>
      <c r="G2624" s="479"/>
      <c r="H2624" s="479"/>
      <c r="I2624" s="479"/>
      <c r="J2624" s="479"/>
      <c r="K2624" s="479"/>
      <c r="L2624" s="479"/>
      <c r="M2624" s="479"/>
      <c r="N2624" s="479"/>
      <c r="O2624" s="485"/>
      <c r="P2624" s="485"/>
      <c r="Q2624" s="1435"/>
      <c r="U2624" s="1435"/>
      <c r="V2624" s="1435"/>
    </row>
    <row r="2625" spans="1:42" ht="12.75" customHeight="1">
      <c r="B2625" s="1124"/>
      <c r="C2625" s="485"/>
      <c r="D2625" s="482" t="s">
        <v>48</v>
      </c>
      <c r="E2625" s="2373" t="s">
        <v>800</v>
      </c>
      <c r="F2625" s="2400"/>
      <c r="G2625" s="2400"/>
      <c r="H2625" s="2400"/>
      <c r="I2625" s="2585"/>
      <c r="J2625" s="2652" t="str">
        <f>IF(I2589="","",IF(T2625,EUconst_MsgEnterThisSection,HYPERLINK(R2625,EUconst_MsgGoOn)))</f>
        <v/>
      </c>
      <c r="K2625" s="2653"/>
      <c r="L2625" s="2653"/>
      <c r="M2625" s="2653"/>
      <c r="N2625" s="2654"/>
      <c r="O2625" s="485"/>
      <c r="P2625" s="485"/>
      <c r="Q2625" s="1198" t="s">
        <v>441</v>
      </c>
      <c r="R2625" s="1488" t="str">
        <f>"#"&amp;ADDRESS(ROW(D2653),COLUMN(D2653))</f>
        <v>#$D$2653</v>
      </c>
      <c r="S2625" s="1633" t="s">
        <v>1674</v>
      </c>
      <c r="T2625" s="1644" t="str">
        <f>IF(I2589="","",INDEX(EUconst_BMlistElExchangability,MATCH(I2589,EUconst_BMlistNames,0)))</f>
        <v/>
      </c>
      <c r="U2625" s="1435"/>
      <c r="V2625" s="1435"/>
    </row>
    <row r="2626" spans="1:42" ht="12.75" customHeight="1">
      <c r="B2626" s="479"/>
      <c r="C2626" s="479"/>
      <c r="D2626" s="485"/>
      <c r="E2626" s="2385" t="s">
        <v>1241</v>
      </c>
      <c r="F2626" s="2846"/>
      <c r="G2626" s="2846"/>
      <c r="H2626" s="2846"/>
      <c r="I2626" s="2846"/>
      <c r="J2626" s="2846"/>
      <c r="K2626" s="2846"/>
      <c r="L2626" s="2846"/>
      <c r="M2626" s="2846"/>
      <c r="N2626" s="2846"/>
      <c r="O2626" s="485"/>
      <c r="P2626" s="485"/>
      <c r="U2626" s="1435"/>
      <c r="V2626" s="1435"/>
    </row>
    <row r="2627" spans="1:42" ht="12.75" customHeight="1">
      <c r="B2627" s="479"/>
      <c r="C2627" s="479"/>
      <c r="D2627" s="485"/>
      <c r="E2627" s="2385" t="s">
        <v>1526</v>
      </c>
      <c r="F2627" s="2846"/>
      <c r="G2627" s="2846"/>
      <c r="H2627" s="2846"/>
      <c r="I2627" s="2846"/>
      <c r="J2627" s="2846"/>
      <c r="K2627" s="2846"/>
      <c r="L2627" s="2846"/>
      <c r="M2627" s="2846"/>
      <c r="N2627" s="2846"/>
      <c r="O2627" s="485"/>
      <c r="P2627" s="485"/>
      <c r="Q2627" s="1435"/>
      <c r="U2627" s="1435"/>
      <c r="V2627" s="1435"/>
      <c r="W2627" s="1435"/>
      <c r="X2627" s="1435"/>
      <c r="Y2627" s="1435"/>
      <c r="Z2627" s="1435"/>
    </row>
    <row r="2628" spans="1:42" ht="25.5" customHeight="1">
      <c r="B2628" s="479"/>
      <c r="C2628" s="479"/>
      <c r="D2628" s="485"/>
      <c r="E2628" s="2385" t="s">
        <v>1635</v>
      </c>
      <c r="F2628" s="2846"/>
      <c r="G2628" s="2846"/>
      <c r="H2628" s="2846"/>
      <c r="I2628" s="2846"/>
      <c r="J2628" s="2846"/>
      <c r="K2628" s="2846"/>
      <c r="L2628" s="2846"/>
      <c r="M2628" s="2846"/>
      <c r="N2628" s="2846"/>
      <c r="O2628" s="485"/>
      <c r="P2628" s="485"/>
      <c r="Q2628" s="1435"/>
      <c r="U2628" s="1435"/>
      <c r="V2628" s="1435"/>
      <c r="W2628" s="1435"/>
      <c r="X2628" s="1435"/>
      <c r="Y2628" s="1435"/>
      <c r="Z2628" s="1435"/>
    </row>
    <row r="2629" spans="1:42" s="562" customFormat="1" ht="13.5" thickBot="1">
      <c r="A2629" s="618"/>
      <c r="B2629" s="485"/>
      <c r="C2629" s="485"/>
      <c r="D2629" s="482"/>
      <c r="E2629" s="927" t="s">
        <v>62</v>
      </c>
      <c r="F2629" s="518"/>
      <c r="G2629" s="663" t="str">
        <f>EUconst_Unit</f>
        <v>Unit</v>
      </c>
      <c r="H2629" s="578">
        <f>H$3242</f>
        <v>2024</v>
      </c>
      <c r="I2629" s="697">
        <f>I$3242</f>
        <v>2025</v>
      </c>
      <c r="J2629" s="1489">
        <f>J$112</f>
        <v>2026</v>
      </c>
      <c r="K2629" s="1490">
        <f>K$112</f>
        <v>2027</v>
      </c>
      <c r="L2629" s="1490">
        <f>L$112</f>
        <v>2028</v>
      </c>
      <c r="M2629" s="1490">
        <f>M$112</f>
        <v>2029</v>
      </c>
      <c r="N2629" s="1490">
        <f>N$112</f>
        <v>2030</v>
      </c>
      <c r="O2629" s="485"/>
      <c r="P2629" s="485"/>
      <c r="Q2629" s="1435"/>
      <c r="R2629" s="1435"/>
      <c r="S2629" s="1198"/>
      <c r="T2629" s="1198"/>
      <c r="U2629" s="1435"/>
      <c r="V2629" s="1435"/>
      <c r="W2629" s="1435"/>
      <c r="X2629" s="1435"/>
      <c r="Y2629" s="1435"/>
      <c r="Z2629" s="1435"/>
      <c r="AA2629" s="1435"/>
      <c r="AB2629" s="1198"/>
      <c r="AC2629" s="1638">
        <f t="shared" ref="AC2629:AI2629" si="1226">H$20</f>
        <v>2024</v>
      </c>
      <c r="AD2629" s="1638">
        <f t="shared" si="1226"/>
        <v>2025</v>
      </c>
      <c r="AE2629" s="1638">
        <f t="shared" si="1226"/>
        <v>2026</v>
      </c>
      <c r="AF2629" s="1638">
        <f t="shared" si="1226"/>
        <v>2027</v>
      </c>
      <c r="AG2629" s="1638">
        <f t="shared" si="1226"/>
        <v>2028</v>
      </c>
      <c r="AH2629" s="1638">
        <f t="shared" si="1226"/>
        <v>2029</v>
      </c>
      <c r="AI2629" s="1638">
        <f t="shared" si="1226"/>
        <v>2030</v>
      </c>
      <c r="AJ2629" s="1198"/>
      <c r="AK2629" s="1198"/>
      <c r="AL2629" s="1198"/>
      <c r="AP2629" s="1135"/>
    </row>
    <row r="2630" spans="1:42" s="562" customFormat="1" ht="13.5" customHeight="1">
      <c r="A2630" s="618"/>
      <c r="B2630" s="485"/>
      <c r="C2630" s="485"/>
      <c r="D2630" s="561" t="s">
        <v>6</v>
      </c>
      <c r="E2630" s="863" t="s">
        <v>63</v>
      </c>
      <c r="F2630" s="863"/>
      <c r="G2630" s="579" t="str">
        <f>EUconst_tCO2pa</f>
        <v>t CO2 / year</v>
      </c>
      <c r="H2630" s="1678" t="str">
        <f>c_ALR2025!M5176</f>
        <v/>
      </c>
      <c r="I2630" s="1879"/>
      <c r="J2630" s="1786"/>
      <c r="K2630" s="1787"/>
      <c r="L2630" s="1787"/>
      <c r="M2630" s="1787"/>
      <c r="N2630" s="1787"/>
      <c r="O2630" s="485"/>
      <c r="P2630" s="9"/>
      <c r="Q2630" s="1435"/>
      <c r="R2630" s="1435"/>
      <c r="S2630" s="1198"/>
      <c r="T2630" s="1198"/>
      <c r="U2630" s="1435"/>
      <c r="V2630" s="1435"/>
      <c r="W2630" s="1435"/>
      <c r="X2630" s="1435"/>
      <c r="Y2630" s="1435"/>
      <c r="Z2630" s="1435"/>
      <c r="AA2630" s="1435"/>
      <c r="AB2630" s="1641" t="s">
        <v>717</v>
      </c>
      <c r="AC2630" s="1855" t="b">
        <f t="shared" ref="AC2630:AI2630" si="1227">IF(CNTR_ExistSubInstEntries,IF($I2589="",TRUE,OR(H2629&gt;=CNTR_ReportingYear,AC2629&lt;$V2589-1,INDEX(EUconst_BMlistElExchangability,MATCH($I2589,EUconst_BMlistNames,0))=FALSE)),FALSE)</f>
        <v>0</v>
      </c>
      <c r="AD2630" s="1680" t="b">
        <f t="shared" si="1227"/>
        <v>0</v>
      </c>
      <c r="AE2630" s="1680" t="b">
        <f t="shared" si="1227"/>
        <v>0</v>
      </c>
      <c r="AF2630" s="1680" t="b">
        <f t="shared" si="1227"/>
        <v>0</v>
      </c>
      <c r="AG2630" s="1680" t="b">
        <f t="shared" si="1227"/>
        <v>0</v>
      </c>
      <c r="AH2630" s="1680" t="b">
        <f t="shared" si="1227"/>
        <v>0</v>
      </c>
      <c r="AI2630" s="1681" t="b">
        <f t="shared" si="1227"/>
        <v>0</v>
      </c>
      <c r="AJ2630" s="1633" t="s">
        <v>1954</v>
      </c>
      <c r="AK2630" s="1635" t="str">
        <f>IF(AND(CNTR_ExistSubInstEntries,COUNTIFS(AC2630:AI2630,FALSE,H2630:N2630,"")&gt;0),EUconst_Error&amp;"BM"&amp;$Q2589,"")</f>
        <v/>
      </c>
      <c r="AL2630" s="1198"/>
      <c r="AP2630" s="1135"/>
    </row>
    <row r="2631" spans="1:42" s="562" customFormat="1" ht="12.75" customHeight="1">
      <c r="A2631" s="618"/>
      <c r="B2631" s="485"/>
      <c r="C2631" s="485"/>
      <c r="D2631" s="561" t="s">
        <v>7</v>
      </c>
      <c r="E2631" s="865" t="s">
        <v>257</v>
      </c>
      <c r="F2631" s="865"/>
      <c r="G2631" s="582" t="str">
        <f>EUconst_TJpa</f>
        <v>TJ / year</v>
      </c>
      <c r="H2631" s="662" t="str">
        <f t="shared" ref="H2631:N2631" si="1228">IF(AND($I2589&lt;&gt;"",H2629&lt;CNTR_ReportingYear),IF(INDEX(EUconst_BMlistElExchangability,MATCH($I2589,EUconst_BMlistNames,0)),SUM(H2802),""),"")</f>
        <v/>
      </c>
      <c r="I2631" s="931" t="str">
        <f t="shared" si="1228"/>
        <v/>
      </c>
      <c r="J2631" s="1788" t="str">
        <f t="shared" si="1228"/>
        <v/>
      </c>
      <c r="K2631" s="1789" t="str">
        <f t="shared" si="1228"/>
        <v/>
      </c>
      <c r="L2631" s="1789" t="str">
        <f t="shared" si="1228"/>
        <v/>
      </c>
      <c r="M2631" s="1789" t="str">
        <f t="shared" si="1228"/>
        <v/>
      </c>
      <c r="N2631" s="1789" t="str">
        <f t="shared" si="1228"/>
        <v/>
      </c>
      <c r="O2631" s="485"/>
      <c r="P2631" s="485"/>
      <c r="Q2631" s="1435"/>
      <c r="R2631" s="1435"/>
      <c r="S2631" s="1198"/>
      <c r="T2631" s="1198">
        <f t="shared" ref="T2631:Z2631" si="1229">H2629</f>
        <v>2024</v>
      </c>
      <c r="U2631" s="1435">
        <f t="shared" si="1229"/>
        <v>2025</v>
      </c>
      <c r="V2631" s="1435">
        <f t="shared" si="1229"/>
        <v>2026</v>
      </c>
      <c r="W2631" s="1435">
        <f t="shared" si="1229"/>
        <v>2027</v>
      </c>
      <c r="X2631" s="1435">
        <f t="shared" si="1229"/>
        <v>2028</v>
      </c>
      <c r="Y2631" s="1435">
        <f t="shared" si="1229"/>
        <v>2029</v>
      </c>
      <c r="Z2631" s="1435">
        <f t="shared" si="1229"/>
        <v>2030</v>
      </c>
      <c r="AA2631" s="1435"/>
      <c r="AB2631" s="1435"/>
      <c r="AC2631" s="1665"/>
      <c r="AD2631" s="1435"/>
      <c r="AE2631" s="1435"/>
      <c r="AF2631" s="1435"/>
      <c r="AG2631" s="1435"/>
      <c r="AH2631" s="1435"/>
      <c r="AI2631" s="1683"/>
      <c r="AJ2631" s="1435"/>
      <c r="AK2631" s="1435"/>
      <c r="AL2631" s="1198"/>
      <c r="AP2631" s="1135"/>
    </row>
    <row r="2632" spans="1:42" s="562" customFormat="1" ht="12.75" customHeight="1" thickBot="1">
      <c r="A2632" s="618"/>
      <c r="B2632" s="485"/>
      <c r="C2632" s="485"/>
      <c r="D2632" s="561" t="s">
        <v>8</v>
      </c>
      <c r="E2632" s="932" t="s">
        <v>914</v>
      </c>
      <c r="F2632" s="932"/>
      <c r="G2632" s="933" t="str">
        <f>EUconst_MWhpa</f>
        <v>MWh / year</v>
      </c>
      <c r="H2632" s="1582" t="str">
        <f>c_ALR2025!M5178</f>
        <v/>
      </c>
      <c r="I2632" s="1880"/>
      <c r="J2632" s="1491"/>
      <c r="K2632" s="1492"/>
      <c r="L2632" s="1492"/>
      <c r="M2632" s="1492"/>
      <c r="N2632" s="1492"/>
      <c r="O2632" s="485"/>
      <c r="P2632" s="9"/>
      <c r="Q2632" s="1644" t="str">
        <f>EUconst_CNTR_HAL&amp;EUconst_CNTR_ELEXCH</f>
        <v>HAL_ELEXCH_</v>
      </c>
      <c r="R2632" s="1644" t="str">
        <f>EUconst_CNTR_HAL&amp;EUconst_CNTR_ELEXCH &amp; I2589</f>
        <v>HAL_ELEXCH_</v>
      </c>
      <c r="S2632" s="1198" t="str">
        <f>EUconst_CNTR_AttributedEmissions &amp; I2589</f>
        <v>AttrEmissions_</v>
      </c>
      <c r="T2632" s="1198" t="str">
        <f t="shared" ref="T2632:Z2632" si="1230">IF(T2597,SUM(H2632)*EUconst_ElBM,"")</f>
        <v/>
      </c>
      <c r="U2632" s="1435" t="str">
        <f t="shared" si="1230"/>
        <v/>
      </c>
      <c r="V2632" s="1435" t="str">
        <f t="shared" si="1230"/>
        <v/>
      </c>
      <c r="W2632" s="1435" t="str">
        <f t="shared" si="1230"/>
        <v/>
      </c>
      <c r="X2632" s="1435" t="str">
        <f t="shared" si="1230"/>
        <v/>
      </c>
      <c r="Y2632" s="1435" t="str">
        <f t="shared" si="1230"/>
        <v/>
      </c>
      <c r="Z2632" s="1435" t="str">
        <f t="shared" si="1230"/>
        <v/>
      </c>
      <c r="AA2632" s="1435"/>
      <c r="AB2632" s="1435"/>
      <c r="AC2632" s="1685" t="b">
        <f>AC2630</f>
        <v>0</v>
      </c>
      <c r="AD2632" s="1686" t="b">
        <f t="shared" ref="AD2632:AI2632" si="1231">AD2630</f>
        <v>0</v>
      </c>
      <c r="AE2632" s="1686" t="b">
        <f t="shared" si="1231"/>
        <v>0</v>
      </c>
      <c r="AF2632" s="1686" t="b">
        <f t="shared" si="1231"/>
        <v>0</v>
      </c>
      <c r="AG2632" s="1686" t="b">
        <f t="shared" si="1231"/>
        <v>0</v>
      </c>
      <c r="AH2632" s="1686" t="b">
        <f t="shared" si="1231"/>
        <v>0</v>
      </c>
      <c r="AI2632" s="1687" t="b">
        <f t="shared" si="1231"/>
        <v>0</v>
      </c>
      <c r="AJ2632" s="1633" t="s">
        <v>1954</v>
      </c>
      <c r="AK2632" s="1635" t="str">
        <f>IF(AND(CNTR_ExistSubInstEntries,COUNTIFS(AC2632:AI2632,FALSE,H2632:N2632,"")&gt;0),EUconst_Error&amp;"BM"&amp;$Q2589,"")</f>
        <v/>
      </c>
      <c r="AL2632" s="1198"/>
      <c r="AP2632" s="1135"/>
    </row>
    <row r="2633" spans="1:42" s="562" customFormat="1" ht="13.5" customHeight="1">
      <c r="A2633" s="618"/>
      <c r="B2633" s="485"/>
      <c r="C2633" s="485"/>
      <c r="D2633" s="561" t="s">
        <v>18</v>
      </c>
      <c r="E2633" s="863" t="s">
        <v>915</v>
      </c>
      <c r="F2633" s="863"/>
      <c r="G2633" s="579" t="str">
        <f>EUconst_tCO2pa</f>
        <v>t CO2 / year</v>
      </c>
      <c r="H2633" s="929" t="str">
        <f t="shared" ref="H2633:N2633" si="1232">IF(ISNUMBER(H2630),H2630+SUM(H2631)*EUconst_HeatBMvalue,"")</f>
        <v/>
      </c>
      <c r="I2633" s="930" t="str">
        <f t="shared" si="1232"/>
        <v/>
      </c>
      <c r="J2633" s="1786" t="str">
        <f t="shared" si="1232"/>
        <v/>
      </c>
      <c r="K2633" s="1787" t="str">
        <f t="shared" si="1232"/>
        <v/>
      </c>
      <c r="L2633" s="1787" t="str">
        <f t="shared" si="1232"/>
        <v/>
      </c>
      <c r="M2633" s="1787" t="str">
        <f t="shared" si="1232"/>
        <v/>
      </c>
      <c r="N2633" s="1787" t="str">
        <f t="shared" si="1232"/>
        <v/>
      </c>
      <c r="O2633" s="485"/>
      <c r="P2633" s="485"/>
      <c r="Q2633" s="1435"/>
      <c r="R2633" s="1435"/>
      <c r="S2633" s="1198"/>
      <c r="T2633" s="1198"/>
      <c r="U2633" s="1435"/>
      <c r="V2633" s="1435"/>
      <c r="W2633" s="1435"/>
      <c r="X2633" s="1435"/>
      <c r="Y2633" s="1435"/>
      <c r="Z2633" s="1435"/>
      <c r="AA2633" s="1435"/>
      <c r="AB2633" s="1435"/>
      <c r="AC2633" s="1435"/>
      <c r="AD2633" s="1435"/>
      <c r="AE2633" s="1435"/>
      <c r="AF2633" s="1435"/>
      <c r="AG2633" s="1435"/>
      <c r="AH2633" s="1435"/>
      <c r="AI2633" s="1435"/>
      <c r="AJ2633" s="1435"/>
      <c r="AK2633" s="1435"/>
      <c r="AL2633" s="1198"/>
      <c r="AP2633" s="1135"/>
    </row>
    <row r="2634" spans="1:42" s="562" customFormat="1" ht="13.5" customHeight="1">
      <c r="A2634" s="618"/>
      <c r="B2634" s="485"/>
      <c r="C2634" s="485"/>
      <c r="D2634" s="561" t="s">
        <v>787</v>
      </c>
      <c r="E2634" s="867" t="s">
        <v>916</v>
      </c>
      <c r="F2634" s="867"/>
      <c r="G2634" s="584" t="str">
        <f>EUconst_tCO2pa</f>
        <v>t CO2 / year</v>
      </c>
      <c r="H2634" s="935" t="str">
        <f t="shared" ref="H2634:N2634" si="1233">IF(ISNUMBER(H2632),H2632*EUconst_ElBM,"")</f>
        <v/>
      </c>
      <c r="I2634" s="936" t="str">
        <f t="shared" si="1233"/>
        <v/>
      </c>
      <c r="J2634" s="1786" t="str">
        <f t="shared" si="1233"/>
        <v/>
      </c>
      <c r="K2634" s="1787" t="str">
        <f t="shared" si="1233"/>
        <v/>
      </c>
      <c r="L2634" s="1787" t="str">
        <f t="shared" si="1233"/>
        <v/>
      </c>
      <c r="M2634" s="1787" t="str">
        <f t="shared" si="1233"/>
        <v/>
      </c>
      <c r="N2634" s="1787" t="str">
        <f t="shared" si="1233"/>
        <v/>
      </c>
      <c r="O2634" s="485"/>
      <c r="P2634" s="485"/>
      <c r="Q2634" s="1435"/>
      <c r="R2634" s="1435"/>
      <c r="S2634" s="1198"/>
      <c r="T2634" s="1198"/>
      <c r="U2634" s="1435"/>
      <c r="V2634" s="1435"/>
      <c r="W2634" s="1435"/>
      <c r="X2634" s="1435"/>
      <c r="Y2634" s="1435"/>
      <c r="Z2634" s="1435"/>
      <c r="AA2634" s="1435"/>
      <c r="AB2634" s="1435"/>
      <c r="AC2634" s="1435"/>
      <c r="AD2634" s="1435"/>
      <c r="AE2634" s="1435"/>
      <c r="AF2634" s="1435"/>
      <c r="AG2634" s="1435"/>
      <c r="AH2634" s="1435"/>
      <c r="AI2634" s="1435"/>
      <c r="AJ2634" s="1435"/>
      <c r="AK2634" s="1435"/>
      <c r="AL2634" s="1198"/>
      <c r="AP2634" s="1135"/>
    </row>
    <row r="2635" spans="1:42" ht="5.0999999999999996" customHeight="1">
      <c r="B2635" s="479"/>
      <c r="C2635" s="479"/>
      <c r="D2635" s="479"/>
      <c r="E2635" s="479"/>
      <c r="F2635" s="479"/>
      <c r="G2635" s="479"/>
      <c r="H2635" s="479"/>
      <c r="I2635" s="479"/>
      <c r="J2635" s="1790"/>
      <c r="K2635" s="1791"/>
      <c r="L2635" s="1791"/>
      <c r="M2635" s="1791"/>
      <c r="N2635" s="1791"/>
      <c r="O2635" s="485"/>
      <c r="P2635" s="485"/>
      <c r="Q2635" s="1435"/>
      <c r="U2635" s="1435"/>
      <c r="V2635" s="1435"/>
      <c r="W2635" s="1435"/>
      <c r="X2635" s="1435"/>
      <c r="Y2635" s="1435"/>
      <c r="Z2635" s="1435"/>
    </row>
    <row r="2636" spans="1:42" ht="12.75" customHeight="1">
      <c r="B2636" s="479"/>
      <c r="C2636" s="479"/>
      <c r="D2636" s="561" t="s">
        <v>788</v>
      </c>
      <c r="E2636" s="698" t="s">
        <v>1389</v>
      </c>
      <c r="F2636" s="938"/>
      <c r="G2636" s="939" t="s">
        <v>1021</v>
      </c>
      <c r="H2636" s="940" t="str">
        <f t="shared" ref="H2636:N2636" si="1234">IF(COUNT(H2633:H2634)&gt;0,SUM(H2633)/SUM(H2633:H2634),IF($T2625=TRUE,IF(H2629&gt;CNTR_ReportingYear,"",1),""))</f>
        <v/>
      </c>
      <c r="I2636" s="941" t="str">
        <f t="shared" si="1234"/>
        <v/>
      </c>
      <c r="J2636" s="1792" t="str">
        <f t="shared" si="1234"/>
        <v/>
      </c>
      <c r="K2636" s="1793" t="str">
        <f t="shared" si="1234"/>
        <v/>
      </c>
      <c r="L2636" s="1793" t="str">
        <f t="shared" si="1234"/>
        <v/>
      </c>
      <c r="M2636" s="1793" t="str">
        <f t="shared" si="1234"/>
        <v/>
      </c>
      <c r="N2636" s="1793" t="str">
        <f t="shared" si="1234"/>
        <v/>
      </c>
      <c r="O2636" s="485"/>
      <c r="P2636" s="485"/>
      <c r="Q2636" s="1644" t="str">
        <f>EUconst_CNTR_ELEXCH &amp; I2589</f>
        <v>ELEXCH_</v>
      </c>
    </row>
    <row r="2637" spans="1:42" ht="5.0999999999999996" customHeight="1">
      <c r="B2637" s="479"/>
      <c r="C2637" s="479"/>
      <c r="D2637" s="479"/>
      <c r="E2637" s="479"/>
      <c r="F2637" s="479"/>
      <c r="G2637" s="479"/>
      <c r="H2637" s="479"/>
      <c r="I2637" s="479"/>
      <c r="J2637" s="479"/>
      <c r="K2637" s="479"/>
      <c r="L2637" s="479"/>
      <c r="M2637" s="485"/>
      <c r="N2637" s="485"/>
      <c r="O2637" s="485"/>
      <c r="P2637" s="485"/>
      <c r="Q2637" s="1435"/>
    </row>
    <row r="2638" spans="1:42" ht="25.5" customHeight="1" thickBot="1">
      <c r="B2638" s="479"/>
      <c r="C2638" s="479"/>
      <c r="D2638" s="485"/>
      <c r="E2638" s="2385" t="s">
        <v>2737</v>
      </c>
      <c r="F2638" s="2846"/>
      <c r="G2638" s="2846"/>
      <c r="H2638" s="2846"/>
      <c r="I2638" s="2846"/>
      <c r="J2638" s="2846"/>
      <c r="K2638" s="2846"/>
      <c r="L2638" s="2846"/>
      <c r="M2638" s="2846"/>
      <c r="N2638" s="2846"/>
      <c r="O2638" s="485"/>
      <c r="P2638" s="485"/>
      <c r="Q2638" s="1435"/>
      <c r="S2638" s="1435"/>
      <c r="T2638" s="1435"/>
      <c r="U2638" s="1435"/>
    </row>
    <row r="2639" spans="1:42" ht="5.0999999999999996" customHeight="1" thickBot="1">
      <c r="B2639" s="479"/>
      <c r="C2639" s="479"/>
      <c r="D2639" s="902"/>
      <c r="E2639" s="942"/>
      <c r="F2639" s="942"/>
      <c r="G2639" s="942"/>
      <c r="H2639" s="942"/>
      <c r="I2639" s="942"/>
      <c r="J2639" s="943"/>
      <c r="K2639" s="1798"/>
      <c r="L2639" s="1798"/>
      <c r="M2639" s="1798"/>
      <c r="N2639" s="1798"/>
      <c r="O2639" s="485"/>
      <c r="P2639" s="485"/>
      <c r="Q2639" s="1435"/>
      <c r="S2639" s="1435"/>
      <c r="T2639" s="1435"/>
      <c r="U2639" s="1435"/>
    </row>
    <row r="2640" spans="1:42" ht="12.75" customHeight="1">
      <c r="B2640" s="479"/>
      <c r="C2640" s="479"/>
      <c r="D2640" s="907" t="s">
        <v>1915</v>
      </c>
      <c r="E2640" s="908" t="s">
        <v>1775</v>
      </c>
      <c r="F2640" s="909"/>
      <c r="G2640" s="909"/>
      <c r="H2640" s="910" t="str">
        <f>EUconst_Unit</f>
        <v>Unit</v>
      </c>
      <c r="I2640" s="911" t="s">
        <v>2220</v>
      </c>
      <c r="J2640" s="1647">
        <f>J$3242</f>
        <v>2026</v>
      </c>
      <c r="K2640" s="1490">
        <f>K$3242</f>
        <v>2027</v>
      </c>
      <c r="L2640" s="1490">
        <f>L$3242</f>
        <v>2028</v>
      </c>
      <c r="M2640" s="1490">
        <f>M$3242</f>
        <v>2029</v>
      </c>
      <c r="N2640" s="1490">
        <f>N$3242</f>
        <v>2030</v>
      </c>
      <c r="O2640" s="485"/>
      <c r="P2640" s="485"/>
      <c r="Q2640" s="1435"/>
      <c r="U2640" s="1648"/>
      <c r="V2640" s="1649">
        <f>J2640</f>
        <v>2026</v>
      </c>
      <c r="W2640" s="1649">
        <f>K2640</f>
        <v>2027</v>
      </c>
      <c r="X2640" s="1649">
        <f>L2640</f>
        <v>2028</v>
      </c>
      <c r="Y2640" s="1649">
        <f>M2640</f>
        <v>2029</v>
      </c>
      <c r="Z2640" s="1650">
        <f>N2640</f>
        <v>2030</v>
      </c>
      <c r="AL2640" s="1435"/>
    </row>
    <row r="2641" spans="1:38" ht="12.75" customHeight="1">
      <c r="B2641" s="479"/>
      <c r="C2641" s="479"/>
      <c r="D2641" s="915" t="s">
        <v>6</v>
      </c>
      <c r="E2641" s="916" t="s">
        <v>1691</v>
      </c>
      <c r="F2641" s="916"/>
      <c r="G2641" s="916"/>
      <c r="H2641" s="944" t="str">
        <f>G2636</f>
        <v>-</v>
      </c>
      <c r="I2641" s="945" t="str">
        <f>IF($T2625&lt;&gt;TRUE,"",INDEX('B+C_SubInstallations'!$L:$L,MATCH(Q2641,'B+C_SubInstallations'!$W:$W,0)))</f>
        <v/>
      </c>
      <c r="J2641" s="1691" t="str">
        <f>IF($T2625&lt;&gt;TRUE,"",IF(AND(V2641&gt;=3,CNTR_ReportingYear&gt;J2640-1),AVERAGE(SUM(H2636),SUM(I2636)),""))</f>
        <v/>
      </c>
      <c r="K2641" s="1799" t="str">
        <f>IF($T2625&lt;&gt;TRUE,"",IF(AND(W2641&gt;=3,CNTR_ReportingYear&gt;K2640-1),AVERAGE(SUM(I2636),SUM(J2636)),""))</f>
        <v/>
      </c>
      <c r="L2641" s="1799" t="str">
        <f>IF($T2625&lt;&gt;TRUE,"",IF(AND(X2641&gt;=3,CNTR_ReportingYear&gt;L2640-1),AVERAGE(SUM(J2636),SUM(K2636)),""))</f>
        <v/>
      </c>
      <c r="M2641" s="1799" t="str">
        <f>IF($T2625&lt;&gt;TRUE,"",IF(AND(Y2641&gt;=3,CNTR_ReportingYear&gt;M2640-1),AVERAGE(SUM(K2636),SUM(L2636)),""))</f>
        <v/>
      </c>
      <c r="N2641" s="1799" t="str">
        <f>IF($T2625&lt;&gt;TRUE,"",IF(AND(Z2641&gt;=3,CNTR_ReportingYear&gt;N2640-1),AVERAGE(SUM(L2636),SUM(M2636)),""))</f>
        <v/>
      </c>
      <c r="O2641" s="485"/>
      <c r="P2641" s="485"/>
      <c r="Q2641" s="1644" t="str">
        <f>EUconst_CNTR_HAL &amp; EUconst_CNTR_ELEXCHInitial &amp; I2589</f>
        <v>HAL_ELEXCHIni_</v>
      </c>
      <c r="U2641" s="1693" t="s">
        <v>1650</v>
      </c>
      <c r="V2641" s="1635">
        <f>V2611</f>
        <v>0</v>
      </c>
      <c r="W2641" s="1635">
        <f>W2611</f>
        <v>0</v>
      </c>
      <c r="X2641" s="1635">
        <f>X2611</f>
        <v>0</v>
      </c>
      <c r="Y2641" s="1635">
        <f>Y2611</f>
        <v>0</v>
      </c>
      <c r="Z2641" s="1654">
        <f>Z2611</f>
        <v>0</v>
      </c>
      <c r="AL2641" s="1435"/>
    </row>
    <row r="2642" spans="1:38" ht="12.75" hidden="1" customHeight="1">
      <c r="A2642" s="618" t="s">
        <v>2289</v>
      </c>
      <c r="B2642" s="479"/>
      <c r="C2642" s="479"/>
      <c r="D2642" s="915"/>
      <c r="E2642" s="916" t="s">
        <v>1776</v>
      </c>
      <c r="F2642" s="916"/>
      <c r="G2642" s="916"/>
      <c r="H2642" s="921"/>
      <c r="I2642" s="1657"/>
      <c r="J2642" s="17" t="str">
        <f>IF(J2641="","",IF($I2644=0,IF(J2641=0,0%,100%),J2641/$I2644-1))</f>
        <v/>
      </c>
      <c r="K2642" s="22" t="str">
        <f>IF(K2641="","",IF($I2644=0,IF(K2641=0,0%,100%),K2641/$I2644-1))</f>
        <v/>
      </c>
      <c r="L2642" s="22" t="str">
        <f>IF(L2641="","",IF($I2644=0,IF(L2641=0,0%,100%),L2641/$I2644-1))</f>
        <v/>
      </c>
      <c r="M2642" s="22" t="str">
        <f>IF(M2641="","",IF($I2644=0,IF(M2641=0,0%,100%),M2641/$I2644-1))</f>
        <v/>
      </c>
      <c r="N2642" s="22" t="str">
        <f>IF(N2641="","",IF($I2644=0,IF(N2641=0,0%,100%),N2641/$I2644-1))</f>
        <v/>
      </c>
      <c r="O2642" s="485"/>
      <c r="P2642" s="485"/>
      <c r="Q2642" s="1644" t="str">
        <f>EUconst_CNTR_RelThreshold &amp; Q2644</f>
        <v>RelThresh_HALprelim_ELEXCH_</v>
      </c>
      <c r="U2642" s="1693" t="s">
        <v>1655</v>
      </c>
      <c r="V2642" s="1158" t="str">
        <f>IF(J2641="","",ABS(J2642)&gt;15%)</f>
        <v/>
      </c>
      <c r="W2642" s="1158" t="str">
        <f>IF(K2641="","",ABS(K2642)&gt;15%)</f>
        <v/>
      </c>
      <c r="X2642" s="1158" t="str">
        <f>IF(L2641="","",ABS(L2642)&gt;15%)</f>
        <v/>
      </c>
      <c r="Y2642" s="1158" t="str">
        <f>IF(M2641="","",ABS(M2642)&gt;15%)</f>
        <v/>
      </c>
      <c r="Z2642" s="1656" t="str">
        <f>IF(N2641="","",ABS(N2642)&gt;15%)</f>
        <v/>
      </c>
      <c r="AL2642" s="1435"/>
    </row>
    <row r="2643" spans="1:38" ht="12.75" customHeight="1">
      <c r="A2643" s="618"/>
      <c r="B2643" s="479"/>
      <c r="C2643" s="479"/>
      <c r="D2643" s="915" t="s">
        <v>7</v>
      </c>
      <c r="E2643" s="916" t="s">
        <v>1654</v>
      </c>
      <c r="F2643" s="916"/>
      <c r="G2643" s="916"/>
      <c r="H2643" s="921"/>
      <c r="I2643" s="1657"/>
      <c r="J2643" s="1658" t="str">
        <f>IF(J2641="","",IF(V2642=FALSE,0%,J2642))</f>
        <v/>
      </c>
      <c r="K2643" s="1795" t="str">
        <f>IF(K2641="","",IF(W2642=FALSE,0%,K2642))</f>
        <v/>
      </c>
      <c r="L2643" s="1795" t="str">
        <f>IF(L2641="","",IF(X2642=FALSE,0%,L2642))</f>
        <v/>
      </c>
      <c r="M2643" s="1795" t="str">
        <f>IF(M2641="","",IF(Y2642=FALSE,0%,M2642))</f>
        <v/>
      </c>
      <c r="N2643" s="1795" t="str">
        <f>IF(N2641="","",IF(Z2642=FALSE,0%,N2642))</f>
        <v/>
      </c>
      <c r="O2643" s="485"/>
      <c r="P2643" s="485"/>
      <c r="Q2643" s="1435"/>
      <c r="U2643" s="1694"/>
      <c r="Z2643" s="1664"/>
      <c r="AL2643" s="1435"/>
    </row>
    <row r="2644" spans="1:38" ht="12.75" hidden="1" customHeight="1">
      <c r="A2644" s="618" t="s">
        <v>2289</v>
      </c>
      <c r="B2644" s="479"/>
      <c r="C2644" s="479"/>
      <c r="D2644" s="915"/>
      <c r="E2644" s="916" t="s">
        <v>1689</v>
      </c>
      <c r="F2644" s="916"/>
      <c r="G2644" s="916"/>
      <c r="H2644" s="944" t="str">
        <f>H2641</f>
        <v>-</v>
      </c>
      <c r="I2644" s="945" t="str">
        <f>IF($T2625&lt;&gt;TRUE,"",IF(AB2589=FALSE,EUconst_NA,IF(V2589&gt;($J$3242-3),INDEX(H2636:N2636,MATCH(V2589,H2629:N2629,0)),SUM(I2641))))</f>
        <v/>
      </c>
      <c r="J2644" s="1695" t="str">
        <f>IF(OR($I2589="",$T2625=FALSE),"",IF(V2641&lt;2,SUM(J2636),IF(V2641&lt;3,SUM(I2636),IF(V2644="",I2644,V2644))))</f>
        <v/>
      </c>
      <c r="K2644" s="1799" t="str">
        <f>IF(OR($I2589="",$T2625=FALSE),"",IF(W2641&lt;2,SUM(K2636),IF(W2641&lt;3,SUM(J2636),IF(W2644="",J2644,W2644))))</f>
        <v/>
      </c>
      <c r="L2644" s="1799" t="str">
        <f>IF(OR($I2589="",$T2625=FALSE),"",IF(X2641&lt;2,SUM(L2636),IF(X2641&lt;3,SUM(K2636),IF(X2644="",K2644,X2644))))</f>
        <v/>
      </c>
      <c r="M2644" s="1799" t="str">
        <f>IF(OR($I2589="",$T2625=FALSE),"",IF(Y2641&lt;2,SUM(M2636),IF(Y2641&lt;3,SUM(L2636),IF(Y2644="",L2644,Y2644))))</f>
        <v/>
      </c>
      <c r="N2644" s="1799" t="str">
        <f>IF(OR($I2589="",$T2625=FALSE),"",IF(Z2641&lt;2,SUM(N2636),IF(Z2641&lt;3,SUM(M2636),IF(Z2644="",M2644,Z2644))))</f>
        <v/>
      </c>
      <c r="O2644" s="485"/>
      <c r="P2644" s="485"/>
      <c r="Q2644" s="1644" t="str">
        <f>EUconst_CNTR_HALprelim&amp;EUconst_CNTR_ELEXCH &amp; I2589</f>
        <v>HALprelim_ELEXCH_</v>
      </c>
      <c r="U2644" s="1693" t="s">
        <v>1697</v>
      </c>
      <c r="V2644" s="1696" t="str">
        <f>IF(J2641="","",IF(CNTR_ReportingYear&lt;J2640,I2643,IF($I2644=0,J2641,$I2644*(1+J2643))))</f>
        <v/>
      </c>
      <c r="W2644" s="1696" t="str">
        <f>IF(K2641="","",IF(CNTR_ReportingYear&lt;K2640,J2643,IF($I2644=0,K2641,$I2644*(1+K2643))))</f>
        <v/>
      </c>
      <c r="X2644" s="1696" t="str">
        <f>IF(L2641="","",IF(CNTR_ReportingYear&lt;L2640,K2643,IF($I2644=0,L2641,$I2644*(1+L2643))))</f>
        <v/>
      </c>
      <c r="Y2644" s="1696" t="str">
        <f>IF(M2641="","",IF(CNTR_ReportingYear&lt;M2640,L2643,IF($I2644=0,M2641,$I2644*(1+M2643))))</f>
        <v/>
      </c>
      <c r="Z2644" s="1697" t="str">
        <f>IF(N2641="","",IF(CNTR_ReportingYear&lt;N2640,M2643,IF($I2644=0,N2641,$I2644*(1+N2643))))</f>
        <v/>
      </c>
      <c r="AL2644" s="1435"/>
    </row>
    <row r="2645" spans="1:38" ht="5.0999999999999996" customHeight="1">
      <c r="A2645" s="618"/>
      <c r="B2645" s="479"/>
      <c r="C2645" s="479"/>
      <c r="D2645" s="915"/>
      <c r="E2645" s="909"/>
      <c r="F2645" s="909"/>
      <c r="G2645" s="909"/>
      <c r="H2645" s="909"/>
      <c r="I2645" s="909"/>
      <c r="J2645" s="922"/>
      <c r="K2645" s="1791"/>
      <c r="L2645" s="1791"/>
      <c r="M2645" s="1791"/>
      <c r="N2645" s="1791"/>
      <c r="O2645" s="485"/>
      <c r="P2645" s="485"/>
      <c r="Q2645" s="1435"/>
      <c r="U2645" s="1663"/>
      <c r="V2645" s="1435"/>
      <c r="Z2645" s="1664"/>
      <c r="AL2645" s="1435"/>
    </row>
    <row r="2646" spans="1:38" ht="12.75" customHeight="1">
      <c r="A2646" s="618"/>
      <c r="B2646" s="479"/>
      <c r="C2646" s="479"/>
      <c r="D2646" s="915"/>
      <c r="E2646" s="923" t="s">
        <v>1653</v>
      </c>
      <c r="F2646" s="923"/>
      <c r="G2646" s="923"/>
      <c r="H2646" s="923"/>
      <c r="I2646" s="923"/>
      <c r="J2646" s="1647">
        <f>J$3242</f>
        <v>2026</v>
      </c>
      <c r="K2646" s="1490">
        <f>K$3242</f>
        <v>2027</v>
      </c>
      <c r="L2646" s="1490">
        <f>L$3242</f>
        <v>2028</v>
      </c>
      <c r="M2646" s="1490">
        <f>M$3242</f>
        <v>2029</v>
      </c>
      <c r="N2646" s="1490">
        <f>N$3242</f>
        <v>2030</v>
      </c>
      <c r="O2646" s="485"/>
      <c r="P2646" s="485"/>
      <c r="Q2646" s="1435"/>
      <c r="U2646" s="1665"/>
      <c r="Z2646" s="1664"/>
      <c r="AL2646" s="1435"/>
    </row>
    <row r="2647" spans="1:38" ht="12.75" customHeight="1">
      <c r="A2647" s="618"/>
      <c r="B2647" s="479"/>
      <c r="C2647" s="479"/>
      <c r="D2647" s="915" t="s">
        <v>8</v>
      </c>
      <c r="E2647" s="916" t="s">
        <v>2108</v>
      </c>
      <c r="F2647" s="916"/>
      <c r="G2647" s="916"/>
      <c r="H2647" s="916"/>
      <c r="I2647" s="916"/>
      <c r="J2647" s="1666" t="str">
        <f>IF(OR($I2589="",$T2625=FALSE),"",INDEX(K_Summary!J:J,MATCH($Q2647,K_Summary!$P:$P,0)))</f>
        <v/>
      </c>
      <c r="K2647" s="1791" t="str">
        <f>IF(OR($I2589="",$T2625=FALSE),"",INDEX(K_Summary!K:K,MATCH($Q2647,K_Summary!$P:$P,0)))</f>
        <v/>
      </c>
      <c r="L2647" s="1791" t="str">
        <f>IF(OR($I2589="",$T2625=FALSE),"",INDEX(K_Summary!L:L,MATCH($Q2647,K_Summary!$P:$P,0)))</f>
        <v/>
      </c>
      <c r="M2647" s="1791" t="str">
        <f>IF(OR($I2589="",$T2625=FALSE),"",INDEX(K_Summary!M:M,MATCH($Q2647,K_Summary!$P:$P,0)))</f>
        <v/>
      </c>
      <c r="N2647" s="1791" t="str">
        <f>IF(OR($I2589="",$T2625=FALSE),"",INDEX(K_Summary!N:N,MATCH($Q2647,K_Summary!$P:$P,0)))</f>
        <v/>
      </c>
      <c r="O2647" s="485"/>
      <c r="P2647" s="485"/>
      <c r="Q2647" s="1644" t="str">
        <f>EUconst_CNTR_100EUA_ElExch&amp;I2589</f>
        <v>EUA100ElExch_</v>
      </c>
      <c r="U2647" s="1665"/>
      <c r="Z2647" s="1664"/>
      <c r="AL2647" s="1435"/>
    </row>
    <row r="2648" spans="1:38" ht="5.0999999999999996" customHeight="1" thickBot="1">
      <c r="A2648" s="618"/>
      <c r="B2648" s="479"/>
      <c r="C2648" s="479"/>
      <c r="D2648" s="915"/>
      <c r="E2648" s="909"/>
      <c r="F2648" s="909"/>
      <c r="G2648" s="909"/>
      <c r="H2648" s="909"/>
      <c r="I2648" s="909"/>
      <c r="J2648" s="922"/>
      <c r="K2648" s="1791"/>
      <c r="L2648" s="1791"/>
      <c r="M2648" s="1791"/>
      <c r="N2648" s="1791"/>
      <c r="O2648" s="485"/>
      <c r="P2648" s="485"/>
      <c r="Q2648" s="1435"/>
      <c r="U2648" s="1663"/>
      <c r="V2648" s="1435"/>
      <c r="Z2648" s="1664"/>
      <c r="AL2648" s="1435"/>
    </row>
    <row r="2649" spans="1:38" ht="12.75" customHeight="1" thickBot="1">
      <c r="B2649" s="479"/>
      <c r="C2649" s="479"/>
      <c r="D2649" s="915" t="s">
        <v>18</v>
      </c>
      <c r="E2649" s="916" t="s">
        <v>1657</v>
      </c>
      <c r="F2649" s="916"/>
      <c r="G2649" s="916"/>
      <c r="H2649" s="921"/>
      <c r="I2649" s="1667"/>
      <c r="J2649" s="1668" t="str">
        <f>IF(J2647="","",IF(OR(J2647,V2641&lt;1),J2643,I2649))</f>
        <v/>
      </c>
      <c r="K2649" s="1796" t="str">
        <f>IF(K2647="","",IF(OR(K2647,W2641&lt;1),K2643,J2649))</f>
        <v/>
      </c>
      <c r="L2649" s="1796" t="str">
        <f>IF(L2647="","",IF(OR(L2647,X2641&lt;1),L2643,K2649))</f>
        <v/>
      </c>
      <c r="M2649" s="1796" t="str">
        <f>IF(M2647="","",IF(OR(M2647,Y2641&lt;1),M2643,L2649))</f>
        <v/>
      </c>
      <c r="N2649" s="1796" t="str">
        <f>IF(N2647="","",IF(OR(N2647,Z2641&lt;1),N2643,M2649))</f>
        <v/>
      </c>
      <c r="O2649" s="485"/>
      <c r="P2649" s="485"/>
      <c r="Q2649" s="1435"/>
      <c r="U2649" s="1663" t="s">
        <v>1658</v>
      </c>
      <c r="V2649" s="1670">
        <f>J2646</f>
        <v>2026</v>
      </c>
      <c r="W2649" s="1670">
        <f>K2646</f>
        <v>2027</v>
      </c>
      <c r="X2649" s="1670">
        <f>L2646</f>
        <v>2028</v>
      </c>
      <c r="Y2649" s="1670">
        <f>M2646</f>
        <v>2029</v>
      </c>
      <c r="Z2649" s="1671">
        <f>N2646</f>
        <v>2030</v>
      </c>
      <c r="AL2649" s="1435"/>
    </row>
    <row r="2650" spans="1:38" ht="12.75" customHeight="1" thickBot="1">
      <c r="A2650" s="618"/>
      <c r="B2650" s="479"/>
      <c r="C2650" s="479"/>
      <c r="D2650" s="915" t="s">
        <v>787</v>
      </c>
      <c r="E2650" s="916" t="s">
        <v>1659</v>
      </c>
      <c r="F2650" s="916"/>
      <c r="G2650" s="916"/>
      <c r="H2650" s="944" t="str">
        <f>H2641</f>
        <v>-</v>
      </c>
      <c r="I2650" s="945" t="str">
        <f>I2644</f>
        <v/>
      </c>
      <c r="J2650" s="1698" t="str">
        <f>IF(OR($I2589="",$T2625=FALSE),"",IF(OR($I2650=0,$I2650=EUconst_NA,J2649="",J2646&lt;=$V2589),J2644,$I2650*(1+SUM(J2649))))</f>
        <v/>
      </c>
      <c r="K2650" s="1800" t="str">
        <f>IF(OR($I2589="",$T2625=FALSE),"",IF(OR($I2650=0,$I2650=EUconst_NA,K2649="",K2646&lt;=$V2589),K2644,$I2650*(1+SUM(K2649))))</f>
        <v/>
      </c>
      <c r="L2650" s="1800" t="str">
        <f>IF(OR($I2589="",$T2625=FALSE),"",IF(OR($I2650=0,$I2650=EUconst_NA,L2649="",L2646&lt;=$V2589),L2644,$I2650*(1+SUM(L2649))))</f>
        <v/>
      </c>
      <c r="M2650" s="1800" t="str">
        <f>IF(OR($I2589="",$T2625=FALSE),"",IF(OR($I2650=0,$I2650=EUconst_NA,M2649="",M2646&lt;=$V2589),M2644,$I2650*(1+SUM(M2649))))</f>
        <v/>
      </c>
      <c r="N2650" s="1800" t="str">
        <f>IF(OR($I2589="",$T2625=FALSE),"",IF(OR($I2650=0,$I2650=EUconst_NA,N2649="",N2646&lt;=$V2589),N2644,$I2650*(1+SUM(N2649))))</f>
        <v/>
      </c>
      <c r="O2650" s="485"/>
      <c r="P2650" s="485"/>
      <c r="Q2650" s="1644" t="str">
        <f>EUconst_CNTR_HALfinal&amp;EUconst_CNTR_ELEXCH &amp; I2589</f>
        <v>HALfinal_ELEXCH_</v>
      </c>
      <c r="U2650" s="1674" t="b">
        <v>0</v>
      </c>
      <c r="V2650" s="1675" t="str">
        <f>IF(V2597,IF(J2647=TRUE,V2642,U2650),"")</f>
        <v/>
      </c>
      <c r="W2650" s="1675" t="str">
        <f>IF(W2597,IF(K2647=TRUE,W2642,V2650),"")</f>
        <v/>
      </c>
      <c r="X2650" s="1675" t="str">
        <f>IF(X2597,IF(L2647=TRUE,X2642,W2650),"")</f>
        <v/>
      </c>
      <c r="Y2650" s="1675" t="str">
        <f>IF(Y2597,IF(M2647=TRUE,Y2642,X2650),"")</f>
        <v/>
      </c>
      <c r="Z2650" s="1676" t="str">
        <f>IF(Z2597,IF(N2647=TRUE,Z2642,Y2650),"")</f>
        <v/>
      </c>
      <c r="AJ2650" s="1633" t="s">
        <v>1951</v>
      </c>
      <c r="AK2650" s="1443" t="str">
        <f>IF(OR(ISERROR(J2650),ISERROR(K2650),ISERROR(L2650),ISERROR(M2650),ISERROR(N2650)),EUconst_Error &amp; "BM" &amp; Q2589,"")</f>
        <v/>
      </c>
      <c r="AL2650" s="1435"/>
    </row>
    <row r="2651" spans="1:38" ht="5.0999999999999996" customHeight="1" thickBot="1">
      <c r="B2651" s="479"/>
      <c r="C2651" s="479"/>
      <c r="D2651" s="946"/>
      <c r="E2651" s="947"/>
      <c r="F2651" s="947"/>
      <c r="G2651" s="947"/>
      <c r="H2651" s="947"/>
      <c r="I2651" s="947"/>
      <c r="J2651" s="1700"/>
      <c r="K2651" s="1791"/>
      <c r="L2651" s="1791"/>
      <c r="M2651" s="1791"/>
      <c r="N2651" s="1791"/>
      <c r="O2651" s="485"/>
      <c r="P2651" s="485"/>
      <c r="Q2651" s="1435"/>
    </row>
    <row r="2652" spans="1:38" ht="5.0999999999999996" customHeight="1">
      <c r="B2652" s="479"/>
      <c r="C2652" s="479"/>
      <c r="D2652" s="479"/>
      <c r="E2652" s="479"/>
      <c r="F2652" s="479"/>
      <c r="G2652" s="479"/>
      <c r="H2652" s="479"/>
      <c r="I2652" s="479"/>
      <c r="J2652" s="479"/>
      <c r="K2652" s="479"/>
      <c r="L2652" s="479"/>
      <c r="M2652" s="485"/>
      <c r="N2652" s="485"/>
      <c r="O2652" s="485"/>
      <c r="P2652" s="485"/>
      <c r="Q2652" s="1435"/>
    </row>
    <row r="2653" spans="1:38" ht="12.75" customHeight="1">
      <c r="B2653" s="479"/>
      <c r="C2653" s="479"/>
      <c r="D2653" s="482" t="s">
        <v>881</v>
      </c>
      <c r="E2653" s="2373" t="s">
        <v>941</v>
      </c>
      <c r="F2653" s="2373"/>
      <c r="G2653" s="2373"/>
      <c r="H2653" s="2373"/>
      <c r="I2653" s="2604"/>
      <c r="J2653" s="2652" t="str">
        <f>IF(I2589="","",HYPERLINK(R2653,EUconst_MsgGoOnIfNotRelevant))</f>
        <v/>
      </c>
      <c r="K2653" s="2653"/>
      <c r="L2653" s="2653"/>
      <c r="M2653" s="2653"/>
      <c r="N2653" s="2654"/>
      <c r="O2653" s="485"/>
      <c r="P2653" s="485"/>
      <c r="Q2653" s="1198" t="s">
        <v>441</v>
      </c>
      <c r="R2653" s="1488" t="str">
        <f>"#"&amp;ADDRESS(ROW(D2678),COLUMN(D2678))</f>
        <v>#$D$2678</v>
      </c>
    </row>
    <row r="2654" spans="1:38" ht="12.75" customHeight="1">
      <c r="B2654" s="479"/>
      <c r="C2654" s="479"/>
      <c r="D2654" s="485"/>
      <c r="E2654" s="2385" t="s">
        <v>1368</v>
      </c>
      <c r="F2654" s="2846"/>
      <c r="G2654" s="2846"/>
      <c r="H2654" s="2846"/>
      <c r="I2654" s="2846"/>
      <c r="J2654" s="2846"/>
      <c r="K2654" s="2846"/>
      <c r="L2654" s="2846"/>
      <c r="M2654" s="2846"/>
      <c r="N2654" s="2846"/>
      <c r="O2654" s="485"/>
      <c r="P2654" s="485"/>
      <c r="Q2654" s="1435"/>
      <c r="U2654" s="1435"/>
      <c r="V2654" s="1435"/>
    </row>
    <row r="2655" spans="1:38" ht="12.75" customHeight="1">
      <c r="B2655" s="479"/>
      <c r="C2655" s="479"/>
      <c r="D2655" s="485"/>
      <c r="E2655" s="2385" t="s">
        <v>1474</v>
      </c>
      <c r="F2655" s="2846"/>
      <c r="G2655" s="2846"/>
      <c r="H2655" s="2846"/>
      <c r="I2655" s="2846"/>
      <c r="J2655" s="2846"/>
      <c r="K2655" s="2846"/>
      <c r="L2655" s="2846"/>
      <c r="M2655" s="2846"/>
      <c r="N2655" s="2846"/>
      <c r="O2655" s="485"/>
      <c r="P2655" s="485"/>
      <c r="Q2655" s="1435"/>
      <c r="U2655" s="1435"/>
      <c r="V2655" s="1435"/>
    </row>
    <row r="2656" spans="1:38" ht="12.75" customHeight="1">
      <c r="B2656" s="479"/>
      <c r="C2656" s="479"/>
      <c r="D2656" s="485"/>
      <c r="E2656" s="2385" t="s">
        <v>1300</v>
      </c>
      <c r="F2656" s="2846"/>
      <c r="G2656" s="2846"/>
      <c r="H2656" s="2846"/>
      <c r="I2656" s="2846"/>
      <c r="J2656" s="2846"/>
      <c r="K2656" s="2846"/>
      <c r="L2656" s="2846"/>
      <c r="M2656" s="2846"/>
      <c r="N2656" s="2846"/>
      <c r="O2656" s="485"/>
      <c r="P2656" s="485"/>
      <c r="Q2656" s="1435"/>
      <c r="U2656" s="1435"/>
      <c r="V2656" s="1435"/>
    </row>
    <row r="2657" spans="1:38" ht="12.75" customHeight="1">
      <c r="B2657" s="479"/>
      <c r="C2657" s="479"/>
      <c r="D2657" s="485"/>
      <c r="E2657" s="2385" t="s">
        <v>1608</v>
      </c>
      <c r="F2657" s="2846"/>
      <c r="G2657" s="2846"/>
      <c r="H2657" s="2846"/>
      <c r="I2657" s="2846"/>
      <c r="J2657" s="2846"/>
      <c r="K2657" s="2846"/>
      <c r="L2657" s="2846"/>
      <c r="M2657" s="2846"/>
      <c r="N2657" s="2846"/>
      <c r="O2657" s="485"/>
      <c r="P2657" s="485"/>
      <c r="Q2657" s="1435"/>
      <c r="U2657" s="1435"/>
      <c r="V2657" s="1435"/>
      <c r="W2657" s="1435"/>
      <c r="X2657" s="1435"/>
      <c r="Y2657" s="1435"/>
      <c r="Z2657" s="1435"/>
    </row>
    <row r="2658" spans="1:38" ht="13.5" thickBot="1">
      <c r="B2658" s="1124"/>
      <c r="C2658" s="485"/>
      <c r="D2658" s="482"/>
      <c r="E2658" s="927" t="s">
        <v>62</v>
      </c>
      <c r="F2658" s="518"/>
      <c r="G2658" s="663" t="str">
        <f>EUconst_Unit</f>
        <v>Unit</v>
      </c>
      <c r="H2658" s="578">
        <f>H$3242</f>
        <v>2024</v>
      </c>
      <c r="I2658" s="697">
        <f>I$3242</f>
        <v>2025</v>
      </c>
      <c r="J2658" s="1489">
        <f>J$112</f>
        <v>2026</v>
      </c>
      <c r="K2658" s="1490">
        <f>K$112</f>
        <v>2027</v>
      </c>
      <c r="L2658" s="1490">
        <f>L$112</f>
        <v>2028</v>
      </c>
      <c r="M2658" s="1490">
        <f>M$112</f>
        <v>2029</v>
      </c>
      <c r="N2658" s="1490">
        <f>N$112</f>
        <v>2030</v>
      </c>
      <c r="O2658" s="485"/>
      <c r="P2658" s="485"/>
      <c r="R2658" s="1503"/>
      <c r="S2658" s="1633" t="s">
        <v>1846</v>
      </c>
      <c r="T2658" s="1638">
        <f t="shared" ref="T2658:Z2658" si="1235">H2658</f>
        <v>2024</v>
      </c>
      <c r="U2658" s="1638">
        <f t="shared" si="1235"/>
        <v>2025</v>
      </c>
      <c r="V2658" s="1638">
        <f t="shared" si="1235"/>
        <v>2026</v>
      </c>
      <c r="W2658" s="1638">
        <f t="shared" si="1235"/>
        <v>2027</v>
      </c>
      <c r="X2658" s="1638">
        <f t="shared" si="1235"/>
        <v>2028</v>
      </c>
      <c r="Y2658" s="1638">
        <f t="shared" si="1235"/>
        <v>2029</v>
      </c>
      <c r="Z2658" s="1638">
        <f t="shared" si="1235"/>
        <v>2030</v>
      </c>
      <c r="AA2658" s="1503"/>
      <c r="AC2658" s="1638">
        <f t="shared" ref="AC2658:AI2658" si="1236">H$20</f>
        <v>2024</v>
      </c>
      <c r="AD2658" s="1638">
        <f t="shared" si="1236"/>
        <v>2025</v>
      </c>
      <c r="AE2658" s="1638">
        <f t="shared" si="1236"/>
        <v>2026</v>
      </c>
      <c r="AF2658" s="1638">
        <f t="shared" si="1236"/>
        <v>2027</v>
      </c>
      <c r="AG2658" s="1638">
        <f t="shared" si="1236"/>
        <v>2028</v>
      </c>
      <c r="AH2658" s="1638">
        <f t="shared" si="1236"/>
        <v>2029</v>
      </c>
      <c r="AI2658" s="1638">
        <f t="shared" si="1236"/>
        <v>2030</v>
      </c>
    </row>
    <row r="2659" spans="1:38" ht="13.15" customHeight="1" thickBot="1">
      <c r="B2659" s="1124"/>
      <c r="C2659" s="485"/>
      <c r="D2659" s="561" t="s">
        <v>6</v>
      </c>
      <c r="E2659" s="2788" t="s">
        <v>650</v>
      </c>
      <c r="F2659" s="2788"/>
      <c r="G2659" s="730" t="str">
        <f>EUconst_TJpa</f>
        <v>TJ / year</v>
      </c>
      <c r="H2659" s="1479" t="str">
        <f>c_ALR2025!M5205</f>
        <v/>
      </c>
      <c r="I2659" s="1530"/>
      <c r="J2659" s="1491"/>
      <c r="K2659" s="1492"/>
      <c r="L2659" s="1492"/>
      <c r="M2659" s="1492"/>
      <c r="N2659" s="1492"/>
      <c r="O2659" s="485"/>
      <c r="P2659" s="9"/>
      <c r="Q2659" s="1443" t="str">
        <f>EUconst_CNTR_HAL&amp;EUconst_CNTR_nonETSMeasHeat</f>
        <v>HAL_non-ETS measurable heat</v>
      </c>
      <c r="S2659" s="1633"/>
      <c r="T2659" s="1701" t="str">
        <f t="shared" ref="T2659:Z2659" si="1237">IF(H2659="","",SUM(H2659)*EUconst_HeatBMvalue)</f>
        <v/>
      </c>
      <c r="U2659" s="1701" t="str">
        <f t="shared" si="1237"/>
        <v/>
      </c>
      <c r="V2659" s="1701" t="str">
        <f t="shared" si="1237"/>
        <v/>
      </c>
      <c r="W2659" s="1701" t="str">
        <f t="shared" si="1237"/>
        <v/>
      </c>
      <c r="X2659" s="1701" t="str">
        <f t="shared" si="1237"/>
        <v/>
      </c>
      <c r="Y2659" s="1701" t="str">
        <f t="shared" si="1237"/>
        <v/>
      </c>
      <c r="Z2659" s="1701" t="str">
        <f t="shared" si="1237"/>
        <v/>
      </c>
      <c r="AB2659" s="1641" t="s">
        <v>717</v>
      </c>
      <c r="AC2659" s="1853" t="b">
        <f t="shared" ref="AC2659:AI2659" si="1238">IF(CNTR_ExistSubInstEntries,OR($I2589="",H2596&gt;=CNTR_ReportingYear,AC2658&lt;$V2589-1),FALSE)</f>
        <v>0</v>
      </c>
      <c r="AD2659" s="1642" t="b">
        <f t="shared" si="1238"/>
        <v>0</v>
      </c>
      <c r="AE2659" s="1642" t="b">
        <f t="shared" si="1238"/>
        <v>0</v>
      </c>
      <c r="AF2659" s="1642" t="b">
        <f t="shared" si="1238"/>
        <v>0</v>
      </c>
      <c r="AG2659" s="1642" t="b">
        <f t="shared" si="1238"/>
        <v>0</v>
      </c>
      <c r="AH2659" s="1642" t="b">
        <f t="shared" si="1238"/>
        <v>0</v>
      </c>
      <c r="AI2659" s="1643" t="b">
        <f t="shared" si="1238"/>
        <v>0</v>
      </c>
      <c r="AJ2659" s="1633" t="s">
        <v>1954</v>
      </c>
      <c r="AK2659" s="1635" t="str">
        <f>IF(AND(CNTR_ExistSubInstEntries,COUNTIFS(AC2659:AI2659,FALSE,H2659:N2659,"")&gt;0),EUconst_Error&amp;"BM"&amp;$Q2589,"")</f>
        <v/>
      </c>
    </row>
    <row r="2660" spans="1:38">
      <c r="B2660" s="1124"/>
      <c r="C2660" s="485"/>
      <c r="D2660" s="561" t="s">
        <v>7</v>
      </c>
      <c r="E2660" s="2606" t="s">
        <v>107</v>
      </c>
      <c r="F2660" s="2606"/>
      <c r="G2660" s="950" t="s">
        <v>1022</v>
      </c>
      <c r="H2660" s="36" t="str">
        <f>IF(AND(ISNUMBER(H2659),ISNUMBER(E_EnergyFlows!H$114)), H2659/E_EnergyFlows!H$114*100,"")</f>
        <v/>
      </c>
      <c r="I2660" s="39" t="str">
        <f>IF(AND(ISNUMBER(I2659),ISNUMBER(E_EnergyFlows!I$114)), I2659/E_EnergyFlows!I$114*100,"")</f>
        <v/>
      </c>
      <c r="J2660" s="34" t="str">
        <f>IF(AND(ISNUMBER(J2659),ISNUMBER(E_EnergyFlows!J$114)), J2659/E_EnergyFlows!J$114*100,"")</f>
        <v/>
      </c>
      <c r="K2660" s="21" t="str">
        <f>IF(AND(ISNUMBER(K2659),ISNUMBER(E_EnergyFlows!K$114)), K2659/E_EnergyFlows!K$114*100,"")</f>
        <v/>
      </c>
      <c r="L2660" s="21" t="str">
        <f>IF(AND(ISNUMBER(L2659),ISNUMBER(E_EnergyFlows!L$114)), L2659/E_EnergyFlows!L$114*100,"")</f>
        <v/>
      </c>
      <c r="M2660" s="21" t="str">
        <f>IF(AND(ISNUMBER(M2659),ISNUMBER(E_EnergyFlows!M$114)), M2659/E_EnergyFlows!M$114*100,"")</f>
        <v/>
      </c>
      <c r="N2660" s="21" t="str">
        <f>IF(AND(ISNUMBER(N2659),ISNUMBER(E_EnergyFlows!N$114)), N2659/E_EnergyFlows!N$114*100,"")</f>
        <v/>
      </c>
      <c r="O2660" s="485"/>
      <c r="P2660" s="485"/>
      <c r="Q2660" s="1504" t="str">
        <f>EUconst_CNTR_HEAT &amp; I2589</f>
        <v>HEAT_</v>
      </c>
      <c r="R2660" s="1435"/>
      <c r="U2660" s="1435"/>
      <c r="V2660" s="1435"/>
    </row>
    <row r="2661" spans="1:38" ht="12.6" customHeight="1">
      <c r="B2661" s="1124"/>
      <c r="C2661" s="485"/>
      <c r="D2661" s="561" t="s">
        <v>8</v>
      </c>
      <c r="E2661" s="2586" t="s">
        <v>1548</v>
      </c>
      <c r="F2661" s="2586"/>
      <c r="G2661" s="951" t="s">
        <v>1022</v>
      </c>
      <c r="H2661" s="37" t="str">
        <f>IFERROR(IF(AND(H2802&gt;0,ISNUMBER(H2659)), H2659/H2802*100,""),"")</f>
        <v/>
      </c>
      <c r="I2661" s="40" t="str">
        <f t="shared" ref="I2661:N2661" si="1239">IF(AND(I2802&gt;0,ISNUMBER(I2659)), I2659/I2802*100,"")</f>
        <v/>
      </c>
      <c r="J2661" s="34" t="str">
        <f t="shared" si="1239"/>
        <v/>
      </c>
      <c r="K2661" s="21" t="str">
        <f t="shared" si="1239"/>
        <v/>
      </c>
      <c r="L2661" s="21" t="str">
        <f t="shared" si="1239"/>
        <v/>
      </c>
      <c r="M2661" s="21" t="str">
        <f t="shared" si="1239"/>
        <v/>
      </c>
      <c r="N2661" s="21" t="str">
        <f t="shared" si="1239"/>
        <v/>
      </c>
      <c r="O2661" s="485"/>
      <c r="P2661" s="485"/>
      <c r="U2661" s="1435"/>
      <c r="V2661" s="1435"/>
    </row>
    <row r="2662" spans="1:38" ht="5.0999999999999996" customHeight="1">
      <c r="B2662" s="1124"/>
      <c r="C2662" s="485"/>
      <c r="D2662" s="485"/>
      <c r="E2662" s="485"/>
      <c r="F2662" s="485"/>
      <c r="G2662" s="485"/>
      <c r="H2662" s="485"/>
      <c r="I2662" s="952"/>
      <c r="J2662" s="485"/>
      <c r="K2662" s="485"/>
      <c r="L2662" s="485"/>
      <c r="M2662" s="485"/>
      <c r="N2662" s="485"/>
      <c r="O2662" s="485"/>
      <c r="P2662" s="485"/>
      <c r="Q2662" s="1702"/>
      <c r="U2662" s="1435"/>
      <c r="V2662" s="1435"/>
    </row>
    <row r="2663" spans="1:38" ht="25.5" customHeight="1" thickBot="1">
      <c r="B2663" s="479"/>
      <c r="C2663" s="479"/>
      <c r="D2663" s="485"/>
      <c r="E2663" s="2385" t="s">
        <v>2737</v>
      </c>
      <c r="F2663" s="2846"/>
      <c r="G2663" s="2846"/>
      <c r="H2663" s="2846"/>
      <c r="I2663" s="2846"/>
      <c r="J2663" s="2846"/>
      <c r="K2663" s="2846"/>
      <c r="L2663" s="2846"/>
      <c r="M2663" s="2846"/>
      <c r="N2663" s="2846"/>
      <c r="O2663" s="485"/>
      <c r="P2663" s="485"/>
      <c r="Q2663" s="1435"/>
      <c r="S2663" s="1435"/>
      <c r="T2663" s="1435"/>
      <c r="U2663" s="1435"/>
    </row>
    <row r="2664" spans="1:38" ht="5.0999999999999996" customHeight="1" thickBot="1">
      <c r="B2664" s="479"/>
      <c r="C2664" s="479"/>
      <c r="D2664" s="902"/>
      <c r="E2664" s="904"/>
      <c r="F2664" s="953"/>
      <c r="G2664" s="953"/>
      <c r="H2664" s="953"/>
      <c r="I2664" s="953"/>
      <c r="J2664" s="954"/>
      <c r="K2664" s="1798"/>
      <c r="L2664" s="1798"/>
      <c r="M2664" s="1798"/>
      <c r="N2664" s="1798"/>
      <c r="O2664" s="485"/>
      <c r="P2664" s="485"/>
      <c r="Q2664" s="1435"/>
      <c r="S2664" s="1435"/>
      <c r="T2664" s="1435"/>
      <c r="U2664" s="1435"/>
    </row>
    <row r="2665" spans="1:38" ht="12.75" customHeight="1">
      <c r="B2665" s="479"/>
      <c r="C2665" s="479"/>
      <c r="D2665" s="907" t="s">
        <v>1916</v>
      </c>
      <c r="E2665" s="908" t="s">
        <v>1774</v>
      </c>
      <c r="F2665" s="909"/>
      <c r="G2665" s="909"/>
      <c r="H2665" s="910" t="str">
        <f>EUconst_Unit</f>
        <v>Unit</v>
      </c>
      <c r="I2665" s="911" t="s">
        <v>2213</v>
      </c>
      <c r="J2665" s="1647">
        <f>J$3242</f>
        <v>2026</v>
      </c>
      <c r="K2665" s="1490">
        <f>K$3242</f>
        <v>2027</v>
      </c>
      <c r="L2665" s="1490">
        <f>L$3242</f>
        <v>2028</v>
      </c>
      <c r="M2665" s="1490">
        <f>M$3242</f>
        <v>2029</v>
      </c>
      <c r="N2665" s="1490">
        <f>N$3242</f>
        <v>2030</v>
      </c>
      <c r="O2665" s="485"/>
      <c r="P2665" s="485"/>
      <c r="Q2665" s="1435"/>
      <c r="U2665" s="1648"/>
      <c r="V2665" s="1649">
        <f>J2665</f>
        <v>2026</v>
      </c>
      <c r="W2665" s="1649">
        <f>K2665</f>
        <v>2027</v>
      </c>
      <c r="X2665" s="1649">
        <f>L2665</f>
        <v>2028</v>
      </c>
      <c r="Y2665" s="1649">
        <f>M2665</f>
        <v>2029</v>
      </c>
      <c r="Z2665" s="1650">
        <f>N2665</f>
        <v>2030</v>
      </c>
    </row>
    <row r="2666" spans="1:38" ht="12.75" customHeight="1">
      <c r="B2666" s="479"/>
      <c r="C2666" s="479"/>
      <c r="D2666" s="915" t="s">
        <v>6</v>
      </c>
      <c r="E2666" s="916" t="s">
        <v>1691</v>
      </c>
      <c r="F2666" s="916"/>
      <c r="G2666" s="916"/>
      <c r="H2666" s="944" t="str">
        <f>EUconst_tCO2</f>
        <v>t CO2</v>
      </c>
      <c r="I2666" s="917" t="str">
        <f>INDEX('B+C_SubInstallations'!$J:$J,MATCH(Q2666,'B+C_SubInstallations'!$U:$U,0))</f>
        <v/>
      </c>
      <c r="J2666" s="1703" t="str">
        <f>IF(AND(V2666&gt;=3,CNTR_ReportingYear&gt;J2665-1),AVERAGE(SUM(T2659),SUM(U2659)),"")</f>
        <v/>
      </c>
      <c r="K2666" s="1799" t="str">
        <f>IF(AND(W2666&gt;=3,CNTR_ReportingYear&gt;K2665-1),AVERAGE(SUM(U2659),SUM(V2659)),"")</f>
        <v/>
      </c>
      <c r="L2666" s="1799" t="str">
        <f>IF(AND(X2666&gt;=3,CNTR_ReportingYear&gt;L2665-1),AVERAGE(SUM(V2659),SUM(W2659)),"")</f>
        <v/>
      </c>
      <c r="M2666" s="1799" t="str">
        <f>IF(AND(Y2666&gt;=3,CNTR_ReportingYear&gt;M2665-1),AVERAGE(SUM(W2659),SUM(X2659)),"")</f>
        <v/>
      </c>
      <c r="N2666" s="1799" t="str">
        <f>IF(AND(Z2666&gt;=3,CNTR_ReportingYear&gt;N2665-1),AVERAGE(SUM(X2659),SUM(Y2659)),"")</f>
        <v/>
      </c>
      <c r="O2666" s="485"/>
      <c r="P2666" s="485"/>
      <c r="Q2666" s="1704" t="str">
        <f>EUconst_CNTR_HEATInitial &amp; I2589</f>
        <v>HEATIni_</v>
      </c>
      <c r="U2666" s="1663" t="s">
        <v>1650</v>
      </c>
      <c r="V2666" s="1635">
        <f>V2611</f>
        <v>0</v>
      </c>
      <c r="W2666" s="1635">
        <f>W2611</f>
        <v>0</v>
      </c>
      <c r="X2666" s="1635">
        <f>X2611</f>
        <v>0</v>
      </c>
      <c r="Y2666" s="1635">
        <f>Y2611</f>
        <v>0</v>
      </c>
      <c r="Z2666" s="1654">
        <f>Z2611</f>
        <v>0</v>
      </c>
    </row>
    <row r="2667" spans="1:38" ht="12.75" hidden="1" customHeight="1">
      <c r="A2667" s="618" t="s">
        <v>2289</v>
      </c>
      <c r="B2667" s="479"/>
      <c r="C2667" s="479"/>
      <c r="D2667" s="915"/>
      <c r="E2667" s="916" t="s">
        <v>1776</v>
      </c>
      <c r="F2667" s="916"/>
      <c r="G2667" s="916"/>
      <c r="H2667" s="921"/>
      <c r="I2667" s="1657"/>
      <c r="J2667" s="17" t="str">
        <f>IF(J2666="","",IF($I2669=0,IF(J2666=0,0%,100%),J2666/$I2669-1))</f>
        <v/>
      </c>
      <c r="K2667" s="22" t="str">
        <f>IF(K2666="","",IF($I2669=0,IF(K2666=0,0%,100%),K2666/$I2669-1))</f>
        <v/>
      </c>
      <c r="L2667" s="22" t="str">
        <f>IF(L2666="","",IF($I2669=0,IF(L2666=0,0%,100%),L2666/$I2669-1))</f>
        <v/>
      </c>
      <c r="M2667" s="22" t="str">
        <f>IF(M2666="","",IF($I2669=0,IF(M2666=0,0%,100%),M2666/$I2669-1))</f>
        <v/>
      </c>
      <c r="N2667" s="22" t="str">
        <f>IF(N2666="","",IF($I2669=0,IF(N2666=0,0%,100%),N2666/$I2669-1))</f>
        <v/>
      </c>
      <c r="O2667" s="485"/>
      <c r="P2667" s="485"/>
      <c r="Q2667" s="1644" t="str">
        <f>EUconst_CNTR_RelThreshold &amp; Q2669</f>
        <v>RelThresh_HEATprelim_</v>
      </c>
      <c r="U2667" s="1663" t="s">
        <v>1655</v>
      </c>
      <c r="V2667" s="1158" t="str">
        <f>IF(J2666="","",ABS(J2667)&gt;15%)</f>
        <v/>
      </c>
      <c r="W2667" s="1158" t="str">
        <f>IF(K2666="","",ABS(K2667)&gt;15%)</f>
        <v/>
      </c>
      <c r="X2667" s="1158" t="str">
        <f>IF(L2666="","",ABS(L2667)&gt;15%)</f>
        <v/>
      </c>
      <c r="Y2667" s="1158" t="str">
        <f>IF(M2666="","",ABS(M2667)&gt;15%)</f>
        <v/>
      </c>
      <c r="Z2667" s="1656" t="str">
        <f>IF(N2666="","",ABS(N2667)&gt;15%)</f>
        <v/>
      </c>
    </row>
    <row r="2668" spans="1:38" ht="12.75" customHeight="1">
      <c r="A2668" s="618"/>
      <c r="B2668" s="479"/>
      <c r="C2668" s="479"/>
      <c r="D2668" s="915" t="s">
        <v>7</v>
      </c>
      <c r="E2668" s="916" t="s">
        <v>1654</v>
      </c>
      <c r="F2668" s="916"/>
      <c r="G2668" s="916"/>
      <c r="H2668" s="921"/>
      <c r="I2668" s="1657"/>
      <c r="J2668" s="1658" t="str">
        <f>IF(J2666="","",IF(V2667=FALSE,0%,J2667))</f>
        <v/>
      </c>
      <c r="K2668" s="1795" t="str">
        <f>IF(K2666="","",IF(W2667=FALSE,0%,K2667))</f>
        <v/>
      </c>
      <c r="L2668" s="1795" t="str">
        <f>IF(L2666="","",IF(X2667=FALSE,0%,L2667))</f>
        <v/>
      </c>
      <c r="M2668" s="1795" t="str">
        <f>IF(M2666="","",IF(Y2667=FALSE,0%,M2667))</f>
        <v/>
      </c>
      <c r="N2668" s="1795" t="str">
        <f>IF(N2666="","",IF(Z2667=FALSE,0%,N2667))</f>
        <v/>
      </c>
      <c r="O2668" s="485"/>
      <c r="P2668" s="485"/>
      <c r="Q2668" s="1435"/>
      <c r="U2668" s="1665"/>
      <c r="Z2668" s="1664"/>
      <c r="AL2668" s="1435"/>
    </row>
    <row r="2669" spans="1:38" ht="12.75" hidden="1" customHeight="1">
      <c r="A2669" s="618" t="s">
        <v>2289</v>
      </c>
      <c r="B2669" s="479"/>
      <c r="C2669" s="479"/>
      <c r="D2669" s="915"/>
      <c r="E2669" s="916" t="s">
        <v>1689</v>
      </c>
      <c r="F2669" s="916"/>
      <c r="G2669" s="916"/>
      <c r="H2669" s="944" t="str">
        <f>H2666</f>
        <v>t CO2</v>
      </c>
      <c r="I2669" s="917" t="str">
        <f>IF($I2589="","",IF(AB2589=FALSE,EUconst_NA,IF(V2589&gt;($J$3242-3),SUM(INDEX(H2659:N2659,MATCH(V2589,H2658:N2658,0))*EUconst_HeatBMvalue),SUM(I2666))))</f>
        <v/>
      </c>
      <c r="J2669" s="1651" t="str">
        <f>IF($I2589="","",IF(V2666&lt;2,SUM(V2659),IF(V2666&lt;3,SUM(U2659),IF(V2669="",I2669,V2669))))</f>
        <v/>
      </c>
      <c r="K2669" s="1799" t="str">
        <f>IF($I2589="","",IF(W2666&lt;2,SUM(W2659),IF(W2666&lt;3,SUM(V2659),IF(W2669="",J2669,W2669))))</f>
        <v/>
      </c>
      <c r="L2669" s="1799" t="str">
        <f>IF($I2589="","",IF(X2666&lt;2,SUM(X2659),IF(X2666&lt;3,SUM(W2659),IF(X2669="",K2669,X2669))))</f>
        <v/>
      </c>
      <c r="M2669" s="1799" t="str">
        <f>IF($I2589="","",IF(Y2666&lt;2,SUM(Y2659),IF(Y2666&lt;3,SUM(X2659),IF(Y2669="",L2669,Y2669))))</f>
        <v/>
      </c>
      <c r="N2669" s="1799" t="str">
        <f>IF($I2589="","",IF(Z2666&lt;2,SUM(Z2659),IF(Z2666&lt;3,SUM(Y2659),IF(Z2669="",M2669,Z2669))))</f>
        <v/>
      </c>
      <c r="O2669" s="485"/>
      <c r="P2669" s="485"/>
      <c r="Q2669" s="1644" t="str">
        <f>EUconst_CNTR_HEATprelim &amp; I2589</f>
        <v>HEATprelim_</v>
      </c>
      <c r="U2669" s="1663" t="s">
        <v>1697</v>
      </c>
      <c r="V2669" s="1705" t="str">
        <f>IF(J2666="","",IF(CNTR_ReportingYear&lt;J2665,I2668,IF($I2669=0,J2666,$I2669*(1+J2668))))</f>
        <v/>
      </c>
      <c r="W2669" s="1705" t="str">
        <f>IF(K2666="","",IF(CNTR_ReportingYear&lt;K2665,J2668,IF($I2669=0,K2666,$I2669*(1+K2668))))</f>
        <v/>
      </c>
      <c r="X2669" s="1705" t="str">
        <f>IF(L2666="","",IF(CNTR_ReportingYear&lt;L2665,K2668,IF($I2669=0,L2666,$I2669*(1+L2668))))</f>
        <v/>
      </c>
      <c r="Y2669" s="1705" t="str">
        <f>IF(M2666="","",IF(CNTR_ReportingYear&lt;M2665,L2668,IF($I2669=0,M2666,$I2669*(1+M2668))))</f>
        <v/>
      </c>
      <c r="Z2669" s="1706" t="str">
        <f>IF(N2666="","",IF(CNTR_ReportingYear&lt;N2665,M2668,IF($I2669=0,N2666,$I2669*(1+N2668))))</f>
        <v/>
      </c>
      <c r="AL2669" s="1435"/>
    </row>
    <row r="2670" spans="1:38" ht="5.0999999999999996" customHeight="1">
      <c r="A2670" s="618"/>
      <c r="B2670" s="479"/>
      <c r="C2670" s="479"/>
      <c r="D2670" s="915"/>
      <c r="E2670" s="909"/>
      <c r="F2670" s="909"/>
      <c r="G2670" s="909"/>
      <c r="H2670" s="909"/>
      <c r="I2670" s="909"/>
      <c r="J2670" s="922"/>
      <c r="K2670" s="1791"/>
      <c r="L2670" s="1791"/>
      <c r="M2670" s="1791"/>
      <c r="N2670" s="1791"/>
      <c r="O2670" s="485"/>
      <c r="P2670" s="485"/>
      <c r="Q2670" s="1435"/>
      <c r="U2670" s="1663"/>
      <c r="V2670" s="1435"/>
      <c r="Z2670" s="1664"/>
      <c r="AL2670" s="1435"/>
    </row>
    <row r="2671" spans="1:38" ht="12.75" customHeight="1">
      <c r="A2671" s="618"/>
      <c r="B2671" s="479"/>
      <c r="C2671" s="479"/>
      <c r="D2671" s="915"/>
      <c r="E2671" s="923" t="s">
        <v>1653</v>
      </c>
      <c r="F2671" s="923"/>
      <c r="G2671" s="923"/>
      <c r="H2671" s="923"/>
      <c r="I2671" s="923"/>
      <c r="J2671" s="1647">
        <f>J$3242</f>
        <v>2026</v>
      </c>
      <c r="K2671" s="1490">
        <f>K$3242</f>
        <v>2027</v>
      </c>
      <c r="L2671" s="1490">
        <f>L$3242</f>
        <v>2028</v>
      </c>
      <c r="M2671" s="1490">
        <f>M$3242</f>
        <v>2029</v>
      </c>
      <c r="N2671" s="1490">
        <f>N$3242</f>
        <v>2030</v>
      </c>
      <c r="O2671" s="485"/>
      <c r="P2671" s="485"/>
      <c r="Q2671" s="1435"/>
      <c r="U2671" s="1665"/>
      <c r="Z2671" s="1664"/>
      <c r="AL2671" s="1435"/>
    </row>
    <row r="2672" spans="1:38" ht="12.75" customHeight="1">
      <c r="A2672" s="618"/>
      <c r="B2672" s="479"/>
      <c r="C2672" s="479"/>
      <c r="D2672" s="915" t="s">
        <v>8</v>
      </c>
      <c r="E2672" s="916" t="s">
        <v>2108</v>
      </c>
      <c r="F2672" s="916"/>
      <c r="G2672" s="916"/>
      <c r="H2672" s="916"/>
      <c r="I2672" s="916"/>
      <c r="J2672" s="1666" t="str">
        <f>IF($I2589="","",INDEX(K_Summary!J:J,MATCH($Q2672,K_Summary!$P:$P,0)))</f>
        <v/>
      </c>
      <c r="K2672" s="1791" t="str">
        <f>IF($I2589="","",INDEX(K_Summary!K:K,MATCH($Q2672,K_Summary!$P:$P,0)))</f>
        <v/>
      </c>
      <c r="L2672" s="1791" t="str">
        <f>IF($I2589="","",INDEX(K_Summary!L:L,MATCH($Q2672,K_Summary!$P:$P,0)))</f>
        <v/>
      </c>
      <c r="M2672" s="1791" t="str">
        <f>IF($I2589="","",INDEX(K_Summary!M:M,MATCH($Q2672,K_Summary!$P:$P,0)))</f>
        <v/>
      </c>
      <c r="N2672" s="1791" t="str">
        <f>IF($I2589="","",INDEX(K_Summary!N:N,MATCH($Q2672,K_Summary!$P:$P,0)))</f>
        <v/>
      </c>
      <c r="O2672" s="485"/>
      <c r="P2672" s="485"/>
      <c r="Q2672" s="1644" t="str">
        <f>EUconst_CNTR_100EUA_HEAT&amp;I2589</f>
        <v>EUA100HEAT_</v>
      </c>
      <c r="U2672" s="1665"/>
      <c r="Z2672" s="1664"/>
      <c r="AL2672" s="1435"/>
    </row>
    <row r="2673" spans="1:38" ht="5.0999999999999996" customHeight="1" thickBot="1">
      <c r="A2673" s="618"/>
      <c r="B2673" s="479"/>
      <c r="C2673" s="479"/>
      <c r="D2673" s="915"/>
      <c r="E2673" s="909"/>
      <c r="F2673" s="909"/>
      <c r="G2673" s="909"/>
      <c r="H2673" s="909"/>
      <c r="I2673" s="909"/>
      <c r="J2673" s="922"/>
      <c r="K2673" s="1791"/>
      <c r="L2673" s="1791"/>
      <c r="M2673" s="1791"/>
      <c r="N2673" s="1791"/>
      <c r="O2673" s="485"/>
      <c r="P2673" s="485"/>
      <c r="Q2673" s="1435"/>
      <c r="U2673" s="1663"/>
      <c r="V2673" s="1435"/>
      <c r="Z2673" s="1664"/>
      <c r="AL2673" s="1435"/>
    </row>
    <row r="2674" spans="1:38" ht="12.75" customHeight="1" thickBot="1">
      <c r="B2674" s="479"/>
      <c r="C2674" s="479"/>
      <c r="D2674" s="915" t="s">
        <v>18</v>
      </c>
      <c r="E2674" s="916" t="s">
        <v>1657</v>
      </c>
      <c r="F2674" s="916"/>
      <c r="G2674" s="916"/>
      <c r="H2674" s="921"/>
      <c r="I2674" s="1667"/>
      <c r="J2674" s="1668" t="str">
        <f>IF(J2672="","",IF(OR(J2672,V2666&lt;1),J2668,I2674))</f>
        <v/>
      </c>
      <c r="K2674" s="1796" t="str">
        <f>IF(K2672="","",IF(OR(K2672,W2666&lt;1),K2668,J2674))</f>
        <v/>
      </c>
      <c r="L2674" s="1796" t="str">
        <f>IF(L2672="","",IF(OR(L2672,X2666&lt;1),L2668,K2674))</f>
        <v/>
      </c>
      <c r="M2674" s="1796" t="str">
        <f>IF(M2672="","",IF(OR(M2672,Y2666&lt;1),M2668,L2674))</f>
        <v/>
      </c>
      <c r="N2674" s="1796" t="str">
        <f>IF(N2672="","",IF(OR(N2672,Z2666&lt;1),N2668,M2674))</f>
        <v/>
      </c>
      <c r="O2674" s="485"/>
      <c r="P2674" s="485"/>
      <c r="Q2674" s="1435"/>
      <c r="U2674" s="1663" t="s">
        <v>1658</v>
      </c>
      <c r="V2674" s="1670">
        <f>J2671</f>
        <v>2026</v>
      </c>
      <c r="W2674" s="1670">
        <f>K2671</f>
        <v>2027</v>
      </c>
      <c r="X2674" s="1670">
        <f>L2671</f>
        <v>2028</v>
      </c>
      <c r="Y2674" s="1670">
        <f>M2671</f>
        <v>2029</v>
      </c>
      <c r="Z2674" s="1671">
        <f>N2671</f>
        <v>2030</v>
      </c>
      <c r="AL2674" s="1435"/>
    </row>
    <row r="2675" spans="1:38" ht="12.75" customHeight="1" thickBot="1">
      <c r="A2675" s="618"/>
      <c r="B2675" s="479"/>
      <c r="C2675" s="479"/>
      <c r="D2675" s="915" t="s">
        <v>787</v>
      </c>
      <c r="E2675" s="916" t="s">
        <v>1659</v>
      </c>
      <c r="F2675" s="916"/>
      <c r="G2675" s="916"/>
      <c r="H2675" s="944" t="str">
        <f>H2666</f>
        <v>t CO2</v>
      </c>
      <c r="I2675" s="917" t="str">
        <f>I2669</f>
        <v/>
      </c>
      <c r="J2675" s="1672" t="str">
        <f>IF($I2589="","",IF(OR($I2675=0,$I2675=EUconst_NA,J2674=""),IF(OR(J2672=TRUE,J2671&lt;=$V2589),J2669,SUM(I2675)),$I2675*(1+SUM(J2674))))</f>
        <v/>
      </c>
      <c r="K2675" s="1800" t="str">
        <f>IF($I2589="","",IF(OR($I2675=0,$I2675=EUconst_NA,K2674=""),IF(OR(K2672=TRUE,K2671&lt;=$V2589),K2669,SUM(J2675)),$I2675*(1+SUM(K2674))))</f>
        <v/>
      </c>
      <c r="L2675" s="1800" t="str">
        <f>IF($I2589="","",IF(OR($I2675=0,$I2675=EUconst_NA,L2674=""),IF(OR(L2672=TRUE,L2671&lt;=$V2589),L2669,SUM(K2675)),$I2675*(1+SUM(L2674))))</f>
        <v/>
      </c>
      <c r="M2675" s="1800" t="str">
        <f>IF($I2589="","",IF(OR($I2675=0,$I2675=EUconst_NA,M2674=""),IF(OR(M2672=TRUE,M2671&lt;=$V2589),M2669,SUM(L2675)),$I2675*(1+SUM(M2674))))</f>
        <v/>
      </c>
      <c r="N2675" s="1800" t="str">
        <f>IF($I2589="","",IF(OR($I2675=0,$I2675=EUconst_NA,N2674=""),IF(OR(N2672=TRUE,N2671&lt;=$V2589),N2669,SUM(M2675)),$I2675*(1+SUM(N2674))))</f>
        <v/>
      </c>
      <c r="O2675" s="485"/>
      <c r="P2675" s="485"/>
      <c r="Q2675" s="1644" t="str">
        <f>EUconst_CNTR_HEATfinal &amp; I2589</f>
        <v>HEATfinal_</v>
      </c>
      <c r="U2675" s="1674" t="b">
        <v>0</v>
      </c>
      <c r="V2675" s="1675" t="str">
        <f>IF(V2597,IF(J2672=TRUE,V2667,U2675),"")</f>
        <v/>
      </c>
      <c r="W2675" s="1675" t="str">
        <f>IF(W2597,IF(K2672=TRUE,W2667,V2675),"")</f>
        <v/>
      </c>
      <c r="X2675" s="1675" t="str">
        <f>IF(X2597,IF(L2672=TRUE,X2667,W2675),"")</f>
        <v/>
      </c>
      <c r="Y2675" s="1675" t="str">
        <f>IF(Y2597,IF(M2672=TRUE,Y2667,X2675),"")</f>
        <v/>
      </c>
      <c r="Z2675" s="1676" t="str">
        <f>IF(Z2597,IF(N2672=TRUE,Z2667,Y2675),"")</f>
        <v/>
      </c>
      <c r="AJ2675" s="1633" t="s">
        <v>1951</v>
      </c>
      <c r="AK2675" s="1443" t="str">
        <f>IF(OR(ISERROR(J2675),ISERROR(K2675),ISERROR(L2675),ISERROR(M2675),ISERROR(N2675)),EUconst_Error &amp; "BM" &amp; Q2589,"")</f>
        <v/>
      </c>
    </row>
    <row r="2676" spans="1:38" ht="5.0999999999999996" customHeight="1" thickBot="1">
      <c r="B2676" s="1124"/>
      <c r="C2676" s="485"/>
      <c r="D2676" s="924"/>
      <c r="E2676" s="925"/>
      <c r="F2676" s="925"/>
      <c r="G2676" s="925"/>
      <c r="H2676" s="925"/>
      <c r="I2676" s="955"/>
      <c r="J2676" s="926"/>
      <c r="K2676" s="1791"/>
      <c r="L2676" s="1791"/>
      <c r="M2676" s="1791"/>
      <c r="N2676" s="1791"/>
      <c r="O2676" s="485"/>
      <c r="P2676" s="485"/>
      <c r="Q2676" s="1702"/>
      <c r="S2676" s="1435"/>
      <c r="T2676" s="1435"/>
    </row>
    <row r="2677" spans="1:38" ht="5.0999999999999996" customHeight="1">
      <c r="B2677" s="1124"/>
      <c r="C2677" s="485"/>
      <c r="D2677" s="485"/>
      <c r="E2677" s="485"/>
      <c r="F2677" s="485"/>
      <c r="G2677" s="485"/>
      <c r="H2677" s="485"/>
      <c r="I2677" s="952"/>
      <c r="J2677" s="485"/>
      <c r="K2677" s="485"/>
      <c r="L2677" s="485"/>
      <c r="M2677" s="485"/>
      <c r="N2677" s="485"/>
      <c r="O2677" s="485"/>
      <c r="P2677" s="485"/>
      <c r="Q2677" s="1702"/>
      <c r="S2677" s="1435"/>
      <c r="T2677" s="1435"/>
    </row>
    <row r="2678" spans="1:38" ht="15" customHeight="1">
      <c r="B2678" s="1124"/>
      <c r="C2678" s="856"/>
      <c r="D2678" s="2482" t="s">
        <v>103</v>
      </c>
      <c r="E2678" s="2400"/>
      <c r="F2678" s="2400"/>
      <c r="G2678" s="2400"/>
      <c r="H2678" s="2400"/>
      <c r="I2678" s="2400"/>
      <c r="J2678" s="2400"/>
      <c r="K2678" s="2400"/>
      <c r="L2678" s="2400"/>
      <c r="M2678" s="2400"/>
      <c r="N2678" s="2400"/>
      <c r="O2678" s="485"/>
      <c r="P2678" s="485"/>
      <c r="S2678" s="1435"/>
      <c r="T2678" s="1435"/>
    </row>
    <row r="2679" spans="1:38" ht="5.0999999999999996" customHeight="1">
      <c r="B2679" s="479"/>
      <c r="C2679" s="479"/>
      <c r="D2679" s="479"/>
      <c r="E2679" s="479"/>
      <c r="F2679" s="479"/>
      <c r="G2679" s="479"/>
      <c r="H2679" s="479"/>
      <c r="I2679" s="479"/>
      <c r="J2679" s="479"/>
      <c r="K2679" s="479"/>
      <c r="L2679" s="479"/>
      <c r="M2679" s="479"/>
      <c r="N2679" s="479"/>
      <c r="O2679" s="485"/>
      <c r="P2679" s="485"/>
      <c r="Q2679" s="1435"/>
      <c r="R2679" s="1435"/>
      <c r="S2679" s="1435"/>
      <c r="T2679" s="1435"/>
    </row>
    <row r="2680" spans="1:38" ht="12.75" customHeight="1">
      <c r="B2680" s="479"/>
      <c r="C2680" s="482"/>
      <c r="D2680" s="482" t="s">
        <v>57</v>
      </c>
      <c r="E2680" s="2373" t="s">
        <v>108</v>
      </c>
      <c r="F2680" s="2400"/>
      <c r="G2680" s="2400"/>
      <c r="H2680" s="2400"/>
      <c r="I2680" s="2400"/>
      <c r="J2680" s="2400"/>
      <c r="K2680" s="2400"/>
      <c r="L2680" s="2400"/>
      <c r="M2680" s="2400"/>
      <c r="N2680" s="2400"/>
      <c r="O2680" s="485"/>
      <c r="P2680" s="485"/>
      <c r="Q2680" s="1435"/>
      <c r="S2680" s="1435"/>
      <c r="T2680" s="1435"/>
    </row>
    <row r="2681" spans="1:38" ht="25.5" customHeight="1">
      <c r="B2681" s="479"/>
      <c r="C2681" s="485"/>
      <c r="D2681" s="485"/>
      <c r="E2681" s="2465" t="s">
        <v>1935</v>
      </c>
      <c r="F2681" s="2400"/>
      <c r="G2681" s="2400"/>
      <c r="H2681" s="2400"/>
      <c r="I2681" s="2400"/>
      <c r="J2681" s="2400"/>
      <c r="K2681" s="2400"/>
      <c r="L2681" s="2400"/>
      <c r="M2681" s="2400"/>
      <c r="N2681" s="2400"/>
      <c r="O2681" s="485"/>
      <c r="P2681" s="485"/>
      <c r="Q2681" s="1435"/>
      <c r="S2681" s="1435"/>
      <c r="T2681" s="1435"/>
    </row>
    <row r="2682" spans="1:38" ht="25.5" customHeight="1">
      <c r="B2682" s="479"/>
      <c r="C2682" s="485"/>
      <c r="D2682" s="485"/>
      <c r="E2682" s="2385" t="s">
        <v>1636</v>
      </c>
      <c r="F2682" s="2846"/>
      <c r="G2682" s="2846"/>
      <c r="H2682" s="2846"/>
      <c r="I2682" s="2846"/>
      <c r="J2682" s="2846"/>
      <c r="K2682" s="2846"/>
      <c r="L2682" s="2846"/>
      <c r="M2682" s="2846"/>
      <c r="N2682" s="2846"/>
      <c r="O2682" s="485"/>
      <c r="P2682" s="485"/>
      <c r="Q2682" s="1435"/>
      <c r="S2682" s="1435"/>
      <c r="T2682" s="1435"/>
    </row>
    <row r="2683" spans="1:38" ht="12.75" customHeight="1">
      <c r="B2683" s="479"/>
      <c r="C2683" s="485"/>
      <c r="D2683" s="485"/>
      <c r="E2683" s="2385" t="s">
        <v>2119</v>
      </c>
      <c r="F2683" s="2846"/>
      <c r="G2683" s="2846"/>
      <c r="H2683" s="2846"/>
      <c r="I2683" s="2846"/>
      <c r="J2683" s="2846"/>
      <c r="K2683" s="2846"/>
      <c r="L2683" s="2846"/>
      <c r="M2683" s="2846"/>
      <c r="N2683" s="2846"/>
      <c r="O2683" s="485"/>
      <c r="P2683" s="485"/>
      <c r="Q2683" s="1435"/>
      <c r="S2683" s="1435"/>
      <c r="T2683" s="1435"/>
    </row>
    <row r="2684" spans="1:38">
      <c r="B2684" s="479"/>
      <c r="C2684" s="485"/>
      <c r="D2684" s="485"/>
      <c r="E2684" s="2677" t="s">
        <v>2120</v>
      </c>
      <c r="F2684" s="2364"/>
      <c r="G2684" s="2364"/>
      <c r="H2684" s="2364"/>
      <c r="I2684" s="2364"/>
      <c r="J2684" s="2364"/>
      <c r="K2684" s="2364"/>
      <c r="L2684" s="2364"/>
      <c r="M2684" s="2364"/>
      <c r="N2684" s="2364"/>
      <c r="O2684" s="485"/>
      <c r="P2684" s="485"/>
      <c r="Q2684" s="1435"/>
      <c r="S2684" s="1435"/>
      <c r="T2684" s="1435"/>
    </row>
    <row r="2685" spans="1:38" ht="5.0999999999999996" customHeight="1">
      <c r="B2685" s="479"/>
      <c r="C2685" s="479"/>
      <c r="D2685" s="479"/>
      <c r="E2685" s="479"/>
      <c r="F2685" s="479"/>
      <c r="G2685" s="479"/>
      <c r="H2685" s="479"/>
      <c r="I2685" s="479"/>
      <c r="J2685" s="479"/>
      <c r="K2685" s="479"/>
      <c r="L2685" s="479"/>
      <c r="M2685" s="479"/>
      <c r="N2685" s="479"/>
      <c r="O2685" s="485"/>
      <c r="P2685" s="485"/>
      <c r="Q2685" s="1435"/>
      <c r="R2685" s="1435"/>
      <c r="S2685" s="1435"/>
      <c r="T2685" s="1435"/>
    </row>
    <row r="2686" spans="1:38" ht="12.75" customHeight="1">
      <c r="B2686" s="479"/>
      <c r="C2686" s="482"/>
      <c r="D2686" s="482" t="s">
        <v>58</v>
      </c>
      <c r="E2686" s="2373" t="s">
        <v>1013</v>
      </c>
      <c r="F2686" s="2400"/>
      <c r="G2686" s="2400"/>
      <c r="H2686" s="2400"/>
      <c r="I2686" s="2400"/>
      <c r="J2686" s="2400"/>
      <c r="K2686" s="2400"/>
      <c r="L2686" s="2400"/>
      <c r="M2686" s="2400"/>
      <c r="N2686" s="2400"/>
      <c r="O2686" s="485"/>
      <c r="P2686" s="485"/>
      <c r="Q2686" s="1435"/>
      <c r="S2686" s="1435"/>
      <c r="T2686" s="1435"/>
    </row>
    <row r="2687" spans="1:38" ht="5.0999999999999996" customHeight="1">
      <c r="B2687" s="479"/>
      <c r="C2687" s="479"/>
      <c r="D2687" s="485"/>
      <c r="E2687" s="617"/>
      <c r="F2687" s="617"/>
      <c r="G2687" s="617"/>
      <c r="H2687" s="617"/>
      <c r="I2687" s="617"/>
      <c r="J2687" s="468"/>
      <c r="K2687" s="468"/>
      <c r="L2687" s="468"/>
      <c r="M2687" s="485"/>
      <c r="N2687" s="485"/>
      <c r="O2687" s="485"/>
      <c r="P2687" s="485"/>
      <c r="Q2687" s="1435"/>
      <c r="S2687" s="1435"/>
      <c r="T2687" s="1435"/>
    </row>
    <row r="2688" spans="1:38" ht="30.6" customHeight="1" thickBot="1">
      <c r="B2688" s="1124"/>
      <c r="C2688" s="485"/>
      <c r="D2688" s="956"/>
      <c r="E2688" s="1068" t="s">
        <v>2112</v>
      </c>
      <c r="F2688" s="958" t="s">
        <v>949</v>
      </c>
      <c r="G2688" s="959" t="str">
        <f>EUconst_Unit</f>
        <v>Unit</v>
      </c>
      <c r="H2688" s="578">
        <f>H$3242</f>
        <v>2024</v>
      </c>
      <c r="I2688" s="697">
        <f>I$3242</f>
        <v>2025</v>
      </c>
      <c r="J2688" s="1801"/>
      <c r="K2688" s="1802"/>
      <c r="L2688" s="1802"/>
      <c r="M2688" s="1802"/>
      <c r="N2688" s="1802"/>
      <c r="O2688" s="485"/>
      <c r="P2688" s="485"/>
      <c r="S2688" s="1709" t="s">
        <v>2057</v>
      </c>
      <c r="T2688" s="1435"/>
      <c r="Z2688" s="1710" t="s">
        <v>717</v>
      </c>
      <c r="AC2688" s="1638">
        <f t="shared" ref="AC2688:AI2688" si="1240">H$20</f>
        <v>2024</v>
      </c>
      <c r="AD2688" s="1638">
        <f t="shared" si="1240"/>
        <v>2025</v>
      </c>
      <c r="AE2688" s="1638">
        <f t="shared" si="1240"/>
        <v>2026</v>
      </c>
      <c r="AF2688" s="1638">
        <f t="shared" si="1240"/>
        <v>2027</v>
      </c>
      <c r="AG2688" s="1638">
        <f t="shared" si="1240"/>
        <v>2028</v>
      </c>
      <c r="AH2688" s="1638">
        <f t="shared" si="1240"/>
        <v>2029</v>
      </c>
      <c r="AI2688" s="1638">
        <f t="shared" si="1240"/>
        <v>2030</v>
      </c>
    </row>
    <row r="2689" spans="2:34" ht="13.15" customHeight="1">
      <c r="B2689" s="1124"/>
      <c r="C2689" s="485"/>
      <c r="D2689" s="579">
        <v>1</v>
      </c>
      <c r="E2689" s="1711" t="str">
        <f>c_ALR2025!E5235</f>
        <v/>
      </c>
      <c r="F2689" s="1711" t="str">
        <f>c_ALR2025!F5235</f>
        <v/>
      </c>
      <c r="G2689" s="1712" t="str">
        <f>c_ALR2025!G5235</f>
        <v/>
      </c>
      <c r="H2689" s="1713" t="str">
        <f>c_ALR2025!M5235</f>
        <v/>
      </c>
      <c r="I2689" s="1858"/>
      <c r="J2689" s="1801"/>
      <c r="K2689" s="1802"/>
      <c r="L2689" s="1802"/>
      <c r="M2689" s="1802"/>
      <c r="N2689" s="1802"/>
      <c r="O2689" s="485"/>
      <c r="P2689" s="9"/>
      <c r="S2689" s="1715" t="b">
        <f>IF(E2689 = "", TRUE, FALSE)</f>
        <v>1</v>
      </c>
      <c r="T2689" s="1435"/>
      <c r="Z2689" s="1435"/>
      <c r="AC2689" s="1803"/>
      <c r="AD2689" s="1803"/>
      <c r="AE2689" s="1803"/>
      <c r="AF2689" s="1803"/>
      <c r="AG2689" s="1803"/>
      <c r="AH2689" s="1803"/>
    </row>
    <row r="2690" spans="2:34" ht="13.15" customHeight="1">
      <c r="B2690" s="1124"/>
      <c r="C2690" s="485"/>
      <c r="D2690" s="582">
        <f>D2689+1</f>
        <v>2</v>
      </c>
      <c r="E2690" s="1717" t="str">
        <f>c_ALR2025!E5236</f>
        <v/>
      </c>
      <c r="F2690" s="1717" t="str">
        <f>c_ALR2025!F5236</f>
        <v/>
      </c>
      <c r="G2690" s="1718" t="str">
        <f>c_ALR2025!G5236</f>
        <v/>
      </c>
      <c r="H2690" s="1719" t="str">
        <f>c_ALR2025!M5236</f>
        <v/>
      </c>
      <c r="I2690" s="1859"/>
      <c r="J2690" s="1801"/>
      <c r="K2690" s="1802"/>
      <c r="L2690" s="1802"/>
      <c r="M2690" s="1802"/>
      <c r="N2690" s="1802"/>
      <c r="O2690" s="485"/>
      <c r="P2690" s="9"/>
      <c r="S2690" s="1715" t="b">
        <f t="shared" ref="S2690:S2698" si="1241">IF(E2690 = "", TRUE, FALSE)</f>
        <v>1</v>
      </c>
      <c r="T2690" s="1435"/>
      <c r="Z2690" s="1435"/>
      <c r="AC2690" s="1803"/>
      <c r="AD2690" s="1803"/>
      <c r="AE2690" s="1803"/>
      <c r="AF2690" s="1803"/>
      <c r="AG2690" s="1803"/>
      <c r="AH2690" s="1803"/>
    </row>
    <row r="2691" spans="2:34" ht="13.15" customHeight="1">
      <c r="B2691" s="1124"/>
      <c r="C2691" s="485"/>
      <c r="D2691" s="582">
        <f t="shared" ref="D2691:D2698" si="1242">D2690+1</f>
        <v>3</v>
      </c>
      <c r="E2691" s="1717" t="str">
        <f>c_ALR2025!E5237</f>
        <v/>
      </c>
      <c r="F2691" s="1717" t="str">
        <f>c_ALR2025!F5237</f>
        <v/>
      </c>
      <c r="G2691" s="1718" t="str">
        <f>c_ALR2025!G5237</f>
        <v/>
      </c>
      <c r="H2691" s="1719" t="str">
        <f>c_ALR2025!M5237</f>
        <v/>
      </c>
      <c r="I2691" s="1859"/>
      <c r="J2691" s="1801"/>
      <c r="K2691" s="1802"/>
      <c r="L2691" s="1802"/>
      <c r="M2691" s="1802"/>
      <c r="N2691" s="1802"/>
      <c r="O2691" s="485"/>
      <c r="P2691" s="9"/>
      <c r="S2691" s="1715" t="b">
        <f t="shared" si="1241"/>
        <v>1</v>
      </c>
      <c r="T2691" s="1435"/>
      <c r="Z2691" s="1435"/>
      <c r="AC2691" s="1803"/>
      <c r="AD2691" s="1803"/>
      <c r="AE2691" s="1803"/>
      <c r="AF2691" s="1803"/>
      <c r="AG2691" s="1803"/>
      <c r="AH2691" s="1803"/>
    </row>
    <row r="2692" spans="2:34" ht="13.15" customHeight="1">
      <c r="B2692" s="1124"/>
      <c r="C2692" s="485"/>
      <c r="D2692" s="582">
        <f t="shared" si="1242"/>
        <v>4</v>
      </c>
      <c r="E2692" s="1717" t="str">
        <f>c_ALR2025!E5238</f>
        <v/>
      </c>
      <c r="F2692" s="1717" t="str">
        <f>c_ALR2025!F5238</f>
        <v/>
      </c>
      <c r="G2692" s="1718" t="str">
        <f>c_ALR2025!G5238</f>
        <v/>
      </c>
      <c r="H2692" s="1719" t="str">
        <f>c_ALR2025!M5238</f>
        <v/>
      </c>
      <c r="I2692" s="1859"/>
      <c r="J2692" s="1801"/>
      <c r="K2692" s="1802"/>
      <c r="L2692" s="1802"/>
      <c r="M2692" s="1802"/>
      <c r="N2692" s="1802"/>
      <c r="O2692" s="485"/>
      <c r="P2692" s="9"/>
      <c r="S2692" s="1715" t="b">
        <f t="shared" si="1241"/>
        <v>1</v>
      </c>
      <c r="T2692" s="1435"/>
      <c r="Z2692" s="1435"/>
      <c r="AC2692" s="1803"/>
      <c r="AD2692" s="1803"/>
      <c r="AE2692" s="1803"/>
      <c r="AF2692" s="1803"/>
      <c r="AG2692" s="1803"/>
      <c r="AH2692" s="1803"/>
    </row>
    <row r="2693" spans="2:34" ht="13.15" customHeight="1">
      <c r="B2693" s="1124"/>
      <c r="C2693" s="485"/>
      <c r="D2693" s="582">
        <f t="shared" si="1242"/>
        <v>5</v>
      </c>
      <c r="E2693" s="1717" t="str">
        <f>c_ALR2025!E5239</f>
        <v/>
      </c>
      <c r="F2693" s="1717" t="str">
        <f>c_ALR2025!F5239</f>
        <v/>
      </c>
      <c r="G2693" s="1718" t="str">
        <f>c_ALR2025!G5239</f>
        <v/>
      </c>
      <c r="H2693" s="1719" t="str">
        <f>c_ALR2025!M5239</f>
        <v/>
      </c>
      <c r="I2693" s="1859"/>
      <c r="J2693" s="1801"/>
      <c r="K2693" s="1802"/>
      <c r="L2693" s="1802"/>
      <c r="M2693" s="1802"/>
      <c r="N2693" s="1802"/>
      <c r="O2693" s="485"/>
      <c r="P2693" s="9"/>
      <c r="S2693" s="1715" t="b">
        <f t="shared" si="1241"/>
        <v>1</v>
      </c>
      <c r="T2693" s="1435"/>
      <c r="Z2693" s="1435"/>
      <c r="AC2693" s="1803"/>
      <c r="AD2693" s="1803"/>
      <c r="AE2693" s="1803"/>
      <c r="AF2693" s="1803"/>
      <c r="AG2693" s="1803"/>
      <c r="AH2693" s="1803"/>
    </row>
    <row r="2694" spans="2:34" ht="13.15" customHeight="1">
      <c r="B2694" s="1124"/>
      <c r="C2694" s="485"/>
      <c r="D2694" s="582">
        <f t="shared" si="1242"/>
        <v>6</v>
      </c>
      <c r="E2694" s="1717" t="str">
        <f>c_ALR2025!E5240</f>
        <v/>
      </c>
      <c r="F2694" s="1717" t="str">
        <f>c_ALR2025!F5240</f>
        <v/>
      </c>
      <c r="G2694" s="1718" t="str">
        <f>c_ALR2025!G5240</f>
        <v/>
      </c>
      <c r="H2694" s="1719" t="str">
        <f>c_ALR2025!M5240</f>
        <v/>
      </c>
      <c r="I2694" s="1859"/>
      <c r="J2694" s="1801"/>
      <c r="K2694" s="1802"/>
      <c r="L2694" s="1802"/>
      <c r="M2694" s="1802"/>
      <c r="N2694" s="1802"/>
      <c r="O2694" s="485"/>
      <c r="P2694" s="9"/>
      <c r="S2694" s="1715" t="b">
        <f t="shared" si="1241"/>
        <v>1</v>
      </c>
      <c r="T2694" s="1435"/>
      <c r="Z2694" s="1435"/>
      <c r="AC2694" s="1803"/>
      <c r="AD2694" s="1803"/>
      <c r="AE2694" s="1803"/>
      <c r="AF2694" s="1803"/>
      <c r="AG2694" s="1803"/>
      <c r="AH2694" s="1803"/>
    </row>
    <row r="2695" spans="2:34" ht="13.15" customHeight="1">
      <c r="B2695" s="1124"/>
      <c r="C2695" s="485"/>
      <c r="D2695" s="582">
        <f t="shared" si="1242"/>
        <v>7</v>
      </c>
      <c r="E2695" s="1717" t="str">
        <f>c_ALR2025!E5241</f>
        <v/>
      </c>
      <c r="F2695" s="1717" t="str">
        <f>c_ALR2025!F5241</f>
        <v/>
      </c>
      <c r="G2695" s="1718" t="str">
        <f>c_ALR2025!G5241</f>
        <v/>
      </c>
      <c r="H2695" s="1719" t="str">
        <f>c_ALR2025!M5241</f>
        <v/>
      </c>
      <c r="I2695" s="1859"/>
      <c r="J2695" s="1801"/>
      <c r="K2695" s="1802"/>
      <c r="L2695" s="1802"/>
      <c r="M2695" s="1802"/>
      <c r="N2695" s="1802"/>
      <c r="O2695" s="485"/>
      <c r="P2695" s="9"/>
      <c r="S2695" s="1715" t="b">
        <f t="shared" si="1241"/>
        <v>1</v>
      </c>
      <c r="T2695" s="1435"/>
      <c r="Z2695" s="1435"/>
      <c r="AC2695" s="1803"/>
      <c r="AD2695" s="1803"/>
      <c r="AE2695" s="1803"/>
      <c r="AF2695" s="1803"/>
      <c r="AG2695" s="1803"/>
      <c r="AH2695" s="1803"/>
    </row>
    <row r="2696" spans="2:34" ht="13.15" customHeight="1">
      <c r="B2696" s="1124"/>
      <c r="C2696" s="485"/>
      <c r="D2696" s="582">
        <f t="shared" si="1242"/>
        <v>8</v>
      </c>
      <c r="E2696" s="1717" t="str">
        <f>c_ALR2025!E5242</f>
        <v/>
      </c>
      <c r="F2696" s="1717" t="str">
        <f>c_ALR2025!F5242</f>
        <v/>
      </c>
      <c r="G2696" s="1718" t="str">
        <f>c_ALR2025!G5242</f>
        <v/>
      </c>
      <c r="H2696" s="1719" t="str">
        <f>c_ALR2025!M5242</f>
        <v/>
      </c>
      <c r="I2696" s="1859"/>
      <c r="J2696" s="1801"/>
      <c r="K2696" s="1802"/>
      <c r="L2696" s="1802"/>
      <c r="M2696" s="1802"/>
      <c r="N2696" s="1802"/>
      <c r="O2696" s="485"/>
      <c r="P2696" s="9"/>
      <c r="S2696" s="1715" t="b">
        <f t="shared" si="1241"/>
        <v>1</v>
      </c>
      <c r="T2696" s="1435"/>
      <c r="Z2696" s="1435"/>
      <c r="AC2696" s="1803"/>
      <c r="AD2696" s="1803"/>
      <c r="AE2696" s="1803"/>
      <c r="AF2696" s="1803"/>
      <c r="AG2696" s="1803"/>
      <c r="AH2696" s="1803"/>
    </row>
    <row r="2697" spans="2:34" ht="13.15" customHeight="1">
      <c r="B2697" s="1124"/>
      <c r="C2697" s="485"/>
      <c r="D2697" s="582">
        <f t="shared" si="1242"/>
        <v>9</v>
      </c>
      <c r="E2697" s="1717" t="str">
        <f>c_ALR2025!E5243</f>
        <v/>
      </c>
      <c r="F2697" s="1717" t="str">
        <f>c_ALR2025!F5243</f>
        <v/>
      </c>
      <c r="G2697" s="1718" t="str">
        <f>c_ALR2025!G5243</f>
        <v/>
      </c>
      <c r="H2697" s="1719" t="str">
        <f>c_ALR2025!M5243</f>
        <v/>
      </c>
      <c r="I2697" s="1859"/>
      <c r="J2697" s="1801"/>
      <c r="K2697" s="1802"/>
      <c r="L2697" s="1802"/>
      <c r="M2697" s="1802"/>
      <c r="N2697" s="1802"/>
      <c r="O2697" s="485"/>
      <c r="P2697" s="9"/>
      <c r="S2697" s="1715" t="b">
        <f t="shared" si="1241"/>
        <v>1</v>
      </c>
      <c r="T2697" s="1435"/>
      <c r="Z2697" s="1435"/>
      <c r="AC2697" s="1803"/>
      <c r="AD2697" s="1803"/>
      <c r="AE2697" s="1803"/>
      <c r="AF2697" s="1803"/>
      <c r="AG2697" s="1803"/>
      <c r="AH2697" s="1803"/>
    </row>
    <row r="2698" spans="2:34" ht="13.15" customHeight="1">
      <c r="B2698" s="1124"/>
      <c r="C2698" s="485"/>
      <c r="D2698" s="584">
        <f t="shared" si="1242"/>
        <v>10</v>
      </c>
      <c r="E2698" s="1720" t="str">
        <f>c_ALR2025!E5244</f>
        <v/>
      </c>
      <c r="F2698" s="1720" t="str">
        <f>c_ALR2025!F5244</f>
        <v/>
      </c>
      <c r="G2698" s="1721" t="str">
        <f>c_ALR2025!G5244</f>
        <v/>
      </c>
      <c r="H2698" s="1722" t="str">
        <f>c_ALR2025!M5244</f>
        <v/>
      </c>
      <c r="I2698" s="1860"/>
      <c r="J2698" s="1801"/>
      <c r="K2698" s="1802"/>
      <c r="L2698" s="1802"/>
      <c r="M2698" s="1802"/>
      <c r="N2698" s="1802"/>
      <c r="O2698" s="485"/>
      <c r="P2698" s="9"/>
      <c r="S2698" s="1715" t="b">
        <f t="shared" si="1241"/>
        <v>1</v>
      </c>
      <c r="T2698" s="1435"/>
      <c r="Z2698" s="1435"/>
      <c r="AC2698" s="1803"/>
      <c r="AD2698" s="1803"/>
      <c r="AE2698" s="1803"/>
      <c r="AF2698" s="1803"/>
      <c r="AG2698" s="1803"/>
      <c r="AH2698" s="1803"/>
    </row>
    <row r="2699" spans="2:34" ht="13.15" customHeight="1">
      <c r="B2699" s="1124"/>
      <c r="C2699" s="485"/>
      <c r="D2699" s="579">
        <v>1</v>
      </c>
      <c r="E2699" s="1861"/>
      <c r="F2699" s="1861"/>
      <c r="G2699" s="1862"/>
      <c r="H2699" s="1723"/>
      <c r="I2699" s="1863"/>
      <c r="J2699" s="1801"/>
      <c r="K2699" s="1802"/>
      <c r="L2699" s="1802"/>
      <c r="M2699" s="1802"/>
      <c r="N2699" s="1802"/>
      <c r="O2699" s="485"/>
      <c r="P2699" s="9"/>
      <c r="S2699" s="1715" t="b">
        <f>NOT(S2689)</f>
        <v>0</v>
      </c>
      <c r="T2699" s="1435"/>
      <c r="Z2699" s="1435"/>
      <c r="AC2699" s="1803"/>
      <c r="AD2699" s="1803"/>
      <c r="AE2699" s="1803"/>
      <c r="AF2699" s="1803"/>
      <c r="AG2699" s="1803"/>
      <c r="AH2699" s="1803"/>
    </row>
    <row r="2700" spans="2:34" ht="13.15" customHeight="1">
      <c r="B2700" s="1124"/>
      <c r="C2700" s="485"/>
      <c r="D2700" s="582">
        <f>D2699+1</f>
        <v>2</v>
      </c>
      <c r="E2700" s="1864"/>
      <c r="F2700" s="1864"/>
      <c r="G2700" s="1865"/>
      <c r="H2700" s="1724"/>
      <c r="I2700" s="1859"/>
      <c r="J2700" s="1801"/>
      <c r="K2700" s="1802"/>
      <c r="L2700" s="1802"/>
      <c r="M2700" s="1802"/>
      <c r="N2700" s="1802"/>
      <c r="O2700" s="485"/>
      <c r="P2700" s="9"/>
      <c r="S2700" s="1715" t="b">
        <f t="shared" ref="S2700:S2708" si="1243">NOT(S2690)</f>
        <v>0</v>
      </c>
      <c r="T2700" s="1435"/>
      <c r="Z2700" s="1435"/>
      <c r="AC2700" s="1803"/>
      <c r="AD2700" s="1803"/>
      <c r="AE2700" s="1803"/>
      <c r="AF2700" s="1803"/>
      <c r="AG2700" s="1803"/>
      <c r="AH2700" s="1803"/>
    </row>
    <row r="2701" spans="2:34" ht="13.15" customHeight="1">
      <c r="B2701" s="1124"/>
      <c r="C2701" s="485"/>
      <c r="D2701" s="582">
        <f t="shared" ref="D2701:D2708" si="1244">D2700+1</f>
        <v>3</v>
      </c>
      <c r="E2701" s="1864"/>
      <c r="F2701" s="1864"/>
      <c r="G2701" s="1865"/>
      <c r="H2701" s="1724"/>
      <c r="I2701" s="1859"/>
      <c r="J2701" s="1801"/>
      <c r="K2701" s="1802"/>
      <c r="L2701" s="1802"/>
      <c r="M2701" s="1802"/>
      <c r="N2701" s="1802"/>
      <c r="O2701" s="485"/>
      <c r="P2701" s="9"/>
      <c r="S2701" s="1715" t="b">
        <f t="shared" si="1243"/>
        <v>0</v>
      </c>
      <c r="T2701" s="1435"/>
      <c r="Z2701" s="1435"/>
      <c r="AC2701" s="1803"/>
      <c r="AD2701" s="1803"/>
      <c r="AE2701" s="1803"/>
      <c r="AF2701" s="1803"/>
      <c r="AG2701" s="1803"/>
      <c r="AH2701" s="1803"/>
    </row>
    <row r="2702" spans="2:34" ht="13.15" customHeight="1">
      <c r="B2702" s="1124"/>
      <c r="C2702" s="485"/>
      <c r="D2702" s="582">
        <f t="shared" si="1244"/>
        <v>4</v>
      </c>
      <c r="E2702" s="1864"/>
      <c r="F2702" s="1864"/>
      <c r="G2702" s="1865"/>
      <c r="H2702" s="1724"/>
      <c r="I2702" s="1859"/>
      <c r="J2702" s="1801"/>
      <c r="K2702" s="1802"/>
      <c r="L2702" s="1802"/>
      <c r="M2702" s="1802"/>
      <c r="N2702" s="1802"/>
      <c r="O2702" s="485"/>
      <c r="P2702" s="9"/>
      <c r="S2702" s="1715" t="b">
        <f t="shared" si="1243"/>
        <v>0</v>
      </c>
      <c r="T2702" s="1435"/>
      <c r="Z2702" s="1435"/>
      <c r="AC2702" s="1803"/>
      <c r="AD2702" s="1803"/>
      <c r="AE2702" s="1803"/>
      <c r="AF2702" s="1803"/>
      <c r="AG2702" s="1803"/>
      <c r="AH2702" s="1803"/>
    </row>
    <row r="2703" spans="2:34" ht="13.15" customHeight="1">
      <c r="B2703" s="1124"/>
      <c r="C2703" s="485"/>
      <c r="D2703" s="582">
        <f t="shared" si="1244"/>
        <v>5</v>
      </c>
      <c r="E2703" s="1864"/>
      <c r="F2703" s="1864"/>
      <c r="G2703" s="1865"/>
      <c r="H2703" s="1724"/>
      <c r="I2703" s="1859"/>
      <c r="J2703" s="1801"/>
      <c r="K2703" s="1802"/>
      <c r="L2703" s="1802"/>
      <c r="M2703" s="1802"/>
      <c r="N2703" s="1802"/>
      <c r="O2703" s="485"/>
      <c r="P2703" s="9"/>
      <c r="S2703" s="1715" t="b">
        <f t="shared" si="1243"/>
        <v>0</v>
      </c>
      <c r="T2703" s="1435"/>
      <c r="Z2703" s="1435"/>
      <c r="AC2703" s="1803"/>
      <c r="AD2703" s="1803"/>
      <c r="AE2703" s="1803"/>
      <c r="AF2703" s="1803"/>
      <c r="AG2703" s="1803"/>
      <c r="AH2703" s="1803"/>
    </row>
    <row r="2704" spans="2:34" ht="13.15" customHeight="1">
      <c r="B2704" s="1124"/>
      <c r="C2704" s="485"/>
      <c r="D2704" s="582">
        <f t="shared" si="1244"/>
        <v>6</v>
      </c>
      <c r="E2704" s="1864"/>
      <c r="F2704" s="1864"/>
      <c r="G2704" s="1865"/>
      <c r="H2704" s="1724"/>
      <c r="I2704" s="1859"/>
      <c r="J2704" s="1801"/>
      <c r="K2704" s="1802"/>
      <c r="L2704" s="1802"/>
      <c r="M2704" s="1802"/>
      <c r="N2704" s="1802"/>
      <c r="O2704" s="485"/>
      <c r="P2704" s="9"/>
      <c r="S2704" s="1715" t="b">
        <f t="shared" si="1243"/>
        <v>0</v>
      </c>
      <c r="T2704" s="1435"/>
      <c r="Z2704" s="1435"/>
      <c r="AC2704" s="1803"/>
      <c r="AD2704" s="1803"/>
      <c r="AE2704" s="1803"/>
      <c r="AF2704" s="1803"/>
      <c r="AG2704" s="1803"/>
      <c r="AH2704" s="1803"/>
    </row>
    <row r="2705" spans="2:42" ht="13.15" customHeight="1">
      <c r="B2705" s="1124"/>
      <c r="C2705" s="485"/>
      <c r="D2705" s="582">
        <f t="shared" si="1244"/>
        <v>7</v>
      </c>
      <c r="E2705" s="1864"/>
      <c r="F2705" s="1864"/>
      <c r="G2705" s="1865"/>
      <c r="H2705" s="1724"/>
      <c r="I2705" s="1859"/>
      <c r="J2705" s="1801"/>
      <c r="K2705" s="1802"/>
      <c r="L2705" s="1802"/>
      <c r="M2705" s="1802"/>
      <c r="N2705" s="1802"/>
      <c r="O2705" s="485"/>
      <c r="P2705" s="9"/>
      <c r="S2705" s="1715" t="b">
        <f t="shared" si="1243"/>
        <v>0</v>
      </c>
      <c r="T2705" s="1435"/>
      <c r="Z2705" s="1435"/>
      <c r="AC2705" s="1803"/>
      <c r="AD2705" s="1803"/>
      <c r="AE2705" s="1803"/>
      <c r="AF2705" s="1803"/>
      <c r="AG2705" s="1803"/>
      <c r="AH2705" s="1803"/>
    </row>
    <row r="2706" spans="2:42" ht="13.15" customHeight="1">
      <c r="B2706" s="1124"/>
      <c r="C2706" s="485"/>
      <c r="D2706" s="582">
        <f t="shared" si="1244"/>
        <v>8</v>
      </c>
      <c r="E2706" s="1864"/>
      <c r="F2706" s="1864"/>
      <c r="G2706" s="1865"/>
      <c r="H2706" s="1724"/>
      <c r="I2706" s="1859"/>
      <c r="J2706" s="1801"/>
      <c r="K2706" s="1802"/>
      <c r="L2706" s="1802"/>
      <c r="M2706" s="1802"/>
      <c r="N2706" s="1802"/>
      <c r="O2706" s="485"/>
      <c r="P2706" s="9"/>
      <c r="S2706" s="1715" t="b">
        <f t="shared" si="1243"/>
        <v>0</v>
      </c>
      <c r="T2706" s="1435"/>
      <c r="Z2706" s="1435"/>
      <c r="AC2706" s="1803"/>
      <c r="AD2706" s="1803"/>
      <c r="AE2706" s="1803"/>
      <c r="AF2706" s="1803"/>
      <c r="AG2706" s="1803"/>
      <c r="AH2706" s="1803"/>
    </row>
    <row r="2707" spans="2:42" ht="13.15" customHeight="1">
      <c r="B2707" s="1124"/>
      <c r="C2707" s="485"/>
      <c r="D2707" s="582">
        <f t="shared" si="1244"/>
        <v>9</v>
      </c>
      <c r="E2707" s="1864"/>
      <c r="F2707" s="1864"/>
      <c r="G2707" s="1865"/>
      <c r="H2707" s="1724"/>
      <c r="I2707" s="1859"/>
      <c r="J2707" s="1801"/>
      <c r="K2707" s="1802"/>
      <c r="L2707" s="1802"/>
      <c r="M2707" s="1802"/>
      <c r="N2707" s="1802"/>
      <c r="O2707" s="485"/>
      <c r="P2707" s="9"/>
      <c r="S2707" s="1715" t="b">
        <f t="shared" si="1243"/>
        <v>0</v>
      </c>
      <c r="T2707" s="1435"/>
      <c r="Z2707" s="1435"/>
      <c r="AC2707" s="1803"/>
      <c r="AD2707" s="1803"/>
      <c r="AE2707" s="1803"/>
      <c r="AF2707" s="1803"/>
      <c r="AG2707" s="1803"/>
      <c r="AH2707" s="1803"/>
    </row>
    <row r="2708" spans="2:42" ht="13.15" customHeight="1" thickBot="1">
      <c r="B2708" s="1124"/>
      <c r="C2708" s="485"/>
      <c r="D2708" s="584">
        <f t="shared" si="1244"/>
        <v>10</v>
      </c>
      <c r="E2708" s="1866"/>
      <c r="F2708" s="1866"/>
      <c r="G2708" s="1867"/>
      <c r="H2708" s="1725"/>
      <c r="I2708" s="1860"/>
      <c r="J2708" s="1801"/>
      <c r="K2708" s="1802"/>
      <c r="L2708" s="1802"/>
      <c r="M2708" s="1802"/>
      <c r="N2708" s="1802"/>
      <c r="O2708" s="485"/>
      <c r="P2708" s="9"/>
      <c r="S2708" s="1726" t="b">
        <f t="shared" si="1243"/>
        <v>0</v>
      </c>
      <c r="T2708" s="1435"/>
      <c r="Z2708" s="1435"/>
      <c r="AC2708" s="1803"/>
      <c r="AD2708" s="1803"/>
      <c r="AE2708" s="1803"/>
      <c r="AF2708" s="1803"/>
      <c r="AG2708" s="1803"/>
      <c r="AH2708" s="1803"/>
    </row>
    <row r="2709" spans="2:42">
      <c r="B2709" s="1124"/>
      <c r="C2709" s="485"/>
      <c r="D2709" s="579">
        <v>1</v>
      </c>
      <c r="E2709" s="864" t="str">
        <f t="shared" ref="E2709:E2718" si="1245">IF(E2699&lt;&gt; "",E2699,IF(E2689 &lt;&gt; "", E2689,""))</f>
        <v/>
      </c>
      <c r="F2709" s="960" t="str">
        <f t="shared" ref="F2709:I2709" si="1246">IF(F2699&lt;&gt; "",F2699,IF(F2689 &lt;&gt; "", F2689,""))</f>
        <v/>
      </c>
      <c r="G2709" s="961" t="str">
        <f t="shared" si="1246"/>
        <v/>
      </c>
      <c r="H2709" s="656" t="str">
        <f t="shared" si="1246"/>
        <v/>
      </c>
      <c r="I2709" s="962" t="str">
        <f t="shared" si="1246"/>
        <v/>
      </c>
      <c r="J2709" s="1804"/>
      <c r="K2709" s="1805"/>
      <c r="L2709" s="1805"/>
      <c r="M2709" s="1805"/>
      <c r="N2709" s="1805"/>
      <c r="O2709" s="485"/>
      <c r="S2709" s="1435"/>
      <c r="T2709" s="1435"/>
      <c r="Z2709" s="1730" t="b">
        <f t="shared" ref="Z2709:Z2718" si="1247">AA2709</f>
        <v>0</v>
      </c>
      <c r="AA2709" s="1731" t="b">
        <f t="shared" ref="AA2709:AA2718" si="1248">AB2709</f>
        <v>0</v>
      </c>
      <c r="AB2709" s="1868" t="b">
        <f>AND(AC2709:AI2709)</f>
        <v>0</v>
      </c>
      <c r="AC2709" s="1732" t="b">
        <f t="shared" ref="AC2709:AI2709" si="1249">AC2659</f>
        <v>0</v>
      </c>
      <c r="AD2709" s="1680" t="b">
        <f t="shared" si="1249"/>
        <v>0</v>
      </c>
      <c r="AE2709" s="1680" t="b">
        <f t="shared" si="1249"/>
        <v>0</v>
      </c>
      <c r="AF2709" s="1680" t="b">
        <f t="shared" si="1249"/>
        <v>0</v>
      </c>
      <c r="AG2709" s="1680" t="b">
        <f t="shared" si="1249"/>
        <v>0</v>
      </c>
      <c r="AH2709" s="1680" t="b">
        <f t="shared" si="1249"/>
        <v>0</v>
      </c>
      <c r="AI2709" s="1681" t="b">
        <f t="shared" si="1249"/>
        <v>0</v>
      </c>
      <c r="AJ2709" s="1633" t="s">
        <v>1954</v>
      </c>
      <c r="AK2709" s="1635" t="str">
        <f>IF(AND(CNTR_ExistSubInstEntries,COUNTIFS(AC2709:AI2709,FALSE,H2709:N2709,"")&gt;0),EUconst_Error&amp;"BM"&amp;$Q2589,"")</f>
        <v/>
      </c>
      <c r="AP2709" s="1135" t="s">
        <v>2461</v>
      </c>
    </row>
    <row r="2710" spans="2:42">
      <c r="B2710" s="1124"/>
      <c r="C2710" s="485"/>
      <c r="D2710" s="582">
        <f>D2709+1</f>
        <v>2</v>
      </c>
      <c r="E2710" s="866" t="str">
        <f t="shared" si="1245"/>
        <v/>
      </c>
      <c r="F2710" s="964" t="str">
        <f t="shared" ref="F2710:I2710" si="1250">IF(F2700&lt;&gt; "",F2700,IF(F2690 &lt;&gt; "", F2690,""))</f>
        <v/>
      </c>
      <c r="G2710" s="895" t="str">
        <f t="shared" si="1250"/>
        <v/>
      </c>
      <c r="H2710" s="658" t="str">
        <f t="shared" si="1250"/>
        <v/>
      </c>
      <c r="I2710" s="965" t="str">
        <f t="shared" si="1250"/>
        <v/>
      </c>
      <c r="J2710" s="1804"/>
      <c r="K2710" s="1805"/>
      <c r="L2710" s="1805"/>
      <c r="M2710" s="1805"/>
      <c r="N2710" s="1805"/>
      <c r="O2710" s="485"/>
      <c r="S2710" s="1435"/>
      <c r="T2710" s="1435"/>
      <c r="Z2710" s="1736" t="b">
        <f t="shared" si="1247"/>
        <v>0</v>
      </c>
      <c r="AA2710" s="1443" t="b">
        <f t="shared" si="1248"/>
        <v>0</v>
      </c>
      <c r="AB2710" s="1737" t="b">
        <f t="shared" ref="AB2710:AB2718" si="1251">AND(AC2710:AI2710)</f>
        <v>0</v>
      </c>
      <c r="AC2710" s="1738" t="b">
        <f>AC2709</f>
        <v>0</v>
      </c>
      <c r="AD2710" s="1443" t="b">
        <f t="shared" ref="AD2710:AI2710" si="1252">AD2709</f>
        <v>0</v>
      </c>
      <c r="AE2710" s="1443" t="b">
        <f t="shared" si="1252"/>
        <v>0</v>
      </c>
      <c r="AF2710" s="1443" t="b">
        <f t="shared" si="1252"/>
        <v>0</v>
      </c>
      <c r="AG2710" s="1443" t="b">
        <f t="shared" si="1252"/>
        <v>0</v>
      </c>
      <c r="AH2710" s="1443" t="b">
        <f t="shared" si="1252"/>
        <v>0</v>
      </c>
      <c r="AI2710" s="1737" t="b">
        <f t="shared" si="1252"/>
        <v>0</v>
      </c>
      <c r="AP2710" s="1135" t="s">
        <v>2462</v>
      </c>
    </row>
    <row r="2711" spans="2:42">
      <c r="B2711" s="1124"/>
      <c r="C2711" s="485"/>
      <c r="D2711" s="582">
        <f t="shared" ref="D2711:D2718" si="1253">D2710+1</f>
        <v>3</v>
      </c>
      <c r="E2711" s="866" t="str">
        <f t="shared" si="1245"/>
        <v/>
      </c>
      <c r="F2711" s="964" t="str">
        <f t="shared" ref="F2711:I2711" si="1254">IF(F2701&lt;&gt; "",F2701,IF(F2691 &lt;&gt; "", F2691,""))</f>
        <v/>
      </c>
      <c r="G2711" s="895" t="str">
        <f t="shared" si="1254"/>
        <v/>
      </c>
      <c r="H2711" s="658" t="str">
        <f t="shared" si="1254"/>
        <v/>
      </c>
      <c r="I2711" s="965" t="str">
        <f t="shared" si="1254"/>
        <v/>
      </c>
      <c r="J2711" s="1804"/>
      <c r="K2711" s="1805"/>
      <c r="L2711" s="1805"/>
      <c r="M2711" s="1805"/>
      <c r="N2711" s="1805"/>
      <c r="O2711" s="485"/>
      <c r="S2711" s="1435"/>
      <c r="T2711" s="1435"/>
      <c r="Z2711" s="1736" t="b">
        <f t="shared" si="1247"/>
        <v>0</v>
      </c>
      <c r="AA2711" s="1443" t="b">
        <f t="shared" si="1248"/>
        <v>0</v>
      </c>
      <c r="AB2711" s="1737" t="b">
        <f t="shared" si="1251"/>
        <v>0</v>
      </c>
      <c r="AC2711" s="1738" t="b">
        <f t="shared" ref="AC2711:AI2718" si="1255">AC2710</f>
        <v>0</v>
      </c>
      <c r="AD2711" s="1443" t="b">
        <f t="shared" si="1255"/>
        <v>0</v>
      </c>
      <c r="AE2711" s="1443" t="b">
        <f t="shared" si="1255"/>
        <v>0</v>
      </c>
      <c r="AF2711" s="1443" t="b">
        <f t="shared" si="1255"/>
        <v>0</v>
      </c>
      <c r="AG2711" s="1443" t="b">
        <f t="shared" si="1255"/>
        <v>0</v>
      </c>
      <c r="AH2711" s="1443" t="b">
        <f t="shared" si="1255"/>
        <v>0</v>
      </c>
      <c r="AI2711" s="1737" t="b">
        <f t="shared" si="1255"/>
        <v>0</v>
      </c>
      <c r="AP2711" s="1135" t="s">
        <v>2463</v>
      </c>
    </row>
    <row r="2712" spans="2:42">
      <c r="B2712" s="1124"/>
      <c r="C2712" s="485"/>
      <c r="D2712" s="582">
        <f t="shared" si="1253"/>
        <v>4</v>
      </c>
      <c r="E2712" s="866" t="str">
        <f t="shared" si="1245"/>
        <v/>
      </c>
      <c r="F2712" s="964" t="str">
        <f t="shared" ref="F2712:I2712" si="1256">IF(F2702&lt;&gt; "",F2702,IF(F2692 &lt;&gt; "", F2692,""))</f>
        <v/>
      </c>
      <c r="G2712" s="895" t="str">
        <f t="shared" si="1256"/>
        <v/>
      </c>
      <c r="H2712" s="658" t="str">
        <f t="shared" si="1256"/>
        <v/>
      </c>
      <c r="I2712" s="965" t="str">
        <f t="shared" si="1256"/>
        <v/>
      </c>
      <c r="J2712" s="1804"/>
      <c r="K2712" s="1805"/>
      <c r="L2712" s="1805"/>
      <c r="M2712" s="1805"/>
      <c r="N2712" s="1805"/>
      <c r="O2712" s="485"/>
      <c r="S2712" s="1435"/>
      <c r="T2712" s="1435"/>
      <c r="Z2712" s="1736" t="b">
        <f t="shared" si="1247"/>
        <v>0</v>
      </c>
      <c r="AA2712" s="1443" t="b">
        <f t="shared" si="1248"/>
        <v>0</v>
      </c>
      <c r="AB2712" s="1737" t="b">
        <f t="shared" si="1251"/>
        <v>0</v>
      </c>
      <c r="AC2712" s="1738" t="b">
        <f t="shared" si="1255"/>
        <v>0</v>
      </c>
      <c r="AD2712" s="1443" t="b">
        <f t="shared" si="1255"/>
        <v>0</v>
      </c>
      <c r="AE2712" s="1443" t="b">
        <f t="shared" si="1255"/>
        <v>0</v>
      </c>
      <c r="AF2712" s="1443" t="b">
        <f t="shared" si="1255"/>
        <v>0</v>
      </c>
      <c r="AG2712" s="1443" t="b">
        <f t="shared" si="1255"/>
        <v>0</v>
      </c>
      <c r="AH2712" s="1443" t="b">
        <f t="shared" si="1255"/>
        <v>0</v>
      </c>
      <c r="AI2712" s="1737" t="b">
        <f t="shared" si="1255"/>
        <v>0</v>
      </c>
      <c r="AP2712" s="1135" t="s">
        <v>2464</v>
      </c>
    </row>
    <row r="2713" spans="2:42">
      <c r="B2713" s="1124"/>
      <c r="C2713" s="485"/>
      <c r="D2713" s="582">
        <f t="shared" si="1253"/>
        <v>5</v>
      </c>
      <c r="E2713" s="866" t="str">
        <f t="shared" si="1245"/>
        <v/>
      </c>
      <c r="F2713" s="964" t="str">
        <f t="shared" ref="F2713:I2713" si="1257">IF(F2703&lt;&gt; "",F2703,IF(F2693 &lt;&gt; "", F2693,""))</f>
        <v/>
      </c>
      <c r="G2713" s="895" t="str">
        <f t="shared" si="1257"/>
        <v/>
      </c>
      <c r="H2713" s="658" t="str">
        <f t="shared" si="1257"/>
        <v/>
      </c>
      <c r="I2713" s="965" t="str">
        <f t="shared" si="1257"/>
        <v/>
      </c>
      <c r="J2713" s="1804"/>
      <c r="K2713" s="1805"/>
      <c r="L2713" s="1805"/>
      <c r="M2713" s="1805"/>
      <c r="N2713" s="1805"/>
      <c r="O2713" s="485"/>
      <c r="S2713" s="1435"/>
      <c r="T2713" s="1435"/>
      <c r="Z2713" s="1736" t="b">
        <f t="shared" si="1247"/>
        <v>0</v>
      </c>
      <c r="AA2713" s="1443" t="b">
        <f t="shared" si="1248"/>
        <v>0</v>
      </c>
      <c r="AB2713" s="1737" t="b">
        <f t="shared" si="1251"/>
        <v>0</v>
      </c>
      <c r="AC2713" s="1738" t="b">
        <f t="shared" si="1255"/>
        <v>0</v>
      </c>
      <c r="AD2713" s="1443" t="b">
        <f t="shared" si="1255"/>
        <v>0</v>
      </c>
      <c r="AE2713" s="1443" t="b">
        <f t="shared" si="1255"/>
        <v>0</v>
      </c>
      <c r="AF2713" s="1443" t="b">
        <f t="shared" si="1255"/>
        <v>0</v>
      </c>
      <c r="AG2713" s="1443" t="b">
        <f t="shared" si="1255"/>
        <v>0</v>
      </c>
      <c r="AH2713" s="1443" t="b">
        <f t="shared" si="1255"/>
        <v>0</v>
      </c>
      <c r="AI2713" s="1737" t="b">
        <f t="shared" si="1255"/>
        <v>0</v>
      </c>
      <c r="AP2713" s="1135" t="s">
        <v>2465</v>
      </c>
    </row>
    <row r="2714" spans="2:42">
      <c r="B2714" s="1124"/>
      <c r="C2714" s="485"/>
      <c r="D2714" s="582">
        <f t="shared" si="1253"/>
        <v>6</v>
      </c>
      <c r="E2714" s="866" t="str">
        <f t="shared" si="1245"/>
        <v/>
      </c>
      <c r="F2714" s="964" t="str">
        <f t="shared" ref="F2714:I2714" si="1258">IF(F2704&lt;&gt; "",F2704,IF(F2694 &lt;&gt; "", F2694,""))</f>
        <v/>
      </c>
      <c r="G2714" s="895" t="str">
        <f t="shared" si="1258"/>
        <v/>
      </c>
      <c r="H2714" s="658" t="str">
        <f t="shared" si="1258"/>
        <v/>
      </c>
      <c r="I2714" s="965" t="str">
        <f t="shared" si="1258"/>
        <v/>
      </c>
      <c r="J2714" s="1804"/>
      <c r="K2714" s="1805"/>
      <c r="L2714" s="1805"/>
      <c r="M2714" s="1805"/>
      <c r="N2714" s="1805"/>
      <c r="O2714" s="485"/>
      <c r="S2714" s="1435"/>
      <c r="T2714" s="1435"/>
      <c r="Z2714" s="1736" t="b">
        <f t="shared" si="1247"/>
        <v>0</v>
      </c>
      <c r="AA2714" s="1443" t="b">
        <f t="shared" si="1248"/>
        <v>0</v>
      </c>
      <c r="AB2714" s="1737" t="b">
        <f t="shared" si="1251"/>
        <v>0</v>
      </c>
      <c r="AC2714" s="1738" t="b">
        <f t="shared" si="1255"/>
        <v>0</v>
      </c>
      <c r="AD2714" s="1443" t="b">
        <f t="shared" si="1255"/>
        <v>0</v>
      </c>
      <c r="AE2714" s="1443" t="b">
        <f t="shared" si="1255"/>
        <v>0</v>
      </c>
      <c r="AF2714" s="1443" t="b">
        <f t="shared" si="1255"/>
        <v>0</v>
      </c>
      <c r="AG2714" s="1443" t="b">
        <f t="shared" si="1255"/>
        <v>0</v>
      </c>
      <c r="AH2714" s="1443" t="b">
        <f t="shared" si="1255"/>
        <v>0</v>
      </c>
      <c r="AI2714" s="1737" t="b">
        <f t="shared" si="1255"/>
        <v>0</v>
      </c>
      <c r="AP2714" s="1135" t="s">
        <v>2466</v>
      </c>
    </row>
    <row r="2715" spans="2:42">
      <c r="B2715" s="1124"/>
      <c r="C2715" s="485"/>
      <c r="D2715" s="582">
        <f t="shared" si="1253"/>
        <v>7</v>
      </c>
      <c r="E2715" s="866" t="str">
        <f t="shared" si="1245"/>
        <v/>
      </c>
      <c r="F2715" s="964" t="str">
        <f t="shared" ref="F2715:I2715" si="1259">IF(F2705&lt;&gt; "",F2705,IF(F2695 &lt;&gt; "", F2695,""))</f>
        <v/>
      </c>
      <c r="G2715" s="895" t="str">
        <f t="shared" si="1259"/>
        <v/>
      </c>
      <c r="H2715" s="658" t="str">
        <f t="shared" si="1259"/>
        <v/>
      </c>
      <c r="I2715" s="965" t="str">
        <f t="shared" si="1259"/>
        <v/>
      </c>
      <c r="J2715" s="1804"/>
      <c r="K2715" s="1805"/>
      <c r="L2715" s="1805"/>
      <c r="M2715" s="1805"/>
      <c r="N2715" s="1805"/>
      <c r="O2715" s="485"/>
      <c r="S2715" s="1435"/>
      <c r="T2715" s="1435"/>
      <c r="Z2715" s="1736" t="b">
        <f t="shared" si="1247"/>
        <v>0</v>
      </c>
      <c r="AA2715" s="1443" t="b">
        <f t="shared" si="1248"/>
        <v>0</v>
      </c>
      <c r="AB2715" s="1737" t="b">
        <f t="shared" si="1251"/>
        <v>0</v>
      </c>
      <c r="AC2715" s="1738" t="b">
        <f t="shared" si="1255"/>
        <v>0</v>
      </c>
      <c r="AD2715" s="1443" t="b">
        <f t="shared" si="1255"/>
        <v>0</v>
      </c>
      <c r="AE2715" s="1443" t="b">
        <f t="shared" si="1255"/>
        <v>0</v>
      </c>
      <c r="AF2715" s="1443" t="b">
        <f t="shared" si="1255"/>
        <v>0</v>
      </c>
      <c r="AG2715" s="1443" t="b">
        <f t="shared" si="1255"/>
        <v>0</v>
      </c>
      <c r="AH2715" s="1443" t="b">
        <f t="shared" si="1255"/>
        <v>0</v>
      </c>
      <c r="AI2715" s="1737" t="b">
        <f t="shared" si="1255"/>
        <v>0</v>
      </c>
      <c r="AP2715" s="1135" t="s">
        <v>2467</v>
      </c>
    </row>
    <row r="2716" spans="2:42">
      <c r="B2716" s="1124"/>
      <c r="C2716" s="485"/>
      <c r="D2716" s="582">
        <f t="shared" si="1253"/>
        <v>8</v>
      </c>
      <c r="E2716" s="866" t="str">
        <f t="shared" si="1245"/>
        <v/>
      </c>
      <c r="F2716" s="964" t="str">
        <f t="shared" ref="F2716:I2716" si="1260">IF(F2706&lt;&gt; "",F2706,IF(F2696 &lt;&gt; "", F2696,""))</f>
        <v/>
      </c>
      <c r="G2716" s="895" t="str">
        <f t="shared" si="1260"/>
        <v/>
      </c>
      <c r="H2716" s="658" t="str">
        <f t="shared" si="1260"/>
        <v/>
      </c>
      <c r="I2716" s="965" t="str">
        <f t="shared" si="1260"/>
        <v/>
      </c>
      <c r="J2716" s="1804"/>
      <c r="K2716" s="1805"/>
      <c r="L2716" s="1805"/>
      <c r="M2716" s="1805"/>
      <c r="N2716" s="1805"/>
      <c r="O2716" s="485"/>
      <c r="S2716" s="1435"/>
      <c r="T2716" s="1435"/>
      <c r="Z2716" s="1736" t="b">
        <f t="shared" si="1247"/>
        <v>0</v>
      </c>
      <c r="AA2716" s="1443" t="b">
        <f t="shared" si="1248"/>
        <v>0</v>
      </c>
      <c r="AB2716" s="1737" t="b">
        <f t="shared" si="1251"/>
        <v>0</v>
      </c>
      <c r="AC2716" s="1738" t="b">
        <f t="shared" si="1255"/>
        <v>0</v>
      </c>
      <c r="AD2716" s="1443" t="b">
        <f t="shared" si="1255"/>
        <v>0</v>
      </c>
      <c r="AE2716" s="1443" t="b">
        <f t="shared" si="1255"/>
        <v>0</v>
      </c>
      <c r="AF2716" s="1443" t="b">
        <f t="shared" si="1255"/>
        <v>0</v>
      </c>
      <c r="AG2716" s="1443" t="b">
        <f t="shared" si="1255"/>
        <v>0</v>
      </c>
      <c r="AH2716" s="1443" t="b">
        <f t="shared" si="1255"/>
        <v>0</v>
      </c>
      <c r="AI2716" s="1737" t="b">
        <f t="shared" si="1255"/>
        <v>0</v>
      </c>
      <c r="AP2716" s="1135" t="s">
        <v>2468</v>
      </c>
    </row>
    <row r="2717" spans="2:42">
      <c r="B2717" s="1124"/>
      <c r="C2717" s="485"/>
      <c r="D2717" s="582">
        <f t="shared" si="1253"/>
        <v>9</v>
      </c>
      <c r="E2717" s="866" t="str">
        <f t="shared" si="1245"/>
        <v/>
      </c>
      <c r="F2717" s="964" t="str">
        <f t="shared" ref="F2717:I2717" si="1261">IF(F2707&lt;&gt; "",F2707,IF(F2697 &lt;&gt; "", F2697,""))</f>
        <v/>
      </c>
      <c r="G2717" s="895" t="str">
        <f t="shared" si="1261"/>
        <v/>
      </c>
      <c r="H2717" s="658" t="str">
        <f t="shared" si="1261"/>
        <v/>
      </c>
      <c r="I2717" s="965" t="str">
        <f t="shared" si="1261"/>
        <v/>
      </c>
      <c r="J2717" s="1804"/>
      <c r="K2717" s="1805"/>
      <c r="L2717" s="1805"/>
      <c r="M2717" s="1805"/>
      <c r="N2717" s="1805"/>
      <c r="O2717" s="485"/>
      <c r="S2717" s="1435"/>
      <c r="T2717" s="1435"/>
      <c r="Z2717" s="1736" t="b">
        <f t="shared" si="1247"/>
        <v>0</v>
      </c>
      <c r="AA2717" s="1443" t="b">
        <f t="shared" si="1248"/>
        <v>0</v>
      </c>
      <c r="AB2717" s="1737" t="b">
        <f t="shared" si="1251"/>
        <v>0</v>
      </c>
      <c r="AC2717" s="1738" t="b">
        <f t="shared" si="1255"/>
        <v>0</v>
      </c>
      <c r="AD2717" s="1443" t="b">
        <f t="shared" si="1255"/>
        <v>0</v>
      </c>
      <c r="AE2717" s="1443" t="b">
        <f t="shared" si="1255"/>
        <v>0</v>
      </c>
      <c r="AF2717" s="1443" t="b">
        <f t="shared" si="1255"/>
        <v>0</v>
      </c>
      <c r="AG2717" s="1443" t="b">
        <f t="shared" si="1255"/>
        <v>0</v>
      </c>
      <c r="AH2717" s="1443" t="b">
        <f t="shared" si="1255"/>
        <v>0</v>
      </c>
      <c r="AI2717" s="1737" t="b">
        <f t="shared" si="1255"/>
        <v>0</v>
      </c>
      <c r="AP2717" s="1135" t="s">
        <v>2469</v>
      </c>
    </row>
    <row r="2718" spans="2:42" ht="13.5" thickBot="1">
      <c r="B2718" s="1124"/>
      <c r="C2718" s="485"/>
      <c r="D2718" s="584">
        <f t="shared" si="1253"/>
        <v>10</v>
      </c>
      <c r="E2718" s="868" t="str">
        <f t="shared" si="1245"/>
        <v/>
      </c>
      <c r="F2718" s="967" t="str">
        <f t="shared" ref="F2718:I2718" si="1262">IF(F2708&lt;&gt; "",F2708,IF(F2698 &lt;&gt; "", F2698,""))</f>
        <v/>
      </c>
      <c r="G2718" s="968" t="str">
        <f t="shared" si="1262"/>
        <v/>
      </c>
      <c r="H2718" s="660" t="str">
        <f t="shared" si="1262"/>
        <v/>
      </c>
      <c r="I2718" s="969" t="str">
        <f t="shared" si="1262"/>
        <v/>
      </c>
      <c r="J2718" s="1804"/>
      <c r="K2718" s="1805"/>
      <c r="L2718" s="1805"/>
      <c r="M2718" s="1805"/>
      <c r="N2718" s="1805"/>
      <c r="O2718" s="485"/>
      <c r="S2718" s="1435"/>
      <c r="T2718" s="1435"/>
      <c r="Z2718" s="1742" t="b">
        <f t="shared" si="1247"/>
        <v>0</v>
      </c>
      <c r="AA2718" s="1743" t="b">
        <f t="shared" si="1248"/>
        <v>0</v>
      </c>
      <c r="AB2718" s="1744" t="b">
        <f t="shared" si="1251"/>
        <v>0</v>
      </c>
      <c r="AC2718" s="1745" t="b">
        <f t="shared" si="1255"/>
        <v>0</v>
      </c>
      <c r="AD2718" s="1743" t="b">
        <f t="shared" si="1255"/>
        <v>0</v>
      </c>
      <c r="AE2718" s="1743" t="b">
        <f t="shared" si="1255"/>
        <v>0</v>
      </c>
      <c r="AF2718" s="1743" t="b">
        <f t="shared" si="1255"/>
        <v>0</v>
      </c>
      <c r="AG2718" s="1743" t="b">
        <f t="shared" si="1255"/>
        <v>0</v>
      </c>
      <c r="AH2718" s="1743" t="b">
        <f t="shared" si="1255"/>
        <v>0</v>
      </c>
      <c r="AI2718" s="1744" t="b">
        <f t="shared" si="1255"/>
        <v>0</v>
      </c>
      <c r="AP2718" s="1135" t="s">
        <v>2470</v>
      </c>
    </row>
    <row r="2719" spans="2:42" ht="12.75" customHeight="1" thickBot="1">
      <c r="B2719" s="1124"/>
      <c r="C2719" s="485"/>
      <c r="D2719" s="971"/>
      <c r="E2719" s="972" t="s">
        <v>921</v>
      </c>
      <c r="F2719" s="948"/>
      <c r="G2719" s="1881"/>
      <c r="H2719" s="605" t="str">
        <f t="shared" ref="H2719:I2719" si="1263">IF(COUNT(H2709:H2718)&gt;0,SUM(H2709:H2718),"")</f>
        <v/>
      </c>
      <c r="I2719" s="973" t="str">
        <f t="shared" si="1263"/>
        <v/>
      </c>
      <c r="J2719" s="1804"/>
      <c r="K2719" s="1805"/>
      <c r="L2719" s="1805"/>
      <c r="M2719" s="1805"/>
      <c r="N2719" s="1805"/>
      <c r="O2719" s="485"/>
      <c r="P2719" s="485"/>
      <c r="S2719" s="1435"/>
      <c r="T2719" s="1435"/>
      <c r="AB2719" s="1848" t="b">
        <f>AND(AB2709:AB2718)</f>
        <v>0</v>
      </c>
    </row>
    <row r="2720" spans="2:42" ht="12.75" customHeight="1" thickBot="1">
      <c r="B2720" s="479"/>
      <c r="C2720" s="479"/>
      <c r="D2720" s="479"/>
      <c r="E2720" s="479"/>
      <c r="F2720" s="479"/>
      <c r="G2720" s="479"/>
      <c r="H2720" s="479"/>
      <c r="I2720" s="479"/>
      <c r="J2720" s="479"/>
      <c r="K2720" s="479"/>
      <c r="L2720" s="479"/>
      <c r="M2720" s="485"/>
      <c r="N2720" s="485"/>
      <c r="O2720" s="485"/>
      <c r="P2720" s="485"/>
      <c r="Q2720" s="1435"/>
      <c r="S2720" s="1435"/>
      <c r="T2720" s="1435"/>
    </row>
    <row r="2721" spans="2:20" ht="5.0999999999999996" customHeight="1">
      <c r="B2721" s="479"/>
      <c r="C2721" s="975"/>
      <c r="D2721" s="976"/>
      <c r="E2721" s="976"/>
      <c r="F2721" s="976"/>
      <c r="G2721" s="976"/>
      <c r="H2721" s="976"/>
      <c r="I2721" s="976"/>
      <c r="J2721" s="976"/>
      <c r="K2721" s="976"/>
      <c r="L2721" s="976"/>
      <c r="M2721" s="774"/>
      <c r="N2721" s="775"/>
      <c r="O2721" s="485"/>
      <c r="P2721" s="485"/>
      <c r="Q2721" s="1435"/>
      <c r="S2721" s="1435"/>
      <c r="T2721" s="1435"/>
    </row>
    <row r="2722" spans="2:20" ht="15" customHeight="1">
      <c r="B2722" s="1124"/>
      <c r="C2722" s="977"/>
      <c r="D2722" s="2678" t="s">
        <v>2330</v>
      </c>
      <c r="E2722" s="2672"/>
      <c r="F2722" s="2672"/>
      <c r="G2722" s="2672"/>
      <c r="H2722" s="2672"/>
      <c r="I2722" s="2672"/>
      <c r="J2722" s="2672"/>
      <c r="K2722" s="2672"/>
      <c r="L2722" s="2672"/>
      <c r="M2722" s="2672"/>
      <c r="N2722" s="2673"/>
      <c r="O2722" s="485"/>
      <c r="P2722" s="485"/>
      <c r="S2722" s="1435"/>
      <c r="T2722" s="1435"/>
    </row>
    <row r="2723" spans="2:20" ht="5.0999999999999996" customHeight="1">
      <c r="B2723" s="1124"/>
      <c r="C2723" s="980"/>
      <c r="D2723" s="813"/>
      <c r="E2723" s="813"/>
      <c r="F2723" s="813"/>
      <c r="G2723" s="813"/>
      <c r="H2723" s="813"/>
      <c r="I2723" s="813"/>
      <c r="J2723" s="813"/>
      <c r="K2723" s="813"/>
      <c r="L2723" s="813"/>
      <c r="M2723" s="813"/>
      <c r="N2723" s="814"/>
      <c r="O2723" s="485"/>
      <c r="P2723" s="485"/>
      <c r="S2723" s="1435"/>
      <c r="T2723" s="1435"/>
    </row>
    <row r="2724" spans="2:20" ht="15" customHeight="1">
      <c r="B2724" s="1124"/>
      <c r="C2724" s="980"/>
      <c r="D2724" s="2679" t="str">
        <f>EUconst_BMSubinst &amp; ":"</f>
        <v>Sub-installation with product benchmark:</v>
      </c>
      <c r="E2724" s="2646"/>
      <c r="F2724" s="2646"/>
      <c r="G2724" s="2646"/>
      <c r="H2724" s="2680"/>
      <c r="I2724" s="3293" t="str">
        <f>I2589</f>
        <v/>
      </c>
      <c r="J2724" s="3294"/>
      <c r="K2724" s="3294"/>
      <c r="L2724" s="3294"/>
      <c r="M2724" s="3294"/>
      <c r="N2724" s="3295"/>
      <c r="O2724" s="485"/>
      <c r="P2724" s="485"/>
      <c r="S2724" s="1435"/>
      <c r="T2724" s="1435"/>
    </row>
    <row r="2725" spans="2:20" ht="5.0999999999999996" customHeight="1">
      <c r="B2725" s="1124"/>
      <c r="C2725" s="980"/>
      <c r="D2725" s="813"/>
      <c r="E2725" s="813"/>
      <c r="F2725" s="813"/>
      <c r="G2725" s="813"/>
      <c r="H2725" s="813"/>
      <c r="I2725" s="813"/>
      <c r="J2725" s="813"/>
      <c r="K2725" s="813"/>
      <c r="L2725" s="813"/>
      <c r="M2725" s="813"/>
      <c r="N2725" s="814"/>
      <c r="O2725" s="485"/>
      <c r="P2725" s="485"/>
      <c r="S2725" s="1435"/>
      <c r="T2725" s="1435"/>
    </row>
    <row r="2726" spans="2:20" ht="30" customHeight="1">
      <c r="B2726" s="479"/>
      <c r="C2726" s="977"/>
      <c r="D2726" s="981"/>
      <c r="E2726" s="2691" t="s">
        <v>2154</v>
      </c>
      <c r="F2726" s="2691"/>
      <c r="G2726" s="2691"/>
      <c r="H2726" s="2691"/>
      <c r="I2726" s="2691"/>
      <c r="J2726" s="2691"/>
      <c r="K2726" s="2691"/>
      <c r="L2726" s="2691"/>
      <c r="M2726" s="2691"/>
      <c r="N2726" s="2692"/>
      <c r="O2726" s="485"/>
      <c r="P2726" s="485"/>
      <c r="Q2726" s="1435"/>
    </row>
    <row r="2727" spans="2:20" ht="30" customHeight="1">
      <c r="B2727" s="479"/>
      <c r="C2727" s="977"/>
      <c r="D2727" s="981"/>
      <c r="E2727" s="2691" t="s">
        <v>1550</v>
      </c>
      <c r="F2727" s="2691"/>
      <c r="G2727" s="2691"/>
      <c r="H2727" s="2691"/>
      <c r="I2727" s="2691"/>
      <c r="J2727" s="2691"/>
      <c r="K2727" s="2691"/>
      <c r="L2727" s="2691"/>
      <c r="M2727" s="2691"/>
      <c r="N2727" s="2650"/>
      <c r="O2727" s="485"/>
      <c r="P2727" s="485"/>
      <c r="Q2727" s="1435"/>
    </row>
    <row r="2728" spans="2:20" ht="12.75" customHeight="1">
      <c r="B2728" s="479"/>
      <c r="C2728" s="977"/>
      <c r="D2728" s="981"/>
      <c r="E2728" s="2691" t="s">
        <v>1549</v>
      </c>
      <c r="F2728" s="2391"/>
      <c r="G2728" s="2391"/>
      <c r="H2728" s="2391"/>
      <c r="I2728" s="2391"/>
      <c r="J2728" s="2391"/>
      <c r="K2728" s="2391"/>
      <c r="L2728" s="2391"/>
      <c r="M2728" s="2391"/>
      <c r="N2728" s="2650"/>
      <c r="O2728" s="485"/>
      <c r="P2728" s="485"/>
      <c r="Q2728" s="1435"/>
    </row>
    <row r="2729" spans="2:20" ht="15" customHeight="1">
      <c r="B2729" s="479"/>
      <c r="C2729" s="977"/>
      <c r="D2729" s="981"/>
      <c r="E2729" s="3269" t="s">
        <v>2215</v>
      </c>
      <c r="F2729" s="3269"/>
      <c r="G2729" s="3269"/>
      <c r="H2729" s="3269"/>
      <c r="I2729" s="3269"/>
      <c r="J2729" s="3269"/>
      <c r="K2729" s="3269"/>
      <c r="L2729" s="3269"/>
      <c r="M2729" s="3269"/>
      <c r="N2729" s="2694"/>
      <c r="O2729" s="485"/>
      <c r="P2729" s="485"/>
      <c r="Q2729" s="1435"/>
    </row>
    <row r="2730" spans="2:20" ht="5.0999999999999996" customHeight="1">
      <c r="B2730" s="1124"/>
      <c r="C2730" s="980"/>
      <c r="D2730" s="813"/>
      <c r="E2730" s="813"/>
      <c r="F2730" s="813"/>
      <c r="G2730" s="813"/>
      <c r="H2730" s="813"/>
      <c r="I2730" s="813"/>
      <c r="J2730" s="813"/>
      <c r="K2730" s="813"/>
      <c r="L2730" s="813"/>
      <c r="M2730" s="813"/>
      <c r="N2730" s="814"/>
      <c r="O2730" s="485"/>
      <c r="P2730" s="485"/>
      <c r="S2730" s="1435"/>
      <c r="T2730" s="1435"/>
    </row>
    <row r="2731" spans="2:20" ht="15" customHeight="1">
      <c r="B2731" s="479"/>
      <c r="C2731" s="977"/>
      <c r="D2731" s="981"/>
      <c r="E2731" s="3291" t="s">
        <v>1475</v>
      </c>
      <c r="F2731" s="3291"/>
      <c r="G2731" s="3291"/>
      <c r="H2731" s="3291"/>
      <c r="I2731" s="3291"/>
      <c r="J2731" s="3291"/>
      <c r="K2731" s="3291"/>
      <c r="L2731" s="3291"/>
      <c r="M2731" s="3291"/>
      <c r="N2731" s="2694"/>
      <c r="O2731" s="485"/>
      <c r="P2731" s="485"/>
      <c r="Q2731" s="1435"/>
    </row>
    <row r="2732" spans="2:20" ht="5.0999999999999996" customHeight="1">
      <c r="B2732" s="1124"/>
      <c r="C2732" s="980"/>
      <c r="D2732" s="813"/>
      <c r="E2732" s="813"/>
      <c r="F2732" s="813"/>
      <c r="G2732" s="813"/>
      <c r="H2732" s="813"/>
      <c r="I2732" s="813"/>
      <c r="J2732" s="813"/>
      <c r="K2732" s="813"/>
      <c r="L2732" s="813"/>
      <c r="M2732" s="813"/>
      <c r="N2732" s="814"/>
      <c r="O2732" s="485"/>
      <c r="P2732" s="485"/>
      <c r="S2732" s="1435"/>
      <c r="T2732" s="1435"/>
    </row>
    <row r="2733" spans="2:20" ht="12.75" customHeight="1">
      <c r="B2733" s="479"/>
      <c r="C2733" s="977"/>
      <c r="D2733" s="982" t="s">
        <v>266</v>
      </c>
      <c r="E2733" s="2671" t="s">
        <v>1617</v>
      </c>
      <c r="F2733" s="2672"/>
      <c r="G2733" s="2672"/>
      <c r="H2733" s="2672"/>
      <c r="I2733" s="2672"/>
      <c r="J2733" s="2672"/>
      <c r="K2733" s="2672"/>
      <c r="L2733" s="2672"/>
      <c r="M2733" s="2672"/>
      <c r="N2733" s="2673"/>
      <c r="O2733" s="485"/>
      <c r="P2733" s="485"/>
      <c r="Q2733" s="1435"/>
      <c r="S2733" s="1435"/>
      <c r="T2733" s="1435"/>
    </row>
    <row r="2734" spans="2:20" ht="12.75" customHeight="1">
      <c r="B2734" s="479"/>
      <c r="C2734" s="977"/>
      <c r="D2734" s="777"/>
      <c r="E2734" s="3292" t="s">
        <v>2295</v>
      </c>
      <c r="F2734" s="2671"/>
      <c r="G2734" s="2671"/>
      <c r="H2734" s="2671"/>
      <c r="I2734" s="2671"/>
      <c r="J2734" s="2671"/>
      <c r="K2734" s="2671"/>
      <c r="L2734" s="2671"/>
      <c r="M2734" s="2671"/>
      <c r="N2734" s="2712"/>
      <c r="O2734" s="485"/>
      <c r="P2734" s="485"/>
      <c r="Q2734" s="1435"/>
      <c r="S2734" s="1435"/>
      <c r="T2734" s="1435"/>
    </row>
    <row r="2735" spans="2:20" ht="12.75" customHeight="1">
      <c r="B2735" s="479"/>
      <c r="C2735" s="977"/>
      <c r="D2735" s="981"/>
      <c r="E2735" s="3288" t="s">
        <v>1618</v>
      </c>
      <c r="F2735" s="3288"/>
      <c r="G2735" s="3288"/>
      <c r="H2735" s="3288"/>
      <c r="I2735" s="3288"/>
      <c r="J2735" s="3288"/>
      <c r="K2735" s="3288"/>
      <c r="L2735" s="3288"/>
      <c r="M2735" s="3288"/>
      <c r="N2735" s="3289"/>
      <c r="O2735" s="485"/>
      <c r="P2735" s="485"/>
      <c r="Q2735" s="1435"/>
      <c r="S2735" s="1435"/>
    </row>
    <row r="2736" spans="2:20" ht="25.5" customHeight="1">
      <c r="B2736" s="479"/>
      <c r="C2736" s="977"/>
      <c r="D2736" s="981"/>
      <c r="E2736" s="985" t="s">
        <v>1021</v>
      </c>
      <c r="F2736" s="3290" t="s">
        <v>1616</v>
      </c>
      <c r="G2736" s="2646"/>
      <c r="H2736" s="2646"/>
      <c r="I2736" s="2646"/>
      <c r="J2736" s="2646"/>
      <c r="K2736" s="2646"/>
      <c r="L2736" s="2646"/>
      <c r="M2736" s="2646"/>
      <c r="N2736" s="2647"/>
      <c r="O2736" s="485"/>
      <c r="P2736" s="485"/>
      <c r="Q2736" s="1435"/>
      <c r="S2736" s="1435"/>
    </row>
    <row r="2737" spans="2:37" ht="38.25" customHeight="1">
      <c r="B2737" s="479"/>
      <c r="C2737" s="977"/>
      <c r="D2737" s="981"/>
      <c r="E2737" s="985"/>
      <c r="F2737" s="3267" t="s">
        <v>1615</v>
      </c>
      <c r="G2737" s="2380"/>
      <c r="H2737" s="2380"/>
      <c r="I2737" s="2380"/>
      <c r="J2737" s="2380"/>
      <c r="K2737" s="2380"/>
      <c r="L2737" s="2380"/>
      <c r="M2737" s="2380"/>
      <c r="N2737" s="3268"/>
      <c r="O2737" s="485"/>
      <c r="P2737" s="485"/>
      <c r="Q2737" s="1435"/>
      <c r="S2737" s="1435"/>
    </row>
    <row r="2738" spans="2:37" ht="12.75" customHeight="1">
      <c r="B2738" s="479"/>
      <c r="C2738" s="977"/>
      <c r="D2738" s="981"/>
      <c r="E2738" s="985" t="s">
        <v>1021</v>
      </c>
      <c r="F2738" s="3290" t="s">
        <v>1278</v>
      </c>
      <c r="G2738" s="2646"/>
      <c r="H2738" s="2646"/>
      <c r="I2738" s="2646"/>
      <c r="J2738" s="2646"/>
      <c r="K2738" s="2646"/>
      <c r="L2738" s="2646"/>
      <c r="M2738" s="2646"/>
      <c r="N2738" s="2647"/>
      <c r="O2738" s="485"/>
      <c r="P2738" s="485"/>
      <c r="Q2738" s="1435"/>
      <c r="S2738" s="1435"/>
    </row>
    <row r="2739" spans="2:37" ht="38.85" customHeight="1">
      <c r="B2739" s="479"/>
      <c r="C2739" s="977"/>
      <c r="D2739" s="981"/>
      <c r="E2739" s="985"/>
      <c r="F2739" s="3290" t="s">
        <v>1620</v>
      </c>
      <c r="G2739" s="2646"/>
      <c r="H2739" s="2646"/>
      <c r="I2739" s="2646"/>
      <c r="J2739" s="2646"/>
      <c r="K2739" s="2646"/>
      <c r="L2739" s="2646"/>
      <c r="M2739" s="2646"/>
      <c r="N2739" s="2647"/>
      <c r="O2739" s="485"/>
      <c r="P2739" s="485"/>
      <c r="Q2739" s="1435"/>
      <c r="S2739" s="1435"/>
    </row>
    <row r="2740" spans="2:37" ht="25.5" customHeight="1">
      <c r="B2740" s="479"/>
      <c r="C2740" s="977"/>
      <c r="D2740" s="981"/>
      <c r="E2740" s="985"/>
      <c r="F2740" s="3290" t="s">
        <v>1619</v>
      </c>
      <c r="G2740" s="2646"/>
      <c r="H2740" s="2646"/>
      <c r="I2740" s="2646"/>
      <c r="J2740" s="2646"/>
      <c r="K2740" s="2646"/>
      <c r="L2740" s="2646"/>
      <c r="M2740" s="2646"/>
      <c r="N2740" s="2647"/>
      <c r="O2740" s="485"/>
      <c r="P2740" s="485"/>
      <c r="Q2740" s="1435"/>
      <c r="S2740" s="1435"/>
    </row>
    <row r="2741" spans="2:37" ht="25.5" customHeight="1">
      <c r="B2741" s="479"/>
      <c r="C2741" s="977"/>
      <c r="D2741" s="981"/>
      <c r="E2741" s="985" t="s">
        <v>1021</v>
      </c>
      <c r="F2741" s="3290" t="s">
        <v>1542</v>
      </c>
      <c r="G2741" s="2646"/>
      <c r="H2741" s="2646"/>
      <c r="I2741" s="2646"/>
      <c r="J2741" s="2646"/>
      <c r="K2741" s="2646"/>
      <c r="L2741" s="2646"/>
      <c r="M2741" s="2646"/>
      <c r="N2741" s="2647"/>
      <c r="O2741" s="485"/>
      <c r="P2741" s="485"/>
      <c r="Q2741" s="1435"/>
      <c r="S2741" s="1435"/>
    </row>
    <row r="2742" spans="2:37" ht="25.5" customHeight="1" thickBot="1">
      <c r="B2742" s="479"/>
      <c r="C2742" s="977"/>
      <c r="D2742" s="981"/>
      <c r="E2742" s="985" t="s">
        <v>1021</v>
      </c>
      <c r="F2742" s="3290" t="s">
        <v>1458</v>
      </c>
      <c r="G2742" s="2646"/>
      <c r="H2742" s="2646"/>
      <c r="I2742" s="2646"/>
      <c r="J2742" s="2646"/>
      <c r="K2742" s="2646"/>
      <c r="L2742" s="2646"/>
      <c r="M2742" s="2646"/>
      <c r="N2742" s="2647"/>
      <c r="O2742" s="485"/>
      <c r="P2742" s="485"/>
      <c r="Q2742" s="1435"/>
      <c r="S2742" s="1435"/>
    </row>
    <row r="2743" spans="2:37" ht="12.75" customHeight="1" thickBot="1">
      <c r="B2743" s="479"/>
      <c r="C2743" s="977"/>
      <c r="D2743" s="982"/>
      <c r="E2743" s="2648" t="s">
        <v>1612</v>
      </c>
      <c r="F2743" s="2648"/>
      <c r="G2743" s="987" t="str">
        <f>EUconst_Unit</f>
        <v>Unit</v>
      </c>
      <c r="H2743" s="782">
        <f t="shared" ref="H2743:N2743" si="1264">H$3242</f>
        <v>2024</v>
      </c>
      <c r="I2743" s="988">
        <f t="shared" si="1264"/>
        <v>2025</v>
      </c>
      <c r="J2743" s="1810">
        <f t="shared" si="1264"/>
        <v>2026</v>
      </c>
      <c r="K2743" s="1747">
        <f t="shared" si="1264"/>
        <v>2027</v>
      </c>
      <c r="L2743" s="1747">
        <f t="shared" si="1264"/>
        <v>2028</v>
      </c>
      <c r="M2743" s="1747">
        <f t="shared" si="1264"/>
        <v>2029</v>
      </c>
      <c r="N2743" s="1748">
        <f t="shared" si="1264"/>
        <v>2030</v>
      </c>
      <c r="O2743" s="485"/>
      <c r="P2743" s="485"/>
      <c r="Q2743" s="1435"/>
      <c r="S2743" s="1648"/>
      <c r="T2743" s="1749">
        <f t="shared" ref="T2743:Z2743" si="1265">H2743</f>
        <v>2024</v>
      </c>
      <c r="U2743" s="1749">
        <f t="shared" si="1265"/>
        <v>2025</v>
      </c>
      <c r="V2743" s="1749">
        <f t="shared" si="1265"/>
        <v>2026</v>
      </c>
      <c r="W2743" s="1749">
        <f t="shared" si="1265"/>
        <v>2027</v>
      </c>
      <c r="X2743" s="1749">
        <f t="shared" si="1265"/>
        <v>2028</v>
      </c>
      <c r="Y2743" s="1749">
        <f t="shared" si="1265"/>
        <v>2029</v>
      </c>
      <c r="Z2743" s="1750">
        <f t="shared" si="1265"/>
        <v>2030</v>
      </c>
      <c r="AC2743" s="1638">
        <f t="shared" ref="AC2743:AI2743" si="1266">H$20</f>
        <v>2024</v>
      </c>
      <c r="AD2743" s="1638">
        <f t="shared" si="1266"/>
        <v>2025</v>
      </c>
      <c r="AE2743" s="1638">
        <f t="shared" si="1266"/>
        <v>2026</v>
      </c>
      <c r="AF2743" s="1638">
        <f t="shared" si="1266"/>
        <v>2027</v>
      </c>
      <c r="AG2743" s="1638">
        <f t="shared" si="1266"/>
        <v>2028</v>
      </c>
      <c r="AH2743" s="1638">
        <f t="shared" si="1266"/>
        <v>2029</v>
      </c>
      <c r="AI2743" s="1638">
        <f t="shared" si="1266"/>
        <v>2030</v>
      </c>
    </row>
    <row r="2744" spans="2:37" ht="12.75" customHeight="1" thickBot="1">
      <c r="B2744" s="479"/>
      <c r="C2744" s="977"/>
      <c r="D2744" s="981"/>
      <c r="E2744" s="3285" t="str">
        <f>I2589</f>
        <v/>
      </c>
      <c r="F2744" s="2410"/>
      <c r="G2744" s="815" t="str">
        <f>EUconst_tCO2epa</f>
        <v>t CO2e/year</v>
      </c>
      <c r="H2744" s="1479" t="str">
        <f>c_ALR2025!M5270</f>
        <v/>
      </c>
      <c r="I2744" s="1532"/>
      <c r="J2744" s="1811"/>
      <c r="K2744" s="1751"/>
      <c r="L2744" s="1751"/>
      <c r="M2744" s="1751"/>
      <c r="N2744" s="1752"/>
      <c r="O2744" s="485"/>
      <c r="P2744" s="9"/>
      <c r="Q2744" s="1644" t="str">
        <f>EUconst_CNTR_Emissions &amp; I2589</f>
        <v>DirEmissions_</v>
      </c>
      <c r="S2744" s="1753" t="str">
        <f>EUconst_CNTR_AttributedEmissions &amp; I2589</f>
        <v>AttrEmissions_</v>
      </c>
      <c r="T2744" s="1743" t="str">
        <f t="shared" ref="T2744:Z2744" si="1267">IF(T2597,SUM(H2744),"")</f>
        <v/>
      </c>
      <c r="U2744" s="1743" t="str">
        <f t="shared" si="1267"/>
        <v/>
      </c>
      <c r="V2744" s="1743" t="str">
        <f t="shared" si="1267"/>
        <v/>
      </c>
      <c r="W2744" s="1743" t="str">
        <f t="shared" si="1267"/>
        <v/>
      </c>
      <c r="X2744" s="1743" t="str">
        <f t="shared" si="1267"/>
        <v/>
      </c>
      <c r="Y2744" s="1743" t="str">
        <f t="shared" si="1267"/>
        <v/>
      </c>
      <c r="Z2744" s="1744" t="str">
        <f t="shared" si="1267"/>
        <v/>
      </c>
      <c r="AB2744" s="1641" t="s">
        <v>717</v>
      </c>
      <c r="AC2744" s="1443" t="b">
        <f>AC2659</f>
        <v>0</v>
      </c>
      <c r="AD2744" s="1443" t="b">
        <f t="shared" ref="AD2744:AI2744" si="1268">AD2659</f>
        <v>0</v>
      </c>
      <c r="AE2744" s="1443" t="b">
        <f t="shared" si="1268"/>
        <v>0</v>
      </c>
      <c r="AF2744" s="1443" t="b">
        <f t="shared" si="1268"/>
        <v>0</v>
      </c>
      <c r="AG2744" s="1443" t="b">
        <f t="shared" si="1268"/>
        <v>0</v>
      </c>
      <c r="AH2744" s="1443" t="b">
        <f t="shared" si="1268"/>
        <v>0</v>
      </c>
      <c r="AI2744" s="1443" t="b">
        <f t="shared" si="1268"/>
        <v>0</v>
      </c>
      <c r="AJ2744" s="1633" t="s">
        <v>1954</v>
      </c>
      <c r="AK2744" s="1635" t="str">
        <f>IF(AND(CNTR_ExistSubInstEntries,MSconst_RequireSubAttrEmissions,COUNTIFS(AC2744:AI2744,FALSE,H2744:N2744,"")&gt;0),EUconst_Error&amp;"BM"&amp;$Q2589,"")</f>
        <v/>
      </c>
    </row>
    <row r="2745" spans="2:37" ht="12.75" customHeight="1">
      <c r="B2745" s="479"/>
      <c r="C2745" s="977"/>
      <c r="D2745" s="981"/>
      <c r="E2745" s="981"/>
      <c r="F2745" s="981"/>
      <c r="G2745" s="981"/>
      <c r="H2745" s="981"/>
      <c r="I2745" s="981"/>
      <c r="J2745" s="981"/>
      <c r="K2745" s="981"/>
      <c r="L2745" s="981"/>
      <c r="M2745" s="813"/>
      <c r="N2745" s="814"/>
      <c r="O2745" s="485"/>
      <c r="P2745" s="485"/>
      <c r="Q2745" s="1435"/>
      <c r="S2745" s="1435"/>
    </row>
    <row r="2746" spans="2:37" ht="12.75" customHeight="1">
      <c r="B2746" s="479"/>
      <c r="C2746" s="977"/>
      <c r="D2746" s="982" t="s">
        <v>269</v>
      </c>
      <c r="E2746" s="2649" t="s">
        <v>1189</v>
      </c>
      <c r="F2746" s="2391"/>
      <c r="G2746" s="2391"/>
      <c r="H2746" s="2391"/>
      <c r="I2746" s="2391"/>
      <c r="J2746" s="2391"/>
      <c r="K2746" s="2391"/>
      <c r="L2746" s="2391"/>
      <c r="M2746" s="2391"/>
      <c r="N2746" s="2650"/>
      <c r="O2746" s="485"/>
      <c r="P2746" s="485"/>
      <c r="Q2746" s="1435"/>
      <c r="R2746" s="1435"/>
      <c r="S2746" s="1435"/>
    </row>
    <row r="2747" spans="2:37" ht="25.5" customHeight="1">
      <c r="B2747" s="479"/>
      <c r="C2747" s="977"/>
      <c r="D2747" s="981"/>
      <c r="E2747" s="3288" t="s">
        <v>1605</v>
      </c>
      <c r="F2747" s="3288"/>
      <c r="G2747" s="3288"/>
      <c r="H2747" s="3288"/>
      <c r="I2747" s="3288"/>
      <c r="J2747" s="3288"/>
      <c r="K2747" s="3288"/>
      <c r="L2747" s="3288"/>
      <c r="M2747" s="3288"/>
      <c r="N2747" s="3289"/>
      <c r="O2747" s="485"/>
      <c r="P2747" s="485"/>
      <c r="Q2747" s="1435"/>
      <c r="R2747" s="1435"/>
      <c r="S2747" s="1435"/>
    </row>
    <row r="2748" spans="2:37" ht="25.5" customHeight="1">
      <c r="B2748" s="479"/>
      <c r="C2748" s="977"/>
      <c r="D2748" s="981"/>
      <c r="E2748" s="3288" t="s">
        <v>1357</v>
      </c>
      <c r="F2748" s="3288"/>
      <c r="G2748" s="3288"/>
      <c r="H2748" s="3288"/>
      <c r="I2748" s="3288"/>
      <c r="J2748" s="3288"/>
      <c r="K2748" s="3288"/>
      <c r="L2748" s="3288"/>
      <c r="M2748" s="3288"/>
      <c r="N2748" s="3289"/>
      <c r="O2748" s="485"/>
      <c r="P2748" s="485"/>
      <c r="Q2748" s="1435"/>
      <c r="S2748" s="1435"/>
    </row>
    <row r="2749" spans="2:37" ht="12.75" customHeight="1">
      <c r="B2749" s="479"/>
      <c r="C2749" s="977"/>
      <c r="D2749" s="981"/>
      <c r="E2749" s="3288" t="s">
        <v>1594</v>
      </c>
      <c r="F2749" s="3288"/>
      <c r="G2749" s="3288"/>
      <c r="H2749" s="3288"/>
      <c r="I2749" s="3288"/>
      <c r="J2749" s="3288"/>
      <c r="K2749" s="3288"/>
      <c r="L2749" s="3288"/>
      <c r="M2749" s="3288"/>
      <c r="N2749" s="3289"/>
      <c r="O2749" s="485"/>
      <c r="P2749" s="485"/>
      <c r="Q2749" s="1435"/>
      <c r="S2749" s="1435"/>
    </row>
    <row r="2750" spans="2:37" ht="12.75" customHeight="1">
      <c r="B2750" s="479"/>
      <c r="C2750" s="977"/>
      <c r="D2750" s="981"/>
      <c r="E2750" s="3272" t="s">
        <v>1557</v>
      </c>
      <c r="F2750" s="2380"/>
      <c r="G2750" s="2380"/>
      <c r="H2750" s="2380"/>
      <c r="I2750" s="2380"/>
      <c r="J2750" s="2380"/>
      <c r="K2750" s="2380"/>
      <c r="L2750" s="2380"/>
      <c r="M2750" s="2380"/>
      <c r="N2750" s="3268"/>
      <c r="O2750" s="485"/>
      <c r="P2750" s="485"/>
      <c r="Q2750" s="1435"/>
      <c r="S2750" s="1435"/>
    </row>
    <row r="2751" spans="2:37" ht="12.75" customHeight="1" thickBot="1">
      <c r="B2751" s="479"/>
      <c r="C2751" s="977"/>
      <c r="D2751" s="982"/>
      <c r="E2751" s="989"/>
      <c r="F2751" s="990"/>
      <c r="G2751" s="987" t="str">
        <f>EUconst_Unit</f>
        <v>Unit</v>
      </c>
      <c r="H2751" s="782">
        <f t="shared" ref="H2751:N2751" si="1269">H$3242</f>
        <v>2024</v>
      </c>
      <c r="I2751" s="988">
        <f t="shared" si="1269"/>
        <v>2025</v>
      </c>
      <c r="J2751" s="1810">
        <f t="shared" si="1269"/>
        <v>2026</v>
      </c>
      <c r="K2751" s="1747">
        <f t="shared" si="1269"/>
        <v>2027</v>
      </c>
      <c r="L2751" s="1747">
        <f t="shared" si="1269"/>
        <v>2028</v>
      </c>
      <c r="M2751" s="1747">
        <f t="shared" si="1269"/>
        <v>2029</v>
      </c>
      <c r="N2751" s="1748">
        <f t="shared" si="1269"/>
        <v>2030</v>
      </c>
      <c r="O2751" s="485"/>
      <c r="P2751" s="485"/>
      <c r="Q2751" s="1435"/>
      <c r="S2751" s="1435"/>
      <c r="AC2751" s="1638">
        <f t="shared" ref="AC2751:AI2751" si="1270">H$20</f>
        <v>2024</v>
      </c>
      <c r="AD2751" s="1638">
        <f t="shared" si="1270"/>
        <v>2025</v>
      </c>
      <c r="AE2751" s="1638">
        <f t="shared" si="1270"/>
        <v>2026</v>
      </c>
      <c r="AF2751" s="1638">
        <f t="shared" si="1270"/>
        <v>2027</v>
      </c>
      <c r="AG2751" s="1638">
        <f t="shared" si="1270"/>
        <v>2028</v>
      </c>
      <c r="AH2751" s="1638">
        <f t="shared" si="1270"/>
        <v>2029</v>
      </c>
      <c r="AI2751" s="1638">
        <f t="shared" si="1270"/>
        <v>2030</v>
      </c>
    </row>
    <row r="2752" spans="2:37" ht="12.75" customHeight="1">
      <c r="B2752" s="479"/>
      <c r="C2752" s="977"/>
      <c r="D2752" s="777" t="s">
        <v>6</v>
      </c>
      <c r="E2752" s="2475" t="s">
        <v>1344</v>
      </c>
      <c r="F2752" s="2410"/>
      <c r="G2752" s="815" t="str">
        <f>EUconst_TJpa</f>
        <v>TJ / year</v>
      </c>
      <c r="H2752" s="1479" t="str">
        <f>c_ALR2025!M5278</f>
        <v/>
      </c>
      <c r="I2752" s="1532"/>
      <c r="J2752" s="1811"/>
      <c r="K2752" s="1751"/>
      <c r="L2752" s="1751"/>
      <c r="M2752" s="1751"/>
      <c r="N2752" s="1752"/>
      <c r="O2752" s="485"/>
      <c r="P2752" s="9"/>
      <c r="Q2752" s="1644" t="str">
        <f>EUconst_CNTR_FuelInput &amp; I2589</f>
        <v>FuelInput_</v>
      </c>
      <c r="S2752" s="1435"/>
      <c r="AB2752" s="1641" t="s">
        <v>717</v>
      </c>
      <c r="AC2752" s="1443" t="b">
        <f>AC2659</f>
        <v>0</v>
      </c>
      <c r="AD2752" s="1443" t="b">
        <f t="shared" ref="AD2752:AI2752" si="1271">AD2659</f>
        <v>0</v>
      </c>
      <c r="AE2752" s="1443" t="b">
        <f t="shared" si="1271"/>
        <v>0</v>
      </c>
      <c r="AF2752" s="1443" t="b">
        <f t="shared" si="1271"/>
        <v>0</v>
      </c>
      <c r="AG2752" s="1443" t="b">
        <f t="shared" si="1271"/>
        <v>0</v>
      </c>
      <c r="AH2752" s="1443" t="b">
        <f t="shared" si="1271"/>
        <v>0</v>
      </c>
      <c r="AI2752" s="1443" t="b">
        <f t="shared" si="1271"/>
        <v>0</v>
      </c>
      <c r="AJ2752" s="1633" t="s">
        <v>1954</v>
      </c>
      <c r="AK2752" s="1635" t="str">
        <f>IF(AND(CNTR_ExistSubInstEntries,MSconst_RequireSubAttrEmissions,COUNTIFS(AC2752:AI2752,FALSE,H2752:N2752,"")&gt;0),EUconst_Error&amp;"BM"&amp;$Q2589,"")</f>
        <v/>
      </c>
    </row>
    <row r="2753" spans="2:37" ht="12.75" customHeight="1">
      <c r="B2753" s="479"/>
      <c r="C2753" s="977"/>
      <c r="D2753" s="777" t="s">
        <v>7</v>
      </c>
      <c r="E2753" s="2475" t="s">
        <v>1182</v>
      </c>
      <c r="F2753" s="2410"/>
      <c r="G2753" s="991" t="str">
        <f>EUconst_tCO2pTJ</f>
        <v>t CO2 / TJ</v>
      </c>
      <c r="H2753" s="1582" t="str">
        <f>c_ALR2025!M5279</f>
        <v/>
      </c>
      <c r="I2753" s="1882"/>
      <c r="J2753" s="1811"/>
      <c r="K2753" s="1751"/>
      <c r="L2753" s="1751"/>
      <c r="M2753" s="1751"/>
      <c r="N2753" s="1752"/>
      <c r="O2753" s="485"/>
      <c r="P2753" s="9"/>
      <c r="Q2753" s="1644" t="str">
        <f>EUconst_CNTR_FuelEF &amp; I2589</f>
        <v>FuelEF_</v>
      </c>
      <c r="S2753" s="1435"/>
      <c r="AC2753" s="1443" t="b">
        <f>AC2752</f>
        <v>0</v>
      </c>
      <c r="AD2753" s="1443" t="b">
        <f t="shared" ref="AD2753:AI2753" si="1272">AD2752</f>
        <v>0</v>
      </c>
      <c r="AE2753" s="1443" t="b">
        <f t="shared" si="1272"/>
        <v>0</v>
      </c>
      <c r="AF2753" s="1443" t="b">
        <f t="shared" si="1272"/>
        <v>0</v>
      </c>
      <c r="AG2753" s="1443" t="b">
        <f t="shared" si="1272"/>
        <v>0</v>
      </c>
      <c r="AH2753" s="1443" t="b">
        <f t="shared" si="1272"/>
        <v>0</v>
      </c>
      <c r="AI2753" s="1443" t="b">
        <f t="shared" si="1272"/>
        <v>0</v>
      </c>
      <c r="AJ2753" s="1633" t="s">
        <v>1954</v>
      </c>
      <c r="AK2753" s="1635" t="str">
        <f>IF(AND(CNTR_ExistSubInstEntries,MSconst_RequireSubAttrEmissions,COUNTIFS(AC2753:AI2753,FALSE,H2753:N2753,"")&gt;0),EUconst_Error&amp;"BM"&amp;$Q2589,"")</f>
        <v/>
      </c>
    </row>
    <row r="2754" spans="2:37" ht="12.75" customHeight="1">
      <c r="B2754" s="479"/>
      <c r="C2754" s="977"/>
      <c r="D2754" s="981"/>
      <c r="E2754" s="981"/>
      <c r="F2754" s="981"/>
      <c r="G2754" s="981"/>
      <c r="H2754" s="981"/>
      <c r="I2754" s="981"/>
      <c r="J2754" s="981"/>
      <c r="K2754" s="981"/>
      <c r="L2754" s="981"/>
      <c r="M2754" s="813"/>
      <c r="N2754" s="814"/>
      <c r="O2754" s="485"/>
      <c r="P2754" s="485"/>
      <c r="Q2754" s="1435"/>
      <c r="S2754" s="1435"/>
    </row>
    <row r="2755" spans="2:37" ht="12.75" customHeight="1">
      <c r="B2755" s="479"/>
      <c r="C2755" s="977"/>
      <c r="D2755" s="982" t="s">
        <v>271</v>
      </c>
      <c r="E2755" s="2649" t="s">
        <v>1416</v>
      </c>
      <c r="F2755" s="2391"/>
      <c r="G2755" s="2391"/>
      <c r="H2755" s="2391"/>
      <c r="I2755" s="2391"/>
      <c r="J2755" s="2391"/>
      <c r="K2755" s="2391"/>
      <c r="L2755" s="2391"/>
      <c r="M2755" s="2391"/>
      <c r="N2755" s="2650"/>
      <c r="O2755" s="485"/>
      <c r="P2755" s="485"/>
      <c r="Q2755" s="1435"/>
      <c r="R2755" s="1435"/>
      <c r="S2755" s="1435"/>
    </row>
    <row r="2756" spans="2:37" ht="12.75" customHeight="1">
      <c r="B2756" s="479"/>
      <c r="C2756" s="977"/>
      <c r="D2756" s="777"/>
      <c r="E2756" s="3272" t="s">
        <v>2295</v>
      </c>
      <c r="F2756" s="2380"/>
      <c r="G2756" s="2380"/>
      <c r="H2756" s="2380"/>
      <c r="I2756" s="2380"/>
      <c r="J2756" s="2380"/>
      <c r="K2756" s="2380"/>
      <c r="L2756" s="2380"/>
      <c r="M2756" s="2380"/>
      <c r="N2756" s="3268"/>
      <c r="O2756" s="485"/>
      <c r="P2756" s="485"/>
      <c r="Q2756" s="1435"/>
      <c r="S2756" s="1435"/>
      <c r="T2756" s="1435"/>
      <c r="U2756" s="1435"/>
      <c r="V2756" s="1435"/>
    </row>
    <row r="2757" spans="2:37" ht="25.5" customHeight="1">
      <c r="B2757" s="479"/>
      <c r="C2757" s="977"/>
      <c r="D2757" s="981"/>
      <c r="E2757" s="3272" t="s">
        <v>1551</v>
      </c>
      <c r="F2757" s="2380"/>
      <c r="G2757" s="2380"/>
      <c r="H2757" s="2380"/>
      <c r="I2757" s="2380"/>
      <c r="J2757" s="2380"/>
      <c r="K2757" s="2380"/>
      <c r="L2757" s="2380"/>
      <c r="M2757" s="2380"/>
      <c r="N2757" s="3268"/>
      <c r="O2757" s="485"/>
      <c r="P2757" s="485"/>
      <c r="Q2757" s="1435"/>
      <c r="R2757" s="1435"/>
      <c r="S2757" s="1435"/>
    </row>
    <row r="2758" spans="2:37" ht="12.75" customHeight="1">
      <c r="B2758" s="479"/>
      <c r="C2758" s="977"/>
      <c r="D2758" s="981"/>
      <c r="E2758" s="3267" t="s">
        <v>1552</v>
      </c>
      <c r="F2758" s="2380"/>
      <c r="G2758" s="2380"/>
      <c r="H2758" s="2380"/>
      <c r="I2758" s="2380"/>
      <c r="J2758" s="2380"/>
      <c r="K2758" s="2380"/>
      <c r="L2758" s="2380"/>
      <c r="M2758" s="2380"/>
      <c r="N2758" s="3268"/>
      <c r="O2758" s="485"/>
      <c r="P2758" s="485"/>
      <c r="Q2758" s="1435"/>
      <c r="R2758" s="1435"/>
      <c r="S2758" s="1435"/>
    </row>
    <row r="2759" spans="2:37" ht="38.85" customHeight="1">
      <c r="B2759" s="479"/>
      <c r="C2759" s="977"/>
      <c r="D2759" s="981"/>
      <c r="E2759" s="3267" t="s">
        <v>1553</v>
      </c>
      <c r="F2759" s="2380"/>
      <c r="G2759" s="2380"/>
      <c r="H2759" s="2380"/>
      <c r="I2759" s="2380"/>
      <c r="J2759" s="2380"/>
      <c r="K2759" s="2380"/>
      <c r="L2759" s="2380"/>
      <c r="M2759" s="2380"/>
      <c r="N2759" s="3268"/>
      <c r="O2759" s="485"/>
      <c r="P2759" s="485"/>
      <c r="Q2759" s="1435"/>
      <c r="S2759" s="1435"/>
    </row>
    <row r="2760" spans="2:37" ht="51" customHeight="1">
      <c r="B2760" s="479"/>
      <c r="C2760" s="977"/>
      <c r="D2760" s="981"/>
      <c r="E2760" s="3267" t="s">
        <v>1567</v>
      </c>
      <c r="F2760" s="2380"/>
      <c r="G2760" s="2380"/>
      <c r="H2760" s="2380"/>
      <c r="I2760" s="2380"/>
      <c r="J2760" s="2380"/>
      <c r="K2760" s="2380"/>
      <c r="L2760" s="2380"/>
      <c r="M2760" s="2380"/>
      <c r="N2760" s="3268"/>
      <c r="O2760" s="485"/>
      <c r="P2760" s="485"/>
      <c r="Q2760" s="1435"/>
      <c r="S2760" s="1435"/>
    </row>
    <row r="2761" spans="2:37" ht="25.5" customHeight="1">
      <c r="B2761" s="479"/>
      <c r="C2761" s="977"/>
      <c r="D2761" s="981"/>
      <c r="E2761" s="3267" t="s">
        <v>1565</v>
      </c>
      <c r="F2761" s="2380"/>
      <c r="G2761" s="2380"/>
      <c r="H2761" s="2380"/>
      <c r="I2761" s="2380"/>
      <c r="J2761" s="2380"/>
      <c r="K2761" s="2380"/>
      <c r="L2761" s="2380"/>
      <c r="M2761" s="2380"/>
      <c r="N2761" s="3268"/>
      <c r="O2761" s="485"/>
      <c r="P2761" s="485"/>
      <c r="Q2761" s="1435"/>
      <c r="S2761" s="1435"/>
    </row>
    <row r="2762" spans="2:37" ht="12.75" customHeight="1">
      <c r="B2762" s="479"/>
      <c r="C2762" s="977"/>
      <c r="D2762" s="777" t="s">
        <v>6</v>
      </c>
      <c r="E2762" s="2682" t="s">
        <v>1456</v>
      </c>
      <c r="F2762" s="2391"/>
      <c r="G2762" s="2391"/>
      <c r="H2762" s="2391"/>
      <c r="I2762" s="2391"/>
      <c r="J2762" s="2391"/>
      <c r="K2762" s="2512"/>
      <c r="L2762" s="1478" t="str">
        <f>c_ALR2025!L5288</f>
        <v/>
      </c>
      <c r="M2762" s="978"/>
      <c r="N2762" s="979"/>
      <c r="O2762" s="485"/>
      <c r="P2762" s="9"/>
      <c r="Q2762" s="1435"/>
      <c r="S2762" s="1435"/>
      <c r="AF2762" s="1641" t="s">
        <v>717</v>
      </c>
      <c r="AG2762" s="1423" t="b">
        <f>AND(CNTR_ExistSubInstEntries,I2589="")</f>
        <v>0</v>
      </c>
    </row>
    <row r="2763" spans="2:37" ht="12.75" customHeight="1">
      <c r="B2763" s="479"/>
      <c r="C2763" s="977"/>
      <c r="D2763" s="981"/>
      <c r="E2763" s="3267" t="s">
        <v>1216</v>
      </c>
      <c r="F2763" s="2380"/>
      <c r="G2763" s="2380"/>
      <c r="H2763" s="2380"/>
      <c r="I2763" s="2380"/>
      <c r="J2763" s="2380"/>
      <c r="K2763" s="2380"/>
      <c r="L2763" s="2380"/>
      <c r="M2763" s="2380"/>
      <c r="N2763" s="3268"/>
      <c r="O2763" s="485"/>
      <c r="P2763" s="485"/>
      <c r="Q2763" s="1435"/>
      <c r="S2763" s="1435"/>
    </row>
    <row r="2764" spans="2:37" ht="12.75" customHeight="1">
      <c r="B2764" s="479"/>
      <c r="C2764" s="977"/>
      <c r="D2764" s="777" t="s">
        <v>7</v>
      </c>
      <c r="E2764" s="2649" t="s">
        <v>1214</v>
      </c>
      <c r="F2764" s="2391"/>
      <c r="G2764" s="2391"/>
      <c r="H2764" s="2512"/>
      <c r="I2764" s="3211" t="str">
        <f>c_ALR2025!I5290</f>
        <v/>
      </c>
      <c r="J2764" s="3286"/>
      <c r="K2764" s="3286"/>
      <c r="L2764" s="3286"/>
      <c r="M2764" s="3287"/>
      <c r="N2764" s="992"/>
      <c r="O2764" s="485"/>
      <c r="P2764" s="9"/>
      <c r="Q2764" s="1435"/>
      <c r="S2764" s="1435"/>
      <c r="AC2764" s="1641" t="s">
        <v>717</v>
      </c>
      <c r="AD2764" s="1423" t="b">
        <f>OR(AG2762,AND($L2762&lt;&gt;"",$L2762=FALSE))</f>
        <v>0</v>
      </c>
    </row>
    <row r="2765" spans="2:37" ht="5.0999999999999996" customHeight="1">
      <c r="B2765" s="479"/>
      <c r="C2765" s="977"/>
      <c r="D2765" s="981"/>
      <c r="E2765" s="986"/>
      <c r="F2765" s="978"/>
      <c r="G2765" s="978"/>
      <c r="H2765" s="978"/>
      <c r="I2765" s="978"/>
      <c r="J2765" s="978"/>
      <c r="K2765" s="978"/>
      <c r="L2765" s="978"/>
      <c r="M2765" s="978"/>
      <c r="N2765" s="979"/>
      <c r="O2765" s="485"/>
      <c r="P2765" s="485"/>
      <c r="Q2765" s="1435"/>
      <c r="S2765" s="1435"/>
    </row>
    <row r="2766" spans="2:37" ht="12.75" customHeight="1" thickBot="1">
      <c r="B2766" s="479"/>
      <c r="C2766" s="977"/>
      <c r="D2766" s="981"/>
      <c r="E2766" s="2648" t="s">
        <v>1154</v>
      </c>
      <c r="F2766" s="2493"/>
      <c r="G2766" s="987" t="str">
        <f>EUconst_Unit</f>
        <v>Unit</v>
      </c>
      <c r="H2766" s="782">
        <f t="shared" ref="H2766:N2766" si="1273">H$3242</f>
        <v>2024</v>
      </c>
      <c r="I2766" s="988">
        <f t="shared" si="1273"/>
        <v>2025</v>
      </c>
      <c r="J2766" s="1810">
        <f t="shared" si="1273"/>
        <v>2026</v>
      </c>
      <c r="K2766" s="1747">
        <f t="shared" si="1273"/>
        <v>2027</v>
      </c>
      <c r="L2766" s="1747">
        <f t="shared" si="1273"/>
        <v>2028</v>
      </c>
      <c r="M2766" s="1747">
        <f t="shared" si="1273"/>
        <v>2029</v>
      </c>
      <c r="N2766" s="1748">
        <f t="shared" si="1273"/>
        <v>2030</v>
      </c>
      <c r="O2766" s="485"/>
      <c r="P2766" s="485"/>
      <c r="Q2766" s="1435"/>
      <c r="S2766" s="1435"/>
      <c r="AC2766" s="1638">
        <f t="shared" ref="AC2766:AI2766" si="1274">H$20</f>
        <v>2024</v>
      </c>
      <c r="AD2766" s="1638">
        <f t="shared" si="1274"/>
        <v>2025</v>
      </c>
      <c r="AE2766" s="1638">
        <f t="shared" si="1274"/>
        <v>2026</v>
      </c>
      <c r="AF2766" s="1638">
        <f t="shared" si="1274"/>
        <v>2027</v>
      </c>
      <c r="AG2766" s="1638">
        <f t="shared" si="1274"/>
        <v>2028</v>
      </c>
      <c r="AH2766" s="1638">
        <f t="shared" si="1274"/>
        <v>2029</v>
      </c>
      <c r="AI2766" s="1638">
        <f t="shared" si="1274"/>
        <v>2030</v>
      </c>
    </row>
    <row r="2767" spans="2:37" ht="12.75" customHeight="1">
      <c r="B2767" s="479"/>
      <c r="C2767" s="977"/>
      <c r="D2767" s="777" t="s">
        <v>8</v>
      </c>
      <c r="E2767" s="2471" t="s">
        <v>1153</v>
      </c>
      <c r="F2767" s="2472"/>
      <c r="G2767" s="811" t="str">
        <f>EUconst_tpa</f>
        <v>t / year</v>
      </c>
      <c r="H2767" s="1552" t="str">
        <f>c_ALR2025!M5293</f>
        <v/>
      </c>
      <c r="I2767" s="1611"/>
      <c r="J2767" s="1811"/>
      <c r="K2767" s="1751"/>
      <c r="L2767" s="1751"/>
      <c r="M2767" s="1751"/>
      <c r="N2767" s="1752"/>
      <c r="O2767" s="485"/>
      <c r="P2767" s="9"/>
      <c r="Q2767" s="1435"/>
      <c r="S2767" s="1435"/>
      <c r="AB2767" s="1641" t="s">
        <v>717</v>
      </c>
      <c r="AC2767" s="1423" t="b">
        <f>OR(AND($L2762&lt;&gt;"",$L2762=FALSE),AC2659)</f>
        <v>0</v>
      </c>
      <c r="AD2767" s="1443" t="b">
        <f t="shared" ref="AD2767:AI2767" si="1275">OR(AND($L2762&lt;&gt;"",$L2762=FALSE),AD2659)</f>
        <v>0</v>
      </c>
      <c r="AE2767" s="1443" t="b">
        <f t="shared" si="1275"/>
        <v>0</v>
      </c>
      <c r="AF2767" s="1443" t="b">
        <f t="shared" si="1275"/>
        <v>0</v>
      </c>
      <c r="AG2767" s="1443" t="b">
        <f t="shared" si="1275"/>
        <v>0</v>
      </c>
      <c r="AH2767" s="1443" t="b">
        <f t="shared" si="1275"/>
        <v>0</v>
      </c>
      <c r="AI2767" s="1443" t="b">
        <f t="shared" si="1275"/>
        <v>0</v>
      </c>
      <c r="AJ2767" s="1633" t="s">
        <v>1954</v>
      </c>
      <c r="AK2767" s="1635" t="str">
        <f>IF(AND(CNTR_ExistSubInstEntries,MSconst_RequireSubAttrEmissions,COUNTIFS(AC2767:AI2767,FALSE,H2767:N2767,"")&gt;0),EUconst_Error&amp;"BM"&amp;$Q2589,"")</f>
        <v/>
      </c>
    </row>
    <row r="2768" spans="2:37" ht="12.75" customHeight="1">
      <c r="B2768" s="479"/>
      <c r="C2768" s="977"/>
      <c r="D2768" s="777" t="s">
        <v>18</v>
      </c>
      <c r="E2768" s="2685" t="s">
        <v>946</v>
      </c>
      <c r="F2768" s="2608"/>
      <c r="G2768" s="993" t="str">
        <f>EUconst_GJpt</f>
        <v>GJ / t</v>
      </c>
      <c r="H2768" s="1557" t="str">
        <f>c_ALR2025!M5294</f>
        <v/>
      </c>
      <c r="I2768" s="1883"/>
      <c r="J2768" s="1811"/>
      <c r="K2768" s="1751"/>
      <c r="L2768" s="1751"/>
      <c r="M2768" s="1751"/>
      <c r="N2768" s="1752"/>
      <c r="O2768" s="485"/>
      <c r="P2768" s="9"/>
      <c r="Q2768" s="1435"/>
      <c r="S2768" s="1435"/>
      <c r="AC2768" s="1443" t="b">
        <f t="shared" ref="AC2768:AI2768" si="1276">AC2767</f>
        <v>0</v>
      </c>
      <c r="AD2768" s="1443" t="b">
        <f t="shared" si="1276"/>
        <v>0</v>
      </c>
      <c r="AE2768" s="1443" t="b">
        <f t="shared" si="1276"/>
        <v>0</v>
      </c>
      <c r="AF2768" s="1443" t="b">
        <f t="shared" si="1276"/>
        <v>0</v>
      </c>
      <c r="AG2768" s="1443" t="b">
        <f t="shared" si="1276"/>
        <v>0</v>
      </c>
      <c r="AH2768" s="1443" t="b">
        <f t="shared" si="1276"/>
        <v>0</v>
      </c>
      <c r="AI2768" s="1443" t="b">
        <f t="shared" si="1276"/>
        <v>0</v>
      </c>
      <c r="AJ2768" s="1633" t="s">
        <v>1954</v>
      </c>
      <c r="AK2768" s="1635" t="str">
        <f>IF(AND(CNTR_ExistSubInstEntries,MSconst_RequireSubAttrEmissions,COUNTIFS(AC2768:AI2768,FALSE,H2768:N2768,"")&gt;0),EUconst_Error&amp;"BM"&amp;$Q2589,"")</f>
        <v/>
      </c>
    </row>
    <row r="2769" spans="2:37" ht="12.75" customHeight="1" thickBot="1">
      <c r="B2769" s="479"/>
      <c r="C2769" s="977"/>
      <c r="D2769" s="777" t="s">
        <v>787</v>
      </c>
      <c r="E2769" s="2685" t="s">
        <v>945</v>
      </c>
      <c r="F2769" s="2608"/>
      <c r="G2769" s="994" t="s">
        <v>878</v>
      </c>
      <c r="H2769" s="1557" t="str">
        <f>c_ALR2025!M5295</f>
        <v/>
      </c>
      <c r="I2769" s="1883"/>
      <c r="J2769" s="1811"/>
      <c r="K2769" s="1751"/>
      <c r="L2769" s="1751"/>
      <c r="M2769" s="1751"/>
      <c r="N2769" s="1752"/>
      <c r="O2769" s="485"/>
      <c r="P2769" s="9"/>
      <c r="Q2769" s="1435"/>
      <c r="S2769" s="1435"/>
      <c r="AC2769" s="1443" t="b">
        <f t="shared" ref="AC2769:AI2769" si="1277">AC2768</f>
        <v>0</v>
      </c>
      <c r="AD2769" s="1443" t="b">
        <f t="shared" si="1277"/>
        <v>0</v>
      </c>
      <c r="AE2769" s="1443" t="b">
        <f t="shared" si="1277"/>
        <v>0</v>
      </c>
      <c r="AF2769" s="1443" t="b">
        <f t="shared" si="1277"/>
        <v>0</v>
      </c>
      <c r="AG2769" s="1443" t="b">
        <f t="shared" si="1277"/>
        <v>0</v>
      </c>
      <c r="AH2769" s="1443" t="b">
        <f t="shared" si="1277"/>
        <v>0</v>
      </c>
      <c r="AI2769" s="1443" t="b">
        <f t="shared" si="1277"/>
        <v>0</v>
      </c>
      <c r="AJ2769" s="1633" t="s">
        <v>1954</v>
      </c>
      <c r="AK2769" s="1635" t="str">
        <f>IF(AND(CNTR_ExistSubInstEntries,MSconst_RequireSubAttrEmissions,COUNTIFS(AC2769:AI2769,FALSE,H2769:N2769,"")&gt;0),EUconst_Error&amp;"BM"&amp;$Q2589,"")</f>
        <v/>
      </c>
    </row>
    <row r="2770" spans="2:37" ht="12.75" customHeight="1">
      <c r="B2770" s="479"/>
      <c r="C2770" s="977"/>
      <c r="D2770" s="777" t="s">
        <v>788</v>
      </c>
      <c r="E2770" s="2473" t="s">
        <v>880</v>
      </c>
      <c r="F2770" s="2474"/>
      <c r="G2770" s="812" t="s">
        <v>878</v>
      </c>
      <c r="H2770" s="1558" t="str">
        <f>c_ALR2025!M5296</f>
        <v/>
      </c>
      <c r="I2770" s="1884"/>
      <c r="J2770" s="1811"/>
      <c r="K2770" s="1751"/>
      <c r="L2770" s="1751"/>
      <c r="M2770" s="1751"/>
      <c r="N2770" s="1752"/>
      <c r="O2770" s="485"/>
      <c r="P2770" s="9"/>
      <c r="Q2770" s="1435"/>
      <c r="S2770" s="1648"/>
      <c r="T2770" s="1749">
        <f t="shared" ref="T2770:Z2770" si="1278">H2766</f>
        <v>2024</v>
      </c>
      <c r="U2770" s="1749">
        <f t="shared" si="1278"/>
        <v>2025</v>
      </c>
      <c r="V2770" s="1749">
        <f t="shared" si="1278"/>
        <v>2026</v>
      </c>
      <c r="W2770" s="1749">
        <f t="shared" si="1278"/>
        <v>2027</v>
      </c>
      <c r="X2770" s="1749">
        <f t="shared" si="1278"/>
        <v>2028</v>
      </c>
      <c r="Y2770" s="1749">
        <f t="shared" si="1278"/>
        <v>2029</v>
      </c>
      <c r="Z2770" s="1750">
        <f t="shared" si="1278"/>
        <v>2030</v>
      </c>
      <c r="AC2770" s="1443" t="b">
        <f t="shared" ref="AC2770:AI2770" si="1279">AC2769</f>
        <v>0</v>
      </c>
      <c r="AD2770" s="1443" t="b">
        <f t="shared" si="1279"/>
        <v>0</v>
      </c>
      <c r="AE2770" s="1443" t="b">
        <f t="shared" si="1279"/>
        <v>0</v>
      </c>
      <c r="AF2770" s="1443" t="b">
        <f t="shared" si="1279"/>
        <v>0</v>
      </c>
      <c r="AG2770" s="1443" t="b">
        <f t="shared" si="1279"/>
        <v>0</v>
      </c>
      <c r="AH2770" s="1443" t="b">
        <f t="shared" si="1279"/>
        <v>0</v>
      </c>
      <c r="AI2770" s="1443" t="b">
        <f t="shared" si="1279"/>
        <v>0</v>
      </c>
      <c r="AJ2770" s="1633" t="s">
        <v>1954</v>
      </c>
      <c r="AK2770" s="1635" t="str">
        <f>IF(AND(CNTR_ExistSubInstEntries,MSconst_RequireSubAttrEmissions,COUNTIFS(AC2770:AI2770,FALSE,H2770:N2770,"")&gt;0),EUconst_Error&amp;"BM"&amp;$Q2589,"")</f>
        <v/>
      </c>
    </row>
    <row r="2771" spans="2:37" ht="12.75" customHeight="1" thickBot="1">
      <c r="B2771" s="479"/>
      <c r="C2771" s="977"/>
      <c r="D2771" s="777" t="s">
        <v>789</v>
      </c>
      <c r="E2771" s="2471" t="s">
        <v>882</v>
      </c>
      <c r="F2771" s="2472"/>
      <c r="G2771" s="995" t="str">
        <f>EUconst_tCO2pa</f>
        <v>t CO2 / year</v>
      </c>
      <c r="H2771" s="996" t="str">
        <f t="shared" ref="H2771:N2771" si="1280">IF(AND(COUNT(H2767:H2770)&gt;0,H2774=""),3.664*H2767*(H2769/100)*(1-H2770/100),"")</f>
        <v/>
      </c>
      <c r="I2771" s="997" t="str">
        <f t="shared" si="1280"/>
        <v/>
      </c>
      <c r="J2771" s="1812" t="str">
        <f t="shared" si="1280"/>
        <v/>
      </c>
      <c r="K2771" s="1754" t="str">
        <f t="shared" si="1280"/>
        <v/>
      </c>
      <c r="L2771" s="1754" t="str">
        <f t="shared" si="1280"/>
        <v/>
      </c>
      <c r="M2771" s="1754" t="str">
        <f t="shared" si="1280"/>
        <v/>
      </c>
      <c r="N2771" s="1755" t="str">
        <f t="shared" si="1280"/>
        <v/>
      </c>
      <c r="O2771" s="485"/>
      <c r="P2771" s="485"/>
      <c r="Q2771" s="1644" t="str">
        <f>EUconst_CNTR_EmissionsIntSource1 &amp; I2589</f>
        <v>EmInternalSource1_</v>
      </c>
      <c r="S2771" s="1753" t="str">
        <f>EUconst_CNTR_AttributedEmissions &amp; I2589</f>
        <v>AttrEmissions_</v>
      </c>
      <c r="T2771" s="1743" t="str">
        <f t="shared" ref="T2771:Z2771" si="1281">IF(T2597,SUM(H2771),"")</f>
        <v/>
      </c>
      <c r="U2771" s="1743" t="str">
        <f t="shared" si="1281"/>
        <v/>
      </c>
      <c r="V2771" s="1743" t="str">
        <f t="shared" si="1281"/>
        <v/>
      </c>
      <c r="W2771" s="1743" t="str">
        <f t="shared" si="1281"/>
        <v/>
      </c>
      <c r="X2771" s="1743" t="str">
        <f t="shared" si="1281"/>
        <v/>
      </c>
      <c r="Y2771" s="1743" t="str">
        <f t="shared" si="1281"/>
        <v/>
      </c>
      <c r="Z2771" s="1744" t="str">
        <f t="shared" si="1281"/>
        <v/>
      </c>
    </row>
    <row r="2772" spans="2:37" ht="12.75" customHeight="1">
      <c r="B2772" s="479"/>
      <c r="C2772" s="977"/>
      <c r="D2772" s="777" t="s">
        <v>790</v>
      </c>
      <c r="E2772" s="2670" t="s">
        <v>879</v>
      </c>
      <c r="F2772" s="2608"/>
      <c r="G2772" s="998" t="str">
        <f>EUconst_tCO2pa</f>
        <v>t CO2 / year</v>
      </c>
      <c r="H2772" s="999" t="str">
        <f t="shared" ref="H2772:N2772" si="1282">IF(ISNUMBER(H2771),3.664*H2767*(H2769/100)*(H2770/100),"")</f>
        <v/>
      </c>
      <c r="I2772" s="1000" t="str">
        <f t="shared" si="1282"/>
        <v/>
      </c>
      <c r="J2772" s="1813" t="str">
        <f t="shared" si="1282"/>
        <v/>
      </c>
      <c r="K2772" s="1756" t="str">
        <f t="shared" si="1282"/>
        <v/>
      </c>
      <c r="L2772" s="1756" t="str">
        <f t="shared" si="1282"/>
        <v/>
      </c>
      <c r="M2772" s="1756" t="str">
        <f t="shared" si="1282"/>
        <v/>
      </c>
      <c r="N2772" s="1757" t="str">
        <f t="shared" si="1282"/>
        <v/>
      </c>
      <c r="O2772" s="485"/>
      <c r="P2772" s="485"/>
      <c r="Q2772" s="1435"/>
      <c r="S2772" s="1435"/>
    </row>
    <row r="2773" spans="2:37" ht="12.75" customHeight="1">
      <c r="B2773" s="479"/>
      <c r="C2773" s="977"/>
      <c r="D2773" s="777" t="s">
        <v>791</v>
      </c>
      <c r="E2773" s="2473" t="s">
        <v>41</v>
      </c>
      <c r="F2773" s="2474"/>
      <c r="G2773" s="1001" t="str">
        <f>EUconst_TJpa</f>
        <v>TJ / year</v>
      </c>
      <c r="H2773" s="605" t="str">
        <f t="shared" ref="H2773:N2773" si="1283">IF(COUNT(H2767:H2768)=2,H2767*H2768/1000,"")</f>
        <v/>
      </c>
      <c r="I2773" s="973" t="str">
        <f t="shared" si="1283"/>
        <v/>
      </c>
      <c r="J2773" s="1811" t="str">
        <f t="shared" si="1283"/>
        <v/>
      </c>
      <c r="K2773" s="1751" t="str">
        <f t="shared" si="1283"/>
        <v/>
      </c>
      <c r="L2773" s="1751" t="str">
        <f t="shared" si="1283"/>
        <v/>
      </c>
      <c r="M2773" s="1751" t="str">
        <f t="shared" si="1283"/>
        <v/>
      </c>
      <c r="N2773" s="1752" t="str">
        <f t="shared" si="1283"/>
        <v/>
      </c>
      <c r="O2773" s="485"/>
      <c r="P2773" s="485"/>
      <c r="Q2773" s="1435"/>
      <c r="S2773" s="1435"/>
    </row>
    <row r="2774" spans="2:37" ht="12.75" customHeight="1">
      <c r="B2774" s="479"/>
      <c r="C2774" s="977"/>
      <c r="D2774" s="777" t="s">
        <v>64</v>
      </c>
      <c r="E2774" s="2687" t="s">
        <v>393</v>
      </c>
      <c r="F2774" s="2688"/>
      <c r="G2774" s="1002"/>
      <c r="H2774" s="1003" t="str">
        <f t="shared" ref="H2774:N2774" si="1284">IF(COUNT(H2767,H2769:H2770)&gt;0,IF(COUNTIF(H2768:H2770,"&lt;0")&gt;0,EUconst_Negative,IF(COUNT(H2767,H2769:H2770)&lt;3,EUconst_Incomplete,"")),"")</f>
        <v/>
      </c>
      <c r="I2774" s="1004" t="str">
        <f t="shared" si="1284"/>
        <v/>
      </c>
      <c r="J2774" s="1814" t="str">
        <f t="shared" si="1284"/>
        <v/>
      </c>
      <c r="K2774" s="1758" t="str">
        <f t="shared" si="1284"/>
        <v/>
      </c>
      <c r="L2774" s="1758" t="str">
        <f t="shared" si="1284"/>
        <v/>
      </c>
      <c r="M2774" s="1758" t="str">
        <f t="shared" si="1284"/>
        <v/>
      </c>
      <c r="N2774" s="1759" t="str">
        <f t="shared" si="1284"/>
        <v/>
      </c>
      <c r="O2774" s="485"/>
      <c r="P2774" s="485"/>
      <c r="Q2774" s="1435"/>
      <c r="S2774" s="1435"/>
    </row>
    <row r="2775" spans="2:37" ht="12.75" customHeight="1">
      <c r="B2775" s="479"/>
      <c r="C2775" s="977"/>
      <c r="D2775" s="777"/>
      <c r="E2775" s="981"/>
      <c r="F2775" s="981"/>
      <c r="G2775" s="981"/>
      <c r="H2775" s="981"/>
      <c r="I2775" s="981"/>
      <c r="J2775" s="981"/>
      <c r="K2775" s="981"/>
      <c r="L2775" s="981"/>
      <c r="M2775" s="813"/>
      <c r="N2775" s="814"/>
      <c r="O2775" s="485"/>
      <c r="P2775" s="485"/>
      <c r="Q2775" s="1435"/>
      <c r="S2775" s="1435"/>
    </row>
    <row r="2776" spans="2:37" ht="12.75" customHeight="1">
      <c r="B2776" s="479"/>
      <c r="C2776" s="977"/>
      <c r="D2776" s="777" t="s">
        <v>65</v>
      </c>
      <c r="E2776" s="2649" t="s">
        <v>1215</v>
      </c>
      <c r="F2776" s="2391"/>
      <c r="G2776" s="2391"/>
      <c r="H2776" s="2512"/>
      <c r="I2776" s="3211" t="str">
        <f>c_ALR2025!I5302</f>
        <v/>
      </c>
      <c r="J2776" s="3206"/>
      <c r="K2776" s="3206"/>
      <c r="L2776" s="3206"/>
      <c r="M2776" s="3207"/>
      <c r="N2776" s="979"/>
      <c r="O2776" s="485"/>
      <c r="P2776" s="9"/>
      <c r="Q2776" s="1435"/>
      <c r="S2776" s="1435"/>
      <c r="AC2776" s="1641" t="s">
        <v>717</v>
      </c>
      <c r="AD2776" s="1443" t="b">
        <f>AD2764</f>
        <v>0</v>
      </c>
    </row>
    <row r="2777" spans="2:37" ht="5.0999999999999996" customHeight="1">
      <c r="B2777" s="479"/>
      <c r="C2777" s="977"/>
      <c r="D2777" s="981"/>
      <c r="E2777" s="986"/>
      <c r="F2777" s="978"/>
      <c r="G2777" s="981"/>
      <c r="H2777" s="981"/>
      <c r="I2777" s="978"/>
      <c r="J2777" s="978"/>
      <c r="K2777" s="978"/>
      <c r="L2777" s="978"/>
      <c r="M2777" s="978"/>
      <c r="N2777" s="979"/>
      <c r="O2777" s="485"/>
      <c r="P2777" s="485"/>
      <c r="Q2777" s="1435"/>
      <c r="S2777" s="1435"/>
    </row>
    <row r="2778" spans="2:37" ht="12.75" customHeight="1" thickBot="1">
      <c r="B2778" s="479"/>
      <c r="C2778" s="977"/>
      <c r="D2778" s="777"/>
      <c r="E2778" s="2648" t="s">
        <v>1155</v>
      </c>
      <c r="F2778" s="2493"/>
      <c r="G2778" s="987" t="str">
        <f>EUconst_Unit</f>
        <v>Unit</v>
      </c>
      <c r="H2778" s="782">
        <f t="shared" ref="H2778:N2778" si="1285">H$3242</f>
        <v>2024</v>
      </c>
      <c r="I2778" s="988">
        <f t="shared" si="1285"/>
        <v>2025</v>
      </c>
      <c r="J2778" s="1810">
        <f t="shared" si="1285"/>
        <v>2026</v>
      </c>
      <c r="K2778" s="1747">
        <f t="shared" si="1285"/>
        <v>2027</v>
      </c>
      <c r="L2778" s="1747">
        <f t="shared" si="1285"/>
        <v>2028</v>
      </c>
      <c r="M2778" s="1747">
        <f t="shared" si="1285"/>
        <v>2029</v>
      </c>
      <c r="N2778" s="1748">
        <f t="shared" si="1285"/>
        <v>2030</v>
      </c>
      <c r="O2778" s="485"/>
      <c r="P2778" s="485"/>
      <c r="Q2778" s="1435"/>
      <c r="S2778" s="1435"/>
      <c r="AC2778" s="1638">
        <f t="shared" ref="AC2778:AI2778" si="1286">H$20</f>
        <v>2024</v>
      </c>
      <c r="AD2778" s="1638">
        <f t="shared" si="1286"/>
        <v>2025</v>
      </c>
      <c r="AE2778" s="1638">
        <f t="shared" si="1286"/>
        <v>2026</v>
      </c>
      <c r="AF2778" s="1638">
        <f t="shared" si="1286"/>
        <v>2027</v>
      </c>
      <c r="AG2778" s="1638">
        <f t="shared" si="1286"/>
        <v>2028</v>
      </c>
      <c r="AH2778" s="1638">
        <f t="shared" si="1286"/>
        <v>2029</v>
      </c>
      <c r="AI2778" s="1638">
        <f t="shared" si="1286"/>
        <v>2030</v>
      </c>
    </row>
    <row r="2779" spans="2:37" ht="12.75" customHeight="1">
      <c r="B2779" s="479"/>
      <c r="C2779" s="977"/>
      <c r="D2779" s="777" t="s">
        <v>66</v>
      </c>
      <c r="E2779" s="2471" t="s">
        <v>1153</v>
      </c>
      <c r="F2779" s="2472"/>
      <c r="G2779" s="811" t="str">
        <f>EUconst_tpa</f>
        <v>t / year</v>
      </c>
      <c r="H2779" s="1552" t="str">
        <f>c_ALR2025!M5305</f>
        <v/>
      </c>
      <c r="I2779" s="1611"/>
      <c r="J2779" s="1811"/>
      <c r="K2779" s="1751"/>
      <c r="L2779" s="1751"/>
      <c r="M2779" s="1751"/>
      <c r="N2779" s="1752"/>
      <c r="O2779" s="485"/>
      <c r="P2779" s="9"/>
      <c r="Q2779" s="1435"/>
      <c r="S2779" s="1435"/>
      <c r="AB2779" s="1641" t="s">
        <v>717</v>
      </c>
      <c r="AC2779" s="1443" t="b">
        <f>AC2767</f>
        <v>0</v>
      </c>
      <c r="AD2779" s="1443" t="b">
        <f t="shared" ref="AD2779:AI2779" si="1287">AD2767</f>
        <v>0</v>
      </c>
      <c r="AE2779" s="1443" t="b">
        <f t="shared" si="1287"/>
        <v>0</v>
      </c>
      <c r="AF2779" s="1443" t="b">
        <f t="shared" si="1287"/>
        <v>0</v>
      </c>
      <c r="AG2779" s="1443" t="b">
        <f t="shared" si="1287"/>
        <v>0</v>
      </c>
      <c r="AH2779" s="1443" t="b">
        <f t="shared" si="1287"/>
        <v>0</v>
      </c>
      <c r="AI2779" s="1443" t="b">
        <f t="shared" si="1287"/>
        <v>0</v>
      </c>
      <c r="AJ2779" s="1633" t="s">
        <v>1954</v>
      </c>
      <c r="AK2779" s="1635" t="str">
        <f>IF(AND(CNTR_ExistSubInstEntries,MSconst_RequireSubAttrEmissions,COUNTIFS(AC2779:AI2779,FALSE,H2779:N2779,"")&gt;0),EUconst_Error&amp;"BM"&amp;$Q2589,"")</f>
        <v/>
      </c>
    </row>
    <row r="2780" spans="2:37" ht="12.75" customHeight="1">
      <c r="B2780" s="479"/>
      <c r="C2780" s="977"/>
      <c r="D2780" s="777" t="s">
        <v>1105</v>
      </c>
      <c r="E2780" s="2685" t="s">
        <v>946</v>
      </c>
      <c r="F2780" s="2608"/>
      <c r="G2780" s="993" t="str">
        <f>EUconst_GJpt</f>
        <v>GJ / t</v>
      </c>
      <c r="H2780" s="1557" t="str">
        <f>c_ALR2025!M5306</f>
        <v/>
      </c>
      <c r="I2780" s="1883"/>
      <c r="J2780" s="1811"/>
      <c r="K2780" s="1751"/>
      <c r="L2780" s="1751"/>
      <c r="M2780" s="1751"/>
      <c r="N2780" s="1752"/>
      <c r="O2780" s="485"/>
      <c r="P2780" s="9"/>
      <c r="Q2780" s="1435"/>
      <c r="S2780" s="1435"/>
      <c r="AC2780" s="1443" t="b">
        <f t="shared" ref="AC2780:AI2780" si="1288">AC2768</f>
        <v>0</v>
      </c>
      <c r="AD2780" s="1443" t="b">
        <f t="shared" si="1288"/>
        <v>0</v>
      </c>
      <c r="AE2780" s="1443" t="b">
        <f t="shared" si="1288"/>
        <v>0</v>
      </c>
      <c r="AF2780" s="1443" t="b">
        <f t="shared" si="1288"/>
        <v>0</v>
      </c>
      <c r="AG2780" s="1443" t="b">
        <f t="shared" si="1288"/>
        <v>0</v>
      </c>
      <c r="AH2780" s="1443" t="b">
        <f t="shared" si="1288"/>
        <v>0</v>
      </c>
      <c r="AI2780" s="1443" t="b">
        <f t="shared" si="1288"/>
        <v>0</v>
      </c>
      <c r="AJ2780" s="1633" t="s">
        <v>1954</v>
      </c>
      <c r="AK2780" s="1635" t="str">
        <f>IF(AND(CNTR_ExistSubInstEntries,MSconst_RequireSubAttrEmissions,COUNTIFS(AC2780:AI2780,FALSE,H2780:N2780,"")&gt;0),EUconst_Error&amp;"BM"&amp;$Q2589,"")</f>
        <v/>
      </c>
    </row>
    <row r="2781" spans="2:37" ht="12.75" customHeight="1" thickBot="1">
      <c r="B2781" s="479"/>
      <c r="C2781" s="977"/>
      <c r="D2781" s="777" t="s">
        <v>1106</v>
      </c>
      <c r="E2781" s="2685" t="s">
        <v>945</v>
      </c>
      <c r="F2781" s="2608"/>
      <c r="G2781" s="994" t="s">
        <v>878</v>
      </c>
      <c r="H2781" s="1557" t="str">
        <f>c_ALR2025!M5307</f>
        <v/>
      </c>
      <c r="I2781" s="1883"/>
      <c r="J2781" s="1811"/>
      <c r="K2781" s="1751"/>
      <c r="L2781" s="1751"/>
      <c r="M2781" s="1751"/>
      <c r="N2781" s="1752"/>
      <c r="O2781" s="485"/>
      <c r="P2781" s="9"/>
      <c r="Q2781" s="1435"/>
      <c r="S2781" s="1435"/>
      <c r="AC2781" s="1443" t="b">
        <f t="shared" ref="AC2781:AI2781" si="1289">AC2769</f>
        <v>0</v>
      </c>
      <c r="AD2781" s="1443" t="b">
        <f t="shared" si="1289"/>
        <v>0</v>
      </c>
      <c r="AE2781" s="1443" t="b">
        <f t="shared" si="1289"/>
        <v>0</v>
      </c>
      <c r="AF2781" s="1443" t="b">
        <f t="shared" si="1289"/>
        <v>0</v>
      </c>
      <c r="AG2781" s="1443" t="b">
        <f t="shared" si="1289"/>
        <v>0</v>
      </c>
      <c r="AH2781" s="1443" t="b">
        <f t="shared" si="1289"/>
        <v>0</v>
      </c>
      <c r="AI2781" s="1443" t="b">
        <f t="shared" si="1289"/>
        <v>0</v>
      </c>
      <c r="AJ2781" s="1633" t="s">
        <v>1954</v>
      </c>
      <c r="AK2781" s="1635" t="str">
        <f>IF(AND(CNTR_ExistSubInstEntries,MSconst_RequireSubAttrEmissions,COUNTIFS(AC2781:AI2781,FALSE,H2781:N2781,"")&gt;0),EUconst_Error&amp;"BM"&amp;$Q2589,"")</f>
        <v/>
      </c>
    </row>
    <row r="2782" spans="2:37" ht="12.75" customHeight="1">
      <c r="B2782" s="479"/>
      <c r="C2782" s="977"/>
      <c r="D2782" s="777" t="s">
        <v>1107</v>
      </c>
      <c r="E2782" s="2473" t="s">
        <v>880</v>
      </c>
      <c r="F2782" s="2474"/>
      <c r="G2782" s="812" t="s">
        <v>878</v>
      </c>
      <c r="H2782" s="1558" t="str">
        <f>c_ALR2025!M5308</f>
        <v/>
      </c>
      <c r="I2782" s="1884"/>
      <c r="J2782" s="1811"/>
      <c r="K2782" s="1751"/>
      <c r="L2782" s="1751"/>
      <c r="M2782" s="1751"/>
      <c r="N2782" s="1752"/>
      <c r="O2782" s="485"/>
      <c r="P2782" s="9"/>
      <c r="Q2782" s="1435"/>
      <c r="S2782" s="1648"/>
      <c r="T2782" s="1749">
        <f t="shared" ref="T2782:Z2782" si="1290">H2778</f>
        <v>2024</v>
      </c>
      <c r="U2782" s="1749">
        <f t="shared" si="1290"/>
        <v>2025</v>
      </c>
      <c r="V2782" s="1749">
        <f t="shared" si="1290"/>
        <v>2026</v>
      </c>
      <c r="W2782" s="1749">
        <f t="shared" si="1290"/>
        <v>2027</v>
      </c>
      <c r="X2782" s="1749">
        <f t="shared" si="1290"/>
        <v>2028</v>
      </c>
      <c r="Y2782" s="1749">
        <f t="shared" si="1290"/>
        <v>2029</v>
      </c>
      <c r="Z2782" s="1750">
        <f t="shared" si="1290"/>
        <v>2030</v>
      </c>
      <c r="AC2782" s="1443" t="b">
        <f t="shared" ref="AC2782:AI2782" si="1291">AC2770</f>
        <v>0</v>
      </c>
      <c r="AD2782" s="1443" t="b">
        <f t="shared" si="1291"/>
        <v>0</v>
      </c>
      <c r="AE2782" s="1443" t="b">
        <f t="shared" si="1291"/>
        <v>0</v>
      </c>
      <c r="AF2782" s="1443" t="b">
        <f t="shared" si="1291"/>
        <v>0</v>
      </c>
      <c r="AG2782" s="1443" t="b">
        <f t="shared" si="1291"/>
        <v>0</v>
      </c>
      <c r="AH2782" s="1443" t="b">
        <f t="shared" si="1291"/>
        <v>0</v>
      </c>
      <c r="AI2782" s="1443" t="b">
        <f t="shared" si="1291"/>
        <v>0</v>
      </c>
      <c r="AJ2782" s="1633" t="s">
        <v>1954</v>
      </c>
      <c r="AK2782" s="1635" t="str">
        <f>IF(AND(CNTR_ExistSubInstEntries,MSconst_RequireSubAttrEmissions,COUNTIFS(AC2782:AI2782,FALSE,H2782:N2782,"")&gt;0),EUconst_Error&amp;"BM"&amp;$Q2589,"")</f>
        <v/>
      </c>
    </row>
    <row r="2783" spans="2:37" ht="12.75" customHeight="1" thickBot="1">
      <c r="B2783" s="479"/>
      <c r="C2783" s="977"/>
      <c r="D2783" s="777" t="s">
        <v>1108</v>
      </c>
      <c r="E2783" s="2471" t="s">
        <v>882</v>
      </c>
      <c r="F2783" s="2472"/>
      <c r="G2783" s="995" t="str">
        <f>EUconst_tCO2pa</f>
        <v>t CO2 / year</v>
      </c>
      <c r="H2783" s="996" t="str">
        <f t="shared" ref="H2783:N2783" si="1292">IF(AND(COUNT(H2779:H2782)&gt;0,H2786=""),3.664*H2779*(H2781/100)*(1-H2782/100),"")</f>
        <v/>
      </c>
      <c r="I2783" s="997" t="str">
        <f t="shared" si="1292"/>
        <v/>
      </c>
      <c r="J2783" s="1812" t="str">
        <f t="shared" si="1292"/>
        <v/>
      </c>
      <c r="K2783" s="1754" t="str">
        <f t="shared" si="1292"/>
        <v/>
      </c>
      <c r="L2783" s="1754" t="str">
        <f t="shared" si="1292"/>
        <v/>
      </c>
      <c r="M2783" s="1754" t="str">
        <f t="shared" si="1292"/>
        <v/>
      </c>
      <c r="N2783" s="1755" t="str">
        <f t="shared" si="1292"/>
        <v/>
      </c>
      <c r="O2783" s="485"/>
      <c r="P2783" s="485"/>
      <c r="Q2783" s="1644" t="str">
        <f>EUconst_CNTR_EmissionsIntSource2 &amp; I2589</f>
        <v>EmInternalSource2_</v>
      </c>
      <c r="S2783" s="1753" t="str">
        <f>EUconst_CNTR_AttributedEmissions &amp; I2589</f>
        <v>AttrEmissions_</v>
      </c>
      <c r="T2783" s="1743" t="str">
        <f t="shared" ref="T2783:Z2783" si="1293">IF(T2597,SUM(H2783),"")</f>
        <v/>
      </c>
      <c r="U2783" s="1743" t="str">
        <f t="shared" si="1293"/>
        <v/>
      </c>
      <c r="V2783" s="1743" t="str">
        <f t="shared" si="1293"/>
        <v/>
      </c>
      <c r="W2783" s="1743" t="str">
        <f t="shared" si="1293"/>
        <v/>
      </c>
      <c r="X2783" s="1743" t="str">
        <f t="shared" si="1293"/>
        <v/>
      </c>
      <c r="Y2783" s="1743" t="str">
        <f t="shared" si="1293"/>
        <v/>
      </c>
      <c r="Z2783" s="1744" t="str">
        <f t="shared" si="1293"/>
        <v/>
      </c>
    </row>
    <row r="2784" spans="2:37" ht="12.75" customHeight="1">
      <c r="B2784" s="479"/>
      <c r="C2784" s="977"/>
      <c r="D2784" s="777" t="s">
        <v>1109</v>
      </c>
      <c r="E2784" s="2670" t="s">
        <v>879</v>
      </c>
      <c r="F2784" s="2608"/>
      <c r="G2784" s="998" t="str">
        <f>EUconst_tCO2pa</f>
        <v>t CO2 / year</v>
      </c>
      <c r="H2784" s="999" t="str">
        <f t="shared" ref="H2784:N2784" si="1294">IF(ISNUMBER(H2783),3.664*H2779*(H2781/100)*(H2782/100),"")</f>
        <v/>
      </c>
      <c r="I2784" s="1000" t="str">
        <f t="shared" si="1294"/>
        <v/>
      </c>
      <c r="J2784" s="1813" t="str">
        <f t="shared" si="1294"/>
        <v/>
      </c>
      <c r="K2784" s="1756" t="str">
        <f t="shared" si="1294"/>
        <v/>
      </c>
      <c r="L2784" s="1756" t="str">
        <f t="shared" si="1294"/>
        <v/>
      </c>
      <c r="M2784" s="1756" t="str">
        <f t="shared" si="1294"/>
        <v/>
      </c>
      <c r="N2784" s="1757" t="str">
        <f t="shared" si="1294"/>
        <v/>
      </c>
      <c r="O2784" s="485"/>
      <c r="P2784" s="485"/>
      <c r="Q2784" s="1435"/>
      <c r="S2784" s="1435"/>
    </row>
    <row r="2785" spans="2:37" ht="12.75" customHeight="1">
      <c r="B2785" s="479"/>
      <c r="C2785" s="977"/>
      <c r="D2785" s="777" t="s">
        <v>1110</v>
      </c>
      <c r="E2785" s="2473" t="s">
        <v>41</v>
      </c>
      <c r="F2785" s="2474"/>
      <c r="G2785" s="1001" t="str">
        <f>EUconst_TJpa</f>
        <v>TJ / year</v>
      </c>
      <c r="H2785" s="605" t="str">
        <f t="shared" ref="H2785:N2785" si="1295">IF(COUNT(H2779:H2780)=2,H2779*H2780/1000,"")</f>
        <v/>
      </c>
      <c r="I2785" s="973" t="str">
        <f t="shared" si="1295"/>
        <v/>
      </c>
      <c r="J2785" s="1811" t="str">
        <f t="shared" si="1295"/>
        <v/>
      </c>
      <c r="K2785" s="1751" t="str">
        <f t="shared" si="1295"/>
        <v/>
      </c>
      <c r="L2785" s="1751" t="str">
        <f t="shared" si="1295"/>
        <v/>
      </c>
      <c r="M2785" s="1751" t="str">
        <f t="shared" si="1295"/>
        <v/>
      </c>
      <c r="N2785" s="1752" t="str">
        <f t="shared" si="1295"/>
        <v/>
      </c>
      <c r="O2785" s="485"/>
      <c r="P2785" s="485"/>
      <c r="Q2785" s="1435"/>
      <c r="S2785" s="1435"/>
    </row>
    <row r="2786" spans="2:37" ht="12.75" customHeight="1">
      <c r="B2786" s="479"/>
      <c r="C2786" s="977"/>
      <c r="D2786" s="777" t="s">
        <v>1106</v>
      </c>
      <c r="E2786" s="2687" t="s">
        <v>393</v>
      </c>
      <c r="F2786" s="2688"/>
      <c r="G2786" s="1002"/>
      <c r="H2786" s="1003" t="str">
        <f t="shared" ref="H2786:N2786" si="1296">IF(COUNT(H2779,H2781:H2782)&gt;0,IF(COUNTIF(H2780:H2782,"&lt;0")&gt;0,EUconst_Negative,IF(COUNT(H2779,H2781:H2782)&lt;3,EUconst_Incomplete,"")),"")</f>
        <v/>
      </c>
      <c r="I2786" s="1004" t="str">
        <f t="shared" si="1296"/>
        <v/>
      </c>
      <c r="J2786" s="1814" t="str">
        <f t="shared" si="1296"/>
        <v/>
      </c>
      <c r="K2786" s="1758" t="str">
        <f t="shared" si="1296"/>
        <v/>
      </c>
      <c r="L2786" s="1758" t="str">
        <f t="shared" si="1296"/>
        <v/>
      </c>
      <c r="M2786" s="1758" t="str">
        <f t="shared" si="1296"/>
        <v/>
      </c>
      <c r="N2786" s="1759" t="str">
        <f t="shared" si="1296"/>
        <v/>
      </c>
      <c r="O2786" s="485"/>
      <c r="P2786" s="485"/>
      <c r="Q2786" s="1435"/>
      <c r="S2786" s="1435"/>
    </row>
    <row r="2787" spans="2:37" ht="12.75" customHeight="1">
      <c r="B2787" s="479"/>
      <c r="C2787" s="977"/>
      <c r="D2787" s="981"/>
      <c r="E2787" s="981"/>
      <c r="F2787" s="981"/>
      <c r="G2787" s="981"/>
      <c r="H2787" s="981"/>
      <c r="I2787" s="981"/>
      <c r="J2787" s="981"/>
      <c r="K2787" s="981"/>
      <c r="L2787" s="981"/>
      <c r="M2787" s="813"/>
      <c r="N2787" s="814"/>
      <c r="O2787" s="485"/>
      <c r="P2787" s="485"/>
      <c r="Q2787" s="1435"/>
      <c r="S2787" s="1435"/>
    </row>
    <row r="2788" spans="2:37" ht="12.75" customHeight="1">
      <c r="B2788" s="479"/>
      <c r="C2788" s="977"/>
      <c r="D2788" s="982" t="s">
        <v>478</v>
      </c>
      <c r="E2788" s="2649" t="s">
        <v>1457</v>
      </c>
      <c r="F2788" s="2391"/>
      <c r="G2788" s="2391"/>
      <c r="H2788" s="2391"/>
      <c r="I2788" s="2391"/>
      <c r="J2788" s="2391"/>
      <c r="K2788" s="2391"/>
      <c r="L2788" s="2391"/>
      <c r="M2788" s="2391"/>
      <c r="N2788" s="2650"/>
      <c r="O2788" s="485"/>
      <c r="P2788" s="485"/>
      <c r="Q2788" s="1435"/>
      <c r="S2788" s="1435"/>
    </row>
    <row r="2789" spans="2:37" ht="12.75" customHeight="1">
      <c r="B2789" s="479"/>
      <c r="C2789" s="977"/>
      <c r="D2789" s="777"/>
      <c r="E2789" s="3272" t="s">
        <v>2295</v>
      </c>
      <c r="F2789" s="2380"/>
      <c r="G2789" s="2380"/>
      <c r="H2789" s="2380"/>
      <c r="I2789" s="2380"/>
      <c r="J2789" s="2380"/>
      <c r="K2789" s="2380"/>
      <c r="L2789" s="2380"/>
      <c r="M2789" s="2380"/>
      <c r="N2789" s="3268"/>
      <c r="O2789" s="485"/>
      <c r="P2789" s="485"/>
      <c r="Q2789" s="1435"/>
      <c r="S2789" s="1435"/>
      <c r="T2789" s="1435"/>
      <c r="U2789" s="1435"/>
      <c r="V2789" s="1435"/>
    </row>
    <row r="2790" spans="2:37" ht="25.5" customHeight="1">
      <c r="B2790" s="479"/>
      <c r="C2790" s="977"/>
      <c r="D2790" s="981"/>
      <c r="E2790" s="3267" t="s">
        <v>2300</v>
      </c>
      <c r="F2790" s="2380"/>
      <c r="G2790" s="2380"/>
      <c r="H2790" s="2380"/>
      <c r="I2790" s="2380"/>
      <c r="J2790" s="2380"/>
      <c r="K2790" s="2380"/>
      <c r="L2790" s="2380"/>
      <c r="M2790" s="2380"/>
      <c r="N2790" s="3268"/>
      <c r="O2790" s="485"/>
      <c r="P2790" s="485"/>
      <c r="Q2790" s="1435"/>
      <c r="S2790" s="1435"/>
    </row>
    <row r="2791" spans="2:37" ht="12.75" customHeight="1" thickBot="1">
      <c r="B2791" s="479"/>
      <c r="C2791" s="977"/>
      <c r="D2791" s="981"/>
      <c r="E2791" s="3267" t="s">
        <v>1365</v>
      </c>
      <c r="F2791" s="2380"/>
      <c r="G2791" s="2380"/>
      <c r="H2791" s="2380"/>
      <c r="I2791" s="2380"/>
      <c r="J2791" s="2380"/>
      <c r="K2791" s="2380"/>
      <c r="L2791" s="2380"/>
      <c r="M2791" s="2380"/>
      <c r="N2791" s="3268"/>
      <c r="O2791" s="485"/>
      <c r="P2791" s="485"/>
      <c r="Q2791" s="1435"/>
      <c r="S2791" s="1435"/>
    </row>
    <row r="2792" spans="2:37" ht="12.75" customHeight="1" thickBot="1">
      <c r="B2792" s="479"/>
      <c r="C2792" s="977"/>
      <c r="D2792" s="982"/>
      <c r="E2792" s="989"/>
      <c r="F2792" s="990"/>
      <c r="G2792" s="987" t="str">
        <f>EUconst_Unit</f>
        <v>Unit</v>
      </c>
      <c r="H2792" s="782">
        <f t="shared" ref="H2792:N2792" si="1297">H$3242</f>
        <v>2024</v>
      </c>
      <c r="I2792" s="988">
        <f t="shared" si="1297"/>
        <v>2025</v>
      </c>
      <c r="J2792" s="1810">
        <f t="shared" si="1297"/>
        <v>2026</v>
      </c>
      <c r="K2792" s="1747">
        <f t="shared" si="1297"/>
        <v>2027</v>
      </c>
      <c r="L2792" s="1747">
        <f t="shared" si="1297"/>
        <v>2028</v>
      </c>
      <c r="M2792" s="1747">
        <f t="shared" si="1297"/>
        <v>2029</v>
      </c>
      <c r="N2792" s="1748">
        <f t="shared" si="1297"/>
        <v>2030</v>
      </c>
      <c r="O2792" s="485"/>
      <c r="P2792" s="485"/>
      <c r="Q2792" s="1435"/>
      <c r="S2792" s="1648"/>
      <c r="T2792" s="1749">
        <f t="shared" ref="T2792:Z2792" si="1298">H2792</f>
        <v>2024</v>
      </c>
      <c r="U2792" s="1749">
        <f t="shared" si="1298"/>
        <v>2025</v>
      </c>
      <c r="V2792" s="1749">
        <f t="shared" si="1298"/>
        <v>2026</v>
      </c>
      <c r="W2792" s="1749">
        <f t="shared" si="1298"/>
        <v>2027</v>
      </c>
      <c r="X2792" s="1749">
        <f t="shared" si="1298"/>
        <v>2028</v>
      </c>
      <c r="Y2792" s="1749">
        <f t="shared" si="1298"/>
        <v>2029</v>
      </c>
      <c r="Z2792" s="1750">
        <f t="shared" si="1298"/>
        <v>2030</v>
      </c>
      <c r="AC2792" s="1638">
        <f t="shared" ref="AC2792:AI2792" si="1299">H$20</f>
        <v>2024</v>
      </c>
      <c r="AD2792" s="1638">
        <f t="shared" si="1299"/>
        <v>2025</v>
      </c>
      <c r="AE2792" s="1638">
        <f t="shared" si="1299"/>
        <v>2026</v>
      </c>
      <c r="AF2792" s="1638">
        <f t="shared" si="1299"/>
        <v>2027</v>
      </c>
      <c r="AG2792" s="1638">
        <f t="shared" si="1299"/>
        <v>2028</v>
      </c>
      <c r="AH2792" s="1638">
        <f t="shared" si="1299"/>
        <v>2029</v>
      </c>
      <c r="AI2792" s="1638">
        <f t="shared" si="1299"/>
        <v>2030</v>
      </c>
    </row>
    <row r="2793" spans="2:37" ht="12.75" customHeight="1" thickBot="1">
      <c r="B2793" s="479"/>
      <c r="C2793" s="977"/>
      <c r="D2793" s="777"/>
      <c r="E2793" s="2475" t="s">
        <v>1156</v>
      </c>
      <c r="F2793" s="2410"/>
      <c r="G2793" s="815" t="str">
        <f>EUconst_tCO2epa</f>
        <v>t CO2e/year</v>
      </c>
      <c r="H2793" s="1479" t="str">
        <f>c_ALR2025!M5319</f>
        <v/>
      </c>
      <c r="I2793" s="1532"/>
      <c r="J2793" s="1811"/>
      <c r="K2793" s="1751"/>
      <c r="L2793" s="1751"/>
      <c r="M2793" s="1751"/>
      <c r="N2793" s="1752"/>
      <c r="O2793" s="485"/>
      <c r="P2793" s="9"/>
      <c r="Q2793" s="1644" t="str">
        <f>EUconst_CNTR_CO2Feedstock &amp; I2589</f>
        <v>EmCO2Feedstock_</v>
      </c>
      <c r="S2793" s="1753" t="str">
        <f>EUconst_CNTR_AttributedEmissions &amp; I2589</f>
        <v>AttrEmissions_</v>
      </c>
      <c r="T2793" s="1743" t="str">
        <f t="shared" ref="T2793:Z2793" si="1300">IF(T2597,SUM(H2793),"")</f>
        <v/>
      </c>
      <c r="U2793" s="1743" t="str">
        <f t="shared" si="1300"/>
        <v/>
      </c>
      <c r="V2793" s="1743" t="str">
        <f t="shared" si="1300"/>
        <v/>
      </c>
      <c r="W2793" s="1743" t="str">
        <f t="shared" si="1300"/>
        <v/>
      </c>
      <c r="X2793" s="1743" t="str">
        <f t="shared" si="1300"/>
        <v/>
      </c>
      <c r="Y2793" s="1743" t="str">
        <f t="shared" si="1300"/>
        <v/>
      </c>
      <c r="Z2793" s="1744" t="str">
        <f t="shared" si="1300"/>
        <v/>
      </c>
      <c r="AB2793" s="1641" t="s">
        <v>717</v>
      </c>
      <c r="AC2793" s="1443" t="b">
        <f>AC2659</f>
        <v>0</v>
      </c>
      <c r="AD2793" s="1443" t="b">
        <f t="shared" ref="AD2793:AI2793" si="1301">AD2659</f>
        <v>0</v>
      </c>
      <c r="AE2793" s="1443" t="b">
        <f t="shared" si="1301"/>
        <v>0</v>
      </c>
      <c r="AF2793" s="1443" t="b">
        <f t="shared" si="1301"/>
        <v>0</v>
      </c>
      <c r="AG2793" s="1443" t="b">
        <f t="shared" si="1301"/>
        <v>0</v>
      </c>
      <c r="AH2793" s="1443" t="b">
        <f t="shared" si="1301"/>
        <v>0</v>
      </c>
      <c r="AI2793" s="1443" t="b">
        <f t="shared" si="1301"/>
        <v>0</v>
      </c>
      <c r="AJ2793" s="1633" t="s">
        <v>1954</v>
      </c>
      <c r="AK2793" s="1635" t="str">
        <f>IF(AND(CNTR_ExistSubInstEntries,MSconst_RequireSubAttrEmissions,COUNTIFS(AC2793:AI2793,FALSE,H2793:N2793,"")&gt;0),EUconst_Error&amp;"BM"&amp;$Q2589,"")</f>
        <v/>
      </c>
    </row>
    <row r="2794" spans="2:37" ht="12.75" customHeight="1">
      <c r="B2794" s="479"/>
      <c r="C2794" s="977"/>
      <c r="D2794" s="981"/>
      <c r="E2794" s="981"/>
      <c r="F2794" s="981"/>
      <c r="G2794" s="981"/>
      <c r="H2794" s="981"/>
      <c r="I2794" s="981"/>
      <c r="J2794" s="981"/>
      <c r="K2794" s="981"/>
      <c r="L2794" s="981"/>
      <c r="M2794" s="813"/>
      <c r="N2794" s="814"/>
      <c r="O2794" s="485"/>
      <c r="P2794" s="485"/>
      <c r="Q2794" s="1435"/>
      <c r="S2794" s="1435"/>
    </row>
    <row r="2795" spans="2:37" ht="12.75" customHeight="1">
      <c r="B2795" s="479"/>
      <c r="C2795" s="977"/>
      <c r="D2795" s="982" t="s">
        <v>479</v>
      </c>
      <c r="E2795" s="2649" t="s">
        <v>1118</v>
      </c>
      <c r="F2795" s="2391"/>
      <c r="G2795" s="2391"/>
      <c r="H2795" s="2391"/>
      <c r="I2795" s="2391"/>
      <c r="J2795" s="2391"/>
      <c r="K2795" s="2391"/>
      <c r="L2795" s="2391"/>
      <c r="M2795" s="2391"/>
      <c r="N2795" s="2650"/>
      <c r="O2795" s="485"/>
      <c r="P2795" s="485"/>
      <c r="Q2795" s="1435"/>
      <c r="S2795" s="1435"/>
    </row>
    <row r="2796" spans="2:37" ht="12.75" customHeight="1">
      <c r="B2796" s="479"/>
      <c r="C2796" s="977"/>
      <c r="D2796" s="777"/>
      <c r="E2796" s="3272" t="s">
        <v>2297</v>
      </c>
      <c r="F2796" s="2380"/>
      <c r="G2796" s="2380"/>
      <c r="H2796" s="2380"/>
      <c r="I2796" s="2380"/>
      <c r="J2796" s="2380"/>
      <c r="K2796" s="2380"/>
      <c r="L2796" s="2380"/>
      <c r="M2796" s="2380"/>
      <c r="N2796" s="3268"/>
      <c r="O2796" s="485"/>
      <c r="P2796" s="485"/>
      <c r="Q2796" s="1435"/>
      <c r="S2796" s="1435"/>
      <c r="T2796" s="1435"/>
      <c r="U2796" s="1435"/>
      <c r="V2796" s="1435"/>
    </row>
    <row r="2797" spans="2:37" ht="38.85" customHeight="1">
      <c r="B2797" s="479"/>
      <c r="C2797" s="977"/>
      <c r="D2797" s="981"/>
      <c r="E2797" s="3267" t="s">
        <v>2118</v>
      </c>
      <c r="F2797" s="3267"/>
      <c r="G2797" s="3267"/>
      <c r="H2797" s="3267"/>
      <c r="I2797" s="3267"/>
      <c r="J2797" s="3267"/>
      <c r="K2797" s="3267"/>
      <c r="L2797" s="3267"/>
      <c r="M2797" s="3267"/>
      <c r="N2797" s="3298"/>
      <c r="O2797" s="485"/>
      <c r="P2797" s="485"/>
      <c r="Q2797" s="1435"/>
      <c r="S2797" s="1435"/>
    </row>
    <row r="2798" spans="2:37" ht="25.5" customHeight="1">
      <c r="B2798" s="479"/>
      <c r="C2798" s="977"/>
      <c r="D2798" s="981"/>
      <c r="E2798" s="3267" t="s">
        <v>1614</v>
      </c>
      <c r="F2798" s="2380"/>
      <c r="G2798" s="2380"/>
      <c r="H2798" s="2380"/>
      <c r="I2798" s="2380"/>
      <c r="J2798" s="2380"/>
      <c r="K2798" s="2380"/>
      <c r="L2798" s="2380"/>
      <c r="M2798" s="2380"/>
      <c r="N2798" s="3268"/>
      <c r="O2798" s="485"/>
      <c r="P2798" s="485"/>
      <c r="Q2798" s="1435"/>
      <c r="S2798" s="1435"/>
    </row>
    <row r="2799" spans="2:37" ht="25.5" customHeight="1">
      <c r="B2799" s="479"/>
      <c r="C2799" s="977"/>
      <c r="D2799" s="981"/>
      <c r="E2799" s="3267" t="s">
        <v>1593</v>
      </c>
      <c r="F2799" s="2380"/>
      <c r="G2799" s="2380"/>
      <c r="H2799" s="2380"/>
      <c r="I2799" s="2380"/>
      <c r="J2799" s="2380"/>
      <c r="K2799" s="2380"/>
      <c r="L2799" s="2380"/>
      <c r="M2799" s="2380"/>
      <c r="N2799" s="3268"/>
      <c r="O2799" s="485"/>
      <c r="P2799" s="485"/>
      <c r="Q2799" s="1435"/>
      <c r="S2799" s="1435"/>
    </row>
    <row r="2800" spans="2:37" ht="12.75" customHeight="1" thickBot="1">
      <c r="B2800" s="479"/>
      <c r="C2800" s="977"/>
      <c r="D2800" s="981"/>
      <c r="E2800" s="3269" t="s">
        <v>1555</v>
      </c>
      <c r="F2800" s="3270"/>
      <c r="G2800" s="3270"/>
      <c r="H2800" s="3270"/>
      <c r="I2800" s="3270"/>
      <c r="J2800" s="3270"/>
      <c r="K2800" s="3270"/>
      <c r="L2800" s="3270"/>
      <c r="M2800" s="3270"/>
      <c r="N2800" s="3271"/>
      <c r="O2800" s="485"/>
      <c r="P2800" s="485"/>
      <c r="Q2800" s="1435"/>
    </row>
    <row r="2801" spans="2:37" ht="12.75" customHeight="1" thickBot="1">
      <c r="B2801" s="479"/>
      <c r="C2801" s="977"/>
      <c r="D2801" s="981"/>
      <c r="E2801" s="2648" t="s">
        <v>1151</v>
      </c>
      <c r="F2801" s="2493"/>
      <c r="G2801" s="987" t="str">
        <f>EUconst_Unit</f>
        <v>Unit</v>
      </c>
      <c r="H2801" s="782">
        <f t="shared" ref="H2801:N2801" si="1302">H$3242</f>
        <v>2024</v>
      </c>
      <c r="I2801" s="988">
        <f t="shared" si="1302"/>
        <v>2025</v>
      </c>
      <c r="J2801" s="1810">
        <f t="shared" si="1302"/>
        <v>2026</v>
      </c>
      <c r="K2801" s="1747">
        <f t="shared" si="1302"/>
        <v>2027</v>
      </c>
      <c r="L2801" s="1747">
        <f t="shared" si="1302"/>
        <v>2028</v>
      </c>
      <c r="M2801" s="1747">
        <f t="shared" si="1302"/>
        <v>2029</v>
      </c>
      <c r="N2801" s="1748">
        <f t="shared" si="1302"/>
        <v>2030</v>
      </c>
      <c r="O2801" s="485"/>
      <c r="P2801" s="485"/>
      <c r="Q2801" s="1435"/>
      <c r="S2801" s="1648"/>
      <c r="T2801" s="1749">
        <f t="shared" ref="T2801:Z2801" si="1303">H2801</f>
        <v>2024</v>
      </c>
      <c r="U2801" s="1749">
        <f t="shared" si="1303"/>
        <v>2025</v>
      </c>
      <c r="V2801" s="1749">
        <f t="shared" si="1303"/>
        <v>2026</v>
      </c>
      <c r="W2801" s="1749">
        <f t="shared" si="1303"/>
        <v>2027</v>
      </c>
      <c r="X2801" s="1749">
        <f t="shared" si="1303"/>
        <v>2028</v>
      </c>
      <c r="Y2801" s="1749">
        <f t="shared" si="1303"/>
        <v>2029</v>
      </c>
      <c r="Z2801" s="1750">
        <f t="shared" si="1303"/>
        <v>2030</v>
      </c>
      <c r="AC2801" s="1638">
        <f t="shared" ref="AC2801:AI2801" si="1304">H$20</f>
        <v>2024</v>
      </c>
      <c r="AD2801" s="1638">
        <f t="shared" si="1304"/>
        <v>2025</v>
      </c>
      <c r="AE2801" s="1638">
        <f t="shared" si="1304"/>
        <v>2026</v>
      </c>
      <c r="AF2801" s="1638">
        <f t="shared" si="1304"/>
        <v>2027</v>
      </c>
      <c r="AG2801" s="1638">
        <f t="shared" si="1304"/>
        <v>2028</v>
      </c>
      <c r="AH2801" s="1638">
        <f t="shared" si="1304"/>
        <v>2029</v>
      </c>
      <c r="AI2801" s="1638">
        <f t="shared" si="1304"/>
        <v>2030</v>
      </c>
    </row>
    <row r="2802" spans="2:37" ht="12.75" customHeight="1">
      <c r="B2802" s="479"/>
      <c r="C2802" s="977"/>
      <c r="D2802" s="777" t="s">
        <v>6</v>
      </c>
      <c r="E2802" s="2475" t="s">
        <v>1087</v>
      </c>
      <c r="F2802" s="2410"/>
      <c r="G2802" s="815" t="str">
        <f>EUconst_TJpa</f>
        <v>TJ / year</v>
      </c>
      <c r="H2802" s="1479" t="str">
        <f>c_ALR2025!M5328</f>
        <v/>
      </c>
      <c r="I2802" s="1532"/>
      <c r="J2802" s="1811"/>
      <c r="K2802" s="1751"/>
      <c r="L2802" s="1751"/>
      <c r="M2802" s="1751"/>
      <c r="N2802" s="1752"/>
      <c r="O2802" s="485"/>
      <c r="P2802" s="9"/>
      <c r="Q2802" s="1644" t="str">
        <f>EUconst_CNTR_HeatImport &amp; I2589</f>
        <v>HeatIm_</v>
      </c>
      <c r="S2802" s="1874" t="str">
        <f>EUconst_ERR_AttrEmBMapplied &amp; I2589</f>
        <v>ERR_AttrEmBM_</v>
      </c>
      <c r="T2802" s="1443">
        <f t="shared" ref="T2802:Z2802" si="1305">IF(AND(H2802&lt;&gt;0,H2803="",EUconst_StatusOfDataCollection=FALSE),1,0)</f>
        <v>0</v>
      </c>
      <c r="U2802" s="1443">
        <f t="shared" si="1305"/>
        <v>0</v>
      </c>
      <c r="V2802" s="1443">
        <f t="shared" si="1305"/>
        <v>0</v>
      </c>
      <c r="W2802" s="1443">
        <f t="shared" si="1305"/>
        <v>0</v>
      </c>
      <c r="X2802" s="1443">
        <f t="shared" si="1305"/>
        <v>0</v>
      </c>
      <c r="Y2802" s="1443">
        <f t="shared" si="1305"/>
        <v>0</v>
      </c>
      <c r="Z2802" s="1737">
        <f t="shared" si="1305"/>
        <v>0</v>
      </c>
      <c r="AA2802" s="1503"/>
      <c r="AB2802" s="1641" t="s">
        <v>717</v>
      </c>
      <c r="AC2802" s="1443" t="b">
        <f t="shared" ref="AC2802:AI2802" si="1306">AC2659</f>
        <v>0</v>
      </c>
      <c r="AD2802" s="1443" t="b">
        <f t="shared" si="1306"/>
        <v>0</v>
      </c>
      <c r="AE2802" s="1443" t="b">
        <f t="shared" si="1306"/>
        <v>0</v>
      </c>
      <c r="AF2802" s="1443" t="b">
        <f t="shared" si="1306"/>
        <v>0</v>
      </c>
      <c r="AG2802" s="1443" t="b">
        <f t="shared" si="1306"/>
        <v>0</v>
      </c>
      <c r="AH2802" s="1443" t="b">
        <f t="shared" si="1306"/>
        <v>0</v>
      </c>
      <c r="AI2802" s="1443" t="b">
        <f t="shared" si="1306"/>
        <v>0</v>
      </c>
      <c r="AJ2802" s="1633" t="s">
        <v>1954</v>
      </c>
      <c r="AK2802" s="1635" t="str">
        <f>IF(AND(CNTR_ExistSubInstEntries,MSconst_RequireSubAttrEmissions,COUNTIFS(AC2802:AI2802,FALSE,H2802:N2802,"")&gt;0),EUconst_Error&amp;"BM"&amp;$Q2589,"")</f>
        <v/>
      </c>
    </row>
    <row r="2803" spans="2:37" ht="12.75" customHeight="1" thickBot="1">
      <c r="B2803" s="479"/>
      <c r="C2803" s="977"/>
      <c r="D2803" s="777" t="s">
        <v>7</v>
      </c>
      <c r="E2803" s="2475" t="s">
        <v>1103</v>
      </c>
      <c r="F2803" s="2410"/>
      <c r="G2803" s="815" t="str">
        <f>EUconst_tCO2pTJ</f>
        <v>t CO2 / TJ</v>
      </c>
      <c r="H2803" s="1479" t="str">
        <f>c_ALR2025!M5329</f>
        <v/>
      </c>
      <c r="I2803" s="1532"/>
      <c r="J2803" s="1811"/>
      <c r="K2803" s="1751"/>
      <c r="L2803" s="1751"/>
      <c r="M2803" s="1751"/>
      <c r="N2803" s="1752"/>
      <c r="O2803" s="485"/>
      <c r="P2803" s="9"/>
      <c r="Q2803" s="1644" t="str">
        <f>EUconst_CNTR_HeatImportEF &amp; I2589</f>
        <v>HeatImEF_</v>
      </c>
      <c r="S2803" s="1753" t="str">
        <f>EUconst_CNTR_AttributedEmissions &amp; I2589</f>
        <v>AttrEmissions_</v>
      </c>
      <c r="T2803" s="1743" t="str">
        <f t="shared" ref="T2803:Z2803" si="1307">IF(T2597,SUM(H2802)*IF(ISNUMBER(H2803),H2803,EUconst_HeatBMvalue),"")</f>
        <v/>
      </c>
      <c r="U2803" s="1743" t="str">
        <f t="shared" si="1307"/>
        <v/>
      </c>
      <c r="V2803" s="1743" t="str">
        <f t="shared" si="1307"/>
        <v/>
      </c>
      <c r="W2803" s="1743" t="str">
        <f t="shared" si="1307"/>
        <v/>
      </c>
      <c r="X2803" s="1743" t="str">
        <f t="shared" si="1307"/>
        <v/>
      </c>
      <c r="Y2803" s="1743" t="str">
        <f t="shared" si="1307"/>
        <v/>
      </c>
      <c r="Z2803" s="1744" t="str">
        <f t="shared" si="1307"/>
        <v/>
      </c>
      <c r="AC2803" s="1443" t="b">
        <f>AC2802</f>
        <v>0</v>
      </c>
      <c r="AD2803" s="1443" t="b">
        <f t="shared" ref="AD2803:AI2803" si="1308">AD2802</f>
        <v>0</v>
      </c>
      <c r="AE2803" s="1443" t="b">
        <f t="shared" si="1308"/>
        <v>0</v>
      </c>
      <c r="AF2803" s="1443" t="b">
        <f t="shared" si="1308"/>
        <v>0</v>
      </c>
      <c r="AG2803" s="1443" t="b">
        <f t="shared" si="1308"/>
        <v>0</v>
      </c>
      <c r="AH2803" s="1443" t="b">
        <f t="shared" si="1308"/>
        <v>0</v>
      </c>
      <c r="AI2803" s="1443" t="b">
        <f t="shared" si="1308"/>
        <v>0</v>
      </c>
    </row>
    <row r="2804" spans="2:37" ht="5.0999999999999996" customHeight="1">
      <c r="B2804" s="479"/>
      <c r="C2804" s="977"/>
      <c r="D2804" s="981"/>
      <c r="E2804" s="981"/>
      <c r="F2804" s="981"/>
      <c r="G2804" s="981"/>
      <c r="H2804" s="981"/>
      <c r="I2804" s="981"/>
      <c r="J2804" s="1815"/>
      <c r="K2804" s="1760"/>
      <c r="L2804" s="1760"/>
      <c r="M2804" s="1760"/>
      <c r="N2804" s="1761"/>
      <c r="O2804" s="485"/>
      <c r="P2804" s="485"/>
      <c r="Q2804" s="1435"/>
      <c r="S2804" s="1435"/>
      <c r="T2804" s="1435"/>
      <c r="U2804" s="1435"/>
      <c r="V2804" s="1435"/>
    </row>
    <row r="2805" spans="2:37" ht="12.75" customHeight="1" thickBot="1">
      <c r="B2805" s="479"/>
      <c r="C2805" s="977"/>
      <c r="D2805" s="981"/>
      <c r="E2805" s="2648" t="s">
        <v>1406</v>
      </c>
      <c r="F2805" s="2493"/>
      <c r="G2805" s="987" t="str">
        <f>EUconst_Unit</f>
        <v>Unit</v>
      </c>
      <c r="H2805" s="782">
        <f t="shared" ref="H2805:N2805" si="1309">H$3242</f>
        <v>2024</v>
      </c>
      <c r="I2805" s="988">
        <f t="shared" si="1309"/>
        <v>2025</v>
      </c>
      <c r="J2805" s="1810">
        <f t="shared" si="1309"/>
        <v>2026</v>
      </c>
      <c r="K2805" s="1747">
        <f t="shared" si="1309"/>
        <v>2027</v>
      </c>
      <c r="L2805" s="1747">
        <f t="shared" si="1309"/>
        <v>2028</v>
      </c>
      <c r="M2805" s="1747">
        <f t="shared" si="1309"/>
        <v>2029</v>
      </c>
      <c r="N2805" s="1748">
        <f t="shared" si="1309"/>
        <v>2030</v>
      </c>
      <c r="O2805" s="485"/>
      <c r="P2805" s="485"/>
      <c r="Q2805" s="1435"/>
      <c r="S2805" s="1435"/>
      <c r="T2805" s="1435"/>
      <c r="U2805" s="1435"/>
      <c r="V2805" s="1435"/>
      <c r="AC2805" s="1638">
        <f t="shared" ref="AC2805:AI2805" si="1310">H$20</f>
        <v>2024</v>
      </c>
      <c r="AD2805" s="1638">
        <f t="shared" si="1310"/>
        <v>2025</v>
      </c>
      <c r="AE2805" s="1638">
        <f t="shared" si="1310"/>
        <v>2026</v>
      </c>
      <c r="AF2805" s="1638">
        <f t="shared" si="1310"/>
        <v>2027</v>
      </c>
      <c r="AG2805" s="1638">
        <f t="shared" si="1310"/>
        <v>2028</v>
      </c>
      <c r="AH2805" s="1638">
        <f t="shared" si="1310"/>
        <v>2029</v>
      </c>
      <c r="AI2805" s="1638">
        <f t="shared" si="1310"/>
        <v>2030</v>
      </c>
    </row>
    <row r="2806" spans="2:37" ht="12.75" customHeight="1">
      <c r="B2806" s="479"/>
      <c r="C2806" s="977"/>
      <c r="D2806" s="777" t="s">
        <v>8</v>
      </c>
      <c r="E2806" s="2475" t="s">
        <v>1556</v>
      </c>
      <c r="F2806" s="2410"/>
      <c r="G2806" s="815" t="str">
        <f>EUconst_TJpa</f>
        <v>TJ / year</v>
      </c>
      <c r="H2806" s="1762" t="str">
        <f>c_ALR2025!M5332</f>
        <v/>
      </c>
      <c r="I2806" s="1885"/>
      <c r="J2806" s="1811"/>
      <c r="K2806" s="1751"/>
      <c r="L2806" s="1751"/>
      <c r="M2806" s="1751"/>
      <c r="N2806" s="1752"/>
      <c r="O2806" s="485"/>
      <c r="P2806" s="9"/>
      <c r="Q2806" s="1644" t="str">
        <f>EUconst_CNTR_HeatImportPulp &amp; I2589</f>
        <v>HeatImPulp_</v>
      </c>
      <c r="S2806" s="1435"/>
      <c r="T2806" s="1435"/>
      <c r="U2806" s="1435"/>
      <c r="V2806" s="1435"/>
      <c r="AB2806" s="1641" t="s">
        <v>717</v>
      </c>
      <c r="AC2806" s="1443" t="b">
        <f>AC2659</f>
        <v>0</v>
      </c>
      <c r="AD2806" s="1443" t="b">
        <f t="shared" ref="AD2806:AI2806" si="1311">AD2659</f>
        <v>0</v>
      </c>
      <c r="AE2806" s="1443" t="b">
        <f t="shared" si="1311"/>
        <v>0</v>
      </c>
      <c r="AF2806" s="1443" t="b">
        <f t="shared" si="1311"/>
        <v>0</v>
      </c>
      <c r="AG2806" s="1443" t="b">
        <f t="shared" si="1311"/>
        <v>0</v>
      </c>
      <c r="AH2806" s="1443" t="b">
        <f t="shared" si="1311"/>
        <v>0</v>
      </c>
      <c r="AI2806" s="1443" t="b">
        <f t="shared" si="1311"/>
        <v>0</v>
      </c>
      <c r="AJ2806" s="1633" t="s">
        <v>1954</v>
      </c>
      <c r="AK2806" s="1635" t="str">
        <f>IF(AND(CNTR_ExistSubInstEntries,MSconst_RequireSubAttrEmissions,COUNTIFS(AC2806:AI2806,FALSE,H2806:N2806,"")&gt;0),EUconst_Error&amp;"BM"&amp;$Q2589,"")</f>
        <v/>
      </c>
    </row>
    <row r="2807" spans="2:37" ht="25.5" customHeight="1">
      <c r="B2807" s="479"/>
      <c r="C2807" s="977"/>
      <c r="D2807" s="777" t="s">
        <v>18</v>
      </c>
      <c r="E2807" s="2475" t="s">
        <v>1149</v>
      </c>
      <c r="F2807" s="2410"/>
      <c r="G2807" s="815" t="str">
        <f>EUconst_TJpa</f>
        <v>TJ / year</v>
      </c>
      <c r="H2807" s="1479" t="str">
        <f>c_ALR2025!M5333</f>
        <v/>
      </c>
      <c r="I2807" s="1532"/>
      <c r="J2807" s="1811"/>
      <c r="K2807" s="1751"/>
      <c r="L2807" s="1751"/>
      <c r="M2807" s="1751"/>
      <c r="N2807" s="1752"/>
      <c r="O2807" s="485"/>
      <c r="P2807" s="9"/>
      <c r="Q2807" s="1644" t="str">
        <f>EUconst_CNTR_HeatImportNitric &amp; I2589</f>
        <v>HeatImNitric_</v>
      </c>
      <c r="S2807" s="1435"/>
      <c r="T2807" s="1435"/>
      <c r="U2807" s="1435"/>
      <c r="V2807" s="1435"/>
      <c r="AC2807" s="1443" t="b">
        <f>AC2806</f>
        <v>0</v>
      </c>
      <c r="AD2807" s="1443" t="b">
        <f t="shared" ref="AD2807:AI2807" si="1312">AD2806</f>
        <v>0</v>
      </c>
      <c r="AE2807" s="1443" t="b">
        <f t="shared" si="1312"/>
        <v>0</v>
      </c>
      <c r="AF2807" s="1443" t="b">
        <f t="shared" si="1312"/>
        <v>0</v>
      </c>
      <c r="AG2807" s="1443" t="b">
        <f t="shared" si="1312"/>
        <v>0</v>
      </c>
      <c r="AH2807" s="1443" t="b">
        <f t="shared" si="1312"/>
        <v>0</v>
      </c>
      <c r="AI2807" s="1443" t="b">
        <f t="shared" si="1312"/>
        <v>0</v>
      </c>
      <c r="AJ2807" s="1633" t="s">
        <v>1954</v>
      </c>
      <c r="AK2807" s="1635" t="str">
        <f>IF(AND(CNTR_ExistSubInstEntries,MSconst_RequireSubAttrEmissions,COUNTIFS(AC2807:AI2807,FALSE,H2807:N2807,"")&gt;0),EUconst_Error&amp;"BM"&amp;$Q2589,"")</f>
        <v/>
      </c>
    </row>
    <row r="2808" spans="2:37" ht="5.0999999999999996" customHeight="1" thickBot="1">
      <c r="B2808" s="479"/>
      <c r="C2808" s="977"/>
      <c r="D2808" s="981"/>
      <c r="E2808" s="981"/>
      <c r="F2808" s="981"/>
      <c r="G2808" s="981"/>
      <c r="H2808" s="981"/>
      <c r="I2808" s="981"/>
      <c r="J2808" s="1815"/>
      <c r="K2808" s="1760"/>
      <c r="L2808" s="1760"/>
      <c r="M2808" s="1760"/>
      <c r="N2808" s="1761"/>
      <c r="O2808" s="485"/>
      <c r="P2808" s="485"/>
      <c r="Q2808" s="1435"/>
      <c r="S2808" s="1435"/>
      <c r="T2808" s="1435"/>
      <c r="U2808" s="1435"/>
      <c r="V2808" s="1435"/>
    </row>
    <row r="2809" spans="2:37" ht="12.75" customHeight="1" thickBot="1">
      <c r="B2809" s="479"/>
      <c r="C2809" s="977"/>
      <c r="D2809" s="981"/>
      <c r="E2809" s="2648" t="s">
        <v>1152</v>
      </c>
      <c r="F2809" s="2493"/>
      <c r="G2809" s="987" t="str">
        <f>EUconst_Unit</f>
        <v>Unit</v>
      </c>
      <c r="H2809" s="782">
        <f t="shared" ref="H2809:N2809" si="1313">H$3242</f>
        <v>2024</v>
      </c>
      <c r="I2809" s="988">
        <f t="shared" si="1313"/>
        <v>2025</v>
      </c>
      <c r="J2809" s="1810">
        <f t="shared" si="1313"/>
        <v>2026</v>
      </c>
      <c r="K2809" s="1747">
        <f t="shared" si="1313"/>
        <v>2027</v>
      </c>
      <c r="L2809" s="1747">
        <f t="shared" si="1313"/>
        <v>2028</v>
      </c>
      <c r="M2809" s="1747">
        <f t="shared" si="1313"/>
        <v>2029</v>
      </c>
      <c r="N2809" s="1748">
        <f t="shared" si="1313"/>
        <v>2030</v>
      </c>
      <c r="O2809" s="485"/>
      <c r="P2809" s="485"/>
      <c r="Q2809" s="1435"/>
      <c r="S2809" s="1648"/>
      <c r="T2809" s="1749">
        <f t="shared" ref="T2809:Z2809" si="1314">H2809</f>
        <v>2024</v>
      </c>
      <c r="U2809" s="1749">
        <f t="shared" si="1314"/>
        <v>2025</v>
      </c>
      <c r="V2809" s="1749">
        <f t="shared" si="1314"/>
        <v>2026</v>
      </c>
      <c r="W2809" s="1749">
        <f t="shared" si="1314"/>
        <v>2027</v>
      </c>
      <c r="X2809" s="1749">
        <f t="shared" si="1314"/>
        <v>2028</v>
      </c>
      <c r="Y2809" s="1749">
        <f t="shared" si="1314"/>
        <v>2029</v>
      </c>
      <c r="Z2809" s="1750">
        <f t="shared" si="1314"/>
        <v>2030</v>
      </c>
      <c r="AC2809" s="1638">
        <f t="shared" ref="AC2809:AI2809" si="1315">H$20</f>
        <v>2024</v>
      </c>
      <c r="AD2809" s="1638">
        <f t="shared" si="1315"/>
        <v>2025</v>
      </c>
      <c r="AE2809" s="1638">
        <f t="shared" si="1315"/>
        <v>2026</v>
      </c>
      <c r="AF2809" s="1638">
        <f t="shared" si="1315"/>
        <v>2027</v>
      </c>
      <c r="AG2809" s="1638">
        <f t="shared" si="1315"/>
        <v>2028</v>
      </c>
      <c r="AH2809" s="1638">
        <f t="shared" si="1315"/>
        <v>2029</v>
      </c>
      <c r="AI2809" s="1638">
        <f t="shared" si="1315"/>
        <v>2030</v>
      </c>
    </row>
    <row r="2810" spans="2:37" ht="12.75" customHeight="1">
      <c r="B2810" s="479"/>
      <c r="C2810" s="977"/>
      <c r="D2810" s="777" t="s">
        <v>787</v>
      </c>
      <c r="E2810" s="2475" t="s">
        <v>1079</v>
      </c>
      <c r="F2810" s="2410"/>
      <c r="G2810" s="815" t="str">
        <f>EUconst_TJpa</f>
        <v>TJ / year</v>
      </c>
      <c r="H2810" s="1479" t="str">
        <f>c_ALR2025!M5336</f>
        <v/>
      </c>
      <c r="I2810" s="1532"/>
      <c r="J2810" s="1811"/>
      <c r="K2810" s="1751"/>
      <c r="L2810" s="1751"/>
      <c r="M2810" s="1751"/>
      <c r="N2810" s="1752"/>
      <c r="O2810" s="485"/>
      <c r="P2810" s="9"/>
      <c r="Q2810" s="1644" t="str">
        <f>EUconst_CNTR_HeatExport &amp; I2589</f>
        <v>HeatEx_</v>
      </c>
      <c r="S2810" s="1874" t="str">
        <f>EUconst_ERR_AttrEmBMapplied &amp; I2589</f>
        <v>ERR_AttrEmBM_</v>
      </c>
      <c r="T2810" s="1443">
        <f t="shared" ref="T2810:Z2810" si="1316">IF(AND(H2810&lt;&gt;0,H2811="",EUconst_StatusOfDataCollection=FALSE),1,0)</f>
        <v>0</v>
      </c>
      <c r="U2810" s="1443">
        <f t="shared" si="1316"/>
        <v>0</v>
      </c>
      <c r="V2810" s="1443">
        <f t="shared" si="1316"/>
        <v>0</v>
      </c>
      <c r="W2810" s="1443">
        <f t="shared" si="1316"/>
        <v>0</v>
      </c>
      <c r="X2810" s="1443">
        <f t="shared" si="1316"/>
        <v>0</v>
      </c>
      <c r="Y2810" s="1443">
        <f t="shared" si="1316"/>
        <v>0</v>
      </c>
      <c r="Z2810" s="1737">
        <f t="shared" si="1316"/>
        <v>0</v>
      </c>
      <c r="AB2810" s="1641" t="s">
        <v>717</v>
      </c>
      <c r="AC2810" s="1443" t="b">
        <f>AC2806</f>
        <v>0</v>
      </c>
      <c r="AD2810" s="1443" t="b">
        <f t="shared" ref="AD2810:AI2810" si="1317">AD2806</f>
        <v>0</v>
      </c>
      <c r="AE2810" s="1443" t="b">
        <f t="shared" si="1317"/>
        <v>0</v>
      </c>
      <c r="AF2810" s="1443" t="b">
        <f t="shared" si="1317"/>
        <v>0</v>
      </c>
      <c r="AG2810" s="1443" t="b">
        <f t="shared" si="1317"/>
        <v>0</v>
      </c>
      <c r="AH2810" s="1443" t="b">
        <f t="shared" si="1317"/>
        <v>0</v>
      </c>
      <c r="AI2810" s="1443" t="b">
        <f t="shared" si="1317"/>
        <v>0</v>
      </c>
      <c r="AJ2810" s="1633" t="s">
        <v>1954</v>
      </c>
      <c r="AK2810" s="1635" t="str">
        <f>IF(AND(CNTR_ExistSubInstEntries,MSconst_RequireSubAttrEmissions,COUNTIFS(AC2810:AI2810,FALSE,H2810:N2810,"")&gt;0),EUconst_Error&amp;"BM"&amp;$Q2589,"")</f>
        <v/>
      </c>
    </row>
    <row r="2811" spans="2:37" ht="12.75" customHeight="1" thickBot="1">
      <c r="B2811" s="479"/>
      <c r="C2811" s="977"/>
      <c r="D2811" s="777" t="s">
        <v>788</v>
      </c>
      <c r="E2811" s="2475" t="s">
        <v>1104</v>
      </c>
      <c r="F2811" s="2410"/>
      <c r="G2811" s="815" t="str">
        <f>EUconst_tCO2pTJ</f>
        <v>t CO2 / TJ</v>
      </c>
      <c r="H2811" s="1479" t="str">
        <f>c_ALR2025!M5337</f>
        <v/>
      </c>
      <c r="I2811" s="1532"/>
      <c r="J2811" s="1811"/>
      <c r="K2811" s="1751"/>
      <c r="L2811" s="1751"/>
      <c r="M2811" s="1751"/>
      <c r="N2811" s="1752"/>
      <c r="O2811" s="485"/>
      <c r="P2811" s="9"/>
      <c r="Q2811" s="1644" t="str">
        <f>EUconst_CNTR_HeatExportEF &amp; I2589</f>
        <v>HeatExEF_</v>
      </c>
      <c r="S2811" s="1753" t="str">
        <f>EUconst_CNTR_AttributedEmissions &amp; I2589</f>
        <v>AttrEmissions_</v>
      </c>
      <c r="T2811" s="1743" t="str">
        <f t="shared" ref="T2811:Z2811" si="1318">IF(T2597,-SUM(H2810)*IF(INDEX(EUconst_BMlistNumberOfBM,MATCH($I2589,EUconst_BMlistNames,0))=39,0,IF(ISNUMBER(H2811),H2811,EUconst_HeatBMvalue)),"")</f>
        <v/>
      </c>
      <c r="U2811" s="1743" t="str">
        <f t="shared" si="1318"/>
        <v/>
      </c>
      <c r="V2811" s="1743" t="str">
        <f t="shared" si="1318"/>
        <v/>
      </c>
      <c r="W2811" s="1743" t="str">
        <f t="shared" si="1318"/>
        <v/>
      </c>
      <c r="X2811" s="1743" t="str">
        <f t="shared" si="1318"/>
        <v/>
      </c>
      <c r="Y2811" s="1743" t="str">
        <f t="shared" si="1318"/>
        <v/>
      </c>
      <c r="Z2811" s="1744" t="str">
        <f t="shared" si="1318"/>
        <v/>
      </c>
      <c r="AC2811" s="1443" t="b">
        <f>AC2810</f>
        <v>0</v>
      </c>
      <c r="AD2811" s="1443" t="b">
        <f t="shared" ref="AD2811:AI2811" si="1319">AD2810</f>
        <v>0</v>
      </c>
      <c r="AE2811" s="1443" t="b">
        <f t="shared" si="1319"/>
        <v>0</v>
      </c>
      <c r="AF2811" s="1443" t="b">
        <f t="shared" si="1319"/>
        <v>0</v>
      </c>
      <c r="AG2811" s="1443" t="b">
        <f t="shared" si="1319"/>
        <v>0</v>
      </c>
      <c r="AH2811" s="1443" t="b">
        <f t="shared" si="1319"/>
        <v>0</v>
      </c>
      <c r="AI2811" s="1443" t="b">
        <f t="shared" si="1319"/>
        <v>0</v>
      </c>
    </row>
    <row r="2812" spans="2:37" ht="12.75" customHeight="1">
      <c r="B2812" s="479"/>
      <c r="C2812" s="977"/>
      <c r="D2812" s="981"/>
      <c r="E2812" s="981"/>
      <c r="F2812" s="981"/>
      <c r="G2812" s="981"/>
      <c r="H2812" s="981"/>
      <c r="I2812" s="981"/>
      <c r="J2812" s="981"/>
      <c r="K2812" s="981"/>
      <c r="L2812" s="981"/>
      <c r="M2812" s="813"/>
      <c r="N2812" s="814"/>
      <c r="O2812" s="485"/>
      <c r="P2812" s="485"/>
      <c r="Q2812" s="1435"/>
      <c r="S2812" s="1435"/>
      <c r="T2812" s="1435"/>
      <c r="U2812" s="1435"/>
      <c r="V2812" s="1435"/>
    </row>
    <row r="2813" spans="2:37" ht="12.75" customHeight="1">
      <c r="B2813" s="479"/>
      <c r="C2813" s="977"/>
      <c r="D2813" s="982" t="s">
        <v>481</v>
      </c>
      <c r="E2813" s="2649" t="s">
        <v>1312</v>
      </c>
      <c r="F2813" s="2391"/>
      <c r="G2813" s="2391"/>
      <c r="H2813" s="2391"/>
      <c r="I2813" s="2391"/>
      <c r="J2813" s="2391"/>
      <c r="K2813" s="2391"/>
      <c r="L2813" s="2391"/>
      <c r="M2813" s="2391"/>
      <c r="N2813" s="2650"/>
      <c r="O2813" s="485"/>
      <c r="P2813" s="485"/>
      <c r="Q2813" s="1435"/>
      <c r="S2813" s="1435"/>
      <c r="T2813" s="1435"/>
      <c r="U2813" s="1435"/>
      <c r="V2813" s="1435"/>
    </row>
    <row r="2814" spans="2:37" ht="5.0999999999999996" customHeight="1">
      <c r="B2814" s="479"/>
      <c r="C2814" s="977"/>
      <c r="D2814" s="981"/>
      <c r="E2814" s="986"/>
      <c r="F2814" s="986"/>
      <c r="G2814" s="986"/>
      <c r="H2814" s="986"/>
      <c r="I2814" s="986"/>
      <c r="J2814" s="986"/>
      <c r="K2814" s="986"/>
      <c r="L2814" s="986"/>
      <c r="M2814" s="986"/>
      <c r="N2814" s="1007"/>
      <c r="O2814" s="485"/>
      <c r="P2814" s="485"/>
      <c r="Q2814" s="1435"/>
      <c r="S2814" s="1435"/>
      <c r="T2814" s="1435"/>
      <c r="U2814" s="1435"/>
      <c r="V2814" s="1435"/>
    </row>
    <row r="2815" spans="2:37" ht="12.75" customHeight="1">
      <c r="B2815" s="479"/>
      <c r="C2815" s="977"/>
      <c r="D2815" s="777" t="s">
        <v>6</v>
      </c>
      <c r="E2815" s="2649" t="s">
        <v>1313</v>
      </c>
      <c r="F2815" s="2391"/>
      <c r="G2815" s="2391"/>
      <c r="H2815" s="2391"/>
      <c r="I2815" s="2391"/>
      <c r="J2815" s="2391"/>
      <c r="K2815" s="2512"/>
      <c r="L2815" s="1478" t="str">
        <f>c_ALR2025!L5341</f>
        <v/>
      </c>
      <c r="M2815" s="978"/>
      <c r="N2815" s="979"/>
      <c r="O2815" s="485"/>
      <c r="P2815" s="9"/>
      <c r="Q2815" s="1435"/>
      <c r="S2815" s="1435"/>
      <c r="AF2815" s="1641" t="s">
        <v>717</v>
      </c>
      <c r="AG2815" s="1423" t="b">
        <f>AND(CNTR_ExistSubInstEntries,I2589="")</f>
        <v>0</v>
      </c>
    </row>
    <row r="2816" spans="2:37" ht="12.75" customHeight="1">
      <c r="B2816" s="479"/>
      <c r="C2816" s="977"/>
      <c r="D2816" s="981"/>
      <c r="E2816" s="3267" t="s">
        <v>1314</v>
      </c>
      <c r="F2816" s="2380"/>
      <c r="G2816" s="2380"/>
      <c r="H2816" s="2380"/>
      <c r="I2816" s="2380"/>
      <c r="J2816" s="2380"/>
      <c r="K2816" s="2380"/>
      <c r="L2816" s="2380"/>
      <c r="M2816" s="2380"/>
      <c r="N2816" s="3268"/>
      <c r="O2816" s="485"/>
      <c r="P2816" s="485"/>
      <c r="Q2816" s="1435"/>
      <c r="S2816" s="1435"/>
    </row>
    <row r="2817" spans="2:37" ht="12.75" customHeight="1">
      <c r="B2817" s="479"/>
      <c r="C2817" s="977"/>
      <c r="D2817" s="777" t="s">
        <v>7</v>
      </c>
      <c r="E2817" s="2649" t="s">
        <v>1219</v>
      </c>
      <c r="F2817" s="2391"/>
      <c r="G2817" s="2391"/>
      <c r="H2817" s="2512"/>
      <c r="I2817" s="3211" t="str">
        <f>c_ALR2025!I5343</f>
        <v/>
      </c>
      <c r="J2817" s="3206"/>
      <c r="K2817" s="3206"/>
      <c r="L2817" s="3206"/>
      <c r="M2817" s="3207"/>
      <c r="N2817" s="979"/>
      <c r="O2817" s="485"/>
      <c r="P2817" s="9"/>
      <c r="Q2817" s="1435"/>
      <c r="S2817" s="1435"/>
      <c r="AC2817" s="1641" t="s">
        <v>717</v>
      </c>
      <c r="AD2817" s="1423" t="b">
        <f>OR(AG2815,AND($L2815&lt;&gt;"",$L2815=FALSE))</f>
        <v>0</v>
      </c>
    </row>
    <row r="2818" spans="2:37" ht="12.75" customHeight="1">
      <c r="B2818" s="479"/>
      <c r="C2818" s="977"/>
      <c r="D2818" s="981"/>
      <c r="E2818" s="3267" t="s">
        <v>1316</v>
      </c>
      <c r="F2818" s="2380"/>
      <c r="G2818" s="2380"/>
      <c r="H2818" s="2380"/>
      <c r="I2818" s="2380"/>
      <c r="J2818" s="2380"/>
      <c r="K2818" s="2380"/>
      <c r="L2818" s="2380"/>
      <c r="M2818" s="2380"/>
      <c r="N2818" s="3268"/>
      <c r="O2818" s="485"/>
      <c r="P2818" s="485"/>
      <c r="Q2818" s="1435"/>
      <c r="S2818" s="1435"/>
      <c r="T2818" s="1435"/>
      <c r="U2818" s="1435"/>
      <c r="V2818" s="1435"/>
    </row>
    <row r="2819" spans="2:37" ht="12.75" customHeight="1">
      <c r="B2819" s="479"/>
      <c r="C2819" s="977"/>
      <c r="D2819" s="981"/>
      <c r="E2819" s="3272" t="s">
        <v>1557</v>
      </c>
      <c r="F2819" s="2380"/>
      <c r="G2819" s="2380"/>
      <c r="H2819" s="2380"/>
      <c r="I2819" s="2380"/>
      <c r="J2819" s="2380"/>
      <c r="K2819" s="2380"/>
      <c r="L2819" s="2380"/>
      <c r="M2819" s="2380"/>
      <c r="N2819" s="3268"/>
      <c r="O2819" s="485"/>
      <c r="P2819" s="485"/>
      <c r="Q2819" s="1435"/>
      <c r="S2819" s="1435"/>
      <c r="T2819" s="1435"/>
      <c r="U2819" s="1435"/>
      <c r="V2819" s="1435"/>
    </row>
    <row r="2820" spans="2:37" ht="12.75" customHeight="1" thickBot="1">
      <c r="B2820" s="479"/>
      <c r="C2820" s="977"/>
      <c r="D2820" s="981"/>
      <c r="E2820" s="989"/>
      <c r="F2820" s="990"/>
      <c r="G2820" s="987" t="str">
        <f>EUconst_Unit</f>
        <v>Unit</v>
      </c>
      <c r="H2820" s="782">
        <f t="shared" ref="H2820:N2820" si="1320">H$3242</f>
        <v>2024</v>
      </c>
      <c r="I2820" s="988">
        <f t="shared" si="1320"/>
        <v>2025</v>
      </c>
      <c r="J2820" s="1810">
        <f t="shared" si="1320"/>
        <v>2026</v>
      </c>
      <c r="K2820" s="1747">
        <f t="shared" si="1320"/>
        <v>2027</v>
      </c>
      <c r="L2820" s="1747">
        <f t="shared" si="1320"/>
        <v>2028</v>
      </c>
      <c r="M2820" s="1747">
        <f t="shared" si="1320"/>
        <v>2029</v>
      </c>
      <c r="N2820" s="1748">
        <f t="shared" si="1320"/>
        <v>2030</v>
      </c>
      <c r="O2820" s="485"/>
      <c r="P2820" s="485"/>
      <c r="Q2820" s="1435"/>
      <c r="S2820" s="1435"/>
      <c r="T2820" s="1435"/>
      <c r="U2820" s="1435"/>
      <c r="V2820" s="1435"/>
      <c r="AC2820" s="1638">
        <f t="shared" ref="AC2820:AI2820" si="1321">H$20</f>
        <v>2024</v>
      </c>
      <c r="AD2820" s="1638">
        <f t="shared" si="1321"/>
        <v>2025</v>
      </c>
      <c r="AE2820" s="1638">
        <f t="shared" si="1321"/>
        <v>2026</v>
      </c>
      <c r="AF2820" s="1638">
        <f t="shared" si="1321"/>
        <v>2027</v>
      </c>
      <c r="AG2820" s="1638">
        <f t="shared" si="1321"/>
        <v>2028</v>
      </c>
      <c r="AH2820" s="1638">
        <f t="shared" si="1321"/>
        <v>2029</v>
      </c>
      <c r="AI2820" s="1638">
        <f t="shared" si="1321"/>
        <v>2030</v>
      </c>
    </row>
    <row r="2821" spans="2:37" ht="12.75" customHeight="1">
      <c r="B2821" s="479"/>
      <c r="C2821" s="977"/>
      <c r="D2821" s="777" t="s">
        <v>8</v>
      </c>
      <c r="E2821" s="2471" t="s">
        <v>1305</v>
      </c>
      <c r="F2821" s="2472"/>
      <c r="G2821" s="1763" t="str">
        <f>c_ALR2025!G5347</f>
        <v/>
      </c>
      <c r="H2821" s="1552" t="str">
        <f>c_ALR2025!M5347</f>
        <v/>
      </c>
      <c r="I2821" s="1611"/>
      <c r="J2821" s="1811"/>
      <c r="K2821" s="1751"/>
      <c r="L2821" s="1751"/>
      <c r="M2821" s="1751"/>
      <c r="N2821" s="1752"/>
      <c r="O2821" s="485"/>
      <c r="P2821" s="9"/>
      <c r="Q2821" s="1435"/>
      <c r="S2821" s="1435"/>
      <c r="T2821" s="1435"/>
      <c r="U2821" s="1435"/>
      <c r="V2821" s="1435"/>
      <c r="AB2821" s="1641" t="s">
        <v>717</v>
      </c>
      <c r="AC2821" s="1423" t="b">
        <f>OR(AND($L2815&lt;&gt;"",$L2815=FALSE),AC2659)</f>
        <v>0</v>
      </c>
      <c r="AD2821" s="1443" t="b">
        <f t="shared" ref="AD2821:AI2821" si="1322">OR(AND($L2815&lt;&gt;"",$L2815=FALSE),AD2659)</f>
        <v>0</v>
      </c>
      <c r="AE2821" s="1443" t="b">
        <f t="shared" si="1322"/>
        <v>0</v>
      </c>
      <c r="AF2821" s="1443" t="b">
        <f t="shared" si="1322"/>
        <v>0</v>
      </c>
      <c r="AG2821" s="1443" t="b">
        <f t="shared" si="1322"/>
        <v>0</v>
      </c>
      <c r="AH2821" s="1443" t="b">
        <f t="shared" si="1322"/>
        <v>0</v>
      </c>
      <c r="AI2821" s="1443" t="b">
        <f t="shared" si="1322"/>
        <v>0</v>
      </c>
      <c r="AJ2821" s="1633" t="s">
        <v>1954</v>
      </c>
      <c r="AK2821" s="1635" t="str">
        <f>IF(AND(CNTR_ExistSubInstEntries,MSconst_RequireSubAttrEmissions,COUNTIFS(AC2821:AI2821,FALSE,H2821:N2821,"")&gt;0),EUconst_Error&amp;"BM"&amp;$Q2589,"")</f>
        <v/>
      </c>
    </row>
    <row r="2822" spans="2:37" ht="12.75" customHeight="1">
      <c r="B2822" s="479"/>
      <c r="C2822" s="977"/>
      <c r="D2822" s="777" t="s">
        <v>18</v>
      </c>
      <c r="E2822" s="2473" t="s">
        <v>661</v>
      </c>
      <c r="F2822" s="2474"/>
      <c r="G2822" s="1008" t="e">
        <f>IF(ISBLANK(G2821),EUconst_GJperUnit,INDEX(EUconst_GJperTorKNm3,MATCH(G2821,EUconst_TonnesOrkNm3pa,0)))</f>
        <v>#N/A</v>
      </c>
      <c r="H2822" s="1558" t="str">
        <f>c_ALR2025!M5348</f>
        <v/>
      </c>
      <c r="I2822" s="1884"/>
      <c r="J2822" s="1811"/>
      <c r="K2822" s="1751"/>
      <c r="L2822" s="1751"/>
      <c r="M2822" s="1751"/>
      <c r="N2822" s="1752"/>
      <c r="O2822" s="485"/>
      <c r="P2822" s="9"/>
      <c r="S2822" s="1435"/>
      <c r="T2822" s="1435"/>
      <c r="U2822" s="1435"/>
      <c r="V2822" s="1435"/>
      <c r="W2822" s="1435"/>
      <c r="X2822" s="1435"/>
      <c r="Y2822" s="1435"/>
      <c r="Z2822" s="1435"/>
      <c r="AC2822" s="1443" t="b">
        <f>AC2821</f>
        <v>0</v>
      </c>
      <c r="AD2822" s="1443" t="b">
        <f t="shared" ref="AD2822:AI2822" si="1323">AD2821</f>
        <v>0</v>
      </c>
      <c r="AE2822" s="1443" t="b">
        <f t="shared" si="1323"/>
        <v>0</v>
      </c>
      <c r="AF2822" s="1443" t="b">
        <f t="shared" si="1323"/>
        <v>0</v>
      </c>
      <c r="AG2822" s="1443" t="b">
        <f t="shared" si="1323"/>
        <v>0</v>
      </c>
      <c r="AH2822" s="1443" t="b">
        <f t="shared" si="1323"/>
        <v>0</v>
      </c>
      <c r="AI2822" s="1443" t="b">
        <f t="shared" si="1323"/>
        <v>0</v>
      </c>
      <c r="AJ2822" s="1633" t="s">
        <v>1954</v>
      </c>
      <c r="AK2822" s="1635" t="str">
        <f>IF(AND(CNTR_ExistSubInstEntries,MSconst_RequireSubAttrEmissions,COUNTIFS(AC2822:AI2822,FALSE,H2822:N2822,"")&gt;0),EUconst_Error&amp;"BM"&amp;$Q2589,"")</f>
        <v/>
      </c>
    </row>
    <row r="2823" spans="2:37" ht="12.75" customHeight="1">
      <c r="B2823" s="479"/>
      <c r="C2823" s="977"/>
      <c r="D2823" s="777" t="s">
        <v>787</v>
      </c>
      <c r="E2823" s="2475" t="s">
        <v>1141</v>
      </c>
      <c r="F2823" s="2410"/>
      <c r="G2823" s="815" t="str">
        <f>EUconst_TJpa</f>
        <v>TJ / year</v>
      </c>
      <c r="H2823" s="1005" t="str">
        <f t="shared" ref="H2823:N2823" si="1324">IF(COUNT(H2821:H2822)=2,H2821*H2822/1000,"")</f>
        <v/>
      </c>
      <c r="I2823" s="1006" t="str">
        <f t="shared" si="1324"/>
        <v/>
      </c>
      <c r="J2823" s="1811" t="str">
        <f t="shared" si="1324"/>
        <v/>
      </c>
      <c r="K2823" s="1751" t="str">
        <f t="shared" si="1324"/>
        <v/>
      </c>
      <c r="L2823" s="1751" t="str">
        <f t="shared" si="1324"/>
        <v/>
      </c>
      <c r="M2823" s="1751" t="str">
        <f t="shared" si="1324"/>
        <v/>
      </c>
      <c r="N2823" s="1752" t="str">
        <f t="shared" si="1324"/>
        <v/>
      </c>
      <c r="O2823" s="485"/>
      <c r="P2823" s="485"/>
      <c r="Q2823" s="1644" t="str">
        <f>EUconst_CNTR_WGProduced &amp; I2589</f>
        <v>WasteGasProd_</v>
      </c>
      <c r="S2823" s="1435"/>
      <c r="T2823" s="1435"/>
      <c r="U2823" s="1435"/>
      <c r="V2823" s="1435"/>
      <c r="W2823" s="1435"/>
      <c r="X2823" s="1435"/>
      <c r="Y2823" s="1435"/>
      <c r="Z2823" s="1435"/>
    </row>
    <row r="2824" spans="2:37" ht="12.75" customHeight="1">
      <c r="B2824" s="479"/>
      <c r="C2824" s="977"/>
      <c r="D2824" s="777" t="s">
        <v>788</v>
      </c>
      <c r="E2824" s="2475" t="s">
        <v>1258</v>
      </c>
      <c r="F2824" s="2410"/>
      <c r="G2824" s="815" t="str">
        <f>EUconst_tCO2pTJ</f>
        <v>t CO2 / TJ</v>
      </c>
      <c r="H2824" s="1479" t="str">
        <f>c_ALR2025!M5350</f>
        <v/>
      </c>
      <c r="I2824" s="1532"/>
      <c r="J2824" s="1811"/>
      <c r="K2824" s="1751"/>
      <c r="L2824" s="1751"/>
      <c r="M2824" s="1751"/>
      <c r="N2824" s="1752"/>
      <c r="O2824" s="485"/>
      <c r="P2824" s="9"/>
      <c r="Q2824" s="1644" t="str">
        <f>EUconst_CNTR_WGProducedEF &amp; I2589</f>
        <v>WasteGasProdEF_</v>
      </c>
      <c r="S2824" s="1435"/>
      <c r="T2824" s="1435"/>
      <c r="U2824" s="1435"/>
      <c r="V2824" s="1435"/>
      <c r="W2824" s="1435"/>
      <c r="X2824" s="1435"/>
      <c r="Y2824" s="1435"/>
      <c r="Z2824" s="1435"/>
      <c r="AB2824" s="1641" t="s">
        <v>717</v>
      </c>
      <c r="AC2824" s="1443" t="b">
        <f>AC2822</f>
        <v>0</v>
      </c>
      <c r="AD2824" s="1443" t="b">
        <f t="shared" ref="AD2824:AI2824" si="1325">AD2822</f>
        <v>0</v>
      </c>
      <c r="AE2824" s="1443" t="b">
        <f t="shared" si="1325"/>
        <v>0</v>
      </c>
      <c r="AF2824" s="1443" t="b">
        <f t="shared" si="1325"/>
        <v>0</v>
      </c>
      <c r="AG2824" s="1443" t="b">
        <f t="shared" si="1325"/>
        <v>0</v>
      </c>
      <c r="AH2824" s="1443" t="b">
        <f t="shared" si="1325"/>
        <v>0</v>
      </c>
      <c r="AI2824" s="1443" t="b">
        <f t="shared" si="1325"/>
        <v>0</v>
      </c>
      <c r="AJ2824" s="1633" t="s">
        <v>1954</v>
      </c>
      <c r="AK2824" s="1635" t="str">
        <f>IF(AND(CNTR_ExistSubInstEntries,MSconst_RequireSubAttrEmissions,COUNTIFS(AC2824:AI2824,FALSE,H2824:N2824,"")&gt;0),EUconst_Error&amp;"BM"&amp;$Q2589,"")</f>
        <v/>
      </c>
    </row>
    <row r="2825" spans="2:37" ht="12.75" customHeight="1">
      <c r="B2825" s="479"/>
      <c r="C2825" s="977"/>
      <c r="D2825" s="981"/>
      <c r="E2825" s="981"/>
      <c r="F2825" s="981"/>
      <c r="G2825" s="981"/>
      <c r="H2825" s="983"/>
      <c r="I2825" s="981"/>
      <c r="J2825" s="981"/>
      <c r="K2825" s="981"/>
      <c r="L2825" s="981"/>
      <c r="M2825" s="813"/>
      <c r="N2825" s="814"/>
      <c r="O2825" s="485"/>
      <c r="P2825" s="485"/>
      <c r="Q2825" s="1435"/>
      <c r="S2825" s="1435"/>
      <c r="T2825" s="1435"/>
      <c r="U2825" s="1435"/>
      <c r="V2825" s="1435"/>
      <c r="W2825" s="1435"/>
      <c r="X2825" s="1435"/>
      <c r="Y2825" s="1435"/>
      <c r="Z2825" s="1435"/>
    </row>
    <row r="2826" spans="2:37" ht="12.75" customHeight="1">
      <c r="B2826" s="479"/>
      <c r="C2826" s="977"/>
      <c r="D2826" s="777" t="s">
        <v>789</v>
      </c>
      <c r="E2826" s="2649" t="s">
        <v>1301</v>
      </c>
      <c r="F2826" s="2391"/>
      <c r="G2826" s="2391"/>
      <c r="H2826" s="2512"/>
      <c r="I2826" s="3211" t="str">
        <f>c_ALR2025!I5352</f>
        <v/>
      </c>
      <c r="J2826" s="3206"/>
      <c r="K2826" s="3206"/>
      <c r="L2826" s="3206"/>
      <c r="M2826" s="3207"/>
      <c r="N2826" s="979"/>
      <c r="O2826" s="485"/>
      <c r="P2826" s="9"/>
      <c r="Q2826" s="1435"/>
      <c r="S2826" s="1435"/>
      <c r="T2826" s="1435"/>
      <c r="U2826" s="1435"/>
      <c r="V2826" s="1435"/>
      <c r="W2826" s="1435"/>
      <c r="X2826" s="1435"/>
      <c r="Y2826" s="1435"/>
      <c r="Z2826" s="1435"/>
      <c r="AC2826" s="1641" t="s">
        <v>717</v>
      </c>
      <c r="AD2826" s="1443" t="b">
        <f>AD2817</f>
        <v>0</v>
      </c>
    </row>
    <row r="2827" spans="2:37" ht="25.5" customHeight="1">
      <c r="B2827" s="479"/>
      <c r="C2827" s="977"/>
      <c r="D2827" s="777"/>
      <c r="E2827" s="3267" t="s">
        <v>1606</v>
      </c>
      <c r="F2827" s="2380"/>
      <c r="G2827" s="2380"/>
      <c r="H2827" s="2380"/>
      <c r="I2827" s="2380"/>
      <c r="J2827" s="2380"/>
      <c r="K2827" s="2380"/>
      <c r="L2827" s="2380"/>
      <c r="M2827" s="2380"/>
      <c r="N2827" s="3268"/>
      <c r="O2827" s="485"/>
      <c r="P2827" s="485"/>
      <c r="Q2827" s="1435"/>
      <c r="S2827" s="1435"/>
      <c r="T2827" s="1435"/>
      <c r="U2827" s="1435"/>
      <c r="V2827" s="1435"/>
      <c r="W2827" s="1435"/>
      <c r="X2827" s="1435"/>
      <c r="Y2827" s="1435"/>
      <c r="Z2827" s="1435"/>
    </row>
    <row r="2828" spans="2:37" ht="12.75" customHeight="1">
      <c r="B2828" s="479"/>
      <c r="C2828" s="977"/>
      <c r="D2828" s="981"/>
      <c r="E2828" s="3272" t="s">
        <v>1557</v>
      </c>
      <c r="F2828" s="2380"/>
      <c r="G2828" s="2380"/>
      <c r="H2828" s="2380"/>
      <c r="I2828" s="2380"/>
      <c r="J2828" s="2380"/>
      <c r="K2828" s="2380"/>
      <c r="L2828" s="2380"/>
      <c r="M2828" s="2380"/>
      <c r="N2828" s="3268"/>
      <c r="O2828" s="485"/>
      <c r="P2828" s="485"/>
      <c r="Q2828" s="1435"/>
      <c r="S2828" s="1435"/>
      <c r="T2828" s="1435"/>
      <c r="U2828" s="1435"/>
      <c r="V2828" s="1435"/>
      <c r="W2828" s="1435"/>
      <c r="X2828" s="1435"/>
      <c r="Y2828" s="1435"/>
      <c r="Z2828" s="1435"/>
    </row>
    <row r="2829" spans="2:37" ht="12.75" customHeight="1" thickBot="1">
      <c r="B2829" s="479"/>
      <c r="C2829" s="977"/>
      <c r="D2829" s="981"/>
      <c r="E2829" s="989"/>
      <c r="F2829" s="990"/>
      <c r="G2829" s="987" t="str">
        <f>EUconst_Unit</f>
        <v>Unit</v>
      </c>
      <c r="H2829" s="782">
        <f t="shared" ref="H2829:N2829" si="1326">H$3242</f>
        <v>2024</v>
      </c>
      <c r="I2829" s="988">
        <f t="shared" si="1326"/>
        <v>2025</v>
      </c>
      <c r="J2829" s="1810">
        <f t="shared" si="1326"/>
        <v>2026</v>
      </c>
      <c r="K2829" s="1747">
        <f t="shared" si="1326"/>
        <v>2027</v>
      </c>
      <c r="L2829" s="1747">
        <f t="shared" si="1326"/>
        <v>2028</v>
      </c>
      <c r="M2829" s="1747">
        <f t="shared" si="1326"/>
        <v>2029</v>
      </c>
      <c r="N2829" s="1748">
        <f t="shared" si="1326"/>
        <v>2030</v>
      </c>
      <c r="O2829" s="485"/>
      <c r="P2829" s="485"/>
      <c r="Q2829" s="1435"/>
      <c r="S2829" s="1435"/>
      <c r="T2829" s="1435"/>
      <c r="U2829" s="1435"/>
      <c r="V2829" s="1435"/>
      <c r="W2829" s="1435"/>
      <c r="X2829" s="1435"/>
      <c r="Y2829" s="1435"/>
      <c r="Z2829" s="1435"/>
      <c r="AC2829" s="1638">
        <f t="shared" ref="AC2829:AI2829" si="1327">H$20</f>
        <v>2024</v>
      </c>
      <c r="AD2829" s="1638">
        <f t="shared" si="1327"/>
        <v>2025</v>
      </c>
      <c r="AE2829" s="1638">
        <f t="shared" si="1327"/>
        <v>2026</v>
      </c>
      <c r="AF2829" s="1638">
        <f t="shared" si="1327"/>
        <v>2027</v>
      </c>
      <c r="AG2829" s="1638">
        <f t="shared" si="1327"/>
        <v>2028</v>
      </c>
      <c r="AH2829" s="1638">
        <f t="shared" si="1327"/>
        <v>2029</v>
      </c>
      <c r="AI2829" s="1638">
        <f t="shared" si="1327"/>
        <v>2030</v>
      </c>
    </row>
    <row r="2830" spans="2:37" ht="12.75" customHeight="1">
      <c r="B2830" s="479"/>
      <c r="C2830" s="977"/>
      <c r="D2830" s="777" t="s">
        <v>790</v>
      </c>
      <c r="E2830" s="2471" t="s">
        <v>1306</v>
      </c>
      <c r="F2830" s="2472"/>
      <c r="G2830" s="1763" t="str">
        <f>c_ALR2025!G5356</f>
        <v/>
      </c>
      <c r="H2830" s="1552" t="str">
        <f>c_ALR2025!M5356</f>
        <v/>
      </c>
      <c r="I2830" s="1611"/>
      <c r="J2830" s="1811"/>
      <c r="K2830" s="1751"/>
      <c r="L2830" s="1751"/>
      <c r="M2830" s="1751"/>
      <c r="N2830" s="1752"/>
      <c r="O2830" s="485"/>
      <c r="P2830" s="9"/>
      <c r="Q2830" s="1435"/>
      <c r="S2830" s="1435"/>
      <c r="T2830" s="1435"/>
      <c r="U2830" s="1435"/>
      <c r="V2830" s="1435"/>
      <c r="W2830" s="1435"/>
      <c r="X2830" s="1435"/>
      <c r="Y2830" s="1435"/>
      <c r="Z2830" s="1435"/>
      <c r="AB2830" s="1641" t="s">
        <v>717</v>
      </c>
      <c r="AC2830" s="1443" t="b">
        <f>AC2821</f>
        <v>0</v>
      </c>
      <c r="AD2830" s="1443" t="b">
        <f t="shared" ref="AD2830:AI2830" si="1328">AD2821</f>
        <v>0</v>
      </c>
      <c r="AE2830" s="1443" t="b">
        <f t="shared" si="1328"/>
        <v>0</v>
      </c>
      <c r="AF2830" s="1443" t="b">
        <f t="shared" si="1328"/>
        <v>0</v>
      </c>
      <c r="AG2830" s="1443" t="b">
        <f t="shared" si="1328"/>
        <v>0</v>
      </c>
      <c r="AH2830" s="1443" t="b">
        <f t="shared" si="1328"/>
        <v>0</v>
      </c>
      <c r="AI2830" s="1443" t="b">
        <f t="shared" si="1328"/>
        <v>0</v>
      </c>
      <c r="AJ2830" s="1633" t="s">
        <v>1954</v>
      </c>
      <c r="AK2830" s="1635" t="str">
        <f>IF(AND(CNTR_ExistSubInstEntries,MSconst_RequireSubAttrEmissions,COUNTIFS(AC2830:AI2830,FALSE,H2830:N2830,"")&gt;0),EUconst_Error&amp;"BM"&amp;$Q2589,"")</f>
        <v/>
      </c>
    </row>
    <row r="2831" spans="2:37" ht="12.75" customHeight="1">
      <c r="B2831" s="479"/>
      <c r="C2831" s="977"/>
      <c r="D2831" s="777" t="s">
        <v>791</v>
      </c>
      <c r="E2831" s="2473" t="s">
        <v>661</v>
      </c>
      <c r="F2831" s="2474"/>
      <c r="G2831" s="1008" t="e">
        <f>IF(ISBLANK(G2830),EUconst_GJperUnit,INDEX(EUconst_GJperTorKNm3,MATCH(G2830,EUconst_TonnesOrkNm3pa,0)))</f>
        <v>#N/A</v>
      </c>
      <c r="H2831" s="1558" t="str">
        <f>c_ALR2025!M5357</f>
        <v/>
      </c>
      <c r="I2831" s="1884"/>
      <c r="J2831" s="1811"/>
      <c r="K2831" s="1751"/>
      <c r="L2831" s="1751"/>
      <c r="M2831" s="1751"/>
      <c r="N2831" s="1752"/>
      <c r="O2831" s="485"/>
      <c r="P2831" s="9"/>
      <c r="S2831" s="1435"/>
      <c r="T2831" s="1435"/>
      <c r="U2831" s="1435"/>
      <c r="V2831" s="1435"/>
      <c r="W2831" s="1435"/>
      <c r="X2831" s="1435"/>
      <c r="Y2831" s="1435"/>
      <c r="Z2831" s="1435"/>
      <c r="AC2831" s="1443" t="b">
        <f>AC2830</f>
        <v>0</v>
      </c>
      <c r="AD2831" s="1443" t="b">
        <f t="shared" ref="AD2831:AI2831" si="1329">AD2830</f>
        <v>0</v>
      </c>
      <c r="AE2831" s="1443" t="b">
        <f t="shared" si="1329"/>
        <v>0</v>
      </c>
      <c r="AF2831" s="1443" t="b">
        <f t="shared" si="1329"/>
        <v>0</v>
      </c>
      <c r="AG2831" s="1443" t="b">
        <f t="shared" si="1329"/>
        <v>0</v>
      </c>
      <c r="AH2831" s="1443" t="b">
        <f t="shared" si="1329"/>
        <v>0</v>
      </c>
      <c r="AI2831" s="1443" t="b">
        <f t="shared" si="1329"/>
        <v>0</v>
      </c>
      <c r="AJ2831" s="1633" t="s">
        <v>1954</v>
      </c>
      <c r="AK2831" s="1635" t="str">
        <f>IF(AND(CNTR_ExistSubInstEntries,MSconst_RequireSubAttrEmissions,COUNTIFS(AC2831:AI2831,FALSE,H2831:N2831,"")&gt;0),EUconst_Error&amp;"BM"&amp;$Q2589,"")</f>
        <v/>
      </c>
    </row>
    <row r="2832" spans="2:37" ht="12.75" customHeight="1">
      <c r="B2832" s="479"/>
      <c r="C2832" s="977"/>
      <c r="D2832" s="777" t="s">
        <v>64</v>
      </c>
      <c r="E2832" s="2475" t="s">
        <v>1309</v>
      </c>
      <c r="F2832" s="2410"/>
      <c r="G2832" s="815" t="str">
        <f>EUconst_TJpa</f>
        <v>TJ / year</v>
      </c>
      <c r="H2832" s="1005" t="str">
        <f t="shared" ref="H2832:N2832" si="1330">IF(COUNT(H2830:H2831)=2,H2830*H2831/1000,"")</f>
        <v/>
      </c>
      <c r="I2832" s="1006" t="str">
        <f t="shared" si="1330"/>
        <v/>
      </c>
      <c r="J2832" s="1811" t="str">
        <f t="shared" si="1330"/>
        <v/>
      </c>
      <c r="K2832" s="1751" t="str">
        <f t="shared" si="1330"/>
        <v/>
      </c>
      <c r="L2832" s="1751" t="str">
        <f t="shared" si="1330"/>
        <v/>
      </c>
      <c r="M2832" s="1751" t="str">
        <f t="shared" si="1330"/>
        <v/>
      </c>
      <c r="N2832" s="1752" t="str">
        <f t="shared" si="1330"/>
        <v/>
      </c>
      <c r="O2832" s="485"/>
      <c r="P2832" s="485"/>
      <c r="Q2832" s="1644" t="str">
        <f>EUconst_CNTR_WGConsumed &amp; I2589</f>
        <v>WasteGasCons_</v>
      </c>
      <c r="S2832" s="1435"/>
      <c r="T2832" s="1435"/>
      <c r="U2832" s="1435"/>
      <c r="V2832" s="1435"/>
      <c r="W2832" s="1435"/>
      <c r="X2832" s="1435"/>
      <c r="Y2832" s="1435"/>
      <c r="Z2832" s="1435"/>
    </row>
    <row r="2833" spans="2:37" ht="12.75" customHeight="1">
      <c r="B2833" s="479"/>
      <c r="C2833" s="977"/>
      <c r="D2833" s="777" t="s">
        <v>65</v>
      </c>
      <c r="E2833" s="2475" t="s">
        <v>1307</v>
      </c>
      <c r="F2833" s="2410"/>
      <c r="G2833" s="815" t="str">
        <f>EUconst_tCO2pTJ</f>
        <v>t CO2 / TJ</v>
      </c>
      <c r="H2833" s="1479" t="str">
        <f>c_ALR2025!M5359</f>
        <v/>
      </c>
      <c r="I2833" s="1532"/>
      <c r="J2833" s="1811"/>
      <c r="K2833" s="1751"/>
      <c r="L2833" s="1751"/>
      <c r="M2833" s="1751"/>
      <c r="N2833" s="1752"/>
      <c r="O2833" s="485"/>
      <c r="P2833" s="9"/>
      <c r="Q2833" s="1644" t="str">
        <f>EUconst_CNTR_WGConsumedEF &amp; I2589</f>
        <v>WasteGasConsEF_</v>
      </c>
      <c r="S2833" s="1435"/>
      <c r="T2833" s="1435"/>
      <c r="U2833" s="1435"/>
      <c r="V2833" s="1435"/>
      <c r="W2833" s="1435"/>
      <c r="X2833" s="1435"/>
      <c r="Y2833" s="1435"/>
      <c r="Z2833" s="1435"/>
      <c r="AB2833" s="1641" t="s">
        <v>717</v>
      </c>
      <c r="AC2833" s="1443" t="b">
        <f>AC2831</f>
        <v>0</v>
      </c>
      <c r="AD2833" s="1443" t="b">
        <f t="shared" ref="AD2833:AI2833" si="1331">AD2831</f>
        <v>0</v>
      </c>
      <c r="AE2833" s="1443" t="b">
        <f t="shared" si="1331"/>
        <v>0</v>
      </c>
      <c r="AF2833" s="1443" t="b">
        <f t="shared" si="1331"/>
        <v>0</v>
      </c>
      <c r="AG2833" s="1443" t="b">
        <f t="shared" si="1331"/>
        <v>0</v>
      </c>
      <c r="AH2833" s="1443" t="b">
        <f t="shared" si="1331"/>
        <v>0</v>
      </c>
      <c r="AI2833" s="1443" t="b">
        <f t="shared" si="1331"/>
        <v>0</v>
      </c>
      <c r="AJ2833" s="1633" t="s">
        <v>1954</v>
      </c>
      <c r="AK2833" s="1635" t="str">
        <f>IF(AND(CNTR_ExistSubInstEntries,MSconst_RequireSubAttrEmissions,COUNTIFS(AC2833:AI2833,FALSE,H2833:N2833,"")&gt;0),EUconst_Error&amp;"BM"&amp;$Q2589,"")</f>
        <v/>
      </c>
    </row>
    <row r="2834" spans="2:37" ht="12.75" customHeight="1">
      <c r="B2834" s="479"/>
      <c r="C2834" s="977"/>
      <c r="D2834" s="981"/>
      <c r="E2834" s="981"/>
      <c r="F2834" s="981"/>
      <c r="G2834" s="981"/>
      <c r="H2834" s="983"/>
      <c r="I2834" s="981"/>
      <c r="J2834" s="981"/>
      <c r="K2834" s="981"/>
      <c r="L2834" s="981"/>
      <c r="M2834" s="813"/>
      <c r="N2834" s="814"/>
      <c r="O2834" s="485"/>
      <c r="P2834" s="485"/>
      <c r="Q2834" s="1435"/>
      <c r="S2834" s="1435"/>
      <c r="T2834" s="1435"/>
      <c r="U2834" s="1435"/>
      <c r="V2834" s="1435"/>
    </row>
    <row r="2835" spans="2:37" ht="12.75" customHeight="1">
      <c r="B2835" s="479"/>
      <c r="C2835" s="977"/>
      <c r="D2835" s="777" t="s">
        <v>66</v>
      </c>
      <c r="E2835" s="2649" t="s">
        <v>1287</v>
      </c>
      <c r="F2835" s="2391"/>
      <c r="G2835" s="2391"/>
      <c r="H2835" s="2512"/>
      <c r="I2835" s="3211" t="str">
        <f>c_ALR2025!I5361</f>
        <v/>
      </c>
      <c r="J2835" s="3206"/>
      <c r="K2835" s="3206"/>
      <c r="L2835" s="3206"/>
      <c r="M2835" s="3207"/>
      <c r="N2835" s="979"/>
      <c r="O2835" s="485"/>
      <c r="P2835" s="9"/>
      <c r="Q2835" s="1435"/>
      <c r="S2835" s="1435"/>
      <c r="AC2835" s="1641" t="s">
        <v>717</v>
      </c>
      <c r="AD2835" s="1443" t="b">
        <f>AD2826</f>
        <v>0</v>
      </c>
    </row>
    <row r="2836" spans="2:37" ht="12.75" customHeight="1">
      <c r="B2836" s="479"/>
      <c r="C2836" s="977"/>
      <c r="D2836" s="777"/>
      <c r="E2836" s="3267" t="s">
        <v>1476</v>
      </c>
      <c r="F2836" s="2380"/>
      <c r="G2836" s="2380"/>
      <c r="H2836" s="2380"/>
      <c r="I2836" s="2380"/>
      <c r="J2836" s="2380"/>
      <c r="K2836" s="2380"/>
      <c r="L2836" s="2380"/>
      <c r="M2836" s="2380"/>
      <c r="N2836" s="3268"/>
      <c r="O2836" s="485"/>
      <c r="P2836" s="485"/>
      <c r="Q2836" s="1435"/>
      <c r="T2836" s="1435"/>
      <c r="U2836" s="1435"/>
      <c r="V2836" s="1435"/>
    </row>
    <row r="2837" spans="2:37" ht="12.75" customHeight="1">
      <c r="B2837" s="479"/>
      <c r="C2837" s="977"/>
      <c r="D2837" s="981"/>
      <c r="E2837" s="3267" t="s">
        <v>1558</v>
      </c>
      <c r="F2837" s="2380"/>
      <c r="G2837" s="2380"/>
      <c r="H2837" s="2380"/>
      <c r="I2837" s="2380"/>
      <c r="J2837" s="2380"/>
      <c r="K2837" s="2380"/>
      <c r="L2837" s="2380"/>
      <c r="M2837" s="2380"/>
      <c r="N2837" s="3268"/>
      <c r="O2837" s="485"/>
      <c r="P2837" s="485"/>
      <c r="Q2837" s="1435"/>
      <c r="S2837" s="1435"/>
      <c r="T2837" s="1435"/>
      <c r="U2837" s="1435"/>
      <c r="V2837" s="1435"/>
    </row>
    <row r="2838" spans="2:37" ht="12.75" customHeight="1">
      <c r="B2838" s="479"/>
      <c r="C2838" s="977"/>
      <c r="D2838" s="981"/>
      <c r="E2838" s="3272" t="s">
        <v>1559</v>
      </c>
      <c r="F2838" s="2380"/>
      <c r="G2838" s="2380"/>
      <c r="H2838" s="2380"/>
      <c r="I2838" s="2380"/>
      <c r="J2838" s="2380"/>
      <c r="K2838" s="2380"/>
      <c r="L2838" s="2380"/>
      <c r="M2838" s="2380"/>
      <c r="N2838" s="3268"/>
      <c r="O2838" s="485"/>
      <c r="P2838" s="485"/>
      <c r="Q2838" s="1435"/>
      <c r="S2838" s="1435"/>
      <c r="T2838" s="1435"/>
      <c r="U2838" s="1435"/>
      <c r="V2838" s="1435"/>
      <c r="W2838" s="1435"/>
      <c r="X2838" s="1435"/>
      <c r="Y2838" s="1435"/>
      <c r="Z2838" s="1435"/>
    </row>
    <row r="2839" spans="2:37" ht="12.75" customHeight="1" thickBot="1">
      <c r="B2839" s="479"/>
      <c r="C2839" s="977"/>
      <c r="D2839" s="981"/>
      <c r="E2839" s="989"/>
      <c r="F2839" s="990"/>
      <c r="G2839" s="987" t="str">
        <f>EUconst_Unit</f>
        <v>Unit</v>
      </c>
      <c r="H2839" s="782">
        <f t="shared" ref="H2839:N2839" si="1332">H$3242</f>
        <v>2024</v>
      </c>
      <c r="I2839" s="988">
        <f t="shared" si="1332"/>
        <v>2025</v>
      </c>
      <c r="J2839" s="1810">
        <f t="shared" si="1332"/>
        <v>2026</v>
      </c>
      <c r="K2839" s="1747">
        <f t="shared" si="1332"/>
        <v>2027</v>
      </c>
      <c r="L2839" s="1747">
        <f t="shared" si="1332"/>
        <v>2028</v>
      </c>
      <c r="M2839" s="1747">
        <f t="shared" si="1332"/>
        <v>2029</v>
      </c>
      <c r="N2839" s="1748">
        <f t="shared" si="1332"/>
        <v>2030</v>
      </c>
      <c r="O2839" s="485"/>
      <c r="P2839" s="485"/>
      <c r="Q2839" s="1435"/>
      <c r="S2839" s="1435"/>
      <c r="T2839" s="1435"/>
      <c r="U2839" s="1435"/>
      <c r="V2839" s="1435"/>
      <c r="W2839" s="1435"/>
      <c r="X2839" s="1435"/>
      <c r="Y2839" s="1435"/>
      <c r="Z2839" s="1435"/>
      <c r="AC2839" s="1638">
        <f t="shared" ref="AC2839:AI2839" si="1333">H$20</f>
        <v>2024</v>
      </c>
      <c r="AD2839" s="1638">
        <f t="shared" si="1333"/>
        <v>2025</v>
      </c>
      <c r="AE2839" s="1638">
        <f t="shared" si="1333"/>
        <v>2026</v>
      </c>
      <c r="AF2839" s="1638">
        <f t="shared" si="1333"/>
        <v>2027</v>
      </c>
      <c r="AG2839" s="1638">
        <f t="shared" si="1333"/>
        <v>2028</v>
      </c>
      <c r="AH2839" s="1638">
        <f t="shared" si="1333"/>
        <v>2029</v>
      </c>
      <c r="AI2839" s="1638">
        <f t="shared" si="1333"/>
        <v>2030</v>
      </c>
    </row>
    <row r="2840" spans="2:37" ht="12.75" customHeight="1">
      <c r="B2840" s="479"/>
      <c r="C2840" s="977"/>
      <c r="D2840" s="777" t="s">
        <v>1105</v>
      </c>
      <c r="E2840" s="2471" t="s">
        <v>1302</v>
      </c>
      <c r="F2840" s="2472"/>
      <c r="G2840" s="1763" t="str">
        <f>c_ALR2025!G5366</f>
        <v/>
      </c>
      <c r="H2840" s="1552" t="str">
        <f>c_ALR2025!M5366</f>
        <v/>
      </c>
      <c r="I2840" s="1611"/>
      <c r="J2840" s="1811"/>
      <c r="K2840" s="1751"/>
      <c r="L2840" s="1751"/>
      <c r="M2840" s="1751"/>
      <c r="N2840" s="1752"/>
      <c r="O2840" s="485"/>
      <c r="P2840" s="9"/>
      <c r="Q2840" s="1435"/>
      <c r="S2840" s="1435"/>
      <c r="T2840" s="1435"/>
      <c r="U2840" s="1435"/>
      <c r="V2840" s="1435"/>
      <c r="W2840" s="1435"/>
      <c r="X2840" s="1435"/>
      <c r="Y2840" s="1435"/>
      <c r="Z2840" s="1435"/>
      <c r="AB2840" s="1641" t="s">
        <v>717</v>
      </c>
      <c r="AC2840" s="1443" t="b">
        <f>AC2830</f>
        <v>0</v>
      </c>
      <c r="AD2840" s="1443" t="b">
        <f t="shared" ref="AD2840:AI2840" si="1334">AD2830</f>
        <v>0</v>
      </c>
      <c r="AE2840" s="1443" t="b">
        <f t="shared" si="1334"/>
        <v>0</v>
      </c>
      <c r="AF2840" s="1443" t="b">
        <f t="shared" si="1334"/>
        <v>0</v>
      </c>
      <c r="AG2840" s="1443" t="b">
        <f t="shared" si="1334"/>
        <v>0</v>
      </c>
      <c r="AH2840" s="1443" t="b">
        <f t="shared" si="1334"/>
        <v>0</v>
      </c>
      <c r="AI2840" s="1443" t="b">
        <f t="shared" si="1334"/>
        <v>0</v>
      </c>
      <c r="AJ2840" s="1633" t="s">
        <v>1954</v>
      </c>
      <c r="AK2840" s="1635" t="str">
        <f>IF(AND(CNTR_ExistSubInstEntries,MSconst_RequireSubAttrEmissions,COUNTIFS(AC2840:AI2840,FALSE,H2840:N2840,"")&gt;0),EUconst_Error&amp;"BM"&amp;$Q2589,"")</f>
        <v/>
      </c>
    </row>
    <row r="2841" spans="2:37" ht="12.75" customHeight="1">
      <c r="B2841" s="479"/>
      <c r="C2841" s="977"/>
      <c r="D2841" s="777" t="s">
        <v>1106</v>
      </c>
      <c r="E2841" s="2473" t="s">
        <v>661</v>
      </c>
      <c r="F2841" s="2474"/>
      <c r="G2841" s="1008" t="e">
        <f>IF(ISBLANK(G2840),EUconst_GJperUnit,INDEX(EUconst_GJperTorKNm3,MATCH(G2840,EUconst_TonnesOrkNm3pa,0)))</f>
        <v>#N/A</v>
      </c>
      <c r="H2841" s="1558" t="str">
        <f>c_ALR2025!M5367</f>
        <v/>
      </c>
      <c r="I2841" s="1884"/>
      <c r="J2841" s="1811"/>
      <c r="K2841" s="1751"/>
      <c r="L2841" s="1751"/>
      <c r="M2841" s="1751"/>
      <c r="N2841" s="1752"/>
      <c r="O2841" s="485"/>
      <c r="P2841" s="9"/>
      <c r="S2841" s="1435"/>
      <c r="T2841" s="1435"/>
      <c r="U2841" s="1435"/>
      <c r="V2841" s="1435"/>
      <c r="W2841" s="1435"/>
      <c r="X2841" s="1435"/>
      <c r="Y2841" s="1435"/>
      <c r="Z2841" s="1435"/>
      <c r="AC2841" s="1443" t="b">
        <f>AC2840</f>
        <v>0</v>
      </c>
      <c r="AD2841" s="1443" t="b">
        <f t="shared" ref="AD2841:AI2841" si="1335">AD2840</f>
        <v>0</v>
      </c>
      <c r="AE2841" s="1443" t="b">
        <f t="shared" si="1335"/>
        <v>0</v>
      </c>
      <c r="AF2841" s="1443" t="b">
        <f t="shared" si="1335"/>
        <v>0</v>
      </c>
      <c r="AG2841" s="1443" t="b">
        <f t="shared" si="1335"/>
        <v>0</v>
      </c>
      <c r="AH2841" s="1443" t="b">
        <f t="shared" si="1335"/>
        <v>0</v>
      </c>
      <c r="AI2841" s="1443" t="b">
        <f t="shared" si="1335"/>
        <v>0</v>
      </c>
      <c r="AJ2841" s="1633" t="s">
        <v>1954</v>
      </c>
      <c r="AK2841" s="1635" t="str">
        <f>IF(AND(CNTR_ExistSubInstEntries,MSconst_RequireSubAttrEmissions,COUNTIFS(AC2841:AI2841,FALSE,H2841:N2841,"")&gt;0),EUconst_Error&amp;"BM"&amp;$Q2589,"")</f>
        <v/>
      </c>
    </row>
    <row r="2842" spans="2:37" ht="12.75" customHeight="1">
      <c r="B2842" s="479"/>
      <c r="C2842" s="977"/>
      <c r="D2842" s="777" t="s">
        <v>1107</v>
      </c>
      <c r="E2842" s="2475" t="s">
        <v>1288</v>
      </c>
      <c r="F2842" s="2410"/>
      <c r="G2842" s="815" t="str">
        <f>EUconst_TJpa</f>
        <v>TJ / year</v>
      </c>
      <c r="H2842" s="1005" t="str">
        <f t="shared" ref="H2842:N2842" si="1336">IF(COUNT(H2840:H2841)=2,H2840*H2841/1000,"")</f>
        <v/>
      </c>
      <c r="I2842" s="1006" t="str">
        <f t="shared" si="1336"/>
        <v/>
      </c>
      <c r="J2842" s="1811" t="str">
        <f t="shared" si="1336"/>
        <v/>
      </c>
      <c r="K2842" s="1751" t="str">
        <f t="shared" si="1336"/>
        <v/>
      </c>
      <c r="L2842" s="1751" t="str">
        <f t="shared" si="1336"/>
        <v/>
      </c>
      <c r="M2842" s="1751" t="str">
        <f t="shared" si="1336"/>
        <v/>
      </c>
      <c r="N2842" s="1752" t="str">
        <f t="shared" si="1336"/>
        <v/>
      </c>
      <c r="O2842" s="485"/>
      <c r="P2842" s="485"/>
      <c r="Q2842" s="1644" t="str">
        <f>EUconst_CNTR_WGFlared &amp; I2589</f>
        <v>WasteGasFlare_</v>
      </c>
      <c r="S2842" s="1435"/>
      <c r="T2842" s="1435"/>
      <c r="U2842" s="1435"/>
      <c r="V2842" s="1435"/>
      <c r="W2842" s="1435"/>
      <c r="X2842" s="1435"/>
      <c r="Y2842" s="1435"/>
      <c r="Z2842" s="1435"/>
    </row>
    <row r="2843" spans="2:37" ht="12.75" customHeight="1">
      <c r="B2843" s="479"/>
      <c r="C2843" s="977"/>
      <c r="D2843" s="777" t="s">
        <v>1108</v>
      </c>
      <c r="E2843" s="2475" t="s">
        <v>1308</v>
      </c>
      <c r="F2843" s="2410"/>
      <c r="G2843" s="815" t="str">
        <f>EUconst_tCO2pTJ</f>
        <v>t CO2 / TJ</v>
      </c>
      <c r="H2843" s="1479" t="str">
        <f>c_ALR2025!M5369</f>
        <v/>
      </c>
      <c r="I2843" s="1532"/>
      <c r="J2843" s="1811"/>
      <c r="K2843" s="1751"/>
      <c r="L2843" s="1751"/>
      <c r="M2843" s="1751"/>
      <c r="N2843" s="1752"/>
      <c r="O2843" s="485"/>
      <c r="P2843" s="9"/>
      <c r="Q2843" s="1644" t="str">
        <f>EUconst_CNTR_WGFlaredEF &amp; I2589</f>
        <v>WasteGasFlareEF_</v>
      </c>
      <c r="S2843" s="1435"/>
      <c r="T2843" s="1435"/>
      <c r="U2843" s="1435"/>
      <c r="V2843" s="1435"/>
      <c r="W2843" s="1435"/>
      <c r="X2843" s="1435"/>
      <c r="Y2843" s="1435"/>
      <c r="Z2843" s="1435"/>
      <c r="AB2843" s="1641" t="s">
        <v>717</v>
      </c>
      <c r="AC2843" s="1443" t="b">
        <f>AC2841</f>
        <v>0</v>
      </c>
      <c r="AD2843" s="1443" t="b">
        <f t="shared" ref="AD2843:AI2843" si="1337">AD2841</f>
        <v>0</v>
      </c>
      <c r="AE2843" s="1443" t="b">
        <f t="shared" si="1337"/>
        <v>0</v>
      </c>
      <c r="AF2843" s="1443" t="b">
        <f t="shared" si="1337"/>
        <v>0</v>
      </c>
      <c r="AG2843" s="1443" t="b">
        <f t="shared" si="1337"/>
        <v>0</v>
      </c>
      <c r="AH2843" s="1443" t="b">
        <f t="shared" si="1337"/>
        <v>0</v>
      </c>
      <c r="AI2843" s="1443" t="b">
        <f t="shared" si="1337"/>
        <v>0</v>
      </c>
      <c r="AJ2843" s="1633" t="s">
        <v>1954</v>
      </c>
      <c r="AK2843" s="1635" t="str">
        <f>IF(AND(CNTR_ExistSubInstEntries,MSconst_RequireSubAttrEmissions,COUNTIFS(AC2843:AI2843,FALSE,H2843:N2843,"")&gt;0),EUconst_Error&amp;"BM"&amp;$Q2589,"")</f>
        <v/>
      </c>
    </row>
    <row r="2844" spans="2:37" ht="5.0999999999999996" customHeight="1" thickBot="1">
      <c r="B2844" s="479"/>
      <c r="C2844" s="977"/>
      <c r="D2844" s="981"/>
      <c r="E2844" s="981"/>
      <c r="F2844" s="981"/>
      <c r="G2844" s="981"/>
      <c r="H2844" s="983"/>
      <c r="I2844" s="981"/>
      <c r="J2844" s="1815"/>
      <c r="K2844" s="1760"/>
      <c r="L2844" s="1760"/>
      <c r="M2844" s="1760"/>
      <c r="N2844" s="1761"/>
      <c r="O2844" s="485"/>
      <c r="P2844" s="485"/>
      <c r="Q2844" s="1435"/>
      <c r="S2844" s="1435"/>
      <c r="T2844" s="1435"/>
      <c r="U2844" s="1435"/>
      <c r="V2844" s="1435"/>
    </row>
    <row r="2845" spans="2:37" ht="12.75" customHeight="1" thickBot="1">
      <c r="B2845" s="479"/>
      <c r="C2845" s="977"/>
      <c r="D2845" s="981"/>
      <c r="E2845" s="2475" t="s">
        <v>1844</v>
      </c>
      <c r="F2845" s="2475"/>
      <c r="G2845" s="1009" t="str">
        <f>EUconst_tCO2</f>
        <v>t CO2</v>
      </c>
      <c r="H2845" s="638" t="str">
        <f t="shared" ref="H2845:N2845" si="1338">IF(T2597,SUM(H2842)*SUM(H2843),"")</f>
        <v/>
      </c>
      <c r="I2845" s="684" t="str">
        <f t="shared" si="1338"/>
        <v/>
      </c>
      <c r="J2845" s="1815" t="str">
        <f t="shared" si="1338"/>
        <v/>
      </c>
      <c r="K2845" s="1760" t="str">
        <f t="shared" si="1338"/>
        <v/>
      </c>
      <c r="L2845" s="1760" t="str">
        <f t="shared" si="1338"/>
        <v/>
      </c>
      <c r="M2845" s="1760" t="str">
        <f t="shared" si="1338"/>
        <v/>
      </c>
      <c r="N2845" s="1761" t="str">
        <f t="shared" si="1338"/>
        <v/>
      </c>
      <c r="O2845" s="485"/>
      <c r="P2845" s="485"/>
      <c r="Q2845" s="1644" t="str">
        <f>EUconst_CNTR_HAL &amp; EUconst_CNTR_WGFlared &amp; I2589</f>
        <v>HAL_WasteGasFlare_</v>
      </c>
      <c r="S2845" s="1633" t="s">
        <v>1758</v>
      </c>
      <c r="T2845" s="1629" t="b">
        <f>CNTR_SubPeriod=2</f>
        <v>1</v>
      </c>
      <c r="U2845" s="1435"/>
      <c r="V2845" s="1435"/>
    </row>
    <row r="2846" spans="2:37" ht="5.0999999999999996" customHeight="1" thickBot="1">
      <c r="B2846" s="479"/>
      <c r="C2846" s="977"/>
      <c r="D2846" s="981"/>
      <c r="E2846" s="981"/>
      <c r="F2846" s="981"/>
      <c r="G2846" s="981"/>
      <c r="H2846" s="983"/>
      <c r="I2846" s="981"/>
      <c r="J2846" s="981"/>
      <c r="K2846" s="981"/>
      <c r="L2846" s="981"/>
      <c r="M2846" s="813"/>
      <c r="N2846" s="814"/>
      <c r="O2846" s="485"/>
      <c r="P2846" s="485"/>
      <c r="Q2846" s="1435"/>
      <c r="S2846" s="1435"/>
      <c r="T2846" s="1435"/>
      <c r="U2846" s="1435"/>
      <c r="V2846" s="1435"/>
    </row>
    <row r="2847" spans="2:37" ht="5.0999999999999996" customHeight="1" thickBot="1">
      <c r="B2847" s="479"/>
      <c r="C2847" s="977"/>
      <c r="D2847" s="1010"/>
      <c r="E2847" s="1011"/>
      <c r="F2847" s="1011"/>
      <c r="G2847" s="1011"/>
      <c r="H2847" s="1012"/>
      <c r="I2847" s="1011"/>
      <c r="J2847" s="1765"/>
      <c r="K2847" s="1760"/>
      <c r="L2847" s="1760"/>
      <c r="M2847" s="1760"/>
      <c r="N2847" s="1761"/>
      <c r="O2847" s="485"/>
      <c r="P2847" s="485"/>
      <c r="Q2847" s="1435"/>
      <c r="S2847" s="1435"/>
      <c r="T2847" s="1435"/>
      <c r="U2847" s="1435"/>
      <c r="V2847" s="1435"/>
    </row>
    <row r="2848" spans="2:37" ht="12.75" customHeight="1">
      <c r="B2848" s="479"/>
      <c r="C2848" s="977"/>
      <c r="D2848" s="907" t="s">
        <v>1917</v>
      </c>
      <c r="E2848" s="2713" t="s">
        <v>1773</v>
      </c>
      <c r="F2848" s="2493"/>
      <c r="G2848" s="2493"/>
      <c r="H2848" s="910" t="str">
        <f>EUconst_Unit</f>
        <v>Unit</v>
      </c>
      <c r="I2848" s="911" t="s">
        <v>2213</v>
      </c>
      <c r="J2848" s="1647">
        <f>J$3242</f>
        <v>2026</v>
      </c>
      <c r="K2848" s="1747">
        <f>K$3242</f>
        <v>2027</v>
      </c>
      <c r="L2848" s="1747">
        <f>L$3242</f>
        <v>2028</v>
      </c>
      <c r="M2848" s="1747">
        <f>M$3242</f>
        <v>2029</v>
      </c>
      <c r="N2848" s="1748">
        <f>N$3242</f>
        <v>2030</v>
      </c>
      <c r="O2848" s="485"/>
      <c r="P2848" s="485"/>
      <c r="Q2848" s="1435"/>
      <c r="U2848" s="1648"/>
      <c r="V2848" s="1649">
        <f>J2848</f>
        <v>2026</v>
      </c>
      <c r="W2848" s="1649">
        <f>K2848</f>
        <v>2027</v>
      </c>
      <c r="X2848" s="1649">
        <f>L2848</f>
        <v>2028</v>
      </c>
      <c r="Y2848" s="1649">
        <f>M2848</f>
        <v>2029</v>
      </c>
      <c r="Z2848" s="1650">
        <f>N2848</f>
        <v>2030</v>
      </c>
    </row>
    <row r="2849" spans="1:37" ht="12.75" customHeight="1">
      <c r="B2849" s="479"/>
      <c r="C2849" s="977"/>
      <c r="D2849" s="915" t="s">
        <v>6</v>
      </c>
      <c r="E2849" s="2714" t="s">
        <v>1691</v>
      </c>
      <c r="F2849" s="2410"/>
      <c r="G2849" s="2410"/>
      <c r="H2849" s="944" t="str">
        <f>G2845</f>
        <v>t CO2</v>
      </c>
      <c r="I2849" s="917" t="str">
        <f>INDEX('B+C_SubInstallations'!$K:$K,MATCH(Q2849,'B+C_SubInstallations'!$V:$V,0))</f>
        <v/>
      </c>
      <c r="J2849" s="1703" t="str">
        <f>IF($T2845&lt;&gt;TRUE,"",IF(AND(V2849&gt;=3,CNTR_ReportingYear&gt;J2848-1),AVERAGE(SUM(H2845),SUM(I2845)),""))</f>
        <v/>
      </c>
      <c r="K2849" s="1766" t="str">
        <f>IF($T2845&lt;&gt;TRUE,"",IF(AND(W2849&gt;=3,CNTR_ReportingYear&gt;K2848-1),AVERAGE(SUM(I2845),SUM(J2845)),""))</f>
        <v/>
      </c>
      <c r="L2849" s="1766" t="str">
        <f>IF($T2845&lt;&gt;TRUE,"",IF(AND(X2849&gt;=3,CNTR_ReportingYear&gt;L2848-1),AVERAGE(SUM(J2845),SUM(K2845)),""))</f>
        <v/>
      </c>
      <c r="M2849" s="1766" t="str">
        <f>IF($T2845&lt;&gt;TRUE,"",IF(AND(Y2849&gt;=3,CNTR_ReportingYear&gt;M2848-1),AVERAGE(SUM(K2845),SUM(L2845)),""))</f>
        <v/>
      </c>
      <c r="N2849" s="1767" t="str">
        <f>IF($T2845&lt;&gt;TRUE,"",IF(AND(Z2849&gt;=3,CNTR_ReportingYear&gt;N2848-1),AVERAGE(SUM(L2845),SUM(M2845)),""))</f>
        <v/>
      </c>
      <c r="O2849" s="485"/>
      <c r="P2849" s="485"/>
      <c r="Q2849" s="1644" t="str">
        <f>EUconst_CNTR_HALinitial &amp; EUconst_CNTR_WGFlared &amp; I2589</f>
        <v>HALini_WasteGasFlare_</v>
      </c>
      <c r="U2849" s="1693" t="s">
        <v>1650</v>
      </c>
      <c r="V2849" s="1635">
        <f>V2611</f>
        <v>0</v>
      </c>
      <c r="W2849" s="1635">
        <f>W2611</f>
        <v>0</v>
      </c>
      <c r="X2849" s="1635">
        <f>X2611</f>
        <v>0</v>
      </c>
      <c r="Y2849" s="1635">
        <f>Y2611</f>
        <v>0</v>
      </c>
      <c r="Z2849" s="1654">
        <f>Z2611</f>
        <v>0</v>
      </c>
    </row>
    <row r="2850" spans="1:37" ht="12.75" hidden="1" customHeight="1">
      <c r="A2850" s="618" t="s">
        <v>2289</v>
      </c>
      <c r="B2850" s="479"/>
      <c r="C2850" s="977"/>
      <c r="D2850" s="915"/>
      <c r="E2850" s="2714" t="s">
        <v>1776</v>
      </c>
      <c r="F2850" s="2410"/>
      <c r="G2850" s="2410"/>
      <c r="H2850" s="921"/>
      <c r="I2850" s="1657"/>
      <c r="J2850" s="17" t="str">
        <f>IF(J2849="","",IF($I2852=0,IF(J2849=0,0%,100%),J2849/$I2852-1))</f>
        <v/>
      </c>
      <c r="K2850" s="18" t="str">
        <f>IF(K2849="","",IF($I2852=0,IF(K2849=0,0%,100%),K2849/$I2852-1))</f>
        <v/>
      </c>
      <c r="L2850" s="18" t="str">
        <f>IF(L2849="","",IF($I2852=0,IF(L2849=0,0%,100%),L2849/$I2852-1))</f>
        <v/>
      </c>
      <c r="M2850" s="18" t="str">
        <f>IF(M2849="","",IF($I2852=0,IF(M2849=0,0%,100%),M2849/$I2852-1))</f>
        <v/>
      </c>
      <c r="N2850" s="38" t="str">
        <f>IF(N2849="","",IF($I2852=0,IF(N2849=0,0%,100%),N2849/$I2852-1))</f>
        <v/>
      </c>
      <c r="O2850" s="485"/>
      <c r="P2850" s="485"/>
      <c r="Q2850" s="1644" t="str">
        <f>EUconst_CNTR_RelThreshold &amp; Q2852</f>
        <v>RelThresh_HALprelim_WasteGasFlare_</v>
      </c>
      <c r="U2850" s="1693" t="s">
        <v>1655</v>
      </c>
      <c r="V2850" s="1158" t="str">
        <f>IF(J2849="","",ABS(J2850)&gt;15%)</f>
        <v/>
      </c>
      <c r="W2850" s="1158" t="str">
        <f>IF(K2849="","",ABS(K2850)&gt;15%)</f>
        <v/>
      </c>
      <c r="X2850" s="1158" t="str">
        <f>IF(L2849="","",ABS(L2850)&gt;15%)</f>
        <v/>
      </c>
      <c r="Y2850" s="1158" t="str">
        <f>IF(M2849="","",ABS(M2850)&gt;15%)</f>
        <v/>
      </c>
      <c r="Z2850" s="1656" t="str">
        <f>IF(N2849="","",ABS(N2850)&gt;15%)</f>
        <v/>
      </c>
    </row>
    <row r="2851" spans="1:37" ht="12.75" customHeight="1">
      <c r="A2851" s="618"/>
      <c r="B2851" s="479"/>
      <c r="C2851" s="977"/>
      <c r="D2851" s="915" t="s">
        <v>7</v>
      </c>
      <c r="E2851" s="2714" t="s">
        <v>1654</v>
      </c>
      <c r="F2851" s="2410"/>
      <c r="G2851" s="2410"/>
      <c r="H2851" s="921"/>
      <c r="I2851" s="1657"/>
      <c r="J2851" s="1658" t="str">
        <f>IF(J2849="","",IF(V2850=FALSE,0%,J2850))</f>
        <v/>
      </c>
      <c r="K2851" s="1768" t="str">
        <f>IF(K2849="","",IF(W2850=FALSE,0%,K2850))</f>
        <v/>
      </c>
      <c r="L2851" s="1768" t="str">
        <f>IF(L2849="","",IF(X2850=FALSE,0%,L2850))</f>
        <v/>
      </c>
      <c r="M2851" s="1768" t="str">
        <f>IF(M2849="","",IF(Y2850=FALSE,0%,M2850))</f>
        <v/>
      </c>
      <c r="N2851" s="1769" t="str">
        <f>IF(N2849="","",IF(Z2850=FALSE,0%,N2850))</f>
        <v/>
      </c>
      <c r="O2851" s="485"/>
      <c r="P2851" s="485"/>
      <c r="Q2851" s="1435"/>
      <c r="U2851" s="1694"/>
      <c r="Z2851" s="1664"/>
    </row>
    <row r="2852" spans="1:37" ht="12.75" hidden="1" customHeight="1">
      <c r="A2852" s="618" t="s">
        <v>2289</v>
      </c>
      <c r="B2852" s="479"/>
      <c r="C2852" s="977"/>
      <c r="D2852" s="915"/>
      <c r="E2852" s="2714" t="s">
        <v>1689</v>
      </c>
      <c r="F2852" s="2410"/>
      <c r="G2852" s="2410"/>
      <c r="H2852" s="944" t="str">
        <f>H2849</f>
        <v>t CO2</v>
      </c>
      <c r="I2852" s="917" t="str">
        <f>IF($I2589="","",IF(AB2589=FALSE,EUconst_NA,IF(V2589&gt;($J$3242-3),INDEX(H2845:N2845,MATCH(V2589,H2839:N2839,0)),SUM(I2849))))</f>
        <v/>
      </c>
      <c r="J2852" s="1651" t="str">
        <f>IF($I2589="","",IF(V2849&lt;2,SUM(J2845),IF(V2849&lt;3,SUM(I2845),IF(V2852="",I2852,V2852))))</f>
        <v/>
      </c>
      <c r="K2852" s="1766" t="str">
        <f>IF($I2589="","",IF(W2849&lt;2,SUM(K2845),IF(W2849&lt;3,SUM(J2845),IF(W2852="",J2852,W2852))))</f>
        <v/>
      </c>
      <c r="L2852" s="1766" t="str">
        <f>IF($I2589="","",IF(X2849&lt;2,SUM(L2845),IF(X2849&lt;3,SUM(K2845),IF(X2852="",K2852,X2852))))</f>
        <v/>
      </c>
      <c r="M2852" s="1766" t="str">
        <f>IF($I2589="","",IF(Y2849&lt;2,SUM(M2845),IF(Y2849&lt;3,SUM(L2845),IF(Y2852="",L2852,Y2852))))</f>
        <v/>
      </c>
      <c r="N2852" s="1767" t="str">
        <f>IF($I2589="","",IF(Z2849&lt;2,SUM(N2845),IF(Z2849&lt;3,SUM(M2845),IF(Z2852="",M2852,Z2852))))</f>
        <v/>
      </c>
      <c r="O2852" s="485"/>
      <c r="P2852" s="485"/>
      <c r="Q2852" s="1644" t="str">
        <f>EUconst_CNTR_HALprelim&amp;EUconst_CNTR_WGFlared &amp; I2589</f>
        <v>HALprelim_WasteGasFlare_</v>
      </c>
      <c r="U2852" s="1693" t="s">
        <v>1697</v>
      </c>
      <c r="V2852" s="1660" t="str">
        <f>IF(J2849="","",IF(CNTR_ReportingYear&lt;J2848,I2851,IF($I2852=0,J2849,$I2852*(1+J2851))))</f>
        <v/>
      </c>
      <c r="W2852" s="1660" t="str">
        <f>IF(K2849="","",IF(CNTR_ReportingYear&lt;K2848,J2851,IF($I2852=0,K2849,$I2852*(1+K2851))))</f>
        <v/>
      </c>
      <c r="X2852" s="1660" t="str">
        <f>IF(L2849="","",IF(CNTR_ReportingYear&lt;L2848,K2851,IF($I2852=0,L2849,$I2852*(1+L2851))))</f>
        <v/>
      </c>
      <c r="Y2852" s="1660" t="str">
        <f>IF(M2849="","",IF(CNTR_ReportingYear&lt;M2848,L2851,IF($I2852=0,M2849,$I2852*(1+M2851))))</f>
        <v/>
      </c>
      <c r="Z2852" s="1661" t="str">
        <f>IF(N2849="","",IF(CNTR_ReportingYear&lt;N2848,M2851,IF($I2852=0,N2849,$I2852*(1+N2851))))</f>
        <v/>
      </c>
    </row>
    <row r="2853" spans="1:37" ht="5.0999999999999996" customHeight="1">
      <c r="A2853" s="618"/>
      <c r="B2853" s="479"/>
      <c r="C2853" s="977"/>
      <c r="D2853" s="915"/>
      <c r="E2853" s="909"/>
      <c r="F2853" s="909"/>
      <c r="G2853" s="909"/>
      <c r="H2853" s="909"/>
      <c r="I2853" s="909"/>
      <c r="J2853" s="922"/>
      <c r="K2853" s="1760"/>
      <c r="L2853" s="1760"/>
      <c r="M2853" s="1760"/>
      <c r="N2853" s="1761"/>
      <c r="O2853" s="485"/>
      <c r="P2853" s="485"/>
      <c r="Q2853" s="1435"/>
      <c r="U2853" s="1663"/>
      <c r="V2853" s="1435"/>
      <c r="Z2853" s="1664"/>
    </row>
    <row r="2854" spans="1:37" ht="12.75" customHeight="1">
      <c r="A2854" s="618"/>
      <c r="B2854" s="479"/>
      <c r="C2854" s="977"/>
      <c r="D2854" s="915"/>
      <c r="E2854" s="2713" t="s">
        <v>1653</v>
      </c>
      <c r="F2854" s="2493"/>
      <c r="G2854" s="2493"/>
      <c r="H2854" s="2493"/>
      <c r="I2854" s="2708"/>
      <c r="J2854" s="1647">
        <f>J$3242</f>
        <v>2026</v>
      </c>
      <c r="K2854" s="1747">
        <f>K$3242</f>
        <v>2027</v>
      </c>
      <c r="L2854" s="1747">
        <f>L$3242</f>
        <v>2028</v>
      </c>
      <c r="M2854" s="1747">
        <f>M$3242</f>
        <v>2029</v>
      </c>
      <c r="N2854" s="1748">
        <f>N$3242</f>
        <v>2030</v>
      </c>
      <c r="O2854" s="485"/>
      <c r="P2854" s="485"/>
      <c r="Q2854" s="1435"/>
      <c r="U2854" s="1665"/>
      <c r="Z2854" s="1664"/>
    </row>
    <row r="2855" spans="1:37" ht="12.75" customHeight="1">
      <c r="A2855" s="618"/>
      <c r="B2855" s="479"/>
      <c r="C2855" s="977"/>
      <c r="D2855" s="915" t="s">
        <v>8</v>
      </c>
      <c r="E2855" s="2714" t="s">
        <v>2108</v>
      </c>
      <c r="F2855" s="2410"/>
      <c r="G2855" s="2410"/>
      <c r="H2855" s="2410"/>
      <c r="I2855" s="2715"/>
      <c r="J2855" s="1666" t="str">
        <f>IF($I2589="","",INDEX(K_Summary!J:J,MATCH($Q2855,K_Summary!$P:$P,0)))</f>
        <v/>
      </c>
      <c r="K2855" s="1760" t="str">
        <f>IF($I2589="","",INDEX(K_Summary!K:K,MATCH($Q2855,K_Summary!$P:$P,0)))</f>
        <v/>
      </c>
      <c r="L2855" s="1760" t="str">
        <f>IF($I2589="","",INDEX(K_Summary!L:L,MATCH($Q2855,K_Summary!$P:$P,0)))</f>
        <v/>
      </c>
      <c r="M2855" s="1760" t="str">
        <f>IF($I2589="","",INDEX(K_Summary!M:M,MATCH($Q2855,K_Summary!$P:$P,0)))</f>
        <v/>
      </c>
      <c r="N2855" s="1761" t="str">
        <f>IF($I2589="","",INDEX(K_Summary!N:N,MATCH($Q2855,K_Summary!$P:$P,0)))</f>
        <v/>
      </c>
      <c r="O2855" s="485"/>
      <c r="P2855" s="485"/>
      <c r="Q2855" s="1644" t="str">
        <f>EUconst_CNTR_100EUA_WGFlare&amp;I2589</f>
        <v>EUA100WGFlare_</v>
      </c>
      <c r="U2855" s="1665"/>
      <c r="Z2855" s="1664"/>
    </row>
    <row r="2856" spans="1:37" ht="5.0999999999999996" customHeight="1" thickBot="1">
      <c r="A2856" s="618"/>
      <c r="B2856" s="479"/>
      <c r="C2856" s="977"/>
      <c r="D2856" s="915"/>
      <c r="E2856" s="909"/>
      <c r="F2856" s="909"/>
      <c r="G2856" s="909"/>
      <c r="H2856" s="909"/>
      <c r="I2856" s="909"/>
      <c r="J2856" s="922"/>
      <c r="K2856" s="1760"/>
      <c r="L2856" s="1760"/>
      <c r="M2856" s="1760"/>
      <c r="N2856" s="1761"/>
      <c r="O2856" s="485"/>
      <c r="P2856" s="485"/>
      <c r="Q2856" s="1435"/>
      <c r="U2856" s="1663"/>
      <c r="V2856" s="1435"/>
      <c r="Z2856" s="1664"/>
    </row>
    <row r="2857" spans="1:37" ht="12.75" customHeight="1" thickBot="1">
      <c r="B2857" s="479"/>
      <c r="C2857" s="977"/>
      <c r="D2857" s="915" t="s">
        <v>18</v>
      </c>
      <c r="E2857" s="2714" t="s">
        <v>1657</v>
      </c>
      <c r="F2857" s="2410"/>
      <c r="G2857" s="2410"/>
      <c r="H2857" s="2410"/>
      <c r="I2857" s="2715"/>
      <c r="J2857" s="1668" t="str">
        <f>IF(J2855="","",IF(OR(J2855,V2849&lt;1),J2851,I2857))</f>
        <v/>
      </c>
      <c r="K2857" s="1770" t="str">
        <f>IF(K2855="","",IF(OR(K2855,W2849&lt;1),K2851,J2857))</f>
        <v/>
      </c>
      <c r="L2857" s="1770" t="str">
        <f>IF(L2855="","",IF(OR(L2855,X2849&lt;1),L2851,K2857))</f>
        <v/>
      </c>
      <c r="M2857" s="1770" t="str">
        <f>IF(M2855="","",IF(OR(M2855,Y2849&lt;1),M2851,L2857))</f>
        <v/>
      </c>
      <c r="N2857" s="1771" t="str">
        <f>IF(N2855="","",IF(OR(N2855,Z2849&lt;1),N2851,M2857))</f>
        <v/>
      </c>
      <c r="O2857" s="485"/>
      <c r="P2857" s="485"/>
      <c r="Q2857" s="1435"/>
      <c r="U2857" s="1663" t="s">
        <v>1658</v>
      </c>
      <c r="V2857" s="1670">
        <f>J2854</f>
        <v>2026</v>
      </c>
      <c r="W2857" s="1670">
        <f>K2854</f>
        <v>2027</v>
      </c>
      <c r="X2857" s="1670">
        <f>L2854</f>
        <v>2028</v>
      </c>
      <c r="Y2857" s="1670">
        <f>M2854</f>
        <v>2029</v>
      </c>
      <c r="Z2857" s="1671">
        <f>N2854</f>
        <v>2030</v>
      </c>
    </row>
    <row r="2858" spans="1:37" ht="12.75" customHeight="1" thickBot="1">
      <c r="A2858" s="618"/>
      <c r="B2858" s="479"/>
      <c r="C2858" s="977"/>
      <c r="D2858" s="915" t="s">
        <v>787</v>
      </c>
      <c r="E2858" s="2714" t="s">
        <v>1659</v>
      </c>
      <c r="F2858" s="2410"/>
      <c r="G2858" s="2410"/>
      <c r="H2858" s="944" t="str">
        <f>H2849</f>
        <v>t CO2</v>
      </c>
      <c r="I2858" s="917" t="str">
        <f>I2852</f>
        <v/>
      </c>
      <c r="J2858" s="1672" t="str">
        <f>IF($I2589="","",IF(OR($I2858=0,$I2858=EUconst_NA),IF(OR(J2855=TRUE,J2854=$V2589),J2852,SUM(I2858)),IF(J2857="",J2852,$I2858*(1+SUM(J2857)))))</f>
        <v/>
      </c>
      <c r="K2858" s="1772" t="str">
        <f>IF($I2589="","",IF(OR($I2858=0,$I2858=EUconst_NA),IF(OR(K2855=TRUE,K2854=$V2589),K2852,SUM(J2858)),IF(K2857="",K2852,$I2858*(1+SUM(K2857)))))</f>
        <v/>
      </c>
      <c r="L2858" s="1772" t="str">
        <f>IF($I2589="","",IF(OR($I2858=0,$I2858=EUconst_NA),IF(OR(L2855=TRUE,L2854=$V2589),L2852,SUM(K2858)),IF(L2857="",L2852,$I2858*(1+SUM(L2857)))))</f>
        <v/>
      </c>
      <c r="M2858" s="1772" t="str">
        <f>IF($I2589="","",IF(OR($I2858=0,$I2858=EUconst_NA),IF(OR(M2855=TRUE,M2854=$V2589),M2852,SUM(L2858)),IF(M2857="",M2852,$I2858*(1+SUM(M2857)))))</f>
        <v/>
      </c>
      <c r="N2858" s="1773" t="str">
        <f>IF($I2589="","",IF(OR($I2858=0,$I2858=EUconst_NA),IF(OR(N2855=TRUE,N2854=$V2589),N2852,SUM(M2858)),IF(N2857="",N2852,$I2858*(1+SUM(N2857)))))</f>
        <v/>
      </c>
      <c r="O2858" s="485"/>
      <c r="P2858" s="485"/>
      <c r="Q2858" s="1644" t="str">
        <f>EUconst_CNTR_HALfinal&amp;EUconst_CNTR_WGFlared &amp; I2589</f>
        <v>HALfinal_WasteGasFlare_</v>
      </c>
      <c r="U2858" s="1674" t="b">
        <v>0</v>
      </c>
      <c r="V2858" s="1675" t="str">
        <f>IF(V2808,IF(J2855=TRUE,V2597,U2858),"")</f>
        <v/>
      </c>
      <c r="W2858" s="1675" t="str">
        <f>IF(W2808,IF(K2855=TRUE,W2597,V2858),"")</f>
        <v/>
      </c>
      <c r="X2858" s="1675" t="str">
        <f>IF(X2808,IF(L2855=TRUE,X2597,W2858),"")</f>
        <v/>
      </c>
      <c r="Y2858" s="1675" t="str">
        <f>IF(Y2808,IF(M2855=TRUE,Y2597,X2858),"")</f>
        <v/>
      </c>
      <c r="Z2858" s="1676" t="str">
        <f>IF(Z2808,IF(N2855=TRUE,Z2597,Y2858),"")</f>
        <v/>
      </c>
      <c r="AJ2858" s="1633" t="s">
        <v>1951</v>
      </c>
      <c r="AK2858" s="1443" t="str">
        <f>IF(OR(ISERROR(J2858),ISERROR(K2858),ISERROR(L2858),ISERROR(M2858),ISERROR(N2858)),EUconst_Error &amp; "BM" &amp; Q2589,"")</f>
        <v/>
      </c>
    </row>
    <row r="2859" spans="1:37" ht="5.0999999999999996" customHeight="1" thickBot="1">
      <c r="B2859" s="479"/>
      <c r="C2859" s="977"/>
      <c r="D2859" s="946"/>
      <c r="E2859" s="947"/>
      <c r="F2859" s="947"/>
      <c r="G2859" s="947"/>
      <c r="H2859" s="1014"/>
      <c r="I2859" s="947"/>
      <c r="J2859" s="1700"/>
      <c r="K2859" s="1760"/>
      <c r="L2859" s="1760"/>
      <c r="M2859" s="1760"/>
      <c r="N2859" s="1761"/>
      <c r="O2859" s="485"/>
      <c r="P2859" s="485"/>
      <c r="Q2859" s="1435"/>
      <c r="S2859" s="1435"/>
      <c r="T2859" s="1435"/>
      <c r="U2859" s="1435"/>
      <c r="V2859" s="1435"/>
    </row>
    <row r="2860" spans="1:37" ht="5.0999999999999996" customHeight="1">
      <c r="B2860" s="479"/>
      <c r="C2860" s="977"/>
      <c r="D2860" s="981"/>
      <c r="E2860" s="981"/>
      <c r="F2860" s="981"/>
      <c r="G2860" s="981"/>
      <c r="H2860" s="983"/>
      <c r="I2860" s="981"/>
      <c r="J2860" s="981"/>
      <c r="K2860" s="981"/>
      <c r="L2860" s="981"/>
      <c r="M2860" s="813"/>
      <c r="N2860" s="814"/>
      <c r="O2860" s="485"/>
      <c r="P2860" s="485"/>
      <c r="Q2860" s="1435"/>
      <c r="S2860" s="1435"/>
      <c r="T2860" s="1435"/>
      <c r="U2860" s="1435"/>
      <c r="V2860" s="1435"/>
    </row>
    <row r="2861" spans="1:37" ht="12.75" customHeight="1">
      <c r="B2861" s="479"/>
      <c r="C2861" s="977"/>
      <c r="D2861" s="777" t="s">
        <v>1109</v>
      </c>
      <c r="E2861" s="2649" t="s">
        <v>1218</v>
      </c>
      <c r="F2861" s="2391"/>
      <c r="G2861" s="2391"/>
      <c r="H2861" s="2512"/>
      <c r="I2861" s="3211" t="str">
        <f>c_ALR2025!I5387</f>
        <v/>
      </c>
      <c r="J2861" s="3206"/>
      <c r="K2861" s="3206"/>
      <c r="L2861" s="3206"/>
      <c r="M2861" s="3207"/>
      <c r="N2861" s="814"/>
      <c r="O2861" s="485"/>
      <c r="P2861" s="9"/>
      <c r="Q2861" s="1435"/>
      <c r="S2861" s="1435"/>
      <c r="AC2861" s="1641" t="s">
        <v>717</v>
      </c>
      <c r="AD2861" s="1443" t="b">
        <f>AD2835</f>
        <v>0</v>
      </c>
    </row>
    <row r="2862" spans="1:37" ht="12.75" customHeight="1">
      <c r="B2862" s="479"/>
      <c r="C2862" s="977"/>
      <c r="D2862" s="777"/>
      <c r="E2862" s="3272" t="s">
        <v>2298</v>
      </c>
      <c r="F2862" s="2380"/>
      <c r="G2862" s="2380"/>
      <c r="H2862" s="2380"/>
      <c r="I2862" s="2380"/>
      <c r="J2862" s="2380"/>
      <c r="K2862" s="2380"/>
      <c r="L2862" s="2380"/>
      <c r="M2862" s="2380"/>
      <c r="N2862" s="3268"/>
      <c r="O2862" s="485"/>
      <c r="P2862" s="485"/>
      <c r="Q2862" s="1435"/>
      <c r="S2862" s="1435"/>
      <c r="T2862" s="1435"/>
      <c r="U2862" s="1435"/>
      <c r="V2862" s="1435"/>
    </row>
    <row r="2863" spans="1:37" ht="25.5" customHeight="1">
      <c r="B2863" s="479"/>
      <c r="C2863" s="977"/>
      <c r="D2863" s="777"/>
      <c r="E2863" s="3267" t="s">
        <v>1560</v>
      </c>
      <c r="F2863" s="2380"/>
      <c r="G2863" s="2380"/>
      <c r="H2863" s="2380"/>
      <c r="I2863" s="2380"/>
      <c r="J2863" s="2380"/>
      <c r="K2863" s="2380"/>
      <c r="L2863" s="2380"/>
      <c r="M2863" s="2380"/>
      <c r="N2863" s="3268"/>
      <c r="O2863" s="485"/>
      <c r="P2863" s="485"/>
      <c r="Q2863" s="1435"/>
      <c r="S2863" s="1435"/>
      <c r="T2863" s="1435"/>
      <c r="U2863" s="1435"/>
      <c r="V2863" s="1435"/>
    </row>
    <row r="2864" spans="1:37" ht="12.75" customHeight="1" thickBot="1">
      <c r="B2864" s="479"/>
      <c r="C2864" s="977"/>
      <c r="D2864" s="981"/>
      <c r="E2864" s="989"/>
      <c r="F2864" s="990"/>
      <c r="G2864" s="987" t="str">
        <f>EUconst_Unit</f>
        <v>Unit</v>
      </c>
      <c r="H2864" s="782">
        <f t="shared" ref="H2864:N2864" si="1339">H$3242</f>
        <v>2024</v>
      </c>
      <c r="I2864" s="988">
        <f t="shared" si="1339"/>
        <v>2025</v>
      </c>
      <c r="J2864" s="1810">
        <f t="shared" si="1339"/>
        <v>2026</v>
      </c>
      <c r="K2864" s="1747">
        <f t="shared" si="1339"/>
        <v>2027</v>
      </c>
      <c r="L2864" s="1747">
        <f t="shared" si="1339"/>
        <v>2028</v>
      </c>
      <c r="M2864" s="1747">
        <f t="shared" si="1339"/>
        <v>2029</v>
      </c>
      <c r="N2864" s="1748">
        <f t="shared" si="1339"/>
        <v>2030</v>
      </c>
      <c r="O2864" s="485"/>
      <c r="P2864" s="485"/>
      <c r="Q2864" s="1435"/>
      <c r="S2864" s="1435"/>
      <c r="T2864" s="1435"/>
      <c r="U2864" s="1435"/>
      <c r="V2864" s="1435"/>
      <c r="AC2864" s="1638">
        <f t="shared" ref="AC2864:AI2864" si="1340">H$20</f>
        <v>2024</v>
      </c>
      <c r="AD2864" s="1638">
        <f t="shared" si="1340"/>
        <v>2025</v>
      </c>
      <c r="AE2864" s="1638">
        <f t="shared" si="1340"/>
        <v>2026</v>
      </c>
      <c r="AF2864" s="1638">
        <f t="shared" si="1340"/>
        <v>2027</v>
      </c>
      <c r="AG2864" s="1638">
        <f t="shared" si="1340"/>
        <v>2028</v>
      </c>
      <c r="AH2864" s="1638">
        <f t="shared" si="1340"/>
        <v>2029</v>
      </c>
      <c r="AI2864" s="1638">
        <f t="shared" si="1340"/>
        <v>2030</v>
      </c>
    </row>
    <row r="2865" spans="1:42" ht="12.75" customHeight="1" thickBot="1">
      <c r="B2865" s="479"/>
      <c r="C2865" s="977"/>
      <c r="D2865" s="777" t="s">
        <v>1110</v>
      </c>
      <c r="E2865" s="2471" t="s">
        <v>1303</v>
      </c>
      <c r="F2865" s="2472"/>
      <c r="G2865" s="1763" t="str">
        <f>c_ALR2025!G5391</f>
        <v/>
      </c>
      <c r="H2865" s="1552" t="str">
        <f>c_ALR2025!M5391</f>
        <v/>
      </c>
      <c r="I2865" s="1611"/>
      <c r="J2865" s="1811"/>
      <c r="K2865" s="1751"/>
      <c r="L2865" s="1751"/>
      <c r="M2865" s="1751"/>
      <c r="N2865" s="1752"/>
      <c r="O2865" s="485"/>
      <c r="P2865" s="9"/>
      <c r="Q2865" s="1435"/>
      <c r="S2865" s="1435"/>
      <c r="T2865" s="1435"/>
      <c r="U2865" s="1435"/>
      <c r="V2865" s="1435"/>
      <c r="AB2865" s="1641" t="s">
        <v>717</v>
      </c>
      <c r="AC2865" s="1443" t="b">
        <f t="shared" ref="AC2865:AI2865" si="1341">AC2821</f>
        <v>0</v>
      </c>
      <c r="AD2865" s="1443" t="b">
        <f t="shared" si="1341"/>
        <v>0</v>
      </c>
      <c r="AE2865" s="1443" t="b">
        <f t="shared" si="1341"/>
        <v>0</v>
      </c>
      <c r="AF2865" s="1443" t="b">
        <f t="shared" si="1341"/>
        <v>0</v>
      </c>
      <c r="AG2865" s="1443" t="b">
        <f t="shared" si="1341"/>
        <v>0</v>
      </c>
      <c r="AH2865" s="1443" t="b">
        <f t="shared" si="1341"/>
        <v>0</v>
      </c>
      <c r="AI2865" s="1443" t="b">
        <f t="shared" si="1341"/>
        <v>0</v>
      </c>
      <c r="AJ2865" s="1633" t="s">
        <v>1954</v>
      </c>
      <c r="AK2865" s="1635" t="str">
        <f>IF(AND(CNTR_ExistSubInstEntries,MSconst_RequireSubAttrEmissions,COUNTIFS(AC2865:AI2865,FALSE,H2865:N2865,"")&gt;0),EUconst_Error&amp;"BM"&amp;$Q2589,"")</f>
        <v/>
      </c>
    </row>
    <row r="2866" spans="1:42" ht="12.75" customHeight="1">
      <c r="B2866" s="479"/>
      <c r="C2866" s="977"/>
      <c r="D2866" s="777" t="s">
        <v>1111</v>
      </c>
      <c r="E2866" s="2473" t="s">
        <v>661</v>
      </c>
      <c r="F2866" s="2474"/>
      <c r="G2866" s="1008" t="e">
        <f>IF(ISBLANK(G2865),EUconst_GJperUnit,INDEX(EUconst_GJperTorKNm3,MATCH(G2865,EUconst_TonnesOrkNm3pa,0)))</f>
        <v>#N/A</v>
      </c>
      <c r="H2866" s="1558" t="str">
        <f>c_ALR2025!M5392</f>
        <v/>
      </c>
      <c r="I2866" s="1884"/>
      <c r="J2866" s="1811"/>
      <c r="K2866" s="1751"/>
      <c r="L2866" s="1751"/>
      <c r="M2866" s="1751"/>
      <c r="N2866" s="1752"/>
      <c r="O2866" s="485"/>
      <c r="P2866" s="9"/>
      <c r="Q2866" s="1435"/>
      <c r="S2866" s="1648"/>
      <c r="T2866" s="1749">
        <f t="shared" ref="T2866:Z2866" si="1342">H2864</f>
        <v>2024</v>
      </c>
      <c r="U2866" s="1749">
        <f t="shared" si="1342"/>
        <v>2025</v>
      </c>
      <c r="V2866" s="1749">
        <f t="shared" si="1342"/>
        <v>2026</v>
      </c>
      <c r="W2866" s="1749">
        <f t="shared" si="1342"/>
        <v>2027</v>
      </c>
      <c r="X2866" s="1749">
        <f t="shared" si="1342"/>
        <v>2028</v>
      </c>
      <c r="Y2866" s="1749">
        <f t="shared" si="1342"/>
        <v>2029</v>
      </c>
      <c r="Z2866" s="1750">
        <f t="shared" si="1342"/>
        <v>2030</v>
      </c>
      <c r="AC2866" s="1443" t="b">
        <f>AC2865</f>
        <v>0</v>
      </c>
      <c r="AD2866" s="1443" t="b">
        <f t="shared" ref="AD2866:AI2866" si="1343">AD2865</f>
        <v>0</v>
      </c>
      <c r="AE2866" s="1443" t="b">
        <f t="shared" si="1343"/>
        <v>0</v>
      </c>
      <c r="AF2866" s="1443" t="b">
        <f t="shared" si="1343"/>
        <v>0</v>
      </c>
      <c r="AG2866" s="1443" t="b">
        <f t="shared" si="1343"/>
        <v>0</v>
      </c>
      <c r="AH2866" s="1443" t="b">
        <f t="shared" si="1343"/>
        <v>0</v>
      </c>
      <c r="AI2866" s="1443" t="b">
        <f t="shared" si="1343"/>
        <v>0</v>
      </c>
      <c r="AJ2866" s="1633" t="s">
        <v>1954</v>
      </c>
      <c r="AK2866" s="1635" t="str">
        <f>IF(AND(CNTR_ExistSubInstEntries,MSconst_RequireSubAttrEmissions,COUNTIFS(AC2866:AI2866,FALSE,H2866:N2866,"")&gt;0),EUconst_Error&amp;"BM"&amp;$Q2589,"")</f>
        <v/>
      </c>
    </row>
    <row r="2867" spans="1:42" ht="12.75" customHeight="1">
      <c r="B2867" s="479"/>
      <c r="C2867" s="977"/>
      <c r="D2867" s="777" t="s">
        <v>1112</v>
      </c>
      <c r="E2867" s="2475" t="s">
        <v>1102</v>
      </c>
      <c r="F2867" s="2410"/>
      <c r="G2867" s="815" t="str">
        <f>EUconst_TJpa</f>
        <v>TJ / year</v>
      </c>
      <c r="H2867" s="646" t="str">
        <f t="shared" ref="H2867:N2867" si="1344">IF(COUNT(H2865:H2866)=2,H2865*H2866/1000,"")</f>
        <v/>
      </c>
      <c r="I2867" s="949" t="str">
        <f t="shared" si="1344"/>
        <v/>
      </c>
      <c r="J2867" s="1811" t="str">
        <f t="shared" si="1344"/>
        <v/>
      </c>
      <c r="K2867" s="1751" t="str">
        <f t="shared" si="1344"/>
        <v/>
      </c>
      <c r="L2867" s="1751" t="str">
        <f t="shared" si="1344"/>
        <v/>
      </c>
      <c r="M2867" s="1751" t="str">
        <f t="shared" si="1344"/>
        <v/>
      </c>
      <c r="N2867" s="1752" t="str">
        <f t="shared" si="1344"/>
        <v/>
      </c>
      <c r="O2867" s="485"/>
      <c r="P2867" s="485"/>
      <c r="Q2867" s="1644" t="str">
        <f>EUconst_CNTR_WGImport &amp; I2589</f>
        <v>WasteGasIm_</v>
      </c>
      <c r="S2867" s="1874" t="str">
        <f>EUconst_ERR_AttrEmBMapplied &amp; I2589</f>
        <v>ERR_AttrEmBM_</v>
      </c>
      <c r="T2867" s="1443">
        <f t="shared" ref="T2867:Z2867" si="1345">IF(AND(H2867&lt;&gt;"",EUconst_StatusOfDataCollection=FALSE),1,0)</f>
        <v>0</v>
      </c>
      <c r="U2867" s="1443">
        <f t="shared" si="1345"/>
        <v>0</v>
      </c>
      <c r="V2867" s="1443">
        <f t="shared" si="1345"/>
        <v>0</v>
      </c>
      <c r="W2867" s="1443">
        <f t="shared" si="1345"/>
        <v>0</v>
      </c>
      <c r="X2867" s="1443">
        <f t="shared" si="1345"/>
        <v>0</v>
      </c>
      <c r="Y2867" s="1443">
        <f t="shared" si="1345"/>
        <v>0</v>
      </c>
      <c r="Z2867" s="1737">
        <f t="shared" si="1345"/>
        <v>0</v>
      </c>
    </row>
    <row r="2868" spans="1:42" s="562" customFormat="1" ht="12.75" customHeight="1" thickBot="1">
      <c r="A2868" s="618"/>
      <c r="B2868" s="479"/>
      <c r="C2868" s="977"/>
      <c r="D2868" s="777" t="s">
        <v>1113</v>
      </c>
      <c r="E2868" s="2475" t="s">
        <v>1275</v>
      </c>
      <c r="F2868" s="2410"/>
      <c r="G2868" s="815" t="str">
        <f>EUconst_tCO2pTJ</f>
        <v>t CO2 / TJ</v>
      </c>
      <c r="H2868" s="1479" t="str">
        <f>c_ALR2025!M5394</f>
        <v/>
      </c>
      <c r="I2868" s="1532"/>
      <c r="J2868" s="1811"/>
      <c r="K2868" s="1751"/>
      <c r="L2868" s="1751"/>
      <c r="M2868" s="1751"/>
      <c r="N2868" s="1752"/>
      <c r="O2868" s="485"/>
      <c r="P2868" s="9"/>
      <c r="Q2868" s="1644" t="str">
        <f>EUconst_CNTR_WGImportEF &amp; I2589</f>
        <v>WasteGasImEF_</v>
      </c>
      <c r="R2868" s="1435"/>
      <c r="S2868" s="1753" t="str">
        <f>EUconst_CNTR_AttributedEmissions &amp; I2589</f>
        <v>AttrEmissions_</v>
      </c>
      <c r="T2868" s="1743" t="str">
        <f t="shared" ref="T2868:Z2868" si="1346">IF(T2597,SUM(H2867)*EUconst_FuelBMvalue,"")</f>
        <v/>
      </c>
      <c r="U2868" s="1743" t="str">
        <f t="shared" si="1346"/>
        <v/>
      </c>
      <c r="V2868" s="1743" t="str">
        <f t="shared" si="1346"/>
        <v/>
      </c>
      <c r="W2868" s="1743" t="str">
        <f t="shared" si="1346"/>
        <v/>
      </c>
      <c r="X2868" s="1743" t="str">
        <f t="shared" si="1346"/>
        <v/>
      </c>
      <c r="Y2868" s="1743" t="str">
        <f t="shared" si="1346"/>
        <v/>
      </c>
      <c r="Z2868" s="1744" t="str">
        <f t="shared" si="1346"/>
        <v/>
      </c>
      <c r="AA2868" s="1435"/>
      <c r="AB2868" s="1641" t="s">
        <v>717</v>
      </c>
      <c r="AC2868" s="1443" t="b">
        <f>AC2866</f>
        <v>0</v>
      </c>
      <c r="AD2868" s="1443" t="b">
        <f t="shared" ref="AD2868:AI2868" si="1347">AD2866</f>
        <v>0</v>
      </c>
      <c r="AE2868" s="1443" t="b">
        <f t="shared" si="1347"/>
        <v>0</v>
      </c>
      <c r="AF2868" s="1443" t="b">
        <f t="shared" si="1347"/>
        <v>0</v>
      </c>
      <c r="AG2868" s="1443" t="b">
        <f t="shared" si="1347"/>
        <v>0</v>
      </c>
      <c r="AH2868" s="1443" t="b">
        <f t="shared" si="1347"/>
        <v>0</v>
      </c>
      <c r="AI2868" s="1443" t="b">
        <f t="shared" si="1347"/>
        <v>0</v>
      </c>
      <c r="AJ2868" s="1633" t="s">
        <v>1954</v>
      </c>
      <c r="AK2868" s="1635" t="str">
        <f>IF(AND(CNTR_ExistSubInstEntries,MSconst_RequireSubAttrEmissions,COUNTIFS(AC2868:AI2868,FALSE,H2868:N2868,"")&gt;0),EUconst_Error&amp;"BM"&amp;$Q2589,"")</f>
        <v/>
      </c>
      <c r="AL2868" s="1198"/>
      <c r="AP2868" s="1135"/>
    </row>
    <row r="2869" spans="1:42" ht="12.75" customHeight="1">
      <c r="B2869" s="479"/>
      <c r="C2869" s="977"/>
      <c r="D2869" s="981"/>
      <c r="E2869" s="981"/>
      <c r="F2869" s="981"/>
      <c r="G2869" s="981"/>
      <c r="H2869" s="983"/>
      <c r="I2869" s="981"/>
      <c r="J2869" s="981"/>
      <c r="K2869" s="981"/>
      <c r="L2869" s="981"/>
      <c r="M2869" s="813"/>
      <c r="N2869" s="814"/>
      <c r="O2869" s="485"/>
      <c r="P2869" s="485"/>
      <c r="Q2869" s="1435"/>
      <c r="S2869" s="1435"/>
      <c r="T2869" s="1435"/>
      <c r="U2869" s="1435"/>
      <c r="V2869" s="1435"/>
    </row>
    <row r="2870" spans="1:42" ht="12.75" customHeight="1">
      <c r="B2870" s="479"/>
      <c r="C2870" s="977"/>
      <c r="D2870" s="777" t="s">
        <v>1114</v>
      </c>
      <c r="E2870" s="2649" t="s">
        <v>1217</v>
      </c>
      <c r="F2870" s="2391"/>
      <c r="G2870" s="2391"/>
      <c r="H2870" s="2512"/>
      <c r="I2870" s="3211" t="str">
        <f>c_ALR2025!I5396</f>
        <v/>
      </c>
      <c r="J2870" s="3206"/>
      <c r="K2870" s="3206"/>
      <c r="L2870" s="3206"/>
      <c r="M2870" s="3207"/>
      <c r="N2870" s="979"/>
      <c r="O2870" s="485"/>
      <c r="P2870" s="9"/>
      <c r="Q2870" s="1435"/>
      <c r="S2870" s="1435"/>
      <c r="AC2870" s="1641" t="s">
        <v>717</v>
      </c>
      <c r="AD2870" s="1443" t="b">
        <f>AD2861</f>
        <v>0</v>
      </c>
    </row>
    <row r="2871" spans="1:42" ht="12.75" customHeight="1">
      <c r="B2871" s="479"/>
      <c r="C2871" s="977"/>
      <c r="D2871" s="777"/>
      <c r="E2871" s="3272" t="s">
        <v>2298</v>
      </c>
      <c r="F2871" s="2380"/>
      <c r="G2871" s="2380"/>
      <c r="H2871" s="2380"/>
      <c r="I2871" s="2380"/>
      <c r="J2871" s="2380"/>
      <c r="K2871" s="2380"/>
      <c r="L2871" s="2380"/>
      <c r="M2871" s="2380"/>
      <c r="N2871" s="3268"/>
      <c r="O2871" s="485"/>
      <c r="P2871" s="485"/>
      <c r="Q2871" s="1435"/>
      <c r="S2871" s="1435"/>
      <c r="T2871" s="1435"/>
      <c r="U2871" s="1435"/>
      <c r="V2871" s="1435"/>
    </row>
    <row r="2872" spans="1:42" ht="25.5" customHeight="1">
      <c r="B2872" s="479"/>
      <c r="C2872" s="977"/>
      <c r="D2872" s="777"/>
      <c r="E2872" s="3267" t="s">
        <v>1317</v>
      </c>
      <c r="F2872" s="2380"/>
      <c r="G2872" s="2380"/>
      <c r="H2872" s="2380"/>
      <c r="I2872" s="2380"/>
      <c r="J2872" s="2380"/>
      <c r="K2872" s="2380"/>
      <c r="L2872" s="2380"/>
      <c r="M2872" s="2380"/>
      <c r="N2872" s="3268"/>
      <c r="O2872" s="485"/>
      <c r="P2872" s="485"/>
      <c r="Q2872" s="1435"/>
      <c r="S2872" s="1435"/>
      <c r="T2872" s="1435"/>
      <c r="U2872" s="1435"/>
      <c r="V2872" s="1435"/>
    </row>
    <row r="2873" spans="1:42" ht="12.75" customHeight="1" thickBot="1">
      <c r="B2873" s="479"/>
      <c r="C2873" s="977"/>
      <c r="D2873" s="981"/>
      <c r="E2873" s="989"/>
      <c r="F2873" s="990"/>
      <c r="G2873" s="987" t="str">
        <f>EUconst_Unit</f>
        <v>Unit</v>
      </c>
      <c r="H2873" s="782">
        <f t="shared" ref="H2873:N2873" si="1348">H$3242</f>
        <v>2024</v>
      </c>
      <c r="I2873" s="988">
        <f t="shared" si="1348"/>
        <v>2025</v>
      </c>
      <c r="J2873" s="1810">
        <f t="shared" si="1348"/>
        <v>2026</v>
      </c>
      <c r="K2873" s="1747">
        <f t="shared" si="1348"/>
        <v>2027</v>
      </c>
      <c r="L2873" s="1747">
        <f t="shared" si="1348"/>
        <v>2028</v>
      </c>
      <c r="M2873" s="1747">
        <f t="shared" si="1348"/>
        <v>2029</v>
      </c>
      <c r="N2873" s="1748">
        <f t="shared" si="1348"/>
        <v>2030</v>
      </c>
      <c r="O2873" s="485"/>
      <c r="P2873" s="485"/>
      <c r="Q2873" s="1435"/>
      <c r="S2873" s="1435"/>
      <c r="T2873" s="1435"/>
      <c r="U2873" s="1435"/>
      <c r="V2873" s="1435"/>
      <c r="AC2873" s="1638">
        <f t="shared" ref="AC2873:AI2873" si="1349">H$20</f>
        <v>2024</v>
      </c>
      <c r="AD2873" s="1638">
        <f t="shared" si="1349"/>
        <v>2025</v>
      </c>
      <c r="AE2873" s="1638">
        <f t="shared" si="1349"/>
        <v>2026</v>
      </c>
      <c r="AF2873" s="1638">
        <f t="shared" si="1349"/>
        <v>2027</v>
      </c>
      <c r="AG2873" s="1638">
        <f t="shared" si="1349"/>
        <v>2028</v>
      </c>
      <c r="AH2873" s="1638">
        <f t="shared" si="1349"/>
        <v>2029</v>
      </c>
      <c r="AI2873" s="1638">
        <f t="shared" si="1349"/>
        <v>2030</v>
      </c>
    </row>
    <row r="2874" spans="1:42" ht="12.75" customHeight="1">
      <c r="B2874" s="479"/>
      <c r="C2874" s="977"/>
      <c r="D2874" s="777" t="s">
        <v>1115</v>
      </c>
      <c r="E2874" s="2471" t="s">
        <v>1304</v>
      </c>
      <c r="F2874" s="2472"/>
      <c r="G2874" s="1763" t="str">
        <f>c_ALR2025!G5400</f>
        <v/>
      </c>
      <c r="H2874" s="1552" t="str">
        <f>c_ALR2025!M5400</f>
        <v/>
      </c>
      <c r="I2874" s="1611"/>
      <c r="J2874" s="1811"/>
      <c r="K2874" s="1751"/>
      <c r="L2874" s="1751"/>
      <c r="M2874" s="1751"/>
      <c r="N2874" s="1752"/>
      <c r="O2874" s="485"/>
      <c r="P2874" s="9"/>
      <c r="Q2874" s="1435"/>
      <c r="S2874" s="1435"/>
      <c r="T2874" s="1435"/>
      <c r="U2874" s="1435"/>
      <c r="V2874" s="1435"/>
      <c r="AB2874" s="1641" t="s">
        <v>717</v>
      </c>
      <c r="AC2874" s="1443" t="b">
        <f>AC2821</f>
        <v>0</v>
      </c>
      <c r="AD2874" s="1443" t="b">
        <f t="shared" ref="AD2874:AI2874" si="1350">AD2821</f>
        <v>0</v>
      </c>
      <c r="AE2874" s="1443" t="b">
        <f t="shared" si="1350"/>
        <v>0</v>
      </c>
      <c r="AF2874" s="1443" t="b">
        <f t="shared" si="1350"/>
        <v>0</v>
      </c>
      <c r="AG2874" s="1443" t="b">
        <f t="shared" si="1350"/>
        <v>0</v>
      </c>
      <c r="AH2874" s="1443" t="b">
        <f t="shared" si="1350"/>
        <v>0</v>
      </c>
      <c r="AI2874" s="1443" t="b">
        <f t="shared" si="1350"/>
        <v>0</v>
      </c>
      <c r="AJ2874" s="1633" t="s">
        <v>1954</v>
      </c>
      <c r="AK2874" s="1635" t="str">
        <f>IF(AND(CNTR_ExistSubInstEntries,MSconst_RequireSubAttrEmissions,COUNTIFS(AC2874:AI2874,FALSE,H2874:N2874,"")&gt;0),EUconst_Error&amp;"BM"&amp;$Q2589,"")</f>
        <v/>
      </c>
    </row>
    <row r="2875" spans="1:42" ht="12.75" customHeight="1" thickBot="1">
      <c r="B2875" s="479"/>
      <c r="C2875" s="977"/>
      <c r="D2875" s="777" t="s">
        <v>1561</v>
      </c>
      <c r="E2875" s="2473" t="s">
        <v>661</v>
      </c>
      <c r="F2875" s="2474"/>
      <c r="G2875" s="1008" t="e">
        <f>IF(ISBLANK(G2874),EUconst_GJperUnit,INDEX(EUconst_GJperTorKNm3,MATCH(G2874,EUconst_TonnesOrkNm3pa,0)))</f>
        <v>#N/A</v>
      </c>
      <c r="H2875" s="1558" t="str">
        <f>c_ALR2025!M5401</f>
        <v/>
      </c>
      <c r="I2875" s="1884"/>
      <c r="J2875" s="1811"/>
      <c r="K2875" s="1751"/>
      <c r="L2875" s="1751"/>
      <c r="M2875" s="1751"/>
      <c r="N2875" s="1752"/>
      <c r="O2875" s="485"/>
      <c r="P2875" s="9"/>
      <c r="Q2875" s="1435"/>
      <c r="S2875" s="1435"/>
      <c r="T2875" s="1435"/>
      <c r="U2875" s="1435"/>
      <c r="V2875" s="1435"/>
      <c r="AC2875" s="1443" t="b">
        <f>AC2874</f>
        <v>0</v>
      </c>
      <c r="AD2875" s="1443" t="b">
        <f t="shared" ref="AD2875:AI2875" si="1351">AD2874</f>
        <v>0</v>
      </c>
      <c r="AE2875" s="1443" t="b">
        <f t="shared" si="1351"/>
        <v>0</v>
      </c>
      <c r="AF2875" s="1443" t="b">
        <f t="shared" si="1351"/>
        <v>0</v>
      </c>
      <c r="AG2875" s="1443" t="b">
        <f t="shared" si="1351"/>
        <v>0</v>
      </c>
      <c r="AH2875" s="1443" t="b">
        <f t="shared" si="1351"/>
        <v>0</v>
      </c>
      <c r="AI2875" s="1443" t="b">
        <f t="shared" si="1351"/>
        <v>0</v>
      </c>
      <c r="AJ2875" s="1633" t="s">
        <v>1954</v>
      </c>
      <c r="AK2875" s="1635" t="str">
        <f>IF(AND(CNTR_ExistSubInstEntries,MSconst_RequireSubAttrEmissions,COUNTIFS(AC2875:AI2875,FALSE,H2875:N2875,"")&gt;0),EUconst_Error&amp;"BM"&amp;$Q2589,"")</f>
        <v/>
      </c>
    </row>
    <row r="2876" spans="1:42" ht="12.75" customHeight="1">
      <c r="B2876" s="479"/>
      <c r="C2876" s="977"/>
      <c r="D2876" s="777" t="s">
        <v>1599</v>
      </c>
      <c r="E2876" s="2475" t="s">
        <v>1080</v>
      </c>
      <c r="F2876" s="2410"/>
      <c r="G2876" s="815" t="str">
        <f>EUconst_TJpa</f>
        <v>TJ / year</v>
      </c>
      <c r="H2876" s="646" t="str">
        <f t="shared" ref="H2876:N2876" si="1352">IF(COUNT(H2874:H2875)=2,H2874*H2875/1000,"")</f>
        <v/>
      </c>
      <c r="I2876" s="949" t="str">
        <f t="shared" si="1352"/>
        <v/>
      </c>
      <c r="J2876" s="1811" t="str">
        <f t="shared" si="1352"/>
        <v/>
      </c>
      <c r="K2876" s="1751" t="str">
        <f t="shared" si="1352"/>
        <v/>
      </c>
      <c r="L2876" s="1751" t="str">
        <f t="shared" si="1352"/>
        <v/>
      </c>
      <c r="M2876" s="1751" t="str">
        <f t="shared" si="1352"/>
        <v/>
      </c>
      <c r="N2876" s="1752" t="str">
        <f t="shared" si="1352"/>
        <v/>
      </c>
      <c r="O2876" s="485"/>
      <c r="P2876" s="485"/>
      <c r="Q2876" s="1644" t="str">
        <f>EUconst_CNTR_WGExport &amp; I2589</f>
        <v>WasteGasEx_</v>
      </c>
      <c r="S2876" s="1648"/>
      <c r="T2876" s="1749">
        <f t="shared" ref="T2876:Z2876" si="1353">H2873</f>
        <v>2024</v>
      </c>
      <c r="U2876" s="1749">
        <f t="shared" si="1353"/>
        <v>2025</v>
      </c>
      <c r="V2876" s="1749">
        <f t="shared" si="1353"/>
        <v>2026</v>
      </c>
      <c r="W2876" s="1749">
        <f t="shared" si="1353"/>
        <v>2027</v>
      </c>
      <c r="X2876" s="1749">
        <f t="shared" si="1353"/>
        <v>2028</v>
      </c>
      <c r="Y2876" s="1749">
        <f t="shared" si="1353"/>
        <v>2029</v>
      </c>
      <c r="Z2876" s="1750">
        <f t="shared" si="1353"/>
        <v>2030</v>
      </c>
    </row>
    <row r="2877" spans="1:42" s="562" customFormat="1" ht="12.75" customHeight="1" thickBot="1">
      <c r="A2877" s="1116"/>
      <c r="B2877" s="479"/>
      <c r="C2877" s="977"/>
      <c r="D2877" s="777" t="s">
        <v>1600</v>
      </c>
      <c r="E2877" s="2475" t="s">
        <v>1276</v>
      </c>
      <c r="F2877" s="2410"/>
      <c r="G2877" s="815" t="str">
        <f>EUconst_tCO2pTJ</f>
        <v>t CO2 / TJ</v>
      </c>
      <c r="H2877" s="1479" t="str">
        <f>c_ALR2025!M5403</f>
        <v/>
      </c>
      <c r="I2877" s="1532"/>
      <c r="J2877" s="1811"/>
      <c r="K2877" s="1751"/>
      <c r="L2877" s="1751"/>
      <c r="M2877" s="1751"/>
      <c r="N2877" s="1752"/>
      <c r="O2877" s="485"/>
      <c r="P2877" s="9"/>
      <c r="Q2877" s="1644" t="str">
        <f>EUconst_CNTR_WGExportEF &amp; I2589</f>
        <v>WasteGasExEF_</v>
      </c>
      <c r="R2877" s="1435"/>
      <c r="S2877" s="1753" t="str">
        <f>EUconst_CNTR_AttributedEmissions &amp; I2589</f>
        <v>AttrEmissions_</v>
      </c>
      <c r="T2877" s="1743" t="str">
        <f t="shared" ref="T2877:Z2877" si="1354">IF(T2597,-SUM(H2876)*EUconst_NGEFvalue*EUconst_WasteGasCorrFactor,"")</f>
        <v/>
      </c>
      <c r="U2877" s="1743" t="str">
        <f t="shared" si="1354"/>
        <v/>
      </c>
      <c r="V2877" s="1743" t="str">
        <f t="shared" si="1354"/>
        <v/>
      </c>
      <c r="W2877" s="1743" t="str">
        <f t="shared" si="1354"/>
        <v/>
      </c>
      <c r="X2877" s="1743" t="str">
        <f t="shared" si="1354"/>
        <v/>
      </c>
      <c r="Y2877" s="1743" t="str">
        <f t="shared" si="1354"/>
        <v/>
      </c>
      <c r="Z2877" s="1744" t="str">
        <f t="shared" si="1354"/>
        <v/>
      </c>
      <c r="AA2877" s="1435"/>
      <c r="AB2877" s="1641" t="s">
        <v>717</v>
      </c>
      <c r="AC2877" s="1443" t="b">
        <f t="shared" ref="AC2877:AI2877" si="1355">AC2824</f>
        <v>0</v>
      </c>
      <c r="AD2877" s="1443" t="b">
        <f t="shared" si="1355"/>
        <v>0</v>
      </c>
      <c r="AE2877" s="1443" t="b">
        <f t="shared" si="1355"/>
        <v>0</v>
      </c>
      <c r="AF2877" s="1443" t="b">
        <f t="shared" si="1355"/>
        <v>0</v>
      </c>
      <c r="AG2877" s="1443" t="b">
        <f t="shared" si="1355"/>
        <v>0</v>
      </c>
      <c r="AH2877" s="1443" t="b">
        <f t="shared" si="1355"/>
        <v>0</v>
      </c>
      <c r="AI2877" s="1443" t="b">
        <f t="shared" si="1355"/>
        <v>0</v>
      </c>
      <c r="AJ2877" s="1633" t="s">
        <v>1954</v>
      </c>
      <c r="AK2877" s="1635" t="str">
        <f>IF(AND(CNTR_ExistSubInstEntries,MSconst_RequireSubAttrEmissions,COUNTIFS(AC2877:AI2877,FALSE,H2877:N2877,"")&gt;0),EUconst_Error&amp;"BM"&amp;$Q2589,"")</f>
        <v/>
      </c>
      <c r="AL2877" s="1198"/>
      <c r="AP2877" s="1135"/>
    </row>
    <row r="2878" spans="1:42" ht="12.75" customHeight="1">
      <c r="B2878" s="479"/>
      <c r="C2878" s="977"/>
      <c r="D2878" s="981"/>
      <c r="E2878" s="981"/>
      <c r="F2878" s="981"/>
      <c r="G2878" s="981"/>
      <c r="H2878" s="981"/>
      <c r="I2878" s="983"/>
      <c r="J2878" s="981"/>
      <c r="K2878" s="981"/>
      <c r="L2878" s="981"/>
      <c r="M2878" s="981"/>
      <c r="N2878" s="814"/>
      <c r="O2878" s="485"/>
      <c r="P2878" s="485"/>
      <c r="Q2878" s="1435"/>
      <c r="S2878" s="1435"/>
    </row>
    <row r="2879" spans="1:42" ht="12.75" customHeight="1">
      <c r="B2879" s="479"/>
      <c r="C2879" s="977"/>
      <c r="D2879" s="982" t="s">
        <v>482</v>
      </c>
      <c r="E2879" s="2649" t="s">
        <v>1127</v>
      </c>
      <c r="F2879" s="2391"/>
      <c r="G2879" s="2391"/>
      <c r="H2879" s="2391"/>
      <c r="I2879" s="2391"/>
      <c r="J2879" s="2391"/>
      <c r="K2879" s="2391"/>
      <c r="L2879" s="2391"/>
      <c r="M2879" s="2391"/>
      <c r="N2879" s="2650"/>
      <c r="O2879" s="485"/>
      <c r="P2879" s="485"/>
      <c r="Q2879" s="1435"/>
      <c r="S2879" s="1435"/>
    </row>
    <row r="2880" spans="1:42" ht="12.75" customHeight="1">
      <c r="B2880" s="479"/>
      <c r="C2880" s="977"/>
      <c r="D2880" s="777"/>
      <c r="E2880" s="3272" t="s">
        <v>2299</v>
      </c>
      <c r="F2880" s="2380"/>
      <c r="G2880" s="2380"/>
      <c r="H2880" s="2380"/>
      <c r="I2880" s="2380"/>
      <c r="J2880" s="2380"/>
      <c r="K2880" s="2380"/>
      <c r="L2880" s="2380"/>
      <c r="M2880" s="2380"/>
      <c r="N2880" s="3268"/>
      <c r="O2880" s="485"/>
      <c r="P2880" s="485"/>
      <c r="Q2880" s="1435"/>
      <c r="S2880" s="1435"/>
      <c r="T2880" s="1435"/>
      <c r="U2880" s="1435"/>
      <c r="V2880" s="1435"/>
    </row>
    <row r="2881" spans="2:37" ht="25.5" customHeight="1" thickBot="1">
      <c r="B2881" s="479"/>
      <c r="C2881" s="977"/>
      <c r="D2881" s="981"/>
      <c r="E2881" s="3267" t="s">
        <v>2331</v>
      </c>
      <c r="F2881" s="2380"/>
      <c r="G2881" s="2380"/>
      <c r="H2881" s="2380"/>
      <c r="I2881" s="2380"/>
      <c r="J2881" s="2380"/>
      <c r="K2881" s="2380"/>
      <c r="L2881" s="2380"/>
      <c r="M2881" s="2380"/>
      <c r="N2881" s="3268"/>
      <c r="O2881" s="485"/>
      <c r="P2881" s="485"/>
      <c r="Q2881" s="1435"/>
      <c r="S2881" s="1435"/>
    </row>
    <row r="2882" spans="2:37" ht="12.75" customHeight="1" thickBot="1">
      <c r="B2882" s="479"/>
      <c r="C2882" s="977"/>
      <c r="D2882" s="982"/>
      <c r="E2882" s="989"/>
      <c r="F2882" s="990"/>
      <c r="G2882" s="987" t="str">
        <f>EUconst_Unit</f>
        <v>Unit</v>
      </c>
      <c r="H2882" s="782">
        <f t="shared" ref="H2882:N2882" si="1356">H$3242</f>
        <v>2024</v>
      </c>
      <c r="I2882" s="988">
        <f t="shared" si="1356"/>
        <v>2025</v>
      </c>
      <c r="J2882" s="1810">
        <f t="shared" si="1356"/>
        <v>2026</v>
      </c>
      <c r="K2882" s="1747">
        <f t="shared" si="1356"/>
        <v>2027</v>
      </c>
      <c r="L2882" s="1747">
        <f t="shared" si="1356"/>
        <v>2028</v>
      </c>
      <c r="M2882" s="1747">
        <f t="shared" si="1356"/>
        <v>2029</v>
      </c>
      <c r="N2882" s="1748">
        <f t="shared" si="1356"/>
        <v>2030</v>
      </c>
      <c r="O2882" s="485"/>
      <c r="P2882" s="485"/>
      <c r="Q2882" s="1435"/>
      <c r="S2882" s="1648"/>
      <c r="T2882" s="1749">
        <f t="shared" ref="T2882:Z2882" si="1357">H2882</f>
        <v>2024</v>
      </c>
      <c r="U2882" s="1749">
        <f t="shared" si="1357"/>
        <v>2025</v>
      </c>
      <c r="V2882" s="1749">
        <f t="shared" si="1357"/>
        <v>2026</v>
      </c>
      <c r="W2882" s="1749">
        <f t="shared" si="1357"/>
        <v>2027</v>
      </c>
      <c r="X2882" s="1749">
        <f t="shared" si="1357"/>
        <v>2028</v>
      </c>
      <c r="Y2882" s="1749">
        <f t="shared" si="1357"/>
        <v>2029</v>
      </c>
      <c r="Z2882" s="1750">
        <f t="shared" si="1357"/>
        <v>2030</v>
      </c>
      <c r="AC2882" s="1638">
        <f t="shared" ref="AC2882:AI2882" si="1358">H$20</f>
        <v>2024</v>
      </c>
      <c r="AD2882" s="1638">
        <f t="shared" si="1358"/>
        <v>2025</v>
      </c>
      <c r="AE2882" s="1638">
        <f t="shared" si="1358"/>
        <v>2026</v>
      </c>
      <c r="AF2882" s="1638">
        <f t="shared" si="1358"/>
        <v>2027</v>
      </c>
      <c r="AG2882" s="1638">
        <f t="shared" si="1358"/>
        <v>2028</v>
      </c>
      <c r="AH2882" s="1638">
        <f t="shared" si="1358"/>
        <v>2029</v>
      </c>
      <c r="AI2882" s="1638">
        <f t="shared" si="1358"/>
        <v>2030</v>
      </c>
    </row>
    <row r="2883" spans="2:37" ht="12.75" customHeight="1" thickBot="1">
      <c r="B2883" s="479"/>
      <c r="C2883" s="977"/>
      <c r="D2883" s="777"/>
      <c r="E2883" s="2475" t="s">
        <v>1354</v>
      </c>
      <c r="F2883" s="2410"/>
      <c r="G2883" s="815" t="str">
        <f>EUconst_MWhpa</f>
        <v>MWh / year</v>
      </c>
      <c r="H2883" s="1479" t="str">
        <f>c_ALR2025!M5409</f>
        <v/>
      </c>
      <c r="I2883" s="1532"/>
      <c r="J2883" s="1811"/>
      <c r="K2883" s="1751"/>
      <c r="L2883" s="1751"/>
      <c r="M2883" s="1751"/>
      <c r="N2883" s="1752"/>
      <c r="O2883" s="485"/>
      <c r="P2883" s="9"/>
      <c r="Q2883" s="1644" t="str">
        <f>EUconst_CNTR_ElectricityExported &amp; I2589</f>
        <v>ElecEx_</v>
      </c>
      <c r="S2883" s="1753" t="str">
        <f>EUconst_CNTR_AttributedEmissions &amp; I2589</f>
        <v>AttrEmissions_</v>
      </c>
      <c r="T2883" s="1743" t="str">
        <f t="shared" ref="T2883:Z2883" si="1359">IF(T2597,-SUM(H2883)*EUconst_ElBM,"")</f>
        <v/>
      </c>
      <c r="U2883" s="1743" t="str">
        <f t="shared" si="1359"/>
        <v/>
      </c>
      <c r="V2883" s="1743" t="str">
        <f t="shared" si="1359"/>
        <v/>
      </c>
      <c r="W2883" s="1743" t="str">
        <f t="shared" si="1359"/>
        <v/>
      </c>
      <c r="X2883" s="1743" t="str">
        <f t="shared" si="1359"/>
        <v/>
      </c>
      <c r="Y2883" s="1743" t="str">
        <f t="shared" si="1359"/>
        <v/>
      </c>
      <c r="Z2883" s="1744" t="str">
        <f t="shared" si="1359"/>
        <v/>
      </c>
      <c r="AB2883" s="1641" t="s">
        <v>717</v>
      </c>
      <c r="AC2883" s="1443" t="b">
        <f>AC2659</f>
        <v>0</v>
      </c>
      <c r="AD2883" s="1443" t="b">
        <f t="shared" ref="AD2883:AI2883" si="1360">AD2659</f>
        <v>0</v>
      </c>
      <c r="AE2883" s="1443" t="b">
        <f t="shared" si="1360"/>
        <v>0</v>
      </c>
      <c r="AF2883" s="1443" t="b">
        <f t="shared" si="1360"/>
        <v>0</v>
      </c>
      <c r="AG2883" s="1443" t="b">
        <f t="shared" si="1360"/>
        <v>0</v>
      </c>
      <c r="AH2883" s="1443" t="b">
        <f t="shared" si="1360"/>
        <v>0</v>
      </c>
      <c r="AI2883" s="1443" t="b">
        <f t="shared" si="1360"/>
        <v>0</v>
      </c>
      <c r="AJ2883" s="1633" t="s">
        <v>1954</v>
      </c>
      <c r="AK2883" s="1635" t="str">
        <f>IF(AND(CNTR_ExistSubInstEntries,MSconst_RequireSubAttrEmissions,COUNTIFS(AC2883:AI2883,FALSE,H2883:N2883,"")&gt;0),EUconst_Error&amp;"BM"&amp;$Q2589,"")</f>
        <v/>
      </c>
    </row>
    <row r="2884" spans="2:37" ht="12.75" customHeight="1">
      <c r="B2884" s="479"/>
      <c r="C2884" s="977"/>
      <c r="D2884" s="981"/>
      <c r="E2884" s="981"/>
      <c r="F2884" s="981"/>
      <c r="G2884" s="981"/>
      <c r="H2884" s="981"/>
      <c r="I2884" s="983"/>
      <c r="J2884" s="981"/>
      <c r="K2884" s="981"/>
      <c r="L2884" s="981"/>
      <c r="M2884" s="981"/>
      <c r="N2884" s="814"/>
      <c r="O2884" s="485"/>
      <c r="P2884" s="485"/>
      <c r="Q2884" s="1435"/>
      <c r="S2884" s="1435"/>
      <c r="V2884" s="1435"/>
    </row>
    <row r="2885" spans="2:37" ht="12.75" customHeight="1">
      <c r="B2885" s="479"/>
      <c r="C2885" s="977"/>
      <c r="D2885" s="982" t="s">
        <v>245</v>
      </c>
      <c r="E2885" s="2649" t="s">
        <v>1157</v>
      </c>
      <c r="F2885" s="2391"/>
      <c r="G2885" s="2391"/>
      <c r="H2885" s="2391"/>
      <c r="I2885" s="2391"/>
      <c r="J2885" s="2391"/>
      <c r="K2885" s="2391"/>
      <c r="L2885" s="2391"/>
      <c r="M2885" s="2391"/>
      <c r="N2885" s="2650"/>
      <c r="O2885" s="485"/>
      <c r="P2885" s="485"/>
      <c r="V2885" s="1435"/>
    </row>
    <row r="2886" spans="2:37" ht="25.5" customHeight="1">
      <c r="B2886" s="479"/>
      <c r="C2886" s="977"/>
      <c r="D2886" s="981"/>
      <c r="E2886" s="3267" t="s">
        <v>1264</v>
      </c>
      <c r="F2886" s="2380"/>
      <c r="G2886" s="2380"/>
      <c r="H2886" s="2380"/>
      <c r="I2886" s="2380"/>
      <c r="J2886" s="2380"/>
      <c r="K2886" s="2380"/>
      <c r="L2886" s="2380"/>
      <c r="M2886" s="2380"/>
      <c r="N2886" s="3268"/>
      <c r="O2886" s="485"/>
      <c r="P2886" s="485"/>
      <c r="Q2886" s="1435"/>
      <c r="S2886" s="1435"/>
      <c r="V2886" s="1435"/>
    </row>
    <row r="2887" spans="2:37" ht="12.75" customHeight="1">
      <c r="B2887" s="479"/>
      <c r="C2887" s="977"/>
      <c r="D2887" s="981"/>
      <c r="E2887" s="3267" t="s">
        <v>1563</v>
      </c>
      <c r="F2887" s="2380"/>
      <c r="G2887" s="2380"/>
      <c r="H2887" s="2380"/>
      <c r="I2887" s="2380"/>
      <c r="J2887" s="2380"/>
      <c r="K2887" s="2380"/>
      <c r="L2887" s="2380"/>
      <c r="M2887" s="2380"/>
      <c r="N2887" s="3268"/>
      <c r="O2887" s="485"/>
      <c r="P2887" s="485"/>
      <c r="Q2887" s="1435"/>
      <c r="S2887" s="1435"/>
      <c r="V2887" s="1435"/>
    </row>
    <row r="2888" spans="2:37" ht="12.75" customHeight="1" thickBot="1">
      <c r="B2888" s="479"/>
      <c r="C2888" s="977"/>
      <c r="D2888" s="777"/>
      <c r="E2888" s="3283" t="s">
        <v>1598</v>
      </c>
      <c r="F2888" s="3284"/>
      <c r="G2888" s="3284"/>
      <c r="H2888" s="3284"/>
      <c r="I2888" s="3284"/>
      <c r="J2888" s="2380"/>
      <c r="K2888" s="2380"/>
      <c r="L2888" s="2380"/>
      <c r="M2888" s="2380"/>
      <c r="N2888" s="3268"/>
      <c r="O2888" s="485"/>
      <c r="P2888" s="485"/>
      <c r="Q2888" s="1435"/>
      <c r="S2888" s="1435"/>
      <c r="V2888" s="1435"/>
      <c r="AC2888" s="1638">
        <f t="shared" ref="AC2888:AI2888" si="1361">H$20</f>
        <v>2024</v>
      </c>
      <c r="AD2888" s="1638">
        <f t="shared" si="1361"/>
        <v>2025</v>
      </c>
      <c r="AE2888" s="1638">
        <f t="shared" si="1361"/>
        <v>2026</v>
      </c>
      <c r="AF2888" s="1638">
        <f t="shared" si="1361"/>
        <v>2027</v>
      </c>
      <c r="AG2888" s="1638">
        <f t="shared" si="1361"/>
        <v>2028</v>
      </c>
      <c r="AH2888" s="1638">
        <f t="shared" si="1361"/>
        <v>2029</v>
      </c>
      <c r="AI2888" s="1638">
        <f t="shared" si="1361"/>
        <v>2030</v>
      </c>
    </row>
    <row r="2889" spans="2:37" ht="12.75" customHeight="1">
      <c r="B2889" s="479"/>
      <c r="C2889" s="977"/>
      <c r="D2889" s="777"/>
      <c r="E2889" s="3285" t="str">
        <f>IF(I2589="","",IF(INDEX(EUconst_BMlistPulp,MATCH(I2589,EUconst_BMlistNames,0)),I2589,""))</f>
        <v/>
      </c>
      <c r="F2889" s="2410"/>
      <c r="G2889" s="815" t="str">
        <f>EUconst_Tons</f>
        <v>tonnes</v>
      </c>
      <c r="H2889" s="1869"/>
      <c r="I2889" s="1532"/>
      <c r="J2889" s="1811"/>
      <c r="K2889" s="1751"/>
      <c r="L2889" s="1751"/>
      <c r="M2889" s="1751"/>
      <c r="N2889" s="1752"/>
      <c r="O2889" s="485"/>
      <c r="P2889" s="9"/>
      <c r="Q2889" s="1644" t="str">
        <f>EUconst_CNTR_HALPulpTotal &amp; I2589</f>
        <v>HALPulpTotal_</v>
      </c>
      <c r="S2889" s="1435"/>
      <c r="AB2889" s="1641" t="s">
        <v>717</v>
      </c>
      <c r="AC2889" s="1423" t="b">
        <f t="shared" ref="AC2889:AI2889" si="1362">IF($I2589&lt;&gt;"",IF(INDEX(EUconst_BMlistPulp,MATCH($I2589,EUconst_BMlistNames,0))=TRUE,FALSE,TRUE),AC2659)</f>
        <v>0</v>
      </c>
      <c r="AD2889" s="1443" t="b">
        <f t="shared" si="1362"/>
        <v>0</v>
      </c>
      <c r="AE2889" s="1443" t="b">
        <f t="shared" si="1362"/>
        <v>0</v>
      </c>
      <c r="AF2889" s="1443" t="b">
        <f t="shared" si="1362"/>
        <v>0</v>
      </c>
      <c r="AG2889" s="1443" t="b">
        <f t="shared" si="1362"/>
        <v>0</v>
      </c>
      <c r="AH2889" s="1443" t="b">
        <f t="shared" si="1362"/>
        <v>0</v>
      </c>
      <c r="AI2889" s="1443" t="b">
        <f t="shared" si="1362"/>
        <v>0</v>
      </c>
      <c r="AJ2889" s="1633" t="s">
        <v>1954</v>
      </c>
      <c r="AK2889" s="1635" t="str">
        <f>IF(AND(CNTR_ExistSubInstEntries,MSconst_RequireSubAttrEmissions,COUNTIFS(AC2889:AI2889,FALSE,H2889:N2889,"")&gt;0),EUconst_Error&amp;"BM"&amp;$Q2589,"")</f>
        <v/>
      </c>
    </row>
    <row r="2890" spans="2:37" ht="12.75" customHeight="1">
      <c r="B2890" s="479"/>
      <c r="C2890" s="977"/>
      <c r="D2890" s="777"/>
      <c r="E2890" s="777"/>
      <c r="F2890" s="777"/>
      <c r="G2890" s="777"/>
      <c r="H2890" s="983"/>
      <c r="I2890" s="777"/>
      <c r="J2890" s="777"/>
      <c r="K2890" s="777"/>
      <c r="L2890" s="777"/>
      <c r="M2890" s="777"/>
      <c r="N2890" s="1007"/>
      <c r="O2890" s="485"/>
      <c r="P2890" s="485"/>
      <c r="Q2890" s="1435"/>
      <c r="S2890" s="1435"/>
      <c r="V2890" s="1435"/>
    </row>
    <row r="2891" spans="2:37" ht="12.75" customHeight="1">
      <c r="B2891" s="479"/>
      <c r="C2891" s="977"/>
      <c r="D2891" s="982" t="s">
        <v>832</v>
      </c>
      <c r="E2891" s="2649" t="s">
        <v>1142</v>
      </c>
      <c r="F2891" s="2391"/>
      <c r="G2891" s="2391"/>
      <c r="H2891" s="2391"/>
      <c r="I2891" s="2391"/>
      <c r="J2891" s="2391"/>
      <c r="K2891" s="2391"/>
      <c r="L2891" s="2391"/>
      <c r="M2891" s="2391"/>
      <c r="N2891" s="2650"/>
      <c r="O2891" s="485"/>
      <c r="P2891" s="485"/>
      <c r="Q2891" s="1435"/>
      <c r="S2891" s="1435"/>
      <c r="V2891" s="1435"/>
    </row>
    <row r="2892" spans="2:37" ht="25.5" customHeight="1">
      <c r="B2892" s="479"/>
      <c r="C2892" s="977"/>
      <c r="D2892" s="981"/>
      <c r="E2892" s="3267" t="s">
        <v>1366</v>
      </c>
      <c r="F2892" s="2380"/>
      <c r="G2892" s="2380"/>
      <c r="H2892" s="2380"/>
      <c r="I2892" s="2380"/>
      <c r="J2892" s="2380"/>
      <c r="K2892" s="2380"/>
      <c r="L2892" s="2380"/>
      <c r="M2892" s="2380"/>
      <c r="N2892" s="3268"/>
      <c r="O2892" s="485"/>
      <c r="P2892" s="485"/>
      <c r="Q2892" s="1435"/>
      <c r="S2892" s="1435"/>
      <c r="V2892" s="1435"/>
    </row>
    <row r="2893" spans="2:37" ht="12.75" customHeight="1">
      <c r="B2893" s="479"/>
      <c r="C2893" s="977"/>
      <c r="D2893" s="981"/>
      <c r="E2893" s="3272" t="s">
        <v>1610</v>
      </c>
      <c r="F2893" s="2380"/>
      <c r="G2893" s="2380"/>
      <c r="H2893" s="2380"/>
      <c r="I2893" s="2380"/>
      <c r="J2893" s="2380"/>
      <c r="K2893" s="2380"/>
      <c r="L2893" s="2380"/>
      <c r="M2893" s="2380"/>
      <c r="N2893" s="3268"/>
      <c r="O2893" s="485"/>
      <c r="P2893" s="485"/>
      <c r="Q2893" s="1435"/>
      <c r="S2893" s="1435"/>
      <c r="V2893" s="1435"/>
    </row>
    <row r="2894" spans="2:37" ht="12.75" customHeight="1">
      <c r="B2894" s="1124"/>
      <c r="C2894" s="977"/>
      <c r="D2894" s="777" t="s">
        <v>6</v>
      </c>
      <c r="E2894" s="2682" t="s">
        <v>1145</v>
      </c>
      <c r="F2894" s="2391"/>
      <c r="G2894" s="2391"/>
      <c r="H2894" s="2391"/>
      <c r="I2894" s="2391"/>
      <c r="J2894" s="2391"/>
      <c r="K2894" s="2512"/>
      <c r="L2894" s="1478" t="str">
        <f>c_ALR2025!L5420</f>
        <v/>
      </c>
      <c r="M2894" s="813"/>
      <c r="N2894" s="1015"/>
      <c r="O2894" s="485"/>
      <c r="P2894" s="9"/>
      <c r="AF2894" s="1641" t="s">
        <v>717</v>
      </c>
      <c r="AG2894" s="1423" t="b">
        <f>AND(CNTR_ExistSubInstEntries,I2589="")</f>
        <v>0</v>
      </c>
    </row>
    <row r="2895" spans="2:37" ht="5.0999999999999996" customHeight="1">
      <c r="B2895" s="479"/>
      <c r="C2895" s="977"/>
      <c r="D2895" s="777"/>
      <c r="E2895" s="777"/>
      <c r="F2895" s="777"/>
      <c r="G2895" s="777"/>
      <c r="H2895" s="983"/>
      <c r="I2895" s="777"/>
      <c r="J2895" s="777"/>
      <c r="K2895" s="777"/>
      <c r="L2895" s="777"/>
      <c r="M2895" s="777"/>
      <c r="N2895" s="1007"/>
      <c r="O2895" s="485"/>
      <c r="P2895" s="485"/>
      <c r="Q2895" s="1435"/>
      <c r="S2895" s="1435"/>
      <c r="V2895" s="1435"/>
    </row>
    <row r="2896" spans="2:37" ht="12.75" customHeight="1" thickBot="1">
      <c r="B2896" s="479"/>
      <c r="C2896" s="977"/>
      <c r="D2896" s="982"/>
      <c r="E2896" s="2648" t="s">
        <v>1144</v>
      </c>
      <c r="F2896" s="2493"/>
      <c r="G2896" s="778" t="str">
        <f>EUconst_Unit</f>
        <v>Unit</v>
      </c>
      <c r="H2896" s="782">
        <f t="shared" ref="H2896:N2896" si="1363">H$3242</f>
        <v>2024</v>
      </c>
      <c r="I2896" s="988">
        <f t="shared" si="1363"/>
        <v>2025</v>
      </c>
      <c r="J2896" s="1810">
        <f t="shared" si="1363"/>
        <v>2026</v>
      </c>
      <c r="K2896" s="1747">
        <f t="shared" si="1363"/>
        <v>2027</v>
      </c>
      <c r="L2896" s="1747">
        <f t="shared" si="1363"/>
        <v>2028</v>
      </c>
      <c r="M2896" s="1747">
        <f t="shared" si="1363"/>
        <v>2029</v>
      </c>
      <c r="N2896" s="1748">
        <f t="shared" si="1363"/>
        <v>2030</v>
      </c>
      <c r="O2896" s="485"/>
      <c r="P2896" s="485"/>
      <c r="Q2896" s="1435"/>
      <c r="S2896" s="1435"/>
      <c r="V2896" s="1435"/>
      <c r="AC2896" s="1638">
        <f t="shared" ref="AC2896:AI2896" si="1364">H$20</f>
        <v>2024</v>
      </c>
      <c r="AD2896" s="1638">
        <f t="shared" si="1364"/>
        <v>2025</v>
      </c>
      <c r="AE2896" s="1638">
        <f t="shared" si="1364"/>
        <v>2026</v>
      </c>
      <c r="AF2896" s="1638">
        <f t="shared" si="1364"/>
        <v>2027</v>
      </c>
      <c r="AG2896" s="1638">
        <f t="shared" si="1364"/>
        <v>2028</v>
      </c>
      <c r="AH2896" s="1638">
        <f t="shared" si="1364"/>
        <v>2029</v>
      </c>
      <c r="AI2896" s="1638">
        <f t="shared" si="1364"/>
        <v>2030</v>
      </c>
    </row>
    <row r="2897" spans="1:38" ht="12.75" customHeight="1">
      <c r="B2897" s="479"/>
      <c r="C2897" s="977"/>
      <c r="D2897" s="777" t="s">
        <v>7</v>
      </c>
      <c r="E2897" s="3279"/>
      <c r="F2897" s="3280"/>
      <c r="G2897" s="1016" t="str">
        <f>IF(E2897&lt;&gt;"",INDEX(EUconst_BMlistUnits,MATCH(E2897,EUconst_BMlistNames,0)),EUconst_Tons)</f>
        <v>tonnes</v>
      </c>
      <c r="H2897" s="1774" t="str">
        <f>c_ALR2025!M5423</f>
        <v/>
      </c>
      <c r="I2897" s="1886"/>
      <c r="J2897" s="1812"/>
      <c r="K2897" s="1754"/>
      <c r="L2897" s="1754"/>
      <c r="M2897" s="1754"/>
      <c r="N2897" s="1755"/>
      <c r="O2897" s="485"/>
      <c r="P2897" s="9"/>
      <c r="Q2897" s="1644" t="str">
        <f>EUconst_CNTR_IntermediateImport &amp; S2897 &amp; "_" &amp; I2589</f>
        <v>IntImp_1_</v>
      </c>
      <c r="S2897" s="1644">
        <v>1</v>
      </c>
      <c r="V2897" s="1435"/>
      <c r="AB2897" s="1641" t="s">
        <v>717</v>
      </c>
      <c r="AC2897" s="1423" t="b">
        <f>OR(AND($L2894&lt;&gt;"",$L2894=FALSE),AC2659)</f>
        <v>0</v>
      </c>
      <c r="AD2897" s="1443" t="b">
        <f t="shared" ref="AD2897:AI2897" si="1365">OR(AND($L2894&lt;&gt;"",$L2894=FALSE),AD2659)</f>
        <v>0</v>
      </c>
      <c r="AE2897" s="1443" t="b">
        <f t="shared" si="1365"/>
        <v>0</v>
      </c>
      <c r="AF2897" s="1443" t="b">
        <f t="shared" si="1365"/>
        <v>0</v>
      </c>
      <c r="AG2897" s="1443" t="b">
        <f t="shared" si="1365"/>
        <v>0</v>
      </c>
      <c r="AH2897" s="1443" t="b">
        <f t="shared" si="1365"/>
        <v>0</v>
      </c>
      <c r="AI2897" s="1443" t="b">
        <f t="shared" si="1365"/>
        <v>0</v>
      </c>
      <c r="AJ2897" s="1633" t="s">
        <v>1954</v>
      </c>
      <c r="AK2897" s="1635" t="str">
        <f>IF(AND(CNTR_ExistSubInstEntries,MSconst_RequireSubAttrEmissions,COUNTIFS(AC2897:AI2897,FALSE,H2897:N2897,"")&gt;0),EUconst_Error&amp;"BM"&amp;$Q2589,"")</f>
        <v/>
      </c>
    </row>
    <row r="2898" spans="1:38" ht="12.75" customHeight="1">
      <c r="B2898" s="479"/>
      <c r="C2898" s="977"/>
      <c r="D2898" s="777" t="s">
        <v>8</v>
      </c>
      <c r="E2898" s="3281"/>
      <c r="F2898" s="3282"/>
      <c r="G2898" s="1008" t="str">
        <f>IF(E2898&lt;&gt;"",INDEX(EUconst_BMlistUnits,MATCH(E2898,EUconst_BMlistNames,0)),EUconst_Tons)</f>
        <v>tonnes</v>
      </c>
      <c r="H2898" s="1816" t="str">
        <f>c_ALR2025!M5424</f>
        <v/>
      </c>
      <c r="I2898" s="1887"/>
      <c r="J2898" s="1812"/>
      <c r="K2898" s="1754"/>
      <c r="L2898" s="1754"/>
      <c r="M2898" s="1754"/>
      <c r="N2898" s="1755"/>
      <c r="O2898" s="485"/>
      <c r="P2898" s="9"/>
      <c r="Q2898" s="1644" t="str">
        <f>EUconst_CNTR_IntermediateImport &amp; S2898 &amp; "_" &amp; I2589</f>
        <v>IntImp_2_</v>
      </c>
      <c r="S2898" s="1644">
        <v>2</v>
      </c>
      <c r="V2898" s="1435"/>
      <c r="AC2898" s="1443" t="b">
        <f>AC2897</f>
        <v>0</v>
      </c>
      <c r="AD2898" s="1443" t="b">
        <f t="shared" ref="AD2898:AI2898" si="1366">AD2897</f>
        <v>0</v>
      </c>
      <c r="AE2898" s="1443" t="b">
        <f t="shared" si="1366"/>
        <v>0</v>
      </c>
      <c r="AF2898" s="1443" t="b">
        <f t="shared" si="1366"/>
        <v>0</v>
      </c>
      <c r="AG2898" s="1443" t="b">
        <f t="shared" si="1366"/>
        <v>0</v>
      </c>
      <c r="AH2898" s="1443" t="b">
        <f t="shared" si="1366"/>
        <v>0</v>
      </c>
      <c r="AI2898" s="1443" t="b">
        <f t="shared" si="1366"/>
        <v>0</v>
      </c>
    </row>
    <row r="2899" spans="1:38" ht="5.0999999999999996" customHeight="1">
      <c r="B2899" s="479"/>
      <c r="C2899" s="977"/>
      <c r="D2899" s="777"/>
      <c r="E2899" s="777"/>
      <c r="F2899" s="777"/>
      <c r="G2899" s="777"/>
      <c r="H2899" s="777"/>
      <c r="I2899" s="777"/>
      <c r="J2899" s="1817"/>
      <c r="K2899" s="1776"/>
      <c r="L2899" s="1776"/>
      <c r="M2899" s="1776"/>
      <c r="N2899" s="1777"/>
      <c r="O2899" s="485"/>
      <c r="P2899" s="485"/>
      <c r="Q2899" s="1435"/>
      <c r="S2899" s="1435"/>
      <c r="V2899" s="1435"/>
    </row>
    <row r="2900" spans="1:38" ht="12.75" customHeight="1" thickBot="1">
      <c r="B2900" s="479"/>
      <c r="C2900" s="977"/>
      <c r="D2900" s="982"/>
      <c r="E2900" s="2648" t="s">
        <v>1143</v>
      </c>
      <c r="F2900" s="2493"/>
      <c r="G2900" s="778" t="str">
        <f>EUconst_Unit</f>
        <v>Unit</v>
      </c>
      <c r="H2900" s="782">
        <f t="shared" ref="H2900:N2900" si="1367">H$3242</f>
        <v>2024</v>
      </c>
      <c r="I2900" s="988">
        <f t="shared" si="1367"/>
        <v>2025</v>
      </c>
      <c r="J2900" s="1810">
        <f t="shared" si="1367"/>
        <v>2026</v>
      </c>
      <c r="K2900" s="1747">
        <f t="shared" si="1367"/>
        <v>2027</v>
      </c>
      <c r="L2900" s="1747">
        <f t="shared" si="1367"/>
        <v>2028</v>
      </c>
      <c r="M2900" s="1747">
        <f t="shared" si="1367"/>
        <v>2029</v>
      </c>
      <c r="N2900" s="1748">
        <f t="shared" si="1367"/>
        <v>2030</v>
      </c>
      <c r="O2900" s="485"/>
      <c r="P2900" s="485"/>
      <c r="Q2900" s="1435"/>
      <c r="S2900" s="1435"/>
      <c r="V2900" s="1435"/>
      <c r="AC2900" s="1638">
        <f t="shared" ref="AC2900:AI2900" si="1368">H$20</f>
        <v>2024</v>
      </c>
      <c r="AD2900" s="1638">
        <f t="shared" si="1368"/>
        <v>2025</v>
      </c>
      <c r="AE2900" s="1638">
        <f t="shared" si="1368"/>
        <v>2026</v>
      </c>
      <c r="AF2900" s="1638">
        <f t="shared" si="1368"/>
        <v>2027</v>
      </c>
      <c r="AG2900" s="1638">
        <f t="shared" si="1368"/>
        <v>2028</v>
      </c>
      <c r="AH2900" s="1638">
        <f t="shared" si="1368"/>
        <v>2029</v>
      </c>
      <c r="AI2900" s="1638">
        <f t="shared" si="1368"/>
        <v>2030</v>
      </c>
    </row>
    <row r="2901" spans="1:38" ht="12.75" customHeight="1">
      <c r="B2901" s="479"/>
      <c r="C2901" s="977"/>
      <c r="D2901" s="777" t="s">
        <v>18</v>
      </c>
      <c r="E2901" s="3279"/>
      <c r="F2901" s="3280"/>
      <c r="G2901" s="1016" t="str">
        <f>IF(E2901&lt;&gt;"",INDEX(EUconst_BMlistUnits,MATCH(E2901,EUconst_BMlistNames,0)),EUconst_Tons)</f>
        <v>tonnes</v>
      </c>
      <c r="H2901" s="1774" t="str">
        <f>c_ALR2025!M5427</f>
        <v/>
      </c>
      <c r="I2901" s="1886"/>
      <c r="J2901" s="1812"/>
      <c r="K2901" s="1754"/>
      <c r="L2901" s="1754"/>
      <c r="M2901" s="1754"/>
      <c r="N2901" s="1755"/>
      <c r="O2901" s="485"/>
      <c r="P2901" s="9"/>
      <c r="Q2901" s="1644" t="str">
        <f>EUconst_CNTR_IntermediateExport &amp; S2897 &amp; "_" &amp; I2589</f>
        <v>IntExp_1_</v>
      </c>
      <c r="S2901" s="1644">
        <v>1</v>
      </c>
      <c r="V2901" s="1435"/>
      <c r="X2901" s="1778"/>
      <c r="Y2901" s="1778"/>
      <c r="AB2901" s="1641" t="s">
        <v>717</v>
      </c>
      <c r="AC2901" s="1443" t="b">
        <f>AC2897</f>
        <v>0</v>
      </c>
      <c r="AD2901" s="1443" t="b">
        <f t="shared" ref="AD2901:AI2901" si="1369">AD2897</f>
        <v>0</v>
      </c>
      <c r="AE2901" s="1443" t="b">
        <f t="shared" si="1369"/>
        <v>0</v>
      </c>
      <c r="AF2901" s="1443" t="b">
        <f t="shared" si="1369"/>
        <v>0</v>
      </c>
      <c r="AG2901" s="1443" t="b">
        <f t="shared" si="1369"/>
        <v>0</v>
      </c>
      <c r="AH2901" s="1443" t="b">
        <f t="shared" si="1369"/>
        <v>0</v>
      </c>
      <c r="AI2901" s="1443" t="b">
        <f t="shared" si="1369"/>
        <v>0</v>
      </c>
      <c r="AJ2901" s="1633" t="s">
        <v>1954</v>
      </c>
      <c r="AK2901" s="1635" t="str">
        <f>IF(AND(CNTR_ExistSubInstEntries,MSconst_RequireSubAttrEmissions,COUNTIFS(AC2901:AI2901,FALSE,H2901:N2901,"")&gt;0),EUconst_Error&amp;"BM"&amp;$Q2589,"")</f>
        <v/>
      </c>
    </row>
    <row r="2902" spans="1:38" ht="12.75" customHeight="1">
      <c r="B2902" s="479"/>
      <c r="C2902" s="977"/>
      <c r="D2902" s="777" t="s">
        <v>787</v>
      </c>
      <c r="E2902" s="3281"/>
      <c r="F2902" s="3282"/>
      <c r="G2902" s="1008" t="str">
        <f>IF(E2902&lt;&gt;"",INDEX(EUconst_BMlistUnits,MATCH(E2902,EUconst_BMlistNames,0)),EUconst_Tons)</f>
        <v>tonnes</v>
      </c>
      <c r="H2902" s="1816" t="str">
        <f>c_ALR2025!M5428</f>
        <v/>
      </c>
      <c r="I2902" s="1887"/>
      <c r="J2902" s="1812"/>
      <c r="K2902" s="1754"/>
      <c r="L2902" s="1754"/>
      <c r="M2902" s="1754"/>
      <c r="N2902" s="1755"/>
      <c r="O2902" s="485"/>
      <c r="P2902" s="9"/>
      <c r="Q2902" s="1644" t="str">
        <f>EUconst_CNTR_IntermediateExport &amp; S2902 &amp; "_" &amp; I2589</f>
        <v>IntExp_2_</v>
      </c>
      <c r="S2902" s="1644">
        <v>2</v>
      </c>
      <c r="V2902" s="1435"/>
      <c r="X2902" s="1778"/>
      <c r="Y2902" s="1778"/>
      <c r="AC2902" s="1443" t="b">
        <f t="shared" ref="AC2902:AI2902" si="1370">AC2898</f>
        <v>0</v>
      </c>
      <c r="AD2902" s="1443" t="b">
        <f t="shared" si="1370"/>
        <v>0</v>
      </c>
      <c r="AE2902" s="1443" t="b">
        <f t="shared" si="1370"/>
        <v>0</v>
      </c>
      <c r="AF2902" s="1443" t="b">
        <f t="shared" si="1370"/>
        <v>0</v>
      </c>
      <c r="AG2902" s="1443" t="b">
        <f t="shared" si="1370"/>
        <v>0</v>
      </c>
      <c r="AH2902" s="1443" t="b">
        <f t="shared" si="1370"/>
        <v>0</v>
      </c>
      <c r="AI2902" s="1443" t="b">
        <f t="shared" si="1370"/>
        <v>0</v>
      </c>
    </row>
    <row r="2903" spans="1:38" ht="5.0999999999999996" customHeight="1">
      <c r="B2903" s="479"/>
      <c r="C2903" s="977"/>
      <c r="D2903" s="777"/>
      <c r="E2903" s="777"/>
      <c r="F2903" s="777"/>
      <c r="G2903" s="777"/>
      <c r="H2903" s="777"/>
      <c r="I2903" s="777"/>
      <c r="J2903" s="777"/>
      <c r="K2903" s="777"/>
      <c r="L2903" s="777"/>
      <c r="M2903" s="777"/>
      <c r="N2903" s="1007"/>
      <c r="O2903" s="485"/>
      <c r="P2903" s="485"/>
      <c r="Q2903" s="1435"/>
      <c r="S2903" s="1435"/>
      <c r="V2903" s="1435"/>
      <c r="X2903" s="1778"/>
      <c r="Y2903" s="1778"/>
    </row>
    <row r="2904" spans="1:38" ht="12.75" customHeight="1">
      <c r="B2904" s="479"/>
      <c r="C2904" s="977"/>
      <c r="D2904" s="777" t="s">
        <v>788</v>
      </c>
      <c r="E2904" s="813" t="s">
        <v>1146</v>
      </c>
      <c r="F2904" s="813"/>
      <c r="G2904" s="813"/>
      <c r="H2904" s="813"/>
      <c r="I2904" s="813"/>
      <c r="J2904" s="813"/>
      <c r="K2904" s="813"/>
      <c r="L2904" s="813"/>
      <c r="M2904" s="813"/>
      <c r="N2904" s="1007"/>
      <c r="O2904" s="485"/>
      <c r="P2904" s="485"/>
      <c r="Q2904" s="1435"/>
      <c r="S2904" s="1435"/>
      <c r="V2904" s="1435"/>
      <c r="X2904" s="1778"/>
      <c r="Y2904" s="1778"/>
    </row>
    <row r="2905" spans="1:38" ht="12.75" customHeight="1">
      <c r="B2905" s="479"/>
      <c r="C2905" s="977"/>
      <c r="D2905" s="777"/>
      <c r="E2905" s="1779" t="s">
        <v>1459</v>
      </c>
      <c r="F2905" s="978"/>
      <c r="G2905" s="978"/>
      <c r="H2905" s="978"/>
      <c r="I2905" s="978"/>
      <c r="J2905" s="978"/>
      <c r="K2905" s="978"/>
      <c r="L2905" s="978"/>
      <c r="M2905" s="978"/>
      <c r="N2905" s="979"/>
      <c r="O2905" s="485"/>
      <c r="P2905" s="485"/>
      <c r="Q2905" s="1435"/>
      <c r="S2905" s="1435"/>
      <c r="V2905" s="1435"/>
      <c r="X2905" s="1778"/>
      <c r="Y2905" s="1778"/>
    </row>
    <row r="2906" spans="1:38" ht="12.75" customHeight="1">
      <c r="B2906" s="479"/>
      <c r="C2906" s="977"/>
      <c r="D2906" s="777"/>
      <c r="E2906" s="3273"/>
      <c r="F2906" s="3274"/>
      <c r="G2906" s="3274"/>
      <c r="H2906" s="3274"/>
      <c r="I2906" s="3274"/>
      <c r="J2906" s="3274"/>
      <c r="K2906" s="3274"/>
      <c r="L2906" s="3274"/>
      <c r="M2906" s="3275"/>
      <c r="N2906" s="1007"/>
      <c r="O2906" s="485"/>
      <c r="P2906" s="9"/>
      <c r="Q2906" s="1435"/>
      <c r="S2906" s="1435"/>
      <c r="V2906" s="1435"/>
      <c r="X2906" s="1778"/>
      <c r="Y2906" s="1778"/>
      <c r="AB2906" s="1641" t="s">
        <v>717</v>
      </c>
      <c r="AC2906" s="1443" t="b">
        <f>AND(AC2901:AI2901)</f>
        <v>0</v>
      </c>
    </row>
    <row r="2907" spans="1:38" ht="12.75" customHeight="1">
      <c r="B2907" s="479"/>
      <c r="C2907" s="977"/>
      <c r="D2907" s="777"/>
      <c r="E2907" s="3276"/>
      <c r="F2907" s="3277"/>
      <c r="G2907" s="3277"/>
      <c r="H2907" s="3277"/>
      <c r="I2907" s="3277"/>
      <c r="J2907" s="3277"/>
      <c r="K2907" s="3277"/>
      <c r="L2907" s="3277"/>
      <c r="M2907" s="3278"/>
      <c r="N2907" s="1007"/>
      <c r="O2907" s="485"/>
      <c r="P2907" s="485"/>
      <c r="Q2907" s="1435"/>
      <c r="S2907" s="1435"/>
      <c r="V2907" s="1435"/>
      <c r="X2907" s="1778"/>
      <c r="Y2907" s="1778"/>
      <c r="AC2907" s="1443" t="b">
        <f>AC2906</f>
        <v>0</v>
      </c>
    </row>
    <row r="2908" spans="1:38" ht="12.75" customHeight="1" thickBot="1">
      <c r="B2908" s="479"/>
      <c r="C2908" s="1018"/>
      <c r="D2908" s="1019"/>
      <c r="E2908" s="1019"/>
      <c r="F2908" s="1019"/>
      <c r="G2908" s="1019"/>
      <c r="H2908" s="1019"/>
      <c r="I2908" s="1019"/>
      <c r="J2908" s="1019"/>
      <c r="K2908" s="1019"/>
      <c r="L2908" s="1019"/>
      <c r="M2908" s="805"/>
      <c r="N2908" s="806"/>
      <c r="O2908" s="485"/>
      <c r="P2908" s="485"/>
      <c r="Q2908" s="1435"/>
      <c r="S2908" s="1435"/>
      <c r="V2908" s="1435"/>
    </row>
    <row r="2909" spans="1:38" ht="12.75" customHeight="1" thickBot="1">
      <c r="A2909" s="618"/>
      <c r="B2909" s="467"/>
      <c r="C2909" s="467"/>
      <c r="D2909" s="467"/>
      <c r="E2909" s="467"/>
      <c r="F2909" s="467"/>
      <c r="G2909" s="467"/>
      <c r="H2909" s="467"/>
      <c r="I2909" s="467"/>
      <c r="J2909" s="467"/>
      <c r="K2909" s="467"/>
      <c r="L2909" s="467"/>
      <c r="M2909" s="481"/>
      <c r="N2909" s="481"/>
      <c r="O2909" s="481"/>
      <c r="P2909" s="481"/>
      <c r="Q2909" s="1488" t="str">
        <f>IF(OR(AND(CNTR_ExistProductSubEntries=FALSE,Q2589=1),AND(I2589&lt;&gt;"",COUNTIF(Q2910:$Q3271,"PRINT")=0)),"PRINT","")</f>
        <v/>
      </c>
      <c r="R2909" s="1249"/>
      <c r="S2909" s="1249"/>
      <c r="T2909" s="1249"/>
      <c r="U2909" s="1249"/>
      <c r="V2909" s="1249"/>
      <c r="W2909" s="1249"/>
      <c r="X2909" s="1249"/>
      <c r="Y2909" s="1249"/>
      <c r="AE2909" s="1118"/>
      <c r="AF2909" s="1118"/>
      <c r="AG2909" s="1118"/>
      <c r="AH2909" s="1118"/>
      <c r="AI2909" s="1118"/>
      <c r="AJ2909" s="1118"/>
      <c r="AK2909" s="1118"/>
      <c r="AL2909" s="1118"/>
    </row>
    <row r="2910" spans="1:38" ht="5.0999999999999996" customHeight="1" thickBot="1">
      <c r="B2910" s="479"/>
      <c r="C2910" s="1020"/>
      <c r="D2910" s="1020"/>
      <c r="E2910" s="1020"/>
      <c r="F2910" s="1020"/>
      <c r="G2910" s="1020"/>
      <c r="H2910" s="1020"/>
      <c r="I2910" s="1020"/>
      <c r="J2910" s="1020"/>
      <c r="K2910" s="1020"/>
      <c r="L2910" s="1020"/>
      <c r="M2910" s="1020"/>
      <c r="N2910" s="1020"/>
      <c r="O2910" s="485"/>
      <c r="P2910" s="485"/>
      <c r="Q2910" s="1780"/>
      <c r="R2910" s="1780"/>
      <c r="S2910" s="1780"/>
      <c r="T2910" s="1780"/>
      <c r="U2910" s="1780"/>
      <c r="V2910" s="1780"/>
      <c r="W2910" s="1780"/>
      <c r="X2910" s="1780"/>
      <c r="Y2910" s="1780"/>
      <c r="Z2910" s="1780"/>
      <c r="AA2910" s="1780"/>
      <c r="AB2910" s="1780"/>
      <c r="AC2910" s="1780"/>
      <c r="AD2910" s="1780"/>
      <c r="AE2910" s="1780"/>
      <c r="AF2910" s="1780"/>
      <c r="AG2910" s="1780"/>
      <c r="AH2910" s="1780"/>
      <c r="AI2910" s="1780"/>
      <c r="AJ2910" s="1780"/>
      <c r="AK2910" s="1780"/>
      <c r="AL2910" s="1780"/>
    </row>
    <row r="2911" spans="1:38" ht="14.45" customHeight="1" thickBot="1">
      <c r="B2911" s="479"/>
      <c r="C2911" s="897">
        <f>C2589+1</f>
        <v>10</v>
      </c>
      <c r="D2911" s="2482" t="str">
        <f>EUconst_BMSubinst &amp; ":"</f>
        <v>Sub-installation with product benchmark:</v>
      </c>
      <c r="E2911" s="2400"/>
      <c r="F2911" s="2400"/>
      <c r="G2911" s="2400"/>
      <c r="H2911" s="2585"/>
      <c r="I2911" s="3293" t="str">
        <f>IF(INDEX(CNTR_SubInstListIsProdBM,$C2911),INDEX(CNTR_SubInstListNames,$C2911),"")</f>
        <v/>
      </c>
      <c r="J2911" s="3294"/>
      <c r="K2911" s="3294"/>
      <c r="L2911" s="3294"/>
      <c r="M2911" s="3294"/>
      <c r="N2911" s="3297"/>
      <c r="O2911" s="485"/>
      <c r="P2911" s="485"/>
      <c r="Q2911" s="1488">
        <f>C2911</f>
        <v>10</v>
      </c>
      <c r="S2911" s="1633" t="s">
        <v>558</v>
      </c>
      <c r="T2911" s="1634" t="str">
        <f>IF(I2911="","",MAX(INDEX(CNTR_SubInstStartDate,MATCH($I2911,CNTR_SubInstListNames,0)),DATE(2005,1,1)))</f>
        <v/>
      </c>
      <c r="U2911" s="1435" t="s">
        <v>1673</v>
      </c>
      <c r="V2911" s="1635">
        <f>IF(ISNUMBER(T2911),YEAR($T2911-1)+1,2005)</f>
        <v>2005</v>
      </c>
      <c r="W2911" s="1633" t="s">
        <v>1676</v>
      </c>
      <c r="X2911" s="1634" t="str">
        <f>IF(I2911="","",INDEX(CNTR_SubInstCessationDate,MATCH($I2911,CNTR_SubInstListNames,0)))</f>
        <v/>
      </c>
      <c r="Y2911" s="1633" t="s">
        <v>1677</v>
      </c>
      <c r="Z2911" s="1635">
        <f>IF(SUM(X2911)=0,2050,YEAR($X2911))</f>
        <v>2050</v>
      </c>
      <c r="AA2911" s="1633" t="s">
        <v>1925</v>
      </c>
      <c r="AB2911" s="1635" t="b">
        <f>CNTR_ReportingYear&gt;V2911</f>
        <v>1</v>
      </c>
      <c r="AL2911" s="1848" t="b">
        <f>AND(CNTR_ExistSubInstEntries,I2911="")</f>
        <v>0</v>
      </c>
    </row>
    <row r="2912" spans="1:38" ht="12.75" customHeight="1">
      <c r="B2912" s="479"/>
      <c r="C2912" s="479"/>
      <c r="D2912" s="485"/>
      <c r="E2912" s="2385" t="s">
        <v>216</v>
      </c>
      <c r="F2912" s="2846"/>
      <c r="G2912" s="2846"/>
      <c r="H2912" s="2846"/>
      <c r="I2912" s="2846"/>
      <c r="J2912" s="2846"/>
      <c r="K2912" s="2846"/>
      <c r="L2912" s="2846"/>
      <c r="M2912" s="2846"/>
      <c r="N2912" s="2846"/>
      <c r="O2912" s="485"/>
      <c r="P2912" s="485"/>
      <c r="Q2912" s="1435"/>
      <c r="S2912" s="1435"/>
      <c r="T2912" s="1435"/>
    </row>
    <row r="2913" spans="2:38" ht="5.0999999999999996" customHeight="1">
      <c r="B2913" s="479"/>
      <c r="C2913" s="479"/>
      <c r="D2913" s="479"/>
      <c r="E2913" s="479"/>
      <c r="F2913" s="479"/>
      <c r="G2913" s="479"/>
      <c r="H2913" s="479"/>
      <c r="I2913" s="479"/>
      <c r="J2913" s="479"/>
      <c r="K2913" s="479"/>
      <c r="L2913" s="479"/>
      <c r="M2913" s="485"/>
      <c r="N2913" s="485"/>
      <c r="O2913" s="485"/>
      <c r="P2913" s="485"/>
      <c r="Q2913" s="1435"/>
      <c r="S2913" s="1435"/>
      <c r="T2913" s="1435"/>
    </row>
    <row r="2914" spans="2:38">
      <c r="B2914" s="479"/>
      <c r="C2914" s="479"/>
      <c r="D2914" s="482" t="s">
        <v>400</v>
      </c>
      <c r="E2914" s="2373" t="s">
        <v>1930</v>
      </c>
      <c r="F2914" s="2400"/>
      <c r="G2914" s="2400"/>
      <c r="H2914" s="2400"/>
      <c r="I2914" s="2400"/>
      <c r="J2914" s="2400"/>
      <c r="K2914" s="2400"/>
      <c r="L2914" s="2400"/>
      <c r="M2914" s="2400"/>
      <c r="N2914" s="2400"/>
      <c r="O2914" s="485"/>
      <c r="P2914" s="485"/>
      <c r="Q2914" s="1435"/>
    </row>
    <row r="2915" spans="2:38" ht="12.75" customHeight="1">
      <c r="B2915" s="479"/>
      <c r="C2915" s="479"/>
      <c r="D2915" s="485"/>
      <c r="E2915" s="2385" t="s">
        <v>801</v>
      </c>
      <c r="F2915" s="2846"/>
      <c r="G2915" s="2846"/>
      <c r="H2915" s="2846"/>
      <c r="I2915" s="2846"/>
      <c r="J2915" s="2846"/>
      <c r="K2915" s="2846"/>
      <c r="L2915" s="2846"/>
      <c r="M2915" s="2846"/>
      <c r="N2915" s="2846"/>
      <c r="O2915" s="485"/>
      <c r="P2915" s="485"/>
      <c r="Q2915" s="1435"/>
      <c r="S2915" s="1435"/>
      <c r="T2915" s="1435"/>
      <c r="U2915" s="1435"/>
    </row>
    <row r="2916" spans="2:38" ht="12.75" customHeight="1">
      <c r="B2916" s="479"/>
      <c r="C2916" s="479"/>
      <c r="D2916" s="485"/>
      <c r="E2916" s="2385" t="s">
        <v>1199</v>
      </c>
      <c r="F2916" s="2846"/>
      <c r="G2916" s="2846"/>
      <c r="H2916" s="2846"/>
      <c r="I2916" s="2846"/>
      <c r="J2916" s="2846"/>
      <c r="K2916" s="2846"/>
      <c r="L2916" s="2846"/>
      <c r="M2916" s="2846"/>
      <c r="N2916" s="2846"/>
      <c r="O2916" s="485"/>
      <c r="P2916" s="485"/>
      <c r="Q2916" s="1435"/>
      <c r="S2916" s="1435"/>
      <c r="T2916" s="1435"/>
      <c r="U2916" s="1435"/>
    </row>
    <row r="2917" spans="2:38" ht="12.75" customHeight="1">
      <c r="B2917" s="479"/>
      <c r="C2917" s="479"/>
      <c r="D2917" s="485"/>
      <c r="E2917" s="2385" t="s">
        <v>125</v>
      </c>
      <c r="F2917" s="2846"/>
      <c r="G2917" s="2846"/>
      <c r="H2917" s="2846"/>
      <c r="I2917" s="2846"/>
      <c r="J2917" s="2846"/>
      <c r="K2917" s="2846"/>
      <c r="L2917" s="2846"/>
      <c r="M2917" s="2846"/>
      <c r="N2917" s="2846"/>
      <c r="O2917" s="485"/>
      <c r="P2917" s="485"/>
      <c r="Q2917" s="1435"/>
      <c r="S2917" s="1435"/>
      <c r="Z2917" s="1435"/>
    </row>
    <row r="2918" spans="2:38" ht="13.5" customHeight="1" thickBot="1">
      <c r="B2918" s="1124"/>
      <c r="C2918" s="485"/>
      <c r="D2918" s="482"/>
      <c r="E2918" s="2509" t="s">
        <v>1447</v>
      </c>
      <c r="F2918" s="2509"/>
      <c r="G2918" s="663" t="str">
        <f>EUconst_Unit</f>
        <v>Unit</v>
      </c>
      <c r="H2918" s="578">
        <f t="shared" ref="H2918:N2918" si="1371">H$3242</f>
        <v>2024</v>
      </c>
      <c r="I2918" s="697">
        <f t="shared" si="1371"/>
        <v>2025</v>
      </c>
      <c r="J2918" s="1489">
        <f t="shared" si="1371"/>
        <v>2026</v>
      </c>
      <c r="K2918" s="1490">
        <f t="shared" si="1371"/>
        <v>2027</v>
      </c>
      <c r="L2918" s="1490">
        <f t="shared" si="1371"/>
        <v>2028</v>
      </c>
      <c r="M2918" s="1490">
        <f t="shared" si="1371"/>
        <v>2029</v>
      </c>
      <c r="N2918" s="1490">
        <f t="shared" si="1371"/>
        <v>2030</v>
      </c>
      <c r="O2918" s="485"/>
      <c r="P2918" s="485"/>
      <c r="Q2918" s="1435"/>
      <c r="T2918" s="1638">
        <f t="shared" ref="T2918:Z2918" si="1372">H2918</f>
        <v>2024</v>
      </c>
      <c r="U2918" s="1638">
        <f t="shared" si="1372"/>
        <v>2025</v>
      </c>
      <c r="V2918" s="1638">
        <f t="shared" si="1372"/>
        <v>2026</v>
      </c>
      <c r="W2918" s="1638">
        <f t="shared" si="1372"/>
        <v>2027</v>
      </c>
      <c r="X2918" s="1638">
        <f t="shared" si="1372"/>
        <v>2028</v>
      </c>
      <c r="Y2918" s="1638">
        <f t="shared" si="1372"/>
        <v>2029</v>
      </c>
      <c r="Z2918" s="1638">
        <f t="shared" si="1372"/>
        <v>2030</v>
      </c>
      <c r="AC2918" s="1638">
        <f t="shared" ref="AC2918:AI2918" si="1373">H$20</f>
        <v>2024</v>
      </c>
      <c r="AD2918" s="1638">
        <f t="shared" si="1373"/>
        <v>2025</v>
      </c>
      <c r="AE2918" s="1638">
        <f t="shared" si="1373"/>
        <v>2026</v>
      </c>
      <c r="AF2918" s="1638">
        <f t="shared" si="1373"/>
        <v>2027</v>
      </c>
      <c r="AG2918" s="1638">
        <f t="shared" si="1373"/>
        <v>2028</v>
      </c>
      <c r="AH2918" s="1638">
        <f t="shared" si="1373"/>
        <v>2029</v>
      </c>
      <c r="AI2918" s="1638">
        <f t="shared" si="1373"/>
        <v>2030</v>
      </c>
      <c r="AL2918" s="1435"/>
    </row>
    <row r="2919" spans="2:38" ht="13.5" thickBot="1">
      <c r="B2919" s="1124"/>
      <c r="C2919" s="485"/>
      <c r="D2919" s="561" t="s">
        <v>6</v>
      </c>
      <c r="E2919" s="3296" t="str">
        <f>I2911</f>
        <v/>
      </c>
      <c r="F2919" s="3296"/>
      <c r="G2919" s="898" t="str">
        <f>IF(INDEX(CNTR_SubInstListIsProdBM,$C2911),INDEX(CNTR_SubInstListHALUnit,$C2911),EUconst_Tons)</f>
        <v>tonnes</v>
      </c>
      <c r="H2919" s="1818" t="str">
        <f>c_ALR2025!M5445</f>
        <v/>
      </c>
      <c r="I2919" s="1878"/>
      <c r="J2919" s="1819"/>
      <c r="K2919" s="1820"/>
      <c r="L2919" s="1820"/>
      <c r="M2919" s="1820"/>
      <c r="N2919" s="1820"/>
      <c r="O2919" s="485"/>
      <c r="P2919" s="9"/>
      <c r="S2919" s="1435" t="s">
        <v>1674</v>
      </c>
      <c r="T2919" s="1850" t="b">
        <f t="shared" ref="T2919:Z2919" si="1374">AND($I2911&lt;&gt;"",H2918&lt;CNTR_ReportingYear,H2918&gt;=$V2911-1)</f>
        <v>0</v>
      </c>
      <c r="U2919" s="1851" t="b">
        <f t="shared" si="1374"/>
        <v>0</v>
      </c>
      <c r="V2919" s="1851" t="b">
        <f t="shared" si="1374"/>
        <v>0</v>
      </c>
      <c r="W2919" s="1851" t="b">
        <f t="shared" si="1374"/>
        <v>0</v>
      </c>
      <c r="X2919" s="1851" t="b">
        <f t="shared" si="1374"/>
        <v>0</v>
      </c>
      <c r="Y2919" s="1851" t="b">
        <f t="shared" si="1374"/>
        <v>0</v>
      </c>
      <c r="Z2919" s="1852" t="b">
        <f t="shared" si="1374"/>
        <v>0</v>
      </c>
      <c r="AA2919" s="1435"/>
      <c r="AB2919" s="1641" t="s">
        <v>717</v>
      </c>
      <c r="AC2919" s="1853" t="b">
        <f t="shared" ref="AC2919:AI2919" si="1375">IF(CNTR_ExistSubInstEntries,OR($I2911="",$R2923,H2918&gt;=CNTR_ReportingYear,AC2918&lt;$V2911-1),FALSE)</f>
        <v>0</v>
      </c>
      <c r="AD2919" s="1642" t="b">
        <f t="shared" si="1375"/>
        <v>0</v>
      </c>
      <c r="AE2919" s="1642" t="b">
        <f t="shared" si="1375"/>
        <v>0</v>
      </c>
      <c r="AF2919" s="1642" t="b">
        <f t="shared" si="1375"/>
        <v>0</v>
      </c>
      <c r="AG2919" s="1642" t="b">
        <f t="shared" si="1375"/>
        <v>0</v>
      </c>
      <c r="AH2919" s="1642" t="b">
        <f t="shared" si="1375"/>
        <v>0</v>
      </c>
      <c r="AI2919" s="1643" t="b">
        <f t="shared" si="1375"/>
        <v>0</v>
      </c>
      <c r="AJ2919" s="1633" t="s">
        <v>1954</v>
      </c>
      <c r="AK2919" s="1635" t="str">
        <f>IF(AND(CNTR_ExistSubInstEntries,COUNTIFS(AC2919:AI2919,FALSE,H2919:N2919,"")&gt;0),EUconst_Error&amp;"BM"&amp;$Q2911,"")</f>
        <v/>
      </c>
    </row>
    <row r="2920" spans="2:38" ht="13.15" customHeight="1" thickBot="1">
      <c r="B2920" s="1124"/>
      <c r="C2920" s="485"/>
      <c r="D2920" s="561" t="s">
        <v>7</v>
      </c>
      <c r="E2920" s="3296" t="s">
        <v>123</v>
      </c>
      <c r="F2920" s="3296"/>
      <c r="G2920" s="898" t="str">
        <f>G2919</f>
        <v>tonnes</v>
      </c>
      <c r="H2920" s="899" t="str">
        <f>IF(OR($I2911="",H2918&gt;=CNTR_ReportingYear),"",IF($R2923,SUMIF(H_SpecialBM!$Q$9:$Q$414,$Q2920,H_SpecialBM!H$9:H$414),""))</f>
        <v/>
      </c>
      <c r="I2920" s="900" t="str">
        <f>IF(OR($I2911="",I2918&gt;=CNTR_ReportingYear),"",IF($R2923,SUMIF(H_SpecialBM!$Q$9:$Q$414,$Q2920,H_SpecialBM!I$9:I$414),""))</f>
        <v/>
      </c>
      <c r="J2920" s="1819" t="str">
        <f>IF(OR($I2911="",J2918&gt;=CNTR_ReportingYear),"",IF($R2923,SUMIF(H_SpecialBM!$Q$9:$Q$414,$Q2920,H_SpecialBM!J$9:J$414),""))</f>
        <v/>
      </c>
      <c r="K2920" s="1820" t="str">
        <f>IF(OR($I2911="",K2918&gt;=CNTR_ReportingYear),"",IF($R2923,SUMIF(H_SpecialBM!$Q$9:$Q$414,$Q2920,H_SpecialBM!K$9:K$414),""))</f>
        <v/>
      </c>
      <c r="L2920" s="1820" t="str">
        <f>IF(OR($I2911="",L2918&gt;=CNTR_ReportingYear),"",IF($R2923,SUMIF(H_SpecialBM!$Q$9:$Q$414,$Q2920,H_SpecialBM!L$9:L$414),""))</f>
        <v/>
      </c>
      <c r="M2920" s="1820" t="str">
        <f>IF(OR($I2911="",M2918&gt;=CNTR_ReportingYear),"",IF($R2923,SUMIF(H_SpecialBM!$Q$9:$Q$414,$Q2920,H_SpecialBM!M$9:M$414),""))</f>
        <v/>
      </c>
      <c r="N2920" s="1820" t="str">
        <f>IF(OR($I2911="",N2918&gt;=CNTR_ReportingYear),"",IF($R2923,SUMIF(H_SpecialBM!$Q$9:$Q$414,$Q2920,H_SpecialBM!N$9:N$414),""))</f>
        <v/>
      </c>
      <c r="O2920" s="485"/>
      <c r="P2920" s="485"/>
      <c r="Q2920" s="1644" t="str">
        <f>EUconst_CNTR_HALspecial&amp;I2911</f>
        <v>HALspecial_</v>
      </c>
      <c r="AB2920" s="1641" t="s">
        <v>717</v>
      </c>
      <c r="AC2920" s="1853" t="b">
        <f t="shared" ref="AC2920:AI2920" si="1376">AND(CNTR_HasEntries_A_I,OR($R2923=FALSE,H2918&gt;=CNTR_ReportingYear))</f>
        <v>0</v>
      </c>
      <c r="AD2920" s="1642" t="b">
        <f t="shared" si="1376"/>
        <v>0</v>
      </c>
      <c r="AE2920" s="1642" t="b">
        <f t="shared" si="1376"/>
        <v>0</v>
      </c>
      <c r="AF2920" s="1642" t="b">
        <f t="shared" si="1376"/>
        <v>0</v>
      </c>
      <c r="AG2920" s="1642" t="b">
        <f t="shared" si="1376"/>
        <v>0</v>
      </c>
      <c r="AH2920" s="1642" t="b">
        <f t="shared" si="1376"/>
        <v>0</v>
      </c>
      <c r="AI2920" s="1643" t="b">
        <f t="shared" si="1376"/>
        <v>0</v>
      </c>
      <c r="AJ2920" s="1624"/>
      <c r="AK2920" s="1624"/>
      <c r="AL2920" s="1435"/>
    </row>
    <row r="2921" spans="2:38" ht="13.15" customHeight="1">
      <c r="B2921" s="1124"/>
      <c r="C2921" s="485"/>
      <c r="D2921" s="561" t="s">
        <v>8</v>
      </c>
      <c r="E2921" s="3296" t="s">
        <v>124</v>
      </c>
      <c r="F2921" s="3296"/>
      <c r="G2921" s="898" t="str">
        <f>G2920</f>
        <v>tonnes</v>
      </c>
      <c r="H2921" s="899" t="str">
        <f t="shared" ref="H2921:N2921" si="1377">IF(OR($I2911="",H2918&gt;=CNTR_ReportingYear),"",IF($R2923=TRUE,IF(ISNUMBER(H2920),H2920,0),IF(AND(H2918&gt;=$V2911-1,ISNUMBER(H2919)),H2919,0)))</f>
        <v/>
      </c>
      <c r="I2921" s="900" t="str">
        <f t="shared" si="1377"/>
        <v/>
      </c>
      <c r="J2921" s="1819" t="str">
        <f t="shared" si="1377"/>
        <v/>
      </c>
      <c r="K2921" s="1820" t="str">
        <f t="shared" si="1377"/>
        <v/>
      </c>
      <c r="L2921" s="1820" t="str">
        <f t="shared" si="1377"/>
        <v/>
      </c>
      <c r="M2921" s="1820" t="str">
        <f t="shared" si="1377"/>
        <v/>
      </c>
      <c r="N2921" s="1820" t="str">
        <f t="shared" si="1377"/>
        <v/>
      </c>
      <c r="O2921" s="485"/>
      <c r="P2921" s="1136"/>
      <c r="Q2921" s="1644" t="str">
        <f>EUconst_CNTR_HAL&amp;I2911</f>
        <v>HAL_</v>
      </c>
      <c r="AJ2921" s="1633" t="s">
        <v>1951</v>
      </c>
      <c r="AK2921" s="1443" t="str">
        <f>IF(COUNTIFS(H2918:N2918,"&lt;"&amp;YEAR(SUM(T2911)),H2921:N2921,"&gt;"&amp;0)&gt;0,EUconst_Error&amp;"BM"&amp;Q2911,"")</f>
        <v/>
      </c>
      <c r="AL2921" s="1435"/>
    </row>
    <row r="2922" spans="2:38" ht="5.0999999999999996" customHeight="1">
      <c r="B2922" s="479"/>
      <c r="C2922" s="479"/>
      <c r="D2922" s="479"/>
      <c r="E2922" s="479"/>
      <c r="F2922" s="479"/>
      <c r="G2922" s="479"/>
      <c r="H2922" s="479"/>
      <c r="I2922" s="479"/>
      <c r="J2922" s="479"/>
      <c r="K2922" s="479"/>
      <c r="L2922" s="479"/>
      <c r="M2922" s="485"/>
      <c r="N2922" s="485"/>
      <c r="O2922" s="485"/>
      <c r="P2922" s="485"/>
      <c r="Q2922" s="1435"/>
      <c r="S2922" s="1435"/>
      <c r="T2922" s="1435"/>
    </row>
    <row r="2923" spans="2:38" ht="12.75" customHeight="1">
      <c r="B2923" s="479"/>
      <c r="C2923" s="479"/>
      <c r="D2923" s="561" t="s">
        <v>18</v>
      </c>
      <c r="E2923" s="2373" t="s">
        <v>922</v>
      </c>
      <c r="F2923" s="2373"/>
      <c r="G2923" s="2604"/>
      <c r="H2923" s="2652" t="str">
        <f>IF(I2911="","",HYPERLINK(INDEX(EUconst_BMlistSpecialJumpTable,MATCH(I2911,EUconst_BMlistNames,0)),INDEX(EUconst_BMlistSpecialReporting,MATCH(I2911,EUconst_BMlistNames,0))))</f>
        <v/>
      </c>
      <c r="I2923" s="2689"/>
      <c r="J2923" s="2689"/>
      <c r="K2923" s="2689"/>
      <c r="L2923" s="2689"/>
      <c r="M2923" s="2689"/>
      <c r="N2923" s="2690"/>
      <c r="O2923" s="485"/>
      <c r="P2923" s="485"/>
      <c r="Q2923" s="1633" t="s">
        <v>122</v>
      </c>
      <c r="R2923" s="1443" t="str">
        <f>IF(I2911="","",IF(AND(INDEX(EUconst_BMlistSpecialJumpTable,MATCH(I2911,EUconst_BMlistNames,0))&lt;&gt;"",MATCH(I2911,EUconst_BMlistNames,0)&lt;&gt;47),TRUE,FALSE))</f>
        <v/>
      </c>
      <c r="S2923" s="1435"/>
      <c r="T2923" s="1435"/>
    </row>
    <row r="2924" spans="2:38" ht="12.75" customHeight="1">
      <c r="B2924" s="479"/>
      <c r="C2924" s="479"/>
      <c r="D2924" s="485"/>
      <c r="E2924" s="2385" t="s">
        <v>923</v>
      </c>
      <c r="F2924" s="2846"/>
      <c r="G2924" s="2846"/>
      <c r="H2924" s="2846"/>
      <c r="I2924" s="2846"/>
      <c r="J2924" s="2846"/>
      <c r="K2924" s="2846"/>
      <c r="L2924" s="2846"/>
      <c r="M2924" s="2846"/>
      <c r="N2924" s="2846"/>
      <c r="O2924" s="485"/>
      <c r="P2924" s="485"/>
      <c r="Q2924" s="1435"/>
      <c r="S2924" s="1435"/>
      <c r="T2924" s="1435"/>
    </row>
    <row r="2925" spans="2:38" ht="5.0999999999999996" customHeight="1">
      <c r="B2925" s="479"/>
      <c r="C2925" s="479"/>
      <c r="D2925" s="485"/>
      <c r="E2925" s="485"/>
      <c r="F2925" s="485"/>
      <c r="G2925" s="485"/>
      <c r="H2925" s="485"/>
      <c r="I2925" s="485"/>
      <c r="J2925" s="485"/>
      <c r="K2925" s="485"/>
      <c r="L2925" s="485"/>
      <c r="M2925" s="485"/>
      <c r="N2925" s="485"/>
      <c r="O2925" s="485"/>
      <c r="P2925" s="485"/>
      <c r="Q2925" s="1435"/>
      <c r="S2925" s="1435"/>
      <c r="T2925" s="1435"/>
      <c r="Z2925" s="1435"/>
      <c r="AL2925" s="1435"/>
    </row>
    <row r="2926" spans="2:38" ht="12.75" customHeight="1">
      <c r="B2926" s="479"/>
      <c r="C2926" s="479"/>
      <c r="D2926" s="482" t="s">
        <v>876</v>
      </c>
      <c r="E2926" s="2373" t="s">
        <v>1709</v>
      </c>
      <c r="F2926" s="2400"/>
      <c r="G2926" s="2400"/>
      <c r="H2926" s="2400"/>
      <c r="I2926" s="2400"/>
      <c r="J2926" s="2400"/>
      <c r="K2926" s="2400"/>
      <c r="L2926" s="2400"/>
      <c r="M2926" s="2400"/>
      <c r="N2926" s="2400"/>
      <c r="O2926" s="485"/>
      <c r="P2926" s="485"/>
      <c r="Q2926" s="1435"/>
      <c r="S2926" s="1435"/>
      <c r="T2926" s="1435"/>
      <c r="Z2926" s="1435"/>
      <c r="AL2926" s="1435"/>
    </row>
    <row r="2927" spans="2:38" ht="12.75" customHeight="1">
      <c r="B2927" s="479"/>
      <c r="C2927" s="479"/>
      <c r="D2927" s="485"/>
      <c r="E2927" s="2385" t="s">
        <v>1958</v>
      </c>
      <c r="F2927" s="2846"/>
      <c r="G2927" s="2846"/>
      <c r="H2927" s="2846"/>
      <c r="I2927" s="2846"/>
      <c r="J2927" s="2846"/>
      <c r="K2927" s="2846"/>
      <c r="L2927" s="2846"/>
      <c r="M2927" s="2846"/>
      <c r="N2927" s="2846"/>
      <c r="O2927" s="485"/>
      <c r="P2927" s="485"/>
      <c r="Q2927" s="1435"/>
      <c r="S2927" s="1435"/>
      <c r="T2927" s="1435"/>
      <c r="U2927" s="1435"/>
    </row>
    <row r="2928" spans="2:38" ht="25.5" customHeight="1">
      <c r="B2928" s="479"/>
      <c r="C2928" s="479"/>
      <c r="D2928" s="485"/>
      <c r="E2928" s="2385" t="s">
        <v>1696</v>
      </c>
      <c r="F2928" s="2846"/>
      <c r="G2928" s="2846"/>
      <c r="H2928" s="2846"/>
      <c r="I2928" s="2846"/>
      <c r="J2928" s="2846"/>
      <c r="K2928" s="2846"/>
      <c r="L2928" s="2846"/>
      <c r="M2928" s="2846"/>
      <c r="N2928" s="2846"/>
      <c r="O2928" s="485"/>
      <c r="P2928" s="485"/>
      <c r="Q2928" s="1435"/>
      <c r="S2928" s="1435"/>
      <c r="T2928" s="1435"/>
      <c r="U2928" s="1435"/>
    </row>
    <row r="2929" spans="1:38" ht="12.75" customHeight="1">
      <c r="B2929" s="479"/>
      <c r="C2929" s="479"/>
      <c r="D2929" s="485"/>
      <c r="E2929" s="901" t="s">
        <v>1021</v>
      </c>
      <c r="F2929" s="3050" t="s">
        <v>2711</v>
      </c>
      <c r="G2929" s="2584"/>
      <c r="H2929" s="2584"/>
      <c r="I2929" s="2584"/>
      <c r="J2929" s="2584"/>
      <c r="K2929" s="2584"/>
      <c r="L2929" s="2584"/>
      <c r="M2929" s="2584"/>
      <c r="N2929" s="2584"/>
      <c r="O2929" s="485"/>
      <c r="P2929" s="485"/>
      <c r="Q2929" s="1435"/>
      <c r="S2929" s="1435"/>
      <c r="T2929" s="1435"/>
      <c r="U2929" s="1435"/>
    </row>
    <row r="2930" spans="1:38" ht="12.75" customHeight="1" thickBot="1">
      <c r="B2930" s="479"/>
      <c r="C2930" s="479"/>
      <c r="D2930" s="485"/>
      <c r="E2930" s="901" t="s">
        <v>1021</v>
      </c>
      <c r="F2930" s="3050" t="s">
        <v>1985</v>
      </c>
      <c r="G2930" s="2584"/>
      <c r="H2930" s="2584"/>
      <c r="I2930" s="2584"/>
      <c r="J2930" s="2584"/>
      <c r="K2930" s="2584"/>
      <c r="L2930" s="2584"/>
      <c r="M2930" s="2584"/>
      <c r="N2930" s="2584"/>
      <c r="O2930" s="485"/>
      <c r="P2930" s="485"/>
      <c r="Q2930" s="1435"/>
      <c r="S2930" s="1435"/>
      <c r="T2930" s="1435"/>
      <c r="U2930" s="1435"/>
    </row>
    <row r="2931" spans="1:38" ht="5.0999999999999996" customHeight="1" thickBot="1">
      <c r="B2931" s="479"/>
      <c r="C2931" s="479"/>
      <c r="D2931" s="902"/>
      <c r="E2931" s="903"/>
      <c r="F2931" s="904"/>
      <c r="G2931" s="905"/>
      <c r="H2931" s="905"/>
      <c r="I2931" s="905"/>
      <c r="J2931" s="906"/>
      <c r="K2931" s="1798"/>
      <c r="L2931" s="1798"/>
      <c r="M2931" s="1798"/>
      <c r="N2931" s="1798"/>
      <c r="O2931" s="485"/>
      <c r="P2931" s="485"/>
      <c r="Q2931" s="1435"/>
      <c r="S2931" s="1435"/>
      <c r="T2931" s="1435"/>
      <c r="U2931" s="1435"/>
    </row>
    <row r="2932" spans="1:38" ht="12.75" customHeight="1">
      <c r="B2932" s="479"/>
      <c r="C2932" s="479"/>
      <c r="D2932" s="907"/>
      <c r="E2932" s="908" t="s">
        <v>1690</v>
      </c>
      <c r="F2932" s="909"/>
      <c r="G2932" s="909"/>
      <c r="H2932" s="910" t="str">
        <f>EUconst_Unit</f>
        <v>Unit</v>
      </c>
      <c r="I2932" s="911" t="s">
        <v>2212</v>
      </c>
      <c r="J2932" s="1647">
        <f>J$3242</f>
        <v>2026</v>
      </c>
      <c r="K2932" s="1490">
        <f>K$3242</f>
        <v>2027</v>
      </c>
      <c r="L2932" s="1490">
        <f>L$3242</f>
        <v>2028</v>
      </c>
      <c r="M2932" s="1490">
        <f>M$3242</f>
        <v>2029</v>
      </c>
      <c r="N2932" s="1490">
        <f>N$3242</f>
        <v>2030</v>
      </c>
      <c r="O2932" s="485"/>
      <c r="P2932" s="485"/>
      <c r="Q2932" s="1435"/>
      <c r="U2932" s="1648"/>
      <c r="V2932" s="1649">
        <f>J2932</f>
        <v>2026</v>
      </c>
      <c r="W2932" s="1649">
        <f>K2932</f>
        <v>2027</v>
      </c>
      <c r="X2932" s="1649">
        <f>L2932</f>
        <v>2028</v>
      </c>
      <c r="Y2932" s="1649">
        <f>M2932</f>
        <v>2029</v>
      </c>
      <c r="Z2932" s="1650">
        <f>N2932</f>
        <v>2030</v>
      </c>
    </row>
    <row r="2933" spans="1:38" ht="12.75" customHeight="1">
      <c r="B2933" s="479"/>
      <c r="C2933" s="479"/>
      <c r="D2933" s="915" t="s">
        <v>6</v>
      </c>
      <c r="E2933" s="916" t="s">
        <v>1976</v>
      </c>
      <c r="F2933" s="916"/>
      <c r="G2933" s="916"/>
      <c r="H2933" s="639" t="str">
        <f>IF(INDEX(CNTR_SubInstListIsProdBM,$C2911),INDEX(CNTR_SubInstListHALUnit,$C2911),EUconst_Tons)</f>
        <v>tonnes</v>
      </c>
      <c r="I2933" s="917" t="str">
        <f>IF(V2911&gt;($J$3242-3),EUconst_NA,INDEX('B+C_SubInstallations'!$I:$I,MATCH(Q2933,'B+C_SubInstallations'!$T:$T,0)))</f>
        <v/>
      </c>
      <c r="J2933" s="1651" t="str">
        <f>IF(AND(V2933&gt;=3,CNTR_ReportingYear&gt;J2932-1),AVERAGE(H2921:I2921),"")</f>
        <v/>
      </c>
      <c r="K2933" s="1799" t="str">
        <f>IF(AND(W2933&gt;=3,CNTR_ReportingYear&gt;K2932-1),AVERAGE(I2921:J2921),"")</f>
        <v/>
      </c>
      <c r="L2933" s="1799" t="str">
        <f>IF(AND(X2933&gt;=3,CNTR_ReportingYear&gt;L2932-1),AVERAGE(J2921:K2921),"")</f>
        <v/>
      </c>
      <c r="M2933" s="1799" t="str">
        <f>IF(AND(Y2933&gt;=3,CNTR_ReportingYear&gt;M2932-1),AVERAGE(K2921:L2921),"")</f>
        <v/>
      </c>
      <c r="N2933" s="1799" t="str">
        <f>IF(AND(Z2933&gt;=3,CNTR_ReportingYear&gt;N2932-1),AVERAGE(L2921:M2921),"")</f>
        <v/>
      </c>
      <c r="O2933" s="485"/>
      <c r="P2933" s="485"/>
      <c r="Q2933" s="1641" t="str">
        <f>EUconst_CNTR_HALinitial&amp;I2911</f>
        <v>HALini_</v>
      </c>
      <c r="U2933" s="1653" t="s">
        <v>1650</v>
      </c>
      <c r="V2933" s="1635">
        <f>IF($I2911="",0,V2932-$V2911+1)</f>
        <v>0</v>
      </c>
      <c r="W2933" s="1635">
        <f>IF($I2911="",0,W2932-$V2911+1)</f>
        <v>0</v>
      </c>
      <c r="X2933" s="1635">
        <f>IF($I2911="",0,X2932-$V2911+1)</f>
        <v>0</v>
      </c>
      <c r="Y2933" s="1635">
        <f>IF($I2911="",0,Y2932-$V2911+1)</f>
        <v>0</v>
      </c>
      <c r="Z2933" s="1654">
        <f>IF($I2911="",0,Z2932-$V2911+1)</f>
        <v>0</v>
      </c>
    </row>
    <row r="2934" spans="1:38" ht="12.75" hidden="1" customHeight="1">
      <c r="A2934" s="618" t="s">
        <v>2289</v>
      </c>
      <c r="B2934" s="479"/>
      <c r="C2934" s="479"/>
      <c r="D2934" s="918"/>
      <c r="E2934" s="919" t="s">
        <v>1648</v>
      </c>
      <c r="F2934" s="919"/>
      <c r="G2934" s="919"/>
      <c r="H2934" s="920"/>
      <c r="I2934" s="1655"/>
      <c r="J2934" s="16" t="str">
        <f>IF(J2933="","",IF($I2936=0,IF(J2933=0,0%,100%),J2933/$I2936-1))</f>
        <v/>
      </c>
      <c r="K2934" s="22" t="str">
        <f>IF(K2933="","",IF($I2936=0,IF(K2933=0,0%,100%),K2933/$I2936-1))</f>
        <v/>
      </c>
      <c r="L2934" s="22" t="str">
        <f>IF(L2933="","",IF($I2936=0,IF(L2933=0,0%,100%),L2933/$I2936-1))</f>
        <v/>
      </c>
      <c r="M2934" s="22" t="str">
        <f>IF(M2933="","",IF($I2936=0,IF(M2933=0,0%,100%),M2933/$I2936-1))</f>
        <v/>
      </c>
      <c r="N2934" s="22" t="str">
        <f>IF(N2933="","",IF($I2936=0,IF(N2933=0,0%,100%),N2933/$I2936-1))</f>
        <v/>
      </c>
      <c r="O2934" s="485"/>
      <c r="P2934" s="485"/>
      <c r="Q2934" s="1644" t="str">
        <f>EUconst_CNTR_RelThreshold &amp; Q2936</f>
        <v>RelThresh_HALprelim_</v>
      </c>
      <c r="U2934" s="1653" t="s">
        <v>1655</v>
      </c>
      <c r="V2934" s="1158" t="str">
        <f>IF(J2933="","",ABS(J2934)&gt;15%)</f>
        <v/>
      </c>
      <c r="W2934" s="1158" t="str">
        <f>IF(K2933="","",ABS(K2934)&gt;15%)</f>
        <v/>
      </c>
      <c r="X2934" s="1158" t="str">
        <f>IF(L2933="","",ABS(L2934)&gt;15%)</f>
        <v/>
      </c>
      <c r="Y2934" s="1158" t="str">
        <f>IF(M2933="","",ABS(M2934)&gt;15%)</f>
        <v/>
      </c>
      <c r="Z2934" s="1656" t="str">
        <f>IF(N2933="","",ABS(N2934)&gt;15%)</f>
        <v/>
      </c>
      <c r="AL2934" s="1435"/>
    </row>
    <row r="2935" spans="1:38" ht="12.75" customHeight="1">
      <c r="A2935" s="618"/>
      <c r="B2935" s="479"/>
      <c r="C2935" s="479"/>
      <c r="D2935" s="915" t="s">
        <v>7</v>
      </c>
      <c r="E2935" s="916" t="s">
        <v>1654</v>
      </c>
      <c r="F2935" s="916"/>
      <c r="G2935" s="916"/>
      <c r="H2935" s="921"/>
      <c r="I2935" s="1657"/>
      <c r="J2935" s="1658" t="str">
        <f>IF(J2933="","",IF(V2934=FALSE,0%,IF(V2935,J2934,I2941)))</f>
        <v/>
      </c>
      <c r="K2935" s="1795" t="str">
        <f>IF(K2933="","",IF(W2934=FALSE,0%,IF(W2935,K2934,J2941)))</f>
        <v/>
      </c>
      <c r="L2935" s="1795" t="str">
        <f>IF(L2933="","",IF(X2934=FALSE,0%,IF(X2935,L2934,K2941)))</f>
        <v/>
      </c>
      <c r="M2935" s="1795" t="str">
        <f>IF(M2933="","",IF(Y2934=FALSE,0%,IF(Y2935,M2934,L2941)))</f>
        <v/>
      </c>
      <c r="N2935" s="1795" t="str">
        <f>IF(N2933="","",IF(Z2934=FALSE,0%,IF(Z2935,N2934,M2941)))</f>
        <v/>
      </c>
      <c r="O2935" s="485"/>
      <c r="P2935" s="485"/>
      <c r="U2935" s="1653" t="s">
        <v>1656</v>
      </c>
      <c r="V2935" s="1158" t="str">
        <f>IF(J2933="","",AND(V2934,IF(SUM(I2941)&lt;0,OR(SUM(J2934)&lt;SUM(I2941)-MOD(SUM(I2941),5%),J2934&gt;=SUM(I2941)+5%-MOD(SUM(I2941),5%)),OR(SUM(J2934)&lt;=SUM(I2941)-MOD(SUM(I2941),5%),SUM(J2934)&gt;SUM(I2941)+5%-MOD(SUM(I2941),5%)))))</f>
        <v/>
      </c>
      <c r="W2935" s="1158" t="str">
        <f>IF(K2933="","",AND(W2934,IF(SUM(J2941)&lt;0,OR(SUM(K2934)&lt;SUM(J2941)-MOD(SUM(J2941),5%),K2934&gt;=SUM(J2941)+5%-MOD(SUM(J2941),5%)),OR(SUM(K2934)&lt;=SUM(J2941)-MOD(SUM(J2941),5%),SUM(K2934)&gt;SUM(J2941)+5%-MOD(SUM(J2941),5%)))))</f>
        <v/>
      </c>
      <c r="X2935" s="1158" t="str">
        <f>IF(L2933="","",AND(X2934,IF(SUM(K2941)&lt;0,OR(SUM(L2934)&lt;SUM(K2941)-MOD(SUM(K2941),5%),L2934&gt;=SUM(K2941)+5%-MOD(SUM(K2941),5%)),OR(SUM(L2934)&lt;=SUM(K2941)-MOD(SUM(K2941),5%),SUM(L2934)&gt;SUM(K2941)+5%-MOD(SUM(K2941),5%)))))</f>
        <v/>
      </c>
      <c r="Y2935" s="1158" t="str">
        <f>IF(M2933="","",AND(Y2934,IF(SUM(L2941)&lt;0,OR(SUM(M2934)&lt;SUM(L2941)-MOD(SUM(L2941),5%),M2934&gt;=SUM(L2941)+5%-MOD(SUM(L2941),5%)),OR(SUM(M2934)&lt;=SUM(L2941)-MOD(SUM(L2941),5%),SUM(M2934)&gt;SUM(L2941)+5%-MOD(SUM(L2941),5%)))))</f>
        <v/>
      </c>
      <c r="Z2935" s="1656" t="str">
        <f>IF(N2933="","",AND(Z2934,IF(SUM(M2941)&lt;0,OR(SUM(N2934)&lt;SUM(M2941)-MOD(SUM(M2941),5%),N2934&gt;=SUM(M2941)+5%-MOD(SUM(M2941),5%)),OR(SUM(N2934)&lt;=SUM(M2941)-MOD(SUM(M2941),5%),SUM(N2934)&gt;SUM(M2941)+5%-MOD(SUM(M2941),5%)))))</f>
        <v/>
      </c>
      <c r="AL2935" s="1435"/>
    </row>
    <row r="2936" spans="1:38" ht="12.75" hidden="1" customHeight="1">
      <c r="A2936" s="618" t="s">
        <v>2289</v>
      </c>
      <c r="B2936" s="479"/>
      <c r="C2936" s="479"/>
      <c r="D2936" s="918"/>
      <c r="E2936" s="916" t="s">
        <v>1689</v>
      </c>
      <c r="F2936" s="916"/>
      <c r="G2936" s="916"/>
      <c r="H2936" s="639" t="str">
        <f>H2933</f>
        <v>tonnes</v>
      </c>
      <c r="I2936" s="917" t="str">
        <f>IF(I2911="","",IF(AB2911=FALSE,EUconst_NA,IF(V2911&gt;($J$3242-3),INDEX(H2921:N2921,MATCH(V2911,H2918:N2918,0)),SUM(I2933))))</f>
        <v/>
      </c>
      <c r="J2936" s="1651" t="str">
        <f>IF($I2911="","",IF(V2933&lt;2,SUM(J2921),IF(V2933&lt;3,SUM(I2921),IF(V2936="",I2936,V2936))))</f>
        <v/>
      </c>
      <c r="K2936" s="1799" t="str">
        <f>IF($I2911="","",IF(W2933&lt;2,SUM(K2921),IF(W2933&lt;3,SUM(J2921),IF(W2936="",J2936,W2936))))</f>
        <v/>
      </c>
      <c r="L2936" s="1799" t="str">
        <f>IF($I2911="","",IF(X2933&lt;2,SUM(L2921),IF(X2933&lt;3,SUM(K2921),IF(X2936="",K2936,X2936))))</f>
        <v/>
      </c>
      <c r="M2936" s="1799" t="str">
        <f>IF($I2911="","",IF(Y2933&lt;2,SUM(M2921),IF(Y2933&lt;3,SUM(L2921),IF(Y2936="",L2936,Y2936))))</f>
        <v/>
      </c>
      <c r="N2936" s="1799" t="str">
        <f>IF($I2911="","",IF(Z2933&lt;2,SUM(N2921),IF(Z2933&lt;3,SUM(M2921),IF(Z2936="",M2936,Z2936))))</f>
        <v/>
      </c>
      <c r="O2936" s="485"/>
      <c r="P2936" s="485"/>
      <c r="Q2936" s="1641" t="str">
        <f>EUconst_CNTR_HALprelim&amp;I2911</f>
        <v>HALprelim_</v>
      </c>
      <c r="U2936" s="1653" t="s">
        <v>1697</v>
      </c>
      <c r="V2936" s="1660" t="str">
        <f>IF(J2933="","",IF(CNTR_ReportingYear&lt;J2932,I2935,IF($I2936=0,J2933,$I2936*(1+J2935))))</f>
        <v/>
      </c>
      <c r="W2936" s="1660" t="str">
        <f>IF(K2933="","",IF(CNTR_ReportingYear&lt;K2932,J2935,IF($I2936=0,K2933,$I2936*(1+K2935))))</f>
        <v/>
      </c>
      <c r="X2936" s="1660" t="str">
        <f>IF(L2933="","",IF(CNTR_ReportingYear&lt;L2932,K2935,IF($I2936=0,L2933,$I2936*(1+L2935))))</f>
        <v/>
      </c>
      <c r="Y2936" s="1660" t="str">
        <f>IF(M2933="","",IF(CNTR_ReportingYear&lt;M2932,L2935,IF($I2936=0,M2933,$I2936*(1+M2935))))</f>
        <v/>
      </c>
      <c r="Z2936" s="1661" t="str">
        <f>IF(N2933="","",IF(CNTR_ReportingYear&lt;N2932,M2935,IF($I2936=0,N2933,$I2936*(1+N2935))))</f>
        <v/>
      </c>
      <c r="AL2936" s="1435"/>
    </row>
    <row r="2937" spans="1:38" ht="5.0999999999999996" customHeight="1">
      <c r="A2937" s="618"/>
      <c r="B2937" s="479"/>
      <c r="C2937" s="479"/>
      <c r="D2937" s="918"/>
      <c r="E2937" s="909"/>
      <c r="F2937" s="909"/>
      <c r="G2937" s="909"/>
      <c r="H2937" s="909"/>
      <c r="I2937" s="909"/>
      <c r="J2937" s="922"/>
      <c r="K2937" s="1791"/>
      <c r="L2937" s="1791"/>
      <c r="M2937" s="1791"/>
      <c r="N2937" s="1791"/>
      <c r="O2937" s="485"/>
      <c r="P2937" s="485"/>
      <c r="Q2937" s="1435"/>
      <c r="U2937" s="1663"/>
      <c r="V2937" s="1435"/>
      <c r="Z2937" s="1664"/>
      <c r="AL2937" s="1435"/>
    </row>
    <row r="2938" spans="1:38" ht="12.75" customHeight="1">
      <c r="A2938" s="618"/>
      <c r="B2938" s="479"/>
      <c r="C2938" s="479"/>
      <c r="D2938" s="918"/>
      <c r="E2938" s="923" t="s">
        <v>1653</v>
      </c>
      <c r="F2938" s="923"/>
      <c r="G2938" s="923"/>
      <c r="H2938" s="923"/>
      <c r="I2938" s="923"/>
      <c r="J2938" s="1647">
        <f>J$3242</f>
        <v>2026</v>
      </c>
      <c r="K2938" s="1490">
        <f>K$3242</f>
        <v>2027</v>
      </c>
      <c r="L2938" s="1490">
        <f>L$3242</f>
        <v>2028</v>
      </c>
      <c r="M2938" s="1490">
        <f>M$3242</f>
        <v>2029</v>
      </c>
      <c r="N2938" s="1490">
        <f>N$3242</f>
        <v>2030</v>
      </c>
      <c r="O2938" s="485"/>
      <c r="P2938" s="485"/>
      <c r="Q2938" s="1435"/>
      <c r="U2938" s="1665"/>
      <c r="Z2938" s="1664"/>
      <c r="AL2938" s="1435"/>
    </row>
    <row r="2939" spans="1:38" ht="12.75" customHeight="1">
      <c r="A2939" s="618"/>
      <c r="B2939" s="479"/>
      <c r="C2939" s="479"/>
      <c r="D2939" s="915" t="s">
        <v>8</v>
      </c>
      <c r="E2939" s="916" t="s">
        <v>2108</v>
      </c>
      <c r="F2939" s="916"/>
      <c r="G2939" s="916"/>
      <c r="H2939" s="916"/>
      <c r="I2939" s="916"/>
      <c r="J2939" s="1666" t="str">
        <f>IF($I2911="","",INDEX(K_Summary!J:J,MATCH($Q2939,K_Summary!$P:$P,0)))</f>
        <v/>
      </c>
      <c r="K2939" s="1791" t="str">
        <f>IF($I2911="","",INDEX(K_Summary!K:K,MATCH($Q2939,K_Summary!$P:$P,0)))</f>
        <v/>
      </c>
      <c r="L2939" s="1791" t="str">
        <f>IF($I2911="","",INDEX(K_Summary!L:L,MATCH($Q2939,K_Summary!$P:$P,0)))</f>
        <v/>
      </c>
      <c r="M2939" s="1791" t="str">
        <f>IF($I2911="","",INDEX(K_Summary!M:M,MATCH($Q2939,K_Summary!$P:$P,0)))</f>
        <v/>
      </c>
      <c r="N2939" s="1791" t="str">
        <f>IF($I2911="","",INDEX(K_Summary!N:N,MATCH($Q2939,K_Summary!$P:$P,0)))</f>
        <v/>
      </c>
      <c r="O2939" s="485"/>
      <c r="P2939" s="485"/>
      <c r="Q2939" s="1641" t="str">
        <f>EUconst_CNTR_100EUA_ActivityLevel&amp;I2911</f>
        <v>EUA100AL_</v>
      </c>
      <c r="U2939" s="1665"/>
      <c r="V2939" s="8"/>
      <c r="W2939" s="8"/>
      <c r="X2939" s="8"/>
      <c r="Y2939" s="8"/>
      <c r="Z2939" s="1664"/>
      <c r="AL2939" s="1435"/>
    </row>
    <row r="2940" spans="1:38" ht="5.0999999999999996" customHeight="1" thickBot="1">
      <c r="A2940" s="618"/>
      <c r="B2940" s="479"/>
      <c r="C2940" s="479"/>
      <c r="D2940" s="918"/>
      <c r="E2940" s="909"/>
      <c r="F2940" s="909"/>
      <c r="G2940" s="909"/>
      <c r="H2940" s="909"/>
      <c r="I2940" s="909"/>
      <c r="J2940" s="922"/>
      <c r="K2940" s="1791"/>
      <c r="L2940" s="1791"/>
      <c r="M2940" s="1791"/>
      <c r="N2940" s="1791"/>
      <c r="O2940" s="485"/>
      <c r="P2940" s="485"/>
      <c r="Q2940" s="1435"/>
      <c r="U2940" s="1663"/>
      <c r="V2940" s="1435"/>
      <c r="Z2940" s="1664"/>
      <c r="AL2940" s="1435"/>
    </row>
    <row r="2941" spans="1:38" ht="12.75" customHeight="1" thickBot="1">
      <c r="B2941" s="479"/>
      <c r="C2941" s="479"/>
      <c r="D2941" s="915" t="s">
        <v>18</v>
      </c>
      <c r="E2941" s="916" t="s">
        <v>1657</v>
      </c>
      <c r="F2941" s="916"/>
      <c r="G2941" s="916"/>
      <c r="H2941" s="921"/>
      <c r="I2941" s="1667"/>
      <c r="J2941" s="1668" t="str">
        <f>IF(J2939="","",IF(J2932&gt;$Z2911,-100%,IF(OR(J2939,V2933&lt;1),J2935,I2941)))</f>
        <v/>
      </c>
      <c r="K2941" s="1796" t="str">
        <f>IF(K2939="","",IF(K2932&gt;$Z2911,-100%,IF(OR(K2939,W2933&lt;1),K2935,J2941)))</f>
        <v/>
      </c>
      <c r="L2941" s="1796" t="str">
        <f>IF(L2939="","",IF(L2932&gt;$Z2911,-100%,IF(OR(L2939,X2933&lt;1),L2935,K2941)))</f>
        <v/>
      </c>
      <c r="M2941" s="1796" t="str">
        <f>IF(M2939="","",IF(M2932&gt;$Z2911,-100%,IF(OR(M2939,Y2933&lt;1),M2935,L2941)))</f>
        <v/>
      </c>
      <c r="N2941" s="1796" t="str">
        <f>IF(N2939="","",IF(N2932&gt;$Z2911,-100%,IF(OR(N2939,Z2933&lt;1),N2935,M2941)))</f>
        <v/>
      </c>
      <c r="O2941" s="485"/>
      <c r="P2941" s="1136"/>
      <c r="Q2941" s="1644" t="str">
        <f>EUconst_CNTR_HALAdjPct &amp; I2911</f>
        <v>HALAdjPct_</v>
      </c>
      <c r="U2941" s="1663" t="s">
        <v>1658</v>
      </c>
      <c r="V2941" s="1670">
        <f>J2938</f>
        <v>2026</v>
      </c>
      <c r="W2941" s="1670">
        <f>K2938</f>
        <v>2027</v>
      </c>
      <c r="X2941" s="1670">
        <f>L2938</f>
        <v>2028</v>
      </c>
      <c r="Y2941" s="1670">
        <f>M2938</f>
        <v>2029</v>
      </c>
      <c r="Z2941" s="1671">
        <f>N2938</f>
        <v>2030</v>
      </c>
      <c r="AL2941" s="1435"/>
    </row>
    <row r="2942" spans="1:38" ht="12.75" customHeight="1" thickBot="1">
      <c r="A2942" s="618"/>
      <c r="B2942" s="479"/>
      <c r="C2942" s="479"/>
      <c r="D2942" s="915" t="s">
        <v>787</v>
      </c>
      <c r="E2942" s="916" t="s">
        <v>1659</v>
      </c>
      <c r="F2942" s="916"/>
      <c r="G2942" s="916"/>
      <c r="H2942" s="639" t="str">
        <f>H2933</f>
        <v>tonnes</v>
      </c>
      <c r="I2942" s="917" t="str">
        <f>I2936</f>
        <v/>
      </c>
      <c r="J2942" s="1672" t="str">
        <f>IF($I2911="","",IF(OR($I2942=0,J2941="",$I2942=EUconst_NA),IF(OR(J2939=TRUE,J2938&lt;=$V2911),J2936,SUM(I2942)),$I2942*(1+SUM(J2941))))</f>
        <v/>
      </c>
      <c r="K2942" s="1800" t="str">
        <f>IF($I2911="","",IF(OR($I2942=0,K2941="",$I2942=EUconst_NA),IF(OR(K2939=TRUE,K2938&lt;=$V2911),K2936,SUM(J2942)),$I2942*(1+SUM(K2941))))</f>
        <v/>
      </c>
      <c r="L2942" s="1800" t="str">
        <f>IF($I2911="","",IF(OR($I2942=0,L2941="",$I2942=EUconst_NA),IF(OR(L2939=TRUE,L2938&lt;=$V2911),L2936,SUM(K2942)),$I2942*(1+SUM(L2941))))</f>
        <v/>
      </c>
      <c r="M2942" s="1800" t="str">
        <f>IF($I2911="","",IF(OR($I2942=0,M2941="",$I2942=EUconst_NA),IF(OR(M2939=TRUE,M2938&lt;=$V2911),M2936,SUM(L2942)),$I2942*(1+SUM(M2941))))</f>
        <v/>
      </c>
      <c r="N2942" s="1800" t="str">
        <f>IF($I2911="","",IF(OR($I2942=0,N2941="",$I2942=EUconst_NA),IF(OR(N2939=TRUE,N2938&lt;=$V2911),N2936,SUM(M2942)),$I2942*(1+SUM(N2941))))</f>
        <v/>
      </c>
      <c r="O2942" s="485"/>
      <c r="P2942" s="485"/>
      <c r="Q2942" s="1641" t="str">
        <f>EUconst_CNTR_HALfinal&amp;I2911</f>
        <v>HALfinal_</v>
      </c>
      <c r="U2942" s="1674" t="b">
        <v>0</v>
      </c>
      <c r="V2942" s="1675" t="str">
        <f>IF(V2919,IF(J2939=TRUE,V2934,U2942),"")</f>
        <v/>
      </c>
      <c r="W2942" s="1675" t="str">
        <f>IF(W2919,IF(K2939=TRUE,W2934,V2942),"")</f>
        <v/>
      </c>
      <c r="X2942" s="1675" t="str">
        <f>IF(X2919,IF(L2939=TRUE,X2934,W2942),"")</f>
        <v/>
      </c>
      <c r="Y2942" s="1675" t="str">
        <f>IF(Y2919,IF(M2939=TRUE,Y2934,X2942),"")</f>
        <v/>
      </c>
      <c r="Z2942" s="1676" t="str">
        <f>IF(Z2919,IF(N2939=TRUE,Z2934,Y2942),"")</f>
        <v/>
      </c>
      <c r="AJ2942" s="1633" t="s">
        <v>1951</v>
      </c>
      <c r="AK2942" s="1443" t="str">
        <f>IF(OR(ISERROR(J2942),ISERROR(K2942),ISERROR(L2942),ISERROR(M2942),ISERROR(N2942)),EUconst_Error &amp; "BM" &amp; Q2911,"")</f>
        <v/>
      </c>
      <c r="AL2942" s="1435"/>
    </row>
    <row r="2943" spans="1:38" ht="10.9" customHeight="1" thickBot="1">
      <c r="B2943" s="479"/>
      <c r="C2943" s="479"/>
      <c r="D2943" s="924"/>
      <c r="E2943" s="925"/>
      <c r="F2943" s="925"/>
      <c r="G2943" s="925"/>
      <c r="H2943" s="925"/>
      <c r="I2943" s="925"/>
      <c r="J2943" s="926"/>
      <c r="K2943" s="1791"/>
      <c r="L2943" s="1791"/>
      <c r="M2943" s="1791"/>
      <c r="N2943" s="1791"/>
      <c r="O2943" s="485"/>
      <c r="P2943" s="485"/>
      <c r="Q2943" s="1435"/>
      <c r="U2943" s="1435"/>
      <c r="V2943" s="1435"/>
      <c r="AL2943" s="1435"/>
    </row>
    <row r="2944" spans="1:38" ht="9.6" customHeight="1">
      <c r="B2944" s="479"/>
      <c r="C2944" s="479"/>
      <c r="D2944" s="485"/>
      <c r="E2944" s="485"/>
      <c r="F2944" s="485"/>
      <c r="G2944" s="485"/>
      <c r="H2944" s="485"/>
      <c r="I2944" s="485"/>
      <c r="J2944" s="485"/>
      <c r="K2944" s="485"/>
      <c r="L2944" s="485"/>
      <c r="M2944" s="485"/>
      <c r="N2944" s="485"/>
      <c r="O2944" s="485"/>
      <c r="P2944" s="485"/>
      <c r="Q2944" s="1435"/>
      <c r="U2944" s="1435"/>
      <c r="V2944" s="1435"/>
      <c r="AL2944" s="1435"/>
    </row>
    <row r="2945" spans="1:42" ht="15" customHeight="1">
      <c r="B2945" s="1124"/>
      <c r="C2945" s="479"/>
      <c r="D2945" s="2482" t="s">
        <v>1229</v>
      </c>
      <c r="E2945" s="2400"/>
      <c r="F2945" s="2400"/>
      <c r="G2945" s="2400"/>
      <c r="H2945" s="2400"/>
      <c r="I2945" s="2400"/>
      <c r="J2945" s="2400"/>
      <c r="K2945" s="2400"/>
      <c r="L2945" s="2400"/>
      <c r="M2945" s="2400"/>
      <c r="N2945" s="2400"/>
      <c r="O2945" s="485"/>
      <c r="P2945" s="485"/>
      <c r="U2945" s="1435"/>
      <c r="V2945" s="1435"/>
    </row>
    <row r="2946" spans="1:42" ht="5.0999999999999996" customHeight="1">
      <c r="B2946" s="479"/>
      <c r="C2946" s="479"/>
      <c r="D2946" s="479"/>
      <c r="E2946" s="479"/>
      <c r="F2946" s="479"/>
      <c r="G2946" s="479"/>
      <c r="H2946" s="479"/>
      <c r="I2946" s="479"/>
      <c r="J2946" s="479"/>
      <c r="K2946" s="479"/>
      <c r="L2946" s="479"/>
      <c r="M2946" s="479"/>
      <c r="N2946" s="479"/>
      <c r="O2946" s="485"/>
      <c r="P2946" s="485"/>
      <c r="Q2946" s="1435"/>
      <c r="U2946" s="1435"/>
      <c r="V2946" s="1435"/>
    </row>
    <row r="2947" spans="1:42" ht="12.75" customHeight="1">
      <c r="B2947" s="1124"/>
      <c r="C2947" s="485"/>
      <c r="D2947" s="482" t="s">
        <v>48</v>
      </c>
      <c r="E2947" s="2373" t="s">
        <v>800</v>
      </c>
      <c r="F2947" s="2400"/>
      <c r="G2947" s="2400"/>
      <c r="H2947" s="2400"/>
      <c r="I2947" s="2585"/>
      <c r="J2947" s="2652" t="str">
        <f>IF(I2911="","",IF(T2947,EUconst_MsgEnterThisSection,HYPERLINK(R2947,EUconst_MsgGoOn)))</f>
        <v/>
      </c>
      <c r="K2947" s="2653"/>
      <c r="L2947" s="2653"/>
      <c r="M2947" s="2653"/>
      <c r="N2947" s="2654"/>
      <c r="O2947" s="485"/>
      <c r="P2947" s="485"/>
      <c r="Q2947" s="1198" t="s">
        <v>441</v>
      </c>
      <c r="R2947" s="1488" t="str">
        <f>"#"&amp;ADDRESS(ROW(D2975),COLUMN(D2975))</f>
        <v>#$D$2975</v>
      </c>
      <c r="S2947" s="1633" t="s">
        <v>1674</v>
      </c>
      <c r="T2947" s="1644" t="str">
        <f>IF(I2911="","",INDEX(EUconst_BMlistElExchangability,MATCH(I2911,EUconst_BMlistNames,0)))</f>
        <v/>
      </c>
      <c r="U2947" s="1435"/>
      <c r="V2947" s="1435"/>
    </row>
    <row r="2948" spans="1:42" ht="12.75" customHeight="1">
      <c r="B2948" s="479"/>
      <c r="C2948" s="479"/>
      <c r="D2948" s="485"/>
      <c r="E2948" s="2385" t="s">
        <v>1241</v>
      </c>
      <c r="F2948" s="2846"/>
      <c r="G2948" s="2846"/>
      <c r="H2948" s="2846"/>
      <c r="I2948" s="2846"/>
      <c r="J2948" s="2846"/>
      <c r="K2948" s="2846"/>
      <c r="L2948" s="2846"/>
      <c r="M2948" s="2846"/>
      <c r="N2948" s="2846"/>
      <c r="O2948" s="485"/>
      <c r="P2948" s="485"/>
      <c r="U2948" s="1435"/>
      <c r="V2948" s="1435"/>
    </row>
    <row r="2949" spans="1:42" ht="12.75" customHeight="1">
      <c r="B2949" s="479"/>
      <c r="C2949" s="479"/>
      <c r="D2949" s="485"/>
      <c r="E2949" s="2385" t="s">
        <v>1526</v>
      </c>
      <c r="F2949" s="2846"/>
      <c r="G2949" s="2846"/>
      <c r="H2949" s="2846"/>
      <c r="I2949" s="2846"/>
      <c r="J2949" s="2846"/>
      <c r="K2949" s="2846"/>
      <c r="L2949" s="2846"/>
      <c r="M2949" s="2846"/>
      <c r="N2949" s="2846"/>
      <c r="O2949" s="485"/>
      <c r="P2949" s="485"/>
      <c r="Q2949" s="1435"/>
      <c r="U2949" s="1435"/>
      <c r="V2949" s="1435"/>
      <c r="W2949" s="1435"/>
      <c r="X2949" s="1435"/>
      <c r="Y2949" s="1435"/>
      <c r="Z2949" s="1435"/>
    </row>
    <row r="2950" spans="1:42" ht="25.5" customHeight="1">
      <c r="B2950" s="479"/>
      <c r="C2950" s="479"/>
      <c r="D2950" s="485"/>
      <c r="E2950" s="2385" t="s">
        <v>1635</v>
      </c>
      <c r="F2950" s="2846"/>
      <c r="G2950" s="2846"/>
      <c r="H2950" s="2846"/>
      <c r="I2950" s="2846"/>
      <c r="J2950" s="2846"/>
      <c r="K2950" s="2846"/>
      <c r="L2950" s="2846"/>
      <c r="M2950" s="2846"/>
      <c r="N2950" s="2846"/>
      <c r="O2950" s="485"/>
      <c r="P2950" s="485"/>
      <c r="Q2950" s="1435"/>
      <c r="U2950" s="1435"/>
      <c r="V2950" s="1435"/>
      <c r="W2950" s="1435"/>
      <c r="X2950" s="1435"/>
      <c r="Y2950" s="1435"/>
      <c r="Z2950" s="1435"/>
    </row>
    <row r="2951" spans="1:42" s="562" customFormat="1" ht="13.5" thickBot="1">
      <c r="A2951" s="618"/>
      <c r="B2951" s="485"/>
      <c r="C2951" s="485"/>
      <c r="D2951" s="482"/>
      <c r="E2951" s="927" t="s">
        <v>62</v>
      </c>
      <c r="F2951" s="518"/>
      <c r="G2951" s="663" t="str">
        <f>EUconst_Unit</f>
        <v>Unit</v>
      </c>
      <c r="H2951" s="578">
        <f>H$3242</f>
        <v>2024</v>
      </c>
      <c r="I2951" s="697">
        <f>I$3242</f>
        <v>2025</v>
      </c>
      <c r="J2951" s="1489">
        <f>J$112</f>
        <v>2026</v>
      </c>
      <c r="K2951" s="1490">
        <f>K$112</f>
        <v>2027</v>
      </c>
      <c r="L2951" s="1490">
        <f>L$112</f>
        <v>2028</v>
      </c>
      <c r="M2951" s="1490">
        <f>M$112</f>
        <v>2029</v>
      </c>
      <c r="N2951" s="1490">
        <f>N$112</f>
        <v>2030</v>
      </c>
      <c r="O2951" s="485"/>
      <c r="P2951" s="485"/>
      <c r="Q2951" s="1435"/>
      <c r="R2951" s="1435"/>
      <c r="S2951" s="1198"/>
      <c r="T2951" s="1198"/>
      <c r="U2951" s="1435"/>
      <c r="V2951" s="1435"/>
      <c r="W2951" s="1435"/>
      <c r="X2951" s="1435"/>
      <c r="Y2951" s="1435"/>
      <c r="Z2951" s="1435"/>
      <c r="AA2951" s="1435"/>
      <c r="AB2951" s="1198"/>
      <c r="AC2951" s="1638">
        <f t="shared" ref="AC2951:AI2951" si="1378">H$20</f>
        <v>2024</v>
      </c>
      <c r="AD2951" s="1638">
        <f t="shared" si="1378"/>
        <v>2025</v>
      </c>
      <c r="AE2951" s="1638">
        <f t="shared" si="1378"/>
        <v>2026</v>
      </c>
      <c r="AF2951" s="1638">
        <f t="shared" si="1378"/>
        <v>2027</v>
      </c>
      <c r="AG2951" s="1638">
        <f t="shared" si="1378"/>
        <v>2028</v>
      </c>
      <c r="AH2951" s="1638">
        <f t="shared" si="1378"/>
        <v>2029</v>
      </c>
      <c r="AI2951" s="1638">
        <f t="shared" si="1378"/>
        <v>2030</v>
      </c>
      <c r="AJ2951" s="1198"/>
      <c r="AK2951" s="1198"/>
      <c r="AL2951" s="1198"/>
      <c r="AP2951" s="1135"/>
    </row>
    <row r="2952" spans="1:42" s="562" customFormat="1" ht="13.5" customHeight="1">
      <c r="A2952" s="618"/>
      <c r="B2952" s="485"/>
      <c r="C2952" s="485"/>
      <c r="D2952" s="561" t="s">
        <v>6</v>
      </c>
      <c r="E2952" s="863" t="s">
        <v>63</v>
      </c>
      <c r="F2952" s="863"/>
      <c r="G2952" s="579" t="str">
        <f>EUconst_tCO2pa</f>
        <v>t CO2 / year</v>
      </c>
      <c r="H2952" s="1678" t="str">
        <f>c_ALR2025!M5478</f>
        <v/>
      </c>
      <c r="I2952" s="1879"/>
      <c r="J2952" s="1786"/>
      <c r="K2952" s="1787"/>
      <c r="L2952" s="1787"/>
      <c r="M2952" s="1787"/>
      <c r="N2952" s="1787"/>
      <c r="O2952" s="485"/>
      <c r="P2952" s="9"/>
      <c r="Q2952" s="1435"/>
      <c r="R2952" s="1435"/>
      <c r="S2952" s="1198"/>
      <c r="T2952" s="1198"/>
      <c r="U2952" s="1435"/>
      <c r="V2952" s="1435"/>
      <c r="W2952" s="1435"/>
      <c r="X2952" s="1435"/>
      <c r="Y2952" s="1435"/>
      <c r="Z2952" s="1435"/>
      <c r="AA2952" s="1435"/>
      <c r="AB2952" s="1641" t="s">
        <v>717</v>
      </c>
      <c r="AC2952" s="1855" t="b">
        <f t="shared" ref="AC2952:AI2952" si="1379">IF(CNTR_ExistSubInstEntries,IF($I2911="",TRUE,OR(H2951&gt;=CNTR_ReportingYear,AC2951&lt;$V2911-1,INDEX(EUconst_BMlistElExchangability,MATCH($I2911,EUconst_BMlistNames,0))=FALSE)),FALSE)</f>
        <v>0</v>
      </c>
      <c r="AD2952" s="1680" t="b">
        <f t="shared" si="1379"/>
        <v>0</v>
      </c>
      <c r="AE2952" s="1680" t="b">
        <f t="shared" si="1379"/>
        <v>0</v>
      </c>
      <c r="AF2952" s="1680" t="b">
        <f t="shared" si="1379"/>
        <v>0</v>
      </c>
      <c r="AG2952" s="1680" t="b">
        <f t="shared" si="1379"/>
        <v>0</v>
      </c>
      <c r="AH2952" s="1680" t="b">
        <f t="shared" si="1379"/>
        <v>0</v>
      </c>
      <c r="AI2952" s="1681" t="b">
        <f t="shared" si="1379"/>
        <v>0</v>
      </c>
      <c r="AJ2952" s="1633" t="s">
        <v>1954</v>
      </c>
      <c r="AK2952" s="1635" t="str">
        <f>IF(AND(CNTR_ExistSubInstEntries,COUNTIFS(AC2952:AI2952,FALSE,H2952:N2952,"")&gt;0),EUconst_Error&amp;"BM"&amp;$Q2911,"")</f>
        <v/>
      </c>
      <c r="AL2952" s="1198"/>
      <c r="AP2952" s="1135"/>
    </row>
    <row r="2953" spans="1:42" s="562" customFormat="1" ht="12.75" customHeight="1">
      <c r="A2953" s="618"/>
      <c r="B2953" s="485"/>
      <c r="C2953" s="485"/>
      <c r="D2953" s="561" t="s">
        <v>7</v>
      </c>
      <c r="E2953" s="865" t="s">
        <v>257</v>
      </c>
      <c r="F2953" s="865"/>
      <c r="G2953" s="582" t="str">
        <f>EUconst_TJpa</f>
        <v>TJ / year</v>
      </c>
      <c r="H2953" s="662" t="str">
        <f t="shared" ref="H2953:N2953" si="1380">IF(AND($I2911&lt;&gt;"",H2951&lt;CNTR_ReportingYear),IF(INDEX(EUconst_BMlistElExchangability,MATCH($I2911,EUconst_BMlistNames,0)),SUM(H3124),""),"")</f>
        <v/>
      </c>
      <c r="I2953" s="931" t="str">
        <f t="shared" si="1380"/>
        <v/>
      </c>
      <c r="J2953" s="1788" t="str">
        <f t="shared" si="1380"/>
        <v/>
      </c>
      <c r="K2953" s="1789" t="str">
        <f t="shared" si="1380"/>
        <v/>
      </c>
      <c r="L2953" s="1789" t="str">
        <f t="shared" si="1380"/>
        <v/>
      </c>
      <c r="M2953" s="1789" t="str">
        <f t="shared" si="1380"/>
        <v/>
      </c>
      <c r="N2953" s="1789" t="str">
        <f t="shared" si="1380"/>
        <v/>
      </c>
      <c r="O2953" s="485"/>
      <c r="P2953" s="485"/>
      <c r="Q2953" s="1435"/>
      <c r="R2953" s="1435"/>
      <c r="S2953" s="1198"/>
      <c r="T2953" s="1198">
        <f t="shared" ref="T2953:Z2953" si="1381">H2951</f>
        <v>2024</v>
      </c>
      <c r="U2953" s="1435">
        <f t="shared" si="1381"/>
        <v>2025</v>
      </c>
      <c r="V2953" s="1435">
        <f t="shared" si="1381"/>
        <v>2026</v>
      </c>
      <c r="W2953" s="1435">
        <f t="shared" si="1381"/>
        <v>2027</v>
      </c>
      <c r="X2953" s="1435">
        <f t="shared" si="1381"/>
        <v>2028</v>
      </c>
      <c r="Y2953" s="1435">
        <f t="shared" si="1381"/>
        <v>2029</v>
      </c>
      <c r="Z2953" s="1435">
        <f t="shared" si="1381"/>
        <v>2030</v>
      </c>
      <c r="AA2953" s="1435"/>
      <c r="AB2953" s="1435"/>
      <c r="AC2953" s="1665"/>
      <c r="AD2953" s="1435"/>
      <c r="AE2953" s="1435"/>
      <c r="AF2953" s="1435"/>
      <c r="AG2953" s="1435"/>
      <c r="AH2953" s="1435"/>
      <c r="AI2953" s="1683"/>
      <c r="AJ2953" s="1435"/>
      <c r="AK2953" s="1435"/>
      <c r="AL2953" s="1198"/>
      <c r="AP2953" s="1135"/>
    </row>
    <row r="2954" spans="1:42" s="562" customFormat="1" ht="12.75" customHeight="1" thickBot="1">
      <c r="A2954" s="618"/>
      <c r="B2954" s="485"/>
      <c r="C2954" s="485"/>
      <c r="D2954" s="561" t="s">
        <v>8</v>
      </c>
      <c r="E2954" s="932" t="s">
        <v>914</v>
      </c>
      <c r="F2954" s="932"/>
      <c r="G2954" s="933" t="str">
        <f>EUconst_MWhpa</f>
        <v>MWh / year</v>
      </c>
      <c r="H2954" s="1582" t="str">
        <f>c_ALR2025!M5480</f>
        <v/>
      </c>
      <c r="I2954" s="1880"/>
      <c r="J2954" s="1491"/>
      <c r="K2954" s="1492"/>
      <c r="L2954" s="1492"/>
      <c r="M2954" s="1492"/>
      <c r="N2954" s="1492"/>
      <c r="O2954" s="485"/>
      <c r="P2954" s="9"/>
      <c r="Q2954" s="1644" t="str">
        <f>EUconst_CNTR_HAL&amp;EUconst_CNTR_ELEXCH</f>
        <v>HAL_ELEXCH_</v>
      </c>
      <c r="R2954" s="1644" t="str">
        <f>EUconst_CNTR_HAL&amp;EUconst_CNTR_ELEXCH &amp; I2911</f>
        <v>HAL_ELEXCH_</v>
      </c>
      <c r="S2954" s="1198" t="str">
        <f>EUconst_CNTR_AttributedEmissions &amp; I2911</f>
        <v>AttrEmissions_</v>
      </c>
      <c r="T2954" s="1198" t="str">
        <f t="shared" ref="T2954:Z2954" si="1382">IF(T2919,SUM(H2954)*EUconst_ElBM,"")</f>
        <v/>
      </c>
      <c r="U2954" s="1435" t="str">
        <f t="shared" si="1382"/>
        <v/>
      </c>
      <c r="V2954" s="1435" t="str">
        <f t="shared" si="1382"/>
        <v/>
      </c>
      <c r="W2954" s="1435" t="str">
        <f t="shared" si="1382"/>
        <v/>
      </c>
      <c r="X2954" s="1435" t="str">
        <f t="shared" si="1382"/>
        <v/>
      </c>
      <c r="Y2954" s="1435" t="str">
        <f t="shared" si="1382"/>
        <v/>
      </c>
      <c r="Z2954" s="1435" t="str">
        <f t="shared" si="1382"/>
        <v/>
      </c>
      <c r="AA2954" s="1435"/>
      <c r="AB2954" s="1435"/>
      <c r="AC2954" s="1685" t="b">
        <f>AC2952</f>
        <v>0</v>
      </c>
      <c r="AD2954" s="1686" t="b">
        <f t="shared" ref="AD2954:AI2954" si="1383">AD2952</f>
        <v>0</v>
      </c>
      <c r="AE2954" s="1686" t="b">
        <f t="shared" si="1383"/>
        <v>0</v>
      </c>
      <c r="AF2954" s="1686" t="b">
        <f t="shared" si="1383"/>
        <v>0</v>
      </c>
      <c r="AG2954" s="1686" t="b">
        <f t="shared" si="1383"/>
        <v>0</v>
      </c>
      <c r="AH2954" s="1686" t="b">
        <f t="shared" si="1383"/>
        <v>0</v>
      </c>
      <c r="AI2954" s="1687" t="b">
        <f t="shared" si="1383"/>
        <v>0</v>
      </c>
      <c r="AJ2954" s="1633" t="s">
        <v>1954</v>
      </c>
      <c r="AK2954" s="1635" t="str">
        <f>IF(AND(CNTR_ExistSubInstEntries,COUNTIFS(AC2954:AI2954,FALSE,H2954:N2954,"")&gt;0),EUconst_Error&amp;"BM"&amp;$Q2911,"")</f>
        <v/>
      </c>
      <c r="AL2954" s="1198"/>
      <c r="AP2954" s="1135"/>
    </row>
    <row r="2955" spans="1:42" s="562" customFormat="1" ht="13.5" customHeight="1">
      <c r="A2955" s="618"/>
      <c r="B2955" s="485"/>
      <c r="C2955" s="485"/>
      <c r="D2955" s="561" t="s">
        <v>18</v>
      </c>
      <c r="E2955" s="863" t="s">
        <v>915</v>
      </c>
      <c r="F2955" s="863"/>
      <c r="G2955" s="579" t="str">
        <f>EUconst_tCO2pa</f>
        <v>t CO2 / year</v>
      </c>
      <c r="H2955" s="929" t="str">
        <f t="shared" ref="H2955:N2955" si="1384">IF(ISNUMBER(H2952),H2952+SUM(H2953)*EUconst_HeatBMvalue,"")</f>
        <v/>
      </c>
      <c r="I2955" s="930" t="str">
        <f t="shared" si="1384"/>
        <v/>
      </c>
      <c r="J2955" s="1786" t="str">
        <f t="shared" si="1384"/>
        <v/>
      </c>
      <c r="K2955" s="1787" t="str">
        <f t="shared" si="1384"/>
        <v/>
      </c>
      <c r="L2955" s="1787" t="str">
        <f t="shared" si="1384"/>
        <v/>
      </c>
      <c r="M2955" s="1787" t="str">
        <f t="shared" si="1384"/>
        <v/>
      </c>
      <c r="N2955" s="1787" t="str">
        <f t="shared" si="1384"/>
        <v/>
      </c>
      <c r="O2955" s="485"/>
      <c r="P2955" s="485"/>
      <c r="Q2955" s="1435"/>
      <c r="R2955" s="1435"/>
      <c r="S2955" s="1198"/>
      <c r="T2955" s="1198"/>
      <c r="U2955" s="1435"/>
      <c r="V2955" s="1435"/>
      <c r="W2955" s="1435"/>
      <c r="X2955" s="1435"/>
      <c r="Y2955" s="1435"/>
      <c r="Z2955" s="1435"/>
      <c r="AA2955" s="1435"/>
      <c r="AB2955" s="1435"/>
      <c r="AC2955" s="1435"/>
      <c r="AD2955" s="1435"/>
      <c r="AE2955" s="1435"/>
      <c r="AF2955" s="1435"/>
      <c r="AG2955" s="1435"/>
      <c r="AH2955" s="1435"/>
      <c r="AI2955" s="1435"/>
      <c r="AJ2955" s="1435"/>
      <c r="AK2955" s="1435"/>
      <c r="AL2955" s="1198"/>
      <c r="AP2955" s="1135"/>
    </row>
    <row r="2956" spans="1:42" s="562" customFormat="1" ht="13.5" customHeight="1">
      <c r="A2956" s="618"/>
      <c r="B2956" s="485"/>
      <c r="C2956" s="485"/>
      <c r="D2956" s="561" t="s">
        <v>787</v>
      </c>
      <c r="E2956" s="867" t="s">
        <v>916</v>
      </c>
      <c r="F2956" s="867"/>
      <c r="G2956" s="584" t="str">
        <f>EUconst_tCO2pa</f>
        <v>t CO2 / year</v>
      </c>
      <c r="H2956" s="935" t="str">
        <f t="shared" ref="H2956:N2956" si="1385">IF(ISNUMBER(H2954),H2954*EUconst_ElBM,"")</f>
        <v/>
      </c>
      <c r="I2956" s="936" t="str">
        <f t="shared" si="1385"/>
        <v/>
      </c>
      <c r="J2956" s="1786" t="str">
        <f t="shared" si="1385"/>
        <v/>
      </c>
      <c r="K2956" s="1787" t="str">
        <f t="shared" si="1385"/>
        <v/>
      </c>
      <c r="L2956" s="1787" t="str">
        <f t="shared" si="1385"/>
        <v/>
      </c>
      <c r="M2956" s="1787" t="str">
        <f t="shared" si="1385"/>
        <v/>
      </c>
      <c r="N2956" s="1787" t="str">
        <f t="shared" si="1385"/>
        <v/>
      </c>
      <c r="O2956" s="485"/>
      <c r="P2956" s="485"/>
      <c r="Q2956" s="1435"/>
      <c r="R2956" s="1435"/>
      <c r="S2956" s="1198"/>
      <c r="T2956" s="1198"/>
      <c r="U2956" s="1435"/>
      <c r="V2956" s="1435"/>
      <c r="W2956" s="1435"/>
      <c r="X2956" s="1435"/>
      <c r="Y2956" s="1435"/>
      <c r="Z2956" s="1435"/>
      <c r="AA2956" s="1435"/>
      <c r="AB2956" s="1435"/>
      <c r="AC2956" s="1435"/>
      <c r="AD2956" s="1435"/>
      <c r="AE2956" s="1435"/>
      <c r="AF2956" s="1435"/>
      <c r="AG2956" s="1435"/>
      <c r="AH2956" s="1435"/>
      <c r="AI2956" s="1435"/>
      <c r="AJ2956" s="1435"/>
      <c r="AK2956" s="1435"/>
      <c r="AL2956" s="1198"/>
      <c r="AP2956" s="1135"/>
    </row>
    <row r="2957" spans="1:42" ht="5.0999999999999996" customHeight="1">
      <c r="B2957" s="479"/>
      <c r="C2957" s="479"/>
      <c r="D2957" s="479"/>
      <c r="E2957" s="479"/>
      <c r="F2957" s="479"/>
      <c r="G2957" s="479"/>
      <c r="H2957" s="479"/>
      <c r="I2957" s="479"/>
      <c r="J2957" s="1790"/>
      <c r="K2957" s="1791"/>
      <c r="L2957" s="1791"/>
      <c r="M2957" s="1791"/>
      <c r="N2957" s="1791"/>
      <c r="O2957" s="485"/>
      <c r="P2957" s="485"/>
      <c r="Q2957" s="1435"/>
      <c r="U2957" s="1435"/>
      <c r="V2957" s="1435"/>
      <c r="W2957" s="1435"/>
      <c r="X2957" s="1435"/>
      <c r="Y2957" s="1435"/>
      <c r="Z2957" s="1435"/>
    </row>
    <row r="2958" spans="1:42" ht="12.75" customHeight="1">
      <c r="B2958" s="479"/>
      <c r="C2958" s="479"/>
      <c r="D2958" s="561" t="s">
        <v>788</v>
      </c>
      <c r="E2958" s="698" t="s">
        <v>1389</v>
      </c>
      <c r="F2958" s="938"/>
      <c r="G2958" s="939" t="s">
        <v>1021</v>
      </c>
      <c r="H2958" s="940" t="str">
        <f t="shared" ref="H2958:N2958" si="1386">IF(COUNT(H2955:H2956)&gt;0,SUM(H2955)/SUM(H2955:H2956),IF($T2947=TRUE,IF(H2951&gt;CNTR_ReportingYear,"",1),""))</f>
        <v/>
      </c>
      <c r="I2958" s="941" t="str">
        <f t="shared" si="1386"/>
        <v/>
      </c>
      <c r="J2958" s="1792" t="str">
        <f t="shared" si="1386"/>
        <v/>
      </c>
      <c r="K2958" s="1793" t="str">
        <f t="shared" si="1386"/>
        <v/>
      </c>
      <c r="L2958" s="1793" t="str">
        <f t="shared" si="1386"/>
        <v/>
      </c>
      <c r="M2958" s="1793" t="str">
        <f t="shared" si="1386"/>
        <v/>
      </c>
      <c r="N2958" s="1793" t="str">
        <f t="shared" si="1386"/>
        <v/>
      </c>
      <c r="O2958" s="485"/>
      <c r="P2958" s="485"/>
      <c r="Q2958" s="1644" t="str">
        <f>EUconst_CNTR_ELEXCH &amp; I2911</f>
        <v>ELEXCH_</v>
      </c>
    </row>
    <row r="2959" spans="1:42" ht="5.0999999999999996" customHeight="1">
      <c r="B2959" s="479"/>
      <c r="C2959" s="479"/>
      <c r="D2959" s="479"/>
      <c r="E2959" s="479"/>
      <c r="F2959" s="479"/>
      <c r="G2959" s="479"/>
      <c r="H2959" s="479"/>
      <c r="I2959" s="479"/>
      <c r="J2959" s="479"/>
      <c r="K2959" s="479"/>
      <c r="L2959" s="479"/>
      <c r="M2959" s="485"/>
      <c r="N2959" s="485"/>
      <c r="O2959" s="485"/>
      <c r="P2959" s="485"/>
      <c r="Q2959" s="1435"/>
    </row>
    <row r="2960" spans="1:42" ht="30.95" customHeight="1" thickBot="1">
      <c r="B2960" s="479"/>
      <c r="C2960" s="479"/>
      <c r="D2960" s="485"/>
      <c r="E2960" s="2385" t="s">
        <v>2703</v>
      </c>
      <c r="F2960" s="2846"/>
      <c r="G2960" s="2846"/>
      <c r="H2960" s="2846"/>
      <c r="I2960" s="2846"/>
      <c r="J2960" s="2846"/>
      <c r="K2960" s="2846"/>
      <c r="L2960" s="2846"/>
      <c r="M2960" s="2846"/>
      <c r="N2960" s="2846"/>
      <c r="O2960" s="485"/>
      <c r="P2960" s="485"/>
      <c r="Q2960" s="1435"/>
      <c r="S2960" s="1435"/>
      <c r="T2960" s="1435"/>
      <c r="U2960" s="1435"/>
    </row>
    <row r="2961" spans="1:38" ht="5.0999999999999996" customHeight="1" thickBot="1">
      <c r="B2961" s="479"/>
      <c r="C2961" s="479"/>
      <c r="D2961" s="902"/>
      <c r="E2961" s="942"/>
      <c r="F2961" s="942"/>
      <c r="G2961" s="942"/>
      <c r="H2961" s="942"/>
      <c r="I2961" s="942"/>
      <c r="J2961" s="943"/>
      <c r="K2961" s="1798"/>
      <c r="L2961" s="1798"/>
      <c r="M2961" s="1798"/>
      <c r="N2961" s="1798"/>
      <c r="O2961" s="485"/>
      <c r="P2961" s="485"/>
      <c r="Q2961" s="1435"/>
      <c r="S2961" s="1435"/>
      <c r="T2961" s="1435"/>
      <c r="U2961" s="1435"/>
    </row>
    <row r="2962" spans="1:38" ht="12.75" customHeight="1">
      <c r="B2962" s="479"/>
      <c r="C2962" s="479"/>
      <c r="D2962" s="907" t="s">
        <v>1915</v>
      </c>
      <c r="E2962" s="908" t="s">
        <v>1775</v>
      </c>
      <c r="F2962" s="909"/>
      <c r="G2962" s="909"/>
      <c r="H2962" s="910" t="str">
        <f>EUconst_Unit</f>
        <v>Unit</v>
      </c>
      <c r="I2962" s="911" t="s">
        <v>2213</v>
      </c>
      <c r="J2962" s="1647">
        <f>J$3242</f>
        <v>2026</v>
      </c>
      <c r="K2962" s="1490">
        <f>K$3242</f>
        <v>2027</v>
      </c>
      <c r="L2962" s="1490">
        <f>L$3242</f>
        <v>2028</v>
      </c>
      <c r="M2962" s="1490">
        <f>M$3242</f>
        <v>2029</v>
      </c>
      <c r="N2962" s="1490">
        <f>N$3242</f>
        <v>2030</v>
      </c>
      <c r="O2962" s="485"/>
      <c r="P2962" s="485"/>
      <c r="Q2962" s="1435"/>
      <c r="U2962" s="1648"/>
      <c r="V2962" s="1649">
        <f>J2962</f>
        <v>2026</v>
      </c>
      <c r="W2962" s="1649">
        <f>K2962</f>
        <v>2027</v>
      </c>
      <c r="X2962" s="1649">
        <f>L2962</f>
        <v>2028</v>
      </c>
      <c r="Y2962" s="1649">
        <f>M2962</f>
        <v>2029</v>
      </c>
      <c r="Z2962" s="1650">
        <f>N2962</f>
        <v>2030</v>
      </c>
      <c r="AL2962" s="1435"/>
    </row>
    <row r="2963" spans="1:38" ht="12.75" customHeight="1">
      <c r="B2963" s="479"/>
      <c r="C2963" s="479"/>
      <c r="D2963" s="915" t="s">
        <v>6</v>
      </c>
      <c r="E2963" s="916" t="s">
        <v>1691</v>
      </c>
      <c r="F2963" s="916"/>
      <c r="G2963" s="916"/>
      <c r="H2963" s="944" t="str">
        <f>G2958</f>
        <v>-</v>
      </c>
      <c r="I2963" s="945" t="str">
        <f>IF($T2947&lt;&gt;TRUE,"",INDEX('B+C_SubInstallations'!$L:$L,MATCH(Q2963,'B+C_SubInstallations'!$W:$W,0)))</f>
        <v/>
      </c>
      <c r="J2963" s="1691" t="str">
        <f>IF($T2947&lt;&gt;TRUE,"",IF(AND(V2963&gt;=3,CNTR_ReportingYear&gt;J2962-1),AVERAGE(SUM(H2958),SUM(I2958)),""))</f>
        <v/>
      </c>
      <c r="K2963" s="1799" t="str">
        <f>IF($T2947&lt;&gt;TRUE,"",IF(AND(W2963&gt;=3,CNTR_ReportingYear&gt;K2962-1),AVERAGE(SUM(I2958),SUM(J2958)),""))</f>
        <v/>
      </c>
      <c r="L2963" s="1799" t="str">
        <f>IF($T2947&lt;&gt;TRUE,"",IF(AND(X2963&gt;=3,CNTR_ReportingYear&gt;L2962-1),AVERAGE(SUM(J2958),SUM(K2958)),""))</f>
        <v/>
      </c>
      <c r="M2963" s="1799" t="str">
        <f>IF($T2947&lt;&gt;TRUE,"",IF(AND(Y2963&gt;=3,CNTR_ReportingYear&gt;M2962-1),AVERAGE(SUM(K2958),SUM(L2958)),""))</f>
        <v/>
      </c>
      <c r="N2963" s="1799" t="str">
        <f>IF($T2947&lt;&gt;TRUE,"",IF(AND(Z2963&gt;=3,CNTR_ReportingYear&gt;N2962-1),AVERAGE(SUM(L2958),SUM(M2958)),""))</f>
        <v/>
      </c>
      <c r="O2963" s="485"/>
      <c r="P2963" s="485"/>
      <c r="Q2963" s="1644" t="str">
        <f>EUconst_CNTR_HAL &amp; EUconst_CNTR_ELEXCHInitial &amp; I2911</f>
        <v>HAL_ELEXCHIni_</v>
      </c>
      <c r="U2963" s="1693" t="s">
        <v>1650</v>
      </c>
      <c r="V2963" s="1635">
        <f>V2933</f>
        <v>0</v>
      </c>
      <c r="W2963" s="1635">
        <f>W2933</f>
        <v>0</v>
      </c>
      <c r="X2963" s="1635">
        <f>X2933</f>
        <v>0</v>
      </c>
      <c r="Y2963" s="1635">
        <f>Y2933</f>
        <v>0</v>
      </c>
      <c r="Z2963" s="1654">
        <f>Z2933</f>
        <v>0</v>
      </c>
      <c r="AL2963" s="1435"/>
    </row>
    <row r="2964" spans="1:38" ht="12.75" hidden="1" customHeight="1">
      <c r="A2964" s="618" t="s">
        <v>2289</v>
      </c>
      <c r="B2964" s="479"/>
      <c r="C2964" s="479"/>
      <c r="D2964" s="915"/>
      <c r="E2964" s="916" t="s">
        <v>1776</v>
      </c>
      <c r="F2964" s="916"/>
      <c r="G2964" s="916"/>
      <c r="H2964" s="921"/>
      <c r="I2964" s="1657"/>
      <c r="J2964" s="17" t="str">
        <f>IF(J2963="","",IF($I2966=0,IF(J2963=0,0%,100%),J2963/$I2966-1))</f>
        <v/>
      </c>
      <c r="K2964" s="22" t="str">
        <f>IF(K2963="","",IF($I2966=0,IF(K2963=0,0%,100%),K2963/$I2966-1))</f>
        <v/>
      </c>
      <c r="L2964" s="22" t="str">
        <f>IF(L2963="","",IF($I2966=0,IF(L2963=0,0%,100%),L2963/$I2966-1))</f>
        <v/>
      </c>
      <c r="M2964" s="22" t="str">
        <f>IF(M2963="","",IF($I2966=0,IF(M2963=0,0%,100%),M2963/$I2966-1))</f>
        <v/>
      </c>
      <c r="N2964" s="22" t="str">
        <f>IF(N2963="","",IF($I2966=0,IF(N2963=0,0%,100%),N2963/$I2966-1))</f>
        <v/>
      </c>
      <c r="O2964" s="485"/>
      <c r="P2964" s="485"/>
      <c r="Q2964" s="1644" t="str">
        <f>EUconst_CNTR_RelThreshold &amp; Q2966</f>
        <v>RelThresh_HALprelim_ELEXCH_</v>
      </c>
      <c r="U2964" s="1693" t="s">
        <v>1655</v>
      </c>
      <c r="V2964" s="1158" t="str">
        <f>IF(J2963="","",ABS(J2964)&gt;15%)</f>
        <v/>
      </c>
      <c r="W2964" s="1158" t="str">
        <f>IF(K2963="","",ABS(K2964)&gt;15%)</f>
        <v/>
      </c>
      <c r="X2964" s="1158" t="str">
        <f>IF(L2963="","",ABS(L2964)&gt;15%)</f>
        <v/>
      </c>
      <c r="Y2964" s="1158" t="str">
        <f>IF(M2963="","",ABS(M2964)&gt;15%)</f>
        <v/>
      </c>
      <c r="Z2964" s="1656" t="str">
        <f>IF(N2963="","",ABS(N2964)&gt;15%)</f>
        <v/>
      </c>
      <c r="AL2964" s="1435"/>
    </row>
    <row r="2965" spans="1:38" ht="12.75" customHeight="1">
      <c r="A2965" s="618"/>
      <c r="B2965" s="479"/>
      <c r="C2965" s="479"/>
      <c r="D2965" s="915" t="s">
        <v>7</v>
      </c>
      <c r="E2965" s="916" t="s">
        <v>1654</v>
      </c>
      <c r="F2965" s="916"/>
      <c r="G2965" s="916"/>
      <c r="H2965" s="921"/>
      <c r="I2965" s="1657"/>
      <c r="J2965" s="1658" t="str">
        <f>IF(J2963="","",IF(V2964=FALSE,0%,J2964))</f>
        <v/>
      </c>
      <c r="K2965" s="1795" t="str">
        <f>IF(K2963="","",IF(W2964=FALSE,0%,K2964))</f>
        <v/>
      </c>
      <c r="L2965" s="1795" t="str">
        <f>IF(L2963="","",IF(X2964=FALSE,0%,L2964))</f>
        <v/>
      </c>
      <c r="M2965" s="1795" t="str">
        <f>IF(M2963="","",IF(Y2964=FALSE,0%,M2964))</f>
        <v/>
      </c>
      <c r="N2965" s="1795" t="str">
        <f>IF(N2963="","",IF(Z2964=FALSE,0%,N2964))</f>
        <v/>
      </c>
      <c r="O2965" s="485"/>
      <c r="P2965" s="485"/>
      <c r="Q2965" s="1435"/>
      <c r="U2965" s="1694"/>
      <c r="Z2965" s="1664"/>
      <c r="AL2965" s="1435"/>
    </row>
    <row r="2966" spans="1:38" ht="12.75" hidden="1" customHeight="1">
      <c r="A2966" s="618" t="s">
        <v>2289</v>
      </c>
      <c r="B2966" s="479"/>
      <c r="C2966" s="479"/>
      <c r="D2966" s="915"/>
      <c r="E2966" s="916" t="s">
        <v>1689</v>
      </c>
      <c r="F2966" s="916"/>
      <c r="G2966" s="916"/>
      <c r="H2966" s="944" t="str">
        <f>H2963</f>
        <v>-</v>
      </c>
      <c r="I2966" s="945" t="str">
        <f>IF($T2947&lt;&gt;TRUE,"",IF(AB2911=FALSE,EUconst_NA,IF(V2911&gt;($J$3242-3),INDEX(H2958:N2958,MATCH(V2911,H2951:N2951,0)),SUM(I2963))))</f>
        <v/>
      </c>
      <c r="J2966" s="1695" t="str">
        <f>IF(OR($I2911="",$T2947=FALSE),"",IF(V2963&lt;2,SUM(J2958),IF(V2963&lt;3,SUM(I2958),IF(V2966="",I2966,V2966))))</f>
        <v/>
      </c>
      <c r="K2966" s="1799" t="str">
        <f>IF(OR($I2911="",$T2947=FALSE),"",IF(W2963&lt;2,SUM(K2958),IF(W2963&lt;3,SUM(J2958),IF(W2966="",J2966,W2966))))</f>
        <v/>
      </c>
      <c r="L2966" s="1799" t="str">
        <f>IF(OR($I2911="",$T2947=FALSE),"",IF(X2963&lt;2,SUM(L2958),IF(X2963&lt;3,SUM(K2958),IF(X2966="",K2966,X2966))))</f>
        <v/>
      </c>
      <c r="M2966" s="1799" t="str">
        <f>IF(OR($I2911="",$T2947=FALSE),"",IF(Y2963&lt;2,SUM(M2958),IF(Y2963&lt;3,SUM(L2958),IF(Y2966="",L2966,Y2966))))</f>
        <v/>
      </c>
      <c r="N2966" s="1799" t="str">
        <f>IF(OR($I2911="",$T2947=FALSE),"",IF(Z2963&lt;2,SUM(N2958),IF(Z2963&lt;3,SUM(M2958),IF(Z2966="",M2966,Z2966))))</f>
        <v/>
      </c>
      <c r="O2966" s="485"/>
      <c r="P2966" s="485"/>
      <c r="Q2966" s="1644" t="str">
        <f>EUconst_CNTR_HALprelim&amp;EUconst_CNTR_ELEXCH &amp; I2911</f>
        <v>HALprelim_ELEXCH_</v>
      </c>
      <c r="U2966" s="1693" t="s">
        <v>1697</v>
      </c>
      <c r="V2966" s="1696" t="str">
        <f>IF(J2963="","",IF(CNTR_ReportingYear&lt;J2962,I2965,IF($I2966=0,J2963,$I2966*(1+J2965))))</f>
        <v/>
      </c>
      <c r="W2966" s="1696" t="str">
        <f>IF(K2963="","",IF(CNTR_ReportingYear&lt;K2962,J2965,IF($I2966=0,K2963,$I2966*(1+K2965))))</f>
        <v/>
      </c>
      <c r="X2966" s="1696" t="str">
        <f>IF(L2963="","",IF(CNTR_ReportingYear&lt;L2962,K2965,IF($I2966=0,L2963,$I2966*(1+L2965))))</f>
        <v/>
      </c>
      <c r="Y2966" s="1696" t="str">
        <f>IF(M2963="","",IF(CNTR_ReportingYear&lt;M2962,L2965,IF($I2966=0,M2963,$I2966*(1+M2965))))</f>
        <v/>
      </c>
      <c r="Z2966" s="1697" t="str">
        <f>IF(N2963="","",IF(CNTR_ReportingYear&lt;N2962,M2965,IF($I2966=0,N2963,$I2966*(1+N2965))))</f>
        <v/>
      </c>
      <c r="AL2966" s="1435"/>
    </row>
    <row r="2967" spans="1:38" ht="5.0999999999999996" customHeight="1">
      <c r="A2967" s="618"/>
      <c r="B2967" s="479"/>
      <c r="C2967" s="479"/>
      <c r="D2967" s="915"/>
      <c r="E2967" s="909"/>
      <c r="F2967" s="909"/>
      <c r="G2967" s="909"/>
      <c r="H2967" s="909"/>
      <c r="I2967" s="909"/>
      <c r="J2967" s="922"/>
      <c r="K2967" s="1791"/>
      <c r="L2967" s="1791"/>
      <c r="M2967" s="1791"/>
      <c r="N2967" s="1791"/>
      <c r="O2967" s="485"/>
      <c r="P2967" s="485"/>
      <c r="Q2967" s="1435"/>
      <c r="U2967" s="1663"/>
      <c r="V2967" s="1435"/>
      <c r="Z2967" s="1664"/>
      <c r="AL2967" s="1435"/>
    </row>
    <row r="2968" spans="1:38" ht="12.75" customHeight="1">
      <c r="A2968" s="618"/>
      <c r="B2968" s="479"/>
      <c r="C2968" s="479"/>
      <c r="D2968" s="915"/>
      <c r="E2968" s="923" t="s">
        <v>1653</v>
      </c>
      <c r="F2968" s="923"/>
      <c r="G2968" s="923"/>
      <c r="H2968" s="923"/>
      <c r="I2968" s="923"/>
      <c r="J2968" s="1647">
        <f>J$3242</f>
        <v>2026</v>
      </c>
      <c r="K2968" s="1490">
        <f>K$3242</f>
        <v>2027</v>
      </c>
      <c r="L2968" s="1490">
        <f>L$3242</f>
        <v>2028</v>
      </c>
      <c r="M2968" s="1490">
        <f>M$3242</f>
        <v>2029</v>
      </c>
      <c r="N2968" s="1490">
        <f>N$3242</f>
        <v>2030</v>
      </c>
      <c r="O2968" s="485"/>
      <c r="P2968" s="485"/>
      <c r="Q2968" s="1435"/>
      <c r="U2968" s="1665"/>
      <c r="Z2968" s="1664"/>
      <c r="AL2968" s="1435"/>
    </row>
    <row r="2969" spans="1:38" ht="12.75" customHeight="1">
      <c r="A2969" s="618"/>
      <c r="B2969" s="479"/>
      <c r="C2969" s="479"/>
      <c r="D2969" s="915" t="s">
        <v>8</v>
      </c>
      <c r="E2969" s="916" t="s">
        <v>2108</v>
      </c>
      <c r="F2969" s="916"/>
      <c r="G2969" s="916"/>
      <c r="H2969" s="916"/>
      <c r="I2969" s="916"/>
      <c r="J2969" s="1666" t="str">
        <f>IF(OR($I2911="",$T2947=FALSE),"",INDEX(K_Summary!J:J,MATCH($Q2969,K_Summary!$P:$P,0)))</f>
        <v/>
      </c>
      <c r="K2969" s="1791" t="str">
        <f>IF(OR($I2911="",$T2947=FALSE),"",INDEX(K_Summary!K:K,MATCH($Q2969,K_Summary!$P:$P,0)))</f>
        <v/>
      </c>
      <c r="L2969" s="1791" t="str">
        <f>IF(OR($I2911="",$T2947=FALSE),"",INDEX(K_Summary!L:L,MATCH($Q2969,K_Summary!$P:$P,0)))</f>
        <v/>
      </c>
      <c r="M2969" s="1791" t="str">
        <f>IF(OR($I2911="",$T2947=FALSE),"",INDEX(K_Summary!M:M,MATCH($Q2969,K_Summary!$P:$P,0)))</f>
        <v/>
      </c>
      <c r="N2969" s="1791" t="str">
        <f>IF(OR($I2911="",$T2947=FALSE),"",INDEX(K_Summary!N:N,MATCH($Q2969,K_Summary!$P:$P,0)))</f>
        <v/>
      </c>
      <c r="O2969" s="485"/>
      <c r="P2969" s="485"/>
      <c r="Q2969" s="1644" t="str">
        <f>EUconst_CNTR_100EUA_ElExch&amp;I2911</f>
        <v>EUA100ElExch_</v>
      </c>
      <c r="U2969" s="1665"/>
      <c r="Z2969" s="1664"/>
      <c r="AL2969" s="1435"/>
    </row>
    <row r="2970" spans="1:38" ht="5.0999999999999996" customHeight="1" thickBot="1">
      <c r="A2970" s="618"/>
      <c r="B2970" s="479"/>
      <c r="C2970" s="479"/>
      <c r="D2970" s="915"/>
      <c r="E2970" s="909"/>
      <c r="F2970" s="909"/>
      <c r="G2970" s="909"/>
      <c r="H2970" s="909"/>
      <c r="I2970" s="909"/>
      <c r="J2970" s="922"/>
      <c r="K2970" s="1791"/>
      <c r="L2970" s="1791"/>
      <c r="M2970" s="1791"/>
      <c r="N2970" s="1791"/>
      <c r="O2970" s="485"/>
      <c r="P2970" s="485"/>
      <c r="Q2970" s="1435"/>
      <c r="U2970" s="1663"/>
      <c r="V2970" s="1435"/>
      <c r="Z2970" s="1664"/>
      <c r="AL2970" s="1435"/>
    </row>
    <row r="2971" spans="1:38" ht="12.75" customHeight="1" thickBot="1">
      <c r="B2971" s="479"/>
      <c r="C2971" s="479"/>
      <c r="D2971" s="915" t="s">
        <v>18</v>
      </c>
      <c r="E2971" s="916" t="s">
        <v>1657</v>
      </c>
      <c r="F2971" s="916"/>
      <c r="G2971" s="916"/>
      <c r="H2971" s="921"/>
      <c r="I2971" s="1667"/>
      <c r="J2971" s="1668" t="str">
        <f>IF(J2969="","",IF(OR(J2969,V2963&lt;1),J2965,I2971))</f>
        <v/>
      </c>
      <c r="K2971" s="1796" t="str">
        <f>IF(K2969="","",IF(OR(K2969,W2963&lt;1),K2965,J2971))</f>
        <v/>
      </c>
      <c r="L2971" s="1796" t="str">
        <f>IF(L2969="","",IF(OR(L2969,X2963&lt;1),L2965,K2971))</f>
        <v/>
      </c>
      <c r="M2971" s="1796" t="str">
        <f>IF(M2969="","",IF(OR(M2969,Y2963&lt;1),M2965,L2971))</f>
        <v/>
      </c>
      <c r="N2971" s="1796" t="str">
        <f>IF(N2969="","",IF(OR(N2969,Z2963&lt;1),N2965,M2971))</f>
        <v/>
      </c>
      <c r="O2971" s="485"/>
      <c r="P2971" s="485"/>
      <c r="Q2971" s="1435"/>
      <c r="U2971" s="1663" t="s">
        <v>1658</v>
      </c>
      <c r="V2971" s="1670">
        <f>J2968</f>
        <v>2026</v>
      </c>
      <c r="W2971" s="1670">
        <f>K2968</f>
        <v>2027</v>
      </c>
      <c r="X2971" s="1670">
        <f>L2968</f>
        <v>2028</v>
      </c>
      <c r="Y2971" s="1670">
        <f>M2968</f>
        <v>2029</v>
      </c>
      <c r="Z2971" s="1671">
        <f>N2968</f>
        <v>2030</v>
      </c>
      <c r="AL2971" s="1435"/>
    </row>
    <row r="2972" spans="1:38" ht="12.75" customHeight="1" thickBot="1">
      <c r="A2972" s="618"/>
      <c r="B2972" s="479"/>
      <c r="C2972" s="479"/>
      <c r="D2972" s="915" t="s">
        <v>787</v>
      </c>
      <c r="E2972" s="916" t="s">
        <v>1659</v>
      </c>
      <c r="F2972" s="916"/>
      <c r="G2972" s="916"/>
      <c r="H2972" s="944" t="str">
        <f>H2963</f>
        <v>-</v>
      </c>
      <c r="I2972" s="945" t="str">
        <f>I2966</f>
        <v/>
      </c>
      <c r="J2972" s="1698" t="str">
        <f>IF(OR($I2911="",$T2947=FALSE),"",IF(OR($I2972=0,$I2972=EUconst_NA,J2971="",J2968&lt;=$V2911),J2966,$I2972*(1+SUM(J2971))))</f>
        <v/>
      </c>
      <c r="K2972" s="1800" t="str">
        <f>IF(OR($I2911="",$T2947=FALSE),"",IF(OR($I2972=0,$I2972=EUconst_NA,K2971="",K2968&lt;=$V2911),K2966,$I2972*(1+SUM(K2971))))</f>
        <v/>
      </c>
      <c r="L2972" s="1800" t="str">
        <f>IF(OR($I2911="",$T2947=FALSE),"",IF(OR($I2972=0,$I2972=EUconst_NA,L2971="",L2968&lt;=$V2911),L2966,$I2972*(1+SUM(L2971))))</f>
        <v/>
      </c>
      <c r="M2972" s="1800" t="str">
        <f>IF(OR($I2911="",$T2947=FALSE),"",IF(OR($I2972=0,$I2972=EUconst_NA,M2971="",M2968&lt;=$V2911),M2966,$I2972*(1+SUM(M2971))))</f>
        <v/>
      </c>
      <c r="N2972" s="1800" t="str">
        <f>IF(OR($I2911="",$T2947=FALSE),"",IF(OR($I2972=0,$I2972=EUconst_NA,N2971="",N2968&lt;=$V2911),N2966,$I2972*(1+SUM(N2971))))</f>
        <v/>
      </c>
      <c r="O2972" s="485"/>
      <c r="P2972" s="485"/>
      <c r="Q2972" s="1644" t="str">
        <f>EUconst_CNTR_HALfinal&amp;EUconst_CNTR_ELEXCH &amp; I2911</f>
        <v>HALfinal_ELEXCH_</v>
      </c>
      <c r="U2972" s="1674" t="b">
        <v>0</v>
      </c>
      <c r="V2972" s="1675" t="str">
        <f>IF(V2919,IF(J2969=TRUE,V2964,U2972),"")</f>
        <v/>
      </c>
      <c r="W2972" s="1675" t="str">
        <f>IF(W2919,IF(K2969=TRUE,W2964,V2972),"")</f>
        <v/>
      </c>
      <c r="X2972" s="1675" t="str">
        <f>IF(X2919,IF(L2969=TRUE,X2964,W2972),"")</f>
        <v/>
      </c>
      <c r="Y2972" s="1675" t="str">
        <f>IF(Y2919,IF(M2969=TRUE,Y2964,X2972),"")</f>
        <v/>
      </c>
      <c r="Z2972" s="1676" t="str">
        <f>IF(Z2919,IF(N2969=TRUE,Z2964,Y2972),"")</f>
        <v/>
      </c>
      <c r="AJ2972" s="1633" t="s">
        <v>1951</v>
      </c>
      <c r="AK2972" s="1443" t="str">
        <f>IF(OR(ISERROR(J2972),ISERROR(K2972),ISERROR(L2972),ISERROR(M2972),ISERROR(N2972)),EUconst_Error &amp; "BM" &amp; Q2911,"")</f>
        <v/>
      </c>
      <c r="AL2972" s="1435"/>
    </row>
    <row r="2973" spans="1:38" ht="5.0999999999999996" customHeight="1" thickBot="1">
      <c r="B2973" s="479"/>
      <c r="C2973" s="479"/>
      <c r="D2973" s="946"/>
      <c r="E2973" s="947"/>
      <c r="F2973" s="947"/>
      <c r="G2973" s="947"/>
      <c r="H2973" s="947"/>
      <c r="I2973" s="947"/>
      <c r="J2973" s="1700"/>
      <c r="K2973" s="1791"/>
      <c r="L2973" s="1791"/>
      <c r="M2973" s="1791"/>
      <c r="N2973" s="1791"/>
      <c r="O2973" s="485"/>
      <c r="P2973" s="485"/>
      <c r="Q2973" s="1435"/>
    </row>
    <row r="2974" spans="1:38" ht="5.0999999999999996" customHeight="1">
      <c r="B2974" s="479"/>
      <c r="C2974" s="479"/>
      <c r="D2974" s="479"/>
      <c r="E2974" s="479"/>
      <c r="F2974" s="479"/>
      <c r="G2974" s="479"/>
      <c r="H2974" s="479"/>
      <c r="I2974" s="479"/>
      <c r="J2974" s="479"/>
      <c r="K2974" s="479"/>
      <c r="L2974" s="479"/>
      <c r="M2974" s="485"/>
      <c r="N2974" s="485"/>
      <c r="O2974" s="485"/>
      <c r="P2974" s="485"/>
      <c r="Q2974" s="1435"/>
    </row>
    <row r="2975" spans="1:38" ht="12.75" customHeight="1">
      <c r="B2975" s="479"/>
      <c r="C2975" s="479"/>
      <c r="D2975" s="482" t="s">
        <v>881</v>
      </c>
      <c r="E2975" s="2373" t="s">
        <v>941</v>
      </c>
      <c r="F2975" s="2373"/>
      <c r="G2975" s="2373"/>
      <c r="H2975" s="2373"/>
      <c r="I2975" s="2604"/>
      <c r="J2975" s="2652" t="str">
        <f>IF(I2911="","",HYPERLINK(R2975,EUconst_MsgGoOnIfNotRelevant))</f>
        <v/>
      </c>
      <c r="K2975" s="2653"/>
      <c r="L2975" s="2653"/>
      <c r="M2975" s="2653"/>
      <c r="N2975" s="2654"/>
      <c r="O2975" s="485"/>
      <c r="P2975" s="485"/>
      <c r="Q2975" s="1198" t="s">
        <v>441</v>
      </c>
      <c r="R2975" s="1488" t="str">
        <f>"#"&amp;ADDRESS(ROW(D3000),COLUMN(D3000))</f>
        <v>#$D$3000</v>
      </c>
    </row>
    <row r="2976" spans="1:38" ht="12.75" customHeight="1">
      <c r="B2976" s="479"/>
      <c r="C2976" s="479"/>
      <c r="D2976" s="485"/>
      <c r="E2976" s="2385" t="s">
        <v>1368</v>
      </c>
      <c r="F2976" s="2846"/>
      <c r="G2976" s="2846"/>
      <c r="H2976" s="2846"/>
      <c r="I2976" s="2846"/>
      <c r="J2976" s="2846"/>
      <c r="K2976" s="2846"/>
      <c r="L2976" s="2846"/>
      <c r="M2976" s="2846"/>
      <c r="N2976" s="2846"/>
      <c r="O2976" s="485"/>
      <c r="P2976" s="485"/>
      <c r="Q2976" s="1435"/>
      <c r="U2976" s="1435"/>
      <c r="V2976" s="1435"/>
    </row>
    <row r="2977" spans="1:38" ht="12.75" customHeight="1">
      <c r="B2977" s="479"/>
      <c r="C2977" s="479"/>
      <c r="D2977" s="485"/>
      <c r="E2977" s="2385" t="s">
        <v>1474</v>
      </c>
      <c r="F2977" s="2846"/>
      <c r="G2977" s="2846"/>
      <c r="H2977" s="2846"/>
      <c r="I2977" s="2846"/>
      <c r="J2977" s="2846"/>
      <c r="K2977" s="2846"/>
      <c r="L2977" s="2846"/>
      <c r="M2977" s="2846"/>
      <c r="N2977" s="2846"/>
      <c r="O2977" s="485"/>
      <c r="P2977" s="485"/>
      <c r="Q2977" s="1435"/>
      <c r="U2977" s="1435"/>
      <c r="V2977" s="1435"/>
    </row>
    <row r="2978" spans="1:38" ht="12.75" customHeight="1">
      <c r="B2978" s="479"/>
      <c r="C2978" s="479"/>
      <c r="D2978" s="485"/>
      <c r="E2978" s="2385" t="s">
        <v>1300</v>
      </c>
      <c r="F2978" s="2846"/>
      <c r="G2978" s="2846"/>
      <c r="H2978" s="2846"/>
      <c r="I2978" s="2846"/>
      <c r="J2978" s="2846"/>
      <c r="K2978" s="2846"/>
      <c r="L2978" s="2846"/>
      <c r="M2978" s="2846"/>
      <c r="N2978" s="2846"/>
      <c r="O2978" s="485"/>
      <c r="P2978" s="485"/>
      <c r="Q2978" s="1435"/>
      <c r="U2978" s="1435"/>
      <c r="V2978" s="1435"/>
    </row>
    <row r="2979" spans="1:38" ht="12.75" customHeight="1">
      <c r="B2979" s="479"/>
      <c r="C2979" s="479"/>
      <c r="D2979" s="485"/>
      <c r="E2979" s="2385" t="s">
        <v>1608</v>
      </c>
      <c r="F2979" s="2846"/>
      <c r="G2979" s="2846"/>
      <c r="H2979" s="2846"/>
      <c r="I2979" s="2846"/>
      <c r="J2979" s="2846"/>
      <c r="K2979" s="2846"/>
      <c r="L2979" s="2846"/>
      <c r="M2979" s="2846"/>
      <c r="N2979" s="2846"/>
      <c r="O2979" s="485"/>
      <c r="P2979" s="485"/>
      <c r="Q2979" s="1435"/>
      <c r="U2979" s="1435"/>
      <c r="V2979" s="1435"/>
      <c r="W2979" s="1435"/>
      <c r="X2979" s="1435"/>
      <c r="Y2979" s="1435"/>
      <c r="Z2979" s="1435"/>
    </row>
    <row r="2980" spans="1:38" ht="13.5" thickBot="1">
      <c r="B2980" s="1124"/>
      <c r="C2980" s="485"/>
      <c r="D2980" s="482"/>
      <c r="E2980" s="927" t="s">
        <v>62</v>
      </c>
      <c r="F2980" s="518"/>
      <c r="G2980" s="663" t="str">
        <f>EUconst_Unit</f>
        <v>Unit</v>
      </c>
      <c r="H2980" s="578">
        <f>H$3242</f>
        <v>2024</v>
      </c>
      <c r="I2980" s="697">
        <f>I$3242</f>
        <v>2025</v>
      </c>
      <c r="J2980" s="1489">
        <f>J$112</f>
        <v>2026</v>
      </c>
      <c r="K2980" s="1490">
        <f>K$112</f>
        <v>2027</v>
      </c>
      <c r="L2980" s="1490">
        <f>L$112</f>
        <v>2028</v>
      </c>
      <c r="M2980" s="1490">
        <f>M$112</f>
        <v>2029</v>
      </c>
      <c r="N2980" s="1490">
        <f>N$112</f>
        <v>2030</v>
      </c>
      <c r="O2980" s="485"/>
      <c r="P2980" s="485"/>
      <c r="R2980" s="1503"/>
      <c r="S2980" s="1633" t="s">
        <v>1846</v>
      </c>
      <c r="T2980" s="1638">
        <f t="shared" ref="T2980:Z2980" si="1387">H2980</f>
        <v>2024</v>
      </c>
      <c r="U2980" s="1638">
        <f t="shared" si="1387"/>
        <v>2025</v>
      </c>
      <c r="V2980" s="1638">
        <f t="shared" si="1387"/>
        <v>2026</v>
      </c>
      <c r="W2980" s="1638">
        <f t="shared" si="1387"/>
        <v>2027</v>
      </c>
      <c r="X2980" s="1638">
        <f t="shared" si="1387"/>
        <v>2028</v>
      </c>
      <c r="Y2980" s="1638">
        <f t="shared" si="1387"/>
        <v>2029</v>
      </c>
      <c r="Z2980" s="1638">
        <f t="shared" si="1387"/>
        <v>2030</v>
      </c>
      <c r="AA2980" s="1503"/>
      <c r="AC2980" s="1638">
        <f t="shared" ref="AC2980:AI2980" si="1388">H$20</f>
        <v>2024</v>
      </c>
      <c r="AD2980" s="1638">
        <f t="shared" si="1388"/>
        <v>2025</v>
      </c>
      <c r="AE2980" s="1638">
        <f t="shared" si="1388"/>
        <v>2026</v>
      </c>
      <c r="AF2980" s="1638">
        <f t="shared" si="1388"/>
        <v>2027</v>
      </c>
      <c r="AG2980" s="1638">
        <f t="shared" si="1388"/>
        <v>2028</v>
      </c>
      <c r="AH2980" s="1638">
        <f t="shared" si="1388"/>
        <v>2029</v>
      </c>
      <c r="AI2980" s="1638">
        <f t="shared" si="1388"/>
        <v>2030</v>
      </c>
    </row>
    <row r="2981" spans="1:38" ht="13.15" customHeight="1" thickBot="1">
      <c r="B2981" s="1124"/>
      <c r="C2981" s="485"/>
      <c r="D2981" s="561" t="s">
        <v>6</v>
      </c>
      <c r="E2981" s="2788" t="s">
        <v>650</v>
      </c>
      <c r="F2981" s="2788"/>
      <c r="G2981" s="730" t="str">
        <f>EUconst_TJpa</f>
        <v>TJ / year</v>
      </c>
      <c r="H2981" s="1479" t="str">
        <f>c_ALR2025!M5507</f>
        <v/>
      </c>
      <c r="I2981" s="1530"/>
      <c r="J2981" s="1491"/>
      <c r="K2981" s="1492"/>
      <c r="L2981" s="1492"/>
      <c r="M2981" s="1492"/>
      <c r="N2981" s="1492"/>
      <c r="O2981" s="485"/>
      <c r="P2981" s="9"/>
      <c r="Q2981" s="1443" t="str">
        <f>EUconst_CNTR_HAL&amp;EUconst_CNTR_nonETSMeasHeat</f>
        <v>HAL_non-ETS measurable heat</v>
      </c>
      <c r="S2981" s="1633"/>
      <c r="T2981" s="1701" t="str">
        <f t="shared" ref="T2981:Z2981" si="1389">IF(H2981="","",SUM(H2981)*EUconst_HeatBMvalue)</f>
        <v/>
      </c>
      <c r="U2981" s="1701" t="str">
        <f t="shared" si="1389"/>
        <v/>
      </c>
      <c r="V2981" s="1701" t="str">
        <f t="shared" si="1389"/>
        <v/>
      </c>
      <c r="W2981" s="1701" t="str">
        <f t="shared" si="1389"/>
        <v/>
      </c>
      <c r="X2981" s="1701" t="str">
        <f t="shared" si="1389"/>
        <v/>
      </c>
      <c r="Y2981" s="1701" t="str">
        <f t="shared" si="1389"/>
        <v/>
      </c>
      <c r="Z2981" s="1701" t="str">
        <f t="shared" si="1389"/>
        <v/>
      </c>
      <c r="AB2981" s="1641" t="s">
        <v>717</v>
      </c>
      <c r="AC2981" s="1853" t="b">
        <f t="shared" ref="AC2981:AI2981" si="1390">IF(CNTR_ExistSubInstEntries,OR($I2911="",H2918&gt;=CNTR_ReportingYear,AC2980&lt;$V2911-1),FALSE)</f>
        <v>0</v>
      </c>
      <c r="AD2981" s="1642" t="b">
        <f t="shared" si="1390"/>
        <v>0</v>
      </c>
      <c r="AE2981" s="1642" t="b">
        <f t="shared" si="1390"/>
        <v>0</v>
      </c>
      <c r="AF2981" s="1642" t="b">
        <f t="shared" si="1390"/>
        <v>0</v>
      </c>
      <c r="AG2981" s="1642" t="b">
        <f t="shared" si="1390"/>
        <v>0</v>
      </c>
      <c r="AH2981" s="1642" t="b">
        <f t="shared" si="1390"/>
        <v>0</v>
      </c>
      <c r="AI2981" s="1643" t="b">
        <f t="shared" si="1390"/>
        <v>0</v>
      </c>
      <c r="AJ2981" s="1633" t="s">
        <v>1954</v>
      </c>
      <c r="AK2981" s="1635" t="str">
        <f>IF(AND(CNTR_ExistSubInstEntries,COUNTIFS(AC2981:AI2981,FALSE,H2981:N2981,"")&gt;0),EUconst_Error&amp;"BM"&amp;$Q2911,"")</f>
        <v/>
      </c>
    </row>
    <row r="2982" spans="1:38">
      <c r="B2982" s="1124"/>
      <c r="C2982" s="485"/>
      <c r="D2982" s="561" t="s">
        <v>7</v>
      </c>
      <c r="E2982" s="2606" t="s">
        <v>107</v>
      </c>
      <c r="F2982" s="2606"/>
      <c r="G2982" s="950" t="s">
        <v>1022</v>
      </c>
      <c r="H2982" s="36" t="str">
        <f>IF(AND(ISNUMBER(H2981),ISNUMBER(E_EnergyFlows!H$114)), H2981/E_EnergyFlows!H$114*100,"")</f>
        <v/>
      </c>
      <c r="I2982" s="39" t="str">
        <f>IF(AND(ISNUMBER(I2981),ISNUMBER(E_EnergyFlows!I$114)), I2981/E_EnergyFlows!I$114*100,"")</f>
        <v/>
      </c>
      <c r="J2982" s="34" t="str">
        <f>IF(AND(ISNUMBER(J2981),ISNUMBER(E_EnergyFlows!J$114)), J2981/E_EnergyFlows!J$114*100,"")</f>
        <v/>
      </c>
      <c r="K2982" s="21" t="str">
        <f>IF(AND(ISNUMBER(K2981),ISNUMBER(E_EnergyFlows!K$114)), K2981/E_EnergyFlows!K$114*100,"")</f>
        <v/>
      </c>
      <c r="L2982" s="21" t="str">
        <f>IF(AND(ISNUMBER(L2981),ISNUMBER(E_EnergyFlows!L$114)), L2981/E_EnergyFlows!L$114*100,"")</f>
        <v/>
      </c>
      <c r="M2982" s="21" t="str">
        <f>IF(AND(ISNUMBER(M2981),ISNUMBER(E_EnergyFlows!M$114)), M2981/E_EnergyFlows!M$114*100,"")</f>
        <v/>
      </c>
      <c r="N2982" s="21" t="str">
        <f>IF(AND(ISNUMBER(N2981),ISNUMBER(E_EnergyFlows!N$114)), N2981/E_EnergyFlows!N$114*100,"")</f>
        <v/>
      </c>
      <c r="O2982" s="485"/>
      <c r="P2982" s="485"/>
      <c r="Q2982" s="1504" t="str">
        <f>EUconst_CNTR_HEAT &amp; I2911</f>
        <v>HEAT_</v>
      </c>
      <c r="R2982" s="1435"/>
      <c r="U2982" s="1435"/>
      <c r="V2982" s="1435"/>
    </row>
    <row r="2983" spans="1:38" ht="12.6" customHeight="1">
      <c r="B2983" s="1124"/>
      <c r="C2983" s="485"/>
      <c r="D2983" s="561" t="s">
        <v>8</v>
      </c>
      <c r="E2983" s="2586" t="s">
        <v>1548</v>
      </c>
      <c r="F2983" s="2586"/>
      <c r="G2983" s="951" t="s">
        <v>1022</v>
      </c>
      <c r="H2983" s="37" t="str">
        <f>IFERROR(IF(AND(H3124&gt;0,ISNUMBER(H2981)), H2981/H3124*100,""),"")</f>
        <v/>
      </c>
      <c r="I2983" s="40" t="str">
        <f t="shared" ref="I2983:N2983" si="1391">IF(AND(I3124&gt;0,ISNUMBER(I2981)), I2981/I3124*100,"")</f>
        <v/>
      </c>
      <c r="J2983" s="34" t="str">
        <f t="shared" si="1391"/>
        <v/>
      </c>
      <c r="K2983" s="21" t="str">
        <f t="shared" si="1391"/>
        <v/>
      </c>
      <c r="L2983" s="21" t="str">
        <f t="shared" si="1391"/>
        <v/>
      </c>
      <c r="M2983" s="21" t="str">
        <f t="shared" si="1391"/>
        <v/>
      </c>
      <c r="N2983" s="21" t="str">
        <f t="shared" si="1391"/>
        <v/>
      </c>
      <c r="O2983" s="485"/>
      <c r="P2983" s="485"/>
      <c r="U2983" s="1435"/>
      <c r="V2983" s="1435"/>
    </row>
    <row r="2984" spans="1:38" ht="5.0999999999999996" customHeight="1">
      <c r="B2984" s="1124"/>
      <c r="C2984" s="485"/>
      <c r="D2984" s="485"/>
      <c r="E2984" s="485"/>
      <c r="F2984" s="485"/>
      <c r="G2984" s="485"/>
      <c r="H2984" s="485"/>
      <c r="I2984" s="952"/>
      <c r="J2984" s="485"/>
      <c r="K2984" s="485"/>
      <c r="L2984" s="485"/>
      <c r="M2984" s="485"/>
      <c r="N2984" s="485"/>
      <c r="O2984" s="485"/>
      <c r="P2984" s="485"/>
      <c r="Q2984" s="1702"/>
      <c r="U2984" s="1435"/>
      <c r="V2984" s="1435"/>
    </row>
    <row r="2985" spans="1:38" ht="25.5" customHeight="1" thickBot="1">
      <c r="B2985" s="479"/>
      <c r="C2985" s="479"/>
      <c r="D2985" s="485"/>
      <c r="E2985" s="2385" t="s">
        <v>2703</v>
      </c>
      <c r="F2985" s="2846"/>
      <c r="G2985" s="2846"/>
      <c r="H2985" s="2846"/>
      <c r="I2985" s="2846"/>
      <c r="J2985" s="2846"/>
      <c r="K2985" s="2846"/>
      <c r="L2985" s="2846"/>
      <c r="M2985" s="2846"/>
      <c r="N2985" s="2846"/>
      <c r="O2985" s="485"/>
      <c r="P2985" s="485"/>
      <c r="Q2985" s="1435"/>
      <c r="S2985" s="1435"/>
      <c r="T2985" s="1435"/>
      <c r="U2985" s="1435"/>
    </row>
    <row r="2986" spans="1:38" ht="5.0999999999999996" customHeight="1" thickBot="1">
      <c r="B2986" s="479"/>
      <c r="C2986" s="479"/>
      <c r="D2986" s="902"/>
      <c r="E2986" s="904"/>
      <c r="F2986" s="953"/>
      <c r="G2986" s="953"/>
      <c r="H2986" s="953"/>
      <c r="I2986" s="953"/>
      <c r="J2986" s="954"/>
      <c r="K2986" s="1798"/>
      <c r="L2986" s="1798"/>
      <c r="M2986" s="1798"/>
      <c r="N2986" s="1798"/>
      <c r="O2986" s="485"/>
      <c r="P2986" s="485"/>
      <c r="Q2986" s="1435"/>
      <c r="S2986" s="1435"/>
      <c r="T2986" s="1435"/>
      <c r="U2986" s="1435"/>
    </row>
    <row r="2987" spans="1:38" ht="12.75" customHeight="1">
      <c r="B2987" s="479"/>
      <c r="C2987" s="479"/>
      <c r="D2987" s="907" t="s">
        <v>1916</v>
      </c>
      <c r="E2987" s="908" t="s">
        <v>1774</v>
      </c>
      <c r="F2987" s="909"/>
      <c r="G2987" s="909"/>
      <c r="H2987" s="910" t="str">
        <f>EUconst_Unit</f>
        <v>Unit</v>
      </c>
      <c r="I2987" s="911" t="s">
        <v>2220</v>
      </c>
      <c r="J2987" s="1647">
        <f>J$3242</f>
        <v>2026</v>
      </c>
      <c r="K2987" s="1490">
        <f>K$3242</f>
        <v>2027</v>
      </c>
      <c r="L2987" s="1490">
        <f>L$3242</f>
        <v>2028</v>
      </c>
      <c r="M2987" s="1490">
        <f>M$3242</f>
        <v>2029</v>
      </c>
      <c r="N2987" s="1490">
        <f>N$3242</f>
        <v>2030</v>
      </c>
      <c r="O2987" s="485"/>
      <c r="P2987" s="485"/>
      <c r="Q2987" s="1435"/>
      <c r="U2987" s="1648"/>
      <c r="V2987" s="1649">
        <f>J2987</f>
        <v>2026</v>
      </c>
      <c r="W2987" s="1649">
        <f>K2987</f>
        <v>2027</v>
      </c>
      <c r="X2987" s="1649">
        <f>L2987</f>
        <v>2028</v>
      </c>
      <c r="Y2987" s="1649">
        <f>M2987</f>
        <v>2029</v>
      </c>
      <c r="Z2987" s="1650">
        <f>N2987</f>
        <v>2030</v>
      </c>
    </row>
    <row r="2988" spans="1:38" ht="12.75" customHeight="1">
      <c r="B2988" s="479"/>
      <c r="C2988" s="479"/>
      <c r="D2988" s="915" t="s">
        <v>6</v>
      </c>
      <c r="E2988" s="916" t="s">
        <v>1691</v>
      </c>
      <c r="F2988" s="916"/>
      <c r="G2988" s="916"/>
      <c r="H2988" s="944" t="str">
        <f>EUconst_tCO2</f>
        <v>t CO2</v>
      </c>
      <c r="I2988" s="917" t="str">
        <f>INDEX('B+C_SubInstallations'!$J:$J,MATCH(Q2988,'B+C_SubInstallations'!$U:$U,0))</f>
        <v/>
      </c>
      <c r="J2988" s="1703" t="str">
        <f>IF(AND(V2988&gt;=3,CNTR_ReportingYear&gt;J2987-1),AVERAGE(SUM(T2981),SUM(U2981)),"")</f>
        <v/>
      </c>
      <c r="K2988" s="1799" t="str">
        <f>IF(AND(W2988&gt;=3,CNTR_ReportingYear&gt;K2987-1),AVERAGE(SUM(U2981),SUM(V2981)),"")</f>
        <v/>
      </c>
      <c r="L2988" s="1799" t="str">
        <f>IF(AND(X2988&gt;=3,CNTR_ReportingYear&gt;L2987-1),AVERAGE(SUM(V2981),SUM(W2981)),"")</f>
        <v/>
      </c>
      <c r="M2988" s="1799" t="str">
        <f>IF(AND(Y2988&gt;=3,CNTR_ReportingYear&gt;M2987-1),AVERAGE(SUM(W2981),SUM(X2981)),"")</f>
        <v/>
      </c>
      <c r="N2988" s="1799" t="str">
        <f>IF(AND(Z2988&gt;=3,CNTR_ReportingYear&gt;N2987-1),AVERAGE(SUM(X2981),SUM(Y2981)),"")</f>
        <v/>
      </c>
      <c r="O2988" s="485"/>
      <c r="P2988" s="485"/>
      <c r="Q2988" s="1704" t="str">
        <f>EUconst_CNTR_HEATInitial &amp; I2911</f>
        <v>HEATIni_</v>
      </c>
      <c r="U2988" s="1663" t="s">
        <v>1650</v>
      </c>
      <c r="V2988" s="1635">
        <f>V2933</f>
        <v>0</v>
      </c>
      <c r="W2988" s="1635">
        <f>W2933</f>
        <v>0</v>
      </c>
      <c r="X2988" s="1635">
        <f>X2933</f>
        <v>0</v>
      </c>
      <c r="Y2988" s="1635">
        <f>Y2933</f>
        <v>0</v>
      </c>
      <c r="Z2988" s="1654">
        <f>Z2933</f>
        <v>0</v>
      </c>
    </row>
    <row r="2989" spans="1:38" ht="12.75" hidden="1" customHeight="1">
      <c r="A2989" s="618" t="s">
        <v>2289</v>
      </c>
      <c r="B2989" s="479"/>
      <c r="C2989" s="479"/>
      <c r="D2989" s="915"/>
      <c r="E2989" s="916" t="s">
        <v>1776</v>
      </c>
      <c r="F2989" s="916"/>
      <c r="G2989" s="916"/>
      <c r="H2989" s="921"/>
      <c r="I2989" s="1657"/>
      <c r="J2989" s="17" t="str">
        <f>IF(J2988="","",IF($I2991=0,IF(J2988=0,0%,100%),J2988/$I2991-1))</f>
        <v/>
      </c>
      <c r="K2989" s="22" t="str">
        <f>IF(K2988="","",IF($I2991=0,IF(K2988=0,0%,100%),K2988/$I2991-1))</f>
        <v/>
      </c>
      <c r="L2989" s="22" t="str">
        <f>IF(L2988="","",IF($I2991=0,IF(L2988=0,0%,100%),L2988/$I2991-1))</f>
        <v/>
      </c>
      <c r="M2989" s="22" t="str">
        <f>IF(M2988="","",IF($I2991=0,IF(M2988=0,0%,100%),M2988/$I2991-1))</f>
        <v/>
      </c>
      <c r="N2989" s="22" t="str">
        <f>IF(N2988="","",IF($I2991=0,IF(N2988=0,0%,100%),N2988/$I2991-1))</f>
        <v/>
      </c>
      <c r="O2989" s="485"/>
      <c r="P2989" s="485"/>
      <c r="Q2989" s="1644" t="str">
        <f>EUconst_CNTR_RelThreshold &amp; Q2991</f>
        <v>RelThresh_HEATprelim_</v>
      </c>
      <c r="U2989" s="1663" t="s">
        <v>1655</v>
      </c>
      <c r="V2989" s="1158" t="str">
        <f>IF(J2988="","",ABS(J2989)&gt;15%)</f>
        <v/>
      </c>
      <c r="W2989" s="1158" t="str">
        <f>IF(K2988="","",ABS(K2989)&gt;15%)</f>
        <v/>
      </c>
      <c r="X2989" s="1158" t="str">
        <f>IF(L2988="","",ABS(L2989)&gt;15%)</f>
        <v/>
      </c>
      <c r="Y2989" s="1158" t="str">
        <f>IF(M2988="","",ABS(M2989)&gt;15%)</f>
        <v/>
      </c>
      <c r="Z2989" s="1656" t="str">
        <f>IF(N2988="","",ABS(N2989)&gt;15%)</f>
        <v/>
      </c>
    </row>
    <row r="2990" spans="1:38" ht="12.75" customHeight="1">
      <c r="A2990" s="618"/>
      <c r="B2990" s="479"/>
      <c r="C2990" s="479"/>
      <c r="D2990" s="915" t="s">
        <v>7</v>
      </c>
      <c r="E2990" s="916" t="s">
        <v>1654</v>
      </c>
      <c r="F2990" s="916"/>
      <c r="G2990" s="916"/>
      <c r="H2990" s="921"/>
      <c r="I2990" s="1657"/>
      <c r="J2990" s="1658" t="str">
        <f>IF(J2988="","",IF(V2989=FALSE,0%,J2989))</f>
        <v/>
      </c>
      <c r="K2990" s="1795" t="str">
        <f>IF(K2988="","",IF(W2989=FALSE,0%,K2989))</f>
        <v/>
      </c>
      <c r="L2990" s="1795" t="str">
        <f>IF(L2988="","",IF(X2989=FALSE,0%,L2989))</f>
        <v/>
      </c>
      <c r="M2990" s="1795" t="str">
        <f>IF(M2988="","",IF(Y2989=FALSE,0%,M2989))</f>
        <v/>
      </c>
      <c r="N2990" s="1795" t="str">
        <f>IF(N2988="","",IF(Z2989=FALSE,0%,N2989))</f>
        <v/>
      </c>
      <c r="O2990" s="485"/>
      <c r="P2990" s="485"/>
      <c r="Q2990" s="1435"/>
      <c r="U2990" s="1665"/>
      <c r="Z2990" s="1664"/>
      <c r="AL2990" s="1435"/>
    </row>
    <row r="2991" spans="1:38" ht="12.75" hidden="1" customHeight="1">
      <c r="A2991" s="618" t="s">
        <v>2289</v>
      </c>
      <c r="B2991" s="479"/>
      <c r="C2991" s="479"/>
      <c r="D2991" s="915"/>
      <c r="E2991" s="916" t="s">
        <v>1689</v>
      </c>
      <c r="F2991" s="916"/>
      <c r="G2991" s="916"/>
      <c r="H2991" s="944" t="str">
        <f>H2988</f>
        <v>t CO2</v>
      </c>
      <c r="I2991" s="917" t="str">
        <f>IF($I2911="","",IF(AB2911=FALSE,EUconst_NA,IF(V2911&gt;($J$3242-3),SUM(INDEX(H2981:N2981,MATCH(V2911,H2980:N2980,0))*EUconst_HeatBMvalue),SUM(I2988))))</f>
        <v/>
      </c>
      <c r="J2991" s="1651" t="str">
        <f>IF($I2911="","",IF(V2988&lt;2,SUM(V2981),IF(V2988&lt;3,SUM(U2981),IF(V2991="",I2991,V2991))))</f>
        <v/>
      </c>
      <c r="K2991" s="1799" t="str">
        <f>IF($I2911="","",IF(W2988&lt;2,SUM(W2981),IF(W2988&lt;3,SUM(V2981),IF(W2991="",J2991,W2991))))</f>
        <v/>
      </c>
      <c r="L2991" s="1799" t="str">
        <f>IF($I2911="","",IF(X2988&lt;2,SUM(X2981),IF(X2988&lt;3,SUM(W2981),IF(X2991="",K2991,X2991))))</f>
        <v/>
      </c>
      <c r="M2991" s="1799" t="str">
        <f>IF($I2911="","",IF(Y2988&lt;2,SUM(Y2981),IF(Y2988&lt;3,SUM(X2981),IF(Y2991="",L2991,Y2991))))</f>
        <v/>
      </c>
      <c r="N2991" s="1799" t="str">
        <f>IF($I2911="","",IF(Z2988&lt;2,SUM(Z2981),IF(Z2988&lt;3,SUM(Y2981),IF(Z2991="",M2991,Z2991))))</f>
        <v/>
      </c>
      <c r="O2991" s="485"/>
      <c r="P2991" s="485"/>
      <c r="Q2991" s="1644" t="str">
        <f>EUconst_CNTR_HEATprelim &amp; I2911</f>
        <v>HEATprelim_</v>
      </c>
      <c r="U2991" s="1663" t="s">
        <v>1697</v>
      </c>
      <c r="V2991" s="1705" t="str">
        <f>IF(J2988="","",IF(CNTR_ReportingYear&lt;J2987,I2990,IF($I2991=0,J2988,$I2991*(1+J2990))))</f>
        <v/>
      </c>
      <c r="W2991" s="1705" t="str">
        <f>IF(K2988="","",IF(CNTR_ReportingYear&lt;K2987,J2990,IF($I2991=0,K2988,$I2991*(1+K2990))))</f>
        <v/>
      </c>
      <c r="X2991" s="1705" t="str">
        <f>IF(L2988="","",IF(CNTR_ReportingYear&lt;L2987,K2990,IF($I2991=0,L2988,$I2991*(1+L2990))))</f>
        <v/>
      </c>
      <c r="Y2991" s="1705" t="str">
        <f>IF(M2988="","",IF(CNTR_ReportingYear&lt;M2987,L2990,IF($I2991=0,M2988,$I2991*(1+M2990))))</f>
        <v/>
      </c>
      <c r="Z2991" s="1706" t="str">
        <f>IF(N2988="","",IF(CNTR_ReportingYear&lt;N2987,M2990,IF($I2991=0,N2988,$I2991*(1+N2990))))</f>
        <v/>
      </c>
      <c r="AL2991" s="1435"/>
    </row>
    <row r="2992" spans="1:38" ht="5.0999999999999996" customHeight="1">
      <c r="A2992" s="618"/>
      <c r="B2992" s="479"/>
      <c r="C2992" s="479"/>
      <c r="D2992" s="915"/>
      <c r="E2992" s="909"/>
      <c r="F2992" s="909"/>
      <c r="G2992" s="909"/>
      <c r="H2992" s="909"/>
      <c r="I2992" s="909"/>
      <c r="J2992" s="922"/>
      <c r="K2992" s="1791"/>
      <c r="L2992" s="1791"/>
      <c r="M2992" s="1791"/>
      <c r="N2992" s="1791"/>
      <c r="O2992" s="485"/>
      <c r="P2992" s="485"/>
      <c r="Q2992" s="1435"/>
      <c r="U2992" s="1663"/>
      <c r="V2992" s="1435"/>
      <c r="Z2992" s="1664"/>
      <c r="AL2992" s="1435"/>
    </row>
    <row r="2993" spans="1:38" ht="12.75" customHeight="1">
      <c r="A2993" s="618"/>
      <c r="B2993" s="479"/>
      <c r="C2993" s="479"/>
      <c r="D2993" s="915"/>
      <c r="E2993" s="923" t="s">
        <v>1653</v>
      </c>
      <c r="F2993" s="923"/>
      <c r="G2993" s="923"/>
      <c r="H2993" s="923"/>
      <c r="I2993" s="923"/>
      <c r="J2993" s="1647">
        <f>J$3242</f>
        <v>2026</v>
      </c>
      <c r="K2993" s="1490">
        <f>K$3242</f>
        <v>2027</v>
      </c>
      <c r="L2993" s="1490">
        <f>L$3242</f>
        <v>2028</v>
      </c>
      <c r="M2993" s="1490">
        <f>M$3242</f>
        <v>2029</v>
      </c>
      <c r="N2993" s="1490">
        <f>N$3242</f>
        <v>2030</v>
      </c>
      <c r="O2993" s="485"/>
      <c r="P2993" s="485"/>
      <c r="Q2993" s="1435"/>
      <c r="U2993" s="1665"/>
      <c r="Z2993" s="1664"/>
      <c r="AL2993" s="1435"/>
    </row>
    <row r="2994" spans="1:38" ht="12.75" customHeight="1">
      <c r="A2994" s="618"/>
      <c r="B2994" s="479"/>
      <c r="C2994" s="479"/>
      <c r="D2994" s="915" t="s">
        <v>8</v>
      </c>
      <c r="E2994" s="916" t="s">
        <v>2108</v>
      </c>
      <c r="F2994" s="916"/>
      <c r="G2994" s="916"/>
      <c r="H2994" s="916"/>
      <c r="I2994" s="916"/>
      <c r="J2994" s="1666" t="str">
        <f>IF($I2911="","",INDEX(K_Summary!J:J,MATCH($Q2994,K_Summary!$P:$P,0)))</f>
        <v/>
      </c>
      <c r="K2994" s="1791" t="str">
        <f>IF($I2911="","",INDEX(K_Summary!K:K,MATCH($Q2994,K_Summary!$P:$P,0)))</f>
        <v/>
      </c>
      <c r="L2994" s="1791" t="str">
        <f>IF($I2911="","",INDEX(K_Summary!L:L,MATCH($Q2994,K_Summary!$P:$P,0)))</f>
        <v/>
      </c>
      <c r="M2994" s="1791" t="str">
        <f>IF($I2911="","",INDEX(K_Summary!M:M,MATCH($Q2994,K_Summary!$P:$P,0)))</f>
        <v/>
      </c>
      <c r="N2994" s="1791" t="str">
        <f>IF($I2911="","",INDEX(K_Summary!N:N,MATCH($Q2994,K_Summary!$P:$P,0)))</f>
        <v/>
      </c>
      <c r="O2994" s="485"/>
      <c r="P2994" s="485"/>
      <c r="Q2994" s="1644" t="str">
        <f>EUconst_CNTR_100EUA_HEAT&amp;I2911</f>
        <v>EUA100HEAT_</v>
      </c>
      <c r="U2994" s="1665"/>
      <c r="Z2994" s="1664"/>
      <c r="AL2994" s="1435"/>
    </row>
    <row r="2995" spans="1:38" ht="5.0999999999999996" customHeight="1" thickBot="1">
      <c r="A2995" s="618"/>
      <c r="B2995" s="479"/>
      <c r="C2995" s="479"/>
      <c r="D2995" s="915"/>
      <c r="E2995" s="909"/>
      <c r="F2995" s="909"/>
      <c r="G2995" s="909"/>
      <c r="H2995" s="909"/>
      <c r="I2995" s="909"/>
      <c r="J2995" s="922"/>
      <c r="K2995" s="1791"/>
      <c r="L2995" s="1791"/>
      <c r="M2995" s="1791"/>
      <c r="N2995" s="1791"/>
      <c r="O2995" s="485"/>
      <c r="P2995" s="485"/>
      <c r="Q2995" s="1435"/>
      <c r="U2995" s="1663"/>
      <c r="V2995" s="1435"/>
      <c r="Z2995" s="1664"/>
      <c r="AL2995" s="1435"/>
    </row>
    <row r="2996" spans="1:38" ht="12.75" customHeight="1" thickBot="1">
      <c r="B2996" s="479"/>
      <c r="C2996" s="479"/>
      <c r="D2996" s="915" t="s">
        <v>18</v>
      </c>
      <c r="E2996" s="916" t="s">
        <v>1657</v>
      </c>
      <c r="F2996" s="916"/>
      <c r="G2996" s="916"/>
      <c r="H2996" s="921"/>
      <c r="I2996" s="1667"/>
      <c r="J2996" s="1668" t="str">
        <f>IF(J2994="","",IF(OR(J2994,V2988&lt;1),J2990,I2996))</f>
        <v/>
      </c>
      <c r="K2996" s="1796" t="str">
        <f>IF(K2994="","",IF(OR(K2994,W2988&lt;1),K2990,J2996))</f>
        <v/>
      </c>
      <c r="L2996" s="1796" t="str">
        <f>IF(L2994="","",IF(OR(L2994,X2988&lt;1),L2990,K2996))</f>
        <v/>
      </c>
      <c r="M2996" s="1796" t="str">
        <f>IF(M2994="","",IF(OR(M2994,Y2988&lt;1),M2990,L2996))</f>
        <v/>
      </c>
      <c r="N2996" s="1796" t="str">
        <f>IF(N2994="","",IF(OR(N2994,Z2988&lt;1),N2990,M2996))</f>
        <v/>
      </c>
      <c r="O2996" s="485"/>
      <c r="P2996" s="485"/>
      <c r="Q2996" s="1435"/>
      <c r="U2996" s="1663" t="s">
        <v>1658</v>
      </c>
      <c r="V2996" s="1670">
        <f>J2993</f>
        <v>2026</v>
      </c>
      <c r="W2996" s="1670">
        <f>K2993</f>
        <v>2027</v>
      </c>
      <c r="X2996" s="1670">
        <f>L2993</f>
        <v>2028</v>
      </c>
      <c r="Y2996" s="1670">
        <f>M2993</f>
        <v>2029</v>
      </c>
      <c r="Z2996" s="1671">
        <f>N2993</f>
        <v>2030</v>
      </c>
      <c r="AL2996" s="1435"/>
    </row>
    <row r="2997" spans="1:38" ht="12.75" customHeight="1" thickBot="1">
      <c r="A2997" s="618"/>
      <c r="B2997" s="479"/>
      <c r="C2997" s="479"/>
      <c r="D2997" s="915" t="s">
        <v>787</v>
      </c>
      <c r="E2997" s="916" t="s">
        <v>1659</v>
      </c>
      <c r="F2997" s="916"/>
      <c r="G2997" s="916"/>
      <c r="H2997" s="944" t="str">
        <f>H2988</f>
        <v>t CO2</v>
      </c>
      <c r="I2997" s="917" t="str">
        <f>I2991</f>
        <v/>
      </c>
      <c r="J2997" s="1672" t="str">
        <f>IF($I2911="","",IF(OR($I2997=0,$I2997=EUconst_NA,J2996=""),IF(OR(J2994=TRUE,J2993&lt;=$V2911),J2991,SUM(I2997)),$I2997*(1+SUM(J2996))))</f>
        <v/>
      </c>
      <c r="K2997" s="1800" t="str">
        <f>IF($I2911="","",IF(OR($I2997=0,$I2997=EUconst_NA,K2996=""),IF(OR(K2994=TRUE,K2993&lt;=$V2911),K2991,SUM(J2997)),$I2997*(1+SUM(K2996))))</f>
        <v/>
      </c>
      <c r="L2997" s="1800" t="str">
        <f>IF($I2911="","",IF(OR($I2997=0,$I2997=EUconst_NA,L2996=""),IF(OR(L2994=TRUE,L2993&lt;=$V2911),L2991,SUM(K2997)),$I2997*(1+SUM(L2996))))</f>
        <v/>
      </c>
      <c r="M2997" s="1800" t="str">
        <f>IF($I2911="","",IF(OR($I2997=0,$I2997=EUconst_NA,M2996=""),IF(OR(M2994=TRUE,M2993&lt;=$V2911),M2991,SUM(L2997)),$I2997*(1+SUM(M2996))))</f>
        <v/>
      </c>
      <c r="N2997" s="1800" t="str">
        <f>IF($I2911="","",IF(OR($I2997=0,$I2997=EUconst_NA,N2996=""),IF(OR(N2994=TRUE,N2993&lt;=$V2911),N2991,SUM(M2997)),$I2997*(1+SUM(N2996))))</f>
        <v/>
      </c>
      <c r="O2997" s="485"/>
      <c r="P2997" s="485"/>
      <c r="Q2997" s="1644" t="str">
        <f>EUconst_CNTR_HEATfinal &amp; I2911</f>
        <v>HEATfinal_</v>
      </c>
      <c r="U2997" s="1674" t="b">
        <v>0</v>
      </c>
      <c r="V2997" s="1675" t="str">
        <f>IF(V2919,IF(J2994=TRUE,V2989,U2997),"")</f>
        <v/>
      </c>
      <c r="W2997" s="1675" t="str">
        <f>IF(W2919,IF(K2994=TRUE,W2989,V2997),"")</f>
        <v/>
      </c>
      <c r="X2997" s="1675" t="str">
        <f>IF(X2919,IF(L2994=TRUE,X2989,W2997),"")</f>
        <v/>
      </c>
      <c r="Y2997" s="1675" t="str">
        <f>IF(Y2919,IF(M2994=TRUE,Y2989,X2997),"")</f>
        <v/>
      </c>
      <c r="Z2997" s="1676" t="str">
        <f>IF(Z2919,IF(N2994=TRUE,Z2989,Y2997),"")</f>
        <v/>
      </c>
      <c r="AJ2997" s="1633" t="s">
        <v>1951</v>
      </c>
      <c r="AK2997" s="1443" t="str">
        <f>IF(OR(ISERROR(J2997),ISERROR(K2997),ISERROR(L2997),ISERROR(M2997),ISERROR(N2997)),EUconst_Error &amp; "BM" &amp; Q2911,"")</f>
        <v/>
      </c>
    </row>
    <row r="2998" spans="1:38" ht="5.0999999999999996" customHeight="1" thickBot="1">
      <c r="B2998" s="1124"/>
      <c r="C2998" s="485"/>
      <c r="D2998" s="924"/>
      <c r="E2998" s="925"/>
      <c r="F2998" s="925"/>
      <c r="G2998" s="925"/>
      <c r="H2998" s="925"/>
      <c r="I2998" s="955"/>
      <c r="J2998" s="926"/>
      <c r="K2998" s="1791"/>
      <c r="L2998" s="1791"/>
      <c r="M2998" s="1791"/>
      <c r="N2998" s="1791"/>
      <c r="O2998" s="485"/>
      <c r="P2998" s="485"/>
      <c r="Q2998" s="1702"/>
      <c r="S2998" s="1435"/>
      <c r="T2998" s="1435"/>
    </row>
    <row r="2999" spans="1:38" ht="5.0999999999999996" customHeight="1">
      <c r="B2999" s="1124"/>
      <c r="C2999" s="485"/>
      <c r="D2999" s="485"/>
      <c r="E2999" s="485"/>
      <c r="F2999" s="485"/>
      <c r="G2999" s="485"/>
      <c r="H2999" s="485"/>
      <c r="I2999" s="952"/>
      <c r="J2999" s="485"/>
      <c r="K2999" s="485"/>
      <c r="L2999" s="485"/>
      <c r="M2999" s="485"/>
      <c r="N2999" s="485"/>
      <c r="O2999" s="485"/>
      <c r="P2999" s="485"/>
      <c r="Q2999" s="1702"/>
      <c r="S2999" s="1435"/>
      <c r="T2999" s="1435"/>
    </row>
    <row r="3000" spans="1:38" ht="15" customHeight="1">
      <c r="B3000" s="1124"/>
      <c r="C3000" s="856"/>
      <c r="D3000" s="2482" t="s">
        <v>103</v>
      </c>
      <c r="E3000" s="2400"/>
      <c r="F3000" s="2400"/>
      <c r="G3000" s="2400"/>
      <c r="H3000" s="2400"/>
      <c r="I3000" s="2400"/>
      <c r="J3000" s="2400"/>
      <c r="K3000" s="2400"/>
      <c r="L3000" s="2400"/>
      <c r="M3000" s="2400"/>
      <c r="N3000" s="2400"/>
      <c r="O3000" s="485"/>
      <c r="P3000" s="485"/>
      <c r="S3000" s="1435"/>
      <c r="T3000" s="1435"/>
    </row>
    <row r="3001" spans="1:38" ht="5.0999999999999996" customHeight="1">
      <c r="B3001" s="479"/>
      <c r="C3001" s="479"/>
      <c r="D3001" s="479"/>
      <c r="E3001" s="479"/>
      <c r="F3001" s="479"/>
      <c r="G3001" s="479"/>
      <c r="H3001" s="479"/>
      <c r="I3001" s="479"/>
      <c r="J3001" s="479"/>
      <c r="K3001" s="479"/>
      <c r="L3001" s="479"/>
      <c r="M3001" s="479"/>
      <c r="N3001" s="479"/>
      <c r="O3001" s="485"/>
      <c r="P3001" s="485"/>
      <c r="Q3001" s="1435"/>
      <c r="R3001" s="1435"/>
      <c r="S3001" s="1435"/>
      <c r="T3001" s="1435"/>
    </row>
    <row r="3002" spans="1:38" ht="12.75" customHeight="1">
      <c r="B3002" s="479"/>
      <c r="C3002" s="482"/>
      <c r="D3002" s="482" t="s">
        <v>57</v>
      </c>
      <c r="E3002" s="2373" t="s">
        <v>108</v>
      </c>
      <c r="F3002" s="2400"/>
      <c r="G3002" s="2400"/>
      <c r="H3002" s="2400"/>
      <c r="I3002" s="2400"/>
      <c r="J3002" s="2400"/>
      <c r="K3002" s="2400"/>
      <c r="L3002" s="2400"/>
      <c r="M3002" s="2400"/>
      <c r="N3002" s="2400"/>
      <c r="O3002" s="485"/>
      <c r="P3002" s="485"/>
      <c r="Q3002" s="1435"/>
      <c r="S3002" s="1435"/>
      <c r="T3002" s="1435"/>
    </row>
    <row r="3003" spans="1:38" ht="25.5" customHeight="1">
      <c r="B3003" s="479"/>
      <c r="C3003" s="485"/>
      <c r="D3003" s="485"/>
      <c r="E3003" s="2465" t="s">
        <v>1935</v>
      </c>
      <c r="F3003" s="2400"/>
      <c r="G3003" s="2400"/>
      <c r="H3003" s="2400"/>
      <c r="I3003" s="2400"/>
      <c r="J3003" s="2400"/>
      <c r="K3003" s="2400"/>
      <c r="L3003" s="2400"/>
      <c r="M3003" s="2400"/>
      <c r="N3003" s="2400"/>
      <c r="O3003" s="485"/>
      <c r="P3003" s="485"/>
      <c r="Q3003" s="1435"/>
      <c r="S3003" s="1435"/>
      <c r="T3003" s="1435"/>
    </row>
    <row r="3004" spans="1:38" ht="25.5" customHeight="1">
      <c r="B3004" s="479"/>
      <c r="C3004" s="485"/>
      <c r="D3004" s="485"/>
      <c r="E3004" s="2385" t="s">
        <v>1636</v>
      </c>
      <c r="F3004" s="2846"/>
      <c r="G3004" s="2846"/>
      <c r="H3004" s="2846"/>
      <c r="I3004" s="2846"/>
      <c r="J3004" s="2846"/>
      <c r="K3004" s="2846"/>
      <c r="L3004" s="2846"/>
      <c r="M3004" s="2846"/>
      <c r="N3004" s="2846"/>
      <c r="O3004" s="485"/>
      <c r="P3004" s="485"/>
      <c r="Q3004" s="1435"/>
      <c r="S3004" s="1435"/>
      <c r="T3004" s="1435"/>
    </row>
    <row r="3005" spans="1:38" ht="12.75" customHeight="1">
      <c r="B3005" s="479"/>
      <c r="C3005" s="485"/>
      <c r="D3005" s="485"/>
      <c r="E3005" s="2385" t="s">
        <v>2119</v>
      </c>
      <c r="F3005" s="2846"/>
      <c r="G3005" s="2846"/>
      <c r="H3005" s="2846"/>
      <c r="I3005" s="2846"/>
      <c r="J3005" s="2846"/>
      <c r="K3005" s="2846"/>
      <c r="L3005" s="2846"/>
      <c r="M3005" s="2846"/>
      <c r="N3005" s="2846"/>
      <c r="O3005" s="485"/>
      <c r="P3005" s="485"/>
      <c r="Q3005" s="1435"/>
      <c r="S3005" s="1435"/>
      <c r="T3005" s="1435"/>
    </row>
    <row r="3006" spans="1:38">
      <c r="B3006" s="479"/>
      <c r="C3006" s="485"/>
      <c r="D3006" s="485"/>
      <c r="E3006" s="2677" t="s">
        <v>2120</v>
      </c>
      <c r="F3006" s="2364"/>
      <c r="G3006" s="2364"/>
      <c r="H3006" s="2364"/>
      <c r="I3006" s="2364"/>
      <c r="J3006" s="2364"/>
      <c r="K3006" s="2364"/>
      <c r="L3006" s="2364"/>
      <c r="M3006" s="2364"/>
      <c r="N3006" s="2364"/>
      <c r="O3006" s="485"/>
      <c r="P3006" s="485"/>
      <c r="Q3006" s="1435"/>
      <c r="S3006" s="1435"/>
      <c r="T3006" s="1435"/>
    </row>
    <row r="3007" spans="1:38" ht="5.0999999999999996" customHeight="1">
      <c r="B3007" s="479"/>
      <c r="C3007" s="479"/>
      <c r="D3007" s="479"/>
      <c r="E3007" s="479"/>
      <c r="F3007" s="479"/>
      <c r="G3007" s="479"/>
      <c r="H3007" s="479"/>
      <c r="I3007" s="479"/>
      <c r="J3007" s="479"/>
      <c r="K3007" s="479"/>
      <c r="L3007" s="479"/>
      <c r="M3007" s="479"/>
      <c r="N3007" s="479"/>
      <c r="O3007" s="485"/>
      <c r="P3007" s="485"/>
      <c r="Q3007" s="1435"/>
      <c r="R3007" s="1435"/>
      <c r="S3007" s="1435"/>
      <c r="T3007" s="1435"/>
    </row>
    <row r="3008" spans="1:38" ht="12.75" customHeight="1">
      <c r="B3008" s="479"/>
      <c r="C3008" s="482"/>
      <c r="D3008" s="482" t="s">
        <v>58</v>
      </c>
      <c r="E3008" s="2373" t="s">
        <v>1013</v>
      </c>
      <c r="F3008" s="2400"/>
      <c r="G3008" s="2400"/>
      <c r="H3008" s="2400"/>
      <c r="I3008" s="2400"/>
      <c r="J3008" s="2400"/>
      <c r="K3008" s="2400"/>
      <c r="L3008" s="2400"/>
      <c r="M3008" s="2400"/>
      <c r="N3008" s="2400"/>
      <c r="O3008" s="485"/>
      <c r="P3008" s="485"/>
      <c r="Q3008" s="1435"/>
      <c r="S3008" s="1435"/>
      <c r="T3008" s="1435"/>
    </row>
    <row r="3009" spans="2:35" ht="5.0999999999999996" customHeight="1">
      <c r="B3009" s="479"/>
      <c r="C3009" s="479"/>
      <c r="D3009" s="485"/>
      <c r="E3009" s="617"/>
      <c r="F3009" s="617"/>
      <c r="G3009" s="617"/>
      <c r="H3009" s="617"/>
      <c r="I3009" s="617"/>
      <c r="J3009" s="468"/>
      <c r="K3009" s="468"/>
      <c r="L3009" s="468"/>
      <c r="M3009" s="485"/>
      <c r="N3009" s="485"/>
      <c r="O3009" s="485"/>
      <c r="P3009" s="485"/>
      <c r="Q3009" s="1435"/>
      <c r="S3009" s="1435"/>
      <c r="T3009" s="1435"/>
    </row>
    <row r="3010" spans="2:35" ht="30.6" customHeight="1" thickBot="1">
      <c r="B3010" s="1124"/>
      <c r="C3010" s="485"/>
      <c r="D3010" s="956"/>
      <c r="E3010" s="1068" t="s">
        <v>2112</v>
      </c>
      <c r="F3010" s="958" t="s">
        <v>949</v>
      </c>
      <c r="G3010" s="959" t="str">
        <f>EUconst_Unit</f>
        <v>Unit</v>
      </c>
      <c r="H3010" s="578">
        <f t="shared" ref="H3010:I3010" si="1392">H$3242</f>
        <v>2024</v>
      </c>
      <c r="I3010" s="697">
        <f t="shared" si="1392"/>
        <v>2025</v>
      </c>
      <c r="J3010" s="1801"/>
      <c r="K3010" s="1802"/>
      <c r="L3010" s="1802"/>
      <c r="M3010" s="1802"/>
      <c r="N3010" s="1802"/>
      <c r="O3010" s="485"/>
      <c r="P3010" s="485"/>
      <c r="S3010" s="1709" t="s">
        <v>2057</v>
      </c>
      <c r="T3010" s="1435"/>
      <c r="Z3010" s="1710" t="s">
        <v>717</v>
      </c>
      <c r="AC3010" s="1638">
        <f t="shared" ref="AC3010:AI3010" si="1393">H$20</f>
        <v>2024</v>
      </c>
      <c r="AD3010" s="1638">
        <f t="shared" si="1393"/>
        <v>2025</v>
      </c>
      <c r="AE3010" s="1638">
        <f t="shared" si="1393"/>
        <v>2026</v>
      </c>
      <c r="AF3010" s="1638">
        <f t="shared" si="1393"/>
        <v>2027</v>
      </c>
      <c r="AG3010" s="1638">
        <f t="shared" si="1393"/>
        <v>2028</v>
      </c>
      <c r="AH3010" s="1638">
        <f t="shared" si="1393"/>
        <v>2029</v>
      </c>
      <c r="AI3010" s="1638">
        <f t="shared" si="1393"/>
        <v>2030</v>
      </c>
    </row>
    <row r="3011" spans="2:35" ht="13.15" customHeight="1">
      <c r="B3011" s="1124"/>
      <c r="C3011" s="485"/>
      <c r="D3011" s="579">
        <v>1</v>
      </c>
      <c r="E3011" s="1711" t="str">
        <f>c_ALR2025!E5537</f>
        <v/>
      </c>
      <c r="F3011" s="1711" t="str">
        <f>c_ALR2025!F5537</f>
        <v/>
      </c>
      <c r="G3011" s="1712" t="str">
        <f>c_ALR2025!G5537</f>
        <v/>
      </c>
      <c r="H3011" s="1713" t="str">
        <f>c_ALR2025!M5537</f>
        <v/>
      </c>
      <c r="I3011" s="1858"/>
      <c r="J3011" s="1801"/>
      <c r="K3011" s="1802"/>
      <c r="L3011" s="1802"/>
      <c r="M3011" s="1802"/>
      <c r="N3011" s="1802"/>
      <c r="O3011" s="485"/>
      <c r="P3011" s="9"/>
      <c r="S3011" s="1715" t="b">
        <f>IF(E3011 = "", TRUE, FALSE)</f>
        <v>1</v>
      </c>
      <c r="T3011" s="1435"/>
      <c r="Z3011" s="1435"/>
      <c r="AC3011" s="1803"/>
      <c r="AD3011" s="1803"/>
      <c r="AE3011" s="1803"/>
      <c r="AF3011" s="1803"/>
      <c r="AG3011" s="1803"/>
      <c r="AH3011" s="1803"/>
    </row>
    <row r="3012" spans="2:35" ht="13.15" customHeight="1">
      <c r="B3012" s="1124"/>
      <c r="C3012" s="485"/>
      <c r="D3012" s="582">
        <f>D3011+1</f>
        <v>2</v>
      </c>
      <c r="E3012" s="1717" t="str">
        <f>c_ALR2025!E5538</f>
        <v/>
      </c>
      <c r="F3012" s="1717" t="str">
        <f>c_ALR2025!F5538</f>
        <v/>
      </c>
      <c r="G3012" s="1718" t="str">
        <f>c_ALR2025!G5538</f>
        <v/>
      </c>
      <c r="H3012" s="1719" t="str">
        <f>c_ALR2025!M5538</f>
        <v/>
      </c>
      <c r="I3012" s="1859"/>
      <c r="J3012" s="1801"/>
      <c r="K3012" s="1802"/>
      <c r="L3012" s="1802"/>
      <c r="M3012" s="1802"/>
      <c r="N3012" s="1802"/>
      <c r="O3012" s="485"/>
      <c r="P3012" s="9"/>
      <c r="S3012" s="1715" t="b">
        <f t="shared" ref="S3012:S3020" si="1394">IF(E3012 = "", TRUE, FALSE)</f>
        <v>1</v>
      </c>
      <c r="T3012" s="1435"/>
      <c r="Z3012" s="1435"/>
      <c r="AC3012" s="1803"/>
      <c r="AD3012" s="1803"/>
      <c r="AE3012" s="1803"/>
      <c r="AF3012" s="1803"/>
      <c r="AG3012" s="1803"/>
      <c r="AH3012" s="1803"/>
    </row>
    <row r="3013" spans="2:35" ht="13.15" customHeight="1">
      <c r="B3013" s="1124"/>
      <c r="C3013" s="485"/>
      <c r="D3013" s="582">
        <f t="shared" ref="D3013:D3020" si="1395">D3012+1</f>
        <v>3</v>
      </c>
      <c r="E3013" s="1717" t="str">
        <f>c_ALR2025!E5539</f>
        <v/>
      </c>
      <c r="F3013" s="1717" t="str">
        <f>c_ALR2025!F5539</f>
        <v/>
      </c>
      <c r="G3013" s="1718" t="str">
        <f>c_ALR2025!G5539</f>
        <v/>
      </c>
      <c r="H3013" s="1719" t="str">
        <f>c_ALR2025!M5539</f>
        <v/>
      </c>
      <c r="I3013" s="1859"/>
      <c r="J3013" s="1801"/>
      <c r="K3013" s="1802"/>
      <c r="L3013" s="1802"/>
      <c r="M3013" s="1802"/>
      <c r="N3013" s="1802"/>
      <c r="O3013" s="485"/>
      <c r="P3013" s="9"/>
      <c r="S3013" s="1715" t="b">
        <f t="shared" si="1394"/>
        <v>1</v>
      </c>
      <c r="T3013" s="1435"/>
      <c r="Z3013" s="1435"/>
      <c r="AC3013" s="1803"/>
      <c r="AD3013" s="1803"/>
      <c r="AE3013" s="1803"/>
      <c r="AF3013" s="1803"/>
      <c r="AG3013" s="1803"/>
      <c r="AH3013" s="1803"/>
    </row>
    <row r="3014" spans="2:35" ht="13.15" customHeight="1">
      <c r="B3014" s="1124"/>
      <c r="C3014" s="485"/>
      <c r="D3014" s="582">
        <f t="shared" si="1395"/>
        <v>4</v>
      </c>
      <c r="E3014" s="1717" t="str">
        <f>c_ALR2025!E5540</f>
        <v/>
      </c>
      <c r="F3014" s="1717" t="str">
        <f>c_ALR2025!F5540</f>
        <v/>
      </c>
      <c r="G3014" s="1718" t="str">
        <f>c_ALR2025!G5540</f>
        <v/>
      </c>
      <c r="H3014" s="1719" t="str">
        <f>c_ALR2025!M5540</f>
        <v/>
      </c>
      <c r="I3014" s="1859"/>
      <c r="J3014" s="1801"/>
      <c r="K3014" s="1802"/>
      <c r="L3014" s="1802"/>
      <c r="M3014" s="1802"/>
      <c r="N3014" s="1802"/>
      <c r="O3014" s="485"/>
      <c r="P3014" s="9"/>
      <c r="S3014" s="1715" t="b">
        <f t="shared" si="1394"/>
        <v>1</v>
      </c>
      <c r="T3014" s="1435"/>
      <c r="Z3014" s="1435"/>
      <c r="AC3014" s="1803"/>
      <c r="AD3014" s="1803"/>
      <c r="AE3014" s="1803"/>
      <c r="AF3014" s="1803"/>
      <c r="AG3014" s="1803"/>
      <c r="AH3014" s="1803"/>
    </row>
    <row r="3015" spans="2:35" ht="13.15" customHeight="1">
      <c r="B3015" s="1124"/>
      <c r="C3015" s="485"/>
      <c r="D3015" s="582">
        <f t="shared" si="1395"/>
        <v>5</v>
      </c>
      <c r="E3015" s="1717" t="str">
        <f>c_ALR2025!E5541</f>
        <v/>
      </c>
      <c r="F3015" s="1717" t="str">
        <f>c_ALR2025!F5541</f>
        <v/>
      </c>
      <c r="G3015" s="1718" t="str">
        <f>c_ALR2025!G5541</f>
        <v/>
      </c>
      <c r="H3015" s="1719" t="str">
        <f>c_ALR2025!M5541</f>
        <v/>
      </c>
      <c r="I3015" s="1859"/>
      <c r="J3015" s="1801"/>
      <c r="K3015" s="1802"/>
      <c r="L3015" s="1802"/>
      <c r="M3015" s="1802"/>
      <c r="N3015" s="1802"/>
      <c r="O3015" s="485"/>
      <c r="P3015" s="9"/>
      <c r="S3015" s="1715" t="b">
        <f t="shared" si="1394"/>
        <v>1</v>
      </c>
      <c r="T3015" s="1435"/>
      <c r="Z3015" s="1435"/>
      <c r="AC3015" s="1803"/>
      <c r="AD3015" s="1803"/>
      <c r="AE3015" s="1803"/>
      <c r="AF3015" s="1803"/>
      <c r="AG3015" s="1803"/>
      <c r="AH3015" s="1803"/>
    </row>
    <row r="3016" spans="2:35" ht="13.15" customHeight="1">
      <c r="B3016" s="1124"/>
      <c r="C3016" s="485"/>
      <c r="D3016" s="582">
        <f t="shared" si="1395"/>
        <v>6</v>
      </c>
      <c r="E3016" s="1717" t="str">
        <f>c_ALR2025!E5542</f>
        <v/>
      </c>
      <c r="F3016" s="1717" t="str">
        <f>c_ALR2025!F5542</f>
        <v/>
      </c>
      <c r="G3016" s="1718" t="str">
        <f>c_ALR2025!G5542</f>
        <v/>
      </c>
      <c r="H3016" s="1719" t="str">
        <f>c_ALR2025!M5542</f>
        <v/>
      </c>
      <c r="I3016" s="1859"/>
      <c r="J3016" s="1801"/>
      <c r="K3016" s="1802"/>
      <c r="L3016" s="1802"/>
      <c r="M3016" s="1802"/>
      <c r="N3016" s="1802"/>
      <c r="O3016" s="485"/>
      <c r="P3016" s="9"/>
      <c r="S3016" s="1715" t="b">
        <f t="shared" si="1394"/>
        <v>1</v>
      </c>
      <c r="T3016" s="1435"/>
      <c r="Z3016" s="1435"/>
      <c r="AC3016" s="1803"/>
      <c r="AD3016" s="1803"/>
      <c r="AE3016" s="1803"/>
      <c r="AF3016" s="1803"/>
      <c r="AG3016" s="1803"/>
      <c r="AH3016" s="1803"/>
    </row>
    <row r="3017" spans="2:35" ht="13.15" customHeight="1">
      <c r="B3017" s="1124"/>
      <c r="C3017" s="485"/>
      <c r="D3017" s="582">
        <f t="shared" si="1395"/>
        <v>7</v>
      </c>
      <c r="E3017" s="1717" t="str">
        <f>c_ALR2025!E5543</f>
        <v/>
      </c>
      <c r="F3017" s="1717" t="str">
        <f>c_ALR2025!F5543</f>
        <v/>
      </c>
      <c r="G3017" s="1718" t="str">
        <f>c_ALR2025!G5543</f>
        <v/>
      </c>
      <c r="H3017" s="1719" t="str">
        <f>c_ALR2025!M5543</f>
        <v/>
      </c>
      <c r="I3017" s="1859"/>
      <c r="J3017" s="1801"/>
      <c r="K3017" s="1802"/>
      <c r="L3017" s="1802"/>
      <c r="M3017" s="1802"/>
      <c r="N3017" s="1802"/>
      <c r="O3017" s="485"/>
      <c r="P3017" s="9"/>
      <c r="S3017" s="1715" t="b">
        <f t="shared" si="1394"/>
        <v>1</v>
      </c>
      <c r="T3017" s="1435"/>
      <c r="Z3017" s="1435"/>
      <c r="AC3017" s="1803"/>
      <c r="AD3017" s="1803"/>
      <c r="AE3017" s="1803"/>
      <c r="AF3017" s="1803"/>
      <c r="AG3017" s="1803"/>
      <c r="AH3017" s="1803"/>
    </row>
    <row r="3018" spans="2:35" ht="13.15" customHeight="1">
      <c r="B3018" s="1124"/>
      <c r="C3018" s="485"/>
      <c r="D3018" s="582">
        <f t="shared" si="1395"/>
        <v>8</v>
      </c>
      <c r="E3018" s="1717" t="str">
        <f>c_ALR2025!E5544</f>
        <v/>
      </c>
      <c r="F3018" s="1717" t="str">
        <f>c_ALR2025!F5544</f>
        <v/>
      </c>
      <c r="G3018" s="1718" t="str">
        <f>c_ALR2025!G5544</f>
        <v/>
      </c>
      <c r="H3018" s="1719" t="str">
        <f>c_ALR2025!M5544</f>
        <v/>
      </c>
      <c r="I3018" s="1859"/>
      <c r="J3018" s="1801"/>
      <c r="K3018" s="1802"/>
      <c r="L3018" s="1802"/>
      <c r="M3018" s="1802"/>
      <c r="N3018" s="1802"/>
      <c r="O3018" s="485"/>
      <c r="P3018" s="9"/>
      <c r="S3018" s="1715" t="b">
        <f t="shared" si="1394"/>
        <v>1</v>
      </c>
      <c r="T3018" s="1435"/>
      <c r="Z3018" s="1435"/>
      <c r="AC3018" s="1803"/>
      <c r="AD3018" s="1803"/>
      <c r="AE3018" s="1803"/>
      <c r="AF3018" s="1803"/>
      <c r="AG3018" s="1803"/>
      <c r="AH3018" s="1803"/>
    </row>
    <row r="3019" spans="2:35" ht="13.15" customHeight="1">
      <c r="B3019" s="1124"/>
      <c r="C3019" s="485"/>
      <c r="D3019" s="582">
        <f t="shared" si="1395"/>
        <v>9</v>
      </c>
      <c r="E3019" s="1717" t="str">
        <f>c_ALR2025!E5545</f>
        <v/>
      </c>
      <c r="F3019" s="1717" t="str">
        <f>c_ALR2025!F5545</f>
        <v/>
      </c>
      <c r="G3019" s="1718" t="str">
        <f>c_ALR2025!G5545</f>
        <v/>
      </c>
      <c r="H3019" s="1719" t="str">
        <f>c_ALR2025!M5545</f>
        <v/>
      </c>
      <c r="I3019" s="1859"/>
      <c r="J3019" s="1801"/>
      <c r="K3019" s="1802"/>
      <c r="L3019" s="1802"/>
      <c r="M3019" s="1802"/>
      <c r="N3019" s="1802"/>
      <c r="O3019" s="485"/>
      <c r="P3019" s="9"/>
      <c r="S3019" s="1715" t="b">
        <f t="shared" si="1394"/>
        <v>1</v>
      </c>
      <c r="T3019" s="1435"/>
      <c r="Z3019" s="1435"/>
      <c r="AC3019" s="1803"/>
      <c r="AD3019" s="1803"/>
      <c r="AE3019" s="1803"/>
      <c r="AF3019" s="1803"/>
      <c r="AG3019" s="1803"/>
      <c r="AH3019" s="1803"/>
    </row>
    <row r="3020" spans="2:35" ht="13.15" customHeight="1">
      <c r="B3020" s="1124"/>
      <c r="C3020" s="485"/>
      <c r="D3020" s="584">
        <f t="shared" si="1395"/>
        <v>10</v>
      </c>
      <c r="E3020" s="1720" t="str">
        <f>c_ALR2025!E5546</f>
        <v/>
      </c>
      <c r="F3020" s="1720" t="str">
        <f>c_ALR2025!F5546</f>
        <v/>
      </c>
      <c r="G3020" s="1721" t="str">
        <f>c_ALR2025!G5546</f>
        <v/>
      </c>
      <c r="H3020" s="1722" t="str">
        <f>c_ALR2025!M5546</f>
        <v/>
      </c>
      <c r="I3020" s="1860"/>
      <c r="J3020" s="1801"/>
      <c r="K3020" s="1802"/>
      <c r="L3020" s="1802"/>
      <c r="M3020" s="1802"/>
      <c r="N3020" s="1802"/>
      <c r="O3020" s="485"/>
      <c r="P3020" s="9"/>
      <c r="S3020" s="1715" t="b">
        <f t="shared" si="1394"/>
        <v>1</v>
      </c>
      <c r="T3020" s="1435"/>
      <c r="Z3020" s="1435"/>
      <c r="AC3020" s="1803"/>
      <c r="AD3020" s="1803"/>
      <c r="AE3020" s="1803"/>
      <c r="AF3020" s="1803"/>
      <c r="AG3020" s="1803"/>
      <c r="AH3020" s="1803"/>
    </row>
    <row r="3021" spans="2:35" ht="13.15" customHeight="1">
      <c r="B3021" s="1124"/>
      <c r="C3021" s="485"/>
      <c r="D3021" s="579">
        <v>1</v>
      </c>
      <c r="E3021" s="1861"/>
      <c r="F3021" s="1861"/>
      <c r="G3021" s="1862"/>
      <c r="H3021" s="1723"/>
      <c r="I3021" s="1863"/>
      <c r="J3021" s="1801"/>
      <c r="K3021" s="1802"/>
      <c r="L3021" s="1802"/>
      <c r="M3021" s="1802"/>
      <c r="N3021" s="1802"/>
      <c r="O3021" s="485"/>
      <c r="P3021" s="9"/>
      <c r="S3021" s="1715" t="b">
        <f>NOT(S3011)</f>
        <v>0</v>
      </c>
      <c r="T3021" s="1435"/>
      <c r="Z3021" s="1435"/>
      <c r="AC3021" s="1803"/>
      <c r="AD3021" s="1803"/>
      <c r="AE3021" s="1803"/>
      <c r="AF3021" s="1803"/>
      <c r="AG3021" s="1803"/>
      <c r="AH3021" s="1803"/>
    </row>
    <row r="3022" spans="2:35" ht="13.15" customHeight="1">
      <c r="B3022" s="1124"/>
      <c r="C3022" s="485"/>
      <c r="D3022" s="582">
        <f>D3021+1</f>
        <v>2</v>
      </c>
      <c r="E3022" s="1864"/>
      <c r="F3022" s="1864"/>
      <c r="G3022" s="1865"/>
      <c r="H3022" s="1724"/>
      <c r="I3022" s="1859"/>
      <c r="J3022" s="1801"/>
      <c r="K3022" s="1802"/>
      <c r="L3022" s="1802"/>
      <c r="M3022" s="1802"/>
      <c r="N3022" s="1802"/>
      <c r="O3022" s="485"/>
      <c r="P3022" s="9"/>
      <c r="S3022" s="1715" t="b">
        <f t="shared" ref="S3022:S3030" si="1396">NOT(S3012)</f>
        <v>0</v>
      </c>
      <c r="T3022" s="1435"/>
      <c r="Z3022" s="1435"/>
      <c r="AC3022" s="1803"/>
      <c r="AD3022" s="1803"/>
      <c r="AE3022" s="1803"/>
      <c r="AF3022" s="1803"/>
      <c r="AG3022" s="1803"/>
      <c r="AH3022" s="1803"/>
    </row>
    <row r="3023" spans="2:35" ht="13.15" customHeight="1">
      <c r="B3023" s="1124"/>
      <c r="C3023" s="485"/>
      <c r="D3023" s="582">
        <f t="shared" ref="D3023:D3030" si="1397">D3022+1</f>
        <v>3</v>
      </c>
      <c r="E3023" s="1864"/>
      <c r="F3023" s="1864"/>
      <c r="G3023" s="1865"/>
      <c r="H3023" s="1724"/>
      <c r="I3023" s="1859"/>
      <c r="J3023" s="1801"/>
      <c r="K3023" s="1802"/>
      <c r="L3023" s="1802"/>
      <c r="M3023" s="1802"/>
      <c r="N3023" s="1802"/>
      <c r="O3023" s="485"/>
      <c r="P3023" s="9"/>
      <c r="S3023" s="1715" t="b">
        <f t="shared" si="1396"/>
        <v>0</v>
      </c>
      <c r="T3023" s="1435"/>
      <c r="Z3023" s="1435"/>
      <c r="AC3023" s="1803"/>
      <c r="AD3023" s="1803"/>
      <c r="AE3023" s="1803"/>
      <c r="AF3023" s="1803"/>
      <c r="AG3023" s="1803"/>
      <c r="AH3023" s="1803"/>
    </row>
    <row r="3024" spans="2:35" ht="13.15" customHeight="1">
      <c r="B3024" s="1124"/>
      <c r="C3024" s="485"/>
      <c r="D3024" s="582">
        <f t="shared" si="1397"/>
        <v>4</v>
      </c>
      <c r="E3024" s="1864"/>
      <c r="F3024" s="1864"/>
      <c r="G3024" s="1865"/>
      <c r="H3024" s="1724"/>
      <c r="I3024" s="1859"/>
      <c r="J3024" s="1801"/>
      <c r="K3024" s="1802"/>
      <c r="L3024" s="1802"/>
      <c r="M3024" s="1802"/>
      <c r="N3024" s="1802"/>
      <c r="O3024" s="485"/>
      <c r="P3024" s="9"/>
      <c r="S3024" s="1715" t="b">
        <f t="shared" si="1396"/>
        <v>0</v>
      </c>
      <c r="T3024" s="1435"/>
      <c r="Z3024" s="1435"/>
      <c r="AC3024" s="1803"/>
      <c r="AD3024" s="1803"/>
      <c r="AE3024" s="1803"/>
      <c r="AF3024" s="1803"/>
      <c r="AG3024" s="1803"/>
      <c r="AH3024" s="1803"/>
    </row>
    <row r="3025" spans="2:42" ht="13.15" customHeight="1">
      <c r="B3025" s="1124"/>
      <c r="C3025" s="485"/>
      <c r="D3025" s="582">
        <f t="shared" si="1397"/>
        <v>5</v>
      </c>
      <c r="E3025" s="1864"/>
      <c r="F3025" s="1864"/>
      <c r="G3025" s="1865"/>
      <c r="H3025" s="1724"/>
      <c r="I3025" s="1859"/>
      <c r="J3025" s="1801"/>
      <c r="K3025" s="1802"/>
      <c r="L3025" s="1802"/>
      <c r="M3025" s="1802"/>
      <c r="N3025" s="1802"/>
      <c r="O3025" s="485"/>
      <c r="P3025" s="9"/>
      <c r="S3025" s="1715" t="b">
        <f t="shared" si="1396"/>
        <v>0</v>
      </c>
      <c r="T3025" s="1435"/>
      <c r="Z3025" s="1435"/>
      <c r="AC3025" s="1803"/>
      <c r="AD3025" s="1803"/>
      <c r="AE3025" s="1803"/>
      <c r="AF3025" s="1803"/>
      <c r="AG3025" s="1803"/>
      <c r="AH3025" s="1803"/>
    </row>
    <row r="3026" spans="2:42" ht="13.15" customHeight="1">
      <c r="B3026" s="1124"/>
      <c r="C3026" s="485"/>
      <c r="D3026" s="582">
        <f t="shared" si="1397"/>
        <v>6</v>
      </c>
      <c r="E3026" s="1864"/>
      <c r="F3026" s="1864"/>
      <c r="G3026" s="1865"/>
      <c r="H3026" s="1724"/>
      <c r="I3026" s="1859"/>
      <c r="J3026" s="1801"/>
      <c r="K3026" s="1802"/>
      <c r="L3026" s="1802"/>
      <c r="M3026" s="1802"/>
      <c r="N3026" s="1802"/>
      <c r="O3026" s="485"/>
      <c r="P3026" s="9"/>
      <c r="S3026" s="1715" t="b">
        <f t="shared" si="1396"/>
        <v>0</v>
      </c>
      <c r="T3026" s="1435"/>
      <c r="Z3026" s="1435"/>
      <c r="AC3026" s="1803"/>
      <c r="AD3026" s="1803"/>
      <c r="AE3026" s="1803"/>
      <c r="AF3026" s="1803"/>
      <c r="AG3026" s="1803"/>
      <c r="AH3026" s="1803"/>
    </row>
    <row r="3027" spans="2:42" ht="13.15" customHeight="1">
      <c r="B3027" s="1124"/>
      <c r="C3027" s="485"/>
      <c r="D3027" s="582">
        <f t="shared" si="1397"/>
        <v>7</v>
      </c>
      <c r="E3027" s="1864"/>
      <c r="F3027" s="1864"/>
      <c r="G3027" s="1865"/>
      <c r="H3027" s="1724"/>
      <c r="I3027" s="1859"/>
      <c r="J3027" s="1801"/>
      <c r="K3027" s="1802"/>
      <c r="L3027" s="1802"/>
      <c r="M3027" s="1802"/>
      <c r="N3027" s="1802"/>
      <c r="O3027" s="485"/>
      <c r="P3027" s="9"/>
      <c r="S3027" s="1715" t="b">
        <f t="shared" si="1396"/>
        <v>0</v>
      </c>
      <c r="T3027" s="1435"/>
      <c r="Z3027" s="1435"/>
      <c r="AC3027" s="1803"/>
      <c r="AD3027" s="1803"/>
      <c r="AE3027" s="1803"/>
      <c r="AF3027" s="1803"/>
      <c r="AG3027" s="1803"/>
      <c r="AH3027" s="1803"/>
    </row>
    <row r="3028" spans="2:42" ht="13.15" customHeight="1">
      <c r="B3028" s="1124"/>
      <c r="C3028" s="485"/>
      <c r="D3028" s="582">
        <f t="shared" si="1397"/>
        <v>8</v>
      </c>
      <c r="E3028" s="1864"/>
      <c r="F3028" s="1864"/>
      <c r="G3028" s="1865"/>
      <c r="H3028" s="1724"/>
      <c r="I3028" s="1859"/>
      <c r="J3028" s="1801"/>
      <c r="K3028" s="1802"/>
      <c r="L3028" s="1802"/>
      <c r="M3028" s="1802"/>
      <c r="N3028" s="1802"/>
      <c r="O3028" s="485"/>
      <c r="P3028" s="9"/>
      <c r="S3028" s="1715" t="b">
        <f t="shared" si="1396"/>
        <v>0</v>
      </c>
      <c r="T3028" s="1435"/>
      <c r="Z3028" s="1435"/>
      <c r="AC3028" s="1803"/>
      <c r="AD3028" s="1803"/>
      <c r="AE3028" s="1803"/>
      <c r="AF3028" s="1803"/>
      <c r="AG3028" s="1803"/>
      <c r="AH3028" s="1803"/>
    </row>
    <row r="3029" spans="2:42" ht="13.15" customHeight="1">
      <c r="B3029" s="1124"/>
      <c r="C3029" s="485"/>
      <c r="D3029" s="582">
        <f t="shared" si="1397"/>
        <v>9</v>
      </c>
      <c r="E3029" s="1864"/>
      <c r="F3029" s="1864"/>
      <c r="G3029" s="1865"/>
      <c r="H3029" s="1724"/>
      <c r="I3029" s="1859"/>
      <c r="J3029" s="1801"/>
      <c r="K3029" s="1802"/>
      <c r="L3029" s="1802"/>
      <c r="M3029" s="1802"/>
      <c r="N3029" s="1802"/>
      <c r="O3029" s="485"/>
      <c r="P3029" s="9"/>
      <c r="S3029" s="1715" t="b">
        <f t="shared" si="1396"/>
        <v>0</v>
      </c>
      <c r="T3029" s="1435"/>
      <c r="Z3029" s="1435"/>
      <c r="AC3029" s="1803"/>
      <c r="AD3029" s="1803"/>
      <c r="AE3029" s="1803"/>
      <c r="AF3029" s="1803"/>
      <c r="AG3029" s="1803"/>
      <c r="AH3029" s="1803"/>
    </row>
    <row r="3030" spans="2:42" ht="13.15" customHeight="1" thickBot="1">
      <c r="B3030" s="1124"/>
      <c r="C3030" s="485"/>
      <c r="D3030" s="584">
        <f t="shared" si="1397"/>
        <v>10</v>
      </c>
      <c r="E3030" s="1866"/>
      <c r="F3030" s="1866"/>
      <c r="G3030" s="1867"/>
      <c r="H3030" s="1725"/>
      <c r="I3030" s="1860"/>
      <c r="J3030" s="1801"/>
      <c r="K3030" s="1802"/>
      <c r="L3030" s="1802"/>
      <c r="M3030" s="1802"/>
      <c r="N3030" s="1802"/>
      <c r="O3030" s="485"/>
      <c r="P3030" s="9"/>
      <c r="S3030" s="1726" t="b">
        <f t="shared" si="1396"/>
        <v>0</v>
      </c>
      <c r="T3030" s="1435"/>
      <c r="Z3030" s="1435"/>
      <c r="AC3030" s="1803"/>
      <c r="AD3030" s="1803"/>
      <c r="AE3030" s="1803"/>
      <c r="AF3030" s="1803"/>
      <c r="AG3030" s="1803"/>
      <c r="AH3030" s="1803"/>
    </row>
    <row r="3031" spans="2:42">
      <c r="B3031" s="1124"/>
      <c r="C3031" s="485"/>
      <c r="D3031" s="579">
        <v>1</v>
      </c>
      <c r="E3031" s="864" t="str">
        <f t="shared" ref="E3031:E3040" si="1398">IF(E3021&lt;&gt; "",E3021,IF(E3011 &lt;&gt; "", E3011,""))</f>
        <v/>
      </c>
      <c r="F3031" s="960" t="str">
        <f t="shared" ref="F3031:I3031" si="1399">IF(F3021&lt;&gt; "",F3021,IF(F3011 &lt;&gt; "", F3011,""))</f>
        <v/>
      </c>
      <c r="G3031" s="961" t="str">
        <f t="shared" si="1399"/>
        <v/>
      </c>
      <c r="H3031" s="656" t="str">
        <f t="shared" si="1399"/>
        <v/>
      </c>
      <c r="I3031" s="962" t="str">
        <f t="shared" si="1399"/>
        <v/>
      </c>
      <c r="J3031" s="1804"/>
      <c r="K3031" s="1805"/>
      <c r="L3031" s="1805"/>
      <c r="M3031" s="1805"/>
      <c r="N3031" s="1805"/>
      <c r="O3031" s="485"/>
      <c r="S3031" s="1435"/>
      <c r="T3031" s="1435"/>
      <c r="Z3031" s="1730" t="b">
        <f t="shared" ref="Z3031:Z3040" si="1400">AA3031</f>
        <v>0</v>
      </c>
      <c r="AA3031" s="1731" t="b">
        <f t="shared" ref="AA3031:AA3040" si="1401">AB3031</f>
        <v>0</v>
      </c>
      <c r="AB3031" s="1868" t="b">
        <f>AND(AC3031:AI3031)</f>
        <v>0</v>
      </c>
      <c r="AC3031" s="1732" t="b">
        <f t="shared" ref="AC3031:AI3031" si="1402">AC2981</f>
        <v>0</v>
      </c>
      <c r="AD3031" s="1680" t="b">
        <f t="shared" si="1402"/>
        <v>0</v>
      </c>
      <c r="AE3031" s="1680" t="b">
        <f t="shared" si="1402"/>
        <v>0</v>
      </c>
      <c r="AF3031" s="1680" t="b">
        <f t="shared" si="1402"/>
        <v>0</v>
      </c>
      <c r="AG3031" s="1680" t="b">
        <f t="shared" si="1402"/>
        <v>0</v>
      </c>
      <c r="AH3031" s="1680" t="b">
        <f t="shared" si="1402"/>
        <v>0</v>
      </c>
      <c r="AI3031" s="1681" t="b">
        <f t="shared" si="1402"/>
        <v>0</v>
      </c>
      <c r="AJ3031" s="1633" t="s">
        <v>1954</v>
      </c>
      <c r="AK3031" s="1635" t="str">
        <f>IF(AND(CNTR_ExistSubInstEntries,COUNTIFS(AC3031:AI3031,FALSE,H3031:N3031,"")&gt;0),EUconst_Error&amp;"BM"&amp;$Q2911,"")</f>
        <v/>
      </c>
      <c r="AP3031" s="1135" t="s">
        <v>2471</v>
      </c>
    </row>
    <row r="3032" spans="2:42">
      <c r="B3032" s="1124"/>
      <c r="C3032" s="485"/>
      <c r="D3032" s="582">
        <f>D3031+1</f>
        <v>2</v>
      </c>
      <c r="E3032" s="866" t="str">
        <f t="shared" si="1398"/>
        <v/>
      </c>
      <c r="F3032" s="964" t="str">
        <f t="shared" ref="F3032:I3032" si="1403">IF(F3022&lt;&gt; "",F3022,IF(F3012 &lt;&gt; "", F3012,""))</f>
        <v/>
      </c>
      <c r="G3032" s="895" t="str">
        <f t="shared" si="1403"/>
        <v/>
      </c>
      <c r="H3032" s="658" t="str">
        <f t="shared" si="1403"/>
        <v/>
      </c>
      <c r="I3032" s="965" t="str">
        <f t="shared" si="1403"/>
        <v/>
      </c>
      <c r="J3032" s="1804"/>
      <c r="K3032" s="1805"/>
      <c r="L3032" s="1805"/>
      <c r="M3032" s="1805"/>
      <c r="N3032" s="1805"/>
      <c r="O3032" s="485"/>
      <c r="S3032" s="1435"/>
      <c r="T3032" s="1435"/>
      <c r="Z3032" s="1736" t="b">
        <f t="shared" si="1400"/>
        <v>0</v>
      </c>
      <c r="AA3032" s="1443" t="b">
        <f t="shared" si="1401"/>
        <v>0</v>
      </c>
      <c r="AB3032" s="1737" t="b">
        <f t="shared" ref="AB3032:AB3040" si="1404">AND(AC3032:AI3032)</f>
        <v>0</v>
      </c>
      <c r="AC3032" s="1738" t="b">
        <f>AC3031</f>
        <v>0</v>
      </c>
      <c r="AD3032" s="1443" t="b">
        <f t="shared" ref="AD3032:AI3032" si="1405">AD3031</f>
        <v>0</v>
      </c>
      <c r="AE3032" s="1443" t="b">
        <f t="shared" si="1405"/>
        <v>0</v>
      </c>
      <c r="AF3032" s="1443" t="b">
        <f t="shared" si="1405"/>
        <v>0</v>
      </c>
      <c r="AG3032" s="1443" t="b">
        <f t="shared" si="1405"/>
        <v>0</v>
      </c>
      <c r="AH3032" s="1443" t="b">
        <f t="shared" si="1405"/>
        <v>0</v>
      </c>
      <c r="AI3032" s="1737" t="b">
        <f t="shared" si="1405"/>
        <v>0</v>
      </c>
      <c r="AP3032" s="1135" t="s">
        <v>2472</v>
      </c>
    </row>
    <row r="3033" spans="2:42">
      <c r="B3033" s="1124"/>
      <c r="C3033" s="485"/>
      <c r="D3033" s="582">
        <f t="shared" ref="D3033:D3040" si="1406">D3032+1</f>
        <v>3</v>
      </c>
      <c r="E3033" s="866" t="str">
        <f t="shared" si="1398"/>
        <v/>
      </c>
      <c r="F3033" s="964" t="str">
        <f t="shared" ref="F3033:I3033" si="1407">IF(F3023&lt;&gt; "",F3023,IF(F3013 &lt;&gt; "", F3013,""))</f>
        <v/>
      </c>
      <c r="G3033" s="895" t="str">
        <f t="shared" si="1407"/>
        <v/>
      </c>
      <c r="H3033" s="658" t="str">
        <f t="shared" si="1407"/>
        <v/>
      </c>
      <c r="I3033" s="965" t="str">
        <f t="shared" si="1407"/>
        <v/>
      </c>
      <c r="J3033" s="1804"/>
      <c r="K3033" s="1805"/>
      <c r="L3033" s="1805"/>
      <c r="M3033" s="1805"/>
      <c r="N3033" s="1805"/>
      <c r="O3033" s="485"/>
      <c r="S3033" s="1435"/>
      <c r="T3033" s="1435"/>
      <c r="Z3033" s="1736" t="b">
        <f t="shared" si="1400"/>
        <v>0</v>
      </c>
      <c r="AA3033" s="1443" t="b">
        <f t="shared" si="1401"/>
        <v>0</v>
      </c>
      <c r="AB3033" s="1737" t="b">
        <f t="shared" si="1404"/>
        <v>0</v>
      </c>
      <c r="AC3033" s="1738" t="b">
        <f t="shared" ref="AC3033:AI3040" si="1408">AC3032</f>
        <v>0</v>
      </c>
      <c r="AD3033" s="1443" t="b">
        <f t="shared" si="1408"/>
        <v>0</v>
      </c>
      <c r="AE3033" s="1443" t="b">
        <f t="shared" si="1408"/>
        <v>0</v>
      </c>
      <c r="AF3033" s="1443" t="b">
        <f t="shared" si="1408"/>
        <v>0</v>
      </c>
      <c r="AG3033" s="1443" t="b">
        <f t="shared" si="1408"/>
        <v>0</v>
      </c>
      <c r="AH3033" s="1443" t="b">
        <f t="shared" si="1408"/>
        <v>0</v>
      </c>
      <c r="AI3033" s="1737" t="b">
        <f t="shared" si="1408"/>
        <v>0</v>
      </c>
      <c r="AP3033" s="1135" t="s">
        <v>2473</v>
      </c>
    </row>
    <row r="3034" spans="2:42">
      <c r="B3034" s="1124"/>
      <c r="C3034" s="485"/>
      <c r="D3034" s="582">
        <f t="shared" si="1406"/>
        <v>4</v>
      </c>
      <c r="E3034" s="866" t="str">
        <f t="shared" si="1398"/>
        <v/>
      </c>
      <c r="F3034" s="964" t="str">
        <f t="shared" ref="F3034:I3034" si="1409">IF(F3024&lt;&gt; "",F3024,IF(F3014 &lt;&gt; "", F3014,""))</f>
        <v/>
      </c>
      <c r="G3034" s="895" t="str">
        <f t="shared" si="1409"/>
        <v/>
      </c>
      <c r="H3034" s="658" t="str">
        <f t="shared" si="1409"/>
        <v/>
      </c>
      <c r="I3034" s="965" t="str">
        <f t="shared" si="1409"/>
        <v/>
      </c>
      <c r="J3034" s="1804"/>
      <c r="K3034" s="1805"/>
      <c r="L3034" s="1805"/>
      <c r="M3034" s="1805"/>
      <c r="N3034" s="1805"/>
      <c r="O3034" s="485"/>
      <c r="S3034" s="1435"/>
      <c r="T3034" s="1435"/>
      <c r="Z3034" s="1736" t="b">
        <f t="shared" si="1400"/>
        <v>0</v>
      </c>
      <c r="AA3034" s="1443" t="b">
        <f t="shared" si="1401"/>
        <v>0</v>
      </c>
      <c r="AB3034" s="1737" t="b">
        <f t="shared" si="1404"/>
        <v>0</v>
      </c>
      <c r="AC3034" s="1738" t="b">
        <f t="shared" si="1408"/>
        <v>0</v>
      </c>
      <c r="AD3034" s="1443" t="b">
        <f t="shared" si="1408"/>
        <v>0</v>
      </c>
      <c r="AE3034" s="1443" t="b">
        <f t="shared" si="1408"/>
        <v>0</v>
      </c>
      <c r="AF3034" s="1443" t="b">
        <f t="shared" si="1408"/>
        <v>0</v>
      </c>
      <c r="AG3034" s="1443" t="b">
        <f t="shared" si="1408"/>
        <v>0</v>
      </c>
      <c r="AH3034" s="1443" t="b">
        <f t="shared" si="1408"/>
        <v>0</v>
      </c>
      <c r="AI3034" s="1737" t="b">
        <f t="shared" si="1408"/>
        <v>0</v>
      </c>
      <c r="AP3034" s="1135" t="s">
        <v>2474</v>
      </c>
    </row>
    <row r="3035" spans="2:42">
      <c r="B3035" s="1124"/>
      <c r="C3035" s="485"/>
      <c r="D3035" s="582">
        <f t="shared" si="1406"/>
        <v>5</v>
      </c>
      <c r="E3035" s="866" t="str">
        <f t="shared" si="1398"/>
        <v/>
      </c>
      <c r="F3035" s="964" t="str">
        <f t="shared" ref="F3035:I3035" si="1410">IF(F3025&lt;&gt; "",F3025,IF(F3015 &lt;&gt; "", F3015,""))</f>
        <v/>
      </c>
      <c r="G3035" s="895" t="str">
        <f t="shared" si="1410"/>
        <v/>
      </c>
      <c r="H3035" s="658" t="str">
        <f t="shared" si="1410"/>
        <v/>
      </c>
      <c r="I3035" s="965" t="str">
        <f t="shared" si="1410"/>
        <v/>
      </c>
      <c r="J3035" s="1804"/>
      <c r="K3035" s="1805"/>
      <c r="L3035" s="1805"/>
      <c r="M3035" s="1805"/>
      <c r="N3035" s="1805"/>
      <c r="O3035" s="485"/>
      <c r="S3035" s="1435"/>
      <c r="T3035" s="1435"/>
      <c r="Z3035" s="1736" t="b">
        <f t="shared" si="1400"/>
        <v>0</v>
      </c>
      <c r="AA3035" s="1443" t="b">
        <f t="shared" si="1401"/>
        <v>0</v>
      </c>
      <c r="AB3035" s="1737" t="b">
        <f t="shared" si="1404"/>
        <v>0</v>
      </c>
      <c r="AC3035" s="1738" t="b">
        <f t="shared" si="1408"/>
        <v>0</v>
      </c>
      <c r="AD3035" s="1443" t="b">
        <f t="shared" si="1408"/>
        <v>0</v>
      </c>
      <c r="AE3035" s="1443" t="b">
        <f t="shared" si="1408"/>
        <v>0</v>
      </c>
      <c r="AF3035" s="1443" t="b">
        <f t="shared" si="1408"/>
        <v>0</v>
      </c>
      <c r="AG3035" s="1443" t="b">
        <f t="shared" si="1408"/>
        <v>0</v>
      </c>
      <c r="AH3035" s="1443" t="b">
        <f t="shared" si="1408"/>
        <v>0</v>
      </c>
      <c r="AI3035" s="1737" t="b">
        <f t="shared" si="1408"/>
        <v>0</v>
      </c>
      <c r="AP3035" s="1135" t="s">
        <v>2475</v>
      </c>
    </row>
    <row r="3036" spans="2:42">
      <c r="B3036" s="1124"/>
      <c r="C3036" s="485"/>
      <c r="D3036" s="582">
        <f t="shared" si="1406"/>
        <v>6</v>
      </c>
      <c r="E3036" s="866" t="str">
        <f t="shared" si="1398"/>
        <v/>
      </c>
      <c r="F3036" s="964" t="str">
        <f t="shared" ref="F3036:I3036" si="1411">IF(F3026&lt;&gt; "",F3026,IF(F3016 &lt;&gt; "", F3016,""))</f>
        <v/>
      </c>
      <c r="G3036" s="895" t="str">
        <f t="shared" si="1411"/>
        <v/>
      </c>
      <c r="H3036" s="658" t="str">
        <f t="shared" si="1411"/>
        <v/>
      </c>
      <c r="I3036" s="965" t="str">
        <f t="shared" si="1411"/>
        <v/>
      </c>
      <c r="J3036" s="1804"/>
      <c r="K3036" s="1805"/>
      <c r="L3036" s="1805"/>
      <c r="M3036" s="1805"/>
      <c r="N3036" s="1805"/>
      <c r="O3036" s="485"/>
      <c r="S3036" s="1435"/>
      <c r="T3036" s="1435"/>
      <c r="Z3036" s="1736" t="b">
        <f t="shared" si="1400"/>
        <v>0</v>
      </c>
      <c r="AA3036" s="1443" t="b">
        <f t="shared" si="1401"/>
        <v>0</v>
      </c>
      <c r="AB3036" s="1737" t="b">
        <f t="shared" si="1404"/>
        <v>0</v>
      </c>
      <c r="AC3036" s="1738" t="b">
        <f t="shared" si="1408"/>
        <v>0</v>
      </c>
      <c r="AD3036" s="1443" t="b">
        <f t="shared" si="1408"/>
        <v>0</v>
      </c>
      <c r="AE3036" s="1443" t="b">
        <f t="shared" si="1408"/>
        <v>0</v>
      </c>
      <c r="AF3036" s="1443" t="b">
        <f t="shared" si="1408"/>
        <v>0</v>
      </c>
      <c r="AG3036" s="1443" t="b">
        <f t="shared" si="1408"/>
        <v>0</v>
      </c>
      <c r="AH3036" s="1443" t="b">
        <f t="shared" si="1408"/>
        <v>0</v>
      </c>
      <c r="AI3036" s="1737" t="b">
        <f t="shared" si="1408"/>
        <v>0</v>
      </c>
      <c r="AP3036" s="1135" t="s">
        <v>2476</v>
      </c>
    </row>
    <row r="3037" spans="2:42">
      <c r="B3037" s="1124"/>
      <c r="C3037" s="485"/>
      <c r="D3037" s="582">
        <f t="shared" si="1406"/>
        <v>7</v>
      </c>
      <c r="E3037" s="866" t="str">
        <f t="shared" si="1398"/>
        <v/>
      </c>
      <c r="F3037" s="964" t="str">
        <f t="shared" ref="F3037:I3037" si="1412">IF(F3027&lt;&gt; "",F3027,IF(F3017 &lt;&gt; "", F3017,""))</f>
        <v/>
      </c>
      <c r="G3037" s="895" t="str">
        <f t="shared" si="1412"/>
        <v/>
      </c>
      <c r="H3037" s="658" t="str">
        <f t="shared" si="1412"/>
        <v/>
      </c>
      <c r="I3037" s="965" t="str">
        <f t="shared" si="1412"/>
        <v/>
      </c>
      <c r="J3037" s="1804"/>
      <c r="K3037" s="1805"/>
      <c r="L3037" s="1805"/>
      <c r="M3037" s="1805"/>
      <c r="N3037" s="1805"/>
      <c r="O3037" s="485"/>
      <c r="S3037" s="1435"/>
      <c r="T3037" s="1435"/>
      <c r="Z3037" s="1736" t="b">
        <f t="shared" si="1400"/>
        <v>0</v>
      </c>
      <c r="AA3037" s="1443" t="b">
        <f t="shared" si="1401"/>
        <v>0</v>
      </c>
      <c r="AB3037" s="1737" t="b">
        <f t="shared" si="1404"/>
        <v>0</v>
      </c>
      <c r="AC3037" s="1738" t="b">
        <f t="shared" si="1408"/>
        <v>0</v>
      </c>
      <c r="AD3037" s="1443" t="b">
        <f t="shared" si="1408"/>
        <v>0</v>
      </c>
      <c r="AE3037" s="1443" t="b">
        <f t="shared" si="1408"/>
        <v>0</v>
      </c>
      <c r="AF3037" s="1443" t="b">
        <f t="shared" si="1408"/>
        <v>0</v>
      </c>
      <c r="AG3037" s="1443" t="b">
        <f t="shared" si="1408"/>
        <v>0</v>
      </c>
      <c r="AH3037" s="1443" t="b">
        <f t="shared" si="1408"/>
        <v>0</v>
      </c>
      <c r="AI3037" s="1737" t="b">
        <f t="shared" si="1408"/>
        <v>0</v>
      </c>
      <c r="AP3037" s="1135" t="s">
        <v>2477</v>
      </c>
    </row>
    <row r="3038" spans="2:42">
      <c r="B3038" s="1124"/>
      <c r="C3038" s="485"/>
      <c r="D3038" s="582">
        <f t="shared" si="1406"/>
        <v>8</v>
      </c>
      <c r="E3038" s="866" t="str">
        <f t="shared" si="1398"/>
        <v/>
      </c>
      <c r="F3038" s="964" t="str">
        <f t="shared" ref="F3038:I3038" si="1413">IF(F3028&lt;&gt; "",F3028,IF(F3018 &lt;&gt; "", F3018,""))</f>
        <v/>
      </c>
      <c r="G3038" s="895" t="str">
        <f t="shared" si="1413"/>
        <v/>
      </c>
      <c r="H3038" s="658" t="str">
        <f t="shared" si="1413"/>
        <v/>
      </c>
      <c r="I3038" s="965" t="str">
        <f t="shared" si="1413"/>
        <v/>
      </c>
      <c r="J3038" s="1804"/>
      <c r="K3038" s="1805"/>
      <c r="L3038" s="1805"/>
      <c r="M3038" s="1805"/>
      <c r="N3038" s="1805"/>
      <c r="O3038" s="485"/>
      <c r="S3038" s="1435"/>
      <c r="T3038" s="1435"/>
      <c r="Z3038" s="1736" t="b">
        <f t="shared" si="1400"/>
        <v>0</v>
      </c>
      <c r="AA3038" s="1443" t="b">
        <f t="shared" si="1401"/>
        <v>0</v>
      </c>
      <c r="AB3038" s="1737" t="b">
        <f t="shared" si="1404"/>
        <v>0</v>
      </c>
      <c r="AC3038" s="1738" t="b">
        <f t="shared" si="1408"/>
        <v>0</v>
      </c>
      <c r="AD3038" s="1443" t="b">
        <f t="shared" si="1408"/>
        <v>0</v>
      </c>
      <c r="AE3038" s="1443" t="b">
        <f t="shared" si="1408"/>
        <v>0</v>
      </c>
      <c r="AF3038" s="1443" t="b">
        <f t="shared" si="1408"/>
        <v>0</v>
      </c>
      <c r="AG3038" s="1443" t="b">
        <f t="shared" si="1408"/>
        <v>0</v>
      </c>
      <c r="AH3038" s="1443" t="b">
        <f t="shared" si="1408"/>
        <v>0</v>
      </c>
      <c r="AI3038" s="1737" t="b">
        <f t="shared" si="1408"/>
        <v>0</v>
      </c>
      <c r="AP3038" s="1135" t="s">
        <v>2478</v>
      </c>
    </row>
    <row r="3039" spans="2:42">
      <c r="B3039" s="1124"/>
      <c r="C3039" s="485"/>
      <c r="D3039" s="582">
        <f t="shared" si="1406"/>
        <v>9</v>
      </c>
      <c r="E3039" s="866" t="str">
        <f t="shared" si="1398"/>
        <v/>
      </c>
      <c r="F3039" s="964" t="str">
        <f t="shared" ref="F3039:I3039" si="1414">IF(F3029&lt;&gt; "",F3029,IF(F3019 &lt;&gt; "", F3019,""))</f>
        <v/>
      </c>
      <c r="G3039" s="895" t="str">
        <f t="shared" si="1414"/>
        <v/>
      </c>
      <c r="H3039" s="658" t="str">
        <f t="shared" si="1414"/>
        <v/>
      </c>
      <c r="I3039" s="965" t="str">
        <f t="shared" si="1414"/>
        <v/>
      </c>
      <c r="J3039" s="1804"/>
      <c r="K3039" s="1805"/>
      <c r="L3039" s="1805"/>
      <c r="M3039" s="1805"/>
      <c r="N3039" s="1805"/>
      <c r="O3039" s="485"/>
      <c r="S3039" s="1435"/>
      <c r="T3039" s="1435"/>
      <c r="Z3039" s="1736" t="b">
        <f t="shared" si="1400"/>
        <v>0</v>
      </c>
      <c r="AA3039" s="1443" t="b">
        <f t="shared" si="1401"/>
        <v>0</v>
      </c>
      <c r="AB3039" s="1737" t="b">
        <f t="shared" si="1404"/>
        <v>0</v>
      </c>
      <c r="AC3039" s="1738" t="b">
        <f t="shared" si="1408"/>
        <v>0</v>
      </c>
      <c r="AD3039" s="1443" t="b">
        <f t="shared" si="1408"/>
        <v>0</v>
      </c>
      <c r="AE3039" s="1443" t="b">
        <f t="shared" si="1408"/>
        <v>0</v>
      </c>
      <c r="AF3039" s="1443" t="b">
        <f t="shared" si="1408"/>
        <v>0</v>
      </c>
      <c r="AG3039" s="1443" t="b">
        <f t="shared" si="1408"/>
        <v>0</v>
      </c>
      <c r="AH3039" s="1443" t="b">
        <f t="shared" si="1408"/>
        <v>0</v>
      </c>
      <c r="AI3039" s="1737" t="b">
        <f t="shared" si="1408"/>
        <v>0</v>
      </c>
      <c r="AP3039" s="1135" t="s">
        <v>2479</v>
      </c>
    </row>
    <row r="3040" spans="2:42" ht="13.5" thickBot="1">
      <c r="B3040" s="1124"/>
      <c r="C3040" s="485"/>
      <c r="D3040" s="584">
        <f t="shared" si="1406"/>
        <v>10</v>
      </c>
      <c r="E3040" s="868" t="str">
        <f t="shared" si="1398"/>
        <v/>
      </c>
      <c r="F3040" s="967" t="str">
        <f t="shared" ref="F3040:I3040" si="1415">IF(F3030&lt;&gt; "",F3030,IF(F3020 &lt;&gt; "", F3020,""))</f>
        <v/>
      </c>
      <c r="G3040" s="968" t="str">
        <f t="shared" si="1415"/>
        <v/>
      </c>
      <c r="H3040" s="660" t="str">
        <f t="shared" si="1415"/>
        <v/>
      </c>
      <c r="I3040" s="969" t="str">
        <f t="shared" si="1415"/>
        <v/>
      </c>
      <c r="J3040" s="1804"/>
      <c r="K3040" s="1805"/>
      <c r="L3040" s="1805"/>
      <c r="M3040" s="1805"/>
      <c r="N3040" s="1805"/>
      <c r="O3040" s="485"/>
      <c r="S3040" s="1435"/>
      <c r="T3040" s="1435"/>
      <c r="Z3040" s="1742" t="b">
        <f t="shared" si="1400"/>
        <v>0</v>
      </c>
      <c r="AA3040" s="1743" t="b">
        <f t="shared" si="1401"/>
        <v>0</v>
      </c>
      <c r="AB3040" s="1744" t="b">
        <f t="shared" si="1404"/>
        <v>0</v>
      </c>
      <c r="AC3040" s="1745" t="b">
        <f t="shared" si="1408"/>
        <v>0</v>
      </c>
      <c r="AD3040" s="1743" t="b">
        <f t="shared" si="1408"/>
        <v>0</v>
      </c>
      <c r="AE3040" s="1743" t="b">
        <f t="shared" si="1408"/>
        <v>0</v>
      </c>
      <c r="AF3040" s="1743" t="b">
        <f t="shared" si="1408"/>
        <v>0</v>
      </c>
      <c r="AG3040" s="1743" t="b">
        <f t="shared" si="1408"/>
        <v>0</v>
      </c>
      <c r="AH3040" s="1743" t="b">
        <f t="shared" si="1408"/>
        <v>0</v>
      </c>
      <c r="AI3040" s="1744" t="b">
        <f t="shared" si="1408"/>
        <v>0</v>
      </c>
      <c r="AP3040" s="1135" t="s">
        <v>2480</v>
      </c>
    </row>
    <row r="3041" spans="2:28" ht="12.75" customHeight="1" thickBot="1">
      <c r="B3041" s="1124"/>
      <c r="C3041" s="485"/>
      <c r="D3041" s="971"/>
      <c r="E3041" s="972" t="s">
        <v>921</v>
      </c>
      <c r="F3041" s="948"/>
      <c r="G3041" s="1881"/>
      <c r="H3041" s="605" t="str">
        <f t="shared" ref="H3041:I3041" si="1416">IF(COUNT(H3031:H3040)&gt;0,SUM(H3031:H3040),"")</f>
        <v/>
      </c>
      <c r="I3041" s="973" t="str">
        <f t="shared" si="1416"/>
        <v/>
      </c>
      <c r="J3041" s="1804"/>
      <c r="K3041" s="1805"/>
      <c r="L3041" s="1805"/>
      <c r="M3041" s="1805"/>
      <c r="N3041" s="1805"/>
      <c r="O3041" s="485"/>
      <c r="P3041" s="485"/>
      <c r="S3041" s="1435"/>
      <c r="T3041" s="1435"/>
      <c r="AB3041" s="1848" t="b">
        <f>AND(AB3031:AB3040)</f>
        <v>0</v>
      </c>
    </row>
    <row r="3042" spans="2:28" ht="12.75" customHeight="1" thickBot="1">
      <c r="B3042" s="479"/>
      <c r="C3042" s="479"/>
      <c r="D3042" s="479"/>
      <c r="E3042" s="479"/>
      <c r="F3042" s="479"/>
      <c r="G3042" s="479"/>
      <c r="H3042" s="479"/>
      <c r="I3042" s="479"/>
      <c r="J3042" s="479"/>
      <c r="K3042" s="479"/>
      <c r="L3042" s="479"/>
      <c r="M3042" s="485"/>
      <c r="N3042" s="485"/>
      <c r="O3042" s="485"/>
      <c r="P3042" s="485"/>
      <c r="Q3042" s="1435"/>
      <c r="S3042" s="1435"/>
      <c r="T3042" s="1435"/>
    </row>
    <row r="3043" spans="2:28" ht="5.0999999999999996" customHeight="1">
      <c r="B3043" s="479"/>
      <c r="C3043" s="975"/>
      <c r="D3043" s="976"/>
      <c r="E3043" s="976"/>
      <c r="F3043" s="976"/>
      <c r="G3043" s="976"/>
      <c r="H3043" s="976"/>
      <c r="I3043" s="976"/>
      <c r="J3043" s="976"/>
      <c r="K3043" s="976"/>
      <c r="L3043" s="976"/>
      <c r="M3043" s="774"/>
      <c r="N3043" s="775"/>
      <c r="O3043" s="485"/>
      <c r="P3043" s="485"/>
      <c r="Q3043" s="1435"/>
      <c r="S3043" s="1435"/>
      <c r="T3043" s="1435"/>
    </row>
    <row r="3044" spans="2:28" ht="15" customHeight="1">
      <c r="B3044" s="1124"/>
      <c r="C3044" s="977"/>
      <c r="D3044" s="2678" t="s">
        <v>2330</v>
      </c>
      <c r="E3044" s="2672"/>
      <c r="F3044" s="2672"/>
      <c r="G3044" s="2672"/>
      <c r="H3044" s="2672"/>
      <c r="I3044" s="2672"/>
      <c r="J3044" s="2672"/>
      <c r="K3044" s="2672"/>
      <c r="L3044" s="2672"/>
      <c r="M3044" s="2672"/>
      <c r="N3044" s="2673"/>
      <c r="O3044" s="485"/>
      <c r="P3044" s="485"/>
      <c r="S3044" s="1435"/>
      <c r="T3044" s="1435"/>
    </row>
    <row r="3045" spans="2:28" ht="5.0999999999999996" customHeight="1">
      <c r="B3045" s="1124"/>
      <c r="C3045" s="980"/>
      <c r="D3045" s="813"/>
      <c r="E3045" s="813"/>
      <c r="F3045" s="813"/>
      <c r="G3045" s="813"/>
      <c r="H3045" s="813"/>
      <c r="I3045" s="813"/>
      <c r="J3045" s="813"/>
      <c r="K3045" s="813"/>
      <c r="L3045" s="813"/>
      <c r="M3045" s="813"/>
      <c r="N3045" s="814"/>
      <c r="O3045" s="485"/>
      <c r="P3045" s="485"/>
      <c r="S3045" s="1435"/>
      <c r="T3045" s="1435"/>
    </row>
    <row r="3046" spans="2:28" ht="15" customHeight="1">
      <c r="B3046" s="1124"/>
      <c r="C3046" s="980"/>
      <c r="D3046" s="2679" t="str">
        <f>EUconst_BMSubinst &amp; ":"</f>
        <v>Sub-installation with product benchmark:</v>
      </c>
      <c r="E3046" s="2646"/>
      <c r="F3046" s="2646"/>
      <c r="G3046" s="2646"/>
      <c r="H3046" s="2680"/>
      <c r="I3046" s="3293" t="str">
        <f>I2911</f>
        <v/>
      </c>
      <c r="J3046" s="3294"/>
      <c r="K3046" s="3294"/>
      <c r="L3046" s="3294"/>
      <c r="M3046" s="3294"/>
      <c r="N3046" s="3295"/>
      <c r="O3046" s="485"/>
      <c r="P3046" s="485"/>
      <c r="S3046" s="1435"/>
      <c r="T3046" s="1435"/>
    </row>
    <row r="3047" spans="2:28" ht="5.0999999999999996" customHeight="1">
      <c r="B3047" s="1124"/>
      <c r="C3047" s="980"/>
      <c r="D3047" s="813"/>
      <c r="E3047" s="813"/>
      <c r="F3047" s="813"/>
      <c r="G3047" s="813"/>
      <c r="H3047" s="813"/>
      <c r="I3047" s="813"/>
      <c r="J3047" s="813"/>
      <c r="K3047" s="813"/>
      <c r="L3047" s="813"/>
      <c r="M3047" s="813"/>
      <c r="N3047" s="814"/>
      <c r="O3047" s="485"/>
      <c r="P3047" s="485"/>
      <c r="S3047" s="1435"/>
      <c r="T3047" s="1435"/>
    </row>
    <row r="3048" spans="2:28" ht="30" customHeight="1">
      <c r="B3048" s="479"/>
      <c r="C3048" s="977"/>
      <c r="D3048" s="981"/>
      <c r="E3048" s="2691" t="s">
        <v>2154</v>
      </c>
      <c r="F3048" s="2691"/>
      <c r="G3048" s="2691"/>
      <c r="H3048" s="2691"/>
      <c r="I3048" s="2691"/>
      <c r="J3048" s="2691"/>
      <c r="K3048" s="2691"/>
      <c r="L3048" s="2691"/>
      <c r="M3048" s="2691"/>
      <c r="N3048" s="2692"/>
      <c r="O3048" s="485"/>
      <c r="P3048" s="485"/>
      <c r="Q3048" s="1435"/>
    </row>
    <row r="3049" spans="2:28" ht="30" customHeight="1">
      <c r="B3049" s="479"/>
      <c r="C3049" s="977"/>
      <c r="D3049" s="981"/>
      <c r="E3049" s="2691" t="s">
        <v>1550</v>
      </c>
      <c r="F3049" s="2691"/>
      <c r="G3049" s="2691"/>
      <c r="H3049" s="2691"/>
      <c r="I3049" s="2691"/>
      <c r="J3049" s="2691"/>
      <c r="K3049" s="2691"/>
      <c r="L3049" s="2691"/>
      <c r="M3049" s="2691"/>
      <c r="N3049" s="2650"/>
      <c r="O3049" s="485"/>
      <c r="P3049" s="485"/>
      <c r="Q3049" s="1435"/>
    </row>
    <row r="3050" spans="2:28" ht="12.75" customHeight="1">
      <c r="B3050" s="479"/>
      <c r="C3050" s="977"/>
      <c r="D3050" s="981"/>
      <c r="E3050" s="2691" t="s">
        <v>1549</v>
      </c>
      <c r="F3050" s="2391"/>
      <c r="G3050" s="2391"/>
      <c r="H3050" s="2391"/>
      <c r="I3050" s="2391"/>
      <c r="J3050" s="2391"/>
      <c r="K3050" s="2391"/>
      <c r="L3050" s="2391"/>
      <c r="M3050" s="2391"/>
      <c r="N3050" s="2650"/>
      <c r="O3050" s="485"/>
      <c r="P3050" s="485"/>
      <c r="Q3050" s="1435"/>
    </row>
    <row r="3051" spans="2:28" ht="15" customHeight="1">
      <c r="B3051" s="479"/>
      <c r="C3051" s="977"/>
      <c r="D3051" s="981"/>
      <c r="E3051" s="3269" t="s">
        <v>2215</v>
      </c>
      <c r="F3051" s="3269"/>
      <c r="G3051" s="3269"/>
      <c r="H3051" s="3269"/>
      <c r="I3051" s="3269"/>
      <c r="J3051" s="3269"/>
      <c r="K3051" s="3269"/>
      <c r="L3051" s="3269"/>
      <c r="M3051" s="3269"/>
      <c r="N3051" s="2694"/>
      <c r="O3051" s="485"/>
      <c r="P3051" s="485"/>
      <c r="Q3051" s="1435"/>
    </row>
    <row r="3052" spans="2:28" ht="5.0999999999999996" customHeight="1">
      <c r="B3052" s="1124"/>
      <c r="C3052" s="980"/>
      <c r="D3052" s="813"/>
      <c r="E3052" s="813"/>
      <c r="F3052" s="813"/>
      <c r="G3052" s="813"/>
      <c r="H3052" s="813"/>
      <c r="I3052" s="813"/>
      <c r="J3052" s="813"/>
      <c r="K3052" s="813"/>
      <c r="L3052" s="813"/>
      <c r="M3052" s="813"/>
      <c r="N3052" s="814"/>
      <c r="O3052" s="485"/>
      <c r="P3052" s="485"/>
      <c r="S3052" s="1435"/>
      <c r="T3052" s="1435"/>
    </row>
    <row r="3053" spans="2:28" ht="15" customHeight="1">
      <c r="B3053" s="479"/>
      <c r="C3053" s="977"/>
      <c r="D3053" s="981"/>
      <c r="E3053" s="3291" t="s">
        <v>1475</v>
      </c>
      <c r="F3053" s="3291"/>
      <c r="G3053" s="3291"/>
      <c r="H3053" s="3291"/>
      <c r="I3053" s="3291"/>
      <c r="J3053" s="3291"/>
      <c r="K3053" s="3291"/>
      <c r="L3053" s="3291"/>
      <c r="M3053" s="3291"/>
      <c r="N3053" s="2694"/>
      <c r="O3053" s="485"/>
      <c r="P3053" s="485"/>
      <c r="Q3053" s="1435"/>
    </row>
    <row r="3054" spans="2:28" ht="5.0999999999999996" customHeight="1">
      <c r="B3054" s="1124"/>
      <c r="C3054" s="980"/>
      <c r="D3054" s="813"/>
      <c r="E3054" s="813"/>
      <c r="F3054" s="813"/>
      <c r="G3054" s="813"/>
      <c r="H3054" s="813"/>
      <c r="I3054" s="813"/>
      <c r="J3054" s="813"/>
      <c r="K3054" s="813"/>
      <c r="L3054" s="813"/>
      <c r="M3054" s="813"/>
      <c r="N3054" s="814"/>
      <c r="O3054" s="485"/>
      <c r="P3054" s="485"/>
      <c r="S3054" s="1435"/>
      <c r="T3054" s="1435"/>
    </row>
    <row r="3055" spans="2:28" ht="12.75" customHeight="1">
      <c r="B3055" s="479"/>
      <c r="C3055" s="977"/>
      <c r="D3055" s="982" t="s">
        <v>266</v>
      </c>
      <c r="E3055" s="2671" t="s">
        <v>1617</v>
      </c>
      <c r="F3055" s="2672"/>
      <c r="G3055" s="2672"/>
      <c r="H3055" s="2672"/>
      <c r="I3055" s="2672"/>
      <c r="J3055" s="2672"/>
      <c r="K3055" s="2672"/>
      <c r="L3055" s="2672"/>
      <c r="M3055" s="2672"/>
      <c r="N3055" s="2673"/>
      <c r="O3055" s="485"/>
      <c r="P3055" s="485"/>
      <c r="Q3055" s="1435"/>
      <c r="S3055" s="1435"/>
      <c r="T3055" s="1435"/>
    </row>
    <row r="3056" spans="2:28" ht="12.75" customHeight="1">
      <c r="B3056" s="479"/>
      <c r="C3056" s="977"/>
      <c r="D3056" s="777"/>
      <c r="E3056" s="3292" t="s">
        <v>2295</v>
      </c>
      <c r="F3056" s="2671"/>
      <c r="G3056" s="2671"/>
      <c r="H3056" s="2671"/>
      <c r="I3056" s="2671"/>
      <c r="J3056" s="2671"/>
      <c r="K3056" s="2671"/>
      <c r="L3056" s="2671"/>
      <c r="M3056" s="2671"/>
      <c r="N3056" s="2712"/>
      <c r="O3056" s="485"/>
      <c r="P3056" s="485"/>
      <c r="Q3056" s="1435"/>
      <c r="S3056" s="1435"/>
      <c r="T3056" s="1435"/>
    </row>
    <row r="3057" spans="2:37" ht="12.75" customHeight="1">
      <c r="B3057" s="479"/>
      <c r="C3057" s="977"/>
      <c r="D3057" s="981"/>
      <c r="E3057" s="3288" t="s">
        <v>1618</v>
      </c>
      <c r="F3057" s="3288"/>
      <c r="G3057" s="3288"/>
      <c r="H3057" s="3288"/>
      <c r="I3057" s="3288"/>
      <c r="J3057" s="3288"/>
      <c r="K3057" s="3288"/>
      <c r="L3057" s="3288"/>
      <c r="M3057" s="3288"/>
      <c r="N3057" s="3289"/>
      <c r="O3057" s="485"/>
      <c r="P3057" s="485"/>
      <c r="Q3057" s="1435"/>
      <c r="S3057" s="1435"/>
    </row>
    <row r="3058" spans="2:37" ht="25.5" customHeight="1">
      <c r="B3058" s="479"/>
      <c r="C3058" s="977"/>
      <c r="D3058" s="981"/>
      <c r="E3058" s="985" t="s">
        <v>1021</v>
      </c>
      <c r="F3058" s="3290" t="s">
        <v>1616</v>
      </c>
      <c r="G3058" s="2646"/>
      <c r="H3058" s="2646"/>
      <c r="I3058" s="2646"/>
      <c r="J3058" s="2646"/>
      <c r="K3058" s="2646"/>
      <c r="L3058" s="2646"/>
      <c r="M3058" s="2646"/>
      <c r="N3058" s="2647"/>
      <c r="O3058" s="485"/>
      <c r="P3058" s="485"/>
      <c r="Q3058" s="1435"/>
      <c r="S3058" s="1435"/>
    </row>
    <row r="3059" spans="2:37" ht="38.25" customHeight="1">
      <c r="B3059" s="479"/>
      <c r="C3059" s="977"/>
      <c r="D3059" s="981"/>
      <c r="E3059" s="985"/>
      <c r="F3059" s="3267" t="s">
        <v>1615</v>
      </c>
      <c r="G3059" s="2380"/>
      <c r="H3059" s="2380"/>
      <c r="I3059" s="2380"/>
      <c r="J3059" s="2380"/>
      <c r="K3059" s="2380"/>
      <c r="L3059" s="2380"/>
      <c r="M3059" s="2380"/>
      <c r="N3059" s="3268"/>
      <c r="O3059" s="485"/>
      <c r="P3059" s="485"/>
      <c r="Q3059" s="1435"/>
      <c r="S3059" s="1435"/>
    </row>
    <row r="3060" spans="2:37" ht="12.75" customHeight="1">
      <c r="B3060" s="479"/>
      <c r="C3060" s="977"/>
      <c r="D3060" s="981"/>
      <c r="E3060" s="985" t="s">
        <v>1021</v>
      </c>
      <c r="F3060" s="3290" t="s">
        <v>1278</v>
      </c>
      <c r="G3060" s="2646"/>
      <c r="H3060" s="2646"/>
      <c r="I3060" s="2646"/>
      <c r="J3060" s="2646"/>
      <c r="K3060" s="2646"/>
      <c r="L3060" s="2646"/>
      <c r="M3060" s="2646"/>
      <c r="N3060" s="2647"/>
      <c r="O3060" s="485"/>
      <c r="P3060" s="485"/>
      <c r="Q3060" s="1435"/>
      <c r="S3060" s="1435"/>
    </row>
    <row r="3061" spans="2:37" ht="38.85" customHeight="1">
      <c r="B3061" s="479"/>
      <c r="C3061" s="977"/>
      <c r="D3061" s="981"/>
      <c r="E3061" s="985"/>
      <c r="F3061" s="3290" t="s">
        <v>1620</v>
      </c>
      <c r="G3061" s="2646"/>
      <c r="H3061" s="2646"/>
      <c r="I3061" s="2646"/>
      <c r="J3061" s="2646"/>
      <c r="K3061" s="2646"/>
      <c r="L3061" s="2646"/>
      <c r="M3061" s="2646"/>
      <c r="N3061" s="2647"/>
      <c r="O3061" s="485"/>
      <c r="P3061" s="485"/>
      <c r="Q3061" s="1435"/>
      <c r="S3061" s="1435"/>
    </row>
    <row r="3062" spans="2:37" ht="25.5" customHeight="1">
      <c r="B3062" s="479"/>
      <c r="C3062" s="977"/>
      <c r="D3062" s="981"/>
      <c r="E3062" s="985"/>
      <c r="F3062" s="3290" t="s">
        <v>1619</v>
      </c>
      <c r="G3062" s="2646"/>
      <c r="H3062" s="2646"/>
      <c r="I3062" s="2646"/>
      <c r="J3062" s="2646"/>
      <c r="K3062" s="2646"/>
      <c r="L3062" s="2646"/>
      <c r="M3062" s="2646"/>
      <c r="N3062" s="2647"/>
      <c r="O3062" s="485"/>
      <c r="P3062" s="485"/>
      <c r="Q3062" s="1435"/>
      <c r="S3062" s="1435"/>
    </row>
    <row r="3063" spans="2:37" ht="25.5" customHeight="1">
      <c r="B3063" s="479"/>
      <c r="C3063" s="977"/>
      <c r="D3063" s="981"/>
      <c r="E3063" s="985" t="s">
        <v>1021</v>
      </c>
      <c r="F3063" s="3290" t="s">
        <v>1542</v>
      </c>
      <c r="G3063" s="2646"/>
      <c r="H3063" s="2646"/>
      <c r="I3063" s="2646"/>
      <c r="J3063" s="2646"/>
      <c r="K3063" s="2646"/>
      <c r="L3063" s="2646"/>
      <c r="M3063" s="2646"/>
      <c r="N3063" s="2647"/>
      <c r="O3063" s="485"/>
      <c r="P3063" s="485"/>
      <c r="Q3063" s="1435"/>
      <c r="S3063" s="1435"/>
    </row>
    <row r="3064" spans="2:37" ht="25.5" customHeight="1" thickBot="1">
      <c r="B3064" s="479"/>
      <c r="C3064" s="977"/>
      <c r="D3064" s="981"/>
      <c r="E3064" s="985" t="s">
        <v>1021</v>
      </c>
      <c r="F3064" s="3290" t="s">
        <v>1458</v>
      </c>
      <c r="G3064" s="2646"/>
      <c r="H3064" s="2646"/>
      <c r="I3064" s="2646"/>
      <c r="J3064" s="2646"/>
      <c r="K3064" s="2646"/>
      <c r="L3064" s="2646"/>
      <c r="M3064" s="2646"/>
      <c r="N3064" s="2647"/>
      <c r="O3064" s="485"/>
      <c r="P3064" s="485"/>
      <c r="Q3064" s="1435"/>
      <c r="S3064" s="1435"/>
    </row>
    <row r="3065" spans="2:37" ht="12.75" customHeight="1" thickBot="1">
      <c r="B3065" s="479"/>
      <c r="C3065" s="977"/>
      <c r="D3065" s="982"/>
      <c r="E3065" s="2648" t="s">
        <v>1612</v>
      </c>
      <c r="F3065" s="2648"/>
      <c r="G3065" s="987" t="str">
        <f>EUconst_Unit</f>
        <v>Unit</v>
      </c>
      <c r="H3065" s="782">
        <f t="shared" ref="H3065:N3065" si="1417">H$3242</f>
        <v>2024</v>
      </c>
      <c r="I3065" s="988">
        <f t="shared" si="1417"/>
        <v>2025</v>
      </c>
      <c r="J3065" s="1810">
        <f t="shared" si="1417"/>
        <v>2026</v>
      </c>
      <c r="K3065" s="1747">
        <f t="shared" si="1417"/>
        <v>2027</v>
      </c>
      <c r="L3065" s="1747">
        <f t="shared" si="1417"/>
        <v>2028</v>
      </c>
      <c r="M3065" s="1747">
        <f t="shared" si="1417"/>
        <v>2029</v>
      </c>
      <c r="N3065" s="1748">
        <f t="shared" si="1417"/>
        <v>2030</v>
      </c>
      <c r="O3065" s="485"/>
      <c r="P3065" s="485"/>
      <c r="Q3065" s="1435"/>
      <c r="S3065" s="1648"/>
      <c r="T3065" s="1749">
        <f t="shared" ref="T3065:Z3065" si="1418">H3065</f>
        <v>2024</v>
      </c>
      <c r="U3065" s="1749">
        <f t="shared" si="1418"/>
        <v>2025</v>
      </c>
      <c r="V3065" s="1749">
        <f t="shared" si="1418"/>
        <v>2026</v>
      </c>
      <c r="W3065" s="1749">
        <f t="shared" si="1418"/>
        <v>2027</v>
      </c>
      <c r="X3065" s="1749">
        <f t="shared" si="1418"/>
        <v>2028</v>
      </c>
      <c r="Y3065" s="1749">
        <f t="shared" si="1418"/>
        <v>2029</v>
      </c>
      <c r="Z3065" s="1750">
        <f t="shared" si="1418"/>
        <v>2030</v>
      </c>
      <c r="AC3065" s="1638">
        <f t="shared" ref="AC3065:AI3065" si="1419">H$20</f>
        <v>2024</v>
      </c>
      <c r="AD3065" s="1638">
        <f t="shared" si="1419"/>
        <v>2025</v>
      </c>
      <c r="AE3065" s="1638">
        <f t="shared" si="1419"/>
        <v>2026</v>
      </c>
      <c r="AF3065" s="1638">
        <f t="shared" si="1419"/>
        <v>2027</v>
      </c>
      <c r="AG3065" s="1638">
        <f t="shared" si="1419"/>
        <v>2028</v>
      </c>
      <c r="AH3065" s="1638">
        <f t="shared" si="1419"/>
        <v>2029</v>
      </c>
      <c r="AI3065" s="1638">
        <f t="shared" si="1419"/>
        <v>2030</v>
      </c>
    </row>
    <row r="3066" spans="2:37" ht="12.75" customHeight="1" thickBot="1">
      <c r="B3066" s="479"/>
      <c r="C3066" s="977"/>
      <c r="D3066" s="981"/>
      <c r="E3066" s="3285" t="str">
        <f>I2911</f>
        <v/>
      </c>
      <c r="F3066" s="2410"/>
      <c r="G3066" s="815" t="str">
        <f>EUconst_tCO2epa</f>
        <v>t CO2e/year</v>
      </c>
      <c r="H3066" s="1479" t="str">
        <f>c_ALR2025!M5572</f>
        <v/>
      </c>
      <c r="I3066" s="1532"/>
      <c r="J3066" s="1811"/>
      <c r="K3066" s="1751"/>
      <c r="L3066" s="1751"/>
      <c r="M3066" s="1751"/>
      <c r="N3066" s="1752"/>
      <c r="O3066" s="485"/>
      <c r="P3066" s="9"/>
      <c r="Q3066" s="1644" t="str">
        <f>EUconst_CNTR_Emissions &amp; I2911</f>
        <v>DirEmissions_</v>
      </c>
      <c r="S3066" s="1753" t="str">
        <f>EUconst_CNTR_AttributedEmissions &amp; I2911</f>
        <v>AttrEmissions_</v>
      </c>
      <c r="T3066" s="1743" t="str">
        <f t="shared" ref="T3066:Z3066" si="1420">IF(T2919,SUM(H3066),"")</f>
        <v/>
      </c>
      <c r="U3066" s="1743" t="str">
        <f t="shared" si="1420"/>
        <v/>
      </c>
      <c r="V3066" s="1743" t="str">
        <f t="shared" si="1420"/>
        <v/>
      </c>
      <c r="W3066" s="1743" t="str">
        <f t="shared" si="1420"/>
        <v/>
      </c>
      <c r="X3066" s="1743" t="str">
        <f t="shared" si="1420"/>
        <v/>
      </c>
      <c r="Y3066" s="1743" t="str">
        <f t="shared" si="1420"/>
        <v/>
      </c>
      <c r="Z3066" s="1744" t="str">
        <f t="shared" si="1420"/>
        <v/>
      </c>
      <c r="AB3066" s="1641" t="s">
        <v>717</v>
      </c>
      <c r="AC3066" s="1443" t="b">
        <f>AC2981</f>
        <v>0</v>
      </c>
      <c r="AD3066" s="1443" t="b">
        <f t="shared" ref="AD3066:AI3066" si="1421">AD2981</f>
        <v>0</v>
      </c>
      <c r="AE3066" s="1443" t="b">
        <f t="shared" si="1421"/>
        <v>0</v>
      </c>
      <c r="AF3066" s="1443" t="b">
        <f t="shared" si="1421"/>
        <v>0</v>
      </c>
      <c r="AG3066" s="1443" t="b">
        <f t="shared" si="1421"/>
        <v>0</v>
      </c>
      <c r="AH3066" s="1443" t="b">
        <f t="shared" si="1421"/>
        <v>0</v>
      </c>
      <c r="AI3066" s="1443" t="b">
        <f t="shared" si="1421"/>
        <v>0</v>
      </c>
      <c r="AJ3066" s="1633" t="s">
        <v>1954</v>
      </c>
      <c r="AK3066" s="1635" t="str">
        <f>IF(AND(CNTR_ExistSubInstEntries,MSconst_RequireSubAttrEmissions,COUNTIFS(AC3066:AI3066,FALSE,H3066:N3066,"")&gt;0),EUconst_Error&amp;"BM"&amp;$Q2911,"")</f>
        <v/>
      </c>
    </row>
    <row r="3067" spans="2:37" ht="12.75" customHeight="1">
      <c r="B3067" s="479"/>
      <c r="C3067" s="977"/>
      <c r="D3067" s="981"/>
      <c r="E3067" s="981"/>
      <c r="F3067" s="981"/>
      <c r="G3067" s="981"/>
      <c r="H3067" s="981"/>
      <c r="I3067" s="981"/>
      <c r="J3067" s="981"/>
      <c r="K3067" s="981"/>
      <c r="L3067" s="981"/>
      <c r="M3067" s="813"/>
      <c r="N3067" s="814"/>
      <c r="O3067" s="485"/>
      <c r="P3067" s="485"/>
      <c r="Q3067" s="1435"/>
      <c r="S3067" s="1435"/>
    </row>
    <row r="3068" spans="2:37" ht="12.75" customHeight="1">
      <c r="B3068" s="479"/>
      <c r="C3068" s="977"/>
      <c r="D3068" s="982" t="s">
        <v>269</v>
      </c>
      <c r="E3068" s="2649" t="s">
        <v>1189</v>
      </c>
      <c r="F3068" s="2391"/>
      <c r="G3068" s="2391"/>
      <c r="H3068" s="2391"/>
      <c r="I3068" s="2391"/>
      <c r="J3068" s="2391"/>
      <c r="K3068" s="2391"/>
      <c r="L3068" s="2391"/>
      <c r="M3068" s="2391"/>
      <c r="N3068" s="2650"/>
      <c r="O3068" s="485"/>
      <c r="P3068" s="485"/>
      <c r="Q3068" s="1435"/>
      <c r="R3068" s="1435"/>
      <c r="S3068" s="1435"/>
    </row>
    <row r="3069" spans="2:37" ht="25.5" customHeight="1">
      <c r="B3069" s="479"/>
      <c r="C3069" s="977"/>
      <c r="D3069" s="981"/>
      <c r="E3069" s="3288" t="s">
        <v>1605</v>
      </c>
      <c r="F3069" s="3288"/>
      <c r="G3069" s="3288"/>
      <c r="H3069" s="3288"/>
      <c r="I3069" s="3288"/>
      <c r="J3069" s="3288"/>
      <c r="K3069" s="3288"/>
      <c r="L3069" s="3288"/>
      <c r="M3069" s="3288"/>
      <c r="N3069" s="3289"/>
      <c r="O3069" s="485"/>
      <c r="P3069" s="485"/>
      <c r="Q3069" s="1435"/>
      <c r="R3069" s="1435"/>
      <c r="S3069" s="1435"/>
    </row>
    <row r="3070" spans="2:37" ht="25.5" customHeight="1">
      <c r="B3070" s="479"/>
      <c r="C3070" s="977"/>
      <c r="D3070" s="981"/>
      <c r="E3070" s="3288" t="s">
        <v>1357</v>
      </c>
      <c r="F3070" s="3288"/>
      <c r="G3070" s="3288"/>
      <c r="H3070" s="3288"/>
      <c r="I3070" s="3288"/>
      <c r="J3070" s="3288"/>
      <c r="K3070" s="3288"/>
      <c r="L3070" s="3288"/>
      <c r="M3070" s="3288"/>
      <c r="N3070" s="3289"/>
      <c r="O3070" s="485"/>
      <c r="P3070" s="485"/>
      <c r="Q3070" s="1435"/>
      <c r="S3070" s="1435"/>
    </row>
    <row r="3071" spans="2:37" ht="12.75" customHeight="1">
      <c r="B3071" s="479"/>
      <c r="C3071" s="977"/>
      <c r="D3071" s="981"/>
      <c r="E3071" s="3288" t="s">
        <v>1594</v>
      </c>
      <c r="F3071" s="3288"/>
      <c r="G3071" s="3288"/>
      <c r="H3071" s="3288"/>
      <c r="I3071" s="3288"/>
      <c r="J3071" s="3288"/>
      <c r="K3071" s="3288"/>
      <c r="L3071" s="3288"/>
      <c r="M3071" s="3288"/>
      <c r="N3071" s="3289"/>
      <c r="O3071" s="485"/>
      <c r="P3071" s="485"/>
      <c r="Q3071" s="1435"/>
      <c r="S3071" s="1435"/>
    </row>
    <row r="3072" spans="2:37" ht="12.75" customHeight="1">
      <c r="B3072" s="479"/>
      <c r="C3072" s="977"/>
      <c r="D3072" s="981"/>
      <c r="E3072" s="3272" t="s">
        <v>1557</v>
      </c>
      <c r="F3072" s="2380"/>
      <c r="G3072" s="2380"/>
      <c r="H3072" s="2380"/>
      <c r="I3072" s="2380"/>
      <c r="J3072" s="2380"/>
      <c r="K3072" s="2380"/>
      <c r="L3072" s="2380"/>
      <c r="M3072" s="2380"/>
      <c r="N3072" s="3268"/>
      <c r="O3072" s="485"/>
      <c r="P3072" s="485"/>
      <c r="Q3072" s="1435"/>
      <c r="S3072" s="1435"/>
    </row>
    <row r="3073" spans="2:37" ht="12.75" customHeight="1" thickBot="1">
      <c r="B3073" s="479"/>
      <c r="C3073" s="977"/>
      <c r="D3073" s="982"/>
      <c r="E3073" s="989"/>
      <c r="F3073" s="990"/>
      <c r="G3073" s="987" t="str">
        <f>EUconst_Unit</f>
        <v>Unit</v>
      </c>
      <c r="H3073" s="782">
        <f t="shared" ref="H3073:N3073" si="1422">H$3242</f>
        <v>2024</v>
      </c>
      <c r="I3073" s="988">
        <f t="shared" si="1422"/>
        <v>2025</v>
      </c>
      <c r="J3073" s="1810">
        <f t="shared" si="1422"/>
        <v>2026</v>
      </c>
      <c r="K3073" s="1747">
        <f t="shared" si="1422"/>
        <v>2027</v>
      </c>
      <c r="L3073" s="1747">
        <f t="shared" si="1422"/>
        <v>2028</v>
      </c>
      <c r="M3073" s="1747">
        <f t="shared" si="1422"/>
        <v>2029</v>
      </c>
      <c r="N3073" s="1748">
        <f t="shared" si="1422"/>
        <v>2030</v>
      </c>
      <c r="O3073" s="485"/>
      <c r="P3073" s="485"/>
      <c r="Q3073" s="1435"/>
      <c r="S3073" s="1435"/>
      <c r="AC3073" s="1638">
        <f t="shared" ref="AC3073:AI3073" si="1423">H$20</f>
        <v>2024</v>
      </c>
      <c r="AD3073" s="1638">
        <f t="shared" si="1423"/>
        <v>2025</v>
      </c>
      <c r="AE3073" s="1638">
        <f t="shared" si="1423"/>
        <v>2026</v>
      </c>
      <c r="AF3073" s="1638">
        <f t="shared" si="1423"/>
        <v>2027</v>
      </c>
      <c r="AG3073" s="1638">
        <f t="shared" si="1423"/>
        <v>2028</v>
      </c>
      <c r="AH3073" s="1638">
        <f t="shared" si="1423"/>
        <v>2029</v>
      </c>
      <c r="AI3073" s="1638">
        <f t="shared" si="1423"/>
        <v>2030</v>
      </c>
    </row>
    <row r="3074" spans="2:37" ht="12.75" customHeight="1">
      <c r="B3074" s="479"/>
      <c r="C3074" s="977"/>
      <c r="D3074" s="777" t="s">
        <v>6</v>
      </c>
      <c r="E3074" s="2475" t="s">
        <v>1344</v>
      </c>
      <c r="F3074" s="2410"/>
      <c r="G3074" s="815" t="str">
        <f>EUconst_TJpa</f>
        <v>TJ / year</v>
      </c>
      <c r="H3074" s="1479" t="str">
        <f>c_ALR2025!M5580</f>
        <v/>
      </c>
      <c r="I3074" s="1532"/>
      <c r="J3074" s="1811"/>
      <c r="K3074" s="1751"/>
      <c r="L3074" s="1751"/>
      <c r="M3074" s="1751"/>
      <c r="N3074" s="1752"/>
      <c r="O3074" s="485"/>
      <c r="P3074" s="9"/>
      <c r="Q3074" s="1644" t="str">
        <f>EUconst_CNTR_FuelInput &amp; I2911</f>
        <v>FuelInput_</v>
      </c>
      <c r="S3074" s="1435"/>
      <c r="AB3074" s="1641" t="s">
        <v>717</v>
      </c>
      <c r="AC3074" s="1443" t="b">
        <f>AC2981</f>
        <v>0</v>
      </c>
      <c r="AD3074" s="1443" t="b">
        <f t="shared" ref="AD3074:AI3074" si="1424">AD2981</f>
        <v>0</v>
      </c>
      <c r="AE3074" s="1443" t="b">
        <f t="shared" si="1424"/>
        <v>0</v>
      </c>
      <c r="AF3074" s="1443" t="b">
        <f t="shared" si="1424"/>
        <v>0</v>
      </c>
      <c r="AG3074" s="1443" t="b">
        <f t="shared" si="1424"/>
        <v>0</v>
      </c>
      <c r="AH3074" s="1443" t="b">
        <f t="shared" si="1424"/>
        <v>0</v>
      </c>
      <c r="AI3074" s="1443" t="b">
        <f t="shared" si="1424"/>
        <v>0</v>
      </c>
      <c r="AJ3074" s="1633" t="s">
        <v>1954</v>
      </c>
      <c r="AK3074" s="1635" t="str">
        <f>IF(AND(CNTR_ExistSubInstEntries,MSconst_RequireSubAttrEmissions,COUNTIFS(AC3074:AI3074,FALSE,H3074:N3074,"")&gt;0),EUconst_Error&amp;"BM"&amp;$Q2911,"")</f>
        <v/>
      </c>
    </row>
    <row r="3075" spans="2:37" ht="12.75" customHeight="1">
      <c r="B3075" s="479"/>
      <c r="C3075" s="977"/>
      <c r="D3075" s="777" t="s">
        <v>7</v>
      </c>
      <c r="E3075" s="2475" t="s">
        <v>1182</v>
      </c>
      <c r="F3075" s="2410"/>
      <c r="G3075" s="991" t="str">
        <f>EUconst_tCO2pTJ</f>
        <v>t CO2 / TJ</v>
      </c>
      <c r="H3075" s="1582" t="str">
        <f>c_ALR2025!M5581</f>
        <v/>
      </c>
      <c r="I3075" s="1882"/>
      <c r="J3075" s="1811"/>
      <c r="K3075" s="1751"/>
      <c r="L3075" s="1751"/>
      <c r="M3075" s="1751"/>
      <c r="N3075" s="1752"/>
      <c r="O3075" s="485"/>
      <c r="P3075" s="9"/>
      <c r="Q3075" s="1644" t="str">
        <f>EUconst_CNTR_FuelEF &amp; I2911</f>
        <v>FuelEF_</v>
      </c>
      <c r="S3075" s="1435"/>
      <c r="AC3075" s="1443" t="b">
        <f>AC3074</f>
        <v>0</v>
      </c>
      <c r="AD3075" s="1443" t="b">
        <f t="shared" ref="AD3075:AI3075" si="1425">AD3074</f>
        <v>0</v>
      </c>
      <c r="AE3075" s="1443" t="b">
        <f t="shared" si="1425"/>
        <v>0</v>
      </c>
      <c r="AF3075" s="1443" t="b">
        <f t="shared" si="1425"/>
        <v>0</v>
      </c>
      <c r="AG3075" s="1443" t="b">
        <f t="shared" si="1425"/>
        <v>0</v>
      </c>
      <c r="AH3075" s="1443" t="b">
        <f t="shared" si="1425"/>
        <v>0</v>
      </c>
      <c r="AI3075" s="1443" t="b">
        <f t="shared" si="1425"/>
        <v>0</v>
      </c>
      <c r="AJ3075" s="1633" t="s">
        <v>1954</v>
      </c>
      <c r="AK3075" s="1635" t="str">
        <f>IF(AND(CNTR_ExistSubInstEntries,MSconst_RequireSubAttrEmissions,COUNTIFS(AC3075:AI3075,FALSE,H3075:N3075,"")&gt;0),EUconst_Error&amp;"BM"&amp;$Q2911,"")</f>
        <v/>
      </c>
    </row>
    <row r="3076" spans="2:37" ht="12.75" customHeight="1">
      <c r="B3076" s="479"/>
      <c r="C3076" s="977"/>
      <c r="D3076" s="981"/>
      <c r="E3076" s="981"/>
      <c r="F3076" s="981"/>
      <c r="G3076" s="981"/>
      <c r="H3076" s="981"/>
      <c r="I3076" s="981"/>
      <c r="J3076" s="981"/>
      <c r="K3076" s="981"/>
      <c r="L3076" s="981"/>
      <c r="M3076" s="813"/>
      <c r="N3076" s="814"/>
      <c r="O3076" s="485"/>
      <c r="P3076" s="485"/>
      <c r="Q3076" s="1435"/>
      <c r="S3076" s="1435"/>
    </row>
    <row r="3077" spans="2:37" ht="12.75" customHeight="1">
      <c r="B3077" s="479"/>
      <c r="C3077" s="977"/>
      <c r="D3077" s="982" t="s">
        <v>271</v>
      </c>
      <c r="E3077" s="2649" t="s">
        <v>1416</v>
      </c>
      <c r="F3077" s="2391"/>
      <c r="G3077" s="2391"/>
      <c r="H3077" s="2391"/>
      <c r="I3077" s="2391"/>
      <c r="J3077" s="2391"/>
      <c r="K3077" s="2391"/>
      <c r="L3077" s="2391"/>
      <c r="M3077" s="2391"/>
      <c r="N3077" s="2650"/>
      <c r="O3077" s="485"/>
      <c r="P3077" s="485"/>
      <c r="Q3077" s="1435"/>
      <c r="R3077" s="1435"/>
      <c r="S3077" s="1435"/>
    </row>
    <row r="3078" spans="2:37" ht="12.75" customHeight="1">
      <c r="B3078" s="479"/>
      <c r="C3078" s="977"/>
      <c r="D3078" s="777"/>
      <c r="E3078" s="3272" t="s">
        <v>2295</v>
      </c>
      <c r="F3078" s="2380"/>
      <c r="G3078" s="2380"/>
      <c r="H3078" s="2380"/>
      <c r="I3078" s="2380"/>
      <c r="J3078" s="2380"/>
      <c r="K3078" s="2380"/>
      <c r="L3078" s="2380"/>
      <c r="M3078" s="2380"/>
      <c r="N3078" s="3268"/>
      <c r="O3078" s="485"/>
      <c r="P3078" s="485"/>
      <c r="Q3078" s="1435"/>
      <c r="S3078" s="1435"/>
      <c r="T3078" s="1435"/>
      <c r="U3078" s="1435"/>
      <c r="V3078" s="1435"/>
    </row>
    <row r="3079" spans="2:37" ht="25.5" customHeight="1">
      <c r="B3079" s="479"/>
      <c r="C3079" s="977"/>
      <c r="D3079" s="981"/>
      <c r="E3079" s="3272" t="s">
        <v>1551</v>
      </c>
      <c r="F3079" s="2380"/>
      <c r="G3079" s="2380"/>
      <c r="H3079" s="2380"/>
      <c r="I3079" s="2380"/>
      <c r="J3079" s="2380"/>
      <c r="K3079" s="2380"/>
      <c r="L3079" s="2380"/>
      <c r="M3079" s="2380"/>
      <c r="N3079" s="3268"/>
      <c r="O3079" s="485"/>
      <c r="P3079" s="485"/>
      <c r="Q3079" s="1435"/>
      <c r="R3079" s="1435"/>
      <c r="S3079" s="1435"/>
    </row>
    <row r="3080" spans="2:37" ht="12.75" customHeight="1">
      <c r="B3080" s="479"/>
      <c r="C3080" s="977"/>
      <c r="D3080" s="981"/>
      <c r="E3080" s="3267" t="s">
        <v>1552</v>
      </c>
      <c r="F3080" s="2380"/>
      <c r="G3080" s="2380"/>
      <c r="H3080" s="2380"/>
      <c r="I3080" s="2380"/>
      <c r="J3080" s="2380"/>
      <c r="K3080" s="2380"/>
      <c r="L3080" s="2380"/>
      <c r="M3080" s="2380"/>
      <c r="N3080" s="3268"/>
      <c r="O3080" s="485"/>
      <c r="P3080" s="485"/>
      <c r="Q3080" s="1435"/>
      <c r="R3080" s="1435"/>
      <c r="S3080" s="1435"/>
    </row>
    <row r="3081" spans="2:37" ht="38.85" customHeight="1">
      <c r="B3081" s="479"/>
      <c r="C3081" s="977"/>
      <c r="D3081" s="981"/>
      <c r="E3081" s="3267" t="s">
        <v>1553</v>
      </c>
      <c r="F3081" s="2380"/>
      <c r="G3081" s="2380"/>
      <c r="H3081" s="2380"/>
      <c r="I3081" s="2380"/>
      <c r="J3081" s="2380"/>
      <c r="K3081" s="2380"/>
      <c r="L3081" s="2380"/>
      <c r="M3081" s="2380"/>
      <c r="N3081" s="3268"/>
      <c r="O3081" s="485"/>
      <c r="P3081" s="485"/>
      <c r="Q3081" s="1435"/>
      <c r="S3081" s="1435"/>
    </row>
    <row r="3082" spans="2:37" ht="51" customHeight="1">
      <c r="B3082" s="479"/>
      <c r="C3082" s="977"/>
      <c r="D3082" s="981"/>
      <c r="E3082" s="3267" t="s">
        <v>1567</v>
      </c>
      <c r="F3082" s="2380"/>
      <c r="G3082" s="2380"/>
      <c r="H3082" s="2380"/>
      <c r="I3082" s="2380"/>
      <c r="J3082" s="2380"/>
      <c r="K3082" s="2380"/>
      <c r="L3082" s="2380"/>
      <c r="M3082" s="2380"/>
      <c r="N3082" s="3268"/>
      <c r="O3082" s="485"/>
      <c r="P3082" s="485"/>
      <c r="Q3082" s="1435"/>
      <c r="S3082" s="1435"/>
    </row>
    <row r="3083" spans="2:37" ht="25.5" customHeight="1">
      <c r="B3083" s="479"/>
      <c r="C3083" s="977"/>
      <c r="D3083" s="981"/>
      <c r="E3083" s="3267" t="s">
        <v>1565</v>
      </c>
      <c r="F3083" s="2380"/>
      <c r="G3083" s="2380"/>
      <c r="H3083" s="2380"/>
      <c r="I3083" s="2380"/>
      <c r="J3083" s="2380"/>
      <c r="K3083" s="2380"/>
      <c r="L3083" s="2380"/>
      <c r="M3083" s="2380"/>
      <c r="N3083" s="3268"/>
      <c r="O3083" s="485"/>
      <c r="P3083" s="485"/>
      <c r="Q3083" s="1435"/>
      <c r="S3083" s="1435"/>
    </row>
    <row r="3084" spans="2:37" ht="12.75" customHeight="1">
      <c r="B3084" s="479"/>
      <c r="C3084" s="977"/>
      <c r="D3084" s="777" t="s">
        <v>6</v>
      </c>
      <c r="E3084" s="2682" t="s">
        <v>1456</v>
      </c>
      <c r="F3084" s="2391"/>
      <c r="G3084" s="2391"/>
      <c r="H3084" s="2391"/>
      <c r="I3084" s="2391"/>
      <c r="J3084" s="2391"/>
      <c r="K3084" s="2512"/>
      <c r="L3084" s="1478" t="str">
        <f>c_ALR2025!L5590</f>
        <v/>
      </c>
      <c r="M3084" s="978"/>
      <c r="N3084" s="979"/>
      <c r="O3084" s="485"/>
      <c r="P3084" s="9"/>
      <c r="Q3084" s="1435"/>
      <c r="S3084" s="1435"/>
      <c r="AF3084" s="1641" t="s">
        <v>717</v>
      </c>
      <c r="AG3084" s="1423" t="b">
        <f>AND(CNTR_ExistSubInstEntries,I2911="")</f>
        <v>0</v>
      </c>
    </row>
    <row r="3085" spans="2:37" ht="12.75" customHeight="1">
      <c r="B3085" s="479"/>
      <c r="C3085" s="977"/>
      <c r="D3085" s="981"/>
      <c r="E3085" s="3267" t="s">
        <v>1216</v>
      </c>
      <c r="F3085" s="2380"/>
      <c r="G3085" s="2380"/>
      <c r="H3085" s="2380"/>
      <c r="I3085" s="2380"/>
      <c r="J3085" s="2380"/>
      <c r="K3085" s="2380"/>
      <c r="L3085" s="2380"/>
      <c r="M3085" s="2380"/>
      <c r="N3085" s="3268"/>
      <c r="O3085" s="485"/>
      <c r="P3085" s="485"/>
      <c r="Q3085" s="1435"/>
      <c r="S3085" s="1435"/>
    </row>
    <row r="3086" spans="2:37" ht="12.75" customHeight="1">
      <c r="B3086" s="479"/>
      <c r="C3086" s="977"/>
      <c r="D3086" s="777" t="s">
        <v>7</v>
      </c>
      <c r="E3086" s="2649" t="s">
        <v>1214</v>
      </c>
      <c r="F3086" s="2391"/>
      <c r="G3086" s="2391"/>
      <c r="H3086" s="2512"/>
      <c r="I3086" s="3211" t="str">
        <f>c_ALR2025!I5592</f>
        <v/>
      </c>
      <c r="J3086" s="3286"/>
      <c r="K3086" s="3286"/>
      <c r="L3086" s="3286"/>
      <c r="M3086" s="3287"/>
      <c r="N3086" s="992"/>
      <c r="O3086" s="485"/>
      <c r="P3086" s="9"/>
      <c r="Q3086" s="1435"/>
      <c r="S3086" s="1435"/>
      <c r="AC3086" s="1641" t="s">
        <v>717</v>
      </c>
      <c r="AD3086" s="1423" t="b">
        <f>OR(AG3084,AND($L3084&lt;&gt;"",$L3084=FALSE))</f>
        <v>0</v>
      </c>
    </row>
    <row r="3087" spans="2:37" ht="5.0999999999999996" customHeight="1">
      <c r="B3087" s="479"/>
      <c r="C3087" s="977"/>
      <c r="D3087" s="981"/>
      <c r="E3087" s="986"/>
      <c r="F3087" s="978"/>
      <c r="G3087" s="978"/>
      <c r="H3087" s="978"/>
      <c r="I3087" s="978"/>
      <c r="J3087" s="978"/>
      <c r="K3087" s="978"/>
      <c r="L3087" s="978"/>
      <c r="M3087" s="978"/>
      <c r="N3087" s="979"/>
      <c r="O3087" s="485"/>
      <c r="P3087" s="485"/>
      <c r="Q3087" s="1435"/>
      <c r="S3087" s="1435"/>
    </row>
    <row r="3088" spans="2:37" ht="12.75" customHeight="1" thickBot="1">
      <c r="B3088" s="479"/>
      <c r="C3088" s="977"/>
      <c r="D3088" s="981"/>
      <c r="E3088" s="2648" t="s">
        <v>1154</v>
      </c>
      <c r="F3088" s="2493"/>
      <c r="G3088" s="987" t="str">
        <f>EUconst_Unit</f>
        <v>Unit</v>
      </c>
      <c r="H3088" s="782">
        <f t="shared" ref="H3088:N3088" si="1426">H$3242</f>
        <v>2024</v>
      </c>
      <c r="I3088" s="988">
        <f t="shared" si="1426"/>
        <v>2025</v>
      </c>
      <c r="J3088" s="1810">
        <f t="shared" si="1426"/>
        <v>2026</v>
      </c>
      <c r="K3088" s="1747">
        <f t="shared" si="1426"/>
        <v>2027</v>
      </c>
      <c r="L3088" s="1747">
        <f t="shared" si="1426"/>
        <v>2028</v>
      </c>
      <c r="M3088" s="1747">
        <f t="shared" si="1426"/>
        <v>2029</v>
      </c>
      <c r="N3088" s="1748">
        <f t="shared" si="1426"/>
        <v>2030</v>
      </c>
      <c r="O3088" s="485"/>
      <c r="P3088" s="485"/>
      <c r="Q3088" s="1435"/>
      <c r="S3088" s="1435"/>
      <c r="AC3088" s="1638">
        <f t="shared" ref="AC3088:AI3088" si="1427">H$20</f>
        <v>2024</v>
      </c>
      <c r="AD3088" s="1638">
        <f t="shared" si="1427"/>
        <v>2025</v>
      </c>
      <c r="AE3088" s="1638">
        <f t="shared" si="1427"/>
        <v>2026</v>
      </c>
      <c r="AF3088" s="1638">
        <f t="shared" si="1427"/>
        <v>2027</v>
      </c>
      <c r="AG3088" s="1638">
        <f t="shared" si="1427"/>
        <v>2028</v>
      </c>
      <c r="AH3088" s="1638">
        <f t="shared" si="1427"/>
        <v>2029</v>
      </c>
      <c r="AI3088" s="1638">
        <f t="shared" si="1427"/>
        <v>2030</v>
      </c>
    </row>
    <row r="3089" spans="2:37" ht="12.75" customHeight="1">
      <c r="B3089" s="479"/>
      <c r="C3089" s="977"/>
      <c r="D3089" s="777" t="s">
        <v>8</v>
      </c>
      <c r="E3089" s="2471" t="s">
        <v>1153</v>
      </c>
      <c r="F3089" s="2472"/>
      <c r="G3089" s="811" t="str">
        <f>EUconst_tpa</f>
        <v>t / year</v>
      </c>
      <c r="H3089" s="1552" t="str">
        <f>c_ALR2025!M5595</f>
        <v/>
      </c>
      <c r="I3089" s="1611"/>
      <c r="J3089" s="1811"/>
      <c r="K3089" s="1751"/>
      <c r="L3089" s="1751"/>
      <c r="M3089" s="1751"/>
      <c r="N3089" s="1752"/>
      <c r="O3089" s="485"/>
      <c r="P3089" s="9"/>
      <c r="Q3089" s="1435"/>
      <c r="S3089" s="1435"/>
      <c r="AB3089" s="1641" t="s">
        <v>717</v>
      </c>
      <c r="AC3089" s="1423" t="b">
        <f>OR(AND($L3084&lt;&gt;"",$L3084=FALSE),AC2981)</f>
        <v>0</v>
      </c>
      <c r="AD3089" s="1443" t="b">
        <f t="shared" ref="AD3089:AI3089" si="1428">OR(AND($L3084&lt;&gt;"",$L3084=FALSE),AD2981)</f>
        <v>0</v>
      </c>
      <c r="AE3089" s="1443" t="b">
        <f t="shared" si="1428"/>
        <v>0</v>
      </c>
      <c r="AF3089" s="1443" t="b">
        <f t="shared" si="1428"/>
        <v>0</v>
      </c>
      <c r="AG3089" s="1443" t="b">
        <f t="shared" si="1428"/>
        <v>0</v>
      </c>
      <c r="AH3089" s="1443" t="b">
        <f t="shared" si="1428"/>
        <v>0</v>
      </c>
      <c r="AI3089" s="1443" t="b">
        <f t="shared" si="1428"/>
        <v>0</v>
      </c>
      <c r="AJ3089" s="1633" t="s">
        <v>1954</v>
      </c>
      <c r="AK3089" s="1635" t="str">
        <f>IF(AND(CNTR_ExistSubInstEntries,MSconst_RequireSubAttrEmissions,COUNTIFS(AC3089:AI3089,FALSE,H3089:N3089,"")&gt;0),EUconst_Error&amp;"BM"&amp;$Q2911,"")</f>
        <v/>
      </c>
    </row>
    <row r="3090" spans="2:37" ht="12.75" customHeight="1">
      <c r="B3090" s="479"/>
      <c r="C3090" s="977"/>
      <c r="D3090" s="777" t="s">
        <v>18</v>
      </c>
      <c r="E3090" s="2685" t="s">
        <v>946</v>
      </c>
      <c r="F3090" s="2608"/>
      <c r="G3090" s="993" t="str">
        <f>EUconst_GJpt</f>
        <v>GJ / t</v>
      </c>
      <c r="H3090" s="1557" t="str">
        <f>c_ALR2025!M5596</f>
        <v/>
      </c>
      <c r="I3090" s="1883"/>
      <c r="J3090" s="1811"/>
      <c r="K3090" s="1751"/>
      <c r="L3090" s="1751"/>
      <c r="M3090" s="1751"/>
      <c r="N3090" s="1752"/>
      <c r="O3090" s="485"/>
      <c r="P3090" s="9"/>
      <c r="Q3090" s="1435"/>
      <c r="S3090" s="1435"/>
      <c r="AC3090" s="1443" t="b">
        <f t="shared" ref="AC3090:AI3090" si="1429">AC3089</f>
        <v>0</v>
      </c>
      <c r="AD3090" s="1443" t="b">
        <f t="shared" si="1429"/>
        <v>0</v>
      </c>
      <c r="AE3090" s="1443" t="b">
        <f t="shared" si="1429"/>
        <v>0</v>
      </c>
      <c r="AF3090" s="1443" t="b">
        <f t="shared" si="1429"/>
        <v>0</v>
      </c>
      <c r="AG3090" s="1443" t="b">
        <f t="shared" si="1429"/>
        <v>0</v>
      </c>
      <c r="AH3090" s="1443" t="b">
        <f t="shared" si="1429"/>
        <v>0</v>
      </c>
      <c r="AI3090" s="1443" t="b">
        <f t="shared" si="1429"/>
        <v>0</v>
      </c>
      <c r="AJ3090" s="1633" t="s">
        <v>1954</v>
      </c>
      <c r="AK3090" s="1635" t="str">
        <f>IF(AND(CNTR_ExistSubInstEntries,MSconst_RequireSubAttrEmissions,COUNTIFS(AC3090:AI3090,FALSE,H3090:N3090,"")&gt;0),EUconst_Error&amp;"BM"&amp;$Q2911,"")</f>
        <v/>
      </c>
    </row>
    <row r="3091" spans="2:37" ht="12.75" customHeight="1" thickBot="1">
      <c r="B3091" s="479"/>
      <c r="C3091" s="977"/>
      <c r="D3091" s="777" t="s">
        <v>787</v>
      </c>
      <c r="E3091" s="2685" t="s">
        <v>945</v>
      </c>
      <c r="F3091" s="2608"/>
      <c r="G3091" s="994" t="s">
        <v>878</v>
      </c>
      <c r="H3091" s="1557" t="str">
        <f>c_ALR2025!M5597</f>
        <v/>
      </c>
      <c r="I3091" s="1883"/>
      <c r="J3091" s="1811"/>
      <c r="K3091" s="1751"/>
      <c r="L3091" s="1751"/>
      <c r="M3091" s="1751"/>
      <c r="N3091" s="1752"/>
      <c r="O3091" s="485"/>
      <c r="P3091" s="9"/>
      <c r="Q3091" s="1435"/>
      <c r="S3091" s="1435"/>
      <c r="AC3091" s="1443" t="b">
        <f t="shared" ref="AC3091:AI3091" si="1430">AC3090</f>
        <v>0</v>
      </c>
      <c r="AD3091" s="1443" t="b">
        <f t="shared" si="1430"/>
        <v>0</v>
      </c>
      <c r="AE3091" s="1443" t="b">
        <f t="shared" si="1430"/>
        <v>0</v>
      </c>
      <c r="AF3091" s="1443" t="b">
        <f t="shared" si="1430"/>
        <v>0</v>
      </c>
      <c r="AG3091" s="1443" t="b">
        <f t="shared" si="1430"/>
        <v>0</v>
      </c>
      <c r="AH3091" s="1443" t="b">
        <f t="shared" si="1430"/>
        <v>0</v>
      </c>
      <c r="AI3091" s="1443" t="b">
        <f t="shared" si="1430"/>
        <v>0</v>
      </c>
      <c r="AJ3091" s="1633" t="s">
        <v>1954</v>
      </c>
      <c r="AK3091" s="1635" t="str">
        <f>IF(AND(CNTR_ExistSubInstEntries,MSconst_RequireSubAttrEmissions,COUNTIFS(AC3091:AI3091,FALSE,H3091:N3091,"")&gt;0),EUconst_Error&amp;"BM"&amp;$Q2911,"")</f>
        <v/>
      </c>
    </row>
    <row r="3092" spans="2:37" ht="12.75" customHeight="1">
      <c r="B3092" s="479"/>
      <c r="C3092" s="977"/>
      <c r="D3092" s="777" t="s">
        <v>788</v>
      </c>
      <c r="E3092" s="2473" t="s">
        <v>880</v>
      </c>
      <c r="F3092" s="2474"/>
      <c r="G3092" s="812" t="s">
        <v>878</v>
      </c>
      <c r="H3092" s="1558" t="str">
        <f>c_ALR2025!M5598</f>
        <v/>
      </c>
      <c r="I3092" s="1884"/>
      <c r="J3092" s="1811"/>
      <c r="K3092" s="1751"/>
      <c r="L3092" s="1751"/>
      <c r="M3092" s="1751"/>
      <c r="N3092" s="1752"/>
      <c r="O3092" s="485"/>
      <c r="P3092" s="9"/>
      <c r="Q3092" s="1435"/>
      <c r="S3092" s="1648"/>
      <c r="T3092" s="1749">
        <f t="shared" ref="T3092:Z3092" si="1431">H3088</f>
        <v>2024</v>
      </c>
      <c r="U3092" s="1749">
        <f t="shared" si="1431"/>
        <v>2025</v>
      </c>
      <c r="V3092" s="1749">
        <f t="shared" si="1431"/>
        <v>2026</v>
      </c>
      <c r="W3092" s="1749">
        <f t="shared" si="1431"/>
        <v>2027</v>
      </c>
      <c r="X3092" s="1749">
        <f t="shared" si="1431"/>
        <v>2028</v>
      </c>
      <c r="Y3092" s="1749">
        <f t="shared" si="1431"/>
        <v>2029</v>
      </c>
      <c r="Z3092" s="1750">
        <f t="shared" si="1431"/>
        <v>2030</v>
      </c>
      <c r="AC3092" s="1443" t="b">
        <f t="shared" ref="AC3092:AI3092" si="1432">AC3091</f>
        <v>0</v>
      </c>
      <c r="AD3092" s="1443" t="b">
        <f t="shared" si="1432"/>
        <v>0</v>
      </c>
      <c r="AE3092" s="1443" t="b">
        <f t="shared" si="1432"/>
        <v>0</v>
      </c>
      <c r="AF3092" s="1443" t="b">
        <f t="shared" si="1432"/>
        <v>0</v>
      </c>
      <c r="AG3092" s="1443" t="b">
        <f t="shared" si="1432"/>
        <v>0</v>
      </c>
      <c r="AH3092" s="1443" t="b">
        <f t="shared" si="1432"/>
        <v>0</v>
      </c>
      <c r="AI3092" s="1443" t="b">
        <f t="shared" si="1432"/>
        <v>0</v>
      </c>
      <c r="AJ3092" s="1633" t="s">
        <v>1954</v>
      </c>
      <c r="AK3092" s="1635" t="str">
        <f>IF(AND(CNTR_ExistSubInstEntries,MSconst_RequireSubAttrEmissions,COUNTIFS(AC3092:AI3092,FALSE,H3092:N3092,"")&gt;0),EUconst_Error&amp;"BM"&amp;$Q2911,"")</f>
        <v/>
      </c>
    </row>
    <row r="3093" spans="2:37" ht="12.75" customHeight="1" thickBot="1">
      <c r="B3093" s="479"/>
      <c r="C3093" s="977"/>
      <c r="D3093" s="777" t="s">
        <v>789</v>
      </c>
      <c r="E3093" s="2471" t="s">
        <v>882</v>
      </c>
      <c r="F3093" s="2472"/>
      <c r="G3093" s="995" t="str">
        <f>EUconst_tCO2pa</f>
        <v>t CO2 / year</v>
      </c>
      <c r="H3093" s="996" t="str">
        <f t="shared" ref="H3093:N3093" si="1433">IF(AND(COUNT(H3089:H3092)&gt;0,H3096=""),3.664*H3089*(H3091/100)*(1-H3092/100),"")</f>
        <v/>
      </c>
      <c r="I3093" s="997" t="str">
        <f t="shared" si="1433"/>
        <v/>
      </c>
      <c r="J3093" s="1812" t="str">
        <f t="shared" si="1433"/>
        <v/>
      </c>
      <c r="K3093" s="1754" t="str">
        <f t="shared" si="1433"/>
        <v/>
      </c>
      <c r="L3093" s="1754" t="str">
        <f t="shared" si="1433"/>
        <v/>
      </c>
      <c r="M3093" s="1754" t="str">
        <f t="shared" si="1433"/>
        <v/>
      </c>
      <c r="N3093" s="1755" t="str">
        <f t="shared" si="1433"/>
        <v/>
      </c>
      <c r="O3093" s="485"/>
      <c r="P3093" s="485"/>
      <c r="Q3093" s="1644" t="str">
        <f>EUconst_CNTR_EmissionsIntSource1 &amp; I2911</f>
        <v>EmInternalSource1_</v>
      </c>
      <c r="S3093" s="1753" t="str">
        <f>EUconst_CNTR_AttributedEmissions &amp; I2911</f>
        <v>AttrEmissions_</v>
      </c>
      <c r="T3093" s="1743" t="str">
        <f t="shared" ref="T3093:Z3093" si="1434">IF(T2919,SUM(H3093),"")</f>
        <v/>
      </c>
      <c r="U3093" s="1743" t="str">
        <f t="shared" si="1434"/>
        <v/>
      </c>
      <c r="V3093" s="1743" t="str">
        <f t="shared" si="1434"/>
        <v/>
      </c>
      <c r="W3093" s="1743" t="str">
        <f t="shared" si="1434"/>
        <v/>
      </c>
      <c r="X3093" s="1743" t="str">
        <f t="shared" si="1434"/>
        <v/>
      </c>
      <c r="Y3093" s="1743" t="str">
        <f t="shared" si="1434"/>
        <v/>
      </c>
      <c r="Z3093" s="1744" t="str">
        <f t="shared" si="1434"/>
        <v/>
      </c>
    </row>
    <row r="3094" spans="2:37" ht="12.75" customHeight="1">
      <c r="B3094" s="479"/>
      <c r="C3094" s="977"/>
      <c r="D3094" s="777" t="s">
        <v>790</v>
      </c>
      <c r="E3094" s="2670" t="s">
        <v>879</v>
      </c>
      <c r="F3094" s="2608"/>
      <c r="G3094" s="998" t="str">
        <f>EUconst_tCO2pa</f>
        <v>t CO2 / year</v>
      </c>
      <c r="H3094" s="999" t="str">
        <f t="shared" ref="H3094:N3094" si="1435">IF(ISNUMBER(H3093),3.664*H3089*(H3091/100)*(H3092/100),"")</f>
        <v/>
      </c>
      <c r="I3094" s="1000" t="str">
        <f t="shared" si="1435"/>
        <v/>
      </c>
      <c r="J3094" s="1813" t="str">
        <f t="shared" si="1435"/>
        <v/>
      </c>
      <c r="K3094" s="1756" t="str">
        <f t="shared" si="1435"/>
        <v/>
      </c>
      <c r="L3094" s="1756" t="str">
        <f t="shared" si="1435"/>
        <v/>
      </c>
      <c r="M3094" s="1756" t="str">
        <f t="shared" si="1435"/>
        <v/>
      </c>
      <c r="N3094" s="1757" t="str">
        <f t="shared" si="1435"/>
        <v/>
      </c>
      <c r="O3094" s="485"/>
      <c r="P3094" s="485"/>
      <c r="Q3094" s="1435"/>
      <c r="S3094" s="1435"/>
    </row>
    <row r="3095" spans="2:37" ht="12.75" customHeight="1">
      <c r="B3095" s="479"/>
      <c r="C3095" s="977"/>
      <c r="D3095" s="777" t="s">
        <v>791</v>
      </c>
      <c r="E3095" s="2473" t="s">
        <v>41</v>
      </c>
      <c r="F3095" s="2474"/>
      <c r="G3095" s="1001" t="str">
        <f>EUconst_TJpa</f>
        <v>TJ / year</v>
      </c>
      <c r="H3095" s="605" t="str">
        <f t="shared" ref="H3095:N3095" si="1436">IF(COUNT(H3089:H3090)=2,H3089*H3090/1000,"")</f>
        <v/>
      </c>
      <c r="I3095" s="973" t="str">
        <f t="shared" si="1436"/>
        <v/>
      </c>
      <c r="J3095" s="1811" t="str">
        <f t="shared" si="1436"/>
        <v/>
      </c>
      <c r="K3095" s="1751" t="str">
        <f t="shared" si="1436"/>
        <v/>
      </c>
      <c r="L3095" s="1751" t="str">
        <f t="shared" si="1436"/>
        <v/>
      </c>
      <c r="M3095" s="1751" t="str">
        <f t="shared" si="1436"/>
        <v/>
      </c>
      <c r="N3095" s="1752" t="str">
        <f t="shared" si="1436"/>
        <v/>
      </c>
      <c r="O3095" s="485"/>
      <c r="P3095" s="485"/>
      <c r="Q3095" s="1435"/>
      <c r="S3095" s="1435"/>
    </row>
    <row r="3096" spans="2:37" ht="12.75" customHeight="1">
      <c r="B3096" s="479"/>
      <c r="C3096" s="977"/>
      <c r="D3096" s="777" t="s">
        <v>64</v>
      </c>
      <c r="E3096" s="2687" t="s">
        <v>393</v>
      </c>
      <c r="F3096" s="2688"/>
      <c r="G3096" s="1002"/>
      <c r="H3096" s="1003" t="str">
        <f t="shared" ref="H3096:N3096" si="1437">IF(COUNT(H3089,H3091:H3092)&gt;0,IF(COUNTIF(H3090:H3092,"&lt;0")&gt;0,EUconst_Negative,IF(COUNT(H3089,H3091:H3092)&lt;3,EUconst_Incomplete,"")),"")</f>
        <v/>
      </c>
      <c r="I3096" s="1004" t="str">
        <f t="shared" si="1437"/>
        <v/>
      </c>
      <c r="J3096" s="1814" t="str">
        <f t="shared" si="1437"/>
        <v/>
      </c>
      <c r="K3096" s="1758" t="str">
        <f t="shared" si="1437"/>
        <v/>
      </c>
      <c r="L3096" s="1758" t="str">
        <f t="shared" si="1437"/>
        <v/>
      </c>
      <c r="M3096" s="1758" t="str">
        <f t="shared" si="1437"/>
        <v/>
      </c>
      <c r="N3096" s="1759" t="str">
        <f t="shared" si="1437"/>
        <v/>
      </c>
      <c r="O3096" s="485"/>
      <c r="P3096" s="485"/>
      <c r="Q3096" s="1435"/>
      <c r="S3096" s="1435"/>
    </row>
    <row r="3097" spans="2:37" ht="12.75" customHeight="1">
      <c r="B3097" s="479"/>
      <c r="C3097" s="977"/>
      <c r="D3097" s="777"/>
      <c r="E3097" s="981"/>
      <c r="F3097" s="981"/>
      <c r="G3097" s="981"/>
      <c r="H3097" s="981"/>
      <c r="I3097" s="981"/>
      <c r="J3097" s="981"/>
      <c r="K3097" s="981"/>
      <c r="L3097" s="981"/>
      <c r="M3097" s="813"/>
      <c r="N3097" s="814"/>
      <c r="O3097" s="485"/>
      <c r="P3097" s="485"/>
      <c r="Q3097" s="1435"/>
      <c r="S3097" s="1435"/>
    </row>
    <row r="3098" spans="2:37" ht="12.75" customHeight="1">
      <c r="B3098" s="479"/>
      <c r="C3098" s="977"/>
      <c r="D3098" s="777" t="s">
        <v>65</v>
      </c>
      <c r="E3098" s="2649" t="s">
        <v>1215</v>
      </c>
      <c r="F3098" s="2391"/>
      <c r="G3098" s="2391"/>
      <c r="H3098" s="2512"/>
      <c r="I3098" s="3211" t="str">
        <f>c_ALR2025!I5604</f>
        <v/>
      </c>
      <c r="J3098" s="3206"/>
      <c r="K3098" s="3206"/>
      <c r="L3098" s="3206"/>
      <c r="M3098" s="3207"/>
      <c r="N3098" s="979"/>
      <c r="O3098" s="485"/>
      <c r="P3098" s="9"/>
      <c r="Q3098" s="1435"/>
      <c r="S3098" s="1435"/>
      <c r="AC3098" s="1641" t="s">
        <v>717</v>
      </c>
      <c r="AD3098" s="1443" t="b">
        <f>AD3086</f>
        <v>0</v>
      </c>
    </row>
    <row r="3099" spans="2:37" ht="5.0999999999999996" customHeight="1">
      <c r="B3099" s="479"/>
      <c r="C3099" s="977"/>
      <c r="D3099" s="981"/>
      <c r="E3099" s="986"/>
      <c r="F3099" s="978"/>
      <c r="G3099" s="981"/>
      <c r="H3099" s="981"/>
      <c r="I3099" s="978"/>
      <c r="J3099" s="978"/>
      <c r="K3099" s="978"/>
      <c r="L3099" s="978"/>
      <c r="M3099" s="978"/>
      <c r="N3099" s="979"/>
      <c r="O3099" s="485"/>
      <c r="P3099" s="485"/>
      <c r="Q3099" s="1435"/>
      <c r="S3099" s="1435"/>
    </row>
    <row r="3100" spans="2:37" ht="12.75" customHeight="1" thickBot="1">
      <c r="B3100" s="479"/>
      <c r="C3100" s="977"/>
      <c r="D3100" s="777"/>
      <c r="E3100" s="2648" t="s">
        <v>1155</v>
      </c>
      <c r="F3100" s="2493"/>
      <c r="G3100" s="987" t="str">
        <f>EUconst_Unit</f>
        <v>Unit</v>
      </c>
      <c r="H3100" s="782">
        <f t="shared" ref="H3100:N3100" si="1438">H$3242</f>
        <v>2024</v>
      </c>
      <c r="I3100" s="988">
        <f t="shared" si="1438"/>
        <v>2025</v>
      </c>
      <c r="J3100" s="1810">
        <f t="shared" si="1438"/>
        <v>2026</v>
      </c>
      <c r="K3100" s="1747">
        <f t="shared" si="1438"/>
        <v>2027</v>
      </c>
      <c r="L3100" s="1747">
        <f t="shared" si="1438"/>
        <v>2028</v>
      </c>
      <c r="M3100" s="1747">
        <f t="shared" si="1438"/>
        <v>2029</v>
      </c>
      <c r="N3100" s="1748">
        <f t="shared" si="1438"/>
        <v>2030</v>
      </c>
      <c r="O3100" s="485"/>
      <c r="P3100" s="485"/>
      <c r="Q3100" s="1435"/>
      <c r="S3100" s="1435"/>
      <c r="AC3100" s="1638">
        <f t="shared" ref="AC3100:AI3100" si="1439">H$20</f>
        <v>2024</v>
      </c>
      <c r="AD3100" s="1638">
        <f t="shared" si="1439"/>
        <v>2025</v>
      </c>
      <c r="AE3100" s="1638">
        <f t="shared" si="1439"/>
        <v>2026</v>
      </c>
      <c r="AF3100" s="1638">
        <f t="shared" si="1439"/>
        <v>2027</v>
      </c>
      <c r="AG3100" s="1638">
        <f t="shared" si="1439"/>
        <v>2028</v>
      </c>
      <c r="AH3100" s="1638">
        <f t="shared" si="1439"/>
        <v>2029</v>
      </c>
      <c r="AI3100" s="1638">
        <f t="shared" si="1439"/>
        <v>2030</v>
      </c>
    </row>
    <row r="3101" spans="2:37" ht="12.75" customHeight="1">
      <c r="B3101" s="479"/>
      <c r="C3101" s="977"/>
      <c r="D3101" s="777" t="s">
        <v>66</v>
      </c>
      <c r="E3101" s="2471" t="s">
        <v>1153</v>
      </c>
      <c r="F3101" s="2472"/>
      <c r="G3101" s="811" t="str">
        <f>EUconst_tpa</f>
        <v>t / year</v>
      </c>
      <c r="H3101" s="1552" t="str">
        <f>c_ALR2025!M5607</f>
        <v/>
      </c>
      <c r="I3101" s="1611"/>
      <c r="J3101" s="1811"/>
      <c r="K3101" s="1751"/>
      <c r="L3101" s="1751"/>
      <c r="M3101" s="1751"/>
      <c r="N3101" s="1752"/>
      <c r="O3101" s="485"/>
      <c r="P3101" s="9"/>
      <c r="Q3101" s="1435"/>
      <c r="S3101" s="1435"/>
      <c r="AB3101" s="1641" t="s">
        <v>717</v>
      </c>
      <c r="AC3101" s="1443" t="b">
        <f>AC3089</f>
        <v>0</v>
      </c>
      <c r="AD3101" s="1443" t="b">
        <f t="shared" ref="AD3101:AI3101" si="1440">AD3089</f>
        <v>0</v>
      </c>
      <c r="AE3101" s="1443" t="b">
        <f t="shared" si="1440"/>
        <v>0</v>
      </c>
      <c r="AF3101" s="1443" t="b">
        <f t="shared" si="1440"/>
        <v>0</v>
      </c>
      <c r="AG3101" s="1443" t="b">
        <f t="shared" si="1440"/>
        <v>0</v>
      </c>
      <c r="AH3101" s="1443" t="b">
        <f t="shared" si="1440"/>
        <v>0</v>
      </c>
      <c r="AI3101" s="1443" t="b">
        <f t="shared" si="1440"/>
        <v>0</v>
      </c>
      <c r="AJ3101" s="1633" t="s">
        <v>1954</v>
      </c>
      <c r="AK3101" s="1635" t="str">
        <f>IF(AND(CNTR_ExistSubInstEntries,MSconst_RequireSubAttrEmissions,COUNTIFS(AC3101:AI3101,FALSE,H3101:N3101,"")&gt;0),EUconst_Error&amp;"BM"&amp;$Q2911,"")</f>
        <v/>
      </c>
    </row>
    <row r="3102" spans="2:37" ht="12.75" customHeight="1">
      <c r="B3102" s="479"/>
      <c r="C3102" s="977"/>
      <c r="D3102" s="777" t="s">
        <v>1105</v>
      </c>
      <c r="E3102" s="2685" t="s">
        <v>946</v>
      </c>
      <c r="F3102" s="2608"/>
      <c r="G3102" s="993" t="str">
        <f>EUconst_GJpt</f>
        <v>GJ / t</v>
      </c>
      <c r="H3102" s="1557" t="str">
        <f>c_ALR2025!M5608</f>
        <v/>
      </c>
      <c r="I3102" s="1883"/>
      <c r="J3102" s="1811"/>
      <c r="K3102" s="1751"/>
      <c r="L3102" s="1751"/>
      <c r="M3102" s="1751"/>
      <c r="N3102" s="1752"/>
      <c r="O3102" s="485"/>
      <c r="P3102" s="9"/>
      <c r="Q3102" s="1435"/>
      <c r="S3102" s="1435"/>
      <c r="AC3102" s="1443" t="b">
        <f t="shared" ref="AC3102:AI3102" si="1441">AC3090</f>
        <v>0</v>
      </c>
      <c r="AD3102" s="1443" t="b">
        <f t="shared" si="1441"/>
        <v>0</v>
      </c>
      <c r="AE3102" s="1443" t="b">
        <f t="shared" si="1441"/>
        <v>0</v>
      </c>
      <c r="AF3102" s="1443" t="b">
        <f t="shared" si="1441"/>
        <v>0</v>
      </c>
      <c r="AG3102" s="1443" t="b">
        <f t="shared" si="1441"/>
        <v>0</v>
      </c>
      <c r="AH3102" s="1443" t="b">
        <f t="shared" si="1441"/>
        <v>0</v>
      </c>
      <c r="AI3102" s="1443" t="b">
        <f t="shared" si="1441"/>
        <v>0</v>
      </c>
      <c r="AJ3102" s="1633" t="s">
        <v>1954</v>
      </c>
      <c r="AK3102" s="1635" t="str">
        <f>IF(AND(CNTR_ExistSubInstEntries,MSconst_RequireSubAttrEmissions,COUNTIFS(AC3102:AI3102,FALSE,H3102:N3102,"")&gt;0),EUconst_Error&amp;"BM"&amp;$Q2911,"")</f>
        <v/>
      </c>
    </row>
    <row r="3103" spans="2:37" ht="12.75" customHeight="1" thickBot="1">
      <c r="B3103" s="479"/>
      <c r="C3103" s="977"/>
      <c r="D3103" s="777" t="s">
        <v>1106</v>
      </c>
      <c r="E3103" s="2685" t="s">
        <v>945</v>
      </c>
      <c r="F3103" s="2608"/>
      <c r="G3103" s="994" t="s">
        <v>878</v>
      </c>
      <c r="H3103" s="1557" t="str">
        <f>c_ALR2025!M5609</f>
        <v/>
      </c>
      <c r="I3103" s="1883"/>
      <c r="J3103" s="1811"/>
      <c r="K3103" s="1751"/>
      <c r="L3103" s="1751"/>
      <c r="M3103" s="1751"/>
      <c r="N3103" s="1752"/>
      <c r="O3103" s="485"/>
      <c r="P3103" s="9"/>
      <c r="Q3103" s="1435"/>
      <c r="S3103" s="1435"/>
      <c r="AC3103" s="1443" t="b">
        <f t="shared" ref="AC3103:AI3103" si="1442">AC3091</f>
        <v>0</v>
      </c>
      <c r="AD3103" s="1443" t="b">
        <f t="shared" si="1442"/>
        <v>0</v>
      </c>
      <c r="AE3103" s="1443" t="b">
        <f t="shared" si="1442"/>
        <v>0</v>
      </c>
      <c r="AF3103" s="1443" t="b">
        <f t="shared" si="1442"/>
        <v>0</v>
      </c>
      <c r="AG3103" s="1443" t="b">
        <f t="shared" si="1442"/>
        <v>0</v>
      </c>
      <c r="AH3103" s="1443" t="b">
        <f t="shared" si="1442"/>
        <v>0</v>
      </c>
      <c r="AI3103" s="1443" t="b">
        <f t="shared" si="1442"/>
        <v>0</v>
      </c>
      <c r="AJ3103" s="1633" t="s">
        <v>1954</v>
      </c>
      <c r="AK3103" s="1635" t="str">
        <f>IF(AND(CNTR_ExistSubInstEntries,MSconst_RequireSubAttrEmissions,COUNTIFS(AC3103:AI3103,FALSE,H3103:N3103,"")&gt;0),EUconst_Error&amp;"BM"&amp;$Q2911,"")</f>
        <v/>
      </c>
    </row>
    <row r="3104" spans="2:37" ht="12.75" customHeight="1">
      <c r="B3104" s="479"/>
      <c r="C3104" s="977"/>
      <c r="D3104" s="777" t="s">
        <v>1107</v>
      </c>
      <c r="E3104" s="2473" t="s">
        <v>880</v>
      </c>
      <c r="F3104" s="2474"/>
      <c r="G3104" s="812" t="s">
        <v>878</v>
      </c>
      <c r="H3104" s="1558" t="str">
        <f>c_ALR2025!M5610</f>
        <v/>
      </c>
      <c r="I3104" s="1884"/>
      <c r="J3104" s="1811"/>
      <c r="K3104" s="1751"/>
      <c r="L3104" s="1751"/>
      <c r="M3104" s="1751"/>
      <c r="N3104" s="1752"/>
      <c r="O3104" s="485"/>
      <c r="P3104" s="9"/>
      <c r="Q3104" s="1435"/>
      <c r="S3104" s="1648"/>
      <c r="T3104" s="1749">
        <f t="shared" ref="T3104:Z3104" si="1443">H3100</f>
        <v>2024</v>
      </c>
      <c r="U3104" s="1749">
        <f t="shared" si="1443"/>
        <v>2025</v>
      </c>
      <c r="V3104" s="1749">
        <f t="shared" si="1443"/>
        <v>2026</v>
      </c>
      <c r="W3104" s="1749">
        <f t="shared" si="1443"/>
        <v>2027</v>
      </c>
      <c r="X3104" s="1749">
        <f t="shared" si="1443"/>
        <v>2028</v>
      </c>
      <c r="Y3104" s="1749">
        <f t="shared" si="1443"/>
        <v>2029</v>
      </c>
      <c r="Z3104" s="1750">
        <f t="shared" si="1443"/>
        <v>2030</v>
      </c>
      <c r="AC3104" s="1443" t="b">
        <f t="shared" ref="AC3104:AI3104" si="1444">AC3092</f>
        <v>0</v>
      </c>
      <c r="AD3104" s="1443" t="b">
        <f t="shared" si="1444"/>
        <v>0</v>
      </c>
      <c r="AE3104" s="1443" t="b">
        <f t="shared" si="1444"/>
        <v>0</v>
      </c>
      <c r="AF3104" s="1443" t="b">
        <f t="shared" si="1444"/>
        <v>0</v>
      </c>
      <c r="AG3104" s="1443" t="b">
        <f t="shared" si="1444"/>
        <v>0</v>
      </c>
      <c r="AH3104" s="1443" t="b">
        <f t="shared" si="1444"/>
        <v>0</v>
      </c>
      <c r="AI3104" s="1443" t="b">
        <f t="shared" si="1444"/>
        <v>0</v>
      </c>
      <c r="AJ3104" s="1633" t="s">
        <v>1954</v>
      </c>
      <c r="AK3104" s="1635" t="str">
        <f>IF(AND(CNTR_ExistSubInstEntries,MSconst_RequireSubAttrEmissions,COUNTIFS(AC3104:AI3104,FALSE,H3104:N3104,"")&gt;0),EUconst_Error&amp;"BM"&amp;$Q2911,"")</f>
        <v/>
      </c>
    </row>
    <row r="3105" spans="2:37" ht="12.75" customHeight="1" thickBot="1">
      <c r="B3105" s="479"/>
      <c r="C3105" s="977"/>
      <c r="D3105" s="777" t="s">
        <v>1108</v>
      </c>
      <c r="E3105" s="2471" t="s">
        <v>882</v>
      </c>
      <c r="F3105" s="2472"/>
      <c r="G3105" s="995" t="str">
        <f>EUconst_tCO2pa</f>
        <v>t CO2 / year</v>
      </c>
      <c r="H3105" s="996" t="str">
        <f t="shared" ref="H3105:N3105" si="1445">IF(AND(COUNT(H3101:H3104)&gt;0,H3108=""),3.664*H3101*(H3103/100)*(1-H3104/100),"")</f>
        <v/>
      </c>
      <c r="I3105" s="997" t="str">
        <f t="shared" si="1445"/>
        <v/>
      </c>
      <c r="J3105" s="1812" t="str">
        <f t="shared" si="1445"/>
        <v/>
      </c>
      <c r="K3105" s="1754" t="str">
        <f t="shared" si="1445"/>
        <v/>
      </c>
      <c r="L3105" s="1754" t="str">
        <f t="shared" si="1445"/>
        <v/>
      </c>
      <c r="M3105" s="1754" t="str">
        <f t="shared" si="1445"/>
        <v/>
      </c>
      <c r="N3105" s="1755" t="str">
        <f t="shared" si="1445"/>
        <v/>
      </c>
      <c r="O3105" s="485"/>
      <c r="P3105" s="485"/>
      <c r="Q3105" s="1644" t="str">
        <f>EUconst_CNTR_EmissionsIntSource2 &amp; I2911</f>
        <v>EmInternalSource2_</v>
      </c>
      <c r="S3105" s="1753" t="str">
        <f>EUconst_CNTR_AttributedEmissions &amp; I2911</f>
        <v>AttrEmissions_</v>
      </c>
      <c r="T3105" s="1743" t="str">
        <f t="shared" ref="T3105:Z3105" si="1446">IF(T2919,SUM(H3105),"")</f>
        <v/>
      </c>
      <c r="U3105" s="1743" t="str">
        <f t="shared" si="1446"/>
        <v/>
      </c>
      <c r="V3105" s="1743" t="str">
        <f t="shared" si="1446"/>
        <v/>
      </c>
      <c r="W3105" s="1743" t="str">
        <f t="shared" si="1446"/>
        <v/>
      </c>
      <c r="X3105" s="1743" t="str">
        <f t="shared" si="1446"/>
        <v/>
      </c>
      <c r="Y3105" s="1743" t="str">
        <f t="shared" si="1446"/>
        <v/>
      </c>
      <c r="Z3105" s="1744" t="str">
        <f t="shared" si="1446"/>
        <v/>
      </c>
    </row>
    <row r="3106" spans="2:37" ht="12.75" customHeight="1">
      <c r="B3106" s="479"/>
      <c r="C3106" s="977"/>
      <c r="D3106" s="777" t="s">
        <v>1109</v>
      </c>
      <c r="E3106" s="2670" t="s">
        <v>879</v>
      </c>
      <c r="F3106" s="2608"/>
      <c r="G3106" s="998" t="str">
        <f>EUconst_tCO2pa</f>
        <v>t CO2 / year</v>
      </c>
      <c r="H3106" s="999" t="str">
        <f t="shared" ref="H3106:N3106" si="1447">IF(ISNUMBER(H3105),3.664*H3101*(H3103/100)*(H3104/100),"")</f>
        <v/>
      </c>
      <c r="I3106" s="1000" t="str">
        <f t="shared" si="1447"/>
        <v/>
      </c>
      <c r="J3106" s="1813" t="str">
        <f t="shared" si="1447"/>
        <v/>
      </c>
      <c r="K3106" s="1756" t="str">
        <f t="shared" si="1447"/>
        <v/>
      </c>
      <c r="L3106" s="1756" t="str">
        <f t="shared" si="1447"/>
        <v/>
      </c>
      <c r="M3106" s="1756" t="str">
        <f t="shared" si="1447"/>
        <v/>
      </c>
      <c r="N3106" s="1757" t="str">
        <f t="shared" si="1447"/>
        <v/>
      </c>
      <c r="O3106" s="485"/>
      <c r="P3106" s="485"/>
      <c r="Q3106" s="1435"/>
      <c r="S3106" s="1435"/>
    </row>
    <row r="3107" spans="2:37" ht="12.75" customHeight="1">
      <c r="B3107" s="479"/>
      <c r="C3107" s="977"/>
      <c r="D3107" s="777" t="s">
        <v>1110</v>
      </c>
      <c r="E3107" s="2473" t="s">
        <v>41</v>
      </c>
      <c r="F3107" s="2474"/>
      <c r="G3107" s="1001" t="str">
        <f>EUconst_TJpa</f>
        <v>TJ / year</v>
      </c>
      <c r="H3107" s="605" t="str">
        <f t="shared" ref="H3107:N3107" si="1448">IF(COUNT(H3101:H3102)=2,H3101*H3102/1000,"")</f>
        <v/>
      </c>
      <c r="I3107" s="973" t="str">
        <f t="shared" si="1448"/>
        <v/>
      </c>
      <c r="J3107" s="1811" t="str">
        <f t="shared" si="1448"/>
        <v/>
      </c>
      <c r="K3107" s="1751" t="str">
        <f t="shared" si="1448"/>
        <v/>
      </c>
      <c r="L3107" s="1751" t="str">
        <f t="shared" si="1448"/>
        <v/>
      </c>
      <c r="M3107" s="1751" t="str">
        <f t="shared" si="1448"/>
        <v/>
      </c>
      <c r="N3107" s="1752" t="str">
        <f t="shared" si="1448"/>
        <v/>
      </c>
      <c r="O3107" s="485"/>
      <c r="P3107" s="485"/>
      <c r="Q3107" s="1435"/>
      <c r="S3107" s="1435"/>
    </row>
    <row r="3108" spans="2:37" ht="12.75" customHeight="1">
      <c r="B3108" s="479"/>
      <c r="C3108" s="977"/>
      <c r="D3108" s="777" t="s">
        <v>1106</v>
      </c>
      <c r="E3108" s="2687" t="s">
        <v>393</v>
      </c>
      <c r="F3108" s="2688"/>
      <c r="G3108" s="1002"/>
      <c r="H3108" s="1003" t="str">
        <f t="shared" ref="H3108:N3108" si="1449">IF(COUNT(H3101,H3103:H3104)&gt;0,IF(COUNTIF(H3102:H3104,"&lt;0")&gt;0,EUconst_Negative,IF(COUNT(H3101,H3103:H3104)&lt;3,EUconst_Incomplete,"")),"")</f>
        <v/>
      </c>
      <c r="I3108" s="1004" t="str">
        <f t="shared" si="1449"/>
        <v/>
      </c>
      <c r="J3108" s="1814" t="str">
        <f t="shared" si="1449"/>
        <v/>
      </c>
      <c r="K3108" s="1758" t="str">
        <f t="shared" si="1449"/>
        <v/>
      </c>
      <c r="L3108" s="1758" t="str">
        <f t="shared" si="1449"/>
        <v/>
      </c>
      <c r="M3108" s="1758" t="str">
        <f t="shared" si="1449"/>
        <v/>
      </c>
      <c r="N3108" s="1759" t="str">
        <f t="shared" si="1449"/>
        <v/>
      </c>
      <c r="O3108" s="485"/>
      <c r="P3108" s="485"/>
      <c r="Q3108" s="1435"/>
      <c r="S3108" s="1435"/>
    </row>
    <row r="3109" spans="2:37" ht="12.75" customHeight="1">
      <c r="B3109" s="479"/>
      <c r="C3109" s="977"/>
      <c r="D3109" s="981"/>
      <c r="E3109" s="981"/>
      <c r="F3109" s="981"/>
      <c r="G3109" s="981"/>
      <c r="H3109" s="981"/>
      <c r="I3109" s="981"/>
      <c r="J3109" s="981"/>
      <c r="K3109" s="981"/>
      <c r="L3109" s="981"/>
      <c r="M3109" s="813"/>
      <c r="N3109" s="814"/>
      <c r="O3109" s="485"/>
      <c r="P3109" s="485"/>
      <c r="Q3109" s="1435"/>
      <c r="S3109" s="1435"/>
    </row>
    <row r="3110" spans="2:37" ht="12.75" customHeight="1">
      <c r="B3110" s="479"/>
      <c r="C3110" s="977"/>
      <c r="D3110" s="982" t="s">
        <v>478</v>
      </c>
      <c r="E3110" s="2649" t="s">
        <v>1457</v>
      </c>
      <c r="F3110" s="2391"/>
      <c r="G3110" s="2391"/>
      <c r="H3110" s="2391"/>
      <c r="I3110" s="2391"/>
      <c r="J3110" s="2391"/>
      <c r="K3110" s="2391"/>
      <c r="L3110" s="2391"/>
      <c r="M3110" s="2391"/>
      <c r="N3110" s="2650"/>
      <c r="O3110" s="485"/>
      <c r="P3110" s="485"/>
      <c r="Q3110" s="1435"/>
      <c r="S3110" s="1435"/>
    </row>
    <row r="3111" spans="2:37" ht="12.75" customHeight="1">
      <c r="B3111" s="479"/>
      <c r="C3111" s="977"/>
      <c r="D3111" s="777"/>
      <c r="E3111" s="3272" t="s">
        <v>2295</v>
      </c>
      <c r="F3111" s="2380"/>
      <c r="G3111" s="2380"/>
      <c r="H3111" s="2380"/>
      <c r="I3111" s="2380"/>
      <c r="J3111" s="2380"/>
      <c r="K3111" s="2380"/>
      <c r="L3111" s="2380"/>
      <c r="M3111" s="2380"/>
      <c r="N3111" s="3268"/>
      <c r="O3111" s="485"/>
      <c r="P3111" s="485"/>
      <c r="Q3111" s="1435"/>
      <c r="S3111" s="1435"/>
      <c r="T3111" s="1435"/>
      <c r="U3111" s="1435"/>
      <c r="V3111" s="1435"/>
    </row>
    <row r="3112" spans="2:37" ht="25.5" customHeight="1">
      <c r="B3112" s="479"/>
      <c r="C3112" s="977"/>
      <c r="D3112" s="981"/>
      <c r="E3112" s="3267" t="s">
        <v>2333</v>
      </c>
      <c r="F3112" s="2380"/>
      <c r="G3112" s="2380"/>
      <c r="H3112" s="2380"/>
      <c r="I3112" s="2380"/>
      <c r="J3112" s="2380"/>
      <c r="K3112" s="2380"/>
      <c r="L3112" s="2380"/>
      <c r="M3112" s="2380"/>
      <c r="N3112" s="3268"/>
      <c r="O3112" s="485"/>
      <c r="P3112" s="485"/>
      <c r="Q3112" s="1435"/>
      <c r="S3112" s="1435"/>
    </row>
    <row r="3113" spans="2:37" ht="12.75" customHeight="1" thickBot="1">
      <c r="B3113" s="479"/>
      <c r="C3113" s="977"/>
      <c r="D3113" s="981"/>
      <c r="E3113" s="3267" t="s">
        <v>1365</v>
      </c>
      <c r="F3113" s="2380"/>
      <c r="G3113" s="2380"/>
      <c r="H3113" s="2380"/>
      <c r="I3113" s="2380"/>
      <c r="J3113" s="2380"/>
      <c r="K3113" s="2380"/>
      <c r="L3113" s="2380"/>
      <c r="M3113" s="2380"/>
      <c r="N3113" s="3268"/>
      <c r="O3113" s="485"/>
      <c r="P3113" s="485"/>
      <c r="Q3113" s="1435"/>
      <c r="S3113" s="1435"/>
    </row>
    <row r="3114" spans="2:37" ht="12.75" customHeight="1" thickBot="1">
      <c r="B3114" s="479"/>
      <c r="C3114" s="977"/>
      <c r="D3114" s="982"/>
      <c r="E3114" s="989"/>
      <c r="F3114" s="990"/>
      <c r="G3114" s="987" t="str">
        <f>EUconst_Unit</f>
        <v>Unit</v>
      </c>
      <c r="H3114" s="782">
        <f t="shared" ref="H3114:N3114" si="1450">H$3242</f>
        <v>2024</v>
      </c>
      <c r="I3114" s="988">
        <f t="shared" si="1450"/>
        <v>2025</v>
      </c>
      <c r="J3114" s="1810">
        <f t="shared" si="1450"/>
        <v>2026</v>
      </c>
      <c r="K3114" s="1747">
        <f t="shared" si="1450"/>
        <v>2027</v>
      </c>
      <c r="L3114" s="1747">
        <f t="shared" si="1450"/>
        <v>2028</v>
      </c>
      <c r="M3114" s="1747">
        <f t="shared" si="1450"/>
        <v>2029</v>
      </c>
      <c r="N3114" s="1748">
        <f t="shared" si="1450"/>
        <v>2030</v>
      </c>
      <c r="O3114" s="485"/>
      <c r="P3114" s="485"/>
      <c r="Q3114" s="1435"/>
      <c r="S3114" s="1648"/>
      <c r="T3114" s="1749">
        <f t="shared" ref="T3114:Z3114" si="1451">H3114</f>
        <v>2024</v>
      </c>
      <c r="U3114" s="1749">
        <f t="shared" si="1451"/>
        <v>2025</v>
      </c>
      <c r="V3114" s="1749">
        <f t="shared" si="1451"/>
        <v>2026</v>
      </c>
      <c r="W3114" s="1749">
        <f t="shared" si="1451"/>
        <v>2027</v>
      </c>
      <c r="X3114" s="1749">
        <f t="shared" si="1451"/>
        <v>2028</v>
      </c>
      <c r="Y3114" s="1749">
        <f t="shared" si="1451"/>
        <v>2029</v>
      </c>
      <c r="Z3114" s="1750">
        <f t="shared" si="1451"/>
        <v>2030</v>
      </c>
      <c r="AC3114" s="1638">
        <f t="shared" ref="AC3114:AI3114" si="1452">H$20</f>
        <v>2024</v>
      </c>
      <c r="AD3114" s="1638">
        <f t="shared" si="1452"/>
        <v>2025</v>
      </c>
      <c r="AE3114" s="1638">
        <f t="shared" si="1452"/>
        <v>2026</v>
      </c>
      <c r="AF3114" s="1638">
        <f t="shared" si="1452"/>
        <v>2027</v>
      </c>
      <c r="AG3114" s="1638">
        <f t="shared" si="1452"/>
        <v>2028</v>
      </c>
      <c r="AH3114" s="1638">
        <f t="shared" si="1452"/>
        <v>2029</v>
      </c>
      <c r="AI3114" s="1638">
        <f t="shared" si="1452"/>
        <v>2030</v>
      </c>
    </row>
    <row r="3115" spans="2:37" ht="12.75" customHeight="1" thickBot="1">
      <c r="B3115" s="479"/>
      <c r="C3115" s="977"/>
      <c r="D3115" s="777"/>
      <c r="E3115" s="2475" t="s">
        <v>1156</v>
      </c>
      <c r="F3115" s="2410"/>
      <c r="G3115" s="815" t="str">
        <f>EUconst_tCO2epa</f>
        <v>t CO2e/year</v>
      </c>
      <c r="H3115" s="1479" t="str">
        <f>c_ALR2025!M5621</f>
        <v/>
      </c>
      <c r="I3115" s="1532"/>
      <c r="J3115" s="1811"/>
      <c r="K3115" s="1751"/>
      <c r="L3115" s="1751"/>
      <c r="M3115" s="1751"/>
      <c r="N3115" s="1752"/>
      <c r="O3115" s="485"/>
      <c r="P3115" s="9"/>
      <c r="Q3115" s="1644" t="str">
        <f>EUconst_CNTR_CO2Feedstock &amp; I2911</f>
        <v>EmCO2Feedstock_</v>
      </c>
      <c r="S3115" s="1753" t="str">
        <f>EUconst_CNTR_AttributedEmissions &amp; I2911</f>
        <v>AttrEmissions_</v>
      </c>
      <c r="T3115" s="1743" t="str">
        <f t="shared" ref="T3115:Z3115" si="1453">IF(T2919,SUM(H3115),"")</f>
        <v/>
      </c>
      <c r="U3115" s="1743" t="str">
        <f t="shared" si="1453"/>
        <v/>
      </c>
      <c r="V3115" s="1743" t="str">
        <f t="shared" si="1453"/>
        <v/>
      </c>
      <c r="W3115" s="1743" t="str">
        <f t="shared" si="1453"/>
        <v/>
      </c>
      <c r="X3115" s="1743" t="str">
        <f t="shared" si="1453"/>
        <v/>
      </c>
      <c r="Y3115" s="1743" t="str">
        <f t="shared" si="1453"/>
        <v/>
      </c>
      <c r="Z3115" s="1744" t="str">
        <f t="shared" si="1453"/>
        <v/>
      </c>
      <c r="AB3115" s="1641" t="s">
        <v>717</v>
      </c>
      <c r="AC3115" s="1443" t="b">
        <f>AC2981</f>
        <v>0</v>
      </c>
      <c r="AD3115" s="1443" t="b">
        <f t="shared" ref="AD3115:AI3115" si="1454">AD2981</f>
        <v>0</v>
      </c>
      <c r="AE3115" s="1443" t="b">
        <f t="shared" si="1454"/>
        <v>0</v>
      </c>
      <c r="AF3115" s="1443" t="b">
        <f t="shared" si="1454"/>
        <v>0</v>
      </c>
      <c r="AG3115" s="1443" t="b">
        <f t="shared" si="1454"/>
        <v>0</v>
      </c>
      <c r="AH3115" s="1443" t="b">
        <f t="shared" si="1454"/>
        <v>0</v>
      </c>
      <c r="AI3115" s="1443" t="b">
        <f t="shared" si="1454"/>
        <v>0</v>
      </c>
      <c r="AJ3115" s="1633" t="s">
        <v>1954</v>
      </c>
      <c r="AK3115" s="1635" t="str">
        <f>IF(AND(CNTR_ExistSubInstEntries,MSconst_RequireSubAttrEmissions,COUNTIFS(AC3115:AI3115,FALSE,H3115:N3115,"")&gt;0),EUconst_Error&amp;"BM"&amp;$Q2911,"")</f>
        <v/>
      </c>
    </row>
    <row r="3116" spans="2:37" ht="12.75" customHeight="1">
      <c r="B3116" s="479"/>
      <c r="C3116" s="977"/>
      <c r="D3116" s="981"/>
      <c r="E3116" s="981"/>
      <c r="F3116" s="981"/>
      <c r="G3116" s="981"/>
      <c r="H3116" s="981"/>
      <c r="I3116" s="981"/>
      <c r="J3116" s="981"/>
      <c r="K3116" s="981"/>
      <c r="L3116" s="981"/>
      <c r="M3116" s="813"/>
      <c r="N3116" s="814"/>
      <c r="O3116" s="485"/>
      <c r="P3116" s="485"/>
      <c r="Q3116" s="1435"/>
      <c r="S3116" s="1435"/>
    </row>
    <row r="3117" spans="2:37" ht="12.75" customHeight="1">
      <c r="B3117" s="479"/>
      <c r="C3117" s="977"/>
      <c r="D3117" s="982" t="s">
        <v>479</v>
      </c>
      <c r="E3117" s="2649" t="s">
        <v>1118</v>
      </c>
      <c r="F3117" s="2391"/>
      <c r="G3117" s="2391"/>
      <c r="H3117" s="2391"/>
      <c r="I3117" s="2391"/>
      <c r="J3117" s="2391"/>
      <c r="K3117" s="2391"/>
      <c r="L3117" s="2391"/>
      <c r="M3117" s="2391"/>
      <c r="N3117" s="2650"/>
      <c r="O3117" s="485"/>
      <c r="P3117" s="485"/>
      <c r="Q3117" s="1435"/>
      <c r="S3117" s="1435"/>
    </row>
    <row r="3118" spans="2:37" ht="12.75" customHeight="1">
      <c r="B3118" s="479"/>
      <c r="C3118" s="977"/>
      <c r="D3118" s="777"/>
      <c r="E3118" s="3272" t="s">
        <v>2297</v>
      </c>
      <c r="F3118" s="2380"/>
      <c r="G3118" s="2380"/>
      <c r="H3118" s="2380"/>
      <c r="I3118" s="2380"/>
      <c r="J3118" s="2380"/>
      <c r="K3118" s="2380"/>
      <c r="L3118" s="2380"/>
      <c r="M3118" s="2380"/>
      <c r="N3118" s="3268"/>
      <c r="O3118" s="485"/>
      <c r="P3118" s="485"/>
      <c r="Q3118" s="1435"/>
      <c r="S3118" s="1435"/>
      <c r="T3118" s="1435"/>
      <c r="U3118" s="1435"/>
      <c r="V3118" s="1435"/>
    </row>
    <row r="3119" spans="2:37" ht="38.85" customHeight="1">
      <c r="B3119" s="479"/>
      <c r="C3119" s="977"/>
      <c r="D3119" s="981"/>
      <c r="E3119" s="3267" t="s">
        <v>2118</v>
      </c>
      <c r="F3119" s="2380"/>
      <c r="G3119" s="2380"/>
      <c r="H3119" s="2380"/>
      <c r="I3119" s="2380"/>
      <c r="J3119" s="2380"/>
      <c r="K3119" s="2380"/>
      <c r="L3119" s="2380"/>
      <c r="M3119" s="2380"/>
      <c r="N3119" s="3268"/>
      <c r="O3119" s="485"/>
      <c r="P3119" s="485"/>
      <c r="Q3119" s="1435"/>
      <c r="S3119" s="1435"/>
    </row>
    <row r="3120" spans="2:37" ht="25.5" customHeight="1">
      <c r="B3120" s="479"/>
      <c r="C3120" s="977"/>
      <c r="D3120" s="981"/>
      <c r="E3120" s="3267" t="s">
        <v>1614</v>
      </c>
      <c r="F3120" s="2380"/>
      <c r="G3120" s="2380"/>
      <c r="H3120" s="2380"/>
      <c r="I3120" s="2380"/>
      <c r="J3120" s="2380"/>
      <c r="K3120" s="2380"/>
      <c r="L3120" s="2380"/>
      <c r="M3120" s="2380"/>
      <c r="N3120" s="3268"/>
      <c r="O3120" s="485"/>
      <c r="P3120" s="485"/>
      <c r="Q3120" s="1435"/>
      <c r="S3120" s="1435"/>
    </row>
    <row r="3121" spans="2:37" ht="25.5" customHeight="1">
      <c r="B3121" s="479"/>
      <c r="C3121" s="977"/>
      <c r="D3121" s="981"/>
      <c r="E3121" s="3267" t="s">
        <v>1593</v>
      </c>
      <c r="F3121" s="2380"/>
      <c r="G3121" s="2380"/>
      <c r="H3121" s="2380"/>
      <c r="I3121" s="2380"/>
      <c r="J3121" s="2380"/>
      <c r="K3121" s="2380"/>
      <c r="L3121" s="2380"/>
      <c r="M3121" s="2380"/>
      <c r="N3121" s="3268"/>
      <c r="O3121" s="485"/>
      <c r="P3121" s="485"/>
      <c r="Q3121" s="1435"/>
      <c r="S3121" s="1435"/>
    </row>
    <row r="3122" spans="2:37" ht="12.75" customHeight="1" thickBot="1">
      <c r="B3122" s="479"/>
      <c r="C3122" s="977"/>
      <c r="D3122" s="981"/>
      <c r="E3122" s="3269" t="s">
        <v>1555</v>
      </c>
      <c r="F3122" s="3270"/>
      <c r="G3122" s="3270"/>
      <c r="H3122" s="3270"/>
      <c r="I3122" s="3270"/>
      <c r="J3122" s="3270"/>
      <c r="K3122" s="3270"/>
      <c r="L3122" s="3270"/>
      <c r="M3122" s="3270"/>
      <c r="N3122" s="3271"/>
      <c r="O3122" s="485"/>
      <c r="P3122" s="485"/>
      <c r="Q3122" s="1435"/>
    </row>
    <row r="3123" spans="2:37" ht="12.75" customHeight="1" thickBot="1">
      <c r="B3123" s="479"/>
      <c r="C3123" s="977"/>
      <c r="D3123" s="981"/>
      <c r="E3123" s="2648" t="s">
        <v>1151</v>
      </c>
      <c r="F3123" s="2493"/>
      <c r="G3123" s="987" t="str">
        <f>EUconst_Unit</f>
        <v>Unit</v>
      </c>
      <c r="H3123" s="782">
        <f t="shared" ref="H3123:N3123" si="1455">H$3242</f>
        <v>2024</v>
      </c>
      <c r="I3123" s="988">
        <f t="shared" si="1455"/>
        <v>2025</v>
      </c>
      <c r="J3123" s="1810">
        <f t="shared" si="1455"/>
        <v>2026</v>
      </c>
      <c r="K3123" s="1747">
        <f t="shared" si="1455"/>
        <v>2027</v>
      </c>
      <c r="L3123" s="1747">
        <f t="shared" si="1455"/>
        <v>2028</v>
      </c>
      <c r="M3123" s="1747">
        <f t="shared" si="1455"/>
        <v>2029</v>
      </c>
      <c r="N3123" s="1748">
        <f t="shared" si="1455"/>
        <v>2030</v>
      </c>
      <c r="O3123" s="485"/>
      <c r="P3123" s="485"/>
      <c r="Q3123" s="1435"/>
      <c r="S3123" s="1648"/>
      <c r="T3123" s="1749">
        <f t="shared" ref="T3123:Z3123" si="1456">H3123</f>
        <v>2024</v>
      </c>
      <c r="U3123" s="1749">
        <f t="shared" si="1456"/>
        <v>2025</v>
      </c>
      <c r="V3123" s="1749">
        <f t="shared" si="1456"/>
        <v>2026</v>
      </c>
      <c r="W3123" s="1749">
        <f t="shared" si="1456"/>
        <v>2027</v>
      </c>
      <c r="X3123" s="1749">
        <f t="shared" si="1456"/>
        <v>2028</v>
      </c>
      <c r="Y3123" s="1749">
        <f t="shared" si="1456"/>
        <v>2029</v>
      </c>
      <c r="Z3123" s="1750">
        <f t="shared" si="1456"/>
        <v>2030</v>
      </c>
      <c r="AC3123" s="1638">
        <f t="shared" ref="AC3123:AI3123" si="1457">H$20</f>
        <v>2024</v>
      </c>
      <c r="AD3123" s="1638">
        <f t="shared" si="1457"/>
        <v>2025</v>
      </c>
      <c r="AE3123" s="1638">
        <f t="shared" si="1457"/>
        <v>2026</v>
      </c>
      <c r="AF3123" s="1638">
        <f t="shared" si="1457"/>
        <v>2027</v>
      </c>
      <c r="AG3123" s="1638">
        <f t="shared" si="1457"/>
        <v>2028</v>
      </c>
      <c r="AH3123" s="1638">
        <f t="shared" si="1457"/>
        <v>2029</v>
      </c>
      <c r="AI3123" s="1638">
        <f t="shared" si="1457"/>
        <v>2030</v>
      </c>
    </row>
    <row r="3124" spans="2:37" ht="12.75" customHeight="1">
      <c r="B3124" s="479"/>
      <c r="C3124" s="977"/>
      <c r="D3124" s="777" t="s">
        <v>6</v>
      </c>
      <c r="E3124" s="2475" t="s">
        <v>1087</v>
      </c>
      <c r="F3124" s="2410"/>
      <c r="G3124" s="815" t="str">
        <f>EUconst_TJpa</f>
        <v>TJ / year</v>
      </c>
      <c r="H3124" s="1479" t="str">
        <f>c_ALR2025!M5630</f>
        <v/>
      </c>
      <c r="I3124" s="1532"/>
      <c r="J3124" s="1811"/>
      <c r="K3124" s="1751"/>
      <c r="L3124" s="1751"/>
      <c r="M3124" s="1751"/>
      <c r="N3124" s="1752"/>
      <c r="O3124" s="485"/>
      <c r="P3124" s="9"/>
      <c r="Q3124" s="1644" t="str">
        <f>EUconst_CNTR_HeatImport &amp; I2911</f>
        <v>HeatIm_</v>
      </c>
      <c r="S3124" s="1874" t="str">
        <f>EUconst_ERR_AttrEmBMapplied &amp; I2911</f>
        <v>ERR_AttrEmBM_</v>
      </c>
      <c r="T3124" s="1443">
        <f t="shared" ref="T3124:Z3124" si="1458">IF(AND(H3124&lt;&gt;0,H3125="",EUconst_StatusOfDataCollection=FALSE),1,0)</f>
        <v>0</v>
      </c>
      <c r="U3124" s="1443">
        <f t="shared" si="1458"/>
        <v>0</v>
      </c>
      <c r="V3124" s="1443">
        <f t="shared" si="1458"/>
        <v>0</v>
      </c>
      <c r="W3124" s="1443">
        <f t="shared" si="1458"/>
        <v>0</v>
      </c>
      <c r="X3124" s="1443">
        <f t="shared" si="1458"/>
        <v>0</v>
      </c>
      <c r="Y3124" s="1443">
        <f t="shared" si="1458"/>
        <v>0</v>
      </c>
      <c r="Z3124" s="1737">
        <f t="shared" si="1458"/>
        <v>0</v>
      </c>
      <c r="AA3124" s="1503"/>
      <c r="AB3124" s="1641" t="s">
        <v>717</v>
      </c>
      <c r="AC3124" s="1443" t="b">
        <f t="shared" ref="AC3124:AI3124" si="1459">AC2981</f>
        <v>0</v>
      </c>
      <c r="AD3124" s="1443" t="b">
        <f t="shared" si="1459"/>
        <v>0</v>
      </c>
      <c r="AE3124" s="1443" t="b">
        <f t="shared" si="1459"/>
        <v>0</v>
      </c>
      <c r="AF3124" s="1443" t="b">
        <f t="shared" si="1459"/>
        <v>0</v>
      </c>
      <c r="AG3124" s="1443" t="b">
        <f t="shared" si="1459"/>
        <v>0</v>
      </c>
      <c r="AH3124" s="1443" t="b">
        <f t="shared" si="1459"/>
        <v>0</v>
      </c>
      <c r="AI3124" s="1443" t="b">
        <f t="shared" si="1459"/>
        <v>0</v>
      </c>
      <c r="AJ3124" s="1633" t="s">
        <v>1954</v>
      </c>
      <c r="AK3124" s="1635" t="str">
        <f>IF(AND(CNTR_ExistSubInstEntries,MSconst_RequireSubAttrEmissions,COUNTIFS(AC3124:AI3124,FALSE,H3124:N3124,"")&gt;0),EUconst_Error&amp;"BM"&amp;$Q2911,"")</f>
        <v/>
      </c>
    </row>
    <row r="3125" spans="2:37" ht="12.75" customHeight="1" thickBot="1">
      <c r="B3125" s="479"/>
      <c r="C3125" s="977"/>
      <c r="D3125" s="777" t="s">
        <v>7</v>
      </c>
      <c r="E3125" s="2475" t="s">
        <v>1103</v>
      </c>
      <c r="F3125" s="2410"/>
      <c r="G3125" s="815" t="str">
        <f>EUconst_tCO2pTJ</f>
        <v>t CO2 / TJ</v>
      </c>
      <c r="H3125" s="1479" t="str">
        <f>c_ALR2025!M5631</f>
        <v/>
      </c>
      <c r="I3125" s="1532"/>
      <c r="J3125" s="1811"/>
      <c r="K3125" s="1751"/>
      <c r="L3125" s="1751"/>
      <c r="M3125" s="1751"/>
      <c r="N3125" s="1752"/>
      <c r="O3125" s="485"/>
      <c r="P3125" s="9"/>
      <c r="Q3125" s="1644" t="str">
        <f>EUconst_CNTR_HeatImportEF &amp; I2911</f>
        <v>HeatImEF_</v>
      </c>
      <c r="S3125" s="1753" t="str">
        <f>EUconst_CNTR_AttributedEmissions &amp; I2911</f>
        <v>AttrEmissions_</v>
      </c>
      <c r="T3125" s="1743" t="str">
        <f t="shared" ref="T3125:Z3125" si="1460">IF(T2919,SUM(H3124)*IF(ISNUMBER(H3125),H3125,EUconst_HeatBMvalue),"")</f>
        <v/>
      </c>
      <c r="U3125" s="1743" t="str">
        <f t="shared" si="1460"/>
        <v/>
      </c>
      <c r="V3125" s="1743" t="str">
        <f t="shared" si="1460"/>
        <v/>
      </c>
      <c r="W3125" s="1743" t="str">
        <f t="shared" si="1460"/>
        <v/>
      </c>
      <c r="X3125" s="1743" t="str">
        <f t="shared" si="1460"/>
        <v/>
      </c>
      <c r="Y3125" s="1743" t="str">
        <f t="shared" si="1460"/>
        <v/>
      </c>
      <c r="Z3125" s="1744" t="str">
        <f t="shared" si="1460"/>
        <v/>
      </c>
      <c r="AC3125" s="1443" t="b">
        <f>AC3124</f>
        <v>0</v>
      </c>
      <c r="AD3125" s="1443" t="b">
        <f t="shared" ref="AD3125:AI3125" si="1461">AD3124</f>
        <v>0</v>
      </c>
      <c r="AE3125" s="1443" t="b">
        <f t="shared" si="1461"/>
        <v>0</v>
      </c>
      <c r="AF3125" s="1443" t="b">
        <f t="shared" si="1461"/>
        <v>0</v>
      </c>
      <c r="AG3125" s="1443" t="b">
        <f t="shared" si="1461"/>
        <v>0</v>
      </c>
      <c r="AH3125" s="1443" t="b">
        <f t="shared" si="1461"/>
        <v>0</v>
      </c>
      <c r="AI3125" s="1443" t="b">
        <f t="shared" si="1461"/>
        <v>0</v>
      </c>
    </row>
    <row r="3126" spans="2:37" ht="5.0999999999999996" customHeight="1">
      <c r="B3126" s="479"/>
      <c r="C3126" s="977"/>
      <c r="D3126" s="981"/>
      <c r="E3126" s="981"/>
      <c r="F3126" s="981"/>
      <c r="G3126" s="981"/>
      <c r="H3126" s="981"/>
      <c r="I3126" s="981"/>
      <c r="J3126" s="1815"/>
      <c r="K3126" s="1760"/>
      <c r="L3126" s="1760"/>
      <c r="M3126" s="1760"/>
      <c r="N3126" s="1761"/>
      <c r="O3126" s="485"/>
      <c r="P3126" s="485"/>
      <c r="Q3126" s="1435"/>
      <c r="S3126" s="1435"/>
      <c r="T3126" s="1435"/>
      <c r="U3126" s="1435"/>
      <c r="V3126" s="1435"/>
    </row>
    <row r="3127" spans="2:37" ht="12.75" customHeight="1" thickBot="1">
      <c r="B3127" s="479"/>
      <c r="C3127" s="977"/>
      <c r="D3127" s="981"/>
      <c r="E3127" s="2648" t="s">
        <v>1406</v>
      </c>
      <c r="F3127" s="2493"/>
      <c r="G3127" s="987" t="str">
        <f>EUconst_Unit</f>
        <v>Unit</v>
      </c>
      <c r="H3127" s="782">
        <f t="shared" ref="H3127:N3127" si="1462">H$3242</f>
        <v>2024</v>
      </c>
      <c r="I3127" s="988">
        <f t="shared" si="1462"/>
        <v>2025</v>
      </c>
      <c r="J3127" s="1810">
        <f t="shared" si="1462"/>
        <v>2026</v>
      </c>
      <c r="K3127" s="1747">
        <f t="shared" si="1462"/>
        <v>2027</v>
      </c>
      <c r="L3127" s="1747">
        <f t="shared" si="1462"/>
        <v>2028</v>
      </c>
      <c r="M3127" s="1747">
        <f t="shared" si="1462"/>
        <v>2029</v>
      </c>
      <c r="N3127" s="1748">
        <f t="shared" si="1462"/>
        <v>2030</v>
      </c>
      <c r="O3127" s="485"/>
      <c r="P3127" s="485"/>
      <c r="Q3127" s="1435"/>
      <c r="S3127" s="1435"/>
      <c r="T3127" s="1435"/>
      <c r="U3127" s="1435"/>
      <c r="V3127" s="1435"/>
      <c r="AC3127" s="1638">
        <f t="shared" ref="AC3127:AI3127" si="1463">H$20</f>
        <v>2024</v>
      </c>
      <c r="AD3127" s="1638">
        <f t="shared" si="1463"/>
        <v>2025</v>
      </c>
      <c r="AE3127" s="1638">
        <f t="shared" si="1463"/>
        <v>2026</v>
      </c>
      <c r="AF3127" s="1638">
        <f t="shared" si="1463"/>
        <v>2027</v>
      </c>
      <c r="AG3127" s="1638">
        <f t="shared" si="1463"/>
        <v>2028</v>
      </c>
      <c r="AH3127" s="1638">
        <f t="shared" si="1463"/>
        <v>2029</v>
      </c>
      <c r="AI3127" s="1638">
        <f t="shared" si="1463"/>
        <v>2030</v>
      </c>
    </row>
    <row r="3128" spans="2:37" ht="12.75" customHeight="1">
      <c r="B3128" s="479"/>
      <c r="C3128" s="977"/>
      <c r="D3128" s="777" t="s">
        <v>8</v>
      </c>
      <c r="E3128" s="2475" t="s">
        <v>1556</v>
      </c>
      <c r="F3128" s="2410"/>
      <c r="G3128" s="815" t="str">
        <f>EUconst_TJpa</f>
        <v>TJ / year</v>
      </c>
      <c r="H3128" s="1762" t="str">
        <f>c_ALR2025!M5634</f>
        <v/>
      </c>
      <c r="I3128" s="1885"/>
      <c r="J3128" s="1811"/>
      <c r="K3128" s="1751"/>
      <c r="L3128" s="1751"/>
      <c r="M3128" s="1751"/>
      <c r="N3128" s="1752"/>
      <c r="O3128" s="485"/>
      <c r="P3128" s="9"/>
      <c r="Q3128" s="1644" t="str">
        <f>EUconst_CNTR_HeatImportPulp &amp; I2911</f>
        <v>HeatImPulp_</v>
      </c>
      <c r="S3128" s="1435"/>
      <c r="T3128" s="1435"/>
      <c r="U3128" s="1435"/>
      <c r="V3128" s="1435"/>
      <c r="AB3128" s="1641" t="s">
        <v>717</v>
      </c>
      <c r="AC3128" s="1443" t="b">
        <f>AC2981</f>
        <v>0</v>
      </c>
      <c r="AD3128" s="1443" t="b">
        <f t="shared" ref="AD3128:AI3128" si="1464">AD2981</f>
        <v>0</v>
      </c>
      <c r="AE3128" s="1443" t="b">
        <f t="shared" si="1464"/>
        <v>0</v>
      </c>
      <c r="AF3128" s="1443" t="b">
        <f t="shared" si="1464"/>
        <v>0</v>
      </c>
      <c r="AG3128" s="1443" t="b">
        <f t="shared" si="1464"/>
        <v>0</v>
      </c>
      <c r="AH3128" s="1443" t="b">
        <f t="shared" si="1464"/>
        <v>0</v>
      </c>
      <c r="AI3128" s="1443" t="b">
        <f t="shared" si="1464"/>
        <v>0</v>
      </c>
      <c r="AJ3128" s="1633" t="s">
        <v>1954</v>
      </c>
      <c r="AK3128" s="1635" t="str">
        <f>IF(AND(CNTR_ExistSubInstEntries,MSconst_RequireSubAttrEmissions,COUNTIFS(AC3128:AI3128,FALSE,H3128:N3128,"")&gt;0),EUconst_Error&amp;"BM"&amp;$Q2911,"")</f>
        <v/>
      </c>
    </row>
    <row r="3129" spans="2:37" ht="25.5" customHeight="1">
      <c r="B3129" s="479"/>
      <c r="C3129" s="977"/>
      <c r="D3129" s="777" t="s">
        <v>18</v>
      </c>
      <c r="E3129" s="2475" t="s">
        <v>1149</v>
      </c>
      <c r="F3129" s="2410"/>
      <c r="G3129" s="815" t="str">
        <f>EUconst_TJpa</f>
        <v>TJ / year</v>
      </c>
      <c r="H3129" s="1479" t="str">
        <f>c_ALR2025!M5635</f>
        <v/>
      </c>
      <c r="I3129" s="1532"/>
      <c r="J3129" s="1811"/>
      <c r="K3129" s="1751"/>
      <c r="L3129" s="1751"/>
      <c r="M3129" s="1751"/>
      <c r="N3129" s="1752"/>
      <c r="O3129" s="485"/>
      <c r="P3129" s="9"/>
      <c r="Q3129" s="1644" t="str">
        <f>EUconst_CNTR_HeatImportNitric &amp; I2911</f>
        <v>HeatImNitric_</v>
      </c>
      <c r="S3129" s="1435"/>
      <c r="T3129" s="1435"/>
      <c r="U3129" s="1435"/>
      <c r="V3129" s="1435"/>
      <c r="AC3129" s="1443" t="b">
        <f>AC3128</f>
        <v>0</v>
      </c>
      <c r="AD3129" s="1443" t="b">
        <f t="shared" ref="AD3129:AI3129" si="1465">AD3128</f>
        <v>0</v>
      </c>
      <c r="AE3129" s="1443" t="b">
        <f t="shared" si="1465"/>
        <v>0</v>
      </c>
      <c r="AF3129" s="1443" t="b">
        <f t="shared" si="1465"/>
        <v>0</v>
      </c>
      <c r="AG3129" s="1443" t="b">
        <f t="shared" si="1465"/>
        <v>0</v>
      </c>
      <c r="AH3129" s="1443" t="b">
        <f t="shared" si="1465"/>
        <v>0</v>
      </c>
      <c r="AI3129" s="1443" t="b">
        <f t="shared" si="1465"/>
        <v>0</v>
      </c>
      <c r="AJ3129" s="1633" t="s">
        <v>1954</v>
      </c>
      <c r="AK3129" s="1635" t="str">
        <f>IF(AND(CNTR_ExistSubInstEntries,MSconst_RequireSubAttrEmissions,COUNTIFS(AC3129:AI3129,FALSE,H3129:N3129,"")&gt;0),EUconst_Error&amp;"BM"&amp;$Q2911,"")</f>
        <v/>
      </c>
    </row>
    <row r="3130" spans="2:37" ht="5.0999999999999996" customHeight="1" thickBot="1">
      <c r="B3130" s="479"/>
      <c r="C3130" s="977"/>
      <c r="D3130" s="981"/>
      <c r="E3130" s="981"/>
      <c r="F3130" s="981"/>
      <c r="G3130" s="981"/>
      <c r="H3130" s="981"/>
      <c r="I3130" s="981"/>
      <c r="J3130" s="1815"/>
      <c r="K3130" s="1760"/>
      <c r="L3130" s="1760"/>
      <c r="M3130" s="1760"/>
      <c r="N3130" s="1761"/>
      <c r="O3130" s="485"/>
      <c r="P3130" s="485"/>
      <c r="Q3130" s="1435"/>
      <c r="S3130" s="1435"/>
      <c r="T3130" s="1435"/>
      <c r="U3130" s="1435"/>
      <c r="V3130" s="1435"/>
    </row>
    <row r="3131" spans="2:37" ht="12.75" customHeight="1" thickBot="1">
      <c r="B3131" s="479"/>
      <c r="C3131" s="977"/>
      <c r="D3131" s="981"/>
      <c r="E3131" s="2648" t="s">
        <v>1152</v>
      </c>
      <c r="F3131" s="2493"/>
      <c r="G3131" s="987" t="str">
        <f>EUconst_Unit</f>
        <v>Unit</v>
      </c>
      <c r="H3131" s="782">
        <f t="shared" ref="H3131:N3131" si="1466">H$3242</f>
        <v>2024</v>
      </c>
      <c r="I3131" s="988">
        <f t="shared" si="1466"/>
        <v>2025</v>
      </c>
      <c r="J3131" s="1810">
        <f t="shared" si="1466"/>
        <v>2026</v>
      </c>
      <c r="K3131" s="1747">
        <f t="shared" si="1466"/>
        <v>2027</v>
      </c>
      <c r="L3131" s="1747">
        <f t="shared" si="1466"/>
        <v>2028</v>
      </c>
      <c r="M3131" s="1747">
        <f t="shared" si="1466"/>
        <v>2029</v>
      </c>
      <c r="N3131" s="1748">
        <f t="shared" si="1466"/>
        <v>2030</v>
      </c>
      <c r="O3131" s="485"/>
      <c r="P3131" s="485"/>
      <c r="Q3131" s="1435"/>
      <c r="S3131" s="1648"/>
      <c r="T3131" s="1749">
        <f t="shared" ref="T3131:Z3131" si="1467">H3131</f>
        <v>2024</v>
      </c>
      <c r="U3131" s="1749">
        <f t="shared" si="1467"/>
        <v>2025</v>
      </c>
      <c r="V3131" s="1749">
        <f t="shared" si="1467"/>
        <v>2026</v>
      </c>
      <c r="W3131" s="1749">
        <f t="shared" si="1467"/>
        <v>2027</v>
      </c>
      <c r="X3131" s="1749">
        <f t="shared" si="1467"/>
        <v>2028</v>
      </c>
      <c r="Y3131" s="1749">
        <f t="shared" si="1467"/>
        <v>2029</v>
      </c>
      <c r="Z3131" s="1750">
        <f t="shared" si="1467"/>
        <v>2030</v>
      </c>
      <c r="AC3131" s="1638">
        <f t="shared" ref="AC3131:AI3131" si="1468">H$20</f>
        <v>2024</v>
      </c>
      <c r="AD3131" s="1638">
        <f t="shared" si="1468"/>
        <v>2025</v>
      </c>
      <c r="AE3131" s="1638">
        <f t="shared" si="1468"/>
        <v>2026</v>
      </c>
      <c r="AF3131" s="1638">
        <f t="shared" si="1468"/>
        <v>2027</v>
      </c>
      <c r="AG3131" s="1638">
        <f t="shared" si="1468"/>
        <v>2028</v>
      </c>
      <c r="AH3131" s="1638">
        <f t="shared" si="1468"/>
        <v>2029</v>
      </c>
      <c r="AI3131" s="1638">
        <f t="shared" si="1468"/>
        <v>2030</v>
      </c>
    </row>
    <row r="3132" spans="2:37" ht="12.75" customHeight="1">
      <c r="B3132" s="479"/>
      <c r="C3132" s="977"/>
      <c r="D3132" s="777" t="s">
        <v>787</v>
      </c>
      <c r="E3132" s="2475" t="s">
        <v>1079</v>
      </c>
      <c r="F3132" s="2410"/>
      <c r="G3132" s="815" t="str">
        <f>EUconst_TJpa</f>
        <v>TJ / year</v>
      </c>
      <c r="H3132" s="1479" t="str">
        <f>c_ALR2025!M5638</f>
        <v/>
      </c>
      <c r="I3132" s="1532"/>
      <c r="J3132" s="1811"/>
      <c r="K3132" s="1751"/>
      <c r="L3132" s="1751"/>
      <c r="M3132" s="1751"/>
      <c r="N3132" s="1752"/>
      <c r="O3132" s="485"/>
      <c r="P3132" s="9"/>
      <c r="Q3132" s="1644" t="str">
        <f>EUconst_CNTR_HeatExport &amp; I2911</f>
        <v>HeatEx_</v>
      </c>
      <c r="S3132" s="1874" t="str">
        <f>EUconst_ERR_AttrEmBMapplied &amp; I2911</f>
        <v>ERR_AttrEmBM_</v>
      </c>
      <c r="T3132" s="1443">
        <f t="shared" ref="T3132:Z3132" si="1469">IF(AND(H3132&lt;&gt;0,H3133="",EUconst_StatusOfDataCollection=FALSE),1,0)</f>
        <v>0</v>
      </c>
      <c r="U3132" s="1443">
        <f t="shared" si="1469"/>
        <v>0</v>
      </c>
      <c r="V3132" s="1443">
        <f t="shared" si="1469"/>
        <v>0</v>
      </c>
      <c r="W3132" s="1443">
        <f t="shared" si="1469"/>
        <v>0</v>
      </c>
      <c r="X3132" s="1443">
        <f t="shared" si="1469"/>
        <v>0</v>
      </c>
      <c r="Y3132" s="1443">
        <f t="shared" si="1469"/>
        <v>0</v>
      </c>
      <c r="Z3132" s="1737">
        <f t="shared" si="1469"/>
        <v>0</v>
      </c>
      <c r="AB3132" s="1641" t="s">
        <v>717</v>
      </c>
      <c r="AC3132" s="1443" t="b">
        <f>AC3128</f>
        <v>0</v>
      </c>
      <c r="AD3132" s="1443" t="b">
        <f t="shared" ref="AD3132:AI3132" si="1470">AD3128</f>
        <v>0</v>
      </c>
      <c r="AE3132" s="1443" t="b">
        <f t="shared" si="1470"/>
        <v>0</v>
      </c>
      <c r="AF3132" s="1443" t="b">
        <f t="shared" si="1470"/>
        <v>0</v>
      </c>
      <c r="AG3132" s="1443" t="b">
        <f t="shared" si="1470"/>
        <v>0</v>
      </c>
      <c r="AH3132" s="1443" t="b">
        <f t="shared" si="1470"/>
        <v>0</v>
      </c>
      <c r="AI3132" s="1443" t="b">
        <f t="shared" si="1470"/>
        <v>0</v>
      </c>
      <c r="AJ3132" s="1633" t="s">
        <v>1954</v>
      </c>
      <c r="AK3132" s="1635" t="str">
        <f>IF(AND(CNTR_ExistSubInstEntries,MSconst_RequireSubAttrEmissions,COUNTIFS(AC3132:AI3132,FALSE,H3132:N3132,"")&gt;0),EUconst_Error&amp;"BM"&amp;$Q2911,"")</f>
        <v/>
      </c>
    </row>
    <row r="3133" spans="2:37" ht="12.75" customHeight="1" thickBot="1">
      <c r="B3133" s="479"/>
      <c r="C3133" s="977"/>
      <c r="D3133" s="777" t="s">
        <v>788</v>
      </c>
      <c r="E3133" s="2475" t="s">
        <v>1104</v>
      </c>
      <c r="F3133" s="2410"/>
      <c r="G3133" s="815" t="str">
        <f>EUconst_tCO2pTJ</f>
        <v>t CO2 / TJ</v>
      </c>
      <c r="H3133" s="1479" t="str">
        <f>c_ALR2025!M5639</f>
        <v/>
      </c>
      <c r="I3133" s="1532"/>
      <c r="J3133" s="1811"/>
      <c r="K3133" s="1751"/>
      <c r="L3133" s="1751"/>
      <c r="M3133" s="1751"/>
      <c r="N3133" s="1752"/>
      <c r="O3133" s="485"/>
      <c r="P3133" s="9"/>
      <c r="Q3133" s="1644" t="str">
        <f>EUconst_CNTR_HeatExportEF &amp; I2911</f>
        <v>HeatExEF_</v>
      </c>
      <c r="S3133" s="1753" t="str">
        <f>EUconst_CNTR_AttributedEmissions &amp; I2911</f>
        <v>AttrEmissions_</v>
      </c>
      <c r="T3133" s="1743" t="str">
        <f t="shared" ref="T3133:Z3133" si="1471">IF(T2919,-SUM(H3132)*IF(INDEX(EUconst_BMlistNumberOfBM,MATCH($I2911,EUconst_BMlistNames,0))=39,0,IF(ISNUMBER(H3133),H3133,EUconst_HeatBMvalue)),"")</f>
        <v/>
      </c>
      <c r="U3133" s="1743" t="str">
        <f t="shared" si="1471"/>
        <v/>
      </c>
      <c r="V3133" s="1743" t="str">
        <f t="shared" si="1471"/>
        <v/>
      </c>
      <c r="W3133" s="1743" t="str">
        <f t="shared" si="1471"/>
        <v/>
      </c>
      <c r="X3133" s="1743" t="str">
        <f t="shared" si="1471"/>
        <v/>
      </c>
      <c r="Y3133" s="1743" t="str">
        <f t="shared" si="1471"/>
        <v/>
      </c>
      <c r="Z3133" s="1744" t="str">
        <f t="shared" si="1471"/>
        <v/>
      </c>
      <c r="AC3133" s="1443" t="b">
        <f>AC3132</f>
        <v>0</v>
      </c>
      <c r="AD3133" s="1443" t="b">
        <f t="shared" ref="AD3133:AI3133" si="1472">AD3132</f>
        <v>0</v>
      </c>
      <c r="AE3133" s="1443" t="b">
        <f t="shared" si="1472"/>
        <v>0</v>
      </c>
      <c r="AF3133" s="1443" t="b">
        <f t="shared" si="1472"/>
        <v>0</v>
      </c>
      <c r="AG3133" s="1443" t="b">
        <f t="shared" si="1472"/>
        <v>0</v>
      </c>
      <c r="AH3133" s="1443" t="b">
        <f t="shared" si="1472"/>
        <v>0</v>
      </c>
      <c r="AI3133" s="1443" t="b">
        <f t="shared" si="1472"/>
        <v>0</v>
      </c>
    </row>
    <row r="3134" spans="2:37" ht="12.75" customHeight="1">
      <c r="B3134" s="479"/>
      <c r="C3134" s="977"/>
      <c r="D3134" s="981"/>
      <c r="E3134" s="981"/>
      <c r="F3134" s="981"/>
      <c r="G3134" s="981"/>
      <c r="H3134" s="981"/>
      <c r="I3134" s="981"/>
      <c r="J3134" s="981"/>
      <c r="K3134" s="981"/>
      <c r="L3134" s="981"/>
      <c r="M3134" s="813"/>
      <c r="N3134" s="814"/>
      <c r="O3134" s="485"/>
      <c r="P3134" s="485"/>
      <c r="Q3134" s="1435"/>
      <c r="S3134" s="1435"/>
      <c r="T3134" s="1435"/>
      <c r="U3134" s="1435"/>
      <c r="V3134" s="1435"/>
    </row>
    <row r="3135" spans="2:37" ht="12.75" customHeight="1">
      <c r="B3135" s="479"/>
      <c r="C3135" s="977"/>
      <c r="D3135" s="982" t="s">
        <v>481</v>
      </c>
      <c r="E3135" s="2649" t="s">
        <v>1312</v>
      </c>
      <c r="F3135" s="2391"/>
      <c r="G3135" s="2391"/>
      <c r="H3135" s="2391"/>
      <c r="I3135" s="2391"/>
      <c r="J3135" s="2391"/>
      <c r="K3135" s="2391"/>
      <c r="L3135" s="2391"/>
      <c r="M3135" s="2391"/>
      <c r="N3135" s="2650"/>
      <c r="O3135" s="485"/>
      <c r="P3135" s="485"/>
      <c r="Q3135" s="1435"/>
      <c r="S3135" s="1435"/>
      <c r="T3135" s="1435"/>
      <c r="U3135" s="1435"/>
      <c r="V3135" s="1435"/>
    </row>
    <row r="3136" spans="2:37" ht="5.0999999999999996" customHeight="1">
      <c r="B3136" s="479"/>
      <c r="C3136" s="977"/>
      <c r="D3136" s="981"/>
      <c r="E3136" s="986"/>
      <c r="F3136" s="986"/>
      <c r="G3136" s="986"/>
      <c r="H3136" s="986"/>
      <c r="I3136" s="986"/>
      <c r="J3136" s="986"/>
      <c r="K3136" s="986"/>
      <c r="L3136" s="986"/>
      <c r="M3136" s="986"/>
      <c r="N3136" s="1007"/>
      <c r="O3136" s="485"/>
      <c r="P3136" s="485"/>
      <c r="Q3136" s="1435"/>
      <c r="S3136" s="1435"/>
      <c r="T3136" s="1435"/>
      <c r="U3136" s="1435"/>
      <c r="V3136" s="1435"/>
    </row>
    <row r="3137" spans="2:37" ht="12.75" customHeight="1">
      <c r="B3137" s="479"/>
      <c r="C3137" s="977"/>
      <c r="D3137" s="777" t="s">
        <v>6</v>
      </c>
      <c r="E3137" s="2649" t="s">
        <v>1313</v>
      </c>
      <c r="F3137" s="2391"/>
      <c r="G3137" s="2391"/>
      <c r="H3137" s="2391"/>
      <c r="I3137" s="2391"/>
      <c r="J3137" s="2391"/>
      <c r="K3137" s="2512"/>
      <c r="L3137" s="1478" t="str">
        <f>c_ALR2025!L5643</f>
        <v/>
      </c>
      <c r="M3137" s="978"/>
      <c r="N3137" s="979"/>
      <c r="O3137" s="485"/>
      <c r="P3137" s="9"/>
      <c r="Q3137" s="1435"/>
      <c r="S3137" s="1435"/>
      <c r="AF3137" s="1641" t="s">
        <v>717</v>
      </c>
      <c r="AG3137" s="1423" t="b">
        <f>AND(CNTR_ExistSubInstEntries,I2911="")</f>
        <v>0</v>
      </c>
    </row>
    <row r="3138" spans="2:37" ht="12.75" customHeight="1">
      <c r="B3138" s="479"/>
      <c r="C3138" s="977"/>
      <c r="D3138" s="981"/>
      <c r="E3138" s="3267" t="s">
        <v>1314</v>
      </c>
      <c r="F3138" s="2380"/>
      <c r="G3138" s="2380"/>
      <c r="H3138" s="2380"/>
      <c r="I3138" s="2380"/>
      <c r="J3138" s="2380"/>
      <c r="K3138" s="2380"/>
      <c r="L3138" s="2380"/>
      <c r="M3138" s="2380"/>
      <c r="N3138" s="3268"/>
      <c r="O3138" s="485"/>
      <c r="P3138" s="485"/>
      <c r="Q3138" s="1435"/>
      <c r="S3138" s="1435"/>
    </row>
    <row r="3139" spans="2:37" ht="12.75" customHeight="1">
      <c r="B3139" s="479"/>
      <c r="C3139" s="977"/>
      <c r="D3139" s="777" t="s">
        <v>7</v>
      </c>
      <c r="E3139" s="2649" t="s">
        <v>1219</v>
      </c>
      <c r="F3139" s="2391"/>
      <c r="G3139" s="2391"/>
      <c r="H3139" s="2512"/>
      <c r="I3139" s="3211" t="str">
        <f>c_ALR2025!I5645</f>
        <v/>
      </c>
      <c r="J3139" s="3206"/>
      <c r="K3139" s="3206"/>
      <c r="L3139" s="3206"/>
      <c r="M3139" s="3207"/>
      <c r="N3139" s="979"/>
      <c r="O3139" s="485"/>
      <c r="P3139" s="9"/>
      <c r="Q3139" s="1435"/>
      <c r="S3139" s="1435"/>
      <c r="AC3139" s="1641" t="s">
        <v>717</v>
      </c>
      <c r="AD3139" s="1423" t="b">
        <f>OR(AG3137,AND($L3137&lt;&gt;"",$L3137=FALSE))</f>
        <v>0</v>
      </c>
    </row>
    <row r="3140" spans="2:37" ht="12.75" customHeight="1">
      <c r="B3140" s="479"/>
      <c r="C3140" s="977"/>
      <c r="D3140" s="981"/>
      <c r="E3140" s="3267" t="s">
        <v>1316</v>
      </c>
      <c r="F3140" s="2380"/>
      <c r="G3140" s="2380"/>
      <c r="H3140" s="2380"/>
      <c r="I3140" s="2380"/>
      <c r="J3140" s="2380"/>
      <c r="K3140" s="2380"/>
      <c r="L3140" s="2380"/>
      <c r="M3140" s="2380"/>
      <c r="N3140" s="3268"/>
      <c r="O3140" s="485"/>
      <c r="P3140" s="485"/>
      <c r="Q3140" s="1435"/>
      <c r="S3140" s="1435"/>
      <c r="T3140" s="1435"/>
      <c r="U3140" s="1435"/>
      <c r="V3140" s="1435"/>
    </row>
    <row r="3141" spans="2:37" ht="12.75" customHeight="1">
      <c r="B3141" s="479"/>
      <c r="C3141" s="977"/>
      <c r="D3141" s="981"/>
      <c r="E3141" s="3272" t="s">
        <v>1557</v>
      </c>
      <c r="F3141" s="2380"/>
      <c r="G3141" s="2380"/>
      <c r="H3141" s="2380"/>
      <c r="I3141" s="2380"/>
      <c r="J3141" s="2380"/>
      <c r="K3141" s="2380"/>
      <c r="L3141" s="2380"/>
      <c r="M3141" s="2380"/>
      <c r="N3141" s="3268"/>
      <c r="O3141" s="485"/>
      <c r="P3141" s="485"/>
      <c r="Q3141" s="1435"/>
      <c r="S3141" s="1435"/>
      <c r="T3141" s="1435"/>
      <c r="U3141" s="1435"/>
      <c r="V3141" s="1435"/>
    </row>
    <row r="3142" spans="2:37" ht="12.75" customHeight="1" thickBot="1">
      <c r="B3142" s="479"/>
      <c r="C3142" s="977"/>
      <c r="D3142" s="981"/>
      <c r="E3142" s="989"/>
      <c r="F3142" s="990"/>
      <c r="G3142" s="987" t="str">
        <f>EUconst_Unit</f>
        <v>Unit</v>
      </c>
      <c r="H3142" s="782">
        <f t="shared" ref="H3142:N3142" si="1473">H$3242</f>
        <v>2024</v>
      </c>
      <c r="I3142" s="988">
        <f t="shared" si="1473"/>
        <v>2025</v>
      </c>
      <c r="J3142" s="1810">
        <f t="shared" si="1473"/>
        <v>2026</v>
      </c>
      <c r="K3142" s="1747">
        <f t="shared" si="1473"/>
        <v>2027</v>
      </c>
      <c r="L3142" s="1747">
        <f t="shared" si="1473"/>
        <v>2028</v>
      </c>
      <c r="M3142" s="1747">
        <f t="shared" si="1473"/>
        <v>2029</v>
      </c>
      <c r="N3142" s="1748">
        <f t="shared" si="1473"/>
        <v>2030</v>
      </c>
      <c r="O3142" s="485"/>
      <c r="P3142" s="485"/>
      <c r="Q3142" s="1435"/>
      <c r="S3142" s="1435"/>
      <c r="T3142" s="1435"/>
      <c r="U3142" s="1435"/>
      <c r="V3142" s="1435"/>
      <c r="AC3142" s="1638">
        <f t="shared" ref="AC3142:AI3142" si="1474">H$20</f>
        <v>2024</v>
      </c>
      <c r="AD3142" s="1638">
        <f t="shared" si="1474"/>
        <v>2025</v>
      </c>
      <c r="AE3142" s="1638">
        <f t="shared" si="1474"/>
        <v>2026</v>
      </c>
      <c r="AF3142" s="1638">
        <f t="shared" si="1474"/>
        <v>2027</v>
      </c>
      <c r="AG3142" s="1638">
        <f t="shared" si="1474"/>
        <v>2028</v>
      </c>
      <c r="AH3142" s="1638">
        <f t="shared" si="1474"/>
        <v>2029</v>
      </c>
      <c r="AI3142" s="1638">
        <f t="shared" si="1474"/>
        <v>2030</v>
      </c>
    </row>
    <row r="3143" spans="2:37" ht="12.75" customHeight="1">
      <c r="B3143" s="479"/>
      <c r="C3143" s="977"/>
      <c r="D3143" s="777" t="s">
        <v>8</v>
      </c>
      <c r="E3143" s="2471" t="s">
        <v>1305</v>
      </c>
      <c r="F3143" s="2472"/>
      <c r="G3143" s="1763" t="str">
        <f>c_ALR2025!G5649</f>
        <v/>
      </c>
      <c r="H3143" s="1552" t="str">
        <f>c_ALR2025!M5649</f>
        <v/>
      </c>
      <c r="I3143" s="1611"/>
      <c r="J3143" s="1811"/>
      <c r="K3143" s="1751"/>
      <c r="L3143" s="1751"/>
      <c r="M3143" s="1751"/>
      <c r="N3143" s="1752"/>
      <c r="O3143" s="485"/>
      <c r="P3143" s="9"/>
      <c r="Q3143" s="1435"/>
      <c r="S3143" s="1435"/>
      <c r="T3143" s="1435"/>
      <c r="U3143" s="1435"/>
      <c r="V3143" s="1435"/>
      <c r="AB3143" s="1641" t="s">
        <v>717</v>
      </c>
      <c r="AC3143" s="1423" t="b">
        <f>OR(AND($L3137&lt;&gt;"",$L3137=FALSE),AC2981)</f>
        <v>0</v>
      </c>
      <c r="AD3143" s="1443" t="b">
        <f t="shared" ref="AD3143:AI3143" si="1475">OR(AND($L3137&lt;&gt;"",$L3137=FALSE),AD2981)</f>
        <v>0</v>
      </c>
      <c r="AE3143" s="1443" t="b">
        <f t="shared" si="1475"/>
        <v>0</v>
      </c>
      <c r="AF3143" s="1443" t="b">
        <f t="shared" si="1475"/>
        <v>0</v>
      </c>
      <c r="AG3143" s="1443" t="b">
        <f t="shared" si="1475"/>
        <v>0</v>
      </c>
      <c r="AH3143" s="1443" t="b">
        <f t="shared" si="1475"/>
        <v>0</v>
      </c>
      <c r="AI3143" s="1443" t="b">
        <f t="shared" si="1475"/>
        <v>0</v>
      </c>
      <c r="AJ3143" s="1633" t="s">
        <v>1954</v>
      </c>
      <c r="AK3143" s="1635" t="str">
        <f>IF(AND(CNTR_ExistSubInstEntries,MSconst_RequireSubAttrEmissions,COUNTIFS(AC3143:AI3143,FALSE,H3143:N3143,"")&gt;0),EUconst_Error&amp;"BM"&amp;$Q2911,"")</f>
        <v/>
      </c>
    </row>
    <row r="3144" spans="2:37" ht="12.75" customHeight="1">
      <c r="B3144" s="479"/>
      <c r="C3144" s="977"/>
      <c r="D3144" s="777" t="s">
        <v>18</v>
      </c>
      <c r="E3144" s="2473" t="s">
        <v>661</v>
      </c>
      <c r="F3144" s="2474"/>
      <c r="G3144" s="1008" t="e">
        <f>IF(ISBLANK(G3143),EUconst_GJperUnit,INDEX(EUconst_GJperTorKNm3,MATCH(G3143,EUconst_TonnesOrkNm3pa,0)))</f>
        <v>#N/A</v>
      </c>
      <c r="H3144" s="1558" t="str">
        <f>c_ALR2025!M5650</f>
        <v/>
      </c>
      <c r="I3144" s="1884"/>
      <c r="J3144" s="1811"/>
      <c r="K3144" s="1751"/>
      <c r="L3144" s="1751"/>
      <c r="M3144" s="1751"/>
      <c r="N3144" s="1752"/>
      <c r="O3144" s="485"/>
      <c r="P3144" s="9"/>
      <c r="S3144" s="1435"/>
      <c r="T3144" s="1435"/>
      <c r="U3144" s="1435"/>
      <c r="V3144" s="1435"/>
      <c r="W3144" s="1435"/>
      <c r="X3144" s="1435"/>
      <c r="Y3144" s="1435"/>
      <c r="Z3144" s="1435"/>
      <c r="AC3144" s="1443" t="b">
        <f>AC3143</f>
        <v>0</v>
      </c>
      <c r="AD3144" s="1443" t="b">
        <f t="shared" ref="AD3144:AI3144" si="1476">AD3143</f>
        <v>0</v>
      </c>
      <c r="AE3144" s="1443" t="b">
        <f t="shared" si="1476"/>
        <v>0</v>
      </c>
      <c r="AF3144" s="1443" t="b">
        <f t="shared" si="1476"/>
        <v>0</v>
      </c>
      <c r="AG3144" s="1443" t="b">
        <f t="shared" si="1476"/>
        <v>0</v>
      </c>
      <c r="AH3144" s="1443" t="b">
        <f t="shared" si="1476"/>
        <v>0</v>
      </c>
      <c r="AI3144" s="1443" t="b">
        <f t="shared" si="1476"/>
        <v>0</v>
      </c>
      <c r="AJ3144" s="1633" t="s">
        <v>1954</v>
      </c>
      <c r="AK3144" s="1635" t="str">
        <f>IF(AND(CNTR_ExistSubInstEntries,MSconst_RequireSubAttrEmissions,COUNTIFS(AC3144:AI3144,FALSE,H3144:N3144,"")&gt;0),EUconst_Error&amp;"BM"&amp;$Q2911,"")</f>
        <v/>
      </c>
    </row>
    <row r="3145" spans="2:37" ht="12.75" customHeight="1">
      <c r="B3145" s="479"/>
      <c r="C3145" s="977"/>
      <c r="D3145" s="777" t="s">
        <v>787</v>
      </c>
      <c r="E3145" s="2475" t="s">
        <v>1141</v>
      </c>
      <c r="F3145" s="2410"/>
      <c r="G3145" s="815" t="str">
        <f>EUconst_TJpa</f>
        <v>TJ / year</v>
      </c>
      <c r="H3145" s="1005" t="str">
        <f t="shared" ref="H3145:N3145" si="1477">IF(COUNT(H3143:H3144)=2,H3143*H3144/1000,"")</f>
        <v/>
      </c>
      <c r="I3145" s="1006" t="str">
        <f t="shared" si="1477"/>
        <v/>
      </c>
      <c r="J3145" s="1811" t="str">
        <f t="shared" si="1477"/>
        <v/>
      </c>
      <c r="K3145" s="1751" t="str">
        <f t="shared" si="1477"/>
        <v/>
      </c>
      <c r="L3145" s="1751" t="str">
        <f t="shared" si="1477"/>
        <v/>
      </c>
      <c r="M3145" s="1751" t="str">
        <f t="shared" si="1477"/>
        <v/>
      </c>
      <c r="N3145" s="1752" t="str">
        <f t="shared" si="1477"/>
        <v/>
      </c>
      <c r="O3145" s="485"/>
      <c r="P3145" s="485"/>
      <c r="Q3145" s="1644" t="str">
        <f>EUconst_CNTR_WGProduced &amp; I2911</f>
        <v>WasteGasProd_</v>
      </c>
      <c r="S3145" s="1435"/>
      <c r="T3145" s="1435"/>
      <c r="U3145" s="1435"/>
      <c r="V3145" s="1435"/>
      <c r="W3145" s="1435"/>
      <c r="X3145" s="1435"/>
      <c r="Y3145" s="1435"/>
      <c r="Z3145" s="1435"/>
    </row>
    <row r="3146" spans="2:37" ht="12.75" customHeight="1">
      <c r="B3146" s="479"/>
      <c r="C3146" s="977"/>
      <c r="D3146" s="777" t="s">
        <v>788</v>
      </c>
      <c r="E3146" s="2475" t="s">
        <v>1258</v>
      </c>
      <c r="F3146" s="2410"/>
      <c r="G3146" s="815" t="str">
        <f>EUconst_tCO2pTJ</f>
        <v>t CO2 / TJ</v>
      </c>
      <c r="H3146" s="1479" t="str">
        <f>c_ALR2025!M5652</f>
        <v/>
      </c>
      <c r="I3146" s="1532"/>
      <c r="J3146" s="1811"/>
      <c r="K3146" s="1751"/>
      <c r="L3146" s="1751"/>
      <c r="M3146" s="1751"/>
      <c r="N3146" s="1752"/>
      <c r="O3146" s="485"/>
      <c r="P3146" s="9"/>
      <c r="Q3146" s="1644" t="str">
        <f>EUconst_CNTR_WGProducedEF &amp; I2911</f>
        <v>WasteGasProdEF_</v>
      </c>
      <c r="S3146" s="1435"/>
      <c r="T3146" s="1435"/>
      <c r="U3146" s="1435"/>
      <c r="V3146" s="1435"/>
      <c r="W3146" s="1435"/>
      <c r="X3146" s="1435"/>
      <c r="Y3146" s="1435"/>
      <c r="Z3146" s="1435"/>
      <c r="AB3146" s="1641" t="s">
        <v>717</v>
      </c>
      <c r="AC3146" s="1443" t="b">
        <f>AC3144</f>
        <v>0</v>
      </c>
      <c r="AD3146" s="1443" t="b">
        <f t="shared" ref="AD3146:AI3146" si="1478">AD3144</f>
        <v>0</v>
      </c>
      <c r="AE3146" s="1443" t="b">
        <f t="shared" si="1478"/>
        <v>0</v>
      </c>
      <c r="AF3146" s="1443" t="b">
        <f t="shared" si="1478"/>
        <v>0</v>
      </c>
      <c r="AG3146" s="1443" t="b">
        <f t="shared" si="1478"/>
        <v>0</v>
      </c>
      <c r="AH3146" s="1443" t="b">
        <f t="shared" si="1478"/>
        <v>0</v>
      </c>
      <c r="AI3146" s="1443" t="b">
        <f t="shared" si="1478"/>
        <v>0</v>
      </c>
      <c r="AJ3146" s="1633" t="s">
        <v>1954</v>
      </c>
      <c r="AK3146" s="1635" t="str">
        <f>IF(AND(CNTR_ExistSubInstEntries,MSconst_RequireSubAttrEmissions,COUNTIFS(AC3146:AI3146,FALSE,H3146:N3146,"")&gt;0),EUconst_Error&amp;"BM"&amp;$Q2911,"")</f>
        <v/>
      </c>
    </row>
    <row r="3147" spans="2:37" ht="12.75" customHeight="1">
      <c r="B3147" s="479"/>
      <c r="C3147" s="977"/>
      <c r="D3147" s="981"/>
      <c r="E3147" s="981"/>
      <c r="F3147" s="981"/>
      <c r="G3147" s="981"/>
      <c r="H3147" s="983"/>
      <c r="I3147" s="981"/>
      <c r="J3147" s="981"/>
      <c r="K3147" s="981"/>
      <c r="L3147" s="981"/>
      <c r="M3147" s="813"/>
      <c r="N3147" s="814"/>
      <c r="O3147" s="485"/>
      <c r="P3147" s="485"/>
      <c r="Q3147" s="1435"/>
      <c r="S3147" s="1435"/>
      <c r="T3147" s="1435"/>
      <c r="U3147" s="1435"/>
      <c r="V3147" s="1435"/>
      <c r="W3147" s="1435"/>
      <c r="X3147" s="1435"/>
      <c r="Y3147" s="1435"/>
      <c r="Z3147" s="1435"/>
    </row>
    <row r="3148" spans="2:37" ht="12.75" customHeight="1">
      <c r="B3148" s="479"/>
      <c r="C3148" s="977"/>
      <c r="D3148" s="777" t="s">
        <v>789</v>
      </c>
      <c r="E3148" s="2649" t="s">
        <v>1301</v>
      </c>
      <c r="F3148" s="2391"/>
      <c r="G3148" s="2391"/>
      <c r="H3148" s="2512"/>
      <c r="I3148" s="3211" t="str">
        <f>c_ALR2025!I5654</f>
        <v/>
      </c>
      <c r="J3148" s="3206"/>
      <c r="K3148" s="3206"/>
      <c r="L3148" s="3206"/>
      <c r="M3148" s="3207"/>
      <c r="N3148" s="979"/>
      <c r="O3148" s="485"/>
      <c r="P3148" s="9"/>
      <c r="Q3148" s="1435"/>
      <c r="S3148" s="1435"/>
      <c r="T3148" s="1435"/>
      <c r="U3148" s="1435"/>
      <c r="V3148" s="1435"/>
      <c r="W3148" s="1435"/>
      <c r="X3148" s="1435"/>
      <c r="Y3148" s="1435"/>
      <c r="Z3148" s="1435"/>
      <c r="AC3148" s="1641" t="s">
        <v>717</v>
      </c>
      <c r="AD3148" s="1443" t="b">
        <f>AD3139</f>
        <v>0</v>
      </c>
    </row>
    <row r="3149" spans="2:37" ht="25.5" customHeight="1">
      <c r="B3149" s="479"/>
      <c r="C3149" s="977"/>
      <c r="D3149" s="777"/>
      <c r="E3149" s="3267" t="s">
        <v>1606</v>
      </c>
      <c r="F3149" s="2380"/>
      <c r="G3149" s="2380"/>
      <c r="H3149" s="2380"/>
      <c r="I3149" s="2380"/>
      <c r="J3149" s="2380"/>
      <c r="K3149" s="2380"/>
      <c r="L3149" s="2380"/>
      <c r="M3149" s="2380"/>
      <c r="N3149" s="3268"/>
      <c r="O3149" s="485"/>
      <c r="P3149" s="485"/>
      <c r="Q3149" s="1435"/>
      <c r="S3149" s="1435"/>
      <c r="T3149" s="1435"/>
      <c r="U3149" s="1435"/>
      <c r="V3149" s="1435"/>
      <c r="W3149" s="1435"/>
      <c r="X3149" s="1435"/>
      <c r="Y3149" s="1435"/>
      <c r="Z3149" s="1435"/>
    </row>
    <row r="3150" spans="2:37" ht="12.75" customHeight="1">
      <c r="B3150" s="479"/>
      <c r="C3150" s="977"/>
      <c r="D3150" s="981"/>
      <c r="E3150" s="3272" t="s">
        <v>1557</v>
      </c>
      <c r="F3150" s="2380"/>
      <c r="G3150" s="2380"/>
      <c r="H3150" s="2380"/>
      <c r="I3150" s="2380"/>
      <c r="J3150" s="2380"/>
      <c r="K3150" s="2380"/>
      <c r="L3150" s="2380"/>
      <c r="M3150" s="2380"/>
      <c r="N3150" s="3268"/>
      <c r="O3150" s="485"/>
      <c r="P3150" s="485"/>
      <c r="Q3150" s="1435"/>
      <c r="S3150" s="1435"/>
      <c r="T3150" s="1435"/>
      <c r="U3150" s="1435"/>
      <c r="V3150" s="1435"/>
      <c r="W3150" s="1435"/>
      <c r="X3150" s="1435"/>
      <c r="Y3150" s="1435"/>
      <c r="Z3150" s="1435"/>
    </row>
    <row r="3151" spans="2:37" ht="12.75" customHeight="1" thickBot="1">
      <c r="B3151" s="479"/>
      <c r="C3151" s="977"/>
      <c r="D3151" s="981"/>
      <c r="E3151" s="989"/>
      <c r="F3151" s="990"/>
      <c r="G3151" s="987" t="str">
        <f>EUconst_Unit</f>
        <v>Unit</v>
      </c>
      <c r="H3151" s="782">
        <f t="shared" ref="H3151:N3151" si="1479">H$3242</f>
        <v>2024</v>
      </c>
      <c r="I3151" s="988">
        <f t="shared" si="1479"/>
        <v>2025</v>
      </c>
      <c r="J3151" s="1810">
        <f t="shared" si="1479"/>
        <v>2026</v>
      </c>
      <c r="K3151" s="1747">
        <f t="shared" si="1479"/>
        <v>2027</v>
      </c>
      <c r="L3151" s="1747">
        <f t="shared" si="1479"/>
        <v>2028</v>
      </c>
      <c r="M3151" s="1747">
        <f t="shared" si="1479"/>
        <v>2029</v>
      </c>
      <c r="N3151" s="1748">
        <f t="shared" si="1479"/>
        <v>2030</v>
      </c>
      <c r="O3151" s="485"/>
      <c r="P3151" s="485"/>
      <c r="Q3151" s="1435"/>
      <c r="S3151" s="1435"/>
      <c r="T3151" s="1435"/>
      <c r="U3151" s="1435"/>
      <c r="V3151" s="1435"/>
      <c r="W3151" s="1435"/>
      <c r="X3151" s="1435"/>
      <c r="Y3151" s="1435"/>
      <c r="Z3151" s="1435"/>
      <c r="AC3151" s="1638">
        <f t="shared" ref="AC3151:AI3151" si="1480">H$20</f>
        <v>2024</v>
      </c>
      <c r="AD3151" s="1638">
        <f t="shared" si="1480"/>
        <v>2025</v>
      </c>
      <c r="AE3151" s="1638">
        <f t="shared" si="1480"/>
        <v>2026</v>
      </c>
      <c r="AF3151" s="1638">
        <f t="shared" si="1480"/>
        <v>2027</v>
      </c>
      <c r="AG3151" s="1638">
        <f t="shared" si="1480"/>
        <v>2028</v>
      </c>
      <c r="AH3151" s="1638">
        <f t="shared" si="1480"/>
        <v>2029</v>
      </c>
      <c r="AI3151" s="1638">
        <f t="shared" si="1480"/>
        <v>2030</v>
      </c>
    </row>
    <row r="3152" spans="2:37" ht="12.75" customHeight="1">
      <c r="B3152" s="479"/>
      <c r="C3152" s="977"/>
      <c r="D3152" s="777" t="s">
        <v>790</v>
      </c>
      <c r="E3152" s="2471" t="s">
        <v>1306</v>
      </c>
      <c r="F3152" s="2472"/>
      <c r="G3152" s="1763" t="str">
        <f>c_ALR2025!G5658</f>
        <v/>
      </c>
      <c r="H3152" s="1552" t="str">
        <f>c_ALR2025!M5658</f>
        <v/>
      </c>
      <c r="I3152" s="1611"/>
      <c r="J3152" s="1811"/>
      <c r="K3152" s="1751"/>
      <c r="L3152" s="1751"/>
      <c r="M3152" s="1751"/>
      <c r="N3152" s="1752"/>
      <c r="O3152" s="485"/>
      <c r="P3152" s="9"/>
      <c r="Q3152" s="1435"/>
      <c r="S3152" s="1435"/>
      <c r="T3152" s="1435"/>
      <c r="U3152" s="1435"/>
      <c r="V3152" s="1435"/>
      <c r="W3152" s="1435"/>
      <c r="X3152" s="1435"/>
      <c r="Y3152" s="1435"/>
      <c r="Z3152" s="1435"/>
      <c r="AB3152" s="1641" t="s">
        <v>717</v>
      </c>
      <c r="AC3152" s="1443" t="b">
        <f>AC3143</f>
        <v>0</v>
      </c>
      <c r="AD3152" s="1443" t="b">
        <f t="shared" ref="AD3152:AI3152" si="1481">AD3143</f>
        <v>0</v>
      </c>
      <c r="AE3152" s="1443" t="b">
        <f t="shared" si="1481"/>
        <v>0</v>
      </c>
      <c r="AF3152" s="1443" t="b">
        <f t="shared" si="1481"/>
        <v>0</v>
      </c>
      <c r="AG3152" s="1443" t="b">
        <f t="shared" si="1481"/>
        <v>0</v>
      </c>
      <c r="AH3152" s="1443" t="b">
        <f t="shared" si="1481"/>
        <v>0</v>
      </c>
      <c r="AI3152" s="1443" t="b">
        <f t="shared" si="1481"/>
        <v>0</v>
      </c>
      <c r="AJ3152" s="1633" t="s">
        <v>1954</v>
      </c>
      <c r="AK3152" s="1635" t="str">
        <f>IF(AND(CNTR_ExistSubInstEntries,MSconst_RequireSubAttrEmissions,COUNTIFS(AC3152:AI3152,FALSE,H3152:N3152,"")&gt;0),EUconst_Error&amp;"BM"&amp;$Q2911,"")</f>
        <v/>
      </c>
    </row>
    <row r="3153" spans="2:37" ht="12.75" customHeight="1">
      <c r="B3153" s="479"/>
      <c r="C3153" s="977"/>
      <c r="D3153" s="777" t="s">
        <v>791</v>
      </c>
      <c r="E3153" s="2473" t="s">
        <v>661</v>
      </c>
      <c r="F3153" s="2474"/>
      <c r="G3153" s="1008" t="e">
        <f>IF(ISBLANK(G3152),EUconst_GJperUnit,INDEX(EUconst_GJperTorKNm3,MATCH(G3152,EUconst_TonnesOrkNm3pa,0)))</f>
        <v>#N/A</v>
      </c>
      <c r="H3153" s="1558" t="str">
        <f>c_ALR2025!M5659</f>
        <v/>
      </c>
      <c r="I3153" s="1884"/>
      <c r="J3153" s="1811"/>
      <c r="K3153" s="1751"/>
      <c r="L3153" s="1751"/>
      <c r="M3153" s="1751"/>
      <c r="N3153" s="1752"/>
      <c r="O3153" s="485"/>
      <c r="P3153" s="9"/>
      <c r="S3153" s="1435"/>
      <c r="T3153" s="1435"/>
      <c r="U3153" s="1435"/>
      <c r="V3153" s="1435"/>
      <c r="W3153" s="1435"/>
      <c r="X3153" s="1435"/>
      <c r="Y3153" s="1435"/>
      <c r="Z3153" s="1435"/>
      <c r="AC3153" s="1443" t="b">
        <f>AC3152</f>
        <v>0</v>
      </c>
      <c r="AD3153" s="1443" t="b">
        <f t="shared" ref="AD3153:AI3153" si="1482">AD3152</f>
        <v>0</v>
      </c>
      <c r="AE3153" s="1443" t="b">
        <f t="shared" si="1482"/>
        <v>0</v>
      </c>
      <c r="AF3153" s="1443" t="b">
        <f t="shared" si="1482"/>
        <v>0</v>
      </c>
      <c r="AG3153" s="1443" t="b">
        <f t="shared" si="1482"/>
        <v>0</v>
      </c>
      <c r="AH3153" s="1443" t="b">
        <f t="shared" si="1482"/>
        <v>0</v>
      </c>
      <c r="AI3153" s="1443" t="b">
        <f t="shared" si="1482"/>
        <v>0</v>
      </c>
      <c r="AJ3153" s="1633" t="s">
        <v>1954</v>
      </c>
      <c r="AK3153" s="1635" t="str">
        <f>IF(AND(CNTR_ExistSubInstEntries,MSconst_RequireSubAttrEmissions,COUNTIFS(AC3153:AI3153,FALSE,H3153:N3153,"")&gt;0),EUconst_Error&amp;"BM"&amp;$Q2911,"")</f>
        <v/>
      </c>
    </row>
    <row r="3154" spans="2:37" ht="12.75" customHeight="1">
      <c r="B3154" s="479"/>
      <c r="C3154" s="977"/>
      <c r="D3154" s="777" t="s">
        <v>64</v>
      </c>
      <c r="E3154" s="2475" t="s">
        <v>1309</v>
      </c>
      <c r="F3154" s="2410"/>
      <c r="G3154" s="815" t="str">
        <f>EUconst_TJpa</f>
        <v>TJ / year</v>
      </c>
      <c r="H3154" s="1005" t="str">
        <f t="shared" ref="H3154:N3154" si="1483">IF(COUNT(H3152:H3153)=2,H3152*H3153/1000,"")</f>
        <v/>
      </c>
      <c r="I3154" s="1006" t="str">
        <f t="shared" si="1483"/>
        <v/>
      </c>
      <c r="J3154" s="1811" t="str">
        <f t="shared" si="1483"/>
        <v/>
      </c>
      <c r="K3154" s="1751" t="str">
        <f t="shared" si="1483"/>
        <v/>
      </c>
      <c r="L3154" s="1751" t="str">
        <f t="shared" si="1483"/>
        <v/>
      </c>
      <c r="M3154" s="1751" t="str">
        <f t="shared" si="1483"/>
        <v/>
      </c>
      <c r="N3154" s="1752" t="str">
        <f t="shared" si="1483"/>
        <v/>
      </c>
      <c r="O3154" s="485"/>
      <c r="P3154" s="485"/>
      <c r="Q3154" s="1644" t="str">
        <f>EUconst_CNTR_WGConsumed &amp; I2911</f>
        <v>WasteGasCons_</v>
      </c>
      <c r="S3154" s="1435"/>
      <c r="T3154" s="1435"/>
      <c r="U3154" s="1435"/>
      <c r="V3154" s="1435"/>
      <c r="W3154" s="1435"/>
      <c r="X3154" s="1435"/>
      <c r="Y3154" s="1435"/>
      <c r="Z3154" s="1435"/>
    </row>
    <row r="3155" spans="2:37" ht="12.75" customHeight="1">
      <c r="B3155" s="479"/>
      <c r="C3155" s="977"/>
      <c r="D3155" s="777" t="s">
        <v>65</v>
      </c>
      <c r="E3155" s="2475" t="s">
        <v>1307</v>
      </c>
      <c r="F3155" s="2410"/>
      <c r="G3155" s="815" t="str">
        <f>EUconst_tCO2pTJ</f>
        <v>t CO2 / TJ</v>
      </c>
      <c r="H3155" s="1479" t="str">
        <f>c_ALR2025!M5661</f>
        <v/>
      </c>
      <c r="I3155" s="1532"/>
      <c r="J3155" s="1811"/>
      <c r="K3155" s="1751"/>
      <c r="L3155" s="1751"/>
      <c r="M3155" s="1751"/>
      <c r="N3155" s="1752"/>
      <c r="O3155" s="485"/>
      <c r="P3155" s="9"/>
      <c r="Q3155" s="1644" t="str">
        <f>EUconst_CNTR_WGConsumedEF &amp; I2911</f>
        <v>WasteGasConsEF_</v>
      </c>
      <c r="S3155" s="1435"/>
      <c r="T3155" s="1435"/>
      <c r="U3155" s="1435"/>
      <c r="V3155" s="1435"/>
      <c r="W3155" s="1435"/>
      <c r="X3155" s="1435"/>
      <c r="Y3155" s="1435"/>
      <c r="Z3155" s="1435"/>
      <c r="AB3155" s="1641" t="s">
        <v>717</v>
      </c>
      <c r="AC3155" s="1443" t="b">
        <f>AC3153</f>
        <v>0</v>
      </c>
      <c r="AD3155" s="1443" t="b">
        <f t="shared" ref="AD3155:AI3155" si="1484">AD3153</f>
        <v>0</v>
      </c>
      <c r="AE3155" s="1443" t="b">
        <f t="shared" si="1484"/>
        <v>0</v>
      </c>
      <c r="AF3155" s="1443" t="b">
        <f t="shared" si="1484"/>
        <v>0</v>
      </c>
      <c r="AG3155" s="1443" t="b">
        <f t="shared" si="1484"/>
        <v>0</v>
      </c>
      <c r="AH3155" s="1443" t="b">
        <f t="shared" si="1484"/>
        <v>0</v>
      </c>
      <c r="AI3155" s="1443" t="b">
        <f t="shared" si="1484"/>
        <v>0</v>
      </c>
      <c r="AJ3155" s="1633" t="s">
        <v>1954</v>
      </c>
      <c r="AK3155" s="1635" t="str">
        <f>IF(AND(CNTR_ExistSubInstEntries,MSconst_RequireSubAttrEmissions,COUNTIFS(AC3155:AI3155,FALSE,H3155:N3155,"")&gt;0),EUconst_Error&amp;"BM"&amp;$Q2911,"")</f>
        <v/>
      </c>
    </row>
    <row r="3156" spans="2:37" ht="12.75" customHeight="1">
      <c r="B3156" s="479"/>
      <c r="C3156" s="977"/>
      <c r="D3156" s="981"/>
      <c r="E3156" s="981"/>
      <c r="F3156" s="981"/>
      <c r="G3156" s="981"/>
      <c r="H3156" s="983"/>
      <c r="I3156" s="981"/>
      <c r="J3156" s="981"/>
      <c r="K3156" s="981"/>
      <c r="L3156" s="981"/>
      <c r="M3156" s="813"/>
      <c r="N3156" s="814"/>
      <c r="O3156" s="485"/>
      <c r="P3156" s="485"/>
      <c r="Q3156" s="1435"/>
      <c r="S3156" s="1435"/>
      <c r="T3156" s="1435"/>
      <c r="U3156" s="1435"/>
      <c r="V3156" s="1435"/>
    </row>
    <row r="3157" spans="2:37" ht="12.75" customHeight="1">
      <c r="B3157" s="479"/>
      <c r="C3157" s="977"/>
      <c r="D3157" s="777" t="s">
        <v>66</v>
      </c>
      <c r="E3157" s="2649" t="s">
        <v>1287</v>
      </c>
      <c r="F3157" s="2391"/>
      <c r="G3157" s="2391"/>
      <c r="H3157" s="2512"/>
      <c r="I3157" s="3211" t="str">
        <f>c_ALR2025!I5663</f>
        <v/>
      </c>
      <c r="J3157" s="3206"/>
      <c r="K3157" s="3206"/>
      <c r="L3157" s="3206"/>
      <c r="M3157" s="3207"/>
      <c r="N3157" s="979"/>
      <c r="O3157" s="485"/>
      <c r="P3157" s="9"/>
      <c r="Q3157" s="1435"/>
      <c r="S3157" s="1435"/>
      <c r="AC3157" s="1641" t="s">
        <v>717</v>
      </c>
      <c r="AD3157" s="1443" t="b">
        <f>AD3148</f>
        <v>0</v>
      </c>
    </row>
    <row r="3158" spans="2:37" ht="12.75" customHeight="1">
      <c r="B3158" s="479"/>
      <c r="C3158" s="977"/>
      <c r="D3158" s="777"/>
      <c r="E3158" s="3267" t="s">
        <v>1476</v>
      </c>
      <c r="F3158" s="2380"/>
      <c r="G3158" s="2380"/>
      <c r="H3158" s="2380"/>
      <c r="I3158" s="2380"/>
      <c r="J3158" s="2380"/>
      <c r="K3158" s="2380"/>
      <c r="L3158" s="2380"/>
      <c r="M3158" s="2380"/>
      <c r="N3158" s="3268"/>
      <c r="O3158" s="485"/>
      <c r="P3158" s="485"/>
      <c r="Q3158" s="1435"/>
      <c r="T3158" s="1435"/>
      <c r="U3158" s="1435"/>
      <c r="V3158" s="1435"/>
    </row>
    <row r="3159" spans="2:37" ht="12.75" customHeight="1">
      <c r="B3159" s="479"/>
      <c r="C3159" s="977"/>
      <c r="D3159" s="981"/>
      <c r="E3159" s="3267" t="s">
        <v>1558</v>
      </c>
      <c r="F3159" s="2380"/>
      <c r="G3159" s="2380"/>
      <c r="H3159" s="2380"/>
      <c r="I3159" s="2380"/>
      <c r="J3159" s="2380"/>
      <c r="K3159" s="2380"/>
      <c r="L3159" s="2380"/>
      <c r="M3159" s="2380"/>
      <c r="N3159" s="3268"/>
      <c r="O3159" s="485"/>
      <c r="P3159" s="485"/>
      <c r="Q3159" s="1435"/>
      <c r="S3159" s="1435"/>
      <c r="T3159" s="1435"/>
      <c r="U3159" s="1435"/>
      <c r="V3159" s="1435"/>
    </row>
    <row r="3160" spans="2:37" ht="12.75" customHeight="1">
      <c r="B3160" s="479"/>
      <c r="C3160" s="977"/>
      <c r="D3160" s="981"/>
      <c r="E3160" s="3272" t="s">
        <v>1559</v>
      </c>
      <c r="F3160" s="2380"/>
      <c r="G3160" s="2380"/>
      <c r="H3160" s="2380"/>
      <c r="I3160" s="2380"/>
      <c r="J3160" s="2380"/>
      <c r="K3160" s="2380"/>
      <c r="L3160" s="2380"/>
      <c r="M3160" s="2380"/>
      <c r="N3160" s="3268"/>
      <c r="O3160" s="485"/>
      <c r="P3160" s="485"/>
      <c r="Q3160" s="1435"/>
      <c r="S3160" s="1435"/>
      <c r="T3160" s="1435"/>
      <c r="U3160" s="1435"/>
      <c r="V3160" s="1435"/>
      <c r="W3160" s="1435"/>
      <c r="X3160" s="1435"/>
      <c r="Y3160" s="1435"/>
      <c r="Z3160" s="1435"/>
    </row>
    <row r="3161" spans="2:37" ht="12.75" customHeight="1" thickBot="1">
      <c r="B3161" s="479"/>
      <c r="C3161" s="977"/>
      <c r="D3161" s="981"/>
      <c r="E3161" s="989"/>
      <c r="F3161" s="990"/>
      <c r="G3161" s="987" t="str">
        <f>EUconst_Unit</f>
        <v>Unit</v>
      </c>
      <c r="H3161" s="782">
        <f t="shared" ref="H3161:N3161" si="1485">H$3242</f>
        <v>2024</v>
      </c>
      <c r="I3161" s="988">
        <f t="shared" si="1485"/>
        <v>2025</v>
      </c>
      <c r="J3161" s="1810">
        <f t="shared" si="1485"/>
        <v>2026</v>
      </c>
      <c r="K3161" s="1747">
        <f t="shared" si="1485"/>
        <v>2027</v>
      </c>
      <c r="L3161" s="1747">
        <f t="shared" si="1485"/>
        <v>2028</v>
      </c>
      <c r="M3161" s="1747">
        <f t="shared" si="1485"/>
        <v>2029</v>
      </c>
      <c r="N3161" s="1748">
        <f t="shared" si="1485"/>
        <v>2030</v>
      </c>
      <c r="O3161" s="485"/>
      <c r="P3161" s="485"/>
      <c r="Q3161" s="1435"/>
      <c r="S3161" s="1435"/>
      <c r="T3161" s="1435"/>
      <c r="U3161" s="1435"/>
      <c r="V3161" s="1435"/>
      <c r="W3161" s="1435"/>
      <c r="X3161" s="1435"/>
      <c r="Y3161" s="1435"/>
      <c r="Z3161" s="1435"/>
      <c r="AC3161" s="1638">
        <f t="shared" ref="AC3161:AI3161" si="1486">H$20</f>
        <v>2024</v>
      </c>
      <c r="AD3161" s="1638">
        <f t="shared" si="1486"/>
        <v>2025</v>
      </c>
      <c r="AE3161" s="1638">
        <f t="shared" si="1486"/>
        <v>2026</v>
      </c>
      <c r="AF3161" s="1638">
        <f t="shared" si="1486"/>
        <v>2027</v>
      </c>
      <c r="AG3161" s="1638">
        <f t="shared" si="1486"/>
        <v>2028</v>
      </c>
      <c r="AH3161" s="1638">
        <f t="shared" si="1486"/>
        <v>2029</v>
      </c>
      <c r="AI3161" s="1638">
        <f t="shared" si="1486"/>
        <v>2030</v>
      </c>
    </row>
    <row r="3162" spans="2:37" ht="12.75" customHeight="1">
      <c r="B3162" s="479"/>
      <c r="C3162" s="977"/>
      <c r="D3162" s="777" t="s">
        <v>1105</v>
      </c>
      <c r="E3162" s="2471" t="s">
        <v>1302</v>
      </c>
      <c r="F3162" s="2472"/>
      <c r="G3162" s="1763" t="str">
        <f>c_ALR2025!G5668</f>
        <v/>
      </c>
      <c r="H3162" s="1552" t="str">
        <f>c_ALR2025!M5668</f>
        <v/>
      </c>
      <c r="I3162" s="1611"/>
      <c r="J3162" s="1811"/>
      <c r="K3162" s="1751"/>
      <c r="L3162" s="1751"/>
      <c r="M3162" s="1751"/>
      <c r="N3162" s="1752"/>
      <c r="O3162" s="485"/>
      <c r="P3162" s="9"/>
      <c r="Q3162" s="1435"/>
      <c r="S3162" s="1435"/>
      <c r="T3162" s="1435"/>
      <c r="U3162" s="1435"/>
      <c r="V3162" s="1435"/>
      <c r="W3162" s="1435"/>
      <c r="X3162" s="1435"/>
      <c r="Y3162" s="1435"/>
      <c r="Z3162" s="1435"/>
      <c r="AB3162" s="1641" t="s">
        <v>717</v>
      </c>
      <c r="AC3162" s="1443" t="b">
        <f>AC3152</f>
        <v>0</v>
      </c>
      <c r="AD3162" s="1443" t="b">
        <f t="shared" ref="AD3162:AI3162" si="1487">AD3152</f>
        <v>0</v>
      </c>
      <c r="AE3162" s="1443" t="b">
        <f t="shared" si="1487"/>
        <v>0</v>
      </c>
      <c r="AF3162" s="1443" t="b">
        <f t="shared" si="1487"/>
        <v>0</v>
      </c>
      <c r="AG3162" s="1443" t="b">
        <f t="shared" si="1487"/>
        <v>0</v>
      </c>
      <c r="AH3162" s="1443" t="b">
        <f t="shared" si="1487"/>
        <v>0</v>
      </c>
      <c r="AI3162" s="1443" t="b">
        <f t="shared" si="1487"/>
        <v>0</v>
      </c>
      <c r="AJ3162" s="1633" t="s">
        <v>1954</v>
      </c>
      <c r="AK3162" s="1635" t="str">
        <f>IF(AND(CNTR_ExistSubInstEntries,MSconst_RequireSubAttrEmissions,COUNTIFS(AC3162:AI3162,FALSE,H3162:N3162,"")&gt;0),EUconst_Error&amp;"BM"&amp;$Q2911,"")</f>
        <v/>
      </c>
    </row>
    <row r="3163" spans="2:37" ht="12.75" customHeight="1">
      <c r="B3163" s="479"/>
      <c r="C3163" s="977"/>
      <c r="D3163" s="777" t="s">
        <v>1106</v>
      </c>
      <c r="E3163" s="2473" t="s">
        <v>661</v>
      </c>
      <c r="F3163" s="2474"/>
      <c r="G3163" s="1008" t="e">
        <f>IF(ISBLANK(G3162),EUconst_GJperUnit,INDEX(EUconst_GJperTorKNm3,MATCH(G3162,EUconst_TonnesOrkNm3pa,0)))</f>
        <v>#N/A</v>
      </c>
      <c r="H3163" s="1558" t="str">
        <f>c_ALR2025!M5669</f>
        <v/>
      </c>
      <c r="I3163" s="1884"/>
      <c r="J3163" s="1811"/>
      <c r="K3163" s="1751"/>
      <c r="L3163" s="1751"/>
      <c r="M3163" s="1751"/>
      <c r="N3163" s="1752"/>
      <c r="O3163" s="485"/>
      <c r="P3163" s="9"/>
      <c r="S3163" s="1435"/>
      <c r="T3163" s="1435"/>
      <c r="U3163" s="1435"/>
      <c r="V3163" s="1435"/>
      <c r="W3163" s="1435"/>
      <c r="X3163" s="1435"/>
      <c r="Y3163" s="1435"/>
      <c r="Z3163" s="1435"/>
      <c r="AC3163" s="1443" t="b">
        <f>AC3162</f>
        <v>0</v>
      </c>
      <c r="AD3163" s="1443" t="b">
        <f t="shared" ref="AD3163:AI3163" si="1488">AD3162</f>
        <v>0</v>
      </c>
      <c r="AE3163" s="1443" t="b">
        <f t="shared" si="1488"/>
        <v>0</v>
      </c>
      <c r="AF3163" s="1443" t="b">
        <f t="shared" si="1488"/>
        <v>0</v>
      </c>
      <c r="AG3163" s="1443" t="b">
        <f t="shared" si="1488"/>
        <v>0</v>
      </c>
      <c r="AH3163" s="1443" t="b">
        <f t="shared" si="1488"/>
        <v>0</v>
      </c>
      <c r="AI3163" s="1443" t="b">
        <f t="shared" si="1488"/>
        <v>0</v>
      </c>
      <c r="AJ3163" s="1633" t="s">
        <v>1954</v>
      </c>
      <c r="AK3163" s="1635" t="str">
        <f>IF(AND(CNTR_ExistSubInstEntries,MSconst_RequireSubAttrEmissions,COUNTIFS(AC3163:AI3163,FALSE,H3163:N3163,"")&gt;0),EUconst_Error&amp;"BM"&amp;$Q2911,"")</f>
        <v/>
      </c>
    </row>
    <row r="3164" spans="2:37" ht="12.75" customHeight="1">
      <c r="B3164" s="479"/>
      <c r="C3164" s="977"/>
      <c r="D3164" s="777" t="s">
        <v>1107</v>
      </c>
      <c r="E3164" s="2475" t="s">
        <v>1288</v>
      </c>
      <c r="F3164" s="2410"/>
      <c r="G3164" s="815" t="str">
        <f>EUconst_TJpa</f>
        <v>TJ / year</v>
      </c>
      <c r="H3164" s="1005" t="str">
        <f t="shared" ref="H3164:N3164" si="1489">IF(COUNT(H3162:H3163)=2,H3162*H3163/1000,"")</f>
        <v/>
      </c>
      <c r="I3164" s="1006" t="str">
        <f t="shared" si="1489"/>
        <v/>
      </c>
      <c r="J3164" s="1811" t="str">
        <f t="shared" si="1489"/>
        <v/>
      </c>
      <c r="K3164" s="1751" t="str">
        <f t="shared" si="1489"/>
        <v/>
      </c>
      <c r="L3164" s="1751" t="str">
        <f t="shared" si="1489"/>
        <v/>
      </c>
      <c r="M3164" s="1751" t="str">
        <f t="shared" si="1489"/>
        <v/>
      </c>
      <c r="N3164" s="1752" t="str">
        <f t="shared" si="1489"/>
        <v/>
      </c>
      <c r="O3164" s="485"/>
      <c r="P3164" s="485"/>
      <c r="Q3164" s="1644" t="str">
        <f>EUconst_CNTR_WGFlared &amp; I2911</f>
        <v>WasteGasFlare_</v>
      </c>
      <c r="S3164" s="1435"/>
      <c r="T3164" s="1435"/>
      <c r="U3164" s="1435"/>
      <c r="V3164" s="1435"/>
      <c r="W3164" s="1435"/>
      <c r="X3164" s="1435"/>
      <c r="Y3164" s="1435"/>
      <c r="Z3164" s="1435"/>
    </row>
    <row r="3165" spans="2:37" ht="12.75" customHeight="1">
      <c r="B3165" s="479"/>
      <c r="C3165" s="977"/>
      <c r="D3165" s="777" t="s">
        <v>1108</v>
      </c>
      <c r="E3165" s="2475" t="s">
        <v>1308</v>
      </c>
      <c r="F3165" s="2410"/>
      <c r="G3165" s="815" t="str">
        <f>EUconst_tCO2pTJ</f>
        <v>t CO2 / TJ</v>
      </c>
      <c r="H3165" s="1479" t="str">
        <f>c_ALR2025!M5671</f>
        <v/>
      </c>
      <c r="I3165" s="1532"/>
      <c r="J3165" s="1811"/>
      <c r="K3165" s="1751"/>
      <c r="L3165" s="1751"/>
      <c r="M3165" s="1751"/>
      <c r="N3165" s="1752"/>
      <c r="O3165" s="485"/>
      <c r="P3165" s="9"/>
      <c r="Q3165" s="1644" t="str">
        <f>EUconst_CNTR_WGFlaredEF &amp; I2911</f>
        <v>WasteGasFlareEF_</v>
      </c>
      <c r="S3165" s="1435"/>
      <c r="T3165" s="1435"/>
      <c r="U3165" s="1435"/>
      <c r="V3165" s="1435"/>
      <c r="W3165" s="1435"/>
      <c r="X3165" s="1435"/>
      <c r="Y3165" s="1435"/>
      <c r="Z3165" s="1435"/>
      <c r="AB3165" s="1641" t="s">
        <v>717</v>
      </c>
      <c r="AC3165" s="1443" t="b">
        <f>AC3163</f>
        <v>0</v>
      </c>
      <c r="AD3165" s="1443" t="b">
        <f t="shared" ref="AD3165:AI3165" si="1490">AD3163</f>
        <v>0</v>
      </c>
      <c r="AE3165" s="1443" t="b">
        <f t="shared" si="1490"/>
        <v>0</v>
      </c>
      <c r="AF3165" s="1443" t="b">
        <f t="shared" si="1490"/>
        <v>0</v>
      </c>
      <c r="AG3165" s="1443" t="b">
        <f t="shared" si="1490"/>
        <v>0</v>
      </c>
      <c r="AH3165" s="1443" t="b">
        <f t="shared" si="1490"/>
        <v>0</v>
      </c>
      <c r="AI3165" s="1443" t="b">
        <f t="shared" si="1490"/>
        <v>0</v>
      </c>
      <c r="AJ3165" s="1633" t="s">
        <v>1954</v>
      </c>
      <c r="AK3165" s="1635" t="str">
        <f>IF(AND(CNTR_ExistSubInstEntries,MSconst_RequireSubAttrEmissions,COUNTIFS(AC3165:AI3165,FALSE,H3165:N3165,"")&gt;0),EUconst_Error&amp;"BM"&amp;$Q2911,"")</f>
        <v/>
      </c>
    </row>
    <row r="3166" spans="2:37" ht="5.0999999999999996" customHeight="1" thickBot="1">
      <c r="B3166" s="479"/>
      <c r="C3166" s="977"/>
      <c r="D3166" s="981"/>
      <c r="E3166" s="981"/>
      <c r="F3166" s="981"/>
      <c r="G3166" s="981"/>
      <c r="H3166" s="983"/>
      <c r="I3166" s="981"/>
      <c r="J3166" s="1815"/>
      <c r="K3166" s="1760"/>
      <c r="L3166" s="1760"/>
      <c r="M3166" s="1760"/>
      <c r="N3166" s="1761"/>
      <c r="O3166" s="485"/>
      <c r="P3166" s="485"/>
      <c r="Q3166" s="1435"/>
      <c r="S3166" s="1435"/>
      <c r="T3166" s="1435"/>
      <c r="U3166" s="1435"/>
      <c r="V3166" s="1435"/>
    </row>
    <row r="3167" spans="2:37" ht="12.75" customHeight="1" thickBot="1">
      <c r="B3167" s="479"/>
      <c r="C3167" s="977"/>
      <c r="D3167" s="981"/>
      <c r="E3167" s="2475" t="s">
        <v>1844</v>
      </c>
      <c r="F3167" s="2475"/>
      <c r="G3167" s="1009" t="str">
        <f>EUconst_tCO2</f>
        <v>t CO2</v>
      </c>
      <c r="H3167" s="638" t="str">
        <f t="shared" ref="H3167:N3167" si="1491">IF(T2919,SUM(H3164)*SUM(H3165),"")</f>
        <v/>
      </c>
      <c r="I3167" s="684" t="str">
        <f t="shared" si="1491"/>
        <v/>
      </c>
      <c r="J3167" s="1815" t="str">
        <f t="shared" si="1491"/>
        <v/>
      </c>
      <c r="K3167" s="1760" t="str">
        <f t="shared" si="1491"/>
        <v/>
      </c>
      <c r="L3167" s="1760" t="str">
        <f t="shared" si="1491"/>
        <v/>
      </c>
      <c r="M3167" s="1760" t="str">
        <f t="shared" si="1491"/>
        <v/>
      </c>
      <c r="N3167" s="1761" t="str">
        <f t="shared" si="1491"/>
        <v/>
      </c>
      <c r="O3167" s="485"/>
      <c r="P3167" s="485"/>
      <c r="Q3167" s="1644" t="str">
        <f>EUconst_CNTR_HAL &amp; EUconst_CNTR_WGFlared &amp; I2911</f>
        <v>HAL_WasteGasFlare_</v>
      </c>
      <c r="S3167" s="1633" t="s">
        <v>1758</v>
      </c>
      <c r="T3167" s="1629" t="b">
        <f>CNTR_SubPeriod=2</f>
        <v>1</v>
      </c>
      <c r="U3167" s="1435"/>
      <c r="V3167" s="1435"/>
    </row>
    <row r="3168" spans="2:37" ht="5.0999999999999996" customHeight="1" thickBot="1">
      <c r="B3168" s="479"/>
      <c r="C3168" s="977"/>
      <c r="D3168" s="981"/>
      <c r="E3168" s="981"/>
      <c r="F3168" s="981"/>
      <c r="G3168" s="981"/>
      <c r="H3168" s="983"/>
      <c r="I3168" s="981"/>
      <c r="J3168" s="981"/>
      <c r="K3168" s="981"/>
      <c r="L3168" s="981"/>
      <c r="M3168" s="813"/>
      <c r="N3168" s="814"/>
      <c r="O3168" s="485"/>
      <c r="P3168" s="485"/>
      <c r="Q3168" s="1435"/>
      <c r="S3168" s="1435"/>
      <c r="T3168" s="1435"/>
      <c r="U3168" s="1435"/>
      <c r="V3168" s="1435"/>
    </row>
    <row r="3169" spans="1:37" ht="5.0999999999999996" customHeight="1" thickBot="1">
      <c r="B3169" s="479"/>
      <c r="C3169" s="977"/>
      <c r="D3169" s="1010"/>
      <c r="E3169" s="1011"/>
      <c r="F3169" s="1011"/>
      <c r="G3169" s="1011"/>
      <c r="H3169" s="1012"/>
      <c r="I3169" s="1011"/>
      <c r="J3169" s="1765"/>
      <c r="K3169" s="1760"/>
      <c r="L3169" s="1760"/>
      <c r="M3169" s="1760"/>
      <c r="N3169" s="1761"/>
      <c r="O3169" s="485"/>
      <c r="P3169" s="485"/>
      <c r="Q3169" s="1435"/>
      <c r="S3169" s="1435"/>
      <c r="T3169" s="1435"/>
      <c r="U3169" s="1435"/>
      <c r="V3169" s="1435"/>
    </row>
    <row r="3170" spans="1:37" ht="12.75" customHeight="1">
      <c r="B3170" s="479"/>
      <c r="C3170" s="977"/>
      <c r="D3170" s="907" t="s">
        <v>1917</v>
      </c>
      <c r="E3170" s="2713" t="s">
        <v>1773</v>
      </c>
      <c r="F3170" s="2493"/>
      <c r="G3170" s="2493"/>
      <c r="H3170" s="910" t="str">
        <f>EUconst_Unit</f>
        <v>Unit</v>
      </c>
      <c r="I3170" s="911" t="s">
        <v>2220</v>
      </c>
      <c r="J3170" s="1647">
        <f>J$3242</f>
        <v>2026</v>
      </c>
      <c r="K3170" s="1747">
        <f>K$3242</f>
        <v>2027</v>
      </c>
      <c r="L3170" s="1747">
        <f>L$3242</f>
        <v>2028</v>
      </c>
      <c r="M3170" s="1747">
        <f>M$3242</f>
        <v>2029</v>
      </c>
      <c r="N3170" s="1748">
        <f>N$3242</f>
        <v>2030</v>
      </c>
      <c r="O3170" s="485"/>
      <c r="P3170" s="485"/>
      <c r="Q3170" s="1435"/>
      <c r="U3170" s="1648"/>
      <c r="V3170" s="1649">
        <f>J3170</f>
        <v>2026</v>
      </c>
      <c r="W3170" s="1649">
        <f>K3170</f>
        <v>2027</v>
      </c>
      <c r="X3170" s="1649">
        <f>L3170</f>
        <v>2028</v>
      </c>
      <c r="Y3170" s="1649">
        <f>M3170</f>
        <v>2029</v>
      </c>
      <c r="Z3170" s="1650">
        <f>N3170</f>
        <v>2030</v>
      </c>
    </row>
    <row r="3171" spans="1:37" ht="12.75" customHeight="1">
      <c r="B3171" s="479"/>
      <c r="C3171" s="977"/>
      <c r="D3171" s="915" t="s">
        <v>6</v>
      </c>
      <c r="E3171" s="2714" t="s">
        <v>1691</v>
      </c>
      <c r="F3171" s="2410"/>
      <c r="G3171" s="2410"/>
      <c r="H3171" s="944" t="str">
        <f>G3167</f>
        <v>t CO2</v>
      </c>
      <c r="I3171" s="917" t="str">
        <f>INDEX('B+C_SubInstallations'!$K:$K,MATCH(Q3171,'B+C_SubInstallations'!$V:$V,0))</f>
        <v/>
      </c>
      <c r="J3171" s="1703" t="str">
        <f>IF($T3167&lt;&gt;TRUE,"",IF(AND(V3171&gt;=3,CNTR_ReportingYear&gt;J3170-1),AVERAGE(SUM(H3167),SUM(I3167)),""))</f>
        <v/>
      </c>
      <c r="K3171" s="1766" t="str">
        <f>IF($T3167&lt;&gt;TRUE,"",IF(AND(W3171&gt;=3,CNTR_ReportingYear&gt;K3170-1),AVERAGE(SUM(I3167),SUM(J3167)),""))</f>
        <v/>
      </c>
      <c r="L3171" s="1766" t="str">
        <f>IF($T3167&lt;&gt;TRUE,"",IF(AND(X3171&gt;=3,CNTR_ReportingYear&gt;L3170-1),AVERAGE(SUM(J3167),SUM(K3167)),""))</f>
        <v/>
      </c>
      <c r="M3171" s="1766" t="str">
        <f>IF($T3167&lt;&gt;TRUE,"",IF(AND(Y3171&gt;=3,CNTR_ReportingYear&gt;M3170-1),AVERAGE(SUM(K3167),SUM(L3167)),""))</f>
        <v/>
      </c>
      <c r="N3171" s="1767" t="str">
        <f>IF($T3167&lt;&gt;TRUE,"",IF(AND(Z3171&gt;=3,CNTR_ReportingYear&gt;N3170-1),AVERAGE(SUM(L3167),SUM(M3167)),""))</f>
        <v/>
      </c>
      <c r="O3171" s="485"/>
      <c r="P3171" s="485"/>
      <c r="Q3171" s="1644" t="str">
        <f>EUconst_CNTR_HALinitial &amp; EUconst_CNTR_WGFlared &amp; I2911</f>
        <v>HALini_WasteGasFlare_</v>
      </c>
      <c r="U3171" s="1693" t="s">
        <v>1650</v>
      </c>
      <c r="V3171" s="1635">
        <f>V2933</f>
        <v>0</v>
      </c>
      <c r="W3171" s="1635">
        <f>W2933</f>
        <v>0</v>
      </c>
      <c r="X3171" s="1635">
        <f>X2933</f>
        <v>0</v>
      </c>
      <c r="Y3171" s="1635">
        <f>Y2933</f>
        <v>0</v>
      </c>
      <c r="Z3171" s="1654">
        <f>Z2933</f>
        <v>0</v>
      </c>
    </row>
    <row r="3172" spans="1:37" ht="12.75" hidden="1" customHeight="1">
      <c r="A3172" s="618" t="s">
        <v>2289</v>
      </c>
      <c r="B3172" s="479"/>
      <c r="C3172" s="977"/>
      <c r="D3172" s="915"/>
      <c r="E3172" s="2714" t="s">
        <v>1776</v>
      </c>
      <c r="F3172" s="2410"/>
      <c r="G3172" s="2410"/>
      <c r="H3172" s="921"/>
      <c r="I3172" s="1657"/>
      <c r="J3172" s="17" t="str">
        <f>IF(J3171="","",IF($I3174=0,IF(J3171=0,0%,100%),J3171/$I3174-1))</f>
        <v/>
      </c>
      <c r="K3172" s="18" t="str">
        <f>IF(K3171="","",IF($I3174=0,IF(K3171=0,0%,100%),K3171/$I3174-1))</f>
        <v/>
      </c>
      <c r="L3172" s="18" t="str">
        <f>IF(L3171="","",IF($I3174=0,IF(L3171=0,0%,100%),L3171/$I3174-1))</f>
        <v/>
      </c>
      <c r="M3172" s="18" t="str">
        <f>IF(M3171="","",IF($I3174=0,IF(M3171=0,0%,100%),M3171/$I3174-1))</f>
        <v/>
      </c>
      <c r="N3172" s="38" t="str">
        <f>IF(N3171="","",IF($I3174=0,IF(N3171=0,0%,100%),N3171/$I3174-1))</f>
        <v/>
      </c>
      <c r="O3172" s="485"/>
      <c r="P3172" s="485"/>
      <c r="Q3172" s="1644" t="str">
        <f>EUconst_CNTR_RelThreshold &amp; Q3174</f>
        <v>RelThresh_HALprelim_WasteGasFlare_</v>
      </c>
      <c r="U3172" s="1693" t="s">
        <v>1655</v>
      </c>
      <c r="V3172" s="1158" t="str">
        <f>IF(J3171="","",ABS(J3172)&gt;15%)</f>
        <v/>
      </c>
      <c r="W3172" s="1158" t="str">
        <f>IF(K3171="","",ABS(K3172)&gt;15%)</f>
        <v/>
      </c>
      <c r="X3172" s="1158" t="str">
        <f>IF(L3171="","",ABS(L3172)&gt;15%)</f>
        <v/>
      </c>
      <c r="Y3172" s="1158" t="str">
        <f>IF(M3171="","",ABS(M3172)&gt;15%)</f>
        <v/>
      </c>
      <c r="Z3172" s="1656" t="str">
        <f>IF(N3171="","",ABS(N3172)&gt;15%)</f>
        <v/>
      </c>
    </row>
    <row r="3173" spans="1:37" ht="12.75" customHeight="1">
      <c r="A3173" s="618"/>
      <c r="B3173" s="479"/>
      <c r="C3173" s="977"/>
      <c r="D3173" s="915" t="s">
        <v>7</v>
      </c>
      <c r="E3173" s="2714" t="s">
        <v>1654</v>
      </c>
      <c r="F3173" s="2410"/>
      <c r="G3173" s="2410"/>
      <c r="H3173" s="921"/>
      <c r="I3173" s="1657"/>
      <c r="J3173" s="1658" t="str">
        <f>IF(J3171="","",IF(V3172=FALSE,0%,J3172))</f>
        <v/>
      </c>
      <c r="K3173" s="1768" t="str">
        <f>IF(K3171="","",IF(W3172=FALSE,0%,K3172))</f>
        <v/>
      </c>
      <c r="L3173" s="1768" t="str">
        <f>IF(L3171="","",IF(X3172=FALSE,0%,L3172))</f>
        <v/>
      </c>
      <c r="M3173" s="1768" t="str">
        <f>IF(M3171="","",IF(Y3172=FALSE,0%,M3172))</f>
        <v/>
      </c>
      <c r="N3173" s="1769" t="str">
        <f>IF(N3171="","",IF(Z3172=FALSE,0%,N3172))</f>
        <v/>
      </c>
      <c r="O3173" s="485"/>
      <c r="P3173" s="485"/>
      <c r="Q3173" s="1435"/>
      <c r="U3173" s="1694"/>
      <c r="Z3173" s="1664"/>
    </row>
    <row r="3174" spans="1:37" ht="12.75" hidden="1" customHeight="1">
      <c r="A3174" s="618" t="s">
        <v>2289</v>
      </c>
      <c r="B3174" s="479"/>
      <c r="C3174" s="977"/>
      <c r="D3174" s="915"/>
      <c r="E3174" s="2714" t="s">
        <v>1689</v>
      </c>
      <c r="F3174" s="2410"/>
      <c r="G3174" s="2410"/>
      <c r="H3174" s="944" t="str">
        <f>H3171</f>
        <v>t CO2</v>
      </c>
      <c r="I3174" s="917" t="str">
        <f>IF($I2911="","",IF(AB2911=FALSE,EUconst_NA,IF(V2911&gt;($J$3242-3),INDEX(H3167:N3167,MATCH(V2911,H3161:N3161,0)),SUM(I3171))))</f>
        <v/>
      </c>
      <c r="J3174" s="1651" t="str">
        <f>IF($I2911="","",IF(V3171&lt;2,SUM(J3167),IF(V3171&lt;3,SUM(I3167),IF(V3174="",I3174,V3174))))</f>
        <v/>
      </c>
      <c r="K3174" s="1766" t="str">
        <f>IF($I2911="","",IF(W3171&lt;2,SUM(K3167),IF(W3171&lt;3,SUM(J3167),IF(W3174="",J3174,W3174))))</f>
        <v/>
      </c>
      <c r="L3174" s="1766" t="str">
        <f>IF($I2911="","",IF(X3171&lt;2,SUM(L3167),IF(X3171&lt;3,SUM(K3167),IF(X3174="",K3174,X3174))))</f>
        <v/>
      </c>
      <c r="M3174" s="1766" t="str">
        <f>IF($I2911="","",IF(Y3171&lt;2,SUM(M3167),IF(Y3171&lt;3,SUM(L3167),IF(Y3174="",L3174,Y3174))))</f>
        <v/>
      </c>
      <c r="N3174" s="1767" t="str">
        <f>IF($I2911="","",IF(Z3171&lt;2,SUM(N3167),IF(Z3171&lt;3,SUM(M3167),IF(Z3174="",M3174,Z3174))))</f>
        <v/>
      </c>
      <c r="O3174" s="485"/>
      <c r="P3174" s="485"/>
      <c r="Q3174" s="1644" t="str">
        <f>EUconst_CNTR_HALprelim&amp;EUconst_CNTR_WGFlared &amp; I2911</f>
        <v>HALprelim_WasteGasFlare_</v>
      </c>
      <c r="U3174" s="1693" t="s">
        <v>1697</v>
      </c>
      <c r="V3174" s="1660" t="str">
        <f>IF(J3171="","",IF(CNTR_ReportingYear&lt;J3170,I3173,IF($I3174=0,J3171,$I3174*(1+J3173))))</f>
        <v/>
      </c>
      <c r="W3174" s="1660" t="str">
        <f>IF(K3171="","",IF(CNTR_ReportingYear&lt;K3170,J3173,IF($I3174=0,K3171,$I3174*(1+K3173))))</f>
        <v/>
      </c>
      <c r="X3174" s="1660" t="str">
        <f>IF(L3171="","",IF(CNTR_ReportingYear&lt;L3170,K3173,IF($I3174=0,L3171,$I3174*(1+L3173))))</f>
        <v/>
      </c>
      <c r="Y3174" s="1660" t="str">
        <f>IF(M3171="","",IF(CNTR_ReportingYear&lt;M3170,L3173,IF($I3174=0,M3171,$I3174*(1+M3173))))</f>
        <v/>
      </c>
      <c r="Z3174" s="1661" t="str">
        <f>IF(N3171="","",IF(CNTR_ReportingYear&lt;N3170,M3173,IF($I3174=0,N3171,$I3174*(1+N3173))))</f>
        <v/>
      </c>
    </row>
    <row r="3175" spans="1:37" ht="5.0999999999999996" customHeight="1">
      <c r="A3175" s="618"/>
      <c r="B3175" s="479"/>
      <c r="C3175" s="977"/>
      <c r="D3175" s="915"/>
      <c r="E3175" s="909"/>
      <c r="F3175" s="909"/>
      <c r="G3175" s="909"/>
      <c r="H3175" s="909"/>
      <c r="I3175" s="909"/>
      <c r="J3175" s="922"/>
      <c r="K3175" s="1760"/>
      <c r="L3175" s="1760"/>
      <c r="M3175" s="1760"/>
      <c r="N3175" s="1761"/>
      <c r="O3175" s="485"/>
      <c r="P3175" s="485"/>
      <c r="Q3175" s="1435"/>
      <c r="U3175" s="1663"/>
      <c r="V3175" s="1435"/>
      <c r="Z3175" s="1664"/>
    </row>
    <row r="3176" spans="1:37" ht="12.75" customHeight="1">
      <c r="A3176" s="618"/>
      <c r="B3176" s="479"/>
      <c r="C3176" s="977"/>
      <c r="D3176" s="915"/>
      <c r="E3176" s="2713" t="s">
        <v>1653</v>
      </c>
      <c r="F3176" s="2493"/>
      <c r="G3176" s="2493"/>
      <c r="H3176" s="2493"/>
      <c r="I3176" s="2708"/>
      <c r="J3176" s="1647">
        <f>J$3242</f>
        <v>2026</v>
      </c>
      <c r="K3176" s="1747">
        <f>K$3242</f>
        <v>2027</v>
      </c>
      <c r="L3176" s="1747">
        <f>L$3242</f>
        <v>2028</v>
      </c>
      <c r="M3176" s="1747">
        <f>M$3242</f>
        <v>2029</v>
      </c>
      <c r="N3176" s="1748">
        <f>N$3242</f>
        <v>2030</v>
      </c>
      <c r="O3176" s="485"/>
      <c r="P3176" s="485"/>
      <c r="Q3176" s="1435"/>
      <c r="U3176" s="1665"/>
      <c r="Z3176" s="1664"/>
    </row>
    <row r="3177" spans="1:37" ht="12.75" customHeight="1">
      <c r="A3177" s="618"/>
      <c r="B3177" s="479"/>
      <c r="C3177" s="977"/>
      <c r="D3177" s="915" t="s">
        <v>8</v>
      </c>
      <c r="E3177" s="2714" t="s">
        <v>2108</v>
      </c>
      <c r="F3177" s="2410"/>
      <c r="G3177" s="2410"/>
      <c r="H3177" s="2410"/>
      <c r="I3177" s="2715"/>
      <c r="J3177" s="1666" t="str">
        <f>IF($I2911="","",INDEX(K_Summary!J:J,MATCH($Q3177,K_Summary!$P:$P,0)))</f>
        <v/>
      </c>
      <c r="K3177" s="1760" t="str">
        <f>IF($I2911="","",INDEX(K_Summary!K:K,MATCH($Q3177,K_Summary!$P:$P,0)))</f>
        <v/>
      </c>
      <c r="L3177" s="1760" t="str">
        <f>IF($I2911="","",INDEX(K_Summary!L:L,MATCH($Q3177,K_Summary!$P:$P,0)))</f>
        <v/>
      </c>
      <c r="M3177" s="1760" t="str">
        <f>IF($I2911="","",INDEX(K_Summary!M:M,MATCH($Q3177,K_Summary!$P:$P,0)))</f>
        <v/>
      </c>
      <c r="N3177" s="1761" t="str">
        <f>IF($I2911="","",INDEX(K_Summary!N:N,MATCH($Q3177,K_Summary!$P:$P,0)))</f>
        <v/>
      </c>
      <c r="O3177" s="485"/>
      <c r="P3177" s="485"/>
      <c r="Q3177" s="1644" t="str">
        <f>EUconst_CNTR_100EUA_WGFlare&amp;I2911</f>
        <v>EUA100WGFlare_</v>
      </c>
      <c r="U3177" s="1665"/>
      <c r="Z3177" s="1664"/>
    </row>
    <row r="3178" spans="1:37" ht="5.0999999999999996" customHeight="1" thickBot="1">
      <c r="A3178" s="618"/>
      <c r="B3178" s="479"/>
      <c r="C3178" s="977"/>
      <c r="D3178" s="915"/>
      <c r="E3178" s="909"/>
      <c r="F3178" s="909"/>
      <c r="G3178" s="909"/>
      <c r="H3178" s="909"/>
      <c r="I3178" s="909"/>
      <c r="J3178" s="922"/>
      <c r="K3178" s="1760"/>
      <c r="L3178" s="1760"/>
      <c r="M3178" s="1760"/>
      <c r="N3178" s="1761"/>
      <c r="O3178" s="485"/>
      <c r="P3178" s="485"/>
      <c r="Q3178" s="1435"/>
      <c r="U3178" s="1663"/>
      <c r="V3178" s="1435"/>
      <c r="Z3178" s="1664"/>
    </row>
    <row r="3179" spans="1:37" ht="12.75" customHeight="1" thickBot="1">
      <c r="B3179" s="479"/>
      <c r="C3179" s="977"/>
      <c r="D3179" s="915" t="s">
        <v>18</v>
      </c>
      <c r="E3179" s="2714" t="s">
        <v>1657</v>
      </c>
      <c r="F3179" s="2410"/>
      <c r="G3179" s="2410"/>
      <c r="H3179" s="2410"/>
      <c r="I3179" s="2715"/>
      <c r="J3179" s="1668" t="str">
        <f>IF(J3177="","",IF(OR(J3177,V3171&lt;1),J3173,I3179))</f>
        <v/>
      </c>
      <c r="K3179" s="1770" t="str">
        <f>IF(K3177="","",IF(OR(K3177,W3171&lt;1),K3173,J3179))</f>
        <v/>
      </c>
      <c r="L3179" s="1770" t="str">
        <f>IF(L3177="","",IF(OR(L3177,X3171&lt;1),L3173,K3179))</f>
        <v/>
      </c>
      <c r="M3179" s="1770" t="str">
        <f>IF(M3177="","",IF(OR(M3177,Y3171&lt;1),M3173,L3179))</f>
        <v/>
      </c>
      <c r="N3179" s="1771" t="str">
        <f>IF(N3177="","",IF(OR(N3177,Z3171&lt;1),N3173,M3179))</f>
        <v/>
      </c>
      <c r="O3179" s="485"/>
      <c r="P3179" s="485"/>
      <c r="Q3179" s="1435"/>
      <c r="U3179" s="1663" t="s">
        <v>1658</v>
      </c>
      <c r="V3179" s="1670">
        <f>J3176</f>
        <v>2026</v>
      </c>
      <c r="W3179" s="1670">
        <f>K3176</f>
        <v>2027</v>
      </c>
      <c r="X3179" s="1670">
        <f>L3176</f>
        <v>2028</v>
      </c>
      <c r="Y3179" s="1670">
        <f>M3176</f>
        <v>2029</v>
      </c>
      <c r="Z3179" s="1671">
        <f>N3176</f>
        <v>2030</v>
      </c>
    </row>
    <row r="3180" spans="1:37" ht="12.75" customHeight="1" thickBot="1">
      <c r="A3180" s="618"/>
      <c r="B3180" s="479"/>
      <c r="C3180" s="977"/>
      <c r="D3180" s="915" t="s">
        <v>787</v>
      </c>
      <c r="E3180" s="2714" t="s">
        <v>1659</v>
      </c>
      <c r="F3180" s="2410"/>
      <c r="G3180" s="2410"/>
      <c r="H3180" s="944" t="str">
        <f>H3171</f>
        <v>t CO2</v>
      </c>
      <c r="I3180" s="917" t="str">
        <f>I3174</f>
        <v/>
      </c>
      <c r="J3180" s="1672" t="str">
        <f>IF($I2911="","",IF(OR($I3180=0,$I3180=EUconst_NA),IF(OR(J3177=TRUE,J3176=$V2911),J3174,SUM(I3180)),IF(J3179="",J3174,$I3180*(1+SUM(J3179)))))</f>
        <v/>
      </c>
      <c r="K3180" s="1772" t="str">
        <f>IF($I2911="","",IF(OR($I3180=0,$I3180=EUconst_NA),IF(OR(K3177=TRUE,K3176=$V2911),K3174,SUM(J3180)),IF(K3179="",K3174,$I3180*(1+SUM(K3179)))))</f>
        <v/>
      </c>
      <c r="L3180" s="1772" t="str">
        <f>IF($I2911="","",IF(OR($I3180=0,$I3180=EUconst_NA),IF(OR(L3177=TRUE,L3176=$V2911),L3174,SUM(K3180)),IF(L3179="",L3174,$I3180*(1+SUM(L3179)))))</f>
        <v/>
      </c>
      <c r="M3180" s="1772" t="str">
        <f>IF($I2911="","",IF(OR($I3180=0,$I3180=EUconst_NA),IF(OR(M3177=TRUE,M3176=$V2911),M3174,SUM(L3180)),IF(M3179="",M3174,$I3180*(1+SUM(M3179)))))</f>
        <v/>
      </c>
      <c r="N3180" s="1773" t="str">
        <f>IF($I2911="","",IF(OR($I3180=0,$I3180=EUconst_NA),IF(OR(N3177=TRUE,N3176=$V2911),N3174,SUM(M3180)),IF(N3179="",N3174,$I3180*(1+SUM(N3179)))))</f>
        <v/>
      </c>
      <c r="O3180" s="485"/>
      <c r="P3180" s="485"/>
      <c r="Q3180" s="1644" t="str">
        <f>EUconst_CNTR_HALfinal&amp;EUconst_CNTR_WGFlared &amp; I2911</f>
        <v>HALfinal_WasteGasFlare_</v>
      </c>
      <c r="U3180" s="1674" t="b">
        <v>0</v>
      </c>
      <c r="V3180" s="1675" t="str">
        <f>IF(V3130,IF(J3177=TRUE,V2919,U3180),"")</f>
        <v/>
      </c>
      <c r="W3180" s="1675" t="str">
        <f>IF(W3130,IF(K3177=TRUE,W2919,V3180),"")</f>
        <v/>
      </c>
      <c r="X3180" s="1675" t="str">
        <f>IF(X3130,IF(L3177=TRUE,X2919,W3180),"")</f>
        <v/>
      </c>
      <c r="Y3180" s="1675" t="str">
        <f>IF(Y3130,IF(M3177=TRUE,Y2919,X3180),"")</f>
        <v/>
      </c>
      <c r="Z3180" s="1676" t="str">
        <f>IF(Z3130,IF(N3177=TRUE,Z2919,Y3180),"")</f>
        <v/>
      </c>
      <c r="AJ3180" s="1633" t="s">
        <v>1951</v>
      </c>
      <c r="AK3180" s="1443" t="str">
        <f>IF(OR(ISERROR(J3180),ISERROR(K3180),ISERROR(L3180),ISERROR(M3180),ISERROR(N3180)),EUconst_Error &amp; "BM" &amp; Q2911,"")</f>
        <v/>
      </c>
    </row>
    <row r="3181" spans="1:37" ht="5.0999999999999996" customHeight="1" thickBot="1">
      <c r="B3181" s="479"/>
      <c r="C3181" s="977"/>
      <c r="D3181" s="946"/>
      <c r="E3181" s="947"/>
      <c r="F3181" s="947"/>
      <c r="G3181" s="947"/>
      <c r="H3181" s="1014"/>
      <c r="I3181" s="947"/>
      <c r="J3181" s="1700"/>
      <c r="K3181" s="1760"/>
      <c r="L3181" s="1760"/>
      <c r="M3181" s="1760"/>
      <c r="N3181" s="1761"/>
      <c r="O3181" s="485"/>
      <c r="P3181" s="485"/>
      <c r="Q3181" s="1435"/>
      <c r="S3181" s="1435"/>
      <c r="T3181" s="1435"/>
      <c r="U3181" s="1435"/>
      <c r="V3181" s="1435"/>
    </row>
    <row r="3182" spans="1:37" ht="5.0999999999999996" customHeight="1">
      <c r="B3182" s="479"/>
      <c r="C3182" s="977"/>
      <c r="D3182" s="981"/>
      <c r="E3182" s="981"/>
      <c r="F3182" s="981"/>
      <c r="G3182" s="981"/>
      <c r="H3182" s="983"/>
      <c r="I3182" s="981"/>
      <c r="J3182" s="981"/>
      <c r="K3182" s="981"/>
      <c r="L3182" s="981"/>
      <c r="M3182" s="813"/>
      <c r="N3182" s="814"/>
      <c r="O3182" s="485"/>
      <c r="P3182" s="485"/>
      <c r="Q3182" s="1435"/>
      <c r="S3182" s="1435"/>
      <c r="T3182" s="1435"/>
      <c r="U3182" s="1435"/>
      <c r="V3182" s="1435"/>
    </row>
    <row r="3183" spans="1:37" ht="12.75" customHeight="1">
      <c r="B3183" s="479"/>
      <c r="C3183" s="977"/>
      <c r="D3183" s="777" t="s">
        <v>1109</v>
      </c>
      <c r="E3183" s="2649" t="s">
        <v>1218</v>
      </c>
      <c r="F3183" s="2391"/>
      <c r="G3183" s="2391"/>
      <c r="H3183" s="2512"/>
      <c r="I3183" s="3211" t="str">
        <f>c_ALR2025!I5689</f>
        <v/>
      </c>
      <c r="J3183" s="3206"/>
      <c r="K3183" s="3206"/>
      <c r="L3183" s="3206"/>
      <c r="M3183" s="3207"/>
      <c r="N3183" s="814"/>
      <c r="O3183" s="485"/>
      <c r="P3183" s="9"/>
      <c r="Q3183" s="1435"/>
      <c r="S3183" s="1435"/>
      <c r="AC3183" s="1641" t="s">
        <v>717</v>
      </c>
      <c r="AD3183" s="1443" t="b">
        <f>AD3157</f>
        <v>0</v>
      </c>
    </row>
    <row r="3184" spans="1:37" ht="12.75" customHeight="1">
      <c r="B3184" s="479"/>
      <c r="C3184" s="977"/>
      <c r="D3184" s="777"/>
      <c r="E3184" s="3272" t="s">
        <v>2298</v>
      </c>
      <c r="F3184" s="2380"/>
      <c r="G3184" s="2380"/>
      <c r="H3184" s="2380"/>
      <c r="I3184" s="2380"/>
      <c r="J3184" s="2380"/>
      <c r="K3184" s="2380"/>
      <c r="L3184" s="2380"/>
      <c r="M3184" s="2380"/>
      <c r="N3184" s="3268"/>
      <c r="O3184" s="485"/>
      <c r="P3184" s="485"/>
      <c r="Q3184" s="1435"/>
      <c r="S3184" s="1435"/>
      <c r="T3184" s="1435"/>
      <c r="U3184" s="1435"/>
      <c r="V3184" s="1435"/>
    </row>
    <row r="3185" spans="1:42" ht="25.5" customHeight="1">
      <c r="B3185" s="479"/>
      <c r="C3185" s="977"/>
      <c r="D3185" s="777"/>
      <c r="E3185" s="3267" t="s">
        <v>1560</v>
      </c>
      <c r="F3185" s="2380"/>
      <c r="G3185" s="2380"/>
      <c r="H3185" s="2380"/>
      <c r="I3185" s="2380"/>
      <c r="J3185" s="2380"/>
      <c r="K3185" s="2380"/>
      <c r="L3185" s="2380"/>
      <c r="M3185" s="2380"/>
      <c r="N3185" s="3268"/>
      <c r="O3185" s="485"/>
      <c r="P3185" s="485"/>
      <c r="Q3185" s="1435"/>
      <c r="S3185" s="1435"/>
      <c r="T3185" s="1435"/>
      <c r="U3185" s="1435"/>
      <c r="V3185" s="1435"/>
    </row>
    <row r="3186" spans="1:42" ht="12.75" customHeight="1" thickBot="1">
      <c r="B3186" s="479"/>
      <c r="C3186" s="977"/>
      <c r="D3186" s="981"/>
      <c r="E3186" s="989"/>
      <c r="F3186" s="990"/>
      <c r="G3186" s="987" t="str">
        <f>EUconst_Unit</f>
        <v>Unit</v>
      </c>
      <c r="H3186" s="782">
        <f t="shared" ref="H3186:N3186" si="1492">H$3242</f>
        <v>2024</v>
      </c>
      <c r="I3186" s="988">
        <f t="shared" si="1492"/>
        <v>2025</v>
      </c>
      <c r="J3186" s="1810">
        <f t="shared" si="1492"/>
        <v>2026</v>
      </c>
      <c r="K3186" s="1747">
        <f t="shared" si="1492"/>
        <v>2027</v>
      </c>
      <c r="L3186" s="1747">
        <f t="shared" si="1492"/>
        <v>2028</v>
      </c>
      <c r="M3186" s="1747">
        <f t="shared" si="1492"/>
        <v>2029</v>
      </c>
      <c r="N3186" s="1748">
        <f t="shared" si="1492"/>
        <v>2030</v>
      </c>
      <c r="O3186" s="485"/>
      <c r="P3186" s="485"/>
      <c r="Q3186" s="1435"/>
      <c r="S3186" s="1435"/>
      <c r="T3186" s="1435"/>
      <c r="U3186" s="1435"/>
      <c r="V3186" s="1435"/>
      <c r="AC3186" s="1638">
        <f t="shared" ref="AC3186:AI3186" si="1493">H$20</f>
        <v>2024</v>
      </c>
      <c r="AD3186" s="1638">
        <f t="shared" si="1493"/>
        <v>2025</v>
      </c>
      <c r="AE3186" s="1638">
        <f t="shared" si="1493"/>
        <v>2026</v>
      </c>
      <c r="AF3186" s="1638">
        <f t="shared" si="1493"/>
        <v>2027</v>
      </c>
      <c r="AG3186" s="1638">
        <f t="shared" si="1493"/>
        <v>2028</v>
      </c>
      <c r="AH3186" s="1638">
        <f t="shared" si="1493"/>
        <v>2029</v>
      </c>
      <c r="AI3186" s="1638">
        <f t="shared" si="1493"/>
        <v>2030</v>
      </c>
    </row>
    <row r="3187" spans="1:42" ht="12.75" customHeight="1" thickBot="1">
      <c r="B3187" s="479"/>
      <c r="C3187" s="977"/>
      <c r="D3187" s="777" t="s">
        <v>1110</v>
      </c>
      <c r="E3187" s="2471" t="s">
        <v>1303</v>
      </c>
      <c r="F3187" s="2472"/>
      <c r="G3187" s="1763" t="str">
        <f>c_ALR2025!G5693</f>
        <v/>
      </c>
      <c r="H3187" s="1552" t="str">
        <f>c_ALR2025!M5693</f>
        <v/>
      </c>
      <c r="I3187" s="1611"/>
      <c r="J3187" s="1811"/>
      <c r="K3187" s="1751"/>
      <c r="L3187" s="1751"/>
      <c r="M3187" s="1751"/>
      <c r="N3187" s="1752"/>
      <c r="O3187" s="485"/>
      <c r="P3187" s="9"/>
      <c r="Q3187" s="1435"/>
      <c r="S3187" s="1435"/>
      <c r="T3187" s="1435"/>
      <c r="U3187" s="1435"/>
      <c r="V3187" s="1435"/>
      <c r="AB3187" s="1641" t="s">
        <v>717</v>
      </c>
      <c r="AC3187" s="1443" t="b">
        <f t="shared" ref="AC3187:AI3187" si="1494">AC3143</f>
        <v>0</v>
      </c>
      <c r="AD3187" s="1443" t="b">
        <f t="shared" si="1494"/>
        <v>0</v>
      </c>
      <c r="AE3187" s="1443" t="b">
        <f t="shared" si="1494"/>
        <v>0</v>
      </c>
      <c r="AF3187" s="1443" t="b">
        <f t="shared" si="1494"/>
        <v>0</v>
      </c>
      <c r="AG3187" s="1443" t="b">
        <f t="shared" si="1494"/>
        <v>0</v>
      </c>
      <c r="AH3187" s="1443" t="b">
        <f t="shared" si="1494"/>
        <v>0</v>
      </c>
      <c r="AI3187" s="1443" t="b">
        <f t="shared" si="1494"/>
        <v>0</v>
      </c>
      <c r="AJ3187" s="1633" t="s">
        <v>1954</v>
      </c>
      <c r="AK3187" s="1635" t="str">
        <f>IF(AND(CNTR_ExistSubInstEntries,MSconst_RequireSubAttrEmissions,COUNTIFS(AC3187:AI3187,FALSE,H3187:N3187,"")&gt;0),EUconst_Error&amp;"BM"&amp;$Q2911,"")</f>
        <v/>
      </c>
    </row>
    <row r="3188" spans="1:42" ht="12.75" customHeight="1">
      <c r="B3188" s="479"/>
      <c r="C3188" s="977"/>
      <c r="D3188" s="777" t="s">
        <v>1111</v>
      </c>
      <c r="E3188" s="2473" t="s">
        <v>661</v>
      </c>
      <c r="F3188" s="2474"/>
      <c r="G3188" s="1008" t="e">
        <f>IF(ISBLANK(G3187),EUconst_GJperUnit,INDEX(EUconst_GJperTorKNm3,MATCH(G3187,EUconst_TonnesOrkNm3pa,0)))</f>
        <v>#N/A</v>
      </c>
      <c r="H3188" s="1558" t="str">
        <f>c_ALR2025!M5694</f>
        <v/>
      </c>
      <c r="I3188" s="1884"/>
      <c r="J3188" s="1811"/>
      <c r="K3188" s="1751"/>
      <c r="L3188" s="1751"/>
      <c r="M3188" s="1751"/>
      <c r="N3188" s="1752"/>
      <c r="O3188" s="485"/>
      <c r="P3188" s="9"/>
      <c r="Q3188" s="1435"/>
      <c r="S3188" s="1648"/>
      <c r="T3188" s="1749">
        <f t="shared" ref="T3188:Z3188" si="1495">H3186</f>
        <v>2024</v>
      </c>
      <c r="U3188" s="1749">
        <f t="shared" si="1495"/>
        <v>2025</v>
      </c>
      <c r="V3188" s="1749">
        <f t="shared" si="1495"/>
        <v>2026</v>
      </c>
      <c r="W3188" s="1749">
        <f t="shared" si="1495"/>
        <v>2027</v>
      </c>
      <c r="X3188" s="1749">
        <f t="shared" si="1495"/>
        <v>2028</v>
      </c>
      <c r="Y3188" s="1749">
        <f t="shared" si="1495"/>
        <v>2029</v>
      </c>
      <c r="Z3188" s="1750">
        <f t="shared" si="1495"/>
        <v>2030</v>
      </c>
      <c r="AC3188" s="1443" t="b">
        <f>AC3187</f>
        <v>0</v>
      </c>
      <c r="AD3188" s="1443" t="b">
        <f t="shared" ref="AD3188:AI3188" si="1496">AD3187</f>
        <v>0</v>
      </c>
      <c r="AE3188" s="1443" t="b">
        <f t="shared" si="1496"/>
        <v>0</v>
      </c>
      <c r="AF3188" s="1443" t="b">
        <f t="shared" si="1496"/>
        <v>0</v>
      </c>
      <c r="AG3188" s="1443" t="b">
        <f t="shared" si="1496"/>
        <v>0</v>
      </c>
      <c r="AH3188" s="1443" t="b">
        <f t="shared" si="1496"/>
        <v>0</v>
      </c>
      <c r="AI3188" s="1443" t="b">
        <f t="shared" si="1496"/>
        <v>0</v>
      </c>
      <c r="AJ3188" s="1633" t="s">
        <v>1954</v>
      </c>
      <c r="AK3188" s="1635" t="str">
        <f>IF(AND(CNTR_ExistSubInstEntries,MSconst_RequireSubAttrEmissions,COUNTIFS(AC3188:AI3188,FALSE,H3188:N3188,"")&gt;0),EUconst_Error&amp;"BM"&amp;$Q2911,"")</f>
        <v/>
      </c>
    </row>
    <row r="3189" spans="1:42" ht="12.75" customHeight="1">
      <c r="B3189" s="479"/>
      <c r="C3189" s="977"/>
      <c r="D3189" s="777" t="s">
        <v>1112</v>
      </c>
      <c r="E3189" s="2475" t="s">
        <v>1102</v>
      </c>
      <c r="F3189" s="2410"/>
      <c r="G3189" s="815" t="str">
        <f>EUconst_TJpa</f>
        <v>TJ / year</v>
      </c>
      <c r="H3189" s="646" t="str">
        <f t="shared" ref="H3189:N3189" si="1497">IF(COUNT(H3187:H3188)=2,H3187*H3188/1000,"")</f>
        <v/>
      </c>
      <c r="I3189" s="949" t="str">
        <f t="shared" si="1497"/>
        <v/>
      </c>
      <c r="J3189" s="1811" t="str">
        <f t="shared" si="1497"/>
        <v/>
      </c>
      <c r="K3189" s="1751" t="str">
        <f t="shared" si="1497"/>
        <v/>
      </c>
      <c r="L3189" s="1751" t="str">
        <f t="shared" si="1497"/>
        <v/>
      </c>
      <c r="M3189" s="1751" t="str">
        <f t="shared" si="1497"/>
        <v/>
      </c>
      <c r="N3189" s="1752" t="str">
        <f t="shared" si="1497"/>
        <v/>
      </c>
      <c r="O3189" s="485"/>
      <c r="P3189" s="485"/>
      <c r="Q3189" s="1644" t="str">
        <f>EUconst_CNTR_WGImport &amp; I2911</f>
        <v>WasteGasIm_</v>
      </c>
      <c r="S3189" s="1874" t="str">
        <f>EUconst_ERR_AttrEmBMapplied &amp; I2911</f>
        <v>ERR_AttrEmBM_</v>
      </c>
      <c r="T3189" s="1443">
        <f t="shared" ref="T3189:Z3189" si="1498">IF(AND(H3189&lt;&gt;"",EUconst_StatusOfDataCollection=FALSE),1,0)</f>
        <v>0</v>
      </c>
      <c r="U3189" s="1443">
        <f t="shared" si="1498"/>
        <v>0</v>
      </c>
      <c r="V3189" s="1443">
        <f t="shared" si="1498"/>
        <v>0</v>
      </c>
      <c r="W3189" s="1443">
        <f t="shared" si="1498"/>
        <v>0</v>
      </c>
      <c r="X3189" s="1443">
        <f t="shared" si="1498"/>
        <v>0</v>
      </c>
      <c r="Y3189" s="1443">
        <f t="shared" si="1498"/>
        <v>0</v>
      </c>
      <c r="Z3189" s="1737">
        <f t="shared" si="1498"/>
        <v>0</v>
      </c>
    </row>
    <row r="3190" spans="1:42" s="562" customFormat="1" ht="12.75" customHeight="1" thickBot="1">
      <c r="A3190" s="618"/>
      <c r="B3190" s="479"/>
      <c r="C3190" s="977"/>
      <c r="D3190" s="777" t="s">
        <v>1113</v>
      </c>
      <c r="E3190" s="2475" t="s">
        <v>1275</v>
      </c>
      <c r="F3190" s="2410"/>
      <c r="G3190" s="815" t="str">
        <f>EUconst_tCO2pTJ</f>
        <v>t CO2 / TJ</v>
      </c>
      <c r="H3190" s="1479" t="str">
        <f>c_ALR2025!M5696</f>
        <v/>
      </c>
      <c r="I3190" s="1532"/>
      <c r="J3190" s="1811"/>
      <c r="K3190" s="1751"/>
      <c r="L3190" s="1751"/>
      <c r="M3190" s="1751"/>
      <c r="N3190" s="1752"/>
      <c r="O3190" s="485"/>
      <c r="P3190" s="9"/>
      <c r="Q3190" s="1644" t="str">
        <f>EUconst_CNTR_WGImportEF &amp; I2911</f>
        <v>WasteGasImEF_</v>
      </c>
      <c r="R3190" s="1435"/>
      <c r="S3190" s="1753" t="str">
        <f>EUconst_CNTR_AttributedEmissions &amp; I2911</f>
        <v>AttrEmissions_</v>
      </c>
      <c r="T3190" s="1743" t="str">
        <f t="shared" ref="T3190:Z3190" si="1499">IF(T2919,SUM(H3189)*EUconst_FuelBMvalue,"")</f>
        <v/>
      </c>
      <c r="U3190" s="1743" t="str">
        <f t="shared" si="1499"/>
        <v/>
      </c>
      <c r="V3190" s="1743" t="str">
        <f t="shared" si="1499"/>
        <v/>
      </c>
      <c r="W3190" s="1743" t="str">
        <f t="shared" si="1499"/>
        <v/>
      </c>
      <c r="X3190" s="1743" t="str">
        <f t="shared" si="1499"/>
        <v/>
      </c>
      <c r="Y3190" s="1743" t="str">
        <f t="shared" si="1499"/>
        <v/>
      </c>
      <c r="Z3190" s="1744" t="str">
        <f t="shared" si="1499"/>
        <v/>
      </c>
      <c r="AA3190" s="1435"/>
      <c r="AB3190" s="1641" t="s">
        <v>717</v>
      </c>
      <c r="AC3190" s="1443" t="b">
        <f>AC3188</f>
        <v>0</v>
      </c>
      <c r="AD3190" s="1443" t="b">
        <f t="shared" ref="AD3190:AI3190" si="1500">AD3188</f>
        <v>0</v>
      </c>
      <c r="AE3190" s="1443" t="b">
        <f t="shared" si="1500"/>
        <v>0</v>
      </c>
      <c r="AF3190" s="1443" t="b">
        <f t="shared" si="1500"/>
        <v>0</v>
      </c>
      <c r="AG3190" s="1443" t="b">
        <f t="shared" si="1500"/>
        <v>0</v>
      </c>
      <c r="AH3190" s="1443" t="b">
        <f t="shared" si="1500"/>
        <v>0</v>
      </c>
      <c r="AI3190" s="1443" t="b">
        <f t="shared" si="1500"/>
        <v>0</v>
      </c>
      <c r="AJ3190" s="1633" t="s">
        <v>1954</v>
      </c>
      <c r="AK3190" s="1635" t="str">
        <f>IF(AND(CNTR_ExistSubInstEntries,MSconst_RequireSubAttrEmissions,COUNTIFS(AC3190:AI3190,FALSE,H3190:N3190,"")&gt;0),EUconst_Error&amp;"BM"&amp;$Q2911,"")</f>
        <v/>
      </c>
      <c r="AL3190" s="1198"/>
      <c r="AP3190" s="1135"/>
    </row>
    <row r="3191" spans="1:42" ht="12.75" customHeight="1">
      <c r="B3191" s="479"/>
      <c r="C3191" s="977"/>
      <c r="D3191" s="981"/>
      <c r="E3191" s="981"/>
      <c r="F3191" s="981"/>
      <c r="G3191" s="981"/>
      <c r="H3191" s="983"/>
      <c r="I3191" s="981"/>
      <c r="J3191" s="981"/>
      <c r="K3191" s="981"/>
      <c r="L3191" s="981"/>
      <c r="M3191" s="813"/>
      <c r="N3191" s="814"/>
      <c r="O3191" s="485"/>
      <c r="P3191" s="485"/>
      <c r="Q3191" s="1435"/>
      <c r="S3191" s="1435"/>
      <c r="T3191" s="1435"/>
      <c r="U3191" s="1435"/>
      <c r="V3191" s="1435"/>
    </row>
    <row r="3192" spans="1:42" ht="12.75" customHeight="1">
      <c r="B3192" s="479"/>
      <c r="C3192" s="977"/>
      <c r="D3192" s="777" t="s">
        <v>1114</v>
      </c>
      <c r="E3192" s="2649" t="s">
        <v>1217</v>
      </c>
      <c r="F3192" s="2391"/>
      <c r="G3192" s="2391"/>
      <c r="H3192" s="2512"/>
      <c r="I3192" s="3211" t="str">
        <f>c_ALR2025!I5698</f>
        <v/>
      </c>
      <c r="J3192" s="3206"/>
      <c r="K3192" s="3206"/>
      <c r="L3192" s="3206"/>
      <c r="M3192" s="3207"/>
      <c r="N3192" s="979"/>
      <c r="O3192" s="485"/>
      <c r="P3192" s="9"/>
      <c r="Q3192" s="1435"/>
      <c r="S3192" s="1435"/>
      <c r="AC3192" s="1641" t="s">
        <v>717</v>
      </c>
      <c r="AD3192" s="1443" t="b">
        <f>AD3183</f>
        <v>0</v>
      </c>
    </row>
    <row r="3193" spans="1:42" ht="12.75" customHeight="1">
      <c r="B3193" s="479"/>
      <c r="C3193" s="977"/>
      <c r="D3193" s="777"/>
      <c r="E3193" s="3272" t="s">
        <v>2298</v>
      </c>
      <c r="F3193" s="2380"/>
      <c r="G3193" s="2380"/>
      <c r="H3193" s="2380"/>
      <c r="I3193" s="2380"/>
      <c r="J3193" s="2380"/>
      <c r="K3193" s="2380"/>
      <c r="L3193" s="2380"/>
      <c r="M3193" s="2380"/>
      <c r="N3193" s="3268"/>
      <c r="O3193" s="485"/>
      <c r="P3193" s="485"/>
      <c r="Q3193" s="1435"/>
      <c r="S3193" s="1435"/>
      <c r="T3193" s="1435"/>
      <c r="U3193" s="1435"/>
      <c r="V3193" s="1435"/>
    </row>
    <row r="3194" spans="1:42" ht="25.5" customHeight="1">
      <c r="B3194" s="479"/>
      <c r="C3194" s="977"/>
      <c r="D3194" s="777"/>
      <c r="E3194" s="3267" t="s">
        <v>1317</v>
      </c>
      <c r="F3194" s="2380"/>
      <c r="G3194" s="2380"/>
      <c r="H3194" s="2380"/>
      <c r="I3194" s="2380"/>
      <c r="J3194" s="2380"/>
      <c r="K3194" s="2380"/>
      <c r="L3194" s="2380"/>
      <c r="M3194" s="2380"/>
      <c r="N3194" s="3268"/>
      <c r="O3194" s="485"/>
      <c r="P3194" s="485"/>
      <c r="Q3194" s="1435"/>
      <c r="S3194" s="1435"/>
      <c r="T3194" s="1435"/>
      <c r="U3194" s="1435"/>
      <c r="V3194" s="1435"/>
    </row>
    <row r="3195" spans="1:42" ht="12.75" customHeight="1" thickBot="1">
      <c r="B3195" s="479"/>
      <c r="C3195" s="977"/>
      <c r="D3195" s="981"/>
      <c r="E3195" s="989"/>
      <c r="F3195" s="990"/>
      <c r="G3195" s="987" t="str">
        <f>EUconst_Unit</f>
        <v>Unit</v>
      </c>
      <c r="H3195" s="782">
        <f t="shared" ref="H3195:N3195" si="1501">H$3242</f>
        <v>2024</v>
      </c>
      <c r="I3195" s="988">
        <f t="shared" si="1501"/>
        <v>2025</v>
      </c>
      <c r="J3195" s="1810">
        <f t="shared" si="1501"/>
        <v>2026</v>
      </c>
      <c r="K3195" s="1747">
        <f t="shared" si="1501"/>
        <v>2027</v>
      </c>
      <c r="L3195" s="1747">
        <f t="shared" si="1501"/>
        <v>2028</v>
      </c>
      <c r="M3195" s="1747">
        <f t="shared" si="1501"/>
        <v>2029</v>
      </c>
      <c r="N3195" s="1748">
        <f t="shared" si="1501"/>
        <v>2030</v>
      </c>
      <c r="O3195" s="485"/>
      <c r="P3195" s="485"/>
      <c r="Q3195" s="1435"/>
      <c r="S3195" s="1435"/>
      <c r="T3195" s="1435"/>
      <c r="U3195" s="1435"/>
      <c r="V3195" s="1435"/>
      <c r="AC3195" s="1638">
        <f t="shared" ref="AC3195:AI3195" si="1502">H$20</f>
        <v>2024</v>
      </c>
      <c r="AD3195" s="1638">
        <f t="shared" si="1502"/>
        <v>2025</v>
      </c>
      <c r="AE3195" s="1638">
        <f t="shared" si="1502"/>
        <v>2026</v>
      </c>
      <c r="AF3195" s="1638">
        <f t="shared" si="1502"/>
        <v>2027</v>
      </c>
      <c r="AG3195" s="1638">
        <f t="shared" si="1502"/>
        <v>2028</v>
      </c>
      <c r="AH3195" s="1638">
        <f t="shared" si="1502"/>
        <v>2029</v>
      </c>
      <c r="AI3195" s="1638">
        <f t="shared" si="1502"/>
        <v>2030</v>
      </c>
    </row>
    <row r="3196" spans="1:42" ht="12.75" customHeight="1">
      <c r="B3196" s="479"/>
      <c r="C3196" s="977"/>
      <c r="D3196" s="777" t="s">
        <v>1115</v>
      </c>
      <c r="E3196" s="2471" t="s">
        <v>1304</v>
      </c>
      <c r="F3196" s="2472"/>
      <c r="G3196" s="1763" t="str">
        <f>c_ALR2025!G5702</f>
        <v/>
      </c>
      <c r="H3196" s="1552" t="str">
        <f>c_ALR2025!M5702</f>
        <v/>
      </c>
      <c r="I3196" s="1611"/>
      <c r="J3196" s="1811"/>
      <c r="K3196" s="1751"/>
      <c r="L3196" s="1751"/>
      <c r="M3196" s="1751"/>
      <c r="N3196" s="1752"/>
      <c r="O3196" s="485"/>
      <c r="P3196" s="9"/>
      <c r="Q3196" s="1435"/>
      <c r="S3196" s="1435"/>
      <c r="T3196" s="1435"/>
      <c r="U3196" s="1435"/>
      <c r="V3196" s="1435"/>
      <c r="AB3196" s="1641" t="s">
        <v>717</v>
      </c>
      <c r="AC3196" s="1443" t="b">
        <f>AC3143</f>
        <v>0</v>
      </c>
      <c r="AD3196" s="1443" t="b">
        <f t="shared" ref="AD3196:AI3196" si="1503">AD3143</f>
        <v>0</v>
      </c>
      <c r="AE3196" s="1443" t="b">
        <f t="shared" si="1503"/>
        <v>0</v>
      </c>
      <c r="AF3196" s="1443" t="b">
        <f t="shared" si="1503"/>
        <v>0</v>
      </c>
      <c r="AG3196" s="1443" t="b">
        <f t="shared" si="1503"/>
        <v>0</v>
      </c>
      <c r="AH3196" s="1443" t="b">
        <f t="shared" si="1503"/>
        <v>0</v>
      </c>
      <c r="AI3196" s="1443" t="b">
        <f t="shared" si="1503"/>
        <v>0</v>
      </c>
      <c r="AJ3196" s="1633" t="s">
        <v>1954</v>
      </c>
      <c r="AK3196" s="1635" t="str">
        <f>IF(AND(CNTR_ExistSubInstEntries,MSconst_RequireSubAttrEmissions,COUNTIFS(AC3196:AI3196,FALSE,H3196:N3196,"")&gt;0),EUconst_Error&amp;"BM"&amp;$Q2911,"")</f>
        <v/>
      </c>
    </row>
    <row r="3197" spans="1:42" ht="12.75" customHeight="1" thickBot="1">
      <c r="B3197" s="479"/>
      <c r="C3197" s="977"/>
      <c r="D3197" s="777" t="s">
        <v>1561</v>
      </c>
      <c r="E3197" s="2473" t="s">
        <v>661</v>
      </c>
      <c r="F3197" s="2474"/>
      <c r="G3197" s="1008" t="e">
        <f>IF(ISBLANK(G3196),EUconst_GJperUnit,INDEX(EUconst_GJperTorKNm3,MATCH(G3196,EUconst_TonnesOrkNm3pa,0)))</f>
        <v>#N/A</v>
      </c>
      <c r="H3197" s="1558" t="str">
        <f>c_ALR2025!M5703</f>
        <v/>
      </c>
      <c r="I3197" s="1884"/>
      <c r="J3197" s="1811"/>
      <c r="K3197" s="1751"/>
      <c r="L3197" s="1751"/>
      <c r="M3197" s="1751"/>
      <c r="N3197" s="1752"/>
      <c r="O3197" s="485"/>
      <c r="P3197" s="9"/>
      <c r="Q3197" s="1435"/>
      <c r="S3197" s="1435"/>
      <c r="T3197" s="1435"/>
      <c r="U3197" s="1435"/>
      <c r="V3197" s="1435"/>
      <c r="AC3197" s="1443" t="b">
        <f>AC3196</f>
        <v>0</v>
      </c>
      <c r="AD3197" s="1443" t="b">
        <f t="shared" ref="AD3197:AI3197" si="1504">AD3196</f>
        <v>0</v>
      </c>
      <c r="AE3197" s="1443" t="b">
        <f t="shared" si="1504"/>
        <v>0</v>
      </c>
      <c r="AF3197" s="1443" t="b">
        <f t="shared" si="1504"/>
        <v>0</v>
      </c>
      <c r="AG3197" s="1443" t="b">
        <f t="shared" si="1504"/>
        <v>0</v>
      </c>
      <c r="AH3197" s="1443" t="b">
        <f t="shared" si="1504"/>
        <v>0</v>
      </c>
      <c r="AI3197" s="1443" t="b">
        <f t="shared" si="1504"/>
        <v>0</v>
      </c>
      <c r="AJ3197" s="1633" t="s">
        <v>1954</v>
      </c>
      <c r="AK3197" s="1635" t="str">
        <f>IF(AND(CNTR_ExistSubInstEntries,MSconst_RequireSubAttrEmissions,COUNTIFS(AC3197:AI3197,FALSE,H3197:N3197,"")&gt;0),EUconst_Error&amp;"BM"&amp;$Q2911,"")</f>
        <v/>
      </c>
    </row>
    <row r="3198" spans="1:42" ht="12.75" customHeight="1">
      <c r="B3198" s="479"/>
      <c r="C3198" s="977"/>
      <c r="D3198" s="777" t="s">
        <v>1599</v>
      </c>
      <c r="E3198" s="2475" t="s">
        <v>1080</v>
      </c>
      <c r="F3198" s="2410"/>
      <c r="G3198" s="815" t="str">
        <f>EUconst_TJpa</f>
        <v>TJ / year</v>
      </c>
      <c r="H3198" s="646" t="str">
        <f t="shared" ref="H3198:N3198" si="1505">IF(COUNT(H3196:H3197)=2,H3196*H3197/1000,"")</f>
        <v/>
      </c>
      <c r="I3198" s="949" t="str">
        <f t="shared" si="1505"/>
        <v/>
      </c>
      <c r="J3198" s="1811" t="str">
        <f t="shared" si="1505"/>
        <v/>
      </c>
      <c r="K3198" s="1751" t="str">
        <f t="shared" si="1505"/>
        <v/>
      </c>
      <c r="L3198" s="1751" t="str">
        <f t="shared" si="1505"/>
        <v/>
      </c>
      <c r="M3198" s="1751" t="str">
        <f t="shared" si="1505"/>
        <v/>
      </c>
      <c r="N3198" s="1752" t="str">
        <f t="shared" si="1505"/>
        <v/>
      </c>
      <c r="O3198" s="485"/>
      <c r="P3198" s="485"/>
      <c r="Q3198" s="1644" t="str">
        <f>EUconst_CNTR_WGExport &amp; I2911</f>
        <v>WasteGasEx_</v>
      </c>
      <c r="S3198" s="1648"/>
      <c r="T3198" s="1749">
        <f t="shared" ref="T3198:Z3198" si="1506">H3195</f>
        <v>2024</v>
      </c>
      <c r="U3198" s="1749">
        <f t="shared" si="1506"/>
        <v>2025</v>
      </c>
      <c r="V3198" s="1749">
        <f t="shared" si="1506"/>
        <v>2026</v>
      </c>
      <c r="W3198" s="1749">
        <f t="shared" si="1506"/>
        <v>2027</v>
      </c>
      <c r="X3198" s="1749">
        <f t="shared" si="1506"/>
        <v>2028</v>
      </c>
      <c r="Y3198" s="1749">
        <f t="shared" si="1506"/>
        <v>2029</v>
      </c>
      <c r="Z3198" s="1750">
        <f t="shared" si="1506"/>
        <v>2030</v>
      </c>
    </row>
    <row r="3199" spans="1:42" s="562" customFormat="1" ht="12.75" customHeight="1" thickBot="1">
      <c r="A3199" s="1116"/>
      <c r="B3199" s="479"/>
      <c r="C3199" s="977"/>
      <c r="D3199" s="777" t="s">
        <v>1600</v>
      </c>
      <c r="E3199" s="2475" t="s">
        <v>1276</v>
      </c>
      <c r="F3199" s="2410"/>
      <c r="G3199" s="815" t="str">
        <f>EUconst_tCO2pTJ</f>
        <v>t CO2 / TJ</v>
      </c>
      <c r="H3199" s="1479" t="str">
        <f>c_ALR2025!M5705</f>
        <v/>
      </c>
      <c r="I3199" s="1532"/>
      <c r="J3199" s="1811"/>
      <c r="K3199" s="1751"/>
      <c r="L3199" s="1751"/>
      <c r="M3199" s="1751"/>
      <c r="N3199" s="1752"/>
      <c r="O3199" s="485"/>
      <c r="P3199" s="9"/>
      <c r="Q3199" s="1644" t="str">
        <f>EUconst_CNTR_WGExportEF &amp; I2911</f>
        <v>WasteGasExEF_</v>
      </c>
      <c r="R3199" s="1435"/>
      <c r="S3199" s="1753" t="str">
        <f>EUconst_CNTR_AttributedEmissions &amp; I2911</f>
        <v>AttrEmissions_</v>
      </c>
      <c r="T3199" s="1743" t="str">
        <f t="shared" ref="T3199:Z3199" si="1507">IF(T2919,-SUM(H3198)*EUconst_NGEFvalue*EUconst_WasteGasCorrFactor,"")</f>
        <v/>
      </c>
      <c r="U3199" s="1743" t="str">
        <f t="shared" si="1507"/>
        <v/>
      </c>
      <c r="V3199" s="1743" t="str">
        <f t="shared" si="1507"/>
        <v/>
      </c>
      <c r="W3199" s="1743" t="str">
        <f t="shared" si="1507"/>
        <v/>
      </c>
      <c r="X3199" s="1743" t="str">
        <f t="shared" si="1507"/>
        <v/>
      </c>
      <c r="Y3199" s="1743" t="str">
        <f t="shared" si="1507"/>
        <v/>
      </c>
      <c r="Z3199" s="1744" t="str">
        <f t="shared" si="1507"/>
        <v/>
      </c>
      <c r="AA3199" s="1435"/>
      <c r="AB3199" s="1641" t="s">
        <v>717</v>
      </c>
      <c r="AC3199" s="1443" t="b">
        <f t="shared" ref="AC3199:AI3199" si="1508">AC3146</f>
        <v>0</v>
      </c>
      <c r="AD3199" s="1443" t="b">
        <f t="shared" si="1508"/>
        <v>0</v>
      </c>
      <c r="AE3199" s="1443" t="b">
        <f t="shared" si="1508"/>
        <v>0</v>
      </c>
      <c r="AF3199" s="1443" t="b">
        <f t="shared" si="1508"/>
        <v>0</v>
      </c>
      <c r="AG3199" s="1443" t="b">
        <f t="shared" si="1508"/>
        <v>0</v>
      </c>
      <c r="AH3199" s="1443" t="b">
        <f t="shared" si="1508"/>
        <v>0</v>
      </c>
      <c r="AI3199" s="1443" t="b">
        <f t="shared" si="1508"/>
        <v>0</v>
      </c>
      <c r="AJ3199" s="1633" t="s">
        <v>1954</v>
      </c>
      <c r="AK3199" s="1635" t="str">
        <f>IF(AND(CNTR_ExistSubInstEntries,MSconst_RequireSubAttrEmissions,COUNTIFS(AC3199:AI3199,FALSE,H3199:N3199,"")&gt;0),EUconst_Error&amp;"BM"&amp;$Q2911,"")</f>
        <v/>
      </c>
      <c r="AL3199" s="1198"/>
      <c r="AP3199" s="1135"/>
    </row>
    <row r="3200" spans="1:42" ht="12.75" customHeight="1">
      <c r="B3200" s="479"/>
      <c r="C3200" s="977"/>
      <c r="D3200" s="981"/>
      <c r="E3200" s="981"/>
      <c r="F3200" s="981"/>
      <c r="G3200" s="981"/>
      <c r="H3200" s="981"/>
      <c r="I3200" s="983"/>
      <c r="J3200" s="981"/>
      <c r="K3200" s="981"/>
      <c r="L3200" s="981"/>
      <c r="M3200" s="981"/>
      <c r="N3200" s="814"/>
      <c r="O3200" s="485"/>
      <c r="P3200" s="485"/>
      <c r="Q3200" s="1435"/>
      <c r="S3200" s="1435"/>
    </row>
    <row r="3201" spans="2:37" ht="12.75" customHeight="1">
      <c r="B3201" s="479"/>
      <c r="C3201" s="977"/>
      <c r="D3201" s="982" t="s">
        <v>482</v>
      </c>
      <c r="E3201" s="2649" t="s">
        <v>1127</v>
      </c>
      <c r="F3201" s="2391"/>
      <c r="G3201" s="2391"/>
      <c r="H3201" s="2391"/>
      <c r="I3201" s="2391"/>
      <c r="J3201" s="2391"/>
      <c r="K3201" s="2391"/>
      <c r="L3201" s="2391"/>
      <c r="M3201" s="2391"/>
      <c r="N3201" s="2650"/>
      <c r="O3201" s="485"/>
      <c r="P3201" s="485"/>
      <c r="Q3201" s="1435"/>
      <c r="S3201" s="1435"/>
    </row>
    <row r="3202" spans="2:37" ht="12.75" customHeight="1">
      <c r="B3202" s="479"/>
      <c r="C3202" s="977"/>
      <c r="D3202" s="777"/>
      <c r="E3202" s="3272" t="s">
        <v>2299</v>
      </c>
      <c r="F3202" s="2380"/>
      <c r="G3202" s="2380"/>
      <c r="H3202" s="2380"/>
      <c r="I3202" s="2380"/>
      <c r="J3202" s="2380"/>
      <c r="K3202" s="2380"/>
      <c r="L3202" s="2380"/>
      <c r="M3202" s="2380"/>
      <c r="N3202" s="3268"/>
      <c r="O3202" s="485"/>
      <c r="P3202" s="485"/>
      <c r="Q3202" s="1435"/>
      <c r="S3202" s="1435"/>
      <c r="T3202" s="1435"/>
      <c r="U3202" s="1435"/>
      <c r="V3202" s="1435"/>
    </row>
    <row r="3203" spans="2:37" ht="25.5" customHeight="1" thickBot="1">
      <c r="B3203" s="479"/>
      <c r="C3203" s="977"/>
      <c r="D3203" s="981"/>
      <c r="E3203" s="3267" t="s">
        <v>2331</v>
      </c>
      <c r="F3203" s="2380"/>
      <c r="G3203" s="2380"/>
      <c r="H3203" s="2380"/>
      <c r="I3203" s="2380"/>
      <c r="J3203" s="2380"/>
      <c r="K3203" s="2380"/>
      <c r="L3203" s="2380"/>
      <c r="M3203" s="2380"/>
      <c r="N3203" s="3268"/>
      <c r="O3203" s="485"/>
      <c r="P3203" s="485"/>
      <c r="Q3203" s="1435"/>
      <c r="S3203" s="1435"/>
    </row>
    <row r="3204" spans="2:37" ht="12.75" customHeight="1" thickBot="1">
      <c r="B3204" s="479"/>
      <c r="C3204" s="977"/>
      <c r="D3204" s="982"/>
      <c r="E3204" s="989"/>
      <c r="F3204" s="990"/>
      <c r="G3204" s="987" t="str">
        <f>EUconst_Unit</f>
        <v>Unit</v>
      </c>
      <c r="H3204" s="782">
        <f t="shared" ref="H3204:N3204" si="1509">H$3242</f>
        <v>2024</v>
      </c>
      <c r="I3204" s="988">
        <f t="shared" si="1509"/>
        <v>2025</v>
      </c>
      <c r="J3204" s="1810">
        <f t="shared" si="1509"/>
        <v>2026</v>
      </c>
      <c r="K3204" s="1747">
        <f t="shared" si="1509"/>
        <v>2027</v>
      </c>
      <c r="L3204" s="1747">
        <f t="shared" si="1509"/>
        <v>2028</v>
      </c>
      <c r="M3204" s="1747">
        <f t="shared" si="1509"/>
        <v>2029</v>
      </c>
      <c r="N3204" s="1748">
        <f t="shared" si="1509"/>
        <v>2030</v>
      </c>
      <c r="O3204" s="485"/>
      <c r="P3204" s="485"/>
      <c r="Q3204" s="1435"/>
      <c r="S3204" s="1648"/>
      <c r="T3204" s="1749">
        <f t="shared" ref="T3204:Z3204" si="1510">H3204</f>
        <v>2024</v>
      </c>
      <c r="U3204" s="1749">
        <f t="shared" si="1510"/>
        <v>2025</v>
      </c>
      <c r="V3204" s="1749">
        <f t="shared" si="1510"/>
        <v>2026</v>
      </c>
      <c r="W3204" s="1749">
        <f t="shared" si="1510"/>
        <v>2027</v>
      </c>
      <c r="X3204" s="1749">
        <f t="shared" si="1510"/>
        <v>2028</v>
      </c>
      <c r="Y3204" s="1749">
        <f t="shared" si="1510"/>
        <v>2029</v>
      </c>
      <c r="Z3204" s="1750">
        <f t="shared" si="1510"/>
        <v>2030</v>
      </c>
      <c r="AC3204" s="1638">
        <f t="shared" ref="AC3204:AI3204" si="1511">H$20</f>
        <v>2024</v>
      </c>
      <c r="AD3204" s="1638">
        <f t="shared" si="1511"/>
        <v>2025</v>
      </c>
      <c r="AE3204" s="1638">
        <f t="shared" si="1511"/>
        <v>2026</v>
      </c>
      <c r="AF3204" s="1638">
        <f t="shared" si="1511"/>
        <v>2027</v>
      </c>
      <c r="AG3204" s="1638">
        <f t="shared" si="1511"/>
        <v>2028</v>
      </c>
      <c r="AH3204" s="1638">
        <f t="shared" si="1511"/>
        <v>2029</v>
      </c>
      <c r="AI3204" s="1638">
        <f t="shared" si="1511"/>
        <v>2030</v>
      </c>
    </row>
    <row r="3205" spans="2:37" ht="12.75" customHeight="1" thickBot="1">
      <c r="B3205" s="479"/>
      <c r="C3205" s="977"/>
      <c r="D3205" s="777"/>
      <c r="E3205" s="2475" t="s">
        <v>1354</v>
      </c>
      <c r="F3205" s="2410"/>
      <c r="G3205" s="815" t="str">
        <f>EUconst_MWhpa</f>
        <v>MWh / year</v>
      </c>
      <c r="H3205" s="1479" t="str">
        <f>c_ALR2025!M5711</f>
        <v/>
      </c>
      <c r="I3205" s="1532"/>
      <c r="J3205" s="1811">
        <v>3</v>
      </c>
      <c r="K3205" s="1751">
        <v>4</v>
      </c>
      <c r="L3205" s="1751">
        <v>5</v>
      </c>
      <c r="M3205" s="1751"/>
      <c r="N3205" s="1752"/>
      <c r="O3205" s="485"/>
      <c r="P3205" s="9"/>
      <c r="Q3205" s="1644" t="str">
        <f>EUconst_CNTR_ElectricityExported &amp; I2911</f>
        <v>ElecEx_</v>
      </c>
      <c r="S3205" s="1753" t="str">
        <f>EUconst_CNTR_AttributedEmissions &amp; I2911</f>
        <v>AttrEmissions_</v>
      </c>
      <c r="T3205" s="1743" t="str">
        <f t="shared" ref="T3205:Z3205" si="1512">IF(T2919,-SUM(H3205)*EUconst_ElBM,"")</f>
        <v/>
      </c>
      <c r="U3205" s="1743" t="str">
        <f t="shared" si="1512"/>
        <v/>
      </c>
      <c r="V3205" s="1743" t="str">
        <f t="shared" si="1512"/>
        <v/>
      </c>
      <c r="W3205" s="1743" t="str">
        <f t="shared" si="1512"/>
        <v/>
      </c>
      <c r="X3205" s="1743" t="str">
        <f t="shared" si="1512"/>
        <v/>
      </c>
      <c r="Y3205" s="1743" t="str">
        <f t="shared" si="1512"/>
        <v/>
      </c>
      <c r="Z3205" s="1744" t="str">
        <f t="shared" si="1512"/>
        <v/>
      </c>
      <c r="AB3205" s="1641" t="s">
        <v>717</v>
      </c>
      <c r="AC3205" s="1443" t="b">
        <f>AC2981</f>
        <v>0</v>
      </c>
      <c r="AD3205" s="1443" t="b">
        <f t="shared" ref="AD3205:AI3205" si="1513">AD2981</f>
        <v>0</v>
      </c>
      <c r="AE3205" s="1443" t="b">
        <f t="shared" si="1513"/>
        <v>0</v>
      </c>
      <c r="AF3205" s="1443" t="b">
        <f t="shared" si="1513"/>
        <v>0</v>
      </c>
      <c r="AG3205" s="1443" t="b">
        <f t="shared" si="1513"/>
        <v>0</v>
      </c>
      <c r="AH3205" s="1443" t="b">
        <f t="shared" si="1513"/>
        <v>0</v>
      </c>
      <c r="AI3205" s="1443" t="b">
        <f t="shared" si="1513"/>
        <v>0</v>
      </c>
      <c r="AJ3205" s="1633" t="s">
        <v>1954</v>
      </c>
      <c r="AK3205" s="1635" t="str">
        <f>IF(AND(CNTR_ExistSubInstEntries,MSconst_RequireSubAttrEmissions,COUNTIFS(AC3205:AI3205,FALSE,H3205:N3205,"")&gt;0),EUconst_Error&amp;"BM"&amp;$Q2911,"")</f>
        <v/>
      </c>
    </row>
    <row r="3206" spans="2:37" ht="12.75" customHeight="1">
      <c r="B3206" s="479"/>
      <c r="C3206" s="977"/>
      <c r="D3206" s="981"/>
      <c r="E3206" s="981"/>
      <c r="F3206" s="981"/>
      <c r="G3206" s="981"/>
      <c r="H3206" s="981"/>
      <c r="I3206" s="983"/>
      <c r="J3206" s="981"/>
      <c r="K3206" s="981"/>
      <c r="L3206" s="981"/>
      <c r="M3206" s="981"/>
      <c r="N3206" s="814"/>
      <c r="O3206" s="485"/>
      <c r="P3206" s="485"/>
      <c r="Q3206" s="1435"/>
      <c r="S3206" s="1435"/>
      <c r="V3206" s="1435"/>
    </row>
    <row r="3207" spans="2:37" ht="12.75" customHeight="1">
      <c r="B3207" s="479"/>
      <c r="C3207" s="977"/>
      <c r="D3207" s="982" t="s">
        <v>245</v>
      </c>
      <c r="E3207" s="2649" t="s">
        <v>1157</v>
      </c>
      <c r="F3207" s="2391"/>
      <c r="G3207" s="2391"/>
      <c r="H3207" s="2391"/>
      <c r="I3207" s="2391"/>
      <c r="J3207" s="2391"/>
      <c r="K3207" s="2391"/>
      <c r="L3207" s="2391"/>
      <c r="M3207" s="2391"/>
      <c r="N3207" s="2650"/>
      <c r="O3207" s="485"/>
      <c r="P3207" s="485"/>
      <c r="V3207" s="1435"/>
    </row>
    <row r="3208" spans="2:37" ht="25.5" customHeight="1">
      <c r="B3208" s="479"/>
      <c r="C3208" s="977"/>
      <c r="D3208" s="981"/>
      <c r="E3208" s="3267" t="s">
        <v>1264</v>
      </c>
      <c r="F3208" s="2380"/>
      <c r="G3208" s="2380"/>
      <c r="H3208" s="2380"/>
      <c r="I3208" s="2380"/>
      <c r="J3208" s="2380"/>
      <c r="K3208" s="2380"/>
      <c r="L3208" s="2380"/>
      <c r="M3208" s="2380"/>
      <c r="N3208" s="3268"/>
      <c r="O3208" s="485"/>
      <c r="P3208" s="485"/>
      <c r="Q3208" s="1435"/>
      <c r="S3208" s="1435"/>
      <c r="V3208" s="1435"/>
    </row>
    <row r="3209" spans="2:37" ht="12.75" customHeight="1">
      <c r="B3209" s="479"/>
      <c r="C3209" s="977"/>
      <c r="D3209" s="981"/>
      <c r="E3209" s="3267" t="s">
        <v>1563</v>
      </c>
      <c r="F3209" s="2380"/>
      <c r="G3209" s="2380"/>
      <c r="H3209" s="2380"/>
      <c r="I3209" s="2380"/>
      <c r="J3209" s="2380"/>
      <c r="K3209" s="2380"/>
      <c r="L3209" s="2380"/>
      <c r="M3209" s="2380"/>
      <c r="N3209" s="3268"/>
      <c r="O3209" s="485"/>
      <c r="P3209" s="485"/>
      <c r="Q3209" s="1435"/>
      <c r="S3209" s="1435"/>
      <c r="V3209" s="1435"/>
    </row>
    <row r="3210" spans="2:37" ht="12.75" customHeight="1" thickBot="1">
      <c r="B3210" s="479"/>
      <c r="C3210" s="977"/>
      <c r="D3210" s="777"/>
      <c r="E3210" s="3283" t="s">
        <v>1598</v>
      </c>
      <c r="F3210" s="3284"/>
      <c r="G3210" s="3284"/>
      <c r="H3210" s="3284"/>
      <c r="I3210" s="3284"/>
      <c r="J3210" s="2380"/>
      <c r="K3210" s="2380"/>
      <c r="L3210" s="2380"/>
      <c r="M3210" s="2380"/>
      <c r="N3210" s="3268"/>
      <c r="O3210" s="485"/>
      <c r="P3210" s="485"/>
      <c r="Q3210" s="1435"/>
      <c r="S3210" s="1435"/>
      <c r="V3210" s="1435"/>
      <c r="AC3210" s="1638">
        <f t="shared" ref="AC3210:AI3210" si="1514">H$20</f>
        <v>2024</v>
      </c>
      <c r="AD3210" s="1638">
        <f t="shared" si="1514"/>
        <v>2025</v>
      </c>
      <c r="AE3210" s="1638">
        <f t="shared" si="1514"/>
        <v>2026</v>
      </c>
      <c r="AF3210" s="1638">
        <f t="shared" si="1514"/>
        <v>2027</v>
      </c>
      <c r="AG3210" s="1638">
        <f t="shared" si="1514"/>
        <v>2028</v>
      </c>
      <c r="AH3210" s="1638">
        <f t="shared" si="1514"/>
        <v>2029</v>
      </c>
      <c r="AI3210" s="1638">
        <f t="shared" si="1514"/>
        <v>2030</v>
      </c>
    </row>
    <row r="3211" spans="2:37" ht="12.75" customHeight="1">
      <c r="B3211" s="479"/>
      <c r="C3211" s="977"/>
      <c r="D3211" s="777"/>
      <c r="E3211" s="3285" t="str">
        <f>IF(I2911="","",IF(INDEX(EUconst_BMlistPulp,MATCH(I2911,EUconst_BMlistNames,0)),I2911,""))</f>
        <v/>
      </c>
      <c r="F3211" s="2410"/>
      <c r="G3211" s="815" t="str">
        <f>EUconst_Tons</f>
        <v>tonnes</v>
      </c>
      <c r="H3211" s="1479" t="str">
        <f>c_ALR2025!M5717</f>
        <v/>
      </c>
      <c r="I3211" s="1532"/>
      <c r="J3211" s="1811"/>
      <c r="K3211" s="1751"/>
      <c r="L3211" s="1751"/>
      <c r="M3211" s="1751"/>
      <c r="N3211" s="1752"/>
      <c r="O3211" s="485"/>
      <c r="P3211" s="9"/>
      <c r="Q3211" s="1644" t="str">
        <f>EUconst_CNTR_HALPulpTotal &amp; I2911</f>
        <v>HALPulpTotal_</v>
      </c>
      <c r="S3211" s="1435"/>
      <c r="AB3211" s="1641" t="s">
        <v>717</v>
      </c>
      <c r="AC3211" s="1423" t="b">
        <f t="shared" ref="AC3211:AI3211" si="1515">IF($I2911&lt;&gt;"",IF(INDEX(EUconst_BMlistPulp,MATCH($I2911,EUconst_BMlistNames,0))=TRUE,FALSE,TRUE),AC2981)</f>
        <v>0</v>
      </c>
      <c r="AD3211" s="1443" t="b">
        <f t="shared" si="1515"/>
        <v>0</v>
      </c>
      <c r="AE3211" s="1443" t="b">
        <f t="shared" si="1515"/>
        <v>0</v>
      </c>
      <c r="AF3211" s="1443" t="b">
        <f t="shared" si="1515"/>
        <v>0</v>
      </c>
      <c r="AG3211" s="1443" t="b">
        <f t="shared" si="1515"/>
        <v>0</v>
      </c>
      <c r="AH3211" s="1443" t="b">
        <f t="shared" si="1515"/>
        <v>0</v>
      </c>
      <c r="AI3211" s="1443" t="b">
        <f t="shared" si="1515"/>
        <v>0</v>
      </c>
      <c r="AJ3211" s="1633" t="s">
        <v>1954</v>
      </c>
      <c r="AK3211" s="1635" t="str">
        <f>IF(AND(CNTR_ExistSubInstEntries,MSconst_RequireSubAttrEmissions,COUNTIFS(AC3211:AI3211,FALSE,H3211:N3211,"")&gt;0),EUconst_Error&amp;"BM"&amp;$Q2911,"")</f>
        <v/>
      </c>
    </row>
    <row r="3212" spans="2:37" ht="12.75" customHeight="1">
      <c r="B3212" s="479"/>
      <c r="C3212" s="977"/>
      <c r="D3212" s="777"/>
      <c r="E3212" s="777"/>
      <c r="F3212" s="777"/>
      <c r="G3212" s="777"/>
      <c r="H3212" s="983"/>
      <c r="I3212" s="777"/>
      <c r="J3212" s="777"/>
      <c r="K3212" s="777"/>
      <c r="L3212" s="777"/>
      <c r="M3212" s="777"/>
      <c r="N3212" s="1007"/>
      <c r="O3212" s="485"/>
      <c r="P3212" s="485"/>
      <c r="Q3212" s="1435"/>
      <c r="S3212" s="1435"/>
      <c r="V3212" s="1435"/>
    </row>
    <row r="3213" spans="2:37" ht="12.75" customHeight="1">
      <c r="B3213" s="479"/>
      <c r="C3213" s="977"/>
      <c r="D3213" s="982" t="s">
        <v>832</v>
      </c>
      <c r="E3213" s="2649" t="s">
        <v>1142</v>
      </c>
      <c r="F3213" s="2391"/>
      <c r="G3213" s="2391"/>
      <c r="H3213" s="2391"/>
      <c r="I3213" s="2391"/>
      <c r="J3213" s="2391"/>
      <c r="K3213" s="2391"/>
      <c r="L3213" s="2391"/>
      <c r="M3213" s="2391"/>
      <c r="N3213" s="2650"/>
      <c r="O3213" s="485"/>
      <c r="P3213" s="485"/>
      <c r="Q3213" s="1435"/>
      <c r="S3213" s="1435"/>
      <c r="V3213" s="1435"/>
    </row>
    <row r="3214" spans="2:37" ht="25.5" customHeight="1">
      <c r="B3214" s="479"/>
      <c r="C3214" s="977"/>
      <c r="D3214" s="981"/>
      <c r="E3214" s="3267" t="s">
        <v>1366</v>
      </c>
      <c r="F3214" s="2380"/>
      <c r="G3214" s="2380"/>
      <c r="H3214" s="2380"/>
      <c r="I3214" s="2380"/>
      <c r="J3214" s="2380"/>
      <c r="K3214" s="2380"/>
      <c r="L3214" s="2380"/>
      <c r="M3214" s="2380"/>
      <c r="N3214" s="3268"/>
      <c r="O3214" s="485"/>
      <c r="P3214" s="485"/>
      <c r="Q3214" s="1435"/>
      <c r="S3214" s="1435"/>
      <c r="V3214" s="1435"/>
    </row>
    <row r="3215" spans="2:37" ht="12.75" customHeight="1">
      <c r="B3215" s="479"/>
      <c r="C3215" s="977"/>
      <c r="D3215" s="981"/>
      <c r="E3215" s="3272" t="s">
        <v>1610</v>
      </c>
      <c r="F3215" s="2380"/>
      <c r="G3215" s="2380"/>
      <c r="H3215" s="2380"/>
      <c r="I3215" s="2380"/>
      <c r="J3215" s="2380"/>
      <c r="K3215" s="2380"/>
      <c r="L3215" s="2380"/>
      <c r="M3215" s="2380"/>
      <c r="N3215" s="3268"/>
      <c r="O3215" s="485"/>
      <c r="P3215" s="485"/>
      <c r="Q3215" s="1435"/>
      <c r="S3215" s="1435"/>
      <c r="V3215" s="1435"/>
    </row>
    <row r="3216" spans="2:37" ht="12.75" customHeight="1">
      <c r="B3216" s="1124"/>
      <c r="C3216" s="977"/>
      <c r="D3216" s="777" t="s">
        <v>6</v>
      </c>
      <c r="E3216" s="2682" t="s">
        <v>1145</v>
      </c>
      <c r="F3216" s="2391"/>
      <c r="G3216" s="2391"/>
      <c r="H3216" s="2391"/>
      <c r="I3216" s="2391"/>
      <c r="J3216" s="2391"/>
      <c r="K3216" s="2512"/>
      <c r="L3216" s="1478" t="str">
        <f>c_ALR2025!L5722</f>
        <v/>
      </c>
      <c r="M3216" s="813"/>
      <c r="N3216" s="1015"/>
      <c r="O3216" s="485"/>
      <c r="P3216" s="9"/>
      <c r="AF3216" s="1641" t="s">
        <v>717</v>
      </c>
      <c r="AG3216" s="1423" t="b">
        <f>AND(CNTR_ExistSubInstEntries,I2911="")</f>
        <v>0</v>
      </c>
    </row>
    <row r="3217" spans="1:38" ht="5.0999999999999996" customHeight="1">
      <c r="B3217" s="479"/>
      <c r="C3217" s="977"/>
      <c r="D3217" s="777"/>
      <c r="E3217" s="777"/>
      <c r="F3217" s="777"/>
      <c r="G3217" s="777"/>
      <c r="H3217" s="983"/>
      <c r="I3217" s="777"/>
      <c r="J3217" s="777"/>
      <c r="K3217" s="777"/>
      <c r="L3217" s="777"/>
      <c r="M3217" s="777"/>
      <c r="N3217" s="1007"/>
      <c r="O3217" s="485"/>
      <c r="P3217" s="485"/>
      <c r="Q3217" s="1435"/>
      <c r="S3217" s="1435"/>
      <c r="V3217" s="1435"/>
    </row>
    <row r="3218" spans="1:38" ht="12.75" customHeight="1" thickBot="1">
      <c r="B3218" s="479"/>
      <c r="C3218" s="977"/>
      <c r="D3218" s="982"/>
      <c r="E3218" s="2648" t="s">
        <v>1144</v>
      </c>
      <c r="F3218" s="2493"/>
      <c r="G3218" s="778" t="str">
        <f>EUconst_Unit</f>
        <v>Unit</v>
      </c>
      <c r="H3218" s="782">
        <f t="shared" ref="H3218:N3218" si="1516">H$3242</f>
        <v>2024</v>
      </c>
      <c r="I3218" s="988">
        <f t="shared" si="1516"/>
        <v>2025</v>
      </c>
      <c r="J3218" s="1810">
        <f t="shared" si="1516"/>
        <v>2026</v>
      </c>
      <c r="K3218" s="1747">
        <f t="shared" si="1516"/>
        <v>2027</v>
      </c>
      <c r="L3218" s="1747">
        <f t="shared" si="1516"/>
        <v>2028</v>
      </c>
      <c r="M3218" s="1747">
        <f t="shared" si="1516"/>
        <v>2029</v>
      </c>
      <c r="N3218" s="1748">
        <f t="shared" si="1516"/>
        <v>2030</v>
      </c>
      <c r="O3218" s="485"/>
      <c r="P3218" s="485"/>
      <c r="Q3218" s="1435"/>
      <c r="S3218" s="1435"/>
      <c r="V3218" s="1435"/>
      <c r="AC3218" s="1638">
        <f t="shared" ref="AC3218:AI3218" si="1517">H$20</f>
        <v>2024</v>
      </c>
      <c r="AD3218" s="1638">
        <f t="shared" si="1517"/>
        <v>2025</v>
      </c>
      <c r="AE3218" s="1638">
        <f t="shared" si="1517"/>
        <v>2026</v>
      </c>
      <c r="AF3218" s="1638">
        <f t="shared" si="1517"/>
        <v>2027</v>
      </c>
      <c r="AG3218" s="1638">
        <f t="shared" si="1517"/>
        <v>2028</v>
      </c>
      <c r="AH3218" s="1638">
        <f t="shared" si="1517"/>
        <v>2029</v>
      </c>
      <c r="AI3218" s="1638">
        <f t="shared" si="1517"/>
        <v>2030</v>
      </c>
    </row>
    <row r="3219" spans="1:38" ht="12.75" customHeight="1">
      <c r="B3219" s="479"/>
      <c r="C3219" s="977"/>
      <c r="D3219" s="777" t="s">
        <v>7</v>
      </c>
      <c r="E3219" s="3279"/>
      <c r="F3219" s="3280"/>
      <c r="G3219" s="1016" t="str">
        <f>IF(E3219&lt;&gt;"",INDEX(EUconst_BMlistUnits,MATCH(E3219,EUconst_BMlistNames,0)),EUconst_Tons)</f>
        <v>tonnes</v>
      </c>
      <c r="H3219" s="1774" t="str">
        <f>c_ALR2025!M5725</f>
        <v/>
      </c>
      <c r="I3219" s="1886"/>
      <c r="J3219" s="1812"/>
      <c r="K3219" s="1754"/>
      <c r="L3219" s="1754"/>
      <c r="M3219" s="1754"/>
      <c r="N3219" s="1755"/>
      <c r="O3219" s="485"/>
      <c r="P3219" s="9"/>
      <c r="Q3219" s="1644" t="str">
        <f>EUconst_CNTR_IntermediateImport &amp; S3219 &amp; "_" &amp; I2911</f>
        <v>IntImp_1_</v>
      </c>
      <c r="S3219" s="1644">
        <v>1</v>
      </c>
      <c r="V3219" s="1435"/>
      <c r="AB3219" s="1641" t="s">
        <v>717</v>
      </c>
      <c r="AC3219" s="1423" t="b">
        <f>OR(AND($L3216&lt;&gt;"",$L3216=FALSE),AC2981)</f>
        <v>0</v>
      </c>
      <c r="AD3219" s="1443" t="b">
        <f t="shared" ref="AD3219:AI3219" si="1518">OR(AND($L3216&lt;&gt;"",$L3216=FALSE),AD2981)</f>
        <v>0</v>
      </c>
      <c r="AE3219" s="1443" t="b">
        <f t="shared" si="1518"/>
        <v>0</v>
      </c>
      <c r="AF3219" s="1443" t="b">
        <f t="shared" si="1518"/>
        <v>0</v>
      </c>
      <c r="AG3219" s="1443" t="b">
        <f t="shared" si="1518"/>
        <v>0</v>
      </c>
      <c r="AH3219" s="1443" t="b">
        <f t="shared" si="1518"/>
        <v>0</v>
      </c>
      <c r="AI3219" s="1443" t="b">
        <f t="shared" si="1518"/>
        <v>0</v>
      </c>
      <c r="AJ3219" s="1633" t="s">
        <v>1954</v>
      </c>
      <c r="AK3219" s="1635" t="str">
        <f>IF(AND(CNTR_ExistSubInstEntries,MSconst_RequireSubAttrEmissions,COUNTIFS(AC3219:AI3219,FALSE,H3219:N3219,"")&gt;0),EUconst_Error&amp;"BM"&amp;$Q2911,"")</f>
        <v/>
      </c>
    </row>
    <row r="3220" spans="1:38" ht="12.75" customHeight="1">
      <c r="B3220" s="479"/>
      <c r="C3220" s="977"/>
      <c r="D3220" s="777" t="s">
        <v>8</v>
      </c>
      <c r="E3220" s="3281"/>
      <c r="F3220" s="3282"/>
      <c r="G3220" s="1008" t="str">
        <f>IF(E3220&lt;&gt;"",INDEX(EUconst_BMlistUnits,MATCH(E3220,EUconst_BMlistNames,0)),EUconst_Tons)</f>
        <v>tonnes</v>
      </c>
      <c r="H3220" s="1816" t="str">
        <f>c_ALR2025!M5726</f>
        <v/>
      </c>
      <c r="I3220" s="1887"/>
      <c r="J3220" s="1812"/>
      <c r="K3220" s="1754"/>
      <c r="L3220" s="1754"/>
      <c r="M3220" s="1754"/>
      <c r="N3220" s="1755"/>
      <c r="O3220" s="485"/>
      <c r="P3220" s="9"/>
      <c r="Q3220" s="1644" t="str">
        <f>EUconst_CNTR_IntermediateImport &amp; S3220 &amp; "_" &amp; I2911</f>
        <v>IntImp_2_</v>
      </c>
      <c r="S3220" s="1644">
        <v>2</v>
      </c>
      <c r="V3220" s="1435"/>
      <c r="AC3220" s="1443" t="b">
        <f>AC3219</f>
        <v>0</v>
      </c>
      <c r="AD3220" s="1443" t="b">
        <f t="shared" ref="AD3220:AI3220" si="1519">AD3219</f>
        <v>0</v>
      </c>
      <c r="AE3220" s="1443" t="b">
        <f t="shared" si="1519"/>
        <v>0</v>
      </c>
      <c r="AF3220" s="1443" t="b">
        <f t="shared" si="1519"/>
        <v>0</v>
      </c>
      <c r="AG3220" s="1443" t="b">
        <f t="shared" si="1519"/>
        <v>0</v>
      </c>
      <c r="AH3220" s="1443" t="b">
        <f t="shared" si="1519"/>
        <v>0</v>
      </c>
      <c r="AI3220" s="1443" t="b">
        <f t="shared" si="1519"/>
        <v>0</v>
      </c>
    </row>
    <row r="3221" spans="1:38" ht="5.0999999999999996" customHeight="1">
      <c r="B3221" s="479"/>
      <c r="C3221" s="977"/>
      <c r="D3221" s="777"/>
      <c r="E3221" s="777"/>
      <c r="F3221" s="777"/>
      <c r="G3221" s="777"/>
      <c r="H3221" s="777"/>
      <c r="I3221" s="777"/>
      <c r="J3221" s="1817"/>
      <c r="K3221" s="1776"/>
      <c r="L3221" s="1776"/>
      <c r="M3221" s="1776"/>
      <c r="N3221" s="1777"/>
      <c r="O3221" s="485"/>
      <c r="P3221" s="485"/>
      <c r="Q3221" s="1435"/>
      <c r="S3221" s="1435"/>
      <c r="V3221" s="1435"/>
    </row>
    <row r="3222" spans="1:38" ht="12.75" customHeight="1" thickBot="1">
      <c r="B3222" s="479"/>
      <c r="C3222" s="977"/>
      <c r="D3222" s="982"/>
      <c r="E3222" s="2648" t="s">
        <v>1143</v>
      </c>
      <c r="F3222" s="2493"/>
      <c r="G3222" s="778" t="str">
        <f>EUconst_Unit</f>
        <v>Unit</v>
      </c>
      <c r="H3222" s="782">
        <f t="shared" ref="H3222:N3222" si="1520">H$3242</f>
        <v>2024</v>
      </c>
      <c r="I3222" s="988">
        <f t="shared" si="1520"/>
        <v>2025</v>
      </c>
      <c r="J3222" s="1810">
        <f t="shared" si="1520"/>
        <v>2026</v>
      </c>
      <c r="K3222" s="1747">
        <f t="shared" si="1520"/>
        <v>2027</v>
      </c>
      <c r="L3222" s="1747">
        <f t="shared" si="1520"/>
        <v>2028</v>
      </c>
      <c r="M3222" s="1747">
        <f t="shared" si="1520"/>
        <v>2029</v>
      </c>
      <c r="N3222" s="1748">
        <f t="shared" si="1520"/>
        <v>2030</v>
      </c>
      <c r="O3222" s="485"/>
      <c r="P3222" s="485"/>
      <c r="Q3222" s="1435"/>
      <c r="S3222" s="1435"/>
      <c r="V3222" s="1435"/>
      <c r="AC3222" s="1638">
        <f t="shared" ref="AC3222:AI3222" si="1521">H$20</f>
        <v>2024</v>
      </c>
      <c r="AD3222" s="1638">
        <f t="shared" si="1521"/>
        <v>2025</v>
      </c>
      <c r="AE3222" s="1638">
        <f t="shared" si="1521"/>
        <v>2026</v>
      </c>
      <c r="AF3222" s="1638">
        <f t="shared" si="1521"/>
        <v>2027</v>
      </c>
      <c r="AG3222" s="1638">
        <f t="shared" si="1521"/>
        <v>2028</v>
      </c>
      <c r="AH3222" s="1638">
        <f t="shared" si="1521"/>
        <v>2029</v>
      </c>
      <c r="AI3222" s="1638">
        <f t="shared" si="1521"/>
        <v>2030</v>
      </c>
    </row>
    <row r="3223" spans="1:38" ht="12.75" customHeight="1">
      <c r="B3223" s="479"/>
      <c r="C3223" s="977"/>
      <c r="D3223" s="777" t="s">
        <v>18</v>
      </c>
      <c r="E3223" s="3279"/>
      <c r="F3223" s="3280"/>
      <c r="G3223" s="1016" t="str">
        <f>IF(E3223&lt;&gt;"",INDEX(EUconst_BMlistUnits,MATCH(E3223,EUconst_BMlistNames,0)),EUconst_Tons)</f>
        <v>tonnes</v>
      </c>
      <c r="H3223" s="1774" t="str">
        <f>c_ALR2025!M5729</f>
        <v/>
      </c>
      <c r="I3223" s="1886"/>
      <c r="J3223" s="1812"/>
      <c r="K3223" s="1754"/>
      <c r="L3223" s="1754"/>
      <c r="M3223" s="1754"/>
      <c r="N3223" s="1755"/>
      <c r="O3223" s="485"/>
      <c r="P3223" s="9"/>
      <c r="Q3223" s="1644" t="str">
        <f>EUconst_CNTR_IntermediateExport &amp; S3219 &amp; "_" &amp; I2911</f>
        <v>IntExp_1_</v>
      </c>
      <c r="S3223" s="1644">
        <v>1</v>
      </c>
      <c r="V3223" s="1435"/>
      <c r="X3223" s="1778"/>
      <c r="Y3223" s="1778"/>
      <c r="AB3223" s="1641" t="s">
        <v>717</v>
      </c>
      <c r="AC3223" s="1443" t="b">
        <f>AC3219</f>
        <v>0</v>
      </c>
      <c r="AD3223" s="1443" t="b">
        <f t="shared" ref="AD3223:AI3223" si="1522">AD3219</f>
        <v>0</v>
      </c>
      <c r="AE3223" s="1443" t="b">
        <f t="shared" si="1522"/>
        <v>0</v>
      </c>
      <c r="AF3223" s="1443" t="b">
        <f t="shared" si="1522"/>
        <v>0</v>
      </c>
      <c r="AG3223" s="1443" t="b">
        <f t="shared" si="1522"/>
        <v>0</v>
      </c>
      <c r="AH3223" s="1443" t="b">
        <f t="shared" si="1522"/>
        <v>0</v>
      </c>
      <c r="AI3223" s="1443" t="b">
        <f t="shared" si="1522"/>
        <v>0</v>
      </c>
      <c r="AJ3223" s="1633" t="s">
        <v>1954</v>
      </c>
      <c r="AK3223" s="1635" t="str">
        <f>IF(AND(CNTR_ExistSubInstEntries,MSconst_RequireSubAttrEmissions,COUNTIFS(AC3223:AI3223,FALSE,H3223:N3223,"")&gt;0),EUconst_Error&amp;"BM"&amp;$Q2911,"")</f>
        <v/>
      </c>
    </row>
    <row r="3224" spans="1:38" ht="12.75" customHeight="1">
      <c r="B3224" s="479"/>
      <c r="C3224" s="977"/>
      <c r="D3224" s="777" t="s">
        <v>787</v>
      </c>
      <c r="E3224" s="3281"/>
      <c r="F3224" s="3282"/>
      <c r="G3224" s="1008" t="str">
        <f>IF(E3224&lt;&gt;"",INDEX(EUconst_BMlistUnits,MATCH(E3224,EUconst_BMlistNames,0)),EUconst_Tons)</f>
        <v>tonnes</v>
      </c>
      <c r="H3224" s="1816" t="str">
        <f>c_ALR2025!M5730</f>
        <v/>
      </c>
      <c r="I3224" s="1887"/>
      <c r="J3224" s="1812"/>
      <c r="K3224" s="1754"/>
      <c r="L3224" s="1754"/>
      <c r="M3224" s="1754"/>
      <c r="N3224" s="1755"/>
      <c r="O3224" s="485"/>
      <c r="P3224" s="9"/>
      <c r="Q3224" s="1644" t="str">
        <f>EUconst_CNTR_IntermediateExport &amp; S3224 &amp; "_" &amp; I2911</f>
        <v>IntExp_2_</v>
      </c>
      <c r="S3224" s="1644">
        <v>2</v>
      </c>
      <c r="V3224" s="1435"/>
      <c r="X3224" s="1778"/>
      <c r="Y3224" s="1778"/>
      <c r="AC3224" s="1443" t="b">
        <f t="shared" ref="AC3224:AI3224" si="1523">AC3220</f>
        <v>0</v>
      </c>
      <c r="AD3224" s="1443" t="b">
        <f t="shared" si="1523"/>
        <v>0</v>
      </c>
      <c r="AE3224" s="1443" t="b">
        <f t="shared" si="1523"/>
        <v>0</v>
      </c>
      <c r="AF3224" s="1443" t="b">
        <f t="shared" si="1523"/>
        <v>0</v>
      </c>
      <c r="AG3224" s="1443" t="b">
        <f t="shared" si="1523"/>
        <v>0</v>
      </c>
      <c r="AH3224" s="1443" t="b">
        <f t="shared" si="1523"/>
        <v>0</v>
      </c>
      <c r="AI3224" s="1443" t="b">
        <f t="shared" si="1523"/>
        <v>0</v>
      </c>
    </row>
    <row r="3225" spans="1:38" ht="5.0999999999999996" customHeight="1">
      <c r="B3225" s="479"/>
      <c r="C3225" s="977"/>
      <c r="D3225" s="777"/>
      <c r="E3225" s="777"/>
      <c r="F3225" s="777"/>
      <c r="G3225" s="777"/>
      <c r="H3225" s="777"/>
      <c r="I3225" s="777"/>
      <c r="J3225" s="777"/>
      <c r="K3225" s="777"/>
      <c r="L3225" s="777"/>
      <c r="M3225" s="777"/>
      <c r="N3225" s="1007"/>
      <c r="O3225" s="485"/>
      <c r="P3225" s="485"/>
      <c r="Q3225" s="1435"/>
      <c r="S3225" s="1435"/>
      <c r="V3225" s="1435"/>
      <c r="X3225" s="1778"/>
      <c r="Y3225" s="1778"/>
    </row>
    <row r="3226" spans="1:38" ht="12.75" customHeight="1">
      <c r="B3226" s="479"/>
      <c r="C3226" s="977"/>
      <c r="D3226" s="777" t="s">
        <v>788</v>
      </c>
      <c r="E3226" s="813" t="s">
        <v>1146</v>
      </c>
      <c r="F3226" s="813"/>
      <c r="G3226" s="813"/>
      <c r="H3226" s="813"/>
      <c r="I3226" s="813"/>
      <c r="J3226" s="813"/>
      <c r="K3226" s="813"/>
      <c r="L3226" s="813"/>
      <c r="M3226" s="813"/>
      <c r="N3226" s="1007"/>
      <c r="O3226" s="485"/>
      <c r="P3226" s="485"/>
      <c r="Q3226" s="1435"/>
      <c r="S3226" s="1435"/>
      <c r="V3226" s="1435"/>
      <c r="X3226" s="1778"/>
      <c r="Y3226" s="1778"/>
    </row>
    <row r="3227" spans="1:38" ht="12.75" customHeight="1">
      <c r="B3227" s="479"/>
      <c r="C3227" s="977"/>
      <c r="D3227" s="777"/>
      <c r="E3227" s="1779" t="s">
        <v>1459</v>
      </c>
      <c r="F3227" s="978"/>
      <c r="G3227" s="978"/>
      <c r="H3227" s="978"/>
      <c r="I3227" s="978"/>
      <c r="J3227" s="978"/>
      <c r="K3227" s="978"/>
      <c r="L3227" s="978"/>
      <c r="M3227" s="978"/>
      <c r="N3227" s="979"/>
      <c r="O3227" s="485"/>
      <c r="P3227" s="485"/>
      <c r="Q3227" s="1435"/>
      <c r="S3227" s="1435"/>
      <c r="V3227" s="1435"/>
      <c r="X3227" s="1778"/>
      <c r="Y3227" s="1778"/>
    </row>
    <row r="3228" spans="1:38" ht="12.75" customHeight="1">
      <c r="B3228" s="479"/>
      <c r="C3228" s="977"/>
      <c r="D3228" s="777"/>
      <c r="E3228" s="3273"/>
      <c r="F3228" s="3274"/>
      <c r="G3228" s="3274"/>
      <c r="H3228" s="3274"/>
      <c r="I3228" s="3274"/>
      <c r="J3228" s="3274"/>
      <c r="K3228" s="3274"/>
      <c r="L3228" s="3274"/>
      <c r="M3228" s="3275"/>
      <c r="N3228" s="1007"/>
      <c r="O3228" s="485"/>
      <c r="P3228" s="9"/>
      <c r="Q3228" s="1435"/>
      <c r="S3228" s="1435"/>
      <c r="V3228" s="1435"/>
      <c r="X3228" s="1778"/>
      <c r="Y3228" s="1778"/>
      <c r="AB3228" s="1641" t="s">
        <v>717</v>
      </c>
      <c r="AC3228" s="1443" t="b">
        <f>AND(AC3223:AI3223)</f>
        <v>0</v>
      </c>
    </row>
    <row r="3229" spans="1:38" ht="12.75" customHeight="1">
      <c r="B3229" s="479"/>
      <c r="C3229" s="977"/>
      <c r="D3229" s="777"/>
      <c r="E3229" s="3276"/>
      <c r="F3229" s="3277"/>
      <c r="G3229" s="3277"/>
      <c r="H3229" s="3277"/>
      <c r="I3229" s="3277"/>
      <c r="J3229" s="3277"/>
      <c r="K3229" s="3277"/>
      <c r="L3229" s="3277"/>
      <c r="M3229" s="3278"/>
      <c r="N3229" s="1007"/>
      <c r="O3229" s="485"/>
      <c r="P3229" s="485"/>
      <c r="Q3229" s="1435"/>
      <c r="S3229" s="1435"/>
      <c r="V3229" s="1435"/>
      <c r="X3229" s="1778"/>
      <c r="Y3229" s="1778"/>
      <c r="AC3229" s="1443" t="b">
        <f>AC3228</f>
        <v>0</v>
      </c>
    </row>
    <row r="3230" spans="1:38" ht="12.75" customHeight="1" thickBot="1">
      <c r="B3230" s="479"/>
      <c r="C3230" s="1018"/>
      <c r="D3230" s="1019"/>
      <c r="E3230" s="1019"/>
      <c r="F3230" s="1019"/>
      <c r="G3230" s="1019"/>
      <c r="H3230" s="1019"/>
      <c r="I3230" s="1019"/>
      <c r="J3230" s="1019"/>
      <c r="K3230" s="1019"/>
      <c r="L3230" s="1019"/>
      <c r="M3230" s="805"/>
      <c r="N3230" s="806"/>
      <c r="O3230" s="485"/>
      <c r="P3230" s="485"/>
      <c r="Q3230" s="1435"/>
      <c r="S3230" s="1435"/>
      <c r="V3230" s="1435"/>
    </row>
    <row r="3231" spans="1:38" ht="12.75" customHeight="1" thickBot="1">
      <c r="A3231" s="618"/>
      <c r="B3231" s="467"/>
      <c r="C3231" s="467"/>
      <c r="D3231" s="467"/>
      <c r="E3231" s="467"/>
      <c r="F3231" s="467"/>
      <c r="G3231" s="467"/>
      <c r="H3231" s="467"/>
      <c r="I3231" s="467"/>
      <c r="J3231" s="467"/>
      <c r="K3231" s="467"/>
      <c r="L3231" s="467"/>
      <c r="M3231" s="481"/>
      <c r="N3231" s="481"/>
      <c r="O3231" s="481"/>
      <c r="P3231" s="481"/>
      <c r="Q3231" s="1488" t="str">
        <f>IF(OR(AND(CNTR_ExistProductSubEntries=FALSE,Q2911=1),AND(I2911&lt;&gt;"",COUNTIF(Q3232:$Q3271,"PRINT")=0)),"PRINT","")</f>
        <v/>
      </c>
      <c r="R3231" s="1249"/>
      <c r="S3231" s="1249"/>
      <c r="T3231" s="1249"/>
      <c r="U3231" s="1249"/>
      <c r="V3231" s="1249"/>
      <c r="W3231" s="1249"/>
      <c r="X3231" s="1249"/>
      <c r="Y3231" s="1249"/>
      <c r="AE3231" s="1118"/>
      <c r="AF3231" s="1118"/>
      <c r="AG3231" s="1118"/>
      <c r="AH3231" s="1118"/>
      <c r="AI3231" s="1118"/>
      <c r="AJ3231" s="1118"/>
      <c r="AK3231" s="1118"/>
      <c r="AL3231" s="1118"/>
    </row>
    <row r="3232" spans="1:38" ht="5.0999999999999996" customHeight="1">
      <c r="B3232" s="1124"/>
      <c r="C3232" s="1020"/>
      <c r="D3232" s="1020"/>
      <c r="E3232" s="1020"/>
      <c r="F3232" s="1020"/>
      <c r="G3232" s="1020"/>
      <c r="H3232" s="1020"/>
      <c r="I3232" s="1020"/>
      <c r="J3232" s="1020"/>
      <c r="K3232" s="1020"/>
      <c r="L3232" s="1020"/>
      <c r="M3232" s="1020"/>
      <c r="N3232" s="1020"/>
      <c r="O3232" s="485"/>
      <c r="P3232" s="485"/>
      <c r="Q3232" s="1780"/>
      <c r="R3232" s="1780"/>
      <c r="S3232" s="1780"/>
      <c r="T3232" s="1780"/>
      <c r="U3232" s="1780"/>
      <c r="V3232" s="1780"/>
      <c r="W3232" s="1780"/>
      <c r="X3232" s="1780"/>
      <c r="Y3232" s="1780"/>
      <c r="Z3232" s="1780"/>
      <c r="AA3232" s="1780"/>
      <c r="AB3232" s="1780"/>
      <c r="AC3232" s="1780"/>
      <c r="AD3232" s="1780"/>
      <c r="AE3232" s="1780"/>
      <c r="AF3232" s="1780"/>
      <c r="AG3232" s="1780"/>
      <c r="AH3232" s="1780"/>
      <c r="AI3232" s="1780"/>
      <c r="AJ3232" s="1780"/>
      <c r="AK3232" s="1780"/>
      <c r="AL3232" s="1780"/>
    </row>
    <row r="3233" spans="1:42" s="1838" customFormat="1" ht="12.75" customHeight="1">
      <c r="A3233" s="1116"/>
      <c r="B3233" s="1837"/>
      <c r="C3233" s="1837"/>
      <c r="D3233" s="1837"/>
      <c r="E3233" s="1837"/>
      <c r="F3233" s="1837"/>
      <c r="G3233" s="1837"/>
      <c r="H3233" s="1837"/>
      <c r="I3233" s="1837"/>
      <c r="J3233" s="1837"/>
      <c r="K3233" s="1837"/>
      <c r="L3233" s="471"/>
      <c r="Q3233" s="1198"/>
      <c r="R3233" s="1198"/>
      <c r="S3233" s="1435"/>
      <c r="T3233" s="1435"/>
      <c r="U3233" s="1198"/>
      <c r="V3233" s="1198"/>
      <c r="W3233" s="1198"/>
      <c r="X3233" s="1198"/>
      <c r="Y3233" s="1198"/>
      <c r="Z3233" s="1198"/>
      <c r="AA3233" s="1198"/>
      <c r="AB3233" s="1198"/>
      <c r="AC3233" s="1198"/>
      <c r="AD3233" s="1198"/>
      <c r="AE3233" s="1198"/>
      <c r="AF3233" s="1198"/>
      <c r="AG3233" s="1198"/>
      <c r="AH3233" s="1198"/>
      <c r="AI3233" s="1198"/>
      <c r="AJ3233" s="1198"/>
      <c r="AK3233" s="1198"/>
      <c r="AL3233" s="1198"/>
      <c r="AP3233" s="1839"/>
    </row>
    <row r="3234" spans="1:42">
      <c r="B3234" s="1124"/>
      <c r="C3234" s="1124"/>
      <c r="D3234" s="3184" t="s">
        <v>1014</v>
      </c>
      <c r="E3234" s="3184"/>
      <c r="F3234" s="3184"/>
      <c r="G3234" s="3184"/>
      <c r="H3234" s="3184"/>
      <c r="I3234" s="3184"/>
      <c r="J3234" s="3184"/>
      <c r="K3234" s="3184"/>
      <c r="L3234" s="3184"/>
      <c r="M3234" s="3184"/>
      <c r="N3234" s="3184"/>
      <c r="O3234" s="485"/>
      <c r="P3234" s="485"/>
      <c r="S3234" s="1435"/>
      <c r="T3234" s="1435"/>
    </row>
    <row r="3235" spans="1:42">
      <c r="B3235" s="1124"/>
      <c r="C3235" s="1124"/>
      <c r="D3235" s="1124"/>
      <c r="E3235" s="1124"/>
      <c r="F3235" s="1124"/>
      <c r="G3235" s="1124"/>
      <c r="H3235" s="1124"/>
      <c r="I3235" s="1124"/>
      <c r="J3235" s="1124"/>
      <c r="K3235" s="1124"/>
      <c r="L3235" s="1124"/>
      <c r="M3235" s="1124"/>
      <c r="N3235" s="1124"/>
      <c r="O3235" s="485"/>
      <c r="P3235" s="485"/>
      <c r="S3235" s="1435"/>
      <c r="T3235" s="1435"/>
    </row>
    <row r="3236" spans="1:42" hidden="1">
      <c r="B3236" s="1198" t="s">
        <v>873</v>
      </c>
      <c r="C3236" s="1198" t="s">
        <v>873</v>
      </c>
      <c r="D3236" s="1198" t="s">
        <v>873</v>
      </c>
      <c r="E3236" s="1198" t="s">
        <v>873</v>
      </c>
      <c r="F3236" s="1198" t="s">
        <v>873</v>
      </c>
      <c r="G3236" s="1198"/>
      <c r="H3236" s="1198" t="s">
        <v>873</v>
      </c>
      <c r="I3236" s="1198" t="s">
        <v>873</v>
      </c>
      <c r="J3236" s="1198" t="s">
        <v>873</v>
      </c>
      <c r="K3236" s="1198" t="s">
        <v>873</v>
      </c>
      <c r="L3236" s="1198" t="s">
        <v>873</v>
      </c>
      <c r="M3236" s="1198" t="s">
        <v>873</v>
      </c>
      <c r="N3236" s="1198" t="s">
        <v>873</v>
      </c>
      <c r="O3236" s="1198" t="s">
        <v>873</v>
      </c>
      <c r="P3236" s="1198" t="s">
        <v>873</v>
      </c>
      <c r="Q3236" s="1198" t="s">
        <v>873</v>
      </c>
      <c r="R3236" s="1198" t="s">
        <v>873</v>
      </c>
      <c r="S3236" s="1198" t="s">
        <v>873</v>
      </c>
      <c r="T3236" s="1198" t="s">
        <v>873</v>
      </c>
      <c r="U3236" s="1198" t="s">
        <v>873</v>
      </c>
      <c r="V3236" s="1198" t="s">
        <v>873</v>
      </c>
      <c r="W3236" s="1198" t="s">
        <v>873</v>
      </c>
      <c r="X3236" s="1198" t="s">
        <v>873</v>
      </c>
      <c r="Y3236" s="1198" t="s">
        <v>873</v>
      </c>
      <c r="Z3236" s="1198" t="s">
        <v>873</v>
      </c>
      <c r="AA3236" s="1198" t="s">
        <v>873</v>
      </c>
      <c r="AB3236" s="1198" t="s">
        <v>873</v>
      </c>
      <c r="AC3236" s="1198" t="s">
        <v>873</v>
      </c>
      <c r="AD3236" s="1198" t="s">
        <v>873</v>
      </c>
      <c r="AE3236" s="1198" t="s">
        <v>873</v>
      </c>
      <c r="AF3236" s="1198" t="s">
        <v>873</v>
      </c>
      <c r="AG3236" s="1198" t="s">
        <v>873</v>
      </c>
      <c r="AH3236" s="1198" t="s">
        <v>873</v>
      </c>
      <c r="AI3236" s="1198" t="s">
        <v>873</v>
      </c>
      <c r="AJ3236" s="1198" t="s">
        <v>873</v>
      </c>
      <c r="AK3236" s="1198" t="s">
        <v>873</v>
      </c>
      <c r="AL3236" s="1198" t="s">
        <v>873</v>
      </c>
    </row>
    <row r="3237" spans="1:42" hidden="1">
      <c r="S3237" s="1435"/>
      <c r="T3237" s="1435"/>
    </row>
    <row r="3238" spans="1:42" ht="13.5" hidden="1" thickBot="1">
      <c r="B3238" s="1198"/>
      <c r="C3238" s="1198"/>
      <c r="D3238" s="1503" t="s">
        <v>874</v>
      </c>
      <c r="E3238" s="1198"/>
      <c r="F3238" s="1198"/>
      <c r="G3238" s="1198"/>
      <c r="H3238" s="1198"/>
      <c r="I3238" s="1198"/>
      <c r="J3238" s="1198"/>
      <c r="K3238" s="1198"/>
      <c r="L3238" s="1198"/>
      <c r="M3238" s="1198"/>
      <c r="N3238" s="1198"/>
      <c r="O3238" s="1198"/>
      <c r="P3238" s="1198"/>
      <c r="S3238" s="1435"/>
      <c r="T3238" s="1435"/>
    </row>
    <row r="3239" spans="1:42" hidden="1">
      <c r="E3239" s="1199" t="s">
        <v>545</v>
      </c>
      <c r="F3239" s="1200"/>
      <c r="G3239" s="1200"/>
      <c r="H3239" s="1200"/>
      <c r="I3239" s="1200"/>
      <c r="J3239" s="1200"/>
      <c r="K3239" s="1200"/>
      <c r="L3239" s="1200"/>
      <c r="M3239" s="1200"/>
      <c r="N3239" s="1201"/>
      <c r="S3239" s="1435"/>
      <c r="T3239" s="1435"/>
    </row>
    <row r="3240" spans="1:42" hidden="1">
      <c r="E3240" s="1202" t="s">
        <v>877</v>
      </c>
      <c r="F3240" s="1203"/>
      <c r="G3240" s="1203"/>
      <c r="H3240" s="1203"/>
      <c r="I3240" s="1204"/>
      <c r="J3240" s="1204">
        <f>A_InstallationData!J413</f>
        <v>1</v>
      </c>
      <c r="K3240" s="1204">
        <f>A_InstallationData!K413</f>
        <v>2</v>
      </c>
      <c r="L3240" s="1204">
        <f>A_InstallationData!L413</f>
        <v>3</v>
      </c>
      <c r="M3240" s="1204">
        <f>A_InstallationData!M413</f>
        <v>4</v>
      </c>
      <c r="N3240" s="1204">
        <f>A_InstallationData!N413</f>
        <v>5</v>
      </c>
      <c r="S3240" s="1435"/>
      <c r="T3240" s="1435"/>
    </row>
    <row r="3241" spans="1:42" hidden="1">
      <c r="E3241" s="1206" t="s">
        <v>1132</v>
      </c>
      <c r="F3241" s="1203"/>
      <c r="G3241" s="1203"/>
      <c r="H3241" s="1204">
        <f>A_InstallationData!H414</f>
        <v>2019</v>
      </c>
      <c r="I3241" s="1204">
        <f>A_InstallationData!I414</f>
        <v>2020</v>
      </c>
      <c r="J3241" s="1204">
        <f>A_InstallationData!J414</f>
        <v>2021</v>
      </c>
      <c r="K3241" s="1204">
        <f>A_InstallationData!K414</f>
        <v>2022</v>
      </c>
      <c r="L3241" s="1204">
        <f>A_InstallationData!L414</f>
        <v>2023</v>
      </c>
      <c r="M3241" s="1204">
        <f>A_InstallationData!M414</f>
        <v>2024</v>
      </c>
      <c r="N3241" s="1204">
        <f>A_InstallationData!N414</f>
        <v>2025</v>
      </c>
      <c r="S3241" s="1435"/>
      <c r="T3241" s="1435"/>
    </row>
    <row r="3242" spans="1:42" hidden="1">
      <c r="E3242" s="1206" t="s">
        <v>1131</v>
      </c>
      <c r="F3242" s="1207"/>
      <c r="G3242" s="1207"/>
      <c r="H3242" s="1204">
        <f>A_InstallationData!H415</f>
        <v>2024</v>
      </c>
      <c r="I3242" s="1204">
        <f>A_InstallationData!I415</f>
        <v>2025</v>
      </c>
      <c r="J3242" s="1208">
        <f>A_InstallationData!J415</f>
        <v>2026</v>
      </c>
      <c r="K3242" s="1208">
        <f>A_InstallationData!K415</f>
        <v>2027</v>
      </c>
      <c r="L3242" s="1208">
        <f>A_InstallationData!L415</f>
        <v>2028</v>
      </c>
      <c r="M3242" s="1208">
        <f>A_InstallationData!M415</f>
        <v>2029</v>
      </c>
      <c r="N3242" s="1208">
        <f>A_InstallationData!N415</f>
        <v>2030</v>
      </c>
      <c r="O3242" s="1124"/>
      <c r="P3242" s="1124"/>
      <c r="S3242" s="1435"/>
      <c r="T3242" s="1435"/>
    </row>
    <row r="3243" spans="1:42" hidden="1">
      <c r="E3243" s="1206" t="s">
        <v>544</v>
      </c>
      <c r="F3243" s="1207"/>
      <c r="G3243" s="1207"/>
      <c r="H3243" s="1207"/>
      <c r="I3243" s="1208"/>
      <c r="J3243" s="1208">
        <f>A_InstallationData!J416</f>
        <v>1</v>
      </c>
      <c r="K3243" s="1208">
        <f>A_InstallationData!K416</f>
        <v>1</v>
      </c>
      <c r="L3243" s="1208">
        <f>A_InstallationData!L416</f>
        <v>1</v>
      </c>
      <c r="M3243" s="1208">
        <f>A_InstallationData!M416</f>
        <v>1</v>
      </c>
      <c r="N3243" s="1208">
        <f>A_InstallationData!N416</f>
        <v>1</v>
      </c>
      <c r="S3243" s="1435"/>
      <c r="T3243" s="1435"/>
    </row>
    <row r="3244" spans="1:42" hidden="1">
      <c r="E3244" s="1206" t="s">
        <v>2541</v>
      </c>
      <c r="F3244" s="1207"/>
      <c r="G3244" s="1207"/>
      <c r="H3244" s="1207" t="b">
        <f>A_InstallationData!H417</f>
        <v>1</v>
      </c>
      <c r="I3244" s="1207" t="b">
        <f>A_InstallationData!I417</f>
        <v>1</v>
      </c>
      <c r="J3244" s="1207" t="b">
        <f>A_InstallationData!J417</f>
        <v>1</v>
      </c>
      <c r="K3244" s="1207" t="b">
        <f>A_InstallationData!K417</f>
        <v>1</v>
      </c>
      <c r="L3244" s="1207" t="b">
        <f>A_InstallationData!L417</f>
        <v>1</v>
      </c>
      <c r="M3244" s="1207" t="b">
        <f>A_InstallationData!M417</f>
        <v>1</v>
      </c>
      <c r="N3244" s="1207" t="b">
        <f>A_InstallationData!N417</f>
        <v>1</v>
      </c>
      <c r="S3244" s="1435"/>
      <c r="T3244" s="1435"/>
    </row>
    <row r="3245" spans="1:42" ht="13.5" hidden="1" thickBot="1">
      <c r="E3245" s="1212" t="s">
        <v>543</v>
      </c>
      <c r="F3245" s="1213"/>
      <c r="G3245" s="1213"/>
      <c r="H3245" s="1213" t="b">
        <f>A_InstallationData!H418</f>
        <v>1</v>
      </c>
      <c r="I3245" s="1213" t="b">
        <f>A_InstallationData!I418</f>
        <v>1</v>
      </c>
      <c r="J3245" s="1213" t="b">
        <f>A_InstallationData!J418</f>
        <v>1</v>
      </c>
      <c r="K3245" s="1213" t="b">
        <f>A_InstallationData!K418</f>
        <v>1</v>
      </c>
      <c r="L3245" s="1213" t="b">
        <f>A_InstallationData!L418</f>
        <v>1</v>
      </c>
      <c r="M3245" s="1213" t="b">
        <f>A_InstallationData!M418</f>
        <v>1</v>
      </c>
      <c r="N3245" s="1213" t="b">
        <f>A_InstallationData!N418</f>
        <v>1</v>
      </c>
      <c r="S3245" s="1435"/>
      <c r="T3245" s="1435"/>
    </row>
    <row r="3246" spans="1:42" hidden="1">
      <c r="S3246" s="1435"/>
      <c r="T3246" s="1435"/>
    </row>
    <row r="3247" spans="1:42" hidden="1">
      <c r="E3247" s="483" t="s">
        <v>750</v>
      </c>
      <c r="S3247" s="1435"/>
      <c r="T3247" s="1435"/>
    </row>
    <row r="3248" spans="1:42" ht="13.5" hidden="1" thickBot="1">
      <c r="E3248" s="1203"/>
      <c r="F3248" s="1203"/>
      <c r="G3248" s="1203"/>
      <c r="H3248" s="1203">
        <f t="shared" ref="H3248:N3248" si="1524">H$3242</f>
        <v>2024</v>
      </c>
      <c r="I3248" s="1203">
        <f t="shared" si="1524"/>
        <v>2025</v>
      </c>
      <c r="J3248" s="1203">
        <f t="shared" si="1524"/>
        <v>2026</v>
      </c>
      <c r="K3248" s="1203">
        <f t="shared" si="1524"/>
        <v>2027</v>
      </c>
      <c r="L3248" s="1203">
        <f t="shared" si="1524"/>
        <v>2028</v>
      </c>
      <c r="M3248" s="1203">
        <f t="shared" si="1524"/>
        <v>2029</v>
      </c>
      <c r="N3248" s="1203">
        <f t="shared" si="1524"/>
        <v>2030</v>
      </c>
      <c r="Q3248" s="1198" t="s">
        <v>752</v>
      </c>
      <c r="S3248" s="1435"/>
      <c r="T3248" s="1435"/>
    </row>
    <row r="3249" spans="5:20" ht="13.5" hidden="1" thickBot="1">
      <c r="E3249" s="1595" t="s">
        <v>751</v>
      </c>
      <c r="F3249" s="1595"/>
      <c r="G3249" s="1595"/>
      <c r="H3249" s="1595">
        <f t="shared" ref="H3249:N3249" si="1525">COUNTIFS($Q$6:$Q$3236,$Q3249,$H$6:$H$3236,"&gt;="&amp;0)</f>
        <v>0</v>
      </c>
      <c r="I3249" s="1595">
        <f t="shared" si="1525"/>
        <v>0</v>
      </c>
      <c r="J3249" s="1595">
        <f t="shared" si="1525"/>
        <v>0</v>
      </c>
      <c r="K3249" s="1595">
        <f t="shared" si="1525"/>
        <v>0</v>
      </c>
      <c r="L3249" s="1595">
        <f t="shared" si="1525"/>
        <v>0</v>
      </c>
      <c r="M3249" s="1595">
        <f t="shared" si="1525"/>
        <v>0</v>
      </c>
      <c r="N3249" s="1595">
        <f t="shared" si="1525"/>
        <v>0</v>
      </c>
      <c r="Q3249" s="1840" t="str">
        <f>EUconst_CNTR_HAL&amp;EUconst_CNTR_nonETSMeasHeat</f>
        <v>HAL_non-ETS measurable heat</v>
      </c>
      <c r="S3249" s="1435"/>
      <c r="T3249" s="1435"/>
    </row>
    <row r="3250" spans="5:20" ht="13.5" hidden="1" thickBot="1">
      <c r="E3250" s="1841" t="s">
        <v>754</v>
      </c>
      <c r="F3250" s="1842"/>
      <c r="G3250" s="1843" t="str">
        <f>EUconst_TJpa</f>
        <v>TJ / year</v>
      </c>
      <c r="H3250" s="1844" t="str">
        <f t="shared" ref="H3250:N3250" si="1526">IF(H3249&gt;0,SUMIF($Q$11:$Q$3236,$Q3249,H$11:H$3236),"")</f>
        <v/>
      </c>
      <c r="I3250" s="1844" t="str">
        <f t="shared" si="1526"/>
        <v/>
      </c>
      <c r="J3250" s="1844" t="str">
        <f t="shared" si="1526"/>
        <v/>
      </c>
      <c r="K3250" s="1844" t="str">
        <f t="shared" si="1526"/>
        <v/>
      </c>
      <c r="L3250" s="1844" t="str">
        <f t="shared" si="1526"/>
        <v/>
      </c>
      <c r="M3250" s="1844" t="str">
        <f t="shared" si="1526"/>
        <v/>
      </c>
      <c r="N3250" s="1845" t="str">
        <f t="shared" si="1526"/>
        <v/>
      </c>
      <c r="Q3250" s="1198" t="s">
        <v>755</v>
      </c>
      <c r="S3250" s="1435"/>
      <c r="T3250" s="1435"/>
    </row>
    <row r="3251" spans="5:20" hidden="1">
      <c r="S3251" s="1435"/>
      <c r="T3251" s="1435"/>
    </row>
    <row r="3252" spans="5:20" hidden="1">
      <c r="E3252" s="483" t="s">
        <v>2563</v>
      </c>
      <c r="S3252" s="1435"/>
      <c r="T3252" s="1435"/>
    </row>
    <row r="3253" spans="5:20" ht="13.5" hidden="1" thickBot="1">
      <c r="E3253" s="1203"/>
      <c r="F3253" s="1203"/>
      <c r="G3253" s="1203"/>
      <c r="H3253" s="1203">
        <f t="shared" ref="H3253:N3253" si="1527">H$3242</f>
        <v>2024</v>
      </c>
      <c r="I3253" s="1203">
        <f t="shared" si="1527"/>
        <v>2025</v>
      </c>
      <c r="J3253" s="1203">
        <f t="shared" si="1527"/>
        <v>2026</v>
      </c>
      <c r="K3253" s="1203">
        <f t="shared" si="1527"/>
        <v>2027</v>
      </c>
      <c r="L3253" s="1203">
        <f t="shared" si="1527"/>
        <v>2028</v>
      </c>
      <c r="M3253" s="1203">
        <f t="shared" si="1527"/>
        <v>2029</v>
      </c>
      <c r="N3253" s="1203">
        <f t="shared" si="1527"/>
        <v>2030</v>
      </c>
      <c r="Q3253" s="1198" t="s">
        <v>752</v>
      </c>
      <c r="S3253" s="1435"/>
      <c r="T3253" s="1435"/>
    </row>
    <row r="3254" spans="5:20" ht="13.5" hidden="1" thickBot="1">
      <c r="E3254" s="1595" t="s">
        <v>751</v>
      </c>
      <c r="F3254" s="1595"/>
      <c r="G3254" s="1595"/>
      <c r="H3254" s="1595">
        <f t="shared" ref="H3254:N3254" si="1528">COUNTIFS($Q$6:$Q$3236,$Q3254,$H$6:$H$3236,"&gt;="&amp;0)</f>
        <v>0</v>
      </c>
      <c r="I3254" s="1595">
        <f t="shared" si="1528"/>
        <v>0</v>
      </c>
      <c r="J3254" s="1595">
        <f t="shared" si="1528"/>
        <v>0</v>
      </c>
      <c r="K3254" s="1595">
        <f t="shared" si="1528"/>
        <v>0</v>
      </c>
      <c r="L3254" s="1595">
        <f t="shared" si="1528"/>
        <v>0</v>
      </c>
      <c r="M3254" s="1595">
        <f t="shared" si="1528"/>
        <v>0</v>
      </c>
      <c r="N3254" s="1595">
        <f t="shared" si="1528"/>
        <v>0</v>
      </c>
      <c r="Q3254" s="1840" t="str">
        <f>EUconst_CNTR_HAL&amp;EUconst_CNTR_ELEXCH</f>
        <v>HAL_ELEXCH_</v>
      </c>
      <c r="S3254" s="1435"/>
      <c r="T3254" s="1435"/>
    </row>
    <row r="3255" spans="5:20" ht="13.5" hidden="1" thickBot="1">
      <c r="E3255" s="1841" t="s">
        <v>754</v>
      </c>
      <c r="F3255" s="1842"/>
      <c r="G3255" s="1843" t="str">
        <f>EUconst_TJpa</f>
        <v>TJ / year</v>
      </c>
      <c r="H3255" s="1844" t="str">
        <f t="shared" ref="H3255:N3255" si="1529">IF(H3254&gt;0,SUMIF($Q$11:$Q$3236,$Q3254,H$11:H$3236),"")</f>
        <v/>
      </c>
      <c r="I3255" s="1844" t="str">
        <f t="shared" si="1529"/>
        <v/>
      </c>
      <c r="J3255" s="1844" t="str">
        <f t="shared" si="1529"/>
        <v/>
      </c>
      <c r="K3255" s="1844" t="str">
        <f t="shared" si="1529"/>
        <v/>
      </c>
      <c r="L3255" s="1844" t="str">
        <f t="shared" si="1529"/>
        <v/>
      </c>
      <c r="M3255" s="1844" t="str">
        <f t="shared" si="1529"/>
        <v/>
      </c>
      <c r="N3255" s="1845" t="str">
        <f t="shared" si="1529"/>
        <v/>
      </c>
      <c r="Q3255" s="1198" t="s">
        <v>563</v>
      </c>
      <c r="S3255" s="1435"/>
      <c r="T3255" s="1435"/>
    </row>
    <row r="3256" spans="5:20" hidden="1">
      <c r="S3256" s="1435"/>
      <c r="T3256" s="1435"/>
    </row>
    <row r="3257" spans="5:20" hidden="1">
      <c r="E3257" s="1116" t="s">
        <v>795</v>
      </c>
      <c r="S3257" s="1435"/>
      <c r="T3257" s="1435"/>
    </row>
    <row r="3258" spans="5:20" hidden="1">
      <c r="F3258" s="1116" t="s">
        <v>1042</v>
      </c>
      <c r="G3258" s="1245" t="b">
        <f t="shared" ref="G3258:G3267" si="1530">(COUNTIF($AK$11:$AK$3236,EUconst_Error&amp;F3258)&gt;0)</f>
        <v>0</v>
      </c>
      <c r="S3258" s="1435"/>
      <c r="T3258" s="1435"/>
    </row>
    <row r="3259" spans="5:20" hidden="1">
      <c r="F3259" s="1116" t="s">
        <v>1043</v>
      </c>
      <c r="G3259" s="1245" t="b">
        <f t="shared" si="1530"/>
        <v>0</v>
      </c>
      <c r="S3259" s="1435"/>
      <c r="T3259" s="1435"/>
    </row>
    <row r="3260" spans="5:20" hidden="1">
      <c r="F3260" s="1116" t="s">
        <v>1044</v>
      </c>
      <c r="G3260" s="1245" t="b">
        <f t="shared" si="1530"/>
        <v>0</v>
      </c>
      <c r="S3260" s="1435"/>
      <c r="T3260" s="1435"/>
    </row>
    <row r="3261" spans="5:20" hidden="1">
      <c r="F3261" s="1116" t="s">
        <v>1045</v>
      </c>
      <c r="G3261" s="1245" t="b">
        <f t="shared" si="1530"/>
        <v>0</v>
      </c>
      <c r="S3261" s="1435"/>
      <c r="T3261" s="1435"/>
    </row>
    <row r="3262" spans="5:20" hidden="1">
      <c r="F3262" s="1116" t="s">
        <v>1046</v>
      </c>
      <c r="G3262" s="1245" t="b">
        <f t="shared" si="1530"/>
        <v>0</v>
      </c>
      <c r="S3262" s="1435"/>
      <c r="T3262" s="1435"/>
    </row>
    <row r="3263" spans="5:20" hidden="1">
      <c r="F3263" s="1116" t="s">
        <v>1047</v>
      </c>
      <c r="G3263" s="1245" t="b">
        <f t="shared" si="1530"/>
        <v>0</v>
      </c>
      <c r="S3263" s="1435"/>
      <c r="T3263" s="1435"/>
    </row>
    <row r="3264" spans="5:20" hidden="1">
      <c r="F3264" s="1116" t="s">
        <v>1048</v>
      </c>
      <c r="G3264" s="1245" t="b">
        <f t="shared" si="1530"/>
        <v>0</v>
      </c>
      <c r="S3264" s="1435"/>
      <c r="T3264" s="1435"/>
    </row>
    <row r="3265" spans="3:20" hidden="1">
      <c r="F3265" s="1116" t="s">
        <v>1049</v>
      </c>
      <c r="G3265" s="1245" t="b">
        <f t="shared" si="1530"/>
        <v>0</v>
      </c>
      <c r="S3265" s="1435"/>
      <c r="T3265" s="1435"/>
    </row>
    <row r="3266" spans="3:20" hidden="1">
      <c r="F3266" s="1116" t="s">
        <v>1050</v>
      </c>
      <c r="G3266" s="1245" t="b">
        <f t="shared" si="1530"/>
        <v>0</v>
      </c>
      <c r="S3266" s="1435"/>
      <c r="T3266" s="1435"/>
    </row>
    <row r="3267" spans="3:20" ht="13.5" hidden="1" thickBot="1">
      <c r="F3267" s="1116" t="s">
        <v>1051</v>
      </c>
      <c r="G3267" s="1245" t="b">
        <f t="shared" si="1530"/>
        <v>0</v>
      </c>
      <c r="S3267" s="1435"/>
      <c r="T3267" s="1435"/>
    </row>
    <row r="3268" spans="3:20" ht="13.5" hidden="1" thickBot="1">
      <c r="F3268" s="483" t="s">
        <v>796</v>
      </c>
      <c r="G3268" s="576" t="b">
        <f>OR(G3258:G3267)</f>
        <v>0</v>
      </c>
      <c r="S3268" s="1435"/>
      <c r="T3268" s="1435"/>
    </row>
    <row r="3269" spans="3:20" hidden="1">
      <c r="S3269" s="1435"/>
      <c r="T3269" s="1435"/>
    </row>
    <row r="3270" spans="3:20" hidden="1">
      <c r="C3270" s="1846">
        <v>11</v>
      </c>
      <c r="D3270" s="618" t="s">
        <v>1522</v>
      </c>
      <c r="E3270" s="618"/>
      <c r="S3270" s="1435"/>
      <c r="T3270" s="1435"/>
    </row>
    <row r="3271" spans="3:20" hidden="1">
      <c r="S3271" s="1435"/>
      <c r="T3271" s="1435"/>
    </row>
  </sheetData>
  <sheetProtection algorithmName="SHA-512" hashValue="9Urm3ELH62qKMgGO1+koPd1V5dMo0c5vysJajO/1uOsDBsmK1Ml3UivuustMnh8BE9H7m7SfQTxgp75QH+OQAg==" saltValue="PqLE+GHkKPn0c4V+fpF8Yw==" spinCount="100000" sheet="1" formatCells="0" formatColumns="0" formatRows="0" insertHyperlinks="0"/>
  <scenarios current="0">
    <scenario name="Test" locked="1" count="7" user="Heller Christian" comment="Erstellt von Heller Christian am 28.03.2020">
      <inputCells r="H21" val=""/>
      <inputCells r="I21" val="100" numFmtId="168"/>
      <inputCells r="J21" val="100" numFmtId="168"/>
      <inputCells r="K21" val="200" numFmtId="168"/>
      <inputCells r="L21" val=""/>
      <inputCells r="M21" val=""/>
      <inputCells r="N21" val=""/>
    </scenario>
  </scenarios>
  <mergeCells count="1988">
    <mergeCell ref="E313:F313"/>
    <mergeCell ref="E315:N315"/>
    <mergeCell ref="E2:F2"/>
    <mergeCell ref="E325:F325"/>
    <mergeCell ref="E326:F326"/>
    <mergeCell ref="E316:N316"/>
    <mergeCell ref="E317:N317"/>
    <mergeCell ref="E318:K318"/>
    <mergeCell ref="E321:F321"/>
    <mergeCell ref="E322:F322"/>
    <mergeCell ref="E324:F324"/>
    <mergeCell ref="E320:F320"/>
    <mergeCell ref="E292:F292"/>
    <mergeCell ref="E294:H294"/>
    <mergeCell ref="E295:N295"/>
    <mergeCell ref="E296:N296"/>
    <mergeCell ref="E298:F298"/>
    <mergeCell ref="E299:F299"/>
    <mergeCell ref="I294:M294"/>
    <mergeCell ref="E300:F300"/>
    <mergeCell ref="E301:F301"/>
    <mergeCell ref="E303:N303"/>
    <mergeCell ref="E304:N304"/>
    <mergeCell ref="E305:N305"/>
    <mergeCell ref="E307:F307"/>
    <mergeCell ref="I285:M285"/>
    <mergeCell ref="E248:F248"/>
    <mergeCell ref="E250:H250"/>
    <mergeCell ref="I250:M250"/>
    <mergeCell ref="E251:N251"/>
    <mergeCell ref="E252:N252"/>
    <mergeCell ref="E254:F254"/>
    <mergeCell ref="E255:F255"/>
    <mergeCell ref="E256:F256"/>
    <mergeCell ref="E257:F257"/>
    <mergeCell ref="E259:H259"/>
    <mergeCell ref="E269:F269"/>
    <mergeCell ref="E272:G272"/>
    <mergeCell ref="E275:G275"/>
    <mergeCell ref="D146:N146"/>
    <mergeCell ref="E273:G273"/>
    <mergeCell ref="E266:F266"/>
    <mergeCell ref="E267:F267"/>
    <mergeCell ref="E78:N78"/>
    <mergeCell ref="E51:N51"/>
    <mergeCell ref="E52:N52"/>
    <mergeCell ref="D47:N47"/>
    <mergeCell ref="E107:N107"/>
    <mergeCell ref="E49:I49"/>
    <mergeCell ref="I200:M200"/>
    <mergeCell ref="I241:M241"/>
    <mergeCell ref="E179:N179"/>
    <mergeCell ref="E180:N180"/>
    <mergeCell ref="E181:N181"/>
    <mergeCell ref="E220:N220"/>
    <mergeCell ref="E221:N221"/>
    <mergeCell ref="E222:N222"/>
    <mergeCell ref="E223:N223"/>
    <mergeCell ref="E214:N214"/>
    <mergeCell ref="E224:N224"/>
    <mergeCell ref="E225:F225"/>
    <mergeCell ref="E226:F226"/>
    <mergeCell ref="I259:M259"/>
    <mergeCell ref="E151:N151"/>
    <mergeCell ref="E260:N260"/>
    <mergeCell ref="E261:N261"/>
    <mergeCell ref="E262:N262"/>
    <mergeCell ref="E264:F264"/>
    <mergeCell ref="K4:L4"/>
    <mergeCell ref="D3234:N3234"/>
    <mergeCell ref="E110:N110"/>
    <mergeCell ref="F160:N160"/>
    <mergeCell ref="F165:N165"/>
    <mergeCell ref="F166:N166"/>
    <mergeCell ref="E106:N106"/>
    <mergeCell ref="D148:H148"/>
    <mergeCell ref="E173:N173"/>
    <mergeCell ref="F164:N164"/>
    <mergeCell ref="E62:N62"/>
    <mergeCell ref="E87:N87"/>
    <mergeCell ref="E79:N79"/>
    <mergeCell ref="E29:N29"/>
    <mergeCell ref="E30:N30"/>
    <mergeCell ref="F31:N31"/>
    <mergeCell ref="F32:N32"/>
    <mergeCell ref="E276:G276"/>
    <mergeCell ref="E278:I278"/>
    <mergeCell ref="E279:I279"/>
    <mergeCell ref="E281:I281"/>
    <mergeCell ref="E282:G282"/>
    <mergeCell ref="E285:H285"/>
    <mergeCell ref="E286:N286"/>
    <mergeCell ref="E287:N287"/>
    <mergeCell ref="E289:F289"/>
    <mergeCell ref="E290:F290"/>
    <mergeCell ref="E291:F291"/>
    <mergeCell ref="B2:D4"/>
    <mergeCell ref="W5:X5"/>
    <mergeCell ref="U4:V4"/>
    <mergeCell ref="W4:X4"/>
    <mergeCell ref="Q4:R4"/>
    <mergeCell ref="M4:N4"/>
    <mergeCell ref="P2:P5"/>
    <mergeCell ref="W3:X3"/>
    <mergeCell ref="M2:N2"/>
    <mergeCell ref="Q3:R3"/>
    <mergeCell ref="U3:V3"/>
    <mergeCell ref="S5:T5"/>
    <mergeCell ref="Q5:R5"/>
    <mergeCell ref="S4:T4"/>
    <mergeCell ref="U5:V5"/>
    <mergeCell ref="S3:T3"/>
    <mergeCell ref="E4:F4"/>
    <mergeCell ref="I4:J4"/>
    <mergeCell ref="G5:H5"/>
    <mergeCell ref="K2:L2"/>
    <mergeCell ref="K3:L3"/>
    <mergeCell ref="G2:H2"/>
    <mergeCell ref="I2:J2"/>
    <mergeCell ref="M3:N3"/>
    <mergeCell ref="G4:H4"/>
    <mergeCell ref="G3:H3"/>
    <mergeCell ref="I3:J3"/>
    <mergeCell ref="E3:F3"/>
    <mergeCell ref="I5:J5"/>
    <mergeCell ref="M5:N5"/>
    <mergeCell ref="K5:L5"/>
    <mergeCell ref="E17:N17"/>
    <mergeCell ref="H25:N25"/>
    <mergeCell ref="E14:N14"/>
    <mergeCell ref="E18:N18"/>
    <mergeCell ref="F16:N16"/>
    <mergeCell ref="D13:H13"/>
    <mergeCell ref="I13:N13"/>
    <mergeCell ref="D11:N11"/>
    <mergeCell ref="E9:M9"/>
    <mergeCell ref="E185:N185"/>
    <mergeCell ref="E28:N28"/>
    <mergeCell ref="E50:N50"/>
    <mergeCell ref="E19:N19"/>
    <mergeCell ref="E80:N80"/>
    <mergeCell ref="E105:N105"/>
    <mergeCell ref="E108:N108"/>
    <mergeCell ref="J77:N77"/>
    <mergeCell ref="E81:N81"/>
    <mergeCell ref="E26:N26"/>
    <mergeCell ref="I148:N148"/>
    <mergeCell ref="J49:N49"/>
    <mergeCell ref="E77:I77"/>
    <mergeCell ref="E104:N104"/>
    <mergeCell ref="E25:G25"/>
    <mergeCell ref="E153:N153"/>
    <mergeCell ref="E155:N155"/>
    <mergeCell ref="E171:N171"/>
    <mergeCell ref="E172:N172"/>
    <mergeCell ref="E150:N150"/>
    <mergeCell ref="D7:N7"/>
    <mergeCell ref="E83:F83"/>
    <mergeCell ref="E84:F84"/>
    <mergeCell ref="E85:F85"/>
    <mergeCell ref="E158:N158"/>
    <mergeCell ref="D102:N102"/>
    <mergeCell ref="E241:H241"/>
    <mergeCell ref="E242:N242"/>
    <mergeCell ref="E243:N243"/>
    <mergeCell ref="E186:K186"/>
    <mergeCell ref="E187:N187"/>
    <mergeCell ref="E309:N309"/>
    <mergeCell ref="E310:N310"/>
    <mergeCell ref="E311:N311"/>
    <mergeCell ref="E312:N312"/>
    <mergeCell ref="E245:F245"/>
    <mergeCell ref="E246:F246"/>
    <mergeCell ref="E247:F247"/>
    <mergeCell ref="E274:G274"/>
    <mergeCell ref="E265:F265"/>
    <mergeCell ref="E188:H188"/>
    <mergeCell ref="E190:F190"/>
    <mergeCell ref="E191:F191"/>
    <mergeCell ref="E192:F192"/>
    <mergeCell ref="E193:F193"/>
    <mergeCell ref="E194:F194"/>
    <mergeCell ref="E195:F195"/>
    <mergeCell ref="E20:F20"/>
    <mergeCell ref="E21:F21"/>
    <mergeCell ref="E22:F22"/>
    <mergeCell ref="E23:F23"/>
    <mergeCell ref="E152:N152"/>
    <mergeCell ref="E217:F217"/>
    <mergeCell ref="E159:N159"/>
    <mergeCell ref="E157:N157"/>
    <mergeCell ref="F161:N161"/>
    <mergeCell ref="E170:N170"/>
    <mergeCell ref="I188:M188"/>
    <mergeCell ref="F163:N163"/>
    <mergeCell ref="E196:F196"/>
    <mergeCell ref="E197:F197"/>
    <mergeCell ref="E198:F198"/>
    <mergeCell ref="E167:F167"/>
    <mergeCell ref="E168:F168"/>
    <mergeCell ref="E174:N174"/>
    <mergeCell ref="E176:F176"/>
    <mergeCell ref="E177:F177"/>
    <mergeCell ref="E182:N182"/>
    <mergeCell ref="E183:N183"/>
    <mergeCell ref="E184:N184"/>
    <mergeCell ref="E338:N338"/>
    <mergeCell ref="E339:N339"/>
    <mergeCell ref="E340:N340"/>
    <mergeCell ref="F162:N162"/>
    <mergeCell ref="E219:N219"/>
    <mergeCell ref="E330:M331"/>
    <mergeCell ref="D335:H335"/>
    <mergeCell ref="I335:N335"/>
    <mergeCell ref="E336:N336"/>
    <mergeCell ref="E227:F227"/>
    <mergeCell ref="E229:F229"/>
    <mergeCell ref="E230:F230"/>
    <mergeCell ref="E231:F231"/>
    <mergeCell ref="E233:F233"/>
    <mergeCell ref="E234:F234"/>
    <mergeCell ref="E235:F235"/>
    <mergeCell ref="E237:N237"/>
    <mergeCell ref="E239:K239"/>
    <mergeCell ref="E240:N240"/>
    <mergeCell ref="E200:H200"/>
    <mergeCell ref="E202:F202"/>
    <mergeCell ref="E203:F203"/>
    <mergeCell ref="E204:F204"/>
    <mergeCell ref="E205:F205"/>
    <mergeCell ref="E206:F206"/>
    <mergeCell ref="E207:F207"/>
    <mergeCell ref="E208:F208"/>
    <mergeCell ref="E209:F209"/>
    <mergeCell ref="E210:F210"/>
    <mergeCell ref="E212:N212"/>
    <mergeCell ref="E213:N213"/>
    <mergeCell ref="E215:N215"/>
    <mergeCell ref="D369:N369"/>
    <mergeCell ref="E371:I371"/>
    <mergeCell ref="J371:N371"/>
    <mergeCell ref="E372:N372"/>
    <mergeCell ref="E373:N373"/>
    <mergeCell ref="E374:N374"/>
    <mergeCell ref="E430:N430"/>
    <mergeCell ref="D468:N468"/>
    <mergeCell ref="E348:N348"/>
    <mergeCell ref="E350:N350"/>
    <mergeCell ref="E351:N351"/>
    <mergeCell ref="E352:N352"/>
    <mergeCell ref="F353:N353"/>
    <mergeCell ref="F354:N354"/>
    <mergeCell ref="E341:N341"/>
    <mergeCell ref="E342:F342"/>
    <mergeCell ref="E343:F343"/>
    <mergeCell ref="E344:F344"/>
    <mergeCell ref="E345:F345"/>
    <mergeCell ref="E347:G347"/>
    <mergeCell ref="H347:N347"/>
    <mergeCell ref="E429:N429"/>
    <mergeCell ref="E432:N432"/>
    <mergeCell ref="D470:H470"/>
    <mergeCell ref="I470:N470"/>
    <mergeCell ref="E403:N403"/>
    <mergeCell ref="E409:N409"/>
    <mergeCell ref="D424:N424"/>
    <mergeCell ref="E426:N426"/>
    <mergeCell ref="E427:N427"/>
    <mergeCell ref="E428:N428"/>
    <mergeCell ref="E384:N384"/>
    <mergeCell ref="E399:I399"/>
    <mergeCell ref="J399:N399"/>
    <mergeCell ref="E400:N400"/>
    <mergeCell ref="E401:N401"/>
    <mergeCell ref="E402:N402"/>
    <mergeCell ref="E405:F405"/>
    <mergeCell ref="E406:F406"/>
    <mergeCell ref="E407:F407"/>
    <mergeCell ref="F486:N486"/>
    <mergeCell ref="F487:N487"/>
    <mergeCell ref="F488:N488"/>
    <mergeCell ref="E489:F489"/>
    <mergeCell ref="E490:F490"/>
    <mergeCell ref="E492:N492"/>
    <mergeCell ref="E480:N480"/>
    <mergeCell ref="E481:N481"/>
    <mergeCell ref="F482:N482"/>
    <mergeCell ref="F483:N483"/>
    <mergeCell ref="F484:N484"/>
    <mergeCell ref="F485:N485"/>
    <mergeCell ref="E472:N472"/>
    <mergeCell ref="E473:N473"/>
    <mergeCell ref="E474:N474"/>
    <mergeCell ref="E475:N475"/>
    <mergeCell ref="E477:N477"/>
    <mergeCell ref="E479:N479"/>
    <mergeCell ref="E507:N507"/>
    <mergeCell ref="E508:K508"/>
    <mergeCell ref="E509:N509"/>
    <mergeCell ref="E510:H510"/>
    <mergeCell ref="I510:M510"/>
    <mergeCell ref="E512:F512"/>
    <mergeCell ref="E501:N501"/>
    <mergeCell ref="E502:N502"/>
    <mergeCell ref="E503:N503"/>
    <mergeCell ref="E504:N504"/>
    <mergeCell ref="E505:N505"/>
    <mergeCell ref="E506:N506"/>
    <mergeCell ref="E493:N493"/>
    <mergeCell ref="E494:N494"/>
    <mergeCell ref="E495:N495"/>
    <mergeCell ref="E496:N496"/>
    <mergeCell ref="E498:F498"/>
    <mergeCell ref="E499:F499"/>
    <mergeCell ref="E526:F526"/>
    <mergeCell ref="E527:F527"/>
    <mergeCell ref="E528:F528"/>
    <mergeCell ref="E529:F529"/>
    <mergeCell ref="E530:F530"/>
    <mergeCell ref="E531:F531"/>
    <mergeCell ref="E519:F519"/>
    <mergeCell ref="E520:F520"/>
    <mergeCell ref="E522:H522"/>
    <mergeCell ref="I522:M522"/>
    <mergeCell ref="E524:F524"/>
    <mergeCell ref="E525:F525"/>
    <mergeCell ref="E513:F513"/>
    <mergeCell ref="E514:F514"/>
    <mergeCell ref="E515:F515"/>
    <mergeCell ref="E516:F516"/>
    <mergeCell ref="E517:F517"/>
    <mergeCell ref="E518:F518"/>
    <mergeCell ref="E547:F547"/>
    <mergeCell ref="E548:F548"/>
    <mergeCell ref="E549:F549"/>
    <mergeCell ref="E551:F551"/>
    <mergeCell ref="E552:F552"/>
    <mergeCell ref="E553:F553"/>
    <mergeCell ref="E541:N541"/>
    <mergeCell ref="E542:N542"/>
    <mergeCell ref="E543:N543"/>
    <mergeCell ref="E544:N544"/>
    <mergeCell ref="E545:N545"/>
    <mergeCell ref="E546:N546"/>
    <mergeCell ref="E532:F532"/>
    <mergeCell ref="E534:N534"/>
    <mergeCell ref="E535:N535"/>
    <mergeCell ref="E536:N536"/>
    <mergeCell ref="E537:N537"/>
    <mergeCell ref="E539:F539"/>
    <mergeCell ref="E569:F569"/>
    <mergeCell ref="E570:F570"/>
    <mergeCell ref="E572:H572"/>
    <mergeCell ref="I572:M572"/>
    <mergeCell ref="E573:N573"/>
    <mergeCell ref="E574:N574"/>
    <mergeCell ref="E563:H563"/>
    <mergeCell ref="I563:M563"/>
    <mergeCell ref="E564:N564"/>
    <mergeCell ref="E565:N565"/>
    <mergeCell ref="E567:F567"/>
    <mergeCell ref="E568:F568"/>
    <mergeCell ref="E555:F555"/>
    <mergeCell ref="E556:F556"/>
    <mergeCell ref="E557:F557"/>
    <mergeCell ref="E559:N559"/>
    <mergeCell ref="E561:K561"/>
    <mergeCell ref="E562:N562"/>
    <mergeCell ref="E589:F589"/>
    <mergeCell ref="E591:F591"/>
    <mergeCell ref="E594:G594"/>
    <mergeCell ref="E595:G595"/>
    <mergeCell ref="E596:G596"/>
    <mergeCell ref="E597:G597"/>
    <mergeCell ref="E582:N582"/>
    <mergeCell ref="E583:N583"/>
    <mergeCell ref="E584:N584"/>
    <mergeCell ref="E586:F586"/>
    <mergeCell ref="E587:F587"/>
    <mergeCell ref="E588:F588"/>
    <mergeCell ref="E576:F576"/>
    <mergeCell ref="E577:F577"/>
    <mergeCell ref="E578:F578"/>
    <mergeCell ref="E579:F579"/>
    <mergeCell ref="E581:H581"/>
    <mergeCell ref="I581:M581"/>
    <mergeCell ref="E616:H616"/>
    <mergeCell ref="I616:M616"/>
    <mergeCell ref="E617:N617"/>
    <mergeCell ref="E618:N618"/>
    <mergeCell ref="E620:F620"/>
    <mergeCell ref="E621:F621"/>
    <mergeCell ref="E608:N608"/>
    <mergeCell ref="E609:N609"/>
    <mergeCell ref="E611:F611"/>
    <mergeCell ref="E612:F612"/>
    <mergeCell ref="E613:F613"/>
    <mergeCell ref="E614:F614"/>
    <mergeCell ref="E598:G598"/>
    <mergeCell ref="E600:I600"/>
    <mergeCell ref="E601:I601"/>
    <mergeCell ref="E603:I603"/>
    <mergeCell ref="E604:G604"/>
    <mergeCell ref="E607:H607"/>
    <mergeCell ref="I607:M607"/>
    <mergeCell ref="E638:N638"/>
    <mergeCell ref="E639:N639"/>
    <mergeCell ref="E640:K640"/>
    <mergeCell ref="E642:F642"/>
    <mergeCell ref="E643:F643"/>
    <mergeCell ref="E644:F644"/>
    <mergeCell ref="E631:N631"/>
    <mergeCell ref="E632:N632"/>
    <mergeCell ref="E633:N633"/>
    <mergeCell ref="E634:N634"/>
    <mergeCell ref="E635:F635"/>
    <mergeCell ref="E637:N637"/>
    <mergeCell ref="E622:F622"/>
    <mergeCell ref="E623:F623"/>
    <mergeCell ref="E625:N625"/>
    <mergeCell ref="E626:N626"/>
    <mergeCell ref="E627:N627"/>
    <mergeCell ref="E629:F629"/>
    <mergeCell ref="E665:F665"/>
    <mergeCell ref="E666:F666"/>
    <mergeCell ref="E667:F667"/>
    <mergeCell ref="E669:G669"/>
    <mergeCell ref="H669:N669"/>
    <mergeCell ref="E670:N670"/>
    <mergeCell ref="E658:N658"/>
    <mergeCell ref="E660:N660"/>
    <mergeCell ref="E661:N661"/>
    <mergeCell ref="E662:N662"/>
    <mergeCell ref="E663:N663"/>
    <mergeCell ref="E664:F664"/>
    <mergeCell ref="E646:F646"/>
    <mergeCell ref="E647:F647"/>
    <mergeCell ref="E648:F648"/>
    <mergeCell ref="E652:M653"/>
    <mergeCell ref="D657:H657"/>
    <mergeCell ref="I657:N657"/>
    <mergeCell ref="E721:I721"/>
    <mergeCell ref="J721:N721"/>
    <mergeCell ref="E722:N722"/>
    <mergeCell ref="E723:N723"/>
    <mergeCell ref="E724:N724"/>
    <mergeCell ref="E725:N725"/>
    <mergeCell ref="E693:I693"/>
    <mergeCell ref="J693:N693"/>
    <mergeCell ref="E694:N694"/>
    <mergeCell ref="E695:N695"/>
    <mergeCell ref="E696:N696"/>
    <mergeCell ref="E706:N706"/>
    <mergeCell ref="E727:F727"/>
    <mergeCell ref="E728:F728"/>
    <mergeCell ref="E729:F729"/>
    <mergeCell ref="E672:N672"/>
    <mergeCell ref="E673:N673"/>
    <mergeCell ref="E674:N674"/>
    <mergeCell ref="F675:N675"/>
    <mergeCell ref="F676:N676"/>
    <mergeCell ref="D691:N691"/>
    <mergeCell ref="E795:N795"/>
    <mergeCell ref="E796:N796"/>
    <mergeCell ref="E797:N797"/>
    <mergeCell ref="E799:N799"/>
    <mergeCell ref="E801:N801"/>
    <mergeCell ref="E802:N802"/>
    <mergeCell ref="E754:N754"/>
    <mergeCell ref="D790:N790"/>
    <mergeCell ref="D792:H792"/>
    <mergeCell ref="I792:N792"/>
    <mergeCell ref="E794:N794"/>
    <mergeCell ref="E731:N731"/>
    <mergeCell ref="D746:N746"/>
    <mergeCell ref="E748:N748"/>
    <mergeCell ref="E749:N749"/>
    <mergeCell ref="E750:N750"/>
    <mergeCell ref="E751:N751"/>
    <mergeCell ref="E752:N752"/>
    <mergeCell ref="E816:N816"/>
    <mergeCell ref="E817:N817"/>
    <mergeCell ref="E818:N818"/>
    <mergeCell ref="E820:F820"/>
    <mergeCell ref="E821:F821"/>
    <mergeCell ref="E823:N823"/>
    <mergeCell ref="F809:N809"/>
    <mergeCell ref="F810:N810"/>
    <mergeCell ref="E811:F811"/>
    <mergeCell ref="E812:F812"/>
    <mergeCell ref="E814:N814"/>
    <mergeCell ref="E815:N815"/>
    <mergeCell ref="E803:N803"/>
    <mergeCell ref="F804:N804"/>
    <mergeCell ref="F805:N805"/>
    <mergeCell ref="F806:N806"/>
    <mergeCell ref="F807:N807"/>
    <mergeCell ref="F808:N808"/>
    <mergeCell ref="E836:F836"/>
    <mergeCell ref="E837:F837"/>
    <mergeCell ref="E838:F838"/>
    <mergeCell ref="E839:F839"/>
    <mergeCell ref="E840:F840"/>
    <mergeCell ref="E841:F841"/>
    <mergeCell ref="E830:K830"/>
    <mergeCell ref="E831:N831"/>
    <mergeCell ref="E832:H832"/>
    <mergeCell ref="I832:M832"/>
    <mergeCell ref="E834:F834"/>
    <mergeCell ref="E835:F835"/>
    <mergeCell ref="E824:N824"/>
    <mergeCell ref="E825:N825"/>
    <mergeCell ref="E826:N826"/>
    <mergeCell ref="E827:N827"/>
    <mergeCell ref="E828:N828"/>
    <mergeCell ref="E829:N829"/>
    <mergeCell ref="E856:N856"/>
    <mergeCell ref="E857:N857"/>
    <mergeCell ref="E858:N858"/>
    <mergeCell ref="E859:N859"/>
    <mergeCell ref="E861:F861"/>
    <mergeCell ref="E863:N863"/>
    <mergeCell ref="E849:F849"/>
    <mergeCell ref="E850:F850"/>
    <mergeCell ref="E851:F851"/>
    <mergeCell ref="E852:F852"/>
    <mergeCell ref="E853:F853"/>
    <mergeCell ref="E854:F854"/>
    <mergeCell ref="E842:F842"/>
    <mergeCell ref="E844:H844"/>
    <mergeCell ref="I844:M844"/>
    <mergeCell ref="E846:F846"/>
    <mergeCell ref="E847:F847"/>
    <mergeCell ref="E848:F848"/>
    <mergeCell ref="E878:F878"/>
    <mergeCell ref="E879:F879"/>
    <mergeCell ref="E881:N881"/>
    <mergeCell ref="E883:K883"/>
    <mergeCell ref="E884:N884"/>
    <mergeCell ref="E885:H885"/>
    <mergeCell ref="I885:M885"/>
    <mergeCell ref="E870:F870"/>
    <mergeCell ref="E871:F871"/>
    <mergeCell ref="E873:F873"/>
    <mergeCell ref="E874:F874"/>
    <mergeCell ref="E875:F875"/>
    <mergeCell ref="E877:F877"/>
    <mergeCell ref="E864:N864"/>
    <mergeCell ref="E865:N865"/>
    <mergeCell ref="E866:N866"/>
    <mergeCell ref="E867:N867"/>
    <mergeCell ref="E868:N868"/>
    <mergeCell ref="E869:F869"/>
    <mergeCell ref="E900:F900"/>
    <mergeCell ref="E901:F901"/>
    <mergeCell ref="E903:H903"/>
    <mergeCell ref="I903:M903"/>
    <mergeCell ref="E904:N904"/>
    <mergeCell ref="E905:N905"/>
    <mergeCell ref="E894:H894"/>
    <mergeCell ref="I894:M894"/>
    <mergeCell ref="E895:N895"/>
    <mergeCell ref="E896:N896"/>
    <mergeCell ref="E898:F898"/>
    <mergeCell ref="E899:F899"/>
    <mergeCell ref="E886:N886"/>
    <mergeCell ref="E887:N887"/>
    <mergeCell ref="E889:F889"/>
    <mergeCell ref="E890:F890"/>
    <mergeCell ref="E891:F891"/>
    <mergeCell ref="E892:F892"/>
    <mergeCell ref="E923:I923"/>
    <mergeCell ref="E925:I925"/>
    <mergeCell ref="E926:G926"/>
    <mergeCell ref="E929:H929"/>
    <mergeCell ref="I929:M929"/>
    <mergeCell ref="E930:N930"/>
    <mergeCell ref="E916:G916"/>
    <mergeCell ref="E917:G917"/>
    <mergeCell ref="E918:G918"/>
    <mergeCell ref="E919:G919"/>
    <mergeCell ref="E920:G920"/>
    <mergeCell ref="E922:I922"/>
    <mergeCell ref="E906:N906"/>
    <mergeCell ref="E908:F908"/>
    <mergeCell ref="E909:F909"/>
    <mergeCell ref="E910:F910"/>
    <mergeCell ref="E911:F911"/>
    <mergeCell ref="E913:F913"/>
    <mergeCell ref="E947:N947"/>
    <mergeCell ref="E948:N948"/>
    <mergeCell ref="E949:N949"/>
    <mergeCell ref="E951:F951"/>
    <mergeCell ref="E953:N953"/>
    <mergeCell ref="E954:N954"/>
    <mergeCell ref="E939:N939"/>
    <mergeCell ref="E940:N940"/>
    <mergeCell ref="E942:F942"/>
    <mergeCell ref="E943:F943"/>
    <mergeCell ref="E944:F944"/>
    <mergeCell ref="E945:F945"/>
    <mergeCell ref="E931:N931"/>
    <mergeCell ref="E933:F933"/>
    <mergeCell ref="E934:F934"/>
    <mergeCell ref="E935:F935"/>
    <mergeCell ref="E936:F936"/>
    <mergeCell ref="E938:H938"/>
    <mergeCell ref="I938:M938"/>
    <mergeCell ref="E970:F970"/>
    <mergeCell ref="E974:M975"/>
    <mergeCell ref="D979:H979"/>
    <mergeCell ref="I979:N979"/>
    <mergeCell ref="E980:N980"/>
    <mergeCell ref="E982:N982"/>
    <mergeCell ref="E962:K962"/>
    <mergeCell ref="E964:F964"/>
    <mergeCell ref="E965:F965"/>
    <mergeCell ref="E966:F966"/>
    <mergeCell ref="E968:F968"/>
    <mergeCell ref="E969:F969"/>
    <mergeCell ref="E955:N955"/>
    <mergeCell ref="E956:N956"/>
    <mergeCell ref="E957:F957"/>
    <mergeCell ref="E959:N959"/>
    <mergeCell ref="E960:N960"/>
    <mergeCell ref="E961:N961"/>
    <mergeCell ref="E996:N996"/>
    <mergeCell ref="F997:N997"/>
    <mergeCell ref="F998:N998"/>
    <mergeCell ref="D1013:N1013"/>
    <mergeCell ref="E1015:I1015"/>
    <mergeCell ref="J1015:N1015"/>
    <mergeCell ref="E989:F989"/>
    <mergeCell ref="E991:G991"/>
    <mergeCell ref="H991:N991"/>
    <mergeCell ref="E992:N992"/>
    <mergeCell ref="E994:N994"/>
    <mergeCell ref="E995:N995"/>
    <mergeCell ref="E983:N983"/>
    <mergeCell ref="E984:N984"/>
    <mergeCell ref="E985:N985"/>
    <mergeCell ref="E986:F986"/>
    <mergeCell ref="E987:F987"/>
    <mergeCell ref="E988:F988"/>
    <mergeCell ref="E1070:N1070"/>
    <mergeCell ref="E1071:N1071"/>
    <mergeCell ref="E1072:N1072"/>
    <mergeCell ref="E1073:N1073"/>
    <mergeCell ref="E1074:N1074"/>
    <mergeCell ref="E1076:N1076"/>
    <mergeCell ref="E1044:N1044"/>
    <mergeCell ref="E1045:N1045"/>
    <mergeCell ref="E1046:N1046"/>
    <mergeCell ref="E1047:N1047"/>
    <mergeCell ref="E1053:N1053"/>
    <mergeCell ref="D1068:N1068"/>
    <mergeCell ref="E1049:F1049"/>
    <mergeCell ref="E1050:F1050"/>
    <mergeCell ref="E1051:F1051"/>
    <mergeCell ref="E1016:N1016"/>
    <mergeCell ref="E1017:N1017"/>
    <mergeCell ref="E1018:N1018"/>
    <mergeCell ref="E1028:N1028"/>
    <mergeCell ref="E1043:I1043"/>
    <mergeCell ref="J1043:N1043"/>
    <mergeCell ref="F1127:N1127"/>
    <mergeCell ref="F1128:N1128"/>
    <mergeCell ref="F1129:N1129"/>
    <mergeCell ref="F1130:N1130"/>
    <mergeCell ref="F1131:N1131"/>
    <mergeCell ref="F1132:N1132"/>
    <mergeCell ref="E1119:N1119"/>
    <mergeCell ref="E1121:N1121"/>
    <mergeCell ref="E1123:N1123"/>
    <mergeCell ref="E1124:N1124"/>
    <mergeCell ref="E1125:N1125"/>
    <mergeCell ref="F1126:N1126"/>
    <mergeCell ref="D1112:N1112"/>
    <mergeCell ref="D1114:H1114"/>
    <mergeCell ref="I1114:N1114"/>
    <mergeCell ref="E1116:N1116"/>
    <mergeCell ref="E1117:N1117"/>
    <mergeCell ref="E1118:N1118"/>
    <mergeCell ref="E1148:N1148"/>
    <mergeCell ref="E1149:N1149"/>
    <mergeCell ref="E1150:N1150"/>
    <mergeCell ref="E1151:N1151"/>
    <mergeCell ref="E1152:K1152"/>
    <mergeCell ref="E1153:N1153"/>
    <mergeCell ref="E1140:N1140"/>
    <mergeCell ref="E1142:F1142"/>
    <mergeCell ref="E1143:F1143"/>
    <mergeCell ref="E1145:N1145"/>
    <mergeCell ref="E1146:N1146"/>
    <mergeCell ref="E1147:N1147"/>
    <mergeCell ref="E1133:F1133"/>
    <mergeCell ref="E1134:F1134"/>
    <mergeCell ref="E1136:N1136"/>
    <mergeCell ref="E1137:N1137"/>
    <mergeCell ref="E1138:N1138"/>
    <mergeCell ref="E1139:N1139"/>
    <mergeCell ref="I1166:M1166"/>
    <mergeCell ref="E1168:F1168"/>
    <mergeCell ref="E1169:F1169"/>
    <mergeCell ref="E1170:F1170"/>
    <mergeCell ref="E1171:F1171"/>
    <mergeCell ref="E1172:F1172"/>
    <mergeCell ref="E1160:F1160"/>
    <mergeCell ref="E1161:F1161"/>
    <mergeCell ref="E1162:F1162"/>
    <mergeCell ref="E1163:F1163"/>
    <mergeCell ref="E1164:F1164"/>
    <mergeCell ref="E1166:H1166"/>
    <mergeCell ref="E1154:H1154"/>
    <mergeCell ref="I1154:M1154"/>
    <mergeCell ref="E1156:F1156"/>
    <mergeCell ref="E1157:F1157"/>
    <mergeCell ref="E1158:F1158"/>
    <mergeCell ref="E1159:F1159"/>
    <mergeCell ref="E1188:N1188"/>
    <mergeCell ref="E1189:N1189"/>
    <mergeCell ref="E1190:N1190"/>
    <mergeCell ref="E1191:F1191"/>
    <mergeCell ref="E1192:F1192"/>
    <mergeCell ref="E1193:F1193"/>
    <mergeCell ref="E1180:N1180"/>
    <mergeCell ref="E1181:N1181"/>
    <mergeCell ref="E1183:F1183"/>
    <mergeCell ref="E1185:N1185"/>
    <mergeCell ref="E1186:N1186"/>
    <mergeCell ref="E1187:N1187"/>
    <mergeCell ref="E1173:F1173"/>
    <mergeCell ref="E1174:F1174"/>
    <mergeCell ref="E1175:F1175"/>
    <mergeCell ref="E1176:F1176"/>
    <mergeCell ref="E1178:N1178"/>
    <mergeCell ref="E1179:N1179"/>
    <mergeCell ref="E1209:N1209"/>
    <mergeCell ref="E1211:F1211"/>
    <mergeCell ref="E1212:F1212"/>
    <mergeCell ref="E1213:F1213"/>
    <mergeCell ref="E1214:F1214"/>
    <mergeCell ref="E1216:H1216"/>
    <mergeCell ref="I1216:M1216"/>
    <mergeCell ref="E1203:N1203"/>
    <mergeCell ref="E1205:K1205"/>
    <mergeCell ref="E1206:N1206"/>
    <mergeCell ref="E1207:H1207"/>
    <mergeCell ref="I1207:M1207"/>
    <mergeCell ref="E1208:N1208"/>
    <mergeCell ref="E1195:F1195"/>
    <mergeCell ref="E1196:F1196"/>
    <mergeCell ref="E1197:F1197"/>
    <mergeCell ref="E1199:F1199"/>
    <mergeCell ref="E1200:F1200"/>
    <mergeCell ref="E1201:F1201"/>
    <mergeCell ref="E1231:F1231"/>
    <mergeCell ref="E1232:F1232"/>
    <mergeCell ref="E1233:F1233"/>
    <mergeCell ref="E1235:F1235"/>
    <mergeCell ref="E1238:G1238"/>
    <mergeCell ref="E1239:G1239"/>
    <mergeCell ref="E1225:H1225"/>
    <mergeCell ref="I1225:M1225"/>
    <mergeCell ref="E1226:N1226"/>
    <mergeCell ref="E1227:N1227"/>
    <mergeCell ref="E1228:N1228"/>
    <mergeCell ref="E1230:F1230"/>
    <mergeCell ref="E1217:N1217"/>
    <mergeCell ref="E1218:N1218"/>
    <mergeCell ref="E1220:F1220"/>
    <mergeCell ref="E1221:F1221"/>
    <mergeCell ref="E1222:F1222"/>
    <mergeCell ref="E1223:F1223"/>
    <mergeCell ref="E1256:F1256"/>
    <mergeCell ref="E1257:F1257"/>
    <mergeCell ref="E1258:F1258"/>
    <mergeCell ref="E1260:H1260"/>
    <mergeCell ref="I1260:M1260"/>
    <mergeCell ref="E1261:N1261"/>
    <mergeCell ref="E1248:G1248"/>
    <mergeCell ref="E1251:H1251"/>
    <mergeCell ref="I1251:M1251"/>
    <mergeCell ref="E1252:N1252"/>
    <mergeCell ref="E1253:N1253"/>
    <mergeCell ref="E1255:F1255"/>
    <mergeCell ref="E1240:G1240"/>
    <mergeCell ref="E1241:G1241"/>
    <mergeCell ref="E1242:G1242"/>
    <mergeCell ref="E1244:I1244"/>
    <mergeCell ref="E1245:I1245"/>
    <mergeCell ref="E1247:I1247"/>
    <mergeCell ref="E1278:N1278"/>
    <mergeCell ref="E1279:F1279"/>
    <mergeCell ref="E1281:N1281"/>
    <mergeCell ref="E1282:N1282"/>
    <mergeCell ref="E1283:N1283"/>
    <mergeCell ref="E1284:K1284"/>
    <mergeCell ref="E1270:N1270"/>
    <mergeCell ref="E1271:N1271"/>
    <mergeCell ref="E1273:F1273"/>
    <mergeCell ref="E1275:N1275"/>
    <mergeCell ref="E1276:N1276"/>
    <mergeCell ref="E1277:N1277"/>
    <mergeCell ref="E1262:N1262"/>
    <mergeCell ref="E1264:F1264"/>
    <mergeCell ref="E1265:F1265"/>
    <mergeCell ref="E1266:F1266"/>
    <mergeCell ref="E1267:F1267"/>
    <mergeCell ref="E1269:N1269"/>
    <mergeCell ref="E1306:N1306"/>
    <mergeCell ref="E1307:N1307"/>
    <mergeCell ref="E1308:F1308"/>
    <mergeCell ref="E1309:F1309"/>
    <mergeCell ref="E1310:F1310"/>
    <mergeCell ref="E1311:F1311"/>
    <mergeCell ref="E1296:M1297"/>
    <mergeCell ref="D1301:H1301"/>
    <mergeCell ref="I1301:N1301"/>
    <mergeCell ref="E1302:N1302"/>
    <mergeCell ref="E1304:N1304"/>
    <mergeCell ref="E1305:N1305"/>
    <mergeCell ref="E1286:F1286"/>
    <mergeCell ref="E1287:F1287"/>
    <mergeCell ref="E1288:F1288"/>
    <mergeCell ref="E1290:F1290"/>
    <mergeCell ref="E1291:F1291"/>
    <mergeCell ref="E1292:F1292"/>
    <mergeCell ref="E1339:N1339"/>
    <mergeCell ref="E1340:N1340"/>
    <mergeCell ref="E1350:N1350"/>
    <mergeCell ref="E1365:I1365"/>
    <mergeCell ref="J1365:N1365"/>
    <mergeCell ref="E1366:N1366"/>
    <mergeCell ref="F1319:N1319"/>
    <mergeCell ref="F1320:N1320"/>
    <mergeCell ref="D1335:N1335"/>
    <mergeCell ref="E1337:I1337"/>
    <mergeCell ref="J1337:N1337"/>
    <mergeCell ref="E1338:N1338"/>
    <mergeCell ref="E1371:F1371"/>
    <mergeCell ref="E1372:F1372"/>
    <mergeCell ref="E1373:F1373"/>
    <mergeCell ref="E1313:G1313"/>
    <mergeCell ref="H1313:N1313"/>
    <mergeCell ref="E1314:N1314"/>
    <mergeCell ref="E1316:N1316"/>
    <mergeCell ref="E1317:N1317"/>
    <mergeCell ref="E1318:N1318"/>
    <mergeCell ref="D1436:H1436"/>
    <mergeCell ref="I1436:N1436"/>
    <mergeCell ref="E1438:N1438"/>
    <mergeCell ref="E1439:N1439"/>
    <mergeCell ref="E1440:N1440"/>
    <mergeCell ref="E1441:N1441"/>
    <mergeCell ref="E1393:N1393"/>
    <mergeCell ref="E1394:N1394"/>
    <mergeCell ref="E1395:N1395"/>
    <mergeCell ref="E1396:N1396"/>
    <mergeCell ref="E1398:N1398"/>
    <mergeCell ref="D1434:N1434"/>
    <mergeCell ref="E1367:N1367"/>
    <mergeCell ref="E1368:N1368"/>
    <mergeCell ref="E1369:N1369"/>
    <mergeCell ref="E1375:N1375"/>
    <mergeCell ref="D1390:N1390"/>
    <mergeCell ref="E1392:N1392"/>
    <mergeCell ref="E1456:F1456"/>
    <mergeCell ref="E1458:N1458"/>
    <mergeCell ref="E1459:N1459"/>
    <mergeCell ref="E1460:N1460"/>
    <mergeCell ref="E1461:N1461"/>
    <mergeCell ref="E1462:N1462"/>
    <mergeCell ref="F1450:N1450"/>
    <mergeCell ref="F1451:N1451"/>
    <mergeCell ref="F1452:N1452"/>
    <mergeCell ref="F1453:N1453"/>
    <mergeCell ref="F1454:N1454"/>
    <mergeCell ref="E1455:F1455"/>
    <mergeCell ref="E1443:N1443"/>
    <mergeCell ref="E1445:N1445"/>
    <mergeCell ref="E1446:N1446"/>
    <mergeCell ref="E1447:N1447"/>
    <mergeCell ref="F1448:N1448"/>
    <mergeCell ref="F1449:N1449"/>
    <mergeCell ref="E1478:F1478"/>
    <mergeCell ref="E1479:F1479"/>
    <mergeCell ref="E1480:F1480"/>
    <mergeCell ref="E1481:F1481"/>
    <mergeCell ref="E1482:F1482"/>
    <mergeCell ref="E1483:F1483"/>
    <mergeCell ref="E1471:N1471"/>
    <mergeCell ref="E1472:N1472"/>
    <mergeCell ref="E1473:N1473"/>
    <mergeCell ref="E1474:K1474"/>
    <mergeCell ref="E1475:N1475"/>
    <mergeCell ref="E1476:H1476"/>
    <mergeCell ref="I1476:M1476"/>
    <mergeCell ref="E1464:F1464"/>
    <mergeCell ref="E1465:F1465"/>
    <mergeCell ref="E1467:N1467"/>
    <mergeCell ref="E1468:N1468"/>
    <mergeCell ref="E1469:N1469"/>
    <mergeCell ref="E1470:N1470"/>
    <mergeCell ref="E1497:F1497"/>
    <mergeCell ref="E1498:F1498"/>
    <mergeCell ref="E1500:N1500"/>
    <mergeCell ref="E1501:N1501"/>
    <mergeCell ref="E1502:N1502"/>
    <mergeCell ref="E1503:N1503"/>
    <mergeCell ref="E1491:F1491"/>
    <mergeCell ref="E1492:F1492"/>
    <mergeCell ref="E1493:F1493"/>
    <mergeCell ref="E1494:F1494"/>
    <mergeCell ref="E1495:F1495"/>
    <mergeCell ref="E1496:F1496"/>
    <mergeCell ref="E1484:F1484"/>
    <mergeCell ref="E1485:F1485"/>
    <mergeCell ref="E1486:F1486"/>
    <mergeCell ref="E1488:H1488"/>
    <mergeCell ref="I1488:M1488"/>
    <mergeCell ref="E1490:F1490"/>
    <mergeCell ref="E1519:F1519"/>
    <mergeCell ref="E1521:F1521"/>
    <mergeCell ref="E1522:F1522"/>
    <mergeCell ref="E1523:F1523"/>
    <mergeCell ref="E1525:N1525"/>
    <mergeCell ref="E1527:K1527"/>
    <mergeCell ref="E1512:N1512"/>
    <mergeCell ref="E1513:F1513"/>
    <mergeCell ref="E1514:F1514"/>
    <mergeCell ref="E1515:F1515"/>
    <mergeCell ref="E1517:F1517"/>
    <mergeCell ref="E1518:F1518"/>
    <mergeCell ref="E1505:F1505"/>
    <mergeCell ref="E1507:N1507"/>
    <mergeCell ref="E1508:N1508"/>
    <mergeCell ref="E1509:N1509"/>
    <mergeCell ref="E1510:N1510"/>
    <mergeCell ref="E1511:N1511"/>
    <mergeCell ref="E1540:N1540"/>
    <mergeCell ref="E1542:F1542"/>
    <mergeCell ref="E1543:F1543"/>
    <mergeCell ref="E1544:F1544"/>
    <mergeCell ref="E1545:F1545"/>
    <mergeCell ref="E1547:H1547"/>
    <mergeCell ref="I1547:M1547"/>
    <mergeCell ref="E1534:F1534"/>
    <mergeCell ref="E1535:F1535"/>
    <mergeCell ref="E1536:F1536"/>
    <mergeCell ref="E1538:H1538"/>
    <mergeCell ref="I1538:M1538"/>
    <mergeCell ref="E1539:N1539"/>
    <mergeCell ref="E1528:N1528"/>
    <mergeCell ref="E1529:H1529"/>
    <mergeCell ref="I1529:M1529"/>
    <mergeCell ref="E1530:N1530"/>
    <mergeCell ref="E1531:N1531"/>
    <mergeCell ref="E1533:F1533"/>
    <mergeCell ref="E1564:G1564"/>
    <mergeCell ref="E1566:I1566"/>
    <mergeCell ref="E1567:I1567"/>
    <mergeCell ref="E1569:I1569"/>
    <mergeCell ref="E1570:G1570"/>
    <mergeCell ref="E1573:H1573"/>
    <mergeCell ref="I1573:M1573"/>
    <mergeCell ref="E1555:F1555"/>
    <mergeCell ref="E1557:F1557"/>
    <mergeCell ref="E1560:G1560"/>
    <mergeCell ref="E1561:G1561"/>
    <mergeCell ref="E1562:G1562"/>
    <mergeCell ref="E1563:G1563"/>
    <mergeCell ref="E1548:N1548"/>
    <mergeCell ref="E1549:N1549"/>
    <mergeCell ref="E1550:N1550"/>
    <mergeCell ref="E1552:F1552"/>
    <mergeCell ref="E1553:F1553"/>
    <mergeCell ref="E1554:F1554"/>
    <mergeCell ref="E1588:F1588"/>
    <mergeCell ref="E1589:F1589"/>
    <mergeCell ref="E1591:N1591"/>
    <mergeCell ref="E1592:N1592"/>
    <mergeCell ref="E1593:N1593"/>
    <mergeCell ref="E1595:F1595"/>
    <mergeCell ref="E1582:H1582"/>
    <mergeCell ref="I1582:M1582"/>
    <mergeCell ref="E1583:N1583"/>
    <mergeCell ref="E1584:N1584"/>
    <mergeCell ref="E1586:F1586"/>
    <mergeCell ref="E1587:F1587"/>
    <mergeCell ref="E1574:N1574"/>
    <mergeCell ref="E1575:N1575"/>
    <mergeCell ref="E1577:F1577"/>
    <mergeCell ref="E1578:F1578"/>
    <mergeCell ref="E1579:F1579"/>
    <mergeCell ref="E1580:F1580"/>
    <mergeCell ref="E1612:F1612"/>
    <mergeCell ref="E1613:F1613"/>
    <mergeCell ref="E1614:F1614"/>
    <mergeCell ref="E1618:M1619"/>
    <mergeCell ref="D1623:H1623"/>
    <mergeCell ref="I1623:N1623"/>
    <mergeCell ref="E1604:N1604"/>
    <mergeCell ref="E1605:N1605"/>
    <mergeCell ref="E1606:K1606"/>
    <mergeCell ref="E1608:F1608"/>
    <mergeCell ref="E1609:F1609"/>
    <mergeCell ref="E1610:F1610"/>
    <mergeCell ref="E1597:N1597"/>
    <mergeCell ref="E1598:N1598"/>
    <mergeCell ref="E1599:N1599"/>
    <mergeCell ref="E1600:N1600"/>
    <mergeCell ref="E1601:F1601"/>
    <mergeCell ref="E1603:N1603"/>
    <mergeCell ref="E1638:N1638"/>
    <mergeCell ref="E1639:N1639"/>
    <mergeCell ref="E1640:N1640"/>
    <mergeCell ref="F1641:N1641"/>
    <mergeCell ref="F1642:N1642"/>
    <mergeCell ref="D1657:N1657"/>
    <mergeCell ref="E1631:F1631"/>
    <mergeCell ref="E1632:F1632"/>
    <mergeCell ref="E1633:F1633"/>
    <mergeCell ref="E1635:G1635"/>
    <mergeCell ref="H1635:N1635"/>
    <mergeCell ref="E1636:N1636"/>
    <mergeCell ref="E1624:N1624"/>
    <mergeCell ref="E1626:N1626"/>
    <mergeCell ref="E1627:N1627"/>
    <mergeCell ref="E1628:N1628"/>
    <mergeCell ref="E1629:N1629"/>
    <mergeCell ref="E1630:F1630"/>
    <mergeCell ref="E1697:N1697"/>
    <mergeCell ref="D1712:N1712"/>
    <mergeCell ref="E1714:N1714"/>
    <mergeCell ref="E1715:N1715"/>
    <mergeCell ref="E1716:N1716"/>
    <mergeCell ref="E1717:N1717"/>
    <mergeCell ref="E1687:I1687"/>
    <mergeCell ref="J1687:N1687"/>
    <mergeCell ref="E1688:N1688"/>
    <mergeCell ref="E1689:N1689"/>
    <mergeCell ref="E1690:N1690"/>
    <mergeCell ref="E1691:N1691"/>
    <mergeCell ref="E1693:F1693"/>
    <mergeCell ref="E1694:F1694"/>
    <mergeCell ref="E1695:F1695"/>
    <mergeCell ref="E1659:I1659"/>
    <mergeCell ref="J1659:N1659"/>
    <mergeCell ref="E1660:N1660"/>
    <mergeCell ref="E1661:N1661"/>
    <mergeCell ref="E1662:N1662"/>
    <mergeCell ref="E1672:N1672"/>
    <mergeCell ref="E1769:N1769"/>
    <mergeCell ref="F1770:N1770"/>
    <mergeCell ref="F1771:N1771"/>
    <mergeCell ref="F1772:N1772"/>
    <mergeCell ref="F1773:N1773"/>
    <mergeCell ref="F1774:N1774"/>
    <mergeCell ref="E1761:N1761"/>
    <mergeCell ref="E1762:N1762"/>
    <mergeCell ref="E1763:N1763"/>
    <mergeCell ref="E1765:N1765"/>
    <mergeCell ref="E1767:N1767"/>
    <mergeCell ref="E1768:N1768"/>
    <mergeCell ref="E1718:N1718"/>
    <mergeCell ref="E1720:N1720"/>
    <mergeCell ref="D1756:N1756"/>
    <mergeCell ref="D1758:H1758"/>
    <mergeCell ref="I1758:N1758"/>
    <mergeCell ref="E1760:N1760"/>
    <mergeCell ref="E1790:N1790"/>
    <mergeCell ref="E1791:N1791"/>
    <mergeCell ref="E1792:N1792"/>
    <mergeCell ref="E1793:N1793"/>
    <mergeCell ref="E1794:N1794"/>
    <mergeCell ref="E1795:N1795"/>
    <mergeCell ref="E1782:N1782"/>
    <mergeCell ref="E1783:N1783"/>
    <mergeCell ref="E1784:N1784"/>
    <mergeCell ref="E1786:F1786"/>
    <mergeCell ref="E1787:F1787"/>
    <mergeCell ref="E1789:N1789"/>
    <mergeCell ref="F1775:N1775"/>
    <mergeCell ref="F1776:N1776"/>
    <mergeCell ref="E1777:F1777"/>
    <mergeCell ref="E1778:F1778"/>
    <mergeCell ref="E1780:N1780"/>
    <mergeCell ref="E1781:N1781"/>
    <mergeCell ref="E1808:F1808"/>
    <mergeCell ref="E1810:H1810"/>
    <mergeCell ref="I1810:M1810"/>
    <mergeCell ref="E1812:F1812"/>
    <mergeCell ref="E1813:F1813"/>
    <mergeCell ref="E1814:F1814"/>
    <mergeCell ref="E1802:F1802"/>
    <mergeCell ref="E1803:F1803"/>
    <mergeCell ref="E1804:F1804"/>
    <mergeCell ref="E1805:F1805"/>
    <mergeCell ref="E1806:F1806"/>
    <mergeCell ref="E1807:F1807"/>
    <mergeCell ref="E1796:K1796"/>
    <mergeCell ref="E1797:N1797"/>
    <mergeCell ref="E1798:H1798"/>
    <mergeCell ref="I1798:M1798"/>
    <mergeCell ref="E1800:F1800"/>
    <mergeCell ref="E1801:F1801"/>
    <mergeCell ref="E1830:N1830"/>
    <mergeCell ref="E1831:N1831"/>
    <mergeCell ref="E1832:N1832"/>
    <mergeCell ref="E1833:N1833"/>
    <mergeCell ref="E1834:N1834"/>
    <mergeCell ref="E1835:F1835"/>
    <mergeCell ref="E1822:N1822"/>
    <mergeCell ref="E1823:N1823"/>
    <mergeCell ref="E1824:N1824"/>
    <mergeCell ref="E1825:N1825"/>
    <mergeCell ref="E1827:F1827"/>
    <mergeCell ref="E1829:N1829"/>
    <mergeCell ref="E1815:F1815"/>
    <mergeCell ref="E1816:F1816"/>
    <mergeCell ref="E1817:F1817"/>
    <mergeCell ref="E1818:F1818"/>
    <mergeCell ref="E1819:F1819"/>
    <mergeCell ref="E1820:F1820"/>
    <mergeCell ref="E1852:N1852"/>
    <mergeCell ref="E1853:N1853"/>
    <mergeCell ref="E1855:F1855"/>
    <mergeCell ref="E1856:F1856"/>
    <mergeCell ref="E1857:F1857"/>
    <mergeCell ref="E1858:F1858"/>
    <mergeCell ref="E1844:F1844"/>
    <mergeCell ref="E1845:F1845"/>
    <mergeCell ref="E1847:N1847"/>
    <mergeCell ref="E1849:K1849"/>
    <mergeCell ref="E1850:N1850"/>
    <mergeCell ref="E1851:H1851"/>
    <mergeCell ref="I1851:M1851"/>
    <mergeCell ref="E1836:F1836"/>
    <mergeCell ref="E1837:F1837"/>
    <mergeCell ref="E1839:F1839"/>
    <mergeCell ref="E1840:F1840"/>
    <mergeCell ref="E1841:F1841"/>
    <mergeCell ref="E1843:F1843"/>
    <mergeCell ref="E1872:N1872"/>
    <mergeCell ref="E1874:F1874"/>
    <mergeCell ref="E1875:F1875"/>
    <mergeCell ref="E1876:F1876"/>
    <mergeCell ref="E1877:F1877"/>
    <mergeCell ref="E1879:F1879"/>
    <mergeCell ref="E1866:F1866"/>
    <mergeCell ref="E1867:F1867"/>
    <mergeCell ref="E1869:H1869"/>
    <mergeCell ref="I1869:M1869"/>
    <mergeCell ref="E1870:N1870"/>
    <mergeCell ref="E1871:N1871"/>
    <mergeCell ref="E1860:H1860"/>
    <mergeCell ref="I1860:M1860"/>
    <mergeCell ref="E1861:N1861"/>
    <mergeCell ref="E1862:N1862"/>
    <mergeCell ref="E1864:F1864"/>
    <mergeCell ref="E1865:F1865"/>
    <mergeCell ref="E1897:N1897"/>
    <mergeCell ref="E1899:F1899"/>
    <mergeCell ref="E1900:F1900"/>
    <mergeCell ref="E1901:F1901"/>
    <mergeCell ref="E1902:F1902"/>
    <mergeCell ref="E1904:H1904"/>
    <mergeCell ref="I1904:M1904"/>
    <mergeCell ref="E1889:I1889"/>
    <mergeCell ref="E1891:I1891"/>
    <mergeCell ref="E1892:G1892"/>
    <mergeCell ref="E1895:H1895"/>
    <mergeCell ref="I1895:M1895"/>
    <mergeCell ref="E1896:N1896"/>
    <mergeCell ref="E1882:G1882"/>
    <mergeCell ref="E1883:G1883"/>
    <mergeCell ref="E1884:G1884"/>
    <mergeCell ref="E1885:G1885"/>
    <mergeCell ref="E1886:G1886"/>
    <mergeCell ref="E1888:I1888"/>
    <mergeCell ref="E1921:N1921"/>
    <mergeCell ref="E1922:N1922"/>
    <mergeCell ref="E1923:F1923"/>
    <mergeCell ref="E1925:N1925"/>
    <mergeCell ref="E1926:N1926"/>
    <mergeCell ref="E1927:N1927"/>
    <mergeCell ref="E1913:N1913"/>
    <mergeCell ref="E1914:N1914"/>
    <mergeCell ref="E1915:N1915"/>
    <mergeCell ref="E1917:F1917"/>
    <mergeCell ref="E1919:N1919"/>
    <mergeCell ref="E1920:N1920"/>
    <mergeCell ref="E1905:N1905"/>
    <mergeCell ref="E1906:N1906"/>
    <mergeCell ref="E1908:F1908"/>
    <mergeCell ref="E1909:F1909"/>
    <mergeCell ref="E1910:F1910"/>
    <mergeCell ref="E1911:F1911"/>
    <mergeCell ref="E1949:N1949"/>
    <mergeCell ref="E1950:N1950"/>
    <mergeCell ref="E1951:N1951"/>
    <mergeCell ref="E1952:F1952"/>
    <mergeCell ref="E1953:F1953"/>
    <mergeCell ref="E1954:F1954"/>
    <mergeCell ref="E1936:F1936"/>
    <mergeCell ref="E1940:M1941"/>
    <mergeCell ref="D1945:H1945"/>
    <mergeCell ref="I1945:N1945"/>
    <mergeCell ref="E1946:N1946"/>
    <mergeCell ref="E1948:N1948"/>
    <mergeCell ref="E1928:K1928"/>
    <mergeCell ref="E1930:F1930"/>
    <mergeCell ref="E1931:F1931"/>
    <mergeCell ref="E1932:F1932"/>
    <mergeCell ref="E1934:F1934"/>
    <mergeCell ref="E1935:F1935"/>
    <mergeCell ref="E1982:N1982"/>
    <mergeCell ref="E1983:N1983"/>
    <mergeCell ref="E1984:N1984"/>
    <mergeCell ref="E1994:N1994"/>
    <mergeCell ref="E2009:I2009"/>
    <mergeCell ref="J2009:N2009"/>
    <mergeCell ref="E1962:N1962"/>
    <mergeCell ref="F1963:N1963"/>
    <mergeCell ref="F1964:N1964"/>
    <mergeCell ref="D1979:N1979"/>
    <mergeCell ref="E1981:I1981"/>
    <mergeCell ref="J1981:N1981"/>
    <mergeCell ref="E2015:F2015"/>
    <mergeCell ref="E2016:F2016"/>
    <mergeCell ref="E2017:F2017"/>
    <mergeCell ref="E1955:F1955"/>
    <mergeCell ref="E1957:G1957"/>
    <mergeCell ref="H1957:N1957"/>
    <mergeCell ref="E1958:N1958"/>
    <mergeCell ref="E1960:N1960"/>
    <mergeCell ref="E1961:N1961"/>
    <mergeCell ref="D2078:N2078"/>
    <mergeCell ref="D2080:H2080"/>
    <mergeCell ref="I2080:N2080"/>
    <mergeCell ref="E2082:N2082"/>
    <mergeCell ref="E2083:N2083"/>
    <mergeCell ref="E2084:N2084"/>
    <mergeCell ref="E2036:N2036"/>
    <mergeCell ref="E2037:N2037"/>
    <mergeCell ref="E2038:N2038"/>
    <mergeCell ref="E2039:N2039"/>
    <mergeCell ref="E2040:N2040"/>
    <mergeCell ref="E2042:N2042"/>
    <mergeCell ref="E2010:N2010"/>
    <mergeCell ref="E2011:N2011"/>
    <mergeCell ref="E2012:N2012"/>
    <mergeCell ref="E2013:N2013"/>
    <mergeCell ref="E2019:N2019"/>
    <mergeCell ref="D2034:N2034"/>
    <mergeCell ref="E2099:F2099"/>
    <mergeCell ref="E2100:F2100"/>
    <mergeCell ref="E2102:N2102"/>
    <mergeCell ref="E2103:N2103"/>
    <mergeCell ref="E2104:N2104"/>
    <mergeCell ref="E2105:N2105"/>
    <mergeCell ref="F2093:N2093"/>
    <mergeCell ref="F2094:N2094"/>
    <mergeCell ref="F2095:N2095"/>
    <mergeCell ref="F2096:N2096"/>
    <mergeCell ref="F2097:N2097"/>
    <mergeCell ref="F2098:N2098"/>
    <mergeCell ref="E2085:N2085"/>
    <mergeCell ref="E2087:N2087"/>
    <mergeCell ref="E2089:N2089"/>
    <mergeCell ref="E2090:N2090"/>
    <mergeCell ref="E2091:N2091"/>
    <mergeCell ref="F2092:N2092"/>
    <mergeCell ref="E2120:H2120"/>
    <mergeCell ref="I2120:M2120"/>
    <mergeCell ref="E2122:F2122"/>
    <mergeCell ref="E2123:F2123"/>
    <mergeCell ref="E2124:F2124"/>
    <mergeCell ref="E2125:F2125"/>
    <mergeCell ref="E2114:N2114"/>
    <mergeCell ref="E2115:N2115"/>
    <mergeCell ref="E2116:N2116"/>
    <mergeCell ref="E2117:N2117"/>
    <mergeCell ref="E2118:K2118"/>
    <mergeCell ref="E2119:N2119"/>
    <mergeCell ref="E2106:N2106"/>
    <mergeCell ref="E2108:F2108"/>
    <mergeCell ref="E2109:F2109"/>
    <mergeCell ref="E2111:N2111"/>
    <mergeCell ref="E2112:N2112"/>
    <mergeCell ref="E2113:N2113"/>
    <mergeCell ref="E2139:F2139"/>
    <mergeCell ref="E2140:F2140"/>
    <mergeCell ref="E2141:F2141"/>
    <mergeCell ref="E2142:F2142"/>
    <mergeCell ref="E2144:N2144"/>
    <mergeCell ref="E2145:N2145"/>
    <mergeCell ref="I2132:M2132"/>
    <mergeCell ref="E2134:F2134"/>
    <mergeCell ref="E2135:F2135"/>
    <mergeCell ref="E2136:F2136"/>
    <mergeCell ref="E2137:F2137"/>
    <mergeCell ref="E2138:F2138"/>
    <mergeCell ref="E2126:F2126"/>
    <mergeCell ref="E2127:F2127"/>
    <mergeCell ref="E2128:F2128"/>
    <mergeCell ref="E2129:F2129"/>
    <mergeCell ref="E2130:F2130"/>
    <mergeCell ref="E2132:H2132"/>
    <mergeCell ref="E2161:F2161"/>
    <mergeCell ref="E2162:F2162"/>
    <mergeCell ref="E2163:F2163"/>
    <mergeCell ref="E2165:F2165"/>
    <mergeCell ref="E2166:F2166"/>
    <mergeCell ref="E2167:F2167"/>
    <mergeCell ref="E2154:N2154"/>
    <mergeCell ref="E2155:N2155"/>
    <mergeCell ref="E2156:N2156"/>
    <mergeCell ref="E2157:F2157"/>
    <mergeCell ref="E2158:F2158"/>
    <mergeCell ref="E2159:F2159"/>
    <mergeCell ref="E2146:N2146"/>
    <mergeCell ref="E2147:N2147"/>
    <mergeCell ref="E2149:F2149"/>
    <mergeCell ref="E2151:N2151"/>
    <mergeCell ref="E2152:N2152"/>
    <mergeCell ref="E2153:N2153"/>
    <mergeCell ref="E2183:N2183"/>
    <mergeCell ref="E2184:N2184"/>
    <mergeCell ref="E2186:F2186"/>
    <mergeCell ref="E2187:F2187"/>
    <mergeCell ref="E2188:F2188"/>
    <mergeCell ref="E2189:F2189"/>
    <mergeCell ref="E2175:N2175"/>
    <mergeCell ref="E2177:F2177"/>
    <mergeCell ref="E2178:F2178"/>
    <mergeCell ref="E2179:F2179"/>
    <mergeCell ref="E2180:F2180"/>
    <mergeCell ref="E2182:H2182"/>
    <mergeCell ref="I2182:M2182"/>
    <mergeCell ref="E2169:N2169"/>
    <mergeCell ref="E2171:K2171"/>
    <mergeCell ref="E2172:N2172"/>
    <mergeCell ref="E2173:H2173"/>
    <mergeCell ref="I2173:M2173"/>
    <mergeCell ref="E2174:N2174"/>
    <mergeCell ref="E2206:G2206"/>
    <mergeCell ref="E2207:G2207"/>
    <mergeCell ref="E2208:G2208"/>
    <mergeCell ref="E2210:I2210"/>
    <mergeCell ref="E2211:I2211"/>
    <mergeCell ref="E2213:I2213"/>
    <mergeCell ref="E2197:F2197"/>
    <mergeCell ref="E2198:F2198"/>
    <mergeCell ref="E2199:F2199"/>
    <mergeCell ref="E2201:F2201"/>
    <mergeCell ref="E2204:G2204"/>
    <mergeCell ref="E2205:G2205"/>
    <mergeCell ref="E2191:H2191"/>
    <mergeCell ref="I2191:M2191"/>
    <mergeCell ref="E2192:N2192"/>
    <mergeCell ref="E2193:N2193"/>
    <mergeCell ref="E2194:N2194"/>
    <mergeCell ref="E2196:F2196"/>
    <mergeCell ref="E2228:N2228"/>
    <mergeCell ref="E2230:F2230"/>
    <mergeCell ref="E2231:F2231"/>
    <mergeCell ref="E2232:F2232"/>
    <mergeCell ref="E2233:F2233"/>
    <mergeCell ref="E2235:N2235"/>
    <mergeCell ref="E2222:F2222"/>
    <mergeCell ref="E2223:F2223"/>
    <mergeCell ref="E2224:F2224"/>
    <mergeCell ref="E2226:H2226"/>
    <mergeCell ref="I2226:M2226"/>
    <mergeCell ref="E2227:N2227"/>
    <mergeCell ref="E2214:G2214"/>
    <mergeCell ref="E2217:H2217"/>
    <mergeCell ref="I2217:M2217"/>
    <mergeCell ref="E2218:N2218"/>
    <mergeCell ref="E2219:N2219"/>
    <mergeCell ref="E2221:F2221"/>
    <mergeCell ref="E2252:F2252"/>
    <mergeCell ref="E2253:F2253"/>
    <mergeCell ref="E2254:F2254"/>
    <mergeCell ref="E2256:F2256"/>
    <mergeCell ref="E2257:F2257"/>
    <mergeCell ref="E2258:F2258"/>
    <mergeCell ref="E2244:N2244"/>
    <mergeCell ref="E2245:F2245"/>
    <mergeCell ref="E2247:N2247"/>
    <mergeCell ref="E2248:N2248"/>
    <mergeCell ref="E2249:N2249"/>
    <mergeCell ref="E2250:K2250"/>
    <mergeCell ref="E2236:N2236"/>
    <mergeCell ref="E2237:N2237"/>
    <mergeCell ref="E2239:F2239"/>
    <mergeCell ref="E2241:N2241"/>
    <mergeCell ref="E2242:N2242"/>
    <mergeCell ref="E2243:N2243"/>
    <mergeCell ref="E2279:G2279"/>
    <mergeCell ref="H2279:N2279"/>
    <mergeCell ref="E2280:N2280"/>
    <mergeCell ref="E2282:N2282"/>
    <mergeCell ref="E2283:N2283"/>
    <mergeCell ref="E2284:N2284"/>
    <mergeCell ref="E2272:N2272"/>
    <mergeCell ref="E2273:N2273"/>
    <mergeCell ref="E2274:F2274"/>
    <mergeCell ref="E2275:F2275"/>
    <mergeCell ref="E2276:F2276"/>
    <mergeCell ref="E2277:F2277"/>
    <mergeCell ref="E2262:M2263"/>
    <mergeCell ref="D2267:H2267"/>
    <mergeCell ref="I2267:N2267"/>
    <mergeCell ref="E2268:N2268"/>
    <mergeCell ref="E2270:N2270"/>
    <mergeCell ref="E2271:N2271"/>
    <mergeCell ref="E2333:N2333"/>
    <mergeCell ref="E2334:N2334"/>
    <mergeCell ref="E2335:N2335"/>
    <mergeCell ref="E2341:N2341"/>
    <mergeCell ref="D2356:N2356"/>
    <mergeCell ref="E2358:N2358"/>
    <mergeCell ref="E2305:N2305"/>
    <mergeCell ref="E2306:N2306"/>
    <mergeCell ref="E2316:N2316"/>
    <mergeCell ref="E2331:I2331"/>
    <mergeCell ref="J2331:N2331"/>
    <mergeCell ref="E2332:N2332"/>
    <mergeCell ref="E2337:F2337"/>
    <mergeCell ref="E2338:F2338"/>
    <mergeCell ref="E2339:F2339"/>
    <mergeCell ref="F2285:N2285"/>
    <mergeCell ref="F2286:N2286"/>
    <mergeCell ref="D2301:N2301"/>
    <mergeCell ref="E2303:I2303"/>
    <mergeCell ref="J2303:N2303"/>
    <mergeCell ref="E2304:N2304"/>
    <mergeCell ref="E2409:N2409"/>
    <mergeCell ref="E2411:N2411"/>
    <mergeCell ref="E2412:N2412"/>
    <mergeCell ref="E2413:N2413"/>
    <mergeCell ref="F2414:N2414"/>
    <mergeCell ref="F2415:N2415"/>
    <mergeCell ref="D2402:H2402"/>
    <mergeCell ref="I2402:N2402"/>
    <mergeCell ref="E2404:N2404"/>
    <mergeCell ref="E2405:N2405"/>
    <mergeCell ref="E2406:N2406"/>
    <mergeCell ref="E2407:N2407"/>
    <mergeCell ref="E2359:N2359"/>
    <mergeCell ref="E2360:N2360"/>
    <mergeCell ref="E2361:N2361"/>
    <mergeCell ref="E2362:N2362"/>
    <mergeCell ref="E2364:N2364"/>
    <mergeCell ref="D2400:N2400"/>
    <mergeCell ref="E2430:F2430"/>
    <mergeCell ref="E2431:F2431"/>
    <mergeCell ref="E2433:N2433"/>
    <mergeCell ref="E2434:N2434"/>
    <mergeCell ref="E2435:N2435"/>
    <mergeCell ref="E2436:N2436"/>
    <mergeCell ref="E2422:F2422"/>
    <mergeCell ref="E2424:N2424"/>
    <mergeCell ref="E2425:N2425"/>
    <mergeCell ref="E2426:N2426"/>
    <mergeCell ref="E2427:N2427"/>
    <mergeCell ref="E2428:N2428"/>
    <mergeCell ref="F2416:N2416"/>
    <mergeCell ref="F2417:N2417"/>
    <mergeCell ref="F2418:N2418"/>
    <mergeCell ref="F2419:N2419"/>
    <mergeCell ref="F2420:N2420"/>
    <mergeCell ref="E2421:F2421"/>
    <mergeCell ref="E2450:F2450"/>
    <mergeCell ref="E2451:F2451"/>
    <mergeCell ref="E2452:F2452"/>
    <mergeCell ref="E2454:H2454"/>
    <mergeCell ref="I2454:M2454"/>
    <mergeCell ref="E2456:F2456"/>
    <mergeCell ref="E2444:F2444"/>
    <mergeCell ref="E2445:F2445"/>
    <mergeCell ref="E2446:F2446"/>
    <mergeCell ref="E2447:F2447"/>
    <mergeCell ref="E2448:F2448"/>
    <mergeCell ref="E2449:F2449"/>
    <mergeCell ref="E2437:N2437"/>
    <mergeCell ref="E2438:N2438"/>
    <mergeCell ref="E2439:N2439"/>
    <mergeCell ref="E2440:K2440"/>
    <mergeCell ref="E2441:N2441"/>
    <mergeCell ref="E2442:H2442"/>
    <mergeCell ref="I2442:M2442"/>
    <mergeCell ref="E2471:F2471"/>
    <mergeCell ref="E2473:N2473"/>
    <mergeCell ref="E2474:N2474"/>
    <mergeCell ref="E2475:N2475"/>
    <mergeCell ref="E2476:N2476"/>
    <mergeCell ref="E2477:N2477"/>
    <mergeCell ref="E2463:F2463"/>
    <mergeCell ref="E2464:F2464"/>
    <mergeCell ref="E2466:N2466"/>
    <mergeCell ref="E2467:N2467"/>
    <mergeCell ref="E2468:N2468"/>
    <mergeCell ref="E2469:N2469"/>
    <mergeCell ref="E2457:F2457"/>
    <mergeCell ref="E2458:F2458"/>
    <mergeCell ref="E2459:F2459"/>
    <mergeCell ref="E2460:F2460"/>
    <mergeCell ref="E2461:F2461"/>
    <mergeCell ref="E2462:F2462"/>
    <mergeCell ref="E2494:N2494"/>
    <mergeCell ref="E2495:H2495"/>
    <mergeCell ref="I2495:M2495"/>
    <mergeCell ref="E2496:N2496"/>
    <mergeCell ref="E2497:N2497"/>
    <mergeCell ref="E2499:F2499"/>
    <mergeCell ref="E2485:F2485"/>
    <mergeCell ref="E2487:F2487"/>
    <mergeCell ref="E2488:F2488"/>
    <mergeCell ref="E2489:F2489"/>
    <mergeCell ref="E2491:N2491"/>
    <mergeCell ref="E2493:K2493"/>
    <mergeCell ref="E2478:N2478"/>
    <mergeCell ref="E2479:F2479"/>
    <mergeCell ref="E2480:F2480"/>
    <mergeCell ref="E2481:F2481"/>
    <mergeCell ref="E2483:F2483"/>
    <mergeCell ref="E2484:F2484"/>
    <mergeCell ref="E2514:N2514"/>
    <mergeCell ref="E2515:N2515"/>
    <mergeCell ref="E2516:N2516"/>
    <mergeCell ref="E2518:F2518"/>
    <mergeCell ref="E2519:F2519"/>
    <mergeCell ref="E2520:F2520"/>
    <mergeCell ref="E2506:N2506"/>
    <mergeCell ref="E2508:F2508"/>
    <mergeCell ref="E2509:F2509"/>
    <mergeCell ref="E2510:F2510"/>
    <mergeCell ref="E2511:F2511"/>
    <mergeCell ref="E2513:H2513"/>
    <mergeCell ref="I2513:M2513"/>
    <mergeCell ref="E2500:F2500"/>
    <mergeCell ref="E2501:F2501"/>
    <mergeCell ref="E2502:F2502"/>
    <mergeCell ref="E2504:H2504"/>
    <mergeCell ref="I2504:M2504"/>
    <mergeCell ref="E2505:N2505"/>
    <mergeCell ref="E2540:N2540"/>
    <mergeCell ref="E2541:N2541"/>
    <mergeCell ref="E2543:F2543"/>
    <mergeCell ref="E2544:F2544"/>
    <mergeCell ref="E2545:F2545"/>
    <mergeCell ref="E2546:F2546"/>
    <mergeCell ref="E2530:G2530"/>
    <mergeCell ref="E2532:I2532"/>
    <mergeCell ref="E2533:I2533"/>
    <mergeCell ref="E2535:I2535"/>
    <mergeCell ref="E2536:G2536"/>
    <mergeCell ref="E2539:H2539"/>
    <mergeCell ref="I2539:M2539"/>
    <mergeCell ref="E2521:F2521"/>
    <mergeCell ref="E2523:F2523"/>
    <mergeCell ref="E2526:G2526"/>
    <mergeCell ref="E2527:G2527"/>
    <mergeCell ref="E2528:G2528"/>
    <mergeCell ref="E2529:G2529"/>
    <mergeCell ref="E2563:N2563"/>
    <mergeCell ref="E2564:N2564"/>
    <mergeCell ref="E2565:N2565"/>
    <mergeCell ref="E2566:N2566"/>
    <mergeCell ref="E2567:F2567"/>
    <mergeCell ref="E2569:N2569"/>
    <mergeCell ref="E2554:F2554"/>
    <mergeCell ref="E2555:F2555"/>
    <mergeCell ref="E2557:N2557"/>
    <mergeCell ref="E2558:N2558"/>
    <mergeCell ref="E2559:N2559"/>
    <mergeCell ref="E2561:F2561"/>
    <mergeCell ref="E2548:H2548"/>
    <mergeCell ref="I2548:M2548"/>
    <mergeCell ref="E2549:N2549"/>
    <mergeCell ref="E2550:N2550"/>
    <mergeCell ref="E2552:F2552"/>
    <mergeCell ref="E2553:F2553"/>
    <mergeCell ref="E2590:N2590"/>
    <mergeCell ref="E2592:N2592"/>
    <mergeCell ref="E2593:N2593"/>
    <mergeCell ref="E2594:N2594"/>
    <mergeCell ref="E2595:N2595"/>
    <mergeCell ref="E2596:F2596"/>
    <mergeCell ref="E2578:F2578"/>
    <mergeCell ref="E2579:F2579"/>
    <mergeCell ref="E2580:F2580"/>
    <mergeCell ref="E2584:M2585"/>
    <mergeCell ref="D2589:H2589"/>
    <mergeCell ref="I2589:N2589"/>
    <mergeCell ref="E2570:N2570"/>
    <mergeCell ref="E2571:N2571"/>
    <mergeCell ref="E2572:K2572"/>
    <mergeCell ref="E2574:F2574"/>
    <mergeCell ref="E2575:F2575"/>
    <mergeCell ref="E2576:F2576"/>
    <mergeCell ref="E2625:I2625"/>
    <mergeCell ref="J2625:N2625"/>
    <mergeCell ref="E2626:N2626"/>
    <mergeCell ref="E2627:N2627"/>
    <mergeCell ref="E2628:N2628"/>
    <mergeCell ref="E2638:N2638"/>
    <mergeCell ref="E2659:F2659"/>
    <mergeCell ref="E2660:F2660"/>
    <mergeCell ref="E2661:F2661"/>
    <mergeCell ref="E2604:N2604"/>
    <mergeCell ref="E2605:N2605"/>
    <mergeCell ref="E2606:N2606"/>
    <mergeCell ref="F2607:N2607"/>
    <mergeCell ref="F2608:N2608"/>
    <mergeCell ref="D2623:N2623"/>
    <mergeCell ref="E2597:F2597"/>
    <mergeCell ref="E2598:F2598"/>
    <mergeCell ref="E2599:F2599"/>
    <mergeCell ref="E2601:G2601"/>
    <mergeCell ref="H2601:N2601"/>
    <mergeCell ref="E2602:N2602"/>
    <mergeCell ref="E2684:N2684"/>
    <mergeCell ref="E2686:N2686"/>
    <mergeCell ref="D2722:N2722"/>
    <mergeCell ref="D2724:H2724"/>
    <mergeCell ref="I2724:N2724"/>
    <mergeCell ref="E2726:N2726"/>
    <mergeCell ref="E2663:N2663"/>
    <mergeCell ref="D2678:N2678"/>
    <mergeCell ref="E2680:N2680"/>
    <mergeCell ref="E2681:N2681"/>
    <mergeCell ref="E2682:N2682"/>
    <mergeCell ref="E2683:N2683"/>
    <mergeCell ref="E2653:I2653"/>
    <mergeCell ref="J2653:N2653"/>
    <mergeCell ref="E2654:N2654"/>
    <mergeCell ref="E2655:N2655"/>
    <mergeCell ref="E2656:N2656"/>
    <mergeCell ref="E2657:N2657"/>
    <mergeCell ref="F2741:N2741"/>
    <mergeCell ref="F2742:N2742"/>
    <mergeCell ref="E2743:F2743"/>
    <mergeCell ref="E2744:F2744"/>
    <mergeCell ref="E2746:N2746"/>
    <mergeCell ref="E2747:N2747"/>
    <mergeCell ref="E2735:N2735"/>
    <mergeCell ref="F2736:N2736"/>
    <mergeCell ref="F2737:N2737"/>
    <mergeCell ref="F2738:N2738"/>
    <mergeCell ref="F2739:N2739"/>
    <mergeCell ref="F2740:N2740"/>
    <mergeCell ref="E2727:N2727"/>
    <mergeCell ref="E2728:N2728"/>
    <mergeCell ref="E2729:N2729"/>
    <mergeCell ref="E2731:N2731"/>
    <mergeCell ref="E2733:N2733"/>
    <mergeCell ref="E2734:N2734"/>
    <mergeCell ref="E2762:K2762"/>
    <mergeCell ref="E2763:N2763"/>
    <mergeCell ref="E2764:H2764"/>
    <mergeCell ref="I2764:M2764"/>
    <mergeCell ref="E2766:F2766"/>
    <mergeCell ref="E2767:F2767"/>
    <mergeCell ref="E2756:N2756"/>
    <mergeCell ref="E2757:N2757"/>
    <mergeCell ref="E2758:N2758"/>
    <mergeCell ref="E2759:N2759"/>
    <mergeCell ref="E2760:N2760"/>
    <mergeCell ref="E2761:N2761"/>
    <mergeCell ref="E2748:N2748"/>
    <mergeCell ref="E2749:N2749"/>
    <mergeCell ref="E2750:N2750"/>
    <mergeCell ref="E2752:F2752"/>
    <mergeCell ref="E2753:F2753"/>
    <mergeCell ref="E2755:N2755"/>
    <mergeCell ref="E2781:F2781"/>
    <mergeCell ref="E2782:F2782"/>
    <mergeCell ref="E2783:F2783"/>
    <mergeCell ref="E2784:F2784"/>
    <mergeCell ref="E2785:F2785"/>
    <mergeCell ref="E2786:F2786"/>
    <mergeCell ref="E2774:F2774"/>
    <mergeCell ref="E2776:H2776"/>
    <mergeCell ref="I2776:M2776"/>
    <mergeCell ref="E2778:F2778"/>
    <mergeCell ref="E2779:F2779"/>
    <mergeCell ref="E2780:F2780"/>
    <mergeCell ref="E2768:F2768"/>
    <mergeCell ref="E2769:F2769"/>
    <mergeCell ref="E2770:F2770"/>
    <mergeCell ref="E2771:F2771"/>
    <mergeCell ref="E2772:F2772"/>
    <mergeCell ref="E2773:F2773"/>
    <mergeCell ref="E2802:F2802"/>
    <mergeCell ref="E2803:F2803"/>
    <mergeCell ref="E2805:F2805"/>
    <mergeCell ref="E2806:F2806"/>
    <mergeCell ref="E2807:F2807"/>
    <mergeCell ref="E2809:F2809"/>
    <mergeCell ref="E2796:N2796"/>
    <mergeCell ref="E2797:N2797"/>
    <mergeCell ref="E2798:N2798"/>
    <mergeCell ref="E2799:N2799"/>
    <mergeCell ref="E2800:N2800"/>
    <mergeCell ref="E2801:F2801"/>
    <mergeCell ref="E2788:N2788"/>
    <mergeCell ref="E2789:N2789"/>
    <mergeCell ref="E2790:N2790"/>
    <mergeCell ref="E2791:N2791"/>
    <mergeCell ref="E2793:F2793"/>
    <mergeCell ref="E2795:N2795"/>
    <mergeCell ref="E2826:H2826"/>
    <mergeCell ref="I2826:M2826"/>
    <mergeCell ref="E2827:N2827"/>
    <mergeCell ref="E2828:N2828"/>
    <mergeCell ref="E2830:F2830"/>
    <mergeCell ref="E2831:F2831"/>
    <mergeCell ref="E2818:N2818"/>
    <mergeCell ref="E2819:N2819"/>
    <mergeCell ref="E2821:F2821"/>
    <mergeCell ref="E2822:F2822"/>
    <mergeCell ref="E2823:F2823"/>
    <mergeCell ref="E2824:F2824"/>
    <mergeCell ref="E2810:F2810"/>
    <mergeCell ref="E2811:F2811"/>
    <mergeCell ref="E2813:N2813"/>
    <mergeCell ref="E2815:K2815"/>
    <mergeCell ref="E2816:N2816"/>
    <mergeCell ref="E2817:H2817"/>
    <mergeCell ref="I2817:M2817"/>
    <mergeCell ref="E2848:G2848"/>
    <mergeCell ref="E2849:G2849"/>
    <mergeCell ref="E2850:G2850"/>
    <mergeCell ref="E2851:G2851"/>
    <mergeCell ref="E2852:G2852"/>
    <mergeCell ref="E2854:I2854"/>
    <mergeCell ref="E2838:N2838"/>
    <mergeCell ref="E2840:F2840"/>
    <mergeCell ref="E2841:F2841"/>
    <mergeCell ref="E2842:F2842"/>
    <mergeCell ref="E2843:F2843"/>
    <mergeCell ref="E2845:F2845"/>
    <mergeCell ref="E2832:F2832"/>
    <mergeCell ref="E2833:F2833"/>
    <mergeCell ref="E2835:H2835"/>
    <mergeCell ref="I2835:M2835"/>
    <mergeCell ref="E2836:N2836"/>
    <mergeCell ref="E2837:N2837"/>
    <mergeCell ref="E2871:N2871"/>
    <mergeCell ref="E2872:N2872"/>
    <mergeCell ref="E2874:F2874"/>
    <mergeCell ref="E2875:F2875"/>
    <mergeCell ref="E2876:F2876"/>
    <mergeCell ref="E2877:F2877"/>
    <mergeCell ref="E2863:N2863"/>
    <mergeCell ref="E2865:F2865"/>
    <mergeCell ref="E2866:F2866"/>
    <mergeCell ref="E2867:F2867"/>
    <mergeCell ref="E2868:F2868"/>
    <mergeCell ref="E2870:H2870"/>
    <mergeCell ref="I2870:M2870"/>
    <mergeCell ref="E2855:I2855"/>
    <mergeCell ref="E2857:I2857"/>
    <mergeCell ref="E2858:G2858"/>
    <mergeCell ref="E2861:H2861"/>
    <mergeCell ref="I2861:M2861"/>
    <mergeCell ref="E2862:N2862"/>
    <mergeCell ref="E2894:K2894"/>
    <mergeCell ref="E2896:F2896"/>
    <mergeCell ref="E2897:F2897"/>
    <mergeCell ref="E2898:F2898"/>
    <mergeCell ref="E2900:F2900"/>
    <mergeCell ref="E2901:F2901"/>
    <mergeCell ref="E2887:N2887"/>
    <mergeCell ref="E2888:N2888"/>
    <mergeCell ref="E2889:F2889"/>
    <mergeCell ref="E2891:N2891"/>
    <mergeCell ref="E2892:N2892"/>
    <mergeCell ref="E2893:N2893"/>
    <mergeCell ref="E2879:N2879"/>
    <mergeCell ref="E2880:N2880"/>
    <mergeCell ref="E2881:N2881"/>
    <mergeCell ref="E2883:F2883"/>
    <mergeCell ref="E2885:N2885"/>
    <mergeCell ref="E2886:N2886"/>
    <mergeCell ref="E2921:F2921"/>
    <mergeCell ref="E2923:G2923"/>
    <mergeCell ref="H2923:N2923"/>
    <mergeCell ref="E2924:N2924"/>
    <mergeCell ref="E2926:N2926"/>
    <mergeCell ref="E2927:N2927"/>
    <mergeCell ref="E2915:N2915"/>
    <mergeCell ref="E2916:N2916"/>
    <mergeCell ref="E2917:N2917"/>
    <mergeCell ref="E2918:F2918"/>
    <mergeCell ref="E2919:F2919"/>
    <mergeCell ref="E2920:F2920"/>
    <mergeCell ref="E2902:F2902"/>
    <mergeCell ref="E2906:M2907"/>
    <mergeCell ref="D2911:H2911"/>
    <mergeCell ref="I2911:N2911"/>
    <mergeCell ref="E2912:N2912"/>
    <mergeCell ref="E2914:N2914"/>
    <mergeCell ref="E2976:N2976"/>
    <mergeCell ref="E2977:N2977"/>
    <mergeCell ref="E2978:N2978"/>
    <mergeCell ref="E2979:N2979"/>
    <mergeCell ref="E2985:N2985"/>
    <mergeCell ref="D3000:N3000"/>
    <mergeCell ref="E2981:F2981"/>
    <mergeCell ref="E2982:F2982"/>
    <mergeCell ref="E2983:F2983"/>
    <mergeCell ref="E2948:N2948"/>
    <mergeCell ref="E2949:N2949"/>
    <mergeCell ref="E2950:N2950"/>
    <mergeCell ref="E2960:N2960"/>
    <mergeCell ref="E2975:I2975"/>
    <mergeCell ref="J2975:N2975"/>
    <mergeCell ref="E2928:N2928"/>
    <mergeCell ref="F2929:N2929"/>
    <mergeCell ref="F2930:N2930"/>
    <mergeCell ref="D2945:N2945"/>
    <mergeCell ref="E2947:I2947"/>
    <mergeCell ref="J2947:N2947"/>
    <mergeCell ref="E3051:N3051"/>
    <mergeCell ref="E3053:N3053"/>
    <mergeCell ref="E3055:N3055"/>
    <mergeCell ref="E3056:N3056"/>
    <mergeCell ref="E3057:N3057"/>
    <mergeCell ref="F3058:N3058"/>
    <mergeCell ref="D3044:N3044"/>
    <mergeCell ref="D3046:H3046"/>
    <mergeCell ref="I3046:N3046"/>
    <mergeCell ref="E3048:N3048"/>
    <mergeCell ref="E3049:N3049"/>
    <mergeCell ref="E3050:N3050"/>
    <mergeCell ref="E3002:N3002"/>
    <mergeCell ref="E3003:N3003"/>
    <mergeCell ref="E3004:N3004"/>
    <mergeCell ref="E3005:N3005"/>
    <mergeCell ref="E3006:N3006"/>
    <mergeCell ref="E3008:N3008"/>
    <mergeCell ref="E3072:N3072"/>
    <mergeCell ref="E3074:F3074"/>
    <mergeCell ref="E3075:F3075"/>
    <mergeCell ref="E3077:N3077"/>
    <mergeCell ref="E3078:N3078"/>
    <mergeCell ref="E3079:N3079"/>
    <mergeCell ref="E3065:F3065"/>
    <mergeCell ref="E3066:F3066"/>
    <mergeCell ref="E3068:N3068"/>
    <mergeCell ref="E3069:N3069"/>
    <mergeCell ref="E3070:N3070"/>
    <mergeCell ref="E3071:N3071"/>
    <mergeCell ref="F3059:N3059"/>
    <mergeCell ref="F3060:N3060"/>
    <mergeCell ref="F3061:N3061"/>
    <mergeCell ref="F3062:N3062"/>
    <mergeCell ref="F3063:N3063"/>
    <mergeCell ref="F3064:N3064"/>
    <mergeCell ref="E3103:F3103"/>
    <mergeCell ref="E3104:F3104"/>
    <mergeCell ref="E3092:F3092"/>
    <mergeCell ref="E3093:F3093"/>
    <mergeCell ref="E3094:F3094"/>
    <mergeCell ref="E3095:F3095"/>
    <mergeCell ref="E3096:F3096"/>
    <mergeCell ref="E3098:H3098"/>
    <mergeCell ref="E3105:F3105"/>
    <mergeCell ref="E3086:H3086"/>
    <mergeCell ref="I3086:M3086"/>
    <mergeCell ref="E3088:F3088"/>
    <mergeCell ref="E3089:F3089"/>
    <mergeCell ref="E3090:F3090"/>
    <mergeCell ref="E3091:F3091"/>
    <mergeCell ref="E3080:N3080"/>
    <mergeCell ref="E3081:N3081"/>
    <mergeCell ref="E3082:N3082"/>
    <mergeCell ref="E3083:N3083"/>
    <mergeCell ref="E3084:K3084"/>
    <mergeCell ref="E3085:N3085"/>
    <mergeCell ref="E3228:M3229"/>
    <mergeCell ref="E3218:F3218"/>
    <mergeCell ref="E3219:F3219"/>
    <mergeCell ref="E3220:F3220"/>
    <mergeCell ref="E3222:F3222"/>
    <mergeCell ref="E3223:F3223"/>
    <mergeCell ref="E3224:F3224"/>
    <mergeCell ref="E3210:N3210"/>
    <mergeCell ref="E3211:F3211"/>
    <mergeCell ref="E3213:N3213"/>
    <mergeCell ref="E3214:N3214"/>
    <mergeCell ref="E3215:N3215"/>
    <mergeCell ref="E3216:K3216"/>
    <mergeCell ref="E3202:N3202"/>
    <mergeCell ref="E3203:N3203"/>
    <mergeCell ref="E3205:F3205"/>
    <mergeCell ref="E3207:N3207"/>
    <mergeCell ref="E3208:N3208"/>
    <mergeCell ref="E3209:N3209"/>
    <mergeCell ref="E3198:F3198"/>
    <mergeCell ref="E3199:F3199"/>
    <mergeCell ref="E3201:N3201"/>
    <mergeCell ref="E3188:F3188"/>
    <mergeCell ref="E3189:F3189"/>
    <mergeCell ref="E3190:F3190"/>
    <mergeCell ref="E3192:H3192"/>
    <mergeCell ref="I3192:M3192"/>
    <mergeCell ref="E3193:N3193"/>
    <mergeCell ref="E3180:G3180"/>
    <mergeCell ref="E3183:H3183"/>
    <mergeCell ref="I3183:M3183"/>
    <mergeCell ref="E3184:N3184"/>
    <mergeCell ref="E3185:N3185"/>
    <mergeCell ref="E3187:F3187"/>
    <mergeCell ref="E3165:F3165"/>
    <mergeCell ref="E3167:F3167"/>
    <mergeCell ref="E3170:G3170"/>
    <mergeCell ref="E3171:G3171"/>
    <mergeCell ref="E3163:F3163"/>
    <mergeCell ref="E3164:F3164"/>
    <mergeCell ref="E3194:N3194"/>
    <mergeCell ref="E3196:F3196"/>
    <mergeCell ref="E3172:G3172"/>
    <mergeCell ref="E3173:G3173"/>
    <mergeCell ref="E3174:G3174"/>
    <mergeCell ref="E3176:I3176"/>
    <mergeCell ref="E3177:I3177"/>
    <mergeCell ref="E3179:I3179"/>
    <mergeCell ref="E3131:F3131"/>
    <mergeCell ref="E3132:F3132"/>
    <mergeCell ref="E3133:F3133"/>
    <mergeCell ref="E3197:F3197"/>
    <mergeCell ref="E3157:H3157"/>
    <mergeCell ref="I3157:M3157"/>
    <mergeCell ref="E3158:N3158"/>
    <mergeCell ref="E3159:N3159"/>
    <mergeCell ref="E3160:N3160"/>
    <mergeCell ref="E3162:F3162"/>
    <mergeCell ref="E3149:N3149"/>
    <mergeCell ref="E3150:N3150"/>
    <mergeCell ref="E3152:F3152"/>
    <mergeCell ref="E3153:F3153"/>
    <mergeCell ref="E3154:F3154"/>
    <mergeCell ref="E3155:F3155"/>
    <mergeCell ref="E3141:N3141"/>
    <mergeCell ref="E3143:F3143"/>
    <mergeCell ref="E3144:F3144"/>
    <mergeCell ref="E3145:F3145"/>
    <mergeCell ref="E3146:F3146"/>
    <mergeCell ref="E3148:H3148"/>
    <mergeCell ref="AP2:AP4"/>
    <mergeCell ref="I3148:M3148"/>
    <mergeCell ref="E3135:N3135"/>
    <mergeCell ref="E3137:K3137"/>
    <mergeCell ref="E3138:N3138"/>
    <mergeCell ref="E3139:H3139"/>
    <mergeCell ref="I3139:M3139"/>
    <mergeCell ref="E3140:N3140"/>
    <mergeCell ref="E3127:F3127"/>
    <mergeCell ref="E3128:F3128"/>
    <mergeCell ref="E3129:F3129"/>
    <mergeCell ref="E3120:N3120"/>
    <mergeCell ref="E3121:N3121"/>
    <mergeCell ref="E3122:N3122"/>
    <mergeCell ref="E3123:F3123"/>
    <mergeCell ref="E3124:F3124"/>
    <mergeCell ref="E3125:F3125"/>
    <mergeCell ref="E3112:N3112"/>
    <mergeCell ref="E3113:N3113"/>
    <mergeCell ref="E3115:F3115"/>
    <mergeCell ref="E3117:N3117"/>
    <mergeCell ref="E3118:N3118"/>
    <mergeCell ref="E3119:N3119"/>
    <mergeCell ref="E3106:F3106"/>
    <mergeCell ref="E3107:F3107"/>
    <mergeCell ref="E3108:F3108"/>
    <mergeCell ref="E3110:N3110"/>
    <mergeCell ref="E3111:N3111"/>
    <mergeCell ref="I3098:M3098"/>
    <mergeCell ref="E3100:F3100"/>
    <mergeCell ref="E3101:F3101"/>
    <mergeCell ref="E3102:F3102"/>
  </mergeCells>
  <phoneticPr fontId="33" type="noConversion"/>
  <conditionalFormatting sqref="B2:D4">
    <cfRule type="expression" dxfId="739" priority="1623" stopIfTrue="1">
      <formula>$G$3268</formula>
    </cfRule>
  </conditionalFormatting>
  <conditionalFormatting sqref="C436 C1081 C1403 C1725 C2047 C2369 C2691 C3013">
    <cfRule type="expression" dxfId="738" priority="375" stopIfTrue="1">
      <formula>INDEX($AL:$AL,MATCH(MAX(INDIRECT(ADDRESS(1,3)&amp;":"&amp;ADDRESS(ROW(D433),3))),$C:$C,0))</formula>
    </cfRule>
  </conditionalFormatting>
  <conditionalFormatting sqref="C437 C1082 C1404 C1726 C2048 C2370 C2692 C3014">
    <cfRule type="expression" dxfId="737" priority="373" stopIfTrue="1">
      <formula>INDEX($AL:$AL,MATCH(MAX(INDIRECT(ADDRESS(1,3)&amp;":"&amp;ADDRESS(ROW(D433),3))),$C:$C,0))</formula>
    </cfRule>
  </conditionalFormatting>
  <conditionalFormatting sqref="C438 C1083 C1405 C1727 C2049 C2371 C2693 C3015">
    <cfRule type="expression" dxfId="736" priority="372" stopIfTrue="1">
      <formula>INDEX($AL:$AL,MATCH(MAX(INDIRECT(ADDRESS(1,3)&amp;":"&amp;ADDRESS(ROW(D433),3))),$C:$C,0))</formula>
    </cfRule>
  </conditionalFormatting>
  <conditionalFormatting sqref="C439 C1084 C1406 C1728 C2050 C2372 C2694 C3016">
    <cfRule type="expression" dxfId="735" priority="371" stopIfTrue="1">
      <formula>INDEX($AL:$AL,MATCH(MAX(INDIRECT(ADDRESS(1,3)&amp;":"&amp;ADDRESS(ROW(D433),3))),$C:$C,0))</formula>
    </cfRule>
  </conditionalFormatting>
  <conditionalFormatting sqref="C440 C1085 C1407 C1729 C2051 C2373 C2695 C3017">
    <cfRule type="expression" dxfId="734" priority="370" stopIfTrue="1">
      <formula>INDEX($AL:$AL,MATCH(MAX(INDIRECT(ADDRESS(1,3)&amp;":"&amp;ADDRESS(ROW(D433),3))),$C:$C,0))</formula>
    </cfRule>
  </conditionalFormatting>
  <conditionalFormatting sqref="C441 C1086 C1408 C1730 C2052 C2374 C2696 C3018">
    <cfRule type="expression" dxfId="733" priority="369" stopIfTrue="1">
      <formula>INDEX($AL:$AL,MATCH(MAX(INDIRECT(ADDRESS(1,3)&amp;":"&amp;ADDRESS(ROW(D433),3))),$C:$C,0))</formula>
    </cfRule>
  </conditionalFormatting>
  <conditionalFormatting sqref="C442 C1087 C1409 C1731 C2053 C2375 C2697 C3019">
    <cfRule type="expression" dxfId="732" priority="368" stopIfTrue="1">
      <formula>INDEX($AL:$AL,MATCH(MAX(INDIRECT(ADDRESS(1,3)&amp;":"&amp;ADDRESS(ROW(D433),3))),$C:$C,0))</formula>
    </cfRule>
  </conditionalFormatting>
  <conditionalFormatting sqref="C443 C1088 C1410 C1732 C2054 C2376 C2698 C3020">
    <cfRule type="expression" dxfId="731" priority="367" stopIfTrue="1">
      <formula>INDEX($AL:$AL,MATCH(MAX(INDIRECT(ADDRESS(1,3)&amp;":"&amp;ADDRESS(ROW(D433),3))),$C:$C,0))</formula>
    </cfRule>
  </conditionalFormatting>
  <conditionalFormatting sqref="C444 C1089 C1411 C1733 C2055 C2377 C2699 C3021">
    <cfRule type="expression" dxfId="730" priority="366" stopIfTrue="1">
      <formula>INDEX($AL:$AL,MATCH(MAX(INDIRECT(ADDRESS(1,3)&amp;":"&amp;ADDRESS(ROW(D433),3))),$C:$C,0))</formula>
    </cfRule>
  </conditionalFormatting>
  <conditionalFormatting sqref="C445 C767:C768 C1090 C1412 C1734 C2056 C2378 C2700 C3022">
    <cfRule type="expression" dxfId="729" priority="365" stopIfTrue="1">
      <formula>INDEX($AL:$AL,MATCH(MAX(INDIRECT(ADDRESS(1,3)&amp;":"&amp;ADDRESS(ROW(D433),3))),$C:$C,0))</formula>
    </cfRule>
  </conditionalFormatting>
  <conditionalFormatting sqref="C446 C769 C1091 C1413 C1735 C2057 C2379 C2701 C3023">
    <cfRule type="expression" dxfId="728" priority="364" stopIfTrue="1">
      <formula>INDEX($AL:$AL,MATCH(MAX(INDIRECT(ADDRESS(1,3)&amp;":"&amp;ADDRESS(ROW(D433),3))),$C:$C,0))</formula>
    </cfRule>
  </conditionalFormatting>
  <conditionalFormatting sqref="C447 C770 C1092 C1414 C1736 C2058 C2380 C2702 C3024">
    <cfRule type="expression" dxfId="727" priority="363" stopIfTrue="1">
      <formula>INDEX($AL:$AL,MATCH(MAX(INDIRECT(ADDRESS(1,3)&amp;":"&amp;ADDRESS(ROW(D433),3))),$C:$C,0))</formula>
    </cfRule>
  </conditionalFormatting>
  <conditionalFormatting sqref="C448 C771 C1093 C1415 C1737 C2059 C2381 C2703 C3025">
    <cfRule type="expression" dxfId="726" priority="362" stopIfTrue="1">
      <formula>INDEX($AL:$AL,MATCH(MAX(INDIRECT(ADDRESS(1,3)&amp;":"&amp;ADDRESS(ROW(D433),3))),$C:$C,0))</formula>
    </cfRule>
  </conditionalFormatting>
  <conditionalFormatting sqref="C449 C772 C1094 C1416 C1738 C2060 C2382 C2704 C3026">
    <cfRule type="expression" dxfId="725" priority="361" stopIfTrue="1">
      <formula>INDEX($AL:$AL,MATCH(MAX(INDIRECT(ADDRESS(1,3)&amp;":"&amp;ADDRESS(ROW(D433),3))),$C:$C,0))</formula>
    </cfRule>
  </conditionalFormatting>
  <conditionalFormatting sqref="C450 C773 C1095 C1417 C1739 C2061 C2383 C2705 C3027">
    <cfRule type="expression" dxfId="724" priority="360" stopIfTrue="1">
      <formula>INDEX($AL:$AL,MATCH(MAX(INDIRECT(ADDRESS(1,3)&amp;":"&amp;ADDRESS(ROW(D433),3))),$C:$C,0))</formula>
    </cfRule>
  </conditionalFormatting>
  <conditionalFormatting sqref="C451 C774 C1096 C1418 C1740 C2062 C2384 C2706 C3028">
    <cfRule type="expression" dxfId="723" priority="359" stopIfTrue="1">
      <formula>INDEX($AL:$AL,MATCH(MAX(INDIRECT(ADDRESS(1,3)&amp;":"&amp;ADDRESS(ROW(D433),3))),$C:$C,0))</formula>
    </cfRule>
  </conditionalFormatting>
  <conditionalFormatting sqref="C452 C775 C1097 C1419 C1741 C2063 C2385 C2707 C3029">
    <cfRule type="expression" dxfId="722" priority="358" stopIfTrue="1">
      <formula>INDEX($AL:$AL,MATCH(MAX(INDIRECT(ADDRESS(1,3)&amp;":"&amp;ADDRESS(ROW(D433),3))),$C:$C,0))</formula>
    </cfRule>
  </conditionalFormatting>
  <conditionalFormatting sqref="C408:N654 C730:N976 C1052:N1298 C1374:N1620 C1696:N1942 C2018:N2264 C2340:N2586 C2662:N2908 C2984:N3230 C13:N82 C83:E85 G83:N85 C86:N332 C335:N404 C405:E407 G405:N407 C657:N726 C727:E729 G727:N729 C979:N1048 C1049:E1051 G1049:N1051 C1301:N1370 C1371:E1373 G1371:N1373 C1623:N1692 C1693:E1695 G1693:N1695 C1945:N2014 C2015:E2017 G2015:N2017 C2267:N2336 C2337:E2339 G2337:N2339 C2589:N2658 C2659:E2661 G2659:N2661 C2911:N2980 C2981:E2983 G2981:N2983">
    <cfRule type="expression" dxfId="721" priority="26" stopIfTrue="1">
      <formula>INDEX($AL:$AL,MATCH(MAX(INDIRECT(ADDRESS(1,3)&amp;":"&amp;ADDRESS(ROW(D11),3))),$C:$C,0))</formula>
    </cfRule>
  </conditionalFormatting>
  <conditionalFormatting sqref="D114 D124 D436 D446 C453 D758 D768 C776 D1080 D1090 C1098 D1402 D1412 C1420 D1724 D1734 C1742 D2046 D2056 C2064 D2368 D2378 C2386 D2690 D2700 C2708 D3012 D3022 C3030">
    <cfRule type="expression" dxfId="720" priority="357" stopIfTrue="1">
      <formula>INDEX($AL:$AL,MATCH(MAX(INDIRECT(ADDRESS(1,3)&amp;":"&amp;ADDRESS(ROW(D94),3))),$C:$C,0))</formula>
    </cfRule>
  </conditionalFormatting>
  <conditionalFormatting sqref="D134:I134 C456:I456 F777:I777 C778:I778 F1099:I1099 C1100:I1100 F1421:I1421 C1422:I1422 F1743:I1743 C1744:I1744 F2065:I2065 C2066:I2066 F2387:I2387 C2388:I2388 F2709:I2709 C2710:I2710 F3031:I3031 C3032:I3032 C455:D455 C777:D777 C1099:D1099 C1421:D1421 C1743:D1743 C2065:D2065 C2387:D2387 C2709:D2709 C3031:D3031">
    <cfRule type="expression" dxfId="719" priority="356" stopIfTrue="1">
      <formula>INDEX($AL:$AL,MATCH(MAX(INDIRECT(ADDRESS(1,3)&amp;":"&amp;ADDRESS(ROW(D112),3))),$C:$C,0))</formula>
    </cfRule>
  </conditionalFormatting>
  <conditionalFormatting sqref="E777 E1099 E1421 E1743 E2065 E2387 E2709 E3031 E115:I131 E437:I453 E759:I775 E1081:I1097 E1403:I1419 E1725:I1741 E2047:I2063 E2369:I2385 E2691:I2707 E3013:I3029 D133:I133 E134:I142 E455:I455">
    <cfRule type="expression" dxfId="718" priority="60" stopIfTrue="1">
      <formula>INDEX($AL:$AL,MATCH(MAX(INDIRECT(ADDRESS(1,3)&amp;":"&amp;ADDRESS(ROW(#REF!),3))),$C:$C,0))</formula>
    </cfRule>
  </conditionalFormatting>
  <conditionalFormatting sqref="E132:I132 E454:I454 E776:I776 E1098:I1098 E1420:I1420 E1742:I1742 E2064:I2064 E2386:I2386 E2708:I2708 E3030:I3030 D113 D123 D435 D445 C454 D757 D767 D1079 D1089 D1401 D1411 D1723 D1733 D2045 D2055 D2367 D2377 D2689 D2699 D3011 D3021">
    <cfRule type="expression" dxfId="717" priority="374" stopIfTrue="1">
      <formula>INDEX($AL:$AL,MATCH(MAX(INDIRECT(ADDRESS(1,3)&amp;":"&amp;ADDRESS(ROW(D92),3))),$C:$C,0))</formula>
    </cfRule>
  </conditionalFormatting>
  <conditionalFormatting sqref="E133:I142">
    <cfRule type="expression" dxfId="716" priority="62" stopIfTrue="1">
      <formula>Z133</formula>
    </cfRule>
  </conditionalFormatting>
  <conditionalFormatting sqref="E455:I464">
    <cfRule type="expression" dxfId="715" priority="61" stopIfTrue="1">
      <formula>Z455</formula>
    </cfRule>
  </conditionalFormatting>
  <conditionalFormatting sqref="E777:I786">
    <cfRule type="expression" dxfId="714" priority="59" stopIfTrue="1">
      <formula>Z777</formula>
    </cfRule>
  </conditionalFormatting>
  <conditionalFormatting sqref="E1099:I1108">
    <cfRule type="expression" dxfId="713" priority="58" stopIfTrue="1">
      <formula>Z1099</formula>
    </cfRule>
  </conditionalFormatting>
  <conditionalFormatting sqref="E1421:I1430">
    <cfRule type="expression" dxfId="712" priority="57" stopIfTrue="1">
      <formula>Z1421</formula>
    </cfRule>
  </conditionalFormatting>
  <conditionalFormatting sqref="E1743:I1752">
    <cfRule type="expression" dxfId="711" priority="56" stopIfTrue="1">
      <formula>Z1743</formula>
    </cfRule>
  </conditionalFormatting>
  <conditionalFormatting sqref="E2065:I2074">
    <cfRule type="expression" dxfId="710" priority="55" stopIfTrue="1">
      <formula>Z2065</formula>
    </cfRule>
  </conditionalFormatting>
  <conditionalFormatting sqref="E2387:I2396">
    <cfRule type="expression" dxfId="709" priority="54" stopIfTrue="1">
      <formula>Z2387</formula>
    </cfRule>
  </conditionalFormatting>
  <conditionalFormatting sqref="E2709:I2718">
    <cfRule type="expression" dxfId="708" priority="53" stopIfTrue="1">
      <formula>Z2709</formula>
    </cfRule>
  </conditionalFormatting>
  <conditionalFormatting sqref="E3031:I3040">
    <cfRule type="expression" dxfId="707" priority="51" stopIfTrue="1">
      <formula>Z3031</formula>
    </cfRule>
  </conditionalFormatting>
  <conditionalFormatting sqref="E330:M331">
    <cfRule type="expression" dxfId="706" priority="325" stopIfTrue="1">
      <formula>$AC330</formula>
    </cfRule>
  </conditionalFormatting>
  <conditionalFormatting sqref="E652:M653">
    <cfRule type="expression" dxfId="705" priority="295" stopIfTrue="1">
      <formula>$AC652</formula>
    </cfRule>
  </conditionalFormatting>
  <conditionalFormatting sqref="E974:M975">
    <cfRule type="expression" dxfId="704" priority="268" stopIfTrue="1">
      <formula>$AC974</formula>
    </cfRule>
  </conditionalFormatting>
  <conditionalFormatting sqref="E1296:M1297">
    <cfRule type="expression" dxfId="703" priority="238" stopIfTrue="1">
      <formula>$AC1296</formula>
    </cfRule>
  </conditionalFormatting>
  <conditionalFormatting sqref="E1618:M1619">
    <cfRule type="expression" dxfId="702" priority="209" stopIfTrue="1">
      <formula>$AC1618</formula>
    </cfRule>
  </conditionalFormatting>
  <conditionalFormatting sqref="E1940:M1941">
    <cfRule type="expression" dxfId="701" priority="181" stopIfTrue="1">
      <formula>$AC1940</formula>
    </cfRule>
  </conditionalFormatting>
  <conditionalFormatting sqref="E2262:M2263">
    <cfRule type="expression" dxfId="700" priority="153" stopIfTrue="1">
      <formula>$AC2262</formula>
    </cfRule>
  </conditionalFormatting>
  <conditionalFormatting sqref="E2584:M2585">
    <cfRule type="expression" dxfId="699" priority="123" stopIfTrue="1">
      <formula>$AC2584</formula>
    </cfRule>
  </conditionalFormatting>
  <conditionalFormatting sqref="E2906:M2907">
    <cfRule type="expression" dxfId="698" priority="93" stopIfTrue="1">
      <formula>$AC2906</formula>
    </cfRule>
  </conditionalFormatting>
  <conditionalFormatting sqref="E3228:M3229">
    <cfRule type="expression" dxfId="697" priority="63" stopIfTrue="1">
      <formula>$AC3228</formula>
    </cfRule>
  </conditionalFormatting>
  <conditionalFormatting sqref="G343 I343 H344:I344">
    <cfRule type="expression" dxfId="696" priority="324" stopIfTrue="1">
      <formula>AB343</formula>
    </cfRule>
  </conditionalFormatting>
  <conditionalFormatting sqref="G586">
    <cfRule type="expression" dxfId="695" priority="11" stopIfTrue="1">
      <formula>MSconst_RequireSubAttrEmissions</formula>
    </cfRule>
  </conditionalFormatting>
  <conditionalFormatting sqref="G611">
    <cfRule type="expression" dxfId="694" priority="10" stopIfTrue="1">
      <formula>MSconst_RequireSubAttrEmissions</formula>
    </cfRule>
  </conditionalFormatting>
  <conditionalFormatting sqref="G620">
    <cfRule type="expression" dxfId="693" priority="9" stopIfTrue="1">
      <formula>MSconst_RequireSubAttrEmissions</formula>
    </cfRule>
  </conditionalFormatting>
  <conditionalFormatting sqref="G908">
    <cfRule type="expression" dxfId="692" priority="8" stopIfTrue="1">
      <formula>MSconst_RequireSubAttrEmissions</formula>
    </cfRule>
  </conditionalFormatting>
  <conditionalFormatting sqref="G1230">
    <cfRule type="expression" dxfId="691" priority="7" stopIfTrue="1">
      <formula>MSconst_RequireSubAttrEmissions</formula>
    </cfRule>
  </conditionalFormatting>
  <conditionalFormatting sqref="G1552">
    <cfRule type="expression" dxfId="690" priority="6" stopIfTrue="1">
      <formula>MSconst_RequireSubAttrEmissions</formula>
    </cfRule>
  </conditionalFormatting>
  <conditionalFormatting sqref="G1874">
    <cfRule type="expression" dxfId="689" priority="5" stopIfTrue="1">
      <formula>MSconst_RequireSubAttrEmissions</formula>
    </cfRule>
  </conditionalFormatting>
  <conditionalFormatting sqref="G2196">
    <cfRule type="expression" dxfId="688" priority="4" stopIfTrue="1">
      <formula>MSconst_RequireSubAttrEmissions</formula>
    </cfRule>
  </conditionalFormatting>
  <conditionalFormatting sqref="G2518">
    <cfRule type="expression" dxfId="687" priority="3" stopIfTrue="1">
      <formula>MSconst_RequireSubAttrEmissions</formula>
    </cfRule>
  </conditionalFormatting>
  <conditionalFormatting sqref="G2840">
    <cfRule type="expression" dxfId="686" priority="2" stopIfTrue="1">
      <formula>MSconst_RequireSubAttrEmissions</formula>
    </cfRule>
  </conditionalFormatting>
  <conditionalFormatting sqref="G3162">
    <cfRule type="expression" dxfId="685" priority="1" stopIfTrue="1">
      <formula>MSconst_RequireSubAttrEmissions</formula>
    </cfRule>
  </conditionalFormatting>
  <conditionalFormatting sqref="G3:N5">
    <cfRule type="expression" dxfId="684" priority="1553" stopIfTrue="1">
      <formula>INDEX($G$3258:$G$3267,MATCH("BM"&amp;Q3,$F$3258:$F$3267,0))</formula>
    </cfRule>
  </conditionalFormatting>
  <conditionalFormatting sqref="H21:I21 G22:I22">
    <cfRule type="expression" dxfId="683" priority="354" stopIfTrue="1">
      <formula>AB21</formula>
    </cfRule>
  </conditionalFormatting>
  <conditionalFormatting sqref="H83:I83">
    <cfRule type="expression" dxfId="682" priority="350" stopIfTrue="1">
      <formula>AC83</formula>
    </cfRule>
  </conditionalFormatting>
  <conditionalFormatting sqref="H168:I168 H176:I177 H191:I194 H203:I206 H217:I217 H226:I227 I264:I265 I267 G245:I245 H246:I246 H248:I248 G254:I254 H255:I255 H257:I257 G289:I289 H290:I290 H292:I292 G298:I298 H299:I299 H301:I301 H307:I307 I313 H321:I322 H325:I326 H230:I231 H234:I235 E330 L186 I188 I200 L239 L318 E321:E322 E325:E326">
    <cfRule type="expression" dxfId="681" priority="351" stopIfTrue="1">
      <formula>MSconst_RequireSubAttrEmissions</formula>
    </cfRule>
  </conditionalFormatting>
  <conditionalFormatting sqref="H168:I168">
    <cfRule type="expression" dxfId="680" priority="345" stopIfTrue="1">
      <formula>AC168</formula>
    </cfRule>
  </conditionalFormatting>
  <conditionalFormatting sqref="H176:I177">
    <cfRule type="expression" dxfId="679" priority="344" stopIfTrue="1">
      <formula>AC176</formula>
    </cfRule>
  </conditionalFormatting>
  <conditionalFormatting sqref="H191:I194 H203:I206 H217:I217">
    <cfRule type="expression" dxfId="678" priority="343" stopIfTrue="1">
      <formula>AC191</formula>
    </cfRule>
  </conditionalFormatting>
  <conditionalFormatting sqref="H226:I226">
    <cfRule type="expression" dxfId="677" priority="342" stopIfTrue="1">
      <formula>$T49</formula>
    </cfRule>
  </conditionalFormatting>
  <conditionalFormatting sqref="H226:I227 H230:I231 H234:I235">
    <cfRule type="expression" dxfId="676" priority="336" stopIfTrue="1">
      <formula>AC226</formula>
    </cfRule>
  </conditionalFormatting>
  <conditionalFormatting sqref="H227:I227">
    <cfRule type="expression" dxfId="675" priority="337" stopIfTrue="1">
      <formula>$T49</formula>
    </cfRule>
  </conditionalFormatting>
  <conditionalFormatting sqref="H245:I246 H248:I248 H254:I255 H257:I257 I264:I265 I267 H289:I290 H292:I292 H298:I299 H301:I301">
    <cfRule type="expression" dxfId="674" priority="340" stopIfTrue="1">
      <formula>AC245</formula>
    </cfRule>
  </conditionalFormatting>
  <conditionalFormatting sqref="H307:I307 I313">
    <cfRule type="expression" dxfId="673" priority="339" stopIfTrue="1">
      <formula>AC307</formula>
    </cfRule>
  </conditionalFormatting>
  <conditionalFormatting sqref="H321:I322 H325:I326">
    <cfRule type="expression" dxfId="672" priority="338" stopIfTrue="1">
      <formula>AC321</formula>
    </cfRule>
  </conditionalFormatting>
  <conditionalFormatting sqref="H379:I380">
    <cfRule type="expression" dxfId="671" priority="323" stopIfTrue="1">
      <formula>($AL379=TRUE)</formula>
    </cfRule>
  </conditionalFormatting>
  <conditionalFormatting sqref="H405:I405">
    <cfRule type="expression" dxfId="670" priority="320" stopIfTrue="1">
      <formula>AC405</formula>
    </cfRule>
  </conditionalFormatting>
  <conditionalFormatting sqref="H490:I490 H498:I499 H513:I516 H525:I528 H539:I539 H548:I549 H586:I587 H589:I589 G567:I567 H568:I568 H570:I570 G576:I576 H577:I577 H579:I579 G611:I611 H612:I612 H614:I614 G620:I620 H621:I621 H623:I623 H629:I629 H635:I635 H643:I644 H647:I648 H552:I553 H556:I557 E652 L508 I510 I522 L561 L640 E643:E644 E647:E648">
    <cfRule type="expression" dxfId="669" priority="321" stopIfTrue="1">
      <formula>MSconst_RequireSubAttrEmissions</formula>
    </cfRule>
  </conditionalFormatting>
  <conditionalFormatting sqref="H490:I490">
    <cfRule type="expression" dxfId="668" priority="315" stopIfTrue="1">
      <formula>AC490</formula>
    </cfRule>
  </conditionalFormatting>
  <conditionalFormatting sqref="H498:I499">
    <cfRule type="expression" dxfId="667" priority="314" stopIfTrue="1">
      <formula>AC498</formula>
    </cfRule>
  </conditionalFormatting>
  <conditionalFormatting sqref="H513:I516 H525:I528 H539:I539">
    <cfRule type="expression" dxfId="666" priority="313" stopIfTrue="1">
      <formula>AC513</formula>
    </cfRule>
  </conditionalFormatting>
  <conditionalFormatting sqref="H548:I548">
    <cfRule type="expression" dxfId="665" priority="312" stopIfTrue="1">
      <formula>$T371</formula>
    </cfRule>
  </conditionalFormatting>
  <conditionalFormatting sqref="H548:I549 H552:I553 H556:I557">
    <cfRule type="expression" dxfId="664" priority="306" stopIfTrue="1">
      <formula>AC548</formula>
    </cfRule>
  </conditionalFormatting>
  <conditionalFormatting sqref="H549:I549">
    <cfRule type="expression" dxfId="663" priority="307" stopIfTrue="1">
      <formula>$T371</formula>
    </cfRule>
  </conditionalFormatting>
  <conditionalFormatting sqref="H567:I568 H570:I570 H576:I577 H579:I579 H586:I587 H589:I589 H611:I612 H614:I614 H620:I621 H623:I623">
    <cfRule type="expression" dxfId="662" priority="310" stopIfTrue="1">
      <formula>AC567</formula>
    </cfRule>
  </conditionalFormatting>
  <conditionalFormatting sqref="H586:I587 H589:I589">
    <cfRule type="expression" dxfId="661" priority="311" stopIfTrue="1">
      <formula>CNTR_SubPeriod=2</formula>
    </cfRule>
  </conditionalFormatting>
  <conditionalFormatting sqref="H629:I629 H635:I635">
    <cfRule type="expression" dxfId="660" priority="309" stopIfTrue="1">
      <formula>AC629</formula>
    </cfRule>
  </conditionalFormatting>
  <conditionalFormatting sqref="H643:I644 H647:I648">
    <cfRule type="expression" dxfId="659" priority="308" stopIfTrue="1">
      <formula>AC643</formula>
    </cfRule>
  </conditionalFormatting>
  <conditionalFormatting sqref="H665:I666">
    <cfRule type="expression" dxfId="658" priority="294" stopIfTrue="1">
      <formula>AC665</formula>
    </cfRule>
  </conditionalFormatting>
  <conditionalFormatting sqref="H701:I702">
    <cfRule type="expression" dxfId="657" priority="293" stopIfTrue="1">
      <formula>($AL701=TRUE)</formula>
    </cfRule>
  </conditionalFormatting>
  <conditionalFormatting sqref="H727:I727">
    <cfRule type="expression" dxfId="656" priority="290" stopIfTrue="1">
      <formula>AC727</formula>
    </cfRule>
  </conditionalFormatting>
  <conditionalFormatting sqref="H812:I812 H820:I821 H835:I838 H847:I850 H861:I861 I870:I871 I908:I909 I911 G889:I889 H890:I890 H892:I892 G898:I898 H899:I899 H901:I901 G933:I933 H934:I934 H936:I936 G942:I942 H943:I943 H945:I945 H951:I951 H957:I957 H965:I966 H969:I970 H874:I875 H878:I879 E974 L830 I832 I844 L883 L962 E965:E966 E969:E970">
    <cfRule type="expression" dxfId="655" priority="291" stopIfTrue="1">
      <formula>MSconst_RequireSubAttrEmissions</formula>
    </cfRule>
  </conditionalFormatting>
  <conditionalFormatting sqref="H812:I812">
    <cfRule type="expression" dxfId="654" priority="288" stopIfTrue="1">
      <formula>AC812</formula>
    </cfRule>
  </conditionalFormatting>
  <conditionalFormatting sqref="H820:I821">
    <cfRule type="expression" dxfId="653" priority="287" stopIfTrue="1">
      <formula>AC820</formula>
    </cfRule>
  </conditionalFormatting>
  <conditionalFormatting sqref="H835:I838 H847:I850 H861:I861">
    <cfRule type="expression" dxfId="652" priority="286" stopIfTrue="1">
      <formula>AC835</formula>
    </cfRule>
  </conditionalFormatting>
  <conditionalFormatting sqref="H889:I890 H892:I892 H898:I899 H901:I901 I908:I909 I911 H933:I934 H936:I936 H942:I943 H945:I945">
    <cfRule type="expression" dxfId="651" priority="283" stopIfTrue="1">
      <formula>AC889</formula>
    </cfRule>
  </conditionalFormatting>
  <conditionalFormatting sqref="H951:I951 H957:I957">
    <cfRule type="expression" dxfId="650" priority="282" stopIfTrue="1">
      <formula>AC951</formula>
    </cfRule>
  </conditionalFormatting>
  <conditionalFormatting sqref="H965:I966 H969:I970">
    <cfRule type="expression" dxfId="649" priority="281" stopIfTrue="1">
      <formula>AC965</formula>
    </cfRule>
  </conditionalFormatting>
  <conditionalFormatting sqref="H1023:I1024">
    <cfRule type="expression" dxfId="648" priority="266" stopIfTrue="1">
      <formula>($AL1023=TRUE)</formula>
    </cfRule>
  </conditionalFormatting>
  <conditionalFormatting sqref="H1049:I1049">
    <cfRule type="expression" dxfId="647" priority="263" stopIfTrue="1">
      <formula>AC1049</formula>
    </cfRule>
  </conditionalFormatting>
  <conditionalFormatting sqref="H1134:I1134 H1142:I1143 H1157:I1160 H1169:I1172 H1183:I1183 I1192:I1193 I1230:I1231 I1233 G1211:I1211 H1212:I1212 H1214:I1214 G1220:I1220 H1221:I1221 H1223:I1223 G1255:I1255 H1256:I1256 H1258:I1258 G1264:I1264 H1265:I1265 H1267:I1267 H1273:I1273 H1279:I1279 H1287:I1288 H1291:I1292 H1196:I1197 H1200:I1201 E1296 L1152 I1154 I1166 L1205 L1284 E1287:E1288 E1291:E1292">
    <cfRule type="expression" dxfId="646" priority="264" stopIfTrue="1">
      <formula>MSconst_RequireSubAttrEmissions</formula>
    </cfRule>
  </conditionalFormatting>
  <conditionalFormatting sqref="H1134:I1134">
    <cfRule type="expression" dxfId="645" priority="258" stopIfTrue="1">
      <formula>AC1134</formula>
    </cfRule>
  </conditionalFormatting>
  <conditionalFormatting sqref="H1142:I1143">
    <cfRule type="expression" dxfId="644" priority="257" stopIfTrue="1">
      <formula>AC1142</formula>
    </cfRule>
  </conditionalFormatting>
  <conditionalFormatting sqref="H1157:I1160 H1169:I1172 H1183:I1183">
    <cfRule type="expression" dxfId="643" priority="256" stopIfTrue="1">
      <formula>AC1157</formula>
    </cfRule>
  </conditionalFormatting>
  <conditionalFormatting sqref="H1211:I1212 H1214:I1214 H1220:I1221 H1223:I1223 I1230:I1231 I1233 H1255:I1256 H1258:I1258 H1264:I1265 H1267:I1267">
    <cfRule type="expression" dxfId="642" priority="253" stopIfTrue="1">
      <formula>AC1211</formula>
    </cfRule>
  </conditionalFormatting>
  <conditionalFormatting sqref="H1273:I1273 H1279:I1279">
    <cfRule type="expression" dxfId="641" priority="252" stopIfTrue="1">
      <formula>AC1273</formula>
    </cfRule>
  </conditionalFormatting>
  <conditionalFormatting sqref="H1287:I1288 H1291:I1292">
    <cfRule type="expression" dxfId="640" priority="251" stopIfTrue="1">
      <formula>AC1287</formula>
    </cfRule>
  </conditionalFormatting>
  <conditionalFormatting sqref="H1309:I1310">
    <cfRule type="expression" dxfId="639" priority="237" stopIfTrue="1">
      <formula>AC1309</formula>
    </cfRule>
  </conditionalFormatting>
  <conditionalFormatting sqref="H1345:I1346">
    <cfRule type="expression" dxfId="638" priority="236" stopIfTrue="1">
      <formula>($AL1345=TRUE)</formula>
    </cfRule>
  </conditionalFormatting>
  <conditionalFormatting sqref="H1371:I1371">
    <cfRule type="expression" dxfId="637" priority="233" stopIfTrue="1">
      <formula>AC1371</formula>
    </cfRule>
  </conditionalFormatting>
  <conditionalFormatting sqref="H1456:I1456 H1464:I1465 H1479:I1482 H1491:I1494 H1505:I1505 H1514:I1515 I1552:I1553 I1555 G1533:I1533 H1534:I1534 H1536:I1536 G1542:I1542 H1543:I1543 H1545:I1545 G1577:I1577 H1578:I1578 H1580:I1580 G1586:I1586 H1587:I1587 H1589:I1589 H1595:I1595 H1601:I1601 H1609:I1610 H1613:I1614 H1518:I1519 H1522:I1523 E1618 L1474 I1476 I1488 L1527 L1606 E1609:E1610 E1613:E1614">
    <cfRule type="expression" dxfId="636" priority="234" stopIfTrue="1">
      <formula>MSconst_RequireSubAttrEmissions</formula>
    </cfRule>
  </conditionalFormatting>
  <conditionalFormatting sqref="H1456:I1456">
    <cfRule type="expression" dxfId="635" priority="229" stopIfTrue="1">
      <formula>AC1456</formula>
    </cfRule>
  </conditionalFormatting>
  <conditionalFormatting sqref="H1464:I1465">
    <cfRule type="expression" dxfId="634" priority="228" stopIfTrue="1">
      <formula>AC1464</formula>
    </cfRule>
  </conditionalFormatting>
  <conditionalFormatting sqref="H1479:I1482 H1491:I1494 H1505:I1505">
    <cfRule type="expression" dxfId="633" priority="227" stopIfTrue="1">
      <formula>AC1479</formula>
    </cfRule>
  </conditionalFormatting>
  <conditionalFormatting sqref="H1514:I1514">
    <cfRule type="expression" dxfId="632" priority="226" stopIfTrue="1">
      <formula>$T1337</formula>
    </cfRule>
  </conditionalFormatting>
  <conditionalFormatting sqref="H1514:I1515 H1518:I1519 H1522:I1523">
    <cfRule type="expression" dxfId="631" priority="220" stopIfTrue="1">
      <formula>AC1514</formula>
    </cfRule>
  </conditionalFormatting>
  <conditionalFormatting sqref="H1515:I1515">
    <cfRule type="expression" dxfId="630" priority="221" stopIfTrue="1">
      <formula>$T1337</formula>
    </cfRule>
  </conditionalFormatting>
  <conditionalFormatting sqref="H1533:I1534 H1536:I1536 H1542:I1543 H1545:I1545 I1552:I1553 I1555 H1577:I1578 H1580:I1580 H1586:I1587 H1589:I1589">
    <cfRule type="expression" dxfId="629" priority="224" stopIfTrue="1">
      <formula>AC1533</formula>
    </cfRule>
  </conditionalFormatting>
  <conditionalFormatting sqref="H1595:I1595 H1601:I1601">
    <cfRule type="expression" dxfId="628" priority="223" stopIfTrue="1">
      <formula>AC1595</formula>
    </cfRule>
  </conditionalFormatting>
  <conditionalFormatting sqref="H1609:I1610 H1613:I1614">
    <cfRule type="expression" dxfId="627" priority="222" stopIfTrue="1">
      <formula>AC1609</formula>
    </cfRule>
  </conditionalFormatting>
  <conditionalFormatting sqref="H1631:I1632">
    <cfRule type="expression" dxfId="626" priority="208" stopIfTrue="1">
      <formula>AC1631</formula>
    </cfRule>
  </conditionalFormatting>
  <conditionalFormatting sqref="H1667:I1668">
    <cfRule type="expression" dxfId="625" priority="207" stopIfTrue="1">
      <formula>($AL1667=TRUE)</formula>
    </cfRule>
  </conditionalFormatting>
  <conditionalFormatting sqref="H1693:I1693">
    <cfRule type="expression" dxfId="624" priority="204" stopIfTrue="1">
      <formula>AC1693</formula>
    </cfRule>
  </conditionalFormatting>
  <conditionalFormatting sqref="H1778:I1778 H1786:I1787 H1801:I1804 H1813:I1816 H1827:I1827 H1836:I1837 I1874:I1875 I1877 G1855:I1855 H1856:I1856 H1858:I1858 G1864:I1864 H1865:I1865 H1867:I1867 G1899:I1899 H1900:I1900 H1902:I1902 G1908:I1908 H1909:I1909 H1911:I1911 H1917:I1917 H1923:I1923 H1931:I1932 H1935:I1936 H1840:I1841 H1844:I1845 E1940 L1796 I1798 I1810 L1849 L1928 E1931:E1932 E1935:E1936">
    <cfRule type="expression" dxfId="623" priority="205" stopIfTrue="1">
      <formula>MSconst_RequireSubAttrEmissions</formula>
    </cfRule>
  </conditionalFormatting>
  <conditionalFormatting sqref="H1778:I1778">
    <cfRule type="expression" dxfId="622" priority="201" stopIfTrue="1">
      <formula>AC1778</formula>
    </cfRule>
  </conditionalFormatting>
  <conditionalFormatting sqref="H1786:I1787">
    <cfRule type="expression" dxfId="621" priority="200" stopIfTrue="1">
      <formula>AC1786</formula>
    </cfRule>
  </conditionalFormatting>
  <conditionalFormatting sqref="H1801:I1804 H1813:I1816 H1827:I1827">
    <cfRule type="expression" dxfId="620" priority="199" stopIfTrue="1">
      <formula>AC1801</formula>
    </cfRule>
  </conditionalFormatting>
  <conditionalFormatting sqref="H1836:I1836">
    <cfRule type="expression" dxfId="619" priority="198" stopIfTrue="1">
      <formula>$T1659</formula>
    </cfRule>
  </conditionalFormatting>
  <conditionalFormatting sqref="H1836:I1837 H1840:I1841 H1844:I1845">
    <cfRule type="expression" dxfId="618" priority="192" stopIfTrue="1">
      <formula>AC1836</formula>
    </cfRule>
  </conditionalFormatting>
  <conditionalFormatting sqref="H1837:I1837">
    <cfRule type="expression" dxfId="617" priority="193" stopIfTrue="1">
      <formula>$T1659</formula>
    </cfRule>
  </conditionalFormatting>
  <conditionalFormatting sqref="H1855:I1856 H1858:I1858 H1864:I1865 H1867:I1867 I1874:I1875 I1877 H1899:I1900 H1902:I1902 H1908:I1909 H1911:I1911">
    <cfRule type="expression" dxfId="616" priority="196" stopIfTrue="1">
      <formula>AC1855</formula>
    </cfRule>
  </conditionalFormatting>
  <conditionalFormatting sqref="H1917:I1917 H1923:I1923">
    <cfRule type="expression" dxfId="615" priority="195" stopIfTrue="1">
      <formula>AC1917</formula>
    </cfRule>
  </conditionalFormatting>
  <conditionalFormatting sqref="H1931:I1932 H1935:I1936">
    <cfRule type="expression" dxfId="614" priority="194" stopIfTrue="1">
      <formula>AC1931</formula>
    </cfRule>
  </conditionalFormatting>
  <conditionalFormatting sqref="H1989:I1990">
    <cfRule type="expression" dxfId="613" priority="179" stopIfTrue="1">
      <formula>($AL1989=TRUE)</formula>
    </cfRule>
  </conditionalFormatting>
  <conditionalFormatting sqref="H2015:I2015">
    <cfRule type="expression" dxfId="612" priority="176" stopIfTrue="1">
      <formula>AC2015</formula>
    </cfRule>
  </conditionalFormatting>
  <conditionalFormatting sqref="H2100:I2100 H2108:I2109 H2123:I2126 H2135:I2138 H2149:I2149 H2158:I2159 I2196:I2197 I2199 G2177:I2177 H2178:I2178 H2180:I2180 G2186:I2186 H2187:I2187 H2189:I2189 G2221:I2221 H2222:I2222 H2224:I2224 G2230:I2230 H2231:I2231 H2233:I2233 H2239:I2239 H2245:I2245 H2253:I2254 H2257:I2258 H2162:I2163 H2166:I2167 E2262 L2118 I2120 I2132 L2171 L2250 E2253:E2254 E2257:E2258">
    <cfRule type="expression" dxfId="611" priority="177" stopIfTrue="1">
      <formula>MSconst_RequireSubAttrEmissions</formula>
    </cfRule>
  </conditionalFormatting>
  <conditionalFormatting sqref="H2100:I2100">
    <cfRule type="expression" dxfId="610" priority="173" stopIfTrue="1">
      <formula>AC2100</formula>
    </cfRule>
  </conditionalFormatting>
  <conditionalFormatting sqref="H2108:I2109">
    <cfRule type="expression" dxfId="609" priority="172" stopIfTrue="1">
      <formula>AC2108</formula>
    </cfRule>
  </conditionalFormatting>
  <conditionalFormatting sqref="H2123:I2126 H2135:I2138 H2149:I2149">
    <cfRule type="expression" dxfId="608" priority="171" stopIfTrue="1">
      <formula>AC2123</formula>
    </cfRule>
  </conditionalFormatting>
  <conditionalFormatting sqref="H2158:I2158">
    <cfRule type="expression" dxfId="607" priority="170" stopIfTrue="1">
      <formula>$T1981</formula>
    </cfRule>
  </conditionalFormatting>
  <conditionalFormatting sqref="H2158:I2159 H2162:I2163 H2166:I2167">
    <cfRule type="expression" dxfId="606" priority="164" stopIfTrue="1">
      <formula>AC2158</formula>
    </cfRule>
  </conditionalFormatting>
  <conditionalFormatting sqref="H2159:I2159">
    <cfRule type="expression" dxfId="605" priority="165" stopIfTrue="1">
      <formula>$T1981</formula>
    </cfRule>
  </conditionalFormatting>
  <conditionalFormatting sqref="H2177:I2178 H2180:I2180 H2186:I2187 H2189:I2189 I2196:I2197 I2199 H2221:I2222 H2224:I2224 H2230:I2231 H2233:I2233">
    <cfRule type="expression" dxfId="604" priority="168" stopIfTrue="1">
      <formula>AC2177</formula>
    </cfRule>
  </conditionalFormatting>
  <conditionalFormatting sqref="H2239:I2239 H2245:I2245">
    <cfRule type="expression" dxfId="603" priority="167" stopIfTrue="1">
      <formula>AC2239</formula>
    </cfRule>
  </conditionalFormatting>
  <conditionalFormatting sqref="H2253:I2254 H2257:I2258">
    <cfRule type="expression" dxfId="602" priority="166" stopIfTrue="1">
      <formula>AC2253</formula>
    </cfRule>
  </conditionalFormatting>
  <conditionalFormatting sqref="H2311:I2312">
    <cfRule type="expression" dxfId="601" priority="151" stopIfTrue="1">
      <formula>($AL2311=TRUE)</formula>
    </cfRule>
  </conditionalFormatting>
  <conditionalFormatting sqref="H2337:I2337">
    <cfRule type="expression" dxfId="600" priority="148" stopIfTrue="1">
      <formula>AC2337</formula>
    </cfRule>
  </conditionalFormatting>
  <conditionalFormatting sqref="H2422:I2422 H2430:I2431 H2445:I2448 H2457:I2460 H2471:I2471 I2480:I2481 I2518:I2519 I2521 G2499:I2499 H2500:I2500 H2502:I2502 G2508:I2508 H2509:I2509 H2511:I2511 G2543:I2543 H2544:I2544 H2546:I2546 G2552:I2552 H2553:I2553 H2555:I2555 H2561:I2561 H2567:I2567 H2575:I2576 H2579:I2580 H2484:I2485 H2488:I2489 E2584 L2440 I2442 I2454 L2493 L2572 E2575:E2576 E2579:E2580">
    <cfRule type="expression" dxfId="599" priority="149" stopIfTrue="1">
      <formula>MSconst_RequireSubAttrEmissions</formula>
    </cfRule>
  </conditionalFormatting>
  <conditionalFormatting sqref="H2422:I2422">
    <cfRule type="expression" dxfId="598" priority="143" stopIfTrue="1">
      <formula>AC2422</formula>
    </cfRule>
  </conditionalFormatting>
  <conditionalFormatting sqref="H2430:I2431">
    <cfRule type="expression" dxfId="597" priority="142" stopIfTrue="1">
      <formula>AC2430</formula>
    </cfRule>
  </conditionalFormatting>
  <conditionalFormatting sqref="H2445:I2448 H2457:I2460 H2471:I2471">
    <cfRule type="expression" dxfId="596" priority="141" stopIfTrue="1">
      <formula>AC2445</formula>
    </cfRule>
  </conditionalFormatting>
  <conditionalFormatting sqref="H2499:I2500 H2502:I2502 H2508:I2509 H2511:I2511 I2518:I2519 I2521 H2543:I2544 H2546:I2546 H2552:I2553 H2555:I2555">
    <cfRule type="expression" dxfId="595" priority="138" stopIfTrue="1">
      <formula>AC2499</formula>
    </cfRule>
  </conditionalFormatting>
  <conditionalFormatting sqref="H2561:I2561 H2567:I2567">
    <cfRule type="expression" dxfId="594" priority="137" stopIfTrue="1">
      <formula>AC2561</formula>
    </cfRule>
  </conditionalFormatting>
  <conditionalFormatting sqref="H2575:I2576 H2579:I2580">
    <cfRule type="expression" dxfId="593" priority="136" stopIfTrue="1">
      <formula>AC2575</formula>
    </cfRule>
  </conditionalFormatting>
  <conditionalFormatting sqref="H2633:I2634">
    <cfRule type="expression" dxfId="592" priority="121" stopIfTrue="1">
      <formula>($AL2633=TRUE)</formula>
    </cfRule>
  </conditionalFormatting>
  <conditionalFormatting sqref="H2659:I2659">
    <cfRule type="expression" dxfId="591" priority="118" stopIfTrue="1">
      <formula>AC2659</formula>
    </cfRule>
  </conditionalFormatting>
  <conditionalFormatting sqref="H2744:I2744 H2752:I2753 H2767:I2770 H2779:I2782 H2793:I2793 I2802:I2803 I2840:I2841 I2843 G2821:I2821 H2822:I2822 H2824:I2824 G2830:I2830 H2831:I2831 H2833:I2833 G2865:I2865 H2866:I2866 H2868:I2868 G2874:I2874 H2875:I2875 H2877:I2877 H2883:I2883 H2889:I2889 H2897:I2898 H2901:I2902 H2806:I2807 H2810:I2811 E2906 L2762 I2764 I2776 L2815 L2894 E2897:E2898 E2901:E2902">
    <cfRule type="expression" dxfId="590" priority="119" stopIfTrue="1">
      <formula>MSconst_RequireSubAttrEmissions</formula>
    </cfRule>
  </conditionalFormatting>
  <conditionalFormatting sqref="H2744:I2744">
    <cfRule type="expression" dxfId="589" priority="113" stopIfTrue="1">
      <formula>AC2744</formula>
    </cfRule>
  </conditionalFormatting>
  <conditionalFormatting sqref="H2752:I2753">
    <cfRule type="expression" dxfId="588" priority="112" stopIfTrue="1">
      <formula>AC2752</formula>
    </cfRule>
  </conditionalFormatting>
  <conditionalFormatting sqref="H2767:I2770 H2779:I2782 H2793:I2793">
    <cfRule type="expression" dxfId="587" priority="111" stopIfTrue="1">
      <formula>AC2767</formula>
    </cfRule>
  </conditionalFormatting>
  <conditionalFormatting sqref="H2821:I2822 H2824:I2824 H2830:I2831 H2833:I2833 I2840:I2841 I2843 H2865:I2866 H2868:I2868 H2874:I2875 H2877:I2877">
    <cfRule type="expression" dxfId="586" priority="108" stopIfTrue="1">
      <formula>AC2821</formula>
    </cfRule>
  </conditionalFormatting>
  <conditionalFormatting sqref="H2883:I2883 H2889:I2889">
    <cfRule type="expression" dxfId="585" priority="107" stopIfTrue="1">
      <formula>AC2883</formula>
    </cfRule>
  </conditionalFormatting>
  <conditionalFormatting sqref="H2897:I2898 H2901:I2902">
    <cfRule type="expression" dxfId="584" priority="106" stopIfTrue="1">
      <formula>AC2897</formula>
    </cfRule>
  </conditionalFormatting>
  <conditionalFormatting sqref="H2955:I2956">
    <cfRule type="expression" dxfId="583" priority="91" stopIfTrue="1">
      <formula>($AL2955=TRUE)</formula>
    </cfRule>
  </conditionalFormatting>
  <conditionalFormatting sqref="H2981:I2981">
    <cfRule type="expression" dxfId="582" priority="88" stopIfTrue="1">
      <formula>AC2981</formula>
    </cfRule>
  </conditionalFormatting>
  <conditionalFormatting sqref="H3066:I3066 H3074:I3075 H3089:I3092 H3101:I3104 H3115:I3115 H3124:I3125 I3162:I3163 I3165 G3143:I3143 H3144:I3144 H3146:I3146 G3152:I3152 H3153:I3153 H3155:I3155 G3187:I3187 H3188:I3188 H3190:I3190 G3196:I3196 H3197:I3197 H3199:I3199 H3205:I3205 H3211:I3211 H3219:I3220 H3223:I3224 H3128:I3129 H3132:I3133 E3228 L3084 I3086 I3098 L3137 L3216 E3219:E3220 E3223:E3224">
    <cfRule type="expression" dxfId="581" priority="89" stopIfTrue="1">
      <formula>MSconst_RequireSubAttrEmissions</formula>
    </cfRule>
  </conditionalFormatting>
  <conditionalFormatting sqref="H3066:I3066">
    <cfRule type="expression" dxfId="580" priority="83" stopIfTrue="1">
      <formula>AC3066</formula>
    </cfRule>
  </conditionalFormatting>
  <conditionalFormatting sqref="H3074:I3075">
    <cfRule type="expression" dxfId="579" priority="82" stopIfTrue="1">
      <formula>AC3074</formula>
    </cfRule>
  </conditionalFormatting>
  <conditionalFormatting sqref="H3089:I3092 H3101:I3104 H3115:I3115">
    <cfRule type="expression" dxfId="578" priority="81" stopIfTrue="1">
      <formula>AC3089</formula>
    </cfRule>
  </conditionalFormatting>
  <conditionalFormatting sqref="H3124:I3124">
    <cfRule type="expression" dxfId="577" priority="80" stopIfTrue="1">
      <formula>$T2947</formula>
    </cfRule>
  </conditionalFormatting>
  <conditionalFormatting sqref="H3124:I3125 H3128:I3129 H3132:I3133">
    <cfRule type="expression" dxfId="576" priority="74" stopIfTrue="1">
      <formula>AC3124</formula>
    </cfRule>
  </conditionalFormatting>
  <conditionalFormatting sqref="H3125:I3125">
    <cfRule type="expression" dxfId="575" priority="75" stopIfTrue="1">
      <formula>$T2947</formula>
    </cfRule>
  </conditionalFormatting>
  <conditionalFormatting sqref="H3143:I3144 H3146:I3146 H3152:I3153 H3155:I3155 I3162:I3163 I3165 H3187:I3188 H3190:I3190 H3196:I3197 H3199:I3199">
    <cfRule type="expression" dxfId="574" priority="78" stopIfTrue="1">
      <formula>AC3143</formula>
    </cfRule>
  </conditionalFormatting>
  <conditionalFormatting sqref="H3205:I3205 H3211:I3211">
    <cfRule type="expression" dxfId="573" priority="77" stopIfTrue="1">
      <formula>AC3205</formula>
    </cfRule>
  </conditionalFormatting>
  <conditionalFormatting sqref="H3219:I3220 H3223:I3224">
    <cfRule type="expression" dxfId="572" priority="76" stopIfTrue="1">
      <formula>AC3219</formula>
    </cfRule>
  </conditionalFormatting>
  <conditionalFormatting sqref="I57 H58:I58">
    <cfRule type="expression" dxfId="571" priority="353" stopIfTrue="1">
      <formula>($AL57=TRUE)</formula>
    </cfRule>
  </conditionalFormatting>
  <conditionalFormatting sqref="I113:I132 E123:G132">
    <cfRule type="expression" dxfId="570" priority="50">
      <formula>$S113</formula>
    </cfRule>
  </conditionalFormatting>
  <conditionalFormatting sqref="I188 I200 I54:I56">
    <cfRule type="expression" dxfId="569" priority="352" stopIfTrue="1">
      <formula>AD54</formula>
    </cfRule>
  </conditionalFormatting>
  <conditionalFormatting sqref="I241">
    <cfRule type="expression" dxfId="568" priority="335" stopIfTrue="1">
      <formula>AD241</formula>
    </cfRule>
    <cfRule type="expression" dxfId="567" priority="334" stopIfTrue="1">
      <formula>MSconst_RequireSubAttrEmissions</formula>
    </cfRule>
  </conditionalFormatting>
  <conditionalFormatting sqref="I250">
    <cfRule type="expression" dxfId="566" priority="333" stopIfTrue="1">
      <formula>AD250</formula>
    </cfRule>
    <cfRule type="expression" dxfId="565" priority="332" stopIfTrue="1">
      <formula>MSconst_RequireSubAttrEmissions</formula>
    </cfRule>
  </conditionalFormatting>
  <conditionalFormatting sqref="I259">
    <cfRule type="expression" dxfId="564" priority="331" stopIfTrue="1">
      <formula>AD259</formula>
    </cfRule>
    <cfRule type="expression" dxfId="563" priority="330" stopIfTrue="1">
      <formula>MSconst_RequireSubAttrEmissions</formula>
    </cfRule>
  </conditionalFormatting>
  <conditionalFormatting sqref="I264:I265 I267">
    <cfRule type="expression" dxfId="562" priority="341" stopIfTrue="1">
      <formula>CNTR_SubPeriod=2</formula>
    </cfRule>
  </conditionalFormatting>
  <conditionalFormatting sqref="I285">
    <cfRule type="expression" dxfId="561" priority="329" stopIfTrue="1">
      <formula>AD285</formula>
    </cfRule>
    <cfRule type="expression" dxfId="560" priority="328" stopIfTrue="1">
      <formula>MSconst_RequireSubAttrEmissions</formula>
    </cfRule>
  </conditionalFormatting>
  <conditionalFormatting sqref="I294">
    <cfRule type="expression" dxfId="559" priority="327" stopIfTrue="1">
      <formula>AD294</formula>
    </cfRule>
    <cfRule type="expression" dxfId="558" priority="326" stopIfTrue="1">
      <formula>MSconst_RequireSubAttrEmissions</formula>
    </cfRule>
  </conditionalFormatting>
  <conditionalFormatting sqref="I435:I454 E445:G454">
    <cfRule type="expression" dxfId="557" priority="49">
      <formula>$S435</formula>
    </cfRule>
  </conditionalFormatting>
  <conditionalFormatting sqref="I510 I522 H376 I376:I377 H378:I378 G465">
    <cfRule type="expression" dxfId="556" priority="322" stopIfTrue="1">
      <formula>AB376</formula>
    </cfRule>
  </conditionalFormatting>
  <conditionalFormatting sqref="I563">
    <cfRule type="expression" dxfId="555" priority="305" stopIfTrue="1">
      <formula>AD563</formula>
    </cfRule>
    <cfRule type="expression" dxfId="554" priority="304" stopIfTrue="1">
      <formula>MSconst_RequireSubAttrEmissions</formula>
    </cfRule>
  </conditionalFormatting>
  <conditionalFormatting sqref="I572">
    <cfRule type="expression" dxfId="553" priority="303" stopIfTrue="1">
      <formula>AD572</formula>
    </cfRule>
    <cfRule type="expression" dxfId="552" priority="302" stopIfTrue="1">
      <formula>MSconst_RequireSubAttrEmissions</formula>
    </cfRule>
  </conditionalFormatting>
  <conditionalFormatting sqref="I581">
    <cfRule type="expression" dxfId="551" priority="301" stopIfTrue="1">
      <formula>AD581</formula>
    </cfRule>
    <cfRule type="expression" dxfId="550" priority="300" stopIfTrue="1">
      <formula>MSconst_RequireSubAttrEmissions</formula>
    </cfRule>
  </conditionalFormatting>
  <conditionalFormatting sqref="I607">
    <cfRule type="expression" dxfId="549" priority="299" stopIfTrue="1">
      <formula>AD607</formula>
    </cfRule>
    <cfRule type="expression" dxfId="548" priority="298" stopIfTrue="1">
      <formula>MSconst_RequireSubAttrEmissions</formula>
    </cfRule>
  </conditionalFormatting>
  <conditionalFormatting sqref="I616">
    <cfRule type="expression" dxfId="547" priority="296" stopIfTrue="1">
      <formula>MSconst_RequireSubAttrEmissions</formula>
    </cfRule>
    <cfRule type="expression" dxfId="546" priority="297" stopIfTrue="1">
      <formula>AD616</formula>
    </cfRule>
  </conditionalFormatting>
  <conditionalFormatting sqref="I757:I776 E767:G776">
    <cfRule type="expression" dxfId="545" priority="48">
      <formula>$S757</formula>
    </cfRule>
  </conditionalFormatting>
  <conditionalFormatting sqref="I832 I844 H698 I698:I699 H700:I700 G787">
    <cfRule type="expression" dxfId="544" priority="292" stopIfTrue="1">
      <formula>AB698</formula>
    </cfRule>
  </conditionalFormatting>
  <conditionalFormatting sqref="I870">
    <cfRule type="expression" dxfId="543" priority="285" stopIfTrue="1">
      <formula>$T693</formula>
    </cfRule>
  </conditionalFormatting>
  <conditionalFormatting sqref="I870:I871 H874:I875 H878:I879">
    <cfRule type="expression" dxfId="542" priority="279" stopIfTrue="1">
      <formula>AC870</formula>
    </cfRule>
  </conditionalFormatting>
  <conditionalFormatting sqref="I871">
    <cfRule type="expression" dxfId="541" priority="280" stopIfTrue="1">
      <formula>$T693</formula>
    </cfRule>
  </conditionalFormatting>
  <conditionalFormatting sqref="I885">
    <cfRule type="expression" dxfId="540" priority="278" stopIfTrue="1">
      <formula>AD885</formula>
    </cfRule>
    <cfRule type="expression" dxfId="539" priority="277" stopIfTrue="1">
      <formula>MSconst_RequireSubAttrEmissions</formula>
    </cfRule>
  </conditionalFormatting>
  <conditionalFormatting sqref="I894">
    <cfRule type="expression" dxfId="538" priority="276" stopIfTrue="1">
      <formula>AD894</formula>
    </cfRule>
    <cfRule type="expression" dxfId="537" priority="275" stopIfTrue="1">
      <formula>MSconst_RequireSubAttrEmissions</formula>
    </cfRule>
  </conditionalFormatting>
  <conditionalFormatting sqref="I903">
    <cfRule type="expression" dxfId="536" priority="274" stopIfTrue="1">
      <formula>AD903</formula>
    </cfRule>
    <cfRule type="expression" dxfId="535" priority="273" stopIfTrue="1">
      <formula>MSconst_RequireSubAttrEmissions</formula>
    </cfRule>
  </conditionalFormatting>
  <conditionalFormatting sqref="I908:I909 I911">
    <cfRule type="expression" dxfId="534" priority="284" stopIfTrue="1">
      <formula>CNTR_SubPeriod=2</formula>
    </cfRule>
  </conditionalFormatting>
  <conditionalFormatting sqref="I929">
    <cfRule type="expression" dxfId="533" priority="272" stopIfTrue="1">
      <formula>AD929</formula>
    </cfRule>
    <cfRule type="expression" dxfId="532" priority="271" stopIfTrue="1">
      <formula>MSconst_RequireSubAttrEmissions</formula>
    </cfRule>
  </conditionalFormatting>
  <conditionalFormatting sqref="I938">
    <cfRule type="expression" dxfId="531" priority="269" stopIfTrue="1">
      <formula>MSconst_RequireSubAttrEmissions</formula>
    </cfRule>
    <cfRule type="expression" dxfId="530" priority="270" stopIfTrue="1">
      <formula>AD938</formula>
    </cfRule>
  </conditionalFormatting>
  <conditionalFormatting sqref="I987 H988:I988">
    <cfRule type="expression" dxfId="529" priority="267" stopIfTrue="1">
      <formula>AC987</formula>
    </cfRule>
  </conditionalFormatting>
  <conditionalFormatting sqref="I1079:I1098 E1089:G1098">
    <cfRule type="expression" dxfId="528" priority="47">
      <formula>$S1079</formula>
    </cfRule>
  </conditionalFormatting>
  <conditionalFormatting sqref="I1154 I1166 H1020 I1020:I1021 H1022:I1022 G1109">
    <cfRule type="expression" dxfId="527" priority="265" stopIfTrue="1">
      <formula>AB1020</formula>
    </cfRule>
  </conditionalFormatting>
  <conditionalFormatting sqref="I1192">
    <cfRule type="expression" dxfId="526" priority="255" stopIfTrue="1">
      <formula>$T1015</formula>
    </cfRule>
  </conditionalFormatting>
  <conditionalFormatting sqref="I1192:I1193 H1196:I1197 H1200:I1201">
    <cfRule type="expression" dxfId="525" priority="249" stopIfTrue="1">
      <formula>AC1192</formula>
    </cfRule>
  </conditionalFormatting>
  <conditionalFormatting sqref="I1193">
    <cfRule type="expression" dxfId="524" priority="250" stopIfTrue="1">
      <formula>$T1015</formula>
    </cfRule>
  </conditionalFormatting>
  <conditionalFormatting sqref="I1207">
    <cfRule type="expression" dxfId="523" priority="247" stopIfTrue="1">
      <formula>MSconst_RequireSubAttrEmissions</formula>
    </cfRule>
    <cfRule type="expression" dxfId="522" priority="248" stopIfTrue="1">
      <formula>AD1207</formula>
    </cfRule>
  </conditionalFormatting>
  <conditionalFormatting sqref="I1216">
    <cfRule type="expression" dxfId="521" priority="245" stopIfTrue="1">
      <formula>MSconst_RequireSubAttrEmissions</formula>
    </cfRule>
    <cfRule type="expression" dxfId="520" priority="246" stopIfTrue="1">
      <formula>AD1216</formula>
    </cfRule>
  </conditionalFormatting>
  <conditionalFormatting sqref="I1225">
    <cfRule type="expression" dxfId="519" priority="244" stopIfTrue="1">
      <formula>AD1225</formula>
    </cfRule>
    <cfRule type="expression" dxfId="518" priority="243" stopIfTrue="1">
      <formula>MSconst_RequireSubAttrEmissions</formula>
    </cfRule>
  </conditionalFormatting>
  <conditionalFormatting sqref="I1230:I1231 I1233">
    <cfRule type="expression" dxfId="517" priority="254" stopIfTrue="1">
      <formula>CNTR_SubPeriod=2</formula>
    </cfRule>
  </conditionalFormatting>
  <conditionalFormatting sqref="I1251">
    <cfRule type="expression" dxfId="516" priority="242" stopIfTrue="1">
      <formula>AD1251</formula>
    </cfRule>
    <cfRule type="expression" dxfId="515" priority="241" stopIfTrue="1">
      <formula>MSconst_RequireSubAttrEmissions</formula>
    </cfRule>
  </conditionalFormatting>
  <conditionalFormatting sqref="I1260">
    <cfRule type="expression" dxfId="514" priority="239" stopIfTrue="1">
      <formula>MSconst_RequireSubAttrEmissions</formula>
    </cfRule>
    <cfRule type="expression" dxfId="513" priority="240" stopIfTrue="1">
      <formula>AD1260</formula>
    </cfRule>
  </conditionalFormatting>
  <conditionalFormatting sqref="I1401:I1420 E1411:G1420">
    <cfRule type="expression" dxfId="512" priority="46">
      <formula>$S1401</formula>
    </cfRule>
  </conditionalFormatting>
  <conditionalFormatting sqref="I1476 I1488 I1342:I1344 G1431">
    <cfRule type="expression" dxfId="511" priority="235" stopIfTrue="1">
      <formula>AB1342</formula>
    </cfRule>
  </conditionalFormatting>
  <conditionalFormatting sqref="I1529">
    <cfRule type="expression" dxfId="510" priority="218" stopIfTrue="1">
      <formula>MSconst_RequireSubAttrEmissions</formula>
    </cfRule>
    <cfRule type="expression" dxfId="509" priority="219" stopIfTrue="1">
      <formula>AD1529</formula>
    </cfRule>
  </conditionalFormatting>
  <conditionalFormatting sqref="I1538">
    <cfRule type="expression" dxfId="508" priority="217" stopIfTrue="1">
      <formula>AD1538</formula>
    </cfRule>
    <cfRule type="expression" dxfId="507" priority="216" stopIfTrue="1">
      <formula>MSconst_RequireSubAttrEmissions</formula>
    </cfRule>
  </conditionalFormatting>
  <conditionalFormatting sqref="I1547">
    <cfRule type="expression" dxfId="506" priority="215" stopIfTrue="1">
      <formula>AD1547</formula>
    </cfRule>
    <cfRule type="expression" dxfId="505" priority="214" stopIfTrue="1">
      <formula>MSconst_RequireSubAttrEmissions</formula>
    </cfRule>
  </conditionalFormatting>
  <conditionalFormatting sqref="I1552:I1553 I1555">
    <cfRule type="expression" dxfId="504" priority="225" stopIfTrue="1">
      <formula>CNTR_SubPeriod=2</formula>
    </cfRule>
  </conditionalFormatting>
  <conditionalFormatting sqref="I1573">
    <cfRule type="expression" dxfId="503" priority="213" stopIfTrue="1">
      <formula>AD1573</formula>
    </cfRule>
    <cfRule type="expression" dxfId="502" priority="212" stopIfTrue="1">
      <formula>MSconst_RequireSubAttrEmissions</formula>
    </cfRule>
  </conditionalFormatting>
  <conditionalFormatting sqref="I1582">
    <cfRule type="expression" dxfId="501" priority="210" stopIfTrue="1">
      <formula>MSconst_RequireSubAttrEmissions</formula>
    </cfRule>
    <cfRule type="expression" dxfId="500" priority="211" stopIfTrue="1">
      <formula>AD1582</formula>
    </cfRule>
  </conditionalFormatting>
  <conditionalFormatting sqref="I1723:I1742 E1733:G1742">
    <cfRule type="expression" dxfId="499" priority="45">
      <formula>$S1723</formula>
    </cfRule>
  </conditionalFormatting>
  <conditionalFormatting sqref="I1798 I1810 I1664:I1666 G1753">
    <cfRule type="expression" dxfId="498" priority="206" stopIfTrue="1">
      <formula>AB1664</formula>
    </cfRule>
  </conditionalFormatting>
  <conditionalFormatting sqref="I1851">
    <cfRule type="expression" dxfId="497" priority="191" stopIfTrue="1">
      <formula>AD1851</formula>
    </cfRule>
    <cfRule type="expression" dxfId="496" priority="190" stopIfTrue="1">
      <formula>MSconst_RequireSubAttrEmissions</formula>
    </cfRule>
  </conditionalFormatting>
  <conditionalFormatting sqref="I1860">
    <cfRule type="expression" dxfId="495" priority="188" stopIfTrue="1">
      <formula>MSconst_RequireSubAttrEmissions</formula>
    </cfRule>
    <cfRule type="expression" dxfId="494" priority="189" stopIfTrue="1">
      <formula>AD1860</formula>
    </cfRule>
  </conditionalFormatting>
  <conditionalFormatting sqref="I1869">
    <cfRule type="expression" dxfId="493" priority="186" stopIfTrue="1">
      <formula>MSconst_RequireSubAttrEmissions</formula>
    </cfRule>
    <cfRule type="expression" dxfId="492" priority="187" stopIfTrue="1">
      <formula>AD1869</formula>
    </cfRule>
  </conditionalFormatting>
  <conditionalFormatting sqref="I1874:I1875 I1877">
    <cfRule type="expression" dxfId="491" priority="197" stopIfTrue="1">
      <formula>CNTR_SubPeriod=2</formula>
    </cfRule>
  </conditionalFormatting>
  <conditionalFormatting sqref="I1895">
    <cfRule type="expression" dxfId="490" priority="184" stopIfTrue="1">
      <formula>MSconst_RequireSubAttrEmissions</formula>
    </cfRule>
    <cfRule type="expression" dxfId="489" priority="185" stopIfTrue="1">
      <formula>AD1895</formula>
    </cfRule>
  </conditionalFormatting>
  <conditionalFormatting sqref="I1904">
    <cfRule type="expression" dxfId="488" priority="182" stopIfTrue="1">
      <formula>MSconst_RequireSubAttrEmissions</formula>
    </cfRule>
    <cfRule type="expression" dxfId="487" priority="183" stopIfTrue="1">
      <formula>AD1904</formula>
    </cfRule>
  </conditionalFormatting>
  <conditionalFormatting sqref="I1953 H1954:I1954">
    <cfRule type="expression" dxfId="486" priority="180" stopIfTrue="1">
      <formula>AC1953</formula>
    </cfRule>
  </conditionalFormatting>
  <conditionalFormatting sqref="I2045:I2064 E2055:G2064">
    <cfRule type="expression" dxfId="485" priority="44">
      <formula>$S2045</formula>
    </cfRule>
  </conditionalFormatting>
  <conditionalFormatting sqref="I2120 I2132 I1986:I1988 G2075">
    <cfRule type="expression" dxfId="484" priority="178" stopIfTrue="1">
      <formula>AB1986</formula>
    </cfRule>
  </conditionalFormatting>
  <conditionalFormatting sqref="I2173">
    <cfRule type="expression" dxfId="483" priority="162" stopIfTrue="1">
      <formula>MSconst_RequireSubAttrEmissions</formula>
    </cfRule>
    <cfRule type="expression" dxfId="482" priority="163" stopIfTrue="1">
      <formula>AD2173</formula>
    </cfRule>
  </conditionalFormatting>
  <conditionalFormatting sqref="I2182">
    <cfRule type="expression" dxfId="481" priority="160" stopIfTrue="1">
      <formula>MSconst_RequireSubAttrEmissions</formula>
    </cfRule>
    <cfRule type="expression" dxfId="480" priority="161" stopIfTrue="1">
      <formula>AD2182</formula>
    </cfRule>
  </conditionalFormatting>
  <conditionalFormatting sqref="I2191">
    <cfRule type="expression" dxfId="479" priority="159" stopIfTrue="1">
      <formula>AD2191</formula>
    </cfRule>
    <cfRule type="expression" dxfId="478" priority="158" stopIfTrue="1">
      <formula>MSconst_RequireSubAttrEmissions</formula>
    </cfRule>
  </conditionalFormatting>
  <conditionalFormatting sqref="I2196:I2197 I2199">
    <cfRule type="expression" dxfId="477" priority="169" stopIfTrue="1">
      <formula>CNTR_SubPeriod=2</formula>
    </cfRule>
  </conditionalFormatting>
  <conditionalFormatting sqref="I2217">
    <cfRule type="expression" dxfId="476" priority="156" stopIfTrue="1">
      <formula>MSconst_RequireSubAttrEmissions</formula>
    </cfRule>
    <cfRule type="expression" dxfId="475" priority="157" stopIfTrue="1">
      <formula>AD2217</formula>
    </cfRule>
  </conditionalFormatting>
  <conditionalFormatting sqref="I2226">
    <cfRule type="expression" dxfId="474" priority="155" stopIfTrue="1">
      <formula>AD2226</formula>
    </cfRule>
    <cfRule type="expression" dxfId="473" priority="154" stopIfTrue="1">
      <formula>MSconst_RequireSubAttrEmissions</formula>
    </cfRule>
  </conditionalFormatting>
  <conditionalFormatting sqref="I2275 H2276:I2276">
    <cfRule type="expression" dxfId="472" priority="152" stopIfTrue="1">
      <formula>AC2275</formula>
    </cfRule>
  </conditionalFormatting>
  <conditionalFormatting sqref="I2367:I2386 E2377:G2386">
    <cfRule type="expression" dxfId="471" priority="43">
      <formula>$S2367</formula>
    </cfRule>
  </conditionalFormatting>
  <conditionalFormatting sqref="I2442 I2454 I2308:I2310 G2397">
    <cfRule type="expression" dxfId="470" priority="150" stopIfTrue="1">
      <formula>AB2308</formula>
    </cfRule>
  </conditionalFormatting>
  <conditionalFormatting sqref="I2480">
    <cfRule type="expression" dxfId="469" priority="140" stopIfTrue="1">
      <formula>$T2303</formula>
    </cfRule>
  </conditionalFormatting>
  <conditionalFormatting sqref="I2480:I2481 H2484:I2485 H2488:I2489">
    <cfRule type="expression" dxfId="468" priority="134" stopIfTrue="1">
      <formula>AC2480</formula>
    </cfRule>
  </conditionalFormatting>
  <conditionalFormatting sqref="I2481">
    <cfRule type="expression" dxfId="467" priority="135" stopIfTrue="1">
      <formula>$T2303</formula>
    </cfRule>
  </conditionalFormatting>
  <conditionalFormatting sqref="I2495">
    <cfRule type="expression" dxfId="466" priority="133" stopIfTrue="1">
      <formula>AD2495</formula>
    </cfRule>
    <cfRule type="expression" dxfId="465" priority="132" stopIfTrue="1">
      <formula>MSconst_RequireSubAttrEmissions</formula>
    </cfRule>
  </conditionalFormatting>
  <conditionalFormatting sqref="I2504">
    <cfRule type="expression" dxfId="464" priority="130" stopIfTrue="1">
      <formula>MSconst_RequireSubAttrEmissions</formula>
    </cfRule>
    <cfRule type="expression" dxfId="463" priority="131" stopIfTrue="1">
      <formula>AD2504</formula>
    </cfRule>
  </conditionalFormatting>
  <conditionalFormatting sqref="I2513">
    <cfRule type="expression" dxfId="462" priority="128" stopIfTrue="1">
      <formula>MSconst_RequireSubAttrEmissions</formula>
    </cfRule>
    <cfRule type="expression" dxfId="461" priority="129" stopIfTrue="1">
      <formula>AD2513</formula>
    </cfRule>
  </conditionalFormatting>
  <conditionalFormatting sqref="I2518:I2519 I2521">
    <cfRule type="expression" dxfId="460" priority="139" stopIfTrue="1">
      <formula>CNTR_SubPeriod=2</formula>
    </cfRule>
  </conditionalFormatting>
  <conditionalFormatting sqref="I2539">
    <cfRule type="expression" dxfId="459" priority="126" stopIfTrue="1">
      <formula>MSconst_RequireSubAttrEmissions</formula>
    </cfRule>
    <cfRule type="expression" dxfId="458" priority="127" stopIfTrue="1">
      <formula>AD2539</formula>
    </cfRule>
  </conditionalFormatting>
  <conditionalFormatting sqref="I2548">
    <cfRule type="expression" dxfId="457" priority="125" stopIfTrue="1">
      <formula>AD2548</formula>
    </cfRule>
    <cfRule type="expression" dxfId="456" priority="124" stopIfTrue="1">
      <formula>MSconst_RequireSubAttrEmissions</formula>
    </cfRule>
  </conditionalFormatting>
  <conditionalFormatting sqref="I2597 H2598:I2598">
    <cfRule type="expression" dxfId="455" priority="122" stopIfTrue="1">
      <formula>AC2597</formula>
    </cfRule>
  </conditionalFormatting>
  <conditionalFormatting sqref="I2689:I2708 E2699:G2708">
    <cfRule type="expression" dxfId="454" priority="42">
      <formula>$S2689</formula>
    </cfRule>
  </conditionalFormatting>
  <conditionalFormatting sqref="I2764 I2776 I2630:I2632 G2719">
    <cfRule type="expression" dxfId="453" priority="120" stopIfTrue="1">
      <formula>AB2630</formula>
    </cfRule>
  </conditionalFormatting>
  <conditionalFormatting sqref="I2802">
    <cfRule type="expression" dxfId="452" priority="110" stopIfTrue="1">
      <formula>$T2625</formula>
    </cfRule>
  </conditionalFormatting>
  <conditionalFormatting sqref="I2802:I2803 H2806:I2807 H2810:I2811">
    <cfRule type="expression" dxfId="451" priority="104" stopIfTrue="1">
      <formula>AC2802</formula>
    </cfRule>
  </conditionalFormatting>
  <conditionalFormatting sqref="I2803">
    <cfRule type="expression" dxfId="450" priority="105" stopIfTrue="1">
      <formula>$T2625</formula>
    </cfRule>
  </conditionalFormatting>
  <conditionalFormatting sqref="I2817">
    <cfRule type="expression" dxfId="449" priority="103" stopIfTrue="1">
      <formula>AD2817</formula>
    </cfRule>
    <cfRule type="expression" dxfId="448" priority="102" stopIfTrue="1">
      <formula>MSconst_RequireSubAttrEmissions</formula>
    </cfRule>
  </conditionalFormatting>
  <conditionalFormatting sqref="I2826">
    <cfRule type="expression" dxfId="447" priority="101" stopIfTrue="1">
      <formula>AD2826</formula>
    </cfRule>
    <cfRule type="expression" dxfId="446" priority="100" stopIfTrue="1">
      <formula>MSconst_RequireSubAttrEmissions</formula>
    </cfRule>
  </conditionalFormatting>
  <conditionalFormatting sqref="I2835">
    <cfRule type="expression" dxfId="445" priority="99" stopIfTrue="1">
      <formula>AD2835</formula>
    </cfRule>
    <cfRule type="expression" dxfId="444" priority="98" stopIfTrue="1">
      <formula>MSconst_RequireSubAttrEmissions</formula>
    </cfRule>
  </conditionalFormatting>
  <conditionalFormatting sqref="I2840:I2841 I2843">
    <cfRule type="expression" dxfId="443" priority="109" stopIfTrue="1">
      <formula>CNTR_SubPeriod=2</formula>
    </cfRule>
  </conditionalFormatting>
  <conditionalFormatting sqref="I2861">
    <cfRule type="expression" dxfId="442" priority="97" stopIfTrue="1">
      <formula>AD2861</formula>
    </cfRule>
    <cfRule type="expression" dxfId="441" priority="96" stopIfTrue="1">
      <formula>MSconst_RequireSubAttrEmissions</formula>
    </cfRule>
  </conditionalFormatting>
  <conditionalFormatting sqref="I2870">
    <cfRule type="expression" dxfId="440" priority="95" stopIfTrue="1">
      <formula>AD2870</formula>
    </cfRule>
    <cfRule type="expression" dxfId="439" priority="94" stopIfTrue="1">
      <formula>MSconst_RequireSubAttrEmissions</formula>
    </cfRule>
  </conditionalFormatting>
  <conditionalFormatting sqref="I2919 H2920:I2920">
    <cfRule type="expression" dxfId="438" priority="92" stopIfTrue="1">
      <formula>AC2919</formula>
    </cfRule>
  </conditionalFormatting>
  <conditionalFormatting sqref="I3011:I3030 E3021:G3030">
    <cfRule type="expression" dxfId="437" priority="41">
      <formula>$S3011</formula>
    </cfRule>
  </conditionalFormatting>
  <conditionalFormatting sqref="I3086 I3098 I2952:I2954 G3041">
    <cfRule type="expression" dxfId="436" priority="90" stopIfTrue="1">
      <formula>AB2952</formula>
    </cfRule>
  </conditionalFormatting>
  <conditionalFormatting sqref="I3139">
    <cfRule type="expression" dxfId="435" priority="72" stopIfTrue="1">
      <formula>MSconst_RequireSubAttrEmissions</formula>
    </cfRule>
    <cfRule type="expression" dxfId="434" priority="73" stopIfTrue="1">
      <formula>AD3139</formula>
    </cfRule>
  </conditionalFormatting>
  <conditionalFormatting sqref="I3148">
    <cfRule type="expression" dxfId="433" priority="70" stopIfTrue="1">
      <formula>MSconst_RequireSubAttrEmissions</formula>
    </cfRule>
    <cfRule type="expression" dxfId="432" priority="71" stopIfTrue="1">
      <formula>AD3148</formula>
    </cfRule>
  </conditionalFormatting>
  <conditionalFormatting sqref="I3157">
    <cfRule type="expression" dxfId="431" priority="68" stopIfTrue="1">
      <formula>MSconst_RequireSubAttrEmissions</formula>
    </cfRule>
    <cfRule type="expression" dxfId="430" priority="69" stopIfTrue="1">
      <formula>AD3157</formula>
    </cfRule>
  </conditionalFormatting>
  <conditionalFormatting sqref="I3162:I3163 I3165">
    <cfRule type="expression" dxfId="429" priority="79" stopIfTrue="1">
      <formula>CNTR_SubPeriod=2</formula>
    </cfRule>
  </conditionalFormatting>
  <conditionalFormatting sqref="I3183">
    <cfRule type="expression" dxfId="428" priority="67" stopIfTrue="1">
      <formula>AD3183</formula>
    </cfRule>
    <cfRule type="expression" dxfId="427" priority="66" stopIfTrue="1">
      <formula>MSconst_RequireSubAttrEmissions</formula>
    </cfRule>
  </conditionalFormatting>
  <conditionalFormatting sqref="I3192">
    <cfRule type="expression" dxfId="426" priority="64" stopIfTrue="1">
      <formula>MSconst_RequireSubAttrEmissions</formula>
    </cfRule>
    <cfRule type="expression" dxfId="425" priority="65" stopIfTrue="1">
      <formula>AD3192</formula>
    </cfRule>
  </conditionalFormatting>
  <conditionalFormatting sqref="J393">
    <cfRule type="cellIs" dxfId="424" priority="318" stopIfTrue="1" operator="equal">
      <formula>TRUE</formula>
    </cfRule>
  </conditionalFormatting>
  <conditionalFormatting sqref="J418">
    <cfRule type="cellIs" dxfId="423" priority="317" stopIfTrue="1" operator="equal">
      <formula>TRUE</formula>
    </cfRule>
  </conditionalFormatting>
  <conditionalFormatting sqref="J601">
    <cfRule type="cellIs" dxfId="422" priority="316" stopIfTrue="1" operator="equal">
      <formula>TRUE</formula>
    </cfRule>
  </conditionalFormatting>
  <conditionalFormatting sqref="J715">
    <cfRule type="cellIs" dxfId="421" priority="289" stopIfTrue="1" operator="equal">
      <formula>TRUE</formula>
    </cfRule>
  </conditionalFormatting>
  <conditionalFormatting sqref="J740">
    <cfRule type="cellIs" dxfId="420" priority="40" stopIfTrue="1" operator="equal">
      <formula>TRUE</formula>
    </cfRule>
  </conditionalFormatting>
  <conditionalFormatting sqref="J923">
    <cfRule type="cellIs" dxfId="419" priority="38" stopIfTrue="1" operator="equal">
      <formula>TRUE</formula>
    </cfRule>
  </conditionalFormatting>
  <conditionalFormatting sqref="J1007">
    <cfRule type="cellIs" dxfId="418" priority="262" stopIfTrue="1" operator="equal">
      <formula>TRUE</formula>
    </cfRule>
  </conditionalFormatting>
  <conditionalFormatting sqref="J1037">
    <cfRule type="cellIs" dxfId="417" priority="261" stopIfTrue="1" operator="equal">
      <formula>TRUE</formula>
    </cfRule>
  </conditionalFormatting>
  <conditionalFormatting sqref="J1062">
    <cfRule type="cellIs" dxfId="416" priority="260" stopIfTrue="1" operator="equal">
      <formula>TRUE</formula>
    </cfRule>
  </conditionalFormatting>
  <conditionalFormatting sqref="J1245">
    <cfRule type="cellIs" dxfId="415" priority="259" stopIfTrue="1" operator="equal">
      <formula>TRUE</formula>
    </cfRule>
  </conditionalFormatting>
  <conditionalFormatting sqref="J1329">
    <cfRule type="cellIs" dxfId="414" priority="232" stopIfTrue="1" operator="equal">
      <formula>TRUE</formula>
    </cfRule>
  </conditionalFormatting>
  <conditionalFormatting sqref="J1359">
    <cfRule type="cellIs" dxfId="413" priority="231" stopIfTrue="1" operator="equal">
      <formula>TRUE</formula>
    </cfRule>
  </conditionalFormatting>
  <conditionalFormatting sqref="J1384">
    <cfRule type="cellIs" dxfId="412" priority="230" stopIfTrue="1" operator="equal">
      <formula>TRUE</formula>
    </cfRule>
  </conditionalFormatting>
  <conditionalFormatting sqref="J1567">
    <cfRule type="cellIs" dxfId="411" priority="36" stopIfTrue="1" operator="equal">
      <formula>TRUE</formula>
    </cfRule>
  </conditionalFormatting>
  <conditionalFormatting sqref="J1651">
    <cfRule type="cellIs" dxfId="410" priority="203" stopIfTrue="1" operator="equal">
      <formula>TRUE</formula>
    </cfRule>
  </conditionalFormatting>
  <conditionalFormatting sqref="J1681">
    <cfRule type="cellIs" dxfId="409" priority="30" stopIfTrue="1" operator="equal">
      <formula>TRUE</formula>
    </cfRule>
  </conditionalFormatting>
  <conditionalFormatting sqref="J1706">
    <cfRule type="cellIs" dxfId="408" priority="202" stopIfTrue="1" operator="equal">
      <formula>TRUE</formula>
    </cfRule>
  </conditionalFormatting>
  <conditionalFormatting sqref="J1889">
    <cfRule type="cellIs" dxfId="407" priority="34" stopIfTrue="1" operator="equal">
      <formula>TRUE</formula>
    </cfRule>
  </conditionalFormatting>
  <conditionalFormatting sqref="J1973">
    <cfRule type="cellIs" dxfId="406" priority="28" stopIfTrue="1" operator="equal">
      <formula>TRUE</formula>
    </cfRule>
  </conditionalFormatting>
  <conditionalFormatting sqref="J2003">
    <cfRule type="cellIs" dxfId="405" priority="175" stopIfTrue="1" operator="equal">
      <formula>TRUE</formula>
    </cfRule>
  </conditionalFormatting>
  <conditionalFormatting sqref="J2028">
    <cfRule type="cellIs" dxfId="404" priority="174" stopIfTrue="1" operator="equal">
      <formula>TRUE</formula>
    </cfRule>
  </conditionalFormatting>
  <conditionalFormatting sqref="J2211">
    <cfRule type="cellIs" dxfId="403" priority="32" stopIfTrue="1" operator="equal">
      <formula>TRUE</formula>
    </cfRule>
  </conditionalFormatting>
  <conditionalFormatting sqref="J2295">
    <cfRule type="cellIs" dxfId="402" priority="147" stopIfTrue="1" operator="equal">
      <formula>TRUE</formula>
    </cfRule>
  </conditionalFormatting>
  <conditionalFormatting sqref="J2325">
    <cfRule type="cellIs" dxfId="401" priority="146" stopIfTrue="1" operator="equal">
      <formula>TRUE</formula>
    </cfRule>
  </conditionalFormatting>
  <conditionalFormatting sqref="J2350">
    <cfRule type="cellIs" dxfId="400" priority="145" stopIfTrue="1" operator="equal">
      <formula>TRUE</formula>
    </cfRule>
  </conditionalFormatting>
  <conditionalFormatting sqref="J2533">
    <cfRule type="cellIs" dxfId="399" priority="144" stopIfTrue="1" operator="equal">
      <formula>TRUE</formula>
    </cfRule>
  </conditionalFormatting>
  <conditionalFormatting sqref="J2617">
    <cfRule type="cellIs" dxfId="398" priority="117" stopIfTrue="1" operator="equal">
      <formula>TRUE</formula>
    </cfRule>
  </conditionalFormatting>
  <conditionalFormatting sqref="J2647">
    <cfRule type="cellIs" dxfId="397" priority="116" stopIfTrue="1" operator="equal">
      <formula>TRUE</formula>
    </cfRule>
  </conditionalFormatting>
  <conditionalFormatting sqref="J2672">
    <cfRule type="cellIs" dxfId="396" priority="115" stopIfTrue="1" operator="equal">
      <formula>TRUE</formula>
    </cfRule>
  </conditionalFormatting>
  <conditionalFormatting sqref="J2855">
    <cfRule type="cellIs" dxfId="395" priority="114" stopIfTrue="1" operator="equal">
      <formula>TRUE</formula>
    </cfRule>
  </conditionalFormatting>
  <conditionalFormatting sqref="J2939">
    <cfRule type="cellIs" dxfId="394" priority="87" stopIfTrue="1" operator="equal">
      <formula>TRUE</formula>
    </cfRule>
  </conditionalFormatting>
  <conditionalFormatting sqref="J2969">
    <cfRule type="cellIs" dxfId="393" priority="86" stopIfTrue="1" operator="equal">
      <formula>TRUE</formula>
    </cfRule>
  </conditionalFormatting>
  <conditionalFormatting sqref="J2994">
    <cfRule type="cellIs" dxfId="392" priority="85" stopIfTrue="1" operator="equal">
      <formula>TRUE</formula>
    </cfRule>
  </conditionalFormatting>
  <conditionalFormatting sqref="J3177">
    <cfRule type="cellIs" dxfId="391" priority="84" stopIfTrue="1" operator="equal">
      <formula>TRUE</formula>
    </cfRule>
  </conditionalFormatting>
  <conditionalFormatting sqref="J41:N41">
    <cfRule type="cellIs" dxfId="390" priority="349" stopIfTrue="1" operator="equal">
      <formula>TRUE</formula>
    </cfRule>
  </conditionalFormatting>
  <conditionalFormatting sqref="J71:N71">
    <cfRule type="cellIs" dxfId="389" priority="348" stopIfTrue="1" operator="equal">
      <formula>TRUE</formula>
    </cfRule>
  </conditionalFormatting>
  <conditionalFormatting sqref="J96:N96">
    <cfRule type="cellIs" dxfId="388" priority="347" stopIfTrue="1" operator="equal">
      <formula>TRUE</formula>
    </cfRule>
  </conditionalFormatting>
  <conditionalFormatting sqref="J279:N279">
    <cfRule type="cellIs" dxfId="387" priority="346" stopIfTrue="1" operator="equal">
      <formula>TRUE</formula>
    </cfRule>
  </conditionalFormatting>
  <conditionalFormatting sqref="J363:N363">
    <cfRule type="cellIs" dxfId="386" priority="319" stopIfTrue="1" operator="equal">
      <formula>TRUE</formula>
    </cfRule>
  </conditionalFormatting>
  <conditionalFormatting sqref="P2">
    <cfRule type="expression" dxfId="385" priority="1334" stopIfTrue="1">
      <formula>INDEX($G$3258:$G$3267,MATCH("BM"&amp;Z2,$F$3258:$F$3267,0))</formula>
    </cfRule>
  </conditionalFormatting>
  <dataValidations count="6">
    <dataValidation type="list" allowBlank="1" showInputMessage="1" showErrorMessage="1" sqref="L186 L239 L318 L2762 L2815 L2894 L508 L561 L640 L830 L883 L962 L1152 L1205 L1284 L1474 L1527 L1606 L1796 L1849 L1928 L2118 L2171 L2250 L2440 L2493 L2572 L3084 L3137 L3216" xr:uid="{00000000-0002-0000-0800-000000000000}">
      <formula1>Euconst_TrueFalse</formula1>
    </dataValidation>
    <dataValidation type="list" allowBlank="1" showInputMessage="1" showErrorMessage="1" sqref="G245 G289 G298 G264 G254 G2821 G2840 G2865 G2830 G2552 G567 G586 G611 G576 G2874 G889 G908 G933 G898 G620 G1211 G1230 G1255 G1220 G942 G1533 G1552 G1577 G1542 G1264 G1855 G1874 G1899 G1864 G1586 G2177 G2196 G2221 G2186 G1908 G2499 G2518 G2543 G2508 G2230 G3143 G3162 G3187 G3152 G3196" xr:uid="{00000000-0002-0000-0800-000001000000}">
      <formula1>EUconst_TonnesOrkNm3pa</formula1>
    </dataValidation>
    <dataValidation type="list" allowBlank="1" showInputMessage="1" showErrorMessage="1" sqref="G321:G322 E321:E322 E325:E326 G325:G326 G2897:G2898 E2897:E2898 E2901:E2902 G2901:G2902 G643:G644 E643:E644 E647:E648 G647:G648 G965:G966 E965:E966 E969:E970 G969:G970 G1287:G1288 E1287:E1288 E1291:E1292 G1291:G1292 G1609:G1610 E1609:E1610 E1613:E1614 G1613:G1614 G1931:G1932 E1931:E1932 E1935:E1936 G1935:G1936 G2253:G2254 E2253:E2254 E2257:E2258 G2257:G2258 G2575:G2576 E2575:E2576 E2579:E2580 G2579:G2580 G3219:G3220 E3219:E3220 E3223:E3224 G3223:G3224" xr:uid="{00000000-0002-0000-0800-000002000000}">
      <formula1>EUconst_BMlistNames</formula1>
    </dataValidation>
    <dataValidation type="decimal" operator="greaterThanOrEqual" allowBlank="1" showInputMessage="1" showErrorMessage="1" errorTitle="Value &lt; 0" error="Values have to be &gt;= 0" sqref="H234:N234 H2810:N2810 H556:N556 H878:N878 H1200:N1200 H1522:N1522 H1844:N1844 H2166:N2166 H2488:N2488 H3132:N3132" xr:uid="{00000000-0002-0000-0800-000003000000}">
      <formula1>0</formula1>
    </dataValidation>
    <dataValidation type="decimal" operator="greaterThanOrEqual" allowBlank="1" showInputMessage="1" showErrorMessage="1" errorTitle="Values &lt; 0" error="Values have to be &gt;= 0 " sqref="H298:N298 H3223:N3224 H2874:N2874 H2901:N2902 H620:N620 H647:N648 H942:N942 H969:N970 H1264:N1264 H1291:N1292 H1586:N1586 H1613:N1614 H1908:N1908 H1935:N1936 H2230:N2230 H2257:N2258 H2552:N2552 H2579:N2580 H3196:N3196 H325:N326" xr:uid="{00000000-0002-0000-0800-000004000000}">
      <formula1>0</formula1>
    </dataValidation>
    <dataValidation type="decimal" operator="greaterThanOrEqual" allowBlank="1" showInputMessage="1" showErrorMessage="1" error="! Enter value &gt;=0 !" sqref="H2954:N2954 H83:N83 I343:N343 H54:N54 H56:N56 H405:N405 J133:N142 H376:N376 H378:N378 I21:N21 H665:N665 H727:N727 J455:N464 H698:N698 H700:N700 H987:N987 H1049:N1049 J777:N786 H1020:N1020 H1022:N1022 H1309:N1309 H1371:N1371 J1099:N1108 H1342:N1342 H1344:N1344 H1631:N1631 H1693:N1693 J1421:N1430 H1664:N1664 H1666:N1666 H1953:N1953 H2015:N2015 J1743:N1752 H1986:N1986 H1988:N1988 H2310:N2310 H2337:N2337 J2065:N2074 H2275:N2275 H2308:N2308 H2597:N2597 H2659:N2659 J2387:N2396 H2630:N2630 H2632:N2632 H2919:N2919 H2981:N2981 J2709:N2718 H2952:N2952 J3031:N3040" xr:uid="{00000000-0002-0000-0800-000005000000}">
      <formula1>0</formula1>
    </dataValidation>
  </dataValidations>
  <hyperlinks>
    <hyperlink ref="G2:H2" location="a_Contents!B5" display="Table of contents" xr:uid="{03B69798-BF9E-4C54-9124-E51C02DB56D3}"/>
    <hyperlink ref="I2:J2" location="E_EnergyFlows!B5" display="Previous sheet" xr:uid="{360DE6F3-AB52-4943-8B13-44F1C7B96A9C}"/>
    <hyperlink ref="K2:L2" location="'G_Fall-back'!B5" display="Next sheet" xr:uid="{465A55E1-9F7A-4821-BE02-458444377ECE}"/>
    <hyperlink ref="M2:N2" location="K_Summary!B5" display="Summary" xr:uid="{63F885A9-A244-4C9E-8F43-1647B0E29994}"/>
    <hyperlink ref="E3:F3" location="F_ProductBM!B6" display="Top of sheet" xr:uid="{F31D735F-4609-46F5-910B-213E5079B78A}"/>
    <hyperlink ref="E4:F4" location="F_ProductBM!B3234" display="End of sheet" xr:uid="{32EF4AEB-510B-430A-AAB2-2273C7014018}"/>
    <hyperlink ref="D3234:N3234" location="'G_Fall-back'!B5" display="&lt;&lt;&lt; Click here to proceed to next sheet &gt;&gt;&gt; " xr:uid="{F65ABD76-92A9-4FBD-A99F-105C494D108D}"/>
  </hyperlinks>
  <pageMargins left="0.78740157480314965" right="0.78740157480314965" top="0.78740157480314965" bottom="0.78740157480314965" header="0.51181102362204722" footer="0.51181102362204722"/>
  <pageSetup paperSize="9" scale="48" fitToHeight="40" orientation="portrait" r:id="rId1"/>
  <headerFooter alignWithMargins="0">
    <oddHeader>&amp;L&amp;F; &amp;A&amp;R&amp;D; &amp;T</oddHeader>
    <oddFooter>&amp;C&amp;P /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Core Document" ma:contentTypeID="0x0101004691A8DE0991884F8E90AD6474FC73730100E42CEA0F0D10D84AB4ECB9C119B178F1" ma:contentTypeVersion="12" ma:contentTypeDescription="Create a new document." ma:contentTypeScope="" ma:versionID="b59b090804727c7c19228852ee280a4a">
  <xsd:schema xmlns:xsd="http://www.w3.org/2001/XMLSchema" xmlns:xs="http://www.w3.org/2001/XMLSchema" xmlns:p="http://schemas.microsoft.com/office/2006/metadata/properties" xmlns:ns2="0f9fa326-da26-4ea8-b6a9-645e8136fe1d" xmlns:ns3="3057c11d-1a74-404b-bff2-cf5b6bf65011" xmlns:ns4="aaacb922-5235-4a66-b188-303b9b46fbd7" xmlns:ns5="a09347c8-c4f9-4b11-88b3-917faa03d2ee" targetNamespace="http://schemas.microsoft.com/office/2006/metadata/properties" ma:root="true" ma:fieldsID="0feae63a51783fab44ce446c348e04ba" ns2:_="" ns3:_="" ns4:_="" ns5:_="">
    <xsd:import namespace="0f9fa326-da26-4ea8-b6a9-645e8136fe1d"/>
    <xsd:import namespace="3057c11d-1a74-404b-bff2-cf5b6bf65011"/>
    <xsd:import namespace="aaacb922-5235-4a66-b188-303b9b46fbd7"/>
    <xsd:import namespace="a09347c8-c4f9-4b11-88b3-917faa03d2ee"/>
    <xsd:element name="properties">
      <xsd:complexType>
        <xsd:sequence>
          <xsd:element name="documentManagement">
            <xsd:complexType>
              <xsd:all>
                <xsd:element ref="ns2:c6f593ada1854b629148449de059396b" minOccurs="0"/>
                <xsd:element ref="ns3:TaxCatchAll" minOccurs="0"/>
                <xsd:element ref="ns3:TaxCatchAllLabel" minOccurs="0"/>
                <xsd:element ref="ns2:m817f42addf14c9a838da36e78800043" minOccurs="0"/>
                <xsd:element ref="ns2:h573c97cf80c4aa6b446c5363dc3ac94" minOccurs="0"/>
                <xsd:element ref="ns4:LegacyData" minOccurs="0"/>
                <xsd:element ref="ns3:_dlc_DocId" minOccurs="0"/>
                <xsd:element ref="ns3:_dlc_DocIdPersistId" minOccurs="0"/>
                <xsd:element ref="ns3:_dlc_DocIdUrl" minOccurs="0"/>
                <xsd:element ref="ns5:MediaServiceMetadata" minOccurs="0"/>
                <xsd:element ref="ns5:MediaServiceFastMetadata" minOccurs="0"/>
                <xsd:element ref="ns5:MediaServiceSearchProperties" minOccurs="0"/>
                <xsd:element ref="ns5:MediaServiceDateTaken" minOccurs="0"/>
                <xsd:element ref="ns5:MediaServiceGenerationTime" minOccurs="0"/>
                <xsd:element ref="ns5:MediaServiceEventHashCode" minOccurs="0"/>
                <xsd:element ref="ns5:MediaLengthInSeconds" minOccurs="0"/>
                <xsd:element ref="ns5: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9fa326-da26-4ea8-b6a9-645e8136fe1d" elementFormDefault="qualified">
    <xsd:import namespace="http://schemas.microsoft.com/office/2006/documentManagement/types"/>
    <xsd:import namespace="http://schemas.microsoft.com/office/infopath/2007/PartnerControls"/>
    <xsd:element name="c6f593ada1854b629148449de059396b" ma:index="8" nillable="true" ma:taxonomy="true" ma:internalName="c6f593ada1854b629148449de059396b" ma:taxonomyFieldName="KIM_GovernmentBody" ma:displayName="Government Body" ma:default="3;#DESNZ|bb335eaf-f697-16af-0755-aa8d4628e736" ma:fieldId="{c6f593ad-a185-4b62-9148-449de059396b}" ma:sspId="9b0aeba9-2bce-41c2-8545-5d12d676a674" ma:termSetId="46784332-da01-4f4a-94fa-2a245cb438b3" ma:anchorId="00000000-0000-0000-0000-000000000000" ma:open="false" ma:isKeyword="false">
      <xsd:complexType>
        <xsd:sequence>
          <xsd:element ref="pc:Terms" minOccurs="0" maxOccurs="1"/>
        </xsd:sequence>
      </xsd:complexType>
    </xsd:element>
    <xsd:element name="m817f42addf14c9a838da36e78800043" ma:index="12" nillable="true" ma:taxonomy="true" ma:internalName="m817f42addf14c9a838da36e78800043" ma:taxonomyFieldName="KIM_Function" ma:displayName="Function" ma:default="1;#Climate and energy|1bedeac7-37cb-1c32-91b0-ff1f772bc125" ma:fieldId="{6817f42a-ddf1-4c9a-838d-a36e78800043}" ma:sspId="9b0aeba9-2bce-41c2-8545-5d12d676a674" ma:termSetId="8a8c3714-5ee2-45f9-8c60-591b9d070299" ma:anchorId="00000000-0000-0000-0000-000000000000" ma:open="false" ma:isKeyword="false">
      <xsd:complexType>
        <xsd:sequence>
          <xsd:element ref="pc:Terms" minOccurs="0" maxOccurs="1"/>
        </xsd:sequence>
      </xsd:complexType>
    </xsd:element>
    <xsd:element name="h573c97cf80c4aa6b446c5363dc3ac94" ma:index="14" nillable="true" ma:taxonomy="true" ma:internalName="h573c97cf80c4aa6b446c5363dc3ac94" ma:taxonomyFieldName="KIM_Activity" ma:displayName="Activity" ma:default="2;#Net Zero|e2962886-98bd-e2d9-3bd6-b14512f51ebc" ma:fieldId="{1573c97c-f80c-4aa6-b446-c5363dc3ac94}" ma:sspId="9b0aeba9-2bce-41c2-8545-5d12d676a674" ma:termSetId="5c6dcaef-f335-486f-b10e-5a74f102472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057c11d-1a74-404b-bff2-cf5b6bf65011"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83552ff5-5b4f-4d03-b8c5-65295a01f286}" ma:internalName="TaxCatchAll" ma:showField="CatchAllData" ma:web="3057c11d-1a74-404b-bff2-cf5b6bf6501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83552ff5-5b4f-4d03-b8c5-65295a01f286}" ma:internalName="TaxCatchAllLabel" ma:readOnly="true" ma:showField="CatchAllDataLabel" ma:web="3057c11d-1a74-404b-bff2-cf5b6bf65011">
      <xsd:complexType>
        <xsd:complexContent>
          <xsd:extension base="dms:MultiChoiceLookup">
            <xsd:sequence>
              <xsd:element name="Value" type="dms:Lookup" maxOccurs="unbounded" minOccurs="0" nillable="true"/>
            </xsd:sequence>
          </xsd:extension>
        </xsd:complexContent>
      </xsd:complexType>
    </xsd:element>
    <xsd:element name="_dlc_DocId" ma:index="17" nillable="true" ma:displayName="Document ID Value" ma:description="The value of the document ID assigned to this item." ma:indexed="true" ma:internalName="_dlc_DocId" ma:readOnly="true">
      <xsd:simpleType>
        <xsd:restriction base="dms:Text"/>
      </xsd:simpleType>
    </xsd:element>
    <xsd:element name="_dlc_DocIdPersistId" ma:index="18" nillable="true" ma:displayName="Persist ID" ma:description="Keep ID on add." ma:hidden="true" ma:internalName="_dlc_DocIdPersistId" ma:readOnly="true">
      <xsd:simpleType>
        <xsd:restriction base="dms:Boolean"/>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6"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09347c8-c4f9-4b11-88b3-917faa03d2ee" elementFormDefault="qualified">
    <xsd:import namespace="http://schemas.microsoft.com/office/2006/documentManagement/types"/>
    <xsd:import namespace="http://schemas.microsoft.com/office/infopath/2007/PartnerControls"/>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OCR" ma:index="27"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p:properties xmlns:p="http://schemas.microsoft.com/office/2006/metadata/properties" xmlns:xsi="http://www.w3.org/2001/XMLSchema-instance" xmlns:pc="http://schemas.microsoft.com/office/infopath/2007/PartnerControls">
  <documentManagement>
    <LegacyData xmlns="aaacb922-5235-4a66-b188-303b9b46fbd7" xsi:nil="true"/>
    <TaxCatchAll xmlns="3057c11d-1a74-404b-bff2-cf5b6bf65011">
      <Value>6</Value>
      <Value>5</Value>
      <Value>4</Value>
    </TaxCatchAll>
    <_dlc_DocId xmlns="3057c11d-1a74-404b-bff2-cf5b6bf65011">7XDKDJ7MWPK6-1788783566-1509</_dlc_DocId>
    <_dlc_DocIdUrl xmlns="3057c11d-1a74-404b-bff2-cf5b6bf65011">
      <Url>https://beisgov.sharepoint.com/sites/IDETDataAndDigital-Private-ETS_Free_AllocationsOS/_layouts/15/DocIdRedir.aspx?ID=7XDKDJ7MWPK6-1788783566-1509</Url>
      <Description>7XDKDJ7MWPK6-1788783566-1509</Description>
    </_dlc_DocIdUrl>
    <_dlc_DocIdPersistId xmlns="3057c11d-1a74-404b-bff2-cf5b6bf65011">false</_dlc_DocIdPersistId>
    <c6f593ada1854b629148449de059396b xmlns="0f9fa326-da26-4ea8-b6a9-645e8136fe1d">
      <Terms xmlns="http://schemas.microsoft.com/office/infopath/2007/PartnerControls">
        <TermInfo xmlns="http://schemas.microsoft.com/office/infopath/2007/PartnerControls">
          <TermName xmlns="http://schemas.microsoft.com/office/infopath/2007/PartnerControls">BEIS</TermName>
          <TermId xmlns="http://schemas.microsoft.com/office/infopath/2007/PartnerControls">b386cac2-c28c-4db4-8fca-43733d0e74ef</TermId>
        </TermInfo>
      </Terms>
    </c6f593ada1854b629148449de059396b>
    <m817f42addf14c9a838da36e78800043 xmlns="0f9fa326-da26-4ea8-b6a9-645e8136fe1d">
      <Terms xmlns="http://schemas.microsoft.com/office/infopath/2007/PartnerControls">
        <TermInfo xmlns="http://schemas.microsoft.com/office/infopath/2007/PartnerControls">
          <TermName xmlns="http://schemas.microsoft.com/office/infopath/2007/PartnerControls">Climate and energy</TermName>
          <TermId xmlns="http://schemas.microsoft.com/office/infopath/2007/PartnerControls">98b2efea-a649-07e6-a104-07f256801c42</TermId>
        </TermInfo>
      </Terms>
    </m817f42addf14c9a838da36e78800043>
    <h573c97cf80c4aa6b446c5363dc3ac94 xmlns="0f9fa326-da26-4ea8-b6a9-645e8136fe1d">
      <Terms xmlns="http://schemas.microsoft.com/office/infopath/2007/PartnerControls">
        <TermInfo xmlns="http://schemas.microsoft.com/office/infopath/2007/PartnerControls">
          <TermName xmlns="http://schemas.microsoft.com/office/infopath/2007/PartnerControls">Net Zero</TermName>
          <TermId xmlns="http://schemas.microsoft.com/office/infopath/2007/PartnerControls">b5af60df-cacb-7ab3-10d7-fe0f860c4ef4</TermId>
        </TermInfo>
      </Terms>
    </h573c97cf80c4aa6b446c5363dc3ac94>
  </documentManagement>
</p:properties>
</file>

<file path=customXml/itemProps1.xml><?xml version="1.0" encoding="utf-8"?>
<ds:datastoreItem xmlns:ds="http://schemas.openxmlformats.org/officeDocument/2006/customXml" ds:itemID="{17B4426E-8FA7-4F48-9198-659C74B310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9fa326-da26-4ea8-b6a9-645e8136fe1d"/>
    <ds:schemaRef ds:uri="3057c11d-1a74-404b-bff2-cf5b6bf65011"/>
    <ds:schemaRef ds:uri="aaacb922-5235-4a66-b188-303b9b46fbd7"/>
    <ds:schemaRef ds:uri="a09347c8-c4f9-4b11-88b3-917faa03d2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EC0E0B-22F3-416D-9503-3DC6DF5BB370}">
  <ds:schemaRefs>
    <ds:schemaRef ds:uri="http://schemas.microsoft.com/office/2006/metadata/longProperties"/>
  </ds:schemaRefs>
</ds:datastoreItem>
</file>

<file path=customXml/itemProps3.xml><?xml version="1.0" encoding="utf-8"?>
<ds:datastoreItem xmlns:ds="http://schemas.openxmlformats.org/officeDocument/2006/customXml" ds:itemID="{8B8EDB9B-B56C-46DD-A19B-B141B8F11F74}">
  <ds:schemaRefs>
    <ds:schemaRef ds:uri="http://schemas.microsoft.com/sharepoint/v3/contenttype/forms"/>
  </ds:schemaRefs>
</ds:datastoreItem>
</file>

<file path=customXml/itemProps4.xml><?xml version="1.0" encoding="utf-8"?>
<ds:datastoreItem xmlns:ds="http://schemas.openxmlformats.org/officeDocument/2006/customXml" ds:itemID="{5E42A67E-FE9F-4EB6-B1FB-84955CEAB59B}">
  <ds:schemaRefs>
    <ds:schemaRef ds:uri="http://schemas.microsoft.com/sharepoint/events"/>
  </ds:schemaRefs>
</ds:datastoreItem>
</file>

<file path=customXml/itemProps5.xml><?xml version="1.0" encoding="utf-8"?>
<ds:datastoreItem xmlns:ds="http://schemas.openxmlformats.org/officeDocument/2006/customXml" ds:itemID="{841813E8-90F7-4928-9DFD-00D5A10810DA}">
  <ds:schemaRefs>
    <ds:schemaRef ds:uri="http://purl.org/dc/dcmitype/"/>
    <ds:schemaRef ds:uri="http://schemas.microsoft.com/office/2006/documentManagement/types"/>
    <ds:schemaRef ds:uri="http://schemas.microsoft.com/office/2006/metadata/properties"/>
    <ds:schemaRef ds:uri="http://purl.org/dc/terms/"/>
    <ds:schemaRef ds:uri="a09347c8-c4f9-4b11-88b3-917faa03d2ee"/>
    <ds:schemaRef ds:uri="http://purl.org/dc/elements/1.1/"/>
    <ds:schemaRef ds:uri="3057c11d-1a74-404b-bff2-cf5b6bf65011"/>
    <ds:schemaRef ds:uri="aaacb922-5235-4a66-b188-303b9b46fbd7"/>
    <ds:schemaRef ds:uri="http://www.w3.org/XML/1998/namespace"/>
    <ds:schemaRef ds:uri="http://schemas.microsoft.com/office/infopath/2007/PartnerControls"/>
    <ds:schemaRef ds:uri="http://schemas.openxmlformats.org/package/2006/metadata/core-properties"/>
    <ds:schemaRef ds:uri="0f9fa326-da26-4ea8-b6a9-645e8136fe1d"/>
  </ds:schemaRefs>
</ds:datastoreItem>
</file>

<file path=docMetadata/LabelInfo.xml><?xml version="1.0" encoding="utf-8"?>
<clbl:labelList xmlns:clbl="http://schemas.microsoft.com/office/2020/mipLabelMetadata">
  <clbl:label id="{ba62f585-b40f-4ab9-bafe-39150f03d124}" enabled="1" method="Standard" siteId="{cbac7005-02c1-43eb-b497-e6492d1b2dd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364</vt:i4>
      </vt:variant>
    </vt:vector>
  </HeadingPairs>
  <TitlesOfParts>
    <vt:vector size="381" baseType="lpstr">
      <vt:lpstr>a_Contents</vt:lpstr>
      <vt:lpstr>b_Guidelines &amp; conditions</vt:lpstr>
      <vt:lpstr>Confidentiality Statement</vt:lpstr>
      <vt:lpstr>c_ALR2025</vt:lpstr>
      <vt:lpstr>A_InstallationData</vt:lpstr>
      <vt:lpstr>B+C_SubInstallations</vt:lpstr>
      <vt:lpstr>D_Emissions</vt:lpstr>
      <vt:lpstr>E_EnergyFlows</vt:lpstr>
      <vt:lpstr>F_ProductBM</vt:lpstr>
      <vt:lpstr>G_Fall-back</vt:lpstr>
      <vt:lpstr>H_SpecialBM</vt:lpstr>
      <vt:lpstr>I_MSspecific</vt:lpstr>
      <vt:lpstr>J_Comments</vt:lpstr>
      <vt:lpstr>K_Summary</vt:lpstr>
      <vt:lpstr>EUwideConstants</vt:lpstr>
      <vt:lpstr>MSParameters</vt:lpstr>
      <vt:lpstr>VersionDocumentation</vt:lpstr>
      <vt:lpstr>CNTR_AnnexIActivities</vt:lpstr>
      <vt:lpstr>CNTR_ApplyLinF</vt:lpstr>
      <vt:lpstr>CNTR_Cessation</vt:lpstr>
      <vt:lpstr>CNTR_ConfirmationOK</vt:lpstr>
      <vt:lpstr>CNTR_ConnectionEntityList</vt:lpstr>
      <vt:lpstr>CNTR_ConnectionEntityListCITL_IDs</vt:lpstr>
      <vt:lpstr>CNTR_ConnectionEntityListTypes</vt:lpstr>
      <vt:lpstr>CNTR_ConnectionListAndWithinInst</vt:lpstr>
      <vt:lpstr>CNTR_Eligible10a</vt:lpstr>
      <vt:lpstr>CNTR_ExistConnectionEntries</vt:lpstr>
      <vt:lpstr>CNTR_ExistProductSubEntries</vt:lpstr>
      <vt:lpstr>CNTR_ExistSubInstEntries</vt:lpstr>
      <vt:lpstr>CNTR_FallBackSubInstRelevant</vt:lpstr>
      <vt:lpstr>CNTR_HasEntries_A_I</vt:lpstr>
      <vt:lpstr>CNTR_HasErrors_A</vt:lpstr>
      <vt:lpstr>CNTR_Incumbent</vt:lpstr>
      <vt:lpstr>CNTR_NACEInstallation</vt:lpstr>
      <vt:lpstr>CNTR_OnlyCombustion</vt:lpstr>
      <vt:lpstr>CNTR_ProdElec</vt:lpstr>
      <vt:lpstr>CNTR_ReportingYear</vt:lpstr>
      <vt:lpstr>CNTR_SubInstCessationDate</vt:lpstr>
      <vt:lpstr>CNTR_SubInstListBMnumbers</vt:lpstr>
      <vt:lpstr>CNTR_SubInstListHALUnit</vt:lpstr>
      <vt:lpstr>CNTR_SubInstListIsProdBM</vt:lpstr>
      <vt:lpstr>CNTR_SubInstListNames</vt:lpstr>
      <vt:lpstr>CNTR_SubInstStartDate</vt:lpstr>
      <vt:lpstr>CNTR_SubPeriod</vt:lpstr>
      <vt:lpstr>CNTR_TemplateVersion</vt:lpstr>
      <vt:lpstr>CNTR_UniqueID</vt:lpstr>
      <vt:lpstr>CTRL_InputMethodFuelDistribution</vt:lpstr>
      <vt:lpstr>CTRL_InputMethodHeatSubInstSplit</vt:lpstr>
      <vt:lpstr>CTRL_InputMethodNIMsvalues</vt:lpstr>
      <vt:lpstr>EUconst_AbsRel</vt:lpstr>
      <vt:lpstr>EUconst_AllocInitial</vt:lpstr>
      <vt:lpstr>EUconst_AllocPrelim</vt:lpstr>
      <vt:lpstr>EUconst_Allowances</vt:lpstr>
      <vt:lpstr>EUconst_AllYears</vt:lpstr>
      <vt:lpstr>EUconst_AnnexIActivities</vt:lpstr>
      <vt:lpstr>EUconst_BaselinePeriods</vt:lpstr>
      <vt:lpstr>EUconst_BM</vt:lpstr>
      <vt:lpstr>EUconst_BM_ARR_Range</vt:lpstr>
      <vt:lpstr>EUconst_BMlist107</vt:lpstr>
      <vt:lpstr>EUconst_BMlistARR</vt:lpstr>
      <vt:lpstr>EUconst_BMlistBMARRvaluesMatrix</vt:lpstr>
      <vt:lpstr>EUconst_BMlistBMmaxvalues</vt:lpstr>
      <vt:lpstr>EUconst_BMlistBMminvalues</vt:lpstr>
      <vt:lpstr>EUconst_BMlistBMvalues</vt:lpstr>
      <vt:lpstr>EUconst_BMlistBMvaluesMatrix</vt:lpstr>
      <vt:lpstr>EUconst_BMlistCLstatus</vt:lpstr>
      <vt:lpstr>EUconst_BMlistElExchangability</vt:lpstr>
      <vt:lpstr>EUconst_BMlistMatrix</vt:lpstr>
      <vt:lpstr>EUconst_BMlistNames</vt:lpstr>
      <vt:lpstr>EUconst_BMlistNotCWT</vt:lpstr>
      <vt:lpstr>EUconst_BMlistNumberOfActivity</vt:lpstr>
      <vt:lpstr>EUconst_BMlistNumberOfBM</vt:lpstr>
      <vt:lpstr>EUconst_BMlistPulp</vt:lpstr>
      <vt:lpstr>EUconst_BMlistSpecialJumpTable</vt:lpstr>
      <vt:lpstr>EUconst_BMlistSpecialReporting</vt:lpstr>
      <vt:lpstr>EUconst_BMlistUnits</vt:lpstr>
      <vt:lpstr>EUconst_BMSubinst</vt:lpstr>
      <vt:lpstr>EUconst_CessationReason</vt:lpstr>
      <vt:lpstr>EUconst_CLEFDistrict</vt:lpstr>
      <vt:lpstr>EUconst_CLEFYears</vt:lpstr>
      <vt:lpstr>EUconst_CLnonCL</vt:lpstr>
      <vt:lpstr>EUconst_CNTR_100EUA_ActivityLevel</vt:lpstr>
      <vt:lpstr>EUconst_CNTR_100EUA_ElExch</vt:lpstr>
      <vt:lpstr>EUconst_CNTR_100EUA_HEAT</vt:lpstr>
      <vt:lpstr>EUconst_CNTR_100EUA_HVC</vt:lpstr>
      <vt:lpstr>EUconst_CNTR_100EUA_VCM</vt:lpstr>
      <vt:lpstr>EUconst_CNTR_100EUA_WGFlare</vt:lpstr>
      <vt:lpstr>EUconst_CNTR_AttributedEmissions</vt:lpstr>
      <vt:lpstr>EUconst_CNTR_CARejection</vt:lpstr>
      <vt:lpstr>EUconst_CNTR_CARejectionRelevant</vt:lpstr>
      <vt:lpstr>EUconst_CNTR_CO2Feedstock</vt:lpstr>
      <vt:lpstr>EUconst_CNTR_ElectricityExported</vt:lpstr>
      <vt:lpstr>EUconst_CNTR_ELEXCH</vt:lpstr>
      <vt:lpstr>EUconst_CNTR_ELEXCHfinal</vt:lpstr>
      <vt:lpstr>EUconst_CNTR_ELEXCHInitial</vt:lpstr>
      <vt:lpstr>EUconst_CNTR_ELEXCHprelim</vt:lpstr>
      <vt:lpstr>EUconst_CNTR_Emissions</vt:lpstr>
      <vt:lpstr>EUconst_CNTR_EmissionsIntSource1</vt:lpstr>
      <vt:lpstr>EUconst_CNTR_EmissionsIntSource2</vt:lpstr>
      <vt:lpstr>EUconst_CNTR_EnEff</vt:lpstr>
      <vt:lpstr>EUconst_CNTR_EnEffInitial</vt:lpstr>
      <vt:lpstr>EUconst_CNTR_EnEffPct</vt:lpstr>
      <vt:lpstr>EUconst_CNTR_FuelEF</vt:lpstr>
      <vt:lpstr>EUconst_CNTR_FuelInput</vt:lpstr>
      <vt:lpstr>EUconst_CNTR_HAL</vt:lpstr>
      <vt:lpstr>EUconst_CNTR_HALAdjPct</vt:lpstr>
      <vt:lpstr>EUconst_CNTR_HALfinal</vt:lpstr>
      <vt:lpstr>EUconst_CNTR_HALinitial</vt:lpstr>
      <vt:lpstr>EUconst_CNTR_HALprelim</vt:lpstr>
      <vt:lpstr>EUconst_CNTR_HALPulpTotal</vt:lpstr>
      <vt:lpstr>EUconst_CNTR_HALspecial</vt:lpstr>
      <vt:lpstr>EUconst_CNTR_HEAT</vt:lpstr>
      <vt:lpstr>EUconst_CNTR_HeatExport</vt:lpstr>
      <vt:lpstr>EUconst_CNTR_HeatExportEF</vt:lpstr>
      <vt:lpstr>EUconst_CNTR_HEATfinal</vt:lpstr>
      <vt:lpstr>EUconst_CNTR_HeatImport</vt:lpstr>
      <vt:lpstr>EUconst_CNTR_HeatImportEF</vt:lpstr>
      <vt:lpstr>EUconst_CNTR_HeatImportFuel</vt:lpstr>
      <vt:lpstr>EUconst_CNTR_HeatImportFuelEF</vt:lpstr>
      <vt:lpstr>EUconst_CNTR_HeatImportNitric</vt:lpstr>
      <vt:lpstr>EUconst_CNTR_HeatImportProduct</vt:lpstr>
      <vt:lpstr>EUconst_CNTR_HeatImportProductEF</vt:lpstr>
      <vt:lpstr>EUconst_CNTR_HeatImportPulp</vt:lpstr>
      <vt:lpstr>EUconst_CNTR_HeatImportPulpEF</vt:lpstr>
      <vt:lpstr>EUconst_CNTR_HEATInitial</vt:lpstr>
      <vt:lpstr>EUconst_CNTR_HEATprelim</vt:lpstr>
      <vt:lpstr>EUconst_CNTR_HeatProduced</vt:lpstr>
      <vt:lpstr>EUconst_CNTR_HVC</vt:lpstr>
      <vt:lpstr>EUconst_CNTR_HVCfinal</vt:lpstr>
      <vt:lpstr>EUconst_CNTR_HVCInitial</vt:lpstr>
      <vt:lpstr>EUconst_CNTR_HVCprelim</vt:lpstr>
      <vt:lpstr>EUconst_CNTR_IntermediateExport</vt:lpstr>
      <vt:lpstr>EUconst_CNTR_IntermediateImport</vt:lpstr>
      <vt:lpstr>EUconst_CNTR_NIMsValue</vt:lpstr>
      <vt:lpstr>EUconst_CNTR_nonETSMeasHeat</vt:lpstr>
      <vt:lpstr>EUconst_CNTR_RelThreshold</vt:lpstr>
      <vt:lpstr>EUconst_CNTR_VCM</vt:lpstr>
      <vt:lpstr>EUconst_CNTR_VCMfinal</vt:lpstr>
      <vt:lpstr>EUconst_CNTR_VCMInitial</vt:lpstr>
      <vt:lpstr>EUconst_CNTR_VCMprelim</vt:lpstr>
      <vt:lpstr>EUconst_CNTR_WGConsumed</vt:lpstr>
      <vt:lpstr>EUconst_CNTR_WGConsumedEF</vt:lpstr>
      <vt:lpstr>EUconst_CNTR_WGExport</vt:lpstr>
      <vt:lpstr>EUconst_CNTR_WGExportEF</vt:lpstr>
      <vt:lpstr>EUconst_CNTR_WGFlared</vt:lpstr>
      <vt:lpstr>EUconst_CNTR_WGFlaredEF</vt:lpstr>
      <vt:lpstr>EUconst_CNTR_WGImport</vt:lpstr>
      <vt:lpstr>EUconst_CNTR_WGImportEF</vt:lpstr>
      <vt:lpstr>EUconst_CNTR_WGProduced</vt:lpstr>
      <vt:lpstr>EUconst_CNTR_WGProducedEF</vt:lpstr>
      <vt:lpstr>EUconst_CombustionActivity</vt:lpstr>
      <vt:lpstr>EUconst_ConfirmAllowUseOfData</vt:lpstr>
      <vt:lpstr>EUconst_ConfirmApplicationForAlloc</vt:lpstr>
      <vt:lpstr>EUconst_ConfirmationNotEligible</vt:lpstr>
      <vt:lpstr>EUconst_ConnectedEntityTypes</vt:lpstr>
      <vt:lpstr>EUconst_ConnectionShortTypes</vt:lpstr>
      <vt:lpstr>EUconst_ConnectionTransferTypes</vt:lpstr>
      <vt:lpstr>EUconst_ConnectionTypes</vt:lpstr>
      <vt:lpstr>EUconst_CWTpa</vt:lpstr>
      <vt:lpstr>EUconst_DateMissing</vt:lpstr>
      <vt:lpstr>EUconst_ElBM</vt:lpstr>
      <vt:lpstr>EUconst_ERR_ActivityMissing</vt:lpstr>
      <vt:lpstr>EUconst_ERR_AttrEmBMapplied</vt:lpstr>
      <vt:lpstr>EUconst_ERR_CADecision</vt:lpstr>
      <vt:lpstr>EUconst_ERR_DatesSorting</vt:lpstr>
      <vt:lpstr>EUconst_ERR_DoubleBMentry</vt:lpstr>
      <vt:lpstr>EUconst_ERR_Goto_DI2</vt:lpstr>
      <vt:lpstr>EUconst_ERR_LinkToNIMs</vt:lpstr>
      <vt:lpstr>EUconst_ERR_Mandatory_abd</vt:lpstr>
      <vt:lpstr>EUconst_ERR_Mandatory_Bbc</vt:lpstr>
      <vt:lpstr>EUconst_ERR_Mandatory_ef</vt:lpstr>
      <vt:lpstr>EUconst_ERR_Mandatory_g</vt:lpstr>
      <vt:lpstr>EUconst_ERR_MandatoryDII3a</vt:lpstr>
      <vt:lpstr>EUconst_ERR_MandatoryEII4</vt:lpstr>
      <vt:lpstr>EUconst_ERR_MissingFallBackEntry</vt:lpstr>
      <vt:lpstr>EUconst_ERR_MissingSubInstEntry</vt:lpstr>
      <vt:lpstr>EUconst_ERR_StartWithFuels</vt:lpstr>
      <vt:lpstr>EUconst_Error</vt:lpstr>
      <vt:lpstr>EUconst_EUA</vt:lpstr>
      <vt:lpstr>EUconst_EUApa</vt:lpstr>
      <vt:lpstr>EUconst_EUApt</vt:lpstr>
      <vt:lpstr>EUconst_FallBackARR</vt:lpstr>
      <vt:lpstr>EUconst_FallBackListBMARRvaluesMatrix</vt:lpstr>
      <vt:lpstr>EUconst_FallBackListBMvalues</vt:lpstr>
      <vt:lpstr>EUconst_FallBackListBMvaluesMatrix</vt:lpstr>
      <vt:lpstr>EUconst_FallBackListCLstatus</vt:lpstr>
      <vt:lpstr>EUconst_FallBackListMatrix</vt:lpstr>
      <vt:lpstr>EUconst_FallbackListMissing</vt:lpstr>
      <vt:lpstr>EUconst_FallBackListNames</vt:lpstr>
      <vt:lpstr>EUconst_FallBackListNumber</vt:lpstr>
      <vt:lpstr>EUconst_FallBackListUnits</vt:lpstr>
      <vt:lpstr>Euconst_FallBackSub</vt:lpstr>
      <vt:lpstr>EUconst_FBSubinst</vt:lpstr>
      <vt:lpstr>EUconst_Fuel</vt:lpstr>
      <vt:lpstr>EUconst_FuelBMvalue</vt:lpstr>
      <vt:lpstr>EUconst_FuelUseTypes</vt:lpstr>
      <vt:lpstr>EUconst_GJ</vt:lpstr>
      <vt:lpstr>EUconst_GJpa</vt:lpstr>
      <vt:lpstr>EUconst_GJperTorKNm3</vt:lpstr>
      <vt:lpstr>EUconst_GJperUnit</vt:lpstr>
      <vt:lpstr>EUconst_GJpt</vt:lpstr>
      <vt:lpstr>EUconst_HALsum</vt:lpstr>
      <vt:lpstr>EUconst_HeatBMvalue</vt:lpstr>
      <vt:lpstr>EUconst_HeatUseTypes</vt:lpstr>
      <vt:lpstr>EUconst_Incomplete</vt:lpstr>
      <vt:lpstr>EUconst_Inconsistent</vt:lpstr>
      <vt:lpstr>EUconst_kNm3pa</vt:lpstr>
      <vt:lpstr>EUconst_LinkManual</vt:lpstr>
      <vt:lpstr>EUconst_MinOrMaxOrActual</vt:lpstr>
      <vt:lpstr>EUconst_MNm3pa</vt:lpstr>
      <vt:lpstr>EUconst_Month</vt:lpstr>
      <vt:lpstr>EUconst_MsgAttrEm</vt:lpstr>
      <vt:lpstr>EUconst_MsgBackToSheetF</vt:lpstr>
      <vt:lpstr>EUconst_MsgEnterThisSection</vt:lpstr>
      <vt:lpstr>EUconst_MsgGoOn</vt:lpstr>
      <vt:lpstr>EUconst_MsgGoOn_cd</vt:lpstr>
      <vt:lpstr>EUconst_MsgGoOn_d</vt:lpstr>
      <vt:lpstr>EUconst_MsgGoOn_e</vt:lpstr>
      <vt:lpstr>EUconst_MsgGoOnIfNotRelevant</vt:lpstr>
      <vt:lpstr>EUconst_MsgGoToNextSubInst</vt:lpstr>
      <vt:lpstr>EUconst_MsgProceedEII2</vt:lpstr>
      <vt:lpstr>EUconst_MsgProceedF</vt:lpstr>
      <vt:lpstr>EUconst_MsgSeeFirst</vt:lpstr>
      <vt:lpstr>EUconst_MsgUseElExchTool</vt:lpstr>
      <vt:lpstr>EUconst_MSlist</vt:lpstr>
      <vt:lpstr>EUconst_MSlistEUTLcodes</vt:lpstr>
      <vt:lpstr>EUconst_MSlistISOcodes</vt:lpstr>
      <vt:lpstr>EUconst_MWh</vt:lpstr>
      <vt:lpstr>EUconst_MWhpa</vt:lpstr>
      <vt:lpstr>EUconst_NA</vt:lpstr>
      <vt:lpstr>EUconst_Negative</vt:lpstr>
      <vt:lpstr>EUconst_NGEFvalue</vt:lpstr>
      <vt:lpstr>EUconst_NotEligible</vt:lpstr>
      <vt:lpstr>EUconst_NotRelevant</vt:lpstr>
      <vt:lpstr>EUconst_OK</vt:lpstr>
      <vt:lpstr>EUconst_Or</vt:lpstr>
      <vt:lpstr>EUconst_ProcessEmissionTypes</vt:lpstr>
      <vt:lpstr>Euconst_ProdBMSub</vt:lpstr>
      <vt:lpstr>EUconst_Relevant</vt:lpstr>
      <vt:lpstr>EUconst_RelevantNotRelevant</vt:lpstr>
      <vt:lpstr>EUconst_relOrMWhpa</vt:lpstr>
      <vt:lpstr>EUconst_relOrtCO2pa</vt:lpstr>
      <vt:lpstr>EUconst_relOrTJpa</vt:lpstr>
      <vt:lpstr>EUconst_ReportingYears</vt:lpstr>
      <vt:lpstr>EUconst_ReportingYears2</vt:lpstr>
      <vt:lpstr>EUconst_StatusOfDataCollection</vt:lpstr>
      <vt:lpstr>EUconst_SumBioCO2</vt:lpstr>
      <vt:lpstr>EUconst_SumCO2</vt:lpstr>
      <vt:lpstr>EUconst_SumEnergyIN</vt:lpstr>
      <vt:lpstr>EUconst_SumN2O</vt:lpstr>
      <vt:lpstr>EUconst_SumPFC</vt:lpstr>
      <vt:lpstr>EUconst_SumTransferCO2</vt:lpstr>
      <vt:lpstr>EUconst_t</vt:lpstr>
      <vt:lpstr>EUconst_tCO2</vt:lpstr>
      <vt:lpstr>EUconst_tCO2e</vt:lpstr>
      <vt:lpstr>EUconst_tCO2epa</vt:lpstr>
      <vt:lpstr>EUconst_tCO2ept</vt:lpstr>
      <vt:lpstr>EUconst_tCO2eptN2O</vt:lpstr>
      <vt:lpstr>EUconst_tCO2pa</vt:lpstr>
      <vt:lpstr>EUconst_tCO2pkNm3</vt:lpstr>
      <vt:lpstr>EUconst_tCO2pMWh</vt:lpstr>
      <vt:lpstr>EUconst_tCO2pt</vt:lpstr>
      <vt:lpstr>EUconst_tCO2pTJ</vt:lpstr>
      <vt:lpstr>EUconst_tCO2pTJorT</vt:lpstr>
      <vt:lpstr>EUconst_TJ</vt:lpstr>
      <vt:lpstr>EUconst_TJpa</vt:lpstr>
      <vt:lpstr>EUconst_tN2O</vt:lpstr>
      <vt:lpstr>EUconst_tN2Opa</vt:lpstr>
      <vt:lpstr>EUconst_TonnesOrkNm3pa</vt:lpstr>
      <vt:lpstr>EUconst_Tons</vt:lpstr>
      <vt:lpstr>EUconst_tpa</vt:lpstr>
      <vt:lpstr>Euconst_TrueFalse</vt:lpstr>
      <vt:lpstr>Euconst_TrueFalseNA</vt:lpstr>
      <vt:lpstr>EUconst_Unit</vt:lpstr>
      <vt:lpstr>EUconst_WasteGasCorrFactor</vt:lpstr>
      <vt:lpstr>EUconst_WithinInst</vt:lpstr>
      <vt:lpstr>EUconst_Year</vt:lpstr>
      <vt:lpstr>JUMP_A_Bottom</vt:lpstr>
      <vt:lpstr>JUMP_A_I</vt:lpstr>
      <vt:lpstr>JUMP_A_I1</vt:lpstr>
      <vt:lpstr>JUMP_A_I2</vt:lpstr>
      <vt:lpstr>JUMP_A_I3</vt:lpstr>
      <vt:lpstr>JUMP_A_I4</vt:lpstr>
      <vt:lpstr>JUMP_A_II</vt:lpstr>
      <vt:lpstr>JUMP_A_II1</vt:lpstr>
      <vt:lpstr>JUMP_A_II2</vt:lpstr>
      <vt:lpstr>JUMP_A_III</vt:lpstr>
      <vt:lpstr>JUMP_A_IV</vt:lpstr>
      <vt:lpstr>JUMP_A_IV1</vt:lpstr>
      <vt:lpstr>JUMP_A_V</vt:lpstr>
      <vt:lpstr>JUMP_B_Bottom</vt:lpstr>
      <vt:lpstr>JUMP_B_I</vt:lpstr>
      <vt:lpstr>JUMP_B_I1</vt:lpstr>
      <vt:lpstr>'B+C_SubInstallations'!JUMP_B_II</vt:lpstr>
      <vt:lpstr>JUMP_Coverpage_Bottom</vt:lpstr>
      <vt:lpstr>JUMP_Coverpage_Top</vt:lpstr>
      <vt:lpstr>JUMP_D_Bottom</vt:lpstr>
      <vt:lpstr>JUMP_D_I</vt:lpstr>
      <vt:lpstr>JUMP_D_II</vt:lpstr>
      <vt:lpstr>JUMP_D_III</vt:lpstr>
      <vt:lpstr>JUMP_D_III2</vt:lpstr>
      <vt:lpstr>JUMP_D_IV</vt:lpstr>
      <vt:lpstr>JUMP_D_IV2</vt:lpstr>
      <vt:lpstr>JUMP_D_Top</vt:lpstr>
      <vt:lpstr>JUMP_E_Bottom</vt:lpstr>
      <vt:lpstr>JUMP_E_HeatFinal</vt:lpstr>
      <vt:lpstr>JUMP_E_I</vt:lpstr>
      <vt:lpstr>JUMP_E_II</vt:lpstr>
      <vt:lpstr>JUMP_E_II_2</vt:lpstr>
      <vt:lpstr>JUMP_E_III</vt:lpstr>
      <vt:lpstr>JUMP_E_IV</vt:lpstr>
      <vt:lpstr>JUMP_E_Top</vt:lpstr>
      <vt:lpstr>JUMP_F_Bottom</vt:lpstr>
      <vt:lpstr>JUMP_F_I</vt:lpstr>
      <vt:lpstr>JUMP_F_Top</vt:lpstr>
      <vt:lpstr>JUMP_F1</vt:lpstr>
      <vt:lpstr>JUMP_F10</vt:lpstr>
      <vt:lpstr>JUMP_F2</vt:lpstr>
      <vt:lpstr>JUMP_F3</vt:lpstr>
      <vt:lpstr>JUMP_F4</vt:lpstr>
      <vt:lpstr>JUMP_F5</vt:lpstr>
      <vt:lpstr>JUMP_F6</vt:lpstr>
      <vt:lpstr>JUMP_F7</vt:lpstr>
      <vt:lpstr>JUMP_F8</vt:lpstr>
      <vt:lpstr>JUMP_F9</vt:lpstr>
      <vt:lpstr>JUMP_G_Bottom</vt:lpstr>
      <vt:lpstr>JUMP_G_I</vt:lpstr>
      <vt:lpstr>JUMP_G_Top</vt:lpstr>
      <vt:lpstr>JUMP_G1</vt:lpstr>
      <vt:lpstr>JUMP_G2</vt:lpstr>
      <vt:lpstr>JUMP_G3</vt:lpstr>
      <vt:lpstr>JUMP_G4</vt:lpstr>
      <vt:lpstr>JUMP_G5</vt:lpstr>
      <vt:lpstr>JUMP_G6</vt:lpstr>
      <vt:lpstr>JUMP_G7</vt:lpstr>
      <vt:lpstr>JUMP_Guidelines_Bottom</vt:lpstr>
      <vt:lpstr>JUMP_Guidelines_Home</vt:lpstr>
      <vt:lpstr>JUMP_H_Bottom</vt:lpstr>
      <vt:lpstr>JUMP_H_I</vt:lpstr>
      <vt:lpstr>JUMP_H_II</vt:lpstr>
      <vt:lpstr>JUMP_H_III</vt:lpstr>
      <vt:lpstr>JUMP_H_IV</vt:lpstr>
      <vt:lpstr>JUMP_H_IX</vt:lpstr>
      <vt:lpstr>JUMP_H_Top</vt:lpstr>
      <vt:lpstr>JUMP_H_V</vt:lpstr>
      <vt:lpstr>JUMP_H_VI</vt:lpstr>
      <vt:lpstr>JUMP_H_VII</vt:lpstr>
      <vt:lpstr>JUMP_H_VIII</vt:lpstr>
      <vt:lpstr>JUMP_I_Bottom</vt:lpstr>
      <vt:lpstr>JUMP_I_MSspecific</vt:lpstr>
      <vt:lpstr>JUMP_I_Top</vt:lpstr>
      <vt:lpstr>JUMP_J_I</vt:lpstr>
      <vt:lpstr>JUMP_J_II</vt:lpstr>
      <vt:lpstr>JUMP_J_Top</vt:lpstr>
      <vt:lpstr>JUMP_K_Bottom</vt:lpstr>
      <vt:lpstr>JUMP_K_I</vt:lpstr>
      <vt:lpstr>JUMP_K_II</vt:lpstr>
      <vt:lpstr>JUMP_K_III</vt:lpstr>
      <vt:lpstr>JUMP_K_III2</vt:lpstr>
      <vt:lpstr>JUMP_K_IV</vt:lpstr>
      <vt:lpstr>JUMP_K_Top</vt:lpstr>
      <vt:lpstr>JUMP_K_V</vt:lpstr>
      <vt:lpstr>JUMP_K_V_Disclaimer</vt:lpstr>
      <vt:lpstr>JUMP_TOC_Home</vt:lpstr>
      <vt:lpstr>MSconst_RequireEmissionTotals</vt:lpstr>
      <vt:lpstr>MSconst_RequireEnEffDetails</vt:lpstr>
      <vt:lpstr>MSconst_RequireFuelEF</vt:lpstr>
      <vt:lpstr>MSconst_RequirePermitInfo</vt:lpstr>
      <vt:lpstr>MSconst_RequireSubAttrEmissions</vt:lpstr>
      <vt:lpstr>a_Contents!Print_Area</vt:lpstr>
      <vt:lpstr>A_InstallationData!Print_Area</vt:lpstr>
      <vt:lpstr>'b_Guidelines &amp; conditions'!Print_Area</vt:lpstr>
      <vt:lpstr>'B+C_SubInstallations'!Print_Area</vt:lpstr>
      <vt:lpstr>D_Emissions!Print_Area</vt:lpstr>
      <vt:lpstr>E_EnergyFlows!Print_Area</vt:lpstr>
      <vt:lpstr>'G_Fall-back'!Print_Area</vt:lpstr>
      <vt:lpstr>H_SpecialBM!Print_Area</vt:lpstr>
      <vt:lpstr>I_MSspecific!Print_Area</vt:lpstr>
      <vt:lpstr>J_Comments!Print_Area</vt:lpstr>
      <vt:lpstr>K_Summary!Print_Area</vt:lpstr>
      <vt:lpstr>VersionDocumentation!Print_Area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ALC under the EU ETS</dc:title>
  <dc:creator>Heller Christian</dc:creator>
  <dc:description>Template developed by Umweltbundesamt GmbH (Austria) for DG CLIMA</dc:description>
  <cp:lastModifiedBy>Searle, Brian (Energy Security)</cp:lastModifiedBy>
  <cp:lastPrinted>2020-04-23T09:10:31Z</cp:lastPrinted>
  <dcterms:created xsi:type="dcterms:W3CDTF">2008-05-26T08:52:55Z</dcterms:created>
  <dcterms:modified xsi:type="dcterms:W3CDTF">2026-02-06T07:59:10Z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ba62f585-b40f-4ab9-bafe-39150f03d124_Enabled">
    <vt:lpwstr>true</vt:lpwstr>
  </property>
  <property fmtid="{D5CDD505-2E9C-101B-9397-08002B2CF9AE}" pid="4" name="MSIP_Label_ba62f585-b40f-4ab9-bafe-39150f03d124_SetDate">
    <vt:lpwstr>2021-01-29T11:17:35Z</vt:lpwstr>
  </property>
  <property fmtid="{D5CDD505-2E9C-101B-9397-08002B2CF9AE}" pid="5" name="MSIP_Label_ba62f585-b40f-4ab9-bafe-39150f03d124_Method">
    <vt:lpwstr>Standard</vt:lpwstr>
  </property>
  <property fmtid="{D5CDD505-2E9C-101B-9397-08002B2CF9AE}" pid="6" name="MSIP_Label_ba62f585-b40f-4ab9-bafe-39150f03d124_Name">
    <vt:lpwstr>OFFICIAL</vt:lpwstr>
  </property>
  <property fmtid="{D5CDD505-2E9C-101B-9397-08002B2CF9AE}" pid="7" name="MSIP_Label_ba62f585-b40f-4ab9-bafe-39150f03d124_SiteId">
    <vt:lpwstr>cbac7005-02c1-43eb-b497-e6492d1b2dd8</vt:lpwstr>
  </property>
  <property fmtid="{D5CDD505-2E9C-101B-9397-08002B2CF9AE}" pid="8" name="MSIP_Label_ba62f585-b40f-4ab9-bafe-39150f03d124_ActionId">
    <vt:lpwstr>766bb137-778b-4e55-94f3-b9001a66cb32</vt:lpwstr>
  </property>
  <property fmtid="{D5CDD505-2E9C-101B-9397-08002B2CF9AE}" pid="9" name="MSIP_Label_ba62f585-b40f-4ab9-bafe-39150f03d124_ContentBits">
    <vt:lpwstr>0</vt:lpwstr>
  </property>
  <property fmtid="{D5CDD505-2E9C-101B-9397-08002B2CF9AE}" pid="10" name="ContentTypeId">
    <vt:lpwstr>0x0101004691A8DE0991884F8E90AD6474FC73730100E42CEA0F0D10D84AB4ECB9C119B178F1</vt:lpwstr>
  </property>
  <property fmtid="{D5CDD505-2E9C-101B-9397-08002B2CF9AE}" pid="11" name="Business Unit">
    <vt:lpwstr>1;#UK ETS Delivery|1788b8e5-6d0a-4cde-aaf0-425d3e6d5788</vt:lpwstr>
  </property>
  <property fmtid="{D5CDD505-2E9C-101B-9397-08002B2CF9AE}" pid="12" name="KIM_Activity">
    <vt:lpwstr>5;#Net Zero|b5af60df-cacb-7ab3-10d7-fe0f860c4ef4</vt:lpwstr>
  </property>
  <property fmtid="{D5CDD505-2E9C-101B-9397-08002B2CF9AE}" pid="13" name="KIM_Function">
    <vt:lpwstr>4;#Climate and energy|98b2efea-a649-07e6-a104-07f256801c42</vt:lpwstr>
  </property>
  <property fmtid="{D5CDD505-2E9C-101B-9397-08002B2CF9AE}" pid="14" name="_dlc_DocIdItemGuid">
    <vt:lpwstr>7f53e068-6094-4b19-adcc-4717283fe5e9</vt:lpwstr>
  </property>
  <property fmtid="{D5CDD505-2E9C-101B-9397-08002B2CF9AE}" pid="15" name="KIM_GovernmentBody">
    <vt:lpwstr>6;#BEIS|b386cac2-c28c-4db4-8fca-43733d0e74ef</vt:lpwstr>
  </property>
  <property fmtid="{D5CDD505-2E9C-101B-9397-08002B2CF9AE}" pid="16" name="Order">
    <vt:r8>1400</vt:r8>
  </property>
  <property fmtid="{D5CDD505-2E9C-101B-9397-08002B2CF9AE}" pid="17" name="xd_Signature">
    <vt:bool>false</vt:bool>
  </property>
  <property fmtid="{D5CDD505-2E9C-101B-9397-08002B2CF9AE}" pid="18" name="xd_ProgID">
    <vt:lpwstr/>
  </property>
  <property fmtid="{D5CDD505-2E9C-101B-9397-08002B2CF9AE}" pid="19" name="ComplianceAssetId">
    <vt:lpwstr/>
  </property>
  <property fmtid="{D5CDD505-2E9C-101B-9397-08002B2CF9AE}" pid="20" name="TemplateUrl">
    <vt:lpwstr/>
  </property>
  <property fmtid="{D5CDD505-2E9C-101B-9397-08002B2CF9AE}" pid="21" name="_ExtendedDescription">
    <vt:lpwstr/>
  </property>
  <property fmtid="{D5CDD505-2E9C-101B-9397-08002B2CF9AE}" pid="22" name="TriggerFlowInfo">
    <vt:lpwstr/>
  </property>
  <property fmtid="{D5CDD505-2E9C-101B-9397-08002B2CF9AE}" pid="23" name="Business_x0020_Unit">
    <vt:lpwstr>1;#UK ETS Delivery|1788b8e5-6d0a-4cde-aaf0-425d3e6d5788</vt:lpwstr>
  </property>
  <property fmtid="{D5CDD505-2E9C-101B-9397-08002B2CF9AE}" pid="24" name="MediaServiceImageTags">
    <vt:lpwstr/>
  </property>
  <property fmtid="{D5CDD505-2E9C-101B-9397-08002B2CF9AE}" pid="25" name="m975189f4ba442ecbf67d4147307b177">
    <vt:lpwstr>UK ETS Delivery|1788b8e5-6d0a-4cde-aaf0-425d3e6d5788</vt:lpwstr>
  </property>
  <property fmtid="{D5CDD505-2E9C-101B-9397-08002B2CF9AE}" pid="26" name="Government Body">
    <vt:lpwstr>BEIS</vt:lpwstr>
  </property>
  <property fmtid="{D5CDD505-2E9C-101B-9397-08002B2CF9AE}" pid="27" name="Security Classification">
    <vt:lpwstr>OFFICIAL</vt:lpwstr>
  </property>
</Properties>
</file>